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bin" ContentType="application/vnd.openxmlformats-officedocument.spreadsheetml.printerSettings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81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ntv489/Dropbox (GloriamGroup)/GPCRDB_Project_Alignments_and_Similarities/"/>
    </mc:Choice>
  </mc:AlternateContent>
  <bookViews>
    <workbookView xWindow="880" yWindow="460" windowWidth="32720" windowHeight="20540" tabRatio="500" activeTab="6"/>
  </bookViews>
  <sheets>
    <sheet name="SegEnds_Xtal_Prot#" sheetId="1" r:id="rId1"/>
    <sheet name="SegEnds_Xtal_BW#" sheetId="2" r:id="rId2"/>
    <sheet name="ICL3_classA" sheetId="3" r:id="rId3"/>
    <sheet name="ICL3_classB" sheetId="13" r:id="rId4"/>
    <sheet name="ICL3_classF" sheetId="14" r:id="rId5"/>
    <sheet name="SegEnds_NonXtal_BW#" sheetId="4" r:id="rId6"/>
    <sheet name="SegEnds_NonXtal_Prot#" sheetId="5" r:id="rId7"/>
    <sheet name="Bulges_Constr_NonXtal_GPCRdb#" sheetId="6" r:id="rId8"/>
    <sheet name="Seqs" sheetId="7" r:id="rId9"/>
    <sheet name="Seqs4TemplSearch" sheetId="8" r:id="rId10"/>
    <sheet name="Xtal_Templ" sheetId="9" r:id="rId11"/>
    <sheet name="Classification" sheetId="10" r:id="rId12"/>
    <sheet name="OLD-Templates_ICL3" sheetId="11" r:id="rId13"/>
    <sheet name="SegLen" sheetId="12" r:id="rId14"/>
  </sheets>
  <definedNames>
    <definedName name="_xlnm._FilterDatabase" localSheetId="7" hidden="1">'Bulges_Constr_NonXtal_GPCRdb#'!$A$1:$AE$411</definedName>
    <definedName name="_xlnm._FilterDatabase" localSheetId="5" hidden="1">'SegEnds_NonXtal_BW#'!$A$1:$AL$411</definedName>
    <definedName name="_xlnm._FilterDatabase" localSheetId="0" hidden="1">'SegEnds_Xtal_Prot#'!$A$1:$CT$345</definedName>
    <definedName name="GPCRdb_alignment" localSheetId="8">Seqs!$A$413:$B$414</definedName>
    <definedName name="human_GPCR_fasta.fas" localSheetId="8">Seqs!$A$8:$B$411</definedName>
    <definedName name="xtal_templates_1" localSheetId="10">Xtal_Templ!$A$2:$B$411</definedName>
    <definedName name="xtal_templates_3" localSheetId="10">Xtal_Templ!$A$2:$B$411</definedName>
    <definedName name="xtal_templates_4" localSheetId="10">Xtal_Templ!$A$2:$B$411</definedName>
    <definedName name="Z_3E3401AF_8459_8641_BD70_AD04F80E86ED_.wvu.FilterData" localSheetId="7" hidden="1">'Bulges_Constr_NonXtal_GPCRdb#'!$A$1:$AE$411</definedName>
    <definedName name="Z_3E3401AF_8459_8641_BD70_AD04F80E86ED_.wvu.FilterData" localSheetId="5" hidden="1">'SegEnds_NonXtal_BW#'!$A$1:$AL$411</definedName>
    <definedName name="Z_3E3401AF_8459_8641_BD70_AD04F80E86ED_.wvu.FilterData" localSheetId="0" hidden="1">'SegEnds_Xtal_Prot#'!$A$1:$CT$345</definedName>
  </definedNames>
  <calcPr calcId="150001" concurrentCalc="0"/>
  <customWorkbookViews>
    <customWorkbookView name="Microsoft Office User - Personal View" guid="{3E3401AF-8459-8641-BD70-AD04F80E86ED}" mergeInterval="0" personalView="1" maximized="1" windowWidth="1630" windowHeight="854" tabRatio="500" activeSheetId="5"/>
  </customWorkbookViews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197" i="1" l="1"/>
  <c r="D197" i="1"/>
  <c r="F197" i="1"/>
  <c r="H197" i="1"/>
  <c r="J197" i="1"/>
  <c r="L197" i="1"/>
  <c r="N197" i="1"/>
  <c r="P197" i="1"/>
  <c r="R197" i="1"/>
  <c r="T197" i="1"/>
  <c r="V197" i="1"/>
  <c r="X197" i="1"/>
  <c r="Z197" i="1"/>
  <c r="AB197" i="1"/>
  <c r="AD197" i="1"/>
  <c r="AF197" i="1"/>
  <c r="AH197" i="1"/>
  <c r="AJ197" i="1"/>
  <c r="AL197" i="1"/>
  <c r="AN197" i="1"/>
  <c r="AP197" i="1"/>
  <c r="AR197" i="1"/>
  <c r="AT197" i="1"/>
  <c r="AV197" i="1"/>
  <c r="AX197" i="1"/>
  <c r="AZ197" i="1"/>
  <c r="BA197" i="1"/>
  <c r="BB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BC197" i="1"/>
  <c r="CT197" i="1"/>
  <c r="A196" i="1"/>
  <c r="D196" i="1"/>
  <c r="F196" i="1"/>
  <c r="H196" i="1"/>
  <c r="J196" i="1"/>
  <c r="L196" i="1"/>
  <c r="N196" i="1"/>
  <c r="P196" i="1"/>
  <c r="R196" i="1"/>
  <c r="T196" i="1"/>
  <c r="V196" i="1"/>
  <c r="X196" i="1"/>
  <c r="Z196" i="1"/>
  <c r="AB196" i="1"/>
  <c r="AD196" i="1"/>
  <c r="AF196" i="1"/>
  <c r="AH196" i="1"/>
  <c r="AJ196" i="1"/>
  <c r="AL196" i="1"/>
  <c r="AN196" i="1"/>
  <c r="AP196" i="1"/>
  <c r="AR196" i="1"/>
  <c r="AT196" i="1"/>
  <c r="AV196" i="1"/>
  <c r="AX196" i="1"/>
  <c r="AZ196" i="1"/>
  <c r="BA196" i="1"/>
  <c r="BB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BC196" i="1"/>
  <c r="CT196" i="1"/>
  <c r="A56" i="1"/>
  <c r="D56" i="1"/>
  <c r="F56" i="1"/>
  <c r="H56" i="1"/>
  <c r="J56" i="1"/>
  <c r="L56" i="1"/>
  <c r="N56" i="1"/>
  <c r="P56" i="1"/>
  <c r="R56" i="1"/>
  <c r="T56" i="1"/>
  <c r="V56" i="1"/>
  <c r="X56" i="1"/>
  <c r="Z56" i="1"/>
  <c r="AB56" i="1"/>
  <c r="AD56" i="1"/>
  <c r="AF56" i="1"/>
  <c r="AH56" i="1"/>
  <c r="AJ56" i="1"/>
  <c r="AL56" i="1"/>
  <c r="AN56" i="1"/>
  <c r="AP56" i="1"/>
  <c r="AR56" i="1"/>
  <c r="AT56" i="1"/>
  <c r="AV56" i="1"/>
  <c r="AX56" i="1"/>
  <c r="AZ56" i="1"/>
  <c r="BA56" i="1"/>
  <c r="BB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BC56" i="1"/>
  <c r="CT56" i="1"/>
  <c r="A55" i="1"/>
  <c r="D55" i="1"/>
  <c r="F55" i="1"/>
  <c r="H55" i="1"/>
  <c r="J55" i="1"/>
  <c r="L55" i="1"/>
  <c r="N55" i="1"/>
  <c r="P55" i="1"/>
  <c r="R55" i="1"/>
  <c r="T55" i="1"/>
  <c r="V55" i="1"/>
  <c r="X55" i="1"/>
  <c r="Z55" i="1"/>
  <c r="AB55" i="1"/>
  <c r="AD55" i="1"/>
  <c r="AF55" i="1"/>
  <c r="AH55" i="1"/>
  <c r="AJ55" i="1"/>
  <c r="AL55" i="1"/>
  <c r="AN55" i="1"/>
  <c r="AP55" i="1"/>
  <c r="AR55" i="1"/>
  <c r="AT55" i="1"/>
  <c r="AV55" i="1"/>
  <c r="AX55" i="1"/>
  <c r="AZ55" i="1"/>
  <c r="BA55" i="1"/>
  <c r="BB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BC55" i="1"/>
  <c r="CT55" i="1"/>
  <c r="A115" i="1"/>
  <c r="D115" i="1"/>
  <c r="F115" i="1"/>
  <c r="H115" i="1"/>
  <c r="J115" i="1"/>
  <c r="L115" i="1"/>
  <c r="N115" i="1"/>
  <c r="P115" i="1"/>
  <c r="R115" i="1"/>
  <c r="T115" i="1"/>
  <c r="V115" i="1"/>
  <c r="X115" i="1"/>
  <c r="Z115" i="1"/>
  <c r="AB115" i="1"/>
  <c r="AD115" i="1"/>
  <c r="AF115" i="1"/>
  <c r="AH115" i="1"/>
  <c r="AJ115" i="1"/>
  <c r="AL115" i="1"/>
  <c r="AN115" i="1"/>
  <c r="AP115" i="1"/>
  <c r="AR115" i="1"/>
  <c r="AT115" i="1"/>
  <c r="AV115" i="1"/>
  <c r="AX115" i="1"/>
  <c r="AZ115" i="1"/>
  <c r="BA115" i="1"/>
  <c r="BB115" i="1"/>
  <c r="CH115" i="1"/>
  <c r="CI115" i="1"/>
  <c r="CJ115" i="1"/>
  <c r="CK115" i="1"/>
  <c r="CL115" i="1"/>
  <c r="CM115" i="1"/>
  <c r="CN115" i="1"/>
  <c r="CO115" i="1"/>
  <c r="CP115" i="1"/>
  <c r="CQ115" i="1"/>
  <c r="CR115" i="1"/>
  <c r="CS115" i="1"/>
  <c r="BV115" i="1"/>
  <c r="BW115" i="1"/>
  <c r="BX115" i="1"/>
  <c r="BY115" i="1"/>
  <c r="BZ115" i="1"/>
  <c r="CA115" i="1"/>
  <c r="CB115" i="1"/>
  <c r="CC115" i="1"/>
  <c r="CD115" i="1"/>
  <c r="CE115" i="1"/>
  <c r="CF115" i="1"/>
  <c r="CG115" i="1"/>
  <c r="BC115" i="1"/>
  <c r="CT115" i="1"/>
  <c r="C69" i="2"/>
  <c r="D69" i="2"/>
  <c r="E69" i="2"/>
  <c r="F69" i="2"/>
  <c r="G69" i="2"/>
  <c r="H69" i="2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W69" i="2"/>
  <c r="X69" i="2"/>
  <c r="Y69" i="2"/>
  <c r="Z69" i="2"/>
  <c r="AA69" i="2"/>
  <c r="AB69" i="2"/>
  <c r="D68" i="2"/>
  <c r="B65" i="4"/>
  <c r="D65" i="4"/>
  <c r="E91" i="5"/>
  <c r="D9" i="2"/>
  <c r="B146" i="4"/>
  <c r="D146" i="4"/>
  <c r="E43" i="5"/>
  <c r="AC69" i="2"/>
  <c r="AD69" i="2"/>
  <c r="AE69" i="2"/>
  <c r="L91" i="5"/>
  <c r="K91" i="5"/>
  <c r="H9" i="2"/>
  <c r="H146" i="4"/>
  <c r="K43" i="5"/>
  <c r="AF69" i="2"/>
  <c r="AG69" i="2"/>
  <c r="AH69" i="2"/>
  <c r="AI69" i="2"/>
  <c r="AJ69" i="2"/>
  <c r="O91" i="5"/>
  <c r="N91" i="5"/>
  <c r="AK69" i="2"/>
  <c r="L68" i="2"/>
  <c r="L65" i="4"/>
  <c r="Q91" i="5"/>
  <c r="M9" i="2"/>
  <c r="M146" i="4"/>
  <c r="R43" i="5"/>
  <c r="L9" i="2"/>
  <c r="L146" i="4"/>
  <c r="Q43" i="5"/>
  <c r="AL69" i="2"/>
  <c r="AM69" i="2"/>
  <c r="A8" i="1"/>
  <c r="D8" i="1"/>
  <c r="F8" i="1"/>
  <c r="H8" i="1"/>
  <c r="J8" i="1"/>
  <c r="L8" i="1"/>
  <c r="N8" i="1"/>
  <c r="P8" i="1"/>
  <c r="R8" i="1"/>
  <c r="T8" i="1"/>
  <c r="V8" i="1"/>
  <c r="X8" i="1"/>
  <c r="Z8" i="1"/>
  <c r="AB8" i="1"/>
  <c r="AD8" i="1"/>
  <c r="AF8" i="1"/>
  <c r="AH8" i="1"/>
  <c r="AJ8" i="1"/>
  <c r="AL8" i="1"/>
  <c r="AN8" i="1"/>
  <c r="AP8" i="1"/>
  <c r="AR8" i="1"/>
  <c r="AT8" i="1"/>
  <c r="AV8" i="1"/>
  <c r="AX8" i="1"/>
  <c r="AZ8" i="1"/>
  <c r="BA8" i="1"/>
  <c r="BB8" i="1"/>
  <c r="CH8" i="1"/>
  <c r="CI8" i="1"/>
  <c r="CJ8" i="1"/>
  <c r="CK8" i="1"/>
  <c r="CL8" i="1"/>
  <c r="CM8" i="1"/>
  <c r="CN8" i="1"/>
  <c r="CO8" i="1"/>
  <c r="CP8" i="1"/>
  <c r="CQ8" i="1"/>
  <c r="CR8" i="1"/>
  <c r="CS8" i="1"/>
  <c r="BV8" i="1"/>
  <c r="BW8" i="1"/>
  <c r="BX8" i="1"/>
  <c r="BY8" i="1"/>
  <c r="BZ8" i="1"/>
  <c r="CA8" i="1"/>
  <c r="CB8" i="1"/>
  <c r="CC8" i="1"/>
  <c r="CD8" i="1"/>
  <c r="CE8" i="1"/>
  <c r="CF8" i="1"/>
  <c r="CG8" i="1"/>
  <c r="BC8" i="1"/>
  <c r="CT8" i="1"/>
  <c r="A7" i="1"/>
  <c r="D7" i="1"/>
  <c r="F7" i="1"/>
  <c r="H7" i="1"/>
  <c r="J7" i="1"/>
  <c r="L7" i="1"/>
  <c r="N7" i="1"/>
  <c r="P7" i="1"/>
  <c r="R7" i="1"/>
  <c r="T7" i="1"/>
  <c r="V7" i="1"/>
  <c r="X7" i="1"/>
  <c r="Z7" i="1"/>
  <c r="AB7" i="1"/>
  <c r="AD7" i="1"/>
  <c r="AF7" i="1"/>
  <c r="AH7" i="1"/>
  <c r="AJ7" i="1"/>
  <c r="AL7" i="1"/>
  <c r="AN7" i="1"/>
  <c r="AP7" i="1"/>
  <c r="AR7" i="1"/>
  <c r="AT7" i="1"/>
  <c r="AV7" i="1"/>
  <c r="AX7" i="1"/>
  <c r="AZ7" i="1"/>
  <c r="BA7" i="1"/>
  <c r="BB7" i="1"/>
  <c r="CH7" i="1"/>
  <c r="CI7" i="1"/>
  <c r="CJ7" i="1"/>
  <c r="CK7" i="1"/>
  <c r="CL7" i="1"/>
  <c r="CM7" i="1"/>
  <c r="CN7" i="1"/>
  <c r="CO7" i="1"/>
  <c r="CP7" i="1"/>
  <c r="CQ7" i="1"/>
  <c r="CR7" i="1"/>
  <c r="CS7" i="1"/>
  <c r="BV7" i="1"/>
  <c r="BW7" i="1"/>
  <c r="BX7" i="1"/>
  <c r="BY7" i="1"/>
  <c r="BZ7" i="1"/>
  <c r="CA7" i="1"/>
  <c r="CB7" i="1"/>
  <c r="CC7" i="1"/>
  <c r="CD7" i="1"/>
  <c r="CE7" i="1"/>
  <c r="CF7" i="1"/>
  <c r="CG7" i="1"/>
  <c r="BC7" i="1"/>
  <c r="CT7" i="1"/>
  <c r="A9" i="1"/>
  <c r="D9" i="1"/>
  <c r="F9" i="1"/>
  <c r="H9" i="1"/>
  <c r="J9" i="1"/>
  <c r="L9" i="1"/>
  <c r="N9" i="1"/>
  <c r="P9" i="1"/>
  <c r="R9" i="1"/>
  <c r="T9" i="1"/>
  <c r="V9" i="1"/>
  <c r="X9" i="1"/>
  <c r="Z9" i="1"/>
  <c r="AB9" i="1"/>
  <c r="AD9" i="1"/>
  <c r="AF9" i="1"/>
  <c r="AH9" i="1"/>
  <c r="AJ9" i="1"/>
  <c r="AL9" i="1"/>
  <c r="AN9" i="1"/>
  <c r="AP9" i="1"/>
  <c r="AR9" i="1"/>
  <c r="AT9" i="1"/>
  <c r="AV9" i="1"/>
  <c r="AX9" i="1"/>
  <c r="AZ9" i="1"/>
  <c r="BA9" i="1"/>
  <c r="BB9" i="1"/>
  <c r="CH9" i="1"/>
  <c r="CI9" i="1"/>
  <c r="CJ9" i="1"/>
  <c r="CK9" i="1"/>
  <c r="CL9" i="1"/>
  <c r="CM9" i="1"/>
  <c r="CN9" i="1"/>
  <c r="CO9" i="1"/>
  <c r="CP9" i="1"/>
  <c r="CQ9" i="1"/>
  <c r="CR9" i="1"/>
  <c r="CS9" i="1"/>
  <c r="BV9" i="1"/>
  <c r="BW9" i="1"/>
  <c r="BX9" i="1"/>
  <c r="BY9" i="1"/>
  <c r="BZ9" i="1"/>
  <c r="CA9" i="1"/>
  <c r="CB9" i="1"/>
  <c r="CC9" i="1"/>
  <c r="CD9" i="1"/>
  <c r="CE9" i="1"/>
  <c r="CF9" i="1"/>
  <c r="CG9" i="1"/>
  <c r="BC9" i="1"/>
  <c r="CT9" i="1"/>
  <c r="W68" i="2"/>
  <c r="W65" i="4"/>
  <c r="C68" i="2"/>
  <c r="E68" i="2"/>
  <c r="F68" i="2"/>
  <c r="G68" i="2"/>
  <c r="H68" i="2"/>
  <c r="I68" i="2"/>
  <c r="J68" i="2"/>
  <c r="K68" i="2"/>
  <c r="M68" i="2"/>
  <c r="N68" i="2"/>
  <c r="O68" i="2"/>
  <c r="P68" i="2"/>
  <c r="Q68" i="2"/>
  <c r="R68" i="2"/>
  <c r="S68" i="2"/>
  <c r="T68" i="2"/>
  <c r="U68" i="2"/>
  <c r="V68" i="2"/>
  <c r="X68" i="2"/>
  <c r="Y68" i="2"/>
  <c r="Z68" i="2"/>
  <c r="AA68" i="2"/>
  <c r="AB68" i="2"/>
  <c r="D67" i="2"/>
  <c r="B370" i="4"/>
  <c r="D52" i="2"/>
  <c r="D370" i="4"/>
  <c r="E374" i="5"/>
  <c r="AC68" i="2"/>
  <c r="AD68" i="2"/>
  <c r="AE68" i="2"/>
  <c r="I67" i="2"/>
  <c r="I52" i="2"/>
  <c r="I370" i="4"/>
  <c r="L374" i="5"/>
  <c r="H67" i="2"/>
  <c r="H52" i="2"/>
  <c r="H370" i="4"/>
  <c r="K374" i="5"/>
  <c r="AF68" i="2"/>
  <c r="AG68" i="2"/>
  <c r="AH68" i="2"/>
  <c r="AI68" i="2"/>
  <c r="AJ68" i="2"/>
  <c r="K67" i="2"/>
  <c r="K52" i="2"/>
  <c r="K370" i="4"/>
  <c r="O374" i="5"/>
  <c r="J67" i="2"/>
  <c r="J52" i="2"/>
  <c r="J370" i="4"/>
  <c r="N374" i="5"/>
  <c r="AK68" i="2"/>
  <c r="M67" i="2"/>
  <c r="M52" i="2"/>
  <c r="M370" i="4"/>
  <c r="R374" i="5"/>
  <c r="L67" i="2"/>
  <c r="L52" i="2"/>
  <c r="L370" i="4"/>
  <c r="Q374" i="5"/>
  <c r="AL68" i="2"/>
  <c r="AM68" i="2"/>
  <c r="A161" i="1"/>
  <c r="D161" i="1"/>
  <c r="F161" i="1"/>
  <c r="H161" i="1"/>
  <c r="J161" i="1"/>
  <c r="L161" i="1"/>
  <c r="N161" i="1"/>
  <c r="P161" i="1"/>
  <c r="R161" i="1"/>
  <c r="T161" i="1"/>
  <c r="V161" i="1"/>
  <c r="X161" i="1"/>
  <c r="Z161" i="1"/>
  <c r="AB161" i="1"/>
  <c r="AD161" i="1"/>
  <c r="AF161" i="1"/>
  <c r="AH161" i="1"/>
  <c r="AJ161" i="1"/>
  <c r="AL161" i="1"/>
  <c r="AN161" i="1"/>
  <c r="AP161" i="1"/>
  <c r="AR161" i="1"/>
  <c r="AT161" i="1"/>
  <c r="AV161" i="1"/>
  <c r="AX161" i="1"/>
  <c r="AZ161" i="1"/>
  <c r="BA161" i="1"/>
  <c r="BB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BC161" i="1"/>
  <c r="CT161" i="1"/>
  <c r="A160" i="1"/>
  <c r="D160" i="1"/>
  <c r="F160" i="1"/>
  <c r="H160" i="1"/>
  <c r="J160" i="1"/>
  <c r="L160" i="1"/>
  <c r="N160" i="1"/>
  <c r="P160" i="1"/>
  <c r="R160" i="1"/>
  <c r="T160" i="1"/>
  <c r="V160" i="1"/>
  <c r="X160" i="1"/>
  <c r="Z160" i="1"/>
  <c r="AB160" i="1"/>
  <c r="AD160" i="1"/>
  <c r="AF160" i="1"/>
  <c r="AH160" i="1"/>
  <c r="AJ160" i="1"/>
  <c r="AL160" i="1"/>
  <c r="AN160" i="1"/>
  <c r="AP160" i="1"/>
  <c r="AR160" i="1"/>
  <c r="AT160" i="1"/>
  <c r="AV160" i="1"/>
  <c r="AX160" i="1"/>
  <c r="AZ160" i="1"/>
  <c r="BA160" i="1"/>
  <c r="BB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BC160" i="1"/>
  <c r="CT160" i="1"/>
  <c r="A159" i="1"/>
  <c r="D159" i="1"/>
  <c r="F159" i="1"/>
  <c r="H159" i="1"/>
  <c r="J159" i="1"/>
  <c r="L159" i="1"/>
  <c r="N159" i="1"/>
  <c r="P159" i="1"/>
  <c r="R159" i="1"/>
  <c r="T159" i="1"/>
  <c r="V159" i="1"/>
  <c r="X159" i="1"/>
  <c r="Z159" i="1"/>
  <c r="AB159" i="1"/>
  <c r="AD159" i="1"/>
  <c r="AF159" i="1"/>
  <c r="AH159" i="1"/>
  <c r="AJ159" i="1"/>
  <c r="AL159" i="1"/>
  <c r="AN159" i="1"/>
  <c r="AP159" i="1"/>
  <c r="AR159" i="1"/>
  <c r="AT159" i="1"/>
  <c r="AV159" i="1"/>
  <c r="AX159" i="1"/>
  <c r="AZ159" i="1"/>
  <c r="BA159" i="1"/>
  <c r="BB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BC159" i="1"/>
  <c r="CT159" i="1"/>
  <c r="A128" i="1"/>
  <c r="D128" i="1"/>
  <c r="F128" i="1"/>
  <c r="H128" i="1"/>
  <c r="J128" i="1"/>
  <c r="L128" i="1"/>
  <c r="N128" i="1"/>
  <c r="P128" i="1"/>
  <c r="R128" i="1"/>
  <c r="T128" i="1"/>
  <c r="V128" i="1"/>
  <c r="X128" i="1"/>
  <c r="Z128" i="1"/>
  <c r="AB128" i="1"/>
  <c r="AD128" i="1"/>
  <c r="AF128" i="1"/>
  <c r="AH128" i="1"/>
  <c r="AJ128" i="1"/>
  <c r="AL128" i="1"/>
  <c r="AN128" i="1"/>
  <c r="AP128" i="1"/>
  <c r="AR128" i="1"/>
  <c r="AT128" i="1"/>
  <c r="AV128" i="1"/>
  <c r="AX128" i="1"/>
  <c r="AZ128" i="1"/>
  <c r="BA128" i="1"/>
  <c r="BB128" i="1"/>
  <c r="CH128" i="1"/>
  <c r="CI128" i="1"/>
  <c r="CJ128" i="1"/>
  <c r="CK128" i="1"/>
  <c r="CL128" i="1"/>
  <c r="CM128" i="1"/>
  <c r="CN128" i="1"/>
  <c r="CO128" i="1"/>
  <c r="CP128" i="1"/>
  <c r="CQ128" i="1"/>
  <c r="CR128" i="1"/>
  <c r="CS128" i="1"/>
  <c r="BV128" i="1"/>
  <c r="BW128" i="1"/>
  <c r="BX128" i="1"/>
  <c r="BY128" i="1"/>
  <c r="BZ128" i="1"/>
  <c r="CA128" i="1"/>
  <c r="CB128" i="1"/>
  <c r="CC128" i="1"/>
  <c r="CD128" i="1"/>
  <c r="CE128" i="1"/>
  <c r="CF128" i="1"/>
  <c r="CG128" i="1"/>
  <c r="BC128" i="1"/>
  <c r="CT128" i="1"/>
  <c r="A336" i="1"/>
  <c r="A2" i="1"/>
  <c r="A3" i="1"/>
  <c r="A4" i="1"/>
  <c r="A5" i="1"/>
  <c r="D2" i="1"/>
  <c r="F2" i="1"/>
  <c r="H2" i="1"/>
  <c r="J2" i="1"/>
  <c r="L2" i="1"/>
  <c r="N2" i="1"/>
  <c r="P2" i="1"/>
  <c r="R2" i="1"/>
  <c r="T2" i="1"/>
  <c r="V2" i="1"/>
  <c r="X2" i="1"/>
  <c r="Z2" i="1"/>
  <c r="AB2" i="1"/>
  <c r="AD2" i="1"/>
  <c r="AF2" i="1"/>
  <c r="AH2" i="1"/>
  <c r="AJ2" i="1"/>
  <c r="AL2" i="1"/>
  <c r="AN2" i="1"/>
  <c r="AP2" i="1"/>
  <c r="AR2" i="1"/>
  <c r="AT2" i="1"/>
  <c r="AV2" i="1"/>
  <c r="AX2" i="1"/>
  <c r="D3" i="1"/>
  <c r="F3" i="1"/>
  <c r="H3" i="1"/>
  <c r="J3" i="1"/>
  <c r="L3" i="1"/>
  <c r="N3" i="1"/>
  <c r="P3" i="1"/>
  <c r="R3" i="1"/>
  <c r="T3" i="1"/>
  <c r="V3" i="1"/>
  <c r="X3" i="1"/>
  <c r="Z3" i="1"/>
  <c r="AB3" i="1"/>
  <c r="AD3" i="1"/>
  <c r="AF3" i="1"/>
  <c r="AH3" i="1"/>
  <c r="AJ3" i="1"/>
  <c r="AL3" i="1"/>
  <c r="AN3" i="1"/>
  <c r="AP3" i="1"/>
  <c r="AR3" i="1"/>
  <c r="AT3" i="1"/>
  <c r="AV3" i="1"/>
  <c r="AX3" i="1"/>
  <c r="D4" i="1"/>
  <c r="F4" i="1"/>
  <c r="H4" i="1"/>
  <c r="J4" i="1"/>
  <c r="L4" i="1"/>
  <c r="N4" i="1"/>
  <c r="P4" i="1"/>
  <c r="R4" i="1"/>
  <c r="T4" i="1"/>
  <c r="V4" i="1"/>
  <c r="X4" i="1"/>
  <c r="Z4" i="1"/>
  <c r="AB4" i="1"/>
  <c r="AD4" i="1"/>
  <c r="AF4" i="1"/>
  <c r="AH4" i="1"/>
  <c r="AJ4" i="1"/>
  <c r="AL4" i="1"/>
  <c r="AN4" i="1"/>
  <c r="AP4" i="1"/>
  <c r="AR4" i="1"/>
  <c r="AT4" i="1"/>
  <c r="AV4" i="1"/>
  <c r="AX4" i="1"/>
  <c r="D5" i="1"/>
  <c r="F5" i="1"/>
  <c r="H5" i="1"/>
  <c r="J5" i="1"/>
  <c r="L5" i="1"/>
  <c r="N5" i="1"/>
  <c r="P5" i="1"/>
  <c r="R5" i="1"/>
  <c r="T5" i="1"/>
  <c r="V5" i="1"/>
  <c r="X5" i="1"/>
  <c r="Z5" i="1"/>
  <c r="AB5" i="1"/>
  <c r="AD5" i="1"/>
  <c r="AF5" i="1"/>
  <c r="AH5" i="1"/>
  <c r="AJ5" i="1"/>
  <c r="AL5" i="1"/>
  <c r="AN5" i="1"/>
  <c r="AP5" i="1"/>
  <c r="AR5" i="1"/>
  <c r="AT5" i="1"/>
  <c r="AV5" i="1"/>
  <c r="AX5" i="1"/>
  <c r="A6" i="1"/>
  <c r="D6" i="1"/>
  <c r="F6" i="1"/>
  <c r="H6" i="1"/>
  <c r="J6" i="1"/>
  <c r="L6" i="1"/>
  <c r="N6" i="1"/>
  <c r="P6" i="1"/>
  <c r="R6" i="1"/>
  <c r="T6" i="1"/>
  <c r="V6" i="1"/>
  <c r="X6" i="1"/>
  <c r="Z6" i="1"/>
  <c r="AB6" i="1"/>
  <c r="AD6" i="1"/>
  <c r="AF6" i="1"/>
  <c r="AH6" i="1"/>
  <c r="AJ6" i="1"/>
  <c r="AL6" i="1"/>
  <c r="AN6" i="1"/>
  <c r="AP6" i="1"/>
  <c r="AR6" i="1"/>
  <c r="AT6" i="1"/>
  <c r="AV6" i="1"/>
  <c r="AX6" i="1"/>
  <c r="A10" i="1"/>
  <c r="D10" i="1"/>
  <c r="F10" i="1"/>
  <c r="H10" i="1"/>
  <c r="J10" i="1"/>
  <c r="L10" i="1"/>
  <c r="N10" i="1"/>
  <c r="P10" i="1"/>
  <c r="R10" i="1"/>
  <c r="T10" i="1"/>
  <c r="V10" i="1"/>
  <c r="X10" i="1"/>
  <c r="Z10" i="1"/>
  <c r="AB10" i="1"/>
  <c r="AD10" i="1"/>
  <c r="AF10" i="1"/>
  <c r="AH10" i="1"/>
  <c r="AJ10" i="1"/>
  <c r="AL10" i="1"/>
  <c r="AN10" i="1"/>
  <c r="AP10" i="1"/>
  <c r="AR10" i="1"/>
  <c r="AT10" i="1"/>
  <c r="AV10" i="1"/>
  <c r="AX10" i="1"/>
  <c r="A11" i="1"/>
  <c r="D11" i="1"/>
  <c r="F11" i="1"/>
  <c r="H11" i="1"/>
  <c r="J11" i="1"/>
  <c r="L11" i="1"/>
  <c r="N11" i="1"/>
  <c r="P11" i="1"/>
  <c r="R11" i="1"/>
  <c r="T11" i="1"/>
  <c r="V11" i="1"/>
  <c r="X11" i="1"/>
  <c r="Z11" i="1"/>
  <c r="AB11" i="1"/>
  <c r="AD11" i="1"/>
  <c r="AF11" i="1"/>
  <c r="AH11" i="1"/>
  <c r="AJ11" i="1"/>
  <c r="AL11" i="1"/>
  <c r="AN11" i="1"/>
  <c r="AP11" i="1"/>
  <c r="AR11" i="1"/>
  <c r="AT11" i="1"/>
  <c r="AV11" i="1"/>
  <c r="AX11" i="1"/>
  <c r="A12" i="1"/>
  <c r="D12" i="1"/>
  <c r="F12" i="1"/>
  <c r="H12" i="1"/>
  <c r="J12" i="1"/>
  <c r="L12" i="1"/>
  <c r="N12" i="1"/>
  <c r="P12" i="1"/>
  <c r="R12" i="1"/>
  <c r="T12" i="1"/>
  <c r="V12" i="1"/>
  <c r="X12" i="1"/>
  <c r="Z12" i="1"/>
  <c r="AB12" i="1"/>
  <c r="AD12" i="1"/>
  <c r="AF12" i="1"/>
  <c r="AH12" i="1"/>
  <c r="AJ12" i="1"/>
  <c r="AL12" i="1"/>
  <c r="AN12" i="1"/>
  <c r="AP12" i="1"/>
  <c r="AR12" i="1"/>
  <c r="AT12" i="1"/>
  <c r="AV12" i="1"/>
  <c r="AX12" i="1"/>
  <c r="A13" i="1"/>
  <c r="D13" i="1"/>
  <c r="F13" i="1"/>
  <c r="H13" i="1"/>
  <c r="J13" i="1"/>
  <c r="L13" i="1"/>
  <c r="N13" i="1"/>
  <c r="P13" i="1"/>
  <c r="R13" i="1"/>
  <c r="T13" i="1"/>
  <c r="V13" i="1"/>
  <c r="X13" i="1"/>
  <c r="Z13" i="1"/>
  <c r="AB13" i="1"/>
  <c r="AD13" i="1"/>
  <c r="AF13" i="1"/>
  <c r="AH13" i="1"/>
  <c r="AJ13" i="1"/>
  <c r="AL13" i="1"/>
  <c r="AN13" i="1"/>
  <c r="AP13" i="1"/>
  <c r="AR13" i="1"/>
  <c r="AT13" i="1"/>
  <c r="AV13" i="1"/>
  <c r="AX13" i="1"/>
  <c r="A14" i="1"/>
  <c r="D14" i="1"/>
  <c r="F14" i="1"/>
  <c r="H14" i="1"/>
  <c r="J14" i="1"/>
  <c r="L14" i="1"/>
  <c r="N14" i="1"/>
  <c r="P14" i="1"/>
  <c r="R14" i="1"/>
  <c r="T14" i="1"/>
  <c r="V14" i="1"/>
  <c r="X14" i="1"/>
  <c r="Z14" i="1"/>
  <c r="AB14" i="1"/>
  <c r="AD14" i="1"/>
  <c r="AF14" i="1"/>
  <c r="AH14" i="1"/>
  <c r="AJ14" i="1"/>
  <c r="AL14" i="1"/>
  <c r="AN14" i="1"/>
  <c r="AP14" i="1"/>
  <c r="AR14" i="1"/>
  <c r="AT14" i="1"/>
  <c r="AV14" i="1"/>
  <c r="AX14" i="1"/>
  <c r="A15" i="1"/>
  <c r="D15" i="1"/>
  <c r="F15" i="1"/>
  <c r="H15" i="1"/>
  <c r="J15" i="1"/>
  <c r="L15" i="1"/>
  <c r="N15" i="1"/>
  <c r="P15" i="1"/>
  <c r="R15" i="1"/>
  <c r="T15" i="1"/>
  <c r="V15" i="1"/>
  <c r="X15" i="1"/>
  <c r="Z15" i="1"/>
  <c r="AB15" i="1"/>
  <c r="AD15" i="1"/>
  <c r="AF15" i="1"/>
  <c r="AH15" i="1"/>
  <c r="AJ15" i="1"/>
  <c r="AL15" i="1"/>
  <c r="AN15" i="1"/>
  <c r="AP15" i="1"/>
  <c r="AR15" i="1"/>
  <c r="AT15" i="1"/>
  <c r="AV15" i="1"/>
  <c r="AX15" i="1"/>
  <c r="A16" i="1"/>
  <c r="D16" i="1"/>
  <c r="F16" i="1"/>
  <c r="H16" i="1"/>
  <c r="J16" i="1"/>
  <c r="L16" i="1"/>
  <c r="N16" i="1"/>
  <c r="P16" i="1"/>
  <c r="R16" i="1"/>
  <c r="T16" i="1"/>
  <c r="V16" i="1"/>
  <c r="X16" i="1"/>
  <c r="Z16" i="1"/>
  <c r="AB16" i="1"/>
  <c r="AD16" i="1"/>
  <c r="AF16" i="1"/>
  <c r="AH16" i="1"/>
  <c r="AJ16" i="1"/>
  <c r="AL16" i="1"/>
  <c r="AN16" i="1"/>
  <c r="AP16" i="1"/>
  <c r="AR16" i="1"/>
  <c r="AT16" i="1"/>
  <c r="AV16" i="1"/>
  <c r="AX16" i="1"/>
  <c r="A17" i="1"/>
  <c r="D17" i="1"/>
  <c r="F17" i="1"/>
  <c r="H17" i="1"/>
  <c r="J17" i="1"/>
  <c r="L17" i="1"/>
  <c r="N17" i="1"/>
  <c r="P17" i="1"/>
  <c r="R17" i="1"/>
  <c r="T17" i="1"/>
  <c r="V17" i="1"/>
  <c r="X17" i="1"/>
  <c r="Z17" i="1"/>
  <c r="AB17" i="1"/>
  <c r="AD17" i="1"/>
  <c r="AF17" i="1"/>
  <c r="AH17" i="1"/>
  <c r="AJ17" i="1"/>
  <c r="AL17" i="1"/>
  <c r="AN17" i="1"/>
  <c r="AP17" i="1"/>
  <c r="AR17" i="1"/>
  <c r="AT17" i="1"/>
  <c r="AV17" i="1"/>
  <c r="AX17" i="1"/>
  <c r="A18" i="1"/>
  <c r="D18" i="1"/>
  <c r="F18" i="1"/>
  <c r="H18" i="1"/>
  <c r="J18" i="1"/>
  <c r="L18" i="1"/>
  <c r="N18" i="1"/>
  <c r="P18" i="1"/>
  <c r="R18" i="1"/>
  <c r="T18" i="1"/>
  <c r="V18" i="1"/>
  <c r="X18" i="1"/>
  <c r="Z18" i="1"/>
  <c r="AB18" i="1"/>
  <c r="AD18" i="1"/>
  <c r="AF18" i="1"/>
  <c r="AH18" i="1"/>
  <c r="AJ18" i="1"/>
  <c r="AL18" i="1"/>
  <c r="AN18" i="1"/>
  <c r="AP18" i="1"/>
  <c r="AR18" i="1"/>
  <c r="AT18" i="1"/>
  <c r="AV18" i="1"/>
  <c r="AX18" i="1"/>
  <c r="A19" i="1"/>
  <c r="D19" i="1"/>
  <c r="F19" i="1"/>
  <c r="H19" i="1"/>
  <c r="J19" i="1"/>
  <c r="L19" i="1"/>
  <c r="N19" i="1"/>
  <c r="P19" i="1"/>
  <c r="R19" i="1"/>
  <c r="T19" i="1"/>
  <c r="V19" i="1"/>
  <c r="X19" i="1"/>
  <c r="Z19" i="1"/>
  <c r="AB19" i="1"/>
  <c r="AD19" i="1"/>
  <c r="AF19" i="1"/>
  <c r="AH19" i="1"/>
  <c r="AJ19" i="1"/>
  <c r="AL19" i="1"/>
  <c r="AN19" i="1"/>
  <c r="AP19" i="1"/>
  <c r="AR19" i="1"/>
  <c r="AT19" i="1"/>
  <c r="AV19" i="1"/>
  <c r="AX19" i="1"/>
  <c r="A20" i="1"/>
  <c r="D20" i="1"/>
  <c r="F20" i="1"/>
  <c r="H20" i="1"/>
  <c r="J20" i="1"/>
  <c r="L20" i="1"/>
  <c r="N20" i="1"/>
  <c r="P20" i="1"/>
  <c r="R20" i="1"/>
  <c r="T20" i="1"/>
  <c r="V20" i="1"/>
  <c r="X20" i="1"/>
  <c r="Z20" i="1"/>
  <c r="AB20" i="1"/>
  <c r="AD20" i="1"/>
  <c r="AF20" i="1"/>
  <c r="AH20" i="1"/>
  <c r="AJ20" i="1"/>
  <c r="AL20" i="1"/>
  <c r="AN20" i="1"/>
  <c r="AP20" i="1"/>
  <c r="AR20" i="1"/>
  <c r="AT20" i="1"/>
  <c r="AV20" i="1"/>
  <c r="AX20" i="1"/>
  <c r="A21" i="1"/>
  <c r="D21" i="1"/>
  <c r="F21" i="1"/>
  <c r="H21" i="1"/>
  <c r="J21" i="1"/>
  <c r="L21" i="1"/>
  <c r="N21" i="1"/>
  <c r="P21" i="1"/>
  <c r="R21" i="1"/>
  <c r="T21" i="1"/>
  <c r="V21" i="1"/>
  <c r="X21" i="1"/>
  <c r="Z21" i="1"/>
  <c r="AB21" i="1"/>
  <c r="AD21" i="1"/>
  <c r="AF21" i="1"/>
  <c r="AH21" i="1"/>
  <c r="AJ21" i="1"/>
  <c r="AL21" i="1"/>
  <c r="AN21" i="1"/>
  <c r="AP21" i="1"/>
  <c r="AR21" i="1"/>
  <c r="AT21" i="1"/>
  <c r="AV21" i="1"/>
  <c r="AX21" i="1"/>
  <c r="A22" i="1"/>
  <c r="D22" i="1"/>
  <c r="F22" i="1"/>
  <c r="H22" i="1"/>
  <c r="J22" i="1"/>
  <c r="L22" i="1"/>
  <c r="N22" i="1"/>
  <c r="P22" i="1"/>
  <c r="R22" i="1"/>
  <c r="T22" i="1"/>
  <c r="V22" i="1"/>
  <c r="X22" i="1"/>
  <c r="Z22" i="1"/>
  <c r="AB22" i="1"/>
  <c r="AD22" i="1"/>
  <c r="AF22" i="1"/>
  <c r="AH22" i="1"/>
  <c r="AJ22" i="1"/>
  <c r="AL22" i="1"/>
  <c r="AN22" i="1"/>
  <c r="AP22" i="1"/>
  <c r="AR22" i="1"/>
  <c r="AT22" i="1"/>
  <c r="AV22" i="1"/>
  <c r="AX22" i="1"/>
  <c r="A23" i="1"/>
  <c r="D23" i="1"/>
  <c r="F23" i="1"/>
  <c r="H23" i="1"/>
  <c r="J23" i="1"/>
  <c r="L23" i="1"/>
  <c r="N23" i="1"/>
  <c r="P23" i="1"/>
  <c r="R23" i="1"/>
  <c r="T23" i="1"/>
  <c r="V23" i="1"/>
  <c r="X23" i="1"/>
  <c r="Z23" i="1"/>
  <c r="AB23" i="1"/>
  <c r="AD23" i="1"/>
  <c r="AF23" i="1"/>
  <c r="AH23" i="1"/>
  <c r="AJ23" i="1"/>
  <c r="AL23" i="1"/>
  <c r="AN23" i="1"/>
  <c r="AP23" i="1"/>
  <c r="AR23" i="1"/>
  <c r="AT23" i="1"/>
  <c r="AV23" i="1"/>
  <c r="AX23" i="1"/>
  <c r="A24" i="1"/>
  <c r="D24" i="1"/>
  <c r="F24" i="1"/>
  <c r="H24" i="1"/>
  <c r="J24" i="1"/>
  <c r="L24" i="1"/>
  <c r="N24" i="1"/>
  <c r="P24" i="1"/>
  <c r="R24" i="1"/>
  <c r="T24" i="1"/>
  <c r="V24" i="1"/>
  <c r="X24" i="1"/>
  <c r="Z24" i="1"/>
  <c r="AB24" i="1"/>
  <c r="AD24" i="1"/>
  <c r="AF24" i="1"/>
  <c r="AH24" i="1"/>
  <c r="AJ24" i="1"/>
  <c r="AL24" i="1"/>
  <c r="AN24" i="1"/>
  <c r="AP24" i="1"/>
  <c r="AR24" i="1"/>
  <c r="AT24" i="1"/>
  <c r="AV24" i="1"/>
  <c r="AX24" i="1"/>
  <c r="A25" i="1"/>
  <c r="D25" i="1"/>
  <c r="F25" i="1"/>
  <c r="H25" i="1"/>
  <c r="J25" i="1"/>
  <c r="L25" i="1"/>
  <c r="N25" i="1"/>
  <c r="P25" i="1"/>
  <c r="R25" i="1"/>
  <c r="T25" i="1"/>
  <c r="V25" i="1"/>
  <c r="X25" i="1"/>
  <c r="Z25" i="1"/>
  <c r="AB25" i="1"/>
  <c r="AD25" i="1"/>
  <c r="AF25" i="1"/>
  <c r="AH25" i="1"/>
  <c r="AJ25" i="1"/>
  <c r="AL25" i="1"/>
  <c r="AN25" i="1"/>
  <c r="AP25" i="1"/>
  <c r="AR25" i="1"/>
  <c r="AT25" i="1"/>
  <c r="AV25" i="1"/>
  <c r="AX25" i="1"/>
  <c r="A26" i="1"/>
  <c r="D26" i="1"/>
  <c r="F26" i="1"/>
  <c r="H26" i="1"/>
  <c r="J26" i="1"/>
  <c r="L26" i="1"/>
  <c r="N26" i="1"/>
  <c r="P26" i="1"/>
  <c r="R26" i="1"/>
  <c r="T26" i="1"/>
  <c r="V26" i="1"/>
  <c r="X26" i="1"/>
  <c r="Z26" i="1"/>
  <c r="AB26" i="1"/>
  <c r="AD26" i="1"/>
  <c r="AF26" i="1"/>
  <c r="AH26" i="1"/>
  <c r="AJ26" i="1"/>
  <c r="AL26" i="1"/>
  <c r="AN26" i="1"/>
  <c r="AP26" i="1"/>
  <c r="AR26" i="1"/>
  <c r="AT26" i="1"/>
  <c r="AV26" i="1"/>
  <c r="AX26" i="1"/>
  <c r="A27" i="1"/>
  <c r="D27" i="1"/>
  <c r="F27" i="1"/>
  <c r="H27" i="1"/>
  <c r="J27" i="1"/>
  <c r="L27" i="1"/>
  <c r="N27" i="1"/>
  <c r="P27" i="1"/>
  <c r="R27" i="1"/>
  <c r="T27" i="1"/>
  <c r="V27" i="1"/>
  <c r="X27" i="1"/>
  <c r="Z27" i="1"/>
  <c r="AB27" i="1"/>
  <c r="AD27" i="1"/>
  <c r="AF27" i="1"/>
  <c r="AH27" i="1"/>
  <c r="AJ27" i="1"/>
  <c r="AL27" i="1"/>
  <c r="AN27" i="1"/>
  <c r="AP27" i="1"/>
  <c r="AR27" i="1"/>
  <c r="AT27" i="1"/>
  <c r="AV27" i="1"/>
  <c r="AX27" i="1"/>
  <c r="A28" i="1"/>
  <c r="D28" i="1"/>
  <c r="F28" i="1"/>
  <c r="H28" i="1"/>
  <c r="J28" i="1"/>
  <c r="L28" i="1"/>
  <c r="N28" i="1"/>
  <c r="P28" i="1"/>
  <c r="R28" i="1"/>
  <c r="T28" i="1"/>
  <c r="V28" i="1"/>
  <c r="X28" i="1"/>
  <c r="Z28" i="1"/>
  <c r="AB28" i="1"/>
  <c r="AD28" i="1"/>
  <c r="AF28" i="1"/>
  <c r="AH28" i="1"/>
  <c r="AJ28" i="1"/>
  <c r="AL28" i="1"/>
  <c r="AN28" i="1"/>
  <c r="AP28" i="1"/>
  <c r="AR28" i="1"/>
  <c r="AT28" i="1"/>
  <c r="AV28" i="1"/>
  <c r="AX28" i="1"/>
  <c r="A29" i="1"/>
  <c r="D29" i="1"/>
  <c r="F29" i="1"/>
  <c r="H29" i="1"/>
  <c r="J29" i="1"/>
  <c r="L29" i="1"/>
  <c r="N29" i="1"/>
  <c r="P29" i="1"/>
  <c r="R29" i="1"/>
  <c r="T29" i="1"/>
  <c r="V29" i="1"/>
  <c r="X29" i="1"/>
  <c r="Z29" i="1"/>
  <c r="AB29" i="1"/>
  <c r="AD29" i="1"/>
  <c r="AF29" i="1"/>
  <c r="AH29" i="1"/>
  <c r="AJ29" i="1"/>
  <c r="AL29" i="1"/>
  <c r="AN29" i="1"/>
  <c r="AP29" i="1"/>
  <c r="AR29" i="1"/>
  <c r="AT29" i="1"/>
  <c r="AV29" i="1"/>
  <c r="AX29" i="1"/>
  <c r="A30" i="1"/>
  <c r="D30" i="1"/>
  <c r="F30" i="1"/>
  <c r="H30" i="1"/>
  <c r="J30" i="1"/>
  <c r="L30" i="1"/>
  <c r="N30" i="1"/>
  <c r="P30" i="1"/>
  <c r="R30" i="1"/>
  <c r="T30" i="1"/>
  <c r="V30" i="1"/>
  <c r="X30" i="1"/>
  <c r="Z30" i="1"/>
  <c r="AB30" i="1"/>
  <c r="AD30" i="1"/>
  <c r="AF30" i="1"/>
  <c r="AH30" i="1"/>
  <c r="AJ30" i="1"/>
  <c r="AL30" i="1"/>
  <c r="AN30" i="1"/>
  <c r="AP30" i="1"/>
  <c r="AR30" i="1"/>
  <c r="AT30" i="1"/>
  <c r="AV30" i="1"/>
  <c r="AX30" i="1"/>
  <c r="A31" i="1"/>
  <c r="D31" i="1"/>
  <c r="F31" i="1"/>
  <c r="H31" i="1"/>
  <c r="J31" i="1"/>
  <c r="L31" i="1"/>
  <c r="N31" i="1"/>
  <c r="P31" i="1"/>
  <c r="R31" i="1"/>
  <c r="T31" i="1"/>
  <c r="V31" i="1"/>
  <c r="X31" i="1"/>
  <c r="Z31" i="1"/>
  <c r="AB31" i="1"/>
  <c r="AD31" i="1"/>
  <c r="AF31" i="1"/>
  <c r="AH31" i="1"/>
  <c r="AJ31" i="1"/>
  <c r="AL31" i="1"/>
  <c r="AN31" i="1"/>
  <c r="AP31" i="1"/>
  <c r="AR31" i="1"/>
  <c r="AT31" i="1"/>
  <c r="AV31" i="1"/>
  <c r="AX31" i="1"/>
  <c r="A32" i="1"/>
  <c r="D32" i="1"/>
  <c r="F32" i="1"/>
  <c r="H32" i="1"/>
  <c r="J32" i="1"/>
  <c r="L32" i="1"/>
  <c r="N32" i="1"/>
  <c r="P32" i="1"/>
  <c r="R32" i="1"/>
  <c r="T32" i="1"/>
  <c r="V32" i="1"/>
  <c r="X32" i="1"/>
  <c r="Z32" i="1"/>
  <c r="AB32" i="1"/>
  <c r="AD32" i="1"/>
  <c r="AF32" i="1"/>
  <c r="AH32" i="1"/>
  <c r="AJ32" i="1"/>
  <c r="AL32" i="1"/>
  <c r="AN32" i="1"/>
  <c r="AP32" i="1"/>
  <c r="AR32" i="1"/>
  <c r="AT32" i="1"/>
  <c r="AV32" i="1"/>
  <c r="AX32" i="1"/>
  <c r="A33" i="1"/>
  <c r="D33" i="1"/>
  <c r="F33" i="1"/>
  <c r="H33" i="1"/>
  <c r="J33" i="1"/>
  <c r="L33" i="1"/>
  <c r="N33" i="1"/>
  <c r="P33" i="1"/>
  <c r="R33" i="1"/>
  <c r="T33" i="1"/>
  <c r="V33" i="1"/>
  <c r="X33" i="1"/>
  <c r="Z33" i="1"/>
  <c r="AB33" i="1"/>
  <c r="AD33" i="1"/>
  <c r="AF33" i="1"/>
  <c r="AH33" i="1"/>
  <c r="AJ33" i="1"/>
  <c r="AL33" i="1"/>
  <c r="AN33" i="1"/>
  <c r="AP33" i="1"/>
  <c r="AR33" i="1"/>
  <c r="AT33" i="1"/>
  <c r="AV33" i="1"/>
  <c r="AX33" i="1"/>
  <c r="A34" i="1"/>
  <c r="D34" i="1"/>
  <c r="F34" i="1"/>
  <c r="H34" i="1"/>
  <c r="J34" i="1"/>
  <c r="L34" i="1"/>
  <c r="N34" i="1"/>
  <c r="P34" i="1"/>
  <c r="R34" i="1"/>
  <c r="T34" i="1"/>
  <c r="V34" i="1"/>
  <c r="X34" i="1"/>
  <c r="Z34" i="1"/>
  <c r="AB34" i="1"/>
  <c r="AD34" i="1"/>
  <c r="AF34" i="1"/>
  <c r="AH34" i="1"/>
  <c r="AJ34" i="1"/>
  <c r="AL34" i="1"/>
  <c r="AN34" i="1"/>
  <c r="AP34" i="1"/>
  <c r="AR34" i="1"/>
  <c r="AT34" i="1"/>
  <c r="AV34" i="1"/>
  <c r="AX34" i="1"/>
  <c r="A35" i="1"/>
  <c r="D35" i="1"/>
  <c r="F35" i="1"/>
  <c r="H35" i="1"/>
  <c r="J35" i="1"/>
  <c r="L35" i="1"/>
  <c r="N35" i="1"/>
  <c r="P35" i="1"/>
  <c r="R35" i="1"/>
  <c r="T35" i="1"/>
  <c r="V35" i="1"/>
  <c r="X35" i="1"/>
  <c r="Z35" i="1"/>
  <c r="AB35" i="1"/>
  <c r="AD35" i="1"/>
  <c r="AF35" i="1"/>
  <c r="AH35" i="1"/>
  <c r="AJ35" i="1"/>
  <c r="AL35" i="1"/>
  <c r="AN35" i="1"/>
  <c r="AP35" i="1"/>
  <c r="AR35" i="1"/>
  <c r="AT35" i="1"/>
  <c r="AV35" i="1"/>
  <c r="AX35" i="1"/>
  <c r="A36" i="1"/>
  <c r="D36" i="1"/>
  <c r="F36" i="1"/>
  <c r="H36" i="1"/>
  <c r="J36" i="1"/>
  <c r="L36" i="1"/>
  <c r="N36" i="1"/>
  <c r="P36" i="1"/>
  <c r="R36" i="1"/>
  <c r="T36" i="1"/>
  <c r="V36" i="1"/>
  <c r="X36" i="1"/>
  <c r="Z36" i="1"/>
  <c r="AB36" i="1"/>
  <c r="AD36" i="1"/>
  <c r="AF36" i="1"/>
  <c r="AH36" i="1"/>
  <c r="AJ36" i="1"/>
  <c r="AL36" i="1"/>
  <c r="AN36" i="1"/>
  <c r="AP36" i="1"/>
  <c r="AR36" i="1"/>
  <c r="AT36" i="1"/>
  <c r="AV36" i="1"/>
  <c r="AX36" i="1"/>
  <c r="A37" i="1"/>
  <c r="D37" i="1"/>
  <c r="F37" i="1"/>
  <c r="H37" i="1"/>
  <c r="J37" i="1"/>
  <c r="L37" i="1"/>
  <c r="N37" i="1"/>
  <c r="P37" i="1"/>
  <c r="R37" i="1"/>
  <c r="T37" i="1"/>
  <c r="V37" i="1"/>
  <c r="X37" i="1"/>
  <c r="Z37" i="1"/>
  <c r="AB37" i="1"/>
  <c r="AD37" i="1"/>
  <c r="AF37" i="1"/>
  <c r="AH37" i="1"/>
  <c r="AJ37" i="1"/>
  <c r="AL37" i="1"/>
  <c r="AN37" i="1"/>
  <c r="AP37" i="1"/>
  <c r="AR37" i="1"/>
  <c r="AT37" i="1"/>
  <c r="AV37" i="1"/>
  <c r="AX37" i="1"/>
  <c r="A38" i="1"/>
  <c r="D38" i="1"/>
  <c r="F38" i="1"/>
  <c r="H38" i="1"/>
  <c r="J38" i="1"/>
  <c r="L38" i="1"/>
  <c r="N38" i="1"/>
  <c r="P38" i="1"/>
  <c r="R38" i="1"/>
  <c r="T38" i="1"/>
  <c r="V38" i="1"/>
  <c r="X38" i="1"/>
  <c r="Z38" i="1"/>
  <c r="AB38" i="1"/>
  <c r="AD38" i="1"/>
  <c r="AF38" i="1"/>
  <c r="AH38" i="1"/>
  <c r="AJ38" i="1"/>
  <c r="AL38" i="1"/>
  <c r="AN38" i="1"/>
  <c r="AP38" i="1"/>
  <c r="AR38" i="1"/>
  <c r="AT38" i="1"/>
  <c r="AV38" i="1"/>
  <c r="AX38" i="1"/>
  <c r="A39" i="1"/>
  <c r="D39" i="1"/>
  <c r="F39" i="1"/>
  <c r="H39" i="1"/>
  <c r="J39" i="1"/>
  <c r="L39" i="1"/>
  <c r="N39" i="1"/>
  <c r="P39" i="1"/>
  <c r="R39" i="1"/>
  <c r="T39" i="1"/>
  <c r="V39" i="1"/>
  <c r="X39" i="1"/>
  <c r="Z39" i="1"/>
  <c r="AB39" i="1"/>
  <c r="AD39" i="1"/>
  <c r="AF39" i="1"/>
  <c r="AH39" i="1"/>
  <c r="AJ39" i="1"/>
  <c r="AL39" i="1"/>
  <c r="AN39" i="1"/>
  <c r="AP39" i="1"/>
  <c r="AR39" i="1"/>
  <c r="AT39" i="1"/>
  <c r="AV39" i="1"/>
  <c r="AX39" i="1"/>
  <c r="A40" i="1"/>
  <c r="D40" i="1"/>
  <c r="F40" i="1"/>
  <c r="H40" i="1"/>
  <c r="J40" i="1"/>
  <c r="L40" i="1"/>
  <c r="N40" i="1"/>
  <c r="P40" i="1"/>
  <c r="R40" i="1"/>
  <c r="T40" i="1"/>
  <c r="V40" i="1"/>
  <c r="X40" i="1"/>
  <c r="Z40" i="1"/>
  <c r="AB40" i="1"/>
  <c r="AD40" i="1"/>
  <c r="AF40" i="1"/>
  <c r="AH40" i="1"/>
  <c r="AJ40" i="1"/>
  <c r="AL40" i="1"/>
  <c r="AN40" i="1"/>
  <c r="AP40" i="1"/>
  <c r="AR40" i="1"/>
  <c r="AT40" i="1"/>
  <c r="AV40" i="1"/>
  <c r="AX40" i="1"/>
  <c r="A41" i="1"/>
  <c r="D41" i="1"/>
  <c r="F41" i="1"/>
  <c r="H41" i="1"/>
  <c r="J41" i="1"/>
  <c r="L41" i="1"/>
  <c r="N41" i="1"/>
  <c r="P41" i="1"/>
  <c r="R41" i="1"/>
  <c r="T41" i="1"/>
  <c r="V41" i="1"/>
  <c r="X41" i="1"/>
  <c r="Z41" i="1"/>
  <c r="AB41" i="1"/>
  <c r="AD41" i="1"/>
  <c r="AF41" i="1"/>
  <c r="AH41" i="1"/>
  <c r="AJ41" i="1"/>
  <c r="AL41" i="1"/>
  <c r="AN41" i="1"/>
  <c r="AP41" i="1"/>
  <c r="AR41" i="1"/>
  <c r="AT41" i="1"/>
  <c r="AV41" i="1"/>
  <c r="AX41" i="1"/>
  <c r="A42" i="1"/>
  <c r="D42" i="1"/>
  <c r="F42" i="1"/>
  <c r="H42" i="1"/>
  <c r="J42" i="1"/>
  <c r="L42" i="1"/>
  <c r="N42" i="1"/>
  <c r="P42" i="1"/>
  <c r="R42" i="1"/>
  <c r="T42" i="1"/>
  <c r="V42" i="1"/>
  <c r="X42" i="1"/>
  <c r="Z42" i="1"/>
  <c r="AB42" i="1"/>
  <c r="AD42" i="1"/>
  <c r="AF42" i="1"/>
  <c r="AH42" i="1"/>
  <c r="AJ42" i="1"/>
  <c r="AL42" i="1"/>
  <c r="AN42" i="1"/>
  <c r="AP42" i="1"/>
  <c r="AR42" i="1"/>
  <c r="AT42" i="1"/>
  <c r="AV42" i="1"/>
  <c r="AX42" i="1"/>
  <c r="A43" i="1"/>
  <c r="D43" i="1"/>
  <c r="F43" i="1"/>
  <c r="H43" i="1"/>
  <c r="J43" i="1"/>
  <c r="L43" i="1"/>
  <c r="N43" i="1"/>
  <c r="P43" i="1"/>
  <c r="R43" i="1"/>
  <c r="T43" i="1"/>
  <c r="V43" i="1"/>
  <c r="X43" i="1"/>
  <c r="Z43" i="1"/>
  <c r="AB43" i="1"/>
  <c r="AD43" i="1"/>
  <c r="AF43" i="1"/>
  <c r="AH43" i="1"/>
  <c r="AJ43" i="1"/>
  <c r="AL43" i="1"/>
  <c r="AN43" i="1"/>
  <c r="AP43" i="1"/>
  <c r="AR43" i="1"/>
  <c r="AT43" i="1"/>
  <c r="AV43" i="1"/>
  <c r="AX43" i="1"/>
  <c r="A44" i="1"/>
  <c r="D44" i="1"/>
  <c r="F44" i="1"/>
  <c r="H44" i="1"/>
  <c r="J44" i="1"/>
  <c r="L44" i="1"/>
  <c r="N44" i="1"/>
  <c r="P44" i="1"/>
  <c r="R44" i="1"/>
  <c r="T44" i="1"/>
  <c r="V44" i="1"/>
  <c r="X44" i="1"/>
  <c r="Z44" i="1"/>
  <c r="AB44" i="1"/>
  <c r="AD44" i="1"/>
  <c r="AF44" i="1"/>
  <c r="AH44" i="1"/>
  <c r="AJ44" i="1"/>
  <c r="AL44" i="1"/>
  <c r="AN44" i="1"/>
  <c r="AP44" i="1"/>
  <c r="AR44" i="1"/>
  <c r="AT44" i="1"/>
  <c r="AV44" i="1"/>
  <c r="AX44" i="1"/>
  <c r="A45" i="1"/>
  <c r="D45" i="1"/>
  <c r="F45" i="1"/>
  <c r="H45" i="1"/>
  <c r="J45" i="1"/>
  <c r="L45" i="1"/>
  <c r="N45" i="1"/>
  <c r="P45" i="1"/>
  <c r="R45" i="1"/>
  <c r="T45" i="1"/>
  <c r="V45" i="1"/>
  <c r="X45" i="1"/>
  <c r="Z45" i="1"/>
  <c r="AB45" i="1"/>
  <c r="AD45" i="1"/>
  <c r="AF45" i="1"/>
  <c r="AH45" i="1"/>
  <c r="AJ45" i="1"/>
  <c r="AL45" i="1"/>
  <c r="AN45" i="1"/>
  <c r="AP45" i="1"/>
  <c r="AR45" i="1"/>
  <c r="AT45" i="1"/>
  <c r="AV45" i="1"/>
  <c r="AX45" i="1"/>
  <c r="A46" i="1"/>
  <c r="D46" i="1"/>
  <c r="F46" i="1"/>
  <c r="H46" i="1"/>
  <c r="J46" i="1"/>
  <c r="L46" i="1"/>
  <c r="N46" i="1"/>
  <c r="P46" i="1"/>
  <c r="R46" i="1"/>
  <c r="T46" i="1"/>
  <c r="V46" i="1"/>
  <c r="X46" i="1"/>
  <c r="Z46" i="1"/>
  <c r="AB46" i="1"/>
  <c r="AD46" i="1"/>
  <c r="AF46" i="1"/>
  <c r="AH46" i="1"/>
  <c r="AJ46" i="1"/>
  <c r="AL46" i="1"/>
  <c r="AN46" i="1"/>
  <c r="AP46" i="1"/>
  <c r="AR46" i="1"/>
  <c r="AT46" i="1"/>
  <c r="AV46" i="1"/>
  <c r="AX46" i="1"/>
  <c r="A47" i="1"/>
  <c r="D47" i="1"/>
  <c r="F47" i="1"/>
  <c r="H47" i="1"/>
  <c r="J47" i="1"/>
  <c r="L47" i="1"/>
  <c r="N47" i="1"/>
  <c r="P47" i="1"/>
  <c r="R47" i="1"/>
  <c r="T47" i="1"/>
  <c r="V47" i="1"/>
  <c r="X47" i="1"/>
  <c r="Z47" i="1"/>
  <c r="AB47" i="1"/>
  <c r="AD47" i="1"/>
  <c r="AF47" i="1"/>
  <c r="AH47" i="1"/>
  <c r="AJ47" i="1"/>
  <c r="AL47" i="1"/>
  <c r="AN47" i="1"/>
  <c r="AP47" i="1"/>
  <c r="AR47" i="1"/>
  <c r="AT47" i="1"/>
  <c r="AV47" i="1"/>
  <c r="AX47" i="1"/>
  <c r="A48" i="1"/>
  <c r="D48" i="1"/>
  <c r="F48" i="1"/>
  <c r="H48" i="1"/>
  <c r="J48" i="1"/>
  <c r="L48" i="1"/>
  <c r="N48" i="1"/>
  <c r="P48" i="1"/>
  <c r="R48" i="1"/>
  <c r="T48" i="1"/>
  <c r="V48" i="1"/>
  <c r="X48" i="1"/>
  <c r="Z48" i="1"/>
  <c r="AB48" i="1"/>
  <c r="AD48" i="1"/>
  <c r="AF48" i="1"/>
  <c r="AH48" i="1"/>
  <c r="AJ48" i="1"/>
  <c r="AL48" i="1"/>
  <c r="AN48" i="1"/>
  <c r="AP48" i="1"/>
  <c r="AR48" i="1"/>
  <c r="AT48" i="1"/>
  <c r="AV48" i="1"/>
  <c r="AX48" i="1"/>
  <c r="A49" i="1"/>
  <c r="D49" i="1"/>
  <c r="F49" i="1"/>
  <c r="H49" i="1"/>
  <c r="J49" i="1"/>
  <c r="L49" i="1"/>
  <c r="N49" i="1"/>
  <c r="P49" i="1"/>
  <c r="R49" i="1"/>
  <c r="T49" i="1"/>
  <c r="V49" i="1"/>
  <c r="X49" i="1"/>
  <c r="Z49" i="1"/>
  <c r="AB49" i="1"/>
  <c r="AD49" i="1"/>
  <c r="AF49" i="1"/>
  <c r="AH49" i="1"/>
  <c r="AJ49" i="1"/>
  <c r="AL49" i="1"/>
  <c r="AN49" i="1"/>
  <c r="AP49" i="1"/>
  <c r="AR49" i="1"/>
  <c r="AT49" i="1"/>
  <c r="AV49" i="1"/>
  <c r="AX49" i="1"/>
  <c r="A50" i="1"/>
  <c r="D50" i="1"/>
  <c r="F50" i="1"/>
  <c r="H50" i="1"/>
  <c r="J50" i="1"/>
  <c r="L50" i="1"/>
  <c r="N50" i="1"/>
  <c r="P50" i="1"/>
  <c r="R50" i="1"/>
  <c r="T50" i="1"/>
  <c r="V50" i="1"/>
  <c r="X50" i="1"/>
  <c r="Z50" i="1"/>
  <c r="AB50" i="1"/>
  <c r="AD50" i="1"/>
  <c r="AF50" i="1"/>
  <c r="AH50" i="1"/>
  <c r="AJ50" i="1"/>
  <c r="AL50" i="1"/>
  <c r="AN50" i="1"/>
  <c r="AP50" i="1"/>
  <c r="AR50" i="1"/>
  <c r="AT50" i="1"/>
  <c r="AV50" i="1"/>
  <c r="AX50" i="1"/>
  <c r="A51" i="1"/>
  <c r="D51" i="1"/>
  <c r="F51" i="1"/>
  <c r="H51" i="1"/>
  <c r="J51" i="1"/>
  <c r="L51" i="1"/>
  <c r="N51" i="1"/>
  <c r="P51" i="1"/>
  <c r="R51" i="1"/>
  <c r="T51" i="1"/>
  <c r="V51" i="1"/>
  <c r="X51" i="1"/>
  <c r="Z51" i="1"/>
  <c r="AB51" i="1"/>
  <c r="AD51" i="1"/>
  <c r="AF51" i="1"/>
  <c r="AH51" i="1"/>
  <c r="AJ51" i="1"/>
  <c r="AL51" i="1"/>
  <c r="AN51" i="1"/>
  <c r="AP51" i="1"/>
  <c r="AR51" i="1"/>
  <c r="AT51" i="1"/>
  <c r="AV51" i="1"/>
  <c r="AX51" i="1"/>
  <c r="A52" i="1"/>
  <c r="D52" i="1"/>
  <c r="F52" i="1"/>
  <c r="H52" i="1"/>
  <c r="J52" i="1"/>
  <c r="L52" i="1"/>
  <c r="N52" i="1"/>
  <c r="P52" i="1"/>
  <c r="R52" i="1"/>
  <c r="T52" i="1"/>
  <c r="V52" i="1"/>
  <c r="X52" i="1"/>
  <c r="Z52" i="1"/>
  <c r="AB52" i="1"/>
  <c r="AD52" i="1"/>
  <c r="AF52" i="1"/>
  <c r="AH52" i="1"/>
  <c r="AJ52" i="1"/>
  <c r="AL52" i="1"/>
  <c r="AN52" i="1"/>
  <c r="AP52" i="1"/>
  <c r="AR52" i="1"/>
  <c r="AT52" i="1"/>
  <c r="AV52" i="1"/>
  <c r="AX52" i="1"/>
  <c r="A53" i="1"/>
  <c r="D53" i="1"/>
  <c r="F53" i="1"/>
  <c r="H53" i="1"/>
  <c r="J53" i="1"/>
  <c r="L53" i="1"/>
  <c r="N53" i="1"/>
  <c r="P53" i="1"/>
  <c r="R53" i="1"/>
  <c r="T53" i="1"/>
  <c r="V53" i="1"/>
  <c r="X53" i="1"/>
  <c r="Z53" i="1"/>
  <c r="AB53" i="1"/>
  <c r="AD53" i="1"/>
  <c r="AF53" i="1"/>
  <c r="AH53" i="1"/>
  <c r="AJ53" i="1"/>
  <c r="AL53" i="1"/>
  <c r="AN53" i="1"/>
  <c r="AP53" i="1"/>
  <c r="AR53" i="1"/>
  <c r="AT53" i="1"/>
  <c r="AV53" i="1"/>
  <c r="AX53" i="1"/>
  <c r="A54" i="1"/>
  <c r="D54" i="1"/>
  <c r="F54" i="1"/>
  <c r="H54" i="1"/>
  <c r="J54" i="1"/>
  <c r="L54" i="1"/>
  <c r="N54" i="1"/>
  <c r="P54" i="1"/>
  <c r="R54" i="1"/>
  <c r="T54" i="1"/>
  <c r="V54" i="1"/>
  <c r="X54" i="1"/>
  <c r="Z54" i="1"/>
  <c r="AB54" i="1"/>
  <c r="AD54" i="1"/>
  <c r="AF54" i="1"/>
  <c r="AH54" i="1"/>
  <c r="AJ54" i="1"/>
  <c r="AL54" i="1"/>
  <c r="AN54" i="1"/>
  <c r="AP54" i="1"/>
  <c r="AR54" i="1"/>
  <c r="AT54" i="1"/>
  <c r="AV54" i="1"/>
  <c r="AX54" i="1"/>
  <c r="A57" i="1"/>
  <c r="D57" i="1"/>
  <c r="F57" i="1"/>
  <c r="H57" i="1"/>
  <c r="J57" i="1"/>
  <c r="L57" i="1"/>
  <c r="N57" i="1"/>
  <c r="P57" i="1"/>
  <c r="R57" i="1"/>
  <c r="T57" i="1"/>
  <c r="V57" i="1"/>
  <c r="X57" i="1"/>
  <c r="Z57" i="1"/>
  <c r="AB57" i="1"/>
  <c r="AD57" i="1"/>
  <c r="AF57" i="1"/>
  <c r="AH57" i="1"/>
  <c r="AJ57" i="1"/>
  <c r="AL57" i="1"/>
  <c r="AN57" i="1"/>
  <c r="AP57" i="1"/>
  <c r="AR57" i="1"/>
  <c r="AT57" i="1"/>
  <c r="AV57" i="1"/>
  <c r="AX57" i="1"/>
  <c r="A58" i="1"/>
  <c r="D58" i="1"/>
  <c r="F58" i="1"/>
  <c r="H58" i="1"/>
  <c r="J58" i="1"/>
  <c r="L58" i="1"/>
  <c r="N58" i="1"/>
  <c r="P58" i="1"/>
  <c r="R58" i="1"/>
  <c r="T58" i="1"/>
  <c r="V58" i="1"/>
  <c r="X58" i="1"/>
  <c r="Z58" i="1"/>
  <c r="AB58" i="1"/>
  <c r="AD58" i="1"/>
  <c r="AF58" i="1"/>
  <c r="AH58" i="1"/>
  <c r="AJ58" i="1"/>
  <c r="AL58" i="1"/>
  <c r="AN58" i="1"/>
  <c r="AP58" i="1"/>
  <c r="AR58" i="1"/>
  <c r="AT58" i="1"/>
  <c r="AV58" i="1"/>
  <c r="AX58" i="1"/>
  <c r="A59" i="1"/>
  <c r="D59" i="1"/>
  <c r="F59" i="1"/>
  <c r="H59" i="1"/>
  <c r="J59" i="1"/>
  <c r="L59" i="1"/>
  <c r="N59" i="1"/>
  <c r="P59" i="1"/>
  <c r="R59" i="1"/>
  <c r="T59" i="1"/>
  <c r="V59" i="1"/>
  <c r="X59" i="1"/>
  <c r="Z59" i="1"/>
  <c r="AB59" i="1"/>
  <c r="AD59" i="1"/>
  <c r="AF59" i="1"/>
  <c r="AH59" i="1"/>
  <c r="AJ59" i="1"/>
  <c r="AL59" i="1"/>
  <c r="AN59" i="1"/>
  <c r="AP59" i="1"/>
  <c r="AR59" i="1"/>
  <c r="AT59" i="1"/>
  <c r="AV59" i="1"/>
  <c r="AX59" i="1"/>
  <c r="A60" i="1"/>
  <c r="D60" i="1"/>
  <c r="F60" i="1"/>
  <c r="H60" i="1"/>
  <c r="J60" i="1"/>
  <c r="L60" i="1"/>
  <c r="N60" i="1"/>
  <c r="P60" i="1"/>
  <c r="R60" i="1"/>
  <c r="T60" i="1"/>
  <c r="V60" i="1"/>
  <c r="X60" i="1"/>
  <c r="Z60" i="1"/>
  <c r="AB60" i="1"/>
  <c r="AD60" i="1"/>
  <c r="AF60" i="1"/>
  <c r="AH60" i="1"/>
  <c r="AJ60" i="1"/>
  <c r="AL60" i="1"/>
  <c r="AN60" i="1"/>
  <c r="AP60" i="1"/>
  <c r="AR60" i="1"/>
  <c r="AT60" i="1"/>
  <c r="AV60" i="1"/>
  <c r="AX60" i="1"/>
  <c r="A61" i="1"/>
  <c r="D61" i="1"/>
  <c r="F61" i="1"/>
  <c r="H61" i="1"/>
  <c r="J61" i="1"/>
  <c r="L61" i="1"/>
  <c r="N61" i="1"/>
  <c r="P61" i="1"/>
  <c r="R61" i="1"/>
  <c r="T61" i="1"/>
  <c r="V61" i="1"/>
  <c r="X61" i="1"/>
  <c r="Z61" i="1"/>
  <c r="AB61" i="1"/>
  <c r="AD61" i="1"/>
  <c r="AF61" i="1"/>
  <c r="AH61" i="1"/>
  <c r="AJ61" i="1"/>
  <c r="AL61" i="1"/>
  <c r="AN61" i="1"/>
  <c r="AP61" i="1"/>
  <c r="AR61" i="1"/>
  <c r="AT61" i="1"/>
  <c r="AV61" i="1"/>
  <c r="AX61" i="1"/>
  <c r="A62" i="1"/>
  <c r="D62" i="1"/>
  <c r="F62" i="1"/>
  <c r="H62" i="1"/>
  <c r="J62" i="1"/>
  <c r="L62" i="1"/>
  <c r="N62" i="1"/>
  <c r="P62" i="1"/>
  <c r="R62" i="1"/>
  <c r="T62" i="1"/>
  <c r="V62" i="1"/>
  <c r="X62" i="1"/>
  <c r="Z62" i="1"/>
  <c r="AB62" i="1"/>
  <c r="AD62" i="1"/>
  <c r="AF62" i="1"/>
  <c r="AH62" i="1"/>
  <c r="AJ62" i="1"/>
  <c r="AL62" i="1"/>
  <c r="AN62" i="1"/>
  <c r="AP62" i="1"/>
  <c r="AR62" i="1"/>
  <c r="AT62" i="1"/>
  <c r="AV62" i="1"/>
  <c r="AX62" i="1"/>
  <c r="A63" i="1"/>
  <c r="D63" i="1"/>
  <c r="F63" i="1"/>
  <c r="H63" i="1"/>
  <c r="J63" i="1"/>
  <c r="L63" i="1"/>
  <c r="N63" i="1"/>
  <c r="P63" i="1"/>
  <c r="R63" i="1"/>
  <c r="T63" i="1"/>
  <c r="V63" i="1"/>
  <c r="X63" i="1"/>
  <c r="Z63" i="1"/>
  <c r="AB63" i="1"/>
  <c r="AD63" i="1"/>
  <c r="AF63" i="1"/>
  <c r="AH63" i="1"/>
  <c r="AJ63" i="1"/>
  <c r="AL63" i="1"/>
  <c r="AN63" i="1"/>
  <c r="AP63" i="1"/>
  <c r="AR63" i="1"/>
  <c r="AT63" i="1"/>
  <c r="AV63" i="1"/>
  <c r="AX63" i="1"/>
  <c r="A64" i="1"/>
  <c r="D64" i="1"/>
  <c r="F64" i="1"/>
  <c r="H64" i="1"/>
  <c r="J64" i="1"/>
  <c r="L64" i="1"/>
  <c r="N64" i="1"/>
  <c r="P64" i="1"/>
  <c r="R64" i="1"/>
  <c r="T64" i="1"/>
  <c r="V64" i="1"/>
  <c r="X64" i="1"/>
  <c r="Z64" i="1"/>
  <c r="AB64" i="1"/>
  <c r="AD64" i="1"/>
  <c r="AF64" i="1"/>
  <c r="AH64" i="1"/>
  <c r="AJ64" i="1"/>
  <c r="AL64" i="1"/>
  <c r="AN64" i="1"/>
  <c r="AP64" i="1"/>
  <c r="AR64" i="1"/>
  <c r="AT64" i="1"/>
  <c r="AV64" i="1"/>
  <c r="AX64" i="1"/>
  <c r="A65" i="1"/>
  <c r="D65" i="1"/>
  <c r="F65" i="1"/>
  <c r="H65" i="1"/>
  <c r="J65" i="1"/>
  <c r="L65" i="1"/>
  <c r="N65" i="1"/>
  <c r="P65" i="1"/>
  <c r="R65" i="1"/>
  <c r="T65" i="1"/>
  <c r="V65" i="1"/>
  <c r="X65" i="1"/>
  <c r="Z65" i="1"/>
  <c r="AB65" i="1"/>
  <c r="AD65" i="1"/>
  <c r="AF65" i="1"/>
  <c r="AH65" i="1"/>
  <c r="AJ65" i="1"/>
  <c r="AL65" i="1"/>
  <c r="AN65" i="1"/>
  <c r="AP65" i="1"/>
  <c r="AR65" i="1"/>
  <c r="AT65" i="1"/>
  <c r="AV65" i="1"/>
  <c r="AX65" i="1"/>
  <c r="A66" i="1"/>
  <c r="D66" i="1"/>
  <c r="F66" i="1"/>
  <c r="H66" i="1"/>
  <c r="J66" i="1"/>
  <c r="L66" i="1"/>
  <c r="N66" i="1"/>
  <c r="P66" i="1"/>
  <c r="R66" i="1"/>
  <c r="T66" i="1"/>
  <c r="V66" i="1"/>
  <c r="X66" i="1"/>
  <c r="Z66" i="1"/>
  <c r="AB66" i="1"/>
  <c r="AD66" i="1"/>
  <c r="AF66" i="1"/>
  <c r="AH66" i="1"/>
  <c r="AJ66" i="1"/>
  <c r="AL66" i="1"/>
  <c r="AN66" i="1"/>
  <c r="AP66" i="1"/>
  <c r="AR66" i="1"/>
  <c r="AT66" i="1"/>
  <c r="AV66" i="1"/>
  <c r="AX66" i="1"/>
  <c r="A67" i="1"/>
  <c r="D67" i="1"/>
  <c r="F67" i="1"/>
  <c r="H67" i="1"/>
  <c r="J67" i="1"/>
  <c r="L67" i="1"/>
  <c r="N67" i="1"/>
  <c r="P67" i="1"/>
  <c r="R67" i="1"/>
  <c r="T67" i="1"/>
  <c r="V67" i="1"/>
  <c r="X67" i="1"/>
  <c r="Z67" i="1"/>
  <c r="AB67" i="1"/>
  <c r="AD67" i="1"/>
  <c r="AF67" i="1"/>
  <c r="AH67" i="1"/>
  <c r="AJ67" i="1"/>
  <c r="AL67" i="1"/>
  <c r="AN67" i="1"/>
  <c r="AP67" i="1"/>
  <c r="AR67" i="1"/>
  <c r="AT67" i="1"/>
  <c r="AV67" i="1"/>
  <c r="AX67" i="1"/>
  <c r="A68" i="1"/>
  <c r="D68" i="1"/>
  <c r="F68" i="1"/>
  <c r="H68" i="1"/>
  <c r="J68" i="1"/>
  <c r="L68" i="1"/>
  <c r="N68" i="1"/>
  <c r="P68" i="1"/>
  <c r="R68" i="1"/>
  <c r="T68" i="1"/>
  <c r="V68" i="1"/>
  <c r="X68" i="1"/>
  <c r="Z68" i="1"/>
  <c r="AB68" i="1"/>
  <c r="AD68" i="1"/>
  <c r="AF68" i="1"/>
  <c r="AH68" i="1"/>
  <c r="AJ68" i="1"/>
  <c r="AL68" i="1"/>
  <c r="AN68" i="1"/>
  <c r="AP68" i="1"/>
  <c r="AR68" i="1"/>
  <c r="AT68" i="1"/>
  <c r="AV68" i="1"/>
  <c r="AX68" i="1"/>
  <c r="A69" i="1"/>
  <c r="D69" i="1"/>
  <c r="F69" i="1"/>
  <c r="H69" i="1"/>
  <c r="J69" i="1"/>
  <c r="L69" i="1"/>
  <c r="N69" i="1"/>
  <c r="P69" i="1"/>
  <c r="R69" i="1"/>
  <c r="T69" i="1"/>
  <c r="V69" i="1"/>
  <c r="X69" i="1"/>
  <c r="Z69" i="1"/>
  <c r="AB69" i="1"/>
  <c r="AD69" i="1"/>
  <c r="AF69" i="1"/>
  <c r="AH69" i="1"/>
  <c r="AJ69" i="1"/>
  <c r="AL69" i="1"/>
  <c r="AN69" i="1"/>
  <c r="AP69" i="1"/>
  <c r="AR69" i="1"/>
  <c r="AT69" i="1"/>
  <c r="AV69" i="1"/>
  <c r="AX69" i="1"/>
  <c r="A70" i="1"/>
  <c r="D70" i="1"/>
  <c r="F70" i="1"/>
  <c r="H70" i="1"/>
  <c r="J70" i="1"/>
  <c r="L70" i="1"/>
  <c r="N70" i="1"/>
  <c r="P70" i="1"/>
  <c r="R70" i="1"/>
  <c r="T70" i="1"/>
  <c r="V70" i="1"/>
  <c r="X70" i="1"/>
  <c r="Z70" i="1"/>
  <c r="AB70" i="1"/>
  <c r="AD70" i="1"/>
  <c r="AF70" i="1"/>
  <c r="AH70" i="1"/>
  <c r="AJ70" i="1"/>
  <c r="AL70" i="1"/>
  <c r="AN70" i="1"/>
  <c r="AP70" i="1"/>
  <c r="AR70" i="1"/>
  <c r="AT70" i="1"/>
  <c r="AV70" i="1"/>
  <c r="AX70" i="1"/>
  <c r="A71" i="1"/>
  <c r="D71" i="1"/>
  <c r="F71" i="1"/>
  <c r="H71" i="1"/>
  <c r="J71" i="1"/>
  <c r="L71" i="1"/>
  <c r="N71" i="1"/>
  <c r="P71" i="1"/>
  <c r="R71" i="1"/>
  <c r="T71" i="1"/>
  <c r="V71" i="1"/>
  <c r="X71" i="1"/>
  <c r="Z71" i="1"/>
  <c r="AB71" i="1"/>
  <c r="AD71" i="1"/>
  <c r="AF71" i="1"/>
  <c r="AH71" i="1"/>
  <c r="AJ71" i="1"/>
  <c r="AL71" i="1"/>
  <c r="AN71" i="1"/>
  <c r="AP71" i="1"/>
  <c r="AR71" i="1"/>
  <c r="AT71" i="1"/>
  <c r="AV71" i="1"/>
  <c r="AX71" i="1"/>
  <c r="A72" i="1"/>
  <c r="D72" i="1"/>
  <c r="F72" i="1"/>
  <c r="H72" i="1"/>
  <c r="J72" i="1"/>
  <c r="L72" i="1"/>
  <c r="N72" i="1"/>
  <c r="P72" i="1"/>
  <c r="R72" i="1"/>
  <c r="T72" i="1"/>
  <c r="V72" i="1"/>
  <c r="X72" i="1"/>
  <c r="Z72" i="1"/>
  <c r="AB72" i="1"/>
  <c r="AD72" i="1"/>
  <c r="AF72" i="1"/>
  <c r="AH72" i="1"/>
  <c r="AJ72" i="1"/>
  <c r="AL72" i="1"/>
  <c r="AN72" i="1"/>
  <c r="AP72" i="1"/>
  <c r="AR72" i="1"/>
  <c r="AT72" i="1"/>
  <c r="AV72" i="1"/>
  <c r="AX72" i="1"/>
  <c r="A73" i="1"/>
  <c r="D73" i="1"/>
  <c r="F73" i="1"/>
  <c r="H73" i="1"/>
  <c r="J73" i="1"/>
  <c r="L73" i="1"/>
  <c r="N73" i="1"/>
  <c r="P73" i="1"/>
  <c r="R73" i="1"/>
  <c r="T73" i="1"/>
  <c r="V73" i="1"/>
  <c r="X73" i="1"/>
  <c r="Z73" i="1"/>
  <c r="AB73" i="1"/>
  <c r="AD73" i="1"/>
  <c r="AF73" i="1"/>
  <c r="AH73" i="1"/>
  <c r="AJ73" i="1"/>
  <c r="AL73" i="1"/>
  <c r="AN73" i="1"/>
  <c r="AP73" i="1"/>
  <c r="AR73" i="1"/>
  <c r="AT73" i="1"/>
  <c r="AV73" i="1"/>
  <c r="AX73" i="1"/>
  <c r="A74" i="1"/>
  <c r="D74" i="1"/>
  <c r="F74" i="1"/>
  <c r="H74" i="1"/>
  <c r="J74" i="1"/>
  <c r="L74" i="1"/>
  <c r="N74" i="1"/>
  <c r="P74" i="1"/>
  <c r="R74" i="1"/>
  <c r="T74" i="1"/>
  <c r="V74" i="1"/>
  <c r="X74" i="1"/>
  <c r="Z74" i="1"/>
  <c r="AB74" i="1"/>
  <c r="AD74" i="1"/>
  <c r="AF74" i="1"/>
  <c r="AH74" i="1"/>
  <c r="AJ74" i="1"/>
  <c r="AL74" i="1"/>
  <c r="AN74" i="1"/>
  <c r="AP74" i="1"/>
  <c r="AR74" i="1"/>
  <c r="AT74" i="1"/>
  <c r="AV74" i="1"/>
  <c r="AX74" i="1"/>
  <c r="A75" i="1"/>
  <c r="D75" i="1"/>
  <c r="F75" i="1"/>
  <c r="H75" i="1"/>
  <c r="J75" i="1"/>
  <c r="L75" i="1"/>
  <c r="N75" i="1"/>
  <c r="P75" i="1"/>
  <c r="R75" i="1"/>
  <c r="T75" i="1"/>
  <c r="V75" i="1"/>
  <c r="X75" i="1"/>
  <c r="Z75" i="1"/>
  <c r="AB75" i="1"/>
  <c r="AD75" i="1"/>
  <c r="AF75" i="1"/>
  <c r="AH75" i="1"/>
  <c r="AJ75" i="1"/>
  <c r="AL75" i="1"/>
  <c r="AN75" i="1"/>
  <c r="AP75" i="1"/>
  <c r="AR75" i="1"/>
  <c r="AT75" i="1"/>
  <c r="AV75" i="1"/>
  <c r="AX75" i="1"/>
  <c r="A76" i="1"/>
  <c r="D76" i="1"/>
  <c r="F76" i="1"/>
  <c r="H76" i="1"/>
  <c r="J76" i="1"/>
  <c r="L76" i="1"/>
  <c r="N76" i="1"/>
  <c r="P76" i="1"/>
  <c r="R76" i="1"/>
  <c r="T76" i="1"/>
  <c r="V76" i="1"/>
  <c r="X76" i="1"/>
  <c r="Z76" i="1"/>
  <c r="AB76" i="1"/>
  <c r="AD76" i="1"/>
  <c r="AF76" i="1"/>
  <c r="AH76" i="1"/>
  <c r="AJ76" i="1"/>
  <c r="AL76" i="1"/>
  <c r="AN76" i="1"/>
  <c r="AP76" i="1"/>
  <c r="AR76" i="1"/>
  <c r="AT76" i="1"/>
  <c r="AV76" i="1"/>
  <c r="AX76" i="1"/>
  <c r="A77" i="1"/>
  <c r="D77" i="1"/>
  <c r="F77" i="1"/>
  <c r="H77" i="1"/>
  <c r="J77" i="1"/>
  <c r="L77" i="1"/>
  <c r="N77" i="1"/>
  <c r="P77" i="1"/>
  <c r="R77" i="1"/>
  <c r="T77" i="1"/>
  <c r="V77" i="1"/>
  <c r="X77" i="1"/>
  <c r="Z77" i="1"/>
  <c r="AB77" i="1"/>
  <c r="AD77" i="1"/>
  <c r="AF77" i="1"/>
  <c r="AH77" i="1"/>
  <c r="AJ77" i="1"/>
  <c r="AL77" i="1"/>
  <c r="AN77" i="1"/>
  <c r="AP77" i="1"/>
  <c r="AR77" i="1"/>
  <c r="AT77" i="1"/>
  <c r="AV77" i="1"/>
  <c r="AX77" i="1"/>
  <c r="A78" i="1"/>
  <c r="D78" i="1"/>
  <c r="F78" i="1"/>
  <c r="H78" i="1"/>
  <c r="J78" i="1"/>
  <c r="L78" i="1"/>
  <c r="N78" i="1"/>
  <c r="P78" i="1"/>
  <c r="R78" i="1"/>
  <c r="T78" i="1"/>
  <c r="V78" i="1"/>
  <c r="X78" i="1"/>
  <c r="Z78" i="1"/>
  <c r="AB78" i="1"/>
  <c r="AD78" i="1"/>
  <c r="AF78" i="1"/>
  <c r="AH78" i="1"/>
  <c r="AJ78" i="1"/>
  <c r="AL78" i="1"/>
  <c r="AN78" i="1"/>
  <c r="AP78" i="1"/>
  <c r="AR78" i="1"/>
  <c r="AT78" i="1"/>
  <c r="AV78" i="1"/>
  <c r="AX78" i="1"/>
  <c r="A79" i="1"/>
  <c r="D79" i="1"/>
  <c r="F79" i="1"/>
  <c r="H79" i="1"/>
  <c r="J79" i="1"/>
  <c r="L79" i="1"/>
  <c r="N79" i="1"/>
  <c r="P79" i="1"/>
  <c r="R79" i="1"/>
  <c r="T79" i="1"/>
  <c r="V79" i="1"/>
  <c r="X79" i="1"/>
  <c r="Z79" i="1"/>
  <c r="AB79" i="1"/>
  <c r="AD79" i="1"/>
  <c r="AF79" i="1"/>
  <c r="AH79" i="1"/>
  <c r="AJ79" i="1"/>
  <c r="AL79" i="1"/>
  <c r="AN79" i="1"/>
  <c r="AP79" i="1"/>
  <c r="AR79" i="1"/>
  <c r="AT79" i="1"/>
  <c r="AV79" i="1"/>
  <c r="AX79" i="1"/>
  <c r="A80" i="1"/>
  <c r="D80" i="1"/>
  <c r="F80" i="1"/>
  <c r="H80" i="1"/>
  <c r="J80" i="1"/>
  <c r="L80" i="1"/>
  <c r="N80" i="1"/>
  <c r="P80" i="1"/>
  <c r="R80" i="1"/>
  <c r="T80" i="1"/>
  <c r="V80" i="1"/>
  <c r="X80" i="1"/>
  <c r="Z80" i="1"/>
  <c r="AB80" i="1"/>
  <c r="AD80" i="1"/>
  <c r="AF80" i="1"/>
  <c r="AH80" i="1"/>
  <c r="AJ80" i="1"/>
  <c r="AL80" i="1"/>
  <c r="AN80" i="1"/>
  <c r="AP80" i="1"/>
  <c r="AR80" i="1"/>
  <c r="AT80" i="1"/>
  <c r="AV80" i="1"/>
  <c r="AX80" i="1"/>
  <c r="A81" i="1"/>
  <c r="D81" i="1"/>
  <c r="F81" i="1"/>
  <c r="H81" i="1"/>
  <c r="J81" i="1"/>
  <c r="L81" i="1"/>
  <c r="N81" i="1"/>
  <c r="P81" i="1"/>
  <c r="R81" i="1"/>
  <c r="T81" i="1"/>
  <c r="V81" i="1"/>
  <c r="X81" i="1"/>
  <c r="Z81" i="1"/>
  <c r="AB81" i="1"/>
  <c r="AD81" i="1"/>
  <c r="AF81" i="1"/>
  <c r="AH81" i="1"/>
  <c r="AJ81" i="1"/>
  <c r="AL81" i="1"/>
  <c r="AN81" i="1"/>
  <c r="AP81" i="1"/>
  <c r="AR81" i="1"/>
  <c r="AT81" i="1"/>
  <c r="AV81" i="1"/>
  <c r="AX81" i="1"/>
  <c r="A82" i="1"/>
  <c r="D82" i="1"/>
  <c r="F82" i="1"/>
  <c r="H82" i="1"/>
  <c r="J82" i="1"/>
  <c r="L82" i="1"/>
  <c r="N82" i="1"/>
  <c r="P82" i="1"/>
  <c r="R82" i="1"/>
  <c r="T82" i="1"/>
  <c r="V82" i="1"/>
  <c r="X82" i="1"/>
  <c r="Z82" i="1"/>
  <c r="AB82" i="1"/>
  <c r="AD82" i="1"/>
  <c r="AF82" i="1"/>
  <c r="AH82" i="1"/>
  <c r="AJ82" i="1"/>
  <c r="AL82" i="1"/>
  <c r="AN82" i="1"/>
  <c r="AP82" i="1"/>
  <c r="AR82" i="1"/>
  <c r="AT82" i="1"/>
  <c r="AV82" i="1"/>
  <c r="AX82" i="1"/>
  <c r="A83" i="1"/>
  <c r="D83" i="1"/>
  <c r="F83" i="1"/>
  <c r="H83" i="1"/>
  <c r="J83" i="1"/>
  <c r="L83" i="1"/>
  <c r="N83" i="1"/>
  <c r="P83" i="1"/>
  <c r="R83" i="1"/>
  <c r="T83" i="1"/>
  <c r="V83" i="1"/>
  <c r="X83" i="1"/>
  <c r="Z83" i="1"/>
  <c r="AB83" i="1"/>
  <c r="AD83" i="1"/>
  <c r="AF83" i="1"/>
  <c r="AH83" i="1"/>
  <c r="AJ83" i="1"/>
  <c r="AL83" i="1"/>
  <c r="AN83" i="1"/>
  <c r="AP83" i="1"/>
  <c r="AR83" i="1"/>
  <c r="AT83" i="1"/>
  <c r="AV83" i="1"/>
  <c r="AX83" i="1"/>
  <c r="A84" i="1"/>
  <c r="D84" i="1"/>
  <c r="F84" i="1"/>
  <c r="H84" i="1"/>
  <c r="J84" i="1"/>
  <c r="L84" i="1"/>
  <c r="N84" i="1"/>
  <c r="P84" i="1"/>
  <c r="R84" i="1"/>
  <c r="T84" i="1"/>
  <c r="V84" i="1"/>
  <c r="X84" i="1"/>
  <c r="Z84" i="1"/>
  <c r="AB84" i="1"/>
  <c r="AD84" i="1"/>
  <c r="AF84" i="1"/>
  <c r="AH84" i="1"/>
  <c r="AJ84" i="1"/>
  <c r="AL84" i="1"/>
  <c r="AN84" i="1"/>
  <c r="AP84" i="1"/>
  <c r="AR84" i="1"/>
  <c r="AT84" i="1"/>
  <c r="AV84" i="1"/>
  <c r="AX84" i="1"/>
  <c r="A85" i="1"/>
  <c r="D85" i="1"/>
  <c r="F85" i="1"/>
  <c r="H85" i="1"/>
  <c r="J85" i="1"/>
  <c r="L85" i="1"/>
  <c r="N85" i="1"/>
  <c r="P85" i="1"/>
  <c r="R85" i="1"/>
  <c r="T85" i="1"/>
  <c r="V85" i="1"/>
  <c r="X85" i="1"/>
  <c r="Z85" i="1"/>
  <c r="AB85" i="1"/>
  <c r="AD85" i="1"/>
  <c r="AF85" i="1"/>
  <c r="AH85" i="1"/>
  <c r="AJ85" i="1"/>
  <c r="AL85" i="1"/>
  <c r="AN85" i="1"/>
  <c r="AP85" i="1"/>
  <c r="AR85" i="1"/>
  <c r="AT85" i="1"/>
  <c r="AV85" i="1"/>
  <c r="AX85" i="1"/>
  <c r="A86" i="1"/>
  <c r="D86" i="1"/>
  <c r="F86" i="1"/>
  <c r="H86" i="1"/>
  <c r="J86" i="1"/>
  <c r="L86" i="1"/>
  <c r="N86" i="1"/>
  <c r="P86" i="1"/>
  <c r="R86" i="1"/>
  <c r="T86" i="1"/>
  <c r="V86" i="1"/>
  <c r="X86" i="1"/>
  <c r="Z86" i="1"/>
  <c r="AB86" i="1"/>
  <c r="AD86" i="1"/>
  <c r="AF86" i="1"/>
  <c r="AH86" i="1"/>
  <c r="AJ86" i="1"/>
  <c r="AL86" i="1"/>
  <c r="AN86" i="1"/>
  <c r="AP86" i="1"/>
  <c r="AR86" i="1"/>
  <c r="AT86" i="1"/>
  <c r="AV86" i="1"/>
  <c r="AX86" i="1"/>
  <c r="A87" i="1"/>
  <c r="D87" i="1"/>
  <c r="F87" i="1"/>
  <c r="H87" i="1"/>
  <c r="J87" i="1"/>
  <c r="L87" i="1"/>
  <c r="N87" i="1"/>
  <c r="P87" i="1"/>
  <c r="R87" i="1"/>
  <c r="T87" i="1"/>
  <c r="V87" i="1"/>
  <c r="X87" i="1"/>
  <c r="Z87" i="1"/>
  <c r="AB87" i="1"/>
  <c r="AD87" i="1"/>
  <c r="AF87" i="1"/>
  <c r="AH87" i="1"/>
  <c r="AJ87" i="1"/>
  <c r="AL87" i="1"/>
  <c r="AN87" i="1"/>
  <c r="AP87" i="1"/>
  <c r="AR87" i="1"/>
  <c r="AT87" i="1"/>
  <c r="AV87" i="1"/>
  <c r="AX87" i="1"/>
  <c r="A88" i="1"/>
  <c r="D88" i="1"/>
  <c r="F88" i="1"/>
  <c r="H88" i="1"/>
  <c r="J88" i="1"/>
  <c r="L88" i="1"/>
  <c r="N88" i="1"/>
  <c r="P88" i="1"/>
  <c r="R88" i="1"/>
  <c r="T88" i="1"/>
  <c r="V88" i="1"/>
  <c r="X88" i="1"/>
  <c r="Z88" i="1"/>
  <c r="AB88" i="1"/>
  <c r="AD88" i="1"/>
  <c r="AF88" i="1"/>
  <c r="AH88" i="1"/>
  <c r="AJ88" i="1"/>
  <c r="AL88" i="1"/>
  <c r="AN88" i="1"/>
  <c r="AP88" i="1"/>
  <c r="AR88" i="1"/>
  <c r="AT88" i="1"/>
  <c r="AV88" i="1"/>
  <c r="AX88" i="1"/>
  <c r="A89" i="1"/>
  <c r="D89" i="1"/>
  <c r="F89" i="1"/>
  <c r="H89" i="1"/>
  <c r="J89" i="1"/>
  <c r="L89" i="1"/>
  <c r="N89" i="1"/>
  <c r="P89" i="1"/>
  <c r="R89" i="1"/>
  <c r="T89" i="1"/>
  <c r="V89" i="1"/>
  <c r="X89" i="1"/>
  <c r="Z89" i="1"/>
  <c r="AB89" i="1"/>
  <c r="AD89" i="1"/>
  <c r="AF89" i="1"/>
  <c r="AH89" i="1"/>
  <c r="AJ89" i="1"/>
  <c r="AL89" i="1"/>
  <c r="AN89" i="1"/>
  <c r="AP89" i="1"/>
  <c r="AR89" i="1"/>
  <c r="AT89" i="1"/>
  <c r="AV89" i="1"/>
  <c r="AX89" i="1"/>
  <c r="A90" i="1"/>
  <c r="D90" i="1"/>
  <c r="F90" i="1"/>
  <c r="H90" i="1"/>
  <c r="J90" i="1"/>
  <c r="L90" i="1"/>
  <c r="N90" i="1"/>
  <c r="P90" i="1"/>
  <c r="R90" i="1"/>
  <c r="T90" i="1"/>
  <c r="V90" i="1"/>
  <c r="X90" i="1"/>
  <c r="Z90" i="1"/>
  <c r="AB90" i="1"/>
  <c r="AD90" i="1"/>
  <c r="AF90" i="1"/>
  <c r="AH90" i="1"/>
  <c r="AJ90" i="1"/>
  <c r="AL90" i="1"/>
  <c r="AN90" i="1"/>
  <c r="AP90" i="1"/>
  <c r="AR90" i="1"/>
  <c r="AT90" i="1"/>
  <c r="AV90" i="1"/>
  <c r="AX90" i="1"/>
  <c r="A91" i="1"/>
  <c r="D91" i="1"/>
  <c r="F91" i="1"/>
  <c r="H91" i="1"/>
  <c r="J91" i="1"/>
  <c r="L91" i="1"/>
  <c r="N91" i="1"/>
  <c r="P91" i="1"/>
  <c r="R91" i="1"/>
  <c r="T91" i="1"/>
  <c r="V91" i="1"/>
  <c r="X91" i="1"/>
  <c r="Z91" i="1"/>
  <c r="AB91" i="1"/>
  <c r="AD91" i="1"/>
  <c r="AF91" i="1"/>
  <c r="AH91" i="1"/>
  <c r="AJ91" i="1"/>
  <c r="AL91" i="1"/>
  <c r="AN91" i="1"/>
  <c r="AP91" i="1"/>
  <c r="AR91" i="1"/>
  <c r="AT91" i="1"/>
  <c r="AV91" i="1"/>
  <c r="AX91" i="1"/>
  <c r="A92" i="1"/>
  <c r="D92" i="1"/>
  <c r="F92" i="1"/>
  <c r="H92" i="1"/>
  <c r="J92" i="1"/>
  <c r="L92" i="1"/>
  <c r="N92" i="1"/>
  <c r="P92" i="1"/>
  <c r="R92" i="1"/>
  <c r="T92" i="1"/>
  <c r="V92" i="1"/>
  <c r="X92" i="1"/>
  <c r="Z92" i="1"/>
  <c r="AB92" i="1"/>
  <c r="AD92" i="1"/>
  <c r="AF92" i="1"/>
  <c r="AH92" i="1"/>
  <c r="AJ92" i="1"/>
  <c r="AL92" i="1"/>
  <c r="AN92" i="1"/>
  <c r="AP92" i="1"/>
  <c r="AR92" i="1"/>
  <c r="AT92" i="1"/>
  <c r="AV92" i="1"/>
  <c r="AX92" i="1"/>
  <c r="A93" i="1"/>
  <c r="D93" i="1"/>
  <c r="F93" i="1"/>
  <c r="H93" i="1"/>
  <c r="J93" i="1"/>
  <c r="L93" i="1"/>
  <c r="N93" i="1"/>
  <c r="P93" i="1"/>
  <c r="R93" i="1"/>
  <c r="T93" i="1"/>
  <c r="V93" i="1"/>
  <c r="X93" i="1"/>
  <c r="Z93" i="1"/>
  <c r="AB93" i="1"/>
  <c r="AD93" i="1"/>
  <c r="AF93" i="1"/>
  <c r="AH93" i="1"/>
  <c r="AJ93" i="1"/>
  <c r="AL93" i="1"/>
  <c r="AN93" i="1"/>
  <c r="AP93" i="1"/>
  <c r="AR93" i="1"/>
  <c r="AT93" i="1"/>
  <c r="AV93" i="1"/>
  <c r="AX93" i="1"/>
  <c r="A94" i="1"/>
  <c r="D94" i="1"/>
  <c r="F94" i="1"/>
  <c r="H94" i="1"/>
  <c r="J94" i="1"/>
  <c r="L94" i="1"/>
  <c r="N94" i="1"/>
  <c r="P94" i="1"/>
  <c r="R94" i="1"/>
  <c r="T94" i="1"/>
  <c r="V94" i="1"/>
  <c r="X94" i="1"/>
  <c r="Z94" i="1"/>
  <c r="AB94" i="1"/>
  <c r="AD94" i="1"/>
  <c r="AF94" i="1"/>
  <c r="AH94" i="1"/>
  <c r="AJ94" i="1"/>
  <c r="AL94" i="1"/>
  <c r="AN94" i="1"/>
  <c r="AP94" i="1"/>
  <c r="AR94" i="1"/>
  <c r="AT94" i="1"/>
  <c r="AV94" i="1"/>
  <c r="AX94" i="1"/>
  <c r="A95" i="1"/>
  <c r="D95" i="1"/>
  <c r="F95" i="1"/>
  <c r="H95" i="1"/>
  <c r="J95" i="1"/>
  <c r="L95" i="1"/>
  <c r="N95" i="1"/>
  <c r="P95" i="1"/>
  <c r="R95" i="1"/>
  <c r="T95" i="1"/>
  <c r="V95" i="1"/>
  <c r="X95" i="1"/>
  <c r="Z95" i="1"/>
  <c r="AB95" i="1"/>
  <c r="AD95" i="1"/>
  <c r="AF95" i="1"/>
  <c r="AH95" i="1"/>
  <c r="AJ95" i="1"/>
  <c r="AL95" i="1"/>
  <c r="AN95" i="1"/>
  <c r="AP95" i="1"/>
  <c r="AR95" i="1"/>
  <c r="AT95" i="1"/>
  <c r="AV95" i="1"/>
  <c r="AX95" i="1"/>
  <c r="A96" i="1"/>
  <c r="D96" i="1"/>
  <c r="F96" i="1"/>
  <c r="H96" i="1"/>
  <c r="J96" i="1"/>
  <c r="L96" i="1"/>
  <c r="N96" i="1"/>
  <c r="P96" i="1"/>
  <c r="R96" i="1"/>
  <c r="T96" i="1"/>
  <c r="V96" i="1"/>
  <c r="X96" i="1"/>
  <c r="Z96" i="1"/>
  <c r="AB96" i="1"/>
  <c r="AD96" i="1"/>
  <c r="AF96" i="1"/>
  <c r="AH96" i="1"/>
  <c r="AJ96" i="1"/>
  <c r="AL96" i="1"/>
  <c r="AN96" i="1"/>
  <c r="AP96" i="1"/>
  <c r="AR96" i="1"/>
  <c r="AT96" i="1"/>
  <c r="AV96" i="1"/>
  <c r="AX96" i="1"/>
  <c r="A97" i="1"/>
  <c r="D97" i="1"/>
  <c r="F97" i="1"/>
  <c r="H97" i="1"/>
  <c r="J97" i="1"/>
  <c r="L97" i="1"/>
  <c r="N97" i="1"/>
  <c r="P97" i="1"/>
  <c r="R97" i="1"/>
  <c r="T97" i="1"/>
  <c r="V97" i="1"/>
  <c r="X97" i="1"/>
  <c r="Z97" i="1"/>
  <c r="AB97" i="1"/>
  <c r="AD97" i="1"/>
  <c r="AF97" i="1"/>
  <c r="AH97" i="1"/>
  <c r="AJ97" i="1"/>
  <c r="AL97" i="1"/>
  <c r="AN97" i="1"/>
  <c r="AP97" i="1"/>
  <c r="AR97" i="1"/>
  <c r="AT97" i="1"/>
  <c r="AV97" i="1"/>
  <c r="AX97" i="1"/>
  <c r="A98" i="1"/>
  <c r="D98" i="1"/>
  <c r="F98" i="1"/>
  <c r="H98" i="1"/>
  <c r="J98" i="1"/>
  <c r="L98" i="1"/>
  <c r="N98" i="1"/>
  <c r="P98" i="1"/>
  <c r="R98" i="1"/>
  <c r="T98" i="1"/>
  <c r="V98" i="1"/>
  <c r="X98" i="1"/>
  <c r="Z98" i="1"/>
  <c r="AB98" i="1"/>
  <c r="AD98" i="1"/>
  <c r="AF98" i="1"/>
  <c r="AH98" i="1"/>
  <c r="AJ98" i="1"/>
  <c r="AL98" i="1"/>
  <c r="AN98" i="1"/>
  <c r="AP98" i="1"/>
  <c r="AR98" i="1"/>
  <c r="AT98" i="1"/>
  <c r="AV98" i="1"/>
  <c r="AX98" i="1"/>
  <c r="A99" i="1"/>
  <c r="D99" i="1"/>
  <c r="F99" i="1"/>
  <c r="H99" i="1"/>
  <c r="J99" i="1"/>
  <c r="L99" i="1"/>
  <c r="N99" i="1"/>
  <c r="P99" i="1"/>
  <c r="R99" i="1"/>
  <c r="T99" i="1"/>
  <c r="V99" i="1"/>
  <c r="X99" i="1"/>
  <c r="Z99" i="1"/>
  <c r="AB99" i="1"/>
  <c r="AD99" i="1"/>
  <c r="AF99" i="1"/>
  <c r="AH99" i="1"/>
  <c r="AJ99" i="1"/>
  <c r="AL99" i="1"/>
  <c r="AN99" i="1"/>
  <c r="AP99" i="1"/>
  <c r="AR99" i="1"/>
  <c r="AT99" i="1"/>
  <c r="AV99" i="1"/>
  <c r="AX99" i="1"/>
  <c r="A100" i="1"/>
  <c r="D100" i="1"/>
  <c r="F100" i="1"/>
  <c r="H100" i="1"/>
  <c r="J100" i="1"/>
  <c r="L100" i="1"/>
  <c r="N100" i="1"/>
  <c r="P100" i="1"/>
  <c r="R100" i="1"/>
  <c r="T100" i="1"/>
  <c r="V100" i="1"/>
  <c r="X100" i="1"/>
  <c r="Z100" i="1"/>
  <c r="AB100" i="1"/>
  <c r="AD100" i="1"/>
  <c r="AF100" i="1"/>
  <c r="AH100" i="1"/>
  <c r="AJ100" i="1"/>
  <c r="AL100" i="1"/>
  <c r="AN100" i="1"/>
  <c r="AP100" i="1"/>
  <c r="AR100" i="1"/>
  <c r="AT100" i="1"/>
  <c r="AV100" i="1"/>
  <c r="AX100" i="1"/>
  <c r="A101" i="1"/>
  <c r="D101" i="1"/>
  <c r="F101" i="1"/>
  <c r="H101" i="1"/>
  <c r="J101" i="1"/>
  <c r="L101" i="1"/>
  <c r="N101" i="1"/>
  <c r="P101" i="1"/>
  <c r="R101" i="1"/>
  <c r="T101" i="1"/>
  <c r="V101" i="1"/>
  <c r="X101" i="1"/>
  <c r="Z101" i="1"/>
  <c r="AB101" i="1"/>
  <c r="AD101" i="1"/>
  <c r="AF101" i="1"/>
  <c r="AH101" i="1"/>
  <c r="AJ101" i="1"/>
  <c r="AL101" i="1"/>
  <c r="AN101" i="1"/>
  <c r="AP101" i="1"/>
  <c r="AR101" i="1"/>
  <c r="AT101" i="1"/>
  <c r="AV101" i="1"/>
  <c r="AX101" i="1"/>
  <c r="A102" i="1"/>
  <c r="D102" i="1"/>
  <c r="F102" i="1"/>
  <c r="H102" i="1"/>
  <c r="J102" i="1"/>
  <c r="L102" i="1"/>
  <c r="N102" i="1"/>
  <c r="P102" i="1"/>
  <c r="R102" i="1"/>
  <c r="T102" i="1"/>
  <c r="V102" i="1"/>
  <c r="X102" i="1"/>
  <c r="Z102" i="1"/>
  <c r="AB102" i="1"/>
  <c r="AD102" i="1"/>
  <c r="AF102" i="1"/>
  <c r="AH102" i="1"/>
  <c r="AJ102" i="1"/>
  <c r="AL102" i="1"/>
  <c r="AN102" i="1"/>
  <c r="AP102" i="1"/>
  <c r="AR102" i="1"/>
  <c r="AT102" i="1"/>
  <c r="AV102" i="1"/>
  <c r="AX102" i="1"/>
  <c r="A103" i="1"/>
  <c r="D103" i="1"/>
  <c r="F103" i="1"/>
  <c r="H103" i="1"/>
  <c r="J103" i="1"/>
  <c r="L103" i="1"/>
  <c r="N103" i="1"/>
  <c r="P103" i="1"/>
  <c r="R103" i="1"/>
  <c r="T103" i="1"/>
  <c r="V103" i="1"/>
  <c r="X103" i="1"/>
  <c r="Z103" i="1"/>
  <c r="AB103" i="1"/>
  <c r="AD103" i="1"/>
  <c r="AF103" i="1"/>
  <c r="AH103" i="1"/>
  <c r="AJ103" i="1"/>
  <c r="AL103" i="1"/>
  <c r="AN103" i="1"/>
  <c r="AP103" i="1"/>
  <c r="AR103" i="1"/>
  <c r="AT103" i="1"/>
  <c r="AV103" i="1"/>
  <c r="AX103" i="1"/>
  <c r="A104" i="1"/>
  <c r="D104" i="1"/>
  <c r="F104" i="1"/>
  <c r="H104" i="1"/>
  <c r="J104" i="1"/>
  <c r="L104" i="1"/>
  <c r="N104" i="1"/>
  <c r="P104" i="1"/>
  <c r="R104" i="1"/>
  <c r="T104" i="1"/>
  <c r="V104" i="1"/>
  <c r="X104" i="1"/>
  <c r="Z104" i="1"/>
  <c r="AB104" i="1"/>
  <c r="AD104" i="1"/>
  <c r="AF104" i="1"/>
  <c r="AH104" i="1"/>
  <c r="AJ104" i="1"/>
  <c r="AL104" i="1"/>
  <c r="AN104" i="1"/>
  <c r="AP104" i="1"/>
  <c r="AR104" i="1"/>
  <c r="AT104" i="1"/>
  <c r="AV104" i="1"/>
  <c r="AX104" i="1"/>
  <c r="A105" i="1"/>
  <c r="D105" i="1"/>
  <c r="F105" i="1"/>
  <c r="H105" i="1"/>
  <c r="J105" i="1"/>
  <c r="L105" i="1"/>
  <c r="N105" i="1"/>
  <c r="P105" i="1"/>
  <c r="R105" i="1"/>
  <c r="T105" i="1"/>
  <c r="V105" i="1"/>
  <c r="X105" i="1"/>
  <c r="Z105" i="1"/>
  <c r="AB105" i="1"/>
  <c r="AD105" i="1"/>
  <c r="AF105" i="1"/>
  <c r="AH105" i="1"/>
  <c r="AJ105" i="1"/>
  <c r="AL105" i="1"/>
  <c r="AN105" i="1"/>
  <c r="AP105" i="1"/>
  <c r="AR105" i="1"/>
  <c r="AT105" i="1"/>
  <c r="AV105" i="1"/>
  <c r="AX105" i="1"/>
  <c r="A106" i="1"/>
  <c r="D106" i="1"/>
  <c r="F106" i="1"/>
  <c r="H106" i="1"/>
  <c r="J106" i="1"/>
  <c r="L106" i="1"/>
  <c r="N106" i="1"/>
  <c r="P106" i="1"/>
  <c r="R106" i="1"/>
  <c r="T106" i="1"/>
  <c r="V106" i="1"/>
  <c r="X106" i="1"/>
  <c r="Z106" i="1"/>
  <c r="AB106" i="1"/>
  <c r="AD106" i="1"/>
  <c r="AF106" i="1"/>
  <c r="AH106" i="1"/>
  <c r="AJ106" i="1"/>
  <c r="AL106" i="1"/>
  <c r="AN106" i="1"/>
  <c r="AP106" i="1"/>
  <c r="AR106" i="1"/>
  <c r="AT106" i="1"/>
  <c r="AV106" i="1"/>
  <c r="AX106" i="1"/>
  <c r="A107" i="1"/>
  <c r="D107" i="1"/>
  <c r="F107" i="1"/>
  <c r="H107" i="1"/>
  <c r="J107" i="1"/>
  <c r="L107" i="1"/>
  <c r="N107" i="1"/>
  <c r="P107" i="1"/>
  <c r="R107" i="1"/>
  <c r="T107" i="1"/>
  <c r="V107" i="1"/>
  <c r="X107" i="1"/>
  <c r="Z107" i="1"/>
  <c r="AB107" i="1"/>
  <c r="AD107" i="1"/>
  <c r="AF107" i="1"/>
  <c r="AH107" i="1"/>
  <c r="AJ107" i="1"/>
  <c r="AL107" i="1"/>
  <c r="AN107" i="1"/>
  <c r="AP107" i="1"/>
  <c r="AR107" i="1"/>
  <c r="AT107" i="1"/>
  <c r="AV107" i="1"/>
  <c r="AX107" i="1"/>
  <c r="A108" i="1"/>
  <c r="D108" i="1"/>
  <c r="F108" i="1"/>
  <c r="H108" i="1"/>
  <c r="J108" i="1"/>
  <c r="L108" i="1"/>
  <c r="N108" i="1"/>
  <c r="P108" i="1"/>
  <c r="R108" i="1"/>
  <c r="T108" i="1"/>
  <c r="V108" i="1"/>
  <c r="X108" i="1"/>
  <c r="Z108" i="1"/>
  <c r="AB108" i="1"/>
  <c r="AD108" i="1"/>
  <c r="AF108" i="1"/>
  <c r="AH108" i="1"/>
  <c r="AJ108" i="1"/>
  <c r="AL108" i="1"/>
  <c r="AN108" i="1"/>
  <c r="AP108" i="1"/>
  <c r="AR108" i="1"/>
  <c r="AT108" i="1"/>
  <c r="AV108" i="1"/>
  <c r="AX108" i="1"/>
  <c r="A109" i="1"/>
  <c r="D109" i="1"/>
  <c r="F109" i="1"/>
  <c r="H109" i="1"/>
  <c r="J109" i="1"/>
  <c r="L109" i="1"/>
  <c r="N109" i="1"/>
  <c r="P109" i="1"/>
  <c r="R109" i="1"/>
  <c r="T109" i="1"/>
  <c r="V109" i="1"/>
  <c r="X109" i="1"/>
  <c r="Z109" i="1"/>
  <c r="AB109" i="1"/>
  <c r="AD109" i="1"/>
  <c r="AF109" i="1"/>
  <c r="AH109" i="1"/>
  <c r="AJ109" i="1"/>
  <c r="AL109" i="1"/>
  <c r="AN109" i="1"/>
  <c r="AP109" i="1"/>
  <c r="AR109" i="1"/>
  <c r="AT109" i="1"/>
  <c r="AV109" i="1"/>
  <c r="AX109" i="1"/>
  <c r="A110" i="1"/>
  <c r="D110" i="1"/>
  <c r="F110" i="1"/>
  <c r="H110" i="1"/>
  <c r="J110" i="1"/>
  <c r="L110" i="1"/>
  <c r="N110" i="1"/>
  <c r="P110" i="1"/>
  <c r="R110" i="1"/>
  <c r="T110" i="1"/>
  <c r="V110" i="1"/>
  <c r="X110" i="1"/>
  <c r="Z110" i="1"/>
  <c r="AB110" i="1"/>
  <c r="AD110" i="1"/>
  <c r="AF110" i="1"/>
  <c r="AH110" i="1"/>
  <c r="AJ110" i="1"/>
  <c r="AL110" i="1"/>
  <c r="AN110" i="1"/>
  <c r="AP110" i="1"/>
  <c r="AR110" i="1"/>
  <c r="AT110" i="1"/>
  <c r="AV110" i="1"/>
  <c r="AX110" i="1"/>
  <c r="A111" i="1"/>
  <c r="D111" i="1"/>
  <c r="F111" i="1"/>
  <c r="H111" i="1"/>
  <c r="J111" i="1"/>
  <c r="L111" i="1"/>
  <c r="N111" i="1"/>
  <c r="P111" i="1"/>
  <c r="R111" i="1"/>
  <c r="T111" i="1"/>
  <c r="V111" i="1"/>
  <c r="X111" i="1"/>
  <c r="Z111" i="1"/>
  <c r="AB111" i="1"/>
  <c r="AD111" i="1"/>
  <c r="AF111" i="1"/>
  <c r="AH111" i="1"/>
  <c r="AJ111" i="1"/>
  <c r="AL111" i="1"/>
  <c r="AN111" i="1"/>
  <c r="AP111" i="1"/>
  <c r="AR111" i="1"/>
  <c r="AT111" i="1"/>
  <c r="AV111" i="1"/>
  <c r="AX111" i="1"/>
  <c r="A112" i="1"/>
  <c r="D112" i="1"/>
  <c r="F112" i="1"/>
  <c r="H112" i="1"/>
  <c r="J112" i="1"/>
  <c r="L112" i="1"/>
  <c r="N112" i="1"/>
  <c r="P112" i="1"/>
  <c r="R112" i="1"/>
  <c r="T112" i="1"/>
  <c r="V112" i="1"/>
  <c r="X112" i="1"/>
  <c r="Z112" i="1"/>
  <c r="AB112" i="1"/>
  <c r="AD112" i="1"/>
  <c r="AF112" i="1"/>
  <c r="AH112" i="1"/>
  <c r="AJ112" i="1"/>
  <c r="AL112" i="1"/>
  <c r="AN112" i="1"/>
  <c r="AP112" i="1"/>
  <c r="AR112" i="1"/>
  <c r="AT112" i="1"/>
  <c r="AV112" i="1"/>
  <c r="AX112" i="1"/>
  <c r="A113" i="1"/>
  <c r="D113" i="1"/>
  <c r="F113" i="1"/>
  <c r="H113" i="1"/>
  <c r="J113" i="1"/>
  <c r="L113" i="1"/>
  <c r="N113" i="1"/>
  <c r="P113" i="1"/>
  <c r="R113" i="1"/>
  <c r="T113" i="1"/>
  <c r="V113" i="1"/>
  <c r="X113" i="1"/>
  <c r="Z113" i="1"/>
  <c r="AB113" i="1"/>
  <c r="AD113" i="1"/>
  <c r="AF113" i="1"/>
  <c r="AH113" i="1"/>
  <c r="AJ113" i="1"/>
  <c r="AL113" i="1"/>
  <c r="AN113" i="1"/>
  <c r="AP113" i="1"/>
  <c r="AR113" i="1"/>
  <c r="AT113" i="1"/>
  <c r="AV113" i="1"/>
  <c r="AX113" i="1"/>
  <c r="A114" i="1"/>
  <c r="D114" i="1"/>
  <c r="F114" i="1"/>
  <c r="H114" i="1"/>
  <c r="J114" i="1"/>
  <c r="L114" i="1"/>
  <c r="N114" i="1"/>
  <c r="P114" i="1"/>
  <c r="R114" i="1"/>
  <c r="T114" i="1"/>
  <c r="V114" i="1"/>
  <c r="X114" i="1"/>
  <c r="Z114" i="1"/>
  <c r="AB114" i="1"/>
  <c r="AD114" i="1"/>
  <c r="AF114" i="1"/>
  <c r="AH114" i="1"/>
  <c r="AJ114" i="1"/>
  <c r="AL114" i="1"/>
  <c r="AN114" i="1"/>
  <c r="AP114" i="1"/>
  <c r="AR114" i="1"/>
  <c r="AT114" i="1"/>
  <c r="AV114" i="1"/>
  <c r="AX114" i="1"/>
  <c r="A116" i="1"/>
  <c r="D116" i="1"/>
  <c r="F116" i="1"/>
  <c r="H116" i="1"/>
  <c r="J116" i="1"/>
  <c r="L116" i="1"/>
  <c r="N116" i="1"/>
  <c r="P116" i="1"/>
  <c r="R116" i="1"/>
  <c r="T116" i="1"/>
  <c r="V116" i="1"/>
  <c r="X116" i="1"/>
  <c r="Z116" i="1"/>
  <c r="AB116" i="1"/>
  <c r="AD116" i="1"/>
  <c r="AF116" i="1"/>
  <c r="AH116" i="1"/>
  <c r="AJ116" i="1"/>
  <c r="AL116" i="1"/>
  <c r="AN116" i="1"/>
  <c r="AP116" i="1"/>
  <c r="AR116" i="1"/>
  <c r="AT116" i="1"/>
  <c r="AV116" i="1"/>
  <c r="AX116" i="1"/>
  <c r="A117" i="1"/>
  <c r="D117" i="1"/>
  <c r="F117" i="1"/>
  <c r="H117" i="1"/>
  <c r="J117" i="1"/>
  <c r="L117" i="1"/>
  <c r="N117" i="1"/>
  <c r="P117" i="1"/>
  <c r="R117" i="1"/>
  <c r="T117" i="1"/>
  <c r="V117" i="1"/>
  <c r="X117" i="1"/>
  <c r="Z117" i="1"/>
  <c r="AB117" i="1"/>
  <c r="AD117" i="1"/>
  <c r="AF117" i="1"/>
  <c r="AH117" i="1"/>
  <c r="AJ117" i="1"/>
  <c r="AL117" i="1"/>
  <c r="AN117" i="1"/>
  <c r="AP117" i="1"/>
  <c r="AR117" i="1"/>
  <c r="AT117" i="1"/>
  <c r="AV117" i="1"/>
  <c r="AX117" i="1"/>
  <c r="A118" i="1"/>
  <c r="D118" i="1"/>
  <c r="F118" i="1"/>
  <c r="H118" i="1"/>
  <c r="J118" i="1"/>
  <c r="L118" i="1"/>
  <c r="N118" i="1"/>
  <c r="P118" i="1"/>
  <c r="R118" i="1"/>
  <c r="T118" i="1"/>
  <c r="V118" i="1"/>
  <c r="X118" i="1"/>
  <c r="Z118" i="1"/>
  <c r="AB118" i="1"/>
  <c r="AD118" i="1"/>
  <c r="AF118" i="1"/>
  <c r="AH118" i="1"/>
  <c r="AJ118" i="1"/>
  <c r="AL118" i="1"/>
  <c r="AN118" i="1"/>
  <c r="AP118" i="1"/>
  <c r="AR118" i="1"/>
  <c r="AT118" i="1"/>
  <c r="AV118" i="1"/>
  <c r="AX118" i="1"/>
  <c r="A119" i="1"/>
  <c r="D119" i="1"/>
  <c r="F119" i="1"/>
  <c r="H119" i="1"/>
  <c r="J119" i="1"/>
  <c r="L119" i="1"/>
  <c r="N119" i="1"/>
  <c r="P119" i="1"/>
  <c r="R119" i="1"/>
  <c r="T119" i="1"/>
  <c r="V119" i="1"/>
  <c r="X119" i="1"/>
  <c r="Z119" i="1"/>
  <c r="AB119" i="1"/>
  <c r="AD119" i="1"/>
  <c r="AF119" i="1"/>
  <c r="AH119" i="1"/>
  <c r="AJ119" i="1"/>
  <c r="AL119" i="1"/>
  <c r="AN119" i="1"/>
  <c r="AP119" i="1"/>
  <c r="AR119" i="1"/>
  <c r="AT119" i="1"/>
  <c r="AV119" i="1"/>
  <c r="AX119" i="1"/>
  <c r="A120" i="1"/>
  <c r="D120" i="1"/>
  <c r="F120" i="1"/>
  <c r="H120" i="1"/>
  <c r="J120" i="1"/>
  <c r="L120" i="1"/>
  <c r="N120" i="1"/>
  <c r="P120" i="1"/>
  <c r="R120" i="1"/>
  <c r="T120" i="1"/>
  <c r="V120" i="1"/>
  <c r="X120" i="1"/>
  <c r="Z120" i="1"/>
  <c r="AB120" i="1"/>
  <c r="AD120" i="1"/>
  <c r="AF120" i="1"/>
  <c r="AH120" i="1"/>
  <c r="AJ120" i="1"/>
  <c r="AL120" i="1"/>
  <c r="AN120" i="1"/>
  <c r="AP120" i="1"/>
  <c r="AR120" i="1"/>
  <c r="AT120" i="1"/>
  <c r="AV120" i="1"/>
  <c r="AX120" i="1"/>
  <c r="A121" i="1"/>
  <c r="D121" i="1"/>
  <c r="F121" i="1"/>
  <c r="H121" i="1"/>
  <c r="J121" i="1"/>
  <c r="L121" i="1"/>
  <c r="N121" i="1"/>
  <c r="P121" i="1"/>
  <c r="R121" i="1"/>
  <c r="T121" i="1"/>
  <c r="V121" i="1"/>
  <c r="X121" i="1"/>
  <c r="Z121" i="1"/>
  <c r="AB121" i="1"/>
  <c r="AD121" i="1"/>
  <c r="AF121" i="1"/>
  <c r="AH121" i="1"/>
  <c r="AJ121" i="1"/>
  <c r="AL121" i="1"/>
  <c r="AN121" i="1"/>
  <c r="AP121" i="1"/>
  <c r="AR121" i="1"/>
  <c r="AT121" i="1"/>
  <c r="AV121" i="1"/>
  <c r="AX121" i="1"/>
  <c r="A122" i="1"/>
  <c r="D122" i="1"/>
  <c r="F122" i="1"/>
  <c r="H122" i="1"/>
  <c r="J122" i="1"/>
  <c r="L122" i="1"/>
  <c r="N122" i="1"/>
  <c r="P122" i="1"/>
  <c r="R122" i="1"/>
  <c r="T122" i="1"/>
  <c r="V122" i="1"/>
  <c r="X122" i="1"/>
  <c r="Z122" i="1"/>
  <c r="AB122" i="1"/>
  <c r="AD122" i="1"/>
  <c r="AF122" i="1"/>
  <c r="AH122" i="1"/>
  <c r="AJ122" i="1"/>
  <c r="AL122" i="1"/>
  <c r="AN122" i="1"/>
  <c r="AP122" i="1"/>
  <c r="AR122" i="1"/>
  <c r="AT122" i="1"/>
  <c r="AV122" i="1"/>
  <c r="AX122" i="1"/>
  <c r="A123" i="1"/>
  <c r="D123" i="1"/>
  <c r="F123" i="1"/>
  <c r="H123" i="1"/>
  <c r="J123" i="1"/>
  <c r="L123" i="1"/>
  <c r="N123" i="1"/>
  <c r="P123" i="1"/>
  <c r="R123" i="1"/>
  <c r="T123" i="1"/>
  <c r="V123" i="1"/>
  <c r="X123" i="1"/>
  <c r="Z123" i="1"/>
  <c r="AB123" i="1"/>
  <c r="AD123" i="1"/>
  <c r="AF123" i="1"/>
  <c r="AH123" i="1"/>
  <c r="AJ123" i="1"/>
  <c r="AL123" i="1"/>
  <c r="AN123" i="1"/>
  <c r="AP123" i="1"/>
  <c r="AR123" i="1"/>
  <c r="AT123" i="1"/>
  <c r="AV123" i="1"/>
  <c r="AX123" i="1"/>
  <c r="A124" i="1"/>
  <c r="D124" i="1"/>
  <c r="F124" i="1"/>
  <c r="H124" i="1"/>
  <c r="J124" i="1"/>
  <c r="L124" i="1"/>
  <c r="N124" i="1"/>
  <c r="P124" i="1"/>
  <c r="R124" i="1"/>
  <c r="T124" i="1"/>
  <c r="V124" i="1"/>
  <c r="X124" i="1"/>
  <c r="Z124" i="1"/>
  <c r="AB124" i="1"/>
  <c r="AD124" i="1"/>
  <c r="AF124" i="1"/>
  <c r="AH124" i="1"/>
  <c r="AJ124" i="1"/>
  <c r="AL124" i="1"/>
  <c r="AN124" i="1"/>
  <c r="AP124" i="1"/>
  <c r="AR124" i="1"/>
  <c r="AT124" i="1"/>
  <c r="AV124" i="1"/>
  <c r="AX124" i="1"/>
  <c r="A125" i="1"/>
  <c r="D125" i="1"/>
  <c r="F125" i="1"/>
  <c r="H125" i="1"/>
  <c r="J125" i="1"/>
  <c r="L125" i="1"/>
  <c r="N125" i="1"/>
  <c r="P125" i="1"/>
  <c r="R125" i="1"/>
  <c r="T125" i="1"/>
  <c r="V125" i="1"/>
  <c r="X125" i="1"/>
  <c r="Z125" i="1"/>
  <c r="AB125" i="1"/>
  <c r="AD125" i="1"/>
  <c r="AF125" i="1"/>
  <c r="AH125" i="1"/>
  <c r="AJ125" i="1"/>
  <c r="AL125" i="1"/>
  <c r="AN125" i="1"/>
  <c r="AP125" i="1"/>
  <c r="AR125" i="1"/>
  <c r="AT125" i="1"/>
  <c r="AV125" i="1"/>
  <c r="AX125" i="1"/>
  <c r="A126" i="1"/>
  <c r="D126" i="1"/>
  <c r="F126" i="1"/>
  <c r="H126" i="1"/>
  <c r="J126" i="1"/>
  <c r="L126" i="1"/>
  <c r="N126" i="1"/>
  <c r="P126" i="1"/>
  <c r="R126" i="1"/>
  <c r="T126" i="1"/>
  <c r="V126" i="1"/>
  <c r="X126" i="1"/>
  <c r="Z126" i="1"/>
  <c r="AB126" i="1"/>
  <c r="AD126" i="1"/>
  <c r="AF126" i="1"/>
  <c r="AH126" i="1"/>
  <c r="AJ126" i="1"/>
  <c r="AL126" i="1"/>
  <c r="AN126" i="1"/>
  <c r="AP126" i="1"/>
  <c r="AR126" i="1"/>
  <c r="AT126" i="1"/>
  <c r="AV126" i="1"/>
  <c r="AX126" i="1"/>
  <c r="A127" i="1"/>
  <c r="D127" i="1"/>
  <c r="F127" i="1"/>
  <c r="H127" i="1"/>
  <c r="J127" i="1"/>
  <c r="L127" i="1"/>
  <c r="N127" i="1"/>
  <c r="P127" i="1"/>
  <c r="R127" i="1"/>
  <c r="T127" i="1"/>
  <c r="V127" i="1"/>
  <c r="X127" i="1"/>
  <c r="Z127" i="1"/>
  <c r="AB127" i="1"/>
  <c r="AD127" i="1"/>
  <c r="AF127" i="1"/>
  <c r="AH127" i="1"/>
  <c r="AJ127" i="1"/>
  <c r="AL127" i="1"/>
  <c r="AN127" i="1"/>
  <c r="AP127" i="1"/>
  <c r="AR127" i="1"/>
  <c r="AT127" i="1"/>
  <c r="AV127" i="1"/>
  <c r="AX127" i="1"/>
  <c r="A129" i="1"/>
  <c r="D129" i="1"/>
  <c r="F129" i="1"/>
  <c r="H129" i="1"/>
  <c r="J129" i="1"/>
  <c r="L129" i="1"/>
  <c r="N129" i="1"/>
  <c r="P129" i="1"/>
  <c r="R129" i="1"/>
  <c r="T129" i="1"/>
  <c r="V129" i="1"/>
  <c r="X129" i="1"/>
  <c r="Z129" i="1"/>
  <c r="AB129" i="1"/>
  <c r="AD129" i="1"/>
  <c r="AF129" i="1"/>
  <c r="AH129" i="1"/>
  <c r="AJ129" i="1"/>
  <c r="AL129" i="1"/>
  <c r="AN129" i="1"/>
  <c r="AP129" i="1"/>
  <c r="AR129" i="1"/>
  <c r="AT129" i="1"/>
  <c r="AV129" i="1"/>
  <c r="AX129" i="1"/>
  <c r="A130" i="1"/>
  <c r="D130" i="1"/>
  <c r="F130" i="1"/>
  <c r="H130" i="1"/>
  <c r="J130" i="1"/>
  <c r="L130" i="1"/>
  <c r="N130" i="1"/>
  <c r="P130" i="1"/>
  <c r="R130" i="1"/>
  <c r="T130" i="1"/>
  <c r="V130" i="1"/>
  <c r="X130" i="1"/>
  <c r="Z130" i="1"/>
  <c r="AB130" i="1"/>
  <c r="AD130" i="1"/>
  <c r="AF130" i="1"/>
  <c r="AH130" i="1"/>
  <c r="AJ130" i="1"/>
  <c r="AL130" i="1"/>
  <c r="AN130" i="1"/>
  <c r="AP130" i="1"/>
  <c r="AR130" i="1"/>
  <c r="AT130" i="1"/>
  <c r="AV130" i="1"/>
  <c r="AX130" i="1"/>
  <c r="A131" i="1"/>
  <c r="D131" i="1"/>
  <c r="F131" i="1"/>
  <c r="H131" i="1"/>
  <c r="J131" i="1"/>
  <c r="L131" i="1"/>
  <c r="N131" i="1"/>
  <c r="P131" i="1"/>
  <c r="R131" i="1"/>
  <c r="T131" i="1"/>
  <c r="V131" i="1"/>
  <c r="X131" i="1"/>
  <c r="Z131" i="1"/>
  <c r="AB131" i="1"/>
  <c r="AD131" i="1"/>
  <c r="AF131" i="1"/>
  <c r="AH131" i="1"/>
  <c r="AJ131" i="1"/>
  <c r="AL131" i="1"/>
  <c r="AN131" i="1"/>
  <c r="AP131" i="1"/>
  <c r="AR131" i="1"/>
  <c r="AT131" i="1"/>
  <c r="AV131" i="1"/>
  <c r="AX131" i="1"/>
  <c r="A132" i="1"/>
  <c r="D132" i="1"/>
  <c r="F132" i="1"/>
  <c r="H132" i="1"/>
  <c r="J132" i="1"/>
  <c r="L132" i="1"/>
  <c r="N132" i="1"/>
  <c r="P132" i="1"/>
  <c r="R132" i="1"/>
  <c r="T132" i="1"/>
  <c r="V132" i="1"/>
  <c r="X132" i="1"/>
  <c r="Z132" i="1"/>
  <c r="AB132" i="1"/>
  <c r="AD132" i="1"/>
  <c r="AF132" i="1"/>
  <c r="AH132" i="1"/>
  <c r="AJ132" i="1"/>
  <c r="AL132" i="1"/>
  <c r="AN132" i="1"/>
  <c r="AP132" i="1"/>
  <c r="AR132" i="1"/>
  <c r="AT132" i="1"/>
  <c r="AV132" i="1"/>
  <c r="AX132" i="1"/>
  <c r="A133" i="1"/>
  <c r="D133" i="1"/>
  <c r="F133" i="1"/>
  <c r="H133" i="1"/>
  <c r="J133" i="1"/>
  <c r="L133" i="1"/>
  <c r="N133" i="1"/>
  <c r="P133" i="1"/>
  <c r="R133" i="1"/>
  <c r="T133" i="1"/>
  <c r="V133" i="1"/>
  <c r="X133" i="1"/>
  <c r="Z133" i="1"/>
  <c r="AB133" i="1"/>
  <c r="AD133" i="1"/>
  <c r="AF133" i="1"/>
  <c r="AH133" i="1"/>
  <c r="AJ133" i="1"/>
  <c r="AL133" i="1"/>
  <c r="AN133" i="1"/>
  <c r="AP133" i="1"/>
  <c r="AR133" i="1"/>
  <c r="AT133" i="1"/>
  <c r="AV133" i="1"/>
  <c r="AX133" i="1"/>
  <c r="A134" i="1"/>
  <c r="D134" i="1"/>
  <c r="F134" i="1"/>
  <c r="H134" i="1"/>
  <c r="J134" i="1"/>
  <c r="L134" i="1"/>
  <c r="N134" i="1"/>
  <c r="P134" i="1"/>
  <c r="R134" i="1"/>
  <c r="T134" i="1"/>
  <c r="V134" i="1"/>
  <c r="X134" i="1"/>
  <c r="Z134" i="1"/>
  <c r="AB134" i="1"/>
  <c r="AD134" i="1"/>
  <c r="AF134" i="1"/>
  <c r="AH134" i="1"/>
  <c r="AJ134" i="1"/>
  <c r="AL134" i="1"/>
  <c r="AN134" i="1"/>
  <c r="AP134" i="1"/>
  <c r="AR134" i="1"/>
  <c r="AT134" i="1"/>
  <c r="AV134" i="1"/>
  <c r="AX134" i="1"/>
  <c r="A135" i="1"/>
  <c r="D135" i="1"/>
  <c r="F135" i="1"/>
  <c r="H135" i="1"/>
  <c r="J135" i="1"/>
  <c r="L135" i="1"/>
  <c r="N135" i="1"/>
  <c r="P135" i="1"/>
  <c r="R135" i="1"/>
  <c r="T135" i="1"/>
  <c r="V135" i="1"/>
  <c r="X135" i="1"/>
  <c r="Z135" i="1"/>
  <c r="AB135" i="1"/>
  <c r="AD135" i="1"/>
  <c r="AF135" i="1"/>
  <c r="AH135" i="1"/>
  <c r="AJ135" i="1"/>
  <c r="AL135" i="1"/>
  <c r="AN135" i="1"/>
  <c r="AP135" i="1"/>
  <c r="AR135" i="1"/>
  <c r="AT135" i="1"/>
  <c r="AV135" i="1"/>
  <c r="AX135" i="1"/>
  <c r="A136" i="1"/>
  <c r="D136" i="1"/>
  <c r="F136" i="1"/>
  <c r="H136" i="1"/>
  <c r="J136" i="1"/>
  <c r="L136" i="1"/>
  <c r="N136" i="1"/>
  <c r="P136" i="1"/>
  <c r="R136" i="1"/>
  <c r="T136" i="1"/>
  <c r="V136" i="1"/>
  <c r="X136" i="1"/>
  <c r="Z136" i="1"/>
  <c r="AB136" i="1"/>
  <c r="AD136" i="1"/>
  <c r="AF136" i="1"/>
  <c r="AH136" i="1"/>
  <c r="AJ136" i="1"/>
  <c r="AL136" i="1"/>
  <c r="AN136" i="1"/>
  <c r="AP136" i="1"/>
  <c r="AR136" i="1"/>
  <c r="AT136" i="1"/>
  <c r="AV136" i="1"/>
  <c r="AX136" i="1"/>
  <c r="A137" i="1"/>
  <c r="D137" i="1"/>
  <c r="F137" i="1"/>
  <c r="H137" i="1"/>
  <c r="J137" i="1"/>
  <c r="L137" i="1"/>
  <c r="N137" i="1"/>
  <c r="P137" i="1"/>
  <c r="R137" i="1"/>
  <c r="T137" i="1"/>
  <c r="V137" i="1"/>
  <c r="X137" i="1"/>
  <c r="Z137" i="1"/>
  <c r="AB137" i="1"/>
  <c r="AD137" i="1"/>
  <c r="AF137" i="1"/>
  <c r="AH137" i="1"/>
  <c r="AJ137" i="1"/>
  <c r="AL137" i="1"/>
  <c r="AN137" i="1"/>
  <c r="AP137" i="1"/>
  <c r="AR137" i="1"/>
  <c r="AT137" i="1"/>
  <c r="AV137" i="1"/>
  <c r="AX137" i="1"/>
  <c r="A138" i="1"/>
  <c r="D138" i="1"/>
  <c r="F138" i="1"/>
  <c r="H138" i="1"/>
  <c r="J138" i="1"/>
  <c r="L138" i="1"/>
  <c r="N138" i="1"/>
  <c r="P138" i="1"/>
  <c r="R138" i="1"/>
  <c r="T138" i="1"/>
  <c r="V138" i="1"/>
  <c r="X138" i="1"/>
  <c r="Z138" i="1"/>
  <c r="AB138" i="1"/>
  <c r="AD138" i="1"/>
  <c r="AF138" i="1"/>
  <c r="AH138" i="1"/>
  <c r="AJ138" i="1"/>
  <c r="AL138" i="1"/>
  <c r="AN138" i="1"/>
  <c r="AP138" i="1"/>
  <c r="AR138" i="1"/>
  <c r="AT138" i="1"/>
  <c r="AV138" i="1"/>
  <c r="AX138" i="1"/>
  <c r="A139" i="1"/>
  <c r="D139" i="1"/>
  <c r="F139" i="1"/>
  <c r="H139" i="1"/>
  <c r="J139" i="1"/>
  <c r="L139" i="1"/>
  <c r="N139" i="1"/>
  <c r="P139" i="1"/>
  <c r="R139" i="1"/>
  <c r="T139" i="1"/>
  <c r="V139" i="1"/>
  <c r="X139" i="1"/>
  <c r="Z139" i="1"/>
  <c r="AB139" i="1"/>
  <c r="AD139" i="1"/>
  <c r="AF139" i="1"/>
  <c r="AH139" i="1"/>
  <c r="AJ139" i="1"/>
  <c r="AL139" i="1"/>
  <c r="AN139" i="1"/>
  <c r="AP139" i="1"/>
  <c r="AR139" i="1"/>
  <c r="AT139" i="1"/>
  <c r="AV139" i="1"/>
  <c r="AX139" i="1"/>
  <c r="A140" i="1"/>
  <c r="D140" i="1"/>
  <c r="F140" i="1"/>
  <c r="H140" i="1"/>
  <c r="J140" i="1"/>
  <c r="L140" i="1"/>
  <c r="N140" i="1"/>
  <c r="P140" i="1"/>
  <c r="R140" i="1"/>
  <c r="T140" i="1"/>
  <c r="V140" i="1"/>
  <c r="X140" i="1"/>
  <c r="Z140" i="1"/>
  <c r="AB140" i="1"/>
  <c r="AD140" i="1"/>
  <c r="AF140" i="1"/>
  <c r="AH140" i="1"/>
  <c r="AJ140" i="1"/>
  <c r="AL140" i="1"/>
  <c r="AN140" i="1"/>
  <c r="AP140" i="1"/>
  <c r="AR140" i="1"/>
  <c r="AT140" i="1"/>
  <c r="AV140" i="1"/>
  <c r="AX140" i="1"/>
  <c r="A141" i="1"/>
  <c r="D141" i="1"/>
  <c r="F141" i="1"/>
  <c r="H141" i="1"/>
  <c r="J141" i="1"/>
  <c r="L141" i="1"/>
  <c r="N141" i="1"/>
  <c r="P141" i="1"/>
  <c r="R141" i="1"/>
  <c r="T141" i="1"/>
  <c r="V141" i="1"/>
  <c r="X141" i="1"/>
  <c r="Z141" i="1"/>
  <c r="AB141" i="1"/>
  <c r="AD141" i="1"/>
  <c r="AF141" i="1"/>
  <c r="AH141" i="1"/>
  <c r="AJ141" i="1"/>
  <c r="AL141" i="1"/>
  <c r="AN141" i="1"/>
  <c r="AP141" i="1"/>
  <c r="AR141" i="1"/>
  <c r="AT141" i="1"/>
  <c r="AV141" i="1"/>
  <c r="AX141" i="1"/>
  <c r="A142" i="1"/>
  <c r="D142" i="1"/>
  <c r="F142" i="1"/>
  <c r="H142" i="1"/>
  <c r="J142" i="1"/>
  <c r="L142" i="1"/>
  <c r="N142" i="1"/>
  <c r="P142" i="1"/>
  <c r="R142" i="1"/>
  <c r="T142" i="1"/>
  <c r="V142" i="1"/>
  <c r="X142" i="1"/>
  <c r="Z142" i="1"/>
  <c r="AB142" i="1"/>
  <c r="AD142" i="1"/>
  <c r="AF142" i="1"/>
  <c r="AH142" i="1"/>
  <c r="AJ142" i="1"/>
  <c r="AL142" i="1"/>
  <c r="AN142" i="1"/>
  <c r="AP142" i="1"/>
  <c r="AR142" i="1"/>
  <c r="AT142" i="1"/>
  <c r="AV142" i="1"/>
  <c r="AX142" i="1"/>
  <c r="A143" i="1"/>
  <c r="D143" i="1"/>
  <c r="F143" i="1"/>
  <c r="H143" i="1"/>
  <c r="J143" i="1"/>
  <c r="L143" i="1"/>
  <c r="N143" i="1"/>
  <c r="P143" i="1"/>
  <c r="R143" i="1"/>
  <c r="T143" i="1"/>
  <c r="V143" i="1"/>
  <c r="X143" i="1"/>
  <c r="Z143" i="1"/>
  <c r="AB143" i="1"/>
  <c r="AD143" i="1"/>
  <c r="AF143" i="1"/>
  <c r="AH143" i="1"/>
  <c r="AJ143" i="1"/>
  <c r="AL143" i="1"/>
  <c r="AN143" i="1"/>
  <c r="AP143" i="1"/>
  <c r="AR143" i="1"/>
  <c r="AT143" i="1"/>
  <c r="AV143" i="1"/>
  <c r="AX143" i="1"/>
  <c r="A144" i="1"/>
  <c r="D144" i="1"/>
  <c r="F144" i="1"/>
  <c r="H144" i="1"/>
  <c r="J144" i="1"/>
  <c r="L144" i="1"/>
  <c r="N144" i="1"/>
  <c r="P144" i="1"/>
  <c r="R144" i="1"/>
  <c r="T144" i="1"/>
  <c r="V144" i="1"/>
  <c r="X144" i="1"/>
  <c r="Z144" i="1"/>
  <c r="AB144" i="1"/>
  <c r="AD144" i="1"/>
  <c r="AF144" i="1"/>
  <c r="AH144" i="1"/>
  <c r="AJ144" i="1"/>
  <c r="AL144" i="1"/>
  <c r="AN144" i="1"/>
  <c r="AP144" i="1"/>
  <c r="AR144" i="1"/>
  <c r="AT144" i="1"/>
  <c r="AV144" i="1"/>
  <c r="AX144" i="1"/>
  <c r="A145" i="1"/>
  <c r="D145" i="1"/>
  <c r="F145" i="1"/>
  <c r="H145" i="1"/>
  <c r="J145" i="1"/>
  <c r="L145" i="1"/>
  <c r="N145" i="1"/>
  <c r="P145" i="1"/>
  <c r="R145" i="1"/>
  <c r="T145" i="1"/>
  <c r="V145" i="1"/>
  <c r="X145" i="1"/>
  <c r="Z145" i="1"/>
  <c r="AB145" i="1"/>
  <c r="AD145" i="1"/>
  <c r="AF145" i="1"/>
  <c r="AH145" i="1"/>
  <c r="AJ145" i="1"/>
  <c r="AL145" i="1"/>
  <c r="AN145" i="1"/>
  <c r="AP145" i="1"/>
  <c r="AR145" i="1"/>
  <c r="AT145" i="1"/>
  <c r="AV145" i="1"/>
  <c r="AX145" i="1"/>
  <c r="A146" i="1"/>
  <c r="D146" i="1"/>
  <c r="F146" i="1"/>
  <c r="H146" i="1"/>
  <c r="J146" i="1"/>
  <c r="L146" i="1"/>
  <c r="N146" i="1"/>
  <c r="P146" i="1"/>
  <c r="R146" i="1"/>
  <c r="T146" i="1"/>
  <c r="V146" i="1"/>
  <c r="X146" i="1"/>
  <c r="Z146" i="1"/>
  <c r="AB146" i="1"/>
  <c r="AD146" i="1"/>
  <c r="AF146" i="1"/>
  <c r="AH146" i="1"/>
  <c r="AJ146" i="1"/>
  <c r="AL146" i="1"/>
  <c r="AN146" i="1"/>
  <c r="AP146" i="1"/>
  <c r="AR146" i="1"/>
  <c r="AT146" i="1"/>
  <c r="AV146" i="1"/>
  <c r="AX146" i="1"/>
  <c r="A147" i="1"/>
  <c r="D147" i="1"/>
  <c r="F147" i="1"/>
  <c r="H147" i="1"/>
  <c r="J147" i="1"/>
  <c r="L147" i="1"/>
  <c r="N147" i="1"/>
  <c r="P147" i="1"/>
  <c r="R147" i="1"/>
  <c r="T147" i="1"/>
  <c r="V147" i="1"/>
  <c r="X147" i="1"/>
  <c r="Z147" i="1"/>
  <c r="AB147" i="1"/>
  <c r="AD147" i="1"/>
  <c r="AF147" i="1"/>
  <c r="AH147" i="1"/>
  <c r="AJ147" i="1"/>
  <c r="AL147" i="1"/>
  <c r="AN147" i="1"/>
  <c r="AP147" i="1"/>
  <c r="AR147" i="1"/>
  <c r="AT147" i="1"/>
  <c r="AV147" i="1"/>
  <c r="AX147" i="1"/>
  <c r="A148" i="1"/>
  <c r="D148" i="1"/>
  <c r="F148" i="1"/>
  <c r="H148" i="1"/>
  <c r="J148" i="1"/>
  <c r="L148" i="1"/>
  <c r="N148" i="1"/>
  <c r="P148" i="1"/>
  <c r="R148" i="1"/>
  <c r="T148" i="1"/>
  <c r="V148" i="1"/>
  <c r="X148" i="1"/>
  <c r="Z148" i="1"/>
  <c r="AB148" i="1"/>
  <c r="AD148" i="1"/>
  <c r="AF148" i="1"/>
  <c r="AH148" i="1"/>
  <c r="AJ148" i="1"/>
  <c r="AL148" i="1"/>
  <c r="AN148" i="1"/>
  <c r="AP148" i="1"/>
  <c r="AR148" i="1"/>
  <c r="AT148" i="1"/>
  <c r="AV148" i="1"/>
  <c r="AX148" i="1"/>
  <c r="A149" i="1"/>
  <c r="D149" i="1"/>
  <c r="F149" i="1"/>
  <c r="H149" i="1"/>
  <c r="J149" i="1"/>
  <c r="L149" i="1"/>
  <c r="N149" i="1"/>
  <c r="P149" i="1"/>
  <c r="R149" i="1"/>
  <c r="T149" i="1"/>
  <c r="V149" i="1"/>
  <c r="X149" i="1"/>
  <c r="Z149" i="1"/>
  <c r="AB149" i="1"/>
  <c r="AD149" i="1"/>
  <c r="AF149" i="1"/>
  <c r="AH149" i="1"/>
  <c r="AJ149" i="1"/>
  <c r="AL149" i="1"/>
  <c r="AN149" i="1"/>
  <c r="AP149" i="1"/>
  <c r="AR149" i="1"/>
  <c r="AT149" i="1"/>
  <c r="AV149" i="1"/>
  <c r="AX149" i="1"/>
  <c r="A150" i="1"/>
  <c r="D150" i="1"/>
  <c r="F150" i="1"/>
  <c r="H150" i="1"/>
  <c r="J150" i="1"/>
  <c r="L150" i="1"/>
  <c r="N150" i="1"/>
  <c r="P150" i="1"/>
  <c r="R150" i="1"/>
  <c r="T150" i="1"/>
  <c r="V150" i="1"/>
  <c r="X150" i="1"/>
  <c r="Z150" i="1"/>
  <c r="AB150" i="1"/>
  <c r="AD150" i="1"/>
  <c r="AF150" i="1"/>
  <c r="AH150" i="1"/>
  <c r="AJ150" i="1"/>
  <c r="AL150" i="1"/>
  <c r="AN150" i="1"/>
  <c r="AP150" i="1"/>
  <c r="AR150" i="1"/>
  <c r="AT150" i="1"/>
  <c r="AV150" i="1"/>
  <c r="AX150" i="1"/>
  <c r="A151" i="1"/>
  <c r="D151" i="1"/>
  <c r="F151" i="1"/>
  <c r="H151" i="1"/>
  <c r="J151" i="1"/>
  <c r="L151" i="1"/>
  <c r="N151" i="1"/>
  <c r="P151" i="1"/>
  <c r="R151" i="1"/>
  <c r="T151" i="1"/>
  <c r="V151" i="1"/>
  <c r="X151" i="1"/>
  <c r="Z151" i="1"/>
  <c r="AB151" i="1"/>
  <c r="AD151" i="1"/>
  <c r="AF151" i="1"/>
  <c r="AH151" i="1"/>
  <c r="AJ151" i="1"/>
  <c r="AL151" i="1"/>
  <c r="AN151" i="1"/>
  <c r="AP151" i="1"/>
  <c r="AR151" i="1"/>
  <c r="AT151" i="1"/>
  <c r="AV151" i="1"/>
  <c r="AX151" i="1"/>
  <c r="A152" i="1"/>
  <c r="D152" i="1"/>
  <c r="F152" i="1"/>
  <c r="H152" i="1"/>
  <c r="J152" i="1"/>
  <c r="L152" i="1"/>
  <c r="N152" i="1"/>
  <c r="P152" i="1"/>
  <c r="R152" i="1"/>
  <c r="T152" i="1"/>
  <c r="V152" i="1"/>
  <c r="X152" i="1"/>
  <c r="Z152" i="1"/>
  <c r="AB152" i="1"/>
  <c r="AD152" i="1"/>
  <c r="AF152" i="1"/>
  <c r="AH152" i="1"/>
  <c r="AJ152" i="1"/>
  <c r="AL152" i="1"/>
  <c r="AN152" i="1"/>
  <c r="AP152" i="1"/>
  <c r="AR152" i="1"/>
  <c r="AT152" i="1"/>
  <c r="AV152" i="1"/>
  <c r="AX152" i="1"/>
  <c r="A153" i="1"/>
  <c r="D153" i="1"/>
  <c r="F153" i="1"/>
  <c r="H153" i="1"/>
  <c r="J153" i="1"/>
  <c r="L153" i="1"/>
  <c r="N153" i="1"/>
  <c r="P153" i="1"/>
  <c r="R153" i="1"/>
  <c r="T153" i="1"/>
  <c r="V153" i="1"/>
  <c r="X153" i="1"/>
  <c r="Z153" i="1"/>
  <c r="AB153" i="1"/>
  <c r="AD153" i="1"/>
  <c r="AF153" i="1"/>
  <c r="AH153" i="1"/>
  <c r="AJ153" i="1"/>
  <c r="AL153" i="1"/>
  <c r="AN153" i="1"/>
  <c r="AP153" i="1"/>
  <c r="AR153" i="1"/>
  <c r="AT153" i="1"/>
  <c r="AV153" i="1"/>
  <c r="AX153" i="1"/>
  <c r="A154" i="1"/>
  <c r="D154" i="1"/>
  <c r="F154" i="1"/>
  <c r="H154" i="1"/>
  <c r="J154" i="1"/>
  <c r="L154" i="1"/>
  <c r="N154" i="1"/>
  <c r="P154" i="1"/>
  <c r="R154" i="1"/>
  <c r="T154" i="1"/>
  <c r="V154" i="1"/>
  <c r="X154" i="1"/>
  <c r="Z154" i="1"/>
  <c r="AB154" i="1"/>
  <c r="AD154" i="1"/>
  <c r="AF154" i="1"/>
  <c r="AH154" i="1"/>
  <c r="AJ154" i="1"/>
  <c r="AL154" i="1"/>
  <c r="AN154" i="1"/>
  <c r="AP154" i="1"/>
  <c r="AR154" i="1"/>
  <c r="AT154" i="1"/>
  <c r="AV154" i="1"/>
  <c r="AX154" i="1"/>
  <c r="A155" i="1"/>
  <c r="D155" i="1"/>
  <c r="F155" i="1"/>
  <c r="H155" i="1"/>
  <c r="J155" i="1"/>
  <c r="L155" i="1"/>
  <c r="N155" i="1"/>
  <c r="P155" i="1"/>
  <c r="R155" i="1"/>
  <c r="T155" i="1"/>
  <c r="V155" i="1"/>
  <c r="X155" i="1"/>
  <c r="Z155" i="1"/>
  <c r="AB155" i="1"/>
  <c r="AD155" i="1"/>
  <c r="AF155" i="1"/>
  <c r="AH155" i="1"/>
  <c r="AJ155" i="1"/>
  <c r="AL155" i="1"/>
  <c r="AN155" i="1"/>
  <c r="AP155" i="1"/>
  <c r="AR155" i="1"/>
  <c r="AT155" i="1"/>
  <c r="AV155" i="1"/>
  <c r="AX155" i="1"/>
  <c r="A156" i="1"/>
  <c r="D156" i="1"/>
  <c r="F156" i="1"/>
  <c r="H156" i="1"/>
  <c r="J156" i="1"/>
  <c r="L156" i="1"/>
  <c r="N156" i="1"/>
  <c r="P156" i="1"/>
  <c r="R156" i="1"/>
  <c r="T156" i="1"/>
  <c r="V156" i="1"/>
  <c r="X156" i="1"/>
  <c r="Z156" i="1"/>
  <c r="AB156" i="1"/>
  <c r="AD156" i="1"/>
  <c r="AF156" i="1"/>
  <c r="AH156" i="1"/>
  <c r="AJ156" i="1"/>
  <c r="AL156" i="1"/>
  <c r="AN156" i="1"/>
  <c r="AP156" i="1"/>
  <c r="AR156" i="1"/>
  <c r="AT156" i="1"/>
  <c r="AV156" i="1"/>
  <c r="AX156" i="1"/>
  <c r="A157" i="1"/>
  <c r="D157" i="1"/>
  <c r="F157" i="1"/>
  <c r="H157" i="1"/>
  <c r="J157" i="1"/>
  <c r="L157" i="1"/>
  <c r="N157" i="1"/>
  <c r="P157" i="1"/>
  <c r="R157" i="1"/>
  <c r="T157" i="1"/>
  <c r="V157" i="1"/>
  <c r="X157" i="1"/>
  <c r="Z157" i="1"/>
  <c r="AB157" i="1"/>
  <c r="AD157" i="1"/>
  <c r="AF157" i="1"/>
  <c r="AH157" i="1"/>
  <c r="AJ157" i="1"/>
  <c r="AL157" i="1"/>
  <c r="AN157" i="1"/>
  <c r="AP157" i="1"/>
  <c r="AR157" i="1"/>
  <c r="AT157" i="1"/>
  <c r="AV157" i="1"/>
  <c r="AX157" i="1"/>
  <c r="A158" i="1"/>
  <c r="D158" i="1"/>
  <c r="F158" i="1"/>
  <c r="H158" i="1"/>
  <c r="J158" i="1"/>
  <c r="L158" i="1"/>
  <c r="N158" i="1"/>
  <c r="P158" i="1"/>
  <c r="R158" i="1"/>
  <c r="T158" i="1"/>
  <c r="V158" i="1"/>
  <c r="X158" i="1"/>
  <c r="Z158" i="1"/>
  <c r="AB158" i="1"/>
  <c r="AD158" i="1"/>
  <c r="AF158" i="1"/>
  <c r="AH158" i="1"/>
  <c r="AJ158" i="1"/>
  <c r="AL158" i="1"/>
  <c r="AN158" i="1"/>
  <c r="AP158" i="1"/>
  <c r="AR158" i="1"/>
  <c r="AT158" i="1"/>
  <c r="AV158" i="1"/>
  <c r="AX158" i="1"/>
  <c r="A162" i="1"/>
  <c r="D162" i="1"/>
  <c r="F162" i="1"/>
  <c r="H162" i="1"/>
  <c r="J162" i="1"/>
  <c r="L162" i="1"/>
  <c r="N162" i="1"/>
  <c r="P162" i="1"/>
  <c r="R162" i="1"/>
  <c r="T162" i="1"/>
  <c r="V162" i="1"/>
  <c r="X162" i="1"/>
  <c r="Z162" i="1"/>
  <c r="AB162" i="1"/>
  <c r="AD162" i="1"/>
  <c r="AF162" i="1"/>
  <c r="AH162" i="1"/>
  <c r="AJ162" i="1"/>
  <c r="AL162" i="1"/>
  <c r="AN162" i="1"/>
  <c r="AP162" i="1"/>
  <c r="AR162" i="1"/>
  <c r="AT162" i="1"/>
  <c r="AV162" i="1"/>
  <c r="AX162" i="1"/>
  <c r="A163" i="1"/>
  <c r="D163" i="1"/>
  <c r="F163" i="1"/>
  <c r="H163" i="1"/>
  <c r="J163" i="1"/>
  <c r="L163" i="1"/>
  <c r="N163" i="1"/>
  <c r="P163" i="1"/>
  <c r="R163" i="1"/>
  <c r="T163" i="1"/>
  <c r="V163" i="1"/>
  <c r="X163" i="1"/>
  <c r="Z163" i="1"/>
  <c r="AB163" i="1"/>
  <c r="AD163" i="1"/>
  <c r="AF163" i="1"/>
  <c r="AH163" i="1"/>
  <c r="AJ163" i="1"/>
  <c r="AL163" i="1"/>
  <c r="AN163" i="1"/>
  <c r="AP163" i="1"/>
  <c r="AR163" i="1"/>
  <c r="AT163" i="1"/>
  <c r="AV163" i="1"/>
  <c r="AX163" i="1"/>
  <c r="A164" i="1"/>
  <c r="D164" i="1"/>
  <c r="F164" i="1"/>
  <c r="H164" i="1"/>
  <c r="J164" i="1"/>
  <c r="L164" i="1"/>
  <c r="N164" i="1"/>
  <c r="P164" i="1"/>
  <c r="R164" i="1"/>
  <c r="T164" i="1"/>
  <c r="V164" i="1"/>
  <c r="X164" i="1"/>
  <c r="Z164" i="1"/>
  <c r="AB164" i="1"/>
  <c r="AD164" i="1"/>
  <c r="AF164" i="1"/>
  <c r="AH164" i="1"/>
  <c r="AJ164" i="1"/>
  <c r="AL164" i="1"/>
  <c r="AN164" i="1"/>
  <c r="AP164" i="1"/>
  <c r="AR164" i="1"/>
  <c r="AT164" i="1"/>
  <c r="AV164" i="1"/>
  <c r="AX164" i="1"/>
  <c r="A165" i="1"/>
  <c r="D165" i="1"/>
  <c r="F165" i="1"/>
  <c r="H165" i="1"/>
  <c r="J165" i="1"/>
  <c r="L165" i="1"/>
  <c r="N165" i="1"/>
  <c r="P165" i="1"/>
  <c r="R165" i="1"/>
  <c r="T165" i="1"/>
  <c r="V165" i="1"/>
  <c r="X165" i="1"/>
  <c r="Z165" i="1"/>
  <c r="AB165" i="1"/>
  <c r="AD165" i="1"/>
  <c r="AF165" i="1"/>
  <c r="AH165" i="1"/>
  <c r="AJ165" i="1"/>
  <c r="AL165" i="1"/>
  <c r="AN165" i="1"/>
  <c r="AP165" i="1"/>
  <c r="AR165" i="1"/>
  <c r="AT165" i="1"/>
  <c r="AV165" i="1"/>
  <c r="AX165" i="1"/>
  <c r="A166" i="1"/>
  <c r="D166" i="1"/>
  <c r="F166" i="1"/>
  <c r="H166" i="1"/>
  <c r="J166" i="1"/>
  <c r="L166" i="1"/>
  <c r="N166" i="1"/>
  <c r="P166" i="1"/>
  <c r="R166" i="1"/>
  <c r="T166" i="1"/>
  <c r="V166" i="1"/>
  <c r="X166" i="1"/>
  <c r="Z166" i="1"/>
  <c r="AB166" i="1"/>
  <c r="AD166" i="1"/>
  <c r="AF166" i="1"/>
  <c r="AH166" i="1"/>
  <c r="AJ166" i="1"/>
  <c r="AL166" i="1"/>
  <c r="AN166" i="1"/>
  <c r="AP166" i="1"/>
  <c r="AR166" i="1"/>
  <c r="AT166" i="1"/>
  <c r="AV166" i="1"/>
  <c r="AX166" i="1"/>
  <c r="A167" i="1"/>
  <c r="D167" i="1"/>
  <c r="F167" i="1"/>
  <c r="H167" i="1"/>
  <c r="J167" i="1"/>
  <c r="L167" i="1"/>
  <c r="N167" i="1"/>
  <c r="P167" i="1"/>
  <c r="R167" i="1"/>
  <c r="T167" i="1"/>
  <c r="V167" i="1"/>
  <c r="X167" i="1"/>
  <c r="Z167" i="1"/>
  <c r="AB167" i="1"/>
  <c r="AD167" i="1"/>
  <c r="AF167" i="1"/>
  <c r="AH167" i="1"/>
  <c r="AJ167" i="1"/>
  <c r="AL167" i="1"/>
  <c r="AN167" i="1"/>
  <c r="AP167" i="1"/>
  <c r="AR167" i="1"/>
  <c r="AT167" i="1"/>
  <c r="AV167" i="1"/>
  <c r="AX167" i="1"/>
  <c r="A168" i="1"/>
  <c r="D168" i="1"/>
  <c r="F168" i="1"/>
  <c r="H168" i="1"/>
  <c r="J168" i="1"/>
  <c r="L168" i="1"/>
  <c r="N168" i="1"/>
  <c r="P168" i="1"/>
  <c r="R168" i="1"/>
  <c r="T168" i="1"/>
  <c r="V168" i="1"/>
  <c r="X168" i="1"/>
  <c r="Z168" i="1"/>
  <c r="AB168" i="1"/>
  <c r="AD168" i="1"/>
  <c r="AF168" i="1"/>
  <c r="AH168" i="1"/>
  <c r="AJ168" i="1"/>
  <c r="AL168" i="1"/>
  <c r="AN168" i="1"/>
  <c r="AP168" i="1"/>
  <c r="AR168" i="1"/>
  <c r="AT168" i="1"/>
  <c r="AV168" i="1"/>
  <c r="AX168" i="1"/>
  <c r="A169" i="1"/>
  <c r="D169" i="1"/>
  <c r="F169" i="1"/>
  <c r="H169" i="1"/>
  <c r="J169" i="1"/>
  <c r="L169" i="1"/>
  <c r="N169" i="1"/>
  <c r="P169" i="1"/>
  <c r="R169" i="1"/>
  <c r="T169" i="1"/>
  <c r="V169" i="1"/>
  <c r="X169" i="1"/>
  <c r="Z169" i="1"/>
  <c r="AB169" i="1"/>
  <c r="AD169" i="1"/>
  <c r="AF169" i="1"/>
  <c r="AH169" i="1"/>
  <c r="AJ169" i="1"/>
  <c r="AL169" i="1"/>
  <c r="AN169" i="1"/>
  <c r="AP169" i="1"/>
  <c r="AR169" i="1"/>
  <c r="AT169" i="1"/>
  <c r="AV169" i="1"/>
  <c r="AX169" i="1"/>
  <c r="A170" i="1"/>
  <c r="D170" i="1"/>
  <c r="F170" i="1"/>
  <c r="H170" i="1"/>
  <c r="J170" i="1"/>
  <c r="L170" i="1"/>
  <c r="N170" i="1"/>
  <c r="P170" i="1"/>
  <c r="R170" i="1"/>
  <c r="T170" i="1"/>
  <c r="V170" i="1"/>
  <c r="X170" i="1"/>
  <c r="Z170" i="1"/>
  <c r="AB170" i="1"/>
  <c r="AD170" i="1"/>
  <c r="AF170" i="1"/>
  <c r="AH170" i="1"/>
  <c r="AJ170" i="1"/>
  <c r="AL170" i="1"/>
  <c r="AN170" i="1"/>
  <c r="AP170" i="1"/>
  <c r="AR170" i="1"/>
  <c r="AT170" i="1"/>
  <c r="AV170" i="1"/>
  <c r="AX170" i="1"/>
  <c r="A171" i="1"/>
  <c r="D171" i="1"/>
  <c r="F171" i="1"/>
  <c r="H171" i="1"/>
  <c r="J171" i="1"/>
  <c r="L171" i="1"/>
  <c r="N171" i="1"/>
  <c r="P171" i="1"/>
  <c r="R171" i="1"/>
  <c r="T171" i="1"/>
  <c r="V171" i="1"/>
  <c r="X171" i="1"/>
  <c r="Z171" i="1"/>
  <c r="AB171" i="1"/>
  <c r="AD171" i="1"/>
  <c r="AF171" i="1"/>
  <c r="AH171" i="1"/>
  <c r="AJ171" i="1"/>
  <c r="AL171" i="1"/>
  <c r="AN171" i="1"/>
  <c r="AP171" i="1"/>
  <c r="AR171" i="1"/>
  <c r="AT171" i="1"/>
  <c r="AV171" i="1"/>
  <c r="AX171" i="1"/>
  <c r="A172" i="1"/>
  <c r="D172" i="1"/>
  <c r="F172" i="1"/>
  <c r="H172" i="1"/>
  <c r="J172" i="1"/>
  <c r="L172" i="1"/>
  <c r="N172" i="1"/>
  <c r="P172" i="1"/>
  <c r="R172" i="1"/>
  <c r="T172" i="1"/>
  <c r="V172" i="1"/>
  <c r="X172" i="1"/>
  <c r="Z172" i="1"/>
  <c r="AB172" i="1"/>
  <c r="AD172" i="1"/>
  <c r="AF172" i="1"/>
  <c r="AH172" i="1"/>
  <c r="AJ172" i="1"/>
  <c r="AL172" i="1"/>
  <c r="AN172" i="1"/>
  <c r="AP172" i="1"/>
  <c r="AR172" i="1"/>
  <c r="AT172" i="1"/>
  <c r="AV172" i="1"/>
  <c r="AX172" i="1"/>
  <c r="A173" i="1"/>
  <c r="D173" i="1"/>
  <c r="F173" i="1"/>
  <c r="H173" i="1"/>
  <c r="J173" i="1"/>
  <c r="L173" i="1"/>
  <c r="N173" i="1"/>
  <c r="P173" i="1"/>
  <c r="R173" i="1"/>
  <c r="T173" i="1"/>
  <c r="V173" i="1"/>
  <c r="X173" i="1"/>
  <c r="Z173" i="1"/>
  <c r="AB173" i="1"/>
  <c r="AD173" i="1"/>
  <c r="AF173" i="1"/>
  <c r="AH173" i="1"/>
  <c r="AJ173" i="1"/>
  <c r="AL173" i="1"/>
  <c r="AN173" i="1"/>
  <c r="AP173" i="1"/>
  <c r="AR173" i="1"/>
  <c r="AT173" i="1"/>
  <c r="AV173" i="1"/>
  <c r="AX173" i="1"/>
  <c r="A174" i="1"/>
  <c r="D174" i="1"/>
  <c r="F174" i="1"/>
  <c r="H174" i="1"/>
  <c r="J174" i="1"/>
  <c r="L174" i="1"/>
  <c r="N174" i="1"/>
  <c r="P174" i="1"/>
  <c r="R174" i="1"/>
  <c r="T174" i="1"/>
  <c r="V174" i="1"/>
  <c r="X174" i="1"/>
  <c r="Z174" i="1"/>
  <c r="AB174" i="1"/>
  <c r="AD174" i="1"/>
  <c r="AF174" i="1"/>
  <c r="AH174" i="1"/>
  <c r="AJ174" i="1"/>
  <c r="AL174" i="1"/>
  <c r="AN174" i="1"/>
  <c r="AP174" i="1"/>
  <c r="AR174" i="1"/>
  <c r="AT174" i="1"/>
  <c r="AV174" i="1"/>
  <c r="AX174" i="1"/>
  <c r="A175" i="1"/>
  <c r="D175" i="1"/>
  <c r="F175" i="1"/>
  <c r="H175" i="1"/>
  <c r="J175" i="1"/>
  <c r="L175" i="1"/>
  <c r="N175" i="1"/>
  <c r="P175" i="1"/>
  <c r="R175" i="1"/>
  <c r="T175" i="1"/>
  <c r="V175" i="1"/>
  <c r="X175" i="1"/>
  <c r="Z175" i="1"/>
  <c r="AB175" i="1"/>
  <c r="AD175" i="1"/>
  <c r="AF175" i="1"/>
  <c r="AH175" i="1"/>
  <c r="AJ175" i="1"/>
  <c r="AL175" i="1"/>
  <c r="AN175" i="1"/>
  <c r="AP175" i="1"/>
  <c r="AR175" i="1"/>
  <c r="AT175" i="1"/>
  <c r="AV175" i="1"/>
  <c r="AX175" i="1"/>
  <c r="A176" i="1"/>
  <c r="D176" i="1"/>
  <c r="F176" i="1"/>
  <c r="H176" i="1"/>
  <c r="J176" i="1"/>
  <c r="L176" i="1"/>
  <c r="N176" i="1"/>
  <c r="P176" i="1"/>
  <c r="R176" i="1"/>
  <c r="T176" i="1"/>
  <c r="V176" i="1"/>
  <c r="X176" i="1"/>
  <c r="Z176" i="1"/>
  <c r="AB176" i="1"/>
  <c r="AD176" i="1"/>
  <c r="AF176" i="1"/>
  <c r="AH176" i="1"/>
  <c r="AJ176" i="1"/>
  <c r="AL176" i="1"/>
  <c r="AN176" i="1"/>
  <c r="AP176" i="1"/>
  <c r="AR176" i="1"/>
  <c r="AT176" i="1"/>
  <c r="AV176" i="1"/>
  <c r="AX176" i="1"/>
  <c r="A177" i="1"/>
  <c r="D177" i="1"/>
  <c r="F177" i="1"/>
  <c r="H177" i="1"/>
  <c r="J177" i="1"/>
  <c r="L177" i="1"/>
  <c r="N177" i="1"/>
  <c r="P177" i="1"/>
  <c r="R177" i="1"/>
  <c r="T177" i="1"/>
  <c r="V177" i="1"/>
  <c r="X177" i="1"/>
  <c r="Z177" i="1"/>
  <c r="AB177" i="1"/>
  <c r="AD177" i="1"/>
  <c r="AF177" i="1"/>
  <c r="AH177" i="1"/>
  <c r="AJ177" i="1"/>
  <c r="AL177" i="1"/>
  <c r="AN177" i="1"/>
  <c r="AP177" i="1"/>
  <c r="AR177" i="1"/>
  <c r="AT177" i="1"/>
  <c r="AV177" i="1"/>
  <c r="AX177" i="1"/>
  <c r="A178" i="1"/>
  <c r="D178" i="1"/>
  <c r="F178" i="1"/>
  <c r="H178" i="1"/>
  <c r="J178" i="1"/>
  <c r="L178" i="1"/>
  <c r="N178" i="1"/>
  <c r="P178" i="1"/>
  <c r="R178" i="1"/>
  <c r="T178" i="1"/>
  <c r="V178" i="1"/>
  <c r="X178" i="1"/>
  <c r="Z178" i="1"/>
  <c r="AB178" i="1"/>
  <c r="AD178" i="1"/>
  <c r="AF178" i="1"/>
  <c r="AH178" i="1"/>
  <c r="AJ178" i="1"/>
  <c r="AL178" i="1"/>
  <c r="AN178" i="1"/>
  <c r="AP178" i="1"/>
  <c r="AR178" i="1"/>
  <c r="AT178" i="1"/>
  <c r="AV178" i="1"/>
  <c r="AX178" i="1"/>
  <c r="A179" i="1"/>
  <c r="D179" i="1"/>
  <c r="F179" i="1"/>
  <c r="H179" i="1"/>
  <c r="J179" i="1"/>
  <c r="L179" i="1"/>
  <c r="N179" i="1"/>
  <c r="P179" i="1"/>
  <c r="R179" i="1"/>
  <c r="T179" i="1"/>
  <c r="V179" i="1"/>
  <c r="X179" i="1"/>
  <c r="Z179" i="1"/>
  <c r="AB179" i="1"/>
  <c r="AD179" i="1"/>
  <c r="AF179" i="1"/>
  <c r="AH179" i="1"/>
  <c r="AJ179" i="1"/>
  <c r="AL179" i="1"/>
  <c r="AN179" i="1"/>
  <c r="AP179" i="1"/>
  <c r="AR179" i="1"/>
  <c r="AT179" i="1"/>
  <c r="AV179" i="1"/>
  <c r="AX179" i="1"/>
  <c r="A180" i="1"/>
  <c r="D180" i="1"/>
  <c r="F180" i="1"/>
  <c r="H180" i="1"/>
  <c r="J180" i="1"/>
  <c r="L180" i="1"/>
  <c r="N180" i="1"/>
  <c r="P180" i="1"/>
  <c r="R180" i="1"/>
  <c r="T180" i="1"/>
  <c r="V180" i="1"/>
  <c r="X180" i="1"/>
  <c r="Z180" i="1"/>
  <c r="AB180" i="1"/>
  <c r="AD180" i="1"/>
  <c r="AF180" i="1"/>
  <c r="AH180" i="1"/>
  <c r="AJ180" i="1"/>
  <c r="AL180" i="1"/>
  <c r="AN180" i="1"/>
  <c r="AP180" i="1"/>
  <c r="AR180" i="1"/>
  <c r="AT180" i="1"/>
  <c r="AV180" i="1"/>
  <c r="AX180" i="1"/>
  <c r="A181" i="1"/>
  <c r="D181" i="1"/>
  <c r="F181" i="1"/>
  <c r="H181" i="1"/>
  <c r="J181" i="1"/>
  <c r="L181" i="1"/>
  <c r="N181" i="1"/>
  <c r="P181" i="1"/>
  <c r="R181" i="1"/>
  <c r="T181" i="1"/>
  <c r="V181" i="1"/>
  <c r="X181" i="1"/>
  <c r="Z181" i="1"/>
  <c r="AB181" i="1"/>
  <c r="AD181" i="1"/>
  <c r="AF181" i="1"/>
  <c r="AH181" i="1"/>
  <c r="AJ181" i="1"/>
  <c r="AL181" i="1"/>
  <c r="AN181" i="1"/>
  <c r="AP181" i="1"/>
  <c r="AR181" i="1"/>
  <c r="AT181" i="1"/>
  <c r="AV181" i="1"/>
  <c r="AX181" i="1"/>
  <c r="A182" i="1"/>
  <c r="D182" i="1"/>
  <c r="F182" i="1"/>
  <c r="H182" i="1"/>
  <c r="J182" i="1"/>
  <c r="L182" i="1"/>
  <c r="N182" i="1"/>
  <c r="P182" i="1"/>
  <c r="R182" i="1"/>
  <c r="T182" i="1"/>
  <c r="V182" i="1"/>
  <c r="X182" i="1"/>
  <c r="Z182" i="1"/>
  <c r="AB182" i="1"/>
  <c r="AD182" i="1"/>
  <c r="AF182" i="1"/>
  <c r="AH182" i="1"/>
  <c r="AJ182" i="1"/>
  <c r="AL182" i="1"/>
  <c r="AN182" i="1"/>
  <c r="AP182" i="1"/>
  <c r="AR182" i="1"/>
  <c r="AT182" i="1"/>
  <c r="AV182" i="1"/>
  <c r="AX182" i="1"/>
  <c r="A183" i="1"/>
  <c r="D183" i="1"/>
  <c r="F183" i="1"/>
  <c r="H183" i="1"/>
  <c r="J183" i="1"/>
  <c r="L183" i="1"/>
  <c r="N183" i="1"/>
  <c r="P183" i="1"/>
  <c r="R183" i="1"/>
  <c r="T183" i="1"/>
  <c r="V183" i="1"/>
  <c r="X183" i="1"/>
  <c r="Z183" i="1"/>
  <c r="AB183" i="1"/>
  <c r="AD183" i="1"/>
  <c r="AF183" i="1"/>
  <c r="AH183" i="1"/>
  <c r="AJ183" i="1"/>
  <c r="AL183" i="1"/>
  <c r="AN183" i="1"/>
  <c r="AP183" i="1"/>
  <c r="AR183" i="1"/>
  <c r="AT183" i="1"/>
  <c r="AV183" i="1"/>
  <c r="AX183" i="1"/>
  <c r="A184" i="1"/>
  <c r="D184" i="1"/>
  <c r="F184" i="1"/>
  <c r="H184" i="1"/>
  <c r="J184" i="1"/>
  <c r="L184" i="1"/>
  <c r="N184" i="1"/>
  <c r="P184" i="1"/>
  <c r="R184" i="1"/>
  <c r="T184" i="1"/>
  <c r="V184" i="1"/>
  <c r="X184" i="1"/>
  <c r="Z184" i="1"/>
  <c r="AB184" i="1"/>
  <c r="AD184" i="1"/>
  <c r="AF184" i="1"/>
  <c r="AH184" i="1"/>
  <c r="AJ184" i="1"/>
  <c r="AL184" i="1"/>
  <c r="AN184" i="1"/>
  <c r="AP184" i="1"/>
  <c r="AR184" i="1"/>
  <c r="AT184" i="1"/>
  <c r="AV184" i="1"/>
  <c r="AX184" i="1"/>
  <c r="A185" i="1"/>
  <c r="D185" i="1"/>
  <c r="F185" i="1"/>
  <c r="H185" i="1"/>
  <c r="J185" i="1"/>
  <c r="L185" i="1"/>
  <c r="N185" i="1"/>
  <c r="P185" i="1"/>
  <c r="R185" i="1"/>
  <c r="T185" i="1"/>
  <c r="V185" i="1"/>
  <c r="X185" i="1"/>
  <c r="Z185" i="1"/>
  <c r="AB185" i="1"/>
  <c r="AD185" i="1"/>
  <c r="AF185" i="1"/>
  <c r="AH185" i="1"/>
  <c r="AJ185" i="1"/>
  <c r="AL185" i="1"/>
  <c r="AN185" i="1"/>
  <c r="AP185" i="1"/>
  <c r="AR185" i="1"/>
  <c r="AT185" i="1"/>
  <c r="AV185" i="1"/>
  <c r="AX185" i="1"/>
  <c r="A186" i="1"/>
  <c r="D186" i="1"/>
  <c r="F186" i="1"/>
  <c r="H186" i="1"/>
  <c r="J186" i="1"/>
  <c r="L186" i="1"/>
  <c r="N186" i="1"/>
  <c r="P186" i="1"/>
  <c r="R186" i="1"/>
  <c r="T186" i="1"/>
  <c r="V186" i="1"/>
  <c r="X186" i="1"/>
  <c r="Z186" i="1"/>
  <c r="AB186" i="1"/>
  <c r="AD186" i="1"/>
  <c r="AF186" i="1"/>
  <c r="AH186" i="1"/>
  <c r="AJ186" i="1"/>
  <c r="AL186" i="1"/>
  <c r="AN186" i="1"/>
  <c r="AP186" i="1"/>
  <c r="AR186" i="1"/>
  <c r="AT186" i="1"/>
  <c r="AV186" i="1"/>
  <c r="AX186" i="1"/>
  <c r="A187" i="1"/>
  <c r="D187" i="1"/>
  <c r="F187" i="1"/>
  <c r="H187" i="1"/>
  <c r="J187" i="1"/>
  <c r="L187" i="1"/>
  <c r="N187" i="1"/>
  <c r="P187" i="1"/>
  <c r="R187" i="1"/>
  <c r="T187" i="1"/>
  <c r="V187" i="1"/>
  <c r="X187" i="1"/>
  <c r="Z187" i="1"/>
  <c r="AB187" i="1"/>
  <c r="AD187" i="1"/>
  <c r="AF187" i="1"/>
  <c r="AH187" i="1"/>
  <c r="AJ187" i="1"/>
  <c r="AL187" i="1"/>
  <c r="AN187" i="1"/>
  <c r="AP187" i="1"/>
  <c r="AR187" i="1"/>
  <c r="AT187" i="1"/>
  <c r="AV187" i="1"/>
  <c r="AX187" i="1"/>
  <c r="A188" i="1"/>
  <c r="D188" i="1"/>
  <c r="F188" i="1"/>
  <c r="H188" i="1"/>
  <c r="J188" i="1"/>
  <c r="L188" i="1"/>
  <c r="N188" i="1"/>
  <c r="P188" i="1"/>
  <c r="R188" i="1"/>
  <c r="T188" i="1"/>
  <c r="V188" i="1"/>
  <c r="X188" i="1"/>
  <c r="Z188" i="1"/>
  <c r="AB188" i="1"/>
  <c r="AD188" i="1"/>
  <c r="AF188" i="1"/>
  <c r="AH188" i="1"/>
  <c r="AJ188" i="1"/>
  <c r="AL188" i="1"/>
  <c r="AN188" i="1"/>
  <c r="AP188" i="1"/>
  <c r="AR188" i="1"/>
  <c r="AT188" i="1"/>
  <c r="AV188" i="1"/>
  <c r="AX188" i="1"/>
  <c r="A189" i="1"/>
  <c r="D189" i="1"/>
  <c r="F189" i="1"/>
  <c r="H189" i="1"/>
  <c r="J189" i="1"/>
  <c r="L189" i="1"/>
  <c r="N189" i="1"/>
  <c r="P189" i="1"/>
  <c r="R189" i="1"/>
  <c r="T189" i="1"/>
  <c r="V189" i="1"/>
  <c r="X189" i="1"/>
  <c r="Z189" i="1"/>
  <c r="AB189" i="1"/>
  <c r="AD189" i="1"/>
  <c r="AF189" i="1"/>
  <c r="AH189" i="1"/>
  <c r="AJ189" i="1"/>
  <c r="AL189" i="1"/>
  <c r="AN189" i="1"/>
  <c r="AP189" i="1"/>
  <c r="AR189" i="1"/>
  <c r="AT189" i="1"/>
  <c r="AV189" i="1"/>
  <c r="AX189" i="1"/>
  <c r="A190" i="1"/>
  <c r="D190" i="1"/>
  <c r="F190" i="1"/>
  <c r="H190" i="1"/>
  <c r="J190" i="1"/>
  <c r="L190" i="1"/>
  <c r="N190" i="1"/>
  <c r="P190" i="1"/>
  <c r="R190" i="1"/>
  <c r="T190" i="1"/>
  <c r="V190" i="1"/>
  <c r="X190" i="1"/>
  <c r="Z190" i="1"/>
  <c r="AB190" i="1"/>
  <c r="AD190" i="1"/>
  <c r="AF190" i="1"/>
  <c r="AH190" i="1"/>
  <c r="AJ190" i="1"/>
  <c r="AL190" i="1"/>
  <c r="AN190" i="1"/>
  <c r="AP190" i="1"/>
  <c r="AR190" i="1"/>
  <c r="AT190" i="1"/>
  <c r="AV190" i="1"/>
  <c r="AX190" i="1"/>
  <c r="A191" i="1"/>
  <c r="D191" i="1"/>
  <c r="F191" i="1"/>
  <c r="H191" i="1"/>
  <c r="J191" i="1"/>
  <c r="L191" i="1"/>
  <c r="N191" i="1"/>
  <c r="P191" i="1"/>
  <c r="R191" i="1"/>
  <c r="T191" i="1"/>
  <c r="V191" i="1"/>
  <c r="X191" i="1"/>
  <c r="Z191" i="1"/>
  <c r="AB191" i="1"/>
  <c r="AD191" i="1"/>
  <c r="AF191" i="1"/>
  <c r="AH191" i="1"/>
  <c r="AJ191" i="1"/>
  <c r="AL191" i="1"/>
  <c r="AN191" i="1"/>
  <c r="AP191" i="1"/>
  <c r="AR191" i="1"/>
  <c r="AT191" i="1"/>
  <c r="AV191" i="1"/>
  <c r="AX191" i="1"/>
  <c r="A192" i="1"/>
  <c r="D192" i="1"/>
  <c r="F192" i="1"/>
  <c r="H192" i="1"/>
  <c r="J192" i="1"/>
  <c r="L192" i="1"/>
  <c r="N192" i="1"/>
  <c r="P192" i="1"/>
  <c r="R192" i="1"/>
  <c r="T192" i="1"/>
  <c r="V192" i="1"/>
  <c r="X192" i="1"/>
  <c r="Z192" i="1"/>
  <c r="AB192" i="1"/>
  <c r="AD192" i="1"/>
  <c r="AF192" i="1"/>
  <c r="AH192" i="1"/>
  <c r="AJ192" i="1"/>
  <c r="AL192" i="1"/>
  <c r="AN192" i="1"/>
  <c r="AP192" i="1"/>
  <c r="AR192" i="1"/>
  <c r="AT192" i="1"/>
  <c r="AV192" i="1"/>
  <c r="AX192" i="1"/>
  <c r="A193" i="1"/>
  <c r="D193" i="1"/>
  <c r="F193" i="1"/>
  <c r="H193" i="1"/>
  <c r="J193" i="1"/>
  <c r="L193" i="1"/>
  <c r="N193" i="1"/>
  <c r="P193" i="1"/>
  <c r="R193" i="1"/>
  <c r="T193" i="1"/>
  <c r="V193" i="1"/>
  <c r="X193" i="1"/>
  <c r="Z193" i="1"/>
  <c r="AB193" i="1"/>
  <c r="AD193" i="1"/>
  <c r="AF193" i="1"/>
  <c r="AH193" i="1"/>
  <c r="AJ193" i="1"/>
  <c r="AL193" i="1"/>
  <c r="AN193" i="1"/>
  <c r="AP193" i="1"/>
  <c r="AR193" i="1"/>
  <c r="AT193" i="1"/>
  <c r="AV193" i="1"/>
  <c r="AX193" i="1"/>
  <c r="A194" i="1"/>
  <c r="D194" i="1"/>
  <c r="F194" i="1"/>
  <c r="H194" i="1"/>
  <c r="J194" i="1"/>
  <c r="L194" i="1"/>
  <c r="N194" i="1"/>
  <c r="P194" i="1"/>
  <c r="R194" i="1"/>
  <c r="T194" i="1"/>
  <c r="V194" i="1"/>
  <c r="X194" i="1"/>
  <c r="Z194" i="1"/>
  <c r="AB194" i="1"/>
  <c r="AD194" i="1"/>
  <c r="AF194" i="1"/>
  <c r="AH194" i="1"/>
  <c r="AJ194" i="1"/>
  <c r="AL194" i="1"/>
  <c r="AN194" i="1"/>
  <c r="AP194" i="1"/>
  <c r="AR194" i="1"/>
  <c r="AT194" i="1"/>
  <c r="AV194" i="1"/>
  <c r="AX194" i="1"/>
  <c r="A195" i="1"/>
  <c r="D195" i="1"/>
  <c r="F195" i="1"/>
  <c r="H195" i="1"/>
  <c r="J195" i="1"/>
  <c r="L195" i="1"/>
  <c r="N195" i="1"/>
  <c r="P195" i="1"/>
  <c r="R195" i="1"/>
  <c r="T195" i="1"/>
  <c r="V195" i="1"/>
  <c r="X195" i="1"/>
  <c r="Z195" i="1"/>
  <c r="AB195" i="1"/>
  <c r="AD195" i="1"/>
  <c r="AF195" i="1"/>
  <c r="AH195" i="1"/>
  <c r="AJ195" i="1"/>
  <c r="AL195" i="1"/>
  <c r="AN195" i="1"/>
  <c r="AP195" i="1"/>
  <c r="AR195" i="1"/>
  <c r="AT195" i="1"/>
  <c r="AV195" i="1"/>
  <c r="AX195" i="1"/>
  <c r="A198" i="1"/>
  <c r="D198" i="1"/>
  <c r="F198" i="1"/>
  <c r="H198" i="1"/>
  <c r="J198" i="1"/>
  <c r="L198" i="1"/>
  <c r="N198" i="1"/>
  <c r="P198" i="1"/>
  <c r="R198" i="1"/>
  <c r="T198" i="1"/>
  <c r="V198" i="1"/>
  <c r="X198" i="1"/>
  <c r="Z198" i="1"/>
  <c r="AB198" i="1"/>
  <c r="AD198" i="1"/>
  <c r="AF198" i="1"/>
  <c r="AH198" i="1"/>
  <c r="AJ198" i="1"/>
  <c r="AL198" i="1"/>
  <c r="AN198" i="1"/>
  <c r="AP198" i="1"/>
  <c r="AR198" i="1"/>
  <c r="AT198" i="1"/>
  <c r="AV198" i="1"/>
  <c r="AX198" i="1"/>
  <c r="A199" i="1"/>
  <c r="D199" i="1"/>
  <c r="F199" i="1"/>
  <c r="H199" i="1"/>
  <c r="J199" i="1"/>
  <c r="L199" i="1"/>
  <c r="N199" i="1"/>
  <c r="P199" i="1"/>
  <c r="R199" i="1"/>
  <c r="T199" i="1"/>
  <c r="V199" i="1"/>
  <c r="X199" i="1"/>
  <c r="Z199" i="1"/>
  <c r="AB199" i="1"/>
  <c r="AD199" i="1"/>
  <c r="AF199" i="1"/>
  <c r="AH199" i="1"/>
  <c r="AJ199" i="1"/>
  <c r="AL199" i="1"/>
  <c r="AN199" i="1"/>
  <c r="AP199" i="1"/>
  <c r="AR199" i="1"/>
  <c r="AT199" i="1"/>
  <c r="AV199" i="1"/>
  <c r="AX199" i="1"/>
  <c r="A200" i="1"/>
  <c r="D200" i="1"/>
  <c r="F200" i="1"/>
  <c r="H200" i="1"/>
  <c r="J200" i="1"/>
  <c r="L200" i="1"/>
  <c r="N200" i="1"/>
  <c r="P200" i="1"/>
  <c r="R200" i="1"/>
  <c r="T200" i="1"/>
  <c r="V200" i="1"/>
  <c r="X200" i="1"/>
  <c r="Z200" i="1"/>
  <c r="AB200" i="1"/>
  <c r="AD200" i="1"/>
  <c r="AF200" i="1"/>
  <c r="AH200" i="1"/>
  <c r="AJ200" i="1"/>
  <c r="AL200" i="1"/>
  <c r="AN200" i="1"/>
  <c r="AP200" i="1"/>
  <c r="AR200" i="1"/>
  <c r="AT200" i="1"/>
  <c r="AV200" i="1"/>
  <c r="AX200" i="1"/>
  <c r="A201" i="1"/>
  <c r="D201" i="1"/>
  <c r="F201" i="1"/>
  <c r="H201" i="1"/>
  <c r="J201" i="1"/>
  <c r="L201" i="1"/>
  <c r="N201" i="1"/>
  <c r="P201" i="1"/>
  <c r="R201" i="1"/>
  <c r="T201" i="1"/>
  <c r="V201" i="1"/>
  <c r="X201" i="1"/>
  <c r="Z201" i="1"/>
  <c r="AB201" i="1"/>
  <c r="AD201" i="1"/>
  <c r="AF201" i="1"/>
  <c r="AH201" i="1"/>
  <c r="AJ201" i="1"/>
  <c r="AL201" i="1"/>
  <c r="AN201" i="1"/>
  <c r="AP201" i="1"/>
  <c r="AR201" i="1"/>
  <c r="AT201" i="1"/>
  <c r="AV201" i="1"/>
  <c r="AX201" i="1"/>
  <c r="A202" i="1"/>
  <c r="D202" i="1"/>
  <c r="F202" i="1"/>
  <c r="H202" i="1"/>
  <c r="J202" i="1"/>
  <c r="L202" i="1"/>
  <c r="N202" i="1"/>
  <c r="P202" i="1"/>
  <c r="R202" i="1"/>
  <c r="T202" i="1"/>
  <c r="V202" i="1"/>
  <c r="X202" i="1"/>
  <c r="Z202" i="1"/>
  <c r="AB202" i="1"/>
  <c r="AD202" i="1"/>
  <c r="AF202" i="1"/>
  <c r="AH202" i="1"/>
  <c r="AJ202" i="1"/>
  <c r="AL202" i="1"/>
  <c r="AN202" i="1"/>
  <c r="AP202" i="1"/>
  <c r="AR202" i="1"/>
  <c r="AT202" i="1"/>
  <c r="AV202" i="1"/>
  <c r="AX202" i="1"/>
  <c r="A203" i="1"/>
  <c r="D203" i="1"/>
  <c r="F203" i="1"/>
  <c r="H203" i="1"/>
  <c r="J203" i="1"/>
  <c r="L203" i="1"/>
  <c r="N203" i="1"/>
  <c r="P203" i="1"/>
  <c r="R203" i="1"/>
  <c r="T203" i="1"/>
  <c r="V203" i="1"/>
  <c r="X203" i="1"/>
  <c r="Z203" i="1"/>
  <c r="AB203" i="1"/>
  <c r="AD203" i="1"/>
  <c r="AF203" i="1"/>
  <c r="AH203" i="1"/>
  <c r="AJ203" i="1"/>
  <c r="AL203" i="1"/>
  <c r="AN203" i="1"/>
  <c r="AP203" i="1"/>
  <c r="AR203" i="1"/>
  <c r="AT203" i="1"/>
  <c r="AV203" i="1"/>
  <c r="AX203" i="1"/>
  <c r="A204" i="1"/>
  <c r="D204" i="1"/>
  <c r="F204" i="1"/>
  <c r="H204" i="1"/>
  <c r="J204" i="1"/>
  <c r="L204" i="1"/>
  <c r="N204" i="1"/>
  <c r="P204" i="1"/>
  <c r="R204" i="1"/>
  <c r="T204" i="1"/>
  <c r="V204" i="1"/>
  <c r="X204" i="1"/>
  <c r="Z204" i="1"/>
  <c r="AB204" i="1"/>
  <c r="AD204" i="1"/>
  <c r="AF204" i="1"/>
  <c r="AH204" i="1"/>
  <c r="AJ204" i="1"/>
  <c r="AL204" i="1"/>
  <c r="AN204" i="1"/>
  <c r="AP204" i="1"/>
  <c r="AR204" i="1"/>
  <c r="AT204" i="1"/>
  <c r="AV204" i="1"/>
  <c r="AX204" i="1"/>
  <c r="A205" i="1"/>
  <c r="D205" i="1"/>
  <c r="F205" i="1"/>
  <c r="H205" i="1"/>
  <c r="J205" i="1"/>
  <c r="L205" i="1"/>
  <c r="N205" i="1"/>
  <c r="P205" i="1"/>
  <c r="R205" i="1"/>
  <c r="T205" i="1"/>
  <c r="V205" i="1"/>
  <c r="X205" i="1"/>
  <c r="Z205" i="1"/>
  <c r="AB205" i="1"/>
  <c r="AD205" i="1"/>
  <c r="AF205" i="1"/>
  <c r="AH205" i="1"/>
  <c r="AJ205" i="1"/>
  <c r="AL205" i="1"/>
  <c r="AN205" i="1"/>
  <c r="AP205" i="1"/>
  <c r="AR205" i="1"/>
  <c r="AT205" i="1"/>
  <c r="AV205" i="1"/>
  <c r="AX205" i="1"/>
  <c r="A206" i="1"/>
  <c r="D206" i="1"/>
  <c r="F206" i="1"/>
  <c r="H206" i="1"/>
  <c r="J206" i="1"/>
  <c r="L206" i="1"/>
  <c r="N206" i="1"/>
  <c r="P206" i="1"/>
  <c r="R206" i="1"/>
  <c r="T206" i="1"/>
  <c r="V206" i="1"/>
  <c r="X206" i="1"/>
  <c r="Z206" i="1"/>
  <c r="AB206" i="1"/>
  <c r="AD206" i="1"/>
  <c r="AF206" i="1"/>
  <c r="AH206" i="1"/>
  <c r="AJ206" i="1"/>
  <c r="AL206" i="1"/>
  <c r="AN206" i="1"/>
  <c r="AP206" i="1"/>
  <c r="AR206" i="1"/>
  <c r="AT206" i="1"/>
  <c r="AV206" i="1"/>
  <c r="AX206" i="1"/>
  <c r="A207" i="1"/>
  <c r="D207" i="1"/>
  <c r="F207" i="1"/>
  <c r="H207" i="1"/>
  <c r="J207" i="1"/>
  <c r="L207" i="1"/>
  <c r="N207" i="1"/>
  <c r="P207" i="1"/>
  <c r="R207" i="1"/>
  <c r="T207" i="1"/>
  <c r="V207" i="1"/>
  <c r="X207" i="1"/>
  <c r="Z207" i="1"/>
  <c r="AB207" i="1"/>
  <c r="AD207" i="1"/>
  <c r="AF207" i="1"/>
  <c r="AH207" i="1"/>
  <c r="AJ207" i="1"/>
  <c r="AL207" i="1"/>
  <c r="AN207" i="1"/>
  <c r="AP207" i="1"/>
  <c r="AR207" i="1"/>
  <c r="AT207" i="1"/>
  <c r="AV207" i="1"/>
  <c r="AX207" i="1"/>
  <c r="A208" i="1"/>
  <c r="D208" i="1"/>
  <c r="F208" i="1"/>
  <c r="H208" i="1"/>
  <c r="J208" i="1"/>
  <c r="L208" i="1"/>
  <c r="N208" i="1"/>
  <c r="P208" i="1"/>
  <c r="R208" i="1"/>
  <c r="T208" i="1"/>
  <c r="V208" i="1"/>
  <c r="X208" i="1"/>
  <c r="Z208" i="1"/>
  <c r="AB208" i="1"/>
  <c r="AD208" i="1"/>
  <c r="AF208" i="1"/>
  <c r="AH208" i="1"/>
  <c r="AJ208" i="1"/>
  <c r="AL208" i="1"/>
  <c r="AN208" i="1"/>
  <c r="AP208" i="1"/>
  <c r="AR208" i="1"/>
  <c r="AT208" i="1"/>
  <c r="AV208" i="1"/>
  <c r="AX208" i="1"/>
  <c r="A209" i="1"/>
  <c r="D209" i="1"/>
  <c r="F209" i="1"/>
  <c r="H209" i="1"/>
  <c r="J209" i="1"/>
  <c r="L209" i="1"/>
  <c r="N209" i="1"/>
  <c r="P209" i="1"/>
  <c r="R209" i="1"/>
  <c r="T209" i="1"/>
  <c r="V209" i="1"/>
  <c r="X209" i="1"/>
  <c r="Z209" i="1"/>
  <c r="AB209" i="1"/>
  <c r="AD209" i="1"/>
  <c r="AF209" i="1"/>
  <c r="AH209" i="1"/>
  <c r="AJ209" i="1"/>
  <c r="AL209" i="1"/>
  <c r="AN209" i="1"/>
  <c r="AP209" i="1"/>
  <c r="AR209" i="1"/>
  <c r="AT209" i="1"/>
  <c r="AV209" i="1"/>
  <c r="AX209" i="1"/>
  <c r="A210" i="1"/>
  <c r="D210" i="1"/>
  <c r="F210" i="1"/>
  <c r="H210" i="1"/>
  <c r="J210" i="1"/>
  <c r="L210" i="1"/>
  <c r="N210" i="1"/>
  <c r="P210" i="1"/>
  <c r="R210" i="1"/>
  <c r="T210" i="1"/>
  <c r="V210" i="1"/>
  <c r="X210" i="1"/>
  <c r="Z210" i="1"/>
  <c r="AB210" i="1"/>
  <c r="AD210" i="1"/>
  <c r="AF210" i="1"/>
  <c r="AH210" i="1"/>
  <c r="AJ210" i="1"/>
  <c r="AL210" i="1"/>
  <c r="AN210" i="1"/>
  <c r="AP210" i="1"/>
  <c r="AR210" i="1"/>
  <c r="AT210" i="1"/>
  <c r="AV210" i="1"/>
  <c r="AX210" i="1"/>
  <c r="A211" i="1"/>
  <c r="D211" i="1"/>
  <c r="F211" i="1"/>
  <c r="H211" i="1"/>
  <c r="J211" i="1"/>
  <c r="L211" i="1"/>
  <c r="N211" i="1"/>
  <c r="P211" i="1"/>
  <c r="R211" i="1"/>
  <c r="T211" i="1"/>
  <c r="V211" i="1"/>
  <c r="X211" i="1"/>
  <c r="Z211" i="1"/>
  <c r="AB211" i="1"/>
  <c r="AD211" i="1"/>
  <c r="AF211" i="1"/>
  <c r="AH211" i="1"/>
  <c r="AJ211" i="1"/>
  <c r="AL211" i="1"/>
  <c r="AN211" i="1"/>
  <c r="AP211" i="1"/>
  <c r="AR211" i="1"/>
  <c r="AT211" i="1"/>
  <c r="AV211" i="1"/>
  <c r="AX211" i="1"/>
  <c r="A212" i="1"/>
  <c r="D212" i="1"/>
  <c r="F212" i="1"/>
  <c r="H212" i="1"/>
  <c r="J212" i="1"/>
  <c r="L212" i="1"/>
  <c r="N212" i="1"/>
  <c r="P212" i="1"/>
  <c r="R212" i="1"/>
  <c r="T212" i="1"/>
  <c r="V212" i="1"/>
  <c r="X212" i="1"/>
  <c r="Z212" i="1"/>
  <c r="AB212" i="1"/>
  <c r="AD212" i="1"/>
  <c r="AF212" i="1"/>
  <c r="AH212" i="1"/>
  <c r="AJ212" i="1"/>
  <c r="AL212" i="1"/>
  <c r="AN212" i="1"/>
  <c r="AP212" i="1"/>
  <c r="AR212" i="1"/>
  <c r="AT212" i="1"/>
  <c r="AV212" i="1"/>
  <c r="AX212" i="1"/>
  <c r="A213" i="1"/>
  <c r="D213" i="1"/>
  <c r="F213" i="1"/>
  <c r="H213" i="1"/>
  <c r="J213" i="1"/>
  <c r="L213" i="1"/>
  <c r="N213" i="1"/>
  <c r="P213" i="1"/>
  <c r="R213" i="1"/>
  <c r="T213" i="1"/>
  <c r="V213" i="1"/>
  <c r="X213" i="1"/>
  <c r="Z213" i="1"/>
  <c r="AB213" i="1"/>
  <c r="AD213" i="1"/>
  <c r="AF213" i="1"/>
  <c r="AH213" i="1"/>
  <c r="AJ213" i="1"/>
  <c r="AL213" i="1"/>
  <c r="AN213" i="1"/>
  <c r="AP213" i="1"/>
  <c r="AR213" i="1"/>
  <c r="AT213" i="1"/>
  <c r="AV213" i="1"/>
  <c r="AX213" i="1"/>
  <c r="A214" i="1"/>
  <c r="D214" i="1"/>
  <c r="F214" i="1"/>
  <c r="H214" i="1"/>
  <c r="J214" i="1"/>
  <c r="L214" i="1"/>
  <c r="N214" i="1"/>
  <c r="P214" i="1"/>
  <c r="R214" i="1"/>
  <c r="T214" i="1"/>
  <c r="V214" i="1"/>
  <c r="X214" i="1"/>
  <c r="Z214" i="1"/>
  <c r="AB214" i="1"/>
  <c r="AD214" i="1"/>
  <c r="AF214" i="1"/>
  <c r="AH214" i="1"/>
  <c r="AJ214" i="1"/>
  <c r="AL214" i="1"/>
  <c r="AN214" i="1"/>
  <c r="AP214" i="1"/>
  <c r="AR214" i="1"/>
  <c r="AT214" i="1"/>
  <c r="AV214" i="1"/>
  <c r="AX214" i="1"/>
  <c r="A215" i="1"/>
  <c r="D215" i="1"/>
  <c r="F215" i="1"/>
  <c r="H215" i="1"/>
  <c r="J215" i="1"/>
  <c r="L215" i="1"/>
  <c r="N215" i="1"/>
  <c r="P215" i="1"/>
  <c r="R215" i="1"/>
  <c r="T215" i="1"/>
  <c r="V215" i="1"/>
  <c r="X215" i="1"/>
  <c r="Z215" i="1"/>
  <c r="AB215" i="1"/>
  <c r="AD215" i="1"/>
  <c r="AF215" i="1"/>
  <c r="AH215" i="1"/>
  <c r="AJ215" i="1"/>
  <c r="AL215" i="1"/>
  <c r="AN215" i="1"/>
  <c r="AP215" i="1"/>
  <c r="AR215" i="1"/>
  <c r="AT215" i="1"/>
  <c r="AV215" i="1"/>
  <c r="AX215" i="1"/>
  <c r="A216" i="1"/>
  <c r="D216" i="1"/>
  <c r="F216" i="1"/>
  <c r="H216" i="1"/>
  <c r="J216" i="1"/>
  <c r="L216" i="1"/>
  <c r="N216" i="1"/>
  <c r="P216" i="1"/>
  <c r="R216" i="1"/>
  <c r="T216" i="1"/>
  <c r="V216" i="1"/>
  <c r="X216" i="1"/>
  <c r="Z216" i="1"/>
  <c r="AB216" i="1"/>
  <c r="AD216" i="1"/>
  <c r="AF216" i="1"/>
  <c r="AH216" i="1"/>
  <c r="AJ216" i="1"/>
  <c r="AL216" i="1"/>
  <c r="AN216" i="1"/>
  <c r="AP216" i="1"/>
  <c r="AR216" i="1"/>
  <c r="AT216" i="1"/>
  <c r="AV216" i="1"/>
  <c r="AX216" i="1"/>
  <c r="A217" i="1"/>
  <c r="D217" i="1"/>
  <c r="F217" i="1"/>
  <c r="H217" i="1"/>
  <c r="J217" i="1"/>
  <c r="L217" i="1"/>
  <c r="N217" i="1"/>
  <c r="P217" i="1"/>
  <c r="R217" i="1"/>
  <c r="T217" i="1"/>
  <c r="V217" i="1"/>
  <c r="X217" i="1"/>
  <c r="Z217" i="1"/>
  <c r="AB217" i="1"/>
  <c r="AD217" i="1"/>
  <c r="AF217" i="1"/>
  <c r="AH217" i="1"/>
  <c r="AJ217" i="1"/>
  <c r="AL217" i="1"/>
  <c r="AN217" i="1"/>
  <c r="AP217" i="1"/>
  <c r="AR217" i="1"/>
  <c r="AT217" i="1"/>
  <c r="AV217" i="1"/>
  <c r="AX217" i="1"/>
  <c r="A218" i="1"/>
  <c r="D218" i="1"/>
  <c r="F218" i="1"/>
  <c r="H218" i="1"/>
  <c r="J218" i="1"/>
  <c r="L218" i="1"/>
  <c r="N218" i="1"/>
  <c r="P218" i="1"/>
  <c r="R218" i="1"/>
  <c r="T218" i="1"/>
  <c r="V218" i="1"/>
  <c r="X218" i="1"/>
  <c r="Z218" i="1"/>
  <c r="AB218" i="1"/>
  <c r="AD218" i="1"/>
  <c r="AF218" i="1"/>
  <c r="AH218" i="1"/>
  <c r="AJ218" i="1"/>
  <c r="AL218" i="1"/>
  <c r="AN218" i="1"/>
  <c r="AP218" i="1"/>
  <c r="AR218" i="1"/>
  <c r="AT218" i="1"/>
  <c r="AV218" i="1"/>
  <c r="AX218" i="1"/>
  <c r="A219" i="1"/>
  <c r="D219" i="1"/>
  <c r="F219" i="1"/>
  <c r="H219" i="1"/>
  <c r="J219" i="1"/>
  <c r="L219" i="1"/>
  <c r="N219" i="1"/>
  <c r="P219" i="1"/>
  <c r="R219" i="1"/>
  <c r="T219" i="1"/>
  <c r="V219" i="1"/>
  <c r="X219" i="1"/>
  <c r="Z219" i="1"/>
  <c r="AB219" i="1"/>
  <c r="AD219" i="1"/>
  <c r="AF219" i="1"/>
  <c r="AH219" i="1"/>
  <c r="AJ219" i="1"/>
  <c r="AL219" i="1"/>
  <c r="AN219" i="1"/>
  <c r="AP219" i="1"/>
  <c r="AR219" i="1"/>
  <c r="AT219" i="1"/>
  <c r="AV219" i="1"/>
  <c r="AX219" i="1"/>
  <c r="A220" i="1"/>
  <c r="D220" i="1"/>
  <c r="F220" i="1"/>
  <c r="H220" i="1"/>
  <c r="J220" i="1"/>
  <c r="L220" i="1"/>
  <c r="N220" i="1"/>
  <c r="P220" i="1"/>
  <c r="R220" i="1"/>
  <c r="T220" i="1"/>
  <c r="V220" i="1"/>
  <c r="X220" i="1"/>
  <c r="Z220" i="1"/>
  <c r="AB220" i="1"/>
  <c r="AD220" i="1"/>
  <c r="AF220" i="1"/>
  <c r="AH220" i="1"/>
  <c r="AJ220" i="1"/>
  <c r="AL220" i="1"/>
  <c r="AN220" i="1"/>
  <c r="AP220" i="1"/>
  <c r="AR220" i="1"/>
  <c r="AT220" i="1"/>
  <c r="AV220" i="1"/>
  <c r="AX220" i="1"/>
  <c r="A221" i="1"/>
  <c r="D221" i="1"/>
  <c r="F221" i="1"/>
  <c r="H221" i="1"/>
  <c r="J221" i="1"/>
  <c r="L221" i="1"/>
  <c r="N221" i="1"/>
  <c r="P221" i="1"/>
  <c r="R221" i="1"/>
  <c r="T221" i="1"/>
  <c r="V221" i="1"/>
  <c r="X221" i="1"/>
  <c r="Z221" i="1"/>
  <c r="AB221" i="1"/>
  <c r="AD221" i="1"/>
  <c r="AF221" i="1"/>
  <c r="AH221" i="1"/>
  <c r="AJ221" i="1"/>
  <c r="AL221" i="1"/>
  <c r="AN221" i="1"/>
  <c r="AP221" i="1"/>
  <c r="AR221" i="1"/>
  <c r="AT221" i="1"/>
  <c r="AV221" i="1"/>
  <c r="AX221" i="1"/>
  <c r="A222" i="1"/>
  <c r="D222" i="1"/>
  <c r="F222" i="1"/>
  <c r="H222" i="1"/>
  <c r="J222" i="1"/>
  <c r="L222" i="1"/>
  <c r="N222" i="1"/>
  <c r="P222" i="1"/>
  <c r="R222" i="1"/>
  <c r="T222" i="1"/>
  <c r="V222" i="1"/>
  <c r="X222" i="1"/>
  <c r="Z222" i="1"/>
  <c r="AB222" i="1"/>
  <c r="AD222" i="1"/>
  <c r="AF222" i="1"/>
  <c r="AH222" i="1"/>
  <c r="AJ222" i="1"/>
  <c r="AL222" i="1"/>
  <c r="AN222" i="1"/>
  <c r="AP222" i="1"/>
  <c r="AR222" i="1"/>
  <c r="AT222" i="1"/>
  <c r="AV222" i="1"/>
  <c r="AX222" i="1"/>
  <c r="A223" i="1"/>
  <c r="D223" i="1"/>
  <c r="F223" i="1"/>
  <c r="H223" i="1"/>
  <c r="J223" i="1"/>
  <c r="L223" i="1"/>
  <c r="N223" i="1"/>
  <c r="P223" i="1"/>
  <c r="R223" i="1"/>
  <c r="T223" i="1"/>
  <c r="V223" i="1"/>
  <c r="X223" i="1"/>
  <c r="Z223" i="1"/>
  <c r="AB223" i="1"/>
  <c r="AD223" i="1"/>
  <c r="AF223" i="1"/>
  <c r="AH223" i="1"/>
  <c r="AJ223" i="1"/>
  <c r="AL223" i="1"/>
  <c r="AN223" i="1"/>
  <c r="AP223" i="1"/>
  <c r="AR223" i="1"/>
  <c r="AT223" i="1"/>
  <c r="AV223" i="1"/>
  <c r="AX223" i="1"/>
  <c r="A224" i="1"/>
  <c r="D224" i="1"/>
  <c r="F224" i="1"/>
  <c r="H224" i="1"/>
  <c r="J224" i="1"/>
  <c r="L224" i="1"/>
  <c r="N224" i="1"/>
  <c r="P224" i="1"/>
  <c r="R224" i="1"/>
  <c r="T224" i="1"/>
  <c r="V224" i="1"/>
  <c r="X224" i="1"/>
  <c r="Z224" i="1"/>
  <c r="AB224" i="1"/>
  <c r="AD224" i="1"/>
  <c r="AF224" i="1"/>
  <c r="AH224" i="1"/>
  <c r="AJ224" i="1"/>
  <c r="AL224" i="1"/>
  <c r="AN224" i="1"/>
  <c r="AP224" i="1"/>
  <c r="AR224" i="1"/>
  <c r="AT224" i="1"/>
  <c r="AV224" i="1"/>
  <c r="AX224" i="1"/>
  <c r="A225" i="1"/>
  <c r="D225" i="1"/>
  <c r="F225" i="1"/>
  <c r="H225" i="1"/>
  <c r="J225" i="1"/>
  <c r="L225" i="1"/>
  <c r="N225" i="1"/>
  <c r="P225" i="1"/>
  <c r="R225" i="1"/>
  <c r="T225" i="1"/>
  <c r="V225" i="1"/>
  <c r="X225" i="1"/>
  <c r="Z225" i="1"/>
  <c r="AB225" i="1"/>
  <c r="AD225" i="1"/>
  <c r="AF225" i="1"/>
  <c r="AH225" i="1"/>
  <c r="AJ225" i="1"/>
  <c r="AL225" i="1"/>
  <c r="AN225" i="1"/>
  <c r="AP225" i="1"/>
  <c r="AR225" i="1"/>
  <c r="AT225" i="1"/>
  <c r="AV225" i="1"/>
  <c r="AX225" i="1"/>
  <c r="A226" i="1"/>
  <c r="D226" i="1"/>
  <c r="F226" i="1"/>
  <c r="H226" i="1"/>
  <c r="J226" i="1"/>
  <c r="L226" i="1"/>
  <c r="N226" i="1"/>
  <c r="P226" i="1"/>
  <c r="R226" i="1"/>
  <c r="T226" i="1"/>
  <c r="V226" i="1"/>
  <c r="X226" i="1"/>
  <c r="Z226" i="1"/>
  <c r="AB226" i="1"/>
  <c r="AD226" i="1"/>
  <c r="AF226" i="1"/>
  <c r="AH226" i="1"/>
  <c r="AJ226" i="1"/>
  <c r="AL226" i="1"/>
  <c r="AN226" i="1"/>
  <c r="AP226" i="1"/>
  <c r="AR226" i="1"/>
  <c r="AT226" i="1"/>
  <c r="AV226" i="1"/>
  <c r="AX226" i="1"/>
  <c r="A227" i="1"/>
  <c r="D227" i="1"/>
  <c r="F227" i="1"/>
  <c r="H227" i="1"/>
  <c r="J227" i="1"/>
  <c r="L227" i="1"/>
  <c r="N227" i="1"/>
  <c r="P227" i="1"/>
  <c r="R227" i="1"/>
  <c r="T227" i="1"/>
  <c r="V227" i="1"/>
  <c r="X227" i="1"/>
  <c r="Z227" i="1"/>
  <c r="AB227" i="1"/>
  <c r="AD227" i="1"/>
  <c r="AF227" i="1"/>
  <c r="AH227" i="1"/>
  <c r="AJ227" i="1"/>
  <c r="AL227" i="1"/>
  <c r="AN227" i="1"/>
  <c r="AP227" i="1"/>
  <c r="AR227" i="1"/>
  <c r="AT227" i="1"/>
  <c r="AV227" i="1"/>
  <c r="AX227" i="1"/>
  <c r="A228" i="1"/>
  <c r="D228" i="1"/>
  <c r="F228" i="1"/>
  <c r="H228" i="1"/>
  <c r="J228" i="1"/>
  <c r="L228" i="1"/>
  <c r="N228" i="1"/>
  <c r="P228" i="1"/>
  <c r="R228" i="1"/>
  <c r="T228" i="1"/>
  <c r="V228" i="1"/>
  <c r="X228" i="1"/>
  <c r="Z228" i="1"/>
  <c r="AB228" i="1"/>
  <c r="AD228" i="1"/>
  <c r="AF228" i="1"/>
  <c r="AH228" i="1"/>
  <c r="AJ228" i="1"/>
  <c r="AL228" i="1"/>
  <c r="AN228" i="1"/>
  <c r="AP228" i="1"/>
  <c r="AR228" i="1"/>
  <c r="AT228" i="1"/>
  <c r="AV228" i="1"/>
  <c r="AX228" i="1"/>
  <c r="A229" i="1"/>
  <c r="D229" i="1"/>
  <c r="F229" i="1"/>
  <c r="H229" i="1"/>
  <c r="J229" i="1"/>
  <c r="L229" i="1"/>
  <c r="N229" i="1"/>
  <c r="P229" i="1"/>
  <c r="R229" i="1"/>
  <c r="T229" i="1"/>
  <c r="V229" i="1"/>
  <c r="X229" i="1"/>
  <c r="Z229" i="1"/>
  <c r="AB229" i="1"/>
  <c r="AD229" i="1"/>
  <c r="AF229" i="1"/>
  <c r="AH229" i="1"/>
  <c r="AJ229" i="1"/>
  <c r="AL229" i="1"/>
  <c r="AN229" i="1"/>
  <c r="AP229" i="1"/>
  <c r="AR229" i="1"/>
  <c r="AT229" i="1"/>
  <c r="AV229" i="1"/>
  <c r="AX229" i="1"/>
  <c r="A230" i="1"/>
  <c r="D230" i="1"/>
  <c r="F230" i="1"/>
  <c r="H230" i="1"/>
  <c r="J230" i="1"/>
  <c r="L230" i="1"/>
  <c r="N230" i="1"/>
  <c r="P230" i="1"/>
  <c r="R230" i="1"/>
  <c r="T230" i="1"/>
  <c r="V230" i="1"/>
  <c r="X230" i="1"/>
  <c r="Z230" i="1"/>
  <c r="AB230" i="1"/>
  <c r="AD230" i="1"/>
  <c r="AF230" i="1"/>
  <c r="AH230" i="1"/>
  <c r="AJ230" i="1"/>
  <c r="AL230" i="1"/>
  <c r="AN230" i="1"/>
  <c r="AP230" i="1"/>
  <c r="AR230" i="1"/>
  <c r="AT230" i="1"/>
  <c r="AV230" i="1"/>
  <c r="AX230" i="1"/>
  <c r="A231" i="1"/>
  <c r="D231" i="1"/>
  <c r="F231" i="1"/>
  <c r="H231" i="1"/>
  <c r="J231" i="1"/>
  <c r="L231" i="1"/>
  <c r="N231" i="1"/>
  <c r="P231" i="1"/>
  <c r="R231" i="1"/>
  <c r="T231" i="1"/>
  <c r="V231" i="1"/>
  <c r="X231" i="1"/>
  <c r="Z231" i="1"/>
  <c r="AB231" i="1"/>
  <c r="AD231" i="1"/>
  <c r="AF231" i="1"/>
  <c r="AH231" i="1"/>
  <c r="AJ231" i="1"/>
  <c r="AL231" i="1"/>
  <c r="AN231" i="1"/>
  <c r="AP231" i="1"/>
  <c r="AR231" i="1"/>
  <c r="AT231" i="1"/>
  <c r="AV231" i="1"/>
  <c r="AX231" i="1"/>
  <c r="A232" i="1"/>
  <c r="D232" i="1"/>
  <c r="F232" i="1"/>
  <c r="H232" i="1"/>
  <c r="J232" i="1"/>
  <c r="L232" i="1"/>
  <c r="N232" i="1"/>
  <c r="P232" i="1"/>
  <c r="R232" i="1"/>
  <c r="T232" i="1"/>
  <c r="V232" i="1"/>
  <c r="X232" i="1"/>
  <c r="Z232" i="1"/>
  <c r="AB232" i="1"/>
  <c r="AD232" i="1"/>
  <c r="AF232" i="1"/>
  <c r="AH232" i="1"/>
  <c r="AJ232" i="1"/>
  <c r="AL232" i="1"/>
  <c r="AN232" i="1"/>
  <c r="AP232" i="1"/>
  <c r="AR232" i="1"/>
  <c r="AT232" i="1"/>
  <c r="AV232" i="1"/>
  <c r="AX232" i="1"/>
  <c r="A233" i="1"/>
  <c r="D233" i="1"/>
  <c r="F233" i="1"/>
  <c r="H233" i="1"/>
  <c r="J233" i="1"/>
  <c r="L233" i="1"/>
  <c r="N233" i="1"/>
  <c r="P233" i="1"/>
  <c r="R233" i="1"/>
  <c r="T233" i="1"/>
  <c r="V233" i="1"/>
  <c r="X233" i="1"/>
  <c r="Z233" i="1"/>
  <c r="AB233" i="1"/>
  <c r="AD233" i="1"/>
  <c r="AF233" i="1"/>
  <c r="AH233" i="1"/>
  <c r="AJ233" i="1"/>
  <c r="AL233" i="1"/>
  <c r="AN233" i="1"/>
  <c r="AP233" i="1"/>
  <c r="AR233" i="1"/>
  <c r="AT233" i="1"/>
  <c r="AV233" i="1"/>
  <c r="AX233" i="1"/>
  <c r="A234" i="1"/>
  <c r="D234" i="1"/>
  <c r="F234" i="1"/>
  <c r="H234" i="1"/>
  <c r="J234" i="1"/>
  <c r="L234" i="1"/>
  <c r="N234" i="1"/>
  <c r="P234" i="1"/>
  <c r="R234" i="1"/>
  <c r="T234" i="1"/>
  <c r="V234" i="1"/>
  <c r="X234" i="1"/>
  <c r="Z234" i="1"/>
  <c r="AB234" i="1"/>
  <c r="AD234" i="1"/>
  <c r="AF234" i="1"/>
  <c r="AH234" i="1"/>
  <c r="AJ234" i="1"/>
  <c r="AL234" i="1"/>
  <c r="AN234" i="1"/>
  <c r="AP234" i="1"/>
  <c r="AR234" i="1"/>
  <c r="AT234" i="1"/>
  <c r="AV234" i="1"/>
  <c r="AX234" i="1"/>
  <c r="A235" i="1"/>
  <c r="D235" i="1"/>
  <c r="F235" i="1"/>
  <c r="H235" i="1"/>
  <c r="J235" i="1"/>
  <c r="L235" i="1"/>
  <c r="N235" i="1"/>
  <c r="P235" i="1"/>
  <c r="R235" i="1"/>
  <c r="T235" i="1"/>
  <c r="V235" i="1"/>
  <c r="X235" i="1"/>
  <c r="Z235" i="1"/>
  <c r="AB235" i="1"/>
  <c r="AD235" i="1"/>
  <c r="AF235" i="1"/>
  <c r="AH235" i="1"/>
  <c r="AJ235" i="1"/>
  <c r="AL235" i="1"/>
  <c r="AN235" i="1"/>
  <c r="AP235" i="1"/>
  <c r="AR235" i="1"/>
  <c r="AT235" i="1"/>
  <c r="AV235" i="1"/>
  <c r="AX235" i="1"/>
  <c r="A236" i="1"/>
  <c r="D236" i="1"/>
  <c r="F236" i="1"/>
  <c r="H236" i="1"/>
  <c r="J236" i="1"/>
  <c r="L236" i="1"/>
  <c r="N236" i="1"/>
  <c r="P236" i="1"/>
  <c r="R236" i="1"/>
  <c r="T236" i="1"/>
  <c r="V236" i="1"/>
  <c r="X236" i="1"/>
  <c r="Z236" i="1"/>
  <c r="AB236" i="1"/>
  <c r="AD236" i="1"/>
  <c r="AF236" i="1"/>
  <c r="AH236" i="1"/>
  <c r="AJ236" i="1"/>
  <c r="AL236" i="1"/>
  <c r="AN236" i="1"/>
  <c r="AP236" i="1"/>
  <c r="AR236" i="1"/>
  <c r="AT236" i="1"/>
  <c r="AV236" i="1"/>
  <c r="AX236" i="1"/>
  <c r="A237" i="1"/>
  <c r="D237" i="1"/>
  <c r="F237" i="1"/>
  <c r="H237" i="1"/>
  <c r="J237" i="1"/>
  <c r="L237" i="1"/>
  <c r="N237" i="1"/>
  <c r="P237" i="1"/>
  <c r="R237" i="1"/>
  <c r="T237" i="1"/>
  <c r="V237" i="1"/>
  <c r="X237" i="1"/>
  <c r="Z237" i="1"/>
  <c r="AB237" i="1"/>
  <c r="AD237" i="1"/>
  <c r="AF237" i="1"/>
  <c r="AH237" i="1"/>
  <c r="AJ237" i="1"/>
  <c r="AL237" i="1"/>
  <c r="AN237" i="1"/>
  <c r="AP237" i="1"/>
  <c r="AR237" i="1"/>
  <c r="AT237" i="1"/>
  <c r="AV237" i="1"/>
  <c r="AX237" i="1"/>
  <c r="A238" i="1"/>
  <c r="D238" i="1"/>
  <c r="F238" i="1"/>
  <c r="H238" i="1"/>
  <c r="J238" i="1"/>
  <c r="L238" i="1"/>
  <c r="N238" i="1"/>
  <c r="P238" i="1"/>
  <c r="R238" i="1"/>
  <c r="T238" i="1"/>
  <c r="V238" i="1"/>
  <c r="X238" i="1"/>
  <c r="Z238" i="1"/>
  <c r="AB238" i="1"/>
  <c r="AD238" i="1"/>
  <c r="AF238" i="1"/>
  <c r="AH238" i="1"/>
  <c r="AJ238" i="1"/>
  <c r="AL238" i="1"/>
  <c r="AN238" i="1"/>
  <c r="AP238" i="1"/>
  <c r="AR238" i="1"/>
  <c r="AT238" i="1"/>
  <c r="AV238" i="1"/>
  <c r="AX238" i="1"/>
  <c r="A239" i="1"/>
  <c r="D239" i="1"/>
  <c r="F239" i="1"/>
  <c r="H239" i="1"/>
  <c r="J239" i="1"/>
  <c r="L239" i="1"/>
  <c r="N239" i="1"/>
  <c r="P239" i="1"/>
  <c r="R239" i="1"/>
  <c r="T239" i="1"/>
  <c r="V239" i="1"/>
  <c r="X239" i="1"/>
  <c r="Z239" i="1"/>
  <c r="AB239" i="1"/>
  <c r="AD239" i="1"/>
  <c r="AF239" i="1"/>
  <c r="AH239" i="1"/>
  <c r="AJ239" i="1"/>
  <c r="AL239" i="1"/>
  <c r="AN239" i="1"/>
  <c r="AP239" i="1"/>
  <c r="AR239" i="1"/>
  <c r="AT239" i="1"/>
  <c r="AV239" i="1"/>
  <c r="AX239" i="1"/>
  <c r="A240" i="1"/>
  <c r="D240" i="1"/>
  <c r="F240" i="1"/>
  <c r="H240" i="1"/>
  <c r="J240" i="1"/>
  <c r="L240" i="1"/>
  <c r="N240" i="1"/>
  <c r="P240" i="1"/>
  <c r="R240" i="1"/>
  <c r="T240" i="1"/>
  <c r="V240" i="1"/>
  <c r="X240" i="1"/>
  <c r="Z240" i="1"/>
  <c r="AB240" i="1"/>
  <c r="AD240" i="1"/>
  <c r="AF240" i="1"/>
  <c r="AH240" i="1"/>
  <c r="AJ240" i="1"/>
  <c r="AL240" i="1"/>
  <c r="AN240" i="1"/>
  <c r="AP240" i="1"/>
  <c r="AR240" i="1"/>
  <c r="AT240" i="1"/>
  <c r="AV240" i="1"/>
  <c r="AX240" i="1"/>
  <c r="A241" i="1"/>
  <c r="D241" i="1"/>
  <c r="F241" i="1"/>
  <c r="H241" i="1"/>
  <c r="J241" i="1"/>
  <c r="L241" i="1"/>
  <c r="N241" i="1"/>
  <c r="P241" i="1"/>
  <c r="R241" i="1"/>
  <c r="T241" i="1"/>
  <c r="V241" i="1"/>
  <c r="X241" i="1"/>
  <c r="Z241" i="1"/>
  <c r="AB241" i="1"/>
  <c r="AD241" i="1"/>
  <c r="AF241" i="1"/>
  <c r="AH241" i="1"/>
  <c r="AJ241" i="1"/>
  <c r="AL241" i="1"/>
  <c r="AN241" i="1"/>
  <c r="AP241" i="1"/>
  <c r="AR241" i="1"/>
  <c r="AT241" i="1"/>
  <c r="AV241" i="1"/>
  <c r="AX241" i="1"/>
  <c r="A242" i="1"/>
  <c r="D242" i="1"/>
  <c r="F242" i="1"/>
  <c r="H242" i="1"/>
  <c r="J242" i="1"/>
  <c r="L242" i="1"/>
  <c r="N242" i="1"/>
  <c r="P242" i="1"/>
  <c r="R242" i="1"/>
  <c r="T242" i="1"/>
  <c r="V242" i="1"/>
  <c r="X242" i="1"/>
  <c r="Z242" i="1"/>
  <c r="AB242" i="1"/>
  <c r="AD242" i="1"/>
  <c r="AF242" i="1"/>
  <c r="AH242" i="1"/>
  <c r="AJ242" i="1"/>
  <c r="AL242" i="1"/>
  <c r="AN242" i="1"/>
  <c r="AP242" i="1"/>
  <c r="AR242" i="1"/>
  <c r="AT242" i="1"/>
  <c r="AV242" i="1"/>
  <c r="AX242" i="1"/>
  <c r="A243" i="1"/>
  <c r="D243" i="1"/>
  <c r="F243" i="1"/>
  <c r="H243" i="1"/>
  <c r="J243" i="1"/>
  <c r="L243" i="1"/>
  <c r="N243" i="1"/>
  <c r="P243" i="1"/>
  <c r="R243" i="1"/>
  <c r="T243" i="1"/>
  <c r="V243" i="1"/>
  <c r="X243" i="1"/>
  <c r="Z243" i="1"/>
  <c r="AB243" i="1"/>
  <c r="AD243" i="1"/>
  <c r="AF243" i="1"/>
  <c r="AH243" i="1"/>
  <c r="AJ243" i="1"/>
  <c r="AL243" i="1"/>
  <c r="AN243" i="1"/>
  <c r="AP243" i="1"/>
  <c r="AR243" i="1"/>
  <c r="AT243" i="1"/>
  <c r="AV243" i="1"/>
  <c r="AX243" i="1"/>
  <c r="A244" i="1"/>
  <c r="D244" i="1"/>
  <c r="F244" i="1"/>
  <c r="H244" i="1"/>
  <c r="J244" i="1"/>
  <c r="L244" i="1"/>
  <c r="N244" i="1"/>
  <c r="P244" i="1"/>
  <c r="R244" i="1"/>
  <c r="T244" i="1"/>
  <c r="V244" i="1"/>
  <c r="X244" i="1"/>
  <c r="Z244" i="1"/>
  <c r="AB244" i="1"/>
  <c r="AD244" i="1"/>
  <c r="AF244" i="1"/>
  <c r="AH244" i="1"/>
  <c r="AJ244" i="1"/>
  <c r="AL244" i="1"/>
  <c r="AN244" i="1"/>
  <c r="AP244" i="1"/>
  <c r="AR244" i="1"/>
  <c r="AT244" i="1"/>
  <c r="AV244" i="1"/>
  <c r="AX244" i="1"/>
  <c r="A245" i="1"/>
  <c r="D245" i="1"/>
  <c r="F245" i="1"/>
  <c r="H245" i="1"/>
  <c r="J245" i="1"/>
  <c r="L245" i="1"/>
  <c r="N245" i="1"/>
  <c r="P245" i="1"/>
  <c r="R245" i="1"/>
  <c r="T245" i="1"/>
  <c r="V245" i="1"/>
  <c r="X245" i="1"/>
  <c r="Z245" i="1"/>
  <c r="AB245" i="1"/>
  <c r="AD245" i="1"/>
  <c r="AF245" i="1"/>
  <c r="AH245" i="1"/>
  <c r="AJ245" i="1"/>
  <c r="AL245" i="1"/>
  <c r="AN245" i="1"/>
  <c r="AP245" i="1"/>
  <c r="AR245" i="1"/>
  <c r="AT245" i="1"/>
  <c r="AV245" i="1"/>
  <c r="AX245" i="1"/>
  <c r="A246" i="1"/>
  <c r="D246" i="1"/>
  <c r="F246" i="1"/>
  <c r="H246" i="1"/>
  <c r="J246" i="1"/>
  <c r="L246" i="1"/>
  <c r="N246" i="1"/>
  <c r="P246" i="1"/>
  <c r="R246" i="1"/>
  <c r="T246" i="1"/>
  <c r="V246" i="1"/>
  <c r="X246" i="1"/>
  <c r="Z246" i="1"/>
  <c r="AB246" i="1"/>
  <c r="AD246" i="1"/>
  <c r="AF246" i="1"/>
  <c r="AH246" i="1"/>
  <c r="AJ246" i="1"/>
  <c r="AL246" i="1"/>
  <c r="AN246" i="1"/>
  <c r="AP246" i="1"/>
  <c r="AR246" i="1"/>
  <c r="AT246" i="1"/>
  <c r="AV246" i="1"/>
  <c r="AX246" i="1"/>
  <c r="A247" i="1"/>
  <c r="D247" i="1"/>
  <c r="F247" i="1"/>
  <c r="H247" i="1"/>
  <c r="J247" i="1"/>
  <c r="L247" i="1"/>
  <c r="N247" i="1"/>
  <c r="P247" i="1"/>
  <c r="R247" i="1"/>
  <c r="T247" i="1"/>
  <c r="V247" i="1"/>
  <c r="X247" i="1"/>
  <c r="Z247" i="1"/>
  <c r="AB247" i="1"/>
  <c r="AD247" i="1"/>
  <c r="AF247" i="1"/>
  <c r="AH247" i="1"/>
  <c r="AJ247" i="1"/>
  <c r="AL247" i="1"/>
  <c r="AN247" i="1"/>
  <c r="AP247" i="1"/>
  <c r="AR247" i="1"/>
  <c r="AT247" i="1"/>
  <c r="AV247" i="1"/>
  <c r="AX247" i="1"/>
  <c r="A248" i="1"/>
  <c r="D248" i="1"/>
  <c r="F248" i="1"/>
  <c r="H248" i="1"/>
  <c r="J248" i="1"/>
  <c r="L248" i="1"/>
  <c r="N248" i="1"/>
  <c r="P248" i="1"/>
  <c r="R248" i="1"/>
  <c r="T248" i="1"/>
  <c r="V248" i="1"/>
  <c r="X248" i="1"/>
  <c r="Z248" i="1"/>
  <c r="AB248" i="1"/>
  <c r="AD248" i="1"/>
  <c r="AF248" i="1"/>
  <c r="AH248" i="1"/>
  <c r="AJ248" i="1"/>
  <c r="AL248" i="1"/>
  <c r="AN248" i="1"/>
  <c r="AP248" i="1"/>
  <c r="AR248" i="1"/>
  <c r="AT248" i="1"/>
  <c r="AV248" i="1"/>
  <c r="AX248" i="1"/>
  <c r="A249" i="1"/>
  <c r="D249" i="1"/>
  <c r="F249" i="1"/>
  <c r="H249" i="1"/>
  <c r="J249" i="1"/>
  <c r="L249" i="1"/>
  <c r="N249" i="1"/>
  <c r="P249" i="1"/>
  <c r="R249" i="1"/>
  <c r="T249" i="1"/>
  <c r="V249" i="1"/>
  <c r="X249" i="1"/>
  <c r="Z249" i="1"/>
  <c r="AB249" i="1"/>
  <c r="AD249" i="1"/>
  <c r="AF249" i="1"/>
  <c r="AH249" i="1"/>
  <c r="AJ249" i="1"/>
  <c r="AL249" i="1"/>
  <c r="AN249" i="1"/>
  <c r="AP249" i="1"/>
  <c r="AR249" i="1"/>
  <c r="AT249" i="1"/>
  <c r="AV249" i="1"/>
  <c r="AX249" i="1"/>
  <c r="A250" i="1"/>
  <c r="D250" i="1"/>
  <c r="F250" i="1"/>
  <c r="H250" i="1"/>
  <c r="J250" i="1"/>
  <c r="L250" i="1"/>
  <c r="N250" i="1"/>
  <c r="P250" i="1"/>
  <c r="R250" i="1"/>
  <c r="T250" i="1"/>
  <c r="V250" i="1"/>
  <c r="X250" i="1"/>
  <c r="Z250" i="1"/>
  <c r="AB250" i="1"/>
  <c r="AD250" i="1"/>
  <c r="AF250" i="1"/>
  <c r="AH250" i="1"/>
  <c r="AJ250" i="1"/>
  <c r="AL250" i="1"/>
  <c r="AN250" i="1"/>
  <c r="AP250" i="1"/>
  <c r="AR250" i="1"/>
  <c r="AT250" i="1"/>
  <c r="AV250" i="1"/>
  <c r="AX250" i="1"/>
  <c r="A251" i="1"/>
  <c r="D251" i="1"/>
  <c r="F251" i="1"/>
  <c r="H251" i="1"/>
  <c r="J251" i="1"/>
  <c r="L251" i="1"/>
  <c r="N251" i="1"/>
  <c r="P251" i="1"/>
  <c r="R251" i="1"/>
  <c r="T251" i="1"/>
  <c r="V251" i="1"/>
  <c r="X251" i="1"/>
  <c r="Z251" i="1"/>
  <c r="AB251" i="1"/>
  <c r="AD251" i="1"/>
  <c r="AF251" i="1"/>
  <c r="AH251" i="1"/>
  <c r="AJ251" i="1"/>
  <c r="AL251" i="1"/>
  <c r="AN251" i="1"/>
  <c r="AP251" i="1"/>
  <c r="AR251" i="1"/>
  <c r="AT251" i="1"/>
  <c r="AV251" i="1"/>
  <c r="AX251" i="1"/>
  <c r="A252" i="1"/>
  <c r="D252" i="1"/>
  <c r="F252" i="1"/>
  <c r="H252" i="1"/>
  <c r="J252" i="1"/>
  <c r="L252" i="1"/>
  <c r="N252" i="1"/>
  <c r="P252" i="1"/>
  <c r="R252" i="1"/>
  <c r="T252" i="1"/>
  <c r="V252" i="1"/>
  <c r="X252" i="1"/>
  <c r="Z252" i="1"/>
  <c r="AB252" i="1"/>
  <c r="AD252" i="1"/>
  <c r="AF252" i="1"/>
  <c r="AH252" i="1"/>
  <c r="AJ252" i="1"/>
  <c r="AL252" i="1"/>
  <c r="AN252" i="1"/>
  <c r="AP252" i="1"/>
  <c r="AR252" i="1"/>
  <c r="AT252" i="1"/>
  <c r="AV252" i="1"/>
  <c r="AX252" i="1"/>
  <c r="A253" i="1"/>
  <c r="D253" i="1"/>
  <c r="F253" i="1"/>
  <c r="H253" i="1"/>
  <c r="J253" i="1"/>
  <c r="L253" i="1"/>
  <c r="N253" i="1"/>
  <c r="P253" i="1"/>
  <c r="R253" i="1"/>
  <c r="T253" i="1"/>
  <c r="V253" i="1"/>
  <c r="X253" i="1"/>
  <c r="Z253" i="1"/>
  <c r="AB253" i="1"/>
  <c r="AD253" i="1"/>
  <c r="AF253" i="1"/>
  <c r="AH253" i="1"/>
  <c r="AJ253" i="1"/>
  <c r="AL253" i="1"/>
  <c r="AN253" i="1"/>
  <c r="AP253" i="1"/>
  <c r="AR253" i="1"/>
  <c r="AT253" i="1"/>
  <c r="AV253" i="1"/>
  <c r="AX253" i="1"/>
  <c r="A254" i="1"/>
  <c r="D254" i="1"/>
  <c r="F254" i="1"/>
  <c r="H254" i="1"/>
  <c r="J254" i="1"/>
  <c r="L254" i="1"/>
  <c r="N254" i="1"/>
  <c r="P254" i="1"/>
  <c r="R254" i="1"/>
  <c r="T254" i="1"/>
  <c r="V254" i="1"/>
  <c r="X254" i="1"/>
  <c r="Z254" i="1"/>
  <c r="AB254" i="1"/>
  <c r="AD254" i="1"/>
  <c r="AF254" i="1"/>
  <c r="AH254" i="1"/>
  <c r="AJ254" i="1"/>
  <c r="AL254" i="1"/>
  <c r="AN254" i="1"/>
  <c r="AP254" i="1"/>
  <c r="AR254" i="1"/>
  <c r="AT254" i="1"/>
  <c r="AV254" i="1"/>
  <c r="AX254" i="1"/>
  <c r="A255" i="1"/>
  <c r="D255" i="1"/>
  <c r="F255" i="1"/>
  <c r="H255" i="1"/>
  <c r="J255" i="1"/>
  <c r="L255" i="1"/>
  <c r="N255" i="1"/>
  <c r="P255" i="1"/>
  <c r="R255" i="1"/>
  <c r="T255" i="1"/>
  <c r="V255" i="1"/>
  <c r="X255" i="1"/>
  <c r="Z255" i="1"/>
  <c r="AB255" i="1"/>
  <c r="AD255" i="1"/>
  <c r="AF255" i="1"/>
  <c r="AH255" i="1"/>
  <c r="AJ255" i="1"/>
  <c r="AL255" i="1"/>
  <c r="AN255" i="1"/>
  <c r="AP255" i="1"/>
  <c r="AR255" i="1"/>
  <c r="AT255" i="1"/>
  <c r="AV255" i="1"/>
  <c r="AX255" i="1"/>
  <c r="A256" i="1"/>
  <c r="D256" i="1"/>
  <c r="F256" i="1"/>
  <c r="H256" i="1"/>
  <c r="J256" i="1"/>
  <c r="L256" i="1"/>
  <c r="N256" i="1"/>
  <c r="P256" i="1"/>
  <c r="R256" i="1"/>
  <c r="T256" i="1"/>
  <c r="V256" i="1"/>
  <c r="X256" i="1"/>
  <c r="Z256" i="1"/>
  <c r="AB256" i="1"/>
  <c r="AD256" i="1"/>
  <c r="AF256" i="1"/>
  <c r="AH256" i="1"/>
  <c r="AJ256" i="1"/>
  <c r="AL256" i="1"/>
  <c r="AN256" i="1"/>
  <c r="AP256" i="1"/>
  <c r="AR256" i="1"/>
  <c r="AT256" i="1"/>
  <c r="AV256" i="1"/>
  <c r="AX256" i="1"/>
  <c r="A257" i="1"/>
  <c r="D257" i="1"/>
  <c r="F257" i="1"/>
  <c r="H257" i="1"/>
  <c r="J257" i="1"/>
  <c r="L257" i="1"/>
  <c r="N257" i="1"/>
  <c r="P257" i="1"/>
  <c r="R257" i="1"/>
  <c r="T257" i="1"/>
  <c r="V257" i="1"/>
  <c r="X257" i="1"/>
  <c r="Z257" i="1"/>
  <c r="AB257" i="1"/>
  <c r="AD257" i="1"/>
  <c r="AF257" i="1"/>
  <c r="AH257" i="1"/>
  <c r="AJ257" i="1"/>
  <c r="AL257" i="1"/>
  <c r="AN257" i="1"/>
  <c r="AP257" i="1"/>
  <c r="AR257" i="1"/>
  <c r="AT257" i="1"/>
  <c r="AV257" i="1"/>
  <c r="AX257" i="1"/>
  <c r="A258" i="1"/>
  <c r="D258" i="1"/>
  <c r="F258" i="1"/>
  <c r="H258" i="1"/>
  <c r="J258" i="1"/>
  <c r="L258" i="1"/>
  <c r="N258" i="1"/>
  <c r="P258" i="1"/>
  <c r="R258" i="1"/>
  <c r="T258" i="1"/>
  <c r="V258" i="1"/>
  <c r="X258" i="1"/>
  <c r="Z258" i="1"/>
  <c r="AB258" i="1"/>
  <c r="AD258" i="1"/>
  <c r="AF258" i="1"/>
  <c r="AH258" i="1"/>
  <c r="AJ258" i="1"/>
  <c r="AL258" i="1"/>
  <c r="AN258" i="1"/>
  <c r="AP258" i="1"/>
  <c r="AR258" i="1"/>
  <c r="AT258" i="1"/>
  <c r="AV258" i="1"/>
  <c r="AX258" i="1"/>
  <c r="A259" i="1"/>
  <c r="D259" i="1"/>
  <c r="F259" i="1"/>
  <c r="H259" i="1"/>
  <c r="J259" i="1"/>
  <c r="L259" i="1"/>
  <c r="N259" i="1"/>
  <c r="P259" i="1"/>
  <c r="R259" i="1"/>
  <c r="T259" i="1"/>
  <c r="V259" i="1"/>
  <c r="X259" i="1"/>
  <c r="Z259" i="1"/>
  <c r="AB259" i="1"/>
  <c r="AD259" i="1"/>
  <c r="AF259" i="1"/>
  <c r="AH259" i="1"/>
  <c r="AJ259" i="1"/>
  <c r="AL259" i="1"/>
  <c r="AN259" i="1"/>
  <c r="AP259" i="1"/>
  <c r="AR259" i="1"/>
  <c r="AT259" i="1"/>
  <c r="AV259" i="1"/>
  <c r="AX259" i="1"/>
  <c r="A260" i="1"/>
  <c r="D260" i="1"/>
  <c r="F260" i="1"/>
  <c r="H260" i="1"/>
  <c r="J260" i="1"/>
  <c r="L260" i="1"/>
  <c r="N260" i="1"/>
  <c r="P260" i="1"/>
  <c r="R260" i="1"/>
  <c r="T260" i="1"/>
  <c r="V260" i="1"/>
  <c r="X260" i="1"/>
  <c r="Z260" i="1"/>
  <c r="AB260" i="1"/>
  <c r="AD260" i="1"/>
  <c r="AF260" i="1"/>
  <c r="AH260" i="1"/>
  <c r="AJ260" i="1"/>
  <c r="AL260" i="1"/>
  <c r="AN260" i="1"/>
  <c r="AP260" i="1"/>
  <c r="AR260" i="1"/>
  <c r="AT260" i="1"/>
  <c r="AV260" i="1"/>
  <c r="AX260" i="1"/>
  <c r="A261" i="1"/>
  <c r="D261" i="1"/>
  <c r="F261" i="1"/>
  <c r="H261" i="1"/>
  <c r="J261" i="1"/>
  <c r="L261" i="1"/>
  <c r="N261" i="1"/>
  <c r="P261" i="1"/>
  <c r="R261" i="1"/>
  <c r="T261" i="1"/>
  <c r="V261" i="1"/>
  <c r="X261" i="1"/>
  <c r="Z261" i="1"/>
  <c r="AB261" i="1"/>
  <c r="AD261" i="1"/>
  <c r="AF261" i="1"/>
  <c r="AH261" i="1"/>
  <c r="AJ261" i="1"/>
  <c r="AL261" i="1"/>
  <c r="AN261" i="1"/>
  <c r="AP261" i="1"/>
  <c r="AR261" i="1"/>
  <c r="AT261" i="1"/>
  <c r="AV261" i="1"/>
  <c r="AX261" i="1"/>
  <c r="A262" i="1"/>
  <c r="D262" i="1"/>
  <c r="F262" i="1"/>
  <c r="H262" i="1"/>
  <c r="J262" i="1"/>
  <c r="L262" i="1"/>
  <c r="N262" i="1"/>
  <c r="P262" i="1"/>
  <c r="R262" i="1"/>
  <c r="T262" i="1"/>
  <c r="V262" i="1"/>
  <c r="X262" i="1"/>
  <c r="Z262" i="1"/>
  <c r="AB262" i="1"/>
  <c r="AD262" i="1"/>
  <c r="AF262" i="1"/>
  <c r="AH262" i="1"/>
  <c r="AJ262" i="1"/>
  <c r="AL262" i="1"/>
  <c r="AN262" i="1"/>
  <c r="AP262" i="1"/>
  <c r="AR262" i="1"/>
  <c r="AT262" i="1"/>
  <c r="AV262" i="1"/>
  <c r="AX262" i="1"/>
  <c r="A263" i="1"/>
  <c r="D263" i="1"/>
  <c r="F263" i="1"/>
  <c r="H263" i="1"/>
  <c r="J263" i="1"/>
  <c r="L263" i="1"/>
  <c r="N263" i="1"/>
  <c r="P263" i="1"/>
  <c r="R263" i="1"/>
  <c r="T263" i="1"/>
  <c r="V263" i="1"/>
  <c r="X263" i="1"/>
  <c r="Z263" i="1"/>
  <c r="AB263" i="1"/>
  <c r="AD263" i="1"/>
  <c r="AF263" i="1"/>
  <c r="AH263" i="1"/>
  <c r="AJ263" i="1"/>
  <c r="AL263" i="1"/>
  <c r="AN263" i="1"/>
  <c r="AP263" i="1"/>
  <c r="AR263" i="1"/>
  <c r="AT263" i="1"/>
  <c r="AV263" i="1"/>
  <c r="AX263" i="1"/>
  <c r="A264" i="1"/>
  <c r="D264" i="1"/>
  <c r="F264" i="1"/>
  <c r="H264" i="1"/>
  <c r="J264" i="1"/>
  <c r="L264" i="1"/>
  <c r="N264" i="1"/>
  <c r="P264" i="1"/>
  <c r="R264" i="1"/>
  <c r="T264" i="1"/>
  <c r="V264" i="1"/>
  <c r="X264" i="1"/>
  <c r="Z264" i="1"/>
  <c r="AB264" i="1"/>
  <c r="AD264" i="1"/>
  <c r="AF264" i="1"/>
  <c r="AH264" i="1"/>
  <c r="AJ264" i="1"/>
  <c r="AL264" i="1"/>
  <c r="AN264" i="1"/>
  <c r="AP264" i="1"/>
  <c r="AR264" i="1"/>
  <c r="AT264" i="1"/>
  <c r="AV264" i="1"/>
  <c r="AX264" i="1"/>
  <c r="A265" i="1"/>
  <c r="D265" i="1"/>
  <c r="F265" i="1"/>
  <c r="H265" i="1"/>
  <c r="J265" i="1"/>
  <c r="L265" i="1"/>
  <c r="N265" i="1"/>
  <c r="P265" i="1"/>
  <c r="R265" i="1"/>
  <c r="T265" i="1"/>
  <c r="V265" i="1"/>
  <c r="X265" i="1"/>
  <c r="Z265" i="1"/>
  <c r="AB265" i="1"/>
  <c r="AD265" i="1"/>
  <c r="AF265" i="1"/>
  <c r="AH265" i="1"/>
  <c r="AJ265" i="1"/>
  <c r="AL265" i="1"/>
  <c r="AN265" i="1"/>
  <c r="AP265" i="1"/>
  <c r="AR265" i="1"/>
  <c r="AT265" i="1"/>
  <c r="AV265" i="1"/>
  <c r="AX265" i="1"/>
  <c r="A266" i="1"/>
  <c r="D266" i="1"/>
  <c r="F266" i="1"/>
  <c r="H266" i="1"/>
  <c r="J266" i="1"/>
  <c r="L266" i="1"/>
  <c r="N266" i="1"/>
  <c r="P266" i="1"/>
  <c r="R266" i="1"/>
  <c r="T266" i="1"/>
  <c r="V266" i="1"/>
  <c r="X266" i="1"/>
  <c r="Z266" i="1"/>
  <c r="AB266" i="1"/>
  <c r="AD266" i="1"/>
  <c r="AF266" i="1"/>
  <c r="AH266" i="1"/>
  <c r="AJ266" i="1"/>
  <c r="AL266" i="1"/>
  <c r="AN266" i="1"/>
  <c r="AP266" i="1"/>
  <c r="AR266" i="1"/>
  <c r="AT266" i="1"/>
  <c r="AV266" i="1"/>
  <c r="AX266" i="1"/>
  <c r="A267" i="1"/>
  <c r="D267" i="1"/>
  <c r="F267" i="1"/>
  <c r="H267" i="1"/>
  <c r="J267" i="1"/>
  <c r="L267" i="1"/>
  <c r="N267" i="1"/>
  <c r="P267" i="1"/>
  <c r="R267" i="1"/>
  <c r="T267" i="1"/>
  <c r="V267" i="1"/>
  <c r="X267" i="1"/>
  <c r="Z267" i="1"/>
  <c r="AB267" i="1"/>
  <c r="AD267" i="1"/>
  <c r="AF267" i="1"/>
  <c r="AH267" i="1"/>
  <c r="AJ267" i="1"/>
  <c r="AL267" i="1"/>
  <c r="AN267" i="1"/>
  <c r="AP267" i="1"/>
  <c r="AR267" i="1"/>
  <c r="AT267" i="1"/>
  <c r="AV267" i="1"/>
  <c r="AX267" i="1"/>
  <c r="A268" i="1"/>
  <c r="D268" i="1"/>
  <c r="F268" i="1"/>
  <c r="H268" i="1"/>
  <c r="J268" i="1"/>
  <c r="L268" i="1"/>
  <c r="N268" i="1"/>
  <c r="P268" i="1"/>
  <c r="R268" i="1"/>
  <c r="T268" i="1"/>
  <c r="V268" i="1"/>
  <c r="X268" i="1"/>
  <c r="Z268" i="1"/>
  <c r="AB268" i="1"/>
  <c r="AD268" i="1"/>
  <c r="AF268" i="1"/>
  <c r="AH268" i="1"/>
  <c r="AJ268" i="1"/>
  <c r="AL268" i="1"/>
  <c r="AN268" i="1"/>
  <c r="AP268" i="1"/>
  <c r="AR268" i="1"/>
  <c r="AT268" i="1"/>
  <c r="AV268" i="1"/>
  <c r="AX268" i="1"/>
  <c r="A269" i="1"/>
  <c r="D269" i="1"/>
  <c r="F269" i="1"/>
  <c r="H269" i="1"/>
  <c r="J269" i="1"/>
  <c r="L269" i="1"/>
  <c r="N269" i="1"/>
  <c r="P269" i="1"/>
  <c r="R269" i="1"/>
  <c r="T269" i="1"/>
  <c r="V269" i="1"/>
  <c r="X269" i="1"/>
  <c r="Z269" i="1"/>
  <c r="AB269" i="1"/>
  <c r="AD269" i="1"/>
  <c r="AF269" i="1"/>
  <c r="AH269" i="1"/>
  <c r="AJ269" i="1"/>
  <c r="AL269" i="1"/>
  <c r="AN269" i="1"/>
  <c r="AP269" i="1"/>
  <c r="AR269" i="1"/>
  <c r="AT269" i="1"/>
  <c r="AV269" i="1"/>
  <c r="AX269" i="1"/>
  <c r="A270" i="1"/>
  <c r="D270" i="1"/>
  <c r="F270" i="1"/>
  <c r="H270" i="1"/>
  <c r="J270" i="1"/>
  <c r="L270" i="1"/>
  <c r="N270" i="1"/>
  <c r="P270" i="1"/>
  <c r="R270" i="1"/>
  <c r="T270" i="1"/>
  <c r="V270" i="1"/>
  <c r="X270" i="1"/>
  <c r="Z270" i="1"/>
  <c r="AB270" i="1"/>
  <c r="AD270" i="1"/>
  <c r="AF270" i="1"/>
  <c r="AH270" i="1"/>
  <c r="AJ270" i="1"/>
  <c r="AL270" i="1"/>
  <c r="AN270" i="1"/>
  <c r="AP270" i="1"/>
  <c r="AR270" i="1"/>
  <c r="AT270" i="1"/>
  <c r="AV270" i="1"/>
  <c r="AX270" i="1"/>
  <c r="A271" i="1"/>
  <c r="D271" i="1"/>
  <c r="F271" i="1"/>
  <c r="H271" i="1"/>
  <c r="J271" i="1"/>
  <c r="L271" i="1"/>
  <c r="N271" i="1"/>
  <c r="P271" i="1"/>
  <c r="R271" i="1"/>
  <c r="T271" i="1"/>
  <c r="V271" i="1"/>
  <c r="X271" i="1"/>
  <c r="Z271" i="1"/>
  <c r="AB271" i="1"/>
  <c r="AD271" i="1"/>
  <c r="AF271" i="1"/>
  <c r="AH271" i="1"/>
  <c r="AJ271" i="1"/>
  <c r="AL271" i="1"/>
  <c r="AN271" i="1"/>
  <c r="AP271" i="1"/>
  <c r="AR271" i="1"/>
  <c r="AT271" i="1"/>
  <c r="AV271" i="1"/>
  <c r="AX271" i="1"/>
  <c r="A272" i="1"/>
  <c r="D272" i="1"/>
  <c r="F272" i="1"/>
  <c r="H272" i="1"/>
  <c r="J272" i="1"/>
  <c r="L272" i="1"/>
  <c r="N272" i="1"/>
  <c r="P272" i="1"/>
  <c r="R272" i="1"/>
  <c r="T272" i="1"/>
  <c r="V272" i="1"/>
  <c r="X272" i="1"/>
  <c r="Z272" i="1"/>
  <c r="AB272" i="1"/>
  <c r="AD272" i="1"/>
  <c r="AF272" i="1"/>
  <c r="AH272" i="1"/>
  <c r="AJ272" i="1"/>
  <c r="AL272" i="1"/>
  <c r="AN272" i="1"/>
  <c r="AP272" i="1"/>
  <c r="AR272" i="1"/>
  <c r="AT272" i="1"/>
  <c r="AV272" i="1"/>
  <c r="AX272" i="1"/>
  <c r="A273" i="1"/>
  <c r="D273" i="1"/>
  <c r="F273" i="1"/>
  <c r="H273" i="1"/>
  <c r="J273" i="1"/>
  <c r="L273" i="1"/>
  <c r="N273" i="1"/>
  <c r="P273" i="1"/>
  <c r="R273" i="1"/>
  <c r="T273" i="1"/>
  <c r="V273" i="1"/>
  <c r="X273" i="1"/>
  <c r="Z273" i="1"/>
  <c r="AB273" i="1"/>
  <c r="AD273" i="1"/>
  <c r="AF273" i="1"/>
  <c r="AH273" i="1"/>
  <c r="AJ273" i="1"/>
  <c r="AL273" i="1"/>
  <c r="AN273" i="1"/>
  <c r="AP273" i="1"/>
  <c r="AR273" i="1"/>
  <c r="AT273" i="1"/>
  <c r="AV273" i="1"/>
  <c r="AX273" i="1"/>
  <c r="A274" i="1"/>
  <c r="D274" i="1"/>
  <c r="F274" i="1"/>
  <c r="H274" i="1"/>
  <c r="J274" i="1"/>
  <c r="L274" i="1"/>
  <c r="N274" i="1"/>
  <c r="P274" i="1"/>
  <c r="R274" i="1"/>
  <c r="T274" i="1"/>
  <c r="V274" i="1"/>
  <c r="X274" i="1"/>
  <c r="Z274" i="1"/>
  <c r="AB274" i="1"/>
  <c r="AD274" i="1"/>
  <c r="AF274" i="1"/>
  <c r="AH274" i="1"/>
  <c r="AJ274" i="1"/>
  <c r="AL274" i="1"/>
  <c r="AN274" i="1"/>
  <c r="AP274" i="1"/>
  <c r="AR274" i="1"/>
  <c r="AT274" i="1"/>
  <c r="AV274" i="1"/>
  <c r="AX274" i="1"/>
  <c r="A275" i="1"/>
  <c r="D275" i="1"/>
  <c r="F275" i="1"/>
  <c r="H275" i="1"/>
  <c r="J275" i="1"/>
  <c r="L275" i="1"/>
  <c r="N275" i="1"/>
  <c r="P275" i="1"/>
  <c r="R275" i="1"/>
  <c r="T275" i="1"/>
  <c r="V275" i="1"/>
  <c r="X275" i="1"/>
  <c r="Z275" i="1"/>
  <c r="AB275" i="1"/>
  <c r="AD275" i="1"/>
  <c r="AF275" i="1"/>
  <c r="AH275" i="1"/>
  <c r="AJ275" i="1"/>
  <c r="AL275" i="1"/>
  <c r="AN275" i="1"/>
  <c r="AP275" i="1"/>
  <c r="AR275" i="1"/>
  <c r="AT275" i="1"/>
  <c r="AV275" i="1"/>
  <c r="AX275" i="1"/>
  <c r="A276" i="1"/>
  <c r="D276" i="1"/>
  <c r="F276" i="1"/>
  <c r="H276" i="1"/>
  <c r="J276" i="1"/>
  <c r="L276" i="1"/>
  <c r="N276" i="1"/>
  <c r="P276" i="1"/>
  <c r="R276" i="1"/>
  <c r="T276" i="1"/>
  <c r="V276" i="1"/>
  <c r="X276" i="1"/>
  <c r="Z276" i="1"/>
  <c r="AB276" i="1"/>
  <c r="AD276" i="1"/>
  <c r="AF276" i="1"/>
  <c r="AH276" i="1"/>
  <c r="AJ276" i="1"/>
  <c r="AL276" i="1"/>
  <c r="AN276" i="1"/>
  <c r="AP276" i="1"/>
  <c r="AR276" i="1"/>
  <c r="AT276" i="1"/>
  <c r="AV276" i="1"/>
  <c r="AX276" i="1"/>
  <c r="A277" i="1"/>
  <c r="D277" i="1"/>
  <c r="F277" i="1"/>
  <c r="H277" i="1"/>
  <c r="J277" i="1"/>
  <c r="L277" i="1"/>
  <c r="N277" i="1"/>
  <c r="P277" i="1"/>
  <c r="R277" i="1"/>
  <c r="T277" i="1"/>
  <c r="V277" i="1"/>
  <c r="X277" i="1"/>
  <c r="Z277" i="1"/>
  <c r="AB277" i="1"/>
  <c r="AD277" i="1"/>
  <c r="AF277" i="1"/>
  <c r="AH277" i="1"/>
  <c r="AJ277" i="1"/>
  <c r="AL277" i="1"/>
  <c r="AN277" i="1"/>
  <c r="AP277" i="1"/>
  <c r="AR277" i="1"/>
  <c r="AT277" i="1"/>
  <c r="AV277" i="1"/>
  <c r="AX277" i="1"/>
  <c r="A278" i="1"/>
  <c r="D278" i="1"/>
  <c r="F278" i="1"/>
  <c r="H278" i="1"/>
  <c r="J278" i="1"/>
  <c r="L278" i="1"/>
  <c r="N278" i="1"/>
  <c r="P278" i="1"/>
  <c r="R278" i="1"/>
  <c r="T278" i="1"/>
  <c r="V278" i="1"/>
  <c r="X278" i="1"/>
  <c r="Z278" i="1"/>
  <c r="AB278" i="1"/>
  <c r="AD278" i="1"/>
  <c r="AF278" i="1"/>
  <c r="AH278" i="1"/>
  <c r="AJ278" i="1"/>
  <c r="AL278" i="1"/>
  <c r="AN278" i="1"/>
  <c r="AP278" i="1"/>
  <c r="AR278" i="1"/>
  <c r="AT278" i="1"/>
  <c r="AV278" i="1"/>
  <c r="AX278" i="1"/>
  <c r="A279" i="1"/>
  <c r="D279" i="1"/>
  <c r="F279" i="1"/>
  <c r="H279" i="1"/>
  <c r="J279" i="1"/>
  <c r="L279" i="1"/>
  <c r="N279" i="1"/>
  <c r="P279" i="1"/>
  <c r="R279" i="1"/>
  <c r="T279" i="1"/>
  <c r="V279" i="1"/>
  <c r="X279" i="1"/>
  <c r="Z279" i="1"/>
  <c r="AB279" i="1"/>
  <c r="AD279" i="1"/>
  <c r="AF279" i="1"/>
  <c r="AH279" i="1"/>
  <c r="AJ279" i="1"/>
  <c r="AL279" i="1"/>
  <c r="AN279" i="1"/>
  <c r="AP279" i="1"/>
  <c r="AR279" i="1"/>
  <c r="AT279" i="1"/>
  <c r="AV279" i="1"/>
  <c r="AX279" i="1"/>
  <c r="A280" i="1"/>
  <c r="D280" i="1"/>
  <c r="F280" i="1"/>
  <c r="H280" i="1"/>
  <c r="J280" i="1"/>
  <c r="L280" i="1"/>
  <c r="N280" i="1"/>
  <c r="P280" i="1"/>
  <c r="R280" i="1"/>
  <c r="T280" i="1"/>
  <c r="V280" i="1"/>
  <c r="X280" i="1"/>
  <c r="Z280" i="1"/>
  <c r="AB280" i="1"/>
  <c r="AD280" i="1"/>
  <c r="AF280" i="1"/>
  <c r="AH280" i="1"/>
  <c r="AJ280" i="1"/>
  <c r="AL280" i="1"/>
  <c r="AN280" i="1"/>
  <c r="AP280" i="1"/>
  <c r="AR280" i="1"/>
  <c r="AT280" i="1"/>
  <c r="AV280" i="1"/>
  <c r="AX280" i="1"/>
  <c r="A281" i="1"/>
  <c r="D281" i="1"/>
  <c r="F281" i="1"/>
  <c r="H281" i="1"/>
  <c r="J281" i="1"/>
  <c r="L281" i="1"/>
  <c r="N281" i="1"/>
  <c r="P281" i="1"/>
  <c r="R281" i="1"/>
  <c r="T281" i="1"/>
  <c r="V281" i="1"/>
  <c r="X281" i="1"/>
  <c r="Z281" i="1"/>
  <c r="AB281" i="1"/>
  <c r="AD281" i="1"/>
  <c r="AF281" i="1"/>
  <c r="AH281" i="1"/>
  <c r="AJ281" i="1"/>
  <c r="AL281" i="1"/>
  <c r="AN281" i="1"/>
  <c r="AP281" i="1"/>
  <c r="AR281" i="1"/>
  <c r="AT281" i="1"/>
  <c r="AV281" i="1"/>
  <c r="AX281" i="1"/>
  <c r="A282" i="1"/>
  <c r="D282" i="1"/>
  <c r="F282" i="1"/>
  <c r="H282" i="1"/>
  <c r="J282" i="1"/>
  <c r="L282" i="1"/>
  <c r="N282" i="1"/>
  <c r="P282" i="1"/>
  <c r="R282" i="1"/>
  <c r="T282" i="1"/>
  <c r="V282" i="1"/>
  <c r="X282" i="1"/>
  <c r="Z282" i="1"/>
  <c r="AB282" i="1"/>
  <c r="AD282" i="1"/>
  <c r="AF282" i="1"/>
  <c r="AH282" i="1"/>
  <c r="AJ282" i="1"/>
  <c r="AL282" i="1"/>
  <c r="AN282" i="1"/>
  <c r="AP282" i="1"/>
  <c r="AR282" i="1"/>
  <c r="AT282" i="1"/>
  <c r="AV282" i="1"/>
  <c r="AX282" i="1"/>
  <c r="A283" i="1"/>
  <c r="D283" i="1"/>
  <c r="F283" i="1"/>
  <c r="H283" i="1"/>
  <c r="J283" i="1"/>
  <c r="L283" i="1"/>
  <c r="N283" i="1"/>
  <c r="P283" i="1"/>
  <c r="R283" i="1"/>
  <c r="T283" i="1"/>
  <c r="V283" i="1"/>
  <c r="X283" i="1"/>
  <c r="Z283" i="1"/>
  <c r="AB283" i="1"/>
  <c r="AD283" i="1"/>
  <c r="AF283" i="1"/>
  <c r="AH283" i="1"/>
  <c r="AJ283" i="1"/>
  <c r="AL283" i="1"/>
  <c r="AN283" i="1"/>
  <c r="AP283" i="1"/>
  <c r="AR283" i="1"/>
  <c r="AT283" i="1"/>
  <c r="AV283" i="1"/>
  <c r="AX283" i="1"/>
  <c r="A284" i="1"/>
  <c r="D284" i="1"/>
  <c r="F284" i="1"/>
  <c r="H284" i="1"/>
  <c r="J284" i="1"/>
  <c r="L284" i="1"/>
  <c r="N284" i="1"/>
  <c r="P284" i="1"/>
  <c r="R284" i="1"/>
  <c r="T284" i="1"/>
  <c r="V284" i="1"/>
  <c r="X284" i="1"/>
  <c r="Z284" i="1"/>
  <c r="AB284" i="1"/>
  <c r="AD284" i="1"/>
  <c r="AF284" i="1"/>
  <c r="AH284" i="1"/>
  <c r="AJ284" i="1"/>
  <c r="AL284" i="1"/>
  <c r="AN284" i="1"/>
  <c r="AP284" i="1"/>
  <c r="AR284" i="1"/>
  <c r="AT284" i="1"/>
  <c r="AV284" i="1"/>
  <c r="AX284" i="1"/>
  <c r="A285" i="1"/>
  <c r="D285" i="1"/>
  <c r="F285" i="1"/>
  <c r="H285" i="1"/>
  <c r="J285" i="1"/>
  <c r="L285" i="1"/>
  <c r="N285" i="1"/>
  <c r="P285" i="1"/>
  <c r="R285" i="1"/>
  <c r="T285" i="1"/>
  <c r="V285" i="1"/>
  <c r="X285" i="1"/>
  <c r="Z285" i="1"/>
  <c r="AB285" i="1"/>
  <c r="AD285" i="1"/>
  <c r="AF285" i="1"/>
  <c r="AH285" i="1"/>
  <c r="AJ285" i="1"/>
  <c r="AL285" i="1"/>
  <c r="AN285" i="1"/>
  <c r="AP285" i="1"/>
  <c r="AR285" i="1"/>
  <c r="AT285" i="1"/>
  <c r="AV285" i="1"/>
  <c r="AX285" i="1"/>
  <c r="A286" i="1"/>
  <c r="D286" i="1"/>
  <c r="F286" i="1"/>
  <c r="H286" i="1"/>
  <c r="J286" i="1"/>
  <c r="L286" i="1"/>
  <c r="N286" i="1"/>
  <c r="P286" i="1"/>
  <c r="R286" i="1"/>
  <c r="T286" i="1"/>
  <c r="V286" i="1"/>
  <c r="X286" i="1"/>
  <c r="Z286" i="1"/>
  <c r="AB286" i="1"/>
  <c r="AD286" i="1"/>
  <c r="AF286" i="1"/>
  <c r="AH286" i="1"/>
  <c r="AJ286" i="1"/>
  <c r="AL286" i="1"/>
  <c r="AN286" i="1"/>
  <c r="AP286" i="1"/>
  <c r="AR286" i="1"/>
  <c r="AT286" i="1"/>
  <c r="AV286" i="1"/>
  <c r="AX286" i="1"/>
  <c r="A287" i="1"/>
  <c r="D287" i="1"/>
  <c r="F287" i="1"/>
  <c r="H287" i="1"/>
  <c r="J287" i="1"/>
  <c r="L287" i="1"/>
  <c r="N287" i="1"/>
  <c r="P287" i="1"/>
  <c r="R287" i="1"/>
  <c r="T287" i="1"/>
  <c r="V287" i="1"/>
  <c r="X287" i="1"/>
  <c r="Z287" i="1"/>
  <c r="AB287" i="1"/>
  <c r="AD287" i="1"/>
  <c r="AF287" i="1"/>
  <c r="AH287" i="1"/>
  <c r="AJ287" i="1"/>
  <c r="AL287" i="1"/>
  <c r="AN287" i="1"/>
  <c r="AP287" i="1"/>
  <c r="AR287" i="1"/>
  <c r="AT287" i="1"/>
  <c r="AV287" i="1"/>
  <c r="AX287" i="1"/>
  <c r="A288" i="1"/>
  <c r="D288" i="1"/>
  <c r="F288" i="1"/>
  <c r="H288" i="1"/>
  <c r="J288" i="1"/>
  <c r="L288" i="1"/>
  <c r="N288" i="1"/>
  <c r="P288" i="1"/>
  <c r="R288" i="1"/>
  <c r="T288" i="1"/>
  <c r="V288" i="1"/>
  <c r="X288" i="1"/>
  <c r="Z288" i="1"/>
  <c r="AB288" i="1"/>
  <c r="AD288" i="1"/>
  <c r="AF288" i="1"/>
  <c r="AH288" i="1"/>
  <c r="AJ288" i="1"/>
  <c r="AL288" i="1"/>
  <c r="AN288" i="1"/>
  <c r="AP288" i="1"/>
  <c r="AR288" i="1"/>
  <c r="AT288" i="1"/>
  <c r="AV288" i="1"/>
  <c r="AX288" i="1"/>
  <c r="A289" i="1"/>
  <c r="D289" i="1"/>
  <c r="F289" i="1"/>
  <c r="H289" i="1"/>
  <c r="J289" i="1"/>
  <c r="L289" i="1"/>
  <c r="N289" i="1"/>
  <c r="P289" i="1"/>
  <c r="R289" i="1"/>
  <c r="T289" i="1"/>
  <c r="V289" i="1"/>
  <c r="X289" i="1"/>
  <c r="Z289" i="1"/>
  <c r="AB289" i="1"/>
  <c r="AD289" i="1"/>
  <c r="AF289" i="1"/>
  <c r="AH289" i="1"/>
  <c r="AJ289" i="1"/>
  <c r="AL289" i="1"/>
  <c r="AN289" i="1"/>
  <c r="AP289" i="1"/>
  <c r="AR289" i="1"/>
  <c r="AT289" i="1"/>
  <c r="AV289" i="1"/>
  <c r="AX289" i="1"/>
  <c r="A290" i="1"/>
  <c r="D290" i="1"/>
  <c r="F290" i="1"/>
  <c r="H290" i="1"/>
  <c r="J290" i="1"/>
  <c r="L290" i="1"/>
  <c r="N290" i="1"/>
  <c r="P290" i="1"/>
  <c r="R290" i="1"/>
  <c r="T290" i="1"/>
  <c r="V290" i="1"/>
  <c r="X290" i="1"/>
  <c r="Z290" i="1"/>
  <c r="AB290" i="1"/>
  <c r="AD290" i="1"/>
  <c r="AF290" i="1"/>
  <c r="AH290" i="1"/>
  <c r="AJ290" i="1"/>
  <c r="AL290" i="1"/>
  <c r="AN290" i="1"/>
  <c r="AP290" i="1"/>
  <c r="AR290" i="1"/>
  <c r="AT290" i="1"/>
  <c r="AV290" i="1"/>
  <c r="AX290" i="1"/>
  <c r="A291" i="1"/>
  <c r="D291" i="1"/>
  <c r="F291" i="1"/>
  <c r="H291" i="1"/>
  <c r="J291" i="1"/>
  <c r="L291" i="1"/>
  <c r="N291" i="1"/>
  <c r="P291" i="1"/>
  <c r="R291" i="1"/>
  <c r="T291" i="1"/>
  <c r="V291" i="1"/>
  <c r="X291" i="1"/>
  <c r="Z291" i="1"/>
  <c r="AB291" i="1"/>
  <c r="AD291" i="1"/>
  <c r="AF291" i="1"/>
  <c r="AH291" i="1"/>
  <c r="AJ291" i="1"/>
  <c r="AL291" i="1"/>
  <c r="AN291" i="1"/>
  <c r="AP291" i="1"/>
  <c r="AR291" i="1"/>
  <c r="AT291" i="1"/>
  <c r="AV291" i="1"/>
  <c r="AX291" i="1"/>
  <c r="A292" i="1"/>
  <c r="D292" i="1"/>
  <c r="F292" i="1"/>
  <c r="H292" i="1"/>
  <c r="J292" i="1"/>
  <c r="L292" i="1"/>
  <c r="N292" i="1"/>
  <c r="P292" i="1"/>
  <c r="R292" i="1"/>
  <c r="T292" i="1"/>
  <c r="V292" i="1"/>
  <c r="X292" i="1"/>
  <c r="Z292" i="1"/>
  <c r="AB292" i="1"/>
  <c r="AD292" i="1"/>
  <c r="AF292" i="1"/>
  <c r="AH292" i="1"/>
  <c r="AJ292" i="1"/>
  <c r="AL292" i="1"/>
  <c r="AN292" i="1"/>
  <c r="AP292" i="1"/>
  <c r="AR292" i="1"/>
  <c r="AT292" i="1"/>
  <c r="AV292" i="1"/>
  <c r="AX292" i="1"/>
  <c r="A293" i="1"/>
  <c r="D293" i="1"/>
  <c r="F293" i="1"/>
  <c r="H293" i="1"/>
  <c r="J293" i="1"/>
  <c r="L293" i="1"/>
  <c r="N293" i="1"/>
  <c r="P293" i="1"/>
  <c r="R293" i="1"/>
  <c r="T293" i="1"/>
  <c r="V293" i="1"/>
  <c r="X293" i="1"/>
  <c r="Z293" i="1"/>
  <c r="AB293" i="1"/>
  <c r="AD293" i="1"/>
  <c r="AF293" i="1"/>
  <c r="AH293" i="1"/>
  <c r="AJ293" i="1"/>
  <c r="AL293" i="1"/>
  <c r="AN293" i="1"/>
  <c r="AP293" i="1"/>
  <c r="AR293" i="1"/>
  <c r="AT293" i="1"/>
  <c r="AV293" i="1"/>
  <c r="AX293" i="1"/>
  <c r="A294" i="1"/>
  <c r="D294" i="1"/>
  <c r="F294" i="1"/>
  <c r="H294" i="1"/>
  <c r="J294" i="1"/>
  <c r="L294" i="1"/>
  <c r="N294" i="1"/>
  <c r="P294" i="1"/>
  <c r="R294" i="1"/>
  <c r="T294" i="1"/>
  <c r="V294" i="1"/>
  <c r="X294" i="1"/>
  <c r="Z294" i="1"/>
  <c r="AB294" i="1"/>
  <c r="AD294" i="1"/>
  <c r="AF294" i="1"/>
  <c r="AH294" i="1"/>
  <c r="AJ294" i="1"/>
  <c r="AL294" i="1"/>
  <c r="AN294" i="1"/>
  <c r="AP294" i="1"/>
  <c r="AR294" i="1"/>
  <c r="AT294" i="1"/>
  <c r="AV294" i="1"/>
  <c r="AX294" i="1"/>
  <c r="A295" i="1"/>
  <c r="D295" i="1"/>
  <c r="F295" i="1"/>
  <c r="H295" i="1"/>
  <c r="J295" i="1"/>
  <c r="L295" i="1"/>
  <c r="N295" i="1"/>
  <c r="P295" i="1"/>
  <c r="R295" i="1"/>
  <c r="T295" i="1"/>
  <c r="V295" i="1"/>
  <c r="X295" i="1"/>
  <c r="Z295" i="1"/>
  <c r="AB295" i="1"/>
  <c r="AD295" i="1"/>
  <c r="AF295" i="1"/>
  <c r="AH295" i="1"/>
  <c r="AJ295" i="1"/>
  <c r="AL295" i="1"/>
  <c r="AN295" i="1"/>
  <c r="AP295" i="1"/>
  <c r="AR295" i="1"/>
  <c r="AT295" i="1"/>
  <c r="AV295" i="1"/>
  <c r="AX295" i="1"/>
  <c r="A296" i="1"/>
  <c r="D296" i="1"/>
  <c r="F296" i="1"/>
  <c r="H296" i="1"/>
  <c r="J296" i="1"/>
  <c r="L296" i="1"/>
  <c r="N296" i="1"/>
  <c r="P296" i="1"/>
  <c r="R296" i="1"/>
  <c r="T296" i="1"/>
  <c r="V296" i="1"/>
  <c r="X296" i="1"/>
  <c r="Z296" i="1"/>
  <c r="AB296" i="1"/>
  <c r="AD296" i="1"/>
  <c r="AF296" i="1"/>
  <c r="AH296" i="1"/>
  <c r="AJ296" i="1"/>
  <c r="AL296" i="1"/>
  <c r="AN296" i="1"/>
  <c r="AP296" i="1"/>
  <c r="AR296" i="1"/>
  <c r="AT296" i="1"/>
  <c r="AV296" i="1"/>
  <c r="AX296" i="1"/>
  <c r="A297" i="1"/>
  <c r="D297" i="1"/>
  <c r="F297" i="1"/>
  <c r="H297" i="1"/>
  <c r="J297" i="1"/>
  <c r="L297" i="1"/>
  <c r="N297" i="1"/>
  <c r="P297" i="1"/>
  <c r="R297" i="1"/>
  <c r="T297" i="1"/>
  <c r="V297" i="1"/>
  <c r="X297" i="1"/>
  <c r="Z297" i="1"/>
  <c r="AB297" i="1"/>
  <c r="AD297" i="1"/>
  <c r="AF297" i="1"/>
  <c r="AH297" i="1"/>
  <c r="AJ297" i="1"/>
  <c r="AL297" i="1"/>
  <c r="AN297" i="1"/>
  <c r="AP297" i="1"/>
  <c r="AR297" i="1"/>
  <c r="AT297" i="1"/>
  <c r="AV297" i="1"/>
  <c r="AX297" i="1"/>
  <c r="A298" i="1"/>
  <c r="D298" i="1"/>
  <c r="F298" i="1"/>
  <c r="H298" i="1"/>
  <c r="J298" i="1"/>
  <c r="L298" i="1"/>
  <c r="N298" i="1"/>
  <c r="P298" i="1"/>
  <c r="R298" i="1"/>
  <c r="T298" i="1"/>
  <c r="V298" i="1"/>
  <c r="X298" i="1"/>
  <c r="Z298" i="1"/>
  <c r="AB298" i="1"/>
  <c r="AD298" i="1"/>
  <c r="AF298" i="1"/>
  <c r="AH298" i="1"/>
  <c r="AJ298" i="1"/>
  <c r="AL298" i="1"/>
  <c r="AN298" i="1"/>
  <c r="AP298" i="1"/>
  <c r="AR298" i="1"/>
  <c r="AT298" i="1"/>
  <c r="AV298" i="1"/>
  <c r="AX298" i="1"/>
  <c r="A299" i="1"/>
  <c r="D299" i="1"/>
  <c r="F299" i="1"/>
  <c r="H299" i="1"/>
  <c r="J299" i="1"/>
  <c r="L299" i="1"/>
  <c r="N299" i="1"/>
  <c r="P299" i="1"/>
  <c r="R299" i="1"/>
  <c r="T299" i="1"/>
  <c r="V299" i="1"/>
  <c r="X299" i="1"/>
  <c r="Z299" i="1"/>
  <c r="AB299" i="1"/>
  <c r="AD299" i="1"/>
  <c r="AF299" i="1"/>
  <c r="AH299" i="1"/>
  <c r="AJ299" i="1"/>
  <c r="AL299" i="1"/>
  <c r="AN299" i="1"/>
  <c r="AP299" i="1"/>
  <c r="AR299" i="1"/>
  <c r="AT299" i="1"/>
  <c r="AV299" i="1"/>
  <c r="AX299" i="1"/>
  <c r="A300" i="1"/>
  <c r="D300" i="1"/>
  <c r="F300" i="1"/>
  <c r="H300" i="1"/>
  <c r="J300" i="1"/>
  <c r="L300" i="1"/>
  <c r="N300" i="1"/>
  <c r="P300" i="1"/>
  <c r="R300" i="1"/>
  <c r="T300" i="1"/>
  <c r="V300" i="1"/>
  <c r="X300" i="1"/>
  <c r="Z300" i="1"/>
  <c r="AB300" i="1"/>
  <c r="AD300" i="1"/>
  <c r="AF300" i="1"/>
  <c r="AH300" i="1"/>
  <c r="AJ300" i="1"/>
  <c r="AL300" i="1"/>
  <c r="AN300" i="1"/>
  <c r="AP300" i="1"/>
  <c r="AR300" i="1"/>
  <c r="AT300" i="1"/>
  <c r="AV300" i="1"/>
  <c r="AX300" i="1"/>
  <c r="A301" i="1"/>
  <c r="D301" i="1"/>
  <c r="F301" i="1"/>
  <c r="H301" i="1"/>
  <c r="J301" i="1"/>
  <c r="L301" i="1"/>
  <c r="N301" i="1"/>
  <c r="P301" i="1"/>
  <c r="R301" i="1"/>
  <c r="T301" i="1"/>
  <c r="V301" i="1"/>
  <c r="X301" i="1"/>
  <c r="Z301" i="1"/>
  <c r="AB301" i="1"/>
  <c r="AD301" i="1"/>
  <c r="AF301" i="1"/>
  <c r="AH301" i="1"/>
  <c r="AJ301" i="1"/>
  <c r="AL301" i="1"/>
  <c r="AN301" i="1"/>
  <c r="AP301" i="1"/>
  <c r="AR301" i="1"/>
  <c r="AT301" i="1"/>
  <c r="AV301" i="1"/>
  <c r="AX301" i="1"/>
  <c r="A302" i="1"/>
  <c r="D302" i="1"/>
  <c r="F302" i="1"/>
  <c r="H302" i="1"/>
  <c r="J302" i="1"/>
  <c r="L302" i="1"/>
  <c r="N302" i="1"/>
  <c r="P302" i="1"/>
  <c r="R302" i="1"/>
  <c r="T302" i="1"/>
  <c r="V302" i="1"/>
  <c r="X302" i="1"/>
  <c r="Z302" i="1"/>
  <c r="AB302" i="1"/>
  <c r="AD302" i="1"/>
  <c r="AF302" i="1"/>
  <c r="AH302" i="1"/>
  <c r="AJ302" i="1"/>
  <c r="AL302" i="1"/>
  <c r="AN302" i="1"/>
  <c r="AP302" i="1"/>
  <c r="AR302" i="1"/>
  <c r="AT302" i="1"/>
  <c r="AV302" i="1"/>
  <c r="AX302" i="1"/>
  <c r="A303" i="1"/>
  <c r="D303" i="1"/>
  <c r="F303" i="1"/>
  <c r="H303" i="1"/>
  <c r="J303" i="1"/>
  <c r="L303" i="1"/>
  <c r="N303" i="1"/>
  <c r="P303" i="1"/>
  <c r="R303" i="1"/>
  <c r="T303" i="1"/>
  <c r="V303" i="1"/>
  <c r="X303" i="1"/>
  <c r="Z303" i="1"/>
  <c r="AB303" i="1"/>
  <c r="AD303" i="1"/>
  <c r="AF303" i="1"/>
  <c r="AH303" i="1"/>
  <c r="AJ303" i="1"/>
  <c r="AL303" i="1"/>
  <c r="AN303" i="1"/>
  <c r="AP303" i="1"/>
  <c r="AR303" i="1"/>
  <c r="AT303" i="1"/>
  <c r="AV303" i="1"/>
  <c r="AX303" i="1"/>
  <c r="A304" i="1"/>
  <c r="D304" i="1"/>
  <c r="F304" i="1"/>
  <c r="H304" i="1"/>
  <c r="J304" i="1"/>
  <c r="L304" i="1"/>
  <c r="N304" i="1"/>
  <c r="P304" i="1"/>
  <c r="R304" i="1"/>
  <c r="T304" i="1"/>
  <c r="V304" i="1"/>
  <c r="X304" i="1"/>
  <c r="Z304" i="1"/>
  <c r="AB304" i="1"/>
  <c r="AD304" i="1"/>
  <c r="AF304" i="1"/>
  <c r="AH304" i="1"/>
  <c r="AJ304" i="1"/>
  <c r="AL304" i="1"/>
  <c r="AN304" i="1"/>
  <c r="AP304" i="1"/>
  <c r="AR304" i="1"/>
  <c r="AT304" i="1"/>
  <c r="AV304" i="1"/>
  <c r="AX304" i="1"/>
  <c r="A305" i="1"/>
  <c r="D305" i="1"/>
  <c r="F305" i="1"/>
  <c r="H305" i="1"/>
  <c r="J305" i="1"/>
  <c r="L305" i="1"/>
  <c r="N305" i="1"/>
  <c r="P305" i="1"/>
  <c r="R305" i="1"/>
  <c r="T305" i="1"/>
  <c r="V305" i="1"/>
  <c r="X305" i="1"/>
  <c r="Z305" i="1"/>
  <c r="AB305" i="1"/>
  <c r="AD305" i="1"/>
  <c r="AF305" i="1"/>
  <c r="AH305" i="1"/>
  <c r="AJ305" i="1"/>
  <c r="AL305" i="1"/>
  <c r="AN305" i="1"/>
  <c r="AP305" i="1"/>
  <c r="AR305" i="1"/>
  <c r="AT305" i="1"/>
  <c r="AV305" i="1"/>
  <c r="AX305" i="1"/>
  <c r="A306" i="1"/>
  <c r="D306" i="1"/>
  <c r="F306" i="1"/>
  <c r="H306" i="1"/>
  <c r="J306" i="1"/>
  <c r="L306" i="1"/>
  <c r="N306" i="1"/>
  <c r="P306" i="1"/>
  <c r="R306" i="1"/>
  <c r="T306" i="1"/>
  <c r="V306" i="1"/>
  <c r="X306" i="1"/>
  <c r="Z306" i="1"/>
  <c r="AB306" i="1"/>
  <c r="AD306" i="1"/>
  <c r="AF306" i="1"/>
  <c r="AH306" i="1"/>
  <c r="AJ306" i="1"/>
  <c r="AL306" i="1"/>
  <c r="AN306" i="1"/>
  <c r="AP306" i="1"/>
  <c r="AR306" i="1"/>
  <c r="AT306" i="1"/>
  <c r="AV306" i="1"/>
  <c r="AX306" i="1"/>
  <c r="A307" i="1"/>
  <c r="D307" i="1"/>
  <c r="F307" i="1"/>
  <c r="H307" i="1"/>
  <c r="J307" i="1"/>
  <c r="L307" i="1"/>
  <c r="N307" i="1"/>
  <c r="P307" i="1"/>
  <c r="R307" i="1"/>
  <c r="T307" i="1"/>
  <c r="V307" i="1"/>
  <c r="X307" i="1"/>
  <c r="Z307" i="1"/>
  <c r="AB307" i="1"/>
  <c r="AD307" i="1"/>
  <c r="AF307" i="1"/>
  <c r="AH307" i="1"/>
  <c r="AJ307" i="1"/>
  <c r="AL307" i="1"/>
  <c r="AN307" i="1"/>
  <c r="AP307" i="1"/>
  <c r="AR307" i="1"/>
  <c r="AT307" i="1"/>
  <c r="AV307" i="1"/>
  <c r="AX307" i="1"/>
  <c r="A308" i="1"/>
  <c r="D308" i="1"/>
  <c r="F308" i="1"/>
  <c r="H308" i="1"/>
  <c r="J308" i="1"/>
  <c r="L308" i="1"/>
  <c r="N308" i="1"/>
  <c r="P308" i="1"/>
  <c r="R308" i="1"/>
  <c r="T308" i="1"/>
  <c r="V308" i="1"/>
  <c r="X308" i="1"/>
  <c r="Z308" i="1"/>
  <c r="AB308" i="1"/>
  <c r="AD308" i="1"/>
  <c r="AF308" i="1"/>
  <c r="AH308" i="1"/>
  <c r="AJ308" i="1"/>
  <c r="AL308" i="1"/>
  <c r="AN308" i="1"/>
  <c r="AP308" i="1"/>
  <c r="AR308" i="1"/>
  <c r="AT308" i="1"/>
  <c r="AV308" i="1"/>
  <c r="AX308" i="1"/>
  <c r="A309" i="1"/>
  <c r="D309" i="1"/>
  <c r="F309" i="1"/>
  <c r="H309" i="1"/>
  <c r="J309" i="1"/>
  <c r="L309" i="1"/>
  <c r="N309" i="1"/>
  <c r="P309" i="1"/>
  <c r="R309" i="1"/>
  <c r="T309" i="1"/>
  <c r="V309" i="1"/>
  <c r="X309" i="1"/>
  <c r="Z309" i="1"/>
  <c r="AB309" i="1"/>
  <c r="AD309" i="1"/>
  <c r="AF309" i="1"/>
  <c r="AH309" i="1"/>
  <c r="AJ309" i="1"/>
  <c r="AL309" i="1"/>
  <c r="AN309" i="1"/>
  <c r="AP309" i="1"/>
  <c r="AR309" i="1"/>
  <c r="AT309" i="1"/>
  <c r="AV309" i="1"/>
  <c r="AX309" i="1"/>
  <c r="A310" i="1"/>
  <c r="D310" i="1"/>
  <c r="F310" i="1"/>
  <c r="H310" i="1"/>
  <c r="J310" i="1"/>
  <c r="L310" i="1"/>
  <c r="N310" i="1"/>
  <c r="P310" i="1"/>
  <c r="R310" i="1"/>
  <c r="T310" i="1"/>
  <c r="V310" i="1"/>
  <c r="X310" i="1"/>
  <c r="Z310" i="1"/>
  <c r="AB310" i="1"/>
  <c r="AD310" i="1"/>
  <c r="AF310" i="1"/>
  <c r="AH310" i="1"/>
  <c r="AJ310" i="1"/>
  <c r="AL310" i="1"/>
  <c r="AN310" i="1"/>
  <c r="AP310" i="1"/>
  <c r="AR310" i="1"/>
  <c r="AT310" i="1"/>
  <c r="AV310" i="1"/>
  <c r="AX310" i="1"/>
  <c r="A311" i="1"/>
  <c r="D311" i="1"/>
  <c r="F311" i="1"/>
  <c r="H311" i="1"/>
  <c r="J311" i="1"/>
  <c r="L311" i="1"/>
  <c r="N311" i="1"/>
  <c r="P311" i="1"/>
  <c r="R311" i="1"/>
  <c r="T311" i="1"/>
  <c r="V311" i="1"/>
  <c r="X311" i="1"/>
  <c r="Z311" i="1"/>
  <c r="AB311" i="1"/>
  <c r="AD311" i="1"/>
  <c r="AF311" i="1"/>
  <c r="AH311" i="1"/>
  <c r="AJ311" i="1"/>
  <c r="AL311" i="1"/>
  <c r="AN311" i="1"/>
  <c r="AP311" i="1"/>
  <c r="AR311" i="1"/>
  <c r="AT311" i="1"/>
  <c r="AV311" i="1"/>
  <c r="AX311" i="1"/>
  <c r="A312" i="1"/>
  <c r="D312" i="1"/>
  <c r="F312" i="1"/>
  <c r="H312" i="1"/>
  <c r="J312" i="1"/>
  <c r="L312" i="1"/>
  <c r="N312" i="1"/>
  <c r="P312" i="1"/>
  <c r="R312" i="1"/>
  <c r="T312" i="1"/>
  <c r="V312" i="1"/>
  <c r="X312" i="1"/>
  <c r="Z312" i="1"/>
  <c r="AB312" i="1"/>
  <c r="AD312" i="1"/>
  <c r="AF312" i="1"/>
  <c r="AH312" i="1"/>
  <c r="AJ312" i="1"/>
  <c r="AL312" i="1"/>
  <c r="AN312" i="1"/>
  <c r="AP312" i="1"/>
  <c r="AR312" i="1"/>
  <c r="AT312" i="1"/>
  <c r="AV312" i="1"/>
  <c r="AX312" i="1"/>
  <c r="A313" i="1"/>
  <c r="D313" i="1"/>
  <c r="F313" i="1"/>
  <c r="H313" i="1"/>
  <c r="J313" i="1"/>
  <c r="L313" i="1"/>
  <c r="N313" i="1"/>
  <c r="P313" i="1"/>
  <c r="R313" i="1"/>
  <c r="T313" i="1"/>
  <c r="V313" i="1"/>
  <c r="X313" i="1"/>
  <c r="Z313" i="1"/>
  <c r="AB313" i="1"/>
  <c r="AD313" i="1"/>
  <c r="AF313" i="1"/>
  <c r="AH313" i="1"/>
  <c r="AJ313" i="1"/>
  <c r="AL313" i="1"/>
  <c r="AN313" i="1"/>
  <c r="AP313" i="1"/>
  <c r="AR313" i="1"/>
  <c r="AT313" i="1"/>
  <c r="AV313" i="1"/>
  <c r="AX313" i="1"/>
  <c r="A314" i="1"/>
  <c r="D314" i="1"/>
  <c r="F314" i="1"/>
  <c r="H314" i="1"/>
  <c r="J314" i="1"/>
  <c r="L314" i="1"/>
  <c r="N314" i="1"/>
  <c r="P314" i="1"/>
  <c r="R314" i="1"/>
  <c r="T314" i="1"/>
  <c r="V314" i="1"/>
  <c r="X314" i="1"/>
  <c r="Z314" i="1"/>
  <c r="AB314" i="1"/>
  <c r="AD314" i="1"/>
  <c r="AF314" i="1"/>
  <c r="AH314" i="1"/>
  <c r="AJ314" i="1"/>
  <c r="AL314" i="1"/>
  <c r="AN314" i="1"/>
  <c r="AP314" i="1"/>
  <c r="AR314" i="1"/>
  <c r="AT314" i="1"/>
  <c r="AV314" i="1"/>
  <c r="AX314" i="1"/>
  <c r="A315" i="1"/>
  <c r="D315" i="1"/>
  <c r="F315" i="1"/>
  <c r="H315" i="1"/>
  <c r="J315" i="1"/>
  <c r="L315" i="1"/>
  <c r="N315" i="1"/>
  <c r="P315" i="1"/>
  <c r="R315" i="1"/>
  <c r="T315" i="1"/>
  <c r="V315" i="1"/>
  <c r="X315" i="1"/>
  <c r="Z315" i="1"/>
  <c r="AB315" i="1"/>
  <c r="AD315" i="1"/>
  <c r="AF315" i="1"/>
  <c r="AH315" i="1"/>
  <c r="AJ315" i="1"/>
  <c r="AL315" i="1"/>
  <c r="AN315" i="1"/>
  <c r="AP315" i="1"/>
  <c r="AR315" i="1"/>
  <c r="AT315" i="1"/>
  <c r="AV315" i="1"/>
  <c r="AX315" i="1"/>
  <c r="A316" i="1"/>
  <c r="D316" i="1"/>
  <c r="F316" i="1"/>
  <c r="H316" i="1"/>
  <c r="J316" i="1"/>
  <c r="L316" i="1"/>
  <c r="N316" i="1"/>
  <c r="P316" i="1"/>
  <c r="R316" i="1"/>
  <c r="T316" i="1"/>
  <c r="V316" i="1"/>
  <c r="X316" i="1"/>
  <c r="Z316" i="1"/>
  <c r="AB316" i="1"/>
  <c r="AD316" i="1"/>
  <c r="AF316" i="1"/>
  <c r="AH316" i="1"/>
  <c r="AJ316" i="1"/>
  <c r="AL316" i="1"/>
  <c r="AN316" i="1"/>
  <c r="AP316" i="1"/>
  <c r="AR316" i="1"/>
  <c r="AT316" i="1"/>
  <c r="AV316" i="1"/>
  <c r="AX316" i="1"/>
  <c r="A317" i="1"/>
  <c r="D317" i="1"/>
  <c r="F317" i="1"/>
  <c r="H317" i="1"/>
  <c r="J317" i="1"/>
  <c r="L317" i="1"/>
  <c r="N317" i="1"/>
  <c r="P317" i="1"/>
  <c r="R317" i="1"/>
  <c r="T317" i="1"/>
  <c r="V317" i="1"/>
  <c r="X317" i="1"/>
  <c r="Z317" i="1"/>
  <c r="AB317" i="1"/>
  <c r="AD317" i="1"/>
  <c r="AF317" i="1"/>
  <c r="AH317" i="1"/>
  <c r="AJ317" i="1"/>
  <c r="AL317" i="1"/>
  <c r="AN317" i="1"/>
  <c r="AP317" i="1"/>
  <c r="AR317" i="1"/>
  <c r="AT317" i="1"/>
  <c r="AV317" i="1"/>
  <c r="AX317" i="1"/>
  <c r="A318" i="1"/>
  <c r="D318" i="1"/>
  <c r="F318" i="1"/>
  <c r="H318" i="1"/>
  <c r="J318" i="1"/>
  <c r="L318" i="1"/>
  <c r="N318" i="1"/>
  <c r="P318" i="1"/>
  <c r="R318" i="1"/>
  <c r="T318" i="1"/>
  <c r="V318" i="1"/>
  <c r="X318" i="1"/>
  <c r="Z318" i="1"/>
  <c r="AB318" i="1"/>
  <c r="AD318" i="1"/>
  <c r="AF318" i="1"/>
  <c r="AH318" i="1"/>
  <c r="AJ318" i="1"/>
  <c r="AL318" i="1"/>
  <c r="AN318" i="1"/>
  <c r="AP318" i="1"/>
  <c r="AR318" i="1"/>
  <c r="AT318" i="1"/>
  <c r="AV318" i="1"/>
  <c r="AX318" i="1"/>
  <c r="A319" i="1"/>
  <c r="D319" i="1"/>
  <c r="F319" i="1"/>
  <c r="H319" i="1"/>
  <c r="J319" i="1"/>
  <c r="L319" i="1"/>
  <c r="N319" i="1"/>
  <c r="P319" i="1"/>
  <c r="R319" i="1"/>
  <c r="T319" i="1"/>
  <c r="V319" i="1"/>
  <c r="X319" i="1"/>
  <c r="Z319" i="1"/>
  <c r="AB319" i="1"/>
  <c r="AD319" i="1"/>
  <c r="AF319" i="1"/>
  <c r="AH319" i="1"/>
  <c r="AJ319" i="1"/>
  <c r="AL319" i="1"/>
  <c r="AN319" i="1"/>
  <c r="AP319" i="1"/>
  <c r="AR319" i="1"/>
  <c r="AT319" i="1"/>
  <c r="AV319" i="1"/>
  <c r="AX319" i="1"/>
  <c r="A320" i="1"/>
  <c r="D320" i="1"/>
  <c r="F320" i="1"/>
  <c r="H320" i="1"/>
  <c r="J320" i="1"/>
  <c r="L320" i="1"/>
  <c r="N320" i="1"/>
  <c r="P320" i="1"/>
  <c r="R320" i="1"/>
  <c r="T320" i="1"/>
  <c r="V320" i="1"/>
  <c r="X320" i="1"/>
  <c r="Z320" i="1"/>
  <c r="AB320" i="1"/>
  <c r="AD320" i="1"/>
  <c r="AF320" i="1"/>
  <c r="AH320" i="1"/>
  <c r="AJ320" i="1"/>
  <c r="AL320" i="1"/>
  <c r="AN320" i="1"/>
  <c r="AP320" i="1"/>
  <c r="AR320" i="1"/>
  <c r="AT320" i="1"/>
  <c r="AV320" i="1"/>
  <c r="AX320" i="1"/>
  <c r="A321" i="1"/>
  <c r="D321" i="1"/>
  <c r="F321" i="1"/>
  <c r="H321" i="1"/>
  <c r="J321" i="1"/>
  <c r="L321" i="1"/>
  <c r="N321" i="1"/>
  <c r="P321" i="1"/>
  <c r="R321" i="1"/>
  <c r="T321" i="1"/>
  <c r="V321" i="1"/>
  <c r="X321" i="1"/>
  <c r="Z321" i="1"/>
  <c r="AB321" i="1"/>
  <c r="AD321" i="1"/>
  <c r="AF321" i="1"/>
  <c r="AH321" i="1"/>
  <c r="AJ321" i="1"/>
  <c r="AL321" i="1"/>
  <c r="AN321" i="1"/>
  <c r="AP321" i="1"/>
  <c r="AR321" i="1"/>
  <c r="AT321" i="1"/>
  <c r="AV321" i="1"/>
  <c r="AX321" i="1"/>
  <c r="A322" i="1"/>
  <c r="D322" i="1"/>
  <c r="F322" i="1"/>
  <c r="H322" i="1"/>
  <c r="J322" i="1"/>
  <c r="L322" i="1"/>
  <c r="N322" i="1"/>
  <c r="P322" i="1"/>
  <c r="R322" i="1"/>
  <c r="T322" i="1"/>
  <c r="V322" i="1"/>
  <c r="X322" i="1"/>
  <c r="Z322" i="1"/>
  <c r="AB322" i="1"/>
  <c r="AD322" i="1"/>
  <c r="AF322" i="1"/>
  <c r="AH322" i="1"/>
  <c r="AJ322" i="1"/>
  <c r="AL322" i="1"/>
  <c r="AN322" i="1"/>
  <c r="AP322" i="1"/>
  <c r="AR322" i="1"/>
  <c r="AT322" i="1"/>
  <c r="AV322" i="1"/>
  <c r="AX322" i="1"/>
  <c r="A323" i="1"/>
  <c r="D323" i="1"/>
  <c r="F323" i="1"/>
  <c r="H323" i="1"/>
  <c r="J323" i="1"/>
  <c r="L323" i="1"/>
  <c r="N323" i="1"/>
  <c r="P323" i="1"/>
  <c r="R323" i="1"/>
  <c r="T323" i="1"/>
  <c r="V323" i="1"/>
  <c r="X323" i="1"/>
  <c r="Z323" i="1"/>
  <c r="AB323" i="1"/>
  <c r="AD323" i="1"/>
  <c r="AF323" i="1"/>
  <c r="AH323" i="1"/>
  <c r="AJ323" i="1"/>
  <c r="AL323" i="1"/>
  <c r="AN323" i="1"/>
  <c r="AP323" i="1"/>
  <c r="AR323" i="1"/>
  <c r="AT323" i="1"/>
  <c r="AV323" i="1"/>
  <c r="AX323" i="1"/>
  <c r="A324" i="1"/>
  <c r="D324" i="1"/>
  <c r="F324" i="1"/>
  <c r="H324" i="1"/>
  <c r="J324" i="1"/>
  <c r="L324" i="1"/>
  <c r="N324" i="1"/>
  <c r="P324" i="1"/>
  <c r="R324" i="1"/>
  <c r="T324" i="1"/>
  <c r="V324" i="1"/>
  <c r="X324" i="1"/>
  <c r="Z324" i="1"/>
  <c r="AB324" i="1"/>
  <c r="AD324" i="1"/>
  <c r="AF324" i="1"/>
  <c r="AH324" i="1"/>
  <c r="AJ324" i="1"/>
  <c r="AL324" i="1"/>
  <c r="AN324" i="1"/>
  <c r="AP324" i="1"/>
  <c r="AR324" i="1"/>
  <c r="AT324" i="1"/>
  <c r="AV324" i="1"/>
  <c r="AX324" i="1"/>
  <c r="A325" i="1"/>
  <c r="D325" i="1"/>
  <c r="F325" i="1"/>
  <c r="H325" i="1"/>
  <c r="J325" i="1"/>
  <c r="L325" i="1"/>
  <c r="N325" i="1"/>
  <c r="P325" i="1"/>
  <c r="R325" i="1"/>
  <c r="T325" i="1"/>
  <c r="V325" i="1"/>
  <c r="X325" i="1"/>
  <c r="Z325" i="1"/>
  <c r="AB325" i="1"/>
  <c r="AD325" i="1"/>
  <c r="AF325" i="1"/>
  <c r="AH325" i="1"/>
  <c r="AJ325" i="1"/>
  <c r="AL325" i="1"/>
  <c r="AN325" i="1"/>
  <c r="AP325" i="1"/>
  <c r="AR325" i="1"/>
  <c r="AT325" i="1"/>
  <c r="AV325" i="1"/>
  <c r="AX325" i="1"/>
  <c r="A326" i="1"/>
  <c r="D326" i="1"/>
  <c r="F326" i="1"/>
  <c r="H326" i="1"/>
  <c r="J326" i="1"/>
  <c r="L326" i="1"/>
  <c r="N326" i="1"/>
  <c r="P326" i="1"/>
  <c r="R326" i="1"/>
  <c r="T326" i="1"/>
  <c r="V326" i="1"/>
  <c r="X326" i="1"/>
  <c r="Z326" i="1"/>
  <c r="AB326" i="1"/>
  <c r="AD326" i="1"/>
  <c r="AF326" i="1"/>
  <c r="AH326" i="1"/>
  <c r="AJ326" i="1"/>
  <c r="AL326" i="1"/>
  <c r="AN326" i="1"/>
  <c r="AP326" i="1"/>
  <c r="AR326" i="1"/>
  <c r="AT326" i="1"/>
  <c r="AV326" i="1"/>
  <c r="AX326" i="1"/>
  <c r="A327" i="1"/>
  <c r="D327" i="1"/>
  <c r="F327" i="1"/>
  <c r="H327" i="1"/>
  <c r="J327" i="1"/>
  <c r="L327" i="1"/>
  <c r="N327" i="1"/>
  <c r="P327" i="1"/>
  <c r="R327" i="1"/>
  <c r="T327" i="1"/>
  <c r="V327" i="1"/>
  <c r="X327" i="1"/>
  <c r="Z327" i="1"/>
  <c r="AB327" i="1"/>
  <c r="AD327" i="1"/>
  <c r="AF327" i="1"/>
  <c r="AH327" i="1"/>
  <c r="AJ327" i="1"/>
  <c r="AL327" i="1"/>
  <c r="AN327" i="1"/>
  <c r="AP327" i="1"/>
  <c r="AR327" i="1"/>
  <c r="AT327" i="1"/>
  <c r="AV327" i="1"/>
  <c r="AX327" i="1"/>
  <c r="A328" i="1"/>
  <c r="D328" i="1"/>
  <c r="F328" i="1"/>
  <c r="H328" i="1"/>
  <c r="J328" i="1"/>
  <c r="L328" i="1"/>
  <c r="N328" i="1"/>
  <c r="P328" i="1"/>
  <c r="R328" i="1"/>
  <c r="T328" i="1"/>
  <c r="V328" i="1"/>
  <c r="X328" i="1"/>
  <c r="Z328" i="1"/>
  <c r="AB328" i="1"/>
  <c r="AD328" i="1"/>
  <c r="AF328" i="1"/>
  <c r="AH328" i="1"/>
  <c r="AJ328" i="1"/>
  <c r="AL328" i="1"/>
  <c r="AN328" i="1"/>
  <c r="AP328" i="1"/>
  <c r="AR328" i="1"/>
  <c r="AT328" i="1"/>
  <c r="AV328" i="1"/>
  <c r="AX328" i="1"/>
  <c r="A329" i="1"/>
  <c r="D329" i="1"/>
  <c r="F329" i="1"/>
  <c r="H329" i="1"/>
  <c r="J329" i="1"/>
  <c r="L329" i="1"/>
  <c r="N329" i="1"/>
  <c r="P329" i="1"/>
  <c r="R329" i="1"/>
  <c r="T329" i="1"/>
  <c r="V329" i="1"/>
  <c r="X329" i="1"/>
  <c r="Z329" i="1"/>
  <c r="AB329" i="1"/>
  <c r="AD329" i="1"/>
  <c r="AF329" i="1"/>
  <c r="AH329" i="1"/>
  <c r="AJ329" i="1"/>
  <c r="AL329" i="1"/>
  <c r="AN329" i="1"/>
  <c r="AP329" i="1"/>
  <c r="AR329" i="1"/>
  <c r="AT329" i="1"/>
  <c r="AV329" i="1"/>
  <c r="AX329" i="1"/>
  <c r="A330" i="1"/>
  <c r="D330" i="1"/>
  <c r="F330" i="1"/>
  <c r="H330" i="1"/>
  <c r="J330" i="1"/>
  <c r="L330" i="1"/>
  <c r="N330" i="1"/>
  <c r="P330" i="1"/>
  <c r="R330" i="1"/>
  <c r="T330" i="1"/>
  <c r="V330" i="1"/>
  <c r="X330" i="1"/>
  <c r="Z330" i="1"/>
  <c r="AB330" i="1"/>
  <c r="AD330" i="1"/>
  <c r="AF330" i="1"/>
  <c r="AH330" i="1"/>
  <c r="AJ330" i="1"/>
  <c r="AL330" i="1"/>
  <c r="AN330" i="1"/>
  <c r="AP330" i="1"/>
  <c r="AR330" i="1"/>
  <c r="AT330" i="1"/>
  <c r="AV330" i="1"/>
  <c r="AX330" i="1"/>
  <c r="A331" i="1"/>
  <c r="D331" i="1"/>
  <c r="F331" i="1"/>
  <c r="H331" i="1"/>
  <c r="J331" i="1"/>
  <c r="L331" i="1"/>
  <c r="N331" i="1"/>
  <c r="P331" i="1"/>
  <c r="R331" i="1"/>
  <c r="T331" i="1"/>
  <c r="V331" i="1"/>
  <c r="X331" i="1"/>
  <c r="Z331" i="1"/>
  <c r="AB331" i="1"/>
  <c r="AD331" i="1"/>
  <c r="AF331" i="1"/>
  <c r="AH331" i="1"/>
  <c r="AJ331" i="1"/>
  <c r="AL331" i="1"/>
  <c r="AN331" i="1"/>
  <c r="AP331" i="1"/>
  <c r="AR331" i="1"/>
  <c r="AT331" i="1"/>
  <c r="AV331" i="1"/>
  <c r="AX331" i="1"/>
  <c r="A332" i="1"/>
  <c r="D332" i="1"/>
  <c r="F332" i="1"/>
  <c r="H332" i="1"/>
  <c r="J332" i="1"/>
  <c r="L332" i="1"/>
  <c r="N332" i="1"/>
  <c r="P332" i="1"/>
  <c r="R332" i="1"/>
  <c r="T332" i="1"/>
  <c r="V332" i="1"/>
  <c r="X332" i="1"/>
  <c r="Z332" i="1"/>
  <c r="AB332" i="1"/>
  <c r="AD332" i="1"/>
  <c r="AF332" i="1"/>
  <c r="AH332" i="1"/>
  <c r="AJ332" i="1"/>
  <c r="AL332" i="1"/>
  <c r="AN332" i="1"/>
  <c r="AP332" i="1"/>
  <c r="AR332" i="1"/>
  <c r="AT332" i="1"/>
  <c r="AV332" i="1"/>
  <c r="AX332" i="1"/>
  <c r="A333" i="1"/>
  <c r="D333" i="1"/>
  <c r="F333" i="1"/>
  <c r="H333" i="1"/>
  <c r="J333" i="1"/>
  <c r="L333" i="1"/>
  <c r="N333" i="1"/>
  <c r="P333" i="1"/>
  <c r="R333" i="1"/>
  <c r="T333" i="1"/>
  <c r="V333" i="1"/>
  <c r="X333" i="1"/>
  <c r="Z333" i="1"/>
  <c r="AB333" i="1"/>
  <c r="AD333" i="1"/>
  <c r="AF333" i="1"/>
  <c r="AH333" i="1"/>
  <c r="AJ333" i="1"/>
  <c r="AL333" i="1"/>
  <c r="AN333" i="1"/>
  <c r="AP333" i="1"/>
  <c r="AR333" i="1"/>
  <c r="AT333" i="1"/>
  <c r="AV333" i="1"/>
  <c r="AX333" i="1"/>
  <c r="A334" i="1"/>
  <c r="D334" i="1"/>
  <c r="F334" i="1"/>
  <c r="H334" i="1"/>
  <c r="J334" i="1"/>
  <c r="L334" i="1"/>
  <c r="N334" i="1"/>
  <c r="P334" i="1"/>
  <c r="R334" i="1"/>
  <c r="T334" i="1"/>
  <c r="V334" i="1"/>
  <c r="X334" i="1"/>
  <c r="Z334" i="1"/>
  <c r="AB334" i="1"/>
  <c r="AD334" i="1"/>
  <c r="AF334" i="1"/>
  <c r="AH334" i="1"/>
  <c r="AJ334" i="1"/>
  <c r="AL334" i="1"/>
  <c r="AN334" i="1"/>
  <c r="AP334" i="1"/>
  <c r="AR334" i="1"/>
  <c r="AT334" i="1"/>
  <c r="AV334" i="1"/>
  <c r="AX334" i="1"/>
  <c r="A335" i="1"/>
  <c r="D335" i="1"/>
  <c r="F335" i="1"/>
  <c r="H335" i="1"/>
  <c r="J335" i="1"/>
  <c r="L335" i="1"/>
  <c r="N335" i="1"/>
  <c r="P335" i="1"/>
  <c r="R335" i="1"/>
  <c r="T335" i="1"/>
  <c r="V335" i="1"/>
  <c r="X335" i="1"/>
  <c r="Z335" i="1"/>
  <c r="AB335" i="1"/>
  <c r="AD335" i="1"/>
  <c r="AF335" i="1"/>
  <c r="AH335" i="1"/>
  <c r="AJ335" i="1"/>
  <c r="AL335" i="1"/>
  <c r="AN335" i="1"/>
  <c r="AP335" i="1"/>
  <c r="AR335" i="1"/>
  <c r="AT335" i="1"/>
  <c r="AV335" i="1"/>
  <c r="AX335" i="1"/>
  <c r="D336" i="1"/>
  <c r="F336" i="1"/>
  <c r="H336" i="1"/>
  <c r="J336" i="1"/>
  <c r="L336" i="1"/>
  <c r="N336" i="1"/>
  <c r="P336" i="1"/>
  <c r="R336" i="1"/>
  <c r="T336" i="1"/>
  <c r="V336" i="1"/>
  <c r="X336" i="1"/>
  <c r="Z336" i="1"/>
  <c r="AB336" i="1"/>
  <c r="AD336" i="1"/>
  <c r="AF336" i="1"/>
  <c r="AH336" i="1"/>
  <c r="AJ336" i="1"/>
  <c r="AL336" i="1"/>
  <c r="AN336" i="1"/>
  <c r="AP336" i="1"/>
  <c r="AR336" i="1"/>
  <c r="AT336" i="1"/>
  <c r="AV336" i="1"/>
  <c r="AX336" i="1"/>
  <c r="A337" i="1"/>
  <c r="D337" i="1"/>
  <c r="F337" i="1"/>
  <c r="H337" i="1"/>
  <c r="J337" i="1"/>
  <c r="L337" i="1"/>
  <c r="N337" i="1"/>
  <c r="P337" i="1"/>
  <c r="R337" i="1"/>
  <c r="T337" i="1"/>
  <c r="V337" i="1"/>
  <c r="X337" i="1"/>
  <c r="Z337" i="1"/>
  <c r="AB337" i="1"/>
  <c r="AD337" i="1"/>
  <c r="AF337" i="1"/>
  <c r="AH337" i="1"/>
  <c r="AJ337" i="1"/>
  <c r="AL337" i="1"/>
  <c r="AN337" i="1"/>
  <c r="AP337" i="1"/>
  <c r="AR337" i="1"/>
  <c r="AT337" i="1"/>
  <c r="AV337" i="1"/>
  <c r="AX337" i="1"/>
  <c r="A338" i="1"/>
  <c r="D338" i="1"/>
  <c r="F338" i="1"/>
  <c r="H338" i="1"/>
  <c r="J338" i="1"/>
  <c r="L338" i="1"/>
  <c r="N338" i="1"/>
  <c r="P338" i="1"/>
  <c r="R338" i="1"/>
  <c r="T338" i="1"/>
  <c r="V338" i="1"/>
  <c r="X338" i="1"/>
  <c r="Z338" i="1"/>
  <c r="AB338" i="1"/>
  <c r="AD338" i="1"/>
  <c r="AF338" i="1"/>
  <c r="AH338" i="1"/>
  <c r="AJ338" i="1"/>
  <c r="AL338" i="1"/>
  <c r="AN338" i="1"/>
  <c r="AP338" i="1"/>
  <c r="AR338" i="1"/>
  <c r="AT338" i="1"/>
  <c r="AV338" i="1"/>
  <c r="AX338" i="1"/>
  <c r="A339" i="1"/>
  <c r="D339" i="1"/>
  <c r="F339" i="1"/>
  <c r="H339" i="1"/>
  <c r="J339" i="1"/>
  <c r="L339" i="1"/>
  <c r="N339" i="1"/>
  <c r="P339" i="1"/>
  <c r="R339" i="1"/>
  <c r="T339" i="1"/>
  <c r="V339" i="1"/>
  <c r="X339" i="1"/>
  <c r="Z339" i="1"/>
  <c r="AB339" i="1"/>
  <c r="AD339" i="1"/>
  <c r="AF339" i="1"/>
  <c r="AH339" i="1"/>
  <c r="AJ339" i="1"/>
  <c r="AL339" i="1"/>
  <c r="AN339" i="1"/>
  <c r="AP339" i="1"/>
  <c r="AR339" i="1"/>
  <c r="AT339" i="1"/>
  <c r="AV339" i="1"/>
  <c r="AX339" i="1"/>
  <c r="A340" i="1"/>
  <c r="D340" i="1"/>
  <c r="F340" i="1"/>
  <c r="H340" i="1"/>
  <c r="J340" i="1"/>
  <c r="L340" i="1"/>
  <c r="N340" i="1"/>
  <c r="P340" i="1"/>
  <c r="R340" i="1"/>
  <c r="T340" i="1"/>
  <c r="V340" i="1"/>
  <c r="X340" i="1"/>
  <c r="Z340" i="1"/>
  <c r="AB340" i="1"/>
  <c r="AD340" i="1"/>
  <c r="AF340" i="1"/>
  <c r="AH340" i="1"/>
  <c r="AJ340" i="1"/>
  <c r="AL340" i="1"/>
  <c r="AN340" i="1"/>
  <c r="AP340" i="1"/>
  <c r="AR340" i="1"/>
  <c r="AT340" i="1"/>
  <c r="AV340" i="1"/>
  <c r="AX340" i="1"/>
  <c r="A341" i="1"/>
  <c r="D341" i="1"/>
  <c r="F341" i="1"/>
  <c r="H341" i="1"/>
  <c r="J341" i="1"/>
  <c r="L341" i="1"/>
  <c r="N341" i="1"/>
  <c r="P341" i="1"/>
  <c r="R341" i="1"/>
  <c r="T341" i="1"/>
  <c r="V341" i="1"/>
  <c r="X341" i="1"/>
  <c r="Z341" i="1"/>
  <c r="AB341" i="1"/>
  <c r="AD341" i="1"/>
  <c r="AF341" i="1"/>
  <c r="AH341" i="1"/>
  <c r="AJ341" i="1"/>
  <c r="AL341" i="1"/>
  <c r="AN341" i="1"/>
  <c r="AP341" i="1"/>
  <c r="AR341" i="1"/>
  <c r="AT341" i="1"/>
  <c r="AV341" i="1"/>
  <c r="AX341" i="1"/>
  <c r="A342" i="1"/>
  <c r="D342" i="1"/>
  <c r="F342" i="1"/>
  <c r="H342" i="1"/>
  <c r="J342" i="1"/>
  <c r="L342" i="1"/>
  <c r="N342" i="1"/>
  <c r="P342" i="1"/>
  <c r="R342" i="1"/>
  <c r="T342" i="1"/>
  <c r="V342" i="1"/>
  <c r="X342" i="1"/>
  <c r="Z342" i="1"/>
  <c r="AB342" i="1"/>
  <c r="AD342" i="1"/>
  <c r="AF342" i="1"/>
  <c r="AH342" i="1"/>
  <c r="AJ342" i="1"/>
  <c r="AL342" i="1"/>
  <c r="AN342" i="1"/>
  <c r="AP342" i="1"/>
  <c r="AR342" i="1"/>
  <c r="AT342" i="1"/>
  <c r="AV342" i="1"/>
  <c r="AX342" i="1"/>
  <c r="A343" i="1"/>
  <c r="D343" i="1"/>
  <c r="F343" i="1"/>
  <c r="H343" i="1"/>
  <c r="J343" i="1"/>
  <c r="L343" i="1"/>
  <c r="N343" i="1"/>
  <c r="P343" i="1"/>
  <c r="R343" i="1"/>
  <c r="T343" i="1"/>
  <c r="V343" i="1"/>
  <c r="X343" i="1"/>
  <c r="Z343" i="1"/>
  <c r="AB343" i="1"/>
  <c r="AD343" i="1"/>
  <c r="AF343" i="1"/>
  <c r="AH343" i="1"/>
  <c r="AJ343" i="1"/>
  <c r="AL343" i="1"/>
  <c r="AN343" i="1"/>
  <c r="AP343" i="1"/>
  <c r="AR343" i="1"/>
  <c r="AT343" i="1"/>
  <c r="AV343" i="1"/>
  <c r="AX343" i="1"/>
  <c r="A344" i="1"/>
  <c r="D344" i="1"/>
  <c r="F344" i="1"/>
  <c r="H344" i="1"/>
  <c r="J344" i="1"/>
  <c r="L344" i="1"/>
  <c r="N344" i="1"/>
  <c r="P344" i="1"/>
  <c r="R344" i="1"/>
  <c r="T344" i="1"/>
  <c r="V344" i="1"/>
  <c r="X344" i="1"/>
  <c r="Z344" i="1"/>
  <c r="AB344" i="1"/>
  <c r="AD344" i="1"/>
  <c r="AF344" i="1"/>
  <c r="AH344" i="1"/>
  <c r="AJ344" i="1"/>
  <c r="AL344" i="1"/>
  <c r="AN344" i="1"/>
  <c r="AP344" i="1"/>
  <c r="AR344" i="1"/>
  <c r="AT344" i="1"/>
  <c r="AV344" i="1"/>
  <c r="AX344" i="1"/>
  <c r="A345" i="1"/>
  <c r="D345" i="1"/>
  <c r="F345" i="1"/>
  <c r="H345" i="1"/>
  <c r="J345" i="1"/>
  <c r="L345" i="1"/>
  <c r="N345" i="1"/>
  <c r="P345" i="1"/>
  <c r="R345" i="1"/>
  <c r="T345" i="1"/>
  <c r="V345" i="1"/>
  <c r="X345" i="1"/>
  <c r="Z345" i="1"/>
  <c r="AB345" i="1"/>
  <c r="AD345" i="1"/>
  <c r="AF345" i="1"/>
  <c r="AH345" i="1"/>
  <c r="AJ345" i="1"/>
  <c r="AL345" i="1"/>
  <c r="AN345" i="1"/>
  <c r="AP345" i="1"/>
  <c r="AR345" i="1"/>
  <c r="AT345" i="1"/>
  <c r="AV345" i="1"/>
  <c r="AX345" i="1"/>
  <c r="A346" i="1"/>
  <c r="D346" i="1"/>
  <c r="F346" i="1"/>
  <c r="H346" i="1"/>
  <c r="J346" i="1"/>
  <c r="L346" i="1"/>
  <c r="N346" i="1"/>
  <c r="P346" i="1"/>
  <c r="R346" i="1"/>
  <c r="T346" i="1"/>
  <c r="V346" i="1"/>
  <c r="X346" i="1"/>
  <c r="Z346" i="1"/>
  <c r="AB346" i="1"/>
  <c r="AD346" i="1"/>
  <c r="AF346" i="1"/>
  <c r="AH346" i="1"/>
  <c r="AJ346" i="1"/>
  <c r="AL346" i="1"/>
  <c r="AN346" i="1"/>
  <c r="AP346" i="1"/>
  <c r="AR346" i="1"/>
  <c r="AT346" i="1"/>
  <c r="AV346" i="1"/>
  <c r="AX346" i="1"/>
  <c r="A347" i="1"/>
  <c r="D347" i="1"/>
  <c r="F347" i="1"/>
  <c r="H347" i="1"/>
  <c r="J347" i="1"/>
  <c r="L347" i="1"/>
  <c r="N347" i="1"/>
  <c r="P347" i="1"/>
  <c r="R347" i="1"/>
  <c r="T347" i="1"/>
  <c r="V347" i="1"/>
  <c r="X347" i="1"/>
  <c r="Z347" i="1"/>
  <c r="AB347" i="1"/>
  <c r="AD347" i="1"/>
  <c r="AF347" i="1"/>
  <c r="AH347" i="1"/>
  <c r="AJ347" i="1"/>
  <c r="AL347" i="1"/>
  <c r="AN347" i="1"/>
  <c r="AP347" i="1"/>
  <c r="AR347" i="1"/>
  <c r="AT347" i="1"/>
  <c r="AV347" i="1"/>
  <c r="AX347" i="1"/>
  <c r="A348" i="1"/>
  <c r="D348" i="1"/>
  <c r="F348" i="1"/>
  <c r="H348" i="1"/>
  <c r="J348" i="1"/>
  <c r="L348" i="1"/>
  <c r="N348" i="1"/>
  <c r="P348" i="1"/>
  <c r="R348" i="1"/>
  <c r="T348" i="1"/>
  <c r="V348" i="1"/>
  <c r="X348" i="1"/>
  <c r="Z348" i="1"/>
  <c r="AB348" i="1"/>
  <c r="AD348" i="1"/>
  <c r="AF348" i="1"/>
  <c r="AH348" i="1"/>
  <c r="AJ348" i="1"/>
  <c r="AL348" i="1"/>
  <c r="AN348" i="1"/>
  <c r="AP348" i="1"/>
  <c r="AR348" i="1"/>
  <c r="AT348" i="1"/>
  <c r="AV348" i="1"/>
  <c r="AX348" i="1"/>
  <c r="A349" i="1"/>
  <c r="D349" i="1"/>
  <c r="F349" i="1"/>
  <c r="H349" i="1"/>
  <c r="J349" i="1"/>
  <c r="L349" i="1"/>
  <c r="N349" i="1"/>
  <c r="P349" i="1"/>
  <c r="R349" i="1"/>
  <c r="T349" i="1"/>
  <c r="V349" i="1"/>
  <c r="X349" i="1"/>
  <c r="Z349" i="1"/>
  <c r="AB349" i="1"/>
  <c r="AD349" i="1"/>
  <c r="AF349" i="1"/>
  <c r="AH349" i="1"/>
  <c r="AJ349" i="1"/>
  <c r="AL349" i="1"/>
  <c r="AN349" i="1"/>
  <c r="AP349" i="1"/>
  <c r="AR349" i="1"/>
  <c r="AT349" i="1"/>
  <c r="AV349" i="1"/>
  <c r="AX349" i="1"/>
  <c r="A350" i="1"/>
  <c r="D350" i="1"/>
  <c r="F350" i="1"/>
  <c r="H350" i="1"/>
  <c r="J350" i="1"/>
  <c r="L350" i="1"/>
  <c r="N350" i="1"/>
  <c r="P350" i="1"/>
  <c r="R350" i="1"/>
  <c r="T350" i="1"/>
  <c r="V350" i="1"/>
  <c r="X350" i="1"/>
  <c r="Z350" i="1"/>
  <c r="AB350" i="1"/>
  <c r="AD350" i="1"/>
  <c r="AF350" i="1"/>
  <c r="AH350" i="1"/>
  <c r="AJ350" i="1"/>
  <c r="AL350" i="1"/>
  <c r="AN350" i="1"/>
  <c r="AP350" i="1"/>
  <c r="AR350" i="1"/>
  <c r="AT350" i="1"/>
  <c r="AV350" i="1"/>
  <c r="AX350" i="1"/>
  <c r="V67" i="2"/>
  <c r="V52" i="2"/>
  <c r="V370" i="4"/>
  <c r="C67" i="2"/>
  <c r="E67" i="2"/>
  <c r="F67" i="2"/>
  <c r="G67" i="2"/>
  <c r="N67" i="2"/>
  <c r="O67" i="2"/>
  <c r="P67" i="2"/>
  <c r="Q67" i="2"/>
  <c r="R67" i="2"/>
  <c r="S67" i="2"/>
  <c r="T67" i="2"/>
  <c r="U67" i="2"/>
  <c r="W67" i="2"/>
  <c r="X67" i="2"/>
  <c r="Y67" i="2"/>
  <c r="Z67" i="2"/>
  <c r="AA67" i="2"/>
  <c r="AB67" i="2"/>
  <c r="E66" i="2"/>
  <c r="B286" i="4"/>
  <c r="E286" i="4"/>
  <c r="F240" i="5"/>
  <c r="D66" i="2"/>
  <c r="D286" i="4"/>
  <c r="E240" i="5"/>
  <c r="AC67" i="2"/>
  <c r="I240" i="5"/>
  <c r="F66" i="2"/>
  <c r="F286" i="4"/>
  <c r="H240" i="5"/>
  <c r="AD67" i="2"/>
  <c r="AE67" i="2"/>
  <c r="K240" i="5"/>
  <c r="AF67" i="2"/>
  <c r="AG67" i="2"/>
  <c r="AH67" i="2"/>
  <c r="AI67" i="2"/>
  <c r="AJ67" i="2"/>
  <c r="AK67" i="2"/>
  <c r="M66" i="2"/>
  <c r="M286" i="4"/>
  <c r="R240" i="5"/>
  <c r="L66" i="2"/>
  <c r="L286" i="4"/>
  <c r="Q240" i="5"/>
  <c r="AL67" i="2"/>
  <c r="AM67" i="2"/>
  <c r="AZ336" i="1"/>
  <c r="BA336" i="1"/>
  <c r="BB336" i="1"/>
  <c r="CH336" i="1"/>
  <c r="CI336" i="1"/>
  <c r="CJ336" i="1"/>
  <c r="CK336" i="1"/>
  <c r="CL336" i="1"/>
  <c r="CM336" i="1"/>
  <c r="CN336" i="1"/>
  <c r="CO336" i="1"/>
  <c r="CP336" i="1"/>
  <c r="CQ336" i="1"/>
  <c r="CR336" i="1"/>
  <c r="CS336" i="1"/>
  <c r="BV336" i="1"/>
  <c r="BW336" i="1"/>
  <c r="BX336" i="1"/>
  <c r="BY336" i="1"/>
  <c r="BZ336" i="1"/>
  <c r="CA336" i="1"/>
  <c r="CB336" i="1"/>
  <c r="CC336" i="1"/>
  <c r="CD336" i="1"/>
  <c r="CE336" i="1"/>
  <c r="CF336" i="1"/>
  <c r="CG336" i="1"/>
  <c r="BC336" i="1"/>
  <c r="CT336" i="1"/>
  <c r="AZ337" i="1"/>
  <c r="BA337" i="1"/>
  <c r="BB337" i="1"/>
  <c r="CH337" i="1"/>
  <c r="CI337" i="1"/>
  <c r="CJ337" i="1"/>
  <c r="CK337" i="1"/>
  <c r="CL337" i="1"/>
  <c r="CM337" i="1"/>
  <c r="CN337" i="1"/>
  <c r="CO337" i="1"/>
  <c r="CP337" i="1"/>
  <c r="CQ337" i="1"/>
  <c r="CR337" i="1"/>
  <c r="CS337" i="1"/>
  <c r="BV337" i="1"/>
  <c r="BW337" i="1"/>
  <c r="BX337" i="1"/>
  <c r="BY337" i="1"/>
  <c r="BZ337" i="1"/>
  <c r="CA337" i="1"/>
  <c r="CB337" i="1"/>
  <c r="CC337" i="1"/>
  <c r="CD337" i="1"/>
  <c r="CE337" i="1"/>
  <c r="CF337" i="1"/>
  <c r="CG337" i="1"/>
  <c r="BC337" i="1"/>
  <c r="CT337" i="1"/>
  <c r="AZ335" i="1"/>
  <c r="BA335" i="1"/>
  <c r="BB335" i="1"/>
  <c r="CH335" i="1"/>
  <c r="CI335" i="1"/>
  <c r="CJ335" i="1"/>
  <c r="CK335" i="1"/>
  <c r="CL335" i="1"/>
  <c r="CM335" i="1"/>
  <c r="CN335" i="1"/>
  <c r="CO335" i="1"/>
  <c r="CP335" i="1"/>
  <c r="CQ335" i="1"/>
  <c r="CR335" i="1"/>
  <c r="CS335" i="1"/>
  <c r="BV335" i="1"/>
  <c r="BW335" i="1"/>
  <c r="BX335" i="1"/>
  <c r="BY335" i="1"/>
  <c r="BZ335" i="1"/>
  <c r="CA335" i="1"/>
  <c r="CB335" i="1"/>
  <c r="CC335" i="1"/>
  <c r="CD335" i="1"/>
  <c r="CE335" i="1"/>
  <c r="CF335" i="1"/>
  <c r="CG335" i="1"/>
  <c r="BC335" i="1"/>
  <c r="CT335" i="1"/>
  <c r="AZ334" i="1"/>
  <c r="BA334" i="1"/>
  <c r="BB334" i="1"/>
  <c r="CH334" i="1"/>
  <c r="CI334" i="1"/>
  <c r="CJ334" i="1"/>
  <c r="CK334" i="1"/>
  <c r="CL334" i="1"/>
  <c r="CM334" i="1"/>
  <c r="CN334" i="1"/>
  <c r="CO334" i="1"/>
  <c r="CP334" i="1"/>
  <c r="CQ334" i="1"/>
  <c r="CR334" i="1"/>
  <c r="CS334" i="1"/>
  <c r="BV334" i="1"/>
  <c r="BW334" i="1"/>
  <c r="BX334" i="1"/>
  <c r="BY334" i="1"/>
  <c r="BZ334" i="1"/>
  <c r="CA334" i="1"/>
  <c r="CB334" i="1"/>
  <c r="CC334" i="1"/>
  <c r="CD334" i="1"/>
  <c r="CE334" i="1"/>
  <c r="CF334" i="1"/>
  <c r="CG334" i="1"/>
  <c r="BC334" i="1"/>
  <c r="CT334" i="1"/>
  <c r="AZ302" i="1"/>
  <c r="BA302" i="1"/>
  <c r="BB302" i="1"/>
  <c r="CH302" i="1"/>
  <c r="CI302" i="1"/>
  <c r="CJ302" i="1"/>
  <c r="CK302" i="1"/>
  <c r="CL302" i="1"/>
  <c r="CM302" i="1"/>
  <c r="CN302" i="1"/>
  <c r="CO302" i="1"/>
  <c r="CP302" i="1"/>
  <c r="CQ302" i="1"/>
  <c r="CR302" i="1"/>
  <c r="CS302" i="1"/>
  <c r="BV302" i="1"/>
  <c r="BW302" i="1"/>
  <c r="BX302" i="1"/>
  <c r="BY302" i="1"/>
  <c r="BZ302" i="1"/>
  <c r="CA302" i="1"/>
  <c r="CB302" i="1"/>
  <c r="CC302" i="1"/>
  <c r="CD302" i="1"/>
  <c r="CE302" i="1"/>
  <c r="CF302" i="1"/>
  <c r="CG302" i="1"/>
  <c r="BC302" i="1"/>
  <c r="CT302" i="1"/>
  <c r="N7" i="2"/>
  <c r="B216" i="4"/>
  <c r="N40" i="2"/>
  <c r="N216" i="4"/>
  <c r="B217" i="4"/>
  <c r="N39" i="2"/>
  <c r="N217" i="4"/>
  <c r="N226" i="5"/>
  <c r="L226" i="5"/>
  <c r="J44" i="2"/>
  <c r="B178" i="4"/>
  <c r="J7" i="2"/>
  <c r="J178" i="4"/>
  <c r="W15" i="2"/>
  <c r="B120" i="4"/>
  <c r="W120" i="4"/>
  <c r="W18" i="2"/>
  <c r="W32" i="2"/>
  <c r="B122" i="4"/>
  <c r="W122" i="4"/>
  <c r="B123" i="4"/>
  <c r="W123" i="4"/>
  <c r="B124" i="4"/>
  <c r="W124" i="4"/>
  <c r="W20" i="2"/>
  <c r="W40" i="2"/>
  <c r="B126" i="4"/>
  <c r="W39" i="2"/>
  <c r="W126" i="4"/>
  <c r="W19" i="2"/>
  <c r="W28" i="2"/>
  <c r="B128" i="4"/>
  <c r="W128" i="4"/>
  <c r="B129" i="4"/>
  <c r="W44" i="2"/>
  <c r="W129" i="4"/>
  <c r="W56" i="2"/>
  <c r="B131" i="4"/>
  <c r="W131" i="4"/>
  <c r="W61" i="2"/>
  <c r="B132" i="4"/>
  <c r="W132" i="4"/>
  <c r="B133" i="4"/>
  <c r="W133" i="4"/>
  <c r="B134" i="4"/>
  <c r="W35" i="2"/>
  <c r="W31" i="2"/>
  <c r="W134" i="4"/>
  <c r="B135" i="4"/>
  <c r="W135" i="4"/>
  <c r="W9" i="2"/>
  <c r="B136" i="4"/>
  <c r="W136" i="4"/>
  <c r="W34" i="2"/>
  <c r="B138" i="4"/>
  <c r="W138" i="4"/>
  <c r="W43" i="2"/>
  <c r="B141" i="4"/>
  <c r="W141" i="4"/>
  <c r="W29" i="2"/>
  <c r="B142" i="4"/>
  <c r="W142" i="4"/>
  <c r="B143" i="4"/>
  <c r="W143" i="4"/>
  <c r="B144" i="4"/>
  <c r="W144" i="4"/>
  <c r="B145" i="4"/>
  <c r="W145" i="4"/>
  <c r="W8" i="2"/>
  <c r="B137" i="4"/>
  <c r="W7" i="2"/>
  <c r="W137" i="4"/>
  <c r="B139" i="4"/>
  <c r="W139" i="4"/>
  <c r="W33" i="2"/>
  <c r="B140" i="4"/>
  <c r="W140" i="4"/>
  <c r="B149" i="4"/>
  <c r="W149" i="4"/>
  <c r="B150" i="4"/>
  <c r="W150" i="4"/>
  <c r="W2" i="2"/>
  <c r="B151" i="4"/>
  <c r="W151" i="4"/>
  <c r="W25" i="2"/>
  <c r="B152" i="4"/>
  <c r="W152" i="4"/>
  <c r="B153" i="4"/>
  <c r="W153" i="4"/>
  <c r="B154" i="4"/>
  <c r="W154" i="4"/>
  <c r="B155" i="4"/>
  <c r="W155" i="4"/>
  <c r="W4" i="2"/>
  <c r="B156" i="4"/>
  <c r="W156" i="4"/>
  <c r="B157" i="4"/>
  <c r="W22" i="2"/>
  <c r="W157" i="4"/>
  <c r="B158" i="4"/>
  <c r="W158" i="4"/>
  <c r="B159" i="4"/>
  <c r="W159" i="4"/>
  <c r="B160" i="4"/>
  <c r="W160" i="4"/>
  <c r="B161" i="4"/>
  <c r="W161" i="4"/>
  <c r="B162" i="4"/>
  <c r="W162" i="4"/>
  <c r="B163" i="4"/>
  <c r="W163" i="4"/>
  <c r="B164" i="4"/>
  <c r="W164" i="4"/>
  <c r="W30" i="2"/>
  <c r="B165" i="4"/>
  <c r="W165" i="4"/>
  <c r="W57" i="2"/>
  <c r="B166" i="4"/>
  <c r="W166" i="4"/>
  <c r="B167" i="4"/>
  <c r="W167" i="4"/>
  <c r="B168" i="4"/>
  <c r="W168" i="4"/>
  <c r="W63" i="2"/>
  <c r="B170" i="4"/>
  <c r="W170" i="4"/>
  <c r="B171" i="4"/>
  <c r="W171" i="4"/>
  <c r="B173" i="4"/>
  <c r="W173" i="4"/>
  <c r="B174" i="4"/>
  <c r="W174" i="4"/>
  <c r="B175" i="4"/>
  <c r="W175" i="4"/>
  <c r="B179" i="4"/>
  <c r="W179" i="4"/>
  <c r="B180" i="4"/>
  <c r="W180" i="4"/>
  <c r="B182" i="4"/>
  <c r="W182" i="4"/>
  <c r="W16" i="2"/>
  <c r="B183" i="4"/>
  <c r="W24" i="2"/>
  <c r="W183" i="4"/>
  <c r="B184" i="4"/>
  <c r="W184" i="4"/>
  <c r="B185" i="4"/>
  <c r="W185" i="4"/>
  <c r="B172" i="4"/>
  <c r="W172" i="4"/>
  <c r="B176" i="4"/>
  <c r="W176" i="4"/>
  <c r="B177" i="4"/>
  <c r="W177" i="4"/>
  <c r="W178" i="4"/>
  <c r="W65" i="2"/>
  <c r="B181" i="4"/>
  <c r="W181" i="4"/>
  <c r="B169" i="4"/>
  <c r="W169" i="4"/>
  <c r="S63" i="2"/>
  <c r="S7" i="2"/>
  <c r="S169" i="4"/>
  <c r="AZ105" i="1"/>
  <c r="BA105" i="1"/>
  <c r="BB105" i="1"/>
  <c r="CH105" i="1"/>
  <c r="CI105" i="1"/>
  <c r="CJ105" i="1"/>
  <c r="CK105" i="1"/>
  <c r="CL105" i="1"/>
  <c r="CM105" i="1"/>
  <c r="CN105" i="1"/>
  <c r="CO105" i="1"/>
  <c r="CP105" i="1"/>
  <c r="CQ105" i="1"/>
  <c r="CR105" i="1"/>
  <c r="CS105" i="1"/>
  <c r="BV105" i="1"/>
  <c r="BW105" i="1"/>
  <c r="BX105" i="1"/>
  <c r="BY105" i="1"/>
  <c r="BZ105" i="1"/>
  <c r="CA105" i="1"/>
  <c r="CB105" i="1"/>
  <c r="CC105" i="1"/>
  <c r="CD105" i="1"/>
  <c r="CE105" i="1"/>
  <c r="CF105" i="1"/>
  <c r="CG105" i="1"/>
  <c r="BC105" i="1"/>
  <c r="CT105" i="1"/>
  <c r="AZ299" i="1"/>
  <c r="BA299" i="1"/>
  <c r="BB299" i="1"/>
  <c r="CH299" i="1"/>
  <c r="CI299" i="1"/>
  <c r="CJ299" i="1"/>
  <c r="CK299" i="1"/>
  <c r="CL299" i="1"/>
  <c r="CM299" i="1"/>
  <c r="CN299" i="1"/>
  <c r="CO299" i="1"/>
  <c r="CP299" i="1"/>
  <c r="CQ299" i="1"/>
  <c r="CR299" i="1"/>
  <c r="CS299" i="1"/>
  <c r="BV299" i="1"/>
  <c r="BW299" i="1"/>
  <c r="BX299" i="1"/>
  <c r="BY299" i="1"/>
  <c r="BZ299" i="1"/>
  <c r="CA299" i="1"/>
  <c r="CB299" i="1"/>
  <c r="CC299" i="1"/>
  <c r="CD299" i="1"/>
  <c r="CE299" i="1"/>
  <c r="CF299" i="1"/>
  <c r="CG299" i="1"/>
  <c r="BC299" i="1"/>
  <c r="CT299" i="1"/>
  <c r="C66" i="2"/>
  <c r="G66" i="2"/>
  <c r="H66" i="2"/>
  <c r="I66" i="2"/>
  <c r="J66" i="2"/>
  <c r="K66" i="2"/>
  <c r="N66" i="2"/>
  <c r="O66" i="2"/>
  <c r="P66" i="2"/>
  <c r="Q66" i="2"/>
  <c r="R66" i="2"/>
  <c r="S66" i="2"/>
  <c r="T66" i="2"/>
  <c r="U66" i="2"/>
  <c r="V66" i="2"/>
  <c r="W66" i="2"/>
  <c r="X66" i="2"/>
  <c r="Y66" i="2"/>
  <c r="Z66" i="2"/>
  <c r="AA66" i="2"/>
  <c r="AB66" i="2"/>
  <c r="E65" i="2"/>
  <c r="E7" i="2"/>
  <c r="E181" i="4"/>
  <c r="F226" i="5"/>
  <c r="D65" i="2"/>
  <c r="D7" i="2"/>
  <c r="D181" i="4"/>
  <c r="E226" i="5"/>
  <c r="E64" i="2"/>
  <c r="D64" i="2"/>
  <c r="AC66" i="2"/>
  <c r="I226" i="5"/>
  <c r="F65" i="2"/>
  <c r="F7" i="2"/>
  <c r="F181" i="4"/>
  <c r="H226" i="5"/>
  <c r="F64" i="2"/>
  <c r="AD66" i="2"/>
  <c r="AE66" i="2"/>
  <c r="I65" i="2"/>
  <c r="I7" i="2"/>
  <c r="I181" i="4"/>
  <c r="H65" i="2"/>
  <c r="H7" i="2"/>
  <c r="H181" i="4"/>
  <c r="K226" i="5"/>
  <c r="L240" i="5"/>
  <c r="AF66" i="2"/>
  <c r="AG66" i="2"/>
  <c r="AH66" i="2"/>
  <c r="AI66" i="2"/>
  <c r="AJ66" i="2"/>
  <c r="O226" i="5"/>
  <c r="J65" i="2"/>
  <c r="J181" i="4"/>
  <c r="AK66" i="2"/>
  <c r="M65" i="2"/>
  <c r="M7" i="2"/>
  <c r="M181" i="4"/>
  <c r="R226" i="5"/>
  <c r="L65" i="2"/>
  <c r="L7" i="2"/>
  <c r="L181" i="4"/>
  <c r="Q226" i="5"/>
  <c r="M64" i="2"/>
  <c r="L64" i="2"/>
  <c r="AL66" i="2"/>
  <c r="AM66" i="2"/>
  <c r="AZ297" i="1"/>
  <c r="BA297" i="1"/>
  <c r="BB297" i="1"/>
  <c r="CH297" i="1"/>
  <c r="CI297" i="1"/>
  <c r="CJ297" i="1"/>
  <c r="CK297" i="1"/>
  <c r="CL297" i="1"/>
  <c r="CM297" i="1"/>
  <c r="CN297" i="1"/>
  <c r="CO297" i="1"/>
  <c r="CP297" i="1"/>
  <c r="CQ297" i="1"/>
  <c r="CR297" i="1"/>
  <c r="CS297" i="1"/>
  <c r="BV297" i="1"/>
  <c r="BW297" i="1"/>
  <c r="BX297" i="1"/>
  <c r="BY297" i="1"/>
  <c r="BZ297" i="1"/>
  <c r="CA297" i="1"/>
  <c r="CB297" i="1"/>
  <c r="CC297" i="1"/>
  <c r="CD297" i="1"/>
  <c r="CE297" i="1"/>
  <c r="CF297" i="1"/>
  <c r="CG297" i="1"/>
  <c r="BC297" i="1"/>
  <c r="CT297" i="1"/>
  <c r="AZ298" i="1"/>
  <c r="BA298" i="1"/>
  <c r="BB298" i="1"/>
  <c r="CH298" i="1"/>
  <c r="CI298" i="1"/>
  <c r="CJ298" i="1"/>
  <c r="CK298" i="1"/>
  <c r="CL298" i="1"/>
  <c r="CM298" i="1"/>
  <c r="CN298" i="1"/>
  <c r="CO298" i="1"/>
  <c r="CP298" i="1"/>
  <c r="CQ298" i="1"/>
  <c r="CR298" i="1"/>
  <c r="CS298" i="1"/>
  <c r="BV298" i="1"/>
  <c r="BW298" i="1"/>
  <c r="BX298" i="1"/>
  <c r="BY298" i="1"/>
  <c r="BZ298" i="1"/>
  <c r="CA298" i="1"/>
  <c r="CB298" i="1"/>
  <c r="CC298" i="1"/>
  <c r="CD298" i="1"/>
  <c r="CE298" i="1"/>
  <c r="CF298" i="1"/>
  <c r="CG298" i="1"/>
  <c r="BC298" i="1"/>
  <c r="CT298" i="1"/>
  <c r="AZ143" i="1"/>
  <c r="BA143" i="1"/>
  <c r="BB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BC143" i="1"/>
  <c r="CT143" i="1"/>
  <c r="AZ142" i="1"/>
  <c r="BA142" i="1"/>
  <c r="BB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BC142" i="1"/>
  <c r="CT142" i="1"/>
  <c r="AZ195" i="1"/>
  <c r="BA195" i="1"/>
  <c r="BB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BC195" i="1"/>
  <c r="CT195" i="1"/>
  <c r="AZ194" i="1"/>
  <c r="BA194" i="1"/>
  <c r="BB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BC194" i="1"/>
  <c r="CT194" i="1"/>
  <c r="AZ193" i="1"/>
  <c r="BA193" i="1"/>
  <c r="BB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BC193" i="1"/>
  <c r="CT193" i="1"/>
  <c r="C64" i="2"/>
  <c r="G64" i="2"/>
  <c r="H64" i="2"/>
  <c r="I64" i="2"/>
  <c r="J64" i="2"/>
  <c r="K64" i="2"/>
  <c r="N64" i="2"/>
  <c r="O64" i="2"/>
  <c r="P64" i="2"/>
  <c r="Q64" i="2"/>
  <c r="R64" i="2"/>
  <c r="S64" i="2"/>
  <c r="T64" i="2"/>
  <c r="U64" i="2"/>
  <c r="V64" i="2"/>
  <c r="W64" i="2"/>
  <c r="X64" i="2"/>
  <c r="Y64" i="2"/>
  <c r="Z64" i="2"/>
  <c r="AA64" i="2"/>
  <c r="AB64" i="2"/>
  <c r="B293" i="4"/>
  <c r="E293" i="4"/>
  <c r="F225" i="5"/>
  <c r="D293" i="4"/>
  <c r="E225" i="5"/>
  <c r="AC64" i="2"/>
  <c r="I225" i="5"/>
  <c r="F293" i="4"/>
  <c r="H225" i="5"/>
  <c r="AD64" i="2"/>
  <c r="AE64" i="2"/>
  <c r="H293" i="4"/>
  <c r="K225" i="5"/>
  <c r="AF64" i="2"/>
  <c r="AG64" i="2"/>
  <c r="AH64" i="2"/>
  <c r="AI64" i="2"/>
  <c r="AJ64" i="2"/>
  <c r="AK64" i="2"/>
  <c r="M293" i="4"/>
  <c r="R225" i="5"/>
  <c r="L293" i="4"/>
  <c r="Q225" i="5"/>
  <c r="AL64" i="2"/>
  <c r="AM64" i="2"/>
  <c r="AG171" i="5"/>
  <c r="AF171" i="5"/>
  <c r="B290" i="4"/>
  <c r="C61" i="2"/>
  <c r="C290" i="4"/>
  <c r="C171" i="5"/>
  <c r="D61" i="2"/>
  <c r="D290" i="4"/>
  <c r="E171" i="5"/>
  <c r="K171" i="5"/>
  <c r="L61" i="2"/>
  <c r="L290" i="4"/>
  <c r="Q171" i="5"/>
  <c r="M61" i="2"/>
  <c r="M290" i="4"/>
  <c r="R171" i="5"/>
  <c r="T171" i="5"/>
  <c r="U171" i="5"/>
  <c r="P61" i="2"/>
  <c r="P290" i="4"/>
  <c r="W171" i="5"/>
  <c r="Q61" i="2"/>
  <c r="Q290" i="4"/>
  <c r="X171" i="5"/>
  <c r="S61" i="2"/>
  <c r="AA171" i="5"/>
  <c r="AI290" i="4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T290" i="4" a="1"/>
  <c r="T290" i="4"/>
  <c r="AC171" i="5"/>
  <c r="H6" i="3"/>
  <c r="U290" i="4" a="1"/>
  <c r="U290" i="4"/>
  <c r="AD171" i="5"/>
  <c r="X61" i="2"/>
  <c r="X290" i="4"/>
  <c r="AI171" i="5"/>
  <c r="Y61" i="2"/>
  <c r="Y290" i="4"/>
  <c r="AJ171" i="5"/>
  <c r="Z61" i="2"/>
  <c r="Z290" i="4"/>
  <c r="AL171" i="5"/>
  <c r="AN171" i="5"/>
  <c r="AZ149" i="1"/>
  <c r="BA149" i="1"/>
  <c r="BB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BC149" i="1"/>
  <c r="CT149" i="1"/>
  <c r="AD78" i="5"/>
  <c r="AI187" i="4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T187" i="4" a="1"/>
  <c r="T187" i="4"/>
  <c r="AC78" i="5"/>
  <c r="AI242" i="4"/>
  <c r="H10" i="3"/>
  <c r="U242" i="4" a="1"/>
  <c r="U242" i="4"/>
  <c r="AD85" i="5"/>
  <c r="T242" i="4" a="1"/>
  <c r="T242" i="4"/>
  <c r="AC85" i="5"/>
  <c r="AZ150" i="1"/>
  <c r="BA150" i="1"/>
  <c r="BB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BC150" i="1"/>
  <c r="CT150" i="1"/>
  <c r="AZ277" i="1"/>
  <c r="BA277" i="1"/>
  <c r="BB277" i="1"/>
  <c r="CH277" i="1"/>
  <c r="CI277" i="1"/>
  <c r="CJ277" i="1"/>
  <c r="CK277" i="1"/>
  <c r="CL277" i="1"/>
  <c r="CM277" i="1"/>
  <c r="CN277" i="1"/>
  <c r="CO277" i="1"/>
  <c r="CP277" i="1"/>
  <c r="CQ277" i="1"/>
  <c r="CR277" i="1"/>
  <c r="CS277" i="1"/>
  <c r="BV277" i="1"/>
  <c r="BW277" i="1"/>
  <c r="BX277" i="1"/>
  <c r="BY277" i="1"/>
  <c r="BZ277" i="1"/>
  <c r="CA277" i="1"/>
  <c r="CB277" i="1"/>
  <c r="CC277" i="1"/>
  <c r="CD277" i="1"/>
  <c r="CE277" i="1"/>
  <c r="CF277" i="1"/>
  <c r="CG277" i="1"/>
  <c r="BC277" i="1"/>
  <c r="CT277" i="1"/>
  <c r="AZ276" i="1"/>
  <c r="BA276" i="1"/>
  <c r="BB276" i="1"/>
  <c r="CH276" i="1"/>
  <c r="CI276" i="1"/>
  <c r="CJ276" i="1"/>
  <c r="CK276" i="1"/>
  <c r="CL276" i="1"/>
  <c r="CM276" i="1"/>
  <c r="CN276" i="1"/>
  <c r="CO276" i="1"/>
  <c r="CP276" i="1"/>
  <c r="CQ276" i="1"/>
  <c r="CR276" i="1"/>
  <c r="CS276" i="1"/>
  <c r="BV276" i="1"/>
  <c r="BW276" i="1"/>
  <c r="BX276" i="1"/>
  <c r="BY276" i="1"/>
  <c r="BZ276" i="1"/>
  <c r="CA276" i="1"/>
  <c r="CB276" i="1"/>
  <c r="CC276" i="1"/>
  <c r="CD276" i="1"/>
  <c r="CE276" i="1"/>
  <c r="CF276" i="1"/>
  <c r="CG276" i="1"/>
  <c r="BC276" i="1"/>
  <c r="CT276" i="1"/>
  <c r="AZ278" i="1"/>
  <c r="BA278" i="1"/>
  <c r="BB278" i="1"/>
  <c r="CH278" i="1"/>
  <c r="CI278" i="1"/>
  <c r="CJ278" i="1"/>
  <c r="CK278" i="1"/>
  <c r="CL278" i="1"/>
  <c r="CM278" i="1"/>
  <c r="CN278" i="1"/>
  <c r="CO278" i="1"/>
  <c r="CP278" i="1"/>
  <c r="CQ278" i="1"/>
  <c r="CR278" i="1"/>
  <c r="CS278" i="1"/>
  <c r="BV278" i="1"/>
  <c r="BW278" i="1"/>
  <c r="BX278" i="1"/>
  <c r="BY278" i="1"/>
  <c r="BZ278" i="1"/>
  <c r="CA278" i="1"/>
  <c r="CB278" i="1"/>
  <c r="CC278" i="1"/>
  <c r="CD278" i="1"/>
  <c r="CE278" i="1"/>
  <c r="CF278" i="1"/>
  <c r="CG278" i="1"/>
  <c r="BC278" i="1"/>
  <c r="CT278" i="1"/>
  <c r="AZ281" i="1"/>
  <c r="BA281" i="1"/>
  <c r="BB281" i="1"/>
  <c r="CH281" i="1"/>
  <c r="CI281" i="1"/>
  <c r="CJ281" i="1"/>
  <c r="CK281" i="1"/>
  <c r="CL281" i="1"/>
  <c r="CM281" i="1"/>
  <c r="CN281" i="1"/>
  <c r="CO281" i="1"/>
  <c r="CP281" i="1"/>
  <c r="CQ281" i="1"/>
  <c r="CR281" i="1"/>
  <c r="CS281" i="1"/>
  <c r="BV281" i="1"/>
  <c r="BW281" i="1"/>
  <c r="BX281" i="1"/>
  <c r="BY281" i="1"/>
  <c r="BZ281" i="1"/>
  <c r="CA281" i="1"/>
  <c r="CB281" i="1"/>
  <c r="CC281" i="1"/>
  <c r="CD281" i="1"/>
  <c r="CE281" i="1"/>
  <c r="CF281" i="1"/>
  <c r="CG281" i="1"/>
  <c r="BC281" i="1"/>
  <c r="CT281" i="1"/>
  <c r="C65" i="2"/>
  <c r="G65" i="2"/>
  <c r="K65" i="2"/>
  <c r="N65" i="2"/>
  <c r="O65" i="2"/>
  <c r="P65" i="2"/>
  <c r="Q65" i="2"/>
  <c r="R65" i="2"/>
  <c r="S65" i="2"/>
  <c r="T65" i="2"/>
  <c r="U65" i="2"/>
  <c r="V65" i="2"/>
  <c r="X65" i="2"/>
  <c r="Y65" i="2"/>
  <c r="Z65" i="2"/>
  <c r="AA65" i="2"/>
  <c r="AB65" i="2"/>
  <c r="D63" i="2"/>
  <c r="D169" i="4"/>
  <c r="E280" i="5"/>
  <c r="E9" i="2"/>
  <c r="AC65" i="2"/>
  <c r="F9" i="2"/>
  <c r="AD65" i="2"/>
  <c r="AE65" i="2"/>
  <c r="H63" i="2"/>
  <c r="H169" i="4"/>
  <c r="K280" i="5"/>
  <c r="I9" i="2"/>
  <c r="AF65" i="2"/>
  <c r="AG65" i="2"/>
  <c r="AH65" i="2"/>
  <c r="AI65" i="2"/>
  <c r="AJ65" i="2"/>
  <c r="J9" i="2"/>
  <c r="AK65" i="2"/>
  <c r="M63" i="2"/>
  <c r="M169" i="4"/>
  <c r="R280" i="5"/>
  <c r="L63" i="2"/>
  <c r="L169" i="4"/>
  <c r="Q280" i="5"/>
  <c r="AL65" i="2"/>
  <c r="AM65" i="2"/>
  <c r="AZ280" i="1"/>
  <c r="BA280" i="1"/>
  <c r="BB280" i="1"/>
  <c r="CH280" i="1"/>
  <c r="CI280" i="1"/>
  <c r="CJ280" i="1"/>
  <c r="CK280" i="1"/>
  <c r="CL280" i="1"/>
  <c r="CM280" i="1"/>
  <c r="CN280" i="1"/>
  <c r="CO280" i="1"/>
  <c r="CP280" i="1"/>
  <c r="CQ280" i="1"/>
  <c r="CR280" i="1"/>
  <c r="CS280" i="1"/>
  <c r="BV280" i="1"/>
  <c r="BW280" i="1"/>
  <c r="BX280" i="1"/>
  <c r="BY280" i="1"/>
  <c r="BZ280" i="1"/>
  <c r="CA280" i="1"/>
  <c r="CB280" i="1"/>
  <c r="CC280" i="1"/>
  <c r="CD280" i="1"/>
  <c r="CE280" i="1"/>
  <c r="CF280" i="1"/>
  <c r="CG280" i="1"/>
  <c r="BC280" i="1"/>
  <c r="CT280" i="1"/>
  <c r="AZ275" i="1"/>
  <c r="BA275" i="1"/>
  <c r="BB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BC275" i="1"/>
  <c r="CT275" i="1"/>
  <c r="C63" i="2"/>
  <c r="E63" i="2"/>
  <c r="F63" i="2"/>
  <c r="G63" i="2"/>
  <c r="I63" i="2"/>
  <c r="J63" i="2"/>
  <c r="K63" i="2"/>
  <c r="N63" i="2"/>
  <c r="O63" i="2"/>
  <c r="P63" i="2"/>
  <c r="Q63" i="2"/>
  <c r="R63" i="2"/>
  <c r="T63" i="2"/>
  <c r="U63" i="2"/>
  <c r="V63" i="2"/>
  <c r="X63" i="2"/>
  <c r="Y63" i="2"/>
  <c r="Z63" i="2"/>
  <c r="AA63" i="2"/>
  <c r="AB63" i="2"/>
  <c r="D62" i="2"/>
  <c r="B314" i="4"/>
  <c r="D314" i="4"/>
  <c r="E310" i="5"/>
  <c r="AC63" i="2"/>
  <c r="AD63" i="2"/>
  <c r="AE63" i="2"/>
  <c r="I62" i="2"/>
  <c r="I314" i="4"/>
  <c r="L310" i="5"/>
  <c r="K310" i="5"/>
  <c r="AF63" i="2"/>
  <c r="AG63" i="2"/>
  <c r="AH63" i="2"/>
  <c r="AI63" i="2"/>
  <c r="AJ63" i="2"/>
  <c r="O310" i="5"/>
  <c r="J62" i="2"/>
  <c r="J314" i="4"/>
  <c r="N310" i="5"/>
  <c r="AK63" i="2"/>
  <c r="M62" i="2"/>
  <c r="M314" i="4"/>
  <c r="R310" i="5"/>
  <c r="L62" i="2"/>
  <c r="L314" i="4"/>
  <c r="Q310" i="5"/>
  <c r="AL63" i="2"/>
  <c r="AM63" i="2"/>
  <c r="AZ192" i="1"/>
  <c r="BA192" i="1"/>
  <c r="BB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BC192" i="1"/>
  <c r="CT192" i="1"/>
  <c r="AZ191" i="1"/>
  <c r="BA191" i="1"/>
  <c r="BB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BC191" i="1"/>
  <c r="CT191" i="1"/>
  <c r="AZ79" i="1"/>
  <c r="BA79" i="1"/>
  <c r="BB79" i="1"/>
  <c r="CH79" i="1"/>
  <c r="CI79" i="1"/>
  <c r="CJ79" i="1"/>
  <c r="CK79" i="1"/>
  <c r="CL79" i="1"/>
  <c r="CM79" i="1"/>
  <c r="CN79" i="1"/>
  <c r="CO79" i="1"/>
  <c r="CP79" i="1"/>
  <c r="CQ79" i="1"/>
  <c r="CR79" i="1"/>
  <c r="CS79" i="1"/>
  <c r="BV79" i="1"/>
  <c r="BW79" i="1"/>
  <c r="BX79" i="1"/>
  <c r="BY79" i="1"/>
  <c r="BZ79" i="1"/>
  <c r="CA79" i="1"/>
  <c r="CB79" i="1"/>
  <c r="CC79" i="1"/>
  <c r="CD79" i="1"/>
  <c r="CE79" i="1"/>
  <c r="CF79" i="1"/>
  <c r="CG79" i="1"/>
  <c r="BC79" i="1"/>
  <c r="CT79" i="1"/>
  <c r="AZ78" i="1"/>
  <c r="BA78" i="1"/>
  <c r="BB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BC78" i="1"/>
  <c r="CT78" i="1"/>
  <c r="AZ77" i="1"/>
  <c r="BA77" i="1"/>
  <c r="BB77" i="1"/>
  <c r="CH77" i="1"/>
  <c r="CI77" i="1"/>
  <c r="CJ77" i="1"/>
  <c r="CK77" i="1"/>
  <c r="CL77" i="1"/>
  <c r="CM77" i="1"/>
  <c r="CN77" i="1"/>
  <c r="CO77" i="1"/>
  <c r="CP77" i="1"/>
  <c r="CQ77" i="1"/>
  <c r="CR77" i="1"/>
  <c r="CS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BC77" i="1"/>
  <c r="CT77" i="1"/>
  <c r="AZ76" i="1"/>
  <c r="BA76" i="1"/>
  <c r="BB76" i="1"/>
  <c r="CH76" i="1"/>
  <c r="CI76" i="1"/>
  <c r="CJ76" i="1"/>
  <c r="CK76" i="1"/>
  <c r="CL76" i="1"/>
  <c r="CM76" i="1"/>
  <c r="CN76" i="1"/>
  <c r="CO76" i="1"/>
  <c r="CP76" i="1"/>
  <c r="CQ76" i="1"/>
  <c r="CR76" i="1"/>
  <c r="CS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BC76" i="1"/>
  <c r="CT76" i="1"/>
  <c r="AZ75" i="1"/>
  <c r="BA75" i="1"/>
  <c r="BB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BC75" i="1"/>
  <c r="CT75" i="1"/>
  <c r="AZ179" i="1"/>
  <c r="BA179" i="1"/>
  <c r="BB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BC179" i="1"/>
  <c r="CT179" i="1"/>
  <c r="AZ178" i="1"/>
  <c r="BA178" i="1"/>
  <c r="BB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BC178" i="1"/>
  <c r="CT178" i="1"/>
  <c r="C62" i="2"/>
  <c r="E62" i="2"/>
  <c r="F62" i="2"/>
  <c r="G62" i="2"/>
  <c r="H62" i="2"/>
  <c r="K62" i="2"/>
  <c r="N62" i="2"/>
  <c r="O62" i="2"/>
  <c r="P62" i="2"/>
  <c r="Q62" i="2"/>
  <c r="R62" i="2"/>
  <c r="S62" i="2"/>
  <c r="T62" i="2"/>
  <c r="U62" i="2"/>
  <c r="V62" i="2"/>
  <c r="W62" i="2"/>
  <c r="X62" i="2"/>
  <c r="Y62" i="2"/>
  <c r="Z62" i="2"/>
  <c r="AA62" i="2"/>
  <c r="AB62" i="2"/>
  <c r="E61" i="2"/>
  <c r="B199" i="4"/>
  <c r="E199" i="4"/>
  <c r="F222" i="5"/>
  <c r="D199" i="4"/>
  <c r="E222" i="5"/>
  <c r="D48" i="2"/>
  <c r="AC62" i="2"/>
  <c r="I222" i="5"/>
  <c r="F61" i="2"/>
  <c r="F199" i="4"/>
  <c r="H222" i="5"/>
  <c r="AD62" i="2"/>
  <c r="AE62" i="2"/>
  <c r="H61" i="2"/>
  <c r="H199" i="4"/>
  <c r="K222" i="5"/>
  <c r="I48" i="2"/>
  <c r="AF62" i="2"/>
  <c r="AG62" i="2"/>
  <c r="AH62" i="2"/>
  <c r="AI62" i="2"/>
  <c r="AJ62" i="2"/>
  <c r="J48" i="2"/>
  <c r="AK62" i="2"/>
  <c r="M199" i="4"/>
  <c r="R222" i="5"/>
  <c r="L199" i="4"/>
  <c r="Q222" i="5"/>
  <c r="M48" i="2"/>
  <c r="L48" i="2"/>
  <c r="AL62" i="2"/>
  <c r="AM62" i="2"/>
  <c r="AZ325" i="1"/>
  <c r="BA325" i="1"/>
  <c r="BB325" i="1"/>
  <c r="CH325" i="1"/>
  <c r="CI325" i="1"/>
  <c r="CJ325" i="1"/>
  <c r="CK325" i="1"/>
  <c r="CL325" i="1"/>
  <c r="CM325" i="1"/>
  <c r="CN325" i="1"/>
  <c r="CO325" i="1"/>
  <c r="CP325" i="1"/>
  <c r="CQ325" i="1"/>
  <c r="CR325" i="1"/>
  <c r="CS325" i="1"/>
  <c r="BV325" i="1"/>
  <c r="BW325" i="1"/>
  <c r="BX325" i="1"/>
  <c r="BY325" i="1"/>
  <c r="BZ325" i="1"/>
  <c r="CA325" i="1"/>
  <c r="CB325" i="1"/>
  <c r="CC325" i="1"/>
  <c r="CD325" i="1"/>
  <c r="CE325" i="1"/>
  <c r="CF325" i="1"/>
  <c r="CG325" i="1"/>
  <c r="BC325" i="1"/>
  <c r="CT325" i="1"/>
  <c r="AZ324" i="1"/>
  <c r="BA324" i="1"/>
  <c r="BB324" i="1"/>
  <c r="CH324" i="1"/>
  <c r="CI324" i="1"/>
  <c r="CJ324" i="1"/>
  <c r="CK324" i="1"/>
  <c r="CL324" i="1"/>
  <c r="CM324" i="1"/>
  <c r="CN324" i="1"/>
  <c r="CO324" i="1"/>
  <c r="CP324" i="1"/>
  <c r="CQ324" i="1"/>
  <c r="CR324" i="1"/>
  <c r="CS324" i="1"/>
  <c r="BV324" i="1"/>
  <c r="BW324" i="1"/>
  <c r="BX324" i="1"/>
  <c r="BY324" i="1"/>
  <c r="BZ324" i="1"/>
  <c r="CA324" i="1"/>
  <c r="CB324" i="1"/>
  <c r="CC324" i="1"/>
  <c r="CD324" i="1"/>
  <c r="CE324" i="1"/>
  <c r="CF324" i="1"/>
  <c r="CG324" i="1"/>
  <c r="BC324" i="1"/>
  <c r="CT324" i="1"/>
  <c r="AZ123" i="1"/>
  <c r="BA123" i="1"/>
  <c r="BB123" i="1"/>
  <c r="CH123" i="1"/>
  <c r="CI123" i="1"/>
  <c r="CJ123" i="1"/>
  <c r="CK123" i="1"/>
  <c r="CL123" i="1"/>
  <c r="CM123" i="1"/>
  <c r="CN123" i="1"/>
  <c r="CO123" i="1"/>
  <c r="CP123" i="1"/>
  <c r="CQ123" i="1"/>
  <c r="CR123" i="1"/>
  <c r="CS123" i="1"/>
  <c r="BV123" i="1"/>
  <c r="BW123" i="1"/>
  <c r="BX123" i="1"/>
  <c r="BY123" i="1"/>
  <c r="BZ123" i="1"/>
  <c r="CA123" i="1"/>
  <c r="CB123" i="1"/>
  <c r="CC123" i="1"/>
  <c r="CD123" i="1"/>
  <c r="CE123" i="1"/>
  <c r="CF123" i="1"/>
  <c r="CG123" i="1"/>
  <c r="BC123" i="1"/>
  <c r="CT123" i="1"/>
  <c r="AZ148" i="1"/>
  <c r="BA148" i="1"/>
  <c r="BB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BC148" i="1"/>
  <c r="CT148" i="1"/>
  <c r="AZ147" i="1"/>
  <c r="BA147" i="1"/>
  <c r="BB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BC147" i="1"/>
  <c r="CT147" i="1"/>
  <c r="AZ104" i="1"/>
  <c r="BA104" i="1"/>
  <c r="BB104" i="1"/>
  <c r="CH104" i="1"/>
  <c r="CI104" i="1"/>
  <c r="CJ104" i="1"/>
  <c r="CK104" i="1"/>
  <c r="CL104" i="1"/>
  <c r="CM104" i="1"/>
  <c r="CN104" i="1"/>
  <c r="CO104" i="1"/>
  <c r="CP104" i="1"/>
  <c r="CQ104" i="1"/>
  <c r="CR104" i="1"/>
  <c r="CS104" i="1"/>
  <c r="BV104" i="1"/>
  <c r="BW104" i="1"/>
  <c r="BX104" i="1"/>
  <c r="BY104" i="1"/>
  <c r="BZ104" i="1"/>
  <c r="CA104" i="1"/>
  <c r="CB104" i="1"/>
  <c r="CC104" i="1"/>
  <c r="CD104" i="1"/>
  <c r="CE104" i="1"/>
  <c r="CF104" i="1"/>
  <c r="CG104" i="1"/>
  <c r="BC104" i="1"/>
  <c r="CT104" i="1"/>
  <c r="AZ103" i="1"/>
  <c r="BA103" i="1"/>
  <c r="BB103" i="1"/>
  <c r="CH103" i="1"/>
  <c r="CI103" i="1"/>
  <c r="CJ103" i="1"/>
  <c r="CK103" i="1"/>
  <c r="CL103" i="1"/>
  <c r="CM103" i="1"/>
  <c r="CN103" i="1"/>
  <c r="CO103" i="1"/>
  <c r="CP103" i="1"/>
  <c r="CQ103" i="1"/>
  <c r="CR103" i="1"/>
  <c r="CS103" i="1"/>
  <c r="BV103" i="1"/>
  <c r="BW103" i="1"/>
  <c r="BX103" i="1"/>
  <c r="BY103" i="1"/>
  <c r="BZ103" i="1"/>
  <c r="CA103" i="1"/>
  <c r="CB103" i="1"/>
  <c r="CC103" i="1"/>
  <c r="CD103" i="1"/>
  <c r="CE103" i="1"/>
  <c r="CF103" i="1"/>
  <c r="CG103" i="1"/>
  <c r="BC103" i="1"/>
  <c r="CT103" i="1"/>
  <c r="AZ102" i="1"/>
  <c r="BA102" i="1"/>
  <c r="BB102" i="1"/>
  <c r="CH102" i="1"/>
  <c r="CI102" i="1"/>
  <c r="CJ102" i="1"/>
  <c r="CK102" i="1"/>
  <c r="CL102" i="1"/>
  <c r="CM102" i="1"/>
  <c r="CN102" i="1"/>
  <c r="CO102" i="1"/>
  <c r="CP102" i="1"/>
  <c r="CQ102" i="1"/>
  <c r="CR102" i="1"/>
  <c r="CS102" i="1"/>
  <c r="BV102" i="1"/>
  <c r="BW102" i="1"/>
  <c r="BX102" i="1"/>
  <c r="BY102" i="1"/>
  <c r="BZ102" i="1"/>
  <c r="CA102" i="1"/>
  <c r="CB102" i="1"/>
  <c r="CC102" i="1"/>
  <c r="CD102" i="1"/>
  <c r="CE102" i="1"/>
  <c r="CF102" i="1"/>
  <c r="CG102" i="1"/>
  <c r="BC102" i="1"/>
  <c r="CT102" i="1"/>
  <c r="AZ101" i="1"/>
  <c r="BA101" i="1"/>
  <c r="BB101" i="1"/>
  <c r="CH101" i="1"/>
  <c r="CI101" i="1"/>
  <c r="CJ101" i="1"/>
  <c r="CK101" i="1"/>
  <c r="CL101" i="1"/>
  <c r="CM101" i="1"/>
  <c r="CN101" i="1"/>
  <c r="CO101" i="1"/>
  <c r="CP101" i="1"/>
  <c r="CQ101" i="1"/>
  <c r="CR101" i="1"/>
  <c r="CS101" i="1"/>
  <c r="BV101" i="1"/>
  <c r="BW101" i="1"/>
  <c r="BX101" i="1"/>
  <c r="BY101" i="1"/>
  <c r="BZ101" i="1"/>
  <c r="CA101" i="1"/>
  <c r="CB101" i="1"/>
  <c r="CC101" i="1"/>
  <c r="CD101" i="1"/>
  <c r="CE101" i="1"/>
  <c r="CF101" i="1"/>
  <c r="CG101" i="1"/>
  <c r="BC101" i="1"/>
  <c r="CT101" i="1"/>
  <c r="AZ100" i="1"/>
  <c r="BA100" i="1"/>
  <c r="BB100" i="1"/>
  <c r="CH100" i="1"/>
  <c r="CI100" i="1"/>
  <c r="CJ100" i="1"/>
  <c r="CK100" i="1"/>
  <c r="CL100" i="1"/>
  <c r="CM100" i="1"/>
  <c r="CN100" i="1"/>
  <c r="CO100" i="1"/>
  <c r="CP100" i="1"/>
  <c r="CQ100" i="1"/>
  <c r="CR100" i="1"/>
  <c r="CS100" i="1"/>
  <c r="BV100" i="1"/>
  <c r="BW100" i="1"/>
  <c r="BX100" i="1"/>
  <c r="BY100" i="1"/>
  <c r="BZ100" i="1"/>
  <c r="CA100" i="1"/>
  <c r="CB100" i="1"/>
  <c r="CC100" i="1"/>
  <c r="CD100" i="1"/>
  <c r="CE100" i="1"/>
  <c r="CF100" i="1"/>
  <c r="CG100" i="1"/>
  <c r="BC100" i="1"/>
  <c r="CT100" i="1"/>
  <c r="AZ245" i="1"/>
  <c r="BA245" i="1"/>
  <c r="BB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BC245" i="1"/>
  <c r="CT245" i="1"/>
  <c r="AZ279" i="1"/>
  <c r="BA279" i="1"/>
  <c r="BB279" i="1"/>
  <c r="CH279" i="1"/>
  <c r="CI279" i="1"/>
  <c r="CJ279" i="1"/>
  <c r="CK279" i="1"/>
  <c r="CL279" i="1"/>
  <c r="CM279" i="1"/>
  <c r="CN279" i="1"/>
  <c r="CO279" i="1"/>
  <c r="CP279" i="1"/>
  <c r="CQ279" i="1"/>
  <c r="CR279" i="1"/>
  <c r="CS279" i="1"/>
  <c r="BV279" i="1"/>
  <c r="BW279" i="1"/>
  <c r="BX279" i="1"/>
  <c r="BY279" i="1"/>
  <c r="BZ279" i="1"/>
  <c r="CA279" i="1"/>
  <c r="CB279" i="1"/>
  <c r="CC279" i="1"/>
  <c r="CD279" i="1"/>
  <c r="CE279" i="1"/>
  <c r="CF279" i="1"/>
  <c r="CG279" i="1"/>
  <c r="BC279" i="1"/>
  <c r="CT279" i="1"/>
  <c r="X7" i="2"/>
  <c r="X199" i="4"/>
  <c r="G61" i="2"/>
  <c r="I61" i="2"/>
  <c r="J61" i="2"/>
  <c r="K61" i="2"/>
  <c r="N61" i="2"/>
  <c r="O61" i="2"/>
  <c r="R61" i="2"/>
  <c r="T61" i="2"/>
  <c r="U61" i="2"/>
  <c r="V61" i="2"/>
  <c r="AA61" i="2"/>
  <c r="AB61" i="2"/>
  <c r="D60" i="2"/>
  <c r="B305" i="4"/>
  <c r="D305" i="4"/>
  <c r="E300" i="5"/>
  <c r="E19" i="2"/>
  <c r="D19" i="2"/>
  <c r="AC61" i="2"/>
  <c r="F19" i="2"/>
  <c r="AD61" i="2"/>
  <c r="AE61" i="2"/>
  <c r="I60" i="2"/>
  <c r="I305" i="4"/>
  <c r="L300" i="5"/>
  <c r="K300" i="5"/>
  <c r="H19" i="2"/>
  <c r="AF61" i="2"/>
  <c r="AG61" i="2"/>
  <c r="AH61" i="2"/>
  <c r="AI61" i="2"/>
  <c r="AJ61" i="2"/>
  <c r="O300" i="5"/>
  <c r="J60" i="2"/>
  <c r="J305" i="4"/>
  <c r="N300" i="5"/>
  <c r="AK61" i="2"/>
  <c r="M60" i="2"/>
  <c r="M305" i="4"/>
  <c r="R300" i="5"/>
  <c r="L60" i="2"/>
  <c r="L305" i="4"/>
  <c r="Q300" i="5"/>
  <c r="M19" i="2"/>
  <c r="L19" i="2"/>
  <c r="AL61" i="2"/>
  <c r="AM61" i="2"/>
  <c r="AZ274" i="1"/>
  <c r="BA274" i="1"/>
  <c r="BB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BC274" i="1"/>
  <c r="CT274" i="1"/>
  <c r="AZ273" i="1"/>
  <c r="BA273" i="1"/>
  <c r="BB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BC273" i="1"/>
  <c r="CT273" i="1"/>
  <c r="C60" i="2"/>
  <c r="E60" i="2"/>
  <c r="F60" i="2"/>
  <c r="G60" i="2"/>
  <c r="H60" i="2"/>
  <c r="K60" i="2"/>
  <c r="N60" i="2"/>
  <c r="O60" i="2"/>
  <c r="P60" i="2"/>
  <c r="Q60" i="2"/>
  <c r="R60" i="2"/>
  <c r="S60" i="2"/>
  <c r="T60" i="2"/>
  <c r="U60" i="2"/>
  <c r="V60" i="2"/>
  <c r="W60" i="2"/>
  <c r="X60" i="2"/>
  <c r="Y60" i="2"/>
  <c r="Z60" i="2"/>
  <c r="AA60" i="2"/>
  <c r="AB60" i="2"/>
  <c r="D59" i="2"/>
  <c r="B282" i="4"/>
  <c r="D282" i="4"/>
  <c r="E298" i="5"/>
  <c r="D45" i="2"/>
  <c r="AC60" i="2"/>
  <c r="AD60" i="2"/>
  <c r="AE60" i="2"/>
  <c r="I59" i="2"/>
  <c r="I282" i="4"/>
  <c r="L298" i="5"/>
  <c r="K298" i="5"/>
  <c r="I45" i="2"/>
  <c r="AF60" i="2"/>
  <c r="AG60" i="2"/>
  <c r="AH60" i="2"/>
  <c r="AI60" i="2"/>
  <c r="AJ60" i="2"/>
  <c r="O298" i="5"/>
  <c r="J59" i="2"/>
  <c r="J282" i="4"/>
  <c r="N298" i="5"/>
  <c r="J45" i="2"/>
  <c r="AK60" i="2"/>
  <c r="M59" i="2"/>
  <c r="M282" i="4"/>
  <c r="R298" i="5"/>
  <c r="L59" i="2"/>
  <c r="L282" i="4"/>
  <c r="Q298" i="5"/>
  <c r="M45" i="2"/>
  <c r="L45" i="2"/>
  <c r="AL60" i="2"/>
  <c r="AM60" i="2"/>
  <c r="AZ304" i="1"/>
  <c r="BA304" i="1"/>
  <c r="BB304" i="1"/>
  <c r="CH304" i="1"/>
  <c r="CI304" i="1"/>
  <c r="CJ304" i="1"/>
  <c r="CK304" i="1"/>
  <c r="CL304" i="1"/>
  <c r="CM304" i="1"/>
  <c r="CN304" i="1"/>
  <c r="CO304" i="1"/>
  <c r="CP304" i="1"/>
  <c r="CQ304" i="1"/>
  <c r="CR304" i="1"/>
  <c r="CS304" i="1"/>
  <c r="BV304" i="1"/>
  <c r="BW304" i="1"/>
  <c r="BX304" i="1"/>
  <c r="BY304" i="1"/>
  <c r="BZ304" i="1"/>
  <c r="CA304" i="1"/>
  <c r="CB304" i="1"/>
  <c r="CC304" i="1"/>
  <c r="CD304" i="1"/>
  <c r="CE304" i="1"/>
  <c r="CF304" i="1"/>
  <c r="CG304" i="1"/>
  <c r="BC304" i="1"/>
  <c r="CT304" i="1"/>
  <c r="AZ303" i="1"/>
  <c r="BA303" i="1"/>
  <c r="BB303" i="1"/>
  <c r="CH303" i="1"/>
  <c r="CI303" i="1"/>
  <c r="CJ303" i="1"/>
  <c r="CK303" i="1"/>
  <c r="CL303" i="1"/>
  <c r="CM303" i="1"/>
  <c r="CN303" i="1"/>
  <c r="CO303" i="1"/>
  <c r="CP303" i="1"/>
  <c r="CQ303" i="1"/>
  <c r="CR303" i="1"/>
  <c r="CS303" i="1"/>
  <c r="BV303" i="1"/>
  <c r="BW303" i="1"/>
  <c r="BX303" i="1"/>
  <c r="BY303" i="1"/>
  <c r="BZ303" i="1"/>
  <c r="CA303" i="1"/>
  <c r="CB303" i="1"/>
  <c r="CC303" i="1"/>
  <c r="CD303" i="1"/>
  <c r="CE303" i="1"/>
  <c r="CF303" i="1"/>
  <c r="CG303" i="1"/>
  <c r="BC303" i="1"/>
  <c r="CT303" i="1"/>
  <c r="AZ19" i="1"/>
  <c r="BA19" i="1"/>
  <c r="BB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BC19" i="1"/>
  <c r="CT19" i="1"/>
  <c r="AZ18" i="1"/>
  <c r="BA18" i="1"/>
  <c r="BB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BC18" i="1"/>
  <c r="CT18" i="1"/>
  <c r="AZ17" i="1"/>
  <c r="BA17" i="1"/>
  <c r="BB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BC17" i="1"/>
  <c r="CT17" i="1"/>
  <c r="AZ16" i="1"/>
  <c r="BA16" i="1"/>
  <c r="BB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BC16" i="1"/>
  <c r="CT16" i="1"/>
  <c r="AZ133" i="1"/>
  <c r="BA133" i="1"/>
  <c r="BB133" i="1"/>
  <c r="CH133" i="1"/>
  <c r="CI133" i="1"/>
  <c r="CJ133" i="1"/>
  <c r="CK133" i="1"/>
  <c r="CL133" i="1"/>
  <c r="CM133" i="1"/>
  <c r="CN133" i="1"/>
  <c r="CO133" i="1"/>
  <c r="CP133" i="1"/>
  <c r="CQ133" i="1"/>
  <c r="CR133" i="1"/>
  <c r="CS133" i="1"/>
  <c r="BV133" i="1"/>
  <c r="BW133" i="1"/>
  <c r="BX133" i="1"/>
  <c r="BY133" i="1"/>
  <c r="BZ133" i="1"/>
  <c r="CA133" i="1"/>
  <c r="CB133" i="1"/>
  <c r="CC133" i="1"/>
  <c r="CD133" i="1"/>
  <c r="CE133" i="1"/>
  <c r="CF133" i="1"/>
  <c r="CG133" i="1"/>
  <c r="BC133" i="1"/>
  <c r="CT133" i="1"/>
  <c r="H3" i="9"/>
  <c r="H4" i="9"/>
  <c r="H5" i="9"/>
  <c r="H6" i="9"/>
  <c r="H7" i="9"/>
  <c r="H8" i="9"/>
  <c r="H9" i="9"/>
  <c r="H10" i="9"/>
  <c r="H11" i="9"/>
  <c r="H12" i="9"/>
  <c r="H13" i="9"/>
  <c r="H14" i="9"/>
  <c r="H15" i="9"/>
  <c r="H16" i="9"/>
  <c r="H17" i="9"/>
  <c r="H18" i="9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2" i="9"/>
  <c r="AL35" i="4"/>
  <c r="A6" i="14"/>
  <c r="H6" i="14"/>
  <c r="G6" i="14"/>
  <c r="F6" i="14"/>
  <c r="U52" i="2"/>
  <c r="B381" i="4"/>
  <c r="U381" i="4"/>
  <c r="AD380" i="5"/>
  <c r="T52" i="2"/>
  <c r="T381" i="4"/>
  <c r="AC380" i="5"/>
  <c r="E6" i="14"/>
  <c r="C6" i="14"/>
  <c r="B6" i="14"/>
  <c r="A8" i="13"/>
  <c r="H8" i="13"/>
  <c r="G8" i="13"/>
  <c r="F8" i="13"/>
  <c r="B309" i="4"/>
  <c r="U49" i="2"/>
  <c r="U309" i="4"/>
  <c r="AD303" i="5"/>
  <c r="T49" i="2"/>
  <c r="T309" i="4"/>
  <c r="AC303" i="5"/>
  <c r="E8" i="13"/>
  <c r="C8" i="13"/>
  <c r="B8" i="13"/>
  <c r="A7" i="13"/>
  <c r="H7" i="13"/>
  <c r="G7" i="13"/>
  <c r="F7" i="13"/>
  <c r="B313" i="4"/>
  <c r="U47" i="2"/>
  <c r="U313" i="4"/>
  <c r="AD308" i="5"/>
  <c r="T47" i="2"/>
  <c r="T313" i="4"/>
  <c r="AC308" i="5"/>
  <c r="E7" i="13"/>
  <c r="C7" i="13"/>
  <c r="B7" i="13"/>
  <c r="A6" i="13"/>
  <c r="H6" i="13"/>
  <c r="G6" i="13"/>
  <c r="F6" i="13"/>
  <c r="B311" i="4"/>
  <c r="U48" i="2"/>
  <c r="U311" i="4"/>
  <c r="AD306" i="5"/>
  <c r="T48" i="2"/>
  <c r="T311" i="4"/>
  <c r="AC306" i="5"/>
  <c r="E6" i="13"/>
  <c r="C6" i="13"/>
  <c r="B6" i="13"/>
  <c r="B298" i="6"/>
  <c r="C298" i="6"/>
  <c r="D298" i="6"/>
  <c r="V298" i="6"/>
  <c r="W298" i="6"/>
  <c r="X298" i="6"/>
  <c r="Y298" i="6"/>
  <c r="Z298" i="6"/>
  <c r="AA298" i="6"/>
  <c r="AB298" i="6"/>
  <c r="AC298" i="6"/>
  <c r="AD298" i="6"/>
  <c r="AE298" i="6"/>
  <c r="AF298" i="6"/>
  <c r="AG298" i="6"/>
  <c r="AH298" i="6"/>
  <c r="F298" i="5"/>
  <c r="B298" i="5"/>
  <c r="C23" i="2"/>
  <c r="B287" i="4"/>
  <c r="C59" i="2"/>
  <c r="C287" i="4"/>
  <c r="C282" i="4"/>
  <c r="C298" i="5"/>
  <c r="D23" i="2"/>
  <c r="D287" i="4"/>
  <c r="H298" i="5"/>
  <c r="I298" i="5"/>
  <c r="I23" i="2"/>
  <c r="I287" i="4"/>
  <c r="J23" i="2"/>
  <c r="J287" i="4"/>
  <c r="L23" i="2"/>
  <c r="L287" i="4"/>
  <c r="M23" i="2"/>
  <c r="M287" i="4"/>
  <c r="N23" i="2"/>
  <c r="N59" i="2"/>
  <c r="N287" i="4"/>
  <c r="N282" i="4"/>
  <c r="T298" i="5"/>
  <c r="O23" i="2"/>
  <c r="O59" i="2"/>
  <c r="O287" i="4"/>
  <c r="O282" i="4"/>
  <c r="U298" i="5"/>
  <c r="P23" i="2"/>
  <c r="P59" i="2"/>
  <c r="P287" i="4"/>
  <c r="P282" i="4"/>
  <c r="W298" i="5"/>
  <c r="Q23" i="2"/>
  <c r="Q59" i="2"/>
  <c r="Q287" i="4"/>
  <c r="Q282" i="4"/>
  <c r="X298" i="5"/>
  <c r="Z298" i="5"/>
  <c r="S23" i="2"/>
  <c r="S59" i="2"/>
  <c r="S287" i="4"/>
  <c r="S282" i="4"/>
  <c r="AA298" i="5"/>
  <c r="AI287" i="4"/>
  <c r="T287" i="4" a="1"/>
  <c r="T287" i="4"/>
  <c r="AI282" i="4"/>
  <c r="T282" i="4" a="1"/>
  <c r="T282" i="4"/>
  <c r="AC298" i="5"/>
  <c r="AD298" i="5"/>
  <c r="AF298" i="5"/>
  <c r="AG298" i="5"/>
  <c r="X23" i="2"/>
  <c r="X59" i="2"/>
  <c r="X287" i="4"/>
  <c r="X282" i="4"/>
  <c r="AI298" i="5"/>
  <c r="Y23" i="2"/>
  <c r="Y59" i="2"/>
  <c r="Y287" i="4"/>
  <c r="Y282" i="4"/>
  <c r="AJ298" i="5"/>
  <c r="Z23" i="2"/>
  <c r="Z59" i="2"/>
  <c r="Z287" i="4"/>
  <c r="Z282" i="4"/>
  <c r="AL298" i="5"/>
  <c r="AM298" i="5"/>
  <c r="AN298" i="5"/>
  <c r="AO298" i="5"/>
  <c r="AP298" i="5"/>
  <c r="AQ298" i="5"/>
  <c r="AR298" i="5"/>
  <c r="AS298" i="5"/>
  <c r="AT298" i="5"/>
  <c r="AU298" i="5"/>
  <c r="AV298" i="5"/>
  <c r="AW298" i="5"/>
  <c r="AX298" i="5"/>
  <c r="AY298" i="5"/>
  <c r="AZ298" i="5"/>
  <c r="BA298" i="5"/>
  <c r="BB298" i="5"/>
  <c r="BC298" i="5"/>
  <c r="BD298" i="5"/>
  <c r="BE298" i="5"/>
  <c r="E23" i="2"/>
  <c r="E59" i="2"/>
  <c r="E282" i="4"/>
  <c r="F23" i="2"/>
  <c r="F59" i="2"/>
  <c r="F282" i="4"/>
  <c r="R23" i="2"/>
  <c r="R59" i="2"/>
  <c r="R282" i="4"/>
  <c r="AA282" i="4"/>
  <c r="AB282" i="4"/>
  <c r="AC282" i="4"/>
  <c r="AD282" i="4"/>
  <c r="AE282" i="4"/>
  <c r="AF282" i="4"/>
  <c r="AG282" i="4"/>
  <c r="AH282" i="4"/>
  <c r="AJ282" i="4"/>
  <c r="AK282" i="4"/>
  <c r="AL282" i="4"/>
  <c r="G59" i="2"/>
  <c r="H59" i="2"/>
  <c r="K59" i="2"/>
  <c r="T59" i="2"/>
  <c r="U59" i="2"/>
  <c r="V59" i="2"/>
  <c r="W59" i="2"/>
  <c r="AA59" i="2"/>
  <c r="AB59" i="2"/>
  <c r="E58" i="2"/>
  <c r="B231" i="4"/>
  <c r="E231" i="4"/>
  <c r="F230" i="5"/>
  <c r="D58" i="2"/>
  <c r="D231" i="4"/>
  <c r="E230" i="5"/>
  <c r="AC59" i="2"/>
  <c r="I230" i="5"/>
  <c r="F58" i="2"/>
  <c r="F231" i="4"/>
  <c r="H230" i="5"/>
  <c r="AD59" i="2"/>
  <c r="AE59" i="2"/>
  <c r="H58" i="2"/>
  <c r="H231" i="4"/>
  <c r="K230" i="5"/>
  <c r="AF59" i="2"/>
  <c r="AG59" i="2"/>
  <c r="AH59" i="2"/>
  <c r="AI59" i="2"/>
  <c r="AJ59" i="2"/>
  <c r="AK59" i="2"/>
  <c r="M58" i="2"/>
  <c r="M231" i="4"/>
  <c r="R230" i="5"/>
  <c r="L58" i="2"/>
  <c r="L231" i="4"/>
  <c r="Q230" i="5"/>
  <c r="AL59" i="2"/>
  <c r="AM59" i="2"/>
  <c r="D411" i="9"/>
  <c r="E411" i="9"/>
  <c r="F411" i="9"/>
  <c r="G411" i="9"/>
  <c r="AZ296" i="1"/>
  <c r="BA296" i="1"/>
  <c r="BB296" i="1"/>
  <c r="CH296" i="1"/>
  <c r="CI296" i="1"/>
  <c r="CJ296" i="1"/>
  <c r="CK296" i="1"/>
  <c r="CL296" i="1"/>
  <c r="CM296" i="1"/>
  <c r="CN296" i="1"/>
  <c r="CO296" i="1"/>
  <c r="CP296" i="1"/>
  <c r="CQ296" i="1"/>
  <c r="CR296" i="1"/>
  <c r="CS296" i="1"/>
  <c r="BV296" i="1"/>
  <c r="BW296" i="1"/>
  <c r="BX296" i="1"/>
  <c r="BY296" i="1"/>
  <c r="BZ296" i="1"/>
  <c r="CA296" i="1"/>
  <c r="CB296" i="1"/>
  <c r="CC296" i="1"/>
  <c r="CD296" i="1"/>
  <c r="CE296" i="1"/>
  <c r="CF296" i="1"/>
  <c r="CG296" i="1"/>
  <c r="BC296" i="1"/>
  <c r="CT296" i="1"/>
  <c r="AZ295" i="1"/>
  <c r="BA295" i="1"/>
  <c r="BB295" i="1"/>
  <c r="CH295" i="1"/>
  <c r="CI295" i="1"/>
  <c r="CJ295" i="1"/>
  <c r="CK295" i="1"/>
  <c r="CL295" i="1"/>
  <c r="CM295" i="1"/>
  <c r="CN295" i="1"/>
  <c r="CO295" i="1"/>
  <c r="CP295" i="1"/>
  <c r="CQ295" i="1"/>
  <c r="CR295" i="1"/>
  <c r="CS295" i="1"/>
  <c r="BV295" i="1"/>
  <c r="BW295" i="1"/>
  <c r="BX295" i="1"/>
  <c r="BY295" i="1"/>
  <c r="BZ295" i="1"/>
  <c r="CA295" i="1"/>
  <c r="CB295" i="1"/>
  <c r="CC295" i="1"/>
  <c r="CD295" i="1"/>
  <c r="CE295" i="1"/>
  <c r="CF295" i="1"/>
  <c r="CG295" i="1"/>
  <c r="BC295" i="1"/>
  <c r="CT295" i="1"/>
  <c r="AZ294" i="1"/>
  <c r="BA294" i="1"/>
  <c r="BB294" i="1"/>
  <c r="CH294" i="1"/>
  <c r="CI294" i="1"/>
  <c r="CJ294" i="1"/>
  <c r="CK294" i="1"/>
  <c r="CL294" i="1"/>
  <c r="CM294" i="1"/>
  <c r="CN294" i="1"/>
  <c r="CO294" i="1"/>
  <c r="CP294" i="1"/>
  <c r="CQ294" i="1"/>
  <c r="CR294" i="1"/>
  <c r="CS294" i="1"/>
  <c r="BV294" i="1"/>
  <c r="BW294" i="1"/>
  <c r="BX294" i="1"/>
  <c r="BY294" i="1"/>
  <c r="BZ294" i="1"/>
  <c r="CA294" i="1"/>
  <c r="CB294" i="1"/>
  <c r="CC294" i="1"/>
  <c r="CD294" i="1"/>
  <c r="CE294" i="1"/>
  <c r="CF294" i="1"/>
  <c r="CG294" i="1"/>
  <c r="BC294" i="1"/>
  <c r="CT294" i="1"/>
  <c r="C124" i="7"/>
  <c r="D124" i="7"/>
  <c r="E124" i="7"/>
  <c r="AZ284" i="1"/>
  <c r="BA284" i="1"/>
  <c r="BB284" i="1"/>
  <c r="CH284" i="1"/>
  <c r="CI284" i="1"/>
  <c r="CJ284" i="1"/>
  <c r="CK284" i="1"/>
  <c r="CL284" i="1"/>
  <c r="CM284" i="1"/>
  <c r="CN284" i="1"/>
  <c r="CO284" i="1"/>
  <c r="CP284" i="1"/>
  <c r="CQ284" i="1"/>
  <c r="CR284" i="1"/>
  <c r="CS284" i="1"/>
  <c r="BV284" i="1"/>
  <c r="BW284" i="1"/>
  <c r="BX284" i="1"/>
  <c r="BY284" i="1"/>
  <c r="BZ284" i="1"/>
  <c r="CA284" i="1"/>
  <c r="CB284" i="1"/>
  <c r="CC284" i="1"/>
  <c r="CD284" i="1"/>
  <c r="CE284" i="1"/>
  <c r="CF284" i="1"/>
  <c r="CG284" i="1"/>
  <c r="BC284" i="1"/>
  <c r="CT284" i="1"/>
  <c r="AB26" i="4"/>
  <c r="AB288" i="4"/>
  <c r="AB4" i="4"/>
  <c r="AB5" i="4"/>
  <c r="AB204" i="4"/>
  <c r="AB6" i="4"/>
  <c r="AB130" i="4"/>
  <c r="AB132" i="4"/>
  <c r="AB133" i="4"/>
  <c r="AB277" i="4"/>
  <c r="AB128" i="4"/>
  <c r="AB129" i="4"/>
  <c r="AB253" i="4"/>
  <c r="AB59" i="4"/>
  <c r="AB105" i="4"/>
  <c r="AB120" i="4"/>
  <c r="AB14" i="4"/>
  <c r="AB233" i="4"/>
  <c r="AB265" i="4"/>
  <c r="AB266" i="4"/>
  <c r="AB239" i="4"/>
  <c r="AB241" i="4"/>
  <c r="AB242" i="4"/>
  <c r="AB267" i="4"/>
  <c r="AB244" i="4"/>
  <c r="AB268" i="4"/>
  <c r="AB247" i="4"/>
  <c r="AB269" i="4"/>
  <c r="AB270" i="4"/>
  <c r="AB271" i="4"/>
  <c r="AB272" i="4"/>
  <c r="AB273" i="4"/>
  <c r="AB151" i="4"/>
  <c r="AB2" i="4"/>
  <c r="AB295" i="4"/>
  <c r="AB287" i="4"/>
  <c r="AB263" i="4"/>
  <c r="AB238" i="4"/>
  <c r="AB240" i="4"/>
  <c r="AB243" i="4"/>
  <c r="AB64" i="4"/>
  <c r="AB65" i="4"/>
  <c r="AB203" i="4"/>
  <c r="AB274" i="4"/>
  <c r="AB153" i="4"/>
  <c r="AB190" i="4"/>
  <c r="AB249" i="4"/>
  <c r="AB73" i="4"/>
  <c r="AB213" i="4"/>
  <c r="AB110" i="4"/>
  <c r="AB47" i="4"/>
  <c r="AB85" i="4"/>
  <c r="AB86" i="4"/>
  <c r="AB255" i="4"/>
  <c r="AB281" i="4"/>
  <c r="AB256" i="4"/>
  <c r="AB290" i="4"/>
  <c r="AB291" i="4"/>
  <c r="AB113" i="4"/>
  <c r="AB134" i="4"/>
  <c r="AB135" i="4"/>
  <c r="AB176" i="4"/>
  <c r="AB177" i="4"/>
  <c r="AB137" i="4"/>
  <c r="AB138" i="4"/>
  <c r="AB139" i="4"/>
  <c r="AB140" i="4"/>
  <c r="AB258" i="4"/>
  <c r="AB98" i="4"/>
  <c r="AB262" i="4"/>
  <c r="AB232" i="4"/>
  <c r="AB115" i="4"/>
  <c r="AB116" i="4"/>
  <c r="AB117" i="4"/>
  <c r="AB142" i="4"/>
  <c r="AB118" i="4"/>
  <c r="AB27" i="4"/>
  <c r="AB143" i="4"/>
  <c r="AB144" i="4"/>
  <c r="AB28" i="4"/>
  <c r="AB145" i="4"/>
  <c r="AB285" i="4"/>
  <c r="AB183" i="4"/>
  <c r="AB102" i="4"/>
  <c r="AB103" i="4"/>
  <c r="AB104" i="4"/>
  <c r="AB29" i="4"/>
  <c r="AB58" i="4"/>
  <c r="AB30" i="4"/>
  <c r="AB13" i="4"/>
  <c r="AB264" i="4"/>
  <c r="AB32" i="4"/>
  <c r="AB33" i="4"/>
  <c r="AB34" i="4"/>
  <c r="AB35" i="4"/>
  <c r="AB36" i="4"/>
  <c r="AB37" i="4"/>
  <c r="AB60" i="4"/>
  <c r="AB61" i="4"/>
  <c r="AB62" i="4"/>
  <c r="AB15" i="4"/>
  <c r="AB106" i="4"/>
  <c r="AB107" i="4"/>
  <c r="AB38" i="4"/>
  <c r="AB39" i="4"/>
  <c r="AB40" i="4"/>
  <c r="AB63" i="4"/>
  <c r="AB234" i="4"/>
  <c r="AB235" i="4"/>
  <c r="AB219" i="4"/>
  <c r="AB236" i="4"/>
  <c r="AB237" i="4"/>
  <c r="AB202" i="4"/>
  <c r="AB186" i="4"/>
  <c r="AB187" i="4"/>
  <c r="AB188" i="4"/>
  <c r="AB150" i="4"/>
  <c r="AB246" i="4"/>
  <c r="AB189" i="4"/>
  <c r="AB121" i="4"/>
  <c r="AB41" i="4"/>
  <c r="AB276" i="4"/>
  <c r="AB152" i="4"/>
  <c r="AB16" i="4"/>
  <c r="AB8" i="4"/>
  <c r="AB9" i="4"/>
  <c r="AB210" i="4"/>
  <c r="AB220" i="4"/>
  <c r="AB221" i="4"/>
  <c r="AB122" i="4"/>
  <c r="AB123" i="4"/>
  <c r="AB124" i="4"/>
  <c r="AB154" i="4"/>
  <c r="AB211" i="4"/>
  <c r="AB125" i="4"/>
  <c r="AB108" i="4"/>
  <c r="AB69" i="4"/>
  <c r="AB296" i="4"/>
  <c r="AB127" i="4"/>
  <c r="AB191" i="4"/>
  <c r="AB70" i="4"/>
  <c r="AB248" i="4"/>
  <c r="AB250" i="4"/>
  <c r="AB289" i="4"/>
  <c r="AB192" i="4"/>
  <c r="AB222" i="4"/>
  <c r="AB251" i="4"/>
  <c r="AB74" i="4"/>
  <c r="AB20" i="4"/>
  <c r="AB75" i="4"/>
  <c r="AB278" i="4"/>
  <c r="AB43" i="4"/>
  <c r="AB212" i="4"/>
  <c r="AB77" i="4"/>
  <c r="AB223" i="4"/>
  <c r="AB158" i="4"/>
  <c r="AB252" i="4"/>
  <c r="AB10" i="4"/>
  <c r="AB159" i="4"/>
  <c r="AB21" i="4"/>
  <c r="AB160" i="4"/>
  <c r="AB44" i="4"/>
  <c r="AB45" i="4"/>
  <c r="AB11" i="4"/>
  <c r="AB254" i="4"/>
  <c r="AB193" i="4"/>
  <c r="AB194" i="4"/>
  <c r="AB279" i="4"/>
  <c r="AB280" i="4"/>
  <c r="AB46" i="4"/>
  <c r="AB80" i="4"/>
  <c r="AB81" i="4"/>
  <c r="AB215" i="4"/>
  <c r="AB7" i="4"/>
  <c r="AB111" i="4"/>
  <c r="AB112" i="4"/>
  <c r="AB24" i="4"/>
  <c r="AB25" i="4"/>
  <c r="AB131" i="4"/>
  <c r="AB165" i="4"/>
  <c r="AB166" i="4"/>
  <c r="AB167" i="4"/>
  <c r="AB168" i="4"/>
  <c r="AB169" i="4"/>
  <c r="AB170" i="4"/>
  <c r="AB171" i="4"/>
  <c r="AB195" i="4"/>
  <c r="AB207" i="4"/>
  <c r="AB208" i="4"/>
  <c r="AB136" i="4"/>
  <c r="AB172" i="4"/>
  <c r="AB173" i="4"/>
  <c r="AB174" i="4"/>
  <c r="AB175" i="4"/>
  <c r="AB298" i="4"/>
  <c r="AB196" i="4"/>
  <c r="AB88" i="4"/>
  <c r="AB89" i="4"/>
  <c r="AB90" i="4"/>
  <c r="AB91" i="4"/>
  <c r="AB92" i="4"/>
  <c r="AB93" i="4"/>
  <c r="AB95" i="4"/>
  <c r="AB96" i="4"/>
  <c r="AB216" i="4"/>
  <c r="AB217" i="4"/>
  <c r="AB218" i="4"/>
  <c r="AB228" i="4"/>
  <c r="AB97" i="4"/>
  <c r="AB292" i="4"/>
  <c r="AB229" i="4"/>
  <c r="AB230" i="4"/>
  <c r="AB257" i="4"/>
  <c r="AB141" i="4"/>
  <c r="AB297" i="4"/>
  <c r="AB259" i="4"/>
  <c r="AB260" i="4"/>
  <c r="AB261" i="4"/>
  <c r="AB197" i="4"/>
  <c r="AB178" i="4"/>
  <c r="AB179" i="4"/>
  <c r="AB180" i="4"/>
  <c r="AB199" i="4"/>
  <c r="AB181" i="4"/>
  <c r="AB294" i="4"/>
  <c r="AB231" i="4"/>
  <c r="AB209" i="4"/>
  <c r="AB283" i="4"/>
  <c r="AB284" i="4"/>
  <c r="AB51" i="4"/>
  <c r="AB52" i="4"/>
  <c r="AB53" i="4"/>
  <c r="AB54" i="4"/>
  <c r="AB55" i="4"/>
  <c r="AB56" i="4"/>
  <c r="AB57" i="4"/>
  <c r="AB99" i="4"/>
  <c r="AB184" i="4"/>
  <c r="AB185" i="4"/>
  <c r="AB101" i="4"/>
  <c r="AB146" i="4"/>
  <c r="AB119" i="4"/>
  <c r="AB147" i="4"/>
  <c r="AB31" i="4"/>
  <c r="AB148" i="4"/>
  <c r="AB66" i="4"/>
  <c r="AB67" i="4"/>
  <c r="AB155" i="4"/>
  <c r="AB156" i="4"/>
  <c r="AB71" i="4"/>
  <c r="AB109" i="4"/>
  <c r="AB79" i="4"/>
  <c r="AB23" i="4"/>
  <c r="AB205" i="4"/>
  <c r="AB206" i="4"/>
  <c r="AB94" i="4"/>
  <c r="AB182" i="4"/>
  <c r="AB157" i="4"/>
  <c r="AB42" i="4"/>
  <c r="AB224" i="4"/>
  <c r="AB78" i="4"/>
  <c r="AB225" i="4"/>
  <c r="AB226" i="4"/>
  <c r="AB227" i="4"/>
  <c r="AB200" i="4"/>
  <c r="AB201" i="4"/>
  <c r="AB72" i="4"/>
  <c r="AB3" i="4"/>
  <c r="AB18" i="4"/>
  <c r="AB76" i="4"/>
  <c r="AB214" i="4"/>
  <c r="AB12" i="4"/>
  <c r="AB293" i="4"/>
  <c r="AB114" i="4"/>
  <c r="AB286" i="4"/>
  <c r="AB275" i="4"/>
  <c r="AB19" i="4"/>
  <c r="AB162" i="4"/>
  <c r="AB48" i="4"/>
  <c r="AB149" i="4"/>
  <c r="AB161" i="4"/>
  <c r="AB163" i="4"/>
  <c r="AB164" i="4"/>
  <c r="AB198" i="4"/>
  <c r="AB68" i="4"/>
  <c r="AB82" i="4"/>
  <c r="AB83" i="4"/>
  <c r="AB84" i="4"/>
  <c r="AB87" i="4"/>
  <c r="AB49" i="4"/>
  <c r="AB50" i="4"/>
  <c r="AB100" i="4"/>
  <c r="AB126" i="4"/>
  <c r="AB22" i="4"/>
  <c r="AB17" i="4"/>
  <c r="AB307" i="4"/>
  <c r="AB306" i="4"/>
  <c r="AB304" i="4"/>
  <c r="AB305" i="4"/>
  <c r="AB300" i="4"/>
  <c r="AB301" i="4"/>
  <c r="AB299" i="4"/>
  <c r="AB302" i="4"/>
  <c r="AB303" i="4"/>
  <c r="AB310" i="4"/>
  <c r="AB309" i="4"/>
  <c r="AB311" i="4"/>
  <c r="AB312" i="4"/>
  <c r="AB313" i="4"/>
  <c r="AB308" i="4"/>
  <c r="AB314" i="4"/>
  <c r="AB335" i="4"/>
  <c r="AB336" i="4"/>
  <c r="AB318" i="4"/>
  <c r="AB315" i="4"/>
  <c r="AB319" i="4"/>
  <c r="AB320" i="4"/>
  <c r="AB321" i="4"/>
  <c r="AB347" i="4"/>
  <c r="AB326" i="4"/>
  <c r="AB327" i="4"/>
  <c r="AB328" i="4"/>
  <c r="AB329" i="4"/>
  <c r="AB341" i="4"/>
  <c r="AB331" i="4"/>
  <c r="AB332" i="4"/>
  <c r="AB333" i="4"/>
  <c r="AB343" i="4"/>
  <c r="AB344" i="4"/>
  <c r="AB345" i="4"/>
  <c r="AB342" i="4"/>
  <c r="AB322" i="4"/>
  <c r="AB317" i="4"/>
  <c r="AB323" i="4"/>
  <c r="AB325" i="4"/>
  <c r="AB330" i="4"/>
  <c r="AB334" i="4"/>
  <c r="AB324" i="4"/>
  <c r="AB338" i="4"/>
  <c r="AB337" i="4"/>
  <c r="AB316" i="4"/>
  <c r="AB339" i="4"/>
  <c r="AB340" i="4"/>
  <c r="AB346" i="4"/>
  <c r="AB350" i="4"/>
  <c r="AB361" i="4"/>
  <c r="AB362" i="4"/>
  <c r="AB368" i="4"/>
  <c r="AB363" i="4"/>
  <c r="AB369" i="4"/>
  <c r="AB351" i="4"/>
  <c r="AB348" i="4"/>
  <c r="AB358" i="4"/>
  <c r="AB359" i="4"/>
  <c r="AB364" i="4"/>
  <c r="AB349" i="4"/>
  <c r="AB365" i="4"/>
  <c r="AB366" i="4"/>
  <c r="AB367" i="4"/>
  <c r="AB360" i="4"/>
  <c r="AB352" i="4"/>
  <c r="AB353" i="4"/>
  <c r="AB354" i="4"/>
  <c r="AB355" i="4"/>
  <c r="AB356" i="4"/>
  <c r="AB357" i="4"/>
  <c r="AB371" i="4"/>
  <c r="AB377" i="4"/>
  <c r="AB378" i="4"/>
  <c r="AB379" i="4"/>
  <c r="AB373" i="4"/>
  <c r="AB370" i="4"/>
  <c r="AB376" i="4"/>
  <c r="AB381" i="4"/>
  <c r="AB380" i="4"/>
  <c r="AB374" i="4"/>
  <c r="AB375" i="4"/>
  <c r="AB372" i="4"/>
  <c r="AB383" i="4"/>
  <c r="AB385" i="4"/>
  <c r="AB386" i="4"/>
  <c r="AB384" i="4"/>
  <c r="AB382" i="4"/>
  <c r="AB390" i="4"/>
  <c r="AB395" i="4"/>
  <c r="AB408" i="4"/>
  <c r="AB397" i="4"/>
  <c r="AB398" i="4"/>
  <c r="AB399" i="4"/>
  <c r="AB400" i="4"/>
  <c r="AB403" i="4"/>
  <c r="AB387" i="4"/>
  <c r="AB404" i="4"/>
  <c r="AB405" i="4"/>
  <c r="AB407" i="4"/>
  <c r="AB396" i="4"/>
  <c r="AB388" i="4"/>
  <c r="AB389" i="4"/>
  <c r="AB391" i="4"/>
  <c r="AB392" i="4"/>
  <c r="AB393" i="4"/>
  <c r="AB402" i="4"/>
  <c r="AB394" i="4"/>
  <c r="AB406" i="4"/>
  <c r="AB409" i="4"/>
  <c r="AB410" i="4"/>
  <c r="AB411" i="4"/>
  <c r="AB401" i="4"/>
  <c r="AB245" i="4"/>
  <c r="C58" i="2"/>
  <c r="G58" i="2"/>
  <c r="I58" i="2"/>
  <c r="J58" i="2"/>
  <c r="K58" i="2"/>
  <c r="N58" i="2"/>
  <c r="O58" i="2"/>
  <c r="P58" i="2"/>
  <c r="Q58" i="2"/>
  <c r="R58" i="2"/>
  <c r="S58" i="2"/>
  <c r="T58" i="2"/>
  <c r="U58" i="2"/>
  <c r="V58" i="2"/>
  <c r="W58" i="2"/>
  <c r="X58" i="2"/>
  <c r="Y58" i="2"/>
  <c r="Z58" i="2"/>
  <c r="AA58" i="2"/>
  <c r="AB58" i="2"/>
  <c r="D57" i="2"/>
  <c r="D172" i="4"/>
  <c r="E287" i="5"/>
  <c r="E42" i="2"/>
  <c r="D42" i="2"/>
  <c r="AC58" i="2"/>
  <c r="F42" i="2"/>
  <c r="AD58" i="2"/>
  <c r="AE58" i="2"/>
  <c r="H57" i="2"/>
  <c r="H172" i="4"/>
  <c r="K287" i="5"/>
  <c r="H42" i="2"/>
  <c r="L230" i="5"/>
  <c r="AF58" i="2"/>
  <c r="AG58" i="2"/>
  <c r="AH58" i="2"/>
  <c r="AI58" i="2"/>
  <c r="AJ58" i="2"/>
  <c r="N230" i="5"/>
  <c r="O230" i="5"/>
  <c r="AK58" i="2"/>
  <c r="M57" i="2"/>
  <c r="M172" i="4"/>
  <c r="R287" i="5"/>
  <c r="L57" i="2"/>
  <c r="L172" i="4"/>
  <c r="Q287" i="5"/>
  <c r="M42" i="2"/>
  <c r="L42" i="2"/>
  <c r="AL58" i="2"/>
  <c r="AM58" i="2"/>
  <c r="AZ283" i="1"/>
  <c r="BA283" i="1"/>
  <c r="BB283" i="1"/>
  <c r="CH283" i="1"/>
  <c r="CI283" i="1"/>
  <c r="CJ283" i="1"/>
  <c r="CK283" i="1"/>
  <c r="CL283" i="1"/>
  <c r="CM283" i="1"/>
  <c r="CN283" i="1"/>
  <c r="CO283" i="1"/>
  <c r="CP283" i="1"/>
  <c r="CQ283" i="1"/>
  <c r="CR283" i="1"/>
  <c r="CS283" i="1"/>
  <c r="BV283" i="1"/>
  <c r="BW283" i="1"/>
  <c r="BX283" i="1"/>
  <c r="BY283" i="1"/>
  <c r="BZ283" i="1"/>
  <c r="CA283" i="1"/>
  <c r="CB283" i="1"/>
  <c r="CC283" i="1"/>
  <c r="CD283" i="1"/>
  <c r="CE283" i="1"/>
  <c r="CF283" i="1"/>
  <c r="CG283" i="1"/>
  <c r="BC283" i="1"/>
  <c r="CT283" i="1"/>
  <c r="AZ282" i="1"/>
  <c r="BA282" i="1"/>
  <c r="BB282" i="1"/>
  <c r="CH282" i="1"/>
  <c r="CI282" i="1"/>
  <c r="CJ282" i="1"/>
  <c r="CK282" i="1"/>
  <c r="CL282" i="1"/>
  <c r="CM282" i="1"/>
  <c r="CN282" i="1"/>
  <c r="CO282" i="1"/>
  <c r="CP282" i="1"/>
  <c r="CQ282" i="1"/>
  <c r="CR282" i="1"/>
  <c r="CS282" i="1"/>
  <c r="BV282" i="1"/>
  <c r="BW282" i="1"/>
  <c r="BX282" i="1"/>
  <c r="BY282" i="1"/>
  <c r="BZ282" i="1"/>
  <c r="CA282" i="1"/>
  <c r="CB282" i="1"/>
  <c r="CC282" i="1"/>
  <c r="CD282" i="1"/>
  <c r="CE282" i="1"/>
  <c r="CF282" i="1"/>
  <c r="CG282" i="1"/>
  <c r="BC282" i="1"/>
  <c r="CT282" i="1"/>
  <c r="AZ6" i="1"/>
  <c r="BA6" i="1"/>
  <c r="BB6" i="1"/>
  <c r="CH6" i="1"/>
  <c r="CI6" i="1"/>
  <c r="CJ6" i="1"/>
  <c r="CK6" i="1"/>
  <c r="CL6" i="1"/>
  <c r="CM6" i="1"/>
  <c r="CN6" i="1"/>
  <c r="CO6" i="1"/>
  <c r="CP6" i="1"/>
  <c r="CQ6" i="1"/>
  <c r="CR6" i="1"/>
  <c r="CS6" i="1"/>
  <c r="BV6" i="1"/>
  <c r="BW6" i="1"/>
  <c r="BX6" i="1"/>
  <c r="BY6" i="1"/>
  <c r="BZ6" i="1"/>
  <c r="CA6" i="1"/>
  <c r="CB6" i="1"/>
  <c r="CC6" i="1"/>
  <c r="CD6" i="1"/>
  <c r="CE6" i="1"/>
  <c r="CF6" i="1"/>
  <c r="CG6" i="1"/>
  <c r="BC6" i="1"/>
  <c r="CT6" i="1"/>
  <c r="AZ26" i="1"/>
  <c r="BA26" i="1"/>
  <c r="BB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BC26" i="1"/>
  <c r="CT26" i="1"/>
  <c r="AZ250" i="1"/>
  <c r="BA250" i="1"/>
  <c r="BB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BC250" i="1"/>
  <c r="CT250" i="1"/>
  <c r="AZ219" i="1"/>
  <c r="BA219" i="1"/>
  <c r="BB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BC219" i="1"/>
  <c r="CT219" i="1"/>
  <c r="AZ218" i="1"/>
  <c r="BA218" i="1"/>
  <c r="BB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BC218" i="1"/>
  <c r="CT218" i="1"/>
  <c r="AZ139" i="1"/>
  <c r="BA139" i="1"/>
  <c r="BB139" i="1"/>
  <c r="CH139" i="1"/>
  <c r="CI139" i="1"/>
  <c r="CJ139" i="1"/>
  <c r="CK139" i="1"/>
  <c r="CL139" i="1"/>
  <c r="CM139" i="1"/>
  <c r="CN139" i="1"/>
  <c r="CO139" i="1"/>
  <c r="CP139" i="1"/>
  <c r="CQ139" i="1"/>
  <c r="CR139" i="1"/>
  <c r="CS139" i="1"/>
  <c r="BV139" i="1"/>
  <c r="BW139" i="1"/>
  <c r="BX139" i="1"/>
  <c r="BY139" i="1"/>
  <c r="BZ139" i="1"/>
  <c r="CA139" i="1"/>
  <c r="CB139" i="1"/>
  <c r="CC139" i="1"/>
  <c r="CD139" i="1"/>
  <c r="CE139" i="1"/>
  <c r="CF139" i="1"/>
  <c r="CG139" i="1"/>
  <c r="BC139" i="1"/>
  <c r="CT139" i="1"/>
  <c r="AZ138" i="1"/>
  <c r="BA138" i="1"/>
  <c r="BB138" i="1"/>
  <c r="CH138" i="1"/>
  <c r="CI138" i="1"/>
  <c r="CJ138" i="1"/>
  <c r="CK138" i="1"/>
  <c r="CL138" i="1"/>
  <c r="CM138" i="1"/>
  <c r="CN138" i="1"/>
  <c r="CO138" i="1"/>
  <c r="CP138" i="1"/>
  <c r="CQ138" i="1"/>
  <c r="CR138" i="1"/>
  <c r="CS138" i="1"/>
  <c r="BV138" i="1"/>
  <c r="BW138" i="1"/>
  <c r="BX138" i="1"/>
  <c r="BY138" i="1"/>
  <c r="BZ138" i="1"/>
  <c r="CA138" i="1"/>
  <c r="CB138" i="1"/>
  <c r="CC138" i="1"/>
  <c r="CD138" i="1"/>
  <c r="CE138" i="1"/>
  <c r="CF138" i="1"/>
  <c r="CG138" i="1"/>
  <c r="BC138" i="1"/>
  <c r="CT138" i="1"/>
  <c r="B381" i="6"/>
  <c r="C381" i="6"/>
  <c r="D381" i="6"/>
  <c r="V381" i="6"/>
  <c r="W381" i="6"/>
  <c r="X381" i="6"/>
  <c r="Y381" i="6"/>
  <c r="Z381" i="6"/>
  <c r="AA381" i="6"/>
  <c r="AB381" i="6"/>
  <c r="AC381" i="6"/>
  <c r="AD381" i="6"/>
  <c r="AE381" i="6"/>
  <c r="AF381" i="6"/>
  <c r="AG381" i="6"/>
  <c r="AH381" i="6"/>
  <c r="AZ350" i="1"/>
  <c r="BA350" i="1"/>
  <c r="BB350" i="1"/>
  <c r="CH350" i="1"/>
  <c r="CI350" i="1"/>
  <c r="CJ350" i="1"/>
  <c r="CK350" i="1"/>
  <c r="CL350" i="1"/>
  <c r="CM350" i="1"/>
  <c r="CN350" i="1"/>
  <c r="CO350" i="1"/>
  <c r="CP350" i="1"/>
  <c r="CQ350" i="1"/>
  <c r="CR350" i="1"/>
  <c r="CS350" i="1"/>
  <c r="BV350" i="1"/>
  <c r="BW350" i="1"/>
  <c r="BX350" i="1"/>
  <c r="BY350" i="1"/>
  <c r="BZ350" i="1"/>
  <c r="CA350" i="1"/>
  <c r="CB350" i="1"/>
  <c r="CC350" i="1"/>
  <c r="CD350" i="1"/>
  <c r="CE350" i="1"/>
  <c r="CF350" i="1"/>
  <c r="CG350" i="1"/>
  <c r="BC350" i="1"/>
  <c r="CT350" i="1"/>
  <c r="H381" i="5"/>
  <c r="H53" i="2"/>
  <c r="B380" i="4"/>
  <c r="H380" i="4"/>
  <c r="K381" i="5"/>
  <c r="F45" i="2"/>
  <c r="B381" i="5"/>
  <c r="C52" i="2"/>
  <c r="C381" i="4"/>
  <c r="C53" i="2"/>
  <c r="C380" i="4"/>
  <c r="C381" i="5"/>
  <c r="D381" i="4"/>
  <c r="D53" i="2"/>
  <c r="D380" i="4"/>
  <c r="E381" i="5"/>
  <c r="F381" i="5"/>
  <c r="I381" i="5"/>
  <c r="H381" i="4"/>
  <c r="I381" i="4"/>
  <c r="I53" i="2"/>
  <c r="I380" i="4"/>
  <c r="L381" i="5"/>
  <c r="J381" i="4"/>
  <c r="J53" i="2"/>
  <c r="J380" i="4"/>
  <c r="N381" i="5"/>
  <c r="K381" i="4"/>
  <c r="K53" i="2"/>
  <c r="K380" i="4"/>
  <c r="O381" i="5"/>
  <c r="L381" i="4"/>
  <c r="L53" i="2"/>
  <c r="L380" i="4"/>
  <c r="Q381" i="5"/>
  <c r="M381" i="4"/>
  <c r="M53" i="2"/>
  <c r="M380" i="4"/>
  <c r="R381" i="5"/>
  <c r="N52" i="2"/>
  <c r="N381" i="4"/>
  <c r="N53" i="2"/>
  <c r="N380" i="4"/>
  <c r="T381" i="5"/>
  <c r="O52" i="2"/>
  <c r="O381" i="4"/>
  <c r="O53" i="2"/>
  <c r="O380" i="4"/>
  <c r="U381" i="5"/>
  <c r="P52" i="2"/>
  <c r="P381" i="4"/>
  <c r="P53" i="2"/>
  <c r="P380" i="4"/>
  <c r="W381" i="5"/>
  <c r="Q52" i="2"/>
  <c r="Q381" i="4"/>
  <c r="Q53" i="2"/>
  <c r="Q380" i="4"/>
  <c r="X381" i="5"/>
  <c r="Z381" i="5"/>
  <c r="S52" i="2"/>
  <c r="S381" i="4"/>
  <c r="S53" i="2"/>
  <c r="S380" i="4"/>
  <c r="AA381" i="5"/>
  <c r="T53" i="2"/>
  <c r="T380" i="4"/>
  <c r="AC381" i="5"/>
  <c r="U53" i="2"/>
  <c r="U380" i="4"/>
  <c r="AD381" i="5"/>
  <c r="V381" i="4"/>
  <c r="V53" i="2"/>
  <c r="V380" i="4"/>
  <c r="AF381" i="5"/>
  <c r="W52" i="2"/>
  <c r="W381" i="4"/>
  <c r="W53" i="2"/>
  <c r="W380" i="4"/>
  <c r="AG381" i="5"/>
  <c r="X52" i="2"/>
  <c r="X381" i="4"/>
  <c r="X53" i="2"/>
  <c r="X380" i="4"/>
  <c r="AI381" i="5"/>
  <c r="Y52" i="2"/>
  <c r="Y381" i="4"/>
  <c r="Y53" i="2"/>
  <c r="Y380" i="4"/>
  <c r="AJ381" i="5"/>
  <c r="Z52" i="2"/>
  <c r="Z381" i="4"/>
  <c r="Z53" i="2"/>
  <c r="Z380" i="4"/>
  <c r="AL381" i="5"/>
  <c r="AM381" i="5"/>
  <c r="AN381" i="5"/>
  <c r="AO381" i="5"/>
  <c r="AP381" i="5"/>
  <c r="AQ381" i="5"/>
  <c r="AR381" i="5"/>
  <c r="AS381" i="5"/>
  <c r="AT381" i="5"/>
  <c r="AU381" i="5"/>
  <c r="AV381" i="5"/>
  <c r="AW381" i="5"/>
  <c r="AX381" i="5"/>
  <c r="AY381" i="5"/>
  <c r="AZ381" i="5"/>
  <c r="BA381" i="5"/>
  <c r="BB381" i="5"/>
  <c r="BC381" i="5"/>
  <c r="BD381" i="5"/>
  <c r="BE381" i="5"/>
  <c r="D410" i="9"/>
  <c r="E410" i="9"/>
  <c r="F410" i="9"/>
  <c r="G410" i="9"/>
  <c r="E52" i="2"/>
  <c r="E53" i="2"/>
  <c r="E380" i="4"/>
  <c r="F52" i="2"/>
  <c r="F53" i="2"/>
  <c r="F380" i="4"/>
  <c r="R52" i="2"/>
  <c r="R53" i="2"/>
  <c r="R380" i="4"/>
  <c r="AA380" i="4"/>
  <c r="AC380" i="4"/>
  <c r="AD380" i="4"/>
  <c r="AE380" i="4"/>
  <c r="AF380" i="4"/>
  <c r="AG380" i="4"/>
  <c r="AH380" i="4"/>
  <c r="AI380" i="4"/>
  <c r="AJ380" i="4"/>
  <c r="AK380" i="4"/>
  <c r="AL380" i="4"/>
  <c r="G53" i="2"/>
  <c r="AA53" i="2"/>
  <c r="AB53" i="2"/>
  <c r="E380" i="5"/>
  <c r="AC53" i="2"/>
  <c r="AD53" i="2"/>
  <c r="AE53" i="2"/>
  <c r="L380" i="5"/>
  <c r="K380" i="5"/>
  <c r="AF53" i="2"/>
  <c r="AG53" i="2"/>
  <c r="AH53" i="2"/>
  <c r="AI53" i="2"/>
  <c r="AJ53" i="2"/>
  <c r="O380" i="5"/>
  <c r="N380" i="5"/>
  <c r="AK53" i="2"/>
  <c r="R380" i="5"/>
  <c r="Q380" i="5"/>
  <c r="AL53" i="2"/>
  <c r="AM53" i="2"/>
  <c r="AZ349" i="1"/>
  <c r="BA349" i="1"/>
  <c r="BB349" i="1"/>
  <c r="CH349" i="1"/>
  <c r="CI349" i="1"/>
  <c r="CJ349" i="1"/>
  <c r="CK349" i="1"/>
  <c r="CL349" i="1"/>
  <c r="CM349" i="1"/>
  <c r="CN349" i="1"/>
  <c r="CO349" i="1"/>
  <c r="CP349" i="1"/>
  <c r="CQ349" i="1"/>
  <c r="CR349" i="1"/>
  <c r="CS349" i="1"/>
  <c r="BV349" i="1"/>
  <c r="BW349" i="1"/>
  <c r="BX349" i="1"/>
  <c r="BY349" i="1"/>
  <c r="BZ349" i="1"/>
  <c r="CA349" i="1"/>
  <c r="CB349" i="1"/>
  <c r="CC349" i="1"/>
  <c r="CD349" i="1"/>
  <c r="CE349" i="1"/>
  <c r="CF349" i="1"/>
  <c r="CG349" i="1"/>
  <c r="BC349" i="1"/>
  <c r="CT349" i="1"/>
  <c r="AZ348" i="1"/>
  <c r="BA348" i="1"/>
  <c r="BB348" i="1"/>
  <c r="CH348" i="1"/>
  <c r="CI348" i="1"/>
  <c r="CJ348" i="1"/>
  <c r="CK348" i="1"/>
  <c r="CL348" i="1"/>
  <c r="CM348" i="1"/>
  <c r="CN348" i="1"/>
  <c r="CO348" i="1"/>
  <c r="CP348" i="1"/>
  <c r="CQ348" i="1"/>
  <c r="CR348" i="1"/>
  <c r="CS348" i="1"/>
  <c r="BV348" i="1"/>
  <c r="BW348" i="1"/>
  <c r="BX348" i="1"/>
  <c r="BY348" i="1"/>
  <c r="BZ348" i="1"/>
  <c r="CA348" i="1"/>
  <c r="CB348" i="1"/>
  <c r="CC348" i="1"/>
  <c r="CD348" i="1"/>
  <c r="CE348" i="1"/>
  <c r="CF348" i="1"/>
  <c r="CG348" i="1"/>
  <c r="BC348" i="1"/>
  <c r="CT348" i="1"/>
  <c r="D44" i="7"/>
  <c r="E44" i="7"/>
  <c r="AZ68" i="1"/>
  <c r="BA68" i="1"/>
  <c r="BB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BC68" i="1"/>
  <c r="CT68" i="1"/>
  <c r="AZ182" i="1"/>
  <c r="BA182" i="1"/>
  <c r="BB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BC182" i="1"/>
  <c r="CT182" i="1"/>
  <c r="C57" i="2"/>
  <c r="E57" i="2"/>
  <c r="F57" i="2"/>
  <c r="G57" i="2"/>
  <c r="I57" i="2"/>
  <c r="J57" i="2"/>
  <c r="K57" i="2"/>
  <c r="N57" i="2"/>
  <c r="O57" i="2"/>
  <c r="P57" i="2"/>
  <c r="Q57" i="2"/>
  <c r="R57" i="2"/>
  <c r="S57" i="2"/>
  <c r="T57" i="2"/>
  <c r="U57" i="2"/>
  <c r="V57" i="2"/>
  <c r="X57" i="2"/>
  <c r="Y57" i="2"/>
  <c r="Z57" i="2"/>
  <c r="AA57" i="2"/>
  <c r="AB57" i="2"/>
  <c r="E56" i="2"/>
  <c r="B187" i="4"/>
  <c r="E187" i="4"/>
  <c r="F78" i="5"/>
  <c r="D56" i="2"/>
  <c r="D187" i="4"/>
  <c r="E78" i="5"/>
  <c r="D40" i="2"/>
  <c r="F287" i="5"/>
  <c r="AC57" i="2"/>
  <c r="I78" i="5"/>
  <c r="F56" i="2"/>
  <c r="F187" i="4"/>
  <c r="H78" i="5"/>
  <c r="H287" i="5"/>
  <c r="I287" i="5"/>
  <c r="AD57" i="2"/>
  <c r="AE57" i="2"/>
  <c r="H56" i="2"/>
  <c r="H187" i="4"/>
  <c r="K78" i="5"/>
  <c r="H40" i="2"/>
  <c r="L287" i="5"/>
  <c r="AF57" i="2"/>
  <c r="AG57" i="2"/>
  <c r="AH57" i="2"/>
  <c r="AI57" i="2"/>
  <c r="AJ57" i="2"/>
  <c r="N287" i="5"/>
  <c r="O287" i="5"/>
  <c r="AK57" i="2"/>
  <c r="M56" i="2"/>
  <c r="M187" i="4"/>
  <c r="R78" i="5"/>
  <c r="L56" i="2"/>
  <c r="L187" i="4"/>
  <c r="Q78" i="5"/>
  <c r="M40" i="2"/>
  <c r="L40" i="2"/>
  <c r="AL57" i="2"/>
  <c r="AM57" i="2"/>
  <c r="AZ200" i="1"/>
  <c r="BA200" i="1"/>
  <c r="BB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BC200" i="1"/>
  <c r="CT200" i="1"/>
  <c r="AZ199" i="1"/>
  <c r="BA199" i="1"/>
  <c r="BB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BC199" i="1"/>
  <c r="CT199" i="1"/>
  <c r="AZ198" i="1"/>
  <c r="BA198" i="1"/>
  <c r="BB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BC198" i="1"/>
  <c r="CT198" i="1"/>
  <c r="AZ244" i="1"/>
  <c r="BA244" i="1"/>
  <c r="BB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BC244" i="1"/>
  <c r="CT244" i="1"/>
  <c r="AZ243" i="1"/>
  <c r="BA243" i="1"/>
  <c r="BB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BC243" i="1"/>
  <c r="CT243" i="1"/>
  <c r="AZ242" i="1"/>
  <c r="BA242" i="1"/>
  <c r="BB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BC242" i="1"/>
  <c r="CT242" i="1"/>
  <c r="AZ241" i="1"/>
  <c r="BA241" i="1"/>
  <c r="BB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BC241" i="1"/>
  <c r="CT241" i="1"/>
  <c r="AZ240" i="1"/>
  <c r="BA240" i="1"/>
  <c r="BB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BC240" i="1"/>
  <c r="CT240" i="1"/>
  <c r="AZ239" i="1"/>
  <c r="BA239" i="1"/>
  <c r="BB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BC239" i="1"/>
  <c r="CT239" i="1"/>
  <c r="AZ238" i="1"/>
  <c r="BA238" i="1"/>
  <c r="BB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BC238" i="1"/>
  <c r="CT238" i="1"/>
  <c r="AZ237" i="1"/>
  <c r="BA237" i="1"/>
  <c r="BB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BC237" i="1"/>
  <c r="CT237" i="1"/>
  <c r="X54" i="2"/>
  <c r="B262" i="4"/>
  <c r="X262" i="4"/>
  <c r="X56" i="2"/>
  <c r="AK3" i="4"/>
  <c r="AK7" i="4"/>
  <c r="AK4" i="4"/>
  <c r="AK5" i="4"/>
  <c r="AK6" i="4"/>
  <c r="AK9" i="4"/>
  <c r="AK10" i="4"/>
  <c r="AK8" i="4"/>
  <c r="AK12" i="4"/>
  <c r="AK11" i="4"/>
  <c r="AK26" i="4"/>
  <c r="AK23" i="4"/>
  <c r="AK24" i="4"/>
  <c r="AK25" i="4"/>
  <c r="AK16" i="4"/>
  <c r="AK27" i="4"/>
  <c r="AK28" i="4"/>
  <c r="AK14" i="4"/>
  <c r="AK22" i="4"/>
  <c r="AK20" i="4"/>
  <c r="AK21" i="4"/>
  <c r="AK18" i="4"/>
  <c r="AK13" i="4"/>
  <c r="AK19" i="4"/>
  <c r="AK17" i="4"/>
  <c r="AK15" i="4"/>
  <c r="AK49" i="4"/>
  <c r="AK50" i="4"/>
  <c r="AK45" i="4"/>
  <c r="AK47" i="4"/>
  <c r="AK52" i="4"/>
  <c r="AK54" i="4"/>
  <c r="AK48" i="4"/>
  <c r="AK42" i="4"/>
  <c r="AK53" i="4"/>
  <c r="AK51" i="4"/>
  <c r="AK55" i="4"/>
  <c r="AK56" i="4"/>
  <c r="AK57" i="4"/>
  <c r="AK30" i="4"/>
  <c r="AK43" i="4"/>
  <c r="AK44" i="4"/>
  <c r="AK40" i="4"/>
  <c r="AK39" i="4"/>
  <c r="AK31" i="4"/>
  <c r="AK38" i="4"/>
  <c r="AK29" i="4"/>
  <c r="AK32" i="4"/>
  <c r="AK41" i="4"/>
  <c r="AK33" i="4"/>
  <c r="AK36" i="4"/>
  <c r="AK46" i="4"/>
  <c r="AK37" i="4"/>
  <c r="AK34" i="4"/>
  <c r="AK35" i="4"/>
  <c r="AK77" i="4"/>
  <c r="AK82" i="4"/>
  <c r="AK83" i="4"/>
  <c r="AK84" i="4"/>
  <c r="AK68" i="4"/>
  <c r="AK87" i="4"/>
  <c r="AK100" i="4"/>
  <c r="AK73" i="4"/>
  <c r="AK91" i="4"/>
  <c r="AK92" i="4"/>
  <c r="AK93" i="4"/>
  <c r="AK95" i="4"/>
  <c r="AK96" i="4"/>
  <c r="AK80" i="4"/>
  <c r="AK74" i="4"/>
  <c r="AK85" i="4"/>
  <c r="AK86" i="4"/>
  <c r="AK88" i="4"/>
  <c r="AK90" i="4"/>
  <c r="AK59" i="4"/>
  <c r="AK65" i="4"/>
  <c r="AK69" i="4"/>
  <c r="AK72" i="4"/>
  <c r="AK89" i="4"/>
  <c r="AK94" i="4"/>
  <c r="AK71" i="4"/>
  <c r="AK79" i="4"/>
  <c r="AK101" i="4"/>
  <c r="AK64" i="4"/>
  <c r="AK97" i="4"/>
  <c r="AK99" i="4"/>
  <c r="AK78" i="4"/>
  <c r="AK70" i="4"/>
  <c r="AK60" i="4"/>
  <c r="AK63" i="4"/>
  <c r="AK61" i="4"/>
  <c r="AK98" i="4"/>
  <c r="AK62" i="4"/>
  <c r="AK75" i="4"/>
  <c r="AK76" i="4"/>
  <c r="AK58" i="4"/>
  <c r="AK66" i="4"/>
  <c r="AK81" i="4"/>
  <c r="AK67" i="4"/>
  <c r="AK113" i="4"/>
  <c r="AK116" i="4"/>
  <c r="AK114" i="4"/>
  <c r="AK111" i="4"/>
  <c r="AK117" i="4"/>
  <c r="AK112" i="4"/>
  <c r="AK115" i="4"/>
  <c r="AK105" i="4"/>
  <c r="AK118" i="4"/>
  <c r="AK104" i="4"/>
  <c r="AK103" i="4"/>
  <c r="AK109" i="4"/>
  <c r="AK110" i="4"/>
  <c r="AK102" i="4"/>
  <c r="AK107" i="4"/>
  <c r="AK106" i="4"/>
  <c r="AK108" i="4"/>
  <c r="AK130" i="4"/>
  <c r="AK131" i="4"/>
  <c r="AK132" i="4"/>
  <c r="AK133" i="4"/>
  <c r="AK121" i="4"/>
  <c r="AK141" i="4"/>
  <c r="AK129" i="4"/>
  <c r="AK122" i="4"/>
  <c r="AK145" i="4"/>
  <c r="AK127" i="4"/>
  <c r="AK134" i="4"/>
  <c r="AK135" i="4"/>
  <c r="AK137" i="4"/>
  <c r="AK138" i="4"/>
  <c r="AK139" i="4"/>
  <c r="AK140" i="4"/>
  <c r="AK142" i="4"/>
  <c r="AK143" i="4"/>
  <c r="AK123" i="4"/>
  <c r="AK124" i="4"/>
  <c r="AK144" i="4"/>
  <c r="AK120" i="4"/>
  <c r="AK126" i="4"/>
  <c r="AK125" i="4"/>
  <c r="AK128" i="4"/>
  <c r="AK136" i="4"/>
  <c r="AK119" i="4"/>
  <c r="AK149" i="4"/>
  <c r="AK179" i="4"/>
  <c r="AK180" i="4"/>
  <c r="AK151" i="4"/>
  <c r="AK162" i="4"/>
  <c r="AK163" i="4"/>
  <c r="AK156" i="4"/>
  <c r="AK164" i="4"/>
  <c r="AK155" i="4"/>
  <c r="AK161" i="4"/>
  <c r="AK178" i="4"/>
  <c r="AK183" i="4"/>
  <c r="AK176" i="4"/>
  <c r="AK177" i="4"/>
  <c r="AK168" i="4"/>
  <c r="AK173" i="4"/>
  <c r="AK152" i="4"/>
  <c r="AK158" i="4"/>
  <c r="AK165" i="4"/>
  <c r="AK166" i="4"/>
  <c r="AK167" i="4"/>
  <c r="AK174" i="4"/>
  <c r="AK169" i="4"/>
  <c r="AK171" i="4"/>
  <c r="AK172" i="4"/>
  <c r="AK170" i="4"/>
  <c r="AK182" i="4"/>
  <c r="AK157" i="4"/>
  <c r="AK159" i="4"/>
  <c r="AK160" i="4"/>
  <c r="AK153" i="4"/>
  <c r="AK184" i="4"/>
  <c r="AK185" i="4"/>
  <c r="AK181" i="4"/>
  <c r="AK148" i="4"/>
  <c r="AK146" i="4"/>
  <c r="AK147" i="4"/>
  <c r="AK150" i="4"/>
  <c r="AK154" i="4"/>
  <c r="AK175" i="4"/>
  <c r="AK188" i="4"/>
  <c r="AK187" i="4"/>
  <c r="AK192" i="4"/>
  <c r="AK199" i="4"/>
  <c r="AK186" i="4"/>
  <c r="AK190" i="4"/>
  <c r="AK196" i="4"/>
  <c r="AK197" i="4"/>
  <c r="AK194" i="4"/>
  <c r="AK191" i="4"/>
  <c r="AK189" i="4"/>
  <c r="AK200" i="4"/>
  <c r="AK201" i="4"/>
  <c r="AK193" i="4"/>
  <c r="AK195" i="4"/>
  <c r="AK198" i="4"/>
  <c r="AK204" i="4"/>
  <c r="AK206" i="4"/>
  <c r="AK202" i="4"/>
  <c r="AK207" i="4"/>
  <c r="AK208" i="4"/>
  <c r="AK209" i="4"/>
  <c r="AK205" i="4"/>
  <c r="AK203" i="4"/>
  <c r="AK210" i="4"/>
  <c r="AK213" i="4"/>
  <c r="AK218" i="4"/>
  <c r="AK212" i="4"/>
  <c r="AK214" i="4"/>
  <c r="AK211" i="4"/>
  <c r="AK215" i="4"/>
  <c r="AK217" i="4"/>
  <c r="AK216" i="4"/>
  <c r="AK220" i="4"/>
  <c r="AK221" i="4"/>
  <c r="AK232" i="4"/>
  <c r="AK228" i="4"/>
  <c r="AK230" i="4"/>
  <c r="AK222" i="4"/>
  <c r="AK231" i="4"/>
  <c r="AK219" i="4"/>
  <c r="AK229" i="4"/>
  <c r="AK223" i="4"/>
  <c r="AK224" i="4"/>
  <c r="AK225" i="4"/>
  <c r="AK226" i="4"/>
  <c r="AK227" i="4"/>
  <c r="AK245" i="4"/>
  <c r="AK233" i="4"/>
  <c r="AK238" i="4"/>
  <c r="AK240" i="4"/>
  <c r="AK241" i="4"/>
  <c r="AK243" i="4"/>
  <c r="AK244" i="4"/>
  <c r="AK247" i="4"/>
  <c r="AK250" i="4"/>
  <c r="AK263" i="4"/>
  <c r="AK239" i="4"/>
  <c r="AK242" i="4"/>
  <c r="AK251" i="4"/>
  <c r="AK252" i="4"/>
  <c r="AK246" i="4"/>
  <c r="AK248" i="4"/>
  <c r="AK234" i="4"/>
  <c r="AK235" i="4"/>
  <c r="AK249" i="4"/>
  <c r="AK253" i="4"/>
  <c r="AK255" i="4"/>
  <c r="AK256" i="4"/>
  <c r="AK258" i="4"/>
  <c r="AK237" i="4"/>
  <c r="AK254" i="4"/>
  <c r="AK262" i="4"/>
  <c r="AK257" i="4"/>
  <c r="AK259" i="4"/>
  <c r="AK260" i="4"/>
  <c r="AK261" i="4"/>
  <c r="AK236" i="4"/>
  <c r="AK286" i="4"/>
  <c r="AK264" i="4"/>
  <c r="AK265" i="4"/>
  <c r="AK266" i="4"/>
  <c r="AK267" i="4"/>
  <c r="AK268" i="4"/>
  <c r="AK269" i="4"/>
  <c r="AK270" i="4"/>
  <c r="AK271" i="4"/>
  <c r="AK272" i="4"/>
  <c r="AK287" i="4"/>
  <c r="AK273" i="4"/>
  <c r="AK278" i="4"/>
  <c r="AK284" i="4"/>
  <c r="AK279" i="4"/>
  <c r="AK280" i="4"/>
  <c r="AK281" i="4"/>
  <c r="AK285" i="4"/>
  <c r="AK277" i="4"/>
  <c r="AK276" i="4"/>
  <c r="AK275" i="4"/>
  <c r="AK283" i="4"/>
  <c r="AK274" i="4"/>
  <c r="AK288" i="4"/>
  <c r="AK290" i="4"/>
  <c r="AK291" i="4"/>
  <c r="AK292" i="4"/>
  <c r="AK294" i="4"/>
  <c r="AK289" i="4"/>
  <c r="AK293" i="4"/>
  <c r="AK295" i="4"/>
  <c r="AK296" i="4"/>
  <c r="AK297" i="4"/>
  <c r="AK298" i="4"/>
  <c r="AK299" i="4"/>
  <c r="AK300" i="4"/>
  <c r="AK301" i="4"/>
  <c r="AK302" i="4"/>
  <c r="AK303" i="4"/>
  <c r="AK304" i="4"/>
  <c r="AK305" i="4"/>
  <c r="AK306" i="4"/>
  <c r="AK307" i="4"/>
  <c r="AK308" i="4"/>
  <c r="AK309" i="4"/>
  <c r="AK310" i="4"/>
  <c r="AK311" i="4"/>
  <c r="AK312" i="4"/>
  <c r="AK313" i="4"/>
  <c r="AK314" i="4"/>
  <c r="AK315" i="4"/>
  <c r="AK316" i="4"/>
  <c r="AK317" i="4"/>
  <c r="AK333" i="4"/>
  <c r="AK331" i="4"/>
  <c r="AK332" i="4"/>
  <c r="AK324" i="4"/>
  <c r="AK334" i="4"/>
  <c r="AK323" i="4"/>
  <c r="AK322" i="4"/>
  <c r="AK325" i="4"/>
  <c r="AK318" i="4"/>
  <c r="AK319" i="4"/>
  <c r="AK320" i="4"/>
  <c r="AK321" i="4"/>
  <c r="AK326" i="4"/>
  <c r="AK327" i="4"/>
  <c r="AK328" i="4"/>
  <c r="AK329" i="4"/>
  <c r="AK330" i="4"/>
  <c r="AK341" i="4"/>
  <c r="AK339" i="4"/>
  <c r="AK337" i="4"/>
  <c r="AK338" i="4"/>
  <c r="AK340" i="4"/>
  <c r="AK335" i="4"/>
  <c r="AK336" i="4"/>
  <c r="AK342" i="4"/>
  <c r="AK346" i="4"/>
  <c r="AK345" i="4"/>
  <c r="AK343" i="4"/>
  <c r="AK344" i="4"/>
  <c r="AK347" i="4"/>
  <c r="AK348" i="4"/>
  <c r="AK349" i="4"/>
  <c r="AK351" i="4"/>
  <c r="AK350" i="4"/>
  <c r="AK352" i="4"/>
  <c r="AK353" i="4"/>
  <c r="AK354" i="4"/>
  <c r="AK355" i="4"/>
  <c r="AK358" i="4"/>
  <c r="AK359" i="4"/>
  <c r="AK356" i="4"/>
  <c r="AK357" i="4"/>
  <c r="AK360" i="4"/>
  <c r="AK361" i="4"/>
  <c r="AK362" i="4"/>
  <c r="AK364" i="4"/>
  <c r="AK365" i="4"/>
  <c r="AK366" i="4"/>
  <c r="AK367" i="4"/>
  <c r="AK363" i="4"/>
  <c r="AK368" i="4"/>
  <c r="AK369" i="4"/>
  <c r="AK370" i="4"/>
  <c r="AK371" i="4"/>
  <c r="AK372" i="4"/>
  <c r="AK373" i="4"/>
  <c r="AK374" i="4"/>
  <c r="AK375" i="4"/>
  <c r="AK376" i="4"/>
  <c r="AK377" i="4"/>
  <c r="AK378" i="4"/>
  <c r="AK379" i="4"/>
  <c r="AK381" i="4"/>
  <c r="AK382" i="4"/>
  <c r="AK383" i="4"/>
  <c r="AK384" i="4"/>
  <c r="AK385" i="4"/>
  <c r="AK386" i="4"/>
  <c r="AK387" i="4"/>
  <c r="AK390" i="4"/>
  <c r="AK389" i="4"/>
  <c r="AK388" i="4"/>
  <c r="AK391" i="4"/>
  <c r="AK392" i="4"/>
  <c r="AK393" i="4"/>
  <c r="AK394" i="4"/>
  <c r="AK395" i="4"/>
  <c r="AK396" i="4"/>
  <c r="AK397" i="4"/>
  <c r="AK398" i="4"/>
  <c r="AK399" i="4"/>
  <c r="AK400" i="4"/>
  <c r="AK401" i="4"/>
  <c r="AK402" i="4"/>
  <c r="AK403" i="4"/>
  <c r="AK404" i="4"/>
  <c r="AK405" i="4"/>
  <c r="AK406" i="4"/>
  <c r="AK407" i="4"/>
  <c r="AK408" i="4"/>
  <c r="AK409" i="4"/>
  <c r="AK410" i="4"/>
  <c r="AK411" i="4"/>
  <c r="AK2" i="4"/>
  <c r="B7" i="3"/>
  <c r="C7" i="3"/>
  <c r="AI272" i="4"/>
  <c r="H7" i="3"/>
  <c r="H8" i="3"/>
  <c r="H9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U272" i="4" a="1"/>
  <c r="U272" i="4"/>
  <c r="AD94" i="5"/>
  <c r="T272" i="4" a="1"/>
  <c r="T272" i="4"/>
  <c r="AC94" i="5"/>
  <c r="E7" i="3"/>
  <c r="C56" i="2"/>
  <c r="G56" i="2"/>
  <c r="I56" i="2"/>
  <c r="J56" i="2"/>
  <c r="K56" i="2"/>
  <c r="N56" i="2"/>
  <c r="O56" i="2"/>
  <c r="P56" i="2"/>
  <c r="Q56" i="2"/>
  <c r="R56" i="2"/>
  <c r="S56" i="2"/>
  <c r="T56" i="2"/>
  <c r="U56" i="2"/>
  <c r="V56" i="2"/>
  <c r="Y56" i="2"/>
  <c r="Z56" i="2"/>
  <c r="AA56" i="2"/>
  <c r="AB56" i="2"/>
  <c r="D55" i="2"/>
  <c r="D232" i="4"/>
  <c r="E20" i="5"/>
  <c r="E18" i="2"/>
  <c r="D18" i="2"/>
  <c r="AC56" i="2"/>
  <c r="F18" i="2"/>
  <c r="AD56" i="2"/>
  <c r="AE56" i="2"/>
  <c r="H55" i="2"/>
  <c r="H232" i="4"/>
  <c r="K20" i="5"/>
  <c r="H18" i="2"/>
  <c r="L78" i="5"/>
  <c r="AF56" i="2"/>
  <c r="AG56" i="2"/>
  <c r="AH56" i="2"/>
  <c r="AI56" i="2"/>
  <c r="AJ56" i="2"/>
  <c r="N78" i="5"/>
  <c r="O78" i="5"/>
  <c r="AK56" i="2"/>
  <c r="M55" i="2"/>
  <c r="M232" i="4"/>
  <c r="R20" i="5"/>
  <c r="L55" i="2"/>
  <c r="L232" i="4"/>
  <c r="Q20" i="5"/>
  <c r="M18" i="2"/>
  <c r="L18" i="2"/>
  <c r="AL56" i="2"/>
  <c r="AM56" i="2"/>
  <c r="AZ137" i="1"/>
  <c r="BA137" i="1"/>
  <c r="BB137" i="1"/>
  <c r="CH137" i="1"/>
  <c r="CI137" i="1"/>
  <c r="CJ137" i="1"/>
  <c r="CK137" i="1"/>
  <c r="CL137" i="1"/>
  <c r="CM137" i="1"/>
  <c r="CN137" i="1"/>
  <c r="CO137" i="1"/>
  <c r="CP137" i="1"/>
  <c r="CQ137" i="1"/>
  <c r="CR137" i="1"/>
  <c r="CS137" i="1"/>
  <c r="BV137" i="1"/>
  <c r="BW137" i="1"/>
  <c r="BX137" i="1"/>
  <c r="BY137" i="1"/>
  <c r="BZ137" i="1"/>
  <c r="CA137" i="1"/>
  <c r="CB137" i="1"/>
  <c r="CC137" i="1"/>
  <c r="CD137" i="1"/>
  <c r="CE137" i="1"/>
  <c r="CF137" i="1"/>
  <c r="CG137" i="1"/>
  <c r="BC137" i="1"/>
  <c r="CT137" i="1"/>
  <c r="AZ136" i="1"/>
  <c r="BA136" i="1"/>
  <c r="BB136" i="1"/>
  <c r="CH136" i="1"/>
  <c r="CI136" i="1"/>
  <c r="CJ136" i="1"/>
  <c r="CK136" i="1"/>
  <c r="CL136" i="1"/>
  <c r="CM136" i="1"/>
  <c r="CN136" i="1"/>
  <c r="CO136" i="1"/>
  <c r="CP136" i="1"/>
  <c r="CQ136" i="1"/>
  <c r="CR136" i="1"/>
  <c r="CS136" i="1"/>
  <c r="BV136" i="1"/>
  <c r="BW136" i="1"/>
  <c r="BX136" i="1"/>
  <c r="BY136" i="1"/>
  <c r="BZ136" i="1"/>
  <c r="CA136" i="1"/>
  <c r="CB136" i="1"/>
  <c r="CC136" i="1"/>
  <c r="CD136" i="1"/>
  <c r="CE136" i="1"/>
  <c r="CF136" i="1"/>
  <c r="CG136" i="1"/>
  <c r="BC136" i="1"/>
  <c r="CT136" i="1"/>
  <c r="AZ347" i="1"/>
  <c r="BA347" i="1"/>
  <c r="BB347" i="1"/>
  <c r="CH347" i="1"/>
  <c r="CI347" i="1"/>
  <c r="CJ347" i="1"/>
  <c r="CK347" i="1"/>
  <c r="CL347" i="1"/>
  <c r="CM347" i="1"/>
  <c r="CN347" i="1"/>
  <c r="CO347" i="1"/>
  <c r="CP347" i="1"/>
  <c r="CQ347" i="1"/>
  <c r="CR347" i="1"/>
  <c r="CS347" i="1"/>
  <c r="BV347" i="1"/>
  <c r="BW347" i="1"/>
  <c r="BX347" i="1"/>
  <c r="BY347" i="1"/>
  <c r="BZ347" i="1"/>
  <c r="CA347" i="1"/>
  <c r="CB347" i="1"/>
  <c r="CC347" i="1"/>
  <c r="CD347" i="1"/>
  <c r="CE347" i="1"/>
  <c r="CF347" i="1"/>
  <c r="CG347" i="1"/>
  <c r="BC347" i="1"/>
  <c r="CT347" i="1"/>
  <c r="AZ346" i="1"/>
  <c r="BA346" i="1"/>
  <c r="BB346" i="1"/>
  <c r="CH346" i="1"/>
  <c r="CI346" i="1"/>
  <c r="CJ346" i="1"/>
  <c r="CK346" i="1"/>
  <c r="CL346" i="1"/>
  <c r="CM346" i="1"/>
  <c r="CN346" i="1"/>
  <c r="CO346" i="1"/>
  <c r="CP346" i="1"/>
  <c r="CQ346" i="1"/>
  <c r="CR346" i="1"/>
  <c r="CS346" i="1"/>
  <c r="BV346" i="1"/>
  <c r="BW346" i="1"/>
  <c r="BX346" i="1"/>
  <c r="BY346" i="1"/>
  <c r="BZ346" i="1"/>
  <c r="CA346" i="1"/>
  <c r="CB346" i="1"/>
  <c r="CC346" i="1"/>
  <c r="CD346" i="1"/>
  <c r="CE346" i="1"/>
  <c r="CF346" i="1"/>
  <c r="CG346" i="1"/>
  <c r="BC346" i="1"/>
  <c r="CT346" i="1"/>
  <c r="AZ167" i="1"/>
  <c r="BA167" i="1"/>
  <c r="BB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BC167" i="1"/>
  <c r="CT167" i="1"/>
  <c r="S51" i="2"/>
  <c r="B361" i="4"/>
  <c r="S361" i="4"/>
  <c r="AZ333" i="1"/>
  <c r="BA333" i="1"/>
  <c r="BB333" i="1"/>
  <c r="CH333" i="1"/>
  <c r="CI333" i="1"/>
  <c r="CJ333" i="1"/>
  <c r="CK333" i="1"/>
  <c r="CL333" i="1"/>
  <c r="CM333" i="1"/>
  <c r="CN333" i="1"/>
  <c r="CO333" i="1"/>
  <c r="CP333" i="1"/>
  <c r="CQ333" i="1"/>
  <c r="CR333" i="1"/>
  <c r="CS333" i="1"/>
  <c r="BV333" i="1"/>
  <c r="BW333" i="1"/>
  <c r="BX333" i="1"/>
  <c r="BY333" i="1"/>
  <c r="BZ333" i="1"/>
  <c r="CA333" i="1"/>
  <c r="CB333" i="1"/>
  <c r="CC333" i="1"/>
  <c r="CD333" i="1"/>
  <c r="CE333" i="1"/>
  <c r="CF333" i="1"/>
  <c r="CG333" i="1"/>
  <c r="BC333" i="1"/>
  <c r="CT333" i="1"/>
  <c r="AZ332" i="1"/>
  <c r="BA332" i="1"/>
  <c r="BB332" i="1"/>
  <c r="CH332" i="1"/>
  <c r="CI332" i="1"/>
  <c r="CJ332" i="1"/>
  <c r="CK332" i="1"/>
  <c r="CL332" i="1"/>
  <c r="CM332" i="1"/>
  <c r="CN332" i="1"/>
  <c r="CO332" i="1"/>
  <c r="CP332" i="1"/>
  <c r="CQ332" i="1"/>
  <c r="CR332" i="1"/>
  <c r="CS332" i="1"/>
  <c r="BV332" i="1"/>
  <c r="BW332" i="1"/>
  <c r="BX332" i="1"/>
  <c r="BY332" i="1"/>
  <c r="BZ332" i="1"/>
  <c r="CA332" i="1"/>
  <c r="CB332" i="1"/>
  <c r="CC332" i="1"/>
  <c r="CD332" i="1"/>
  <c r="CE332" i="1"/>
  <c r="CF332" i="1"/>
  <c r="CG332" i="1"/>
  <c r="BC332" i="1"/>
  <c r="CT332" i="1"/>
  <c r="AZ321" i="1"/>
  <c r="BA321" i="1"/>
  <c r="BB321" i="1"/>
  <c r="CH321" i="1"/>
  <c r="CI321" i="1"/>
  <c r="CJ321" i="1"/>
  <c r="CK321" i="1"/>
  <c r="CL321" i="1"/>
  <c r="CM321" i="1"/>
  <c r="CN321" i="1"/>
  <c r="CO321" i="1"/>
  <c r="CP321" i="1"/>
  <c r="CQ321" i="1"/>
  <c r="CR321" i="1"/>
  <c r="CS321" i="1"/>
  <c r="BV321" i="1"/>
  <c r="BW321" i="1"/>
  <c r="BX321" i="1"/>
  <c r="BY321" i="1"/>
  <c r="BZ321" i="1"/>
  <c r="CA321" i="1"/>
  <c r="CB321" i="1"/>
  <c r="CC321" i="1"/>
  <c r="CD321" i="1"/>
  <c r="CE321" i="1"/>
  <c r="CF321" i="1"/>
  <c r="CG321" i="1"/>
  <c r="BC321" i="1"/>
  <c r="CT321" i="1"/>
  <c r="AZ67" i="1"/>
  <c r="BA67" i="1"/>
  <c r="BB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BC67" i="1"/>
  <c r="CT67" i="1"/>
  <c r="AZ66" i="1"/>
  <c r="BA66" i="1"/>
  <c r="BB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BC66" i="1"/>
  <c r="CT66" i="1"/>
  <c r="B57" i="4"/>
  <c r="H57" i="4"/>
  <c r="H30" i="2"/>
  <c r="S9" i="2"/>
  <c r="B147" i="4"/>
  <c r="S8" i="2"/>
  <c r="S147" i="4"/>
  <c r="N30" i="2"/>
  <c r="B227" i="4"/>
  <c r="N227" i="4"/>
  <c r="N9" i="2"/>
  <c r="N25" i="2"/>
  <c r="N16" i="2"/>
  <c r="N21" i="2"/>
  <c r="N5" i="2"/>
  <c r="N8" i="2"/>
  <c r="N18" i="2"/>
  <c r="N44" i="2"/>
  <c r="N181" i="4"/>
  <c r="B31" i="4"/>
  <c r="N31" i="4"/>
  <c r="C9" i="2"/>
  <c r="G9" i="2"/>
  <c r="K9" i="2"/>
  <c r="O9" i="2"/>
  <c r="P9" i="2"/>
  <c r="Q9" i="2"/>
  <c r="R9" i="2"/>
  <c r="T9" i="2"/>
  <c r="U9" i="2"/>
  <c r="V9" i="2"/>
  <c r="X9" i="2"/>
  <c r="Y9" i="2"/>
  <c r="Z9" i="2"/>
  <c r="AA9" i="2"/>
  <c r="AB9" i="2"/>
  <c r="D8" i="2"/>
  <c r="B119" i="4"/>
  <c r="D119" i="4"/>
  <c r="E44" i="5"/>
  <c r="D147" i="4"/>
  <c r="E45" i="5"/>
  <c r="F45" i="5"/>
  <c r="AC9" i="2"/>
  <c r="H45" i="5"/>
  <c r="I45" i="5"/>
  <c r="AD9" i="2"/>
  <c r="AE9" i="2"/>
  <c r="H8" i="2"/>
  <c r="H119" i="4"/>
  <c r="K44" i="5"/>
  <c r="H147" i="4"/>
  <c r="K45" i="5"/>
  <c r="L45" i="5"/>
  <c r="AF9" i="2"/>
  <c r="AG9" i="2"/>
  <c r="AH9" i="2"/>
  <c r="AI9" i="2"/>
  <c r="AJ9" i="2"/>
  <c r="N45" i="5"/>
  <c r="O45" i="5"/>
  <c r="AK9" i="2"/>
  <c r="M8" i="2"/>
  <c r="M119" i="4"/>
  <c r="R44" i="5"/>
  <c r="L8" i="2"/>
  <c r="L119" i="4"/>
  <c r="Q44" i="5"/>
  <c r="M147" i="4"/>
  <c r="R45" i="5"/>
  <c r="L147" i="4"/>
  <c r="Q45" i="5"/>
  <c r="AL9" i="2"/>
  <c r="AM9" i="2"/>
  <c r="AZ5" i="1"/>
  <c r="BA5" i="1"/>
  <c r="BB5" i="1"/>
  <c r="CH5" i="1"/>
  <c r="CI5" i="1"/>
  <c r="CJ5" i="1"/>
  <c r="CK5" i="1"/>
  <c r="CL5" i="1"/>
  <c r="CM5" i="1"/>
  <c r="CN5" i="1"/>
  <c r="CO5" i="1"/>
  <c r="CP5" i="1"/>
  <c r="CQ5" i="1"/>
  <c r="CR5" i="1"/>
  <c r="CS5" i="1"/>
  <c r="BV5" i="1"/>
  <c r="BW5" i="1"/>
  <c r="BX5" i="1"/>
  <c r="BY5" i="1"/>
  <c r="BZ5" i="1"/>
  <c r="CA5" i="1"/>
  <c r="CB5" i="1"/>
  <c r="CC5" i="1"/>
  <c r="CD5" i="1"/>
  <c r="CE5" i="1"/>
  <c r="CF5" i="1"/>
  <c r="CG5" i="1"/>
  <c r="BC5" i="1"/>
  <c r="CT5" i="1"/>
  <c r="AZ22" i="1"/>
  <c r="BA22" i="1"/>
  <c r="BB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BC22" i="1"/>
  <c r="CT22" i="1"/>
  <c r="AZ21" i="1"/>
  <c r="BA21" i="1"/>
  <c r="BB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BC21" i="1"/>
  <c r="CT21" i="1"/>
  <c r="AZ20" i="1"/>
  <c r="BA20" i="1"/>
  <c r="BB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BC20" i="1"/>
  <c r="CT20" i="1"/>
  <c r="S4" i="2"/>
  <c r="B41" i="4"/>
  <c r="S5" i="2"/>
  <c r="S41" i="4"/>
  <c r="S42" i="2"/>
  <c r="S16" i="2"/>
  <c r="B38" i="4"/>
  <c r="S38" i="4"/>
  <c r="S17" i="2"/>
  <c r="B39" i="4"/>
  <c r="S39" i="4"/>
  <c r="B40" i="4"/>
  <c r="S40" i="4"/>
  <c r="S12" i="2"/>
  <c r="B35" i="4"/>
  <c r="S35" i="4"/>
  <c r="S10" i="2"/>
  <c r="B36" i="4"/>
  <c r="S36" i="4"/>
  <c r="B37" i="4"/>
  <c r="S37" i="4"/>
  <c r="S11" i="2"/>
  <c r="B32" i="4"/>
  <c r="S32" i="4"/>
  <c r="S13" i="2"/>
  <c r="B33" i="4"/>
  <c r="S33" i="4"/>
  <c r="B34" i="4"/>
  <c r="S34" i="4"/>
  <c r="S31" i="4"/>
  <c r="B30" i="4"/>
  <c r="S30" i="4"/>
  <c r="B29" i="4"/>
  <c r="S29" i="4"/>
  <c r="N4" i="2"/>
  <c r="N41" i="4"/>
  <c r="C4" i="2"/>
  <c r="D4" i="2"/>
  <c r="E4" i="2"/>
  <c r="F4" i="2"/>
  <c r="G4" i="2"/>
  <c r="H4" i="2"/>
  <c r="I4" i="2"/>
  <c r="J4" i="2"/>
  <c r="K4" i="2"/>
  <c r="L4" i="2"/>
  <c r="M4" i="2"/>
  <c r="O4" i="2"/>
  <c r="P4" i="2"/>
  <c r="Q4" i="2"/>
  <c r="R4" i="2"/>
  <c r="T4" i="2"/>
  <c r="U4" i="2"/>
  <c r="V4" i="2"/>
  <c r="X4" i="2"/>
  <c r="Y4" i="2"/>
  <c r="Z4" i="2"/>
  <c r="AA4" i="2"/>
  <c r="AB4" i="2"/>
  <c r="D5" i="2"/>
  <c r="B66" i="4"/>
  <c r="D66" i="4"/>
  <c r="E262" i="5"/>
  <c r="D41" i="4"/>
  <c r="E253" i="5"/>
  <c r="F253" i="5"/>
  <c r="AC4" i="2"/>
  <c r="H253" i="5"/>
  <c r="I253" i="5"/>
  <c r="AD4" i="2"/>
  <c r="AE4" i="2"/>
  <c r="H5" i="2"/>
  <c r="H66" i="4"/>
  <c r="K262" i="5"/>
  <c r="H41" i="4"/>
  <c r="K253" i="5"/>
  <c r="L253" i="5"/>
  <c r="AF4" i="2"/>
  <c r="AG4" i="2"/>
  <c r="AH4" i="2"/>
  <c r="AI4" i="2"/>
  <c r="AJ4" i="2"/>
  <c r="N253" i="5"/>
  <c r="O253" i="5"/>
  <c r="AK4" i="2"/>
  <c r="M5" i="2"/>
  <c r="M66" i="4"/>
  <c r="R262" i="5"/>
  <c r="L5" i="2"/>
  <c r="L66" i="4"/>
  <c r="Q262" i="5"/>
  <c r="M41" i="4"/>
  <c r="R253" i="5"/>
  <c r="L41" i="4"/>
  <c r="Q253" i="5"/>
  <c r="AL4" i="2"/>
  <c r="AM4" i="2"/>
  <c r="AZ166" i="1"/>
  <c r="BA166" i="1"/>
  <c r="BB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BC166" i="1"/>
  <c r="CT166" i="1"/>
  <c r="AZ214" i="1"/>
  <c r="BA214" i="1"/>
  <c r="BB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BC214" i="1"/>
  <c r="CT214" i="1"/>
  <c r="AZ316" i="1"/>
  <c r="BA316" i="1"/>
  <c r="BB316" i="1"/>
  <c r="CH316" i="1"/>
  <c r="CI316" i="1"/>
  <c r="CJ316" i="1"/>
  <c r="CK316" i="1"/>
  <c r="CL316" i="1"/>
  <c r="CM316" i="1"/>
  <c r="CN316" i="1"/>
  <c r="CO316" i="1"/>
  <c r="CP316" i="1"/>
  <c r="CQ316" i="1"/>
  <c r="CR316" i="1"/>
  <c r="CS316" i="1"/>
  <c r="BV316" i="1"/>
  <c r="BW316" i="1"/>
  <c r="BX316" i="1"/>
  <c r="BY316" i="1"/>
  <c r="BZ316" i="1"/>
  <c r="CA316" i="1"/>
  <c r="CB316" i="1"/>
  <c r="CC316" i="1"/>
  <c r="CD316" i="1"/>
  <c r="CE316" i="1"/>
  <c r="CF316" i="1"/>
  <c r="CG316" i="1"/>
  <c r="BC316" i="1"/>
  <c r="CT316" i="1"/>
  <c r="AZ65" i="1"/>
  <c r="BA65" i="1"/>
  <c r="BB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BC65" i="1"/>
  <c r="CT65" i="1"/>
  <c r="AZ64" i="1"/>
  <c r="BA64" i="1"/>
  <c r="BB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BC64" i="1"/>
  <c r="CT64" i="1"/>
  <c r="AZ63" i="1"/>
  <c r="BA63" i="1"/>
  <c r="BB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BC63" i="1"/>
  <c r="CT63" i="1"/>
  <c r="AZ62" i="1"/>
  <c r="BA62" i="1"/>
  <c r="BB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BC62" i="1"/>
  <c r="CT62" i="1"/>
  <c r="AZ61" i="1"/>
  <c r="BA61" i="1"/>
  <c r="BB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BC61" i="1"/>
  <c r="CT61" i="1"/>
  <c r="AZ60" i="1"/>
  <c r="BA60" i="1"/>
  <c r="BB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BC60" i="1"/>
  <c r="CT60" i="1"/>
  <c r="AZ59" i="1"/>
  <c r="BA59" i="1"/>
  <c r="BB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BC59" i="1"/>
  <c r="CT59" i="1"/>
  <c r="AZ58" i="1"/>
  <c r="BA58" i="1"/>
  <c r="BB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BC58" i="1"/>
  <c r="CT58" i="1"/>
  <c r="N2" i="2"/>
  <c r="B237" i="4"/>
  <c r="M237" i="4"/>
  <c r="M24" i="2"/>
  <c r="B238" i="4"/>
  <c r="M238" i="4"/>
  <c r="B236" i="4"/>
  <c r="N236" i="4"/>
  <c r="N19" i="2"/>
  <c r="N24" i="2"/>
  <c r="N238" i="4"/>
  <c r="N3" i="2"/>
  <c r="B239" i="4"/>
  <c r="N239" i="4"/>
  <c r="B240" i="4"/>
  <c r="N240" i="4"/>
  <c r="B241" i="4"/>
  <c r="N241" i="4"/>
  <c r="B242" i="4"/>
  <c r="N242" i="4"/>
  <c r="B235" i="4"/>
  <c r="N235" i="4"/>
  <c r="N32" i="2"/>
  <c r="B218" i="4"/>
  <c r="N218" i="4"/>
  <c r="N20" i="2"/>
  <c r="B219" i="4"/>
  <c r="N219" i="4"/>
  <c r="B220" i="4"/>
  <c r="N22" i="2"/>
  <c r="N220" i="4"/>
  <c r="B221" i="4"/>
  <c r="N221" i="4"/>
  <c r="B222" i="4"/>
  <c r="N222" i="4"/>
  <c r="N43" i="2"/>
  <c r="B223" i="4"/>
  <c r="N223" i="4"/>
  <c r="B224" i="4"/>
  <c r="N224" i="4"/>
  <c r="B225" i="4"/>
  <c r="N225" i="4"/>
  <c r="B226" i="4"/>
  <c r="N226" i="4"/>
  <c r="N41" i="2"/>
  <c r="B228" i="4"/>
  <c r="N228" i="4"/>
  <c r="B229" i="4"/>
  <c r="N229" i="4"/>
  <c r="B230" i="4"/>
  <c r="N230" i="4"/>
  <c r="N42" i="2"/>
  <c r="N231" i="4"/>
  <c r="B233" i="4"/>
  <c r="N233" i="4"/>
  <c r="B234" i="4"/>
  <c r="N234" i="4"/>
  <c r="O41" i="2"/>
  <c r="O230" i="4"/>
  <c r="O55" i="2"/>
  <c r="O232" i="4"/>
  <c r="O3" i="2"/>
  <c r="O24" i="2"/>
  <c r="O233" i="4"/>
  <c r="N55" i="2"/>
  <c r="N232" i="4"/>
  <c r="B140" i="6"/>
  <c r="C140" i="6"/>
  <c r="D140" i="6"/>
  <c r="V140" i="6"/>
  <c r="W140" i="6"/>
  <c r="X140" i="6"/>
  <c r="Y140" i="6"/>
  <c r="Z140" i="6"/>
  <c r="AA140" i="6"/>
  <c r="AB140" i="6"/>
  <c r="AC140" i="6"/>
  <c r="AD140" i="6"/>
  <c r="AE140" i="6"/>
  <c r="AF140" i="6"/>
  <c r="AG140" i="6"/>
  <c r="AH140" i="6"/>
  <c r="B20" i="5"/>
  <c r="C54" i="2"/>
  <c r="C262" i="4"/>
  <c r="C55" i="2"/>
  <c r="C232" i="4"/>
  <c r="C20" i="5"/>
  <c r="D54" i="2"/>
  <c r="D262" i="4"/>
  <c r="F20" i="5"/>
  <c r="H20" i="5"/>
  <c r="I20" i="5"/>
  <c r="H54" i="2"/>
  <c r="H262" i="4"/>
  <c r="L20" i="5"/>
  <c r="N20" i="5"/>
  <c r="O20" i="5"/>
  <c r="L54" i="2"/>
  <c r="L262" i="4"/>
  <c r="M54" i="2"/>
  <c r="M262" i="4"/>
  <c r="N54" i="2"/>
  <c r="N262" i="4"/>
  <c r="T20" i="5"/>
  <c r="O54" i="2"/>
  <c r="O262" i="4"/>
  <c r="U20" i="5"/>
  <c r="P54" i="2"/>
  <c r="P262" i="4"/>
  <c r="P55" i="2"/>
  <c r="P232" i="4"/>
  <c r="W20" i="5"/>
  <c r="Q54" i="2"/>
  <c r="Q262" i="4"/>
  <c r="Q55" i="2"/>
  <c r="Q232" i="4"/>
  <c r="X20" i="5"/>
  <c r="R54" i="2"/>
  <c r="R262" i="4"/>
  <c r="R55" i="2"/>
  <c r="R232" i="4"/>
  <c r="Z20" i="5"/>
  <c r="S54" i="2"/>
  <c r="S262" i="4"/>
  <c r="S55" i="2"/>
  <c r="S232" i="4"/>
  <c r="AA20" i="5"/>
  <c r="AI262" i="4"/>
  <c r="T262" i="4" a="1"/>
  <c r="T262" i="4"/>
  <c r="AI232" i="4"/>
  <c r="T232" i="4" a="1"/>
  <c r="T232" i="4"/>
  <c r="AC20" i="5"/>
  <c r="U262" i="4" a="1"/>
  <c r="U262" i="4"/>
  <c r="U232" i="4" a="1"/>
  <c r="U232" i="4"/>
  <c r="AD20" i="5"/>
  <c r="AF20" i="5"/>
  <c r="AG20" i="5"/>
  <c r="X55" i="2"/>
  <c r="X232" i="4"/>
  <c r="AI20" i="5"/>
  <c r="Y54" i="2"/>
  <c r="Y262" i="4"/>
  <c r="Y55" i="2"/>
  <c r="Y232" i="4"/>
  <c r="AJ20" i="5"/>
  <c r="Z54" i="2"/>
  <c r="Z262" i="4"/>
  <c r="Z55" i="2"/>
  <c r="Z232" i="4"/>
  <c r="AL20" i="5"/>
  <c r="AM20" i="5"/>
  <c r="AN20" i="5"/>
  <c r="AO20" i="5"/>
  <c r="AP20" i="5"/>
  <c r="AQ20" i="5"/>
  <c r="AR20" i="5"/>
  <c r="AS20" i="5"/>
  <c r="AT20" i="5"/>
  <c r="AU20" i="5"/>
  <c r="AV20" i="5"/>
  <c r="AW20" i="5"/>
  <c r="AX20" i="5"/>
  <c r="AY20" i="5"/>
  <c r="AZ20" i="5"/>
  <c r="BA20" i="5"/>
  <c r="BB20" i="5"/>
  <c r="BC20" i="5"/>
  <c r="BD20" i="5"/>
  <c r="BE20" i="5"/>
  <c r="E54" i="2"/>
  <c r="E55" i="2"/>
  <c r="E232" i="4"/>
  <c r="F54" i="2"/>
  <c r="F55" i="2"/>
  <c r="F232" i="4"/>
  <c r="I54" i="2"/>
  <c r="I55" i="2"/>
  <c r="I232" i="4"/>
  <c r="J54" i="2"/>
  <c r="J55" i="2"/>
  <c r="J232" i="4"/>
  <c r="K54" i="2"/>
  <c r="K55" i="2"/>
  <c r="K232" i="4"/>
  <c r="AA232" i="4"/>
  <c r="AC232" i="4"/>
  <c r="AD232" i="4"/>
  <c r="AE232" i="4"/>
  <c r="AF232" i="4"/>
  <c r="AG232" i="4"/>
  <c r="AH232" i="4"/>
  <c r="AJ232" i="4"/>
  <c r="AL232" i="4"/>
  <c r="G55" i="2"/>
  <c r="T55" i="2"/>
  <c r="U55" i="2"/>
  <c r="V55" i="2"/>
  <c r="W55" i="2"/>
  <c r="AA55" i="2"/>
  <c r="AB55" i="2"/>
  <c r="E19" i="5"/>
  <c r="AC55" i="2"/>
  <c r="AD55" i="2"/>
  <c r="AE55" i="2"/>
  <c r="K19" i="5"/>
  <c r="AF55" i="2"/>
  <c r="AG55" i="2"/>
  <c r="AH55" i="2"/>
  <c r="AI55" i="2"/>
  <c r="AJ55" i="2"/>
  <c r="AK55" i="2"/>
  <c r="R19" i="5"/>
  <c r="Q19" i="5"/>
  <c r="AL55" i="2"/>
  <c r="AM55" i="2"/>
  <c r="AZ287" i="1"/>
  <c r="BA287" i="1"/>
  <c r="BB287" i="1"/>
  <c r="CH287" i="1"/>
  <c r="CI287" i="1"/>
  <c r="CJ287" i="1"/>
  <c r="CK287" i="1"/>
  <c r="CL287" i="1"/>
  <c r="CM287" i="1"/>
  <c r="CN287" i="1"/>
  <c r="CO287" i="1"/>
  <c r="CP287" i="1"/>
  <c r="CQ287" i="1"/>
  <c r="CR287" i="1"/>
  <c r="CS287" i="1"/>
  <c r="BV287" i="1"/>
  <c r="BW287" i="1"/>
  <c r="BX287" i="1"/>
  <c r="BY287" i="1"/>
  <c r="BZ287" i="1"/>
  <c r="CA287" i="1"/>
  <c r="CB287" i="1"/>
  <c r="CC287" i="1"/>
  <c r="CD287" i="1"/>
  <c r="CE287" i="1"/>
  <c r="CF287" i="1"/>
  <c r="CG287" i="1"/>
  <c r="BC287" i="1"/>
  <c r="CT287" i="1"/>
  <c r="D347" i="9"/>
  <c r="E347" i="9"/>
  <c r="F347" i="9"/>
  <c r="G347" i="9"/>
  <c r="C125" i="7"/>
  <c r="D125" i="7"/>
  <c r="E125" i="7"/>
  <c r="AZ288" i="1"/>
  <c r="BA288" i="1"/>
  <c r="BB288" i="1"/>
  <c r="CH288" i="1"/>
  <c r="CI288" i="1"/>
  <c r="CJ288" i="1"/>
  <c r="CK288" i="1"/>
  <c r="CL288" i="1"/>
  <c r="CM288" i="1"/>
  <c r="CN288" i="1"/>
  <c r="CO288" i="1"/>
  <c r="CP288" i="1"/>
  <c r="CQ288" i="1"/>
  <c r="CR288" i="1"/>
  <c r="CS288" i="1"/>
  <c r="BV288" i="1"/>
  <c r="BW288" i="1"/>
  <c r="BX288" i="1"/>
  <c r="BY288" i="1"/>
  <c r="BZ288" i="1"/>
  <c r="CA288" i="1"/>
  <c r="CB288" i="1"/>
  <c r="CC288" i="1"/>
  <c r="CD288" i="1"/>
  <c r="CE288" i="1"/>
  <c r="CF288" i="1"/>
  <c r="CG288" i="1"/>
  <c r="BC288" i="1"/>
  <c r="CT288" i="1"/>
  <c r="AZ236" i="1"/>
  <c r="BA236" i="1"/>
  <c r="BB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BC236" i="1"/>
  <c r="CT236" i="1"/>
  <c r="AZ57" i="1"/>
  <c r="BA57" i="1"/>
  <c r="BB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BC57" i="1"/>
  <c r="CT57" i="1"/>
  <c r="AZ259" i="1"/>
  <c r="BA259" i="1"/>
  <c r="BB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BC259" i="1"/>
  <c r="CT259" i="1"/>
  <c r="AZ258" i="1"/>
  <c r="BA258" i="1"/>
  <c r="BB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BC258" i="1"/>
  <c r="CT258" i="1"/>
  <c r="X29" i="2"/>
  <c r="B115" i="4"/>
  <c r="X115" i="4"/>
  <c r="N29" i="2"/>
  <c r="N115" i="4"/>
  <c r="X30" i="2"/>
  <c r="B109" i="4"/>
  <c r="X16" i="2"/>
  <c r="X12" i="2"/>
  <c r="X109" i="4"/>
  <c r="Q21" i="2"/>
  <c r="N38" i="2"/>
  <c r="B95" i="4"/>
  <c r="N95" i="4"/>
  <c r="N36" i="2"/>
  <c r="B96" i="4"/>
  <c r="N96" i="4"/>
  <c r="B92" i="4"/>
  <c r="N92" i="4"/>
  <c r="B93" i="4"/>
  <c r="N93" i="4"/>
  <c r="O28" i="2"/>
  <c r="B85" i="4"/>
  <c r="O85" i="4"/>
  <c r="B86" i="4"/>
  <c r="O86" i="4"/>
  <c r="H14" i="2"/>
  <c r="B47" i="4"/>
  <c r="O7" i="2"/>
  <c r="O47" i="4"/>
  <c r="N28" i="2"/>
  <c r="N47" i="4"/>
  <c r="Y51" i="2"/>
  <c r="B369" i="4"/>
  <c r="Y369" i="4"/>
  <c r="AJ356" i="5"/>
  <c r="Q30" i="2"/>
  <c r="Q29" i="2"/>
  <c r="Q185" i="4"/>
  <c r="AZ172" i="1"/>
  <c r="BA172" i="1"/>
  <c r="BB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BC172" i="1"/>
  <c r="CT172" i="1"/>
  <c r="V15" i="2"/>
  <c r="V8" i="2"/>
  <c r="V7" i="2"/>
  <c r="V40" i="2"/>
  <c r="V32" i="2"/>
  <c r="V39" i="2"/>
  <c r="V27" i="2"/>
  <c r="V18" i="2"/>
  <c r="V16" i="2"/>
  <c r="V21" i="2"/>
  <c r="V65" i="4"/>
  <c r="V5" i="2"/>
  <c r="V66" i="4"/>
  <c r="V6" i="2"/>
  <c r="B67" i="4"/>
  <c r="V67" i="4"/>
  <c r="C5" i="2"/>
  <c r="C6" i="2"/>
  <c r="C7" i="2"/>
  <c r="C67" i="4"/>
  <c r="D6" i="2"/>
  <c r="D67" i="4"/>
  <c r="E5" i="2"/>
  <c r="E6" i="2"/>
  <c r="E67" i="4"/>
  <c r="F5" i="2"/>
  <c r="F6" i="2"/>
  <c r="F67" i="4"/>
  <c r="H6" i="2"/>
  <c r="H67" i="4"/>
  <c r="I5" i="2"/>
  <c r="I6" i="2"/>
  <c r="I67" i="4"/>
  <c r="J5" i="2"/>
  <c r="J6" i="2"/>
  <c r="J67" i="4"/>
  <c r="L6" i="2"/>
  <c r="L67" i="4"/>
  <c r="M6" i="2"/>
  <c r="M67" i="4"/>
  <c r="N6" i="2"/>
  <c r="N67" i="4"/>
  <c r="O5" i="2"/>
  <c r="O6" i="2"/>
  <c r="O67" i="4"/>
  <c r="P5" i="2"/>
  <c r="P6" i="2"/>
  <c r="P7" i="2"/>
  <c r="P67" i="4"/>
  <c r="Q5" i="2"/>
  <c r="Q6" i="2"/>
  <c r="Q7" i="2"/>
  <c r="Q67" i="4"/>
  <c r="R5" i="2"/>
  <c r="R6" i="2"/>
  <c r="R7" i="2"/>
  <c r="R67" i="4"/>
  <c r="AI67" i="4"/>
  <c r="T67" i="4" a="1"/>
  <c r="T67" i="4"/>
  <c r="U67" i="4" a="1"/>
  <c r="U67" i="4"/>
  <c r="X5" i="2"/>
  <c r="X6" i="2"/>
  <c r="X67" i="4"/>
  <c r="Y5" i="2"/>
  <c r="Y6" i="2"/>
  <c r="Y7" i="2"/>
  <c r="Y67" i="4"/>
  <c r="Z5" i="2"/>
  <c r="Z6" i="2"/>
  <c r="Z7" i="2"/>
  <c r="Z67" i="4"/>
  <c r="AA67" i="4"/>
  <c r="AC67" i="4"/>
  <c r="AD67" i="4"/>
  <c r="AE67" i="4"/>
  <c r="AF67" i="4"/>
  <c r="AG67" i="4"/>
  <c r="AH67" i="4"/>
  <c r="AJ67" i="4"/>
  <c r="AL67" i="4"/>
  <c r="G6" i="2"/>
  <c r="K6" i="2"/>
  <c r="S6" i="2"/>
  <c r="T6" i="2"/>
  <c r="U6" i="2"/>
  <c r="W6" i="2"/>
  <c r="AA6" i="2"/>
  <c r="AB6" i="2"/>
  <c r="E97" i="5"/>
  <c r="F97" i="5"/>
  <c r="AC6" i="2"/>
  <c r="H97" i="5"/>
  <c r="I97" i="5"/>
  <c r="AD6" i="2"/>
  <c r="AE6" i="2"/>
  <c r="K97" i="5"/>
  <c r="L97" i="5"/>
  <c r="AF6" i="2"/>
  <c r="AG6" i="2"/>
  <c r="AH6" i="2"/>
  <c r="AI6" i="2"/>
  <c r="AJ6" i="2"/>
  <c r="N97" i="5"/>
  <c r="O97" i="5"/>
  <c r="AK6" i="2"/>
  <c r="R97" i="5"/>
  <c r="Q97" i="5"/>
  <c r="AL6" i="2"/>
  <c r="AM6" i="2"/>
  <c r="AZ170" i="1"/>
  <c r="BA170" i="1"/>
  <c r="BB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BC170" i="1"/>
  <c r="CT170" i="1"/>
  <c r="AZ171" i="1"/>
  <c r="BA171" i="1"/>
  <c r="BB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BC171" i="1"/>
  <c r="CT171" i="1"/>
  <c r="AZ54" i="1"/>
  <c r="BA54" i="1"/>
  <c r="BB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BC54" i="1"/>
  <c r="CT54" i="1"/>
  <c r="B139" i="6"/>
  <c r="C139" i="6"/>
  <c r="D139" i="6"/>
  <c r="V139" i="6"/>
  <c r="W139" i="6"/>
  <c r="X139" i="6"/>
  <c r="Y139" i="6"/>
  <c r="Z139" i="6"/>
  <c r="AA139" i="6"/>
  <c r="AB139" i="6"/>
  <c r="AC139" i="6"/>
  <c r="AD139" i="6"/>
  <c r="AE139" i="6"/>
  <c r="AF139" i="6"/>
  <c r="AG139" i="6"/>
  <c r="AH139" i="6"/>
  <c r="AL19" i="5"/>
  <c r="N19" i="5"/>
  <c r="L19" i="5"/>
  <c r="B19" i="5"/>
  <c r="C28" i="2"/>
  <c r="C86" i="4"/>
  <c r="C19" i="5"/>
  <c r="D28" i="2"/>
  <c r="D86" i="4"/>
  <c r="F19" i="5"/>
  <c r="H19" i="5"/>
  <c r="I19" i="5"/>
  <c r="H28" i="2"/>
  <c r="H86" i="4"/>
  <c r="O19" i="5"/>
  <c r="L28" i="2"/>
  <c r="L86" i="4"/>
  <c r="M28" i="2"/>
  <c r="M86" i="4"/>
  <c r="T19" i="5"/>
  <c r="U19" i="5"/>
  <c r="P28" i="2"/>
  <c r="P86" i="4"/>
  <c r="W19" i="5"/>
  <c r="Q28" i="2"/>
  <c r="Q86" i="4"/>
  <c r="X19" i="5"/>
  <c r="R28" i="2"/>
  <c r="R86" i="4"/>
  <c r="Z19" i="5"/>
  <c r="S28" i="2"/>
  <c r="S86" i="4"/>
  <c r="AA19" i="5"/>
  <c r="AI86" i="4"/>
  <c r="T86" i="4" a="1"/>
  <c r="T86" i="4"/>
  <c r="AC19" i="5"/>
  <c r="U86" i="4" a="1"/>
  <c r="U86" i="4"/>
  <c r="AD19" i="5"/>
  <c r="AF19" i="5"/>
  <c r="AG19" i="5"/>
  <c r="X28" i="2"/>
  <c r="X86" i="4"/>
  <c r="AI19" i="5"/>
  <c r="Y28" i="2"/>
  <c r="Y86" i="4"/>
  <c r="AJ19" i="5"/>
  <c r="Z28" i="2"/>
  <c r="Z86" i="4"/>
  <c r="AM19" i="5"/>
  <c r="AN19" i="5"/>
  <c r="AO19" i="5"/>
  <c r="AP19" i="5"/>
  <c r="AQ19" i="5"/>
  <c r="AR19" i="5"/>
  <c r="AS19" i="5"/>
  <c r="AT19" i="5"/>
  <c r="AU19" i="5"/>
  <c r="AV19" i="5"/>
  <c r="AW19" i="5"/>
  <c r="AX19" i="5"/>
  <c r="AY19" i="5"/>
  <c r="AZ19" i="5"/>
  <c r="BA19" i="5"/>
  <c r="BB19" i="5"/>
  <c r="BC19" i="5"/>
  <c r="BD19" i="5"/>
  <c r="BE19" i="5"/>
  <c r="E28" i="2"/>
  <c r="E262" i="4"/>
  <c r="F28" i="2"/>
  <c r="F262" i="4"/>
  <c r="I28" i="2"/>
  <c r="I262" i="4"/>
  <c r="J28" i="2"/>
  <c r="J262" i="4"/>
  <c r="K28" i="2"/>
  <c r="K262" i="4"/>
  <c r="AA262" i="4"/>
  <c r="AC262" i="4"/>
  <c r="AD262" i="4"/>
  <c r="AE262" i="4"/>
  <c r="AF262" i="4"/>
  <c r="AG262" i="4"/>
  <c r="AH262" i="4"/>
  <c r="AJ262" i="4"/>
  <c r="AL262" i="4"/>
  <c r="G54" i="2"/>
  <c r="T54" i="2"/>
  <c r="U54" i="2"/>
  <c r="V54" i="2"/>
  <c r="W54" i="2"/>
  <c r="AA54" i="2"/>
  <c r="AB54" i="2"/>
  <c r="AC54" i="2"/>
  <c r="AD54" i="2"/>
  <c r="AE54" i="2"/>
  <c r="AF54" i="2"/>
  <c r="AG54" i="2"/>
  <c r="AH54" i="2"/>
  <c r="AI54" i="2"/>
  <c r="AJ54" i="2"/>
  <c r="AK54" i="2"/>
  <c r="AL54" i="2"/>
  <c r="AM54" i="2"/>
  <c r="AZ286" i="1"/>
  <c r="BA286" i="1"/>
  <c r="BB286" i="1"/>
  <c r="CH286" i="1"/>
  <c r="CI286" i="1"/>
  <c r="CJ286" i="1"/>
  <c r="CK286" i="1"/>
  <c r="CL286" i="1"/>
  <c r="CM286" i="1"/>
  <c r="CN286" i="1"/>
  <c r="CO286" i="1"/>
  <c r="CP286" i="1"/>
  <c r="CQ286" i="1"/>
  <c r="CR286" i="1"/>
  <c r="CS286" i="1"/>
  <c r="BV286" i="1"/>
  <c r="BW286" i="1"/>
  <c r="BX286" i="1"/>
  <c r="BY286" i="1"/>
  <c r="BZ286" i="1"/>
  <c r="CA286" i="1"/>
  <c r="CB286" i="1"/>
  <c r="CC286" i="1"/>
  <c r="CD286" i="1"/>
  <c r="CE286" i="1"/>
  <c r="CF286" i="1"/>
  <c r="CG286" i="1"/>
  <c r="BC286" i="1"/>
  <c r="CT286" i="1"/>
  <c r="AZ285" i="1"/>
  <c r="BA285" i="1"/>
  <c r="BB285" i="1"/>
  <c r="CH285" i="1"/>
  <c r="CI285" i="1"/>
  <c r="CJ285" i="1"/>
  <c r="CK285" i="1"/>
  <c r="CL285" i="1"/>
  <c r="CM285" i="1"/>
  <c r="CN285" i="1"/>
  <c r="CO285" i="1"/>
  <c r="CP285" i="1"/>
  <c r="CQ285" i="1"/>
  <c r="CR285" i="1"/>
  <c r="CS285" i="1"/>
  <c r="BV285" i="1"/>
  <c r="BW285" i="1"/>
  <c r="BX285" i="1"/>
  <c r="BY285" i="1"/>
  <c r="BZ285" i="1"/>
  <c r="CA285" i="1"/>
  <c r="CB285" i="1"/>
  <c r="CC285" i="1"/>
  <c r="CD285" i="1"/>
  <c r="CE285" i="1"/>
  <c r="CF285" i="1"/>
  <c r="CG285" i="1"/>
  <c r="BC285" i="1"/>
  <c r="CT285" i="1"/>
  <c r="D346" i="9"/>
  <c r="E346" i="9"/>
  <c r="F346" i="9"/>
  <c r="G346" i="9"/>
  <c r="C123" i="7"/>
  <c r="E123" i="7"/>
  <c r="D123" i="7"/>
  <c r="AG3" i="5"/>
  <c r="AF3" i="5"/>
  <c r="C39" i="2"/>
  <c r="B74" i="4"/>
  <c r="C74" i="4"/>
  <c r="C3" i="5"/>
  <c r="D39" i="2"/>
  <c r="D74" i="4"/>
  <c r="E3" i="5"/>
  <c r="H39" i="2"/>
  <c r="H74" i="4"/>
  <c r="K3" i="5"/>
  <c r="L39" i="2"/>
  <c r="L74" i="4"/>
  <c r="Q3" i="5"/>
  <c r="M39" i="2"/>
  <c r="M74" i="4"/>
  <c r="R3" i="5"/>
  <c r="T3" i="5"/>
  <c r="O39" i="2"/>
  <c r="O74" i="4"/>
  <c r="U3" i="5"/>
  <c r="P39" i="2"/>
  <c r="P74" i="4"/>
  <c r="W3" i="5"/>
  <c r="Q39" i="2"/>
  <c r="Q74" i="4"/>
  <c r="X3" i="5"/>
  <c r="S39" i="2"/>
  <c r="S74" i="4"/>
  <c r="AA3" i="5"/>
  <c r="AI74" i="4"/>
  <c r="T74" i="4" a="1"/>
  <c r="T74" i="4"/>
  <c r="AC3" i="5"/>
  <c r="U74" i="4" a="1"/>
  <c r="U74" i="4"/>
  <c r="AD3" i="5"/>
  <c r="X39" i="2"/>
  <c r="X74" i="4"/>
  <c r="AI3" i="5"/>
  <c r="Y39" i="2"/>
  <c r="Y74" i="4"/>
  <c r="AJ3" i="5"/>
  <c r="Z39" i="2"/>
  <c r="Z74" i="4"/>
  <c r="AL3" i="5"/>
  <c r="F3" i="5"/>
  <c r="L3" i="5"/>
  <c r="N3" i="5"/>
  <c r="O3" i="5"/>
  <c r="H3" i="5"/>
  <c r="I3" i="5"/>
  <c r="Z3" i="5"/>
  <c r="AN3" i="5"/>
  <c r="O4" i="5"/>
  <c r="H27" i="2"/>
  <c r="B75" i="4"/>
  <c r="H75" i="4"/>
  <c r="K4" i="5"/>
  <c r="AG4" i="5"/>
  <c r="AF4" i="5"/>
  <c r="C27" i="2"/>
  <c r="C75" i="4"/>
  <c r="C4" i="5"/>
  <c r="D27" i="2"/>
  <c r="D75" i="4"/>
  <c r="E4" i="5"/>
  <c r="I27" i="2"/>
  <c r="I75" i="4"/>
  <c r="L4" i="5"/>
  <c r="J27" i="2"/>
  <c r="J75" i="4"/>
  <c r="N4" i="5"/>
  <c r="L27" i="2"/>
  <c r="L75" i="4"/>
  <c r="Q4" i="5"/>
  <c r="M27" i="2"/>
  <c r="M75" i="4"/>
  <c r="R4" i="5"/>
  <c r="T4" i="5"/>
  <c r="O27" i="2"/>
  <c r="O75" i="4"/>
  <c r="U4" i="5"/>
  <c r="W4" i="5"/>
  <c r="Q27" i="2"/>
  <c r="Q75" i="4"/>
  <c r="X4" i="5"/>
  <c r="AA4" i="5"/>
  <c r="AI75" i="4"/>
  <c r="T75" i="4" a="1"/>
  <c r="T75" i="4"/>
  <c r="AC4" i="5"/>
  <c r="U75" i="4" a="1"/>
  <c r="U75" i="4"/>
  <c r="AD4" i="5"/>
  <c r="X27" i="2"/>
  <c r="X75" i="4"/>
  <c r="AI4" i="5"/>
  <c r="Y27" i="2"/>
  <c r="Y75" i="4"/>
  <c r="AJ4" i="5"/>
  <c r="Z27" i="2"/>
  <c r="Z75" i="4"/>
  <c r="AL4" i="5"/>
  <c r="F4" i="5"/>
  <c r="H4" i="5"/>
  <c r="I4" i="5"/>
  <c r="Z4" i="5"/>
  <c r="AN4" i="5"/>
  <c r="AG5" i="5"/>
  <c r="AF5" i="5"/>
  <c r="C16" i="2"/>
  <c r="C136" i="4"/>
  <c r="C5" i="5"/>
  <c r="D16" i="2"/>
  <c r="D136" i="4"/>
  <c r="E5" i="5"/>
  <c r="E27" i="2"/>
  <c r="E16" i="2"/>
  <c r="E136" i="4"/>
  <c r="F5" i="5"/>
  <c r="F27" i="2"/>
  <c r="F16" i="2"/>
  <c r="F136" i="4"/>
  <c r="H5" i="5"/>
  <c r="I5" i="5"/>
  <c r="H16" i="2"/>
  <c r="H136" i="4"/>
  <c r="K5" i="5"/>
  <c r="L16" i="2"/>
  <c r="L136" i="4"/>
  <c r="Q5" i="5"/>
  <c r="M16" i="2"/>
  <c r="M136" i="4"/>
  <c r="R5" i="5"/>
  <c r="T5" i="5"/>
  <c r="U5" i="5"/>
  <c r="P27" i="2"/>
  <c r="P16" i="2"/>
  <c r="P136" i="4"/>
  <c r="W5" i="5"/>
  <c r="Q16" i="2"/>
  <c r="Q136" i="4"/>
  <c r="X5" i="5"/>
  <c r="S27" i="2"/>
  <c r="S136" i="4"/>
  <c r="AA5" i="5"/>
  <c r="AI136" i="4"/>
  <c r="T136" i="4" a="1"/>
  <c r="T136" i="4"/>
  <c r="AC5" i="5"/>
  <c r="U136" i="4" a="1"/>
  <c r="U136" i="4"/>
  <c r="AD5" i="5"/>
  <c r="X136" i="4"/>
  <c r="AI5" i="5"/>
  <c r="Y16" i="2"/>
  <c r="Y136" i="4"/>
  <c r="AJ5" i="5"/>
  <c r="Z16" i="2"/>
  <c r="Z136" i="4"/>
  <c r="AL5" i="5"/>
  <c r="L5" i="5"/>
  <c r="N5" i="5"/>
  <c r="O5" i="5"/>
  <c r="Z5" i="5"/>
  <c r="AN5" i="5"/>
  <c r="AG6" i="5"/>
  <c r="AF6" i="5"/>
  <c r="C40" i="2"/>
  <c r="C216" i="4"/>
  <c r="C6" i="5"/>
  <c r="D216" i="4"/>
  <c r="E6" i="5"/>
  <c r="H216" i="4"/>
  <c r="K6" i="5"/>
  <c r="L216" i="4"/>
  <c r="Q6" i="5"/>
  <c r="M216" i="4"/>
  <c r="R6" i="5"/>
  <c r="T6" i="5"/>
  <c r="O40" i="2"/>
  <c r="O216" i="4"/>
  <c r="U6" i="5"/>
  <c r="P40" i="2"/>
  <c r="P216" i="4"/>
  <c r="W6" i="5"/>
  <c r="Q40" i="2"/>
  <c r="Q216" i="4"/>
  <c r="X6" i="5"/>
  <c r="S40" i="2"/>
  <c r="S216" i="4"/>
  <c r="AA6" i="5"/>
  <c r="AD6" i="5"/>
  <c r="X40" i="2"/>
  <c r="X216" i="4"/>
  <c r="AI6" i="5"/>
  <c r="Y40" i="2"/>
  <c r="Y216" i="4"/>
  <c r="AJ6" i="5"/>
  <c r="Z40" i="2"/>
  <c r="Z216" i="4"/>
  <c r="AL6" i="5"/>
  <c r="F6" i="5"/>
  <c r="H6" i="5"/>
  <c r="I6" i="5"/>
  <c r="L6" i="5"/>
  <c r="N6" i="5"/>
  <c r="O6" i="5"/>
  <c r="Z6" i="5"/>
  <c r="AN6" i="5"/>
  <c r="AG7" i="5"/>
  <c r="AF7" i="5"/>
  <c r="C217" i="4"/>
  <c r="C7" i="5"/>
  <c r="D217" i="4"/>
  <c r="E7" i="5"/>
  <c r="H217" i="4"/>
  <c r="K7" i="5"/>
  <c r="L217" i="4"/>
  <c r="Q7" i="5"/>
  <c r="M217" i="4"/>
  <c r="R7" i="5"/>
  <c r="T7" i="5"/>
  <c r="O217" i="4"/>
  <c r="U7" i="5"/>
  <c r="P217" i="4"/>
  <c r="W7" i="5"/>
  <c r="Q217" i="4"/>
  <c r="X7" i="5"/>
  <c r="S217" i="4"/>
  <c r="AA7" i="5"/>
  <c r="AD7" i="5"/>
  <c r="X217" i="4"/>
  <c r="AI7" i="5"/>
  <c r="Y217" i="4"/>
  <c r="AJ7" i="5"/>
  <c r="Z217" i="4"/>
  <c r="AL7" i="5"/>
  <c r="F7" i="5"/>
  <c r="H7" i="5"/>
  <c r="I7" i="5"/>
  <c r="L7" i="5"/>
  <c r="N7" i="5"/>
  <c r="O7" i="5"/>
  <c r="Z7" i="5"/>
  <c r="AN7" i="5"/>
  <c r="AG8" i="5"/>
  <c r="AF8" i="5"/>
  <c r="C182" i="4"/>
  <c r="C8" i="5"/>
  <c r="D182" i="4"/>
  <c r="E8" i="5"/>
  <c r="H182" i="4"/>
  <c r="K8" i="5"/>
  <c r="L182" i="4"/>
  <c r="Q8" i="5"/>
  <c r="M182" i="4"/>
  <c r="R8" i="5"/>
  <c r="T8" i="5"/>
  <c r="O182" i="4"/>
  <c r="U8" i="5"/>
  <c r="P182" i="4"/>
  <c r="W8" i="5"/>
  <c r="Q182" i="4"/>
  <c r="X8" i="5"/>
  <c r="S182" i="4"/>
  <c r="AA8" i="5"/>
  <c r="AI182" i="4"/>
  <c r="T182" i="4" a="1"/>
  <c r="T182" i="4"/>
  <c r="AC8" i="5"/>
  <c r="U182" i="4" a="1"/>
  <c r="U182" i="4"/>
  <c r="AD8" i="5"/>
  <c r="X182" i="4"/>
  <c r="AI8" i="5"/>
  <c r="Y182" i="4"/>
  <c r="AJ8" i="5"/>
  <c r="Z182" i="4"/>
  <c r="AL8" i="5"/>
  <c r="F8" i="5"/>
  <c r="H8" i="5"/>
  <c r="I8" i="5"/>
  <c r="L8" i="5"/>
  <c r="N8" i="5"/>
  <c r="O8" i="5"/>
  <c r="Z8" i="5"/>
  <c r="AN8" i="5"/>
  <c r="AG9" i="5"/>
  <c r="AF9" i="5"/>
  <c r="C19" i="2"/>
  <c r="C235" i="4"/>
  <c r="C9" i="5"/>
  <c r="D235" i="4"/>
  <c r="E9" i="5"/>
  <c r="E235" i="4"/>
  <c r="F9" i="5"/>
  <c r="F235" i="4"/>
  <c r="H9" i="5"/>
  <c r="I9" i="5"/>
  <c r="H235" i="4"/>
  <c r="K9" i="5"/>
  <c r="L235" i="4"/>
  <c r="Q9" i="5"/>
  <c r="M235" i="4"/>
  <c r="R9" i="5"/>
  <c r="T9" i="5"/>
  <c r="O19" i="2"/>
  <c r="O235" i="4"/>
  <c r="U9" i="5"/>
  <c r="P19" i="2"/>
  <c r="P235" i="4"/>
  <c r="W9" i="5"/>
  <c r="Q19" i="2"/>
  <c r="Q235" i="4"/>
  <c r="X9" i="5"/>
  <c r="S19" i="2"/>
  <c r="S235" i="4"/>
  <c r="AA9" i="5"/>
  <c r="AI235" i="4"/>
  <c r="T235" i="4" a="1"/>
  <c r="T235" i="4"/>
  <c r="AC9" i="5"/>
  <c r="U235" i="4" a="1"/>
  <c r="U235" i="4"/>
  <c r="AD9" i="5"/>
  <c r="X19" i="2"/>
  <c r="X235" i="4"/>
  <c r="AI9" i="5"/>
  <c r="Y19" i="2"/>
  <c r="Y235" i="4"/>
  <c r="AJ9" i="5"/>
  <c r="Z19" i="2"/>
  <c r="Z235" i="4"/>
  <c r="AL9" i="5"/>
  <c r="L9" i="5"/>
  <c r="N9" i="5"/>
  <c r="O9" i="5"/>
  <c r="Z9" i="5"/>
  <c r="AN9" i="5"/>
  <c r="AG10" i="5"/>
  <c r="AF10" i="5"/>
  <c r="C3" i="2"/>
  <c r="B269" i="4"/>
  <c r="C269" i="4"/>
  <c r="C10" i="5"/>
  <c r="D3" i="2"/>
  <c r="D269" i="4"/>
  <c r="E10" i="5"/>
  <c r="K10" i="5"/>
  <c r="L3" i="2"/>
  <c r="L269" i="4"/>
  <c r="Q10" i="5"/>
  <c r="M3" i="2"/>
  <c r="M269" i="4"/>
  <c r="R10" i="5"/>
  <c r="T10" i="5"/>
  <c r="O269" i="4"/>
  <c r="U10" i="5"/>
  <c r="P3" i="2"/>
  <c r="P269" i="4"/>
  <c r="W10" i="5"/>
  <c r="Q3" i="2"/>
  <c r="Q269" i="4"/>
  <c r="X10" i="5"/>
  <c r="S3" i="2"/>
  <c r="S269" i="4"/>
  <c r="AA10" i="5"/>
  <c r="AI269" i="4"/>
  <c r="T269" i="4" a="1"/>
  <c r="T269" i="4"/>
  <c r="AC10" i="5"/>
  <c r="U269" i="4" a="1"/>
  <c r="U269" i="4"/>
  <c r="AD10" i="5"/>
  <c r="X3" i="2"/>
  <c r="X269" i="4"/>
  <c r="AI10" i="5"/>
  <c r="Y3" i="2"/>
  <c r="Y269" i="4"/>
  <c r="AJ10" i="5"/>
  <c r="Z3" i="2"/>
  <c r="Z269" i="4"/>
  <c r="AL10" i="5"/>
  <c r="F10" i="5"/>
  <c r="H10" i="5"/>
  <c r="I10" i="5"/>
  <c r="L10" i="5"/>
  <c r="N10" i="5"/>
  <c r="O10" i="5"/>
  <c r="Z10" i="5"/>
  <c r="AN10" i="5"/>
  <c r="AG11" i="5"/>
  <c r="AF11" i="5"/>
  <c r="C2" i="2"/>
  <c r="B270" i="4"/>
  <c r="C270" i="4"/>
  <c r="C11" i="5"/>
  <c r="D2" i="2"/>
  <c r="D270" i="4"/>
  <c r="E11" i="5"/>
  <c r="K11" i="5"/>
  <c r="L2" i="2"/>
  <c r="L270" i="4"/>
  <c r="Q11" i="5"/>
  <c r="M2" i="2"/>
  <c r="M270" i="4"/>
  <c r="R11" i="5"/>
  <c r="T11" i="5"/>
  <c r="U11" i="5"/>
  <c r="P2" i="2"/>
  <c r="P270" i="4"/>
  <c r="W11" i="5"/>
  <c r="Q2" i="2"/>
  <c r="Q270" i="4"/>
  <c r="X11" i="5"/>
  <c r="S2" i="2"/>
  <c r="S270" i="4"/>
  <c r="AA11" i="5"/>
  <c r="AI270" i="4"/>
  <c r="T270" i="4" a="1"/>
  <c r="T270" i="4"/>
  <c r="AC11" i="5"/>
  <c r="U270" i="4" a="1"/>
  <c r="U270" i="4"/>
  <c r="AD11" i="5"/>
  <c r="X2" i="2"/>
  <c r="X270" i="4"/>
  <c r="AI11" i="5"/>
  <c r="Y2" i="2"/>
  <c r="Y270" i="4"/>
  <c r="AJ11" i="5"/>
  <c r="Z2" i="2"/>
  <c r="Z270" i="4"/>
  <c r="AL11" i="5"/>
  <c r="F11" i="5"/>
  <c r="H11" i="5"/>
  <c r="I11" i="5"/>
  <c r="L11" i="5"/>
  <c r="N11" i="5"/>
  <c r="O11" i="5"/>
  <c r="Z11" i="5"/>
  <c r="AN11" i="5"/>
  <c r="S30" i="2"/>
  <c r="S155" i="4"/>
  <c r="AA12" i="5"/>
  <c r="P30" i="2"/>
  <c r="P155" i="4"/>
  <c r="W12" i="5"/>
  <c r="O12" i="5"/>
  <c r="K12" i="5"/>
  <c r="AG12" i="5"/>
  <c r="AF12" i="5"/>
  <c r="C30" i="2"/>
  <c r="C155" i="4"/>
  <c r="C12" i="5"/>
  <c r="D30" i="2"/>
  <c r="D155" i="4"/>
  <c r="E12" i="5"/>
  <c r="E30" i="2"/>
  <c r="E155" i="4"/>
  <c r="F12" i="5"/>
  <c r="F30" i="2"/>
  <c r="F155" i="4"/>
  <c r="H12" i="5"/>
  <c r="I12" i="5"/>
  <c r="L30" i="2"/>
  <c r="L155" i="4"/>
  <c r="Q12" i="5"/>
  <c r="M30" i="2"/>
  <c r="M155" i="4"/>
  <c r="R12" i="5"/>
  <c r="T12" i="5"/>
  <c r="O30" i="2"/>
  <c r="O155" i="4"/>
  <c r="U12" i="5"/>
  <c r="Q155" i="4"/>
  <c r="X12" i="5"/>
  <c r="R30" i="2"/>
  <c r="R155" i="4"/>
  <c r="Z12" i="5"/>
  <c r="AI155" i="4"/>
  <c r="T155" i="4" a="1"/>
  <c r="T155" i="4"/>
  <c r="AC12" i="5"/>
  <c r="U155" i="4" a="1"/>
  <c r="U155" i="4"/>
  <c r="AD12" i="5"/>
  <c r="X155" i="4"/>
  <c r="AI12" i="5"/>
  <c r="Y30" i="2"/>
  <c r="Y155" i="4"/>
  <c r="AJ12" i="5"/>
  <c r="Z30" i="2"/>
  <c r="Z155" i="4"/>
  <c r="AL12" i="5"/>
  <c r="AN12" i="5"/>
  <c r="S156" i="4"/>
  <c r="AA13" i="5"/>
  <c r="P8" i="2"/>
  <c r="P156" i="4"/>
  <c r="W13" i="5"/>
  <c r="O13" i="5"/>
  <c r="K13" i="5"/>
  <c r="AG13" i="5"/>
  <c r="AF13" i="5"/>
  <c r="C8" i="2"/>
  <c r="C156" i="4"/>
  <c r="C13" i="5"/>
  <c r="D156" i="4"/>
  <c r="E13" i="5"/>
  <c r="E8" i="2"/>
  <c r="E156" i="4"/>
  <c r="F13" i="5"/>
  <c r="F8" i="2"/>
  <c r="F156" i="4"/>
  <c r="H13" i="5"/>
  <c r="I13" i="5"/>
  <c r="I8" i="2"/>
  <c r="I156" i="4"/>
  <c r="L13" i="5"/>
  <c r="J8" i="2"/>
  <c r="J156" i="4"/>
  <c r="N13" i="5"/>
  <c r="L156" i="4"/>
  <c r="Q13" i="5"/>
  <c r="M156" i="4"/>
  <c r="R13" i="5"/>
  <c r="T13" i="5"/>
  <c r="O8" i="2"/>
  <c r="O156" i="4"/>
  <c r="U13" i="5"/>
  <c r="Q8" i="2"/>
  <c r="Q156" i="4"/>
  <c r="X13" i="5"/>
  <c r="R8" i="2"/>
  <c r="R156" i="4"/>
  <c r="Z13" i="5"/>
  <c r="AI156" i="4"/>
  <c r="T156" i="4" a="1"/>
  <c r="T156" i="4"/>
  <c r="AC13" i="5"/>
  <c r="U156" i="4" a="1"/>
  <c r="U156" i="4"/>
  <c r="AD13" i="5"/>
  <c r="X8" i="2"/>
  <c r="X156" i="4"/>
  <c r="AI13" i="5"/>
  <c r="Y8" i="2"/>
  <c r="Y156" i="4"/>
  <c r="AJ13" i="5"/>
  <c r="Z8" i="2"/>
  <c r="Z156" i="4"/>
  <c r="AL13" i="5"/>
  <c r="AN13" i="5"/>
  <c r="AG14" i="5"/>
  <c r="AF14" i="5"/>
  <c r="B127" i="4"/>
  <c r="C127" i="4"/>
  <c r="C14" i="5"/>
  <c r="D127" i="4"/>
  <c r="E14" i="5"/>
  <c r="E127" i="4"/>
  <c r="F14" i="5"/>
  <c r="F127" i="4"/>
  <c r="H14" i="5"/>
  <c r="I14" i="5"/>
  <c r="H127" i="4"/>
  <c r="K14" i="5"/>
  <c r="L127" i="4"/>
  <c r="Q14" i="5"/>
  <c r="M127" i="4"/>
  <c r="R14" i="5"/>
  <c r="T14" i="5"/>
  <c r="O127" i="4"/>
  <c r="U14" i="5"/>
  <c r="P127" i="4"/>
  <c r="W14" i="5"/>
  <c r="Q127" i="4"/>
  <c r="X14" i="5"/>
  <c r="S127" i="4"/>
  <c r="AA14" i="5"/>
  <c r="AI127" i="4"/>
  <c r="T127" i="4" a="1"/>
  <c r="T127" i="4"/>
  <c r="AC14" i="5"/>
  <c r="U127" i="4" a="1"/>
  <c r="U127" i="4"/>
  <c r="AD14" i="5"/>
  <c r="X127" i="4"/>
  <c r="AI14" i="5"/>
  <c r="Y127" i="4"/>
  <c r="AJ14" i="5"/>
  <c r="Z127" i="4"/>
  <c r="AL14" i="5"/>
  <c r="L14" i="5"/>
  <c r="N14" i="5"/>
  <c r="O14" i="5"/>
  <c r="Z14" i="5"/>
  <c r="AN14" i="5"/>
  <c r="AG15" i="5"/>
  <c r="AF15" i="5"/>
  <c r="C41" i="2"/>
  <c r="B249" i="4"/>
  <c r="C249" i="4"/>
  <c r="C15" i="5"/>
  <c r="D41" i="2"/>
  <c r="D249" i="4"/>
  <c r="E15" i="5"/>
  <c r="E41" i="2"/>
  <c r="E249" i="4"/>
  <c r="F15" i="5"/>
  <c r="F41" i="2"/>
  <c r="F249" i="4"/>
  <c r="H15" i="5"/>
  <c r="I15" i="5"/>
  <c r="K15" i="5"/>
  <c r="L41" i="2"/>
  <c r="L249" i="4"/>
  <c r="Q15" i="5"/>
  <c r="M41" i="2"/>
  <c r="M249" i="4"/>
  <c r="R15" i="5"/>
  <c r="T15" i="5"/>
  <c r="O249" i="4"/>
  <c r="U15" i="5"/>
  <c r="P41" i="2"/>
  <c r="P249" i="4"/>
  <c r="W15" i="5"/>
  <c r="Q41" i="2"/>
  <c r="Q249" i="4"/>
  <c r="X15" i="5"/>
  <c r="S41" i="2"/>
  <c r="S249" i="4"/>
  <c r="AA15" i="5"/>
  <c r="AI249" i="4"/>
  <c r="T249" i="4" a="1"/>
  <c r="T249" i="4"/>
  <c r="AC15" i="5"/>
  <c r="U249" i="4" a="1"/>
  <c r="U249" i="4"/>
  <c r="AD15" i="5"/>
  <c r="X41" i="2"/>
  <c r="X249" i="4"/>
  <c r="AI15" i="5"/>
  <c r="Y41" i="2"/>
  <c r="Y249" i="4"/>
  <c r="AJ15" i="5"/>
  <c r="Z41" i="2"/>
  <c r="Z249" i="4"/>
  <c r="AL15" i="5"/>
  <c r="L15" i="5"/>
  <c r="N15" i="5"/>
  <c r="O15" i="5"/>
  <c r="Z15" i="5"/>
  <c r="AN15" i="5"/>
  <c r="S47" i="4"/>
  <c r="AA16" i="5"/>
  <c r="P47" i="4"/>
  <c r="W16" i="5"/>
  <c r="AG16" i="5"/>
  <c r="AF16" i="5"/>
  <c r="C47" i="4"/>
  <c r="C16" i="5"/>
  <c r="D47" i="4"/>
  <c r="E16" i="5"/>
  <c r="K16" i="5"/>
  <c r="L47" i="4"/>
  <c r="Q16" i="5"/>
  <c r="M47" i="4"/>
  <c r="R16" i="5"/>
  <c r="T16" i="5"/>
  <c r="U16" i="5"/>
  <c r="Q47" i="4"/>
  <c r="X16" i="5"/>
  <c r="R47" i="4"/>
  <c r="Z16" i="5"/>
  <c r="AI47" i="4"/>
  <c r="T47" i="4" a="1"/>
  <c r="T47" i="4"/>
  <c r="AC16" i="5"/>
  <c r="U47" i="4" a="1"/>
  <c r="U47" i="4"/>
  <c r="AD16" i="5"/>
  <c r="X47" i="4"/>
  <c r="AI16" i="5"/>
  <c r="Y47" i="4"/>
  <c r="AJ16" i="5"/>
  <c r="Z47" i="4"/>
  <c r="AL16" i="5"/>
  <c r="L16" i="5"/>
  <c r="N16" i="5"/>
  <c r="O16" i="5"/>
  <c r="F16" i="5"/>
  <c r="H16" i="5"/>
  <c r="I16" i="5"/>
  <c r="AN16" i="5"/>
  <c r="S85" i="4"/>
  <c r="AA17" i="5"/>
  <c r="P85" i="4"/>
  <c r="W17" i="5"/>
  <c r="AG17" i="5"/>
  <c r="AF17" i="5"/>
  <c r="C85" i="4"/>
  <c r="C17" i="5"/>
  <c r="D85" i="4"/>
  <c r="E17" i="5"/>
  <c r="H85" i="4"/>
  <c r="K17" i="5"/>
  <c r="L85" i="4"/>
  <c r="Q17" i="5"/>
  <c r="M85" i="4"/>
  <c r="R17" i="5"/>
  <c r="T17" i="5"/>
  <c r="U17" i="5"/>
  <c r="Q85" i="4"/>
  <c r="X17" i="5"/>
  <c r="R85" i="4"/>
  <c r="Z17" i="5"/>
  <c r="AI85" i="4"/>
  <c r="T85" i="4" a="1"/>
  <c r="T85" i="4"/>
  <c r="AC17" i="5"/>
  <c r="U85" i="4" a="1"/>
  <c r="U85" i="4"/>
  <c r="AD17" i="5"/>
  <c r="X85" i="4"/>
  <c r="AI17" i="5"/>
  <c r="Y85" i="4"/>
  <c r="AJ17" i="5"/>
  <c r="Z85" i="4"/>
  <c r="AL17" i="5"/>
  <c r="L17" i="5"/>
  <c r="N17" i="5"/>
  <c r="O17" i="5"/>
  <c r="F17" i="5"/>
  <c r="H17" i="5"/>
  <c r="I17" i="5"/>
  <c r="AN17" i="5"/>
  <c r="AA18" i="5"/>
  <c r="W18" i="5"/>
  <c r="AG18" i="5"/>
  <c r="AF18" i="5"/>
  <c r="C18" i="5"/>
  <c r="E18" i="5"/>
  <c r="K18" i="5"/>
  <c r="Q18" i="5"/>
  <c r="R18" i="5"/>
  <c r="T18" i="5"/>
  <c r="U18" i="5"/>
  <c r="X18" i="5"/>
  <c r="Z18" i="5"/>
  <c r="AC18" i="5"/>
  <c r="AD18" i="5"/>
  <c r="AI18" i="5"/>
  <c r="AJ18" i="5"/>
  <c r="AL18" i="5"/>
  <c r="L18" i="5"/>
  <c r="N18" i="5"/>
  <c r="O18" i="5"/>
  <c r="F18" i="5"/>
  <c r="H18" i="5"/>
  <c r="I18" i="5"/>
  <c r="AN18" i="5"/>
  <c r="AG21" i="5"/>
  <c r="AF21" i="5"/>
  <c r="C36" i="2"/>
  <c r="B90" i="4"/>
  <c r="C90" i="4"/>
  <c r="C21" i="5"/>
  <c r="D36" i="2"/>
  <c r="D90" i="4"/>
  <c r="E21" i="5"/>
  <c r="L36" i="2"/>
  <c r="L90" i="4"/>
  <c r="Q21" i="5"/>
  <c r="M36" i="2"/>
  <c r="M90" i="4"/>
  <c r="R21" i="5"/>
  <c r="T21" i="5"/>
  <c r="O36" i="2"/>
  <c r="O90" i="4"/>
  <c r="U21" i="5"/>
  <c r="P36" i="2"/>
  <c r="P90" i="4"/>
  <c r="W21" i="5"/>
  <c r="Q36" i="2"/>
  <c r="Q90" i="4"/>
  <c r="X21" i="5"/>
  <c r="S36" i="2"/>
  <c r="S90" i="4"/>
  <c r="AA21" i="5"/>
  <c r="AI90" i="4"/>
  <c r="T90" i="4" a="1"/>
  <c r="T90" i="4"/>
  <c r="AC21" i="5"/>
  <c r="U90" i="4" a="1"/>
  <c r="U90" i="4"/>
  <c r="AD21" i="5"/>
  <c r="X36" i="2"/>
  <c r="X90" i="4"/>
  <c r="AI21" i="5"/>
  <c r="Y36" i="2"/>
  <c r="Y90" i="4"/>
  <c r="AJ21" i="5"/>
  <c r="Z36" i="2"/>
  <c r="Z90" i="4"/>
  <c r="AL21" i="5"/>
  <c r="L21" i="5"/>
  <c r="N21" i="5"/>
  <c r="O21" i="5"/>
  <c r="F21" i="5"/>
  <c r="H21" i="5"/>
  <c r="I21" i="5"/>
  <c r="Z21" i="5"/>
  <c r="AN21" i="5"/>
  <c r="AG22" i="5"/>
  <c r="AF22" i="5"/>
  <c r="C38" i="2"/>
  <c r="B91" i="4"/>
  <c r="C91" i="4"/>
  <c r="C22" i="5"/>
  <c r="D38" i="2"/>
  <c r="D91" i="4"/>
  <c r="E22" i="5"/>
  <c r="H38" i="2"/>
  <c r="H91" i="4"/>
  <c r="K22" i="5"/>
  <c r="L38" i="2"/>
  <c r="L91" i="4"/>
  <c r="Q22" i="5"/>
  <c r="M38" i="2"/>
  <c r="M91" i="4"/>
  <c r="R22" i="5"/>
  <c r="T22" i="5"/>
  <c r="O38" i="2"/>
  <c r="O91" i="4"/>
  <c r="U22" i="5"/>
  <c r="P38" i="2"/>
  <c r="P91" i="4"/>
  <c r="W22" i="5"/>
  <c r="Q38" i="2"/>
  <c r="Q91" i="4"/>
  <c r="X22" i="5"/>
  <c r="S38" i="2"/>
  <c r="S91" i="4"/>
  <c r="AA22" i="5"/>
  <c r="AI91" i="4"/>
  <c r="T91" i="4" a="1"/>
  <c r="T91" i="4"/>
  <c r="AC22" i="5"/>
  <c r="U91" i="4" a="1"/>
  <c r="U91" i="4"/>
  <c r="AD22" i="5"/>
  <c r="X38" i="2"/>
  <c r="X91" i="4"/>
  <c r="AI22" i="5"/>
  <c r="Y38" i="2"/>
  <c r="Y91" i="4"/>
  <c r="AJ22" i="5"/>
  <c r="Z38" i="2"/>
  <c r="Z91" i="4"/>
  <c r="AL22" i="5"/>
  <c r="L22" i="5"/>
  <c r="N22" i="5"/>
  <c r="O22" i="5"/>
  <c r="F22" i="5"/>
  <c r="H22" i="5"/>
  <c r="I22" i="5"/>
  <c r="Z22" i="5"/>
  <c r="AN22" i="5"/>
  <c r="AG23" i="5"/>
  <c r="AF23" i="5"/>
  <c r="C92" i="4"/>
  <c r="C23" i="5"/>
  <c r="D92" i="4"/>
  <c r="E23" i="5"/>
  <c r="H36" i="2"/>
  <c r="H92" i="4"/>
  <c r="K23" i="5"/>
  <c r="I36" i="2"/>
  <c r="I92" i="4"/>
  <c r="L23" i="5"/>
  <c r="J36" i="2"/>
  <c r="J92" i="4"/>
  <c r="N23" i="5"/>
  <c r="O23" i="5"/>
  <c r="L92" i="4"/>
  <c r="Q23" i="5"/>
  <c r="M92" i="4"/>
  <c r="R23" i="5"/>
  <c r="T23" i="5"/>
  <c r="O92" i="4"/>
  <c r="U23" i="5"/>
  <c r="P92" i="4"/>
  <c r="W23" i="5"/>
  <c r="Q92" i="4"/>
  <c r="X23" i="5"/>
  <c r="S92" i="4"/>
  <c r="AA23" i="5"/>
  <c r="AI92" i="4"/>
  <c r="T92" i="4" a="1"/>
  <c r="T92" i="4"/>
  <c r="AC23" i="5"/>
  <c r="U92" i="4" a="1"/>
  <c r="U92" i="4"/>
  <c r="AD23" i="5"/>
  <c r="X92" i="4"/>
  <c r="AI23" i="5"/>
  <c r="Y92" i="4"/>
  <c r="AJ23" i="5"/>
  <c r="Z92" i="4"/>
  <c r="AL23" i="5"/>
  <c r="F23" i="5"/>
  <c r="H23" i="5"/>
  <c r="I23" i="5"/>
  <c r="Z23" i="5"/>
  <c r="AN23" i="5"/>
  <c r="AG24" i="5"/>
  <c r="AF24" i="5"/>
  <c r="C93" i="4"/>
  <c r="C24" i="5"/>
  <c r="D93" i="4"/>
  <c r="E24" i="5"/>
  <c r="H93" i="4"/>
  <c r="K24" i="5"/>
  <c r="L93" i="4"/>
  <c r="Q24" i="5"/>
  <c r="M93" i="4"/>
  <c r="R24" i="5"/>
  <c r="T24" i="5"/>
  <c r="O93" i="4"/>
  <c r="U24" i="5"/>
  <c r="P93" i="4"/>
  <c r="W24" i="5"/>
  <c r="Q93" i="4"/>
  <c r="X24" i="5"/>
  <c r="S93" i="4"/>
  <c r="AA24" i="5"/>
  <c r="AI93" i="4"/>
  <c r="T93" i="4" a="1"/>
  <c r="T93" i="4"/>
  <c r="AC24" i="5"/>
  <c r="U93" i="4" a="1"/>
  <c r="U93" i="4"/>
  <c r="AD24" i="5"/>
  <c r="X93" i="4"/>
  <c r="AI24" i="5"/>
  <c r="Y93" i="4"/>
  <c r="AJ24" i="5"/>
  <c r="Z93" i="4"/>
  <c r="AL24" i="5"/>
  <c r="L24" i="5"/>
  <c r="N24" i="5"/>
  <c r="O24" i="5"/>
  <c r="F24" i="5"/>
  <c r="H24" i="5"/>
  <c r="I24" i="5"/>
  <c r="Z24" i="5"/>
  <c r="AN24" i="5"/>
  <c r="AG25" i="5"/>
  <c r="AF25" i="5"/>
  <c r="C95" i="4"/>
  <c r="C25" i="5"/>
  <c r="D95" i="4"/>
  <c r="E25" i="5"/>
  <c r="H95" i="4"/>
  <c r="K25" i="5"/>
  <c r="L95" i="4"/>
  <c r="Q25" i="5"/>
  <c r="M95" i="4"/>
  <c r="R25" i="5"/>
  <c r="T25" i="5"/>
  <c r="O95" i="4"/>
  <c r="U25" i="5"/>
  <c r="P95" i="4"/>
  <c r="W25" i="5"/>
  <c r="Q95" i="4"/>
  <c r="X25" i="5"/>
  <c r="S95" i="4"/>
  <c r="AA25" i="5"/>
  <c r="AI95" i="4"/>
  <c r="T95" i="4" a="1"/>
  <c r="T95" i="4"/>
  <c r="AC25" i="5"/>
  <c r="U95" i="4" a="1"/>
  <c r="U95" i="4"/>
  <c r="AD25" i="5"/>
  <c r="X95" i="4"/>
  <c r="AI25" i="5"/>
  <c r="Y95" i="4"/>
  <c r="AJ25" i="5"/>
  <c r="Z95" i="4"/>
  <c r="AL25" i="5"/>
  <c r="L25" i="5"/>
  <c r="N25" i="5"/>
  <c r="O25" i="5"/>
  <c r="F25" i="5"/>
  <c r="H25" i="5"/>
  <c r="I25" i="5"/>
  <c r="Z25" i="5"/>
  <c r="AN25" i="5"/>
  <c r="AG26" i="5"/>
  <c r="AF26" i="5"/>
  <c r="C96" i="4"/>
  <c r="C26" i="5"/>
  <c r="D96" i="4"/>
  <c r="E26" i="5"/>
  <c r="H96" i="4"/>
  <c r="K26" i="5"/>
  <c r="L96" i="4"/>
  <c r="Q26" i="5"/>
  <c r="M96" i="4"/>
  <c r="R26" i="5"/>
  <c r="T26" i="5"/>
  <c r="O96" i="4"/>
  <c r="U26" i="5"/>
  <c r="P96" i="4"/>
  <c r="W26" i="5"/>
  <c r="Q96" i="4"/>
  <c r="X26" i="5"/>
  <c r="S96" i="4"/>
  <c r="AA26" i="5"/>
  <c r="AI96" i="4"/>
  <c r="T96" i="4" a="1"/>
  <c r="T96" i="4"/>
  <c r="AC26" i="5"/>
  <c r="U96" i="4" a="1"/>
  <c r="U96" i="4"/>
  <c r="AD26" i="5"/>
  <c r="X96" i="4"/>
  <c r="AI26" i="5"/>
  <c r="Y96" i="4"/>
  <c r="AJ26" i="5"/>
  <c r="Z96" i="4"/>
  <c r="AL26" i="5"/>
  <c r="L26" i="5"/>
  <c r="N26" i="5"/>
  <c r="O26" i="5"/>
  <c r="F26" i="5"/>
  <c r="H26" i="5"/>
  <c r="I26" i="5"/>
  <c r="Z26" i="5"/>
  <c r="AN26" i="5"/>
  <c r="AG27" i="5"/>
  <c r="AF27" i="5"/>
  <c r="B258" i="4"/>
  <c r="C258" i="4"/>
  <c r="C27" i="5"/>
  <c r="D258" i="4"/>
  <c r="E27" i="5"/>
  <c r="E258" i="4"/>
  <c r="F27" i="5"/>
  <c r="F258" i="4"/>
  <c r="H27" i="5"/>
  <c r="I27" i="5"/>
  <c r="K27" i="5"/>
  <c r="L258" i="4"/>
  <c r="Q27" i="5"/>
  <c r="M258" i="4"/>
  <c r="R27" i="5"/>
  <c r="T27" i="5"/>
  <c r="O258" i="4"/>
  <c r="U27" i="5"/>
  <c r="P258" i="4"/>
  <c r="W27" i="5"/>
  <c r="Q258" i="4"/>
  <c r="X27" i="5"/>
  <c r="S258" i="4"/>
  <c r="AA27" i="5"/>
  <c r="AI258" i="4"/>
  <c r="T258" i="4" a="1"/>
  <c r="T258" i="4"/>
  <c r="AC27" i="5"/>
  <c r="U258" i="4" a="1"/>
  <c r="U258" i="4"/>
  <c r="AD27" i="5"/>
  <c r="X258" i="4"/>
  <c r="AI27" i="5"/>
  <c r="Y258" i="4"/>
  <c r="AJ27" i="5"/>
  <c r="Z258" i="4"/>
  <c r="AL27" i="5"/>
  <c r="L27" i="5"/>
  <c r="N27" i="5"/>
  <c r="O27" i="5"/>
  <c r="Z27" i="5"/>
  <c r="AN27" i="5"/>
  <c r="AG28" i="5"/>
  <c r="AF28" i="5"/>
  <c r="C44" i="2"/>
  <c r="C178" i="4"/>
  <c r="C28" i="5"/>
  <c r="D44" i="2"/>
  <c r="D178" i="4"/>
  <c r="E28" i="5"/>
  <c r="E44" i="2"/>
  <c r="E178" i="4"/>
  <c r="F28" i="5"/>
  <c r="F44" i="2"/>
  <c r="F178" i="4"/>
  <c r="H28" i="5"/>
  <c r="I28" i="5"/>
  <c r="H44" i="2"/>
  <c r="H178" i="4"/>
  <c r="K28" i="5"/>
  <c r="L44" i="2"/>
  <c r="L178" i="4"/>
  <c r="Q28" i="5"/>
  <c r="M44" i="2"/>
  <c r="M178" i="4"/>
  <c r="R28" i="5"/>
  <c r="N178" i="4"/>
  <c r="T28" i="5"/>
  <c r="O44" i="2"/>
  <c r="O178" i="4"/>
  <c r="U28" i="5"/>
  <c r="P44" i="2"/>
  <c r="P178" i="4"/>
  <c r="W28" i="5"/>
  <c r="Q44" i="2"/>
  <c r="Q178" i="4"/>
  <c r="X28" i="5"/>
  <c r="S44" i="2"/>
  <c r="S178" i="4"/>
  <c r="AA28" i="5"/>
  <c r="AI178" i="4"/>
  <c r="T178" i="4" a="1"/>
  <c r="T178" i="4"/>
  <c r="AC28" i="5"/>
  <c r="U178" i="4" a="1"/>
  <c r="U178" i="4"/>
  <c r="AD28" i="5"/>
  <c r="X44" i="2"/>
  <c r="X178" i="4"/>
  <c r="AI28" i="5"/>
  <c r="Y44" i="2"/>
  <c r="Y178" i="4"/>
  <c r="AJ28" i="5"/>
  <c r="Z44" i="2"/>
  <c r="Z178" i="4"/>
  <c r="AL28" i="5"/>
  <c r="L28" i="5"/>
  <c r="N28" i="5"/>
  <c r="O28" i="5"/>
  <c r="Z28" i="5"/>
  <c r="AN28" i="5"/>
  <c r="O29" i="5"/>
  <c r="B49" i="4"/>
  <c r="H49" i="4"/>
  <c r="K29" i="5"/>
  <c r="AG29" i="5"/>
  <c r="AF29" i="5"/>
  <c r="C14" i="2"/>
  <c r="C49" i="4"/>
  <c r="C29" i="5"/>
  <c r="D14" i="2"/>
  <c r="D49" i="4"/>
  <c r="E29" i="5"/>
  <c r="I14" i="2"/>
  <c r="I49" i="4"/>
  <c r="L29" i="5"/>
  <c r="J14" i="2"/>
  <c r="J49" i="4"/>
  <c r="N29" i="5"/>
  <c r="L14" i="2"/>
  <c r="L49" i="4"/>
  <c r="Q29" i="5"/>
  <c r="M14" i="2"/>
  <c r="M49" i="4"/>
  <c r="R29" i="5"/>
  <c r="T29" i="5"/>
  <c r="O14" i="2"/>
  <c r="O49" i="4"/>
  <c r="U29" i="5"/>
  <c r="P14" i="2"/>
  <c r="P49" i="4"/>
  <c r="W29" i="5"/>
  <c r="Q14" i="2"/>
  <c r="Q49" i="4"/>
  <c r="X29" i="5"/>
  <c r="AA29" i="5"/>
  <c r="AI49" i="4"/>
  <c r="T49" i="4" a="1"/>
  <c r="T49" i="4"/>
  <c r="AC29" i="5"/>
  <c r="U49" i="4" a="1"/>
  <c r="U49" i="4"/>
  <c r="AD29" i="5"/>
  <c r="Y14" i="2"/>
  <c r="Y49" i="4"/>
  <c r="AJ29" i="5"/>
  <c r="Z14" i="2"/>
  <c r="Z49" i="4"/>
  <c r="AL29" i="5"/>
  <c r="F29" i="5"/>
  <c r="H29" i="5"/>
  <c r="I29" i="5"/>
  <c r="Z29" i="5"/>
  <c r="AN29" i="5"/>
  <c r="AG30" i="5"/>
  <c r="AF30" i="5"/>
  <c r="B50" i="4"/>
  <c r="C50" i="4"/>
  <c r="C30" i="5"/>
  <c r="D50" i="4"/>
  <c r="E30" i="5"/>
  <c r="H50" i="4"/>
  <c r="K30" i="5"/>
  <c r="L50" i="4"/>
  <c r="Q30" i="5"/>
  <c r="M50" i="4"/>
  <c r="R30" i="5"/>
  <c r="T30" i="5"/>
  <c r="O50" i="4"/>
  <c r="U30" i="5"/>
  <c r="P50" i="4"/>
  <c r="W30" i="5"/>
  <c r="Q50" i="4"/>
  <c r="X30" i="5"/>
  <c r="AA30" i="5"/>
  <c r="AI50" i="4"/>
  <c r="T50" i="4" a="1"/>
  <c r="T50" i="4"/>
  <c r="AC30" i="5"/>
  <c r="U50" i="4" a="1"/>
  <c r="U50" i="4"/>
  <c r="AD30" i="5"/>
  <c r="Y50" i="4"/>
  <c r="AJ30" i="5"/>
  <c r="Z50" i="4"/>
  <c r="AL30" i="5"/>
  <c r="L30" i="5"/>
  <c r="N30" i="5"/>
  <c r="O30" i="5"/>
  <c r="F30" i="5"/>
  <c r="H30" i="5"/>
  <c r="I30" i="5"/>
  <c r="Z30" i="5"/>
  <c r="AN30" i="5"/>
  <c r="S29" i="2"/>
  <c r="S115" i="4"/>
  <c r="AA31" i="5"/>
  <c r="P29" i="2"/>
  <c r="P115" i="4"/>
  <c r="W31" i="5"/>
  <c r="AG31" i="5"/>
  <c r="AF31" i="5"/>
  <c r="C29" i="2"/>
  <c r="C115" i="4"/>
  <c r="C31" i="5"/>
  <c r="D29" i="2"/>
  <c r="D115" i="4"/>
  <c r="E31" i="5"/>
  <c r="K31" i="5"/>
  <c r="L29" i="2"/>
  <c r="L115" i="4"/>
  <c r="Q31" i="5"/>
  <c r="M29" i="2"/>
  <c r="M115" i="4"/>
  <c r="R31" i="5"/>
  <c r="T31" i="5"/>
  <c r="O29" i="2"/>
  <c r="O115" i="4"/>
  <c r="U31" i="5"/>
  <c r="Q115" i="4"/>
  <c r="X31" i="5"/>
  <c r="R29" i="2"/>
  <c r="R115" i="4"/>
  <c r="Z31" i="5"/>
  <c r="AI115" i="4"/>
  <c r="T115" i="4" a="1"/>
  <c r="T115" i="4"/>
  <c r="AC31" i="5"/>
  <c r="U115" i="4" a="1"/>
  <c r="U115" i="4"/>
  <c r="AD31" i="5"/>
  <c r="AI31" i="5"/>
  <c r="Y29" i="2"/>
  <c r="Y115" i="4"/>
  <c r="AJ31" i="5"/>
  <c r="Z29" i="2"/>
  <c r="Z115" i="4"/>
  <c r="AL31" i="5"/>
  <c r="L31" i="5"/>
  <c r="N31" i="5"/>
  <c r="O31" i="5"/>
  <c r="F31" i="5"/>
  <c r="H31" i="5"/>
  <c r="I31" i="5"/>
  <c r="AN31" i="5"/>
  <c r="B116" i="4"/>
  <c r="S116" i="4"/>
  <c r="AA32" i="5"/>
  <c r="P116" i="4"/>
  <c r="W32" i="5"/>
  <c r="AG32" i="5"/>
  <c r="AF32" i="5"/>
  <c r="C116" i="4"/>
  <c r="C32" i="5"/>
  <c r="D116" i="4"/>
  <c r="E32" i="5"/>
  <c r="K32" i="5"/>
  <c r="L116" i="4"/>
  <c r="Q32" i="5"/>
  <c r="M116" i="4"/>
  <c r="R32" i="5"/>
  <c r="T32" i="5"/>
  <c r="O116" i="4"/>
  <c r="U32" i="5"/>
  <c r="Q116" i="4"/>
  <c r="X32" i="5"/>
  <c r="R116" i="4"/>
  <c r="Z32" i="5"/>
  <c r="AI116" i="4"/>
  <c r="T116" i="4" a="1"/>
  <c r="T116" i="4"/>
  <c r="AC32" i="5"/>
  <c r="U116" i="4" a="1"/>
  <c r="U116" i="4"/>
  <c r="AD32" i="5"/>
  <c r="X116" i="4"/>
  <c r="AI32" i="5"/>
  <c r="Y116" i="4"/>
  <c r="AJ32" i="5"/>
  <c r="Z116" i="4"/>
  <c r="AL32" i="5"/>
  <c r="L32" i="5"/>
  <c r="N32" i="5"/>
  <c r="O32" i="5"/>
  <c r="F32" i="5"/>
  <c r="H32" i="5"/>
  <c r="I32" i="5"/>
  <c r="AN32" i="5"/>
  <c r="B117" i="4"/>
  <c r="S117" i="4"/>
  <c r="AA33" i="5"/>
  <c r="P117" i="4"/>
  <c r="W33" i="5"/>
  <c r="AG33" i="5"/>
  <c r="AF33" i="5"/>
  <c r="C117" i="4"/>
  <c r="C33" i="5"/>
  <c r="D117" i="4"/>
  <c r="E33" i="5"/>
  <c r="K33" i="5"/>
  <c r="L117" i="4"/>
  <c r="Q33" i="5"/>
  <c r="M117" i="4"/>
  <c r="R33" i="5"/>
  <c r="T33" i="5"/>
  <c r="O117" i="4"/>
  <c r="U33" i="5"/>
  <c r="Q117" i="4"/>
  <c r="X33" i="5"/>
  <c r="R117" i="4"/>
  <c r="Z33" i="5"/>
  <c r="AI117" i="4"/>
  <c r="T117" i="4" a="1"/>
  <c r="T117" i="4"/>
  <c r="AC33" i="5"/>
  <c r="U117" i="4" a="1"/>
  <c r="U117" i="4"/>
  <c r="AD33" i="5"/>
  <c r="X117" i="4"/>
  <c r="AI33" i="5"/>
  <c r="Y117" i="4"/>
  <c r="AJ33" i="5"/>
  <c r="Z117" i="4"/>
  <c r="AL33" i="5"/>
  <c r="L33" i="5"/>
  <c r="N33" i="5"/>
  <c r="O33" i="5"/>
  <c r="F33" i="5"/>
  <c r="H33" i="5"/>
  <c r="I33" i="5"/>
  <c r="AN33" i="5"/>
  <c r="B118" i="4"/>
  <c r="S118" i="4"/>
  <c r="AA34" i="5"/>
  <c r="P118" i="4"/>
  <c r="W34" i="5"/>
  <c r="AG34" i="5"/>
  <c r="AF34" i="5"/>
  <c r="C118" i="4"/>
  <c r="C34" i="5"/>
  <c r="D118" i="4"/>
  <c r="E34" i="5"/>
  <c r="K34" i="5"/>
  <c r="L118" i="4"/>
  <c r="Q34" i="5"/>
  <c r="M118" i="4"/>
  <c r="R34" i="5"/>
  <c r="T34" i="5"/>
  <c r="O118" i="4"/>
  <c r="U34" i="5"/>
  <c r="Q118" i="4"/>
  <c r="X34" i="5"/>
  <c r="R118" i="4"/>
  <c r="Z34" i="5"/>
  <c r="AI118" i="4"/>
  <c r="T118" i="4" a="1"/>
  <c r="T118" i="4"/>
  <c r="AC34" i="5"/>
  <c r="U118" i="4" a="1"/>
  <c r="U118" i="4"/>
  <c r="AD34" i="5"/>
  <c r="X118" i="4"/>
  <c r="AI34" i="5"/>
  <c r="Y118" i="4"/>
  <c r="AJ34" i="5"/>
  <c r="Z118" i="4"/>
  <c r="AL34" i="5"/>
  <c r="L34" i="5"/>
  <c r="N34" i="5"/>
  <c r="O34" i="5"/>
  <c r="F34" i="5"/>
  <c r="H34" i="5"/>
  <c r="I34" i="5"/>
  <c r="AN34" i="5"/>
  <c r="AG35" i="5"/>
  <c r="AF35" i="5"/>
  <c r="C24" i="2"/>
  <c r="C183" i="4"/>
  <c r="C35" i="5"/>
  <c r="D24" i="2"/>
  <c r="D183" i="4"/>
  <c r="E35" i="5"/>
  <c r="K35" i="5"/>
  <c r="L24" i="2"/>
  <c r="L183" i="4"/>
  <c r="Q35" i="5"/>
  <c r="M183" i="4"/>
  <c r="R35" i="5"/>
  <c r="T35" i="5"/>
  <c r="O16" i="2"/>
  <c r="O183" i="4"/>
  <c r="U35" i="5"/>
  <c r="P24" i="2"/>
  <c r="P183" i="4"/>
  <c r="W35" i="5"/>
  <c r="Q24" i="2"/>
  <c r="Q183" i="4"/>
  <c r="X35" i="5"/>
  <c r="S24" i="2"/>
  <c r="S183" i="4"/>
  <c r="AA35" i="5"/>
  <c r="AI183" i="4"/>
  <c r="T183" i="4" a="1"/>
  <c r="T183" i="4"/>
  <c r="AC35" i="5"/>
  <c r="U183" i="4" a="1"/>
  <c r="U183" i="4"/>
  <c r="AD35" i="5"/>
  <c r="AI35" i="5"/>
  <c r="Y24" i="2"/>
  <c r="Y183" i="4"/>
  <c r="AJ35" i="5"/>
  <c r="Z24" i="2"/>
  <c r="Z183" i="4"/>
  <c r="AL35" i="5"/>
  <c r="L35" i="5"/>
  <c r="F35" i="5"/>
  <c r="H35" i="5"/>
  <c r="I35" i="5"/>
  <c r="N35" i="5"/>
  <c r="O35" i="5"/>
  <c r="Z35" i="5"/>
  <c r="AN35" i="5"/>
  <c r="AG36" i="5"/>
  <c r="AF36" i="5"/>
  <c r="C184" i="4"/>
  <c r="C36" i="5"/>
  <c r="D184" i="4"/>
  <c r="E36" i="5"/>
  <c r="K36" i="5"/>
  <c r="L184" i="4"/>
  <c r="Q36" i="5"/>
  <c r="M184" i="4"/>
  <c r="R36" i="5"/>
  <c r="T36" i="5"/>
  <c r="O184" i="4"/>
  <c r="U36" i="5"/>
  <c r="P184" i="4"/>
  <c r="W36" i="5"/>
  <c r="Q184" i="4"/>
  <c r="X36" i="5"/>
  <c r="S184" i="4"/>
  <c r="AA36" i="5"/>
  <c r="AI184" i="4"/>
  <c r="T184" i="4" a="1"/>
  <c r="T184" i="4"/>
  <c r="AC36" i="5"/>
  <c r="U184" i="4" a="1"/>
  <c r="U184" i="4"/>
  <c r="AD36" i="5"/>
  <c r="X184" i="4"/>
  <c r="AI36" i="5"/>
  <c r="Y184" i="4"/>
  <c r="AJ36" i="5"/>
  <c r="Z184" i="4"/>
  <c r="AL36" i="5"/>
  <c r="L36" i="5"/>
  <c r="F36" i="5"/>
  <c r="H36" i="5"/>
  <c r="I36" i="5"/>
  <c r="N36" i="5"/>
  <c r="O36" i="5"/>
  <c r="Z36" i="5"/>
  <c r="AN36" i="5"/>
  <c r="AG37" i="5"/>
  <c r="AF37" i="5"/>
  <c r="C185" i="4"/>
  <c r="C37" i="5"/>
  <c r="D185" i="4"/>
  <c r="E37" i="5"/>
  <c r="H29" i="2"/>
  <c r="K37" i="5"/>
  <c r="L185" i="4"/>
  <c r="Q37" i="5"/>
  <c r="M185" i="4"/>
  <c r="R37" i="5"/>
  <c r="T37" i="5"/>
  <c r="O185" i="4"/>
  <c r="U37" i="5"/>
  <c r="P185" i="4"/>
  <c r="W37" i="5"/>
  <c r="S185" i="4"/>
  <c r="AA37" i="5"/>
  <c r="AI185" i="4"/>
  <c r="T185" i="4" a="1"/>
  <c r="T185" i="4"/>
  <c r="AC37" i="5"/>
  <c r="U185" i="4" a="1"/>
  <c r="U185" i="4"/>
  <c r="AD37" i="5"/>
  <c r="X185" i="4"/>
  <c r="AI37" i="5"/>
  <c r="Y185" i="4"/>
  <c r="AJ37" i="5"/>
  <c r="Z185" i="4"/>
  <c r="AL37" i="5"/>
  <c r="L37" i="5"/>
  <c r="F37" i="5"/>
  <c r="H37" i="5"/>
  <c r="I37" i="5"/>
  <c r="N37" i="5"/>
  <c r="O37" i="5"/>
  <c r="Z37" i="5"/>
  <c r="AN37" i="5"/>
  <c r="AG38" i="5"/>
  <c r="AF38" i="5"/>
  <c r="B102" i="4"/>
  <c r="C102" i="4"/>
  <c r="C38" i="5"/>
  <c r="D102" i="4"/>
  <c r="E38" i="5"/>
  <c r="H102" i="4"/>
  <c r="K38" i="5"/>
  <c r="L102" i="4"/>
  <c r="Q38" i="5"/>
  <c r="M102" i="4"/>
  <c r="R38" i="5"/>
  <c r="T38" i="5"/>
  <c r="U38" i="5"/>
  <c r="P102" i="4"/>
  <c r="W38" i="5"/>
  <c r="Q102" i="4"/>
  <c r="X38" i="5"/>
  <c r="AA38" i="5"/>
  <c r="AI102" i="4"/>
  <c r="T102" i="4" a="1"/>
  <c r="T102" i="4"/>
  <c r="AC38" i="5"/>
  <c r="U102" i="4" a="1"/>
  <c r="U102" i="4"/>
  <c r="AD38" i="5"/>
  <c r="X102" i="4"/>
  <c r="AI38" i="5"/>
  <c r="Y102" i="4"/>
  <c r="AJ38" i="5"/>
  <c r="Z102" i="4"/>
  <c r="AL38" i="5"/>
  <c r="F38" i="5"/>
  <c r="H38" i="5"/>
  <c r="I38" i="5"/>
  <c r="L38" i="5"/>
  <c r="N38" i="5"/>
  <c r="O38" i="5"/>
  <c r="Z38" i="5"/>
  <c r="AN38" i="5"/>
  <c r="AG39" i="5"/>
  <c r="AF39" i="5"/>
  <c r="B103" i="4"/>
  <c r="C103" i="4"/>
  <c r="C39" i="5"/>
  <c r="D103" i="4"/>
  <c r="E39" i="5"/>
  <c r="H103" i="4"/>
  <c r="K39" i="5"/>
  <c r="L103" i="4"/>
  <c r="Q39" i="5"/>
  <c r="M103" i="4"/>
  <c r="R39" i="5"/>
  <c r="N103" i="4"/>
  <c r="T39" i="5"/>
  <c r="O103" i="4"/>
  <c r="U39" i="5"/>
  <c r="P103" i="4"/>
  <c r="W39" i="5"/>
  <c r="Q103" i="4"/>
  <c r="X39" i="5"/>
  <c r="AA39" i="5"/>
  <c r="AI103" i="4"/>
  <c r="T103" i="4" a="1"/>
  <c r="T103" i="4"/>
  <c r="AC39" i="5"/>
  <c r="U103" i="4" a="1"/>
  <c r="U103" i="4"/>
  <c r="AD39" i="5"/>
  <c r="X103" i="4"/>
  <c r="AI39" i="5"/>
  <c r="Y103" i="4"/>
  <c r="AJ39" i="5"/>
  <c r="Z103" i="4"/>
  <c r="AL39" i="5"/>
  <c r="F39" i="5"/>
  <c r="H39" i="5"/>
  <c r="I39" i="5"/>
  <c r="L39" i="5"/>
  <c r="N39" i="5"/>
  <c r="O39" i="5"/>
  <c r="Z39" i="5"/>
  <c r="AN39" i="5"/>
  <c r="AG40" i="5"/>
  <c r="AF40" i="5"/>
  <c r="B104" i="4"/>
  <c r="C104" i="4"/>
  <c r="C40" i="5"/>
  <c r="D104" i="4"/>
  <c r="E40" i="5"/>
  <c r="H104" i="4"/>
  <c r="K40" i="5"/>
  <c r="L104" i="4"/>
  <c r="Q40" i="5"/>
  <c r="M104" i="4"/>
  <c r="R40" i="5"/>
  <c r="T40" i="5"/>
  <c r="U40" i="5"/>
  <c r="P104" i="4"/>
  <c r="W40" i="5"/>
  <c r="Q104" i="4"/>
  <c r="X40" i="5"/>
  <c r="AA40" i="5"/>
  <c r="AI104" i="4"/>
  <c r="T104" i="4" a="1"/>
  <c r="T104" i="4"/>
  <c r="AC40" i="5"/>
  <c r="U104" i="4" a="1"/>
  <c r="U104" i="4"/>
  <c r="AD40" i="5"/>
  <c r="X104" i="4"/>
  <c r="AI40" i="5"/>
  <c r="Y104" i="4"/>
  <c r="AJ40" i="5"/>
  <c r="Z104" i="4"/>
  <c r="AL40" i="5"/>
  <c r="F40" i="5"/>
  <c r="H40" i="5"/>
  <c r="I40" i="5"/>
  <c r="L40" i="5"/>
  <c r="N40" i="5"/>
  <c r="O40" i="5"/>
  <c r="Z40" i="5"/>
  <c r="AN40" i="5"/>
  <c r="AG41" i="5"/>
  <c r="AF41" i="5"/>
  <c r="C29" i="4"/>
  <c r="C41" i="5"/>
  <c r="D29" i="4"/>
  <c r="E41" i="5"/>
  <c r="H29" i="4"/>
  <c r="K41" i="5"/>
  <c r="L29" i="4"/>
  <c r="Q41" i="5"/>
  <c r="M29" i="4"/>
  <c r="R41" i="5"/>
  <c r="T41" i="5"/>
  <c r="U41" i="5"/>
  <c r="P29" i="4"/>
  <c r="W41" i="5"/>
  <c r="Q29" i="4"/>
  <c r="X41" i="5"/>
  <c r="AA41" i="5"/>
  <c r="AI29" i="4"/>
  <c r="T29" i="4" a="1"/>
  <c r="T29" i="4"/>
  <c r="AC41" i="5"/>
  <c r="U29" i="4" a="1"/>
  <c r="U29" i="4"/>
  <c r="AD41" i="5"/>
  <c r="X29" i="4"/>
  <c r="AI41" i="5"/>
  <c r="Y29" i="4"/>
  <c r="AJ41" i="5"/>
  <c r="Z29" i="4"/>
  <c r="AL41" i="5"/>
  <c r="F41" i="5"/>
  <c r="H41" i="5"/>
  <c r="I41" i="5"/>
  <c r="L41" i="5"/>
  <c r="N41" i="5"/>
  <c r="O41" i="5"/>
  <c r="Z41" i="5"/>
  <c r="AN41" i="5"/>
  <c r="AG42" i="5"/>
  <c r="AF42" i="5"/>
  <c r="B58" i="4"/>
  <c r="C58" i="4"/>
  <c r="C42" i="5"/>
  <c r="D58" i="4"/>
  <c r="E42" i="5"/>
  <c r="H58" i="4"/>
  <c r="K42" i="5"/>
  <c r="L58" i="4"/>
  <c r="Q42" i="5"/>
  <c r="M58" i="4"/>
  <c r="R42" i="5"/>
  <c r="T42" i="5"/>
  <c r="U42" i="5"/>
  <c r="P58" i="4"/>
  <c r="W42" i="5"/>
  <c r="Q58" i="4"/>
  <c r="X42" i="5"/>
  <c r="AA42" i="5"/>
  <c r="AI58" i="4"/>
  <c r="T58" i="4" a="1"/>
  <c r="T58" i="4"/>
  <c r="AC42" i="5"/>
  <c r="U58" i="4" a="1"/>
  <c r="U58" i="4"/>
  <c r="AD42" i="5"/>
  <c r="X58" i="4"/>
  <c r="AI42" i="5"/>
  <c r="Y58" i="4"/>
  <c r="AJ42" i="5"/>
  <c r="Z58" i="4"/>
  <c r="AL42" i="5"/>
  <c r="F42" i="5"/>
  <c r="H42" i="5"/>
  <c r="I42" i="5"/>
  <c r="L42" i="5"/>
  <c r="N42" i="5"/>
  <c r="O42" i="5"/>
  <c r="Z42" i="5"/>
  <c r="AN42" i="5"/>
  <c r="AG43" i="5"/>
  <c r="AF43" i="5"/>
  <c r="C146" i="4"/>
  <c r="C43" i="5"/>
  <c r="T43" i="5"/>
  <c r="O146" i="4"/>
  <c r="U43" i="5"/>
  <c r="P146" i="4"/>
  <c r="W43" i="5"/>
  <c r="Q146" i="4"/>
  <c r="X43" i="5"/>
  <c r="AA43" i="5"/>
  <c r="AI146" i="4"/>
  <c r="T146" i="4" a="1"/>
  <c r="T146" i="4"/>
  <c r="AC43" i="5"/>
  <c r="U146" i="4" a="1"/>
  <c r="U146" i="4"/>
  <c r="AD43" i="5"/>
  <c r="X146" i="4"/>
  <c r="AI43" i="5"/>
  <c r="Y146" i="4"/>
  <c r="AJ43" i="5"/>
  <c r="Z146" i="4"/>
  <c r="AL43" i="5"/>
  <c r="F43" i="5"/>
  <c r="H43" i="5"/>
  <c r="I43" i="5"/>
  <c r="L43" i="5"/>
  <c r="N43" i="5"/>
  <c r="O43" i="5"/>
  <c r="Z43" i="5"/>
  <c r="AN43" i="5"/>
  <c r="AG44" i="5"/>
  <c r="AF44" i="5"/>
  <c r="C119" i="4"/>
  <c r="C44" i="5"/>
  <c r="N119" i="4"/>
  <c r="T44" i="5"/>
  <c r="O119" i="4"/>
  <c r="U44" i="5"/>
  <c r="P119" i="4"/>
  <c r="W44" i="5"/>
  <c r="Q119" i="4"/>
  <c r="X44" i="5"/>
  <c r="AA44" i="5"/>
  <c r="AI119" i="4"/>
  <c r="T119" i="4" a="1"/>
  <c r="T119" i="4"/>
  <c r="AC44" i="5"/>
  <c r="U119" i="4" a="1"/>
  <c r="U119" i="4"/>
  <c r="AD44" i="5"/>
  <c r="X119" i="4"/>
  <c r="AI44" i="5"/>
  <c r="Y119" i="4"/>
  <c r="AJ44" i="5"/>
  <c r="Z119" i="4"/>
  <c r="AL44" i="5"/>
  <c r="F44" i="5"/>
  <c r="H44" i="5"/>
  <c r="I44" i="5"/>
  <c r="L44" i="5"/>
  <c r="N44" i="5"/>
  <c r="O44" i="5"/>
  <c r="Z44" i="5"/>
  <c r="AN44" i="5"/>
  <c r="AG45" i="5"/>
  <c r="AF45" i="5"/>
  <c r="C147" i="4"/>
  <c r="C45" i="5"/>
  <c r="T45" i="5"/>
  <c r="O147" i="4"/>
  <c r="U45" i="5"/>
  <c r="P147" i="4"/>
  <c r="W45" i="5"/>
  <c r="Q147" i="4"/>
  <c r="X45" i="5"/>
  <c r="AA45" i="5"/>
  <c r="AI147" i="4"/>
  <c r="T147" i="4" a="1"/>
  <c r="T147" i="4"/>
  <c r="AC45" i="5"/>
  <c r="U147" i="4" a="1"/>
  <c r="U147" i="4"/>
  <c r="AD45" i="5"/>
  <c r="X147" i="4"/>
  <c r="AI45" i="5"/>
  <c r="Y147" i="4"/>
  <c r="AJ45" i="5"/>
  <c r="Z147" i="4"/>
  <c r="AL45" i="5"/>
  <c r="Z45" i="5"/>
  <c r="AN45" i="5"/>
  <c r="AG46" i="5"/>
  <c r="AF46" i="5"/>
  <c r="C30" i="4"/>
  <c r="C46" i="5"/>
  <c r="D30" i="4"/>
  <c r="E46" i="5"/>
  <c r="H30" i="4"/>
  <c r="K46" i="5"/>
  <c r="L30" i="4"/>
  <c r="Q46" i="5"/>
  <c r="M30" i="4"/>
  <c r="R46" i="5"/>
  <c r="T46" i="5"/>
  <c r="U46" i="5"/>
  <c r="P30" i="4"/>
  <c r="W46" i="5"/>
  <c r="Q30" i="4"/>
  <c r="X46" i="5"/>
  <c r="AA46" i="5"/>
  <c r="AI30" i="4"/>
  <c r="T30" i="4" a="1"/>
  <c r="T30" i="4"/>
  <c r="AC46" i="5"/>
  <c r="U30" i="4" a="1"/>
  <c r="U30" i="4"/>
  <c r="AD46" i="5"/>
  <c r="Y30" i="4"/>
  <c r="AJ46" i="5"/>
  <c r="Z30" i="4"/>
  <c r="AL46" i="5"/>
  <c r="F46" i="5"/>
  <c r="H46" i="5"/>
  <c r="I46" i="5"/>
  <c r="L46" i="5"/>
  <c r="N46" i="5"/>
  <c r="O46" i="5"/>
  <c r="Z46" i="5"/>
  <c r="AN46" i="5"/>
  <c r="AG47" i="5"/>
  <c r="AF47" i="5"/>
  <c r="C31" i="4"/>
  <c r="C47" i="5"/>
  <c r="D31" i="4"/>
  <c r="E47" i="5"/>
  <c r="H31" i="4"/>
  <c r="K47" i="5"/>
  <c r="L31" i="4"/>
  <c r="Q47" i="5"/>
  <c r="M31" i="4"/>
  <c r="R47" i="5"/>
  <c r="T47" i="5"/>
  <c r="O31" i="4"/>
  <c r="U47" i="5"/>
  <c r="P31" i="4"/>
  <c r="W47" i="5"/>
  <c r="Q31" i="4"/>
  <c r="X47" i="5"/>
  <c r="AA47" i="5"/>
  <c r="AI31" i="4"/>
  <c r="T31" i="4" a="1"/>
  <c r="T31" i="4"/>
  <c r="AC47" i="5"/>
  <c r="U31" i="4" a="1"/>
  <c r="U31" i="4"/>
  <c r="AD47" i="5"/>
  <c r="X31" i="4"/>
  <c r="AI47" i="5"/>
  <c r="Y31" i="4"/>
  <c r="AJ47" i="5"/>
  <c r="Z31" i="4"/>
  <c r="AL47" i="5"/>
  <c r="F47" i="5"/>
  <c r="H47" i="5"/>
  <c r="I47" i="5"/>
  <c r="L47" i="5"/>
  <c r="N47" i="5"/>
  <c r="O47" i="5"/>
  <c r="Z47" i="5"/>
  <c r="AN47" i="5"/>
  <c r="AG48" i="5"/>
  <c r="AF48" i="5"/>
  <c r="B13" i="4"/>
  <c r="C13" i="4"/>
  <c r="C48" i="5"/>
  <c r="D13" i="4"/>
  <c r="E48" i="5"/>
  <c r="H13" i="4"/>
  <c r="K48" i="5"/>
  <c r="L13" i="4"/>
  <c r="Q48" i="5"/>
  <c r="M13" i="4"/>
  <c r="R48" i="5"/>
  <c r="T48" i="5"/>
  <c r="U48" i="5"/>
  <c r="P13" i="4"/>
  <c r="W48" i="5"/>
  <c r="Q13" i="4"/>
  <c r="X48" i="5"/>
  <c r="AA48" i="5"/>
  <c r="AI13" i="4"/>
  <c r="T13" i="4" a="1"/>
  <c r="T13" i="4"/>
  <c r="AC48" i="5"/>
  <c r="U13" i="4" a="1"/>
  <c r="U13" i="4"/>
  <c r="AD48" i="5"/>
  <c r="X13" i="4"/>
  <c r="AI48" i="5"/>
  <c r="Y13" i="4"/>
  <c r="AJ48" i="5"/>
  <c r="Z13" i="4"/>
  <c r="AL48" i="5"/>
  <c r="F48" i="5"/>
  <c r="H48" i="5"/>
  <c r="I48" i="5"/>
  <c r="L48" i="5"/>
  <c r="N48" i="5"/>
  <c r="O48" i="5"/>
  <c r="Z48" i="5"/>
  <c r="AN48" i="5"/>
  <c r="AG49" i="5"/>
  <c r="AF49" i="5"/>
  <c r="B148" i="4"/>
  <c r="C148" i="4"/>
  <c r="C49" i="5"/>
  <c r="D148" i="4"/>
  <c r="E49" i="5"/>
  <c r="H148" i="4"/>
  <c r="K49" i="5"/>
  <c r="L148" i="4"/>
  <c r="Q49" i="5"/>
  <c r="M148" i="4"/>
  <c r="R49" i="5"/>
  <c r="T49" i="5"/>
  <c r="O148" i="4"/>
  <c r="U49" i="5"/>
  <c r="P148" i="4"/>
  <c r="W49" i="5"/>
  <c r="Q148" i="4"/>
  <c r="X49" i="5"/>
  <c r="AA49" i="5"/>
  <c r="AI148" i="4"/>
  <c r="T148" i="4" a="1"/>
  <c r="T148" i="4"/>
  <c r="AC49" i="5"/>
  <c r="U148" i="4" a="1"/>
  <c r="U148" i="4"/>
  <c r="AD49" i="5"/>
  <c r="X148" i="4"/>
  <c r="AI49" i="5"/>
  <c r="Y148" i="4"/>
  <c r="AJ49" i="5"/>
  <c r="Z148" i="4"/>
  <c r="AL49" i="5"/>
  <c r="F49" i="5"/>
  <c r="H49" i="5"/>
  <c r="I49" i="5"/>
  <c r="L49" i="5"/>
  <c r="N49" i="5"/>
  <c r="O49" i="5"/>
  <c r="Z49" i="5"/>
  <c r="AN49" i="5"/>
  <c r="AG50" i="5"/>
  <c r="AF50" i="5"/>
  <c r="B59" i="4"/>
  <c r="C59" i="4"/>
  <c r="C50" i="5"/>
  <c r="D59" i="4"/>
  <c r="E50" i="5"/>
  <c r="L59" i="4"/>
  <c r="Q50" i="5"/>
  <c r="M59" i="4"/>
  <c r="R50" i="5"/>
  <c r="T50" i="5"/>
  <c r="U50" i="5"/>
  <c r="P59" i="4"/>
  <c r="W50" i="5"/>
  <c r="Q59" i="4"/>
  <c r="X50" i="5"/>
  <c r="S14" i="2"/>
  <c r="S59" i="4"/>
  <c r="AA50" i="5"/>
  <c r="AI59" i="4"/>
  <c r="T59" i="4" a="1"/>
  <c r="T59" i="4"/>
  <c r="AC50" i="5"/>
  <c r="U59" i="4" a="1"/>
  <c r="U59" i="4"/>
  <c r="AD50" i="5"/>
  <c r="X14" i="2"/>
  <c r="X59" i="4"/>
  <c r="AI50" i="5"/>
  <c r="Y59" i="4"/>
  <c r="AJ50" i="5"/>
  <c r="Z59" i="4"/>
  <c r="AL50" i="5"/>
  <c r="L50" i="5"/>
  <c r="F50" i="5"/>
  <c r="H50" i="5"/>
  <c r="I50" i="5"/>
  <c r="N50" i="5"/>
  <c r="O50" i="5"/>
  <c r="Z50" i="5"/>
  <c r="AN50" i="5"/>
  <c r="AG51" i="5"/>
  <c r="AF51" i="5"/>
  <c r="C15" i="2"/>
  <c r="B105" i="4"/>
  <c r="C105" i="4"/>
  <c r="C51" i="5"/>
  <c r="D15" i="2"/>
  <c r="D105" i="4"/>
  <c r="E51" i="5"/>
  <c r="L15" i="2"/>
  <c r="L105" i="4"/>
  <c r="Q51" i="5"/>
  <c r="M15" i="2"/>
  <c r="M105" i="4"/>
  <c r="R51" i="5"/>
  <c r="N15" i="2"/>
  <c r="N105" i="4"/>
  <c r="T51" i="5"/>
  <c r="O15" i="2"/>
  <c r="O105" i="4"/>
  <c r="U51" i="5"/>
  <c r="P15" i="2"/>
  <c r="P105" i="4"/>
  <c r="W51" i="5"/>
  <c r="Q15" i="2"/>
  <c r="Q105" i="4"/>
  <c r="X51" i="5"/>
  <c r="S15" i="2"/>
  <c r="S105" i="4"/>
  <c r="AA51" i="5"/>
  <c r="AI105" i="4"/>
  <c r="T105" i="4" a="1"/>
  <c r="T105" i="4"/>
  <c r="AC51" i="5"/>
  <c r="U105" i="4" a="1"/>
  <c r="U105" i="4"/>
  <c r="AD51" i="5"/>
  <c r="X15" i="2"/>
  <c r="X105" i="4"/>
  <c r="AI51" i="5"/>
  <c r="Y15" i="2"/>
  <c r="Y105" i="4"/>
  <c r="AJ51" i="5"/>
  <c r="Z15" i="2"/>
  <c r="Z105" i="4"/>
  <c r="AL51" i="5"/>
  <c r="L51" i="5"/>
  <c r="F51" i="5"/>
  <c r="H51" i="5"/>
  <c r="I51" i="5"/>
  <c r="N51" i="5"/>
  <c r="O51" i="5"/>
  <c r="Z51" i="5"/>
  <c r="AN51" i="5"/>
  <c r="AG52" i="5"/>
  <c r="AF52" i="5"/>
  <c r="C120" i="4"/>
  <c r="C52" i="5"/>
  <c r="D120" i="4"/>
  <c r="E52" i="5"/>
  <c r="L120" i="4"/>
  <c r="Q52" i="5"/>
  <c r="M120" i="4"/>
  <c r="R52" i="5"/>
  <c r="T52" i="5"/>
  <c r="U52" i="5"/>
  <c r="P120" i="4"/>
  <c r="W52" i="5"/>
  <c r="Q120" i="4"/>
  <c r="X52" i="5"/>
  <c r="S120" i="4"/>
  <c r="AA52" i="5"/>
  <c r="AI120" i="4"/>
  <c r="T120" i="4" a="1"/>
  <c r="T120" i="4"/>
  <c r="AC52" i="5"/>
  <c r="U120" i="4" a="1"/>
  <c r="U120" i="4"/>
  <c r="AD52" i="5"/>
  <c r="X120" i="4"/>
  <c r="AI52" i="5"/>
  <c r="Y120" i="4"/>
  <c r="AJ52" i="5"/>
  <c r="Z120" i="4"/>
  <c r="AL52" i="5"/>
  <c r="L52" i="5"/>
  <c r="F52" i="5"/>
  <c r="H52" i="5"/>
  <c r="I52" i="5"/>
  <c r="N52" i="5"/>
  <c r="O52" i="5"/>
  <c r="Z52" i="5"/>
  <c r="AN52" i="5"/>
  <c r="AG53" i="5"/>
  <c r="AF53" i="5"/>
  <c r="B14" i="4"/>
  <c r="C14" i="4"/>
  <c r="C53" i="5"/>
  <c r="D14" i="4"/>
  <c r="E53" i="5"/>
  <c r="L14" i="4"/>
  <c r="Q53" i="5"/>
  <c r="M14" i="4"/>
  <c r="R53" i="5"/>
  <c r="T53" i="5"/>
  <c r="U53" i="5"/>
  <c r="P14" i="4"/>
  <c r="W53" i="5"/>
  <c r="Q14" i="4"/>
  <c r="X53" i="5"/>
  <c r="S14" i="4"/>
  <c r="AA53" i="5"/>
  <c r="AI14" i="4"/>
  <c r="T14" i="4" a="1"/>
  <c r="T14" i="4"/>
  <c r="AC53" i="5"/>
  <c r="U14" i="4" a="1"/>
  <c r="U14" i="4"/>
  <c r="AD53" i="5"/>
  <c r="X14" i="4"/>
  <c r="AI53" i="5"/>
  <c r="Y14" i="4"/>
  <c r="AJ53" i="5"/>
  <c r="Z14" i="4"/>
  <c r="AL53" i="5"/>
  <c r="L53" i="5"/>
  <c r="F53" i="5"/>
  <c r="H53" i="5"/>
  <c r="I53" i="5"/>
  <c r="N53" i="5"/>
  <c r="O53" i="5"/>
  <c r="Z53" i="5"/>
  <c r="AN53" i="5"/>
  <c r="AG54" i="5"/>
  <c r="AF54" i="5"/>
  <c r="C233" i="4"/>
  <c r="C54" i="5"/>
  <c r="D233" i="4"/>
  <c r="E54" i="5"/>
  <c r="K54" i="5"/>
  <c r="I24" i="2"/>
  <c r="I3" i="2"/>
  <c r="I233" i="4"/>
  <c r="L54" i="5"/>
  <c r="J24" i="2"/>
  <c r="J3" i="2"/>
  <c r="J233" i="4"/>
  <c r="N54" i="5"/>
  <c r="O54" i="5"/>
  <c r="L233" i="4"/>
  <c r="Q54" i="5"/>
  <c r="M233" i="4"/>
  <c r="R54" i="5"/>
  <c r="T54" i="5"/>
  <c r="U54" i="5"/>
  <c r="P233" i="4"/>
  <c r="W54" i="5"/>
  <c r="Q233" i="4"/>
  <c r="X54" i="5"/>
  <c r="S233" i="4"/>
  <c r="AA54" i="5"/>
  <c r="AI233" i="4"/>
  <c r="T233" i="4" a="1"/>
  <c r="T233" i="4"/>
  <c r="AC54" i="5"/>
  <c r="U233" i="4" a="1"/>
  <c r="U233" i="4"/>
  <c r="AD54" i="5"/>
  <c r="X24" i="2"/>
  <c r="X233" i="4"/>
  <c r="AI54" i="5"/>
  <c r="Y233" i="4"/>
  <c r="AJ54" i="5"/>
  <c r="Z233" i="4"/>
  <c r="AL54" i="5"/>
  <c r="F54" i="5"/>
  <c r="H54" i="5"/>
  <c r="I54" i="5"/>
  <c r="Z54" i="5"/>
  <c r="AN54" i="5"/>
  <c r="AG55" i="5"/>
  <c r="AF55" i="5"/>
  <c r="C11" i="2"/>
  <c r="C32" i="4"/>
  <c r="C55" i="5"/>
  <c r="D11" i="2"/>
  <c r="D32" i="4"/>
  <c r="E55" i="5"/>
  <c r="H11" i="2"/>
  <c r="H32" i="4"/>
  <c r="K55" i="5"/>
  <c r="L11" i="2"/>
  <c r="L32" i="4"/>
  <c r="Q55" i="5"/>
  <c r="M11" i="2"/>
  <c r="M32" i="4"/>
  <c r="R55" i="5"/>
  <c r="N11" i="2"/>
  <c r="N32" i="4"/>
  <c r="T55" i="5"/>
  <c r="O11" i="2"/>
  <c r="O32" i="4"/>
  <c r="U55" i="5"/>
  <c r="P11" i="2"/>
  <c r="P32" i="4"/>
  <c r="W55" i="5"/>
  <c r="Q11" i="2"/>
  <c r="Q32" i="4"/>
  <c r="X55" i="5"/>
  <c r="AA55" i="5"/>
  <c r="AI32" i="4"/>
  <c r="T32" i="4" a="1"/>
  <c r="T32" i="4"/>
  <c r="AC55" i="5"/>
  <c r="U32" i="4" a="1"/>
  <c r="U32" i="4"/>
  <c r="AD55" i="5"/>
  <c r="X11" i="2"/>
  <c r="X32" i="4"/>
  <c r="AI55" i="5"/>
  <c r="Y11" i="2"/>
  <c r="Y32" i="4"/>
  <c r="AJ55" i="5"/>
  <c r="Z11" i="2"/>
  <c r="Z32" i="4"/>
  <c r="AL55" i="5"/>
  <c r="L55" i="5"/>
  <c r="N55" i="5"/>
  <c r="O55" i="5"/>
  <c r="F55" i="5"/>
  <c r="H55" i="5"/>
  <c r="I55" i="5"/>
  <c r="Z55" i="5"/>
  <c r="AN55" i="5"/>
  <c r="AG56" i="5"/>
  <c r="AF56" i="5"/>
  <c r="C13" i="2"/>
  <c r="C33" i="4"/>
  <c r="C56" i="5"/>
  <c r="D13" i="2"/>
  <c r="D33" i="4"/>
  <c r="E56" i="5"/>
  <c r="H13" i="2"/>
  <c r="H33" i="4"/>
  <c r="K56" i="5"/>
  <c r="L13" i="2"/>
  <c r="L33" i="4"/>
  <c r="Q56" i="5"/>
  <c r="M13" i="2"/>
  <c r="M33" i="4"/>
  <c r="R56" i="5"/>
  <c r="N13" i="2"/>
  <c r="N33" i="4"/>
  <c r="T56" i="5"/>
  <c r="O13" i="2"/>
  <c r="O33" i="4"/>
  <c r="U56" i="5"/>
  <c r="P13" i="2"/>
  <c r="P33" i="4"/>
  <c r="W56" i="5"/>
  <c r="Q13" i="2"/>
  <c r="Q33" i="4"/>
  <c r="X56" i="5"/>
  <c r="AA56" i="5"/>
  <c r="AI33" i="4"/>
  <c r="T33" i="4" a="1"/>
  <c r="T33" i="4"/>
  <c r="AC56" i="5"/>
  <c r="U33" i="4" a="1"/>
  <c r="U33" i="4"/>
  <c r="AD56" i="5"/>
  <c r="X13" i="2"/>
  <c r="X33" i="4"/>
  <c r="AI56" i="5"/>
  <c r="Y13" i="2"/>
  <c r="Y33" i="4"/>
  <c r="AJ56" i="5"/>
  <c r="Z13" i="2"/>
  <c r="Z33" i="4"/>
  <c r="AL56" i="5"/>
  <c r="L56" i="5"/>
  <c r="N56" i="5"/>
  <c r="O56" i="5"/>
  <c r="F56" i="5"/>
  <c r="H56" i="5"/>
  <c r="I56" i="5"/>
  <c r="Z56" i="5"/>
  <c r="AN56" i="5"/>
  <c r="AG57" i="5"/>
  <c r="AF57" i="5"/>
  <c r="C12" i="2"/>
  <c r="C34" i="4"/>
  <c r="C57" i="5"/>
  <c r="D12" i="2"/>
  <c r="D34" i="4"/>
  <c r="E57" i="5"/>
  <c r="H12" i="2"/>
  <c r="H34" i="4"/>
  <c r="K57" i="5"/>
  <c r="L12" i="2"/>
  <c r="L34" i="4"/>
  <c r="Q57" i="5"/>
  <c r="M12" i="2"/>
  <c r="M34" i="4"/>
  <c r="R57" i="5"/>
  <c r="T57" i="5"/>
  <c r="U57" i="5"/>
  <c r="P12" i="2"/>
  <c r="P34" i="4"/>
  <c r="W57" i="5"/>
  <c r="Q12" i="2"/>
  <c r="Q34" i="4"/>
  <c r="X57" i="5"/>
  <c r="AA57" i="5"/>
  <c r="AI34" i="4"/>
  <c r="T34" i="4" a="1"/>
  <c r="T34" i="4"/>
  <c r="AC57" i="5"/>
  <c r="U34" i="4" a="1"/>
  <c r="U34" i="4"/>
  <c r="AD57" i="5"/>
  <c r="X34" i="4"/>
  <c r="AI57" i="5"/>
  <c r="Y12" i="2"/>
  <c r="Y34" i="4"/>
  <c r="AJ57" i="5"/>
  <c r="Z12" i="2"/>
  <c r="Z34" i="4"/>
  <c r="AL57" i="5"/>
  <c r="L57" i="5"/>
  <c r="N57" i="5"/>
  <c r="O57" i="5"/>
  <c r="F57" i="5"/>
  <c r="H57" i="5"/>
  <c r="I57" i="5"/>
  <c r="Z57" i="5"/>
  <c r="AN57" i="5"/>
  <c r="AG58" i="5"/>
  <c r="AF58" i="5"/>
  <c r="C35" i="4"/>
  <c r="C58" i="5"/>
  <c r="D35" i="4"/>
  <c r="E58" i="5"/>
  <c r="H35" i="4"/>
  <c r="K58" i="5"/>
  <c r="I12" i="2"/>
  <c r="I35" i="4"/>
  <c r="L58" i="5"/>
  <c r="J12" i="2"/>
  <c r="J35" i="4"/>
  <c r="N58" i="5"/>
  <c r="O58" i="5"/>
  <c r="L35" i="4"/>
  <c r="Q58" i="5"/>
  <c r="M35" i="4"/>
  <c r="R58" i="5"/>
  <c r="N12" i="2"/>
  <c r="N35" i="4"/>
  <c r="T58" i="5"/>
  <c r="O12" i="2"/>
  <c r="O35" i="4"/>
  <c r="U58" i="5"/>
  <c r="P35" i="4"/>
  <c r="W58" i="5"/>
  <c r="Q35" i="4"/>
  <c r="X58" i="5"/>
  <c r="AA58" i="5"/>
  <c r="AI35" i="4"/>
  <c r="T35" i="4" a="1"/>
  <c r="T35" i="4"/>
  <c r="AC58" i="5"/>
  <c r="U35" i="4" a="1"/>
  <c r="U35" i="4"/>
  <c r="AD58" i="5"/>
  <c r="X35" i="4"/>
  <c r="AI58" i="5"/>
  <c r="Y35" i="4"/>
  <c r="AJ58" i="5"/>
  <c r="Z35" i="4"/>
  <c r="AL58" i="5"/>
  <c r="F58" i="5"/>
  <c r="H58" i="5"/>
  <c r="I58" i="5"/>
  <c r="Z58" i="5"/>
  <c r="AN58" i="5"/>
  <c r="AG59" i="5"/>
  <c r="AF59" i="5"/>
  <c r="C10" i="2"/>
  <c r="C36" i="4"/>
  <c r="C59" i="5"/>
  <c r="D10" i="2"/>
  <c r="D36" i="4"/>
  <c r="E59" i="5"/>
  <c r="H10" i="2"/>
  <c r="H36" i="4"/>
  <c r="K59" i="5"/>
  <c r="L10" i="2"/>
  <c r="L36" i="4"/>
  <c r="Q59" i="5"/>
  <c r="M10" i="2"/>
  <c r="M36" i="4"/>
  <c r="R59" i="5"/>
  <c r="N10" i="2"/>
  <c r="N36" i="4"/>
  <c r="T59" i="5"/>
  <c r="O10" i="2"/>
  <c r="O36" i="4"/>
  <c r="U59" i="5"/>
  <c r="P10" i="2"/>
  <c r="P36" i="4"/>
  <c r="W59" i="5"/>
  <c r="Q10" i="2"/>
  <c r="Q36" i="4"/>
  <c r="X59" i="5"/>
  <c r="AA59" i="5"/>
  <c r="AI36" i="4"/>
  <c r="T36" i="4" a="1"/>
  <c r="T36" i="4"/>
  <c r="AC59" i="5"/>
  <c r="U36" i="4" a="1"/>
  <c r="U36" i="4"/>
  <c r="AD59" i="5"/>
  <c r="X10" i="2"/>
  <c r="X36" i="4"/>
  <c r="AI59" i="5"/>
  <c r="Y10" i="2"/>
  <c r="Y36" i="4"/>
  <c r="AJ59" i="5"/>
  <c r="Z10" i="2"/>
  <c r="Z36" i="4"/>
  <c r="AL59" i="5"/>
  <c r="L59" i="5"/>
  <c r="N59" i="5"/>
  <c r="O59" i="5"/>
  <c r="F59" i="5"/>
  <c r="H59" i="5"/>
  <c r="I59" i="5"/>
  <c r="Z59" i="5"/>
  <c r="AN59" i="5"/>
  <c r="AG60" i="5"/>
  <c r="AF60" i="5"/>
  <c r="C37" i="4"/>
  <c r="C60" i="5"/>
  <c r="D37" i="4"/>
  <c r="E60" i="5"/>
  <c r="H37" i="4"/>
  <c r="K60" i="5"/>
  <c r="L37" i="4"/>
  <c r="Q60" i="5"/>
  <c r="M37" i="4"/>
  <c r="R60" i="5"/>
  <c r="T60" i="5"/>
  <c r="U60" i="5"/>
  <c r="P37" i="4"/>
  <c r="W60" i="5"/>
  <c r="Q37" i="4"/>
  <c r="X60" i="5"/>
  <c r="AA60" i="5"/>
  <c r="AI37" i="4"/>
  <c r="T37" i="4" a="1"/>
  <c r="T37" i="4"/>
  <c r="AC60" i="5"/>
  <c r="U37" i="4" a="1"/>
  <c r="U37" i="4"/>
  <c r="AD60" i="5"/>
  <c r="X37" i="4"/>
  <c r="AI60" i="5"/>
  <c r="Y37" i="4"/>
  <c r="AJ60" i="5"/>
  <c r="Z37" i="4"/>
  <c r="AL60" i="5"/>
  <c r="L60" i="5"/>
  <c r="N60" i="5"/>
  <c r="O60" i="5"/>
  <c r="F60" i="5"/>
  <c r="H60" i="5"/>
  <c r="I60" i="5"/>
  <c r="Z60" i="5"/>
  <c r="AN60" i="5"/>
  <c r="AA61" i="5"/>
  <c r="P149" i="4"/>
  <c r="W61" i="5"/>
  <c r="O61" i="5"/>
  <c r="K61" i="5"/>
  <c r="AG61" i="5"/>
  <c r="AF61" i="5"/>
  <c r="C149" i="4"/>
  <c r="C61" i="5"/>
  <c r="D149" i="4"/>
  <c r="E61" i="5"/>
  <c r="L61" i="5"/>
  <c r="N61" i="5"/>
  <c r="L149" i="4"/>
  <c r="Q61" i="5"/>
  <c r="O149" i="4"/>
  <c r="U61" i="5"/>
  <c r="Q149" i="4"/>
  <c r="X61" i="5"/>
  <c r="R149" i="4"/>
  <c r="Z61" i="5"/>
  <c r="AI149" i="4"/>
  <c r="T149" i="4" a="1"/>
  <c r="T149" i="4"/>
  <c r="AC61" i="5"/>
  <c r="U149" i="4" a="1"/>
  <c r="U149" i="4"/>
  <c r="AD61" i="5"/>
  <c r="X149" i="4"/>
  <c r="AI61" i="5"/>
  <c r="Y149" i="4"/>
  <c r="AJ61" i="5"/>
  <c r="Z149" i="4"/>
  <c r="AL61" i="5"/>
  <c r="R61" i="5"/>
  <c r="T61" i="5"/>
  <c r="F61" i="5"/>
  <c r="H61" i="5"/>
  <c r="I61" i="5"/>
  <c r="AN61" i="5"/>
  <c r="AG62" i="5"/>
  <c r="AF62" i="5"/>
  <c r="B60" i="4"/>
  <c r="C60" i="4"/>
  <c r="C62" i="5"/>
  <c r="D60" i="4"/>
  <c r="E62" i="5"/>
  <c r="H60" i="4"/>
  <c r="K62" i="5"/>
  <c r="L60" i="4"/>
  <c r="Q62" i="5"/>
  <c r="M60" i="4"/>
  <c r="R62" i="5"/>
  <c r="T62" i="5"/>
  <c r="U62" i="5"/>
  <c r="P60" i="4"/>
  <c r="W62" i="5"/>
  <c r="Q60" i="4"/>
  <c r="X62" i="5"/>
  <c r="AA62" i="5"/>
  <c r="AI60" i="4"/>
  <c r="T60" i="4" a="1"/>
  <c r="T60" i="4"/>
  <c r="AC62" i="5"/>
  <c r="U60" i="4" a="1"/>
  <c r="U60" i="4"/>
  <c r="AD62" i="5"/>
  <c r="AI62" i="5"/>
  <c r="Y60" i="4"/>
  <c r="AJ62" i="5"/>
  <c r="Z60" i="4"/>
  <c r="AL62" i="5"/>
  <c r="F62" i="5"/>
  <c r="H62" i="5"/>
  <c r="I62" i="5"/>
  <c r="L62" i="5"/>
  <c r="N62" i="5"/>
  <c r="O62" i="5"/>
  <c r="Z62" i="5"/>
  <c r="AN62" i="5"/>
  <c r="AG63" i="5"/>
  <c r="AF63" i="5"/>
  <c r="B61" i="4"/>
  <c r="C61" i="4"/>
  <c r="C63" i="5"/>
  <c r="D61" i="4"/>
  <c r="E63" i="5"/>
  <c r="H61" i="4"/>
  <c r="K63" i="5"/>
  <c r="L61" i="4"/>
  <c r="Q63" i="5"/>
  <c r="M61" i="4"/>
  <c r="R63" i="5"/>
  <c r="T63" i="5"/>
  <c r="U63" i="5"/>
  <c r="P61" i="4"/>
  <c r="W63" i="5"/>
  <c r="Q61" i="4"/>
  <c r="X63" i="5"/>
  <c r="AA63" i="5"/>
  <c r="AI61" i="4"/>
  <c r="T61" i="4" a="1"/>
  <c r="T61" i="4"/>
  <c r="AC63" i="5"/>
  <c r="U61" i="4" a="1"/>
  <c r="U61" i="4"/>
  <c r="AD63" i="5"/>
  <c r="Y61" i="4"/>
  <c r="AJ63" i="5"/>
  <c r="Z61" i="4"/>
  <c r="AL63" i="5"/>
  <c r="F63" i="5"/>
  <c r="H63" i="5"/>
  <c r="I63" i="5"/>
  <c r="L63" i="5"/>
  <c r="N63" i="5"/>
  <c r="O63" i="5"/>
  <c r="Z63" i="5"/>
  <c r="AN63" i="5"/>
  <c r="AG64" i="5"/>
  <c r="AF64" i="5"/>
  <c r="B62" i="4"/>
  <c r="C62" i="4"/>
  <c r="C64" i="5"/>
  <c r="D62" i="4"/>
  <c r="E64" i="5"/>
  <c r="H62" i="4"/>
  <c r="K64" i="5"/>
  <c r="L62" i="4"/>
  <c r="Q64" i="5"/>
  <c r="M62" i="4"/>
  <c r="R64" i="5"/>
  <c r="T64" i="5"/>
  <c r="U64" i="5"/>
  <c r="P62" i="4"/>
  <c r="W64" i="5"/>
  <c r="Q62" i="4"/>
  <c r="X64" i="5"/>
  <c r="AA64" i="5"/>
  <c r="AI62" i="4"/>
  <c r="T62" i="4" a="1"/>
  <c r="T62" i="4"/>
  <c r="AC64" i="5"/>
  <c r="U62" i="4" a="1"/>
  <c r="U62" i="4"/>
  <c r="AD64" i="5"/>
  <c r="Y62" i="4"/>
  <c r="AJ64" i="5"/>
  <c r="Z62" i="4"/>
  <c r="AL64" i="5"/>
  <c r="F64" i="5"/>
  <c r="H64" i="5"/>
  <c r="I64" i="5"/>
  <c r="L64" i="5"/>
  <c r="N64" i="5"/>
  <c r="O64" i="5"/>
  <c r="Z64" i="5"/>
  <c r="AN64" i="5"/>
  <c r="AG65" i="5"/>
  <c r="AF65" i="5"/>
  <c r="B15" i="4"/>
  <c r="C15" i="4"/>
  <c r="C65" i="5"/>
  <c r="D15" i="4"/>
  <c r="E65" i="5"/>
  <c r="H15" i="4"/>
  <c r="K65" i="5"/>
  <c r="L15" i="4"/>
  <c r="Q65" i="5"/>
  <c r="M15" i="4"/>
  <c r="R65" i="5"/>
  <c r="T65" i="5"/>
  <c r="U65" i="5"/>
  <c r="P15" i="4"/>
  <c r="W65" i="5"/>
  <c r="Q15" i="4"/>
  <c r="X65" i="5"/>
  <c r="AA65" i="5"/>
  <c r="AI15" i="4"/>
  <c r="T15" i="4" a="1"/>
  <c r="T15" i="4"/>
  <c r="AC65" i="5"/>
  <c r="U15" i="4" a="1"/>
  <c r="U15" i="4"/>
  <c r="AD65" i="5"/>
  <c r="X15" i="4"/>
  <c r="AI65" i="5"/>
  <c r="Y15" i="4"/>
  <c r="AJ65" i="5"/>
  <c r="Z15" i="4"/>
  <c r="AL65" i="5"/>
  <c r="F65" i="5"/>
  <c r="H65" i="5"/>
  <c r="I65" i="5"/>
  <c r="L65" i="5"/>
  <c r="N65" i="5"/>
  <c r="O65" i="5"/>
  <c r="Z65" i="5"/>
  <c r="AN65" i="5"/>
  <c r="AG66" i="5"/>
  <c r="AF66" i="5"/>
  <c r="B106" i="4"/>
  <c r="C106" i="4"/>
  <c r="C66" i="5"/>
  <c r="D106" i="4"/>
  <c r="E66" i="5"/>
  <c r="H106" i="4"/>
  <c r="K66" i="5"/>
  <c r="L106" i="4"/>
  <c r="Q66" i="5"/>
  <c r="M106" i="4"/>
  <c r="R66" i="5"/>
  <c r="T66" i="5"/>
  <c r="U66" i="5"/>
  <c r="P106" i="4"/>
  <c r="W66" i="5"/>
  <c r="Q106" i="4"/>
  <c r="X66" i="5"/>
  <c r="AA66" i="5"/>
  <c r="AI106" i="4"/>
  <c r="T106" i="4" a="1"/>
  <c r="T106" i="4"/>
  <c r="AC66" i="5"/>
  <c r="U106" i="4" a="1"/>
  <c r="U106" i="4"/>
  <c r="AD66" i="5"/>
  <c r="X106" i="4"/>
  <c r="AI66" i="5"/>
  <c r="Y106" i="4"/>
  <c r="AJ66" i="5"/>
  <c r="Z106" i="4"/>
  <c r="AL66" i="5"/>
  <c r="F66" i="5"/>
  <c r="H66" i="5"/>
  <c r="I66" i="5"/>
  <c r="L66" i="5"/>
  <c r="N66" i="5"/>
  <c r="O66" i="5"/>
  <c r="Z66" i="5"/>
  <c r="AN66" i="5"/>
  <c r="AG67" i="5"/>
  <c r="AF67" i="5"/>
  <c r="B107" i="4"/>
  <c r="C107" i="4"/>
  <c r="C67" i="5"/>
  <c r="D107" i="4"/>
  <c r="E67" i="5"/>
  <c r="H107" i="4"/>
  <c r="K67" i="5"/>
  <c r="L107" i="4"/>
  <c r="Q67" i="5"/>
  <c r="M107" i="4"/>
  <c r="R67" i="5"/>
  <c r="T67" i="5"/>
  <c r="U67" i="5"/>
  <c r="P107" i="4"/>
  <c r="W67" i="5"/>
  <c r="Q107" i="4"/>
  <c r="X67" i="5"/>
  <c r="AA67" i="5"/>
  <c r="AI107" i="4"/>
  <c r="T107" i="4" a="1"/>
  <c r="T107" i="4"/>
  <c r="AC67" i="5"/>
  <c r="U107" i="4" a="1"/>
  <c r="U107" i="4"/>
  <c r="AD67" i="5"/>
  <c r="X107" i="4"/>
  <c r="AI67" i="5"/>
  <c r="Y107" i="4"/>
  <c r="AJ67" i="5"/>
  <c r="Z107" i="4"/>
  <c r="AL67" i="5"/>
  <c r="F67" i="5"/>
  <c r="H67" i="5"/>
  <c r="I67" i="5"/>
  <c r="L67" i="5"/>
  <c r="N67" i="5"/>
  <c r="O67" i="5"/>
  <c r="Z67" i="5"/>
  <c r="AN67" i="5"/>
  <c r="AG68" i="5"/>
  <c r="AF68" i="5"/>
  <c r="C38" i="4"/>
  <c r="C68" i="5"/>
  <c r="D38" i="4"/>
  <c r="E68" i="5"/>
  <c r="H38" i="4"/>
  <c r="K68" i="5"/>
  <c r="L38" i="4"/>
  <c r="Q68" i="5"/>
  <c r="M38" i="4"/>
  <c r="R68" i="5"/>
  <c r="T68" i="5"/>
  <c r="U68" i="5"/>
  <c r="P38" i="4"/>
  <c r="W68" i="5"/>
  <c r="Q38" i="4"/>
  <c r="X68" i="5"/>
  <c r="AA68" i="5"/>
  <c r="AI38" i="4"/>
  <c r="T38" i="4" a="1"/>
  <c r="T38" i="4"/>
  <c r="AC68" i="5"/>
  <c r="U38" i="4" a="1"/>
  <c r="U38" i="4"/>
  <c r="AD68" i="5"/>
  <c r="Y38" i="4"/>
  <c r="AJ68" i="5"/>
  <c r="Z38" i="4"/>
  <c r="AL68" i="5"/>
  <c r="F68" i="5"/>
  <c r="H68" i="5"/>
  <c r="I68" i="5"/>
  <c r="L68" i="5"/>
  <c r="N68" i="5"/>
  <c r="O68" i="5"/>
  <c r="Z68" i="5"/>
  <c r="AN68" i="5"/>
  <c r="AG69" i="5"/>
  <c r="AF69" i="5"/>
  <c r="C17" i="2"/>
  <c r="C39" i="4"/>
  <c r="C69" i="5"/>
  <c r="D17" i="2"/>
  <c r="D39" i="4"/>
  <c r="E69" i="5"/>
  <c r="H17" i="2"/>
  <c r="H39" i="4"/>
  <c r="K69" i="5"/>
  <c r="I17" i="2"/>
  <c r="I39" i="4"/>
  <c r="L69" i="5"/>
  <c r="J17" i="2"/>
  <c r="J39" i="4"/>
  <c r="N69" i="5"/>
  <c r="O69" i="5"/>
  <c r="L17" i="2"/>
  <c r="L39" i="4"/>
  <c r="Q69" i="5"/>
  <c r="M17" i="2"/>
  <c r="M39" i="4"/>
  <c r="R69" i="5"/>
  <c r="N17" i="2"/>
  <c r="N39" i="4"/>
  <c r="T69" i="5"/>
  <c r="O17" i="2"/>
  <c r="O39" i="4"/>
  <c r="U69" i="5"/>
  <c r="P17" i="2"/>
  <c r="P39" i="4"/>
  <c r="W69" i="5"/>
  <c r="Q17" i="2"/>
  <c r="Q39" i="4"/>
  <c r="X69" i="5"/>
  <c r="AA69" i="5"/>
  <c r="AI39" i="4"/>
  <c r="T39" i="4" a="1"/>
  <c r="T39" i="4"/>
  <c r="AC69" i="5"/>
  <c r="AD69" i="5"/>
  <c r="X17" i="2"/>
  <c r="X39" i="4"/>
  <c r="AI69" i="5"/>
  <c r="Y17" i="2"/>
  <c r="Y39" i="4"/>
  <c r="AJ69" i="5"/>
  <c r="Z17" i="2"/>
  <c r="Z39" i="4"/>
  <c r="AL69" i="5"/>
  <c r="F69" i="5"/>
  <c r="H69" i="5"/>
  <c r="I69" i="5"/>
  <c r="Z69" i="5"/>
  <c r="AN69" i="5"/>
  <c r="AG70" i="5"/>
  <c r="AF70" i="5"/>
  <c r="C40" i="4"/>
  <c r="C70" i="5"/>
  <c r="D40" i="4"/>
  <c r="E70" i="5"/>
  <c r="H40" i="4"/>
  <c r="K70" i="5"/>
  <c r="L40" i="4"/>
  <c r="Q70" i="5"/>
  <c r="M40" i="4"/>
  <c r="R70" i="5"/>
  <c r="N40" i="4"/>
  <c r="T70" i="5"/>
  <c r="O40" i="4"/>
  <c r="U70" i="5"/>
  <c r="P40" i="4"/>
  <c r="W70" i="5"/>
  <c r="Q40" i="4"/>
  <c r="X70" i="5"/>
  <c r="AA70" i="5"/>
  <c r="AI40" i="4"/>
  <c r="T40" i="4" a="1"/>
  <c r="T40" i="4"/>
  <c r="AC70" i="5"/>
  <c r="U40" i="4" a="1"/>
  <c r="U40" i="4"/>
  <c r="AD70" i="5"/>
  <c r="Y40" i="4"/>
  <c r="AJ70" i="5"/>
  <c r="Z40" i="4"/>
  <c r="AL70" i="5"/>
  <c r="F70" i="5"/>
  <c r="H70" i="5"/>
  <c r="I70" i="5"/>
  <c r="L70" i="5"/>
  <c r="N70" i="5"/>
  <c r="O70" i="5"/>
  <c r="Z70" i="5"/>
  <c r="AN70" i="5"/>
  <c r="AG71" i="5"/>
  <c r="AF71" i="5"/>
  <c r="B63" i="4"/>
  <c r="C63" i="4"/>
  <c r="C71" i="5"/>
  <c r="D63" i="4"/>
  <c r="E71" i="5"/>
  <c r="H63" i="4"/>
  <c r="K71" i="5"/>
  <c r="L63" i="4"/>
  <c r="Q71" i="5"/>
  <c r="M63" i="4"/>
  <c r="R71" i="5"/>
  <c r="T71" i="5"/>
  <c r="U71" i="5"/>
  <c r="P63" i="4"/>
  <c r="W71" i="5"/>
  <c r="Q63" i="4"/>
  <c r="X71" i="5"/>
  <c r="AA71" i="5"/>
  <c r="AI63" i="4"/>
  <c r="T63" i="4" a="1"/>
  <c r="T63" i="4"/>
  <c r="AC71" i="5"/>
  <c r="U63" i="4" a="1"/>
  <c r="U63" i="4"/>
  <c r="AD71" i="5"/>
  <c r="Y63" i="4"/>
  <c r="AJ71" i="5"/>
  <c r="Z63" i="4"/>
  <c r="AL71" i="5"/>
  <c r="F71" i="5"/>
  <c r="H71" i="5"/>
  <c r="I71" i="5"/>
  <c r="L71" i="5"/>
  <c r="N71" i="5"/>
  <c r="O71" i="5"/>
  <c r="Z71" i="5"/>
  <c r="AN71" i="5"/>
  <c r="AG72" i="5"/>
  <c r="AF72" i="5"/>
  <c r="C18" i="2"/>
  <c r="C234" i="4"/>
  <c r="C72" i="5"/>
  <c r="D234" i="4"/>
  <c r="E72" i="5"/>
  <c r="H234" i="4"/>
  <c r="K72" i="5"/>
  <c r="L234" i="4"/>
  <c r="Q72" i="5"/>
  <c r="M234" i="4"/>
  <c r="R72" i="5"/>
  <c r="T72" i="5"/>
  <c r="O18" i="2"/>
  <c r="O234" i="4"/>
  <c r="U72" i="5"/>
  <c r="P18" i="2"/>
  <c r="P234" i="4"/>
  <c r="W72" i="5"/>
  <c r="Q18" i="2"/>
  <c r="Q234" i="4"/>
  <c r="X72" i="5"/>
  <c r="S18" i="2"/>
  <c r="S234" i="4"/>
  <c r="AA72" i="5"/>
  <c r="AI234" i="4"/>
  <c r="T234" i="4" a="1"/>
  <c r="T234" i="4"/>
  <c r="AC72" i="5"/>
  <c r="U234" i="4" a="1"/>
  <c r="U234" i="4"/>
  <c r="AD72" i="5"/>
  <c r="X18" i="2"/>
  <c r="X234" i="4"/>
  <c r="AI72" i="5"/>
  <c r="Y18" i="2"/>
  <c r="Y234" i="4"/>
  <c r="AJ72" i="5"/>
  <c r="Z18" i="2"/>
  <c r="Z234" i="4"/>
  <c r="AL72" i="5"/>
  <c r="F72" i="5"/>
  <c r="H72" i="5"/>
  <c r="I72" i="5"/>
  <c r="L72" i="5"/>
  <c r="N72" i="5"/>
  <c r="O72" i="5"/>
  <c r="Z72" i="5"/>
  <c r="AN72" i="5"/>
  <c r="AG73" i="5"/>
  <c r="AF73" i="5"/>
  <c r="C20" i="2"/>
  <c r="C219" i="4"/>
  <c r="C73" i="5"/>
  <c r="D20" i="2"/>
  <c r="D219" i="4"/>
  <c r="E73" i="5"/>
  <c r="E20" i="2"/>
  <c r="E219" i="4"/>
  <c r="F73" i="5"/>
  <c r="F20" i="2"/>
  <c r="F219" i="4"/>
  <c r="H73" i="5"/>
  <c r="I73" i="5"/>
  <c r="H20" i="2"/>
  <c r="H219" i="4"/>
  <c r="K73" i="5"/>
  <c r="L20" i="2"/>
  <c r="L219" i="4"/>
  <c r="Q73" i="5"/>
  <c r="M20" i="2"/>
  <c r="M219" i="4"/>
  <c r="R73" i="5"/>
  <c r="T73" i="5"/>
  <c r="U73" i="5"/>
  <c r="P20" i="2"/>
  <c r="P219" i="4"/>
  <c r="W73" i="5"/>
  <c r="Q20" i="2"/>
  <c r="Q219" i="4"/>
  <c r="X73" i="5"/>
  <c r="S20" i="2"/>
  <c r="S219" i="4"/>
  <c r="AA73" i="5"/>
  <c r="AI219" i="4"/>
  <c r="T219" i="4" a="1"/>
  <c r="T219" i="4"/>
  <c r="AC73" i="5"/>
  <c r="U219" i="4" a="1"/>
  <c r="U219" i="4"/>
  <c r="AD73" i="5"/>
  <c r="X20" i="2"/>
  <c r="X219" i="4"/>
  <c r="AI73" i="5"/>
  <c r="Y20" i="2"/>
  <c r="Y219" i="4"/>
  <c r="AJ73" i="5"/>
  <c r="Z20" i="2"/>
  <c r="Z219" i="4"/>
  <c r="AL73" i="5"/>
  <c r="L73" i="5"/>
  <c r="N73" i="5"/>
  <c r="O73" i="5"/>
  <c r="Z73" i="5"/>
  <c r="AN73" i="5"/>
  <c r="AG74" i="5"/>
  <c r="AF74" i="5"/>
  <c r="C236" i="4"/>
  <c r="C74" i="5"/>
  <c r="D236" i="4"/>
  <c r="E74" i="5"/>
  <c r="H236" i="4"/>
  <c r="K74" i="5"/>
  <c r="L236" i="4"/>
  <c r="Q74" i="5"/>
  <c r="M236" i="4"/>
  <c r="R74" i="5"/>
  <c r="T74" i="5"/>
  <c r="U74" i="5"/>
  <c r="P236" i="4"/>
  <c r="W74" i="5"/>
  <c r="Q236" i="4"/>
  <c r="X74" i="5"/>
  <c r="S236" i="4"/>
  <c r="AA74" i="5"/>
  <c r="AI236" i="4"/>
  <c r="T236" i="4" a="1"/>
  <c r="T236" i="4"/>
  <c r="AC74" i="5"/>
  <c r="U236" i="4" a="1"/>
  <c r="U236" i="4"/>
  <c r="AD74" i="5"/>
  <c r="X236" i="4"/>
  <c r="AI74" i="5"/>
  <c r="Y236" i="4"/>
  <c r="AJ74" i="5"/>
  <c r="Z236" i="4"/>
  <c r="AL74" i="5"/>
  <c r="F74" i="5"/>
  <c r="H74" i="5"/>
  <c r="I74" i="5"/>
  <c r="L74" i="5"/>
  <c r="N74" i="5"/>
  <c r="O74" i="5"/>
  <c r="Z74" i="5"/>
  <c r="AN74" i="5"/>
  <c r="AG75" i="5"/>
  <c r="AF75" i="5"/>
  <c r="C237" i="4"/>
  <c r="C75" i="5"/>
  <c r="D237" i="4"/>
  <c r="E75" i="5"/>
  <c r="H237" i="4"/>
  <c r="K75" i="5"/>
  <c r="L237" i="4"/>
  <c r="Q75" i="5"/>
  <c r="R75" i="5"/>
  <c r="T75" i="5"/>
  <c r="O237" i="4"/>
  <c r="U75" i="5"/>
  <c r="P237" i="4"/>
  <c r="W75" i="5"/>
  <c r="Q237" i="4"/>
  <c r="X75" i="5"/>
  <c r="S237" i="4"/>
  <c r="AA75" i="5"/>
  <c r="AI237" i="4"/>
  <c r="T237" i="4" a="1"/>
  <c r="T237" i="4"/>
  <c r="AC75" i="5"/>
  <c r="U237" i="4" a="1"/>
  <c r="U237" i="4"/>
  <c r="AD75" i="5"/>
  <c r="X237" i="4"/>
  <c r="AI75" i="5"/>
  <c r="Y237" i="4"/>
  <c r="AJ75" i="5"/>
  <c r="Z237" i="4"/>
  <c r="AL75" i="5"/>
  <c r="F75" i="5"/>
  <c r="H75" i="5"/>
  <c r="I75" i="5"/>
  <c r="L75" i="5"/>
  <c r="N75" i="5"/>
  <c r="O75" i="5"/>
  <c r="Z75" i="5"/>
  <c r="AN75" i="5"/>
  <c r="AG76" i="5"/>
  <c r="AF76" i="5"/>
  <c r="C25" i="2"/>
  <c r="B202" i="4"/>
  <c r="C202" i="4"/>
  <c r="C76" i="5"/>
  <c r="D25" i="2"/>
  <c r="D202" i="4"/>
  <c r="E76" i="5"/>
  <c r="H25" i="2"/>
  <c r="H202" i="4"/>
  <c r="K76" i="5"/>
  <c r="L25" i="2"/>
  <c r="L202" i="4"/>
  <c r="Q76" i="5"/>
  <c r="M25" i="2"/>
  <c r="M202" i="4"/>
  <c r="R76" i="5"/>
  <c r="T76" i="5"/>
  <c r="U76" i="5"/>
  <c r="P25" i="2"/>
  <c r="P202" i="4"/>
  <c r="W76" i="5"/>
  <c r="Q25" i="2"/>
  <c r="Q202" i="4"/>
  <c r="X76" i="5"/>
  <c r="S25" i="2"/>
  <c r="S202" i="4"/>
  <c r="AA76" i="5"/>
  <c r="AI202" i="4"/>
  <c r="T202" i="4" a="1"/>
  <c r="T202" i="4"/>
  <c r="AC76" i="5"/>
  <c r="U202" i="4" a="1"/>
  <c r="U202" i="4"/>
  <c r="AD76" i="5"/>
  <c r="X25" i="2"/>
  <c r="X202" i="4"/>
  <c r="AI76" i="5"/>
  <c r="Y25" i="2"/>
  <c r="Y202" i="4"/>
  <c r="AJ76" i="5"/>
  <c r="Z25" i="2"/>
  <c r="Z202" i="4"/>
  <c r="AL76" i="5"/>
  <c r="F76" i="5"/>
  <c r="H76" i="5"/>
  <c r="I76" i="5"/>
  <c r="L76" i="5"/>
  <c r="N76" i="5"/>
  <c r="O76" i="5"/>
  <c r="Z76" i="5"/>
  <c r="AN76" i="5"/>
  <c r="AG77" i="5"/>
  <c r="AF77" i="5"/>
  <c r="B186" i="4"/>
  <c r="C32" i="2"/>
  <c r="C186" i="4"/>
  <c r="C77" i="5"/>
  <c r="D32" i="2"/>
  <c r="D186" i="4"/>
  <c r="E77" i="5"/>
  <c r="E32" i="2"/>
  <c r="E186" i="4"/>
  <c r="F77" i="5"/>
  <c r="F32" i="2"/>
  <c r="F186" i="4"/>
  <c r="H77" i="5"/>
  <c r="I77" i="5"/>
  <c r="H32" i="2"/>
  <c r="H186" i="4"/>
  <c r="K77" i="5"/>
  <c r="L32" i="2"/>
  <c r="L186" i="4"/>
  <c r="Q77" i="5"/>
  <c r="M32" i="2"/>
  <c r="M186" i="4"/>
  <c r="R77" i="5"/>
  <c r="T77" i="5"/>
  <c r="U77" i="5"/>
  <c r="P32" i="2"/>
  <c r="P186" i="4"/>
  <c r="W77" i="5"/>
  <c r="Q32" i="2"/>
  <c r="Q186" i="4"/>
  <c r="X77" i="5"/>
  <c r="S32" i="2"/>
  <c r="S186" i="4"/>
  <c r="AA77" i="5"/>
  <c r="AI186" i="4"/>
  <c r="T186" i="4" a="1"/>
  <c r="T186" i="4"/>
  <c r="AC77" i="5"/>
  <c r="AD77" i="5"/>
  <c r="X32" i="2"/>
  <c r="X186" i="4"/>
  <c r="AI77" i="5"/>
  <c r="Y32" i="2"/>
  <c r="Y186" i="4"/>
  <c r="AJ77" i="5"/>
  <c r="Z32" i="2"/>
  <c r="Z186" i="4"/>
  <c r="AL77" i="5"/>
  <c r="L77" i="5"/>
  <c r="N77" i="5"/>
  <c r="O77" i="5"/>
  <c r="Z77" i="5"/>
  <c r="AN77" i="5"/>
  <c r="AG78" i="5"/>
  <c r="AF78" i="5"/>
  <c r="C187" i="4"/>
  <c r="C78" i="5"/>
  <c r="T78" i="5"/>
  <c r="U78" i="5"/>
  <c r="P187" i="4"/>
  <c r="W78" i="5"/>
  <c r="Q187" i="4"/>
  <c r="X78" i="5"/>
  <c r="S187" i="4"/>
  <c r="AA78" i="5"/>
  <c r="X187" i="4"/>
  <c r="AI78" i="5"/>
  <c r="Y187" i="4"/>
  <c r="AJ78" i="5"/>
  <c r="Z187" i="4"/>
  <c r="AL78" i="5"/>
  <c r="Z78" i="5"/>
  <c r="AN78" i="5"/>
  <c r="AG79" i="5"/>
  <c r="AF79" i="5"/>
  <c r="B188" i="4"/>
  <c r="C188" i="4"/>
  <c r="C79" i="5"/>
  <c r="D188" i="4"/>
  <c r="E79" i="5"/>
  <c r="E188" i="4"/>
  <c r="F79" i="5"/>
  <c r="F188" i="4"/>
  <c r="H79" i="5"/>
  <c r="I79" i="5"/>
  <c r="H188" i="4"/>
  <c r="K79" i="5"/>
  <c r="L188" i="4"/>
  <c r="Q79" i="5"/>
  <c r="M188" i="4"/>
  <c r="R79" i="5"/>
  <c r="T79" i="5"/>
  <c r="U79" i="5"/>
  <c r="P188" i="4"/>
  <c r="W79" i="5"/>
  <c r="Q188" i="4"/>
  <c r="X79" i="5"/>
  <c r="S188" i="4"/>
  <c r="AA79" i="5"/>
  <c r="AI188" i="4"/>
  <c r="T188" i="4" a="1"/>
  <c r="T188" i="4"/>
  <c r="AC79" i="5"/>
  <c r="AD79" i="5"/>
  <c r="X188" i="4"/>
  <c r="AI79" i="5"/>
  <c r="Y188" i="4"/>
  <c r="AJ79" i="5"/>
  <c r="Z188" i="4"/>
  <c r="AL79" i="5"/>
  <c r="L79" i="5"/>
  <c r="N79" i="5"/>
  <c r="O79" i="5"/>
  <c r="Z79" i="5"/>
  <c r="AN79" i="5"/>
  <c r="AG80" i="5"/>
  <c r="AF80" i="5"/>
  <c r="C150" i="4"/>
  <c r="C80" i="5"/>
  <c r="D150" i="4"/>
  <c r="E80" i="5"/>
  <c r="H150" i="4"/>
  <c r="K80" i="5"/>
  <c r="L150" i="4"/>
  <c r="Q80" i="5"/>
  <c r="M150" i="4"/>
  <c r="R80" i="5"/>
  <c r="T80" i="5"/>
  <c r="O150" i="4"/>
  <c r="U80" i="5"/>
  <c r="P150" i="4"/>
  <c r="W80" i="5"/>
  <c r="Q150" i="4"/>
  <c r="X80" i="5"/>
  <c r="S150" i="4"/>
  <c r="AA80" i="5"/>
  <c r="AI150" i="4"/>
  <c r="T150" i="4" a="1"/>
  <c r="T150" i="4"/>
  <c r="AC80" i="5"/>
  <c r="U150" i="4" a="1"/>
  <c r="U150" i="4"/>
  <c r="AD80" i="5"/>
  <c r="X150" i="4"/>
  <c r="AI80" i="5"/>
  <c r="Y150" i="4"/>
  <c r="AJ80" i="5"/>
  <c r="Z150" i="4"/>
  <c r="AL80" i="5"/>
  <c r="F80" i="5"/>
  <c r="H80" i="5"/>
  <c r="I80" i="5"/>
  <c r="L80" i="5"/>
  <c r="N80" i="5"/>
  <c r="O80" i="5"/>
  <c r="Z80" i="5"/>
  <c r="AN80" i="5"/>
  <c r="AG81" i="5"/>
  <c r="AF81" i="5"/>
  <c r="C238" i="4"/>
  <c r="C81" i="5"/>
  <c r="D238" i="4"/>
  <c r="E81" i="5"/>
  <c r="K81" i="5"/>
  <c r="L238" i="4"/>
  <c r="Q81" i="5"/>
  <c r="R81" i="5"/>
  <c r="T81" i="5"/>
  <c r="O238" i="4"/>
  <c r="U81" i="5"/>
  <c r="P238" i="4"/>
  <c r="W81" i="5"/>
  <c r="Q238" i="4"/>
  <c r="X81" i="5"/>
  <c r="S238" i="4"/>
  <c r="AA81" i="5"/>
  <c r="AI238" i="4"/>
  <c r="T238" i="4" a="1"/>
  <c r="T238" i="4"/>
  <c r="AC81" i="5"/>
  <c r="U238" i="4" a="1"/>
  <c r="U238" i="4"/>
  <c r="AD81" i="5"/>
  <c r="X238" i="4"/>
  <c r="AI81" i="5"/>
  <c r="Y238" i="4"/>
  <c r="AJ81" i="5"/>
  <c r="Z238" i="4"/>
  <c r="AL81" i="5"/>
  <c r="F81" i="5"/>
  <c r="H81" i="5"/>
  <c r="I81" i="5"/>
  <c r="L81" i="5"/>
  <c r="N81" i="5"/>
  <c r="O81" i="5"/>
  <c r="Z81" i="5"/>
  <c r="AN81" i="5"/>
  <c r="AG82" i="5"/>
  <c r="AF82" i="5"/>
  <c r="C239" i="4"/>
  <c r="C82" i="5"/>
  <c r="D239" i="4"/>
  <c r="E82" i="5"/>
  <c r="K82" i="5"/>
  <c r="L239" i="4"/>
  <c r="Q82" i="5"/>
  <c r="M239" i="4"/>
  <c r="R82" i="5"/>
  <c r="T82" i="5"/>
  <c r="O239" i="4"/>
  <c r="U82" i="5"/>
  <c r="P239" i="4"/>
  <c r="W82" i="5"/>
  <c r="Q239" i="4"/>
  <c r="X82" i="5"/>
  <c r="S239" i="4"/>
  <c r="AA82" i="5"/>
  <c r="AI239" i="4"/>
  <c r="T239" i="4" a="1"/>
  <c r="T239" i="4"/>
  <c r="AC82" i="5"/>
  <c r="U239" i="4" a="1"/>
  <c r="U239" i="4"/>
  <c r="AD82" i="5"/>
  <c r="X239" i="4"/>
  <c r="AI82" i="5"/>
  <c r="Y239" i="4"/>
  <c r="AJ82" i="5"/>
  <c r="Z239" i="4"/>
  <c r="AL82" i="5"/>
  <c r="F82" i="5"/>
  <c r="H82" i="5"/>
  <c r="I82" i="5"/>
  <c r="L82" i="5"/>
  <c r="N82" i="5"/>
  <c r="O82" i="5"/>
  <c r="Z82" i="5"/>
  <c r="AN82" i="5"/>
  <c r="AG83" i="5"/>
  <c r="AF83" i="5"/>
  <c r="C240" i="4"/>
  <c r="C83" i="5"/>
  <c r="D240" i="4"/>
  <c r="E83" i="5"/>
  <c r="K83" i="5"/>
  <c r="L240" i="4"/>
  <c r="Q83" i="5"/>
  <c r="M240" i="4"/>
  <c r="R83" i="5"/>
  <c r="T83" i="5"/>
  <c r="O240" i="4"/>
  <c r="U83" i="5"/>
  <c r="P240" i="4"/>
  <c r="W83" i="5"/>
  <c r="Q240" i="4"/>
  <c r="X83" i="5"/>
  <c r="S240" i="4"/>
  <c r="AA83" i="5"/>
  <c r="AI240" i="4"/>
  <c r="T240" i="4" a="1"/>
  <c r="T240" i="4"/>
  <c r="AC83" i="5"/>
  <c r="U240" i="4" a="1"/>
  <c r="U240" i="4"/>
  <c r="AD83" i="5"/>
  <c r="X240" i="4"/>
  <c r="AI83" i="5"/>
  <c r="Y240" i="4"/>
  <c r="AJ83" i="5"/>
  <c r="Z240" i="4"/>
  <c r="AL83" i="5"/>
  <c r="F83" i="5"/>
  <c r="H83" i="5"/>
  <c r="I83" i="5"/>
  <c r="L83" i="5"/>
  <c r="N83" i="5"/>
  <c r="O83" i="5"/>
  <c r="Z83" i="5"/>
  <c r="AN83" i="5"/>
  <c r="AG84" i="5"/>
  <c r="AF84" i="5"/>
  <c r="C241" i="4"/>
  <c r="C84" i="5"/>
  <c r="D241" i="4"/>
  <c r="E84" i="5"/>
  <c r="K84" i="5"/>
  <c r="L241" i="4"/>
  <c r="Q84" i="5"/>
  <c r="M241" i="4"/>
  <c r="R84" i="5"/>
  <c r="T84" i="5"/>
  <c r="U84" i="5"/>
  <c r="P241" i="4"/>
  <c r="W84" i="5"/>
  <c r="Q241" i="4"/>
  <c r="X84" i="5"/>
  <c r="S241" i="4"/>
  <c r="AA84" i="5"/>
  <c r="AI241" i="4"/>
  <c r="T241" i="4" a="1"/>
  <c r="T241" i="4"/>
  <c r="AC84" i="5"/>
  <c r="U241" i="4" a="1"/>
  <c r="U241" i="4"/>
  <c r="AD84" i="5"/>
  <c r="X241" i="4"/>
  <c r="AI84" i="5"/>
  <c r="Y241" i="4"/>
  <c r="AJ84" i="5"/>
  <c r="Z241" i="4"/>
  <c r="AL84" i="5"/>
  <c r="F84" i="5"/>
  <c r="H84" i="5"/>
  <c r="I84" i="5"/>
  <c r="L84" i="5"/>
  <c r="N84" i="5"/>
  <c r="O84" i="5"/>
  <c r="Z84" i="5"/>
  <c r="AN84" i="5"/>
  <c r="AG85" i="5"/>
  <c r="AF85" i="5"/>
  <c r="C242" i="4"/>
  <c r="C85" i="5"/>
  <c r="D242" i="4"/>
  <c r="E85" i="5"/>
  <c r="K85" i="5"/>
  <c r="L242" i="4"/>
  <c r="Q85" i="5"/>
  <c r="M242" i="4"/>
  <c r="R85" i="5"/>
  <c r="T85" i="5"/>
  <c r="O242" i="4"/>
  <c r="U85" i="5"/>
  <c r="P242" i="4"/>
  <c r="W85" i="5"/>
  <c r="Q242" i="4"/>
  <c r="X85" i="5"/>
  <c r="S242" i="4"/>
  <c r="AA85" i="5"/>
  <c r="X242" i="4"/>
  <c r="AI85" i="5"/>
  <c r="Y242" i="4"/>
  <c r="AJ85" i="5"/>
  <c r="Z242" i="4"/>
  <c r="AL85" i="5"/>
  <c r="F85" i="5"/>
  <c r="H85" i="5"/>
  <c r="I85" i="5"/>
  <c r="L85" i="5"/>
  <c r="N85" i="5"/>
  <c r="O85" i="5"/>
  <c r="Z85" i="5"/>
  <c r="AN85" i="5"/>
  <c r="AG86" i="5"/>
  <c r="AF86" i="5"/>
  <c r="B244" i="4"/>
  <c r="C244" i="4"/>
  <c r="C86" i="5"/>
  <c r="D244" i="4"/>
  <c r="E86" i="5"/>
  <c r="K86" i="5"/>
  <c r="L244" i="4"/>
  <c r="Q86" i="5"/>
  <c r="M244" i="4"/>
  <c r="R86" i="5"/>
  <c r="T86" i="5"/>
  <c r="U86" i="5"/>
  <c r="P244" i="4"/>
  <c r="W86" i="5"/>
  <c r="Q244" i="4"/>
  <c r="X86" i="5"/>
  <c r="S244" i="4"/>
  <c r="AA86" i="5"/>
  <c r="AI244" i="4"/>
  <c r="T244" i="4" a="1"/>
  <c r="T244" i="4"/>
  <c r="AC86" i="5"/>
  <c r="U244" i="4" a="1"/>
  <c r="U244" i="4"/>
  <c r="AD86" i="5"/>
  <c r="X244" i="4"/>
  <c r="AI86" i="5"/>
  <c r="Y244" i="4"/>
  <c r="AJ86" i="5"/>
  <c r="Z244" i="4"/>
  <c r="AL86" i="5"/>
  <c r="F86" i="5"/>
  <c r="H86" i="5"/>
  <c r="I86" i="5"/>
  <c r="L86" i="5"/>
  <c r="N86" i="5"/>
  <c r="O86" i="5"/>
  <c r="Z86" i="5"/>
  <c r="AN86" i="5"/>
  <c r="AG87" i="5"/>
  <c r="AF87" i="5"/>
  <c r="B246" i="4"/>
  <c r="C246" i="4"/>
  <c r="C87" i="5"/>
  <c r="D246" i="4"/>
  <c r="E87" i="5"/>
  <c r="E246" i="4"/>
  <c r="F87" i="5"/>
  <c r="F246" i="4"/>
  <c r="H87" i="5"/>
  <c r="I87" i="5"/>
  <c r="H41" i="2"/>
  <c r="H246" i="4"/>
  <c r="K87" i="5"/>
  <c r="L246" i="4"/>
  <c r="Q87" i="5"/>
  <c r="M246" i="4"/>
  <c r="R87" i="5"/>
  <c r="T87" i="5"/>
  <c r="O246" i="4"/>
  <c r="U87" i="5"/>
  <c r="P246" i="4"/>
  <c r="W87" i="5"/>
  <c r="Q246" i="4"/>
  <c r="X87" i="5"/>
  <c r="S246" i="4"/>
  <c r="AA87" i="5"/>
  <c r="AI246" i="4"/>
  <c r="T246" i="4" a="1"/>
  <c r="T246" i="4"/>
  <c r="AC87" i="5"/>
  <c r="U246" i="4" a="1"/>
  <c r="U246" i="4"/>
  <c r="AD87" i="5"/>
  <c r="X246" i="4"/>
  <c r="AI87" i="5"/>
  <c r="Y246" i="4"/>
  <c r="AJ87" i="5"/>
  <c r="Z246" i="4"/>
  <c r="AL87" i="5"/>
  <c r="L87" i="5"/>
  <c r="N87" i="5"/>
  <c r="O87" i="5"/>
  <c r="Z87" i="5"/>
  <c r="AN87" i="5"/>
  <c r="AG88" i="5"/>
  <c r="AF88" i="5"/>
  <c r="B189" i="4"/>
  <c r="C189" i="4"/>
  <c r="C88" i="5"/>
  <c r="D189" i="4"/>
  <c r="E88" i="5"/>
  <c r="E189" i="4"/>
  <c r="F88" i="5"/>
  <c r="F189" i="4"/>
  <c r="H88" i="5"/>
  <c r="I88" i="5"/>
  <c r="H189" i="4"/>
  <c r="K88" i="5"/>
  <c r="L189" i="4"/>
  <c r="Q88" i="5"/>
  <c r="M189" i="4"/>
  <c r="R88" i="5"/>
  <c r="T88" i="5"/>
  <c r="O189" i="4"/>
  <c r="U88" i="5"/>
  <c r="P189" i="4"/>
  <c r="W88" i="5"/>
  <c r="Q189" i="4"/>
  <c r="X88" i="5"/>
  <c r="S189" i="4"/>
  <c r="AA88" i="5"/>
  <c r="AI189" i="4"/>
  <c r="T189" i="4" a="1"/>
  <c r="T189" i="4"/>
  <c r="AC88" i="5"/>
  <c r="U189" i="4" a="1"/>
  <c r="U189" i="4"/>
  <c r="AD88" i="5"/>
  <c r="X189" i="4"/>
  <c r="AI88" i="5"/>
  <c r="Y189" i="4"/>
  <c r="AJ88" i="5"/>
  <c r="Z189" i="4"/>
  <c r="AL88" i="5"/>
  <c r="L88" i="5"/>
  <c r="N88" i="5"/>
  <c r="O88" i="5"/>
  <c r="Z88" i="5"/>
  <c r="AN88" i="5"/>
  <c r="AG89" i="5"/>
  <c r="AF89" i="5"/>
  <c r="B121" i="4"/>
  <c r="C121" i="4"/>
  <c r="C89" i="5"/>
  <c r="D121" i="4"/>
  <c r="E89" i="5"/>
  <c r="E121" i="4"/>
  <c r="F89" i="5"/>
  <c r="F121" i="4"/>
  <c r="H89" i="5"/>
  <c r="I89" i="5"/>
  <c r="H121" i="4"/>
  <c r="K89" i="5"/>
  <c r="L121" i="4"/>
  <c r="Q89" i="5"/>
  <c r="M121" i="4"/>
  <c r="R89" i="5"/>
  <c r="T89" i="5"/>
  <c r="U89" i="5"/>
  <c r="P121" i="4"/>
  <c r="W89" i="5"/>
  <c r="Q121" i="4"/>
  <c r="X89" i="5"/>
  <c r="S121" i="4"/>
  <c r="AA89" i="5"/>
  <c r="AI121" i="4"/>
  <c r="T121" i="4" a="1"/>
  <c r="T121" i="4"/>
  <c r="AC89" i="5"/>
  <c r="U121" i="4" a="1"/>
  <c r="U121" i="4"/>
  <c r="AD89" i="5"/>
  <c r="X121" i="4"/>
  <c r="AI89" i="5"/>
  <c r="Y121" i="4"/>
  <c r="AJ89" i="5"/>
  <c r="Z121" i="4"/>
  <c r="AL89" i="5"/>
  <c r="L89" i="5"/>
  <c r="N89" i="5"/>
  <c r="O89" i="5"/>
  <c r="Z89" i="5"/>
  <c r="AN89" i="5"/>
  <c r="S21" i="2"/>
  <c r="B64" i="4"/>
  <c r="S64" i="4"/>
  <c r="AA90" i="5"/>
  <c r="P21" i="2"/>
  <c r="P64" i="4"/>
  <c r="W90" i="5"/>
  <c r="K21" i="2"/>
  <c r="K7" i="2"/>
  <c r="K64" i="4"/>
  <c r="O90" i="5"/>
  <c r="H21" i="2"/>
  <c r="H64" i="4"/>
  <c r="K90" i="5"/>
  <c r="W21" i="2"/>
  <c r="W64" i="4"/>
  <c r="AG90" i="5"/>
  <c r="V64" i="4"/>
  <c r="AF90" i="5"/>
  <c r="C21" i="2"/>
  <c r="C64" i="4"/>
  <c r="C90" i="5"/>
  <c r="D21" i="2"/>
  <c r="D64" i="4"/>
  <c r="E90" i="5"/>
  <c r="G21" i="2"/>
  <c r="G7" i="2"/>
  <c r="G64" i="4"/>
  <c r="I90" i="5"/>
  <c r="I21" i="2"/>
  <c r="I64" i="4"/>
  <c r="L90" i="5"/>
  <c r="J21" i="2"/>
  <c r="J64" i="4"/>
  <c r="N90" i="5"/>
  <c r="L21" i="2"/>
  <c r="L64" i="4"/>
  <c r="Q90" i="5"/>
  <c r="O21" i="2"/>
  <c r="O64" i="4"/>
  <c r="U90" i="5"/>
  <c r="Q64" i="4"/>
  <c r="X90" i="5"/>
  <c r="R21" i="2"/>
  <c r="R64" i="4"/>
  <c r="Z90" i="5"/>
  <c r="AI64" i="4"/>
  <c r="T64" i="4" a="1"/>
  <c r="T64" i="4"/>
  <c r="AC90" i="5"/>
  <c r="U64" i="4" a="1"/>
  <c r="U64" i="4"/>
  <c r="AD90" i="5"/>
  <c r="X21" i="2"/>
  <c r="X64" i="4"/>
  <c r="AI90" i="5"/>
  <c r="Y21" i="2"/>
  <c r="Y64" i="4"/>
  <c r="AJ90" i="5"/>
  <c r="Z21" i="2"/>
  <c r="Z64" i="4"/>
  <c r="AL90" i="5"/>
  <c r="R90" i="5"/>
  <c r="T90" i="5"/>
  <c r="F90" i="5"/>
  <c r="H90" i="5"/>
  <c r="AN90" i="5"/>
  <c r="S65" i="4"/>
  <c r="AA91" i="5"/>
  <c r="P65" i="4"/>
  <c r="W91" i="5"/>
  <c r="AG91" i="5"/>
  <c r="AF91" i="5"/>
  <c r="C65" i="4"/>
  <c r="C91" i="5"/>
  <c r="O65" i="4"/>
  <c r="U91" i="5"/>
  <c r="Q65" i="4"/>
  <c r="X91" i="5"/>
  <c r="R65" i="4"/>
  <c r="Z91" i="5"/>
  <c r="AI65" i="4"/>
  <c r="T65" i="4" a="1"/>
  <c r="T65" i="4"/>
  <c r="AC91" i="5"/>
  <c r="U65" i="4" a="1"/>
  <c r="U65" i="4"/>
  <c r="AD91" i="5"/>
  <c r="X65" i="4"/>
  <c r="AI91" i="5"/>
  <c r="Y65" i="4"/>
  <c r="AJ91" i="5"/>
  <c r="Z65" i="4"/>
  <c r="AL91" i="5"/>
  <c r="R91" i="5"/>
  <c r="T91" i="5"/>
  <c r="F91" i="5"/>
  <c r="H91" i="5"/>
  <c r="AN91" i="5"/>
  <c r="O92" i="5"/>
  <c r="K92" i="5"/>
  <c r="AG92" i="5"/>
  <c r="AF92" i="5"/>
  <c r="B247" i="4"/>
  <c r="C247" i="4"/>
  <c r="C92" i="5"/>
  <c r="D247" i="4"/>
  <c r="E92" i="5"/>
  <c r="I247" i="4"/>
  <c r="L92" i="5"/>
  <c r="J247" i="4"/>
  <c r="N92" i="5"/>
  <c r="L247" i="4"/>
  <c r="Q92" i="5"/>
  <c r="M247" i="4"/>
  <c r="R92" i="5"/>
  <c r="T92" i="5"/>
  <c r="U92" i="5"/>
  <c r="P247" i="4"/>
  <c r="W92" i="5"/>
  <c r="Q247" i="4"/>
  <c r="X92" i="5"/>
  <c r="S247" i="4"/>
  <c r="AA92" i="5"/>
  <c r="AI247" i="4"/>
  <c r="T247" i="4" a="1"/>
  <c r="T247" i="4"/>
  <c r="AC92" i="5"/>
  <c r="U247" i="4" a="1"/>
  <c r="U247" i="4"/>
  <c r="AD92" i="5"/>
  <c r="X247" i="4"/>
  <c r="AI92" i="5"/>
  <c r="Y247" i="4"/>
  <c r="AJ92" i="5"/>
  <c r="Z247" i="4"/>
  <c r="AL92" i="5"/>
  <c r="F92" i="5"/>
  <c r="H92" i="5"/>
  <c r="I92" i="5"/>
  <c r="Z92" i="5"/>
  <c r="AN92" i="5"/>
  <c r="AG93" i="5"/>
  <c r="AF93" i="5"/>
  <c r="C22" i="2"/>
  <c r="B271" i="4"/>
  <c r="C271" i="4"/>
  <c r="C93" i="5"/>
  <c r="D22" i="2"/>
  <c r="D271" i="4"/>
  <c r="E93" i="5"/>
  <c r="K93" i="5"/>
  <c r="L22" i="2"/>
  <c r="L271" i="4"/>
  <c r="Q93" i="5"/>
  <c r="M22" i="2"/>
  <c r="M271" i="4"/>
  <c r="R93" i="5"/>
  <c r="T93" i="5"/>
  <c r="U93" i="5"/>
  <c r="P22" i="2"/>
  <c r="P271" i="4"/>
  <c r="W93" i="5"/>
  <c r="Q22" i="2"/>
  <c r="Q271" i="4"/>
  <c r="X93" i="5"/>
  <c r="S22" i="2"/>
  <c r="S271" i="4"/>
  <c r="AA93" i="5"/>
  <c r="AI271" i="4"/>
  <c r="T271" i="4" a="1"/>
  <c r="T271" i="4"/>
  <c r="AC93" i="5"/>
  <c r="U271" i="4" a="1"/>
  <c r="U271" i="4"/>
  <c r="AD93" i="5"/>
  <c r="X22" i="2"/>
  <c r="X271" i="4"/>
  <c r="AI93" i="5"/>
  <c r="Y22" i="2"/>
  <c r="Y271" i="4"/>
  <c r="AJ93" i="5"/>
  <c r="Z22" i="2"/>
  <c r="Z271" i="4"/>
  <c r="AL93" i="5"/>
  <c r="F93" i="5"/>
  <c r="H93" i="5"/>
  <c r="I93" i="5"/>
  <c r="L93" i="5"/>
  <c r="N93" i="5"/>
  <c r="O93" i="5"/>
  <c r="Z93" i="5"/>
  <c r="AN93" i="5"/>
  <c r="AG94" i="5"/>
  <c r="AF94" i="5"/>
  <c r="B272" i="4"/>
  <c r="C272" i="4"/>
  <c r="C94" i="5"/>
  <c r="D272" i="4"/>
  <c r="E94" i="5"/>
  <c r="K94" i="5"/>
  <c r="L272" i="4"/>
  <c r="Q94" i="5"/>
  <c r="M272" i="4"/>
  <c r="R94" i="5"/>
  <c r="N272" i="4"/>
  <c r="T94" i="5"/>
  <c r="O22" i="2"/>
  <c r="O272" i="4"/>
  <c r="U94" i="5"/>
  <c r="P272" i="4"/>
  <c r="W94" i="5"/>
  <c r="Q272" i="4"/>
  <c r="X94" i="5"/>
  <c r="S272" i="4"/>
  <c r="AA94" i="5"/>
  <c r="X272" i="4"/>
  <c r="AI94" i="5"/>
  <c r="Y272" i="4"/>
  <c r="AJ94" i="5"/>
  <c r="Z272" i="4"/>
  <c r="AL94" i="5"/>
  <c r="F94" i="5"/>
  <c r="H94" i="5"/>
  <c r="I94" i="5"/>
  <c r="L94" i="5"/>
  <c r="N94" i="5"/>
  <c r="O94" i="5"/>
  <c r="Z94" i="5"/>
  <c r="AN94" i="5"/>
  <c r="AG95" i="5"/>
  <c r="AF95" i="5"/>
  <c r="B273" i="4"/>
  <c r="C273" i="4"/>
  <c r="C95" i="5"/>
  <c r="D273" i="4"/>
  <c r="E95" i="5"/>
  <c r="K95" i="5"/>
  <c r="L273" i="4"/>
  <c r="Q95" i="5"/>
  <c r="M273" i="4"/>
  <c r="R95" i="5"/>
  <c r="T95" i="5"/>
  <c r="U95" i="5"/>
  <c r="P273" i="4"/>
  <c r="W95" i="5"/>
  <c r="Q273" i="4"/>
  <c r="X95" i="5"/>
  <c r="S273" i="4"/>
  <c r="AA95" i="5"/>
  <c r="AI273" i="4"/>
  <c r="T273" i="4" a="1"/>
  <c r="T273" i="4"/>
  <c r="AC95" i="5"/>
  <c r="U273" i="4" a="1"/>
  <c r="U273" i="4"/>
  <c r="AD95" i="5"/>
  <c r="X273" i="4"/>
  <c r="AI95" i="5"/>
  <c r="Y273" i="4"/>
  <c r="AJ95" i="5"/>
  <c r="Z273" i="4"/>
  <c r="AL95" i="5"/>
  <c r="F95" i="5"/>
  <c r="H95" i="5"/>
  <c r="I95" i="5"/>
  <c r="L95" i="5"/>
  <c r="N95" i="5"/>
  <c r="O95" i="5"/>
  <c r="Z95" i="5"/>
  <c r="AN95" i="5"/>
  <c r="AG96" i="5"/>
  <c r="AF96" i="5"/>
  <c r="B203" i="4"/>
  <c r="C203" i="4"/>
  <c r="C96" i="5"/>
  <c r="D203" i="4"/>
  <c r="E96" i="5"/>
  <c r="K96" i="5"/>
  <c r="L203" i="4"/>
  <c r="Q96" i="5"/>
  <c r="M203" i="4"/>
  <c r="R96" i="5"/>
  <c r="T96" i="5"/>
  <c r="U96" i="5"/>
  <c r="P203" i="4"/>
  <c r="W96" i="5"/>
  <c r="Q203" i="4"/>
  <c r="X96" i="5"/>
  <c r="AA96" i="5"/>
  <c r="AI203" i="4"/>
  <c r="T203" i="4" a="1"/>
  <c r="T203" i="4"/>
  <c r="AC96" i="5"/>
  <c r="U203" i="4" a="1"/>
  <c r="U203" i="4"/>
  <c r="AD96" i="5"/>
  <c r="Y203" i="4"/>
  <c r="AJ96" i="5"/>
  <c r="Z203" i="4"/>
  <c r="AL96" i="5"/>
  <c r="F96" i="5"/>
  <c r="H96" i="5"/>
  <c r="I96" i="5"/>
  <c r="L96" i="5"/>
  <c r="N96" i="5"/>
  <c r="O96" i="5"/>
  <c r="Z96" i="5"/>
  <c r="AN96" i="5"/>
  <c r="AG97" i="5"/>
  <c r="AF97" i="5"/>
  <c r="C97" i="5"/>
  <c r="T97" i="5"/>
  <c r="U97" i="5"/>
  <c r="W97" i="5"/>
  <c r="X97" i="5"/>
  <c r="AA97" i="5"/>
  <c r="AC97" i="5"/>
  <c r="AD97" i="5"/>
  <c r="AI97" i="5"/>
  <c r="AJ97" i="5"/>
  <c r="AL97" i="5"/>
  <c r="Z97" i="5"/>
  <c r="AN97" i="5"/>
  <c r="AG98" i="5"/>
  <c r="AF98" i="5"/>
  <c r="B274" i="4"/>
  <c r="C274" i="4"/>
  <c r="C98" i="5"/>
  <c r="D274" i="4"/>
  <c r="E98" i="5"/>
  <c r="K98" i="5"/>
  <c r="L274" i="4"/>
  <c r="Q98" i="5"/>
  <c r="M274" i="4"/>
  <c r="R98" i="5"/>
  <c r="T98" i="5"/>
  <c r="U98" i="5"/>
  <c r="P274" i="4"/>
  <c r="W98" i="5"/>
  <c r="Q274" i="4"/>
  <c r="X98" i="5"/>
  <c r="AA98" i="5"/>
  <c r="AI274" i="4"/>
  <c r="T274" i="4" a="1"/>
  <c r="T274" i="4"/>
  <c r="AC98" i="5"/>
  <c r="U274" i="4" a="1"/>
  <c r="U274" i="4"/>
  <c r="AD98" i="5"/>
  <c r="Y274" i="4"/>
  <c r="AJ98" i="5"/>
  <c r="Z274" i="4"/>
  <c r="AL98" i="5"/>
  <c r="F98" i="5"/>
  <c r="H98" i="5"/>
  <c r="I98" i="5"/>
  <c r="L98" i="5"/>
  <c r="N98" i="5"/>
  <c r="O98" i="5"/>
  <c r="Z98" i="5"/>
  <c r="AN98" i="5"/>
  <c r="AG99" i="5"/>
  <c r="AF99" i="5"/>
  <c r="B275" i="4"/>
  <c r="C275" i="4"/>
  <c r="C99" i="5"/>
  <c r="D275" i="4"/>
  <c r="E99" i="5"/>
  <c r="K99" i="5"/>
  <c r="L275" i="4"/>
  <c r="Q99" i="5"/>
  <c r="M275" i="4"/>
  <c r="R99" i="5"/>
  <c r="T99" i="5"/>
  <c r="O25" i="2"/>
  <c r="O275" i="4"/>
  <c r="U99" i="5"/>
  <c r="P275" i="4"/>
  <c r="W99" i="5"/>
  <c r="Q275" i="4"/>
  <c r="X99" i="5"/>
  <c r="S275" i="4"/>
  <c r="AA99" i="5"/>
  <c r="AI275" i="4"/>
  <c r="T275" i="4" a="1"/>
  <c r="T275" i="4"/>
  <c r="AC99" i="5"/>
  <c r="U275" i="4" a="1"/>
  <c r="U275" i="4"/>
  <c r="AD99" i="5"/>
  <c r="X275" i="4"/>
  <c r="AI99" i="5"/>
  <c r="Y275" i="4"/>
  <c r="AJ99" i="5"/>
  <c r="Z275" i="4"/>
  <c r="AL99" i="5"/>
  <c r="F99" i="5"/>
  <c r="I99" i="5"/>
  <c r="L99" i="5"/>
  <c r="N99" i="5"/>
  <c r="O99" i="5"/>
  <c r="Z99" i="5"/>
  <c r="AN99" i="5"/>
  <c r="AG100" i="5"/>
  <c r="AF100" i="5"/>
  <c r="B276" i="4"/>
  <c r="C276" i="4"/>
  <c r="C100" i="5"/>
  <c r="D276" i="4"/>
  <c r="E100" i="5"/>
  <c r="H276" i="4"/>
  <c r="K100" i="5"/>
  <c r="L276" i="4"/>
  <c r="Q100" i="5"/>
  <c r="M276" i="4"/>
  <c r="R100" i="5"/>
  <c r="N276" i="4"/>
  <c r="T100" i="5"/>
  <c r="O276" i="4"/>
  <c r="U100" i="5"/>
  <c r="P276" i="4"/>
  <c r="W100" i="5"/>
  <c r="Q276" i="4"/>
  <c r="X100" i="5"/>
  <c r="S276" i="4"/>
  <c r="AA100" i="5"/>
  <c r="AI276" i="4"/>
  <c r="T276" i="4" a="1"/>
  <c r="T276" i="4"/>
  <c r="AC100" i="5"/>
  <c r="U276" i="4" a="1"/>
  <c r="U276" i="4"/>
  <c r="AD100" i="5"/>
  <c r="X276" i="4"/>
  <c r="AI100" i="5"/>
  <c r="Y276" i="4"/>
  <c r="AJ100" i="5"/>
  <c r="Z276" i="4"/>
  <c r="AL100" i="5"/>
  <c r="F100" i="5"/>
  <c r="I100" i="5"/>
  <c r="L100" i="5"/>
  <c r="N100" i="5"/>
  <c r="O100" i="5"/>
  <c r="Z100" i="5"/>
  <c r="AN100" i="5"/>
  <c r="O101" i="5"/>
  <c r="H152" i="4"/>
  <c r="K101" i="5"/>
  <c r="AG101" i="5"/>
  <c r="AF101" i="5"/>
  <c r="C152" i="4"/>
  <c r="C101" i="5"/>
  <c r="D152" i="4"/>
  <c r="E101" i="5"/>
  <c r="I25" i="2"/>
  <c r="I152" i="4"/>
  <c r="L101" i="5"/>
  <c r="J25" i="2"/>
  <c r="J152" i="4"/>
  <c r="N101" i="5"/>
  <c r="L152" i="4"/>
  <c r="Q101" i="5"/>
  <c r="M152" i="4"/>
  <c r="R101" i="5"/>
  <c r="T101" i="5"/>
  <c r="U101" i="5"/>
  <c r="P152" i="4"/>
  <c r="W101" i="5"/>
  <c r="Q152" i="4"/>
  <c r="X101" i="5"/>
  <c r="S152" i="4"/>
  <c r="AA101" i="5"/>
  <c r="AI152" i="4"/>
  <c r="T152" i="4" a="1"/>
  <c r="T152" i="4"/>
  <c r="AC101" i="5"/>
  <c r="U152" i="4" a="1"/>
  <c r="U152" i="4"/>
  <c r="AD101" i="5"/>
  <c r="X152" i="4"/>
  <c r="AI101" i="5"/>
  <c r="Y152" i="4"/>
  <c r="AJ101" i="5"/>
  <c r="Z152" i="4"/>
  <c r="AL101" i="5"/>
  <c r="H101" i="5"/>
  <c r="I101" i="5"/>
  <c r="F101" i="5"/>
  <c r="Z101" i="5"/>
  <c r="AN101" i="5"/>
  <c r="AG102" i="5"/>
  <c r="AF102" i="5"/>
  <c r="C26" i="2"/>
  <c r="B16" i="4"/>
  <c r="C16" i="4"/>
  <c r="C102" i="5"/>
  <c r="D26" i="2"/>
  <c r="D16" i="4"/>
  <c r="E102" i="5"/>
  <c r="E26" i="2"/>
  <c r="E16" i="4"/>
  <c r="F102" i="5"/>
  <c r="F26" i="2"/>
  <c r="F16" i="4"/>
  <c r="H102" i="5"/>
  <c r="I102" i="5"/>
  <c r="H26" i="2"/>
  <c r="H16" i="4"/>
  <c r="K102" i="5"/>
  <c r="L26" i="2"/>
  <c r="L16" i="4"/>
  <c r="Q102" i="5"/>
  <c r="M26" i="2"/>
  <c r="M16" i="4"/>
  <c r="R102" i="5"/>
  <c r="N26" i="2"/>
  <c r="N16" i="4"/>
  <c r="T102" i="5"/>
  <c r="O26" i="2"/>
  <c r="O16" i="4"/>
  <c r="U102" i="5"/>
  <c r="P26" i="2"/>
  <c r="P16" i="4"/>
  <c r="W102" i="5"/>
  <c r="Q26" i="2"/>
  <c r="Q16" i="4"/>
  <c r="X102" i="5"/>
  <c r="S26" i="2"/>
  <c r="S16" i="4"/>
  <c r="AA102" i="5"/>
  <c r="AI16" i="4"/>
  <c r="T16" i="4" a="1"/>
  <c r="T16" i="4"/>
  <c r="AC102" i="5"/>
  <c r="U16" i="4" a="1"/>
  <c r="U16" i="4"/>
  <c r="AD102" i="5"/>
  <c r="X26" i="2"/>
  <c r="X16" i="4"/>
  <c r="AI102" i="5"/>
  <c r="Y26" i="2"/>
  <c r="Y16" i="4"/>
  <c r="AJ102" i="5"/>
  <c r="Z26" i="2"/>
  <c r="Z16" i="4"/>
  <c r="AL102" i="5"/>
  <c r="L102" i="5"/>
  <c r="N102" i="5"/>
  <c r="O102" i="5"/>
  <c r="Z102" i="5"/>
  <c r="AN102" i="5"/>
  <c r="AG103" i="5"/>
  <c r="AF103" i="5"/>
  <c r="B8" i="4"/>
  <c r="C8" i="4"/>
  <c r="C103" i="5"/>
  <c r="D8" i="4"/>
  <c r="E103" i="5"/>
  <c r="E8" i="4"/>
  <c r="F103" i="5"/>
  <c r="F8" i="4"/>
  <c r="H103" i="5"/>
  <c r="I103" i="5"/>
  <c r="H8" i="4"/>
  <c r="K103" i="5"/>
  <c r="L8" i="4"/>
  <c r="Q103" i="5"/>
  <c r="M8" i="4"/>
  <c r="R103" i="5"/>
  <c r="T103" i="5"/>
  <c r="O8" i="4"/>
  <c r="U103" i="5"/>
  <c r="P8" i="4"/>
  <c r="W103" i="5"/>
  <c r="Q8" i="4"/>
  <c r="X103" i="5"/>
  <c r="S8" i="4"/>
  <c r="AA103" i="5"/>
  <c r="AI8" i="4"/>
  <c r="T8" i="4" a="1"/>
  <c r="T8" i="4"/>
  <c r="AC103" i="5"/>
  <c r="U8" i="4" a="1"/>
  <c r="U8" i="4"/>
  <c r="AD103" i="5"/>
  <c r="X8" i="4"/>
  <c r="AI103" i="5"/>
  <c r="Y8" i="4"/>
  <c r="AJ103" i="5"/>
  <c r="Z8" i="4"/>
  <c r="AL103" i="5"/>
  <c r="L103" i="5"/>
  <c r="N103" i="5"/>
  <c r="O103" i="5"/>
  <c r="Z103" i="5"/>
  <c r="AN103" i="5"/>
  <c r="AG104" i="5"/>
  <c r="AF104" i="5"/>
  <c r="C43" i="2"/>
  <c r="B9" i="4"/>
  <c r="C9" i="4"/>
  <c r="C104" i="5"/>
  <c r="D43" i="2"/>
  <c r="D9" i="4"/>
  <c r="E104" i="5"/>
  <c r="E43" i="2"/>
  <c r="E9" i="4"/>
  <c r="F104" i="5"/>
  <c r="F43" i="2"/>
  <c r="F9" i="4"/>
  <c r="H104" i="5"/>
  <c r="I104" i="5"/>
  <c r="H43" i="2"/>
  <c r="H9" i="4"/>
  <c r="K104" i="5"/>
  <c r="L43" i="2"/>
  <c r="L9" i="4"/>
  <c r="Q104" i="5"/>
  <c r="M43" i="2"/>
  <c r="M9" i="4"/>
  <c r="R104" i="5"/>
  <c r="T104" i="5"/>
  <c r="O43" i="2"/>
  <c r="O9" i="4"/>
  <c r="U104" i="5"/>
  <c r="P43" i="2"/>
  <c r="P9" i="4"/>
  <c r="W104" i="5"/>
  <c r="Q43" i="2"/>
  <c r="Q9" i="4"/>
  <c r="X104" i="5"/>
  <c r="S43" i="2"/>
  <c r="S9" i="4"/>
  <c r="AA104" i="5"/>
  <c r="AI9" i="4"/>
  <c r="T9" i="4" a="1"/>
  <c r="T9" i="4"/>
  <c r="AC104" i="5"/>
  <c r="U9" i="4" a="1"/>
  <c r="U9" i="4"/>
  <c r="AD104" i="5"/>
  <c r="X43" i="2"/>
  <c r="X9" i="4"/>
  <c r="AI104" i="5"/>
  <c r="Y43" i="2"/>
  <c r="Y9" i="4"/>
  <c r="AJ104" i="5"/>
  <c r="Z43" i="2"/>
  <c r="Z9" i="4"/>
  <c r="AL104" i="5"/>
  <c r="L104" i="5"/>
  <c r="N104" i="5"/>
  <c r="O104" i="5"/>
  <c r="Z104" i="5"/>
  <c r="AN104" i="5"/>
  <c r="AG105" i="5"/>
  <c r="AF105" i="5"/>
  <c r="C153" i="4"/>
  <c r="C105" i="5"/>
  <c r="D153" i="4"/>
  <c r="E105" i="5"/>
  <c r="E39" i="2"/>
  <c r="E153" i="4"/>
  <c r="F105" i="5"/>
  <c r="F39" i="2"/>
  <c r="F153" i="4"/>
  <c r="H105" i="5"/>
  <c r="I105" i="5"/>
  <c r="K105" i="5"/>
  <c r="L153" i="4"/>
  <c r="Q105" i="5"/>
  <c r="M153" i="4"/>
  <c r="R105" i="5"/>
  <c r="T105" i="5"/>
  <c r="O153" i="4"/>
  <c r="U105" i="5"/>
  <c r="P153" i="4"/>
  <c r="W105" i="5"/>
  <c r="Q153" i="4"/>
  <c r="X105" i="5"/>
  <c r="S153" i="4"/>
  <c r="AA105" i="5"/>
  <c r="AI153" i="4"/>
  <c r="T153" i="4" a="1"/>
  <c r="T153" i="4"/>
  <c r="AC105" i="5"/>
  <c r="U153" i="4" a="1"/>
  <c r="U153" i="4"/>
  <c r="AD105" i="5"/>
  <c r="X153" i="4"/>
  <c r="AI105" i="5"/>
  <c r="Y153" i="4"/>
  <c r="AJ105" i="5"/>
  <c r="Z153" i="4"/>
  <c r="AL105" i="5"/>
  <c r="L105" i="5"/>
  <c r="N105" i="5"/>
  <c r="O105" i="5"/>
  <c r="Z105" i="5"/>
  <c r="AN105" i="5"/>
  <c r="AG106" i="5"/>
  <c r="AF106" i="5"/>
  <c r="B210" i="4"/>
  <c r="C210" i="4"/>
  <c r="C106" i="5"/>
  <c r="D210" i="4"/>
  <c r="E106" i="5"/>
  <c r="E210" i="4"/>
  <c r="F106" i="5"/>
  <c r="F210" i="4"/>
  <c r="H106" i="5"/>
  <c r="I106" i="5"/>
  <c r="H210" i="4"/>
  <c r="K106" i="5"/>
  <c r="L210" i="4"/>
  <c r="Q106" i="5"/>
  <c r="M210" i="4"/>
  <c r="R106" i="5"/>
  <c r="T106" i="5"/>
  <c r="U106" i="5"/>
  <c r="P210" i="4"/>
  <c r="W106" i="5"/>
  <c r="Q210" i="4"/>
  <c r="X106" i="5"/>
  <c r="S210" i="4"/>
  <c r="AA106" i="5"/>
  <c r="AI210" i="4"/>
  <c r="T210" i="4" a="1"/>
  <c r="T210" i="4"/>
  <c r="AC106" i="5"/>
  <c r="U210" i="4" a="1"/>
  <c r="U210" i="4"/>
  <c r="AD106" i="5"/>
  <c r="X210" i="4"/>
  <c r="AI106" i="5"/>
  <c r="Y210" i="4"/>
  <c r="AJ106" i="5"/>
  <c r="Z210" i="4"/>
  <c r="AL106" i="5"/>
  <c r="L106" i="5"/>
  <c r="N106" i="5"/>
  <c r="O106" i="5"/>
  <c r="Z106" i="5"/>
  <c r="AN106" i="5"/>
  <c r="AG107" i="5"/>
  <c r="AF107" i="5"/>
  <c r="C220" i="4"/>
  <c r="C107" i="5"/>
  <c r="D220" i="4"/>
  <c r="E107" i="5"/>
  <c r="E22" i="2"/>
  <c r="E220" i="4"/>
  <c r="F107" i="5"/>
  <c r="F22" i="2"/>
  <c r="F220" i="4"/>
  <c r="H107" i="5"/>
  <c r="I107" i="5"/>
  <c r="H22" i="2"/>
  <c r="H220" i="4"/>
  <c r="K107" i="5"/>
  <c r="L220" i="4"/>
  <c r="Q107" i="5"/>
  <c r="M220" i="4"/>
  <c r="R107" i="5"/>
  <c r="T107" i="5"/>
  <c r="U107" i="5"/>
  <c r="P220" i="4"/>
  <c r="W107" i="5"/>
  <c r="Q220" i="4"/>
  <c r="X107" i="5"/>
  <c r="S220" i="4"/>
  <c r="AA107" i="5"/>
  <c r="AI220" i="4"/>
  <c r="T220" i="4" a="1"/>
  <c r="T220" i="4"/>
  <c r="AC107" i="5"/>
  <c r="U220" i="4" a="1"/>
  <c r="U220" i="4"/>
  <c r="AD107" i="5"/>
  <c r="AI107" i="5"/>
  <c r="Y220" i="4"/>
  <c r="AJ107" i="5"/>
  <c r="Z220" i="4"/>
  <c r="AL107" i="5"/>
  <c r="L107" i="5"/>
  <c r="N107" i="5"/>
  <c r="O107" i="5"/>
  <c r="Z107" i="5"/>
  <c r="AN107" i="5"/>
  <c r="AG108" i="5"/>
  <c r="AF108" i="5"/>
  <c r="C221" i="4"/>
  <c r="C108" i="5"/>
  <c r="D221" i="4"/>
  <c r="E108" i="5"/>
  <c r="E221" i="4"/>
  <c r="F108" i="5"/>
  <c r="F221" i="4"/>
  <c r="H108" i="5"/>
  <c r="I108" i="5"/>
  <c r="H221" i="4"/>
  <c r="K108" i="5"/>
  <c r="L221" i="4"/>
  <c r="Q108" i="5"/>
  <c r="M221" i="4"/>
  <c r="R108" i="5"/>
  <c r="T108" i="5"/>
  <c r="U108" i="5"/>
  <c r="P221" i="4"/>
  <c r="W108" i="5"/>
  <c r="Q221" i="4"/>
  <c r="X108" i="5"/>
  <c r="S221" i="4"/>
  <c r="AA108" i="5"/>
  <c r="AI221" i="4"/>
  <c r="T221" i="4" a="1"/>
  <c r="T221" i="4"/>
  <c r="AC108" i="5"/>
  <c r="U221" i="4" a="1"/>
  <c r="U221" i="4"/>
  <c r="AD108" i="5"/>
  <c r="AI108" i="5"/>
  <c r="Y221" i="4"/>
  <c r="AJ108" i="5"/>
  <c r="Z221" i="4"/>
  <c r="AL108" i="5"/>
  <c r="L108" i="5"/>
  <c r="N108" i="5"/>
  <c r="O108" i="5"/>
  <c r="Z108" i="5"/>
  <c r="AN108" i="5"/>
  <c r="AG109" i="5"/>
  <c r="AF109" i="5"/>
  <c r="B68" i="4"/>
  <c r="C68" i="4"/>
  <c r="C109" i="5"/>
  <c r="D68" i="4"/>
  <c r="E109" i="5"/>
  <c r="H15" i="2"/>
  <c r="H68" i="4"/>
  <c r="K109" i="5"/>
  <c r="L68" i="4"/>
  <c r="Q109" i="5"/>
  <c r="M68" i="4"/>
  <c r="R109" i="5"/>
  <c r="T109" i="5"/>
  <c r="O68" i="4"/>
  <c r="U109" i="5"/>
  <c r="P68" i="4"/>
  <c r="W109" i="5"/>
  <c r="Q68" i="4"/>
  <c r="X109" i="5"/>
  <c r="S68" i="4"/>
  <c r="AA109" i="5"/>
  <c r="AI68" i="4"/>
  <c r="T68" i="4" a="1"/>
  <c r="T68" i="4"/>
  <c r="AC109" i="5"/>
  <c r="U68" i="4" a="1"/>
  <c r="U68" i="4"/>
  <c r="AD109" i="5"/>
  <c r="X68" i="4"/>
  <c r="AI109" i="5"/>
  <c r="Y68" i="4"/>
  <c r="AJ109" i="5"/>
  <c r="Z68" i="4"/>
  <c r="AL109" i="5"/>
  <c r="F109" i="5"/>
  <c r="H109" i="5"/>
  <c r="I109" i="5"/>
  <c r="L109" i="5"/>
  <c r="N109" i="5"/>
  <c r="O109" i="5"/>
  <c r="Z109" i="5"/>
  <c r="AN109" i="5"/>
  <c r="AG110" i="5"/>
  <c r="AF110" i="5"/>
  <c r="C122" i="4"/>
  <c r="C110" i="5"/>
  <c r="D122" i="4"/>
  <c r="E110" i="5"/>
  <c r="E40" i="2"/>
  <c r="E122" i="4"/>
  <c r="F110" i="5"/>
  <c r="F40" i="2"/>
  <c r="F122" i="4"/>
  <c r="H110" i="5"/>
  <c r="I110" i="5"/>
  <c r="H122" i="4"/>
  <c r="K110" i="5"/>
  <c r="L122" i="4"/>
  <c r="Q110" i="5"/>
  <c r="M122" i="4"/>
  <c r="R110" i="5"/>
  <c r="T110" i="5"/>
  <c r="O32" i="2"/>
  <c r="O122" i="4"/>
  <c r="U110" i="5"/>
  <c r="P122" i="4"/>
  <c r="W110" i="5"/>
  <c r="Q122" i="4"/>
  <c r="X110" i="5"/>
  <c r="S122" i="4"/>
  <c r="AA110" i="5"/>
  <c r="AI122" i="4"/>
  <c r="T122" i="4" a="1"/>
  <c r="T122" i="4"/>
  <c r="AC110" i="5"/>
  <c r="U122" i="4" a="1"/>
  <c r="U122" i="4"/>
  <c r="AD110" i="5"/>
  <c r="X122" i="4"/>
  <c r="AI110" i="5"/>
  <c r="Y122" i="4"/>
  <c r="AJ110" i="5"/>
  <c r="Z122" i="4"/>
  <c r="AL110" i="5"/>
  <c r="L110" i="5"/>
  <c r="N110" i="5"/>
  <c r="O110" i="5"/>
  <c r="Z110" i="5"/>
  <c r="AN110" i="5"/>
  <c r="AG111" i="5"/>
  <c r="AF111" i="5"/>
  <c r="C123" i="4"/>
  <c r="C111" i="5"/>
  <c r="D123" i="4"/>
  <c r="E111" i="5"/>
  <c r="H123" i="4"/>
  <c r="K111" i="5"/>
  <c r="L123" i="4"/>
  <c r="Q111" i="5"/>
  <c r="M123" i="4"/>
  <c r="R111" i="5"/>
  <c r="T111" i="5"/>
  <c r="O123" i="4"/>
  <c r="U111" i="5"/>
  <c r="P123" i="4"/>
  <c r="W111" i="5"/>
  <c r="Q123" i="4"/>
  <c r="X111" i="5"/>
  <c r="S123" i="4"/>
  <c r="AA111" i="5"/>
  <c r="AI123" i="4"/>
  <c r="T123" i="4" a="1"/>
  <c r="T123" i="4"/>
  <c r="AC111" i="5"/>
  <c r="U123" i="4" a="1"/>
  <c r="U123" i="4"/>
  <c r="AD111" i="5"/>
  <c r="X123" i="4"/>
  <c r="AI111" i="5"/>
  <c r="Y123" i="4"/>
  <c r="AJ111" i="5"/>
  <c r="Z123" i="4"/>
  <c r="AL111" i="5"/>
  <c r="F111" i="5"/>
  <c r="H111" i="5"/>
  <c r="I111" i="5"/>
  <c r="L111" i="5"/>
  <c r="N111" i="5"/>
  <c r="O111" i="5"/>
  <c r="Z111" i="5"/>
  <c r="AN111" i="5"/>
  <c r="AG112" i="5"/>
  <c r="AF112" i="5"/>
  <c r="C124" i="4"/>
  <c r="C112" i="5"/>
  <c r="D124" i="4"/>
  <c r="E112" i="5"/>
  <c r="H124" i="4"/>
  <c r="K112" i="5"/>
  <c r="L124" i="4"/>
  <c r="Q112" i="5"/>
  <c r="M124" i="4"/>
  <c r="R112" i="5"/>
  <c r="T112" i="5"/>
  <c r="O124" i="4"/>
  <c r="U112" i="5"/>
  <c r="P124" i="4"/>
  <c r="W112" i="5"/>
  <c r="Q124" i="4"/>
  <c r="X112" i="5"/>
  <c r="S124" i="4"/>
  <c r="AA112" i="5"/>
  <c r="AI124" i="4"/>
  <c r="T124" i="4" a="1"/>
  <c r="T124" i="4"/>
  <c r="AC112" i="5"/>
  <c r="U124" i="4" a="1"/>
  <c r="U124" i="4"/>
  <c r="AD112" i="5"/>
  <c r="X124" i="4"/>
  <c r="AI112" i="5"/>
  <c r="Y124" i="4"/>
  <c r="AJ112" i="5"/>
  <c r="Z124" i="4"/>
  <c r="AL112" i="5"/>
  <c r="F112" i="5"/>
  <c r="H112" i="5"/>
  <c r="I112" i="5"/>
  <c r="L112" i="5"/>
  <c r="N112" i="5"/>
  <c r="O112" i="5"/>
  <c r="Z112" i="5"/>
  <c r="AN112" i="5"/>
  <c r="AG113" i="5"/>
  <c r="AF113" i="5"/>
  <c r="C154" i="4"/>
  <c r="C113" i="5"/>
  <c r="D154" i="4"/>
  <c r="E113" i="5"/>
  <c r="H154" i="4"/>
  <c r="K113" i="5"/>
  <c r="L154" i="4"/>
  <c r="Q113" i="5"/>
  <c r="M154" i="4"/>
  <c r="R113" i="5"/>
  <c r="T113" i="5"/>
  <c r="O154" i="4"/>
  <c r="U113" i="5"/>
  <c r="P154" i="4"/>
  <c r="W113" i="5"/>
  <c r="Q154" i="4"/>
  <c r="X113" i="5"/>
  <c r="S154" i="4"/>
  <c r="AA113" i="5"/>
  <c r="AI154" i="4"/>
  <c r="T154" i="4" a="1"/>
  <c r="T154" i="4"/>
  <c r="AC113" i="5"/>
  <c r="U154" i="4" a="1"/>
  <c r="U154" i="4"/>
  <c r="AD113" i="5"/>
  <c r="X154" i="4"/>
  <c r="AI113" i="5"/>
  <c r="Y154" i="4"/>
  <c r="AJ113" i="5"/>
  <c r="Z154" i="4"/>
  <c r="AL113" i="5"/>
  <c r="F113" i="5"/>
  <c r="H113" i="5"/>
  <c r="I113" i="5"/>
  <c r="L113" i="5"/>
  <c r="N113" i="5"/>
  <c r="O113" i="5"/>
  <c r="Z113" i="5"/>
  <c r="AN113" i="5"/>
  <c r="AG114" i="5"/>
  <c r="AF114" i="5"/>
  <c r="B211" i="4"/>
  <c r="C211" i="4"/>
  <c r="C114" i="5"/>
  <c r="D211" i="4"/>
  <c r="E114" i="5"/>
  <c r="K114" i="5"/>
  <c r="L211" i="4"/>
  <c r="Q114" i="5"/>
  <c r="M211" i="4"/>
  <c r="R114" i="5"/>
  <c r="T114" i="5"/>
  <c r="O211" i="4"/>
  <c r="U114" i="5"/>
  <c r="P211" i="4"/>
  <c r="W114" i="5"/>
  <c r="Q211" i="4"/>
  <c r="X114" i="5"/>
  <c r="S211" i="4"/>
  <c r="AA114" i="5"/>
  <c r="AI211" i="4"/>
  <c r="T211" i="4" a="1"/>
  <c r="T211" i="4"/>
  <c r="AC114" i="5"/>
  <c r="U211" i="4" a="1"/>
  <c r="U211" i="4"/>
  <c r="AD114" i="5"/>
  <c r="X211" i="4"/>
  <c r="AI114" i="5"/>
  <c r="Y211" i="4"/>
  <c r="AJ114" i="5"/>
  <c r="Z211" i="4"/>
  <c r="AL114" i="5"/>
  <c r="F114" i="5"/>
  <c r="H114" i="5"/>
  <c r="I114" i="5"/>
  <c r="L114" i="5"/>
  <c r="N114" i="5"/>
  <c r="O114" i="5"/>
  <c r="Z114" i="5"/>
  <c r="AN114" i="5"/>
  <c r="AG115" i="5"/>
  <c r="AF115" i="5"/>
  <c r="B108" i="4"/>
  <c r="C108" i="4"/>
  <c r="C115" i="5"/>
  <c r="D108" i="4"/>
  <c r="E115" i="5"/>
  <c r="H24" i="2"/>
  <c r="H108" i="4"/>
  <c r="K115" i="5"/>
  <c r="L108" i="4"/>
  <c r="Q115" i="5"/>
  <c r="M108" i="4"/>
  <c r="R115" i="5"/>
  <c r="T115" i="5"/>
  <c r="U115" i="5"/>
  <c r="P108" i="4"/>
  <c r="W115" i="5"/>
  <c r="Q108" i="4"/>
  <c r="X115" i="5"/>
  <c r="AA115" i="5"/>
  <c r="AI108" i="4"/>
  <c r="T108" i="4" a="1"/>
  <c r="T108" i="4"/>
  <c r="AC115" i="5"/>
  <c r="U108" i="4" a="1"/>
  <c r="U108" i="4"/>
  <c r="AD115" i="5"/>
  <c r="X108" i="4"/>
  <c r="AI115" i="5"/>
  <c r="Y108" i="4"/>
  <c r="AJ115" i="5"/>
  <c r="Z108" i="4"/>
  <c r="AL115" i="5"/>
  <c r="F115" i="5"/>
  <c r="H115" i="5"/>
  <c r="I115" i="5"/>
  <c r="L115" i="5"/>
  <c r="N115" i="5"/>
  <c r="O115" i="5"/>
  <c r="Z115" i="5"/>
  <c r="AN115" i="5"/>
  <c r="O116" i="5"/>
  <c r="K116" i="5"/>
  <c r="AG116" i="5"/>
  <c r="AF116" i="5"/>
  <c r="B69" i="4"/>
  <c r="C69" i="4"/>
  <c r="C116" i="5"/>
  <c r="D69" i="4"/>
  <c r="E116" i="5"/>
  <c r="E14" i="2"/>
  <c r="E11" i="2"/>
  <c r="E69" i="4"/>
  <c r="F116" i="5"/>
  <c r="F14" i="2"/>
  <c r="F11" i="2"/>
  <c r="F69" i="4"/>
  <c r="H116" i="5"/>
  <c r="I116" i="5"/>
  <c r="I11" i="2"/>
  <c r="I69" i="4"/>
  <c r="L116" i="5"/>
  <c r="J11" i="2"/>
  <c r="J69" i="4"/>
  <c r="N116" i="5"/>
  <c r="L69" i="4"/>
  <c r="Q116" i="5"/>
  <c r="M69" i="4"/>
  <c r="R116" i="5"/>
  <c r="T116" i="5"/>
  <c r="U116" i="5"/>
  <c r="P69" i="4"/>
  <c r="W116" i="5"/>
  <c r="AA116" i="5"/>
  <c r="AI69" i="4"/>
  <c r="T69" i="4" a="1"/>
  <c r="T69" i="4"/>
  <c r="AC116" i="5"/>
  <c r="U69" i="4" a="1"/>
  <c r="U69" i="4"/>
  <c r="AD116" i="5"/>
  <c r="Y69" i="4"/>
  <c r="AJ116" i="5"/>
  <c r="Z69" i="4"/>
  <c r="AL116" i="5"/>
  <c r="X116" i="5"/>
  <c r="Z116" i="5"/>
  <c r="AN116" i="5"/>
  <c r="AG117" i="5"/>
  <c r="AF117" i="5"/>
  <c r="B190" i="4"/>
  <c r="C190" i="4"/>
  <c r="C117" i="5"/>
  <c r="D190" i="4"/>
  <c r="E117" i="5"/>
  <c r="K117" i="5"/>
  <c r="L190" i="4"/>
  <c r="Q117" i="5"/>
  <c r="M190" i="4"/>
  <c r="R117" i="5"/>
  <c r="T117" i="5"/>
  <c r="U117" i="5"/>
  <c r="P190" i="4"/>
  <c r="W117" i="5"/>
  <c r="Q190" i="4"/>
  <c r="X117" i="5"/>
  <c r="S190" i="4"/>
  <c r="AA117" i="5"/>
  <c r="AI190" i="4"/>
  <c r="T190" i="4" a="1"/>
  <c r="T190" i="4"/>
  <c r="AC117" i="5"/>
  <c r="U190" i="4" a="1"/>
  <c r="U190" i="4"/>
  <c r="AD117" i="5"/>
  <c r="X190" i="4"/>
  <c r="AI117" i="5"/>
  <c r="F117" i="5"/>
  <c r="H117" i="5"/>
  <c r="I117" i="5"/>
  <c r="L117" i="5"/>
  <c r="N117" i="5"/>
  <c r="O117" i="5"/>
  <c r="Z117" i="5"/>
  <c r="AN117" i="5"/>
  <c r="AA118" i="5"/>
  <c r="B2" i="4"/>
  <c r="P2" i="4"/>
  <c r="W118" i="5"/>
  <c r="AG118" i="5"/>
  <c r="AF118" i="5"/>
  <c r="C2" i="4"/>
  <c r="C118" i="5"/>
  <c r="D2" i="4"/>
  <c r="E118" i="5"/>
  <c r="K118" i="5"/>
  <c r="L2" i="4"/>
  <c r="Q118" i="5"/>
  <c r="M2" i="4"/>
  <c r="R118" i="5"/>
  <c r="T118" i="5"/>
  <c r="U118" i="5"/>
  <c r="Q2" i="4"/>
  <c r="X118" i="5"/>
  <c r="R20" i="2"/>
  <c r="R14" i="2"/>
  <c r="R2" i="4"/>
  <c r="Z118" i="5"/>
  <c r="AI2" i="4"/>
  <c r="T2" i="4" a="1"/>
  <c r="T2" i="4"/>
  <c r="AC118" i="5"/>
  <c r="U2" i="4" a="1"/>
  <c r="U2" i="4"/>
  <c r="AD118" i="5"/>
  <c r="Y2" i="4"/>
  <c r="AJ118" i="5"/>
  <c r="Z2" i="4"/>
  <c r="AL118" i="5"/>
  <c r="F118" i="5"/>
  <c r="H118" i="5"/>
  <c r="I118" i="5"/>
  <c r="L118" i="5"/>
  <c r="N118" i="5"/>
  <c r="O118" i="5"/>
  <c r="AN118" i="5"/>
  <c r="AG119" i="5"/>
  <c r="AF119" i="5"/>
  <c r="B191" i="4"/>
  <c r="C191" i="4"/>
  <c r="C119" i="5"/>
  <c r="D191" i="4"/>
  <c r="E119" i="5"/>
  <c r="E191" i="4"/>
  <c r="F119" i="5"/>
  <c r="F191" i="4"/>
  <c r="H119" i="5"/>
  <c r="I119" i="5"/>
  <c r="K119" i="5"/>
  <c r="L191" i="4"/>
  <c r="Q119" i="5"/>
  <c r="M191" i="4"/>
  <c r="R119" i="5"/>
  <c r="T119" i="5"/>
  <c r="O191" i="4"/>
  <c r="U119" i="5"/>
  <c r="P191" i="4"/>
  <c r="W119" i="5"/>
  <c r="Q191" i="4"/>
  <c r="X119" i="5"/>
  <c r="AA119" i="5"/>
  <c r="AI191" i="4"/>
  <c r="T191" i="4" a="1"/>
  <c r="T191" i="4"/>
  <c r="AC119" i="5"/>
  <c r="U191" i="4" a="1"/>
  <c r="U191" i="4"/>
  <c r="AD119" i="5"/>
  <c r="X191" i="4"/>
  <c r="AI119" i="5"/>
  <c r="Y191" i="4"/>
  <c r="AJ119" i="5"/>
  <c r="Z191" i="4"/>
  <c r="AL119" i="5"/>
  <c r="L119" i="5"/>
  <c r="N119" i="5"/>
  <c r="O119" i="5"/>
  <c r="Z119" i="5"/>
  <c r="AN119" i="5"/>
  <c r="AG120" i="5"/>
  <c r="AF120" i="5"/>
  <c r="B18" i="4"/>
  <c r="C18" i="4"/>
  <c r="C120" i="5"/>
  <c r="D18" i="4"/>
  <c r="E120" i="5"/>
  <c r="H18" i="4"/>
  <c r="K120" i="5"/>
  <c r="L18" i="4"/>
  <c r="Q120" i="5"/>
  <c r="M18" i="4"/>
  <c r="R120" i="5"/>
  <c r="T120" i="5"/>
  <c r="O18" i="4"/>
  <c r="U120" i="5"/>
  <c r="W120" i="5"/>
  <c r="Q18" i="4"/>
  <c r="X120" i="5"/>
  <c r="AA120" i="5"/>
  <c r="AI18" i="4"/>
  <c r="T18" i="4" a="1"/>
  <c r="T18" i="4"/>
  <c r="AC120" i="5"/>
  <c r="U18" i="4" a="1"/>
  <c r="U18" i="4"/>
  <c r="AD120" i="5"/>
  <c r="Y18" i="4"/>
  <c r="AJ120" i="5"/>
  <c r="Z18" i="4"/>
  <c r="AL120" i="5"/>
  <c r="F120" i="5"/>
  <c r="H120" i="5"/>
  <c r="I120" i="5"/>
  <c r="L120" i="5"/>
  <c r="N120" i="5"/>
  <c r="O120" i="5"/>
  <c r="Z120" i="5"/>
  <c r="AN120" i="5"/>
  <c r="AG121" i="5"/>
  <c r="AF121" i="5"/>
  <c r="B70" i="4"/>
  <c r="C70" i="4"/>
  <c r="C121" i="5"/>
  <c r="D70" i="4"/>
  <c r="E121" i="5"/>
  <c r="H70" i="4"/>
  <c r="K121" i="5"/>
  <c r="L70" i="4"/>
  <c r="Q121" i="5"/>
  <c r="M70" i="4"/>
  <c r="R121" i="5"/>
  <c r="N70" i="4"/>
  <c r="T121" i="5"/>
  <c r="U121" i="5"/>
  <c r="W121" i="5"/>
  <c r="Q70" i="4"/>
  <c r="X121" i="5"/>
  <c r="AA121" i="5"/>
  <c r="AI70" i="4"/>
  <c r="T70" i="4" a="1"/>
  <c r="T70" i="4"/>
  <c r="AC121" i="5"/>
  <c r="U70" i="4" a="1"/>
  <c r="U70" i="4"/>
  <c r="AD121" i="5"/>
  <c r="X70" i="4"/>
  <c r="AI121" i="5"/>
  <c r="Y70" i="4"/>
  <c r="AJ121" i="5"/>
  <c r="Z70" i="4"/>
  <c r="AL121" i="5"/>
  <c r="F121" i="5"/>
  <c r="H121" i="5"/>
  <c r="I121" i="5"/>
  <c r="L121" i="5"/>
  <c r="N121" i="5"/>
  <c r="O121" i="5"/>
  <c r="Z121" i="5"/>
  <c r="AN121" i="5"/>
  <c r="AG122" i="5"/>
  <c r="AF122" i="5"/>
  <c r="B19" i="4"/>
  <c r="C19" i="4"/>
  <c r="C122" i="5"/>
  <c r="D19" i="4"/>
  <c r="E122" i="5"/>
  <c r="H19" i="4"/>
  <c r="K122" i="5"/>
  <c r="L19" i="4"/>
  <c r="Q122" i="5"/>
  <c r="R122" i="5"/>
  <c r="T122" i="5"/>
  <c r="O19" i="4"/>
  <c r="U122" i="5"/>
  <c r="P19" i="4"/>
  <c r="W122" i="5"/>
  <c r="Q19" i="4"/>
  <c r="X122" i="5"/>
  <c r="AA122" i="5"/>
  <c r="AI19" i="4"/>
  <c r="T19" i="4" a="1"/>
  <c r="T19" i="4"/>
  <c r="AC122" i="5"/>
  <c r="U19" i="4" a="1"/>
  <c r="U19" i="4"/>
  <c r="AD122" i="5"/>
  <c r="Y19" i="4"/>
  <c r="AJ122" i="5"/>
  <c r="Z19" i="4"/>
  <c r="AL122" i="5"/>
  <c r="F122" i="5"/>
  <c r="H122" i="5"/>
  <c r="I122" i="5"/>
  <c r="L122" i="5"/>
  <c r="N122" i="5"/>
  <c r="O122" i="5"/>
  <c r="Z122" i="5"/>
  <c r="AN122" i="5"/>
  <c r="O123" i="5"/>
  <c r="B248" i="4"/>
  <c r="H248" i="4"/>
  <c r="K123" i="5"/>
  <c r="AG123" i="5"/>
  <c r="AF123" i="5"/>
  <c r="C42" i="2"/>
  <c r="C248" i="4"/>
  <c r="C123" i="5"/>
  <c r="D248" i="4"/>
  <c r="E123" i="5"/>
  <c r="E248" i="4"/>
  <c r="F123" i="5"/>
  <c r="F248" i="4"/>
  <c r="H123" i="5"/>
  <c r="I123" i="5"/>
  <c r="I42" i="2"/>
  <c r="I248" i="4"/>
  <c r="L123" i="5"/>
  <c r="J42" i="2"/>
  <c r="J248" i="4"/>
  <c r="N123" i="5"/>
  <c r="L248" i="4"/>
  <c r="Q123" i="5"/>
  <c r="M248" i="4"/>
  <c r="R123" i="5"/>
  <c r="T123" i="5"/>
  <c r="O42" i="2"/>
  <c r="O248" i="4"/>
  <c r="U123" i="5"/>
  <c r="P42" i="2"/>
  <c r="P248" i="4"/>
  <c r="W123" i="5"/>
  <c r="Q42" i="2"/>
  <c r="Q248" i="4"/>
  <c r="X123" i="5"/>
  <c r="S248" i="4"/>
  <c r="AA123" i="5"/>
  <c r="AI248" i="4"/>
  <c r="T248" i="4" a="1"/>
  <c r="T248" i="4"/>
  <c r="AC123" i="5"/>
  <c r="U248" i="4" a="1"/>
  <c r="U248" i="4"/>
  <c r="AD123" i="5"/>
  <c r="X42" i="2"/>
  <c r="X248" i="4"/>
  <c r="AI123" i="5"/>
  <c r="Y42" i="2"/>
  <c r="Y248" i="4"/>
  <c r="AJ123" i="5"/>
  <c r="Z42" i="2"/>
  <c r="Z248" i="4"/>
  <c r="AL123" i="5"/>
  <c r="Z123" i="5"/>
  <c r="AN123" i="5"/>
  <c r="AG124" i="5"/>
  <c r="AF124" i="5"/>
  <c r="B71" i="4"/>
  <c r="C71" i="4"/>
  <c r="C124" i="5"/>
  <c r="D71" i="4"/>
  <c r="E124" i="5"/>
  <c r="H71" i="4"/>
  <c r="K124" i="5"/>
  <c r="L71" i="4"/>
  <c r="Q124" i="5"/>
  <c r="M71" i="4"/>
  <c r="R124" i="5"/>
  <c r="T124" i="5"/>
  <c r="O71" i="4"/>
  <c r="U124" i="5"/>
  <c r="P71" i="4"/>
  <c r="W124" i="5"/>
  <c r="Q71" i="4"/>
  <c r="X124" i="5"/>
  <c r="AA124" i="5"/>
  <c r="AI71" i="4"/>
  <c r="T71" i="4" a="1"/>
  <c r="T71" i="4"/>
  <c r="AC124" i="5"/>
  <c r="U71" i="4" a="1"/>
  <c r="U71" i="4"/>
  <c r="AD124" i="5"/>
  <c r="X71" i="4"/>
  <c r="AI124" i="5"/>
  <c r="Y71" i="4"/>
  <c r="AJ124" i="5"/>
  <c r="Z71" i="4"/>
  <c r="AL124" i="5"/>
  <c r="F124" i="5"/>
  <c r="H124" i="5"/>
  <c r="I124" i="5"/>
  <c r="L124" i="5"/>
  <c r="N124" i="5"/>
  <c r="O124" i="5"/>
  <c r="Z124" i="5"/>
  <c r="AN124" i="5"/>
  <c r="AG125" i="5"/>
  <c r="AF125" i="5"/>
  <c r="B250" i="4"/>
  <c r="C250" i="4"/>
  <c r="C125" i="5"/>
  <c r="D250" i="4"/>
  <c r="E125" i="5"/>
  <c r="H250" i="4"/>
  <c r="K125" i="5"/>
  <c r="L250" i="4"/>
  <c r="Q125" i="5"/>
  <c r="M250" i="4"/>
  <c r="R125" i="5"/>
  <c r="T125" i="5"/>
  <c r="U125" i="5"/>
  <c r="P250" i="4"/>
  <c r="W125" i="5"/>
  <c r="Q250" i="4"/>
  <c r="X125" i="5"/>
  <c r="S250" i="4"/>
  <c r="AA125" i="5"/>
  <c r="AI250" i="4"/>
  <c r="T250" i="4" a="1"/>
  <c r="T250" i="4"/>
  <c r="AC125" i="5"/>
  <c r="U250" i="4" a="1"/>
  <c r="U250" i="4"/>
  <c r="AD125" i="5"/>
  <c r="X250" i="4"/>
  <c r="AI125" i="5"/>
  <c r="Y250" i="4"/>
  <c r="AJ125" i="5"/>
  <c r="Z250" i="4"/>
  <c r="AL125" i="5"/>
  <c r="F125" i="5"/>
  <c r="H125" i="5"/>
  <c r="I125" i="5"/>
  <c r="L125" i="5"/>
  <c r="N125" i="5"/>
  <c r="O125" i="5"/>
  <c r="Z125" i="5"/>
  <c r="AN125" i="5"/>
  <c r="AG126" i="5"/>
  <c r="AF126" i="5"/>
  <c r="B289" i="4"/>
  <c r="C289" i="4"/>
  <c r="C126" i="5"/>
  <c r="D289" i="4"/>
  <c r="E126" i="5"/>
  <c r="H289" i="4"/>
  <c r="K126" i="5"/>
  <c r="L289" i="4"/>
  <c r="Q126" i="5"/>
  <c r="M289" i="4"/>
  <c r="R126" i="5"/>
  <c r="T126" i="5"/>
  <c r="O289" i="4"/>
  <c r="U126" i="5"/>
  <c r="P289" i="4"/>
  <c r="W126" i="5"/>
  <c r="Q289" i="4"/>
  <c r="X126" i="5"/>
  <c r="S289" i="4"/>
  <c r="AA126" i="5"/>
  <c r="AI289" i="4"/>
  <c r="T289" i="4" a="1"/>
  <c r="T289" i="4"/>
  <c r="AC126" i="5"/>
  <c r="U289" i="4" a="1"/>
  <c r="U289" i="4"/>
  <c r="AD126" i="5"/>
  <c r="X289" i="4"/>
  <c r="AI126" i="5"/>
  <c r="Y289" i="4"/>
  <c r="AJ126" i="5"/>
  <c r="Z289" i="4"/>
  <c r="AL126" i="5"/>
  <c r="F126" i="5"/>
  <c r="H126" i="5"/>
  <c r="I126" i="5"/>
  <c r="L126" i="5"/>
  <c r="N126" i="5"/>
  <c r="O126" i="5"/>
  <c r="Z126" i="5"/>
  <c r="AN126" i="5"/>
  <c r="AG127" i="5"/>
  <c r="AF127" i="5"/>
  <c r="B295" i="4"/>
  <c r="C295" i="4"/>
  <c r="C127" i="5"/>
  <c r="D295" i="4"/>
  <c r="E127" i="5"/>
  <c r="K127" i="5"/>
  <c r="L295" i="4"/>
  <c r="Q127" i="5"/>
  <c r="M295" i="4"/>
  <c r="R127" i="5"/>
  <c r="T127" i="5"/>
  <c r="O295" i="4"/>
  <c r="U127" i="5"/>
  <c r="P295" i="4"/>
  <c r="W127" i="5"/>
  <c r="Q295" i="4"/>
  <c r="X127" i="5"/>
  <c r="AA127" i="5"/>
  <c r="AI295" i="4"/>
  <c r="T295" i="4" a="1"/>
  <c r="T295" i="4"/>
  <c r="AC127" i="5"/>
  <c r="U295" i="4" a="1"/>
  <c r="U295" i="4"/>
  <c r="AD127" i="5"/>
  <c r="X295" i="4"/>
  <c r="AI127" i="5"/>
  <c r="Y295" i="4"/>
  <c r="AJ127" i="5"/>
  <c r="Z295" i="4"/>
  <c r="AL127" i="5"/>
  <c r="F127" i="5"/>
  <c r="H127" i="5"/>
  <c r="I127" i="5"/>
  <c r="L127" i="5"/>
  <c r="N127" i="5"/>
  <c r="O127" i="5"/>
  <c r="Z127" i="5"/>
  <c r="AN127" i="5"/>
  <c r="AG128" i="5"/>
  <c r="AF128" i="5"/>
  <c r="B192" i="4"/>
  <c r="C192" i="4"/>
  <c r="C128" i="5"/>
  <c r="D192" i="4"/>
  <c r="E128" i="5"/>
  <c r="E192" i="4"/>
  <c r="F128" i="5"/>
  <c r="F192" i="4"/>
  <c r="H128" i="5"/>
  <c r="I128" i="5"/>
  <c r="H192" i="4"/>
  <c r="K128" i="5"/>
  <c r="L192" i="4"/>
  <c r="Q128" i="5"/>
  <c r="M192" i="4"/>
  <c r="R128" i="5"/>
  <c r="T128" i="5"/>
  <c r="U128" i="5"/>
  <c r="P192" i="4"/>
  <c r="W128" i="5"/>
  <c r="Q192" i="4"/>
  <c r="X128" i="5"/>
  <c r="S192" i="4"/>
  <c r="AA128" i="5"/>
  <c r="AI192" i="4"/>
  <c r="T192" i="4" a="1"/>
  <c r="T192" i="4"/>
  <c r="AC128" i="5"/>
  <c r="U192" i="4" a="1"/>
  <c r="U192" i="4"/>
  <c r="AD128" i="5"/>
  <c r="X192" i="4"/>
  <c r="AI128" i="5"/>
  <c r="Y192" i="4"/>
  <c r="AJ128" i="5"/>
  <c r="Z192" i="4"/>
  <c r="AL128" i="5"/>
  <c r="L128" i="5"/>
  <c r="N128" i="5"/>
  <c r="O128" i="5"/>
  <c r="Z128" i="5"/>
  <c r="AN128" i="5"/>
  <c r="B4" i="4"/>
  <c r="S4" i="4"/>
  <c r="AA129" i="5"/>
  <c r="P4" i="4"/>
  <c r="W129" i="5"/>
  <c r="AG129" i="5"/>
  <c r="AF129" i="5"/>
  <c r="C4" i="4"/>
  <c r="C129" i="5"/>
  <c r="D4" i="4"/>
  <c r="E129" i="5"/>
  <c r="E4" i="4"/>
  <c r="F129" i="5"/>
  <c r="F4" i="4"/>
  <c r="H129" i="5"/>
  <c r="I129" i="5"/>
  <c r="K129" i="5"/>
  <c r="L4" i="4"/>
  <c r="Q129" i="5"/>
  <c r="U129" i="5"/>
  <c r="Q4" i="4"/>
  <c r="X129" i="5"/>
  <c r="R4" i="4"/>
  <c r="Z129" i="5"/>
  <c r="AI4" i="4"/>
  <c r="T4" i="4" a="1"/>
  <c r="T4" i="4"/>
  <c r="AC129" i="5"/>
  <c r="U4" i="4" a="1"/>
  <c r="U4" i="4"/>
  <c r="AD129" i="5"/>
  <c r="X4" i="4"/>
  <c r="AI129" i="5"/>
  <c r="Y4" i="4"/>
  <c r="AJ129" i="5"/>
  <c r="Z4" i="4"/>
  <c r="AL129" i="5"/>
  <c r="R129" i="5"/>
  <c r="T129" i="5"/>
  <c r="L129" i="5"/>
  <c r="N129" i="5"/>
  <c r="O129" i="5"/>
  <c r="AN129" i="5"/>
  <c r="AG130" i="5"/>
  <c r="AF130" i="5"/>
  <c r="C222" i="4"/>
  <c r="C130" i="5"/>
  <c r="D222" i="4"/>
  <c r="E130" i="5"/>
  <c r="E222" i="4"/>
  <c r="F130" i="5"/>
  <c r="F222" i="4"/>
  <c r="H130" i="5"/>
  <c r="I130" i="5"/>
  <c r="H222" i="4"/>
  <c r="K130" i="5"/>
  <c r="L222" i="4"/>
  <c r="Q130" i="5"/>
  <c r="M222" i="4"/>
  <c r="R130" i="5"/>
  <c r="T130" i="5"/>
  <c r="U130" i="5"/>
  <c r="P222" i="4"/>
  <c r="W130" i="5"/>
  <c r="Q222" i="4"/>
  <c r="X130" i="5"/>
  <c r="S222" i="4"/>
  <c r="AA130" i="5"/>
  <c r="AI222" i="4"/>
  <c r="T222" i="4" a="1"/>
  <c r="T222" i="4"/>
  <c r="AC130" i="5"/>
  <c r="U222" i="4" a="1"/>
  <c r="U222" i="4"/>
  <c r="AD130" i="5"/>
  <c r="X222" i="4"/>
  <c r="AI130" i="5"/>
  <c r="Y222" i="4"/>
  <c r="AJ130" i="5"/>
  <c r="Z222" i="4"/>
  <c r="AL130" i="5"/>
  <c r="Z130" i="5"/>
  <c r="L130" i="5"/>
  <c r="N130" i="5"/>
  <c r="O130" i="5"/>
  <c r="AN130" i="5"/>
  <c r="AG131" i="5"/>
  <c r="AF131" i="5"/>
  <c r="B251" i="4"/>
  <c r="C251" i="4"/>
  <c r="C131" i="5"/>
  <c r="D251" i="4"/>
  <c r="E131" i="5"/>
  <c r="E251" i="4"/>
  <c r="F131" i="5"/>
  <c r="F251" i="4"/>
  <c r="H131" i="5"/>
  <c r="I131" i="5"/>
  <c r="H251" i="4"/>
  <c r="K131" i="5"/>
  <c r="L251" i="4"/>
  <c r="Q131" i="5"/>
  <c r="M251" i="4"/>
  <c r="R131" i="5"/>
  <c r="T131" i="5"/>
  <c r="O20" i="2"/>
  <c r="O251" i="4"/>
  <c r="U131" i="5"/>
  <c r="P251" i="4"/>
  <c r="W131" i="5"/>
  <c r="Q251" i="4"/>
  <c r="X131" i="5"/>
  <c r="S251" i="4"/>
  <c r="AA131" i="5"/>
  <c r="AI251" i="4"/>
  <c r="T251" i="4" a="1"/>
  <c r="T251" i="4"/>
  <c r="AC131" i="5"/>
  <c r="U251" i="4" a="1"/>
  <c r="U251" i="4"/>
  <c r="AD131" i="5"/>
  <c r="X251" i="4"/>
  <c r="AI131" i="5"/>
  <c r="Y251" i="4"/>
  <c r="AJ131" i="5"/>
  <c r="Z251" i="4"/>
  <c r="AL131" i="5"/>
  <c r="Z131" i="5"/>
  <c r="L131" i="5"/>
  <c r="N131" i="5"/>
  <c r="O131" i="5"/>
  <c r="AN131" i="5"/>
  <c r="AG132" i="5"/>
  <c r="AF132" i="5"/>
  <c r="B73" i="4"/>
  <c r="C73" i="4"/>
  <c r="C132" i="5"/>
  <c r="D73" i="4"/>
  <c r="E132" i="5"/>
  <c r="E73" i="4"/>
  <c r="F132" i="5"/>
  <c r="F73" i="4"/>
  <c r="H132" i="5"/>
  <c r="I132" i="5"/>
  <c r="K132" i="5"/>
  <c r="L73" i="4"/>
  <c r="Q132" i="5"/>
  <c r="M73" i="4"/>
  <c r="R132" i="5"/>
  <c r="T132" i="5"/>
  <c r="U132" i="5"/>
  <c r="P73" i="4"/>
  <c r="W132" i="5"/>
  <c r="Q73" i="4"/>
  <c r="X132" i="5"/>
  <c r="S73" i="4"/>
  <c r="AA132" i="5"/>
  <c r="AI73" i="4"/>
  <c r="T73" i="4" a="1"/>
  <c r="T73" i="4"/>
  <c r="AC132" i="5"/>
  <c r="U73" i="4" a="1"/>
  <c r="U73" i="4"/>
  <c r="AD132" i="5"/>
  <c r="X73" i="4"/>
  <c r="AI132" i="5"/>
  <c r="Y73" i="4"/>
  <c r="AJ132" i="5"/>
  <c r="Z73" i="4"/>
  <c r="AL132" i="5"/>
  <c r="Z132" i="5"/>
  <c r="L132" i="5"/>
  <c r="N132" i="5"/>
  <c r="O132" i="5"/>
  <c r="AN132" i="5"/>
  <c r="AA133" i="5"/>
  <c r="P129" i="4"/>
  <c r="W133" i="5"/>
  <c r="O133" i="5"/>
  <c r="K133" i="5"/>
  <c r="AG133" i="5"/>
  <c r="AF133" i="5"/>
  <c r="C129" i="4"/>
  <c r="C133" i="5"/>
  <c r="D129" i="4"/>
  <c r="E133" i="5"/>
  <c r="I32" i="2"/>
  <c r="I44" i="2"/>
  <c r="I129" i="4"/>
  <c r="L133" i="5"/>
  <c r="J32" i="2"/>
  <c r="J129" i="4"/>
  <c r="N133" i="5"/>
  <c r="L129" i="4"/>
  <c r="Q133" i="5"/>
  <c r="M129" i="4"/>
  <c r="R133" i="5"/>
  <c r="T133" i="5"/>
  <c r="U133" i="5"/>
  <c r="Q129" i="4"/>
  <c r="X133" i="5"/>
  <c r="R32" i="2"/>
  <c r="R44" i="2"/>
  <c r="R129" i="4"/>
  <c r="Z133" i="5"/>
  <c r="AI129" i="4"/>
  <c r="T129" i="4" a="1"/>
  <c r="T129" i="4"/>
  <c r="AC133" i="5"/>
  <c r="U129" i="4" a="1"/>
  <c r="U129" i="4"/>
  <c r="AD133" i="5"/>
  <c r="X129" i="4"/>
  <c r="AI133" i="5"/>
  <c r="Y129" i="4"/>
  <c r="AJ133" i="5"/>
  <c r="Z129" i="4"/>
  <c r="AL133" i="5"/>
  <c r="F133" i="5"/>
  <c r="H133" i="5"/>
  <c r="I133" i="5"/>
  <c r="AN133" i="5"/>
  <c r="O134" i="5"/>
  <c r="K134" i="5"/>
  <c r="AG134" i="5"/>
  <c r="AF134" i="5"/>
  <c r="B20" i="4"/>
  <c r="C20" i="4"/>
  <c r="C134" i="5"/>
  <c r="D20" i="4"/>
  <c r="E134" i="5"/>
  <c r="I20" i="4"/>
  <c r="L134" i="5"/>
  <c r="J20" i="4"/>
  <c r="N134" i="5"/>
  <c r="L20" i="4"/>
  <c r="Q134" i="5"/>
  <c r="M20" i="4"/>
  <c r="R134" i="5"/>
  <c r="T134" i="5"/>
  <c r="U134" i="5"/>
  <c r="P20" i="4"/>
  <c r="W134" i="5"/>
  <c r="Q20" i="4"/>
  <c r="X134" i="5"/>
  <c r="AA134" i="5"/>
  <c r="AI20" i="4"/>
  <c r="T20" i="4" a="1"/>
  <c r="T20" i="4"/>
  <c r="AC134" i="5"/>
  <c r="U20" i="4" a="1"/>
  <c r="U20" i="4"/>
  <c r="AD134" i="5"/>
  <c r="X20" i="4"/>
  <c r="AI134" i="5"/>
  <c r="Y20" i="4"/>
  <c r="AJ134" i="5"/>
  <c r="Z20" i="4"/>
  <c r="AL134" i="5"/>
  <c r="Z134" i="5"/>
  <c r="F134" i="5"/>
  <c r="H134" i="5"/>
  <c r="I134" i="5"/>
  <c r="AN134" i="5"/>
  <c r="AG135" i="5"/>
  <c r="AF135" i="5"/>
  <c r="B278" i="4"/>
  <c r="C278" i="4"/>
  <c r="C135" i="5"/>
  <c r="D278" i="4"/>
  <c r="E135" i="5"/>
  <c r="H278" i="4"/>
  <c r="K135" i="5"/>
  <c r="L278" i="4"/>
  <c r="Q135" i="5"/>
  <c r="M278" i="4"/>
  <c r="R135" i="5"/>
  <c r="T135" i="5"/>
  <c r="O278" i="4"/>
  <c r="U135" i="5"/>
  <c r="P278" i="4"/>
  <c r="W135" i="5"/>
  <c r="Q278" i="4"/>
  <c r="X135" i="5"/>
  <c r="S278" i="4"/>
  <c r="AA135" i="5"/>
  <c r="AI278" i="4"/>
  <c r="T278" i="4" a="1"/>
  <c r="T278" i="4"/>
  <c r="AC135" i="5"/>
  <c r="U278" i="4" a="1"/>
  <c r="U278" i="4"/>
  <c r="AD135" i="5"/>
  <c r="X278" i="4"/>
  <c r="AI135" i="5"/>
  <c r="Y278" i="4"/>
  <c r="AJ135" i="5"/>
  <c r="Z278" i="4"/>
  <c r="AL135" i="5"/>
  <c r="L135" i="5"/>
  <c r="N135" i="5"/>
  <c r="O135" i="5"/>
  <c r="Z135" i="5"/>
  <c r="F135" i="5"/>
  <c r="H135" i="5"/>
  <c r="I135" i="5"/>
  <c r="AN135" i="5"/>
  <c r="O136" i="5"/>
  <c r="B43" i="4"/>
  <c r="H43" i="4"/>
  <c r="K136" i="5"/>
  <c r="AG136" i="5"/>
  <c r="AF136" i="5"/>
  <c r="C43" i="4"/>
  <c r="C136" i="5"/>
  <c r="D43" i="4"/>
  <c r="E136" i="5"/>
  <c r="I39" i="2"/>
  <c r="I43" i="4"/>
  <c r="L136" i="5"/>
  <c r="J39" i="2"/>
  <c r="J43" i="4"/>
  <c r="N136" i="5"/>
  <c r="L43" i="4"/>
  <c r="Q136" i="5"/>
  <c r="M43" i="4"/>
  <c r="R136" i="5"/>
  <c r="T136" i="5"/>
  <c r="U136" i="5"/>
  <c r="P43" i="4"/>
  <c r="W136" i="5"/>
  <c r="Q43" i="4"/>
  <c r="X136" i="5"/>
  <c r="AA136" i="5"/>
  <c r="AI43" i="4"/>
  <c r="T43" i="4" a="1"/>
  <c r="T43" i="4"/>
  <c r="AC136" i="5"/>
  <c r="U43" i="4" a="1"/>
  <c r="U43" i="4"/>
  <c r="AD136" i="5"/>
  <c r="X43" i="4"/>
  <c r="AI136" i="5"/>
  <c r="Y43" i="4"/>
  <c r="AJ136" i="5"/>
  <c r="Z43" i="4"/>
  <c r="AL136" i="5"/>
  <c r="Z136" i="5"/>
  <c r="F136" i="5"/>
  <c r="H136" i="5"/>
  <c r="I136" i="5"/>
  <c r="AN136" i="5"/>
  <c r="B5" i="4"/>
  <c r="S5" i="4"/>
  <c r="AA137" i="5"/>
  <c r="P5" i="4"/>
  <c r="W137" i="5"/>
  <c r="AG137" i="5"/>
  <c r="AF137" i="5"/>
  <c r="C5" i="4"/>
  <c r="C137" i="5"/>
  <c r="D5" i="4"/>
  <c r="E137" i="5"/>
  <c r="K137" i="5"/>
  <c r="L5" i="4"/>
  <c r="Q137" i="5"/>
  <c r="U137" i="5"/>
  <c r="Q5" i="4"/>
  <c r="X137" i="5"/>
  <c r="R5" i="4"/>
  <c r="Z137" i="5"/>
  <c r="AI5" i="4"/>
  <c r="T5" i="4" a="1"/>
  <c r="T5" i="4"/>
  <c r="AC137" i="5"/>
  <c r="U5" i="4" a="1"/>
  <c r="U5" i="4"/>
  <c r="AD137" i="5"/>
  <c r="X5" i="4"/>
  <c r="AI137" i="5"/>
  <c r="Y5" i="4"/>
  <c r="AJ137" i="5"/>
  <c r="Z5" i="4"/>
  <c r="AL137" i="5"/>
  <c r="L137" i="5"/>
  <c r="N137" i="5"/>
  <c r="O137" i="5"/>
  <c r="R137" i="5"/>
  <c r="T137" i="5"/>
  <c r="F137" i="5"/>
  <c r="H137" i="5"/>
  <c r="I137" i="5"/>
  <c r="AN137" i="5"/>
  <c r="AG138" i="5"/>
  <c r="AF138" i="5"/>
  <c r="C35" i="2"/>
  <c r="B212" i="4"/>
  <c r="C31" i="2"/>
  <c r="C212" i="4"/>
  <c r="C138" i="5"/>
  <c r="D35" i="2"/>
  <c r="D31" i="2"/>
  <c r="D212" i="4"/>
  <c r="E138" i="5"/>
  <c r="H35" i="2"/>
  <c r="H31" i="2"/>
  <c r="H212" i="4"/>
  <c r="K138" i="5"/>
  <c r="L35" i="2"/>
  <c r="L31" i="2"/>
  <c r="L212" i="4"/>
  <c r="Q138" i="5"/>
  <c r="M35" i="2"/>
  <c r="M31" i="2"/>
  <c r="M212" i="4"/>
  <c r="R138" i="5"/>
  <c r="T138" i="5"/>
  <c r="O35" i="2"/>
  <c r="O31" i="2"/>
  <c r="O212" i="4"/>
  <c r="U138" i="5"/>
  <c r="P35" i="2"/>
  <c r="P31" i="2"/>
  <c r="P212" i="4"/>
  <c r="W138" i="5"/>
  <c r="Q35" i="2"/>
  <c r="Q31" i="2"/>
  <c r="Q212" i="4"/>
  <c r="X138" i="5"/>
  <c r="S35" i="2"/>
  <c r="S31" i="2"/>
  <c r="S212" i="4"/>
  <c r="AA138" i="5"/>
  <c r="AI212" i="4"/>
  <c r="T212" i="4" a="1"/>
  <c r="T212" i="4"/>
  <c r="AC138" i="5"/>
  <c r="U212" i="4" a="1"/>
  <c r="U212" i="4"/>
  <c r="AD138" i="5"/>
  <c r="X35" i="2"/>
  <c r="X31" i="2"/>
  <c r="X212" i="4"/>
  <c r="AI138" i="5"/>
  <c r="Y35" i="2"/>
  <c r="Y31" i="2"/>
  <c r="Y212" i="4"/>
  <c r="AJ138" i="5"/>
  <c r="Z35" i="2"/>
  <c r="Z31" i="2"/>
  <c r="Z212" i="4"/>
  <c r="AL138" i="5"/>
  <c r="L138" i="5"/>
  <c r="N138" i="5"/>
  <c r="O138" i="5"/>
  <c r="F138" i="5"/>
  <c r="H138" i="5"/>
  <c r="I138" i="5"/>
  <c r="Z138" i="5"/>
  <c r="AN138" i="5"/>
  <c r="AG139" i="5"/>
  <c r="AF139" i="5"/>
  <c r="B213" i="4"/>
  <c r="C213" i="4"/>
  <c r="C139" i="5"/>
  <c r="D213" i="4"/>
  <c r="E139" i="5"/>
  <c r="E35" i="2"/>
  <c r="E213" i="4"/>
  <c r="F139" i="5"/>
  <c r="F35" i="2"/>
  <c r="F213" i="4"/>
  <c r="H139" i="5"/>
  <c r="I139" i="5"/>
  <c r="K139" i="5"/>
  <c r="L213" i="4"/>
  <c r="Q139" i="5"/>
  <c r="M213" i="4"/>
  <c r="R139" i="5"/>
  <c r="T139" i="5"/>
  <c r="U139" i="5"/>
  <c r="P213" i="4"/>
  <c r="W139" i="5"/>
  <c r="Q213" i="4"/>
  <c r="X139" i="5"/>
  <c r="S213" i="4"/>
  <c r="AA139" i="5"/>
  <c r="AI213" i="4"/>
  <c r="T213" i="4" a="1"/>
  <c r="T213" i="4"/>
  <c r="AC139" i="5"/>
  <c r="U213" i="4" a="1"/>
  <c r="U213" i="4"/>
  <c r="AD139" i="5"/>
  <c r="X213" i="4"/>
  <c r="AI139" i="5"/>
  <c r="Y213" i="4"/>
  <c r="AJ139" i="5"/>
  <c r="Z213" i="4"/>
  <c r="AL139" i="5"/>
  <c r="L139" i="5"/>
  <c r="N139" i="5"/>
  <c r="O139" i="5"/>
  <c r="Z139" i="5"/>
  <c r="AN139" i="5"/>
  <c r="AG140" i="5"/>
  <c r="AF140" i="5"/>
  <c r="B77" i="4"/>
  <c r="C77" i="4"/>
  <c r="C140" i="5"/>
  <c r="D77" i="4"/>
  <c r="E140" i="5"/>
  <c r="E77" i="4"/>
  <c r="F140" i="5"/>
  <c r="F77" i="4"/>
  <c r="H140" i="5"/>
  <c r="I140" i="5"/>
  <c r="H77" i="4"/>
  <c r="K140" i="5"/>
  <c r="L77" i="4"/>
  <c r="Q140" i="5"/>
  <c r="M77" i="4"/>
  <c r="R140" i="5"/>
  <c r="T140" i="5"/>
  <c r="U140" i="5"/>
  <c r="P77" i="4"/>
  <c r="W140" i="5"/>
  <c r="Q77" i="4"/>
  <c r="X140" i="5"/>
  <c r="S77" i="4"/>
  <c r="AA140" i="5"/>
  <c r="AI77" i="4"/>
  <c r="T77" i="4" a="1"/>
  <c r="T77" i="4"/>
  <c r="AC140" i="5"/>
  <c r="U77" i="4" a="1"/>
  <c r="U77" i="4"/>
  <c r="AD140" i="5"/>
  <c r="X77" i="4"/>
  <c r="AI140" i="5"/>
  <c r="Y77" i="4"/>
  <c r="AJ140" i="5"/>
  <c r="Z77" i="4"/>
  <c r="AL140" i="5"/>
  <c r="L140" i="5"/>
  <c r="N140" i="5"/>
  <c r="O140" i="5"/>
  <c r="Z140" i="5"/>
  <c r="AN140" i="5"/>
  <c r="AG141" i="5"/>
  <c r="AF141" i="5"/>
  <c r="C223" i="4"/>
  <c r="C141" i="5"/>
  <c r="D223" i="4"/>
  <c r="E141" i="5"/>
  <c r="E223" i="4"/>
  <c r="F141" i="5"/>
  <c r="F223" i="4"/>
  <c r="H141" i="5"/>
  <c r="I141" i="5"/>
  <c r="H223" i="4"/>
  <c r="K141" i="5"/>
  <c r="L223" i="4"/>
  <c r="Q141" i="5"/>
  <c r="M223" i="4"/>
  <c r="R141" i="5"/>
  <c r="T141" i="5"/>
  <c r="O223" i="4"/>
  <c r="U141" i="5"/>
  <c r="P223" i="4"/>
  <c r="W141" i="5"/>
  <c r="Q223" i="4"/>
  <c r="X141" i="5"/>
  <c r="S223" i="4"/>
  <c r="AA141" i="5"/>
  <c r="AI223" i="4"/>
  <c r="T223" i="4" a="1"/>
  <c r="T223" i="4"/>
  <c r="AC141" i="5"/>
  <c r="U223" i="4" a="1"/>
  <c r="U223" i="4"/>
  <c r="AD141" i="5"/>
  <c r="X223" i="4"/>
  <c r="AI141" i="5"/>
  <c r="Y223" i="4"/>
  <c r="AJ141" i="5"/>
  <c r="Z223" i="4"/>
  <c r="AL141" i="5"/>
  <c r="L141" i="5"/>
  <c r="N141" i="5"/>
  <c r="O141" i="5"/>
  <c r="Z141" i="5"/>
  <c r="AN141" i="5"/>
  <c r="O142" i="5"/>
  <c r="K142" i="5"/>
  <c r="AG142" i="5"/>
  <c r="AF142" i="5"/>
  <c r="B204" i="4"/>
  <c r="C204" i="4"/>
  <c r="C142" i="5"/>
  <c r="D204" i="4"/>
  <c r="E142" i="5"/>
  <c r="I204" i="4"/>
  <c r="L142" i="5"/>
  <c r="J204" i="4"/>
  <c r="N142" i="5"/>
  <c r="L204" i="4"/>
  <c r="Q142" i="5"/>
  <c r="M204" i="4"/>
  <c r="R142" i="5"/>
  <c r="T142" i="5"/>
  <c r="U142" i="5"/>
  <c r="P204" i="4"/>
  <c r="W142" i="5"/>
  <c r="Q204" i="4"/>
  <c r="X142" i="5"/>
  <c r="AA142" i="5"/>
  <c r="AI204" i="4"/>
  <c r="T204" i="4" a="1"/>
  <c r="T204" i="4"/>
  <c r="AC142" i="5"/>
  <c r="U204" i="4" a="1"/>
  <c r="U204" i="4"/>
  <c r="AD142" i="5"/>
  <c r="X204" i="4"/>
  <c r="AI142" i="5"/>
  <c r="Y204" i="4"/>
  <c r="AJ142" i="5"/>
  <c r="Z204" i="4"/>
  <c r="AL142" i="5"/>
  <c r="F142" i="5"/>
  <c r="H142" i="5"/>
  <c r="I142" i="5"/>
  <c r="Z142" i="5"/>
  <c r="AN142" i="5"/>
  <c r="AG143" i="5"/>
  <c r="AF143" i="5"/>
  <c r="C158" i="4"/>
  <c r="C143" i="5"/>
  <c r="D158" i="4"/>
  <c r="E143" i="5"/>
  <c r="H158" i="4"/>
  <c r="K143" i="5"/>
  <c r="L158" i="4"/>
  <c r="Q143" i="5"/>
  <c r="M158" i="4"/>
  <c r="R143" i="5"/>
  <c r="T143" i="5"/>
  <c r="U143" i="5"/>
  <c r="P158" i="4"/>
  <c r="W143" i="5"/>
  <c r="Q158" i="4"/>
  <c r="X143" i="5"/>
  <c r="S158" i="4"/>
  <c r="AA143" i="5"/>
  <c r="AI158" i="4"/>
  <c r="T158" i="4" a="1"/>
  <c r="T158" i="4"/>
  <c r="AC143" i="5"/>
  <c r="U158" i="4" a="1"/>
  <c r="U158" i="4"/>
  <c r="AD143" i="5"/>
  <c r="X158" i="4"/>
  <c r="AI143" i="5"/>
  <c r="Y158" i="4"/>
  <c r="AJ143" i="5"/>
  <c r="Z158" i="4"/>
  <c r="AL143" i="5"/>
  <c r="F143" i="5"/>
  <c r="H143" i="5"/>
  <c r="I143" i="5"/>
  <c r="L143" i="5"/>
  <c r="N143" i="5"/>
  <c r="O143" i="5"/>
  <c r="Z143" i="5"/>
  <c r="AN143" i="5"/>
  <c r="O144" i="5"/>
  <c r="H224" i="4"/>
  <c r="K144" i="5"/>
  <c r="AG144" i="5"/>
  <c r="AF144" i="5"/>
  <c r="C224" i="4"/>
  <c r="C144" i="5"/>
  <c r="D224" i="4"/>
  <c r="E144" i="5"/>
  <c r="E224" i="4"/>
  <c r="F144" i="5"/>
  <c r="F224" i="4"/>
  <c r="H144" i="5"/>
  <c r="I144" i="5"/>
  <c r="I30" i="2"/>
  <c r="I224" i="4"/>
  <c r="L144" i="5"/>
  <c r="J30" i="2"/>
  <c r="J224" i="4"/>
  <c r="N144" i="5"/>
  <c r="L224" i="4"/>
  <c r="Q144" i="5"/>
  <c r="M224" i="4"/>
  <c r="R144" i="5"/>
  <c r="T144" i="5"/>
  <c r="O224" i="4"/>
  <c r="U144" i="5"/>
  <c r="P224" i="4"/>
  <c r="W144" i="5"/>
  <c r="Q224" i="4"/>
  <c r="X144" i="5"/>
  <c r="AA144" i="5"/>
  <c r="AI224" i="4"/>
  <c r="T224" i="4" a="1"/>
  <c r="T224" i="4"/>
  <c r="AC144" i="5"/>
  <c r="U224" i="4" a="1"/>
  <c r="U224" i="4"/>
  <c r="AD144" i="5"/>
  <c r="X224" i="4"/>
  <c r="AI144" i="5"/>
  <c r="Y224" i="4"/>
  <c r="AJ144" i="5"/>
  <c r="Z224" i="4"/>
  <c r="AL144" i="5"/>
  <c r="Z144" i="5"/>
  <c r="AN144" i="5"/>
  <c r="AG145" i="5"/>
  <c r="AF145" i="5"/>
  <c r="B252" i="4"/>
  <c r="C252" i="4"/>
  <c r="C145" i="5"/>
  <c r="D252" i="4"/>
  <c r="E145" i="5"/>
  <c r="E252" i="4"/>
  <c r="F145" i="5"/>
  <c r="F252" i="4"/>
  <c r="H145" i="5"/>
  <c r="I145" i="5"/>
  <c r="H252" i="4"/>
  <c r="K145" i="5"/>
  <c r="L252" i="4"/>
  <c r="Q145" i="5"/>
  <c r="M252" i="4"/>
  <c r="R145" i="5"/>
  <c r="T145" i="5"/>
  <c r="O252" i="4"/>
  <c r="U145" i="5"/>
  <c r="P252" i="4"/>
  <c r="W145" i="5"/>
  <c r="Q252" i="4"/>
  <c r="X145" i="5"/>
  <c r="S252" i="4"/>
  <c r="AA145" i="5"/>
  <c r="AI252" i="4"/>
  <c r="T252" i="4" a="1"/>
  <c r="T252" i="4"/>
  <c r="AC145" i="5"/>
  <c r="U252" i="4" a="1"/>
  <c r="U252" i="4"/>
  <c r="AD145" i="5"/>
  <c r="X252" i="4"/>
  <c r="AI145" i="5"/>
  <c r="Y252" i="4"/>
  <c r="AJ145" i="5"/>
  <c r="Z252" i="4"/>
  <c r="AL145" i="5"/>
  <c r="L145" i="5"/>
  <c r="N145" i="5"/>
  <c r="O145" i="5"/>
  <c r="Z145" i="5"/>
  <c r="AN145" i="5"/>
  <c r="AG146" i="5"/>
  <c r="AF146" i="5"/>
  <c r="B10" i="4"/>
  <c r="C10" i="4"/>
  <c r="C146" i="5"/>
  <c r="D10" i="4"/>
  <c r="E146" i="5"/>
  <c r="E10" i="4"/>
  <c r="F146" i="5"/>
  <c r="F10" i="4"/>
  <c r="H146" i="5"/>
  <c r="I146" i="5"/>
  <c r="H10" i="4"/>
  <c r="K146" i="5"/>
  <c r="L10" i="4"/>
  <c r="Q146" i="5"/>
  <c r="M10" i="4"/>
  <c r="R146" i="5"/>
  <c r="T146" i="5"/>
  <c r="O10" i="4"/>
  <c r="U146" i="5"/>
  <c r="P10" i="4"/>
  <c r="W146" i="5"/>
  <c r="Q10" i="4"/>
  <c r="X146" i="5"/>
  <c r="S10" i="4"/>
  <c r="AA146" i="5"/>
  <c r="AI10" i="4"/>
  <c r="T10" i="4" a="1"/>
  <c r="T10" i="4"/>
  <c r="AC146" i="5"/>
  <c r="U10" i="4" a="1"/>
  <c r="U10" i="4"/>
  <c r="AD146" i="5"/>
  <c r="X10" i="4"/>
  <c r="AI146" i="5"/>
  <c r="Y10" i="4"/>
  <c r="AJ146" i="5"/>
  <c r="Z10" i="4"/>
  <c r="AL146" i="5"/>
  <c r="L146" i="5"/>
  <c r="N146" i="5"/>
  <c r="O146" i="5"/>
  <c r="Z146" i="5"/>
  <c r="AN146" i="5"/>
  <c r="O147" i="5"/>
  <c r="K147" i="5"/>
  <c r="AG147" i="5"/>
  <c r="AF147" i="5"/>
  <c r="B21" i="4"/>
  <c r="C21" i="4"/>
  <c r="C147" i="5"/>
  <c r="D21" i="4"/>
  <c r="E147" i="5"/>
  <c r="I21" i="4"/>
  <c r="L147" i="5"/>
  <c r="J21" i="4"/>
  <c r="N147" i="5"/>
  <c r="L21" i="4"/>
  <c r="Q147" i="5"/>
  <c r="M21" i="4"/>
  <c r="R147" i="5"/>
  <c r="T147" i="5"/>
  <c r="U147" i="5"/>
  <c r="P21" i="4"/>
  <c r="W147" i="5"/>
  <c r="Q21" i="4"/>
  <c r="X147" i="5"/>
  <c r="AA147" i="5"/>
  <c r="AI21" i="4"/>
  <c r="T21" i="4" a="1"/>
  <c r="T21" i="4"/>
  <c r="AC147" i="5"/>
  <c r="U21" i="4" a="1"/>
  <c r="U21" i="4"/>
  <c r="AD147" i="5"/>
  <c r="X21" i="4"/>
  <c r="AI147" i="5"/>
  <c r="Y21" i="4"/>
  <c r="AJ147" i="5"/>
  <c r="Z21" i="4"/>
  <c r="AL147" i="5"/>
  <c r="F147" i="5"/>
  <c r="H147" i="5"/>
  <c r="I147" i="5"/>
  <c r="Z147" i="5"/>
  <c r="AN147" i="5"/>
  <c r="O148" i="5"/>
  <c r="K148" i="5"/>
  <c r="AG148" i="5"/>
  <c r="AF148" i="5"/>
  <c r="B253" i="4"/>
  <c r="C253" i="4"/>
  <c r="C148" i="5"/>
  <c r="D253" i="4"/>
  <c r="E148" i="5"/>
  <c r="E253" i="4"/>
  <c r="F148" i="5"/>
  <c r="F253" i="4"/>
  <c r="H148" i="5"/>
  <c r="I148" i="5"/>
  <c r="I253" i="4"/>
  <c r="L148" i="5"/>
  <c r="J253" i="4"/>
  <c r="N148" i="5"/>
  <c r="L253" i="4"/>
  <c r="Q148" i="5"/>
  <c r="M253" i="4"/>
  <c r="R148" i="5"/>
  <c r="T148" i="5"/>
  <c r="U148" i="5"/>
  <c r="P253" i="4"/>
  <c r="W148" i="5"/>
  <c r="Q253" i="4"/>
  <c r="X148" i="5"/>
  <c r="S253" i="4"/>
  <c r="AA148" i="5"/>
  <c r="AI253" i="4"/>
  <c r="T253" i="4" a="1"/>
  <c r="T253" i="4"/>
  <c r="AC148" i="5"/>
  <c r="U253" i="4" a="1"/>
  <c r="U253" i="4"/>
  <c r="AD148" i="5"/>
  <c r="X253" i="4"/>
  <c r="AI148" i="5"/>
  <c r="Y253" i="4"/>
  <c r="AJ148" i="5"/>
  <c r="Z253" i="4"/>
  <c r="AL148" i="5"/>
  <c r="Z148" i="5"/>
  <c r="AN148" i="5"/>
  <c r="B6" i="4"/>
  <c r="S6" i="4"/>
  <c r="AA149" i="5"/>
  <c r="P6" i="4"/>
  <c r="W149" i="5"/>
  <c r="AG149" i="5"/>
  <c r="AF149" i="5"/>
  <c r="C6" i="4"/>
  <c r="C149" i="5"/>
  <c r="D6" i="4"/>
  <c r="E149" i="5"/>
  <c r="K149" i="5"/>
  <c r="L6" i="4"/>
  <c r="Q149" i="5"/>
  <c r="U149" i="5"/>
  <c r="Q6" i="4"/>
  <c r="X149" i="5"/>
  <c r="R6" i="4"/>
  <c r="Z149" i="5"/>
  <c r="AI6" i="4"/>
  <c r="T6" i="4" a="1"/>
  <c r="T6" i="4"/>
  <c r="AC149" i="5"/>
  <c r="U6" i="4" a="1"/>
  <c r="U6" i="4"/>
  <c r="AD149" i="5"/>
  <c r="X6" i="4"/>
  <c r="AI149" i="5"/>
  <c r="Y6" i="4"/>
  <c r="AJ149" i="5"/>
  <c r="Z6" i="4"/>
  <c r="AL149" i="5"/>
  <c r="F149" i="5"/>
  <c r="H149" i="5"/>
  <c r="I149" i="5"/>
  <c r="L149" i="5"/>
  <c r="N149" i="5"/>
  <c r="O149" i="5"/>
  <c r="R149" i="5"/>
  <c r="T149" i="5"/>
  <c r="AN149" i="5"/>
  <c r="AG150" i="5"/>
  <c r="AF150" i="5"/>
  <c r="B78" i="4"/>
  <c r="C78" i="4"/>
  <c r="C150" i="5"/>
  <c r="D78" i="4"/>
  <c r="E150" i="5"/>
  <c r="E78" i="4"/>
  <c r="F150" i="5"/>
  <c r="F78" i="4"/>
  <c r="H150" i="5"/>
  <c r="I150" i="5"/>
  <c r="H78" i="4"/>
  <c r="K150" i="5"/>
  <c r="L78" i="4"/>
  <c r="Q150" i="5"/>
  <c r="M78" i="4"/>
  <c r="R150" i="5"/>
  <c r="T150" i="5"/>
  <c r="O78" i="4"/>
  <c r="U150" i="5"/>
  <c r="P78" i="4"/>
  <c r="W150" i="5"/>
  <c r="Q78" i="4"/>
  <c r="X150" i="5"/>
  <c r="AA150" i="5"/>
  <c r="AI78" i="4"/>
  <c r="T78" i="4" a="1"/>
  <c r="T78" i="4"/>
  <c r="AC150" i="5"/>
  <c r="U78" i="4" a="1"/>
  <c r="U78" i="4"/>
  <c r="AD150" i="5"/>
  <c r="X78" i="4"/>
  <c r="AI150" i="5"/>
  <c r="Y78" i="4"/>
  <c r="AJ150" i="5"/>
  <c r="Z78" i="4"/>
  <c r="AL150" i="5"/>
  <c r="L150" i="5"/>
  <c r="N150" i="5"/>
  <c r="O150" i="5"/>
  <c r="Z150" i="5"/>
  <c r="AN150" i="5"/>
  <c r="O151" i="5"/>
  <c r="B44" i="4"/>
  <c r="H44" i="4"/>
  <c r="K151" i="5"/>
  <c r="AG151" i="5"/>
  <c r="AF151" i="5"/>
  <c r="C44" i="4"/>
  <c r="C151" i="5"/>
  <c r="D44" i="4"/>
  <c r="E151" i="5"/>
  <c r="I40" i="2"/>
  <c r="I44" i="4"/>
  <c r="L151" i="5"/>
  <c r="J40" i="2"/>
  <c r="J44" i="4"/>
  <c r="N151" i="5"/>
  <c r="L44" i="4"/>
  <c r="Q151" i="5"/>
  <c r="M44" i="4"/>
  <c r="R151" i="5"/>
  <c r="T151" i="5"/>
  <c r="U151" i="5"/>
  <c r="P44" i="4"/>
  <c r="W151" i="5"/>
  <c r="Q44" i="4"/>
  <c r="X151" i="5"/>
  <c r="S44" i="4"/>
  <c r="AA151" i="5"/>
  <c r="AI44" i="4"/>
  <c r="T44" i="4" a="1"/>
  <c r="T44" i="4"/>
  <c r="AC151" i="5"/>
  <c r="U44" i="4" a="1"/>
  <c r="U44" i="4"/>
  <c r="AD151" i="5"/>
  <c r="X44" i="4"/>
  <c r="AI151" i="5"/>
  <c r="Y44" i="4"/>
  <c r="AJ151" i="5"/>
  <c r="Z44" i="4"/>
  <c r="AL151" i="5"/>
  <c r="F151" i="5"/>
  <c r="H151" i="5"/>
  <c r="I151" i="5"/>
  <c r="Z151" i="5"/>
  <c r="AN151" i="5"/>
  <c r="S34" i="2"/>
  <c r="B214" i="4"/>
  <c r="S214" i="4"/>
  <c r="AA152" i="5"/>
  <c r="P34" i="2"/>
  <c r="P214" i="4"/>
  <c r="W152" i="5"/>
  <c r="AG152" i="5"/>
  <c r="AF152" i="5"/>
  <c r="C34" i="2"/>
  <c r="C214" i="4"/>
  <c r="C152" i="5"/>
  <c r="D34" i="2"/>
  <c r="D214" i="4"/>
  <c r="E152" i="5"/>
  <c r="E34" i="2"/>
  <c r="E214" i="4"/>
  <c r="F152" i="5"/>
  <c r="F34" i="2"/>
  <c r="F214" i="4"/>
  <c r="H152" i="5"/>
  <c r="I152" i="5"/>
  <c r="K152" i="5"/>
  <c r="L34" i="2"/>
  <c r="L214" i="4"/>
  <c r="Q152" i="5"/>
  <c r="M34" i="2"/>
  <c r="M214" i="4"/>
  <c r="R152" i="5"/>
  <c r="T152" i="5"/>
  <c r="O34" i="2"/>
  <c r="O214" i="4"/>
  <c r="U152" i="5"/>
  <c r="Q34" i="2"/>
  <c r="Q214" i="4"/>
  <c r="X152" i="5"/>
  <c r="R34" i="2"/>
  <c r="R35" i="2"/>
  <c r="R214" i="4"/>
  <c r="Z152" i="5"/>
  <c r="AI214" i="4"/>
  <c r="T214" i="4" a="1"/>
  <c r="T214" i="4"/>
  <c r="AC152" i="5"/>
  <c r="U214" i="4" a="1"/>
  <c r="U214" i="4"/>
  <c r="AD152" i="5"/>
  <c r="X34" i="2"/>
  <c r="X214" i="4"/>
  <c r="AI152" i="5"/>
  <c r="Y34" i="2"/>
  <c r="Y214" i="4"/>
  <c r="AJ152" i="5"/>
  <c r="Z34" i="2"/>
  <c r="Z214" i="4"/>
  <c r="AL152" i="5"/>
  <c r="L152" i="5"/>
  <c r="N152" i="5"/>
  <c r="O152" i="5"/>
  <c r="AN152" i="5"/>
  <c r="O153" i="5"/>
  <c r="B11" i="4"/>
  <c r="H11" i="4"/>
  <c r="K153" i="5"/>
  <c r="AG153" i="5"/>
  <c r="AF153" i="5"/>
  <c r="C11" i="4"/>
  <c r="C153" i="5"/>
  <c r="D11" i="4"/>
  <c r="E153" i="5"/>
  <c r="I11" i="4"/>
  <c r="L153" i="5"/>
  <c r="J11" i="4"/>
  <c r="N153" i="5"/>
  <c r="L11" i="4"/>
  <c r="Q153" i="5"/>
  <c r="M11" i="4"/>
  <c r="R153" i="5"/>
  <c r="T153" i="5"/>
  <c r="U153" i="5"/>
  <c r="P11" i="4"/>
  <c r="W153" i="5"/>
  <c r="Q11" i="4"/>
  <c r="X153" i="5"/>
  <c r="S11" i="4"/>
  <c r="AA153" i="5"/>
  <c r="AI11" i="4"/>
  <c r="T11" i="4" a="1"/>
  <c r="T11" i="4"/>
  <c r="AC153" i="5"/>
  <c r="U11" i="4" a="1"/>
  <c r="U11" i="4"/>
  <c r="AD153" i="5"/>
  <c r="X11" i="4"/>
  <c r="AI153" i="5"/>
  <c r="Y11" i="4"/>
  <c r="AJ153" i="5"/>
  <c r="Z11" i="4"/>
  <c r="AL153" i="5"/>
  <c r="F153" i="5"/>
  <c r="H153" i="5"/>
  <c r="I153" i="5"/>
  <c r="Z153" i="5"/>
  <c r="AN153" i="5"/>
  <c r="AG154" i="5"/>
  <c r="AF154" i="5"/>
  <c r="B79" i="4"/>
  <c r="C79" i="4"/>
  <c r="C154" i="5"/>
  <c r="D79" i="4"/>
  <c r="E154" i="5"/>
  <c r="H79" i="4"/>
  <c r="K154" i="5"/>
  <c r="L79" i="4"/>
  <c r="Q154" i="5"/>
  <c r="M79" i="4"/>
  <c r="R154" i="5"/>
  <c r="T154" i="5"/>
  <c r="O79" i="4"/>
  <c r="U154" i="5"/>
  <c r="P79" i="4"/>
  <c r="W154" i="5"/>
  <c r="Q79" i="4"/>
  <c r="X154" i="5"/>
  <c r="AA154" i="5"/>
  <c r="AI79" i="4"/>
  <c r="T79" i="4" a="1"/>
  <c r="T79" i="4"/>
  <c r="AC154" i="5"/>
  <c r="U79" i="4" a="1"/>
  <c r="U79" i="4"/>
  <c r="AD154" i="5"/>
  <c r="X79" i="4"/>
  <c r="AI154" i="5"/>
  <c r="Y79" i="4"/>
  <c r="AJ154" i="5"/>
  <c r="Z79" i="4"/>
  <c r="AL154" i="5"/>
  <c r="F154" i="5"/>
  <c r="H154" i="5"/>
  <c r="I154" i="5"/>
  <c r="L154" i="5"/>
  <c r="N154" i="5"/>
  <c r="O154" i="5"/>
  <c r="Z154" i="5"/>
  <c r="AN154" i="5"/>
  <c r="AG155" i="5"/>
  <c r="AF155" i="5"/>
  <c r="B254" i="4"/>
  <c r="C254" i="4"/>
  <c r="C155" i="5"/>
  <c r="D254" i="4"/>
  <c r="E155" i="5"/>
  <c r="E254" i="4"/>
  <c r="F155" i="5"/>
  <c r="F254" i="4"/>
  <c r="H155" i="5"/>
  <c r="I155" i="5"/>
  <c r="H254" i="4"/>
  <c r="K155" i="5"/>
  <c r="L254" i="4"/>
  <c r="Q155" i="5"/>
  <c r="M254" i="4"/>
  <c r="R155" i="5"/>
  <c r="T155" i="5"/>
  <c r="O254" i="4"/>
  <c r="U155" i="5"/>
  <c r="P254" i="4"/>
  <c r="W155" i="5"/>
  <c r="Q254" i="4"/>
  <c r="X155" i="5"/>
  <c r="S254" i="4"/>
  <c r="AA155" i="5"/>
  <c r="AI254" i="4"/>
  <c r="T254" i="4" a="1"/>
  <c r="T254" i="4"/>
  <c r="AC155" i="5"/>
  <c r="U254" i="4" a="1"/>
  <c r="U254" i="4"/>
  <c r="AD155" i="5"/>
  <c r="X254" i="4"/>
  <c r="AI155" i="5"/>
  <c r="Y254" i="4"/>
  <c r="AJ155" i="5"/>
  <c r="Z254" i="4"/>
  <c r="AL155" i="5"/>
  <c r="L155" i="5"/>
  <c r="N155" i="5"/>
  <c r="O155" i="5"/>
  <c r="Z155" i="5"/>
  <c r="AN155" i="5"/>
  <c r="AA156" i="5"/>
  <c r="B22" i="4"/>
  <c r="P22" i="4"/>
  <c r="W156" i="5"/>
  <c r="O156" i="5"/>
  <c r="H22" i="4"/>
  <c r="K156" i="5"/>
  <c r="AG156" i="5"/>
  <c r="AF156" i="5"/>
  <c r="C22" i="4"/>
  <c r="C156" i="5"/>
  <c r="D22" i="4"/>
  <c r="E156" i="5"/>
  <c r="I22" i="4"/>
  <c r="L156" i="5"/>
  <c r="J22" i="4"/>
  <c r="N156" i="5"/>
  <c r="L22" i="4"/>
  <c r="Q156" i="5"/>
  <c r="M22" i="4"/>
  <c r="R156" i="5"/>
  <c r="T156" i="5"/>
  <c r="O22" i="4"/>
  <c r="U156" i="5"/>
  <c r="Q22" i="4"/>
  <c r="X156" i="5"/>
  <c r="R40" i="2"/>
  <c r="R22" i="4"/>
  <c r="Z156" i="5"/>
  <c r="AI22" i="4"/>
  <c r="T22" i="4" a="1"/>
  <c r="T22" i="4"/>
  <c r="AC156" i="5"/>
  <c r="U22" i="4" a="1"/>
  <c r="U22" i="4"/>
  <c r="AD156" i="5"/>
  <c r="X22" i="4"/>
  <c r="AI156" i="5"/>
  <c r="Y22" i="4"/>
  <c r="AJ156" i="5"/>
  <c r="Z22" i="4"/>
  <c r="AL156" i="5"/>
  <c r="F156" i="5"/>
  <c r="H156" i="5"/>
  <c r="I156" i="5"/>
  <c r="AN156" i="5"/>
  <c r="AG157" i="5"/>
  <c r="AF157" i="5"/>
  <c r="B193" i="4"/>
  <c r="C193" i="4"/>
  <c r="C157" i="5"/>
  <c r="D193" i="4"/>
  <c r="E157" i="5"/>
  <c r="H193" i="4"/>
  <c r="K157" i="5"/>
  <c r="L193" i="4"/>
  <c r="Q157" i="5"/>
  <c r="M193" i="4"/>
  <c r="R157" i="5"/>
  <c r="T157" i="5"/>
  <c r="U157" i="5"/>
  <c r="P193" i="4"/>
  <c r="W157" i="5"/>
  <c r="Q193" i="4"/>
  <c r="X157" i="5"/>
  <c r="S193" i="4"/>
  <c r="AA157" i="5"/>
  <c r="AI193" i="4"/>
  <c r="T193" i="4" a="1"/>
  <c r="T193" i="4"/>
  <c r="AC157" i="5"/>
  <c r="U193" i="4" a="1"/>
  <c r="U193" i="4"/>
  <c r="AD157" i="5"/>
  <c r="X193" i="4"/>
  <c r="AI157" i="5"/>
  <c r="Y193" i="4"/>
  <c r="AJ157" i="5"/>
  <c r="Z193" i="4"/>
  <c r="AL157" i="5"/>
  <c r="F157" i="5"/>
  <c r="H157" i="5"/>
  <c r="I157" i="5"/>
  <c r="L157" i="5"/>
  <c r="N157" i="5"/>
  <c r="O157" i="5"/>
  <c r="Z157" i="5"/>
  <c r="AN157" i="5"/>
  <c r="AG158" i="5"/>
  <c r="AF158" i="5"/>
  <c r="B194" i="4"/>
  <c r="C194" i="4"/>
  <c r="C158" i="5"/>
  <c r="D194" i="4"/>
  <c r="E158" i="5"/>
  <c r="E194" i="4"/>
  <c r="F158" i="5"/>
  <c r="F194" i="4"/>
  <c r="H158" i="5"/>
  <c r="I158" i="5"/>
  <c r="H194" i="4"/>
  <c r="K158" i="5"/>
  <c r="L194" i="4"/>
  <c r="Q158" i="5"/>
  <c r="M194" i="4"/>
  <c r="R158" i="5"/>
  <c r="T158" i="5"/>
  <c r="O194" i="4"/>
  <c r="U158" i="5"/>
  <c r="P194" i="4"/>
  <c r="W158" i="5"/>
  <c r="Q194" i="4"/>
  <c r="X158" i="5"/>
  <c r="S194" i="4"/>
  <c r="AA158" i="5"/>
  <c r="AI194" i="4"/>
  <c r="T194" i="4" a="1"/>
  <c r="T194" i="4"/>
  <c r="AC158" i="5"/>
  <c r="U194" i="4" a="1"/>
  <c r="U194" i="4"/>
  <c r="AD158" i="5"/>
  <c r="X194" i="4"/>
  <c r="AI158" i="5"/>
  <c r="Y194" i="4"/>
  <c r="AJ158" i="5"/>
  <c r="Z194" i="4"/>
  <c r="AL158" i="5"/>
  <c r="L158" i="5"/>
  <c r="N158" i="5"/>
  <c r="O158" i="5"/>
  <c r="Z158" i="5"/>
  <c r="AN158" i="5"/>
  <c r="AG159" i="5"/>
  <c r="AF159" i="5"/>
  <c r="B279" i="4"/>
  <c r="C279" i="4"/>
  <c r="C159" i="5"/>
  <c r="D279" i="4"/>
  <c r="E159" i="5"/>
  <c r="E279" i="4"/>
  <c r="F159" i="5"/>
  <c r="F279" i="4"/>
  <c r="H159" i="5"/>
  <c r="I159" i="5"/>
  <c r="H279" i="4"/>
  <c r="K159" i="5"/>
  <c r="L279" i="4"/>
  <c r="Q159" i="5"/>
  <c r="M279" i="4"/>
  <c r="R159" i="5"/>
  <c r="T159" i="5"/>
  <c r="O279" i="4"/>
  <c r="U159" i="5"/>
  <c r="P279" i="4"/>
  <c r="W159" i="5"/>
  <c r="Q279" i="4"/>
  <c r="X159" i="5"/>
  <c r="S279" i="4"/>
  <c r="AA159" i="5"/>
  <c r="AI279" i="4"/>
  <c r="T279" i="4" a="1"/>
  <c r="T279" i="4"/>
  <c r="AC159" i="5"/>
  <c r="U279" i="4" a="1"/>
  <c r="U279" i="4"/>
  <c r="AD159" i="5"/>
  <c r="X279" i="4"/>
  <c r="AI159" i="5"/>
  <c r="Y279" i="4"/>
  <c r="AJ159" i="5"/>
  <c r="Z279" i="4"/>
  <c r="AL159" i="5"/>
  <c r="L159" i="5"/>
  <c r="N159" i="5"/>
  <c r="O159" i="5"/>
  <c r="Z159" i="5"/>
  <c r="AN159" i="5"/>
  <c r="AG160" i="5"/>
  <c r="AF160" i="5"/>
  <c r="B280" i="4"/>
  <c r="C280" i="4"/>
  <c r="C160" i="5"/>
  <c r="D280" i="4"/>
  <c r="E160" i="5"/>
  <c r="E280" i="4"/>
  <c r="F160" i="5"/>
  <c r="F280" i="4"/>
  <c r="H160" i="5"/>
  <c r="I160" i="5"/>
  <c r="H280" i="4"/>
  <c r="K160" i="5"/>
  <c r="L280" i="4"/>
  <c r="Q160" i="5"/>
  <c r="M280" i="4"/>
  <c r="R160" i="5"/>
  <c r="T160" i="5"/>
  <c r="O280" i="4"/>
  <c r="U160" i="5"/>
  <c r="P280" i="4"/>
  <c r="W160" i="5"/>
  <c r="Q280" i="4"/>
  <c r="X160" i="5"/>
  <c r="S280" i="4"/>
  <c r="AA160" i="5"/>
  <c r="AI280" i="4"/>
  <c r="T280" i="4" a="1"/>
  <c r="T280" i="4"/>
  <c r="AC160" i="5"/>
  <c r="U280" i="4" a="1"/>
  <c r="U280" i="4"/>
  <c r="AD160" i="5"/>
  <c r="X280" i="4"/>
  <c r="AI160" i="5"/>
  <c r="Y280" i="4"/>
  <c r="AJ160" i="5"/>
  <c r="Z280" i="4"/>
  <c r="AL160" i="5"/>
  <c r="L160" i="5"/>
  <c r="N160" i="5"/>
  <c r="O160" i="5"/>
  <c r="Z160" i="5"/>
  <c r="AN160" i="5"/>
  <c r="AG161" i="5"/>
  <c r="AF161" i="5"/>
  <c r="B46" i="4"/>
  <c r="C46" i="4"/>
  <c r="C161" i="5"/>
  <c r="D46" i="4"/>
  <c r="E161" i="5"/>
  <c r="H46" i="4"/>
  <c r="K161" i="5"/>
  <c r="L46" i="4"/>
  <c r="Q161" i="5"/>
  <c r="M46" i="4"/>
  <c r="R161" i="5"/>
  <c r="N27" i="2"/>
  <c r="N46" i="4"/>
  <c r="T161" i="5"/>
  <c r="O46" i="4"/>
  <c r="U161" i="5"/>
  <c r="P46" i="4"/>
  <c r="W161" i="5"/>
  <c r="Q46" i="4"/>
  <c r="X161" i="5"/>
  <c r="AA161" i="5"/>
  <c r="AI46" i="4"/>
  <c r="T46" i="4" a="1"/>
  <c r="T46" i="4"/>
  <c r="AC161" i="5"/>
  <c r="U46" i="4" a="1"/>
  <c r="U46" i="4"/>
  <c r="AD161" i="5"/>
  <c r="X46" i="4"/>
  <c r="AI161" i="5"/>
  <c r="Y46" i="4"/>
  <c r="AJ161" i="5"/>
  <c r="Z46" i="4"/>
  <c r="AL161" i="5"/>
  <c r="F161" i="5"/>
  <c r="H161" i="5"/>
  <c r="I161" i="5"/>
  <c r="L161" i="5"/>
  <c r="N161" i="5"/>
  <c r="O161" i="5"/>
  <c r="Z161" i="5"/>
  <c r="AN161" i="5"/>
  <c r="AG162" i="5"/>
  <c r="AF162" i="5"/>
  <c r="B80" i="4"/>
  <c r="C80" i="4"/>
  <c r="C162" i="5"/>
  <c r="D80" i="4"/>
  <c r="E162" i="5"/>
  <c r="H80" i="4"/>
  <c r="K162" i="5"/>
  <c r="L80" i="4"/>
  <c r="Q162" i="5"/>
  <c r="M80" i="4"/>
  <c r="R162" i="5"/>
  <c r="T162" i="5"/>
  <c r="U162" i="5"/>
  <c r="P80" i="4"/>
  <c r="W162" i="5"/>
  <c r="Q80" i="4"/>
  <c r="X162" i="5"/>
  <c r="AA162" i="5"/>
  <c r="AI80" i="4"/>
  <c r="T80" i="4" a="1"/>
  <c r="T80" i="4"/>
  <c r="AC162" i="5"/>
  <c r="U80" i="4" a="1"/>
  <c r="U80" i="4"/>
  <c r="AD162" i="5"/>
  <c r="Y80" i="4"/>
  <c r="AJ162" i="5"/>
  <c r="Z80" i="4"/>
  <c r="AL162" i="5"/>
  <c r="F162" i="5"/>
  <c r="H162" i="5"/>
  <c r="I162" i="5"/>
  <c r="L162" i="5"/>
  <c r="N162" i="5"/>
  <c r="O162" i="5"/>
  <c r="Z162" i="5"/>
  <c r="AN162" i="5"/>
  <c r="AG163" i="5"/>
  <c r="AF163" i="5"/>
  <c r="B215" i="4"/>
  <c r="C215" i="4"/>
  <c r="C163" i="5"/>
  <c r="D215" i="4"/>
  <c r="E163" i="5"/>
  <c r="H215" i="4"/>
  <c r="K163" i="5"/>
  <c r="L215" i="4"/>
  <c r="Q163" i="5"/>
  <c r="M215" i="4"/>
  <c r="R163" i="5"/>
  <c r="T163" i="5"/>
  <c r="O215" i="4"/>
  <c r="U163" i="5"/>
  <c r="P215" i="4"/>
  <c r="W163" i="5"/>
  <c r="Q215" i="4"/>
  <c r="X163" i="5"/>
  <c r="S215" i="4"/>
  <c r="AA163" i="5"/>
  <c r="AI215" i="4"/>
  <c r="T215" i="4" a="1"/>
  <c r="T215" i="4"/>
  <c r="AC163" i="5"/>
  <c r="U215" i="4" a="1"/>
  <c r="U215" i="4"/>
  <c r="AD163" i="5"/>
  <c r="X215" i="4"/>
  <c r="AI163" i="5"/>
  <c r="Y215" i="4"/>
  <c r="AJ163" i="5"/>
  <c r="Z215" i="4"/>
  <c r="AL163" i="5"/>
  <c r="F163" i="5"/>
  <c r="H163" i="5"/>
  <c r="I163" i="5"/>
  <c r="L163" i="5"/>
  <c r="N163" i="5"/>
  <c r="O163" i="5"/>
  <c r="Z163" i="5"/>
  <c r="AN163" i="5"/>
  <c r="O164" i="5"/>
  <c r="K164" i="5"/>
  <c r="AG164" i="5"/>
  <c r="AF164" i="5"/>
  <c r="B82" i="4"/>
  <c r="C82" i="4"/>
  <c r="C164" i="5"/>
  <c r="D82" i="4"/>
  <c r="E164" i="5"/>
  <c r="E82" i="4"/>
  <c r="F164" i="5"/>
  <c r="F82" i="4"/>
  <c r="H164" i="5"/>
  <c r="I164" i="5"/>
  <c r="I18" i="2"/>
  <c r="I82" i="4"/>
  <c r="L164" i="5"/>
  <c r="J18" i="2"/>
  <c r="J82" i="4"/>
  <c r="N164" i="5"/>
  <c r="L82" i="4"/>
  <c r="Q164" i="5"/>
  <c r="M82" i="4"/>
  <c r="R164" i="5"/>
  <c r="T164" i="5"/>
  <c r="O82" i="4"/>
  <c r="U164" i="5"/>
  <c r="P82" i="4"/>
  <c r="W164" i="5"/>
  <c r="Q82" i="4"/>
  <c r="X164" i="5"/>
  <c r="S82" i="4"/>
  <c r="AA164" i="5"/>
  <c r="AI82" i="4"/>
  <c r="T82" i="4" a="1"/>
  <c r="T82" i="4"/>
  <c r="AC164" i="5"/>
  <c r="U82" i="4" a="1"/>
  <c r="U82" i="4"/>
  <c r="AD164" i="5"/>
  <c r="X82" i="4"/>
  <c r="AI164" i="5"/>
  <c r="Y82" i="4"/>
  <c r="AJ164" i="5"/>
  <c r="Z82" i="4"/>
  <c r="AL164" i="5"/>
  <c r="Z164" i="5"/>
  <c r="AN164" i="5"/>
  <c r="O165" i="5"/>
  <c r="B83" i="4"/>
  <c r="H83" i="4"/>
  <c r="K165" i="5"/>
  <c r="AG165" i="5"/>
  <c r="AF165" i="5"/>
  <c r="C83" i="4"/>
  <c r="C165" i="5"/>
  <c r="D83" i="4"/>
  <c r="E165" i="5"/>
  <c r="E15" i="2"/>
  <c r="E83" i="4"/>
  <c r="F165" i="5"/>
  <c r="F15" i="2"/>
  <c r="F83" i="4"/>
  <c r="H165" i="5"/>
  <c r="I165" i="5"/>
  <c r="L165" i="5"/>
  <c r="J15" i="2"/>
  <c r="J83" i="4"/>
  <c r="N165" i="5"/>
  <c r="L83" i="4"/>
  <c r="Q165" i="5"/>
  <c r="M83" i="4"/>
  <c r="R165" i="5"/>
  <c r="T165" i="5"/>
  <c r="O83" i="4"/>
  <c r="U165" i="5"/>
  <c r="P83" i="4"/>
  <c r="W165" i="5"/>
  <c r="Q83" i="4"/>
  <c r="X165" i="5"/>
  <c r="S83" i="4"/>
  <c r="AA165" i="5"/>
  <c r="AI83" i="4"/>
  <c r="T83" i="4" a="1"/>
  <c r="T83" i="4"/>
  <c r="AC165" i="5"/>
  <c r="U83" i="4" a="1"/>
  <c r="U83" i="4"/>
  <c r="AD165" i="5"/>
  <c r="X83" i="4"/>
  <c r="AI165" i="5"/>
  <c r="Y83" i="4"/>
  <c r="AJ165" i="5"/>
  <c r="Z83" i="4"/>
  <c r="AL165" i="5"/>
  <c r="Z165" i="5"/>
  <c r="AN165" i="5"/>
  <c r="O166" i="5"/>
  <c r="B84" i="4"/>
  <c r="H84" i="4"/>
  <c r="K166" i="5"/>
  <c r="AG166" i="5"/>
  <c r="AF166" i="5"/>
  <c r="C84" i="4"/>
  <c r="C166" i="5"/>
  <c r="D84" i="4"/>
  <c r="E166" i="5"/>
  <c r="E84" i="4"/>
  <c r="F166" i="5"/>
  <c r="F84" i="4"/>
  <c r="H166" i="5"/>
  <c r="I166" i="5"/>
  <c r="I16" i="2"/>
  <c r="I84" i="4"/>
  <c r="L166" i="5"/>
  <c r="J16" i="2"/>
  <c r="J84" i="4"/>
  <c r="N166" i="5"/>
  <c r="L84" i="4"/>
  <c r="Q166" i="5"/>
  <c r="M84" i="4"/>
  <c r="R166" i="5"/>
  <c r="T166" i="5"/>
  <c r="O84" i="4"/>
  <c r="U166" i="5"/>
  <c r="P84" i="4"/>
  <c r="W166" i="5"/>
  <c r="Q84" i="4"/>
  <c r="X166" i="5"/>
  <c r="AA166" i="5"/>
  <c r="AI84" i="4"/>
  <c r="T84" i="4" a="1"/>
  <c r="T84" i="4"/>
  <c r="AC166" i="5"/>
  <c r="U84" i="4" a="1"/>
  <c r="U84" i="4"/>
  <c r="AD166" i="5"/>
  <c r="AI166" i="5"/>
  <c r="Y84" i="4"/>
  <c r="AJ166" i="5"/>
  <c r="Z84" i="4"/>
  <c r="AL166" i="5"/>
  <c r="Z166" i="5"/>
  <c r="AN166" i="5"/>
  <c r="AG167" i="5"/>
  <c r="AF167" i="5"/>
  <c r="B255" i="4"/>
  <c r="C255" i="4"/>
  <c r="C167" i="5"/>
  <c r="D255" i="4"/>
  <c r="E167" i="5"/>
  <c r="K167" i="5"/>
  <c r="L255" i="4"/>
  <c r="Q167" i="5"/>
  <c r="M255" i="4"/>
  <c r="R167" i="5"/>
  <c r="T167" i="5"/>
  <c r="U167" i="5"/>
  <c r="P255" i="4"/>
  <c r="W167" i="5"/>
  <c r="Q255" i="4"/>
  <c r="X167" i="5"/>
  <c r="S255" i="4"/>
  <c r="AA167" i="5"/>
  <c r="AI255" i="4"/>
  <c r="T255" i="4" a="1"/>
  <c r="T255" i="4"/>
  <c r="AC167" i="5"/>
  <c r="U255" i="4" a="1"/>
  <c r="U255" i="4"/>
  <c r="AD167" i="5"/>
  <c r="X255" i="4"/>
  <c r="AI167" i="5"/>
  <c r="Y255" i="4"/>
  <c r="AJ167" i="5"/>
  <c r="Z255" i="4"/>
  <c r="AL167" i="5"/>
  <c r="F167" i="5"/>
  <c r="H167" i="5"/>
  <c r="I167" i="5"/>
  <c r="L167" i="5"/>
  <c r="N167" i="5"/>
  <c r="O167" i="5"/>
  <c r="Z167" i="5"/>
  <c r="AN167" i="5"/>
  <c r="AG168" i="5"/>
  <c r="AF168" i="5"/>
  <c r="B281" i="4"/>
  <c r="C281" i="4"/>
  <c r="C168" i="5"/>
  <c r="D281" i="4"/>
  <c r="E168" i="5"/>
  <c r="K168" i="5"/>
  <c r="L281" i="4"/>
  <c r="Q168" i="5"/>
  <c r="M281" i="4"/>
  <c r="R168" i="5"/>
  <c r="T168" i="5"/>
  <c r="U168" i="5"/>
  <c r="P281" i="4"/>
  <c r="W168" i="5"/>
  <c r="Q281" i="4"/>
  <c r="X168" i="5"/>
  <c r="S281" i="4"/>
  <c r="AA168" i="5"/>
  <c r="AI281" i="4"/>
  <c r="T281" i="4" a="1"/>
  <c r="T281" i="4"/>
  <c r="AC168" i="5"/>
  <c r="U281" i="4" a="1"/>
  <c r="U281" i="4"/>
  <c r="AD168" i="5"/>
  <c r="X281" i="4"/>
  <c r="AI168" i="5"/>
  <c r="Y281" i="4"/>
  <c r="AJ168" i="5"/>
  <c r="Z281" i="4"/>
  <c r="AL168" i="5"/>
  <c r="F168" i="5"/>
  <c r="H168" i="5"/>
  <c r="I168" i="5"/>
  <c r="L168" i="5"/>
  <c r="N168" i="5"/>
  <c r="O168" i="5"/>
  <c r="Z168" i="5"/>
  <c r="AN168" i="5"/>
  <c r="AG169" i="5"/>
  <c r="AF169" i="5"/>
  <c r="B256" i="4"/>
  <c r="C256" i="4"/>
  <c r="C169" i="5"/>
  <c r="E169" i="5"/>
  <c r="K169" i="5"/>
  <c r="L256" i="4"/>
  <c r="Q169" i="5"/>
  <c r="M256" i="4"/>
  <c r="R169" i="5"/>
  <c r="T169" i="5"/>
  <c r="O256" i="4"/>
  <c r="U169" i="5"/>
  <c r="P256" i="4"/>
  <c r="W169" i="5"/>
  <c r="Q256" i="4"/>
  <c r="X169" i="5"/>
  <c r="S256" i="4"/>
  <c r="AA169" i="5"/>
  <c r="AI256" i="4"/>
  <c r="T256" i="4" a="1"/>
  <c r="T256" i="4"/>
  <c r="AC169" i="5"/>
  <c r="U256" i="4" a="1"/>
  <c r="U256" i="4"/>
  <c r="AD169" i="5"/>
  <c r="X256" i="4"/>
  <c r="AI169" i="5"/>
  <c r="Y256" i="4"/>
  <c r="AJ169" i="5"/>
  <c r="Z256" i="4"/>
  <c r="AL169" i="5"/>
  <c r="F169" i="5"/>
  <c r="H169" i="5"/>
  <c r="I169" i="5"/>
  <c r="L169" i="5"/>
  <c r="N169" i="5"/>
  <c r="O169" i="5"/>
  <c r="Z169" i="5"/>
  <c r="AN169" i="5"/>
  <c r="AG170" i="5"/>
  <c r="AF170" i="5"/>
  <c r="B87" i="4"/>
  <c r="C87" i="4"/>
  <c r="C170" i="5"/>
  <c r="D87" i="4"/>
  <c r="E170" i="5"/>
  <c r="H87" i="4"/>
  <c r="K170" i="5"/>
  <c r="L87" i="4"/>
  <c r="Q170" i="5"/>
  <c r="M87" i="4"/>
  <c r="R170" i="5"/>
  <c r="T170" i="5"/>
  <c r="O87" i="4"/>
  <c r="U170" i="5"/>
  <c r="P87" i="4"/>
  <c r="W170" i="5"/>
  <c r="Q87" i="4"/>
  <c r="X170" i="5"/>
  <c r="S87" i="4"/>
  <c r="AA170" i="5"/>
  <c r="AI87" i="4"/>
  <c r="T87" i="4" a="1"/>
  <c r="T87" i="4"/>
  <c r="AC170" i="5"/>
  <c r="U87" i="4" a="1"/>
  <c r="U87" i="4"/>
  <c r="AD170" i="5"/>
  <c r="X87" i="4"/>
  <c r="AI170" i="5"/>
  <c r="Y87" i="4"/>
  <c r="AJ170" i="5"/>
  <c r="Z87" i="4"/>
  <c r="AL170" i="5"/>
  <c r="F170" i="5"/>
  <c r="H170" i="5"/>
  <c r="I170" i="5"/>
  <c r="L170" i="5"/>
  <c r="N170" i="5"/>
  <c r="O170" i="5"/>
  <c r="Z170" i="5"/>
  <c r="AN170" i="5"/>
  <c r="F171" i="5"/>
  <c r="H171" i="5"/>
  <c r="I171" i="5"/>
  <c r="L171" i="5"/>
  <c r="N171" i="5"/>
  <c r="O171" i="5"/>
  <c r="Z171" i="5"/>
  <c r="AG172" i="5"/>
  <c r="AF172" i="5"/>
  <c r="B291" i="4"/>
  <c r="C291" i="4"/>
  <c r="C172" i="5"/>
  <c r="D291" i="4"/>
  <c r="E172" i="5"/>
  <c r="K172" i="5"/>
  <c r="L291" i="4"/>
  <c r="Q172" i="5"/>
  <c r="M291" i="4"/>
  <c r="R172" i="5"/>
  <c r="T172" i="5"/>
  <c r="U172" i="5"/>
  <c r="P291" i="4"/>
  <c r="W172" i="5"/>
  <c r="Q291" i="4"/>
  <c r="X172" i="5"/>
  <c r="AA172" i="5"/>
  <c r="AI291" i="4"/>
  <c r="T291" i="4" a="1"/>
  <c r="T291" i="4"/>
  <c r="AC172" i="5"/>
  <c r="U291" i="4" a="1"/>
  <c r="U291" i="4"/>
  <c r="AD172" i="5"/>
  <c r="AI172" i="5"/>
  <c r="Y291" i="4"/>
  <c r="AJ172" i="5"/>
  <c r="Z291" i="4"/>
  <c r="AL172" i="5"/>
  <c r="F172" i="5"/>
  <c r="H172" i="5"/>
  <c r="I172" i="5"/>
  <c r="L172" i="5"/>
  <c r="N172" i="5"/>
  <c r="O172" i="5"/>
  <c r="Z172" i="5"/>
  <c r="AN172" i="5"/>
  <c r="B23" i="4"/>
  <c r="S23" i="4"/>
  <c r="AA173" i="5"/>
  <c r="P23" i="4"/>
  <c r="W173" i="5"/>
  <c r="O173" i="5"/>
  <c r="K173" i="5"/>
  <c r="AG173" i="5"/>
  <c r="AF173" i="5"/>
  <c r="C23" i="4"/>
  <c r="C173" i="5"/>
  <c r="D23" i="4"/>
  <c r="E173" i="5"/>
  <c r="E23" i="4"/>
  <c r="F173" i="5"/>
  <c r="F23" i="4"/>
  <c r="H173" i="5"/>
  <c r="I173" i="5"/>
  <c r="L23" i="4"/>
  <c r="Q173" i="5"/>
  <c r="M23" i="4"/>
  <c r="R173" i="5"/>
  <c r="T173" i="5"/>
  <c r="O23" i="4"/>
  <c r="U173" i="5"/>
  <c r="Q23" i="4"/>
  <c r="X173" i="5"/>
  <c r="R18" i="2"/>
  <c r="R23" i="4"/>
  <c r="Z173" i="5"/>
  <c r="AI23" i="4"/>
  <c r="T23" i="4" a="1"/>
  <c r="T23" i="4"/>
  <c r="AC173" i="5"/>
  <c r="U23" i="4" a="1"/>
  <c r="U23" i="4"/>
  <c r="AD173" i="5"/>
  <c r="X23" i="4"/>
  <c r="AI173" i="5"/>
  <c r="Y23" i="4"/>
  <c r="AJ173" i="5"/>
  <c r="Z23" i="4"/>
  <c r="AL173" i="5"/>
  <c r="AN173" i="5"/>
  <c r="B7" i="4"/>
  <c r="S7" i="4"/>
  <c r="AA174" i="5"/>
  <c r="P7" i="4"/>
  <c r="W174" i="5"/>
  <c r="O174" i="5"/>
  <c r="H2" i="2"/>
  <c r="H7" i="4"/>
  <c r="K174" i="5"/>
  <c r="AG174" i="5"/>
  <c r="AF174" i="5"/>
  <c r="C7" i="4"/>
  <c r="C174" i="5"/>
  <c r="D7" i="4"/>
  <c r="E174" i="5"/>
  <c r="E2" i="2"/>
  <c r="E7" i="4"/>
  <c r="F174" i="5"/>
  <c r="F2" i="2"/>
  <c r="F7" i="4"/>
  <c r="H174" i="5"/>
  <c r="I174" i="5"/>
  <c r="I2" i="2"/>
  <c r="I7" i="4"/>
  <c r="L174" i="5"/>
  <c r="J2" i="2"/>
  <c r="J7" i="4"/>
  <c r="N174" i="5"/>
  <c r="L7" i="4"/>
  <c r="Q174" i="5"/>
  <c r="M7" i="4"/>
  <c r="R174" i="5"/>
  <c r="T174" i="5"/>
  <c r="U174" i="5"/>
  <c r="Q7" i="4"/>
  <c r="X174" i="5"/>
  <c r="R2" i="2"/>
  <c r="R7" i="4"/>
  <c r="Z174" i="5"/>
  <c r="AI7" i="4"/>
  <c r="T7" i="4" a="1"/>
  <c r="T7" i="4"/>
  <c r="AC174" i="5"/>
  <c r="U7" i="4" a="1"/>
  <c r="U7" i="4"/>
  <c r="AD174" i="5"/>
  <c r="X7" i="4"/>
  <c r="AI174" i="5"/>
  <c r="Y7" i="4"/>
  <c r="AJ174" i="5"/>
  <c r="Z7" i="4"/>
  <c r="AL174" i="5"/>
  <c r="AN174" i="5"/>
  <c r="AA175" i="5"/>
  <c r="P161" i="4"/>
  <c r="W175" i="5"/>
  <c r="O175" i="5"/>
  <c r="K175" i="5"/>
  <c r="AG175" i="5"/>
  <c r="AF175" i="5"/>
  <c r="C161" i="4"/>
  <c r="C175" i="5"/>
  <c r="D161" i="4"/>
  <c r="E175" i="5"/>
  <c r="L175" i="5"/>
  <c r="N175" i="5"/>
  <c r="L161" i="4"/>
  <c r="Q175" i="5"/>
  <c r="O161" i="4"/>
  <c r="U175" i="5"/>
  <c r="Q161" i="4"/>
  <c r="X175" i="5"/>
  <c r="R161" i="4"/>
  <c r="Z175" i="5"/>
  <c r="AI161" i="4"/>
  <c r="T161" i="4" a="1"/>
  <c r="T161" i="4"/>
  <c r="AC175" i="5"/>
  <c r="AD175" i="5"/>
  <c r="X161" i="4"/>
  <c r="AI175" i="5"/>
  <c r="Y161" i="4"/>
  <c r="AJ175" i="5"/>
  <c r="Z161" i="4"/>
  <c r="AL175" i="5"/>
  <c r="F175" i="5"/>
  <c r="R175" i="5"/>
  <c r="T175" i="5"/>
  <c r="H175" i="5"/>
  <c r="I175" i="5"/>
  <c r="AN175" i="5"/>
  <c r="AA176" i="5"/>
  <c r="P162" i="4"/>
  <c r="W176" i="5"/>
  <c r="O176" i="5"/>
  <c r="K176" i="5"/>
  <c r="AG176" i="5"/>
  <c r="AF176" i="5"/>
  <c r="C162" i="4"/>
  <c r="C176" i="5"/>
  <c r="D162" i="4"/>
  <c r="E176" i="5"/>
  <c r="L176" i="5"/>
  <c r="N176" i="5"/>
  <c r="L162" i="4"/>
  <c r="Q176" i="5"/>
  <c r="O162" i="4"/>
  <c r="U176" i="5"/>
  <c r="Q162" i="4"/>
  <c r="X176" i="5"/>
  <c r="R162" i="4"/>
  <c r="Z176" i="5"/>
  <c r="AI162" i="4"/>
  <c r="T162" i="4" a="1"/>
  <c r="T162" i="4"/>
  <c r="AC176" i="5"/>
  <c r="AD176" i="5"/>
  <c r="X162" i="4"/>
  <c r="AI176" i="5"/>
  <c r="Y162" i="4"/>
  <c r="AJ176" i="5"/>
  <c r="Z162" i="4"/>
  <c r="AL176" i="5"/>
  <c r="F176" i="5"/>
  <c r="R176" i="5"/>
  <c r="T176" i="5"/>
  <c r="H176" i="5"/>
  <c r="I176" i="5"/>
  <c r="AN176" i="5"/>
  <c r="AA177" i="5"/>
  <c r="P163" i="4"/>
  <c r="W177" i="5"/>
  <c r="O177" i="5"/>
  <c r="H163" i="4"/>
  <c r="K177" i="5"/>
  <c r="AG177" i="5"/>
  <c r="AF177" i="5"/>
  <c r="C163" i="4"/>
  <c r="C177" i="5"/>
  <c r="D163" i="4"/>
  <c r="E177" i="5"/>
  <c r="L177" i="5"/>
  <c r="J163" i="4"/>
  <c r="N177" i="5"/>
  <c r="L163" i="4"/>
  <c r="Q177" i="5"/>
  <c r="M163" i="4"/>
  <c r="R177" i="5"/>
  <c r="T177" i="5"/>
  <c r="O163" i="4"/>
  <c r="U177" i="5"/>
  <c r="Q163" i="4"/>
  <c r="X177" i="5"/>
  <c r="R163" i="4"/>
  <c r="Z177" i="5"/>
  <c r="AI163" i="4"/>
  <c r="T163" i="4" a="1"/>
  <c r="T163" i="4"/>
  <c r="AC177" i="5"/>
  <c r="AD177" i="5"/>
  <c r="X163" i="4"/>
  <c r="AI177" i="5"/>
  <c r="Y163" i="4"/>
  <c r="AJ177" i="5"/>
  <c r="Z163" i="4"/>
  <c r="AL177" i="5"/>
  <c r="F177" i="5"/>
  <c r="H177" i="5"/>
  <c r="I177" i="5"/>
  <c r="AN177" i="5"/>
  <c r="AG178" i="5"/>
  <c r="AF178" i="5"/>
  <c r="B111" i="4"/>
  <c r="C111" i="4"/>
  <c r="C178" i="5"/>
  <c r="D111" i="4"/>
  <c r="E178" i="5"/>
  <c r="H111" i="4"/>
  <c r="K178" i="5"/>
  <c r="L111" i="4"/>
  <c r="Q178" i="5"/>
  <c r="M111" i="4"/>
  <c r="R178" i="5"/>
  <c r="T178" i="5"/>
  <c r="U178" i="5"/>
  <c r="P111" i="4"/>
  <c r="W178" i="5"/>
  <c r="Q111" i="4"/>
  <c r="X178" i="5"/>
  <c r="S111" i="4"/>
  <c r="AA178" i="5"/>
  <c r="AI111" i="4"/>
  <c r="T111" i="4" a="1"/>
  <c r="T111" i="4"/>
  <c r="AC178" i="5"/>
  <c r="U111" i="4" a="1"/>
  <c r="U111" i="4"/>
  <c r="AD178" i="5"/>
  <c r="X111" i="4"/>
  <c r="AI178" i="5"/>
  <c r="Y111" i="4"/>
  <c r="AJ178" i="5"/>
  <c r="Z111" i="4"/>
  <c r="AL178" i="5"/>
  <c r="F178" i="5"/>
  <c r="L178" i="5"/>
  <c r="N178" i="5"/>
  <c r="O178" i="5"/>
  <c r="Z178" i="5"/>
  <c r="H178" i="5"/>
  <c r="I178" i="5"/>
  <c r="AN178" i="5"/>
  <c r="AG179" i="5"/>
  <c r="AF179" i="5"/>
  <c r="B112" i="4"/>
  <c r="C112" i="4"/>
  <c r="C179" i="5"/>
  <c r="D112" i="4"/>
  <c r="E179" i="5"/>
  <c r="E112" i="4"/>
  <c r="F179" i="5"/>
  <c r="F112" i="4"/>
  <c r="H179" i="5"/>
  <c r="I179" i="5"/>
  <c r="H112" i="4"/>
  <c r="K179" i="5"/>
  <c r="L112" i="4"/>
  <c r="Q179" i="5"/>
  <c r="M112" i="4"/>
  <c r="R179" i="5"/>
  <c r="T179" i="5"/>
  <c r="O112" i="4"/>
  <c r="U179" i="5"/>
  <c r="P112" i="4"/>
  <c r="W179" i="5"/>
  <c r="Q112" i="4"/>
  <c r="X179" i="5"/>
  <c r="S112" i="4"/>
  <c r="AA179" i="5"/>
  <c r="AI112" i="4"/>
  <c r="T112" i="4" a="1"/>
  <c r="T112" i="4"/>
  <c r="AC179" i="5"/>
  <c r="U112" i="4" a="1"/>
  <c r="U112" i="4"/>
  <c r="AD179" i="5"/>
  <c r="X112" i="4"/>
  <c r="AI179" i="5"/>
  <c r="Y112" i="4"/>
  <c r="AJ179" i="5"/>
  <c r="Z112" i="4"/>
  <c r="AL179" i="5"/>
  <c r="L179" i="5"/>
  <c r="N179" i="5"/>
  <c r="O179" i="5"/>
  <c r="Z179" i="5"/>
  <c r="AN179" i="5"/>
  <c r="B113" i="4"/>
  <c r="S113" i="4"/>
  <c r="AA180" i="5"/>
  <c r="P113" i="4"/>
  <c r="W180" i="5"/>
  <c r="O180" i="5"/>
  <c r="K180" i="5"/>
  <c r="AG180" i="5"/>
  <c r="AF180" i="5"/>
  <c r="C113" i="4"/>
  <c r="C180" i="5"/>
  <c r="D113" i="4"/>
  <c r="E180" i="5"/>
  <c r="E113" i="4"/>
  <c r="F180" i="5"/>
  <c r="F113" i="4"/>
  <c r="H180" i="5"/>
  <c r="I180" i="5"/>
  <c r="I113" i="4"/>
  <c r="L180" i="5"/>
  <c r="J113" i="4"/>
  <c r="N180" i="5"/>
  <c r="L113" i="4"/>
  <c r="Q180" i="5"/>
  <c r="M113" i="4"/>
  <c r="R180" i="5"/>
  <c r="T180" i="5"/>
  <c r="U180" i="5"/>
  <c r="Q113" i="4"/>
  <c r="X180" i="5"/>
  <c r="R113" i="4"/>
  <c r="Z180" i="5"/>
  <c r="AI113" i="4"/>
  <c r="T113" i="4" a="1"/>
  <c r="T113" i="4"/>
  <c r="AC180" i="5"/>
  <c r="U113" i="4" a="1"/>
  <c r="U113" i="4"/>
  <c r="AD180" i="5"/>
  <c r="AI180" i="5"/>
  <c r="Y113" i="4"/>
  <c r="AJ180" i="5"/>
  <c r="Z113" i="4"/>
  <c r="AL180" i="5"/>
  <c r="AN180" i="5"/>
  <c r="B24" i="4"/>
  <c r="S24" i="4"/>
  <c r="AA181" i="5"/>
  <c r="P24" i="4"/>
  <c r="W181" i="5"/>
  <c r="O181" i="5"/>
  <c r="H24" i="4"/>
  <c r="K181" i="5"/>
  <c r="AG181" i="5"/>
  <c r="AF181" i="5"/>
  <c r="C24" i="4"/>
  <c r="C181" i="5"/>
  <c r="D24" i="4"/>
  <c r="E181" i="5"/>
  <c r="E24" i="4"/>
  <c r="F181" i="5"/>
  <c r="F24" i="4"/>
  <c r="H181" i="5"/>
  <c r="I181" i="5"/>
  <c r="I22" i="2"/>
  <c r="I24" i="4"/>
  <c r="L181" i="5"/>
  <c r="J22" i="2"/>
  <c r="J24" i="4"/>
  <c r="N181" i="5"/>
  <c r="L24" i="4"/>
  <c r="Q181" i="5"/>
  <c r="M24" i="4"/>
  <c r="R181" i="5"/>
  <c r="T181" i="5"/>
  <c r="U181" i="5"/>
  <c r="Q24" i="4"/>
  <c r="X181" i="5"/>
  <c r="R22" i="2"/>
  <c r="R24" i="4"/>
  <c r="Z181" i="5"/>
  <c r="AI24" i="4"/>
  <c r="T24" i="4" a="1"/>
  <c r="T24" i="4"/>
  <c r="AC181" i="5"/>
  <c r="U24" i="4" a="1"/>
  <c r="U24" i="4"/>
  <c r="AD181" i="5"/>
  <c r="X24" i="4"/>
  <c r="AI181" i="5"/>
  <c r="Y24" i="4"/>
  <c r="AJ181" i="5"/>
  <c r="Z24" i="4"/>
  <c r="AL181" i="5"/>
  <c r="AN181" i="5"/>
  <c r="B25" i="4"/>
  <c r="S25" i="4"/>
  <c r="AA182" i="5"/>
  <c r="P25" i="4"/>
  <c r="W182" i="5"/>
  <c r="O182" i="5"/>
  <c r="H25" i="4"/>
  <c r="K182" i="5"/>
  <c r="AG182" i="5"/>
  <c r="AF182" i="5"/>
  <c r="C25" i="4"/>
  <c r="C182" i="5"/>
  <c r="D25" i="4"/>
  <c r="E182" i="5"/>
  <c r="E25" i="4"/>
  <c r="F182" i="5"/>
  <c r="F25" i="4"/>
  <c r="H182" i="5"/>
  <c r="I182" i="5"/>
  <c r="I25" i="4"/>
  <c r="L182" i="5"/>
  <c r="J25" i="4"/>
  <c r="N182" i="5"/>
  <c r="L25" i="4"/>
  <c r="Q182" i="5"/>
  <c r="M25" i="4"/>
  <c r="R182" i="5"/>
  <c r="T182" i="5"/>
  <c r="U182" i="5"/>
  <c r="Q25" i="4"/>
  <c r="X182" i="5"/>
  <c r="R25" i="4"/>
  <c r="Z182" i="5"/>
  <c r="AI25" i="4"/>
  <c r="T25" i="4" a="1"/>
  <c r="T25" i="4"/>
  <c r="AC182" i="5"/>
  <c r="U25" i="4" a="1"/>
  <c r="U25" i="4"/>
  <c r="AD182" i="5"/>
  <c r="AI182" i="5"/>
  <c r="Y25" i="4"/>
  <c r="AJ182" i="5"/>
  <c r="Z25" i="4"/>
  <c r="AL182" i="5"/>
  <c r="AN182" i="5"/>
  <c r="B26" i="4"/>
  <c r="S26" i="4"/>
  <c r="AA183" i="5"/>
  <c r="P26" i="4"/>
  <c r="W183" i="5"/>
  <c r="O183" i="5"/>
  <c r="K183" i="5"/>
  <c r="AG183" i="5"/>
  <c r="AF183" i="5"/>
  <c r="C26" i="4"/>
  <c r="C183" i="5"/>
  <c r="D26" i="4"/>
  <c r="E183" i="5"/>
  <c r="E26" i="4"/>
  <c r="F183" i="5"/>
  <c r="F26" i="4"/>
  <c r="H183" i="5"/>
  <c r="I183" i="5"/>
  <c r="I26" i="4"/>
  <c r="L183" i="5"/>
  <c r="J26" i="4"/>
  <c r="N183" i="5"/>
  <c r="L26" i="4"/>
  <c r="Q183" i="5"/>
  <c r="M26" i="4"/>
  <c r="R183" i="5"/>
  <c r="T183" i="5"/>
  <c r="U183" i="5"/>
  <c r="Q26" i="4"/>
  <c r="X183" i="5"/>
  <c r="R26" i="4"/>
  <c r="Z183" i="5"/>
  <c r="AI26" i="4"/>
  <c r="T26" i="4" a="1"/>
  <c r="T26" i="4"/>
  <c r="AC183" i="5"/>
  <c r="U26" i="4" a="1"/>
  <c r="U26" i="4"/>
  <c r="AD183" i="5"/>
  <c r="X26" i="4"/>
  <c r="AI183" i="5"/>
  <c r="Y26" i="4"/>
  <c r="AJ183" i="5"/>
  <c r="Z26" i="4"/>
  <c r="AL183" i="5"/>
  <c r="AN183" i="5"/>
  <c r="B130" i="4"/>
  <c r="S130" i="4"/>
  <c r="AA184" i="5"/>
  <c r="P130" i="4"/>
  <c r="W184" i="5"/>
  <c r="O184" i="5"/>
  <c r="K184" i="5"/>
  <c r="AG184" i="5"/>
  <c r="AF184" i="5"/>
  <c r="C130" i="4"/>
  <c r="C184" i="5"/>
  <c r="D130" i="4"/>
  <c r="E184" i="5"/>
  <c r="E130" i="4"/>
  <c r="F184" i="5"/>
  <c r="F130" i="4"/>
  <c r="H184" i="5"/>
  <c r="I184" i="5"/>
  <c r="I130" i="4"/>
  <c r="L184" i="5"/>
  <c r="J130" i="4"/>
  <c r="N184" i="5"/>
  <c r="L130" i="4"/>
  <c r="Q184" i="5"/>
  <c r="M130" i="4"/>
  <c r="R184" i="5"/>
  <c r="T184" i="5"/>
  <c r="U184" i="5"/>
  <c r="Q130" i="4"/>
  <c r="X184" i="5"/>
  <c r="R130" i="4"/>
  <c r="Z184" i="5"/>
  <c r="AI130" i="4"/>
  <c r="T130" i="4" a="1"/>
  <c r="T130" i="4"/>
  <c r="AC184" i="5"/>
  <c r="U130" i="4" a="1"/>
  <c r="U130" i="4"/>
  <c r="AD184" i="5"/>
  <c r="X130" i="4"/>
  <c r="AI184" i="5"/>
  <c r="Y130" i="4"/>
  <c r="AJ184" i="5"/>
  <c r="Z130" i="4"/>
  <c r="AL184" i="5"/>
  <c r="AN184" i="5"/>
  <c r="S131" i="4"/>
  <c r="AA185" i="5"/>
  <c r="P131" i="4"/>
  <c r="W185" i="5"/>
  <c r="O185" i="5"/>
  <c r="H131" i="4"/>
  <c r="K185" i="5"/>
  <c r="AG185" i="5"/>
  <c r="AF185" i="5"/>
  <c r="C131" i="4"/>
  <c r="C185" i="5"/>
  <c r="D131" i="4"/>
  <c r="E185" i="5"/>
  <c r="E131" i="4"/>
  <c r="F185" i="5"/>
  <c r="F131" i="4"/>
  <c r="H185" i="5"/>
  <c r="I185" i="5"/>
  <c r="I131" i="4"/>
  <c r="L185" i="5"/>
  <c r="J131" i="4"/>
  <c r="N185" i="5"/>
  <c r="L131" i="4"/>
  <c r="Q185" i="5"/>
  <c r="M131" i="4"/>
  <c r="R185" i="5"/>
  <c r="T185" i="5"/>
  <c r="O131" i="4"/>
  <c r="U185" i="5"/>
  <c r="Q131" i="4"/>
  <c r="X185" i="5"/>
  <c r="R131" i="4"/>
  <c r="Z185" i="5"/>
  <c r="AI131" i="4"/>
  <c r="T131" i="4" a="1"/>
  <c r="T131" i="4"/>
  <c r="AC185" i="5"/>
  <c r="U131" i="4" a="1"/>
  <c r="U131" i="4"/>
  <c r="AD185" i="5"/>
  <c r="AI185" i="5"/>
  <c r="Y131" i="4"/>
  <c r="AJ185" i="5"/>
  <c r="Z131" i="4"/>
  <c r="AL185" i="5"/>
  <c r="AN185" i="5"/>
  <c r="S132" i="4"/>
  <c r="AA186" i="5"/>
  <c r="P132" i="4"/>
  <c r="W186" i="5"/>
  <c r="O186" i="5"/>
  <c r="K186" i="5"/>
  <c r="AG186" i="5"/>
  <c r="AF186" i="5"/>
  <c r="C132" i="4"/>
  <c r="C186" i="5"/>
  <c r="D132" i="4"/>
  <c r="E186" i="5"/>
  <c r="E132" i="4"/>
  <c r="F186" i="5"/>
  <c r="F132" i="4"/>
  <c r="H186" i="5"/>
  <c r="I186" i="5"/>
  <c r="I132" i="4"/>
  <c r="L186" i="5"/>
  <c r="J132" i="4"/>
  <c r="N186" i="5"/>
  <c r="L132" i="4"/>
  <c r="Q186" i="5"/>
  <c r="M132" i="4"/>
  <c r="R186" i="5"/>
  <c r="T186" i="5"/>
  <c r="U186" i="5"/>
  <c r="Q132" i="4"/>
  <c r="X186" i="5"/>
  <c r="R132" i="4"/>
  <c r="Z186" i="5"/>
  <c r="AI132" i="4"/>
  <c r="T132" i="4" a="1"/>
  <c r="T132" i="4"/>
  <c r="AC186" i="5"/>
  <c r="U132" i="4" a="1"/>
  <c r="U132" i="4"/>
  <c r="AD186" i="5"/>
  <c r="X132" i="4"/>
  <c r="AI186" i="5"/>
  <c r="Y132" i="4"/>
  <c r="AJ186" i="5"/>
  <c r="Z132" i="4"/>
  <c r="AL186" i="5"/>
  <c r="AN186" i="5"/>
  <c r="S133" i="4"/>
  <c r="AA187" i="5"/>
  <c r="P133" i="4"/>
  <c r="W187" i="5"/>
  <c r="O187" i="5"/>
  <c r="K187" i="5"/>
  <c r="AG187" i="5"/>
  <c r="AF187" i="5"/>
  <c r="C133" i="4"/>
  <c r="C187" i="5"/>
  <c r="D133" i="4"/>
  <c r="E187" i="5"/>
  <c r="E133" i="4"/>
  <c r="F187" i="5"/>
  <c r="F133" i="4"/>
  <c r="H187" i="5"/>
  <c r="I187" i="5"/>
  <c r="I34" i="2"/>
  <c r="I133" i="4"/>
  <c r="L187" i="5"/>
  <c r="J34" i="2"/>
  <c r="J133" i="4"/>
  <c r="N187" i="5"/>
  <c r="L133" i="4"/>
  <c r="Q187" i="5"/>
  <c r="M133" i="4"/>
  <c r="R187" i="5"/>
  <c r="T187" i="5"/>
  <c r="U187" i="5"/>
  <c r="Q133" i="4"/>
  <c r="X187" i="5"/>
  <c r="R133" i="4"/>
  <c r="Z187" i="5"/>
  <c r="AI133" i="4"/>
  <c r="T133" i="4" a="1"/>
  <c r="T133" i="4"/>
  <c r="AC187" i="5"/>
  <c r="U133" i="4" a="1"/>
  <c r="U133" i="4"/>
  <c r="AD187" i="5"/>
  <c r="AI187" i="5"/>
  <c r="Y133" i="4"/>
  <c r="AJ187" i="5"/>
  <c r="Z133" i="4"/>
  <c r="AL187" i="5"/>
  <c r="AN187" i="5"/>
  <c r="AA188" i="5"/>
  <c r="P164" i="4"/>
  <c r="W188" i="5"/>
  <c r="O188" i="5"/>
  <c r="K188" i="5"/>
  <c r="AG188" i="5"/>
  <c r="AF188" i="5"/>
  <c r="C164" i="4"/>
  <c r="C188" i="5"/>
  <c r="D164" i="4"/>
  <c r="E188" i="5"/>
  <c r="L188" i="5"/>
  <c r="N188" i="5"/>
  <c r="L164" i="4"/>
  <c r="Q188" i="5"/>
  <c r="O164" i="4"/>
  <c r="U188" i="5"/>
  <c r="Q164" i="4"/>
  <c r="X188" i="5"/>
  <c r="R164" i="4"/>
  <c r="Z188" i="5"/>
  <c r="AI164" i="4"/>
  <c r="T164" i="4" a="1"/>
  <c r="T164" i="4"/>
  <c r="AC188" i="5"/>
  <c r="AD188" i="5"/>
  <c r="X164" i="4"/>
  <c r="AI188" i="5"/>
  <c r="Y164" i="4"/>
  <c r="AJ188" i="5"/>
  <c r="Z164" i="4"/>
  <c r="AL188" i="5"/>
  <c r="R188" i="5"/>
  <c r="T188" i="5"/>
  <c r="F188" i="5"/>
  <c r="H188" i="5"/>
  <c r="I188" i="5"/>
  <c r="AN188" i="5"/>
  <c r="AG189" i="5"/>
  <c r="AF189" i="5"/>
  <c r="C165" i="4"/>
  <c r="C189" i="5"/>
  <c r="D165" i="4"/>
  <c r="E189" i="5"/>
  <c r="K189" i="5"/>
  <c r="L165" i="4"/>
  <c r="Q189" i="5"/>
  <c r="M165" i="4"/>
  <c r="R189" i="5"/>
  <c r="T189" i="5"/>
  <c r="O165" i="4"/>
  <c r="U189" i="5"/>
  <c r="P165" i="4"/>
  <c r="W189" i="5"/>
  <c r="Q165" i="4"/>
  <c r="X189" i="5"/>
  <c r="S165" i="4"/>
  <c r="AA189" i="5"/>
  <c r="AI165" i="4"/>
  <c r="T165" i="4" a="1"/>
  <c r="T165" i="4"/>
  <c r="AC189" i="5"/>
  <c r="U165" i="4" a="1"/>
  <c r="U165" i="4"/>
  <c r="AD189" i="5"/>
  <c r="X165" i="4"/>
  <c r="AI189" i="5"/>
  <c r="Y165" i="4"/>
  <c r="AJ189" i="5"/>
  <c r="Z165" i="4"/>
  <c r="AL189" i="5"/>
  <c r="F189" i="5"/>
  <c r="H189" i="5"/>
  <c r="I189" i="5"/>
  <c r="L189" i="5"/>
  <c r="N189" i="5"/>
  <c r="O189" i="5"/>
  <c r="Z189" i="5"/>
  <c r="AN189" i="5"/>
  <c r="AG190" i="5"/>
  <c r="AF190" i="5"/>
  <c r="C166" i="4"/>
  <c r="C190" i="5"/>
  <c r="D166" i="4"/>
  <c r="E190" i="5"/>
  <c r="H166" i="4"/>
  <c r="K190" i="5"/>
  <c r="L166" i="4"/>
  <c r="Q190" i="5"/>
  <c r="R190" i="5"/>
  <c r="T190" i="5"/>
  <c r="O166" i="4"/>
  <c r="U190" i="5"/>
  <c r="P166" i="4"/>
  <c r="W190" i="5"/>
  <c r="Q166" i="4"/>
  <c r="X190" i="5"/>
  <c r="AA190" i="5"/>
  <c r="AI166" i="4"/>
  <c r="T166" i="4" a="1"/>
  <c r="T166" i="4"/>
  <c r="AC190" i="5"/>
  <c r="U166" i="4" a="1"/>
  <c r="U166" i="4"/>
  <c r="AD190" i="5"/>
  <c r="X166" i="4"/>
  <c r="AI190" i="5"/>
  <c r="Y166" i="4"/>
  <c r="AJ190" i="5"/>
  <c r="Z166" i="4"/>
  <c r="AL190" i="5"/>
  <c r="F190" i="5"/>
  <c r="H190" i="5"/>
  <c r="I190" i="5"/>
  <c r="L190" i="5"/>
  <c r="N190" i="5"/>
  <c r="O190" i="5"/>
  <c r="Z190" i="5"/>
  <c r="AN190" i="5"/>
  <c r="AG191" i="5"/>
  <c r="AF191" i="5"/>
  <c r="C167" i="4"/>
  <c r="C191" i="5"/>
  <c r="D167" i="4"/>
  <c r="E191" i="5"/>
  <c r="H167" i="4"/>
  <c r="K191" i="5"/>
  <c r="L167" i="4"/>
  <c r="Q191" i="5"/>
  <c r="M167" i="4"/>
  <c r="R191" i="5"/>
  <c r="T191" i="5"/>
  <c r="O167" i="4"/>
  <c r="U191" i="5"/>
  <c r="P167" i="4"/>
  <c r="W191" i="5"/>
  <c r="Q167" i="4"/>
  <c r="X191" i="5"/>
  <c r="AA191" i="5"/>
  <c r="AI167" i="4"/>
  <c r="T167" i="4" a="1"/>
  <c r="T167" i="4"/>
  <c r="AC191" i="5"/>
  <c r="U167" i="4" a="1"/>
  <c r="U167" i="4"/>
  <c r="AD191" i="5"/>
  <c r="X167" i="4"/>
  <c r="AI191" i="5"/>
  <c r="Y167" i="4"/>
  <c r="AJ191" i="5"/>
  <c r="Z167" i="4"/>
  <c r="AL191" i="5"/>
  <c r="F191" i="5"/>
  <c r="H191" i="5"/>
  <c r="I191" i="5"/>
  <c r="L191" i="5"/>
  <c r="N191" i="5"/>
  <c r="O191" i="5"/>
  <c r="Z191" i="5"/>
  <c r="AN191" i="5"/>
  <c r="AG192" i="5"/>
  <c r="AF192" i="5"/>
  <c r="C168" i="4"/>
  <c r="C192" i="5"/>
  <c r="D168" i="4"/>
  <c r="E192" i="5"/>
  <c r="H168" i="4"/>
  <c r="K192" i="5"/>
  <c r="L168" i="4"/>
  <c r="Q192" i="5"/>
  <c r="M168" i="4"/>
  <c r="R192" i="5"/>
  <c r="T192" i="5"/>
  <c r="O168" i="4"/>
  <c r="U192" i="5"/>
  <c r="P168" i="4"/>
  <c r="W192" i="5"/>
  <c r="Q168" i="4"/>
  <c r="X192" i="5"/>
  <c r="AA192" i="5"/>
  <c r="AI168" i="4"/>
  <c r="T168" i="4" a="1"/>
  <c r="T168" i="4"/>
  <c r="AC192" i="5"/>
  <c r="U168" i="4" a="1"/>
  <c r="U168" i="4"/>
  <c r="AD192" i="5"/>
  <c r="X168" i="4"/>
  <c r="AI192" i="5"/>
  <c r="Y168" i="4"/>
  <c r="AJ192" i="5"/>
  <c r="Z168" i="4"/>
  <c r="AL192" i="5"/>
  <c r="F192" i="5"/>
  <c r="H192" i="5"/>
  <c r="I192" i="5"/>
  <c r="L192" i="5"/>
  <c r="N192" i="5"/>
  <c r="O192" i="5"/>
  <c r="Z192" i="5"/>
  <c r="AN192" i="5"/>
  <c r="AG193" i="5"/>
  <c r="AF193" i="5"/>
  <c r="B195" i="4"/>
  <c r="C195" i="4"/>
  <c r="C193" i="5"/>
  <c r="D195" i="4"/>
  <c r="E193" i="5"/>
  <c r="H195" i="4"/>
  <c r="K193" i="5"/>
  <c r="L195" i="4"/>
  <c r="Q193" i="5"/>
  <c r="M195" i="4"/>
  <c r="R193" i="5"/>
  <c r="T193" i="5"/>
  <c r="U193" i="5"/>
  <c r="P195" i="4"/>
  <c r="W193" i="5"/>
  <c r="Q195" i="4"/>
  <c r="X193" i="5"/>
  <c r="S195" i="4"/>
  <c r="AA193" i="5"/>
  <c r="AI195" i="4"/>
  <c r="T195" i="4" a="1"/>
  <c r="T195" i="4"/>
  <c r="AC193" i="5"/>
  <c r="U195" i="4" a="1"/>
  <c r="U195" i="4"/>
  <c r="AD193" i="5"/>
  <c r="X195" i="4"/>
  <c r="AI193" i="5"/>
  <c r="Y195" i="4"/>
  <c r="AJ193" i="5"/>
  <c r="Z195" i="4"/>
  <c r="AL193" i="5"/>
  <c r="F193" i="5"/>
  <c r="H193" i="5"/>
  <c r="I193" i="5"/>
  <c r="L193" i="5"/>
  <c r="N193" i="5"/>
  <c r="O193" i="5"/>
  <c r="Z193" i="5"/>
  <c r="AN193" i="5"/>
  <c r="AG194" i="5"/>
  <c r="AF194" i="5"/>
  <c r="B205" i="4"/>
  <c r="C205" i="4"/>
  <c r="C194" i="5"/>
  <c r="D205" i="4"/>
  <c r="E194" i="5"/>
  <c r="K194" i="5"/>
  <c r="L205" i="4"/>
  <c r="Q194" i="5"/>
  <c r="M205" i="4"/>
  <c r="R194" i="5"/>
  <c r="T194" i="5"/>
  <c r="O205" i="4"/>
  <c r="U194" i="5"/>
  <c r="P205" i="4"/>
  <c r="W194" i="5"/>
  <c r="Q205" i="4"/>
  <c r="X194" i="5"/>
  <c r="S205" i="4"/>
  <c r="AA194" i="5"/>
  <c r="AI205" i="4"/>
  <c r="T205" i="4" a="1"/>
  <c r="T205" i="4"/>
  <c r="AC194" i="5"/>
  <c r="U205" i="4" a="1"/>
  <c r="U205" i="4"/>
  <c r="AD194" i="5"/>
  <c r="X205" i="4"/>
  <c r="AI194" i="5"/>
  <c r="Y205" i="4"/>
  <c r="AJ194" i="5"/>
  <c r="Z205" i="4"/>
  <c r="AL194" i="5"/>
  <c r="F194" i="5"/>
  <c r="H194" i="5"/>
  <c r="I194" i="5"/>
  <c r="L194" i="5"/>
  <c r="N194" i="5"/>
  <c r="O194" i="5"/>
  <c r="Z194" i="5"/>
  <c r="AN194" i="5"/>
  <c r="AG195" i="5"/>
  <c r="AF195" i="5"/>
  <c r="B206" i="4"/>
  <c r="C206" i="4"/>
  <c r="C195" i="5"/>
  <c r="D206" i="4"/>
  <c r="E195" i="5"/>
  <c r="K195" i="5"/>
  <c r="L206" i="4"/>
  <c r="Q195" i="5"/>
  <c r="M206" i="4"/>
  <c r="R195" i="5"/>
  <c r="T195" i="5"/>
  <c r="O206" i="4"/>
  <c r="U195" i="5"/>
  <c r="P206" i="4"/>
  <c r="W195" i="5"/>
  <c r="Q206" i="4"/>
  <c r="X195" i="5"/>
  <c r="S206" i="4"/>
  <c r="AA195" i="5"/>
  <c r="AI206" i="4"/>
  <c r="T206" i="4" a="1"/>
  <c r="T206" i="4"/>
  <c r="AC195" i="5"/>
  <c r="U206" i="4" a="1"/>
  <c r="U206" i="4"/>
  <c r="AD195" i="5"/>
  <c r="X206" i="4"/>
  <c r="AI195" i="5"/>
  <c r="Y206" i="4"/>
  <c r="AJ195" i="5"/>
  <c r="Z206" i="4"/>
  <c r="AL195" i="5"/>
  <c r="F195" i="5"/>
  <c r="H195" i="5"/>
  <c r="I195" i="5"/>
  <c r="L195" i="5"/>
  <c r="N195" i="5"/>
  <c r="O195" i="5"/>
  <c r="Z195" i="5"/>
  <c r="AN195" i="5"/>
  <c r="AG196" i="5"/>
  <c r="AF196" i="5"/>
  <c r="C225" i="4"/>
  <c r="C196" i="5"/>
  <c r="D225" i="4"/>
  <c r="E196" i="5"/>
  <c r="H225" i="4"/>
  <c r="K196" i="5"/>
  <c r="L225" i="4"/>
  <c r="Q196" i="5"/>
  <c r="M225" i="4"/>
  <c r="R196" i="5"/>
  <c r="T196" i="5"/>
  <c r="O225" i="4"/>
  <c r="U196" i="5"/>
  <c r="P225" i="4"/>
  <c r="W196" i="5"/>
  <c r="Q225" i="4"/>
  <c r="X196" i="5"/>
  <c r="S225" i="4"/>
  <c r="AA196" i="5"/>
  <c r="AI225" i="4"/>
  <c r="T225" i="4" a="1"/>
  <c r="T225" i="4"/>
  <c r="AC196" i="5"/>
  <c r="U225" i="4" a="1"/>
  <c r="U225" i="4"/>
  <c r="AD196" i="5"/>
  <c r="X225" i="4"/>
  <c r="AI196" i="5"/>
  <c r="Y225" i="4"/>
  <c r="AJ196" i="5"/>
  <c r="Z225" i="4"/>
  <c r="AL196" i="5"/>
  <c r="F196" i="5"/>
  <c r="H196" i="5"/>
  <c r="I196" i="5"/>
  <c r="L196" i="5"/>
  <c r="N196" i="5"/>
  <c r="O196" i="5"/>
  <c r="Z196" i="5"/>
  <c r="AN196" i="5"/>
  <c r="AG197" i="5"/>
  <c r="AF197" i="5"/>
  <c r="C226" i="4"/>
  <c r="C197" i="5"/>
  <c r="D226" i="4"/>
  <c r="E197" i="5"/>
  <c r="H226" i="4"/>
  <c r="K197" i="5"/>
  <c r="I226" i="4"/>
  <c r="L197" i="5"/>
  <c r="J226" i="4"/>
  <c r="N197" i="5"/>
  <c r="O197" i="5"/>
  <c r="L226" i="4"/>
  <c r="Q197" i="5"/>
  <c r="M226" i="4"/>
  <c r="R197" i="5"/>
  <c r="T197" i="5"/>
  <c r="O226" i="4"/>
  <c r="U197" i="5"/>
  <c r="P226" i="4"/>
  <c r="W197" i="5"/>
  <c r="Q226" i="4"/>
  <c r="X197" i="5"/>
  <c r="S226" i="4"/>
  <c r="AA197" i="5"/>
  <c r="AI226" i="4"/>
  <c r="T226" i="4" a="1"/>
  <c r="T226" i="4"/>
  <c r="AC197" i="5"/>
  <c r="U226" i="4" a="1"/>
  <c r="U226" i="4"/>
  <c r="AD197" i="5"/>
  <c r="X226" i="4"/>
  <c r="AI197" i="5"/>
  <c r="Y226" i="4"/>
  <c r="AJ197" i="5"/>
  <c r="Z226" i="4"/>
  <c r="AL197" i="5"/>
  <c r="F197" i="5"/>
  <c r="H197" i="5"/>
  <c r="I197" i="5"/>
  <c r="Z197" i="5"/>
  <c r="AN197" i="5"/>
  <c r="AG198" i="5"/>
  <c r="AF198" i="5"/>
  <c r="C227" i="4"/>
  <c r="C198" i="5"/>
  <c r="D227" i="4"/>
  <c r="E198" i="5"/>
  <c r="E227" i="4"/>
  <c r="F198" i="5"/>
  <c r="F227" i="4"/>
  <c r="H198" i="5"/>
  <c r="I198" i="5"/>
  <c r="H227" i="4"/>
  <c r="K198" i="5"/>
  <c r="L227" i="4"/>
  <c r="Q198" i="5"/>
  <c r="M227" i="4"/>
  <c r="R198" i="5"/>
  <c r="T198" i="5"/>
  <c r="O227" i="4"/>
  <c r="U198" i="5"/>
  <c r="P227" i="4"/>
  <c r="W198" i="5"/>
  <c r="Q227" i="4"/>
  <c r="X198" i="5"/>
  <c r="S227" i="4"/>
  <c r="AA198" i="5"/>
  <c r="AI227" i="4"/>
  <c r="T227" i="4" a="1"/>
  <c r="T227" i="4"/>
  <c r="AC198" i="5"/>
  <c r="U227" i="4" a="1"/>
  <c r="U227" i="4"/>
  <c r="AD198" i="5"/>
  <c r="X227" i="4"/>
  <c r="AI198" i="5"/>
  <c r="Y227" i="4"/>
  <c r="AJ198" i="5"/>
  <c r="Z227" i="4"/>
  <c r="AL198" i="5"/>
  <c r="L198" i="5"/>
  <c r="N198" i="5"/>
  <c r="O198" i="5"/>
  <c r="Z198" i="5"/>
  <c r="AN198" i="5"/>
  <c r="AG199" i="5"/>
  <c r="AF199" i="5"/>
  <c r="B196" i="4"/>
  <c r="C196" i="4"/>
  <c r="C199" i="5"/>
  <c r="E199" i="5"/>
  <c r="F199" i="5"/>
  <c r="H199" i="5"/>
  <c r="I199" i="5"/>
  <c r="H196" i="4"/>
  <c r="K199" i="5"/>
  <c r="L196" i="4"/>
  <c r="Q199" i="5"/>
  <c r="M196" i="4"/>
  <c r="R199" i="5"/>
  <c r="T199" i="5"/>
  <c r="O196" i="4"/>
  <c r="U199" i="5"/>
  <c r="P196" i="4"/>
  <c r="W199" i="5"/>
  <c r="Q196" i="4"/>
  <c r="X199" i="5"/>
  <c r="S196" i="4"/>
  <c r="AA199" i="5"/>
  <c r="AI196" i="4"/>
  <c r="T196" i="4" a="1"/>
  <c r="T196" i="4"/>
  <c r="AC199" i="5"/>
  <c r="U196" i="4" a="1"/>
  <c r="U196" i="4"/>
  <c r="AD199" i="5"/>
  <c r="X196" i="4"/>
  <c r="AI199" i="5"/>
  <c r="Y196" i="4"/>
  <c r="AJ199" i="5"/>
  <c r="Z196" i="4"/>
  <c r="AL199" i="5"/>
  <c r="L199" i="5"/>
  <c r="N199" i="5"/>
  <c r="O199" i="5"/>
  <c r="Z199" i="5"/>
  <c r="AN199" i="5"/>
  <c r="AG200" i="5"/>
  <c r="AF200" i="5"/>
  <c r="B89" i="4"/>
  <c r="C89" i="4"/>
  <c r="C200" i="5"/>
  <c r="D89" i="4"/>
  <c r="E200" i="5"/>
  <c r="L89" i="4"/>
  <c r="Q200" i="5"/>
  <c r="M89" i="4"/>
  <c r="R200" i="5"/>
  <c r="T200" i="5"/>
  <c r="O89" i="4"/>
  <c r="U200" i="5"/>
  <c r="P89" i="4"/>
  <c r="W200" i="5"/>
  <c r="Q89" i="4"/>
  <c r="X200" i="5"/>
  <c r="S89" i="4"/>
  <c r="AA200" i="5"/>
  <c r="AI89" i="4"/>
  <c r="T89" i="4" a="1"/>
  <c r="T89" i="4"/>
  <c r="AC200" i="5"/>
  <c r="U89" i="4" a="1"/>
  <c r="U89" i="4"/>
  <c r="AD200" i="5"/>
  <c r="X89" i="4"/>
  <c r="AI200" i="5"/>
  <c r="Y89" i="4"/>
  <c r="AJ200" i="5"/>
  <c r="Z89" i="4"/>
  <c r="AL200" i="5"/>
  <c r="L200" i="5"/>
  <c r="N200" i="5"/>
  <c r="O200" i="5"/>
  <c r="F200" i="5"/>
  <c r="H200" i="5"/>
  <c r="I200" i="5"/>
  <c r="Z200" i="5"/>
  <c r="AN200" i="5"/>
  <c r="AG201" i="5"/>
  <c r="AF201" i="5"/>
  <c r="C176" i="4"/>
  <c r="C201" i="5"/>
  <c r="D176" i="4"/>
  <c r="E201" i="5"/>
  <c r="K201" i="5"/>
  <c r="L176" i="4"/>
  <c r="Q201" i="5"/>
  <c r="M176" i="4"/>
  <c r="R201" i="5"/>
  <c r="N35" i="2"/>
  <c r="N176" i="4"/>
  <c r="T201" i="5"/>
  <c r="O176" i="4"/>
  <c r="U201" i="5"/>
  <c r="P176" i="4"/>
  <c r="W201" i="5"/>
  <c r="Q176" i="4"/>
  <c r="X201" i="5"/>
  <c r="S176" i="4"/>
  <c r="AA201" i="5"/>
  <c r="AI176" i="4"/>
  <c r="T176" i="4" a="1"/>
  <c r="T176" i="4"/>
  <c r="AC201" i="5"/>
  <c r="U176" i="4" a="1"/>
  <c r="U176" i="4"/>
  <c r="AD201" i="5"/>
  <c r="X176" i="4"/>
  <c r="AI201" i="5"/>
  <c r="Y176" i="4"/>
  <c r="AJ201" i="5"/>
  <c r="Z176" i="4"/>
  <c r="AL201" i="5"/>
  <c r="L201" i="5"/>
  <c r="N201" i="5"/>
  <c r="O201" i="5"/>
  <c r="F201" i="5"/>
  <c r="H201" i="5"/>
  <c r="I201" i="5"/>
  <c r="Z201" i="5"/>
  <c r="AN201" i="5"/>
  <c r="AG202" i="5"/>
  <c r="AF202" i="5"/>
  <c r="C177" i="4"/>
  <c r="C202" i="5"/>
  <c r="D177" i="4"/>
  <c r="E202" i="5"/>
  <c r="K202" i="5"/>
  <c r="I35" i="2"/>
  <c r="I31" i="2"/>
  <c r="I177" i="4"/>
  <c r="L202" i="5"/>
  <c r="J35" i="2"/>
  <c r="J31" i="2"/>
  <c r="J177" i="4"/>
  <c r="N202" i="5"/>
  <c r="O202" i="5"/>
  <c r="L177" i="4"/>
  <c r="Q202" i="5"/>
  <c r="M177" i="4"/>
  <c r="R202" i="5"/>
  <c r="N31" i="2"/>
  <c r="N177" i="4"/>
  <c r="T202" i="5"/>
  <c r="O177" i="4"/>
  <c r="U202" i="5"/>
  <c r="P177" i="4"/>
  <c r="W202" i="5"/>
  <c r="Q177" i="4"/>
  <c r="X202" i="5"/>
  <c r="S177" i="4"/>
  <c r="AA202" i="5"/>
  <c r="AI177" i="4"/>
  <c r="T177" i="4" a="1"/>
  <c r="T177" i="4"/>
  <c r="AC202" i="5"/>
  <c r="U177" i="4" a="1"/>
  <c r="U177" i="4"/>
  <c r="AD202" i="5"/>
  <c r="X177" i="4"/>
  <c r="AI202" i="5"/>
  <c r="Y177" i="4"/>
  <c r="AJ202" i="5"/>
  <c r="Z177" i="4"/>
  <c r="AL202" i="5"/>
  <c r="F202" i="5"/>
  <c r="H202" i="5"/>
  <c r="I202" i="5"/>
  <c r="Z202" i="5"/>
  <c r="AN202" i="5"/>
  <c r="AG203" i="5"/>
  <c r="AF203" i="5"/>
  <c r="C137" i="4"/>
  <c r="C203" i="5"/>
  <c r="D137" i="4"/>
  <c r="E203" i="5"/>
  <c r="K203" i="5"/>
  <c r="L137" i="4"/>
  <c r="Q203" i="5"/>
  <c r="M137" i="4"/>
  <c r="R203" i="5"/>
  <c r="N137" i="4"/>
  <c r="T203" i="5"/>
  <c r="O137" i="4"/>
  <c r="U203" i="5"/>
  <c r="P137" i="4"/>
  <c r="W203" i="5"/>
  <c r="Q137" i="4"/>
  <c r="X203" i="5"/>
  <c r="S137" i="4"/>
  <c r="AA203" i="5"/>
  <c r="AI137" i="4"/>
  <c r="T137" i="4" a="1"/>
  <c r="T137" i="4"/>
  <c r="AC203" i="5"/>
  <c r="U137" i="4" a="1"/>
  <c r="U137" i="4"/>
  <c r="AD203" i="5"/>
  <c r="X137" i="4"/>
  <c r="AI203" i="5"/>
  <c r="Y137" i="4"/>
  <c r="AJ203" i="5"/>
  <c r="Z137" i="4"/>
  <c r="AL203" i="5"/>
  <c r="L203" i="5"/>
  <c r="N203" i="5"/>
  <c r="O203" i="5"/>
  <c r="F203" i="5"/>
  <c r="H203" i="5"/>
  <c r="I203" i="5"/>
  <c r="Z203" i="5"/>
  <c r="AN203" i="5"/>
  <c r="AG204" i="5"/>
  <c r="AF204" i="5"/>
  <c r="C138" i="4"/>
  <c r="C204" i="5"/>
  <c r="D138" i="4"/>
  <c r="E204" i="5"/>
  <c r="K204" i="5"/>
  <c r="L138" i="4"/>
  <c r="Q204" i="5"/>
  <c r="M138" i="4"/>
  <c r="R204" i="5"/>
  <c r="T204" i="5"/>
  <c r="U204" i="5"/>
  <c r="P138" i="4"/>
  <c r="W204" i="5"/>
  <c r="Q138" i="4"/>
  <c r="X204" i="5"/>
  <c r="S138" i="4"/>
  <c r="AA204" i="5"/>
  <c r="AI138" i="4"/>
  <c r="T138" i="4" a="1"/>
  <c r="T138" i="4"/>
  <c r="AC204" i="5"/>
  <c r="U138" i="4" a="1"/>
  <c r="U138" i="4"/>
  <c r="AD204" i="5"/>
  <c r="X138" i="4"/>
  <c r="AI204" i="5"/>
  <c r="Y138" i="4"/>
  <c r="AJ204" i="5"/>
  <c r="Z138" i="4"/>
  <c r="AL204" i="5"/>
  <c r="L204" i="5"/>
  <c r="N204" i="5"/>
  <c r="O204" i="5"/>
  <c r="F204" i="5"/>
  <c r="H204" i="5"/>
  <c r="I204" i="5"/>
  <c r="Z204" i="5"/>
  <c r="AN204" i="5"/>
  <c r="AG205" i="5"/>
  <c r="AF205" i="5"/>
  <c r="C139" i="4"/>
  <c r="C205" i="5"/>
  <c r="D139" i="4"/>
  <c r="E205" i="5"/>
  <c r="K205" i="5"/>
  <c r="I139" i="4"/>
  <c r="L205" i="5"/>
  <c r="J139" i="4"/>
  <c r="N205" i="5"/>
  <c r="O205" i="5"/>
  <c r="L139" i="4"/>
  <c r="Q205" i="5"/>
  <c r="M139" i="4"/>
  <c r="R205" i="5"/>
  <c r="N34" i="2"/>
  <c r="N139" i="4"/>
  <c r="T205" i="5"/>
  <c r="O139" i="4"/>
  <c r="U205" i="5"/>
  <c r="P139" i="4"/>
  <c r="W205" i="5"/>
  <c r="Q139" i="4"/>
  <c r="X205" i="5"/>
  <c r="S139" i="4"/>
  <c r="AA205" i="5"/>
  <c r="AI139" i="4"/>
  <c r="T139" i="4" a="1"/>
  <c r="T139" i="4"/>
  <c r="AC205" i="5"/>
  <c r="U139" i="4" a="1"/>
  <c r="U139" i="4"/>
  <c r="AD205" i="5"/>
  <c r="X139" i="4"/>
  <c r="AI205" i="5"/>
  <c r="Y139" i="4"/>
  <c r="AJ205" i="5"/>
  <c r="Z139" i="4"/>
  <c r="AL205" i="5"/>
  <c r="F205" i="5"/>
  <c r="H205" i="5"/>
  <c r="I205" i="5"/>
  <c r="Z205" i="5"/>
  <c r="AN205" i="5"/>
  <c r="AG206" i="5"/>
  <c r="AF206" i="5"/>
  <c r="C33" i="2"/>
  <c r="C140" i="4"/>
  <c r="C206" i="5"/>
  <c r="D33" i="2"/>
  <c r="D140" i="4"/>
  <c r="E206" i="5"/>
  <c r="K206" i="5"/>
  <c r="L33" i="2"/>
  <c r="L140" i="4"/>
  <c r="Q206" i="5"/>
  <c r="M33" i="2"/>
  <c r="M140" i="4"/>
  <c r="R206" i="5"/>
  <c r="N33" i="2"/>
  <c r="N140" i="4"/>
  <c r="T206" i="5"/>
  <c r="O33" i="2"/>
  <c r="O140" i="4"/>
  <c r="U206" i="5"/>
  <c r="P33" i="2"/>
  <c r="P140" i="4"/>
  <c r="W206" i="5"/>
  <c r="Q33" i="2"/>
  <c r="Q140" i="4"/>
  <c r="X206" i="5"/>
  <c r="S33" i="2"/>
  <c r="S140" i="4"/>
  <c r="AA206" i="5"/>
  <c r="AI140" i="4"/>
  <c r="T140" i="4" a="1"/>
  <c r="T140" i="4"/>
  <c r="AC206" i="5"/>
  <c r="U140" i="4" a="1"/>
  <c r="U140" i="4"/>
  <c r="AD206" i="5"/>
  <c r="X33" i="2"/>
  <c r="X140" i="4"/>
  <c r="AI206" i="5"/>
  <c r="Y33" i="2"/>
  <c r="Y140" i="4"/>
  <c r="AJ206" i="5"/>
  <c r="Z33" i="2"/>
  <c r="Z140" i="4"/>
  <c r="AL206" i="5"/>
  <c r="L206" i="5"/>
  <c r="N206" i="5"/>
  <c r="O206" i="5"/>
  <c r="F206" i="5"/>
  <c r="H206" i="5"/>
  <c r="I206" i="5"/>
  <c r="Z206" i="5"/>
  <c r="AN206" i="5"/>
  <c r="AG207" i="5"/>
  <c r="AF207" i="5"/>
  <c r="C37" i="2"/>
  <c r="B94" i="4"/>
  <c r="C94" i="4"/>
  <c r="C207" i="5"/>
  <c r="D37" i="2"/>
  <c r="D94" i="4"/>
  <c r="E207" i="5"/>
  <c r="H37" i="2"/>
  <c r="H94" i="4"/>
  <c r="K207" i="5"/>
  <c r="I37" i="2"/>
  <c r="I94" i="4"/>
  <c r="L207" i="5"/>
  <c r="J37" i="2"/>
  <c r="J94" i="4"/>
  <c r="N207" i="5"/>
  <c r="O207" i="5"/>
  <c r="L37" i="2"/>
  <c r="L94" i="4"/>
  <c r="Q207" i="5"/>
  <c r="M37" i="2"/>
  <c r="M94" i="4"/>
  <c r="R207" i="5"/>
  <c r="N37" i="2"/>
  <c r="N94" i="4"/>
  <c r="T207" i="5"/>
  <c r="O37" i="2"/>
  <c r="O94" i="4"/>
  <c r="U207" i="5"/>
  <c r="P37" i="2"/>
  <c r="P94" i="4"/>
  <c r="W207" i="5"/>
  <c r="Q37" i="2"/>
  <c r="Q94" i="4"/>
  <c r="X207" i="5"/>
  <c r="S37" i="2"/>
  <c r="S94" i="4"/>
  <c r="AA207" i="5"/>
  <c r="X37" i="2"/>
  <c r="X94" i="4"/>
  <c r="AI207" i="5"/>
  <c r="Y37" i="2"/>
  <c r="Y94" i="4"/>
  <c r="AJ207" i="5"/>
  <c r="Z37" i="2"/>
  <c r="Z94" i="4"/>
  <c r="AL207" i="5"/>
  <c r="F207" i="5"/>
  <c r="H207" i="5"/>
  <c r="I207" i="5"/>
  <c r="Z207" i="5"/>
  <c r="AN207" i="5"/>
  <c r="AG208" i="5"/>
  <c r="AF208" i="5"/>
  <c r="C218" i="4"/>
  <c r="C208" i="5"/>
  <c r="D218" i="4"/>
  <c r="E208" i="5"/>
  <c r="H218" i="4"/>
  <c r="K208" i="5"/>
  <c r="L218" i="4"/>
  <c r="Q208" i="5"/>
  <c r="M218" i="4"/>
  <c r="R208" i="5"/>
  <c r="T208" i="5"/>
  <c r="O218" i="4"/>
  <c r="U208" i="5"/>
  <c r="P218" i="4"/>
  <c r="W208" i="5"/>
  <c r="Q218" i="4"/>
  <c r="X208" i="5"/>
  <c r="S218" i="4"/>
  <c r="AA208" i="5"/>
  <c r="AI218" i="4"/>
  <c r="T218" i="4" a="1"/>
  <c r="T218" i="4"/>
  <c r="AC208" i="5"/>
  <c r="U218" i="4" a="1"/>
  <c r="U218" i="4"/>
  <c r="AD208" i="5"/>
  <c r="X218" i="4"/>
  <c r="AI208" i="5"/>
  <c r="Y218" i="4"/>
  <c r="AJ208" i="5"/>
  <c r="Z218" i="4"/>
  <c r="AL208" i="5"/>
  <c r="F208" i="5"/>
  <c r="H208" i="5"/>
  <c r="I208" i="5"/>
  <c r="L208" i="5"/>
  <c r="N208" i="5"/>
  <c r="O208" i="5"/>
  <c r="Z208" i="5"/>
  <c r="AN208" i="5"/>
  <c r="AG209" i="5"/>
  <c r="AF209" i="5"/>
  <c r="C228" i="4"/>
  <c r="C209" i="5"/>
  <c r="D228" i="4"/>
  <c r="E209" i="5"/>
  <c r="E228" i="4"/>
  <c r="F209" i="5"/>
  <c r="F228" i="4"/>
  <c r="H209" i="5"/>
  <c r="I209" i="5"/>
  <c r="H228" i="4"/>
  <c r="K209" i="5"/>
  <c r="L228" i="4"/>
  <c r="Q209" i="5"/>
  <c r="M228" i="4"/>
  <c r="R209" i="5"/>
  <c r="T209" i="5"/>
  <c r="O228" i="4"/>
  <c r="U209" i="5"/>
  <c r="P228" i="4"/>
  <c r="W209" i="5"/>
  <c r="Q228" i="4"/>
  <c r="X209" i="5"/>
  <c r="S228" i="4"/>
  <c r="AA209" i="5"/>
  <c r="AI228" i="4"/>
  <c r="T228" i="4" a="1"/>
  <c r="T228" i="4"/>
  <c r="AC209" i="5"/>
  <c r="U228" i="4" a="1"/>
  <c r="U228" i="4"/>
  <c r="AD209" i="5"/>
  <c r="X228" i="4"/>
  <c r="AI209" i="5"/>
  <c r="Y228" i="4"/>
  <c r="AJ209" i="5"/>
  <c r="Z228" i="4"/>
  <c r="AL209" i="5"/>
  <c r="L209" i="5"/>
  <c r="N209" i="5"/>
  <c r="O209" i="5"/>
  <c r="Z209" i="5"/>
  <c r="AN209" i="5"/>
  <c r="AG210" i="5"/>
  <c r="AF210" i="5"/>
  <c r="B292" i="4"/>
  <c r="C292" i="4"/>
  <c r="C210" i="5"/>
  <c r="D292" i="4"/>
  <c r="E210" i="5"/>
  <c r="E292" i="4"/>
  <c r="F210" i="5"/>
  <c r="F292" i="4"/>
  <c r="H210" i="5"/>
  <c r="I210" i="5"/>
  <c r="H292" i="4"/>
  <c r="K210" i="5"/>
  <c r="L292" i="4"/>
  <c r="Q210" i="5"/>
  <c r="M292" i="4"/>
  <c r="R210" i="5"/>
  <c r="N292" i="4"/>
  <c r="T210" i="5"/>
  <c r="O292" i="4"/>
  <c r="U210" i="5"/>
  <c r="P292" i="4"/>
  <c r="W210" i="5"/>
  <c r="Q292" i="4"/>
  <c r="X210" i="5"/>
  <c r="S292" i="4"/>
  <c r="AA210" i="5"/>
  <c r="AC210" i="5"/>
  <c r="AD210" i="5"/>
  <c r="X292" i="4"/>
  <c r="AI210" i="5"/>
  <c r="Y292" i="4"/>
  <c r="AJ210" i="5"/>
  <c r="Z292" i="4"/>
  <c r="AL210" i="5"/>
  <c r="L210" i="5"/>
  <c r="N210" i="5"/>
  <c r="O210" i="5"/>
  <c r="Z210" i="5"/>
  <c r="AN210" i="5"/>
  <c r="AG211" i="5"/>
  <c r="AF211" i="5"/>
  <c r="C229" i="4"/>
  <c r="C211" i="5"/>
  <c r="D229" i="4"/>
  <c r="E211" i="5"/>
  <c r="E229" i="4"/>
  <c r="F211" i="5"/>
  <c r="F229" i="4"/>
  <c r="H211" i="5"/>
  <c r="I211" i="5"/>
  <c r="H229" i="4"/>
  <c r="K211" i="5"/>
  <c r="L229" i="4"/>
  <c r="Q211" i="5"/>
  <c r="M229" i="4"/>
  <c r="R211" i="5"/>
  <c r="T211" i="5"/>
  <c r="O229" i="4"/>
  <c r="U211" i="5"/>
  <c r="P229" i="4"/>
  <c r="W211" i="5"/>
  <c r="Q229" i="4"/>
  <c r="X211" i="5"/>
  <c r="S229" i="4"/>
  <c r="AA211" i="5"/>
  <c r="AI229" i="4"/>
  <c r="T229" i="4" a="1"/>
  <c r="T229" i="4"/>
  <c r="AC211" i="5"/>
  <c r="U229" i="4" a="1"/>
  <c r="U229" i="4"/>
  <c r="AD211" i="5"/>
  <c r="X229" i="4"/>
  <c r="AI211" i="5"/>
  <c r="Y229" i="4"/>
  <c r="AJ211" i="5"/>
  <c r="Z229" i="4"/>
  <c r="AL211" i="5"/>
  <c r="L211" i="5"/>
  <c r="N211" i="5"/>
  <c r="O211" i="5"/>
  <c r="Z211" i="5"/>
  <c r="AN211" i="5"/>
  <c r="AG212" i="5"/>
  <c r="AF212" i="5"/>
  <c r="C230" i="4"/>
  <c r="C212" i="5"/>
  <c r="D230" i="4"/>
  <c r="E212" i="5"/>
  <c r="E230" i="4"/>
  <c r="F212" i="5"/>
  <c r="F230" i="4"/>
  <c r="H212" i="5"/>
  <c r="I212" i="5"/>
  <c r="H230" i="4"/>
  <c r="K212" i="5"/>
  <c r="L230" i="4"/>
  <c r="Q212" i="5"/>
  <c r="M230" i="4"/>
  <c r="R212" i="5"/>
  <c r="T212" i="5"/>
  <c r="U212" i="5"/>
  <c r="P230" i="4"/>
  <c r="W212" i="5"/>
  <c r="Q230" i="4"/>
  <c r="X212" i="5"/>
  <c r="S230" i="4"/>
  <c r="AA212" i="5"/>
  <c r="AI230" i="4"/>
  <c r="T230" i="4" a="1"/>
  <c r="T230" i="4"/>
  <c r="AC212" i="5"/>
  <c r="U230" i="4" a="1"/>
  <c r="U230" i="4"/>
  <c r="AD212" i="5"/>
  <c r="X230" i="4"/>
  <c r="AI212" i="5"/>
  <c r="Y230" i="4"/>
  <c r="AJ212" i="5"/>
  <c r="Z230" i="4"/>
  <c r="AL212" i="5"/>
  <c r="L212" i="5"/>
  <c r="N212" i="5"/>
  <c r="O212" i="5"/>
  <c r="Z212" i="5"/>
  <c r="AN212" i="5"/>
  <c r="AG213" i="5"/>
  <c r="AF213" i="5"/>
  <c r="C141" i="4"/>
  <c r="C213" i="5"/>
  <c r="D141" i="4"/>
  <c r="E213" i="5"/>
  <c r="E141" i="4"/>
  <c r="F213" i="5"/>
  <c r="F141" i="4"/>
  <c r="H213" i="5"/>
  <c r="I213" i="5"/>
  <c r="H141" i="4"/>
  <c r="K213" i="5"/>
  <c r="L141" i="4"/>
  <c r="Q213" i="5"/>
  <c r="M141" i="4"/>
  <c r="R213" i="5"/>
  <c r="T213" i="5"/>
  <c r="O141" i="4"/>
  <c r="U213" i="5"/>
  <c r="P141" i="4"/>
  <c r="W213" i="5"/>
  <c r="Q141" i="4"/>
  <c r="X213" i="5"/>
  <c r="S141" i="4"/>
  <c r="AA213" i="5"/>
  <c r="AI141" i="4"/>
  <c r="T141" i="4" a="1"/>
  <c r="T141" i="4"/>
  <c r="AC213" i="5"/>
  <c r="U141" i="4" a="1"/>
  <c r="U141" i="4"/>
  <c r="AD213" i="5"/>
  <c r="X141" i="4"/>
  <c r="AI213" i="5"/>
  <c r="Y141" i="4"/>
  <c r="AJ213" i="5"/>
  <c r="Z141" i="4"/>
  <c r="AL213" i="5"/>
  <c r="L213" i="5"/>
  <c r="N213" i="5"/>
  <c r="O213" i="5"/>
  <c r="Z213" i="5"/>
  <c r="AN213" i="5"/>
  <c r="AG214" i="5"/>
  <c r="AF214" i="5"/>
  <c r="B297" i="4"/>
  <c r="C297" i="4"/>
  <c r="C214" i="5"/>
  <c r="D297" i="4"/>
  <c r="E214" i="5"/>
  <c r="E297" i="4"/>
  <c r="F214" i="5"/>
  <c r="F297" i="4"/>
  <c r="H214" i="5"/>
  <c r="I214" i="5"/>
  <c r="H297" i="4"/>
  <c r="K214" i="5"/>
  <c r="L297" i="4"/>
  <c r="Q214" i="5"/>
  <c r="M297" i="4"/>
  <c r="R214" i="5"/>
  <c r="T214" i="5"/>
  <c r="O297" i="4"/>
  <c r="U214" i="5"/>
  <c r="P297" i="4"/>
  <c r="W214" i="5"/>
  <c r="Q297" i="4"/>
  <c r="X214" i="5"/>
  <c r="S297" i="4"/>
  <c r="AA214" i="5"/>
  <c r="AI297" i="4"/>
  <c r="T297" i="4" a="1"/>
  <c r="T297" i="4"/>
  <c r="AC214" i="5"/>
  <c r="U297" i="4" a="1"/>
  <c r="U297" i="4"/>
  <c r="AD214" i="5"/>
  <c r="X297" i="4"/>
  <c r="AI214" i="5"/>
  <c r="Y297" i="4"/>
  <c r="AJ214" i="5"/>
  <c r="Z297" i="4"/>
  <c r="AL214" i="5"/>
  <c r="L214" i="5"/>
  <c r="N214" i="5"/>
  <c r="O214" i="5"/>
  <c r="Z214" i="5"/>
  <c r="AN214" i="5"/>
  <c r="O215" i="5"/>
  <c r="B259" i="4"/>
  <c r="H259" i="4"/>
  <c r="K215" i="5"/>
  <c r="AG215" i="5"/>
  <c r="AF215" i="5"/>
  <c r="C259" i="4"/>
  <c r="C215" i="5"/>
  <c r="D259" i="4"/>
  <c r="E215" i="5"/>
  <c r="E259" i="4"/>
  <c r="F215" i="5"/>
  <c r="F259" i="4"/>
  <c r="H215" i="5"/>
  <c r="I215" i="5"/>
  <c r="I259" i="4"/>
  <c r="L215" i="5"/>
  <c r="J259" i="4"/>
  <c r="N215" i="5"/>
  <c r="L259" i="4"/>
  <c r="Q215" i="5"/>
  <c r="M259" i="4"/>
  <c r="R215" i="5"/>
  <c r="N259" i="4"/>
  <c r="T215" i="5"/>
  <c r="O259" i="4"/>
  <c r="U215" i="5"/>
  <c r="P259" i="4"/>
  <c r="W215" i="5"/>
  <c r="Q259" i="4"/>
  <c r="X215" i="5"/>
  <c r="S259" i="4"/>
  <c r="AA215" i="5"/>
  <c r="AI259" i="4"/>
  <c r="T259" i="4" a="1"/>
  <c r="T259" i="4"/>
  <c r="AC215" i="5"/>
  <c r="U259" i="4" a="1"/>
  <c r="U259" i="4"/>
  <c r="AD215" i="5"/>
  <c r="X259" i="4"/>
  <c r="AI215" i="5"/>
  <c r="Y259" i="4"/>
  <c r="AJ215" i="5"/>
  <c r="Z259" i="4"/>
  <c r="AL215" i="5"/>
  <c r="Z215" i="5"/>
  <c r="AN215" i="5"/>
  <c r="O216" i="5"/>
  <c r="B260" i="4"/>
  <c r="H260" i="4"/>
  <c r="K216" i="5"/>
  <c r="AG216" i="5"/>
  <c r="AF216" i="5"/>
  <c r="C260" i="4"/>
  <c r="C216" i="5"/>
  <c r="D260" i="4"/>
  <c r="E216" i="5"/>
  <c r="E260" i="4"/>
  <c r="F216" i="5"/>
  <c r="F260" i="4"/>
  <c r="H216" i="5"/>
  <c r="I216" i="5"/>
  <c r="L260" i="4"/>
  <c r="Q216" i="5"/>
  <c r="M260" i="4"/>
  <c r="R216" i="5"/>
  <c r="T216" i="5"/>
  <c r="O260" i="4"/>
  <c r="U216" i="5"/>
  <c r="P260" i="4"/>
  <c r="W216" i="5"/>
  <c r="Q260" i="4"/>
  <c r="X216" i="5"/>
  <c r="S260" i="4"/>
  <c r="AA216" i="5"/>
  <c r="AI260" i="4"/>
  <c r="T260" i="4" a="1"/>
  <c r="T260" i="4"/>
  <c r="AC216" i="5"/>
  <c r="U260" i="4" a="1"/>
  <c r="U260" i="4"/>
  <c r="AD216" i="5"/>
  <c r="X260" i="4"/>
  <c r="AI216" i="5"/>
  <c r="Y260" i="4"/>
  <c r="AJ216" i="5"/>
  <c r="Z260" i="4"/>
  <c r="AL216" i="5"/>
  <c r="Z216" i="5"/>
  <c r="AN216" i="5"/>
  <c r="O217" i="5"/>
  <c r="B261" i="4"/>
  <c r="H261" i="4"/>
  <c r="K217" i="5"/>
  <c r="AG217" i="5"/>
  <c r="AF217" i="5"/>
  <c r="C261" i="4"/>
  <c r="C217" i="5"/>
  <c r="D261" i="4"/>
  <c r="E217" i="5"/>
  <c r="E261" i="4"/>
  <c r="F217" i="5"/>
  <c r="F261" i="4"/>
  <c r="H217" i="5"/>
  <c r="I217" i="5"/>
  <c r="I261" i="4"/>
  <c r="L217" i="5"/>
  <c r="J261" i="4"/>
  <c r="N217" i="5"/>
  <c r="L261" i="4"/>
  <c r="Q217" i="5"/>
  <c r="M261" i="4"/>
  <c r="R217" i="5"/>
  <c r="T217" i="5"/>
  <c r="O261" i="4"/>
  <c r="U217" i="5"/>
  <c r="P261" i="4"/>
  <c r="W217" i="5"/>
  <c r="Q261" i="4"/>
  <c r="X217" i="5"/>
  <c r="S261" i="4"/>
  <c r="AA217" i="5"/>
  <c r="AI261" i="4"/>
  <c r="T261" i="4" a="1"/>
  <c r="T261" i="4"/>
  <c r="AC217" i="5"/>
  <c r="U261" i="4" a="1"/>
  <c r="U261" i="4"/>
  <c r="AD217" i="5"/>
  <c r="X261" i="4"/>
  <c r="AI217" i="5"/>
  <c r="Y261" i="4"/>
  <c r="AJ217" i="5"/>
  <c r="Z261" i="4"/>
  <c r="AL217" i="5"/>
  <c r="Z217" i="5"/>
  <c r="AN217" i="5"/>
  <c r="AG218" i="5"/>
  <c r="AF218" i="5"/>
  <c r="B197" i="4"/>
  <c r="C197" i="4"/>
  <c r="C218" i="5"/>
  <c r="D197" i="4"/>
  <c r="E218" i="5"/>
  <c r="H197" i="4"/>
  <c r="K218" i="5"/>
  <c r="L197" i="4"/>
  <c r="Q218" i="5"/>
  <c r="M197" i="4"/>
  <c r="R218" i="5"/>
  <c r="N197" i="4"/>
  <c r="T218" i="5"/>
  <c r="O197" i="4"/>
  <c r="U218" i="5"/>
  <c r="P197" i="4"/>
  <c r="W218" i="5"/>
  <c r="Q197" i="4"/>
  <c r="X218" i="5"/>
  <c r="S197" i="4"/>
  <c r="AA218" i="5"/>
  <c r="AI197" i="4"/>
  <c r="T197" i="4" a="1"/>
  <c r="T197" i="4"/>
  <c r="AC218" i="5"/>
  <c r="U197" i="4" a="1"/>
  <c r="U197" i="4"/>
  <c r="AD218" i="5"/>
  <c r="X197" i="4"/>
  <c r="AI218" i="5"/>
  <c r="Y197" i="4"/>
  <c r="AJ218" i="5"/>
  <c r="Z197" i="4"/>
  <c r="AL218" i="5"/>
  <c r="F218" i="5"/>
  <c r="H218" i="5"/>
  <c r="I218" i="5"/>
  <c r="L218" i="5"/>
  <c r="N218" i="5"/>
  <c r="O218" i="5"/>
  <c r="Z218" i="5"/>
  <c r="AN218" i="5"/>
  <c r="AG219" i="5"/>
  <c r="AF219" i="5"/>
  <c r="C179" i="4"/>
  <c r="C219" i="5"/>
  <c r="D179" i="4"/>
  <c r="E219" i="5"/>
  <c r="E179" i="4"/>
  <c r="F219" i="5"/>
  <c r="F179" i="4"/>
  <c r="H219" i="5"/>
  <c r="I219" i="5"/>
  <c r="H179" i="4"/>
  <c r="K219" i="5"/>
  <c r="L179" i="4"/>
  <c r="Q219" i="5"/>
  <c r="M179" i="4"/>
  <c r="R219" i="5"/>
  <c r="T219" i="5"/>
  <c r="O179" i="4"/>
  <c r="U219" i="5"/>
  <c r="P179" i="4"/>
  <c r="W219" i="5"/>
  <c r="Q179" i="4"/>
  <c r="X219" i="5"/>
  <c r="AA219" i="5"/>
  <c r="AI179" i="4"/>
  <c r="T179" i="4" a="1"/>
  <c r="T179" i="4"/>
  <c r="AC219" i="5"/>
  <c r="U179" i="4" a="1"/>
  <c r="U179" i="4"/>
  <c r="AD219" i="5"/>
  <c r="X179" i="4"/>
  <c r="AI219" i="5"/>
  <c r="L219" i="5"/>
  <c r="N219" i="5"/>
  <c r="O219" i="5"/>
  <c r="Z219" i="5"/>
  <c r="AN219" i="5"/>
  <c r="AG220" i="5"/>
  <c r="AF220" i="5"/>
  <c r="C180" i="4"/>
  <c r="C220" i="5"/>
  <c r="D180" i="4"/>
  <c r="E220" i="5"/>
  <c r="E180" i="4"/>
  <c r="F220" i="5"/>
  <c r="F180" i="4"/>
  <c r="H220" i="5"/>
  <c r="I220" i="5"/>
  <c r="H180" i="4"/>
  <c r="K220" i="5"/>
  <c r="L180" i="4"/>
  <c r="Q220" i="5"/>
  <c r="M180" i="4"/>
  <c r="R220" i="5"/>
  <c r="T220" i="5"/>
  <c r="O180" i="4"/>
  <c r="U220" i="5"/>
  <c r="P180" i="4"/>
  <c r="W220" i="5"/>
  <c r="Q180" i="4"/>
  <c r="X220" i="5"/>
  <c r="S180" i="4"/>
  <c r="AA220" i="5"/>
  <c r="AI180" i="4"/>
  <c r="T180" i="4" a="1"/>
  <c r="T180" i="4"/>
  <c r="AC220" i="5"/>
  <c r="U180" i="4" a="1"/>
  <c r="U180" i="4"/>
  <c r="AD220" i="5"/>
  <c r="X180" i="4"/>
  <c r="AI220" i="5"/>
  <c r="Y180" i="4"/>
  <c r="AJ220" i="5"/>
  <c r="Z180" i="4"/>
  <c r="AL220" i="5"/>
  <c r="L220" i="5"/>
  <c r="N220" i="5"/>
  <c r="O220" i="5"/>
  <c r="Z220" i="5"/>
  <c r="AN220" i="5"/>
  <c r="O221" i="5"/>
  <c r="B198" i="4"/>
  <c r="H198" i="4"/>
  <c r="K221" i="5"/>
  <c r="AG221" i="5"/>
  <c r="AF221" i="5"/>
  <c r="C198" i="4"/>
  <c r="C221" i="5"/>
  <c r="D198" i="4"/>
  <c r="E221" i="5"/>
  <c r="E198" i="4"/>
  <c r="F221" i="5"/>
  <c r="F198" i="4"/>
  <c r="H221" i="5"/>
  <c r="I221" i="5"/>
  <c r="I15" i="2"/>
  <c r="I198" i="4"/>
  <c r="L221" i="5"/>
  <c r="J198" i="4"/>
  <c r="N221" i="5"/>
  <c r="L198" i="4"/>
  <c r="Q221" i="5"/>
  <c r="M198" i="4"/>
  <c r="R221" i="5"/>
  <c r="T221" i="5"/>
  <c r="O198" i="4"/>
  <c r="U221" i="5"/>
  <c r="P198" i="4"/>
  <c r="W221" i="5"/>
  <c r="Q198" i="4"/>
  <c r="X221" i="5"/>
  <c r="S198" i="4"/>
  <c r="AA221" i="5"/>
  <c r="AI198" i="4"/>
  <c r="T198" i="4" a="1"/>
  <c r="T198" i="4"/>
  <c r="AC221" i="5"/>
  <c r="U198" i="4" a="1"/>
  <c r="U198" i="4"/>
  <c r="AD221" i="5"/>
  <c r="X198" i="4"/>
  <c r="AI221" i="5"/>
  <c r="Y198" i="4"/>
  <c r="AJ221" i="5"/>
  <c r="Z198" i="4"/>
  <c r="AL221" i="5"/>
  <c r="Z221" i="5"/>
  <c r="AN221" i="5"/>
  <c r="AG222" i="5"/>
  <c r="AF222" i="5"/>
  <c r="C199" i="4"/>
  <c r="C222" i="5"/>
  <c r="T222" i="5"/>
  <c r="O199" i="4"/>
  <c r="U222" i="5"/>
  <c r="P199" i="4"/>
  <c r="W222" i="5"/>
  <c r="Q199" i="4"/>
  <c r="X222" i="5"/>
  <c r="S199" i="4"/>
  <c r="AA222" i="5"/>
  <c r="AI199" i="4"/>
  <c r="T199" i="4" a="1"/>
  <c r="T199" i="4"/>
  <c r="AC222" i="5"/>
  <c r="U199" i="4" a="1"/>
  <c r="U199" i="4"/>
  <c r="AD222" i="5"/>
  <c r="AI222" i="5"/>
  <c r="Y199" i="4"/>
  <c r="AJ222" i="5"/>
  <c r="Z199" i="4"/>
  <c r="AL222" i="5"/>
  <c r="L222" i="5"/>
  <c r="N222" i="5"/>
  <c r="O222" i="5"/>
  <c r="Z222" i="5"/>
  <c r="AN222" i="5"/>
  <c r="AG223" i="5"/>
  <c r="AF223" i="5"/>
  <c r="B98" i="4"/>
  <c r="C98" i="4"/>
  <c r="C223" i="5"/>
  <c r="E223" i="5"/>
  <c r="K223" i="5"/>
  <c r="L98" i="4"/>
  <c r="Q223" i="5"/>
  <c r="M21" i="2"/>
  <c r="M98" i="4"/>
  <c r="R223" i="5"/>
  <c r="T223" i="5"/>
  <c r="O98" i="4"/>
  <c r="U223" i="5"/>
  <c r="P98" i="4"/>
  <c r="W223" i="5"/>
  <c r="X223" i="5"/>
  <c r="AA223" i="5"/>
  <c r="AI98" i="4"/>
  <c r="T98" i="4" a="1"/>
  <c r="T98" i="4"/>
  <c r="AC223" i="5"/>
  <c r="U98" i="4" a="1"/>
  <c r="U98" i="4"/>
  <c r="AD223" i="5"/>
  <c r="X98" i="4"/>
  <c r="AI223" i="5"/>
  <c r="Y98" i="4"/>
  <c r="AJ223" i="5"/>
  <c r="Z98" i="4"/>
  <c r="AL223" i="5"/>
  <c r="F223" i="5"/>
  <c r="H223" i="5"/>
  <c r="I223" i="5"/>
  <c r="L223" i="5"/>
  <c r="N223" i="5"/>
  <c r="O223" i="5"/>
  <c r="Z223" i="5"/>
  <c r="AN223" i="5"/>
  <c r="O224" i="5"/>
  <c r="B12" i="4"/>
  <c r="H12" i="4"/>
  <c r="K224" i="5"/>
  <c r="AG224" i="5"/>
  <c r="AF224" i="5"/>
  <c r="C12" i="4"/>
  <c r="C224" i="5"/>
  <c r="D12" i="4"/>
  <c r="E224" i="5"/>
  <c r="I12" i="4"/>
  <c r="L224" i="5"/>
  <c r="J12" i="4"/>
  <c r="N224" i="5"/>
  <c r="L12" i="4"/>
  <c r="Q224" i="5"/>
  <c r="M12" i="4"/>
  <c r="R224" i="5"/>
  <c r="T224" i="5"/>
  <c r="O12" i="4"/>
  <c r="U224" i="5"/>
  <c r="P12" i="4"/>
  <c r="W224" i="5"/>
  <c r="Q12" i="4"/>
  <c r="X224" i="5"/>
  <c r="AA224" i="5"/>
  <c r="AI12" i="4"/>
  <c r="T12" i="4" a="1"/>
  <c r="T12" i="4"/>
  <c r="AC224" i="5"/>
  <c r="U12" i="4" a="1"/>
  <c r="U12" i="4"/>
  <c r="AD224" i="5"/>
  <c r="X12" i="4"/>
  <c r="AI224" i="5"/>
  <c r="Y12" i="4"/>
  <c r="AJ224" i="5"/>
  <c r="Z12" i="4"/>
  <c r="AL224" i="5"/>
  <c r="F224" i="5"/>
  <c r="H224" i="5"/>
  <c r="I224" i="5"/>
  <c r="Z224" i="5"/>
  <c r="AN224" i="5"/>
  <c r="AG225" i="5"/>
  <c r="AF225" i="5"/>
  <c r="C293" i="4"/>
  <c r="C225" i="5"/>
  <c r="E29" i="2"/>
  <c r="F29" i="2"/>
  <c r="T225" i="5"/>
  <c r="O293" i="4"/>
  <c r="U225" i="5"/>
  <c r="P293" i="4"/>
  <c r="W225" i="5"/>
  <c r="S293" i="4"/>
  <c r="AA225" i="5"/>
  <c r="AI293" i="4"/>
  <c r="T293" i="4" a="1"/>
  <c r="T293" i="4"/>
  <c r="AC225" i="5"/>
  <c r="U293" i="4" a="1"/>
  <c r="U293" i="4"/>
  <c r="AD225" i="5"/>
  <c r="X293" i="4"/>
  <c r="AI225" i="5"/>
  <c r="Y293" i="4"/>
  <c r="AJ225" i="5"/>
  <c r="Z293" i="4"/>
  <c r="AL225" i="5"/>
  <c r="L225" i="5"/>
  <c r="N225" i="5"/>
  <c r="O225" i="5"/>
  <c r="X225" i="5"/>
  <c r="Z225" i="5"/>
  <c r="AN225" i="5"/>
  <c r="AG226" i="5"/>
  <c r="AF226" i="5"/>
  <c r="C181" i="4"/>
  <c r="C226" i="5"/>
  <c r="T226" i="5"/>
  <c r="U226" i="5"/>
  <c r="P181" i="4"/>
  <c r="W226" i="5"/>
  <c r="Q181" i="4"/>
  <c r="X226" i="5"/>
  <c r="R181" i="4"/>
  <c r="Z226" i="5"/>
  <c r="S181" i="4"/>
  <c r="AA226" i="5"/>
  <c r="AI181" i="4"/>
  <c r="T181" i="4" a="1"/>
  <c r="T181" i="4"/>
  <c r="AC226" i="5"/>
  <c r="U181" i="4" a="1"/>
  <c r="U181" i="4"/>
  <c r="AD226" i="5"/>
  <c r="X181" i="4"/>
  <c r="AI226" i="5"/>
  <c r="Y181" i="4"/>
  <c r="AJ226" i="5"/>
  <c r="Z181" i="4"/>
  <c r="AL226" i="5"/>
  <c r="AN226" i="5"/>
  <c r="AG227" i="5"/>
  <c r="AF227" i="5"/>
  <c r="B114" i="4"/>
  <c r="C114" i="4"/>
  <c r="C227" i="5"/>
  <c r="E227" i="5"/>
  <c r="H114" i="4"/>
  <c r="K227" i="5"/>
  <c r="L114" i="4"/>
  <c r="Q227" i="5"/>
  <c r="M114" i="4"/>
  <c r="R227" i="5"/>
  <c r="T227" i="5"/>
  <c r="O114" i="4"/>
  <c r="U227" i="5"/>
  <c r="P114" i="4"/>
  <c r="W227" i="5"/>
  <c r="X227" i="5"/>
  <c r="AA227" i="5"/>
  <c r="AI114" i="4"/>
  <c r="T114" i="4" a="1"/>
  <c r="T114" i="4"/>
  <c r="AC227" i="5"/>
  <c r="U114" i="4" a="1"/>
  <c r="U114" i="4"/>
  <c r="AD227" i="5"/>
  <c r="AI227" i="5"/>
  <c r="AJ227" i="5"/>
  <c r="Z114" i="4"/>
  <c r="AL227" i="5"/>
  <c r="F227" i="5"/>
  <c r="H227" i="5"/>
  <c r="I227" i="5"/>
  <c r="L227" i="5"/>
  <c r="N227" i="5"/>
  <c r="O227" i="5"/>
  <c r="Z227" i="5"/>
  <c r="AN227" i="5"/>
  <c r="O228" i="5"/>
  <c r="K228" i="5"/>
  <c r="AG228" i="5"/>
  <c r="AF228" i="5"/>
  <c r="B48" i="4"/>
  <c r="C48" i="4"/>
  <c r="C228" i="5"/>
  <c r="D48" i="4"/>
  <c r="E228" i="5"/>
  <c r="E48" i="4"/>
  <c r="F228" i="5"/>
  <c r="F48" i="4"/>
  <c r="H228" i="5"/>
  <c r="I228" i="5"/>
  <c r="I19" i="2"/>
  <c r="I48" i="4"/>
  <c r="L228" i="5"/>
  <c r="J19" i="2"/>
  <c r="J48" i="4"/>
  <c r="N228" i="5"/>
  <c r="L48" i="4"/>
  <c r="Q228" i="5"/>
  <c r="M48" i="4"/>
  <c r="R228" i="5"/>
  <c r="T228" i="5"/>
  <c r="O48" i="4"/>
  <c r="U228" i="5"/>
  <c r="P48" i="4"/>
  <c r="W228" i="5"/>
  <c r="Q48" i="4"/>
  <c r="X228" i="5"/>
  <c r="S48" i="4"/>
  <c r="AA228" i="5"/>
  <c r="AI48" i="4"/>
  <c r="T48" i="4" a="1"/>
  <c r="T48" i="4"/>
  <c r="AC228" i="5"/>
  <c r="U48" i="4" a="1"/>
  <c r="U48" i="4"/>
  <c r="AD228" i="5"/>
  <c r="AI228" i="5"/>
  <c r="Y48" i="4"/>
  <c r="AJ228" i="5"/>
  <c r="Z48" i="4"/>
  <c r="AL228" i="5"/>
  <c r="Z228" i="5"/>
  <c r="AN228" i="5"/>
  <c r="AG229" i="5"/>
  <c r="AF229" i="5"/>
  <c r="B294" i="4"/>
  <c r="C294" i="4"/>
  <c r="C229" i="5"/>
  <c r="D294" i="4"/>
  <c r="E229" i="5"/>
  <c r="E294" i="4"/>
  <c r="F229" i="5"/>
  <c r="F294" i="4"/>
  <c r="H229" i="5"/>
  <c r="I229" i="5"/>
  <c r="H294" i="4"/>
  <c r="K229" i="5"/>
  <c r="L294" i="4"/>
  <c r="Q229" i="5"/>
  <c r="M294" i="4"/>
  <c r="R229" i="5"/>
  <c r="T229" i="5"/>
  <c r="O294" i="4"/>
  <c r="U229" i="5"/>
  <c r="P294" i="4"/>
  <c r="W229" i="5"/>
  <c r="Q294" i="4"/>
  <c r="X229" i="5"/>
  <c r="S294" i="4"/>
  <c r="AA229" i="5"/>
  <c r="AI294" i="4"/>
  <c r="T294" i="4" a="1"/>
  <c r="T294" i="4"/>
  <c r="AC229" i="5"/>
  <c r="U294" i="4" a="1"/>
  <c r="U294" i="4"/>
  <c r="AD229" i="5"/>
  <c r="X294" i="4"/>
  <c r="AI229" i="5"/>
  <c r="Y294" i="4"/>
  <c r="AJ229" i="5"/>
  <c r="Z294" i="4"/>
  <c r="AL229" i="5"/>
  <c r="L229" i="5"/>
  <c r="N229" i="5"/>
  <c r="O229" i="5"/>
  <c r="Z229" i="5"/>
  <c r="AN229" i="5"/>
  <c r="AG230" i="5"/>
  <c r="AF230" i="5"/>
  <c r="C231" i="4"/>
  <c r="C230" i="5"/>
  <c r="E24" i="2"/>
  <c r="F24" i="2"/>
  <c r="T230" i="5"/>
  <c r="U230" i="5"/>
  <c r="P231" i="4"/>
  <c r="W230" i="5"/>
  <c r="Q231" i="4"/>
  <c r="X230" i="5"/>
  <c r="S231" i="4"/>
  <c r="AA230" i="5"/>
  <c r="AI231" i="4"/>
  <c r="T231" i="4" a="1"/>
  <c r="T231" i="4"/>
  <c r="AC230" i="5"/>
  <c r="U231" i="4" a="1"/>
  <c r="U231" i="4"/>
  <c r="AD230" i="5"/>
  <c r="X231" i="4"/>
  <c r="AI230" i="5"/>
  <c r="Y231" i="4"/>
  <c r="AJ230" i="5"/>
  <c r="Z231" i="4"/>
  <c r="AL230" i="5"/>
  <c r="Z230" i="5"/>
  <c r="AN230" i="5"/>
  <c r="AG231" i="5"/>
  <c r="AF231" i="5"/>
  <c r="B209" i="4"/>
  <c r="C209" i="4"/>
  <c r="C231" i="5"/>
  <c r="D209" i="4"/>
  <c r="E231" i="5"/>
  <c r="H209" i="4"/>
  <c r="K231" i="5"/>
  <c r="L209" i="4"/>
  <c r="Q231" i="5"/>
  <c r="M209" i="4"/>
  <c r="R231" i="5"/>
  <c r="T231" i="5"/>
  <c r="O209" i="4"/>
  <c r="U231" i="5"/>
  <c r="P209" i="4"/>
  <c r="W231" i="5"/>
  <c r="Q209" i="4"/>
  <c r="X231" i="5"/>
  <c r="S209" i="4"/>
  <c r="AA231" i="5"/>
  <c r="AI209" i="4"/>
  <c r="T209" i="4" a="1"/>
  <c r="T209" i="4"/>
  <c r="AC231" i="5"/>
  <c r="U209" i="4" a="1"/>
  <c r="U209" i="4"/>
  <c r="AD231" i="5"/>
  <c r="X209" i="4"/>
  <c r="AI231" i="5"/>
  <c r="Y209" i="4"/>
  <c r="AJ231" i="5"/>
  <c r="Z209" i="4"/>
  <c r="AL231" i="5"/>
  <c r="L231" i="5"/>
  <c r="N231" i="5"/>
  <c r="O231" i="5"/>
  <c r="F231" i="5"/>
  <c r="H231" i="5"/>
  <c r="I231" i="5"/>
  <c r="Z231" i="5"/>
  <c r="AN231" i="5"/>
  <c r="AG232" i="5"/>
  <c r="AF232" i="5"/>
  <c r="B284" i="4"/>
  <c r="C284" i="4"/>
  <c r="C232" i="5"/>
  <c r="D284" i="4"/>
  <c r="E232" i="5"/>
  <c r="H284" i="4"/>
  <c r="K232" i="5"/>
  <c r="L284" i="4"/>
  <c r="Q232" i="5"/>
  <c r="M284" i="4"/>
  <c r="R232" i="5"/>
  <c r="T232" i="5"/>
  <c r="O284" i="4"/>
  <c r="U232" i="5"/>
  <c r="P284" i="4"/>
  <c r="W232" i="5"/>
  <c r="Q284" i="4"/>
  <c r="X232" i="5"/>
  <c r="S284" i="4"/>
  <c r="AA232" i="5"/>
  <c r="AI284" i="4"/>
  <c r="T284" i="4" a="1"/>
  <c r="T284" i="4"/>
  <c r="AC232" i="5"/>
  <c r="U284" i="4" a="1"/>
  <c r="U284" i="4"/>
  <c r="AD232" i="5"/>
  <c r="X284" i="4"/>
  <c r="AI232" i="5"/>
  <c r="Y284" i="4"/>
  <c r="AJ232" i="5"/>
  <c r="Z284" i="4"/>
  <c r="AL232" i="5"/>
  <c r="L232" i="5"/>
  <c r="N232" i="5"/>
  <c r="O232" i="5"/>
  <c r="F232" i="5"/>
  <c r="H232" i="5"/>
  <c r="I232" i="5"/>
  <c r="Z232" i="5"/>
  <c r="AN232" i="5"/>
  <c r="S142" i="4"/>
  <c r="AA233" i="5"/>
  <c r="P142" i="4"/>
  <c r="W233" i="5"/>
  <c r="AG233" i="5"/>
  <c r="AF233" i="5"/>
  <c r="C142" i="4"/>
  <c r="C233" i="5"/>
  <c r="D142" i="4"/>
  <c r="E233" i="5"/>
  <c r="K233" i="5"/>
  <c r="L142" i="4"/>
  <c r="Q233" i="5"/>
  <c r="M142" i="4"/>
  <c r="R233" i="5"/>
  <c r="T233" i="5"/>
  <c r="U233" i="5"/>
  <c r="Q142" i="4"/>
  <c r="X233" i="5"/>
  <c r="R142" i="4"/>
  <c r="Z233" i="5"/>
  <c r="AI142" i="4"/>
  <c r="T142" i="4" a="1"/>
  <c r="T142" i="4"/>
  <c r="AC233" i="5"/>
  <c r="U142" i="4" a="1"/>
  <c r="U142" i="4"/>
  <c r="AD233" i="5"/>
  <c r="X142" i="4"/>
  <c r="AI233" i="5"/>
  <c r="Y142" i="4"/>
  <c r="AJ233" i="5"/>
  <c r="Z142" i="4"/>
  <c r="AL233" i="5"/>
  <c r="L233" i="5"/>
  <c r="N233" i="5"/>
  <c r="O233" i="5"/>
  <c r="F233" i="5"/>
  <c r="H233" i="5"/>
  <c r="I233" i="5"/>
  <c r="AN233" i="5"/>
  <c r="AG234" i="5"/>
  <c r="AF234" i="5"/>
  <c r="B27" i="4"/>
  <c r="C27" i="4"/>
  <c r="C234" i="5"/>
  <c r="D27" i="4"/>
  <c r="E234" i="5"/>
  <c r="K234" i="5"/>
  <c r="L27" i="4"/>
  <c r="Q234" i="5"/>
  <c r="M27" i="4"/>
  <c r="R234" i="5"/>
  <c r="T234" i="5"/>
  <c r="U234" i="5"/>
  <c r="P27" i="4"/>
  <c r="W234" i="5"/>
  <c r="Q27" i="4"/>
  <c r="X234" i="5"/>
  <c r="S27" i="4"/>
  <c r="AA234" i="5"/>
  <c r="AI27" i="4"/>
  <c r="T27" i="4" a="1"/>
  <c r="T27" i="4"/>
  <c r="AC234" i="5"/>
  <c r="U27" i="4" a="1"/>
  <c r="U27" i="4"/>
  <c r="AD234" i="5"/>
  <c r="X27" i="4"/>
  <c r="AI234" i="5"/>
  <c r="Y27" i="4"/>
  <c r="AJ234" i="5"/>
  <c r="Z27" i="4"/>
  <c r="AL234" i="5"/>
  <c r="F234" i="5"/>
  <c r="H234" i="5"/>
  <c r="I234" i="5"/>
  <c r="L234" i="5"/>
  <c r="N234" i="5"/>
  <c r="O234" i="5"/>
  <c r="Z234" i="5"/>
  <c r="AN234" i="5"/>
  <c r="AG235" i="5"/>
  <c r="AF235" i="5"/>
  <c r="C143" i="4"/>
  <c r="C235" i="5"/>
  <c r="D143" i="4"/>
  <c r="E235" i="5"/>
  <c r="K235" i="5"/>
  <c r="L143" i="4"/>
  <c r="Q235" i="5"/>
  <c r="M143" i="4"/>
  <c r="R235" i="5"/>
  <c r="T235" i="5"/>
  <c r="U235" i="5"/>
  <c r="P143" i="4"/>
  <c r="W235" i="5"/>
  <c r="Q143" i="4"/>
  <c r="X235" i="5"/>
  <c r="S143" i="4"/>
  <c r="AA235" i="5"/>
  <c r="AI143" i="4"/>
  <c r="T143" i="4" a="1"/>
  <c r="T143" i="4"/>
  <c r="AC235" i="5"/>
  <c r="U143" i="4" a="1"/>
  <c r="U143" i="4"/>
  <c r="AD235" i="5"/>
  <c r="X143" i="4"/>
  <c r="AI235" i="5"/>
  <c r="Y143" i="4"/>
  <c r="AJ235" i="5"/>
  <c r="Z143" i="4"/>
  <c r="AL235" i="5"/>
  <c r="F235" i="5"/>
  <c r="H235" i="5"/>
  <c r="I235" i="5"/>
  <c r="L235" i="5"/>
  <c r="N235" i="5"/>
  <c r="O235" i="5"/>
  <c r="Z235" i="5"/>
  <c r="AN235" i="5"/>
  <c r="AG236" i="5"/>
  <c r="AF236" i="5"/>
  <c r="C144" i="4"/>
  <c r="C236" i="5"/>
  <c r="D144" i="4"/>
  <c r="E236" i="5"/>
  <c r="K236" i="5"/>
  <c r="L144" i="4"/>
  <c r="Q236" i="5"/>
  <c r="M144" i="4"/>
  <c r="R236" i="5"/>
  <c r="T236" i="5"/>
  <c r="U236" i="5"/>
  <c r="P144" i="4"/>
  <c r="W236" i="5"/>
  <c r="Q144" i="4"/>
  <c r="X236" i="5"/>
  <c r="S144" i="4"/>
  <c r="AA236" i="5"/>
  <c r="AI144" i="4"/>
  <c r="T144" i="4" a="1"/>
  <c r="T144" i="4"/>
  <c r="AC236" i="5"/>
  <c r="U144" i="4" a="1"/>
  <c r="U144" i="4"/>
  <c r="AD236" i="5"/>
  <c r="X144" i="4"/>
  <c r="AI236" i="5"/>
  <c r="Y144" i="4"/>
  <c r="AJ236" i="5"/>
  <c r="Z144" i="4"/>
  <c r="AL236" i="5"/>
  <c r="F236" i="5"/>
  <c r="H236" i="5"/>
  <c r="I236" i="5"/>
  <c r="L236" i="5"/>
  <c r="N236" i="5"/>
  <c r="O236" i="5"/>
  <c r="Z236" i="5"/>
  <c r="AN236" i="5"/>
  <c r="AG237" i="5"/>
  <c r="AF237" i="5"/>
  <c r="B28" i="4"/>
  <c r="C28" i="4"/>
  <c r="C237" i="5"/>
  <c r="D28" i="4"/>
  <c r="E237" i="5"/>
  <c r="K237" i="5"/>
  <c r="L28" i="4"/>
  <c r="Q237" i="5"/>
  <c r="M28" i="4"/>
  <c r="R237" i="5"/>
  <c r="T237" i="5"/>
  <c r="U237" i="5"/>
  <c r="P28" i="4"/>
  <c r="W237" i="5"/>
  <c r="Q28" i="4"/>
  <c r="X237" i="5"/>
  <c r="S28" i="4"/>
  <c r="AA237" i="5"/>
  <c r="AI28" i="4"/>
  <c r="T28" i="4" a="1"/>
  <c r="T28" i="4"/>
  <c r="AC237" i="5"/>
  <c r="U28" i="4" a="1"/>
  <c r="U28" i="4"/>
  <c r="AD237" i="5"/>
  <c r="X28" i="4"/>
  <c r="AI237" i="5"/>
  <c r="Y28" i="4"/>
  <c r="AJ237" i="5"/>
  <c r="Z28" i="4"/>
  <c r="AL237" i="5"/>
  <c r="F237" i="5"/>
  <c r="H237" i="5"/>
  <c r="I237" i="5"/>
  <c r="L237" i="5"/>
  <c r="N237" i="5"/>
  <c r="O237" i="5"/>
  <c r="Z237" i="5"/>
  <c r="AN237" i="5"/>
  <c r="AG238" i="5"/>
  <c r="AF238" i="5"/>
  <c r="C145" i="4"/>
  <c r="C238" i="5"/>
  <c r="D145" i="4"/>
  <c r="E238" i="5"/>
  <c r="K238" i="5"/>
  <c r="L145" i="4"/>
  <c r="Q238" i="5"/>
  <c r="M145" i="4"/>
  <c r="R238" i="5"/>
  <c r="T238" i="5"/>
  <c r="U238" i="5"/>
  <c r="P145" i="4"/>
  <c r="W238" i="5"/>
  <c r="Q145" i="4"/>
  <c r="X238" i="5"/>
  <c r="S145" i="4"/>
  <c r="AA238" i="5"/>
  <c r="AI145" i="4"/>
  <c r="T145" i="4" a="1"/>
  <c r="T145" i="4"/>
  <c r="AC238" i="5"/>
  <c r="U145" i="4" a="1"/>
  <c r="U145" i="4"/>
  <c r="AD238" i="5"/>
  <c r="X145" i="4"/>
  <c r="AI238" i="5"/>
  <c r="Y145" i="4"/>
  <c r="AJ238" i="5"/>
  <c r="Z145" i="4"/>
  <c r="AL238" i="5"/>
  <c r="F238" i="5"/>
  <c r="H238" i="5"/>
  <c r="I238" i="5"/>
  <c r="L238" i="5"/>
  <c r="N238" i="5"/>
  <c r="O238" i="5"/>
  <c r="Z238" i="5"/>
  <c r="AN238" i="5"/>
  <c r="AG239" i="5"/>
  <c r="AF239" i="5"/>
  <c r="B285" i="4"/>
  <c r="C285" i="4"/>
  <c r="C239" i="5"/>
  <c r="D285" i="4"/>
  <c r="E239" i="5"/>
  <c r="E285" i="4"/>
  <c r="F239" i="5"/>
  <c r="F285" i="4"/>
  <c r="H239" i="5"/>
  <c r="I239" i="5"/>
  <c r="K239" i="5"/>
  <c r="L285" i="4"/>
  <c r="Q239" i="5"/>
  <c r="M285" i="4"/>
  <c r="R239" i="5"/>
  <c r="T239" i="5"/>
  <c r="O285" i="4"/>
  <c r="U239" i="5"/>
  <c r="P285" i="4"/>
  <c r="W239" i="5"/>
  <c r="Q285" i="4"/>
  <c r="X239" i="5"/>
  <c r="S285" i="4"/>
  <c r="AA239" i="5"/>
  <c r="AI285" i="4"/>
  <c r="T285" i="4" a="1"/>
  <c r="T285" i="4"/>
  <c r="AC239" i="5"/>
  <c r="U285" i="4" a="1"/>
  <c r="U285" i="4"/>
  <c r="AD239" i="5"/>
  <c r="X285" i="4"/>
  <c r="AI239" i="5"/>
  <c r="Y285" i="4"/>
  <c r="AJ239" i="5"/>
  <c r="Z285" i="4"/>
  <c r="AL239" i="5"/>
  <c r="L239" i="5"/>
  <c r="N239" i="5"/>
  <c r="O239" i="5"/>
  <c r="Z239" i="5"/>
  <c r="AN239" i="5"/>
  <c r="AG240" i="5"/>
  <c r="AF240" i="5"/>
  <c r="C286" i="4"/>
  <c r="C240" i="5"/>
  <c r="E21" i="2"/>
  <c r="F21" i="2"/>
  <c r="T240" i="5"/>
  <c r="O286" i="4"/>
  <c r="U240" i="5"/>
  <c r="P286" i="4"/>
  <c r="W240" i="5"/>
  <c r="S286" i="4"/>
  <c r="AA240" i="5"/>
  <c r="AI286" i="4"/>
  <c r="T286" i="4" a="1"/>
  <c r="T286" i="4"/>
  <c r="AC240" i="5"/>
  <c r="U286" i="4" a="1"/>
  <c r="U286" i="4"/>
  <c r="AD240" i="5"/>
  <c r="X286" i="4"/>
  <c r="AI240" i="5"/>
  <c r="Y286" i="4"/>
  <c r="AJ240" i="5"/>
  <c r="Z286" i="4"/>
  <c r="AL240" i="5"/>
  <c r="X240" i="5"/>
  <c r="Z240" i="5"/>
  <c r="AN240" i="5"/>
  <c r="AG241" i="5"/>
  <c r="AF241" i="5"/>
  <c r="B51" i="4"/>
  <c r="C51" i="4"/>
  <c r="C241" i="5"/>
  <c r="D51" i="4"/>
  <c r="E241" i="5"/>
  <c r="H51" i="4"/>
  <c r="K241" i="5"/>
  <c r="L51" i="4"/>
  <c r="Q241" i="5"/>
  <c r="M51" i="4"/>
  <c r="R241" i="5"/>
  <c r="T241" i="5"/>
  <c r="U241" i="5"/>
  <c r="P51" i="4"/>
  <c r="W241" i="5"/>
  <c r="Q51" i="4"/>
  <c r="X241" i="5"/>
  <c r="AA241" i="5"/>
  <c r="AI51" i="4"/>
  <c r="T51" i="4" a="1"/>
  <c r="T51" i="4"/>
  <c r="AC241" i="5"/>
  <c r="U51" i="4" a="1"/>
  <c r="U51" i="4"/>
  <c r="AD241" i="5"/>
  <c r="Y51" i="4"/>
  <c r="AJ241" i="5"/>
  <c r="Z51" i="4"/>
  <c r="AL241" i="5"/>
  <c r="F241" i="5"/>
  <c r="H241" i="5"/>
  <c r="I241" i="5"/>
  <c r="L241" i="5"/>
  <c r="N241" i="5"/>
  <c r="O241" i="5"/>
  <c r="Z241" i="5"/>
  <c r="AN241" i="5"/>
  <c r="AG242" i="5"/>
  <c r="AF242" i="5"/>
  <c r="B52" i="4"/>
  <c r="C52" i="4"/>
  <c r="C242" i="5"/>
  <c r="D52" i="4"/>
  <c r="E242" i="5"/>
  <c r="H52" i="4"/>
  <c r="K242" i="5"/>
  <c r="L52" i="4"/>
  <c r="Q242" i="5"/>
  <c r="M52" i="4"/>
  <c r="R242" i="5"/>
  <c r="T242" i="5"/>
  <c r="O52" i="4"/>
  <c r="U242" i="5"/>
  <c r="P52" i="4"/>
  <c r="W242" i="5"/>
  <c r="Q52" i="4"/>
  <c r="X242" i="5"/>
  <c r="AA242" i="5"/>
  <c r="AI52" i="4"/>
  <c r="T52" i="4" a="1"/>
  <c r="T52" i="4"/>
  <c r="AC242" i="5"/>
  <c r="U52" i="4" a="1"/>
  <c r="U52" i="4"/>
  <c r="AD242" i="5"/>
  <c r="AI242" i="5"/>
  <c r="Y52" i="4"/>
  <c r="AJ242" i="5"/>
  <c r="Z52" i="4"/>
  <c r="AL242" i="5"/>
  <c r="F242" i="5"/>
  <c r="H242" i="5"/>
  <c r="I242" i="5"/>
  <c r="L242" i="5"/>
  <c r="N242" i="5"/>
  <c r="O242" i="5"/>
  <c r="Z242" i="5"/>
  <c r="AN242" i="5"/>
  <c r="AG243" i="5"/>
  <c r="AF243" i="5"/>
  <c r="B53" i="4"/>
  <c r="C53" i="4"/>
  <c r="C243" i="5"/>
  <c r="D53" i="4"/>
  <c r="E243" i="5"/>
  <c r="H53" i="4"/>
  <c r="K243" i="5"/>
  <c r="L53" i="4"/>
  <c r="Q243" i="5"/>
  <c r="M53" i="4"/>
  <c r="R243" i="5"/>
  <c r="T243" i="5"/>
  <c r="O53" i="4"/>
  <c r="U243" i="5"/>
  <c r="P53" i="4"/>
  <c r="W243" i="5"/>
  <c r="Q53" i="4"/>
  <c r="X243" i="5"/>
  <c r="AA243" i="5"/>
  <c r="AI53" i="4"/>
  <c r="T53" i="4" a="1"/>
  <c r="T53" i="4"/>
  <c r="AC243" i="5"/>
  <c r="U53" i="4" a="1"/>
  <c r="U53" i="4"/>
  <c r="AD243" i="5"/>
  <c r="AI243" i="5"/>
  <c r="Y53" i="4"/>
  <c r="AJ243" i="5"/>
  <c r="Z53" i="4"/>
  <c r="AL243" i="5"/>
  <c r="F243" i="5"/>
  <c r="H243" i="5"/>
  <c r="I243" i="5"/>
  <c r="L243" i="5"/>
  <c r="N243" i="5"/>
  <c r="O243" i="5"/>
  <c r="Z243" i="5"/>
  <c r="AN243" i="5"/>
  <c r="AG244" i="5"/>
  <c r="AF244" i="5"/>
  <c r="B54" i="4"/>
  <c r="C54" i="4"/>
  <c r="C244" i="5"/>
  <c r="D54" i="4"/>
  <c r="E244" i="5"/>
  <c r="H54" i="4"/>
  <c r="K244" i="5"/>
  <c r="L54" i="4"/>
  <c r="Q244" i="5"/>
  <c r="M54" i="4"/>
  <c r="R244" i="5"/>
  <c r="T244" i="5"/>
  <c r="U244" i="5"/>
  <c r="P54" i="4"/>
  <c r="W244" i="5"/>
  <c r="Q54" i="4"/>
  <c r="X244" i="5"/>
  <c r="AA244" i="5"/>
  <c r="AI54" i="4"/>
  <c r="T54" i="4" a="1"/>
  <c r="T54" i="4"/>
  <c r="AC244" i="5"/>
  <c r="U54" i="4" a="1"/>
  <c r="U54" i="4"/>
  <c r="AD244" i="5"/>
  <c r="X54" i="4"/>
  <c r="AI244" i="5"/>
  <c r="Y54" i="4"/>
  <c r="AJ244" i="5"/>
  <c r="Z54" i="4"/>
  <c r="AL244" i="5"/>
  <c r="F244" i="5"/>
  <c r="H244" i="5"/>
  <c r="I244" i="5"/>
  <c r="L244" i="5"/>
  <c r="N244" i="5"/>
  <c r="O244" i="5"/>
  <c r="Z244" i="5"/>
  <c r="AN244" i="5"/>
  <c r="AG245" i="5"/>
  <c r="AF245" i="5"/>
  <c r="B55" i="4"/>
  <c r="C55" i="4"/>
  <c r="C245" i="5"/>
  <c r="D55" i="4"/>
  <c r="E245" i="5"/>
  <c r="H55" i="4"/>
  <c r="K245" i="5"/>
  <c r="L55" i="4"/>
  <c r="Q245" i="5"/>
  <c r="M55" i="4"/>
  <c r="R245" i="5"/>
  <c r="T245" i="5"/>
  <c r="U245" i="5"/>
  <c r="P55" i="4"/>
  <c r="W245" i="5"/>
  <c r="Q55" i="4"/>
  <c r="X245" i="5"/>
  <c r="AA245" i="5"/>
  <c r="AI55" i="4"/>
  <c r="T55" i="4" a="1"/>
  <c r="T55" i="4"/>
  <c r="AC245" i="5"/>
  <c r="U55" i="4" a="1"/>
  <c r="U55" i="4"/>
  <c r="AD245" i="5"/>
  <c r="X55" i="4"/>
  <c r="AI245" i="5"/>
  <c r="Y55" i="4"/>
  <c r="AJ245" i="5"/>
  <c r="Z55" i="4"/>
  <c r="AL245" i="5"/>
  <c r="F245" i="5"/>
  <c r="H245" i="5"/>
  <c r="I245" i="5"/>
  <c r="L245" i="5"/>
  <c r="N245" i="5"/>
  <c r="O245" i="5"/>
  <c r="Z245" i="5"/>
  <c r="AN245" i="5"/>
  <c r="AG246" i="5"/>
  <c r="AF246" i="5"/>
  <c r="B56" i="4"/>
  <c r="C56" i="4"/>
  <c r="C246" i="5"/>
  <c r="D56" i="4"/>
  <c r="E246" i="5"/>
  <c r="H56" i="4"/>
  <c r="K246" i="5"/>
  <c r="L56" i="4"/>
  <c r="Q246" i="5"/>
  <c r="M56" i="4"/>
  <c r="R246" i="5"/>
  <c r="T246" i="5"/>
  <c r="U246" i="5"/>
  <c r="P56" i="4"/>
  <c r="W246" i="5"/>
  <c r="Q56" i="4"/>
  <c r="X246" i="5"/>
  <c r="AA246" i="5"/>
  <c r="AI56" i="4"/>
  <c r="T56" i="4" a="1"/>
  <c r="T56" i="4"/>
  <c r="AC246" i="5"/>
  <c r="U56" i="4" a="1"/>
  <c r="U56" i="4"/>
  <c r="AD246" i="5"/>
  <c r="X56" i="4"/>
  <c r="AI246" i="5"/>
  <c r="Y56" i="4"/>
  <c r="AJ246" i="5"/>
  <c r="Z56" i="4"/>
  <c r="AL246" i="5"/>
  <c r="F246" i="5"/>
  <c r="H246" i="5"/>
  <c r="I246" i="5"/>
  <c r="L246" i="5"/>
  <c r="N246" i="5"/>
  <c r="O246" i="5"/>
  <c r="Z246" i="5"/>
  <c r="AN246" i="5"/>
  <c r="AG247" i="5"/>
  <c r="AF247" i="5"/>
  <c r="C57" i="4"/>
  <c r="C247" i="5"/>
  <c r="D57" i="4"/>
  <c r="E247" i="5"/>
  <c r="K247" i="5"/>
  <c r="L57" i="4"/>
  <c r="Q247" i="5"/>
  <c r="M57" i="4"/>
  <c r="R247" i="5"/>
  <c r="T247" i="5"/>
  <c r="U247" i="5"/>
  <c r="P57" i="4"/>
  <c r="W247" i="5"/>
  <c r="Q57" i="4"/>
  <c r="X247" i="5"/>
  <c r="AA247" i="5"/>
  <c r="AI57" i="4"/>
  <c r="T57" i="4" a="1"/>
  <c r="T57" i="4"/>
  <c r="AC247" i="5"/>
  <c r="U57" i="4" a="1"/>
  <c r="U57" i="4"/>
  <c r="AD247" i="5"/>
  <c r="X57" i="4"/>
  <c r="AI247" i="5"/>
  <c r="Y57" i="4"/>
  <c r="AJ247" i="5"/>
  <c r="Z57" i="4"/>
  <c r="AL247" i="5"/>
  <c r="F247" i="5"/>
  <c r="H247" i="5"/>
  <c r="I247" i="5"/>
  <c r="L247" i="5"/>
  <c r="N247" i="5"/>
  <c r="O247" i="5"/>
  <c r="Z247" i="5"/>
  <c r="AN247" i="5"/>
  <c r="AG248" i="5"/>
  <c r="AF248" i="5"/>
  <c r="B99" i="4"/>
  <c r="C99" i="4"/>
  <c r="C248" i="5"/>
  <c r="D99" i="4"/>
  <c r="E248" i="5"/>
  <c r="H33" i="2"/>
  <c r="H99" i="4"/>
  <c r="K248" i="5"/>
  <c r="L99" i="4"/>
  <c r="Q248" i="5"/>
  <c r="M99" i="4"/>
  <c r="R248" i="5"/>
  <c r="T248" i="5"/>
  <c r="O99" i="4"/>
  <c r="U248" i="5"/>
  <c r="P99" i="4"/>
  <c r="W248" i="5"/>
  <c r="Q99" i="4"/>
  <c r="X248" i="5"/>
  <c r="S99" i="4"/>
  <c r="AA248" i="5"/>
  <c r="AI99" i="4"/>
  <c r="T99" i="4" a="1"/>
  <c r="T99" i="4"/>
  <c r="AC248" i="5"/>
  <c r="U99" i="4" a="1"/>
  <c r="U99" i="4"/>
  <c r="AD248" i="5"/>
  <c r="X99" i="4"/>
  <c r="AI248" i="5"/>
  <c r="Y99" i="4"/>
  <c r="AJ248" i="5"/>
  <c r="Z99" i="4"/>
  <c r="AL248" i="5"/>
  <c r="F248" i="5"/>
  <c r="H248" i="5"/>
  <c r="I248" i="5"/>
  <c r="L248" i="5"/>
  <c r="N248" i="5"/>
  <c r="O248" i="5"/>
  <c r="Z248" i="5"/>
  <c r="AN248" i="5"/>
  <c r="AG249" i="5"/>
  <c r="AF249" i="5"/>
  <c r="B100" i="4"/>
  <c r="C100" i="4"/>
  <c r="C249" i="5"/>
  <c r="D100" i="4"/>
  <c r="E249" i="5"/>
  <c r="H100" i="4"/>
  <c r="K249" i="5"/>
  <c r="L100" i="4"/>
  <c r="Q249" i="5"/>
  <c r="M100" i="4"/>
  <c r="R249" i="5"/>
  <c r="T249" i="5"/>
  <c r="O100" i="4"/>
  <c r="U249" i="5"/>
  <c r="P100" i="4"/>
  <c r="W249" i="5"/>
  <c r="Q100" i="4"/>
  <c r="X249" i="5"/>
  <c r="S100" i="4"/>
  <c r="AA249" i="5"/>
  <c r="AI100" i="4"/>
  <c r="T100" i="4" a="1"/>
  <c r="T100" i="4"/>
  <c r="AC249" i="5"/>
  <c r="U100" i="4" a="1"/>
  <c r="U100" i="4"/>
  <c r="AD249" i="5"/>
  <c r="X100" i="4"/>
  <c r="AI249" i="5"/>
  <c r="Y100" i="4"/>
  <c r="AJ249" i="5"/>
  <c r="Z100" i="4"/>
  <c r="AL249" i="5"/>
  <c r="F249" i="5"/>
  <c r="H249" i="5"/>
  <c r="I249" i="5"/>
  <c r="L249" i="5"/>
  <c r="N249" i="5"/>
  <c r="O249" i="5"/>
  <c r="Z249" i="5"/>
  <c r="AN249" i="5"/>
  <c r="AG250" i="5"/>
  <c r="AF250" i="5"/>
  <c r="B101" i="4"/>
  <c r="C101" i="4"/>
  <c r="C250" i="5"/>
  <c r="D101" i="4"/>
  <c r="E250" i="5"/>
  <c r="K250" i="5"/>
  <c r="L101" i="4"/>
  <c r="Q250" i="5"/>
  <c r="M101" i="4"/>
  <c r="R250" i="5"/>
  <c r="T250" i="5"/>
  <c r="O101" i="4"/>
  <c r="U250" i="5"/>
  <c r="P101" i="4"/>
  <c r="W250" i="5"/>
  <c r="Q101" i="4"/>
  <c r="X250" i="5"/>
  <c r="S101" i="4"/>
  <c r="AA250" i="5"/>
  <c r="AI101" i="4"/>
  <c r="T101" i="4" a="1"/>
  <c r="T101" i="4"/>
  <c r="AC250" i="5"/>
  <c r="U101" i="4" a="1"/>
  <c r="U101" i="4"/>
  <c r="AD250" i="5"/>
  <c r="X101" i="4"/>
  <c r="AI250" i="5"/>
  <c r="Y101" i="4"/>
  <c r="AJ250" i="5"/>
  <c r="Z101" i="4"/>
  <c r="AL250" i="5"/>
  <c r="F250" i="5"/>
  <c r="H250" i="5"/>
  <c r="I250" i="5"/>
  <c r="L250" i="5"/>
  <c r="N250" i="5"/>
  <c r="O250" i="5"/>
  <c r="Z250" i="5"/>
  <c r="AN250" i="5"/>
  <c r="AG251" i="5"/>
  <c r="AF251" i="5"/>
  <c r="B263" i="4"/>
  <c r="C263" i="4"/>
  <c r="C251" i="5"/>
  <c r="D263" i="4"/>
  <c r="E251" i="5"/>
  <c r="K251" i="5"/>
  <c r="L263" i="4"/>
  <c r="Q251" i="5"/>
  <c r="M263" i="4"/>
  <c r="R251" i="5"/>
  <c r="T251" i="5"/>
  <c r="U251" i="5"/>
  <c r="P263" i="4"/>
  <c r="W251" i="5"/>
  <c r="Q263" i="4"/>
  <c r="X251" i="5"/>
  <c r="AA251" i="5"/>
  <c r="AI263" i="4"/>
  <c r="T263" i="4" a="1"/>
  <c r="T263" i="4"/>
  <c r="AC251" i="5"/>
  <c r="U263" i="4" a="1"/>
  <c r="U263" i="4"/>
  <c r="AD251" i="5"/>
  <c r="X263" i="4"/>
  <c r="AI251" i="5"/>
  <c r="Y263" i="4"/>
  <c r="AJ251" i="5"/>
  <c r="Z263" i="4"/>
  <c r="AL251" i="5"/>
  <c r="F251" i="5"/>
  <c r="H251" i="5"/>
  <c r="I251" i="5"/>
  <c r="L251" i="5"/>
  <c r="N251" i="5"/>
  <c r="O251" i="5"/>
  <c r="Z251" i="5"/>
  <c r="AN251" i="5"/>
  <c r="O252" i="5"/>
  <c r="K252" i="5"/>
  <c r="AG252" i="5"/>
  <c r="AF252" i="5"/>
  <c r="B245" i="4"/>
  <c r="C245" i="4"/>
  <c r="C252" i="5"/>
  <c r="D245" i="4"/>
  <c r="E252" i="5"/>
  <c r="I245" i="4"/>
  <c r="L252" i="5"/>
  <c r="J245" i="4"/>
  <c r="N252" i="5"/>
  <c r="L245" i="4"/>
  <c r="Q252" i="5"/>
  <c r="M245" i="4"/>
  <c r="R252" i="5"/>
  <c r="T252" i="5"/>
  <c r="U252" i="5"/>
  <c r="P245" i="4"/>
  <c r="W252" i="5"/>
  <c r="Q245" i="4"/>
  <c r="X252" i="5"/>
  <c r="S245" i="4"/>
  <c r="AA252" i="5"/>
  <c r="AI245" i="4"/>
  <c r="T245" i="4" a="1"/>
  <c r="T245" i="4"/>
  <c r="AC252" i="5"/>
  <c r="U245" i="4" a="1"/>
  <c r="U245" i="4"/>
  <c r="AD252" i="5"/>
  <c r="X245" i="4"/>
  <c r="AI252" i="5"/>
  <c r="Y245" i="4"/>
  <c r="AJ252" i="5"/>
  <c r="Z245" i="4"/>
  <c r="AL252" i="5"/>
  <c r="F252" i="5"/>
  <c r="H252" i="5"/>
  <c r="I252" i="5"/>
  <c r="Z252" i="5"/>
  <c r="AN252" i="5"/>
  <c r="AG253" i="5"/>
  <c r="AF253" i="5"/>
  <c r="C41" i="4"/>
  <c r="C253" i="5"/>
  <c r="T253" i="5"/>
  <c r="U253" i="5"/>
  <c r="P41" i="4"/>
  <c r="W253" i="5"/>
  <c r="Q41" i="4"/>
  <c r="X253" i="5"/>
  <c r="AA253" i="5"/>
  <c r="AI41" i="4"/>
  <c r="T41" i="4" a="1"/>
  <c r="T41" i="4"/>
  <c r="AC253" i="5"/>
  <c r="U41" i="4" a="1"/>
  <c r="U41" i="4"/>
  <c r="AD253" i="5"/>
  <c r="X41" i="4"/>
  <c r="AI253" i="5"/>
  <c r="Y41" i="4"/>
  <c r="AJ253" i="5"/>
  <c r="Z41" i="4"/>
  <c r="AL253" i="5"/>
  <c r="Z253" i="5"/>
  <c r="AN253" i="5"/>
  <c r="O254" i="5"/>
  <c r="B76" i="4"/>
  <c r="H76" i="4"/>
  <c r="K254" i="5"/>
  <c r="AG254" i="5"/>
  <c r="AF254" i="5"/>
  <c r="C76" i="4"/>
  <c r="C254" i="5"/>
  <c r="D76" i="4"/>
  <c r="E254" i="5"/>
  <c r="I76" i="4"/>
  <c r="L254" i="5"/>
  <c r="J76" i="4"/>
  <c r="N254" i="5"/>
  <c r="L76" i="4"/>
  <c r="Q254" i="5"/>
  <c r="M76" i="4"/>
  <c r="R254" i="5"/>
  <c r="T254" i="5"/>
  <c r="O76" i="4"/>
  <c r="U254" i="5"/>
  <c r="P76" i="4"/>
  <c r="W254" i="5"/>
  <c r="Q76" i="4"/>
  <c r="X254" i="5"/>
  <c r="AA254" i="5"/>
  <c r="AI76" i="4"/>
  <c r="T76" i="4" a="1"/>
  <c r="T76" i="4"/>
  <c r="AC254" i="5"/>
  <c r="U76" i="4" a="1"/>
  <c r="U76" i="4"/>
  <c r="AD254" i="5"/>
  <c r="X76" i="4"/>
  <c r="AI254" i="5"/>
  <c r="Y76" i="4"/>
  <c r="AJ254" i="5"/>
  <c r="Z76" i="4"/>
  <c r="AL254" i="5"/>
  <c r="F254" i="5"/>
  <c r="H254" i="5"/>
  <c r="I254" i="5"/>
  <c r="Z254" i="5"/>
  <c r="AN254" i="5"/>
  <c r="AG255" i="5"/>
  <c r="AF255" i="5"/>
  <c r="B81" i="4"/>
  <c r="C81" i="4"/>
  <c r="C255" i="5"/>
  <c r="D81" i="4"/>
  <c r="E255" i="5"/>
  <c r="H81" i="4"/>
  <c r="K255" i="5"/>
  <c r="L81" i="4"/>
  <c r="Q255" i="5"/>
  <c r="M81" i="4"/>
  <c r="R255" i="5"/>
  <c r="T255" i="5"/>
  <c r="O81" i="4"/>
  <c r="U255" i="5"/>
  <c r="W255" i="5"/>
  <c r="Q81" i="4"/>
  <c r="X255" i="5"/>
  <c r="AA255" i="5"/>
  <c r="AI81" i="4"/>
  <c r="T81" i="4" a="1"/>
  <c r="T81" i="4"/>
  <c r="AC255" i="5"/>
  <c r="U81" i="4" a="1"/>
  <c r="U81" i="4"/>
  <c r="AD255" i="5"/>
  <c r="X81" i="4"/>
  <c r="AI255" i="5"/>
  <c r="Y81" i="4"/>
  <c r="AJ255" i="5"/>
  <c r="Z81" i="4"/>
  <c r="AL255" i="5"/>
  <c r="F255" i="5"/>
  <c r="H255" i="5"/>
  <c r="I255" i="5"/>
  <c r="L255" i="5"/>
  <c r="N255" i="5"/>
  <c r="O255" i="5"/>
  <c r="Z255" i="5"/>
  <c r="AN255" i="5"/>
  <c r="AG256" i="5"/>
  <c r="AF256" i="5"/>
  <c r="B110" i="4"/>
  <c r="C110" i="4"/>
  <c r="C256" i="5"/>
  <c r="D110" i="4"/>
  <c r="E256" i="5"/>
  <c r="K256" i="5"/>
  <c r="L110" i="4"/>
  <c r="Q256" i="5"/>
  <c r="M110" i="4"/>
  <c r="R256" i="5"/>
  <c r="T256" i="5"/>
  <c r="U256" i="5"/>
  <c r="W256" i="5"/>
  <c r="Q110" i="4"/>
  <c r="X256" i="5"/>
  <c r="AA256" i="5"/>
  <c r="AI110" i="4"/>
  <c r="T110" i="4" a="1"/>
  <c r="T110" i="4"/>
  <c r="AC256" i="5"/>
  <c r="U110" i="4" a="1"/>
  <c r="U110" i="4"/>
  <c r="AD256" i="5"/>
  <c r="X110" i="4"/>
  <c r="AI256" i="5"/>
  <c r="Y110" i="4"/>
  <c r="AJ256" i="5"/>
  <c r="Z110" i="4"/>
  <c r="AL256" i="5"/>
  <c r="F256" i="5"/>
  <c r="H256" i="5"/>
  <c r="I256" i="5"/>
  <c r="L256" i="5"/>
  <c r="N256" i="5"/>
  <c r="O256" i="5"/>
  <c r="Z256" i="5"/>
  <c r="AN256" i="5"/>
  <c r="AG257" i="5"/>
  <c r="AF257" i="5"/>
  <c r="B257" i="4"/>
  <c r="C257" i="4"/>
  <c r="C257" i="5"/>
  <c r="D257" i="4"/>
  <c r="E257" i="5"/>
  <c r="H257" i="4"/>
  <c r="K257" i="5"/>
  <c r="L257" i="4"/>
  <c r="Q257" i="5"/>
  <c r="M257" i="4"/>
  <c r="R257" i="5"/>
  <c r="T257" i="5"/>
  <c r="O257" i="4"/>
  <c r="U257" i="5"/>
  <c r="P257" i="4"/>
  <c r="W257" i="5"/>
  <c r="Q257" i="4"/>
  <c r="X257" i="5"/>
  <c r="S257" i="4"/>
  <c r="AA257" i="5"/>
  <c r="AI257" i="4"/>
  <c r="T257" i="4" a="1"/>
  <c r="T257" i="4"/>
  <c r="AC257" i="5"/>
  <c r="U257" i="4" a="1"/>
  <c r="U257" i="4"/>
  <c r="AD257" i="5"/>
  <c r="X257" i="4"/>
  <c r="AI257" i="5"/>
  <c r="Y257" i="4"/>
  <c r="AJ257" i="5"/>
  <c r="Z257" i="4"/>
  <c r="AL257" i="5"/>
  <c r="F257" i="5"/>
  <c r="H257" i="5"/>
  <c r="I257" i="5"/>
  <c r="L257" i="5"/>
  <c r="N257" i="5"/>
  <c r="O257" i="5"/>
  <c r="Z257" i="5"/>
  <c r="AN257" i="5"/>
  <c r="AG258" i="5"/>
  <c r="AF258" i="5"/>
  <c r="B243" i="4"/>
  <c r="C243" i="4"/>
  <c r="C258" i="5"/>
  <c r="D243" i="4"/>
  <c r="E258" i="5"/>
  <c r="K258" i="5"/>
  <c r="L243" i="4"/>
  <c r="Q258" i="5"/>
  <c r="M243" i="4"/>
  <c r="R258" i="5"/>
  <c r="T258" i="5"/>
  <c r="U258" i="5"/>
  <c r="P243" i="4"/>
  <c r="W258" i="5"/>
  <c r="Q243" i="4"/>
  <c r="X258" i="5"/>
  <c r="S243" i="4"/>
  <c r="AA258" i="5"/>
  <c r="AI243" i="4"/>
  <c r="T243" i="4" a="1"/>
  <c r="T243" i="4"/>
  <c r="AC258" i="5"/>
  <c r="U243" i="4" a="1"/>
  <c r="U243" i="4"/>
  <c r="AD258" i="5"/>
  <c r="X243" i="4"/>
  <c r="AI258" i="5"/>
  <c r="Y243" i="4"/>
  <c r="AJ258" i="5"/>
  <c r="Z243" i="4"/>
  <c r="AL258" i="5"/>
  <c r="F258" i="5"/>
  <c r="H258" i="5"/>
  <c r="I258" i="5"/>
  <c r="L258" i="5"/>
  <c r="N258" i="5"/>
  <c r="O258" i="5"/>
  <c r="Z258" i="5"/>
  <c r="AN258" i="5"/>
  <c r="AG259" i="5"/>
  <c r="AF259" i="5"/>
  <c r="B267" i="4"/>
  <c r="C267" i="4"/>
  <c r="C259" i="5"/>
  <c r="D267" i="4"/>
  <c r="E259" i="5"/>
  <c r="K259" i="5"/>
  <c r="L267" i="4"/>
  <c r="Q259" i="5"/>
  <c r="M267" i="4"/>
  <c r="R259" i="5"/>
  <c r="T259" i="5"/>
  <c r="U259" i="5"/>
  <c r="P267" i="4"/>
  <c r="W259" i="5"/>
  <c r="Q267" i="4"/>
  <c r="X259" i="5"/>
  <c r="S267" i="4"/>
  <c r="AA259" i="5"/>
  <c r="AI267" i="4"/>
  <c r="T267" i="4" a="1"/>
  <c r="T267" i="4"/>
  <c r="AC259" i="5"/>
  <c r="U267" i="4" a="1"/>
  <c r="U267" i="4"/>
  <c r="AD259" i="5"/>
  <c r="X267" i="4"/>
  <c r="AI259" i="5"/>
  <c r="Y267" i="4"/>
  <c r="AJ259" i="5"/>
  <c r="Z267" i="4"/>
  <c r="AL259" i="5"/>
  <c r="F259" i="5"/>
  <c r="H259" i="5"/>
  <c r="I259" i="5"/>
  <c r="L259" i="5"/>
  <c r="N259" i="5"/>
  <c r="O259" i="5"/>
  <c r="Z259" i="5"/>
  <c r="AN259" i="5"/>
  <c r="AG260" i="5"/>
  <c r="AF260" i="5"/>
  <c r="B268" i="4"/>
  <c r="C268" i="4"/>
  <c r="C260" i="5"/>
  <c r="D268" i="4"/>
  <c r="E260" i="5"/>
  <c r="K260" i="5"/>
  <c r="L268" i="4"/>
  <c r="Q260" i="5"/>
  <c r="M268" i="4"/>
  <c r="R260" i="5"/>
  <c r="N268" i="4"/>
  <c r="T260" i="5"/>
  <c r="O2" i="2"/>
  <c r="O268" i="4"/>
  <c r="U260" i="5"/>
  <c r="P268" i="4"/>
  <c r="W260" i="5"/>
  <c r="Q268" i="4"/>
  <c r="X260" i="5"/>
  <c r="S268" i="4"/>
  <c r="AA260" i="5"/>
  <c r="AI268" i="4"/>
  <c r="T268" i="4" a="1"/>
  <c r="T268" i="4"/>
  <c r="AC260" i="5"/>
  <c r="U268" i="4" a="1"/>
  <c r="U268" i="4"/>
  <c r="AD260" i="5"/>
  <c r="X268" i="4"/>
  <c r="AI260" i="5"/>
  <c r="Y268" i="4"/>
  <c r="AJ260" i="5"/>
  <c r="Z268" i="4"/>
  <c r="AL260" i="5"/>
  <c r="F260" i="5"/>
  <c r="H260" i="5"/>
  <c r="I260" i="5"/>
  <c r="L260" i="5"/>
  <c r="N260" i="5"/>
  <c r="O260" i="5"/>
  <c r="Z260" i="5"/>
  <c r="AN260" i="5"/>
  <c r="AG261" i="5"/>
  <c r="AF261" i="5"/>
  <c r="C151" i="4"/>
  <c r="C261" i="5"/>
  <c r="D151" i="4"/>
  <c r="E261" i="5"/>
  <c r="K261" i="5"/>
  <c r="L151" i="4"/>
  <c r="Q261" i="5"/>
  <c r="M151" i="4"/>
  <c r="R261" i="5"/>
  <c r="T261" i="5"/>
  <c r="U261" i="5"/>
  <c r="P151" i="4"/>
  <c r="W261" i="5"/>
  <c r="Q151" i="4"/>
  <c r="X261" i="5"/>
  <c r="S151" i="4"/>
  <c r="AA261" i="5"/>
  <c r="AI151" i="4"/>
  <c r="T151" i="4" a="1"/>
  <c r="T151" i="4"/>
  <c r="AC261" i="5"/>
  <c r="U151" i="4" a="1"/>
  <c r="U151" i="4"/>
  <c r="AD261" i="5"/>
  <c r="X151" i="4"/>
  <c r="AI261" i="5"/>
  <c r="Y151" i="4"/>
  <c r="AJ261" i="5"/>
  <c r="Z151" i="4"/>
  <c r="AL261" i="5"/>
  <c r="F261" i="5"/>
  <c r="H261" i="5"/>
  <c r="I261" i="5"/>
  <c r="L261" i="5"/>
  <c r="N261" i="5"/>
  <c r="O261" i="5"/>
  <c r="Z261" i="5"/>
  <c r="AN261" i="5"/>
  <c r="AG262" i="5"/>
  <c r="AF262" i="5"/>
  <c r="C66" i="4"/>
  <c r="C262" i="5"/>
  <c r="N66" i="4"/>
  <c r="T262" i="5"/>
  <c r="O66" i="4"/>
  <c r="U262" i="5"/>
  <c r="P66" i="4"/>
  <c r="W262" i="5"/>
  <c r="Q66" i="4"/>
  <c r="X262" i="5"/>
  <c r="AA262" i="5"/>
  <c r="AI66" i="4"/>
  <c r="T66" i="4" a="1"/>
  <c r="T66" i="4"/>
  <c r="AC262" i="5"/>
  <c r="U66" i="4" a="1"/>
  <c r="U66" i="4"/>
  <c r="AD262" i="5"/>
  <c r="X66" i="4"/>
  <c r="AI262" i="5"/>
  <c r="Y66" i="4"/>
  <c r="AJ262" i="5"/>
  <c r="Z66" i="4"/>
  <c r="AL262" i="5"/>
  <c r="F262" i="5"/>
  <c r="H262" i="5"/>
  <c r="I262" i="5"/>
  <c r="L262" i="5"/>
  <c r="N262" i="5"/>
  <c r="O262" i="5"/>
  <c r="Z262" i="5"/>
  <c r="AN262" i="5"/>
  <c r="O263" i="5"/>
  <c r="K263" i="5"/>
  <c r="AG263" i="5"/>
  <c r="AF263" i="5"/>
  <c r="B288" i="4"/>
  <c r="C288" i="4"/>
  <c r="C263" i="5"/>
  <c r="D288" i="4"/>
  <c r="E263" i="5"/>
  <c r="E288" i="4"/>
  <c r="F263" i="5"/>
  <c r="F288" i="4"/>
  <c r="H263" i="5"/>
  <c r="I263" i="5"/>
  <c r="I288" i="4"/>
  <c r="L263" i="5"/>
  <c r="J288" i="4"/>
  <c r="N263" i="5"/>
  <c r="L288" i="4"/>
  <c r="Q263" i="5"/>
  <c r="M288" i="4"/>
  <c r="R263" i="5"/>
  <c r="N288" i="4"/>
  <c r="T263" i="5"/>
  <c r="U263" i="5"/>
  <c r="P288" i="4"/>
  <c r="W263" i="5"/>
  <c r="Q288" i="4"/>
  <c r="X263" i="5"/>
  <c r="S288" i="4"/>
  <c r="AA263" i="5"/>
  <c r="AI288" i="4"/>
  <c r="T288" i="4" a="1"/>
  <c r="T288" i="4"/>
  <c r="AC263" i="5"/>
  <c r="U288" i="4" a="1"/>
  <c r="U288" i="4"/>
  <c r="AD263" i="5"/>
  <c r="AI263" i="5"/>
  <c r="Y288" i="4"/>
  <c r="AJ263" i="5"/>
  <c r="Z288" i="4"/>
  <c r="AL263" i="5"/>
  <c r="Z263" i="5"/>
  <c r="AN263" i="5"/>
  <c r="AG264" i="5"/>
  <c r="AF264" i="5"/>
  <c r="B264" i="4"/>
  <c r="C264" i="4"/>
  <c r="C264" i="5"/>
  <c r="D264" i="4"/>
  <c r="E264" i="5"/>
  <c r="H264" i="4"/>
  <c r="K264" i="5"/>
  <c r="I264" i="4"/>
  <c r="L264" i="5"/>
  <c r="J264" i="4"/>
  <c r="N264" i="5"/>
  <c r="O264" i="5"/>
  <c r="L264" i="4"/>
  <c r="Q264" i="5"/>
  <c r="M264" i="4"/>
  <c r="R264" i="5"/>
  <c r="N264" i="4"/>
  <c r="T264" i="5"/>
  <c r="O264" i="4"/>
  <c r="U264" i="5"/>
  <c r="P264" i="4"/>
  <c r="W264" i="5"/>
  <c r="Q264" i="4"/>
  <c r="X264" i="5"/>
  <c r="S264" i="4"/>
  <c r="AA264" i="5"/>
  <c r="AI264" i="4"/>
  <c r="T264" i="4" a="1"/>
  <c r="T264" i="4"/>
  <c r="AC264" i="5"/>
  <c r="U264" i="4" a="1"/>
  <c r="U264" i="4"/>
  <c r="AD264" i="5"/>
  <c r="X264" i="4"/>
  <c r="AI264" i="5"/>
  <c r="Y264" i="4"/>
  <c r="AJ264" i="5"/>
  <c r="Z264" i="4"/>
  <c r="AL264" i="5"/>
  <c r="F264" i="5"/>
  <c r="H264" i="5"/>
  <c r="I264" i="5"/>
  <c r="Z264" i="5"/>
  <c r="AN264" i="5"/>
  <c r="AG265" i="5"/>
  <c r="AF265" i="5"/>
  <c r="B265" i="4"/>
  <c r="C265" i="4"/>
  <c r="C265" i="5"/>
  <c r="D265" i="4"/>
  <c r="E265" i="5"/>
  <c r="K265" i="5"/>
  <c r="I265" i="4"/>
  <c r="L265" i="5"/>
  <c r="J265" i="4"/>
  <c r="N265" i="5"/>
  <c r="O265" i="5"/>
  <c r="L265" i="4"/>
  <c r="Q265" i="5"/>
  <c r="M265" i="4"/>
  <c r="R265" i="5"/>
  <c r="N265" i="4"/>
  <c r="T265" i="5"/>
  <c r="U265" i="5"/>
  <c r="P265" i="4"/>
  <c r="W265" i="5"/>
  <c r="Q265" i="4"/>
  <c r="X265" i="5"/>
  <c r="S265" i="4"/>
  <c r="AA265" i="5"/>
  <c r="AI265" i="4"/>
  <c r="T265" i="4" a="1"/>
  <c r="T265" i="4"/>
  <c r="AC265" i="5"/>
  <c r="U265" i="4" a="1"/>
  <c r="U265" i="4"/>
  <c r="AD265" i="5"/>
  <c r="X265" i="4"/>
  <c r="AI265" i="5"/>
  <c r="Y265" i="4"/>
  <c r="AJ265" i="5"/>
  <c r="Z265" i="4"/>
  <c r="AL265" i="5"/>
  <c r="F265" i="5"/>
  <c r="H265" i="5"/>
  <c r="I265" i="5"/>
  <c r="Z265" i="5"/>
  <c r="AN265" i="5"/>
  <c r="AG266" i="5"/>
  <c r="AF266" i="5"/>
  <c r="B266" i="4"/>
  <c r="C266" i="4"/>
  <c r="C266" i="5"/>
  <c r="D266" i="4"/>
  <c r="E266" i="5"/>
  <c r="K266" i="5"/>
  <c r="L266" i="4"/>
  <c r="Q266" i="5"/>
  <c r="M266" i="4"/>
  <c r="R266" i="5"/>
  <c r="N266" i="4"/>
  <c r="T266" i="5"/>
  <c r="U266" i="5"/>
  <c r="P266" i="4"/>
  <c r="W266" i="5"/>
  <c r="Q266" i="4"/>
  <c r="X266" i="5"/>
  <c r="S266" i="4"/>
  <c r="AA266" i="5"/>
  <c r="AI266" i="4"/>
  <c r="T266" i="4" a="1"/>
  <c r="T266" i="4"/>
  <c r="AC266" i="5"/>
  <c r="U266" i="4" a="1"/>
  <c r="U266" i="4"/>
  <c r="AD266" i="5"/>
  <c r="X266" i="4"/>
  <c r="AI266" i="5"/>
  <c r="Y266" i="4"/>
  <c r="AJ266" i="5"/>
  <c r="Z266" i="4"/>
  <c r="AL266" i="5"/>
  <c r="F266" i="5"/>
  <c r="L266" i="5"/>
  <c r="N266" i="5"/>
  <c r="O266" i="5"/>
  <c r="H266" i="5"/>
  <c r="I266" i="5"/>
  <c r="Z266" i="5"/>
  <c r="AN266" i="5"/>
  <c r="AG267" i="5"/>
  <c r="AF267" i="5"/>
  <c r="B296" i="4"/>
  <c r="C296" i="4"/>
  <c r="C267" i="5"/>
  <c r="D296" i="4"/>
  <c r="E267" i="5"/>
  <c r="E296" i="4"/>
  <c r="F267" i="5"/>
  <c r="F296" i="4"/>
  <c r="H267" i="5"/>
  <c r="I267" i="5"/>
  <c r="H296" i="4"/>
  <c r="K267" i="5"/>
  <c r="L296" i="4"/>
  <c r="Q267" i="5"/>
  <c r="M296" i="4"/>
  <c r="R267" i="5"/>
  <c r="N296" i="4"/>
  <c r="T267" i="5"/>
  <c r="O296" i="4"/>
  <c r="U267" i="5"/>
  <c r="P296" i="4"/>
  <c r="W267" i="5"/>
  <c r="Q296" i="4"/>
  <c r="X267" i="5"/>
  <c r="S296" i="4"/>
  <c r="AA267" i="5"/>
  <c r="AI296" i="4"/>
  <c r="T296" i="4" a="1"/>
  <c r="T296" i="4"/>
  <c r="AC267" i="5"/>
  <c r="U296" i="4" a="1"/>
  <c r="U296" i="4"/>
  <c r="AD267" i="5"/>
  <c r="X296" i="4"/>
  <c r="AI267" i="5"/>
  <c r="Y296" i="4"/>
  <c r="AJ267" i="5"/>
  <c r="Z296" i="4"/>
  <c r="AL267" i="5"/>
  <c r="L267" i="5"/>
  <c r="N267" i="5"/>
  <c r="O267" i="5"/>
  <c r="Z267" i="5"/>
  <c r="AN267" i="5"/>
  <c r="O268" i="5"/>
  <c r="H126" i="4"/>
  <c r="K268" i="5"/>
  <c r="AG268" i="5"/>
  <c r="AF268" i="5"/>
  <c r="C126" i="4"/>
  <c r="C268" i="5"/>
  <c r="D126" i="4"/>
  <c r="E268" i="5"/>
  <c r="I126" i="4"/>
  <c r="L268" i="5"/>
  <c r="J126" i="4"/>
  <c r="N268" i="5"/>
  <c r="L126" i="4"/>
  <c r="Q268" i="5"/>
  <c r="M126" i="4"/>
  <c r="R268" i="5"/>
  <c r="T268" i="5"/>
  <c r="O126" i="4"/>
  <c r="U268" i="5"/>
  <c r="P126" i="4"/>
  <c r="W268" i="5"/>
  <c r="Q126" i="4"/>
  <c r="X268" i="5"/>
  <c r="S126" i="4"/>
  <c r="AA268" i="5"/>
  <c r="AI126" i="4"/>
  <c r="T126" i="4" a="1"/>
  <c r="T126" i="4"/>
  <c r="AC268" i="5"/>
  <c r="U126" i="4" a="1"/>
  <c r="U126" i="4"/>
  <c r="AD268" i="5"/>
  <c r="X126" i="4"/>
  <c r="AI268" i="5"/>
  <c r="Y126" i="4"/>
  <c r="AJ268" i="5"/>
  <c r="Z126" i="4"/>
  <c r="AL268" i="5"/>
  <c r="F268" i="5"/>
  <c r="H268" i="5"/>
  <c r="I268" i="5"/>
  <c r="Z268" i="5"/>
  <c r="AN268" i="5"/>
  <c r="B277" i="4"/>
  <c r="S277" i="4"/>
  <c r="AA269" i="5"/>
  <c r="P277" i="4"/>
  <c r="W269" i="5"/>
  <c r="AG269" i="5"/>
  <c r="AF269" i="5"/>
  <c r="C277" i="4"/>
  <c r="C269" i="5"/>
  <c r="D277" i="4"/>
  <c r="E269" i="5"/>
  <c r="E277" i="4"/>
  <c r="F269" i="5"/>
  <c r="F277" i="4"/>
  <c r="H269" i="5"/>
  <c r="I269" i="5"/>
  <c r="K269" i="5"/>
  <c r="L277" i="4"/>
  <c r="Q269" i="5"/>
  <c r="M277" i="4"/>
  <c r="R269" i="5"/>
  <c r="T269" i="5"/>
  <c r="U269" i="5"/>
  <c r="Q277" i="4"/>
  <c r="X269" i="5"/>
  <c r="R277" i="4"/>
  <c r="Z269" i="5"/>
  <c r="AI277" i="4"/>
  <c r="T277" i="4" a="1"/>
  <c r="T277" i="4"/>
  <c r="AC269" i="5"/>
  <c r="U277" i="4" a="1"/>
  <c r="U277" i="4"/>
  <c r="AD269" i="5"/>
  <c r="X277" i="4"/>
  <c r="AI269" i="5"/>
  <c r="Y277" i="4"/>
  <c r="AJ269" i="5"/>
  <c r="Z277" i="4"/>
  <c r="AL269" i="5"/>
  <c r="L269" i="5"/>
  <c r="N269" i="5"/>
  <c r="O269" i="5"/>
  <c r="AN269" i="5"/>
  <c r="B17" i="4"/>
  <c r="S17" i="4"/>
  <c r="AA270" i="5"/>
  <c r="P17" i="4"/>
  <c r="W270" i="5"/>
  <c r="AG270" i="5"/>
  <c r="AF270" i="5"/>
  <c r="C17" i="4"/>
  <c r="C270" i="5"/>
  <c r="D17" i="4"/>
  <c r="E270" i="5"/>
  <c r="E17" i="4"/>
  <c r="F270" i="5"/>
  <c r="F17" i="4"/>
  <c r="H270" i="5"/>
  <c r="I270" i="5"/>
  <c r="K270" i="5"/>
  <c r="L17" i="4"/>
  <c r="Q270" i="5"/>
  <c r="O17" i="4"/>
  <c r="U270" i="5"/>
  <c r="Q17" i="4"/>
  <c r="X270" i="5"/>
  <c r="R17" i="4"/>
  <c r="Z270" i="5"/>
  <c r="AI17" i="4"/>
  <c r="T17" i="4" a="1"/>
  <c r="T17" i="4"/>
  <c r="AC270" i="5"/>
  <c r="U17" i="4" a="1"/>
  <c r="U17" i="4"/>
  <c r="AD270" i="5"/>
  <c r="X17" i="4"/>
  <c r="AI270" i="5"/>
  <c r="Y17" i="4"/>
  <c r="AJ270" i="5"/>
  <c r="Z17" i="4"/>
  <c r="AL270" i="5"/>
  <c r="L270" i="5"/>
  <c r="N270" i="5"/>
  <c r="O270" i="5"/>
  <c r="R270" i="5"/>
  <c r="AN270" i="5"/>
  <c r="O271" i="5"/>
  <c r="H157" i="4"/>
  <c r="K271" i="5"/>
  <c r="AG271" i="5"/>
  <c r="AF271" i="5"/>
  <c r="C157" i="4"/>
  <c r="C271" i="5"/>
  <c r="D157" i="4"/>
  <c r="E271" i="5"/>
  <c r="E157" i="4"/>
  <c r="F271" i="5"/>
  <c r="F157" i="4"/>
  <c r="H271" i="5"/>
  <c r="I271" i="5"/>
  <c r="I157" i="4"/>
  <c r="L271" i="5"/>
  <c r="J157" i="4"/>
  <c r="N271" i="5"/>
  <c r="L157" i="4"/>
  <c r="Q271" i="5"/>
  <c r="M157" i="4"/>
  <c r="R271" i="5"/>
  <c r="N157" i="4"/>
  <c r="T271" i="5"/>
  <c r="O157" i="4"/>
  <c r="U271" i="5"/>
  <c r="P157" i="4"/>
  <c r="W271" i="5"/>
  <c r="Q157" i="4"/>
  <c r="X271" i="5"/>
  <c r="S157" i="4"/>
  <c r="AA271" i="5"/>
  <c r="AI157" i="4"/>
  <c r="T157" i="4" a="1"/>
  <c r="T157" i="4"/>
  <c r="AC271" i="5"/>
  <c r="U157" i="4" a="1"/>
  <c r="U157" i="4"/>
  <c r="AD271" i="5"/>
  <c r="X157" i="4"/>
  <c r="AI271" i="5"/>
  <c r="Y157" i="4"/>
  <c r="AJ271" i="5"/>
  <c r="Z157" i="4"/>
  <c r="AL271" i="5"/>
  <c r="Z271" i="5"/>
  <c r="AN271" i="5"/>
  <c r="O272" i="5"/>
  <c r="B42" i="4"/>
  <c r="H42" i="4"/>
  <c r="K272" i="5"/>
  <c r="AG272" i="5"/>
  <c r="AF272" i="5"/>
  <c r="C42" i="4"/>
  <c r="C272" i="5"/>
  <c r="D42" i="4"/>
  <c r="E272" i="5"/>
  <c r="E42" i="4"/>
  <c r="F272" i="5"/>
  <c r="F42" i="4"/>
  <c r="H272" i="5"/>
  <c r="I272" i="5"/>
  <c r="I43" i="2"/>
  <c r="I42" i="4"/>
  <c r="L272" i="5"/>
  <c r="J43" i="2"/>
  <c r="J42" i="4"/>
  <c r="N272" i="5"/>
  <c r="L42" i="4"/>
  <c r="Q272" i="5"/>
  <c r="M42" i="4"/>
  <c r="R272" i="5"/>
  <c r="T272" i="5"/>
  <c r="O42" i="4"/>
  <c r="U272" i="5"/>
  <c r="W272" i="5"/>
  <c r="Q42" i="4"/>
  <c r="X272" i="5"/>
  <c r="AA272" i="5"/>
  <c r="AI42" i="4"/>
  <c r="T42" i="4" a="1"/>
  <c r="T42" i="4"/>
  <c r="AC272" i="5"/>
  <c r="U42" i="4" a="1"/>
  <c r="U42" i="4"/>
  <c r="AD272" i="5"/>
  <c r="X42" i="4"/>
  <c r="AI272" i="5"/>
  <c r="Y42" i="4"/>
  <c r="AJ272" i="5"/>
  <c r="Z42" i="4"/>
  <c r="AL272" i="5"/>
  <c r="Z272" i="5"/>
  <c r="AN272" i="5"/>
  <c r="AG273" i="5"/>
  <c r="AF273" i="5"/>
  <c r="B72" i="4"/>
  <c r="C72" i="4"/>
  <c r="C273" i="5"/>
  <c r="D72" i="4"/>
  <c r="E273" i="5"/>
  <c r="H72" i="4"/>
  <c r="K273" i="5"/>
  <c r="L72" i="4"/>
  <c r="Q273" i="5"/>
  <c r="M72" i="4"/>
  <c r="R273" i="5"/>
  <c r="T273" i="5"/>
  <c r="O72" i="4"/>
  <c r="U273" i="5"/>
  <c r="P72" i="4"/>
  <c r="W273" i="5"/>
  <c r="Q72" i="4"/>
  <c r="X273" i="5"/>
  <c r="S72" i="4"/>
  <c r="AA273" i="5"/>
  <c r="AI72" i="4"/>
  <c r="T72" i="4" a="1"/>
  <c r="T72" i="4"/>
  <c r="AC273" i="5"/>
  <c r="U72" i="4" a="1"/>
  <c r="U72" i="4"/>
  <c r="AD273" i="5"/>
  <c r="X72" i="4"/>
  <c r="AI273" i="5"/>
  <c r="Y72" i="4"/>
  <c r="AJ273" i="5"/>
  <c r="Z72" i="4"/>
  <c r="AL273" i="5"/>
  <c r="F273" i="5"/>
  <c r="L273" i="5"/>
  <c r="N273" i="5"/>
  <c r="O273" i="5"/>
  <c r="H273" i="5"/>
  <c r="I273" i="5"/>
  <c r="Z273" i="5"/>
  <c r="AN273" i="5"/>
  <c r="O274" i="5"/>
  <c r="K274" i="5"/>
  <c r="AG274" i="5"/>
  <c r="AF274" i="5"/>
  <c r="C128" i="4"/>
  <c r="C274" i="5"/>
  <c r="D128" i="4"/>
  <c r="E274" i="5"/>
  <c r="L274" i="5"/>
  <c r="N274" i="5"/>
  <c r="L128" i="4"/>
  <c r="Q274" i="5"/>
  <c r="M128" i="4"/>
  <c r="R274" i="5"/>
  <c r="N128" i="4"/>
  <c r="T274" i="5"/>
  <c r="U274" i="5"/>
  <c r="P128" i="4"/>
  <c r="W274" i="5"/>
  <c r="X274" i="5"/>
  <c r="AA274" i="5"/>
  <c r="AI128" i="4"/>
  <c r="T128" i="4" a="1"/>
  <c r="T128" i="4"/>
  <c r="AC274" i="5"/>
  <c r="U128" i="4" a="1"/>
  <c r="U128" i="4"/>
  <c r="AD274" i="5"/>
  <c r="X128" i="4"/>
  <c r="AI274" i="5"/>
  <c r="Y128" i="4"/>
  <c r="AJ274" i="5"/>
  <c r="Z128" i="4"/>
  <c r="AL274" i="5"/>
  <c r="F274" i="5"/>
  <c r="H274" i="5"/>
  <c r="I274" i="5"/>
  <c r="Z274" i="5"/>
  <c r="AN274" i="5"/>
  <c r="AG275" i="5"/>
  <c r="AF275" i="5"/>
  <c r="C159" i="4"/>
  <c r="C275" i="5"/>
  <c r="D159" i="4"/>
  <c r="E275" i="5"/>
  <c r="H159" i="4"/>
  <c r="K275" i="5"/>
  <c r="L159" i="4"/>
  <c r="Q275" i="5"/>
  <c r="M159" i="4"/>
  <c r="R275" i="5"/>
  <c r="N159" i="4"/>
  <c r="T275" i="5"/>
  <c r="U275" i="5"/>
  <c r="P159" i="4"/>
  <c r="W275" i="5"/>
  <c r="Q159" i="4"/>
  <c r="X275" i="5"/>
  <c r="AA275" i="5"/>
  <c r="AI159" i="4"/>
  <c r="T159" i="4" a="1"/>
  <c r="T159" i="4"/>
  <c r="AC275" i="5"/>
  <c r="U159" i="4" a="1"/>
  <c r="U159" i="4"/>
  <c r="AD275" i="5"/>
  <c r="Y159" i="4"/>
  <c r="AJ275" i="5"/>
  <c r="Z159" i="4"/>
  <c r="AL275" i="5"/>
  <c r="F275" i="5"/>
  <c r="L275" i="5"/>
  <c r="N275" i="5"/>
  <c r="O275" i="5"/>
  <c r="H275" i="5"/>
  <c r="I275" i="5"/>
  <c r="Z275" i="5"/>
  <c r="AN275" i="5"/>
  <c r="O276" i="5"/>
  <c r="B3" i="4"/>
  <c r="H3" i="4"/>
  <c r="K276" i="5"/>
  <c r="AG276" i="5"/>
  <c r="AF276" i="5"/>
  <c r="C3" i="4"/>
  <c r="C276" i="5"/>
  <c r="D3" i="4"/>
  <c r="E276" i="5"/>
  <c r="E3" i="4"/>
  <c r="F276" i="5"/>
  <c r="F3" i="4"/>
  <c r="H276" i="5"/>
  <c r="I276" i="5"/>
  <c r="I3" i="4"/>
  <c r="L276" i="5"/>
  <c r="J3" i="4"/>
  <c r="N276" i="5"/>
  <c r="L3" i="4"/>
  <c r="Q276" i="5"/>
  <c r="M3" i="4"/>
  <c r="R276" i="5"/>
  <c r="N3" i="4"/>
  <c r="T276" i="5"/>
  <c r="O3" i="4"/>
  <c r="U276" i="5"/>
  <c r="P3" i="4"/>
  <c r="W276" i="5"/>
  <c r="Q3" i="4"/>
  <c r="X276" i="5"/>
  <c r="AA276" i="5"/>
  <c r="AI3" i="4"/>
  <c r="T3" i="4" a="1"/>
  <c r="T3" i="4"/>
  <c r="AC276" i="5"/>
  <c r="U3" i="4" a="1"/>
  <c r="U3" i="4"/>
  <c r="AD276" i="5"/>
  <c r="X3" i="4"/>
  <c r="AI276" i="5"/>
  <c r="Y3" i="4"/>
  <c r="AJ276" i="5"/>
  <c r="Z3" i="4"/>
  <c r="AL276" i="5"/>
  <c r="Z276" i="5"/>
  <c r="AN276" i="5"/>
  <c r="AG277" i="5"/>
  <c r="AF277" i="5"/>
  <c r="C160" i="4"/>
  <c r="C277" i="5"/>
  <c r="D160" i="4"/>
  <c r="E277" i="5"/>
  <c r="H160" i="4"/>
  <c r="K277" i="5"/>
  <c r="L160" i="4"/>
  <c r="Q277" i="5"/>
  <c r="M160" i="4"/>
  <c r="R277" i="5"/>
  <c r="N160" i="4"/>
  <c r="T277" i="5"/>
  <c r="U277" i="5"/>
  <c r="P160" i="4"/>
  <c r="W277" i="5"/>
  <c r="Q160" i="4"/>
  <c r="X277" i="5"/>
  <c r="AA277" i="5"/>
  <c r="AI160" i="4"/>
  <c r="T160" i="4" a="1"/>
  <c r="T160" i="4"/>
  <c r="AC277" i="5"/>
  <c r="U160" i="4" a="1"/>
  <c r="U160" i="4"/>
  <c r="AD277" i="5"/>
  <c r="X160" i="4"/>
  <c r="AI277" i="5"/>
  <c r="Y160" i="4"/>
  <c r="AJ277" i="5"/>
  <c r="Z160" i="4"/>
  <c r="AL277" i="5"/>
  <c r="L277" i="5"/>
  <c r="N277" i="5"/>
  <c r="O277" i="5"/>
  <c r="F277" i="5"/>
  <c r="H277" i="5"/>
  <c r="I277" i="5"/>
  <c r="Z277" i="5"/>
  <c r="AN277" i="5"/>
  <c r="O278" i="5"/>
  <c r="K278" i="5"/>
  <c r="AG278" i="5"/>
  <c r="AF278" i="5"/>
  <c r="C109" i="4"/>
  <c r="C278" i="5"/>
  <c r="D109" i="4"/>
  <c r="E278" i="5"/>
  <c r="I109" i="4"/>
  <c r="L278" i="5"/>
  <c r="J109" i="4"/>
  <c r="N278" i="5"/>
  <c r="L109" i="4"/>
  <c r="Q278" i="5"/>
  <c r="M109" i="4"/>
  <c r="R278" i="5"/>
  <c r="N109" i="4"/>
  <c r="T278" i="5"/>
  <c r="O109" i="4"/>
  <c r="U278" i="5"/>
  <c r="P109" i="4"/>
  <c r="W278" i="5"/>
  <c r="Q109" i="4"/>
  <c r="X278" i="5"/>
  <c r="S109" i="4"/>
  <c r="AA278" i="5"/>
  <c r="AI109" i="4"/>
  <c r="T109" i="4" a="1"/>
  <c r="T109" i="4"/>
  <c r="AC278" i="5"/>
  <c r="U109" i="4" a="1"/>
  <c r="U109" i="4"/>
  <c r="AD278" i="5"/>
  <c r="AI278" i="5"/>
  <c r="Y109" i="4"/>
  <c r="AJ278" i="5"/>
  <c r="Z109" i="4"/>
  <c r="AL278" i="5"/>
  <c r="F278" i="5"/>
  <c r="H278" i="5"/>
  <c r="I278" i="5"/>
  <c r="Z278" i="5"/>
  <c r="AN278" i="5"/>
  <c r="AG279" i="5"/>
  <c r="AF279" i="5"/>
  <c r="B45" i="4"/>
  <c r="C45" i="4"/>
  <c r="C279" i="5"/>
  <c r="D45" i="4"/>
  <c r="E279" i="5"/>
  <c r="H45" i="4"/>
  <c r="K279" i="5"/>
  <c r="L45" i="4"/>
  <c r="Q279" i="5"/>
  <c r="M45" i="4"/>
  <c r="R279" i="5"/>
  <c r="T279" i="5"/>
  <c r="O45" i="4"/>
  <c r="U279" i="5"/>
  <c r="P45" i="4"/>
  <c r="W279" i="5"/>
  <c r="Q45" i="4"/>
  <c r="X279" i="5"/>
  <c r="S45" i="4"/>
  <c r="AA279" i="5"/>
  <c r="AI45" i="4"/>
  <c r="T45" i="4" a="1"/>
  <c r="T45" i="4"/>
  <c r="AC279" i="5"/>
  <c r="U45" i="4" a="1"/>
  <c r="U45" i="4"/>
  <c r="AD279" i="5"/>
  <c r="X45" i="4"/>
  <c r="AI279" i="5"/>
  <c r="Y45" i="4"/>
  <c r="AJ279" i="5"/>
  <c r="Z45" i="4"/>
  <c r="AL279" i="5"/>
  <c r="F279" i="5"/>
  <c r="H279" i="5"/>
  <c r="I279" i="5"/>
  <c r="L279" i="5"/>
  <c r="N279" i="5"/>
  <c r="O279" i="5"/>
  <c r="Z279" i="5"/>
  <c r="AN279" i="5"/>
  <c r="AG280" i="5"/>
  <c r="AF280" i="5"/>
  <c r="C169" i="4"/>
  <c r="C280" i="5"/>
  <c r="T280" i="5"/>
  <c r="O169" i="4"/>
  <c r="U280" i="5"/>
  <c r="P169" i="4"/>
  <c r="W280" i="5"/>
  <c r="Q169" i="4"/>
  <c r="X280" i="5"/>
  <c r="AA280" i="5"/>
  <c r="AI169" i="4"/>
  <c r="T169" i="4" a="1"/>
  <c r="T169" i="4"/>
  <c r="AC280" i="5"/>
  <c r="U169" i="4" a="1"/>
  <c r="U169" i="4"/>
  <c r="AD280" i="5"/>
  <c r="X169" i="4"/>
  <c r="AI280" i="5"/>
  <c r="Y169" i="4"/>
  <c r="AJ280" i="5"/>
  <c r="Z169" i="4"/>
  <c r="AL280" i="5"/>
  <c r="F280" i="5"/>
  <c r="H280" i="5"/>
  <c r="I280" i="5"/>
  <c r="L280" i="5"/>
  <c r="N280" i="5"/>
  <c r="O280" i="5"/>
  <c r="Z280" i="5"/>
  <c r="AN280" i="5"/>
  <c r="AG281" i="5"/>
  <c r="AF281" i="5"/>
  <c r="C170" i="4"/>
  <c r="C281" i="5"/>
  <c r="D170" i="4"/>
  <c r="E281" i="5"/>
  <c r="H170" i="4"/>
  <c r="K281" i="5"/>
  <c r="L170" i="4"/>
  <c r="Q281" i="5"/>
  <c r="M170" i="4"/>
  <c r="R281" i="5"/>
  <c r="T281" i="5"/>
  <c r="O170" i="4"/>
  <c r="U281" i="5"/>
  <c r="P170" i="4"/>
  <c r="W281" i="5"/>
  <c r="Q170" i="4"/>
  <c r="X281" i="5"/>
  <c r="S170" i="4"/>
  <c r="AA281" i="5"/>
  <c r="AI170" i="4"/>
  <c r="T170" i="4" a="1"/>
  <c r="T170" i="4"/>
  <c r="AC281" i="5"/>
  <c r="U170" i="4" a="1"/>
  <c r="U170" i="4"/>
  <c r="AD281" i="5"/>
  <c r="X170" i="4"/>
  <c r="AI281" i="5"/>
  <c r="Y170" i="4"/>
  <c r="AJ281" i="5"/>
  <c r="Z170" i="4"/>
  <c r="AL281" i="5"/>
  <c r="F281" i="5"/>
  <c r="H281" i="5"/>
  <c r="I281" i="5"/>
  <c r="L281" i="5"/>
  <c r="N281" i="5"/>
  <c r="O281" i="5"/>
  <c r="Z281" i="5"/>
  <c r="AN281" i="5"/>
  <c r="AG282" i="5"/>
  <c r="AF282" i="5"/>
  <c r="C171" i="4"/>
  <c r="C282" i="5"/>
  <c r="D171" i="4"/>
  <c r="E282" i="5"/>
  <c r="H171" i="4"/>
  <c r="K282" i="5"/>
  <c r="L171" i="4"/>
  <c r="Q282" i="5"/>
  <c r="M171" i="4"/>
  <c r="R282" i="5"/>
  <c r="T282" i="5"/>
  <c r="O171" i="4"/>
  <c r="U282" i="5"/>
  <c r="P171" i="4"/>
  <c r="W282" i="5"/>
  <c r="Q171" i="4"/>
  <c r="X282" i="5"/>
  <c r="S171" i="4"/>
  <c r="AA282" i="5"/>
  <c r="AI171" i="4"/>
  <c r="T171" i="4" a="1"/>
  <c r="T171" i="4"/>
  <c r="AC282" i="5"/>
  <c r="U171" i="4" a="1"/>
  <c r="U171" i="4"/>
  <c r="AD282" i="5"/>
  <c r="X171" i="4"/>
  <c r="AI282" i="5"/>
  <c r="Y171" i="4"/>
  <c r="AJ282" i="5"/>
  <c r="Z171" i="4"/>
  <c r="AL282" i="5"/>
  <c r="F282" i="5"/>
  <c r="H282" i="5"/>
  <c r="I282" i="5"/>
  <c r="L282" i="5"/>
  <c r="N282" i="5"/>
  <c r="O282" i="5"/>
  <c r="Z282" i="5"/>
  <c r="AN282" i="5"/>
  <c r="AG283" i="5"/>
  <c r="AF283" i="5"/>
  <c r="C134" i="4"/>
  <c r="C283" i="5"/>
  <c r="D134" i="4"/>
  <c r="E283" i="5"/>
  <c r="K283" i="5"/>
  <c r="L134" i="4"/>
  <c r="Q283" i="5"/>
  <c r="M134" i="4"/>
  <c r="R283" i="5"/>
  <c r="N134" i="4"/>
  <c r="T283" i="5"/>
  <c r="U283" i="5"/>
  <c r="P134" i="4"/>
  <c r="W283" i="5"/>
  <c r="Q134" i="4"/>
  <c r="X283" i="5"/>
  <c r="S134" i="4"/>
  <c r="AA283" i="5"/>
  <c r="AI134" i="4"/>
  <c r="T134" i="4" a="1"/>
  <c r="T134" i="4"/>
  <c r="AC283" i="5"/>
  <c r="U134" i="4" a="1"/>
  <c r="U134" i="4"/>
  <c r="AD283" i="5"/>
  <c r="X134" i="4"/>
  <c r="AI283" i="5"/>
  <c r="Y134" i="4"/>
  <c r="AJ283" i="5"/>
  <c r="Z134" i="4"/>
  <c r="AL283" i="5"/>
  <c r="F283" i="5"/>
  <c r="H283" i="5"/>
  <c r="I283" i="5"/>
  <c r="L283" i="5"/>
  <c r="N283" i="5"/>
  <c r="O283" i="5"/>
  <c r="Z283" i="5"/>
  <c r="AN283" i="5"/>
  <c r="AG284" i="5"/>
  <c r="AF284" i="5"/>
  <c r="C135" i="4"/>
  <c r="C284" i="5"/>
  <c r="D135" i="4"/>
  <c r="E284" i="5"/>
  <c r="K284" i="5"/>
  <c r="L135" i="4"/>
  <c r="Q284" i="5"/>
  <c r="M135" i="4"/>
  <c r="R284" i="5"/>
  <c r="N135" i="4"/>
  <c r="T284" i="5"/>
  <c r="U284" i="5"/>
  <c r="P135" i="4"/>
  <c r="W284" i="5"/>
  <c r="Q135" i="4"/>
  <c r="X284" i="5"/>
  <c r="S135" i="4"/>
  <c r="AA284" i="5"/>
  <c r="AI135" i="4"/>
  <c r="T135" i="4" a="1"/>
  <c r="T135" i="4"/>
  <c r="AC284" i="5"/>
  <c r="U135" i="4" a="1"/>
  <c r="U135" i="4"/>
  <c r="AD284" i="5"/>
  <c r="X135" i="4"/>
  <c r="AI284" i="5"/>
  <c r="Y135" i="4"/>
  <c r="AJ284" i="5"/>
  <c r="Z135" i="4"/>
  <c r="AL284" i="5"/>
  <c r="F284" i="5"/>
  <c r="H284" i="5"/>
  <c r="I284" i="5"/>
  <c r="L284" i="5"/>
  <c r="N284" i="5"/>
  <c r="O284" i="5"/>
  <c r="Z284" i="5"/>
  <c r="AN284" i="5"/>
  <c r="AG285" i="5"/>
  <c r="AF285" i="5"/>
  <c r="B207" i="4"/>
  <c r="C207" i="4"/>
  <c r="C285" i="5"/>
  <c r="D207" i="4"/>
  <c r="E285" i="5"/>
  <c r="H207" i="4"/>
  <c r="K285" i="5"/>
  <c r="L207" i="4"/>
  <c r="Q285" i="5"/>
  <c r="M207" i="4"/>
  <c r="R285" i="5"/>
  <c r="T285" i="5"/>
  <c r="O207" i="4"/>
  <c r="U285" i="5"/>
  <c r="P207" i="4"/>
  <c r="W285" i="5"/>
  <c r="Q207" i="4"/>
  <c r="X285" i="5"/>
  <c r="S207" i="4"/>
  <c r="AA285" i="5"/>
  <c r="AI207" i="4"/>
  <c r="T207" i="4" a="1"/>
  <c r="T207" i="4"/>
  <c r="AC285" i="5"/>
  <c r="U207" i="4" a="1"/>
  <c r="U207" i="4"/>
  <c r="AD285" i="5"/>
  <c r="X207" i="4"/>
  <c r="AI285" i="5"/>
  <c r="Y207" i="4"/>
  <c r="AJ285" i="5"/>
  <c r="Z207" i="4"/>
  <c r="AL285" i="5"/>
  <c r="F285" i="5"/>
  <c r="H285" i="5"/>
  <c r="I285" i="5"/>
  <c r="L285" i="5"/>
  <c r="N285" i="5"/>
  <c r="O285" i="5"/>
  <c r="Z285" i="5"/>
  <c r="AN285" i="5"/>
  <c r="AG286" i="5"/>
  <c r="AF286" i="5"/>
  <c r="B208" i="4"/>
  <c r="C208" i="4"/>
  <c r="C286" i="5"/>
  <c r="D208" i="4"/>
  <c r="E286" i="5"/>
  <c r="H208" i="4"/>
  <c r="K286" i="5"/>
  <c r="L208" i="4"/>
  <c r="Q286" i="5"/>
  <c r="M208" i="4"/>
  <c r="R286" i="5"/>
  <c r="T286" i="5"/>
  <c r="O208" i="4"/>
  <c r="U286" i="5"/>
  <c r="P208" i="4"/>
  <c r="W286" i="5"/>
  <c r="Q208" i="4"/>
  <c r="X286" i="5"/>
  <c r="S208" i="4"/>
  <c r="AA286" i="5"/>
  <c r="AI208" i="4"/>
  <c r="T208" i="4" a="1"/>
  <c r="T208" i="4"/>
  <c r="AC286" i="5"/>
  <c r="U208" i="4" a="1"/>
  <c r="U208" i="4"/>
  <c r="AD286" i="5"/>
  <c r="X208" i="4"/>
  <c r="AI286" i="5"/>
  <c r="Y208" i="4"/>
  <c r="AJ286" i="5"/>
  <c r="Z208" i="4"/>
  <c r="AL286" i="5"/>
  <c r="F286" i="5"/>
  <c r="H286" i="5"/>
  <c r="I286" i="5"/>
  <c r="L286" i="5"/>
  <c r="N286" i="5"/>
  <c r="O286" i="5"/>
  <c r="Z286" i="5"/>
  <c r="AN286" i="5"/>
  <c r="AG287" i="5"/>
  <c r="AF287" i="5"/>
  <c r="C172" i="4"/>
  <c r="C287" i="5"/>
  <c r="T287" i="5"/>
  <c r="O172" i="4"/>
  <c r="U287" i="5"/>
  <c r="P172" i="4"/>
  <c r="W287" i="5"/>
  <c r="Q172" i="4"/>
  <c r="X287" i="5"/>
  <c r="S172" i="4"/>
  <c r="AA287" i="5"/>
  <c r="AI172" i="4"/>
  <c r="T172" i="4" a="1"/>
  <c r="T172" i="4"/>
  <c r="AC287" i="5"/>
  <c r="U172" i="4" a="1"/>
  <c r="U172" i="4"/>
  <c r="AD287" i="5"/>
  <c r="X172" i="4"/>
  <c r="AI287" i="5"/>
  <c r="Y172" i="4"/>
  <c r="AJ287" i="5"/>
  <c r="Z172" i="4"/>
  <c r="AL287" i="5"/>
  <c r="Z287" i="5"/>
  <c r="AN287" i="5"/>
  <c r="AG288" i="5"/>
  <c r="AF288" i="5"/>
  <c r="C173" i="4"/>
  <c r="C288" i="5"/>
  <c r="D173" i="4"/>
  <c r="E288" i="5"/>
  <c r="H173" i="4"/>
  <c r="K288" i="5"/>
  <c r="L173" i="4"/>
  <c r="Q288" i="5"/>
  <c r="M173" i="4"/>
  <c r="R288" i="5"/>
  <c r="T288" i="5"/>
  <c r="O173" i="4"/>
  <c r="U288" i="5"/>
  <c r="P173" i="4"/>
  <c r="W288" i="5"/>
  <c r="Q173" i="4"/>
  <c r="X288" i="5"/>
  <c r="S173" i="4"/>
  <c r="AA288" i="5"/>
  <c r="AI173" i="4"/>
  <c r="T173" i="4" a="1"/>
  <c r="T173" i="4"/>
  <c r="AC288" i="5"/>
  <c r="U173" i="4" a="1"/>
  <c r="U173" i="4"/>
  <c r="AD288" i="5"/>
  <c r="X173" i="4"/>
  <c r="AI288" i="5"/>
  <c r="Y173" i="4"/>
  <c r="AJ288" i="5"/>
  <c r="Z173" i="4"/>
  <c r="AL288" i="5"/>
  <c r="F288" i="5"/>
  <c r="H288" i="5"/>
  <c r="I288" i="5"/>
  <c r="L288" i="5"/>
  <c r="N288" i="5"/>
  <c r="O288" i="5"/>
  <c r="Z288" i="5"/>
  <c r="AN288" i="5"/>
  <c r="AG289" i="5"/>
  <c r="AF289" i="5"/>
  <c r="C174" i="4"/>
  <c r="C289" i="5"/>
  <c r="D174" i="4"/>
  <c r="E289" i="5"/>
  <c r="H174" i="4"/>
  <c r="K289" i="5"/>
  <c r="L174" i="4"/>
  <c r="Q289" i="5"/>
  <c r="M174" i="4"/>
  <c r="R289" i="5"/>
  <c r="T289" i="5"/>
  <c r="O174" i="4"/>
  <c r="U289" i="5"/>
  <c r="P174" i="4"/>
  <c r="W289" i="5"/>
  <c r="Q174" i="4"/>
  <c r="X289" i="5"/>
  <c r="S174" i="4"/>
  <c r="AA289" i="5"/>
  <c r="AI174" i="4"/>
  <c r="T174" i="4" a="1"/>
  <c r="T174" i="4"/>
  <c r="AC289" i="5"/>
  <c r="U174" i="4" a="1"/>
  <c r="U174" i="4"/>
  <c r="AD289" i="5"/>
  <c r="X174" i="4"/>
  <c r="AI289" i="5"/>
  <c r="Y174" i="4"/>
  <c r="AJ289" i="5"/>
  <c r="Z174" i="4"/>
  <c r="AL289" i="5"/>
  <c r="F289" i="5"/>
  <c r="H289" i="5"/>
  <c r="I289" i="5"/>
  <c r="L289" i="5"/>
  <c r="N289" i="5"/>
  <c r="O289" i="5"/>
  <c r="Z289" i="5"/>
  <c r="AN289" i="5"/>
  <c r="AG290" i="5"/>
  <c r="AF290" i="5"/>
  <c r="C175" i="4"/>
  <c r="C290" i="5"/>
  <c r="D175" i="4"/>
  <c r="E290" i="5"/>
  <c r="H175" i="4"/>
  <c r="K290" i="5"/>
  <c r="L175" i="4"/>
  <c r="Q290" i="5"/>
  <c r="M175" i="4"/>
  <c r="R290" i="5"/>
  <c r="T290" i="5"/>
  <c r="O175" i="4"/>
  <c r="U290" i="5"/>
  <c r="P175" i="4"/>
  <c r="W290" i="5"/>
  <c r="Q175" i="4"/>
  <c r="X290" i="5"/>
  <c r="S175" i="4"/>
  <c r="AA290" i="5"/>
  <c r="AI175" i="4"/>
  <c r="T175" i="4" a="1"/>
  <c r="T175" i="4"/>
  <c r="AC290" i="5"/>
  <c r="U175" i="4" a="1"/>
  <c r="U175" i="4"/>
  <c r="AD290" i="5"/>
  <c r="X175" i="4"/>
  <c r="AI290" i="5"/>
  <c r="Y175" i="4"/>
  <c r="AJ290" i="5"/>
  <c r="Z175" i="4"/>
  <c r="AL290" i="5"/>
  <c r="F290" i="5"/>
  <c r="H290" i="5"/>
  <c r="I290" i="5"/>
  <c r="L290" i="5"/>
  <c r="N290" i="5"/>
  <c r="O290" i="5"/>
  <c r="Z290" i="5"/>
  <c r="AN290" i="5"/>
  <c r="B298" i="4"/>
  <c r="S298" i="4"/>
  <c r="AA291" i="5"/>
  <c r="P298" i="4"/>
  <c r="W291" i="5"/>
  <c r="AG291" i="5"/>
  <c r="AF291" i="5"/>
  <c r="C298" i="4"/>
  <c r="C291" i="5"/>
  <c r="D298" i="4"/>
  <c r="E291" i="5"/>
  <c r="H298" i="4"/>
  <c r="K291" i="5"/>
  <c r="L298" i="4"/>
  <c r="Q291" i="5"/>
  <c r="M298" i="4"/>
  <c r="R291" i="5"/>
  <c r="N298" i="4"/>
  <c r="T291" i="5"/>
  <c r="O298" i="4"/>
  <c r="U291" i="5"/>
  <c r="Q298" i="4"/>
  <c r="X291" i="5"/>
  <c r="R39" i="2"/>
  <c r="R298" i="4"/>
  <c r="Z291" i="5"/>
  <c r="AI298" i="4"/>
  <c r="T298" i="4" a="1"/>
  <c r="T298" i="4"/>
  <c r="AC291" i="5"/>
  <c r="U298" i="4" a="1"/>
  <c r="U298" i="4"/>
  <c r="AD291" i="5"/>
  <c r="X298" i="4"/>
  <c r="AI291" i="5"/>
  <c r="Y298" i="4"/>
  <c r="AJ291" i="5"/>
  <c r="Z298" i="4"/>
  <c r="AL291" i="5"/>
  <c r="F291" i="5"/>
  <c r="H291" i="5"/>
  <c r="I291" i="5"/>
  <c r="L291" i="5"/>
  <c r="N291" i="5"/>
  <c r="O291" i="5"/>
  <c r="AN291" i="5"/>
  <c r="AG292" i="5"/>
  <c r="AF292" i="5"/>
  <c r="B88" i="4"/>
  <c r="C88" i="4"/>
  <c r="C292" i="5"/>
  <c r="D88" i="4"/>
  <c r="E292" i="5"/>
  <c r="H88" i="4"/>
  <c r="K292" i="5"/>
  <c r="L88" i="4"/>
  <c r="Q292" i="5"/>
  <c r="M88" i="4"/>
  <c r="R292" i="5"/>
  <c r="N88" i="4"/>
  <c r="T292" i="5"/>
  <c r="O88" i="4"/>
  <c r="U292" i="5"/>
  <c r="P88" i="4"/>
  <c r="W292" i="5"/>
  <c r="Q88" i="4"/>
  <c r="X292" i="5"/>
  <c r="S88" i="4"/>
  <c r="AA292" i="5"/>
  <c r="AI88" i="4"/>
  <c r="T88" i="4" a="1"/>
  <c r="T88" i="4"/>
  <c r="AC292" i="5"/>
  <c r="U88" i="4" a="1"/>
  <c r="U88" i="4"/>
  <c r="AD292" i="5"/>
  <c r="X88" i="4"/>
  <c r="AI292" i="5"/>
  <c r="Y88" i="4"/>
  <c r="AJ292" i="5"/>
  <c r="Z88" i="4"/>
  <c r="AL292" i="5"/>
  <c r="F292" i="5"/>
  <c r="H292" i="5"/>
  <c r="I292" i="5"/>
  <c r="L292" i="5"/>
  <c r="N292" i="5"/>
  <c r="O292" i="5"/>
  <c r="Z292" i="5"/>
  <c r="AN292" i="5"/>
  <c r="AG293" i="5"/>
  <c r="AF293" i="5"/>
  <c r="B97" i="4"/>
  <c r="C97" i="4"/>
  <c r="C293" i="5"/>
  <c r="D97" i="4"/>
  <c r="E293" i="5"/>
  <c r="K293" i="5"/>
  <c r="L97" i="4"/>
  <c r="Q293" i="5"/>
  <c r="M97" i="4"/>
  <c r="R293" i="5"/>
  <c r="T293" i="5"/>
  <c r="U293" i="5"/>
  <c r="P97" i="4"/>
  <c r="W293" i="5"/>
  <c r="Q97" i="4"/>
  <c r="X293" i="5"/>
  <c r="S97" i="4"/>
  <c r="AA293" i="5"/>
  <c r="AI97" i="4"/>
  <c r="T97" i="4" a="1"/>
  <c r="T97" i="4"/>
  <c r="AC293" i="5"/>
  <c r="U97" i="4" a="1"/>
  <c r="U97" i="4"/>
  <c r="AD293" i="5"/>
  <c r="X97" i="4"/>
  <c r="AI293" i="5"/>
  <c r="Y97" i="4"/>
  <c r="AJ293" i="5"/>
  <c r="Z97" i="4"/>
  <c r="AL293" i="5"/>
  <c r="F293" i="5"/>
  <c r="H293" i="5"/>
  <c r="I293" i="5"/>
  <c r="L293" i="5"/>
  <c r="N293" i="5"/>
  <c r="O293" i="5"/>
  <c r="Z293" i="5"/>
  <c r="AN293" i="5"/>
  <c r="AG294" i="5"/>
  <c r="AF294" i="5"/>
  <c r="B200" i="4"/>
  <c r="C200" i="4"/>
  <c r="C294" i="5"/>
  <c r="D200" i="4"/>
  <c r="E294" i="5"/>
  <c r="H200" i="4"/>
  <c r="K294" i="5"/>
  <c r="L200" i="4"/>
  <c r="Q294" i="5"/>
  <c r="M200" i="4"/>
  <c r="R294" i="5"/>
  <c r="T294" i="5"/>
  <c r="O200" i="4"/>
  <c r="U294" i="5"/>
  <c r="P200" i="4"/>
  <c r="W294" i="5"/>
  <c r="Q200" i="4"/>
  <c r="X294" i="5"/>
  <c r="S200" i="4"/>
  <c r="AA294" i="5"/>
  <c r="AI200" i="4"/>
  <c r="T200" i="4" a="1"/>
  <c r="T200" i="4"/>
  <c r="AC294" i="5"/>
  <c r="U200" i="4" a="1"/>
  <c r="U200" i="4"/>
  <c r="AD294" i="5"/>
  <c r="X200" i="4"/>
  <c r="AI294" i="5"/>
  <c r="F294" i="5"/>
  <c r="H294" i="5"/>
  <c r="I294" i="5"/>
  <c r="L294" i="5"/>
  <c r="N294" i="5"/>
  <c r="O294" i="5"/>
  <c r="Z294" i="5"/>
  <c r="AN294" i="5"/>
  <c r="AG295" i="5"/>
  <c r="AF295" i="5"/>
  <c r="B201" i="4"/>
  <c r="C201" i="4"/>
  <c r="C295" i="5"/>
  <c r="D201" i="4"/>
  <c r="E295" i="5"/>
  <c r="H201" i="4"/>
  <c r="K295" i="5"/>
  <c r="L201" i="4"/>
  <c r="Q295" i="5"/>
  <c r="M201" i="4"/>
  <c r="R295" i="5"/>
  <c r="T295" i="5"/>
  <c r="O201" i="4"/>
  <c r="U295" i="5"/>
  <c r="P201" i="4"/>
  <c r="W295" i="5"/>
  <c r="Q201" i="4"/>
  <c r="X295" i="5"/>
  <c r="S201" i="4"/>
  <c r="AA295" i="5"/>
  <c r="AI201" i="4"/>
  <c r="T201" i="4" a="1"/>
  <c r="T201" i="4"/>
  <c r="AC295" i="5"/>
  <c r="U201" i="4" a="1"/>
  <c r="U201" i="4"/>
  <c r="AD295" i="5"/>
  <c r="X201" i="4"/>
  <c r="AI295" i="5"/>
  <c r="F295" i="5"/>
  <c r="H295" i="5"/>
  <c r="I295" i="5"/>
  <c r="L295" i="5"/>
  <c r="N295" i="5"/>
  <c r="O295" i="5"/>
  <c r="Z295" i="5"/>
  <c r="AN295" i="5"/>
  <c r="AG296" i="5"/>
  <c r="AF296" i="5"/>
  <c r="B283" i="4"/>
  <c r="C283" i="4"/>
  <c r="C296" i="5"/>
  <c r="D283" i="4"/>
  <c r="E296" i="5"/>
  <c r="H283" i="4"/>
  <c r="K296" i="5"/>
  <c r="L283" i="4"/>
  <c r="Q296" i="5"/>
  <c r="M283" i="4"/>
  <c r="R296" i="5"/>
  <c r="T296" i="5"/>
  <c r="O283" i="4"/>
  <c r="U296" i="5"/>
  <c r="P283" i="4"/>
  <c r="W296" i="5"/>
  <c r="Q283" i="4"/>
  <c r="X296" i="5"/>
  <c r="S283" i="4"/>
  <c r="AA296" i="5"/>
  <c r="AI283" i="4"/>
  <c r="T283" i="4" a="1"/>
  <c r="T283" i="4"/>
  <c r="AC296" i="5"/>
  <c r="U283" i="4" a="1"/>
  <c r="U283" i="4"/>
  <c r="AD296" i="5"/>
  <c r="X283" i="4"/>
  <c r="AI296" i="5"/>
  <c r="Y283" i="4"/>
  <c r="AJ296" i="5"/>
  <c r="Z283" i="4"/>
  <c r="AL296" i="5"/>
  <c r="F296" i="5"/>
  <c r="H296" i="5"/>
  <c r="I296" i="5"/>
  <c r="L296" i="5"/>
  <c r="N296" i="5"/>
  <c r="O296" i="5"/>
  <c r="Z296" i="5"/>
  <c r="AN296" i="5"/>
  <c r="O297" i="5"/>
  <c r="K297" i="5"/>
  <c r="AG297" i="5"/>
  <c r="AF297" i="5"/>
  <c r="C297" i="5"/>
  <c r="E297" i="5"/>
  <c r="L297" i="5"/>
  <c r="N297" i="5"/>
  <c r="Q297" i="5"/>
  <c r="R297" i="5"/>
  <c r="T297" i="5"/>
  <c r="U297" i="5"/>
  <c r="W297" i="5"/>
  <c r="X297" i="5"/>
  <c r="AA297" i="5"/>
  <c r="AC297" i="5"/>
  <c r="AD297" i="5"/>
  <c r="AI297" i="5"/>
  <c r="AJ297" i="5"/>
  <c r="AL297" i="5"/>
  <c r="F297" i="5"/>
  <c r="H297" i="5"/>
  <c r="I297" i="5"/>
  <c r="Z297" i="5"/>
  <c r="AN297" i="5"/>
  <c r="O299" i="5"/>
  <c r="K299" i="5"/>
  <c r="AG299" i="5"/>
  <c r="V45" i="2"/>
  <c r="B304" i="4"/>
  <c r="V304" i="4"/>
  <c r="AF299" i="5"/>
  <c r="C45" i="2"/>
  <c r="C304" i="4"/>
  <c r="C299" i="5"/>
  <c r="D304" i="4"/>
  <c r="E299" i="5"/>
  <c r="I304" i="4"/>
  <c r="L299" i="5"/>
  <c r="J304" i="4"/>
  <c r="N299" i="5"/>
  <c r="L304" i="4"/>
  <c r="Q299" i="5"/>
  <c r="M304" i="4"/>
  <c r="R299" i="5"/>
  <c r="N45" i="2"/>
  <c r="N304" i="4"/>
  <c r="T299" i="5"/>
  <c r="O45" i="2"/>
  <c r="O304" i="4"/>
  <c r="U299" i="5"/>
  <c r="P45" i="2"/>
  <c r="P304" i="4"/>
  <c r="W299" i="5"/>
  <c r="Q45" i="2"/>
  <c r="Q304" i="4"/>
  <c r="X299" i="5"/>
  <c r="AA299" i="5"/>
  <c r="T45" i="2"/>
  <c r="T304" i="4"/>
  <c r="AC299" i="5"/>
  <c r="U45" i="2"/>
  <c r="U304" i="4"/>
  <c r="AD299" i="5"/>
  <c r="X45" i="2"/>
  <c r="X304" i="4"/>
  <c r="AI299" i="5"/>
  <c r="Y45" i="2"/>
  <c r="Y304" i="4"/>
  <c r="AJ299" i="5"/>
  <c r="Z45" i="2"/>
  <c r="Z304" i="4"/>
  <c r="AL299" i="5"/>
  <c r="F299" i="5"/>
  <c r="H299" i="5"/>
  <c r="I299" i="5"/>
  <c r="Z299" i="5"/>
  <c r="AN299" i="5"/>
  <c r="AG300" i="5"/>
  <c r="V305" i="4"/>
  <c r="AF300" i="5"/>
  <c r="C305" i="4"/>
  <c r="C300" i="5"/>
  <c r="N305" i="4"/>
  <c r="T300" i="5"/>
  <c r="O305" i="4"/>
  <c r="U300" i="5"/>
  <c r="P305" i="4"/>
  <c r="W300" i="5"/>
  <c r="Q305" i="4"/>
  <c r="X300" i="5"/>
  <c r="AA300" i="5"/>
  <c r="T305" i="4"/>
  <c r="AC300" i="5"/>
  <c r="U305" i="4"/>
  <c r="AD300" i="5"/>
  <c r="X305" i="4"/>
  <c r="AI300" i="5"/>
  <c r="Y305" i="4"/>
  <c r="AJ300" i="5"/>
  <c r="Z305" i="4"/>
  <c r="AL300" i="5"/>
  <c r="F300" i="5"/>
  <c r="H300" i="5"/>
  <c r="I300" i="5"/>
  <c r="Z300" i="5"/>
  <c r="AN300" i="5"/>
  <c r="O301" i="5"/>
  <c r="K301" i="5"/>
  <c r="AG301" i="5"/>
  <c r="V46" i="2"/>
  <c r="B306" i="4"/>
  <c r="V306" i="4"/>
  <c r="AF301" i="5"/>
  <c r="C46" i="2"/>
  <c r="C306" i="4"/>
  <c r="C301" i="5"/>
  <c r="D46" i="2"/>
  <c r="D306" i="4"/>
  <c r="E301" i="5"/>
  <c r="I46" i="2"/>
  <c r="I306" i="4"/>
  <c r="L301" i="5"/>
  <c r="J46" i="2"/>
  <c r="J306" i="4"/>
  <c r="N301" i="5"/>
  <c r="L46" i="2"/>
  <c r="L306" i="4"/>
  <c r="Q301" i="5"/>
  <c r="M46" i="2"/>
  <c r="M306" i="4"/>
  <c r="R301" i="5"/>
  <c r="N46" i="2"/>
  <c r="N306" i="4"/>
  <c r="T301" i="5"/>
  <c r="O46" i="2"/>
  <c r="O306" i="4"/>
  <c r="U301" i="5"/>
  <c r="P46" i="2"/>
  <c r="P306" i="4"/>
  <c r="W301" i="5"/>
  <c r="Q46" i="2"/>
  <c r="Q306" i="4"/>
  <c r="X301" i="5"/>
  <c r="AA301" i="5"/>
  <c r="T46" i="2"/>
  <c r="T306" i="4"/>
  <c r="AC301" i="5"/>
  <c r="U46" i="2"/>
  <c r="U306" i="4"/>
  <c r="AD301" i="5"/>
  <c r="X46" i="2"/>
  <c r="X306" i="4"/>
  <c r="AI301" i="5"/>
  <c r="Y46" i="2"/>
  <c r="Y306" i="4"/>
  <c r="AJ301" i="5"/>
  <c r="Z46" i="2"/>
  <c r="Z306" i="4"/>
  <c r="AL301" i="5"/>
  <c r="F301" i="5"/>
  <c r="H301" i="5"/>
  <c r="I301" i="5"/>
  <c r="Z301" i="5"/>
  <c r="AN301" i="5"/>
  <c r="O302" i="5"/>
  <c r="K302" i="5"/>
  <c r="AG302" i="5"/>
  <c r="B307" i="4"/>
  <c r="V307" i="4"/>
  <c r="AF302" i="5"/>
  <c r="C307" i="4"/>
  <c r="C302" i="5"/>
  <c r="D307" i="4"/>
  <c r="E302" i="5"/>
  <c r="I307" i="4"/>
  <c r="L302" i="5"/>
  <c r="J307" i="4"/>
  <c r="N302" i="5"/>
  <c r="L307" i="4"/>
  <c r="Q302" i="5"/>
  <c r="M307" i="4"/>
  <c r="R302" i="5"/>
  <c r="N307" i="4"/>
  <c r="T302" i="5"/>
  <c r="O307" i="4"/>
  <c r="U302" i="5"/>
  <c r="P307" i="4"/>
  <c r="W302" i="5"/>
  <c r="Q307" i="4"/>
  <c r="X302" i="5"/>
  <c r="AA302" i="5"/>
  <c r="T307" i="4"/>
  <c r="AC302" i="5"/>
  <c r="U307" i="4"/>
  <c r="AD302" i="5"/>
  <c r="X307" i="4"/>
  <c r="AI302" i="5"/>
  <c r="Y307" i="4"/>
  <c r="AJ302" i="5"/>
  <c r="Z307" i="4"/>
  <c r="AL302" i="5"/>
  <c r="F302" i="5"/>
  <c r="H302" i="5"/>
  <c r="I302" i="5"/>
  <c r="Z302" i="5"/>
  <c r="AN302" i="5"/>
  <c r="O303" i="5"/>
  <c r="K303" i="5"/>
  <c r="AG303" i="5"/>
  <c r="V49" i="2"/>
  <c r="V309" i="4"/>
  <c r="AF303" i="5"/>
  <c r="C49" i="2"/>
  <c r="C309" i="4"/>
  <c r="C303" i="5"/>
  <c r="D49" i="2"/>
  <c r="D309" i="4"/>
  <c r="E303" i="5"/>
  <c r="I49" i="2"/>
  <c r="I309" i="4"/>
  <c r="L303" i="5"/>
  <c r="J49" i="2"/>
  <c r="J309" i="4"/>
  <c r="N303" i="5"/>
  <c r="L49" i="2"/>
  <c r="L309" i="4"/>
  <c r="Q303" i="5"/>
  <c r="M49" i="2"/>
  <c r="M309" i="4"/>
  <c r="R303" i="5"/>
  <c r="N49" i="2"/>
  <c r="N309" i="4"/>
  <c r="T303" i="5"/>
  <c r="O49" i="2"/>
  <c r="O309" i="4"/>
  <c r="U303" i="5"/>
  <c r="P49" i="2"/>
  <c r="P309" i="4"/>
  <c r="W303" i="5"/>
  <c r="Q49" i="2"/>
  <c r="Q309" i="4"/>
  <c r="X303" i="5"/>
  <c r="AA303" i="5"/>
  <c r="X49" i="2"/>
  <c r="X309" i="4"/>
  <c r="AI303" i="5"/>
  <c r="Y49" i="2"/>
  <c r="Y309" i="4"/>
  <c r="AJ303" i="5"/>
  <c r="Z49" i="2"/>
  <c r="Z309" i="4"/>
  <c r="AL303" i="5"/>
  <c r="F303" i="5"/>
  <c r="H303" i="5"/>
  <c r="I303" i="5"/>
  <c r="Z303" i="5"/>
  <c r="AN303" i="5"/>
  <c r="O304" i="5"/>
  <c r="K304" i="5"/>
  <c r="AG304" i="5"/>
  <c r="V47" i="2"/>
  <c r="B300" i="4"/>
  <c r="V300" i="4"/>
  <c r="AF304" i="5"/>
  <c r="C47" i="2"/>
  <c r="C300" i="4"/>
  <c r="C304" i="5"/>
  <c r="D47" i="2"/>
  <c r="D300" i="4"/>
  <c r="E304" i="5"/>
  <c r="I47" i="2"/>
  <c r="I300" i="4"/>
  <c r="L304" i="5"/>
  <c r="J47" i="2"/>
  <c r="J300" i="4"/>
  <c r="N304" i="5"/>
  <c r="L47" i="2"/>
  <c r="L300" i="4"/>
  <c r="Q304" i="5"/>
  <c r="M47" i="2"/>
  <c r="M300" i="4"/>
  <c r="R304" i="5"/>
  <c r="N47" i="2"/>
  <c r="N300" i="4"/>
  <c r="T304" i="5"/>
  <c r="O47" i="2"/>
  <c r="O300" i="4"/>
  <c r="U304" i="5"/>
  <c r="P47" i="2"/>
  <c r="P300" i="4"/>
  <c r="W304" i="5"/>
  <c r="Q47" i="2"/>
  <c r="Q300" i="4"/>
  <c r="X304" i="5"/>
  <c r="AA304" i="5"/>
  <c r="AC304" i="5"/>
  <c r="AD304" i="5"/>
  <c r="X47" i="2"/>
  <c r="X300" i="4"/>
  <c r="AI304" i="5"/>
  <c r="Y47" i="2"/>
  <c r="Y300" i="4"/>
  <c r="AJ304" i="5"/>
  <c r="Z47" i="2"/>
  <c r="Z300" i="4"/>
  <c r="AL304" i="5"/>
  <c r="F304" i="5"/>
  <c r="H304" i="5"/>
  <c r="I304" i="5"/>
  <c r="Z304" i="5"/>
  <c r="AN304" i="5"/>
  <c r="O305" i="5"/>
  <c r="K305" i="5"/>
  <c r="AG305" i="5"/>
  <c r="B310" i="4"/>
  <c r="V310" i="4"/>
  <c r="AF305" i="5"/>
  <c r="C310" i="4"/>
  <c r="C305" i="5"/>
  <c r="D310" i="4"/>
  <c r="E305" i="5"/>
  <c r="I310" i="4"/>
  <c r="L305" i="5"/>
  <c r="J310" i="4"/>
  <c r="N305" i="5"/>
  <c r="L310" i="4"/>
  <c r="Q305" i="5"/>
  <c r="M310" i="4"/>
  <c r="R305" i="5"/>
  <c r="N310" i="4"/>
  <c r="T305" i="5"/>
  <c r="O310" i="4"/>
  <c r="U305" i="5"/>
  <c r="P310" i="4"/>
  <c r="W305" i="5"/>
  <c r="Q310" i="4"/>
  <c r="X305" i="5"/>
  <c r="AA305" i="5"/>
  <c r="T310" i="4"/>
  <c r="AC305" i="5"/>
  <c r="AD305" i="5"/>
  <c r="X310" i="4"/>
  <c r="AI305" i="5"/>
  <c r="Y310" i="4"/>
  <c r="AJ305" i="5"/>
  <c r="Z310" i="4"/>
  <c r="AL305" i="5"/>
  <c r="F305" i="5"/>
  <c r="H305" i="5"/>
  <c r="I305" i="5"/>
  <c r="Z305" i="5"/>
  <c r="AN305" i="5"/>
  <c r="O306" i="5"/>
  <c r="K306" i="5"/>
  <c r="AG306" i="5"/>
  <c r="V48" i="2"/>
  <c r="V311" i="4"/>
  <c r="AF306" i="5"/>
  <c r="C48" i="2"/>
  <c r="C311" i="4"/>
  <c r="C306" i="5"/>
  <c r="D311" i="4"/>
  <c r="E306" i="5"/>
  <c r="I311" i="4"/>
  <c r="L306" i="5"/>
  <c r="J311" i="4"/>
  <c r="N306" i="5"/>
  <c r="L311" i="4"/>
  <c r="Q306" i="5"/>
  <c r="M311" i="4"/>
  <c r="R306" i="5"/>
  <c r="N48" i="2"/>
  <c r="N311" i="4"/>
  <c r="T306" i="5"/>
  <c r="O48" i="2"/>
  <c r="O311" i="4"/>
  <c r="U306" i="5"/>
  <c r="P48" i="2"/>
  <c r="P311" i="4"/>
  <c r="W306" i="5"/>
  <c r="Q48" i="2"/>
  <c r="Q311" i="4"/>
  <c r="X306" i="5"/>
  <c r="AA306" i="5"/>
  <c r="X48" i="2"/>
  <c r="X311" i="4"/>
  <c r="AI306" i="5"/>
  <c r="Y48" i="2"/>
  <c r="Y311" i="4"/>
  <c r="AJ306" i="5"/>
  <c r="Z48" i="2"/>
  <c r="Z311" i="4"/>
  <c r="AL306" i="5"/>
  <c r="F306" i="5"/>
  <c r="H306" i="5"/>
  <c r="I306" i="5"/>
  <c r="Z306" i="5"/>
  <c r="AN306" i="5"/>
  <c r="O307" i="5"/>
  <c r="K307" i="5"/>
  <c r="AG307" i="5"/>
  <c r="B312" i="4"/>
  <c r="V312" i="4"/>
  <c r="AF307" i="5"/>
  <c r="C312" i="4"/>
  <c r="C307" i="5"/>
  <c r="D312" i="4"/>
  <c r="E307" i="5"/>
  <c r="I312" i="4"/>
  <c r="L307" i="5"/>
  <c r="J312" i="4"/>
  <c r="N307" i="5"/>
  <c r="L312" i="4"/>
  <c r="Q307" i="5"/>
  <c r="M312" i="4"/>
  <c r="R307" i="5"/>
  <c r="N312" i="4"/>
  <c r="T307" i="5"/>
  <c r="O312" i="4"/>
  <c r="U307" i="5"/>
  <c r="P312" i="4"/>
  <c r="W307" i="5"/>
  <c r="Q312" i="4"/>
  <c r="X307" i="5"/>
  <c r="AA307" i="5"/>
  <c r="T312" i="4"/>
  <c r="AC307" i="5"/>
  <c r="AD307" i="5"/>
  <c r="X312" i="4"/>
  <c r="AI307" i="5"/>
  <c r="Y312" i="4"/>
  <c r="AJ307" i="5"/>
  <c r="Z312" i="4"/>
  <c r="AL307" i="5"/>
  <c r="F307" i="5"/>
  <c r="H307" i="5"/>
  <c r="I307" i="5"/>
  <c r="Z307" i="5"/>
  <c r="AN307" i="5"/>
  <c r="O308" i="5"/>
  <c r="K308" i="5"/>
  <c r="AG308" i="5"/>
  <c r="V313" i="4"/>
  <c r="AF308" i="5"/>
  <c r="C313" i="4"/>
  <c r="C308" i="5"/>
  <c r="D313" i="4"/>
  <c r="E308" i="5"/>
  <c r="I313" i="4"/>
  <c r="L308" i="5"/>
  <c r="J313" i="4"/>
  <c r="N308" i="5"/>
  <c r="L313" i="4"/>
  <c r="Q308" i="5"/>
  <c r="M313" i="4"/>
  <c r="R308" i="5"/>
  <c r="N313" i="4"/>
  <c r="T308" i="5"/>
  <c r="O313" i="4"/>
  <c r="U308" i="5"/>
  <c r="P313" i="4"/>
  <c r="W308" i="5"/>
  <c r="Q313" i="4"/>
  <c r="X308" i="5"/>
  <c r="AA308" i="5"/>
  <c r="X313" i="4"/>
  <c r="AI308" i="5"/>
  <c r="Y313" i="4"/>
  <c r="AJ308" i="5"/>
  <c r="Z313" i="4"/>
  <c r="AL308" i="5"/>
  <c r="F308" i="5"/>
  <c r="H308" i="5"/>
  <c r="I308" i="5"/>
  <c r="Z308" i="5"/>
  <c r="AN308" i="5"/>
  <c r="O309" i="5"/>
  <c r="K309" i="5"/>
  <c r="AG309" i="5"/>
  <c r="B301" i="4"/>
  <c r="V301" i="4"/>
  <c r="AF309" i="5"/>
  <c r="C301" i="4"/>
  <c r="C309" i="5"/>
  <c r="D301" i="4"/>
  <c r="E309" i="5"/>
  <c r="I301" i="4"/>
  <c r="L309" i="5"/>
  <c r="J301" i="4"/>
  <c r="N309" i="5"/>
  <c r="L301" i="4"/>
  <c r="Q309" i="5"/>
  <c r="M301" i="4"/>
  <c r="R309" i="5"/>
  <c r="N301" i="4"/>
  <c r="T309" i="5"/>
  <c r="O301" i="4"/>
  <c r="U309" i="5"/>
  <c r="P301" i="4"/>
  <c r="W309" i="5"/>
  <c r="Q301" i="4"/>
  <c r="X309" i="5"/>
  <c r="AA309" i="5"/>
  <c r="AC309" i="5"/>
  <c r="AD309" i="5"/>
  <c r="X301" i="4"/>
  <c r="AI309" i="5"/>
  <c r="Y301" i="4"/>
  <c r="AJ309" i="5"/>
  <c r="Z301" i="4"/>
  <c r="AL309" i="5"/>
  <c r="F309" i="5"/>
  <c r="H309" i="5"/>
  <c r="I309" i="5"/>
  <c r="Z309" i="5"/>
  <c r="AN309" i="5"/>
  <c r="AG310" i="5"/>
  <c r="V314" i="4"/>
  <c r="AF310" i="5"/>
  <c r="C314" i="4"/>
  <c r="C310" i="5"/>
  <c r="N314" i="4"/>
  <c r="T310" i="5"/>
  <c r="O314" i="4"/>
  <c r="U310" i="5"/>
  <c r="P314" i="4"/>
  <c r="W310" i="5"/>
  <c r="Q314" i="4"/>
  <c r="X310" i="5"/>
  <c r="AA310" i="5"/>
  <c r="AC310" i="5"/>
  <c r="AD310" i="5"/>
  <c r="X314" i="4"/>
  <c r="AI310" i="5"/>
  <c r="Y314" i="4"/>
  <c r="AJ310" i="5"/>
  <c r="Z314" i="4"/>
  <c r="AL310" i="5"/>
  <c r="F310" i="5"/>
  <c r="H310" i="5"/>
  <c r="I310" i="5"/>
  <c r="Z310" i="5"/>
  <c r="AN310" i="5"/>
  <c r="O311" i="5"/>
  <c r="K311" i="5"/>
  <c r="AG311" i="5"/>
  <c r="B308" i="4"/>
  <c r="V308" i="4"/>
  <c r="AF311" i="5"/>
  <c r="C308" i="4"/>
  <c r="C311" i="5"/>
  <c r="D308" i="4"/>
  <c r="E311" i="5"/>
  <c r="I308" i="4"/>
  <c r="L311" i="5"/>
  <c r="J308" i="4"/>
  <c r="N311" i="5"/>
  <c r="L308" i="4"/>
  <c r="Q311" i="5"/>
  <c r="M308" i="4"/>
  <c r="R311" i="5"/>
  <c r="N308" i="4"/>
  <c r="T311" i="5"/>
  <c r="O308" i="4"/>
  <c r="U311" i="5"/>
  <c r="P308" i="4"/>
  <c r="W311" i="5"/>
  <c r="Q308" i="4"/>
  <c r="X311" i="5"/>
  <c r="AA311" i="5"/>
  <c r="AC311" i="5"/>
  <c r="AD311" i="5"/>
  <c r="X308" i="4"/>
  <c r="AI311" i="5"/>
  <c r="Y308" i="4"/>
  <c r="AJ311" i="5"/>
  <c r="Z308" i="4"/>
  <c r="AL311" i="5"/>
  <c r="F311" i="5"/>
  <c r="H311" i="5"/>
  <c r="I311" i="5"/>
  <c r="Z311" i="5"/>
  <c r="AN311" i="5"/>
  <c r="O312" i="5"/>
  <c r="K312" i="5"/>
  <c r="AG312" i="5"/>
  <c r="B299" i="4"/>
  <c r="V299" i="4"/>
  <c r="AF312" i="5"/>
  <c r="C299" i="4"/>
  <c r="C312" i="5"/>
  <c r="D299" i="4"/>
  <c r="E312" i="5"/>
  <c r="I299" i="4"/>
  <c r="L312" i="5"/>
  <c r="J299" i="4"/>
  <c r="N312" i="5"/>
  <c r="L299" i="4"/>
  <c r="Q312" i="5"/>
  <c r="M299" i="4"/>
  <c r="R312" i="5"/>
  <c r="N299" i="4"/>
  <c r="T312" i="5"/>
  <c r="O299" i="4"/>
  <c r="U312" i="5"/>
  <c r="P299" i="4"/>
  <c r="W312" i="5"/>
  <c r="Q299" i="4"/>
  <c r="X312" i="5"/>
  <c r="AA312" i="5"/>
  <c r="AC312" i="5"/>
  <c r="AD312" i="5"/>
  <c r="X299" i="4"/>
  <c r="AI312" i="5"/>
  <c r="Y299" i="4"/>
  <c r="AJ312" i="5"/>
  <c r="Z299" i="4"/>
  <c r="AL312" i="5"/>
  <c r="F312" i="5"/>
  <c r="H312" i="5"/>
  <c r="I312" i="5"/>
  <c r="Z312" i="5"/>
  <c r="AN312" i="5"/>
  <c r="O313" i="5"/>
  <c r="K313" i="5"/>
  <c r="AG313" i="5"/>
  <c r="B302" i="4"/>
  <c r="V302" i="4"/>
  <c r="AF313" i="5"/>
  <c r="C302" i="4"/>
  <c r="C313" i="5"/>
  <c r="D302" i="4"/>
  <c r="E313" i="5"/>
  <c r="I302" i="4"/>
  <c r="L313" i="5"/>
  <c r="J302" i="4"/>
  <c r="N313" i="5"/>
  <c r="L302" i="4"/>
  <c r="Q313" i="5"/>
  <c r="M302" i="4"/>
  <c r="R313" i="5"/>
  <c r="N302" i="4"/>
  <c r="T313" i="5"/>
  <c r="O302" i="4"/>
  <c r="U313" i="5"/>
  <c r="P302" i="4"/>
  <c r="W313" i="5"/>
  <c r="Q302" i="4"/>
  <c r="X313" i="5"/>
  <c r="AA313" i="5"/>
  <c r="AC313" i="5"/>
  <c r="AD313" i="5"/>
  <c r="X302" i="4"/>
  <c r="AI313" i="5"/>
  <c r="Y302" i="4"/>
  <c r="AJ313" i="5"/>
  <c r="Z302" i="4"/>
  <c r="AL313" i="5"/>
  <c r="F313" i="5"/>
  <c r="H313" i="5"/>
  <c r="I313" i="5"/>
  <c r="Z313" i="5"/>
  <c r="AN313" i="5"/>
  <c r="O314" i="5"/>
  <c r="K314" i="5"/>
  <c r="AG314" i="5"/>
  <c r="B303" i="4"/>
  <c r="V303" i="4"/>
  <c r="AF314" i="5"/>
  <c r="C303" i="4"/>
  <c r="C314" i="5"/>
  <c r="D303" i="4"/>
  <c r="E314" i="5"/>
  <c r="I303" i="4"/>
  <c r="L314" i="5"/>
  <c r="J303" i="4"/>
  <c r="N314" i="5"/>
  <c r="L303" i="4"/>
  <c r="Q314" i="5"/>
  <c r="M303" i="4"/>
  <c r="R314" i="5"/>
  <c r="N303" i="4"/>
  <c r="T314" i="5"/>
  <c r="O303" i="4"/>
  <c r="U314" i="5"/>
  <c r="P303" i="4"/>
  <c r="W314" i="5"/>
  <c r="Q303" i="4"/>
  <c r="X314" i="5"/>
  <c r="AA314" i="5"/>
  <c r="AC314" i="5"/>
  <c r="AD314" i="5"/>
  <c r="X303" i="4"/>
  <c r="AI314" i="5"/>
  <c r="Y303" i="4"/>
  <c r="AJ314" i="5"/>
  <c r="Z303" i="4"/>
  <c r="AL314" i="5"/>
  <c r="F314" i="5"/>
  <c r="H314" i="5"/>
  <c r="I314" i="5"/>
  <c r="Z314" i="5"/>
  <c r="AN314" i="5"/>
  <c r="O315" i="5"/>
  <c r="K315" i="5"/>
  <c r="AG315" i="5"/>
  <c r="B343" i="4"/>
  <c r="V343" i="4"/>
  <c r="AF315" i="5"/>
  <c r="C315" i="5"/>
  <c r="D343" i="4"/>
  <c r="E315" i="5"/>
  <c r="I315" i="5"/>
  <c r="I343" i="4"/>
  <c r="L315" i="5"/>
  <c r="J343" i="4"/>
  <c r="N315" i="5"/>
  <c r="L343" i="4"/>
  <c r="Q315" i="5"/>
  <c r="M343" i="4"/>
  <c r="R315" i="5"/>
  <c r="N343" i="4"/>
  <c r="T315" i="5"/>
  <c r="O343" i="4"/>
  <c r="U315" i="5"/>
  <c r="P343" i="4"/>
  <c r="W315" i="5"/>
  <c r="Q343" i="4"/>
  <c r="X315" i="5"/>
  <c r="AA315" i="5"/>
  <c r="AC315" i="5"/>
  <c r="AD315" i="5"/>
  <c r="X343" i="4"/>
  <c r="AI315" i="5"/>
  <c r="Y343" i="4"/>
  <c r="AJ315" i="5"/>
  <c r="AL315" i="5"/>
  <c r="Z315" i="5"/>
  <c r="AN315" i="5"/>
  <c r="O316" i="5"/>
  <c r="K316" i="5"/>
  <c r="AG316" i="5"/>
  <c r="B344" i="4"/>
  <c r="V344" i="4"/>
  <c r="AF316" i="5"/>
  <c r="C316" i="5"/>
  <c r="D344" i="4"/>
  <c r="E316" i="5"/>
  <c r="I316" i="5"/>
  <c r="I344" i="4"/>
  <c r="L316" i="5"/>
  <c r="J344" i="4"/>
  <c r="N316" i="5"/>
  <c r="L344" i="4"/>
  <c r="Q316" i="5"/>
  <c r="M344" i="4"/>
  <c r="R316" i="5"/>
  <c r="N344" i="4"/>
  <c r="T316" i="5"/>
  <c r="O344" i="4"/>
  <c r="U316" i="5"/>
  <c r="P344" i="4"/>
  <c r="W316" i="5"/>
  <c r="Q344" i="4"/>
  <c r="X316" i="5"/>
  <c r="AA316" i="5"/>
  <c r="AC316" i="5"/>
  <c r="AD316" i="5"/>
  <c r="X344" i="4"/>
  <c r="AI316" i="5"/>
  <c r="Y344" i="4"/>
  <c r="AJ316" i="5"/>
  <c r="AL316" i="5"/>
  <c r="Z316" i="5"/>
  <c r="AN316" i="5"/>
  <c r="O317" i="5"/>
  <c r="K317" i="5"/>
  <c r="AG317" i="5"/>
  <c r="B345" i="4"/>
  <c r="V345" i="4"/>
  <c r="AF317" i="5"/>
  <c r="C317" i="5"/>
  <c r="D345" i="4"/>
  <c r="E317" i="5"/>
  <c r="I317" i="5"/>
  <c r="I345" i="4"/>
  <c r="L317" i="5"/>
  <c r="J345" i="4"/>
  <c r="N317" i="5"/>
  <c r="L345" i="4"/>
  <c r="Q317" i="5"/>
  <c r="M345" i="4"/>
  <c r="R317" i="5"/>
  <c r="N345" i="4"/>
  <c r="T317" i="5"/>
  <c r="O345" i="4"/>
  <c r="U317" i="5"/>
  <c r="P345" i="4"/>
  <c r="W317" i="5"/>
  <c r="Q345" i="4"/>
  <c r="X317" i="5"/>
  <c r="AA317" i="5"/>
  <c r="AC317" i="5"/>
  <c r="AD317" i="5"/>
  <c r="X345" i="4"/>
  <c r="AI317" i="5"/>
  <c r="Y345" i="4"/>
  <c r="AJ317" i="5"/>
  <c r="AL317" i="5"/>
  <c r="Z317" i="5"/>
  <c r="AN317" i="5"/>
  <c r="O318" i="5"/>
  <c r="K318" i="5"/>
  <c r="AG318" i="5"/>
  <c r="B335" i="4"/>
  <c r="V335" i="4"/>
  <c r="AF318" i="5"/>
  <c r="C318" i="5"/>
  <c r="D335" i="4"/>
  <c r="E318" i="5"/>
  <c r="I318" i="5"/>
  <c r="I335" i="4"/>
  <c r="L318" i="5"/>
  <c r="J335" i="4"/>
  <c r="N318" i="5"/>
  <c r="L335" i="4"/>
  <c r="Q318" i="5"/>
  <c r="M335" i="4"/>
  <c r="R318" i="5"/>
  <c r="N335" i="4"/>
  <c r="T318" i="5"/>
  <c r="O335" i="4"/>
  <c r="U318" i="5"/>
  <c r="P335" i="4"/>
  <c r="W318" i="5"/>
  <c r="Q335" i="4"/>
  <c r="X318" i="5"/>
  <c r="AA318" i="5"/>
  <c r="AC318" i="5"/>
  <c r="AD318" i="5"/>
  <c r="X335" i="4"/>
  <c r="AI318" i="5"/>
  <c r="Y335" i="4"/>
  <c r="AJ318" i="5"/>
  <c r="AL318" i="5"/>
  <c r="Z318" i="5"/>
  <c r="AN318" i="5"/>
  <c r="O319" i="5"/>
  <c r="K319" i="5"/>
  <c r="AG319" i="5"/>
  <c r="B336" i="4"/>
  <c r="V336" i="4"/>
  <c r="AF319" i="5"/>
  <c r="C319" i="5"/>
  <c r="D336" i="4"/>
  <c r="E319" i="5"/>
  <c r="I319" i="5"/>
  <c r="I336" i="4"/>
  <c r="L319" i="5"/>
  <c r="J336" i="4"/>
  <c r="N319" i="5"/>
  <c r="L336" i="4"/>
  <c r="Q319" i="5"/>
  <c r="M336" i="4"/>
  <c r="R319" i="5"/>
  <c r="N336" i="4"/>
  <c r="T319" i="5"/>
  <c r="O336" i="4"/>
  <c r="U319" i="5"/>
  <c r="P336" i="4"/>
  <c r="W319" i="5"/>
  <c r="Q336" i="4"/>
  <c r="X319" i="5"/>
  <c r="AA319" i="5"/>
  <c r="AC319" i="5"/>
  <c r="AD319" i="5"/>
  <c r="X336" i="4"/>
  <c r="AI319" i="5"/>
  <c r="Y336" i="4"/>
  <c r="AJ319" i="5"/>
  <c r="AL319" i="5"/>
  <c r="Z319" i="5"/>
  <c r="AN319" i="5"/>
  <c r="O320" i="5"/>
  <c r="K320" i="5"/>
  <c r="AG320" i="5"/>
  <c r="B318" i="4"/>
  <c r="V318" i="4"/>
  <c r="AF320" i="5"/>
  <c r="C320" i="5"/>
  <c r="D318" i="4"/>
  <c r="E320" i="5"/>
  <c r="I318" i="4"/>
  <c r="L320" i="5"/>
  <c r="J318" i="4"/>
  <c r="N320" i="5"/>
  <c r="L318" i="4"/>
  <c r="Q320" i="5"/>
  <c r="M318" i="4"/>
  <c r="R320" i="5"/>
  <c r="N318" i="4"/>
  <c r="T320" i="5"/>
  <c r="O318" i="4"/>
  <c r="U320" i="5"/>
  <c r="P318" i="4"/>
  <c r="W320" i="5"/>
  <c r="Q318" i="4"/>
  <c r="X320" i="5"/>
  <c r="AA320" i="5"/>
  <c r="AC320" i="5"/>
  <c r="AD320" i="5"/>
  <c r="X318" i="4"/>
  <c r="AI320" i="5"/>
  <c r="Y318" i="4"/>
  <c r="AJ320" i="5"/>
  <c r="AL320" i="5"/>
  <c r="F320" i="5"/>
  <c r="H320" i="5"/>
  <c r="I320" i="5"/>
  <c r="Z320" i="5"/>
  <c r="AN320" i="5"/>
  <c r="O321" i="5"/>
  <c r="K321" i="5"/>
  <c r="AG321" i="5"/>
  <c r="AF321" i="5"/>
  <c r="C321" i="5"/>
  <c r="B315" i="4"/>
  <c r="D315" i="4"/>
  <c r="E321" i="5"/>
  <c r="I321" i="5"/>
  <c r="I315" i="4"/>
  <c r="L321" i="5"/>
  <c r="J315" i="4"/>
  <c r="N321" i="5"/>
  <c r="L315" i="4"/>
  <c r="Q321" i="5"/>
  <c r="M315" i="4"/>
  <c r="R321" i="5"/>
  <c r="N315" i="4"/>
  <c r="T321" i="5"/>
  <c r="O315" i="4"/>
  <c r="U321" i="5"/>
  <c r="P315" i="4"/>
  <c r="W321" i="5"/>
  <c r="Q315" i="4"/>
  <c r="X321" i="5"/>
  <c r="AA321" i="5"/>
  <c r="AC321" i="5"/>
  <c r="AD321" i="5"/>
  <c r="X315" i="4"/>
  <c r="AI321" i="5"/>
  <c r="Y315" i="4"/>
  <c r="AJ321" i="5"/>
  <c r="AL321" i="5"/>
  <c r="Z321" i="5"/>
  <c r="AN321" i="5"/>
  <c r="O322" i="5"/>
  <c r="K322" i="5"/>
  <c r="AG322" i="5"/>
  <c r="B319" i="4"/>
  <c r="V319" i="4"/>
  <c r="AF322" i="5"/>
  <c r="C322" i="5"/>
  <c r="D319" i="4"/>
  <c r="E322" i="5"/>
  <c r="I322" i="5"/>
  <c r="I319" i="4"/>
  <c r="L322" i="5"/>
  <c r="J319" i="4"/>
  <c r="N322" i="5"/>
  <c r="L319" i="4"/>
  <c r="Q322" i="5"/>
  <c r="M319" i="4"/>
  <c r="R322" i="5"/>
  <c r="N319" i="4"/>
  <c r="T322" i="5"/>
  <c r="O319" i="4"/>
  <c r="U322" i="5"/>
  <c r="P319" i="4"/>
  <c r="W322" i="5"/>
  <c r="Q319" i="4"/>
  <c r="X322" i="5"/>
  <c r="AA322" i="5"/>
  <c r="AC322" i="5"/>
  <c r="AD322" i="5"/>
  <c r="X319" i="4"/>
  <c r="AI322" i="5"/>
  <c r="Y319" i="4"/>
  <c r="AJ322" i="5"/>
  <c r="AL322" i="5"/>
  <c r="Z322" i="5"/>
  <c r="AN322" i="5"/>
  <c r="O323" i="5"/>
  <c r="K323" i="5"/>
  <c r="AG323" i="5"/>
  <c r="B320" i="4"/>
  <c r="V320" i="4"/>
  <c r="AF323" i="5"/>
  <c r="C323" i="5"/>
  <c r="D320" i="4"/>
  <c r="E323" i="5"/>
  <c r="I320" i="4"/>
  <c r="L323" i="5"/>
  <c r="J320" i="4"/>
  <c r="N323" i="5"/>
  <c r="L320" i="4"/>
  <c r="Q323" i="5"/>
  <c r="M320" i="4"/>
  <c r="R323" i="5"/>
  <c r="N320" i="4"/>
  <c r="T323" i="5"/>
  <c r="O320" i="4"/>
  <c r="U323" i="5"/>
  <c r="P320" i="4"/>
  <c r="W323" i="5"/>
  <c r="Q320" i="4"/>
  <c r="X323" i="5"/>
  <c r="AA323" i="5"/>
  <c r="AC323" i="5"/>
  <c r="AD323" i="5"/>
  <c r="X320" i="4"/>
  <c r="AI323" i="5"/>
  <c r="Y320" i="4"/>
  <c r="AJ323" i="5"/>
  <c r="AL323" i="5"/>
  <c r="F323" i="5"/>
  <c r="H323" i="5"/>
  <c r="I323" i="5"/>
  <c r="Z323" i="5"/>
  <c r="AN323" i="5"/>
  <c r="O324" i="5"/>
  <c r="K324" i="5"/>
  <c r="AG324" i="5"/>
  <c r="B321" i="4"/>
  <c r="V321" i="4"/>
  <c r="AF324" i="5"/>
  <c r="C324" i="5"/>
  <c r="D321" i="4"/>
  <c r="E324" i="5"/>
  <c r="I321" i="4"/>
  <c r="L324" i="5"/>
  <c r="J321" i="4"/>
  <c r="N324" i="5"/>
  <c r="L321" i="4"/>
  <c r="Q324" i="5"/>
  <c r="M321" i="4"/>
  <c r="R324" i="5"/>
  <c r="N321" i="4"/>
  <c r="T324" i="5"/>
  <c r="O321" i="4"/>
  <c r="U324" i="5"/>
  <c r="P321" i="4"/>
  <c r="W324" i="5"/>
  <c r="Q321" i="4"/>
  <c r="X324" i="5"/>
  <c r="AA324" i="5"/>
  <c r="AC324" i="5"/>
  <c r="AD324" i="5"/>
  <c r="X321" i="4"/>
  <c r="AI324" i="5"/>
  <c r="Y321" i="4"/>
  <c r="AJ324" i="5"/>
  <c r="AL324" i="5"/>
  <c r="F324" i="5"/>
  <c r="H324" i="5"/>
  <c r="I324" i="5"/>
  <c r="Z324" i="5"/>
  <c r="AN324" i="5"/>
  <c r="O325" i="5"/>
  <c r="K325" i="5"/>
  <c r="AG325" i="5"/>
  <c r="B347" i="4"/>
  <c r="V347" i="4"/>
  <c r="AF325" i="5"/>
  <c r="C325" i="5"/>
  <c r="D347" i="4"/>
  <c r="E325" i="5"/>
  <c r="I347" i="4"/>
  <c r="L325" i="5"/>
  <c r="J347" i="4"/>
  <c r="N325" i="5"/>
  <c r="L347" i="4"/>
  <c r="Q325" i="5"/>
  <c r="M347" i="4"/>
  <c r="R325" i="5"/>
  <c r="N347" i="4"/>
  <c r="T325" i="5"/>
  <c r="O347" i="4"/>
  <c r="U325" i="5"/>
  <c r="P347" i="4"/>
  <c r="W325" i="5"/>
  <c r="Q347" i="4"/>
  <c r="X325" i="5"/>
  <c r="AA325" i="5"/>
  <c r="AC325" i="5"/>
  <c r="AD325" i="5"/>
  <c r="X347" i="4"/>
  <c r="AI325" i="5"/>
  <c r="Y347" i="4"/>
  <c r="AJ325" i="5"/>
  <c r="AL325" i="5"/>
  <c r="F325" i="5"/>
  <c r="H325" i="5"/>
  <c r="I325" i="5"/>
  <c r="Z325" i="5"/>
  <c r="AN325" i="5"/>
  <c r="O326" i="5"/>
  <c r="K326" i="5"/>
  <c r="AG326" i="5"/>
  <c r="B337" i="4"/>
  <c r="V337" i="4"/>
  <c r="AF326" i="5"/>
  <c r="C326" i="5"/>
  <c r="D337" i="4"/>
  <c r="E326" i="5"/>
  <c r="I326" i="5"/>
  <c r="I337" i="4"/>
  <c r="L326" i="5"/>
  <c r="J337" i="4"/>
  <c r="N326" i="5"/>
  <c r="L337" i="4"/>
  <c r="Q326" i="5"/>
  <c r="M337" i="4"/>
  <c r="R326" i="5"/>
  <c r="N337" i="4"/>
  <c r="T326" i="5"/>
  <c r="O337" i="4"/>
  <c r="U326" i="5"/>
  <c r="P337" i="4"/>
  <c r="W326" i="5"/>
  <c r="Q337" i="4"/>
  <c r="X326" i="5"/>
  <c r="AA326" i="5"/>
  <c r="AC326" i="5"/>
  <c r="AD326" i="5"/>
  <c r="X337" i="4"/>
  <c r="AI326" i="5"/>
  <c r="Y337" i="4"/>
  <c r="AJ326" i="5"/>
  <c r="AL326" i="5"/>
  <c r="Z326" i="5"/>
  <c r="AN326" i="5"/>
  <c r="O327" i="5"/>
  <c r="K327" i="5"/>
  <c r="AG327" i="5"/>
  <c r="B316" i="4"/>
  <c r="AF327" i="5"/>
  <c r="C327" i="5"/>
  <c r="D316" i="4"/>
  <c r="E327" i="5"/>
  <c r="I327" i="5"/>
  <c r="I316" i="4"/>
  <c r="L327" i="5"/>
  <c r="J316" i="4"/>
  <c r="N327" i="5"/>
  <c r="L316" i="4"/>
  <c r="Q327" i="5"/>
  <c r="M316" i="4"/>
  <c r="R327" i="5"/>
  <c r="N316" i="4"/>
  <c r="T327" i="5"/>
  <c r="O316" i="4"/>
  <c r="U327" i="5"/>
  <c r="P316" i="4"/>
  <c r="W327" i="5"/>
  <c r="Q316" i="4"/>
  <c r="X327" i="5"/>
  <c r="AA327" i="5"/>
  <c r="AC327" i="5"/>
  <c r="AD327" i="5"/>
  <c r="X316" i="4"/>
  <c r="AI327" i="5"/>
  <c r="Z327" i="5"/>
  <c r="AN327" i="5"/>
  <c r="O328" i="5"/>
  <c r="K328" i="5"/>
  <c r="AG328" i="5"/>
  <c r="B338" i="4"/>
  <c r="V338" i="4"/>
  <c r="AF328" i="5"/>
  <c r="C328" i="5"/>
  <c r="D338" i="4"/>
  <c r="E328" i="5"/>
  <c r="I328" i="5"/>
  <c r="I338" i="4"/>
  <c r="L328" i="5"/>
  <c r="J338" i="4"/>
  <c r="N328" i="5"/>
  <c r="L338" i="4"/>
  <c r="Q328" i="5"/>
  <c r="M338" i="4"/>
  <c r="R328" i="5"/>
  <c r="N338" i="4"/>
  <c r="T328" i="5"/>
  <c r="O338" i="4"/>
  <c r="U328" i="5"/>
  <c r="P338" i="4"/>
  <c r="W328" i="5"/>
  <c r="Q338" i="4"/>
  <c r="X328" i="5"/>
  <c r="AA328" i="5"/>
  <c r="AC328" i="5"/>
  <c r="AD328" i="5"/>
  <c r="X338" i="4"/>
  <c r="AI328" i="5"/>
  <c r="Y338" i="4"/>
  <c r="AJ328" i="5"/>
  <c r="AL328" i="5"/>
  <c r="Z328" i="5"/>
  <c r="AN328" i="5"/>
  <c r="O329" i="5"/>
  <c r="K329" i="5"/>
  <c r="AG329" i="5"/>
  <c r="B339" i="4"/>
  <c r="V339" i="4"/>
  <c r="AF329" i="5"/>
  <c r="C329" i="5"/>
  <c r="D339" i="4"/>
  <c r="E329" i="5"/>
  <c r="I329" i="5"/>
  <c r="I339" i="4"/>
  <c r="L329" i="5"/>
  <c r="J339" i="4"/>
  <c r="N329" i="5"/>
  <c r="L339" i="4"/>
  <c r="Q329" i="5"/>
  <c r="M339" i="4"/>
  <c r="R329" i="5"/>
  <c r="N339" i="4"/>
  <c r="T329" i="5"/>
  <c r="O339" i="4"/>
  <c r="U329" i="5"/>
  <c r="P339" i="4"/>
  <c r="W329" i="5"/>
  <c r="Q339" i="4"/>
  <c r="X329" i="5"/>
  <c r="AA329" i="5"/>
  <c r="AC329" i="5"/>
  <c r="AD329" i="5"/>
  <c r="X339" i="4"/>
  <c r="AI329" i="5"/>
  <c r="Y339" i="4"/>
  <c r="AJ329" i="5"/>
  <c r="AL329" i="5"/>
  <c r="Z329" i="5"/>
  <c r="AN329" i="5"/>
  <c r="O330" i="5"/>
  <c r="K330" i="5"/>
  <c r="AG330" i="5"/>
  <c r="B340" i="4"/>
  <c r="V340" i="4"/>
  <c r="AF330" i="5"/>
  <c r="C330" i="5"/>
  <c r="D340" i="4"/>
  <c r="E330" i="5"/>
  <c r="I340" i="4"/>
  <c r="L330" i="5"/>
  <c r="J340" i="4"/>
  <c r="N330" i="5"/>
  <c r="L340" i="4"/>
  <c r="Q330" i="5"/>
  <c r="M340" i="4"/>
  <c r="R330" i="5"/>
  <c r="N340" i="4"/>
  <c r="T330" i="5"/>
  <c r="O340" i="4"/>
  <c r="U330" i="5"/>
  <c r="P340" i="4"/>
  <c r="W330" i="5"/>
  <c r="Q340" i="4"/>
  <c r="X330" i="5"/>
  <c r="AA330" i="5"/>
  <c r="AC330" i="5"/>
  <c r="AD330" i="5"/>
  <c r="X340" i="4"/>
  <c r="AI330" i="5"/>
  <c r="Y340" i="4"/>
  <c r="AJ330" i="5"/>
  <c r="AL330" i="5"/>
  <c r="F330" i="5"/>
  <c r="H330" i="5"/>
  <c r="I330" i="5"/>
  <c r="Z330" i="5"/>
  <c r="AN330" i="5"/>
  <c r="O331" i="5"/>
  <c r="K331" i="5"/>
  <c r="AG331" i="5"/>
  <c r="B342" i="4"/>
  <c r="V342" i="4"/>
  <c r="AF331" i="5"/>
  <c r="C331" i="5"/>
  <c r="D342" i="4"/>
  <c r="E331" i="5"/>
  <c r="I342" i="4"/>
  <c r="L331" i="5"/>
  <c r="J342" i="4"/>
  <c r="N331" i="5"/>
  <c r="L342" i="4"/>
  <c r="Q331" i="5"/>
  <c r="M342" i="4"/>
  <c r="R331" i="5"/>
  <c r="N342" i="4"/>
  <c r="T331" i="5"/>
  <c r="O342" i="4"/>
  <c r="U331" i="5"/>
  <c r="P342" i="4"/>
  <c r="W331" i="5"/>
  <c r="Q342" i="4"/>
  <c r="X331" i="5"/>
  <c r="AA331" i="5"/>
  <c r="AC331" i="5"/>
  <c r="AD331" i="5"/>
  <c r="X342" i="4"/>
  <c r="AI331" i="5"/>
  <c r="Y342" i="4"/>
  <c r="AJ331" i="5"/>
  <c r="AL331" i="5"/>
  <c r="F331" i="5"/>
  <c r="H331" i="5"/>
  <c r="I331" i="5"/>
  <c r="Z331" i="5"/>
  <c r="AN331" i="5"/>
  <c r="O332" i="5"/>
  <c r="K332" i="5"/>
  <c r="AG332" i="5"/>
  <c r="B322" i="4"/>
  <c r="V322" i="4"/>
  <c r="AF332" i="5"/>
  <c r="C332" i="5"/>
  <c r="D322" i="4"/>
  <c r="E332" i="5"/>
  <c r="I332" i="5"/>
  <c r="I322" i="4"/>
  <c r="L332" i="5"/>
  <c r="J322" i="4"/>
  <c r="N332" i="5"/>
  <c r="L322" i="4"/>
  <c r="Q332" i="5"/>
  <c r="M322" i="4"/>
  <c r="R332" i="5"/>
  <c r="N322" i="4"/>
  <c r="T332" i="5"/>
  <c r="O322" i="4"/>
  <c r="U332" i="5"/>
  <c r="P322" i="4"/>
  <c r="W332" i="5"/>
  <c r="Q322" i="4"/>
  <c r="X332" i="5"/>
  <c r="AA332" i="5"/>
  <c r="AC332" i="5"/>
  <c r="AD332" i="5"/>
  <c r="X322" i="4"/>
  <c r="AI332" i="5"/>
  <c r="Y322" i="4"/>
  <c r="AJ332" i="5"/>
  <c r="AL332" i="5"/>
  <c r="Z332" i="5"/>
  <c r="AN332" i="5"/>
  <c r="O333" i="5"/>
  <c r="K333" i="5"/>
  <c r="AG333" i="5"/>
  <c r="AF333" i="5"/>
  <c r="C333" i="5"/>
  <c r="B317" i="4"/>
  <c r="D317" i="4"/>
  <c r="E333" i="5"/>
  <c r="I333" i="5"/>
  <c r="I317" i="4"/>
  <c r="L333" i="5"/>
  <c r="J317" i="4"/>
  <c r="N333" i="5"/>
  <c r="L317" i="4"/>
  <c r="Q333" i="5"/>
  <c r="M317" i="4"/>
  <c r="R333" i="5"/>
  <c r="N317" i="4"/>
  <c r="T333" i="5"/>
  <c r="O317" i="4"/>
  <c r="U333" i="5"/>
  <c r="P317" i="4"/>
  <c r="W333" i="5"/>
  <c r="Q317" i="4"/>
  <c r="X333" i="5"/>
  <c r="AA333" i="5"/>
  <c r="AC333" i="5"/>
  <c r="AD333" i="5"/>
  <c r="X317" i="4"/>
  <c r="AI333" i="5"/>
  <c r="Y317" i="4"/>
  <c r="AJ333" i="5"/>
  <c r="AL333" i="5"/>
  <c r="Z333" i="5"/>
  <c r="AN333" i="5"/>
  <c r="O334" i="5"/>
  <c r="K334" i="5"/>
  <c r="AG334" i="5"/>
  <c r="B323" i="4"/>
  <c r="V323" i="4"/>
  <c r="AF334" i="5"/>
  <c r="C334" i="5"/>
  <c r="D323" i="4"/>
  <c r="E334" i="5"/>
  <c r="I334" i="5"/>
  <c r="I323" i="4"/>
  <c r="L334" i="5"/>
  <c r="J323" i="4"/>
  <c r="N334" i="5"/>
  <c r="L323" i="4"/>
  <c r="Q334" i="5"/>
  <c r="M323" i="4"/>
  <c r="R334" i="5"/>
  <c r="N323" i="4"/>
  <c r="T334" i="5"/>
  <c r="O323" i="4"/>
  <c r="U334" i="5"/>
  <c r="P323" i="4"/>
  <c r="W334" i="5"/>
  <c r="Q323" i="4"/>
  <c r="X334" i="5"/>
  <c r="AA334" i="5"/>
  <c r="AC334" i="5"/>
  <c r="AD334" i="5"/>
  <c r="X323" i="4"/>
  <c r="AI334" i="5"/>
  <c r="Y323" i="4"/>
  <c r="AJ334" i="5"/>
  <c r="AL334" i="5"/>
  <c r="Z334" i="5"/>
  <c r="AN334" i="5"/>
  <c r="O335" i="5"/>
  <c r="K335" i="5"/>
  <c r="AG335" i="5"/>
  <c r="B324" i="4"/>
  <c r="V324" i="4"/>
  <c r="AF335" i="5"/>
  <c r="C335" i="5"/>
  <c r="D324" i="4"/>
  <c r="E335" i="5"/>
  <c r="I335" i="5"/>
  <c r="I324" i="4"/>
  <c r="L335" i="5"/>
  <c r="J324" i="4"/>
  <c r="N335" i="5"/>
  <c r="L324" i="4"/>
  <c r="Q335" i="5"/>
  <c r="M324" i="4"/>
  <c r="R335" i="5"/>
  <c r="N324" i="4"/>
  <c r="T335" i="5"/>
  <c r="O324" i="4"/>
  <c r="U335" i="5"/>
  <c r="P324" i="4"/>
  <c r="W335" i="5"/>
  <c r="Q324" i="4"/>
  <c r="X335" i="5"/>
  <c r="AA335" i="5"/>
  <c r="AC335" i="5"/>
  <c r="AD335" i="5"/>
  <c r="X324" i="4"/>
  <c r="AI335" i="5"/>
  <c r="Y324" i="4"/>
  <c r="AJ335" i="5"/>
  <c r="AL335" i="5"/>
  <c r="Z335" i="5"/>
  <c r="AN335" i="5"/>
  <c r="O336" i="5"/>
  <c r="K336" i="5"/>
  <c r="AG336" i="5"/>
  <c r="B325" i="4"/>
  <c r="V325" i="4"/>
  <c r="AF336" i="5"/>
  <c r="C336" i="5"/>
  <c r="D325" i="4"/>
  <c r="E336" i="5"/>
  <c r="I325" i="4"/>
  <c r="L336" i="5"/>
  <c r="J325" i="4"/>
  <c r="N336" i="5"/>
  <c r="L325" i="4"/>
  <c r="Q336" i="5"/>
  <c r="M325" i="4"/>
  <c r="R336" i="5"/>
  <c r="N325" i="4"/>
  <c r="T336" i="5"/>
  <c r="O325" i="4"/>
  <c r="U336" i="5"/>
  <c r="P325" i="4"/>
  <c r="W336" i="5"/>
  <c r="Q325" i="4"/>
  <c r="X336" i="5"/>
  <c r="AA336" i="5"/>
  <c r="AC336" i="5"/>
  <c r="AD336" i="5"/>
  <c r="X325" i="4"/>
  <c r="AI336" i="5"/>
  <c r="Y325" i="4"/>
  <c r="AJ336" i="5"/>
  <c r="AL336" i="5"/>
  <c r="F336" i="5"/>
  <c r="H336" i="5"/>
  <c r="I336" i="5"/>
  <c r="Z336" i="5"/>
  <c r="AN336" i="5"/>
  <c r="O337" i="5"/>
  <c r="K337" i="5"/>
  <c r="AG337" i="5"/>
  <c r="B346" i="4"/>
  <c r="V346" i="4"/>
  <c r="AF337" i="5"/>
  <c r="C337" i="5"/>
  <c r="D346" i="4"/>
  <c r="E337" i="5"/>
  <c r="I337" i="5"/>
  <c r="I346" i="4"/>
  <c r="L337" i="5"/>
  <c r="J346" i="4"/>
  <c r="N337" i="5"/>
  <c r="L346" i="4"/>
  <c r="Q337" i="5"/>
  <c r="M346" i="4"/>
  <c r="R337" i="5"/>
  <c r="N346" i="4"/>
  <c r="T337" i="5"/>
  <c r="O346" i="4"/>
  <c r="U337" i="5"/>
  <c r="P346" i="4"/>
  <c r="W337" i="5"/>
  <c r="Q346" i="4"/>
  <c r="X337" i="5"/>
  <c r="AA337" i="5"/>
  <c r="AC337" i="5"/>
  <c r="AD337" i="5"/>
  <c r="X346" i="4"/>
  <c r="AI337" i="5"/>
  <c r="Y346" i="4"/>
  <c r="AJ337" i="5"/>
  <c r="AL337" i="5"/>
  <c r="Z337" i="5"/>
  <c r="AN337" i="5"/>
  <c r="O338" i="5"/>
  <c r="K338" i="5"/>
  <c r="AG338" i="5"/>
  <c r="B326" i="4"/>
  <c r="V326" i="4"/>
  <c r="AF338" i="5"/>
  <c r="C338" i="5"/>
  <c r="D326" i="4"/>
  <c r="E338" i="5"/>
  <c r="I326" i="4"/>
  <c r="L338" i="5"/>
  <c r="J326" i="4"/>
  <c r="N338" i="5"/>
  <c r="L326" i="4"/>
  <c r="Q338" i="5"/>
  <c r="M326" i="4"/>
  <c r="R338" i="5"/>
  <c r="N326" i="4"/>
  <c r="T338" i="5"/>
  <c r="O326" i="4"/>
  <c r="U338" i="5"/>
  <c r="P326" i="4"/>
  <c r="W338" i="5"/>
  <c r="Q326" i="4"/>
  <c r="X338" i="5"/>
  <c r="AA338" i="5"/>
  <c r="AC338" i="5"/>
  <c r="AD338" i="5"/>
  <c r="X326" i="4"/>
  <c r="AI338" i="5"/>
  <c r="Y326" i="4"/>
  <c r="AJ338" i="5"/>
  <c r="AL338" i="5"/>
  <c r="F338" i="5"/>
  <c r="H338" i="5"/>
  <c r="I338" i="5"/>
  <c r="Z338" i="5"/>
  <c r="AN338" i="5"/>
  <c r="O339" i="5"/>
  <c r="K339" i="5"/>
  <c r="AG339" i="5"/>
  <c r="B327" i="4"/>
  <c r="V327" i="4"/>
  <c r="AF339" i="5"/>
  <c r="C339" i="5"/>
  <c r="D327" i="4"/>
  <c r="E339" i="5"/>
  <c r="I339" i="5"/>
  <c r="I327" i="4"/>
  <c r="L339" i="5"/>
  <c r="J327" i="4"/>
  <c r="N339" i="5"/>
  <c r="L327" i="4"/>
  <c r="Q339" i="5"/>
  <c r="M327" i="4"/>
  <c r="R339" i="5"/>
  <c r="N327" i="4"/>
  <c r="T339" i="5"/>
  <c r="O327" i="4"/>
  <c r="U339" i="5"/>
  <c r="P327" i="4"/>
  <c r="W339" i="5"/>
  <c r="Q327" i="4"/>
  <c r="X339" i="5"/>
  <c r="AA339" i="5"/>
  <c r="AC339" i="5"/>
  <c r="AD339" i="5"/>
  <c r="X327" i="4"/>
  <c r="AI339" i="5"/>
  <c r="Y327" i="4"/>
  <c r="AJ339" i="5"/>
  <c r="AL339" i="5"/>
  <c r="Z339" i="5"/>
  <c r="AN339" i="5"/>
  <c r="O340" i="5"/>
  <c r="K340" i="5"/>
  <c r="AG340" i="5"/>
  <c r="B328" i="4"/>
  <c r="V328" i="4"/>
  <c r="AF340" i="5"/>
  <c r="C340" i="5"/>
  <c r="D328" i="4"/>
  <c r="E340" i="5"/>
  <c r="I328" i="4"/>
  <c r="L340" i="5"/>
  <c r="J328" i="4"/>
  <c r="N340" i="5"/>
  <c r="L328" i="4"/>
  <c r="Q340" i="5"/>
  <c r="M328" i="4"/>
  <c r="R340" i="5"/>
  <c r="N328" i="4"/>
  <c r="T340" i="5"/>
  <c r="O328" i="4"/>
  <c r="U340" i="5"/>
  <c r="P328" i="4"/>
  <c r="W340" i="5"/>
  <c r="Q328" i="4"/>
  <c r="X340" i="5"/>
  <c r="AA340" i="5"/>
  <c r="AC340" i="5"/>
  <c r="AD340" i="5"/>
  <c r="X328" i="4"/>
  <c r="AI340" i="5"/>
  <c r="Y328" i="4"/>
  <c r="AJ340" i="5"/>
  <c r="AL340" i="5"/>
  <c r="F340" i="5"/>
  <c r="H340" i="5"/>
  <c r="I340" i="5"/>
  <c r="Z340" i="5"/>
  <c r="AN340" i="5"/>
  <c r="O341" i="5"/>
  <c r="K341" i="5"/>
  <c r="AG341" i="5"/>
  <c r="B329" i="4"/>
  <c r="V329" i="4"/>
  <c r="AF341" i="5"/>
  <c r="C341" i="5"/>
  <c r="D329" i="4"/>
  <c r="E341" i="5"/>
  <c r="I341" i="5"/>
  <c r="I329" i="4"/>
  <c r="L341" i="5"/>
  <c r="J329" i="4"/>
  <c r="N341" i="5"/>
  <c r="L329" i="4"/>
  <c r="Q341" i="5"/>
  <c r="M329" i="4"/>
  <c r="R341" i="5"/>
  <c r="N329" i="4"/>
  <c r="T341" i="5"/>
  <c r="O329" i="4"/>
  <c r="U341" i="5"/>
  <c r="P329" i="4"/>
  <c r="W341" i="5"/>
  <c r="Q329" i="4"/>
  <c r="X341" i="5"/>
  <c r="AA341" i="5"/>
  <c r="AC341" i="5"/>
  <c r="AD341" i="5"/>
  <c r="X329" i="4"/>
  <c r="AI341" i="5"/>
  <c r="Y329" i="4"/>
  <c r="AJ341" i="5"/>
  <c r="AL341" i="5"/>
  <c r="Z341" i="5"/>
  <c r="AN341" i="5"/>
  <c r="O342" i="5"/>
  <c r="K342" i="5"/>
  <c r="AG342" i="5"/>
  <c r="B341" i="4"/>
  <c r="V341" i="4"/>
  <c r="AF342" i="5"/>
  <c r="C342" i="5"/>
  <c r="D341" i="4"/>
  <c r="E342" i="5"/>
  <c r="I342" i="5"/>
  <c r="I341" i="4"/>
  <c r="L342" i="5"/>
  <c r="J341" i="4"/>
  <c r="N342" i="5"/>
  <c r="L341" i="4"/>
  <c r="Q342" i="5"/>
  <c r="M341" i="4"/>
  <c r="R342" i="5"/>
  <c r="N341" i="4"/>
  <c r="T342" i="5"/>
  <c r="O341" i="4"/>
  <c r="U342" i="5"/>
  <c r="P341" i="4"/>
  <c r="W342" i="5"/>
  <c r="Q341" i="4"/>
  <c r="X342" i="5"/>
  <c r="AA342" i="5"/>
  <c r="AC342" i="5"/>
  <c r="AD342" i="5"/>
  <c r="X341" i="4"/>
  <c r="AI342" i="5"/>
  <c r="Y341" i="4"/>
  <c r="AJ342" i="5"/>
  <c r="AL342" i="5"/>
  <c r="Z342" i="5"/>
  <c r="AN342" i="5"/>
  <c r="O343" i="5"/>
  <c r="K343" i="5"/>
  <c r="AG343" i="5"/>
  <c r="B330" i="4"/>
  <c r="V330" i="4"/>
  <c r="AF343" i="5"/>
  <c r="C343" i="5"/>
  <c r="D330" i="4"/>
  <c r="E343" i="5"/>
  <c r="I343" i="5"/>
  <c r="I330" i="4"/>
  <c r="L343" i="5"/>
  <c r="J330" i="4"/>
  <c r="N343" i="5"/>
  <c r="L330" i="4"/>
  <c r="Q343" i="5"/>
  <c r="M330" i="4"/>
  <c r="R343" i="5"/>
  <c r="N330" i="4"/>
  <c r="T343" i="5"/>
  <c r="O330" i="4"/>
  <c r="U343" i="5"/>
  <c r="P330" i="4"/>
  <c r="W343" i="5"/>
  <c r="Q330" i="4"/>
  <c r="X343" i="5"/>
  <c r="AA343" i="5"/>
  <c r="AC343" i="5"/>
  <c r="AD343" i="5"/>
  <c r="X330" i="4"/>
  <c r="AI343" i="5"/>
  <c r="Y330" i="4"/>
  <c r="AJ343" i="5"/>
  <c r="AL343" i="5"/>
  <c r="Z343" i="5"/>
  <c r="AN343" i="5"/>
  <c r="O344" i="5"/>
  <c r="K344" i="5"/>
  <c r="AG344" i="5"/>
  <c r="B331" i="4"/>
  <c r="V331" i="4"/>
  <c r="AF344" i="5"/>
  <c r="C344" i="5"/>
  <c r="D331" i="4"/>
  <c r="E344" i="5"/>
  <c r="I331" i="4"/>
  <c r="L344" i="5"/>
  <c r="J331" i="4"/>
  <c r="N344" i="5"/>
  <c r="L331" i="4"/>
  <c r="Q344" i="5"/>
  <c r="M331" i="4"/>
  <c r="R344" i="5"/>
  <c r="N331" i="4"/>
  <c r="T344" i="5"/>
  <c r="O331" i="4"/>
  <c r="U344" i="5"/>
  <c r="P331" i="4"/>
  <c r="W344" i="5"/>
  <c r="Q331" i="4"/>
  <c r="X344" i="5"/>
  <c r="AA344" i="5"/>
  <c r="AC344" i="5"/>
  <c r="AD344" i="5"/>
  <c r="X331" i="4"/>
  <c r="AI344" i="5"/>
  <c r="Y331" i="4"/>
  <c r="AJ344" i="5"/>
  <c r="AL344" i="5"/>
  <c r="F344" i="5"/>
  <c r="H344" i="5"/>
  <c r="I344" i="5"/>
  <c r="Z344" i="5"/>
  <c r="AN344" i="5"/>
  <c r="O345" i="5"/>
  <c r="K345" i="5"/>
  <c r="AG345" i="5"/>
  <c r="B332" i="4"/>
  <c r="V332" i="4"/>
  <c r="AF345" i="5"/>
  <c r="C345" i="5"/>
  <c r="D332" i="4"/>
  <c r="E345" i="5"/>
  <c r="I332" i="4"/>
  <c r="L345" i="5"/>
  <c r="J332" i="4"/>
  <c r="N345" i="5"/>
  <c r="L332" i="4"/>
  <c r="Q345" i="5"/>
  <c r="M332" i="4"/>
  <c r="R345" i="5"/>
  <c r="N332" i="4"/>
  <c r="T345" i="5"/>
  <c r="O332" i="4"/>
  <c r="U345" i="5"/>
  <c r="P332" i="4"/>
  <c r="W345" i="5"/>
  <c r="Q332" i="4"/>
  <c r="X345" i="5"/>
  <c r="AA345" i="5"/>
  <c r="AC345" i="5"/>
  <c r="AD345" i="5"/>
  <c r="X332" i="4"/>
  <c r="AI345" i="5"/>
  <c r="Y332" i="4"/>
  <c r="AJ345" i="5"/>
  <c r="AL345" i="5"/>
  <c r="F345" i="5"/>
  <c r="H345" i="5"/>
  <c r="I345" i="5"/>
  <c r="Z345" i="5"/>
  <c r="AN345" i="5"/>
  <c r="O346" i="5"/>
  <c r="K346" i="5"/>
  <c r="AG346" i="5"/>
  <c r="B333" i="4"/>
  <c r="V333" i="4"/>
  <c r="AF346" i="5"/>
  <c r="C346" i="5"/>
  <c r="D333" i="4"/>
  <c r="E346" i="5"/>
  <c r="I333" i="4"/>
  <c r="L346" i="5"/>
  <c r="J333" i="4"/>
  <c r="N346" i="5"/>
  <c r="L333" i="4"/>
  <c r="Q346" i="5"/>
  <c r="M333" i="4"/>
  <c r="R346" i="5"/>
  <c r="N333" i="4"/>
  <c r="T346" i="5"/>
  <c r="O333" i="4"/>
  <c r="U346" i="5"/>
  <c r="P333" i="4"/>
  <c r="W346" i="5"/>
  <c r="Q333" i="4"/>
  <c r="X346" i="5"/>
  <c r="AA346" i="5"/>
  <c r="AC346" i="5"/>
  <c r="AD346" i="5"/>
  <c r="X333" i="4"/>
  <c r="AI346" i="5"/>
  <c r="Y333" i="4"/>
  <c r="AJ346" i="5"/>
  <c r="AL346" i="5"/>
  <c r="F346" i="5"/>
  <c r="H346" i="5"/>
  <c r="I346" i="5"/>
  <c r="Z346" i="5"/>
  <c r="AN346" i="5"/>
  <c r="O347" i="5"/>
  <c r="K347" i="5"/>
  <c r="AG347" i="5"/>
  <c r="B334" i="4"/>
  <c r="V334" i="4"/>
  <c r="AF347" i="5"/>
  <c r="C347" i="5"/>
  <c r="D334" i="4"/>
  <c r="E347" i="5"/>
  <c r="I347" i="5"/>
  <c r="I334" i="4"/>
  <c r="L347" i="5"/>
  <c r="J334" i="4"/>
  <c r="N347" i="5"/>
  <c r="L334" i="4"/>
  <c r="Q347" i="5"/>
  <c r="M334" i="4"/>
  <c r="R347" i="5"/>
  <c r="N334" i="4"/>
  <c r="T347" i="5"/>
  <c r="O334" i="4"/>
  <c r="U347" i="5"/>
  <c r="P334" i="4"/>
  <c r="W347" i="5"/>
  <c r="Q334" i="4"/>
  <c r="X347" i="5"/>
  <c r="AA347" i="5"/>
  <c r="AC347" i="5"/>
  <c r="AD347" i="5"/>
  <c r="X334" i="4"/>
  <c r="AI347" i="5"/>
  <c r="Y334" i="4"/>
  <c r="AJ347" i="5"/>
  <c r="AL347" i="5"/>
  <c r="Z347" i="5"/>
  <c r="AN347" i="5"/>
  <c r="K50" i="2"/>
  <c r="B350" i="4"/>
  <c r="K350" i="4"/>
  <c r="O348" i="5"/>
  <c r="H50" i="2"/>
  <c r="H350" i="4"/>
  <c r="K348" i="5"/>
  <c r="W50" i="2"/>
  <c r="W350" i="4"/>
  <c r="AG348" i="5"/>
  <c r="V50" i="2"/>
  <c r="V350" i="4"/>
  <c r="AF348" i="5"/>
  <c r="C50" i="2"/>
  <c r="C350" i="4"/>
  <c r="C348" i="5"/>
  <c r="D50" i="2"/>
  <c r="D350" i="4"/>
  <c r="E348" i="5"/>
  <c r="I50" i="2"/>
  <c r="I350" i="4"/>
  <c r="L348" i="5"/>
  <c r="J50" i="2"/>
  <c r="J350" i="4"/>
  <c r="N348" i="5"/>
  <c r="L50" i="2"/>
  <c r="L350" i="4"/>
  <c r="Q348" i="5"/>
  <c r="M50" i="2"/>
  <c r="M350" i="4"/>
  <c r="R348" i="5"/>
  <c r="N50" i="2"/>
  <c r="N350" i="4"/>
  <c r="T348" i="5"/>
  <c r="O50" i="2"/>
  <c r="O350" i="4"/>
  <c r="U348" i="5"/>
  <c r="P50" i="2"/>
  <c r="P350" i="4"/>
  <c r="W348" i="5"/>
  <c r="Q50" i="2"/>
  <c r="Q350" i="4"/>
  <c r="X348" i="5"/>
  <c r="S50" i="2"/>
  <c r="S350" i="4"/>
  <c r="AA348" i="5"/>
  <c r="T50" i="2"/>
  <c r="T350" i="4"/>
  <c r="AC348" i="5"/>
  <c r="U50" i="2"/>
  <c r="U350" i="4"/>
  <c r="AD348" i="5"/>
  <c r="X50" i="2"/>
  <c r="X350" i="4"/>
  <c r="AI348" i="5"/>
  <c r="Y50" i="2"/>
  <c r="Y350" i="4"/>
  <c r="AJ348" i="5"/>
  <c r="Z50" i="2"/>
  <c r="Z350" i="4"/>
  <c r="AL348" i="5"/>
  <c r="F348" i="5"/>
  <c r="H348" i="5"/>
  <c r="I348" i="5"/>
  <c r="Z348" i="5"/>
  <c r="AN348" i="5"/>
  <c r="B356" i="4"/>
  <c r="K51" i="2"/>
  <c r="K356" i="4"/>
  <c r="O349" i="5"/>
  <c r="H51" i="2"/>
  <c r="H356" i="4"/>
  <c r="K349" i="5"/>
  <c r="W51" i="2"/>
  <c r="W356" i="4"/>
  <c r="AG349" i="5"/>
  <c r="V51" i="2"/>
  <c r="V356" i="4"/>
  <c r="AF349" i="5"/>
  <c r="C51" i="2"/>
  <c r="C356" i="4"/>
  <c r="C349" i="5"/>
  <c r="D51" i="2"/>
  <c r="D356" i="4"/>
  <c r="E349" i="5"/>
  <c r="I51" i="2"/>
  <c r="I356" i="4"/>
  <c r="L349" i="5"/>
  <c r="J51" i="2"/>
  <c r="J356" i="4"/>
  <c r="N349" i="5"/>
  <c r="L51" i="2"/>
  <c r="L356" i="4"/>
  <c r="Q349" i="5"/>
  <c r="M51" i="2"/>
  <c r="M356" i="4"/>
  <c r="R349" i="5"/>
  <c r="N51" i="2"/>
  <c r="N356" i="4"/>
  <c r="T349" i="5"/>
  <c r="O51" i="2"/>
  <c r="O356" i="4"/>
  <c r="U349" i="5"/>
  <c r="P51" i="2"/>
  <c r="P356" i="4"/>
  <c r="W349" i="5"/>
  <c r="Q51" i="2"/>
  <c r="Q356" i="4"/>
  <c r="X349" i="5"/>
  <c r="S356" i="4"/>
  <c r="AA349" i="5"/>
  <c r="T51" i="2"/>
  <c r="T356" i="4"/>
  <c r="AC349" i="5"/>
  <c r="U51" i="2"/>
  <c r="U356" i="4"/>
  <c r="AD349" i="5"/>
  <c r="X51" i="2"/>
  <c r="X356" i="4"/>
  <c r="AI349" i="5"/>
  <c r="Y356" i="4"/>
  <c r="AJ349" i="5"/>
  <c r="Z51" i="2"/>
  <c r="Z356" i="4"/>
  <c r="AL349" i="5"/>
  <c r="F349" i="5"/>
  <c r="H349" i="5"/>
  <c r="I349" i="5"/>
  <c r="Z349" i="5"/>
  <c r="AN349" i="5"/>
  <c r="B357" i="4"/>
  <c r="K357" i="4"/>
  <c r="O350" i="5"/>
  <c r="H357" i="4"/>
  <c r="K350" i="5"/>
  <c r="W357" i="4"/>
  <c r="AG350" i="5"/>
  <c r="V357" i="4"/>
  <c r="AF350" i="5"/>
  <c r="C357" i="4"/>
  <c r="C350" i="5"/>
  <c r="D357" i="4"/>
  <c r="E350" i="5"/>
  <c r="I357" i="4"/>
  <c r="L350" i="5"/>
  <c r="J357" i="4"/>
  <c r="N350" i="5"/>
  <c r="L357" i="4"/>
  <c r="Q350" i="5"/>
  <c r="M357" i="4"/>
  <c r="R350" i="5"/>
  <c r="N357" i="4"/>
  <c r="T350" i="5"/>
  <c r="O357" i="4"/>
  <c r="U350" i="5"/>
  <c r="P357" i="4"/>
  <c r="W350" i="5"/>
  <c r="Q357" i="4"/>
  <c r="X350" i="5"/>
  <c r="S357" i="4"/>
  <c r="AA350" i="5"/>
  <c r="T357" i="4"/>
  <c r="AC350" i="5"/>
  <c r="U357" i="4"/>
  <c r="AD350" i="5"/>
  <c r="X357" i="4"/>
  <c r="AI350" i="5"/>
  <c r="Y357" i="4"/>
  <c r="AJ350" i="5"/>
  <c r="Z357" i="4"/>
  <c r="AL350" i="5"/>
  <c r="F350" i="5"/>
  <c r="H350" i="5"/>
  <c r="I350" i="5"/>
  <c r="Z350" i="5"/>
  <c r="AN350" i="5"/>
  <c r="B355" i="4"/>
  <c r="S355" i="4"/>
  <c r="AA351" i="5"/>
  <c r="P355" i="4"/>
  <c r="W351" i="5"/>
  <c r="K355" i="4"/>
  <c r="O351" i="5"/>
  <c r="H355" i="4"/>
  <c r="K351" i="5"/>
  <c r="W355" i="4"/>
  <c r="AG351" i="5"/>
  <c r="V355" i="4"/>
  <c r="AF351" i="5"/>
  <c r="C355" i="4"/>
  <c r="C351" i="5"/>
  <c r="D355" i="4"/>
  <c r="E351" i="5"/>
  <c r="I355" i="4"/>
  <c r="L351" i="5"/>
  <c r="J355" i="4"/>
  <c r="N351" i="5"/>
  <c r="L355" i="4"/>
  <c r="Q351" i="5"/>
  <c r="M355" i="4"/>
  <c r="R351" i="5"/>
  <c r="N355" i="4"/>
  <c r="T351" i="5"/>
  <c r="O355" i="4"/>
  <c r="U351" i="5"/>
  <c r="Q355" i="4"/>
  <c r="X351" i="5"/>
  <c r="R51" i="2"/>
  <c r="R355" i="4"/>
  <c r="Z351" i="5"/>
  <c r="T355" i="4"/>
  <c r="AC351" i="5"/>
  <c r="U355" i="4"/>
  <c r="AD351" i="5"/>
  <c r="X355" i="4"/>
  <c r="AI351" i="5"/>
  <c r="Y355" i="4"/>
  <c r="AJ351" i="5"/>
  <c r="Z355" i="4"/>
  <c r="AL351" i="5"/>
  <c r="F351" i="5"/>
  <c r="H351" i="5"/>
  <c r="I351" i="5"/>
  <c r="AN351" i="5"/>
  <c r="K361" i="4"/>
  <c r="O352" i="5"/>
  <c r="H361" i="4"/>
  <c r="K352" i="5"/>
  <c r="W361" i="4"/>
  <c r="AG352" i="5"/>
  <c r="V361" i="4"/>
  <c r="AF352" i="5"/>
  <c r="C361" i="4"/>
  <c r="C352" i="5"/>
  <c r="D361" i="4"/>
  <c r="E352" i="5"/>
  <c r="I361" i="4"/>
  <c r="L352" i="5"/>
  <c r="J361" i="4"/>
  <c r="N352" i="5"/>
  <c r="L361" i="4"/>
  <c r="Q352" i="5"/>
  <c r="M361" i="4"/>
  <c r="R352" i="5"/>
  <c r="N361" i="4"/>
  <c r="T352" i="5"/>
  <c r="O361" i="4"/>
  <c r="U352" i="5"/>
  <c r="P361" i="4"/>
  <c r="W352" i="5"/>
  <c r="Q361" i="4"/>
  <c r="X352" i="5"/>
  <c r="T361" i="4"/>
  <c r="AC352" i="5"/>
  <c r="U361" i="4"/>
  <c r="AD352" i="5"/>
  <c r="X361" i="4"/>
  <c r="AI352" i="5"/>
  <c r="Y361" i="4"/>
  <c r="AJ352" i="5"/>
  <c r="Z361" i="4"/>
  <c r="AL352" i="5"/>
  <c r="Z352" i="5"/>
  <c r="F352" i="5"/>
  <c r="H352" i="5"/>
  <c r="I352" i="5"/>
  <c r="AN352" i="5"/>
  <c r="B362" i="4"/>
  <c r="K362" i="4"/>
  <c r="O353" i="5"/>
  <c r="H362" i="4"/>
  <c r="K353" i="5"/>
  <c r="W362" i="4"/>
  <c r="AG353" i="5"/>
  <c r="V362" i="4"/>
  <c r="AF353" i="5"/>
  <c r="C362" i="4"/>
  <c r="C353" i="5"/>
  <c r="D362" i="4"/>
  <c r="E353" i="5"/>
  <c r="I362" i="4"/>
  <c r="L353" i="5"/>
  <c r="J362" i="4"/>
  <c r="N353" i="5"/>
  <c r="L362" i="4"/>
  <c r="Q353" i="5"/>
  <c r="M362" i="4"/>
  <c r="R353" i="5"/>
  <c r="N362" i="4"/>
  <c r="T353" i="5"/>
  <c r="O362" i="4"/>
  <c r="U353" i="5"/>
  <c r="P362" i="4"/>
  <c r="W353" i="5"/>
  <c r="Q362" i="4"/>
  <c r="X353" i="5"/>
  <c r="S362" i="4"/>
  <c r="T362" i="4"/>
  <c r="AC353" i="5"/>
  <c r="U362" i="4"/>
  <c r="AD353" i="5"/>
  <c r="X362" i="4"/>
  <c r="AI353" i="5"/>
  <c r="Y362" i="4"/>
  <c r="AJ353" i="5"/>
  <c r="Z362" i="4"/>
  <c r="AL353" i="5"/>
  <c r="Z353" i="5"/>
  <c r="F353" i="5"/>
  <c r="H353" i="5"/>
  <c r="I353" i="5"/>
  <c r="AN353" i="5"/>
  <c r="B368" i="4"/>
  <c r="K368" i="4"/>
  <c r="O354" i="5"/>
  <c r="H368" i="4"/>
  <c r="K354" i="5"/>
  <c r="W368" i="4"/>
  <c r="AG354" i="5"/>
  <c r="V368" i="4"/>
  <c r="AF354" i="5"/>
  <c r="C368" i="4"/>
  <c r="C354" i="5"/>
  <c r="D368" i="4"/>
  <c r="E354" i="5"/>
  <c r="I368" i="4"/>
  <c r="L354" i="5"/>
  <c r="J368" i="4"/>
  <c r="N354" i="5"/>
  <c r="L368" i="4"/>
  <c r="Q354" i="5"/>
  <c r="M368" i="4"/>
  <c r="R354" i="5"/>
  <c r="N368" i="4"/>
  <c r="T354" i="5"/>
  <c r="O368" i="4"/>
  <c r="U354" i="5"/>
  <c r="P368" i="4"/>
  <c r="W354" i="5"/>
  <c r="Q368" i="4"/>
  <c r="X354" i="5"/>
  <c r="S368" i="4"/>
  <c r="AA354" i="5"/>
  <c r="T368" i="4"/>
  <c r="AC354" i="5"/>
  <c r="U368" i="4"/>
  <c r="AD354" i="5"/>
  <c r="X368" i="4"/>
  <c r="AI354" i="5"/>
  <c r="Y368" i="4"/>
  <c r="AJ354" i="5"/>
  <c r="Z368" i="4"/>
  <c r="AL354" i="5"/>
  <c r="Z354" i="5"/>
  <c r="F354" i="5"/>
  <c r="H354" i="5"/>
  <c r="I354" i="5"/>
  <c r="AN354" i="5"/>
  <c r="B363" i="4"/>
  <c r="K363" i="4"/>
  <c r="O355" i="5"/>
  <c r="H363" i="4"/>
  <c r="K355" i="5"/>
  <c r="W363" i="4"/>
  <c r="AG355" i="5"/>
  <c r="V363" i="4"/>
  <c r="AF355" i="5"/>
  <c r="C363" i="4"/>
  <c r="C355" i="5"/>
  <c r="D363" i="4"/>
  <c r="E355" i="5"/>
  <c r="I363" i="4"/>
  <c r="L355" i="5"/>
  <c r="J363" i="4"/>
  <c r="N355" i="5"/>
  <c r="L363" i="4"/>
  <c r="Q355" i="5"/>
  <c r="M363" i="4"/>
  <c r="R355" i="5"/>
  <c r="N363" i="4"/>
  <c r="T355" i="5"/>
  <c r="O363" i="4"/>
  <c r="U355" i="5"/>
  <c r="P363" i="4"/>
  <c r="W355" i="5"/>
  <c r="Q363" i="4"/>
  <c r="X355" i="5"/>
  <c r="S363" i="4"/>
  <c r="AA355" i="5"/>
  <c r="T363" i="4"/>
  <c r="AC355" i="5"/>
  <c r="U363" i="4"/>
  <c r="AD355" i="5"/>
  <c r="X363" i="4"/>
  <c r="AI355" i="5"/>
  <c r="Y363" i="4"/>
  <c r="AJ355" i="5"/>
  <c r="Z355" i="5"/>
  <c r="F355" i="5"/>
  <c r="H355" i="5"/>
  <c r="I355" i="5"/>
  <c r="AN355" i="5"/>
  <c r="S369" i="4"/>
  <c r="P369" i="4"/>
  <c r="W356" i="5"/>
  <c r="K369" i="4"/>
  <c r="O356" i="5"/>
  <c r="H369" i="4"/>
  <c r="K356" i="5"/>
  <c r="W369" i="4"/>
  <c r="AG356" i="5"/>
  <c r="V369" i="4"/>
  <c r="AF356" i="5"/>
  <c r="C369" i="4"/>
  <c r="C356" i="5"/>
  <c r="D369" i="4"/>
  <c r="E356" i="5"/>
  <c r="I369" i="4"/>
  <c r="L356" i="5"/>
  <c r="J369" i="4"/>
  <c r="N356" i="5"/>
  <c r="L369" i="4"/>
  <c r="Q356" i="5"/>
  <c r="M369" i="4"/>
  <c r="R356" i="5"/>
  <c r="N369" i="4"/>
  <c r="T356" i="5"/>
  <c r="O369" i="4"/>
  <c r="U356" i="5"/>
  <c r="Q369" i="4"/>
  <c r="X356" i="5"/>
  <c r="R369" i="4"/>
  <c r="Z356" i="5"/>
  <c r="T369" i="4"/>
  <c r="AC356" i="5"/>
  <c r="U369" i="4"/>
  <c r="AD356" i="5"/>
  <c r="X369" i="4"/>
  <c r="AI356" i="5"/>
  <c r="F356" i="5"/>
  <c r="H356" i="5"/>
  <c r="I356" i="5"/>
  <c r="AN356" i="5"/>
  <c r="B351" i="4"/>
  <c r="K351" i="4"/>
  <c r="O357" i="5"/>
  <c r="H351" i="4"/>
  <c r="K357" i="5"/>
  <c r="W351" i="4"/>
  <c r="AG357" i="5"/>
  <c r="V351" i="4"/>
  <c r="AF357" i="5"/>
  <c r="C351" i="4"/>
  <c r="C357" i="5"/>
  <c r="D351" i="4"/>
  <c r="E357" i="5"/>
  <c r="I351" i="4"/>
  <c r="L357" i="5"/>
  <c r="J351" i="4"/>
  <c r="N357" i="5"/>
  <c r="L351" i="4"/>
  <c r="Q357" i="5"/>
  <c r="M351" i="4"/>
  <c r="R357" i="5"/>
  <c r="N351" i="4"/>
  <c r="T357" i="5"/>
  <c r="O351" i="4"/>
  <c r="U357" i="5"/>
  <c r="P351" i="4"/>
  <c r="W357" i="5"/>
  <c r="Q351" i="4"/>
  <c r="X357" i="5"/>
  <c r="S351" i="4"/>
  <c r="AA357" i="5"/>
  <c r="T351" i="4"/>
  <c r="AC357" i="5"/>
  <c r="U351" i="4"/>
  <c r="AD357" i="5"/>
  <c r="X351" i="4"/>
  <c r="AI357" i="5"/>
  <c r="Y351" i="4"/>
  <c r="AJ357" i="5"/>
  <c r="Z351" i="4"/>
  <c r="AL357" i="5"/>
  <c r="F357" i="5"/>
  <c r="H357" i="5"/>
  <c r="I357" i="5"/>
  <c r="Z357" i="5"/>
  <c r="AN357" i="5"/>
  <c r="B348" i="4"/>
  <c r="K348" i="4"/>
  <c r="O358" i="5"/>
  <c r="H348" i="4"/>
  <c r="K358" i="5"/>
  <c r="W348" i="4"/>
  <c r="AG358" i="5"/>
  <c r="V348" i="4"/>
  <c r="AF358" i="5"/>
  <c r="C348" i="4"/>
  <c r="C358" i="5"/>
  <c r="D348" i="4"/>
  <c r="E358" i="5"/>
  <c r="I348" i="4"/>
  <c r="L358" i="5"/>
  <c r="J348" i="4"/>
  <c r="N358" i="5"/>
  <c r="L348" i="4"/>
  <c r="Q358" i="5"/>
  <c r="M348" i="4"/>
  <c r="R358" i="5"/>
  <c r="N348" i="4"/>
  <c r="T358" i="5"/>
  <c r="O348" i="4"/>
  <c r="U358" i="5"/>
  <c r="P348" i="4"/>
  <c r="W358" i="5"/>
  <c r="Q348" i="4"/>
  <c r="X358" i="5"/>
  <c r="S348" i="4"/>
  <c r="AA358" i="5"/>
  <c r="T348" i="4"/>
  <c r="AC358" i="5"/>
  <c r="U348" i="4"/>
  <c r="AD358" i="5"/>
  <c r="X348" i="4"/>
  <c r="AI358" i="5"/>
  <c r="Y348" i="4"/>
  <c r="AJ358" i="5"/>
  <c r="Z348" i="4"/>
  <c r="AL358" i="5"/>
  <c r="F358" i="5"/>
  <c r="H358" i="5"/>
  <c r="I358" i="5"/>
  <c r="Z358" i="5"/>
  <c r="AN358" i="5"/>
  <c r="B358" i="4"/>
  <c r="K358" i="4"/>
  <c r="O359" i="5"/>
  <c r="H358" i="4"/>
  <c r="K359" i="5"/>
  <c r="W358" i="4"/>
  <c r="AG359" i="5"/>
  <c r="V358" i="4"/>
  <c r="AF359" i="5"/>
  <c r="C358" i="4"/>
  <c r="C359" i="5"/>
  <c r="D358" i="4"/>
  <c r="E359" i="5"/>
  <c r="I358" i="4"/>
  <c r="L359" i="5"/>
  <c r="J358" i="4"/>
  <c r="N359" i="5"/>
  <c r="L358" i="4"/>
  <c r="Q359" i="5"/>
  <c r="M358" i="4"/>
  <c r="R359" i="5"/>
  <c r="N358" i="4"/>
  <c r="T359" i="5"/>
  <c r="O358" i="4"/>
  <c r="U359" i="5"/>
  <c r="P358" i="4"/>
  <c r="W359" i="5"/>
  <c r="Q358" i="4"/>
  <c r="X359" i="5"/>
  <c r="S358" i="4"/>
  <c r="AA359" i="5"/>
  <c r="T358" i="4"/>
  <c r="AC359" i="5"/>
  <c r="U358" i="4"/>
  <c r="AD359" i="5"/>
  <c r="X358" i="4"/>
  <c r="AI359" i="5"/>
  <c r="Y358" i="4"/>
  <c r="AJ359" i="5"/>
  <c r="Z358" i="4"/>
  <c r="AL359" i="5"/>
  <c r="F359" i="5"/>
  <c r="H359" i="5"/>
  <c r="I359" i="5"/>
  <c r="Z359" i="5"/>
  <c r="AN359" i="5"/>
  <c r="B359" i="4"/>
  <c r="K359" i="4"/>
  <c r="O360" i="5"/>
  <c r="H359" i="4"/>
  <c r="K360" i="5"/>
  <c r="W359" i="4"/>
  <c r="AG360" i="5"/>
  <c r="V359" i="4"/>
  <c r="AF360" i="5"/>
  <c r="C359" i="4"/>
  <c r="C360" i="5"/>
  <c r="D359" i="4"/>
  <c r="E360" i="5"/>
  <c r="I359" i="4"/>
  <c r="L360" i="5"/>
  <c r="J359" i="4"/>
  <c r="N360" i="5"/>
  <c r="L359" i="4"/>
  <c r="Q360" i="5"/>
  <c r="M359" i="4"/>
  <c r="R360" i="5"/>
  <c r="N359" i="4"/>
  <c r="T360" i="5"/>
  <c r="O359" i="4"/>
  <c r="U360" i="5"/>
  <c r="P359" i="4"/>
  <c r="W360" i="5"/>
  <c r="Q359" i="4"/>
  <c r="X360" i="5"/>
  <c r="S359" i="4"/>
  <c r="AA360" i="5"/>
  <c r="T359" i="4"/>
  <c r="AC360" i="5"/>
  <c r="U359" i="4"/>
  <c r="AD360" i="5"/>
  <c r="X359" i="4"/>
  <c r="AI360" i="5"/>
  <c r="Y359" i="4"/>
  <c r="AJ360" i="5"/>
  <c r="Z359" i="4"/>
  <c r="AL360" i="5"/>
  <c r="F360" i="5"/>
  <c r="H360" i="5"/>
  <c r="I360" i="5"/>
  <c r="Z360" i="5"/>
  <c r="AN360" i="5"/>
  <c r="B364" i="4"/>
  <c r="K364" i="4"/>
  <c r="O361" i="5"/>
  <c r="H364" i="4"/>
  <c r="K361" i="5"/>
  <c r="W364" i="4"/>
  <c r="AG361" i="5"/>
  <c r="V364" i="4"/>
  <c r="AF361" i="5"/>
  <c r="C364" i="4"/>
  <c r="C361" i="5"/>
  <c r="D364" i="4"/>
  <c r="E361" i="5"/>
  <c r="I364" i="4"/>
  <c r="L361" i="5"/>
  <c r="J364" i="4"/>
  <c r="N361" i="5"/>
  <c r="L364" i="4"/>
  <c r="Q361" i="5"/>
  <c r="M364" i="4"/>
  <c r="R361" i="5"/>
  <c r="N364" i="4"/>
  <c r="T361" i="5"/>
  <c r="O364" i="4"/>
  <c r="U361" i="5"/>
  <c r="P364" i="4"/>
  <c r="W361" i="5"/>
  <c r="Q364" i="4"/>
  <c r="X361" i="5"/>
  <c r="S364" i="4"/>
  <c r="AA361" i="5"/>
  <c r="T364" i="4"/>
  <c r="AC361" i="5"/>
  <c r="U364" i="4"/>
  <c r="AD361" i="5"/>
  <c r="X364" i="4"/>
  <c r="AI361" i="5"/>
  <c r="Y364" i="4"/>
  <c r="AJ361" i="5"/>
  <c r="Z364" i="4"/>
  <c r="AL361" i="5"/>
  <c r="F361" i="5"/>
  <c r="H361" i="5"/>
  <c r="I361" i="5"/>
  <c r="Z361" i="5"/>
  <c r="AN361" i="5"/>
  <c r="B349" i="4"/>
  <c r="K349" i="4"/>
  <c r="O362" i="5"/>
  <c r="H349" i="4"/>
  <c r="K362" i="5"/>
  <c r="W349" i="4"/>
  <c r="AG362" i="5"/>
  <c r="V349" i="4"/>
  <c r="AF362" i="5"/>
  <c r="C349" i="4"/>
  <c r="C362" i="5"/>
  <c r="D349" i="4"/>
  <c r="E362" i="5"/>
  <c r="I349" i="4"/>
  <c r="L362" i="5"/>
  <c r="J349" i="4"/>
  <c r="N362" i="5"/>
  <c r="L349" i="4"/>
  <c r="Q362" i="5"/>
  <c r="M349" i="4"/>
  <c r="R362" i="5"/>
  <c r="N349" i="4"/>
  <c r="T362" i="5"/>
  <c r="O349" i="4"/>
  <c r="U362" i="5"/>
  <c r="P349" i="4"/>
  <c r="W362" i="5"/>
  <c r="Q349" i="4"/>
  <c r="X362" i="5"/>
  <c r="S349" i="4"/>
  <c r="AA362" i="5"/>
  <c r="T349" i="4"/>
  <c r="AC362" i="5"/>
  <c r="U349" i="4"/>
  <c r="AD362" i="5"/>
  <c r="X349" i="4"/>
  <c r="AI362" i="5"/>
  <c r="Y349" i="4"/>
  <c r="AJ362" i="5"/>
  <c r="Z349" i="4"/>
  <c r="AL362" i="5"/>
  <c r="F362" i="5"/>
  <c r="H362" i="5"/>
  <c r="I362" i="5"/>
  <c r="Z362" i="5"/>
  <c r="AN362" i="5"/>
  <c r="B365" i="4"/>
  <c r="K365" i="4"/>
  <c r="O363" i="5"/>
  <c r="H365" i="4"/>
  <c r="K363" i="5"/>
  <c r="W365" i="4"/>
  <c r="AG363" i="5"/>
  <c r="V365" i="4"/>
  <c r="AF363" i="5"/>
  <c r="C365" i="4"/>
  <c r="C363" i="5"/>
  <c r="D365" i="4"/>
  <c r="E363" i="5"/>
  <c r="I365" i="4"/>
  <c r="L363" i="5"/>
  <c r="J365" i="4"/>
  <c r="N363" i="5"/>
  <c r="L365" i="4"/>
  <c r="Q363" i="5"/>
  <c r="M365" i="4"/>
  <c r="R363" i="5"/>
  <c r="N365" i="4"/>
  <c r="T363" i="5"/>
  <c r="O365" i="4"/>
  <c r="U363" i="5"/>
  <c r="P365" i="4"/>
  <c r="W363" i="5"/>
  <c r="Q365" i="4"/>
  <c r="X363" i="5"/>
  <c r="S365" i="4"/>
  <c r="AA363" i="5"/>
  <c r="T365" i="4"/>
  <c r="AC363" i="5"/>
  <c r="U365" i="4"/>
  <c r="AD363" i="5"/>
  <c r="X365" i="4"/>
  <c r="AI363" i="5"/>
  <c r="Y365" i="4"/>
  <c r="AJ363" i="5"/>
  <c r="Z365" i="4"/>
  <c r="AL363" i="5"/>
  <c r="F363" i="5"/>
  <c r="H363" i="5"/>
  <c r="I363" i="5"/>
  <c r="Z363" i="5"/>
  <c r="AN363" i="5"/>
  <c r="B366" i="4"/>
  <c r="K366" i="4"/>
  <c r="O364" i="5"/>
  <c r="H366" i="4"/>
  <c r="K364" i="5"/>
  <c r="W366" i="4"/>
  <c r="AG364" i="5"/>
  <c r="V366" i="4"/>
  <c r="AF364" i="5"/>
  <c r="C366" i="4"/>
  <c r="C364" i="5"/>
  <c r="D366" i="4"/>
  <c r="E364" i="5"/>
  <c r="I366" i="4"/>
  <c r="L364" i="5"/>
  <c r="J366" i="4"/>
  <c r="N364" i="5"/>
  <c r="L366" i="4"/>
  <c r="Q364" i="5"/>
  <c r="M366" i="4"/>
  <c r="R364" i="5"/>
  <c r="N366" i="4"/>
  <c r="T364" i="5"/>
  <c r="O366" i="4"/>
  <c r="U364" i="5"/>
  <c r="P366" i="4"/>
  <c r="W364" i="5"/>
  <c r="Q366" i="4"/>
  <c r="X364" i="5"/>
  <c r="S366" i="4"/>
  <c r="AA364" i="5"/>
  <c r="T366" i="4"/>
  <c r="AC364" i="5"/>
  <c r="U366" i="4"/>
  <c r="AD364" i="5"/>
  <c r="X366" i="4"/>
  <c r="AI364" i="5"/>
  <c r="Y366" i="4"/>
  <c r="AJ364" i="5"/>
  <c r="Z366" i="4"/>
  <c r="AL364" i="5"/>
  <c r="F364" i="5"/>
  <c r="H364" i="5"/>
  <c r="I364" i="5"/>
  <c r="Z364" i="5"/>
  <c r="AN364" i="5"/>
  <c r="B367" i="4"/>
  <c r="K367" i="4"/>
  <c r="O365" i="5"/>
  <c r="H367" i="4"/>
  <c r="K365" i="5"/>
  <c r="W367" i="4"/>
  <c r="AG365" i="5"/>
  <c r="V367" i="4"/>
  <c r="AF365" i="5"/>
  <c r="C367" i="4"/>
  <c r="C365" i="5"/>
  <c r="D367" i="4"/>
  <c r="E365" i="5"/>
  <c r="I367" i="4"/>
  <c r="L365" i="5"/>
  <c r="J367" i="4"/>
  <c r="N365" i="5"/>
  <c r="L367" i="4"/>
  <c r="Q365" i="5"/>
  <c r="M367" i="4"/>
  <c r="R365" i="5"/>
  <c r="N367" i="4"/>
  <c r="T365" i="5"/>
  <c r="O367" i="4"/>
  <c r="U365" i="5"/>
  <c r="P367" i="4"/>
  <c r="W365" i="5"/>
  <c r="Q367" i="4"/>
  <c r="X365" i="5"/>
  <c r="S367" i="4"/>
  <c r="AA365" i="5"/>
  <c r="T367" i="4"/>
  <c r="AC365" i="5"/>
  <c r="U367" i="4"/>
  <c r="AD365" i="5"/>
  <c r="X367" i="4"/>
  <c r="AI365" i="5"/>
  <c r="Y367" i="4"/>
  <c r="AJ365" i="5"/>
  <c r="Z367" i="4"/>
  <c r="AL365" i="5"/>
  <c r="F365" i="5"/>
  <c r="H365" i="5"/>
  <c r="I365" i="5"/>
  <c r="Z365" i="5"/>
  <c r="AN365" i="5"/>
  <c r="B360" i="4"/>
  <c r="S360" i="4"/>
  <c r="AA366" i="5"/>
  <c r="P360" i="4"/>
  <c r="W366" i="5"/>
  <c r="K360" i="4"/>
  <c r="O366" i="5"/>
  <c r="H360" i="4"/>
  <c r="K366" i="5"/>
  <c r="W360" i="4"/>
  <c r="AG366" i="5"/>
  <c r="V360" i="4"/>
  <c r="AF366" i="5"/>
  <c r="C360" i="4"/>
  <c r="C366" i="5"/>
  <c r="D360" i="4"/>
  <c r="E366" i="5"/>
  <c r="I360" i="4"/>
  <c r="L366" i="5"/>
  <c r="J360" i="4"/>
  <c r="N366" i="5"/>
  <c r="L360" i="4"/>
  <c r="Q366" i="5"/>
  <c r="M360" i="4"/>
  <c r="R366" i="5"/>
  <c r="N360" i="4"/>
  <c r="T366" i="5"/>
  <c r="O360" i="4"/>
  <c r="U366" i="5"/>
  <c r="Q360" i="4"/>
  <c r="X366" i="5"/>
  <c r="R360" i="4"/>
  <c r="Z366" i="5"/>
  <c r="T360" i="4"/>
  <c r="AC366" i="5"/>
  <c r="U360" i="4"/>
  <c r="AD366" i="5"/>
  <c r="X360" i="4"/>
  <c r="AI366" i="5"/>
  <c r="F366" i="5"/>
  <c r="H366" i="5"/>
  <c r="I366" i="5"/>
  <c r="AN366" i="5"/>
  <c r="B352" i="4"/>
  <c r="K352" i="4"/>
  <c r="O367" i="5"/>
  <c r="H352" i="4"/>
  <c r="K367" i="5"/>
  <c r="W352" i="4"/>
  <c r="AG367" i="5"/>
  <c r="V352" i="4"/>
  <c r="AF367" i="5"/>
  <c r="C352" i="4"/>
  <c r="C367" i="5"/>
  <c r="D352" i="4"/>
  <c r="E367" i="5"/>
  <c r="I352" i="4"/>
  <c r="L367" i="5"/>
  <c r="J352" i="4"/>
  <c r="N367" i="5"/>
  <c r="L352" i="4"/>
  <c r="Q367" i="5"/>
  <c r="M352" i="4"/>
  <c r="R367" i="5"/>
  <c r="N352" i="4"/>
  <c r="T367" i="5"/>
  <c r="O352" i="4"/>
  <c r="U367" i="5"/>
  <c r="P352" i="4"/>
  <c r="W367" i="5"/>
  <c r="Q352" i="4"/>
  <c r="X367" i="5"/>
  <c r="S352" i="4"/>
  <c r="AA367" i="5"/>
  <c r="T352" i="4"/>
  <c r="AC367" i="5"/>
  <c r="U352" i="4"/>
  <c r="AD367" i="5"/>
  <c r="X352" i="4"/>
  <c r="AI367" i="5"/>
  <c r="Y352" i="4"/>
  <c r="AJ367" i="5"/>
  <c r="Z352" i="4"/>
  <c r="AL367" i="5"/>
  <c r="F367" i="5"/>
  <c r="H367" i="5"/>
  <c r="I367" i="5"/>
  <c r="Z367" i="5"/>
  <c r="AN367" i="5"/>
  <c r="B353" i="4"/>
  <c r="K353" i="4"/>
  <c r="O368" i="5"/>
  <c r="H353" i="4"/>
  <c r="K368" i="5"/>
  <c r="W353" i="4"/>
  <c r="AG368" i="5"/>
  <c r="V353" i="4"/>
  <c r="AF368" i="5"/>
  <c r="C353" i="4"/>
  <c r="C368" i="5"/>
  <c r="D353" i="4"/>
  <c r="E368" i="5"/>
  <c r="I353" i="4"/>
  <c r="L368" i="5"/>
  <c r="J353" i="4"/>
  <c r="N368" i="5"/>
  <c r="L353" i="4"/>
  <c r="Q368" i="5"/>
  <c r="M353" i="4"/>
  <c r="R368" i="5"/>
  <c r="N353" i="4"/>
  <c r="T368" i="5"/>
  <c r="O353" i="4"/>
  <c r="U368" i="5"/>
  <c r="P353" i="4"/>
  <c r="W368" i="5"/>
  <c r="Q353" i="4"/>
  <c r="X368" i="5"/>
  <c r="S353" i="4"/>
  <c r="AA368" i="5"/>
  <c r="T353" i="4"/>
  <c r="AC368" i="5"/>
  <c r="U353" i="4"/>
  <c r="AD368" i="5"/>
  <c r="X353" i="4"/>
  <c r="AI368" i="5"/>
  <c r="Y353" i="4"/>
  <c r="AJ368" i="5"/>
  <c r="Z353" i="4"/>
  <c r="AL368" i="5"/>
  <c r="F368" i="5"/>
  <c r="H368" i="5"/>
  <c r="I368" i="5"/>
  <c r="Z368" i="5"/>
  <c r="AN368" i="5"/>
  <c r="B354" i="4"/>
  <c r="K354" i="4"/>
  <c r="O369" i="5"/>
  <c r="H354" i="4"/>
  <c r="K369" i="5"/>
  <c r="W354" i="4"/>
  <c r="AG369" i="5"/>
  <c r="V354" i="4"/>
  <c r="AF369" i="5"/>
  <c r="C354" i="4"/>
  <c r="C369" i="5"/>
  <c r="D354" i="4"/>
  <c r="E369" i="5"/>
  <c r="I354" i="4"/>
  <c r="L369" i="5"/>
  <c r="J354" i="4"/>
  <c r="N369" i="5"/>
  <c r="L354" i="4"/>
  <c r="Q369" i="5"/>
  <c r="M354" i="4"/>
  <c r="R369" i="5"/>
  <c r="N354" i="4"/>
  <c r="T369" i="5"/>
  <c r="O354" i="4"/>
  <c r="U369" i="5"/>
  <c r="P354" i="4"/>
  <c r="W369" i="5"/>
  <c r="Q354" i="4"/>
  <c r="X369" i="5"/>
  <c r="S354" i="4"/>
  <c r="AA369" i="5"/>
  <c r="T354" i="4"/>
  <c r="AC369" i="5"/>
  <c r="U354" i="4"/>
  <c r="AD369" i="5"/>
  <c r="X354" i="4"/>
  <c r="AI369" i="5"/>
  <c r="Y354" i="4"/>
  <c r="AJ369" i="5"/>
  <c r="Z354" i="4"/>
  <c r="AL369" i="5"/>
  <c r="F369" i="5"/>
  <c r="H369" i="5"/>
  <c r="I369" i="5"/>
  <c r="Z369" i="5"/>
  <c r="AN369" i="5"/>
  <c r="B379" i="4"/>
  <c r="K379" i="4"/>
  <c r="O370" i="5"/>
  <c r="H379" i="4"/>
  <c r="K370" i="5"/>
  <c r="W379" i="4"/>
  <c r="AG370" i="5"/>
  <c r="AF370" i="5"/>
  <c r="C379" i="4"/>
  <c r="C370" i="5"/>
  <c r="D379" i="4"/>
  <c r="E370" i="5"/>
  <c r="I379" i="4"/>
  <c r="L370" i="5"/>
  <c r="J379" i="4"/>
  <c r="N370" i="5"/>
  <c r="L379" i="4"/>
  <c r="Q370" i="5"/>
  <c r="M379" i="4"/>
  <c r="R370" i="5"/>
  <c r="N379" i="4"/>
  <c r="T370" i="5"/>
  <c r="O379" i="4"/>
  <c r="U370" i="5"/>
  <c r="P379" i="4"/>
  <c r="W370" i="5"/>
  <c r="Q379" i="4"/>
  <c r="X370" i="5"/>
  <c r="S379" i="4"/>
  <c r="AA370" i="5"/>
  <c r="T379" i="4"/>
  <c r="AC370" i="5"/>
  <c r="U379" i="4"/>
  <c r="AD370" i="5"/>
  <c r="X379" i="4"/>
  <c r="AI370" i="5"/>
  <c r="Y379" i="4"/>
  <c r="AJ370" i="5"/>
  <c r="Z379" i="4"/>
  <c r="AL370" i="5"/>
  <c r="F370" i="5"/>
  <c r="H370" i="5"/>
  <c r="I370" i="5"/>
  <c r="Z370" i="5"/>
  <c r="AN370" i="5"/>
  <c r="B377" i="4"/>
  <c r="K377" i="4"/>
  <c r="O371" i="5"/>
  <c r="H377" i="4"/>
  <c r="K371" i="5"/>
  <c r="W377" i="4"/>
  <c r="AG371" i="5"/>
  <c r="AF371" i="5"/>
  <c r="C377" i="4"/>
  <c r="C371" i="5"/>
  <c r="D377" i="4"/>
  <c r="E371" i="5"/>
  <c r="I377" i="4"/>
  <c r="L371" i="5"/>
  <c r="J377" i="4"/>
  <c r="N371" i="5"/>
  <c r="L377" i="4"/>
  <c r="Q371" i="5"/>
  <c r="M377" i="4"/>
  <c r="R371" i="5"/>
  <c r="N377" i="4"/>
  <c r="T371" i="5"/>
  <c r="O377" i="4"/>
  <c r="U371" i="5"/>
  <c r="P377" i="4"/>
  <c r="W371" i="5"/>
  <c r="Q377" i="4"/>
  <c r="X371" i="5"/>
  <c r="S377" i="4"/>
  <c r="AA371" i="5"/>
  <c r="T377" i="4"/>
  <c r="AC371" i="5"/>
  <c r="U377" i="4"/>
  <c r="AD371" i="5"/>
  <c r="X377" i="4"/>
  <c r="AI371" i="5"/>
  <c r="Y377" i="4"/>
  <c r="AJ371" i="5"/>
  <c r="Z377" i="4"/>
  <c r="AL371" i="5"/>
  <c r="F371" i="5"/>
  <c r="H371" i="5"/>
  <c r="I371" i="5"/>
  <c r="Z371" i="5"/>
  <c r="AN371" i="5"/>
  <c r="B373" i="4"/>
  <c r="K373" i="4"/>
  <c r="O372" i="5"/>
  <c r="H373" i="4"/>
  <c r="K372" i="5"/>
  <c r="W373" i="4"/>
  <c r="AG372" i="5"/>
  <c r="AF372" i="5"/>
  <c r="C373" i="4"/>
  <c r="C372" i="5"/>
  <c r="D373" i="4"/>
  <c r="E372" i="5"/>
  <c r="I373" i="4"/>
  <c r="L372" i="5"/>
  <c r="J373" i="4"/>
  <c r="N372" i="5"/>
  <c r="L373" i="4"/>
  <c r="Q372" i="5"/>
  <c r="M373" i="4"/>
  <c r="R372" i="5"/>
  <c r="N373" i="4"/>
  <c r="T372" i="5"/>
  <c r="O373" i="4"/>
  <c r="U372" i="5"/>
  <c r="P373" i="4"/>
  <c r="W372" i="5"/>
  <c r="Q373" i="4"/>
  <c r="X372" i="5"/>
  <c r="S373" i="4"/>
  <c r="AA372" i="5"/>
  <c r="T373" i="4"/>
  <c r="AC372" i="5"/>
  <c r="U373" i="4"/>
  <c r="AD372" i="5"/>
  <c r="X373" i="4"/>
  <c r="AI372" i="5"/>
  <c r="Y373" i="4"/>
  <c r="AJ372" i="5"/>
  <c r="Z373" i="4"/>
  <c r="AL372" i="5"/>
  <c r="F372" i="5"/>
  <c r="H372" i="5"/>
  <c r="I372" i="5"/>
  <c r="Z372" i="5"/>
  <c r="AN372" i="5"/>
  <c r="B374" i="4"/>
  <c r="K374" i="4"/>
  <c r="O373" i="5"/>
  <c r="H374" i="4"/>
  <c r="K373" i="5"/>
  <c r="W374" i="4"/>
  <c r="AG373" i="5"/>
  <c r="AF373" i="5"/>
  <c r="C374" i="4"/>
  <c r="C373" i="5"/>
  <c r="D374" i="4"/>
  <c r="E373" i="5"/>
  <c r="I374" i="4"/>
  <c r="L373" i="5"/>
  <c r="J374" i="4"/>
  <c r="N373" i="5"/>
  <c r="L374" i="4"/>
  <c r="Q373" i="5"/>
  <c r="M374" i="4"/>
  <c r="R373" i="5"/>
  <c r="N374" i="4"/>
  <c r="T373" i="5"/>
  <c r="O374" i="4"/>
  <c r="U373" i="5"/>
  <c r="P374" i="4"/>
  <c r="W373" i="5"/>
  <c r="Q374" i="4"/>
  <c r="X373" i="5"/>
  <c r="S374" i="4"/>
  <c r="AA373" i="5"/>
  <c r="T374" i="4"/>
  <c r="AC373" i="5"/>
  <c r="U374" i="4"/>
  <c r="AD373" i="5"/>
  <c r="X374" i="4"/>
  <c r="AI373" i="5"/>
  <c r="Y374" i="4"/>
  <c r="AJ373" i="5"/>
  <c r="Z374" i="4"/>
  <c r="AL373" i="5"/>
  <c r="F373" i="5"/>
  <c r="H373" i="5"/>
  <c r="I373" i="5"/>
  <c r="Z373" i="5"/>
  <c r="AN373" i="5"/>
  <c r="W370" i="4"/>
  <c r="AG374" i="5"/>
  <c r="AF374" i="5"/>
  <c r="C370" i="4"/>
  <c r="C374" i="5"/>
  <c r="N370" i="4"/>
  <c r="T374" i="5"/>
  <c r="O370" i="4"/>
  <c r="U374" i="5"/>
  <c r="P370" i="4"/>
  <c r="W374" i="5"/>
  <c r="Q370" i="4"/>
  <c r="X374" i="5"/>
  <c r="S370" i="4"/>
  <c r="AA374" i="5"/>
  <c r="T370" i="4"/>
  <c r="AC374" i="5"/>
  <c r="U370" i="4"/>
  <c r="AD374" i="5"/>
  <c r="X370" i="4"/>
  <c r="AI374" i="5"/>
  <c r="Y370" i="4"/>
  <c r="AJ374" i="5"/>
  <c r="Z370" i="4"/>
  <c r="AL374" i="5"/>
  <c r="F374" i="5"/>
  <c r="H374" i="5"/>
  <c r="I374" i="5"/>
  <c r="Z374" i="5"/>
  <c r="AN374" i="5"/>
  <c r="B371" i="4"/>
  <c r="K371" i="4"/>
  <c r="O375" i="5"/>
  <c r="H371" i="4"/>
  <c r="K375" i="5"/>
  <c r="W371" i="4"/>
  <c r="AG375" i="5"/>
  <c r="AF375" i="5"/>
  <c r="C371" i="4"/>
  <c r="C375" i="5"/>
  <c r="D371" i="4"/>
  <c r="E375" i="5"/>
  <c r="I371" i="4"/>
  <c r="L375" i="5"/>
  <c r="J371" i="4"/>
  <c r="N375" i="5"/>
  <c r="L371" i="4"/>
  <c r="Q375" i="5"/>
  <c r="M371" i="4"/>
  <c r="R375" i="5"/>
  <c r="N371" i="4"/>
  <c r="T375" i="5"/>
  <c r="O371" i="4"/>
  <c r="U375" i="5"/>
  <c r="P371" i="4"/>
  <c r="W375" i="5"/>
  <c r="Q371" i="4"/>
  <c r="X375" i="5"/>
  <c r="S371" i="4"/>
  <c r="AA375" i="5"/>
  <c r="T371" i="4"/>
  <c r="AC375" i="5"/>
  <c r="U371" i="4"/>
  <c r="AD375" i="5"/>
  <c r="X371" i="4"/>
  <c r="AI375" i="5"/>
  <c r="Y371" i="4"/>
  <c r="AJ375" i="5"/>
  <c r="Z371" i="4"/>
  <c r="AL375" i="5"/>
  <c r="F375" i="5"/>
  <c r="H375" i="5"/>
  <c r="I375" i="5"/>
  <c r="Z375" i="5"/>
  <c r="AN375" i="5"/>
  <c r="B375" i="4"/>
  <c r="K375" i="4"/>
  <c r="O376" i="5"/>
  <c r="H375" i="4"/>
  <c r="K376" i="5"/>
  <c r="W375" i="4"/>
  <c r="AG376" i="5"/>
  <c r="AF376" i="5"/>
  <c r="C375" i="4"/>
  <c r="C376" i="5"/>
  <c r="D375" i="4"/>
  <c r="E376" i="5"/>
  <c r="I375" i="4"/>
  <c r="L376" i="5"/>
  <c r="J375" i="4"/>
  <c r="N376" i="5"/>
  <c r="L375" i="4"/>
  <c r="Q376" i="5"/>
  <c r="M375" i="4"/>
  <c r="R376" i="5"/>
  <c r="N375" i="4"/>
  <c r="T376" i="5"/>
  <c r="O375" i="4"/>
  <c r="U376" i="5"/>
  <c r="P375" i="4"/>
  <c r="W376" i="5"/>
  <c r="Q375" i="4"/>
  <c r="X376" i="5"/>
  <c r="S375" i="4"/>
  <c r="AA376" i="5"/>
  <c r="T375" i="4"/>
  <c r="AC376" i="5"/>
  <c r="U375" i="4"/>
  <c r="AD376" i="5"/>
  <c r="X375" i="4"/>
  <c r="AI376" i="5"/>
  <c r="Y375" i="4"/>
  <c r="AJ376" i="5"/>
  <c r="Z375" i="4"/>
  <c r="AL376" i="5"/>
  <c r="F376" i="5"/>
  <c r="H376" i="5"/>
  <c r="I376" i="5"/>
  <c r="Z376" i="5"/>
  <c r="AN376" i="5"/>
  <c r="B376" i="4"/>
  <c r="K376" i="4"/>
  <c r="O377" i="5"/>
  <c r="H376" i="4"/>
  <c r="K377" i="5"/>
  <c r="W376" i="4"/>
  <c r="AG377" i="5"/>
  <c r="AF377" i="5"/>
  <c r="C376" i="4"/>
  <c r="C377" i="5"/>
  <c r="D376" i="4"/>
  <c r="E377" i="5"/>
  <c r="I376" i="4"/>
  <c r="L377" i="5"/>
  <c r="J376" i="4"/>
  <c r="N377" i="5"/>
  <c r="L376" i="4"/>
  <c r="Q377" i="5"/>
  <c r="M376" i="4"/>
  <c r="R377" i="5"/>
  <c r="N376" i="4"/>
  <c r="T377" i="5"/>
  <c r="O376" i="4"/>
  <c r="U377" i="5"/>
  <c r="P376" i="4"/>
  <c r="W377" i="5"/>
  <c r="Q376" i="4"/>
  <c r="X377" i="5"/>
  <c r="S376" i="4"/>
  <c r="AA377" i="5"/>
  <c r="T376" i="4"/>
  <c r="AC377" i="5"/>
  <c r="U376" i="4"/>
  <c r="AD377" i="5"/>
  <c r="X376" i="4"/>
  <c r="AI377" i="5"/>
  <c r="Y376" i="4"/>
  <c r="AJ377" i="5"/>
  <c r="Z376" i="4"/>
  <c r="AL377" i="5"/>
  <c r="F377" i="5"/>
  <c r="H377" i="5"/>
  <c r="I377" i="5"/>
  <c r="Z377" i="5"/>
  <c r="AN377" i="5"/>
  <c r="B372" i="4"/>
  <c r="K372" i="4"/>
  <c r="O378" i="5"/>
  <c r="H372" i="4"/>
  <c r="K378" i="5"/>
  <c r="W372" i="4"/>
  <c r="AG378" i="5"/>
  <c r="AF378" i="5"/>
  <c r="C372" i="4"/>
  <c r="C378" i="5"/>
  <c r="D372" i="4"/>
  <c r="E378" i="5"/>
  <c r="I372" i="4"/>
  <c r="L378" i="5"/>
  <c r="J372" i="4"/>
  <c r="N378" i="5"/>
  <c r="L372" i="4"/>
  <c r="Q378" i="5"/>
  <c r="M372" i="4"/>
  <c r="R378" i="5"/>
  <c r="N372" i="4"/>
  <c r="T378" i="5"/>
  <c r="O372" i="4"/>
  <c r="U378" i="5"/>
  <c r="P372" i="4"/>
  <c r="W378" i="5"/>
  <c r="Q372" i="4"/>
  <c r="X378" i="5"/>
  <c r="S372" i="4"/>
  <c r="AA378" i="5"/>
  <c r="T372" i="4"/>
  <c r="AC378" i="5"/>
  <c r="U372" i="4"/>
  <c r="AD378" i="5"/>
  <c r="X372" i="4"/>
  <c r="AI378" i="5"/>
  <c r="Y372" i="4"/>
  <c r="AJ378" i="5"/>
  <c r="Z372" i="4"/>
  <c r="AL378" i="5"/>
  <c r="F378" i="5"/>
  <c r="H378" i="5"/>
  <c r="I378" i="5"/>
  <c r="Z378" i="5"/>
  <c r="AN378" i="5"/>
  <c r="B378" i="4"/>
  <c r="K378" i="4"/>
  <c r="O379" i="5"/>
  <c r="H378" i="4"/>
  <c r="K379" i="5"/>
  <c r="W378" i="4"/>
  <c r="AG379" i="5"/>
  <c r="AF379" i="5"/>
  <c r="C378" i="4"/>
  <c r="C379" i="5"/>
  <c r="D378" i="4"/>
  <c r="E379" i="5"/>
  <c r="I378" i="4"/>
  <c r="L379" i="5"/>
  <c r="J378" i="4"/>
  <c r="N379" i="5"/>
  <c r="L378" i="4"/>
  <c r="Q379" i="5"/>
  <c r="M378" i="4"/>
  <c r="R379" i="5"/>
  <c r="N378" i="4"/>
  <c r="T379" i="5"/>
  <c r="O378" i="4"/>
  <c r="U379" i="5"/>
  <c r="P378" i="4"/>
  <c r="W379" i="5"/>
  <c r="Q378" i="4"/>
  <c r="X379" i="5"/>
  <c r="S378" i="4"/>
  <c r="AA379" i="5"/>
  <c r="T378" i="4"/>
  <c r="AC379" i="5"/>
  <c r="U378" i="4"/>
  <c r="AD379" i="5"/>
  <c r="X378" i="4"/>
  <c r="AI379" i="5"/>
  <c r="Y378" i="4"/>
  <c r="AJ379" i="5"/>
  <c r="Z378" i="4"/>
  <c r="AL379" i="5"/>
  <c r="F379" i="5"/>
  <c r="H379" i="5"/>
  <c r="I379" i="5"/>
  <c r="Z379" i="5"/>
  <c r="AN379" i="5"/>
  <c r="AG380" i="5"/>
  <c r="AF380" i="5"/>
  <c r="C380" i="5"/>
  <c r="T380" i="5"/>
  <c r="U380" i="5"/>
  <c r="W380" i="5"/>
  <c r="X380" i="5"/>
  <c r="AA380" i="5"/>
  <c r="AI380" i="5"/>
  <c r="AJ380" i="5"/>
  <c r="AL380" i="5"/>
  <c r="F380" i="5"/>
  <c r="H380" i="5"/>
  <c r="I380" i="5"/>
  <c r="Z380" i="5"/>
  <c r="AN380" i="5"/>
  <c r="AA382" i="5"/>
  <c r="B382" i="4"/>
  <c r="P382" i="4"/>
  <c r="W382" i="5"/>
  <c r="O382" i="5"/>
  <c r="K382" i="5"/>
  <c r="AG382" i="5"/>
  <c r="AF382" i="5"/>
  <c r="E382" i="5"/>
  <c r="F382" i="5"/>
  <c r="H382" i="5"/>
  <c r="I382" i="5"/>
  <c r="L382" i="5"/>
  <c r="N382" i="5"/>
  <c r="Q382" i="5"/>
  <c r="R382" i="5"/>
  <c r="T382" i="5"/>
  <c r="U382" i="5"/>
  <c r="X382" i="5"/>
  <c r="Z382" i="5"/>
  <c r="AC382" i="5"/>
  <c r="AD382" i="5"/>
  <c r="AI382" i="5"/>
  <c r="AJ382" i="5"/>
  <c r="AL382" i="5"/>
  <c r="AN382" i="5"/>
  <c r="AA383" i="5"/>
  <c r="W383" i="5"/>
  <c r="O383" i="5"/>
  <c r="K383" i="5"/>
  <c r="AG383" i="5"/>
  <c r="AF383" i="5"/>
  <c r="E383" i="5"/>
  <c r="F383" i="5"/>
  <c r="H383" i="5"/>
  <c r="I383" i="5"/>
  <c r="L383" i="5"/>
  <c r="N383" i="5"/>
  <c r="Q383" i="5"/>
  <c r="R383" i="5"/>
  <c r="T383" i="5"/>
  <c r="U383" i="5"/>
  <c r="X383" i="5"/>
  <c r="Z383" i="5"/>
  <c r="AC383" i="5"/>
  <c r="AD383" i="5"/>
  <c r="AI383" i="5"/>
  <c r="AJ383" i="5"/>
  <c r="AL383" i="5"/>
  <c r="AN383" i="5"/>
  <c r="AA384" i="5"/>
  <c r="W384" i="5"/>
  <c r="O384" i="5"/>
  <c r="K384" i="5"/>
  <c r="AG384" i="5"/>
  <c r="AF384" i="5"/>
  <c r="E384" i="5"/>
  <c r="F384" i="5"/>
  <c r="H384" i="5"/>
  <c r="I384" i="5"/>
  <c r="L384" i="5"/>
  <c r="N384" i="5"/>
  <c r="Q384" i="5"/>
  <c r="R384" i="5"/>
  <c r="T384" i="5"/>
  <c r="U384" i="5"/>
  <c r="X384" i="5"/>
  <c r="Z384" i="5"/>
  <c r="AC384" i="5"/>
  <c r="AD384" i="5"/>
  <c r="AI384" i="5"/>
  <c r="AJ384" i="5"/>
  <c r="AL384" i="5"/>
  <c r="AN384" i="5"/>
  <c r="AA385" i="5"/>
  <c r="W385" i="5"/>
  <c r="O385" i="5"/>
  <c r="K385" i="5"/>
  <c r="AG385" i="5"/>
  <c r="AF385" i="5"/>
  <c r="B385" i="4"/>
  <c r="C385" i="4"/>
  <c r="C385" i="5"/>
  <c r="E385" i="5"/>
  <c r="F385" i="5"/>
  <c r="H385" i="5"/>
  <c r="I385" i="5"/>
  <c r="L385" i="5"/>
  <c r="N385" i="5"/>
  <c r="Q385" i="5"/>
  <c r="R385" i="5"/>
  <c r="T385" i="5"/>
  <c r="U385" i="5"/>
  <c r="X385" i="5"/>
  <c r="Z385" i="5"/>
  <c r="AC385" i="5"/>
  <c r="AD385" i="5"/>
  <c r="AI385" i="5"/>
  <c r="AL385" i="5"/>
  <c r="AN385" i="5"/>
  <c r="AA386" i="5"/>
  <c r="W386" i="5"/>
  <c r="O386" i="5"/>
  <c r="K386" i="5"/>
  <c r="AG386" i="5"/>
  <c r="AF386" i="5"/>
  <c r="E386" i="5"/>
  <c r="F386" i="5"/>
  <c r="H386" i="5"/>
  <c r="I386" i="5"/>
  <c r="L386" i="5"/>
  <c r="N386" i="5"/>
  <c r="Q386" i="5"/>
  <c r="R386" i="5"/>
  <c r="T386" i="5"/>
  <c r="U386" i="5"/>
  <c r="X386" i="5"/>
  <c r="Z386" i="5"/>
  <c r="AC386" i="5"/>
  <c r="AD386" i="5"/>
  <c r="AI386" i="5"/>
  <c r="AL386" i="5"/>
  <c r="AN386" i="5"/>
  <c r="AA387" i="5"/>
  <c r="B396" i="4"/>
  <c r="P396" i="4"/>
  <c r="W387" i="5"/>
  <c r="O387" i="5"/>
  <c r="K387" i="5"/>
  <c r="AG387" i="5"/>
  <c r="AF387" i="5"/>
  <c r="C387" i="5"/>
  <c r="L387" i="5"/>
  <c r="N387" i="5"/>
  <c r="L396" i="4"/>
  <c r="Q387" i="5"/>
  <c r="U387" i="5"/>
  <c r="Q396" i="4"/>
  <c r="X387" i="5"/>
  <c r="R15" i="2"/>
  <c r="R396" i="4"/>
  <c r="Z387" i="5"/>
  <c r="AC387" i="5"/>
  <c r="AD387" i="5"/>
  <c r="X396" i="4"/>
  <c r="AI387" i="5"/>
  <c r="Y396" i="4"/>
  <c r="AJ387" i="5"/>
  <c r="AL387" i="5"/>
  <c r="F387" i="5"/>
  <c r="E387" i="5"/>
  <c r="H387" i="5"/>
  <c r="I387" i="5"/>
  <c r="R387" i="5"/>
  <c r="T387" i="5"/>
  <c r="AN387" i="5"/>
  <c r="AA388" i="5"/>
  <c r="B388" i="4"/>
  <c r="P388" i="4"/>
  <c r="W388" i="5"/>
  <c r="O388" i="5"/>
  <c r="K388" i="5"/>
  <c r="AG388" i="5"/>
  <c r="AF388" i="5"/>
  <c r="C388" i="5"/>
  <c r="L388" i="5"/>
  <c r="N388" i="5"/>
  <c r="L388" i="4"/>
  <c r="Q388" i="5"/>
  <c r="U388" i="5"/>
  <c r="Q388" i="4"/>
  <c r="X388" i="5"/>
  <c r="R388" i="4"/>
  <c r="Z388" i="5"/>
  <c r="AC388" i="5"/>
  <c r="AD388" i="5"/>
  <c r="X388" i="4"/>
  <c r="AI388" i="5"/>
  <c r="Y388" i="4"/>
  <c r="AJ388" i="5"/>
  <c r="AL388" i="5"/>
  <c r="F388" i="5"/>
  <c r="E388" i="5"/>
  <c r="H388" i="5"/>
  <c r="I388" i="5"/>
  <c r="R388" i="5"/>
  <c r="T388" i="5"/>
  <c r="AN388" i="5"/>
  <c r="AA389" i="5"/>
  <c r="B389" i="4"/>
  <c r="P389" i="4"/>
  <c r="W389" i="5"/>
  <c r="O389" i="5"/>
  <c r="K389" i="5"/>
  <c r="AG389" i="5"/>
  <c r="AF389" i="5"/>
  <c r="C389" i="5"/>
  <c r="L389" i="5"/>
  <c r="N389" i="5"/>
  <c r="L389" i="4"/>
  <c r="Q389" i="5"/>
  <c r="U389" i="5"/>
  <c r="Q389" i="4"/>
  <c r="X389" i="5"/>
  <c r="R389" i="4"/>
  <c r="Z389" i="5"/>
  <c r="AC389" i="5"/>
  <c r="AD389" i="5"/>
  <c r="X389" i="4"/>
  <c r="AI389" i="5"/>
  <c r="Y389" i="4"/>
  <c r="AJ389" i="5"/>
  <c r="AL389" i="5"/>
  <c r="F389" i="5"/>
  <c r="E389" i="5"/>
  <c r="H389" i="5"/>
  <c r="I389" i="5"/>
  <c r="R389" i="5"/>
  <c r="T389" i="5"/>
  <c r="AN389" i="5"/>
  <c r="AA390" i="5"/>
  <c r="B390" i="4"/>
  <c r="P390" i="4"/>
  <c r="W390" i="5"/>
  <c r="O390" i="5"/>
  <c r="K390" i="5"/>
  <c r="AG390" i="5"/>
  <c r="AF390" i="5"/>
  <c r="C390" i="5"/>
  <c r="L390" i="5"/>
  <c r="N390" i="5"/>
  <c r="L390" i="4"/>
  <c r="Q390" i="5"/>
  <c r="U390" i="5"/>
  <c r="Q390" i="4"/>
  <c r="X390" i="5"/>
  <c r="R390" i="4"/>
  <c r="Z390" i="5"/>
  <c r="AC390" i="5"/>
  <c r="AD390" i="5"/>
  <c r="X390" i="4"/>
  <c r="AI390" i="5"/>
  <c r="Y390" i="4"/>
  <c r="AJ390" i="5"/>
  <c r="F390" i="5"/>
  <c r="E390" i="5"/>
  <c r="H390" i="5"/>
  <c r="I390" i="5"/>
  <c r="R390" i="5"/>
  <c r="T390" i="5"/>
  <c r="AN390" i="5"/>
  <c r="AA391" i="5"/>
  <c r="B397" i="4"/>
  <c r="P397" i="4"/>
  <c r="W391" i="5"/>
  <c r="O391" i="5"/>
  <c r="K391" i="5"/>
  <c r="AG391" i="5"/>
  <c r="AF391" i="5"/>
  <c r="C391" i="5"/>
  <c r="L391" i="5"/>
  <c r="N391" i="5"/>
  <c r="L397" i="4"/>
  <c r="Q391" i="5"/>
  <c r="U391" i="5"/>
  <c r="Q397" i="4"/>
  <c r="X391" i="5"/>
  <c r="R13" i="2"/>
  <c r="R397" i="4"/>
  <c r="Z391" i="5"/>
  <c r="AC391" i="5"/>
  <c r="AD391" i="5"/>
  <c r="X397" i="4"/>
  <c r="AI391" i="5"/>
  <c r="Y397" i="4"/>
  <c r="AJ391" i="5"/>
  <c r="AL391" i="5"/>
  <c r="F391" i="5"/>
  <c r="E391" i="5"/>
  <c r="H391" i="5"/>
  <c r="I391" i="5"/>
  <c r="R391" i="5"/>
  <c r="T391" i="5"/>
  <c r="AN391" i="5"/>
  <c r="AA392" i="5"/>
  <c r="B398" i="4"/>
  <c r="P398" i="4"/>
  <c r="W392" i="5"/>
  <c r="O392" i="5"/>
  <c r="K392" i="5"/>
  <c r="AG392" i="5"/>
  <c r="AF392" i="5"/>
  <c r="C392" i="5"/>
  <c r="L392" i="5"/>
  <c r="N392" i="5"/>
  <c r="L398" i="4"/>
  <c r="Q392" i="5"/>
  <c r="U392" i="5"/>
  <c r="Q398" i="4"/>
  <c r="X392" i="5"/>
  <c r="R398" i="4"/>
  <c r="Z392" i="5"/>
  <c r="AC392" i="5"/>
  <c r="AD392" i="5"/>
  <c r="X398" i="4"/>
  <c r="AI392" i="5"/>
  <c r="Y398" i="4"/>
  <c r="AJ392" i="5"/>
  <c r="AL392" i="5"/>
  <c r="F392" i="5"/>
  <c r="E392" i="5"/>
  <c r="H392" i="5"/>
  <c r="I392" i="5"/>
  <c r="R392" i="5"/>
  <c r="T392" i="5"/>
  <c r="AN392" i="5"/>
  <c r="AA393" i="5"/>
  <c r="B399" i="4"/>
  <c r="P399" i="4"/>
  <c r="W393" i="5"/>
  <c r="O393" i="5"/>
  <c r="K393" i="5"/>
  <c r="AG393" i="5"/>
  <c r="AF393" i="5"/>
  <c r="C393" i="5"/>
  <c r="L393" i="5"/>
  <c r="N393" i="5"/>
  <c r="L399" i="4"/>
  <c r="Q393" i="5"/>
  <c r="U393" i="5"/>
  <c r="Q399" i="4"/>
  <c r="X393" i="5"/>
  <c r="R399" i="4"/>
  <c r="Z393" i="5"/>
  <c r="AC393" i="5"/>
  <c r="AD393" i="5"/>
  <c r="X399" i="4"/>
  <c r="AI393" i="5"/>
  <c r="Y399" i="4"/>
  <c r="AJ393" i="5"/>
  <c r="AL393" i="5"/>
  <c r="F393" i="5"/>
  <c r="E393" i="5"/>
  <c r="H393" i="5"/>
  <c r="I393" i="5"/>
  <c r="R393" i="5"/>
  <c r="T393" i="5"/>
  <c r="AN393" i="5"/>
  <c r="AA394" i="5"/>
  <c r="B400" i="4"/>
  <c r="P400" i="4"/>
  <c r="W394" i="5"/>
  <c r="O394" i="5"/>
  <c r="K394" i="5"/>
  <c r="AG394" i="5"/>
  <c r="AF394" i="5"/>
  <c r="C394" i="5"/>
  <c r="L394" i="5"/>
  <c r="N394" i="5"/>
  <c r="L400" i="4"/>
  <c r="Q394" i="5"/>
  <c r="U394" i="5"/>
  <c r="Q400" i="4"/>
  <c r="X394" i="5"/>
  <c r="R400" i="4"/>
  <c r="Z394" i="5"/>
  <c r="AC394" i="5"/>
  <c r="AD394" i="5"/>
  <c r="X400" i="4"/>
  <c r="AI394" i="5"/>
  <c r="Y400" i="4"/>
  <c r="AJ394" i="5"/>
  <c r="AL394" i="5"/>
  <c r="F394" i="5"/>
  <c r="E394" i="5"/>
  <c r="H394" i="5"/>
  <c r="I394" i="5"/>
  <c r="R394" i="5"/>
  <c r="T394" i="5"/>
  <c r="AN394" i="5"/>
  <c r="AA395" i="5"/>
  <c r="B401" i="4"/>
  <c r="P401" i="4"/>
  <c r="W395" i="5"/>
  <c r="O395" i="5"/>
  <c r="K395" i="5"/>
  <c r="AG395" i="5"/>
  <c r="AF395" i="5"/>
  <c r="C395" i="5"/>
  <c r="L395" i="5"/>
  <c r="N395" i="5"/>
  <c r="L401" i="4"/>
  <c r="Q395" i="5"/>
  <c r="U395" i="5"/>
  <c r="Q401" i="4"/>
  <c r="X395" i="5"/>
  <c r="R401" i="4"/>
  <c r="Z395" i="5"/>
  <c r="AC395" i="5"/>
  <c r="AD395" i="5"/>
  <c r="X401" i="4"/>
  <c r="AI395" i="5"/>
  <c r="Y401" i="4"/>
  <c r="AJ395" i="5"/>
  <c r="AL395" i="5"/>
  <c r="F395" i="5"/>
  <c r="E395" i="5"/>
  <c r="H395" i="5"/>
  <c r="I395" i="5"/>
  <c r="R395" i="5"/>
  <c r="T395" i="5"/>
  <c r="AN395" i="5"/>
  <c r="AA396" i="5"/>
  <c r="B391" i="4"/>
  <c r="P391" i="4"/>
  <c r="W396" i="5"/>
  <c r="O396" i="5"/>
  <c r="K396" i="5"/>
  <c r="AG396" i="5"/>
  <c r="AF396" i="5"/>
  <c r="C396" i="5"/>
  <c r="L396" i="5"/>
  <c r="N396" i="5"/>
  <c r="L391" i="4"/>
  <c r="Q396" i="5"/>
  <c r="U396" i="5"/>
  <c r="Q391" i="4"/>
  <c r="X396" i="5"/>
  <c r="R391" i="4"/>
  <c r="Z396" i="5"/>
  <c r="AC396" i="5"/>
  <c r="AD396" i="5"/>
  <c r="X391" i="4"/>
  <c r="AI396" i="5"/>
  <c r="Y391" i="4"/>
  <c r="AJ396" i="5"/>
  <c r="AL396" i="5"/>
  <c r="F396" i="5"/>
  <c r="E396" i="5"/>
  <c r="H396" i="5"/>
  <c r="I396" i="5"/>
  <c r="R396" i="5"/>
  <c r="T396" i="5"/>
  <c r="AN396" i="5"/>
  <c r="AA397" i="5"/>
  <c r="B392" i="4"/>
  <c r="P392" i="4"/>
  <c r="W397" i="5"/>
  <c r="O397" i="5"/>
  <c r="K397" i="5"/>
  <c r="AG397" i="5"/>
  <c r="AF397" i="5"/>
  <c r="C397" i="5"/>
  <c r="L397" i="5"/>
  <c r="N397" i="5"/>
  <c r="L392" i="4"/>
  <c r="Q397" i="5"/>
  <c r="U397" i="5"/>
  <c r="Q392" i="4"/>
  <c r="X397" i="5"/>
  <c r="R392" i="4"/>
  <c r="Z397" i="5"/>
  <c r="AC397" i="5"/>
  <c r="AD397" i="5"/>
  <c r="X392" i="4"/>
  <c r="AI397" i="5"/>
  <c r="Y392" i="4"/>
  <c r="AJ397" i="5"/>
  <c r="AL397" i="5"/>
  <c r="F397" i="5"/>
  <c r="E397" i="5"/>
  <c r="H397" i="5"/>
  <c r="I397" i="5"/>
  <c r="R397" i="5"/>
  <c r="T397" i="5"/>
  <c r="AN397" i="5"/>
  <c r="AA398" i="5"/>
  <c r="B393" i="4"/>
  <c r="P393" i="4"/>
  <c r="W398" i="5"/>
  <c r="O398" i="5"/>
  <c r="K398" i="5"/>
  <c r="AG398" i="5"/>
  <c r="AF398" i="5"/>
  <c r="C398" i="5"/>
  <c r="L398" i="5"/>
  <c r="N398" i="5"/>
  <c r="L393" i="4"/>
  <c r="Q398" i="5"/>
  <c r="U398" i="5"/>
  <c r="Q393" i="4"/>
  <c r="X398" i="5"/>
  <c r="R27" i="2"/>
  <c r="R393" i="4"/>
  <c r="Z398" i="5"/>
  <c r="AC398" i="5"/>
  <c r="AD398" i="5"/>
  <c r="X393" i="4"/>
  <c r="AI398" i="5"/>
  <c r="Y393" i="4"/>
  <c r="AJ398" i="5"/>
  <c r="AL398" i="5"/>
  <c r="F398" i="5"/>
  <c r="E398" i="5"/>
  <c r="H398" i="5"/>
  <c r="I398" i="5"/>
  <c r="R398" i="5"/>
  <c r="T398" i="5"/>
  <c r="AN398" i="5"/>
  <c r="AA399" i="5"/>
  <c r="B402" i="4"/>
  <c r="P402" i="4"/>
  <c r="W399" i="5"/>
  <c r="O399" i="5"/>
  <c r="K399" i="5"/>
  <c r="AG399" i="5"/>
  <c r="AF399" i="5"/>
  <c r="C399" i="5"/>
  <c r="L399" i="5"/>
  <c r="N399" i="5"/>
  <c r="L402" i="4"/>
  <c r="Q399" i="5"/>
  <c r="U399" i="5"/>
  <c r="Q402" i="4"/>
  <c r="X399" i="5"/>
  <c r="R402" i="4"/>
  <c r="Z399" i="5"/>
  <c r="AC399" i="5"/>
  <c r="AD399" i="5"/>
  <c r="X402" i="4"/>
  <c r="AI399" i="5"/>
  <c r="Y402" i="4"/>
  <c r="AJ399" i="5"/>
  <c r="AL399" i="5"/>
  <c r="F399" i="5"/>
  <c r="E399" i="5"/>
  <c r="H399" i="5"/>
  <c r="I399" i="5"/>
  <c r="R399" i="5"/>
  <c r="T399" i="5"/>
  <c r="AN399" i="5"/>
  <c r="AA400" i="5"/>
  <c r="B403" i="4"/>
  <c r="P403" i="4"/>
  <c r="W400" i="5"/>
  <c r="O400" i="5"/>
  <c r="K400" i="5"/>
  <c r="AG400" i="5"/>
  <c r="AF400" i="5"/>
  <c r="C400" i="5"/>
  <c r="L400" i="5"/>
  <c r="N400" i="5"/>
  <c r="L403" i="4"/>
  <c r="Q400" i="5"/>
  <c r="U400" i="5"/>
  <c r="Q403" i="4"/>
  <c r="X400" i="5"/>
  <c r="R403" i="4"/>
  <c r="Z400" i="5"/>
  <c r="AC400" i="5"/>
  <c r="AD400" i="5"/>
  <c r="X403" i="4"/>
  <c r="AI400" i="5"/>
  <c r="Y403" i="4"/>
  <c r="AJ400" i="5"/>
  <c r="AL400" i="5"/>
  <c r="F400" i="5"/>
  <c r="E400" i="5"/>
  <c r="H400" i="5"/>
  <c r="I400" i="5"/>
  <c r="R400" i="5"/>
  <c r="T400" i="5"/>
  <c r="AN400" i="5"/>
  <c r="AA401" i="5"/>
  <c r="B387" i="4"/>
  <c r="P387" i="4"/>
  <c r="W401" i="5"/>
  <c r="O401" i="5"/>
  <c r="K401" i="5"/>
  <c r="AG401" i="5"/>
  <c r="AF401" i="5"/>
  <c r="C401" i="5"/>
  <c r="L401" i="5"/>
  <c r="N401" i="5"/>
  <c r="L387" i="4"/>
  <c r="Q401" i="5"/>
  <c r="U401" i="5"/>
  <c r="Q387" i="4"/>
  <c r="X401" i="5"/>
  <c r="R387" i="4"/>
  <c r="Z401" i="5"/>
  <c r="AC401" i="5"/>
  <c r="AD401" i="5"/>
  <c r="X387" i="4"/>
  <c r="AI401" i="5"/>
  <c r="Y387" i="4"/>
  <c r="AJ401" i="5"/>
  <c r="AL401" i="5"/>
  <c r="F401" i="5"/>
  <c r="E401" i="5"/>
  <c r="H401" i="5"/>
  <c r="I401" i="5"/>
  <c r="R401" i="5"/>
  <c r="T401" i="5"/>
  <c r="AN401" i="5"/>
  <c r="AA402" i="5"/>
  <c r="B404" i="4"/>
  <c r="P404" i="4"/>
  <c r="W402" i="5"/>
  <c r="O402" i="5"/>
  <c r="K402" i="5"/>
  <c r="AG402" i="5"/>
  <c r="AF402" i="5"/>
  <c r="C402" i="5"/>
  <c r="L402" i="5"/>
  <c r="N402" i="5"/>
  <c r="L404" i="4"/>
  <c r="Q402" i="5"/>
  <c r="U402" i="5"/>
  <c r="Q404" i="4"/>
  <c r="X402" i="5"/>
  <c r="R404" i="4"/>
  <c r="Z402" i="5"/>
  <c r="AC402" i="5"/>
  <c r="AD402" i="5"/>
  <c r="X404" i="4"/>
  <c r="AI402" i="5"/>
  <c r="Y404" i="4"/>
  <c r="AJ402" i="5"/>
  <c r="AL402" i="5"/>
  <c r="F402" i="5"/>
  <c r="E402" i="5"/>
  <c r="H402" i="5"/>
  <c r="I402" i="5"/>
  <c r="R402" i="5"/>
  <c r="T402" i="5"/>
  <c r="AN402" i="5"/>
  <c r="AA403" i="5"/>
  <c r="B405" i="4"/>
  <c r="P405" i="4"/>
  <c r="W403" i="5"/>
  <c r="O403" i="5"/>
  <c r="K403" i="5"/>
  <c r="AG403" i="5"/>
  <c r="AF403" i="5"/>
  <c r="C403" i="5"/>
  <c r="L403" i="5"/>
  <c r="N403" i="5"/>
  <c r="L405" i="4"/>
  <c r="Q403" i="5"/>
  <c r="U403" i="5"/>
  <c r="Q405" i="4"/>
  <c r="X403" i="5"/>
  <c r="R405" i="4"/>
  <c r="Z403" i="5"/>
  <c r="AC403" i="5"/>
  <c r="AD403" i="5"/>
  <c r="X405" i="4"/>
  <c r="AI403" i="5"/>
  <c r="Y405" i="4"/>
  <c r="AJ403" i="5"/>
  <c r="AL403" i="5"/>
  <c r="F403" i="5"/>
  <c r="E403" i="5"/>
  <c r="H403" i="5"/>
  <c r="I403" i="5"/>
  <c r="R403" i="5"/>
  <c r="T403" i="5"/>
  <c r="AN403" i="5"/>
  <c r="AA404" i="5"/>
  <c r="B394" i="4"/>
  <c r="P394" i="4"/>
  <c r="W404" i="5"/>
  <c r="O404" i="5"/>
  <c r="K404" i="5"/>
  <c r="AG404" i="5"/>
  <c r="AF404" i="5"/>
  <c r="C404" i="5"/>
  <c r="L404" i="5"/>
  <c r="N404" i="5"/>
  <c r="L394" i="4"/>
  <c r="Q404" i="5"/>
  <c r="U404" i="5"/>
  <c r="Q394" i="4"/>
  <c r="X404" i="5"/>
  <c r="R394" i="4"/>
  <c r="Z404" i="5"/>
  <c r="AC404" i="5"/>
  <c r="AD404" i="5"/>
  <c r="X394" i="4"/>
  <c r="AI404" i="5"/>
  <c r="Y394" i="4"/>
  <c r="AJ404" i="5"/>
  <c r="AL404" i="5"/>
  <c r="F404" i="5"/>
  <c r="E404" i="5"/>
  <c r="H404" i="5"/>
  <c r="I404" i="5"/>
  <c r="R404" i="5"/>
  <c r="T404" i="5"/>
  <c r="AN404" i="5"/>
  <c r="AA405" i="5"/>
  <c r="B395" i="4"/>
  <c r="P395" i="4"/>
  <c r="W405" i="5"/>
  <c r="O405" i="5"/>
  <c r="K405" i="5"/>
  <c r="AG405" i="5"/>
  <c r="AF405" i="5"/>
  <c r="C405" i="5"/>
  <c r="L405" i="5"/>
  <c r="N405" i="5"/>
  <c r="L395" i="4"/>
  <c r="Q405" i="5"/>
  <c r="U405" i="5"/>
  <c r="Q395" i="4"/>
  <c r="X405" i="5"/>
  <c r="R395" i="4"/>
  <c r="Z405" i="5"/>
  <c r="AC405" i="5"/>
  <c r="AD405" i="5"/>
  <c r="X395" i="4"/>
  <c r="AI405" i="5"/>
  <c r="Y395" i="4"/>
  <c r="AJ405" i="5"/>
  <c r="AL405" i="5"/>
  <c r="F405" i="5"/>
  <c r="E405" i="5"/>
  <c r="H405" i="5"/>
  <c r="I405" i="5"/>
  <c r="R405" i="5"/>
  <c r="T405" i="5"/>
  <c r="AN405" i="5"/>
  <c r="AA406" i="5"/>
  <c r="B406" i="4"/>
  <c r="P406" i="4"/>
  <c r="W406" i="5"/>
  <c r="O406" i="5"/>
  <c r="K406" i="5"/>
  <c r="AG406" i="5"/>
  <c r="AF406" i="5"/>
  <c r="C406" i="5"/>
  <c r="L406" i="5"/>
  <c r="N406" i="5"/>
  <c r="L406" i="4"/>
  <c r="Q406" i="5"/>
  <c r="U406" i="5"/>
  <c r="Q406" i="4"/>
  <c r="X406" i="5"/>
  <c r="R406" i="4"/>
  <c r="Z406" i="5"/>
  <c r="AC406" i="5"/>
  <c r="AD406" i="5"/>
  <c r="X406" i="4"/>
  <c r="AI406" i="5"/>
  <c r="Y406" i="4"/>
  <c r="AJ406" i="5"/>
  <c r="AL406" i="5"/>
  <c r="F406" i="5"/>
  <c r="E406" i="5"/>
  <c r="H406" i="5"/>
  <c r="I406" i="5"/>
  <c r="R406" i="5"/>
  <c r="T406" i="5"/>
  <c r="AN406" i="5"/>
  <c r="AA407" i="5"/>
  <c r="B407" i="4"/>
  <c r="P407" i="4"/>
  <c r="W407" i="5"/>
  <c r="O407" i="5"/>
  <c r="K407" i="5"/>
  <c r="AG407" i="5"/>
  <c r="AF407" i="5"/>
  <c r="C407" i="5"/>
  <c r="L407" i="5"/>
  <c r="N407" i="5"/>
  <c r="L407" i="4"/>
  <c r="Q407" i="5"/>
  <c r="U407" i="5"/>
  <c r="Q407" i="4"/>
  <c r="X407" i="5"/>
  <c r="R407" i="4"/>
  <c r="Z407" i="5"/>
  <c r="AC407" i="5"/>
  <c r="AD407" i="5"/>
  <c r="X407" i="4"/>
  <c r="AI407" i="5"/>
  <c r="Y407" i="4"/>
  <c r="AJ407" i="5"/>
  <c r="AL407" i="5"/>
  <c r="F407" i="5"/>
  <c r="E407" i="5"/>
  <c r="H407" i="5"/>
  <c r="I407" i="5"/>
  <c r="R407" i="5"/>
  <c r="T407" i="5"/>
  <c r="AN407" i="5"/>
  <c r="AA408" i="5"/>
  <c r="B408" i="4"/>
  <c r="P408" i="4"/>
  <c r="W408" i="5"/>
  <c r="O408" i="5"/>
  <c r="K408" i="5"/>
  <c r="AG408" i="5"/>
  <c r="AF408" i="5"/>
  <c r="C408" i="5"/>
  <c r="L408" i="5"/>
  <c r="N408" i="5"/>
  <c r="L408" i="4"/>
  <c r="Q408" i="5"/>
  <c r="U408" i="5"/>
  <c r="Q408" i="4"/>
  <c r="X408" i="5"/>
  <c r="R408" i="4"/>
  <c r="Z408" i="5"/>
  <c r="AC408" i="5"/>
  <c r="AD408" i="5"/>
  <c r="X408" i="4"/>
  <c r="AI408" i="5"/>
  <c r="Y408" i="4"/>
  <c r="AJ408" i="5"/>
  <c r="AL408" i="5"/>
  <c r="F408" i="5"/>
  <c r="E408" i="5"/>
  <c r="H408" i="5"/>
  <c r="I408" i="5"/>
  <c r="R408" i="5"/>
  <c r="T408" i="5"/>
  <c r="AN408" i="5"/>
  <c r="AA409" i="5"/>
  <c r="B409" i="4"/>
  <c r="P409" i="4"/>
  <c r="W409" i="5"/>
  <c r="O409" i="5"/>
  <c r="K409" i="5"/>
  <c r="AG409" i="5"/>
  <c r="AF409" i="5"/>
  <c r="C409" i="5"/>
  <c r="L409" i="5"/>
  <c r="N409" i="5"/>
  <c r="L409" i="4"/>
  <c r="Q409" i="5"/>
  <c r="U409" i="5"/>
  <c r="Q409" i="4"/>
  <c r="X409" i="5"/>
  <c r="R25" i="2"/>
  <c r="R409" i="4"/>
  <c r="Z409" i="5"/>
  <c r="AC409" i="5"/>
  <c r="AD409" i="5"/>
  <c r="X409" i="4"/>
  <c r="AI409" i="5"/>
  <c r="Y409" i="4"/>
  <c r="AJ409" i="5"/>
  <c r="AL409" i="5"/>
  <c r="F409" i="5"/>
  <c r="E409" i="5"/>
  <c r="H409" i="5"/>
  <c r="I409" i="5"/>
  <c r="R409" i="5"/>
  <c r="T409" i="5"/>
  <c r="AN409" i="5"/>
  <c r="AA410" i="5"/>
  <c r="B410" i="4"/>
  <c r="P410" i="4"/>
  <c r="W410" i="5"/>
  <c r="O410" i="5"/>
  <c r="K410" i="5"/>
  <c r="AG410" i="5"/>
  <c r="AF410" i="5"/>
  <c r="C410" i="5"/>
  <c r="L410" i="5"/>
  <c r="N410" i="5"/>
  <c r="L410" i="4"/>
  <c r="Q410" i="5"/>
  <c r="U410" i="5"/>
  <c r="Q410" i="4"/>
  <c r="X410" i="5"/>
  <c r="R410" i="4"/>
  <c r="Z410" i="5"/>
  <c r="AC410" i="5"/>
  <c r="AD410" i="5"/>
  <c r="X410" i="4"/>
  <c r="AI410" i="5"/>
  <c r="Y410" i="4"/>
  <c r="AJ410" i="5"/>
  <c r="AL410" i="5"/>
  <c r="F410" i="5"/>
  <c r="E410" i="5"/>
  <c r="H410" i="5"/>
  <c r="I410" i="5"/>
  <c r="R410" i="5"/>
  <c r="T410" i="5"/>
  <c r="AN410" i="5"/>
  <c r="AA411" i="5"/>
  <c r="B411" i="4"/>
  <c r="P411" i="4"/>
  <c r="W411" i="5"/>
  <c r="O411" i="5"/>
  <c r="K411" i="5"/>
  <c r="AG411" i="5"/>
  <c r="AF411" i="5"/>
  <c r="C411" i="5"/>
  <c r="L411" i="5"/>
  <c r="N411" i="5"/>
  <c r="L411" i="4"/>
  <c r="Q411" i="5"/>
  <c r="U411" i="5"/>
  <c r="Q411" i="4"/>
  <c r="X411" i="5"/>
  <c r="R411" i="4"/>
  <c r="Z411" i="5"/>
  <c r="AC411" i="5"/>
  <c r="AD411" i="5"/>
  <c r="X411" i="4"/>
  <c r="AI411" i="5"/>
  <c r="Y411" i="4"/>
  <c r="AJ411" i="5"/>
  <c r="AL411" i="5"/>
  <c r="F411" i="5"/>
  <c r="E411" i="5"/>
  <c r="H411" i="5"/>
  <c r="I411" i="5"/>
  <c r="R411" i="5"/>
  <c r="T411" i="5"/>
  <c r="AN411" i="5"/>
  <c r="AG2" i="5"/>
  <c r="AF2" i="5"/>
  <c r="B125" i="4"/>
  <c r="C125" i="4"/>
  <c r="C2" i="5"/>
  <c r="D125" i="4"/>
  <c r="E2" i="5"/>
  <c r="K2" i="5"/>
  <c r="L125" i="4"/>
  <c r="Q2" i="5"/>
  <c r="M125" i="4"/>
  <c r="R2" i="5"/>
  <c r="T2" i="5"/>
  <c r="U2" i="5"/>
  <c r="P125" i="4"/>
  <c r="W2" i="5"/>
  <c r="Q125" i="4"/>
  <c r="X2" i="5"/>
  <c r="S125" i="4"/>
  <c r="AA2" i="5"/>
  <c r="AI125" i="4"/>
  <c r="T125" i="4" a="1"/>
  <c r="T125" i="4"/>
  <c r="AC2" i="5"/>
  <c r="U125" i="4" a="1"/>
  <c r="U125" i="4"/>
  <c r="AD2" i="5"/>
  <c r="X125" i="4"/>
  <c r="AI2" i="5"/>
  <c r="Y125" i="4"/>
  <c r="AJ2" i="5"/>
  <c r="Z125" i="4"/>
  <c r="AL2" i="5"/>
  <c r="F2" i="5"/>
  <c r="L2" i="5"/>
  <c r="N2" i="5"/>
  <c r="O2" i="5"/>
  <c r="H2" i="5"/>
  <c r="I2" i="5"/>
  <c r="Z2" i="5"/>
  <c r="AN2" i="5"/>
  <c r="AZ177" i="1"/>
  <c r="BA177" i="1"/>
  <c r="BB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BC177" i="1"/>
  <c r="CT177" i="1"/>
  <c r="AZ176" i="1"/>
  <c r="BA176" i="1"/>
  <c r="BB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BC176" i="1"/>
  <c r="CT176" i="1"/>
  <c r="AZ122" i="1"/>
  <c r="BA122" i="1"/>
  <c r="BB122" i="1"/>
  <c r="CH122" i="1"/>
  <c r="CI122" i="1"/>
  <c r="CJ122" i="1"/>
  <c r="CK122" i="1"/>
  <c r="CL122" i="1"/>
  <c r="CM122" i="1"/>
  <c r="CN122" i="1"/>
  <c r="CO122" i="1"/>
  <c r="CP122" i="1"/>
  <c r="CQ122" i="1"/>
  <c r="CR122" i="1"/>
  <c r="CS122" i="1"/>
  <c r="BV122" i="1"/>
  <c r="BW122" i="1"/>
  <c r="BX122" i="1"/>
  <c r="BY122" i="1"/>
  <c r="BZ122" i="1"/>
  <c r="CA122" i="1"/>
  <c r="CB122" i="1"/>
  <c r="CC122" i="1"/>
  <c r="CD122" i="1"/>
  <c r="CE122" i="1"/>
  <c r="CF122" i="1"/>
  <c r="CG122" i="1"/>
  <c r="BC122" i="1"/>
  <c r="CT122" i="1"/>
  <c r="AZ49" i="1"/>
  <c r="BA49" i="1"/>
  <c r="BB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BC49" i="1"/>
  <c r="CT49" i="1"/>
  <c r="AZ48" i="1"/>
  <c r="BA48" i="1"/>
  <c r="BB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BC48" i="1"/>
  <c r="CT48" i="1"/>
  <c r="AZ248" i="1"/>
  <c r="BA248" i="1"/>
  <c r="BB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BC248" i="1"/>
  <c r="CT248" i="1"/>
  <c r="AZ249" i="1"/>
  <c r="BA249" i="1"/>
  <c r="BB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BC249" i="1"/>
  <c r="CT249" i="1"/>
  <c r="BB24" i="1"/>
  <c r="AZ24" i="1"/>
  <c r="BA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BC24" i="1"/>
  <c r="CT24" i="1"/>
  <c r="AZ14" i="1"/>
  <c r="BA14" i="1"/>
  <c r="BB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BC14" i="1"/>
  <c r="CT14" i="1"/>
  <c r="AZ50" i="1"/>
  <c r="BA50" i="1"/>
  <c r="BB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BC50" i="1"/>
  <c r="CT50" i="1"/>
  <c r="CH2" i="1"/>
  <c r="CI2" i="1"/>
  <c r="CJ2" i="1"/>
  <c r="CK2" i="1"/>
  <c r="CL2" i="1"/>
  <c r="CM2" i="1"/>
  <c r="CN2" i="1"/>
  <c r="CO2" i="1"/>
  <c r="CP2" i="1"/>
  <c r="CQ2" i="1"/>
  <c r="CR2" i="1"/>
  <c r="CS2" i="1"/>
  <c r="BV2" i="1"/>
  <c r="BW2" i="1"/>
  <c r="BX2" i="1"/>
  <c r="BY2" i="1"/>
  <c r="BZ2" i="1"/>
  <c r="CA2" i="1"/>
  <c r="CB2" i="1"/>
  <c r="CC2" i="1"/>
  <c r="CD2" i="1"/>
  <c r="CE2" i="1"/>
  <c r="CF2" i="1"/>
  <c r="CG2" i="1"/>
  <c r="BC2" i="1"/>
  <c r="AZ158" i="1"/>
  <c r="BA158" i="1"/>
  <c r="BB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BC158" i="1"/>
  <c r="CT158" i="1"/>
  <c r="AZ157" i="1"/>
  <c r="BA157" i="1"/>
  <c r="BB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BC157" i="1"/>
  <c r="CT157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BC146" i="1"/>
  <c r="AZ146" i="1"/>
  <c r="BA146" i="1"/>
  <c r="BB146" i="1"/>
  <c r="CT146" i="1"/>
  <c r="AI300" i="4"/>
  <c r="AI310" i="4"/>
  <c r="AZ322" i="1"/>
  <c r="BA322" i="1"/>
  <c r="BB322" i="1"/>
  <c r="CH322" i="1"/>
  <c r="CI322" i="1"/>
  <c r="CJ322" i="1"/>
  <c r="CK322" i="1"/>
  <c r="CL322" i="1"/>
  <c r="CM322" i="1"/>
  <c r="CN322" i="1"/>
  <c r="CO322" i="1"/>
  <c r="CP322" i="1"/>
  <c r="CQ322" i="1"/>
  <c r="CR322" i="1"/>
  <c r="CS322" i="1"/>
  <c r="BV322" i="1"/>
  <c r="BW322" i="1"/>
  <c r="BX322" i="1"/>
  <c r="BY322" i="1"/>
  <c r="BZ322" i="1"/>
  <c r="CA322" i="1"/>
  <c r="CB322" i="1"/>
  <c r="CC322" i="1"/>
  <c r="CD322" i="1"/>
  <c r="CE322" i="1"/>
  <c r="CF322" i="1"/>
  <c r="CG322" i="1"/>
  <c r="BC322" i="1"/>
  <c r="CT322" i="1"/>
  <c r="AZ323" i="1"/>
  <c r="BA323" i="1"/>
  <c r="BB323" i="1"/>
  <c r="CH323" i="1"/>
  <c r="CI323" i="1"/>
  <c r="CJ323" i="1"/>
  <c r="CK323" i="1"/>
  <c r="CL323" i="1"/>
  <c r="CM323" i="1"/>
  <c r="CN323" i="1"/>
  <c r="CO323" i="1"/>
  <c r="CP323" i="1"/>
  <c r="CQ323" i="1"/>
  <c r="CR323" i="1"/>
  <c r="CS323" i="1"/>
  <c r="BV323" i="1"/>
  <c r="BW323" i="1"/>
  <c r="BX323" i="1"/>
  <c r="BY323" i="1"/>
  <c r="BZ323" i="1"/>
  <c r="CA323" i="1"/>
  <c r="CB323" i="1"/>
  <c r="CC323" i="1"/>
  <c r="CD323" i="1"/>
  <c r="CE323" i="1"/>
  <c r="CF323" i="1"/>
  <c r="CG323" i="1"/>
  <c r="BC323" i="1"/>
  <c r="CT323" i="1"/>
  <c r="AM49" i="2"/>
  <c r="AL49" i="2"/>
  <c r="AK49" i="2"/>
  <c r="AJ49" i="2"/>
  <c r="AI49" i="2"/>
  <c r="AH49" i="2"/>
  <c r="AG49" i="2"/>
  <c r="AF49" i="2"/>
  <c r="AE49" i="2"/>
  <c r="AD49" i="2"/>
  <c r="AC49" i="2"/>
  <c r="AB49" i="2"/>
  <c r="AA49" i="2"/>
  <c r="W49" i="2"/>
  <c r="S49" i="2"/>
  <c r="R49" i="2"/>
  <c r="K49" i="2"/>
  <c r="H49" i="2"/>
  <c r="G49" i="2"/>
  <c r="F49" i="2"/>
  <c r="E49" i="2"/>
  <c r="E47" i="2"/>
  <c r="E309" i="4"/>
  <c r="F47" i="2"/>
  <c r="F309" i="4"/>
  <c r="R47" i="2"/>
  <c r="R309" i="4"/>
  <c r="AA309" i="4"/>
  <c r="AC309" i="4"/>
  <c r="AD309" i="4"/>
  <c r="AE309" i="4"/>
  <c r="AF309" i="4"/>
  <c r="AG309" i="4"/>
  <c r="AH309" i="4"/>
  <c r="AI309" i="4"/>
  <c r="AJ309" i="4"/>
  <c r="AL309" i="4"/>
  <c r="B303" i="5"/>
  <c r="AM303" i="5"/>
  <c r="AO303" i="5"/>
  <c r="AP303" i="5"/>
  <c r="AQ303" i="5"/>
  <c r="AR303" i="5"/>
  <c r="AS303" i="5"/>
  <c r="AT303" i="5"/>
  <c r="AU303" i="5"/>
  <c r="AV303" i="5"/>
  <c r="AW303" i="5"/>
  <c r="AX303" i="5"/>
  <c r="AY303" i="5"/>
  <c r="AZ303" i="5"/>
  <c r="BA303" i="5"/>
  <c r="BB303" i="5"/>
  <c r="BC303" i="5"/>
  <c r="BD303" i="5"/>
  <c r="BE303" i="5"/>
  <c r="B314" i="6"/>
  <c r="C314" i="6"/>
  <c r="D314" i="6"/>
  <c r="V314" i="6"/>
  <c r="W314" i="6"/>
  <c r="X314" i="6"/>
  <c r="Y314" i="6"/>
  <c r="Z314" i="6"/>
  <c r="AA314" i="6"/>
  <c r="AB314" i="6"/>
  <c r="AC314" i="6"/>
  <c r="AD314" i="6"/>
  <c r="AE314" i="6"/>
  <c r="AF314" i="6"/>
  <c r="AG314" i="6"/>
  <c r="AH314" i="6"/>
  <c r="D409" i="9"/>
  <c r="E409" i="9"/>
  <c r="F409" i="9"/>
  <c r="G409" i="9"/>
  <c r="C115" i="7"/>
  <c r="D115" i="7"/>
  <c r="E115" i="7"/>
  <c r="U23" i="2"/>
  <c r="T23" i="2"/>
  <c r="AZ320" i="1"/>
  <c r="BA320" i="1"/>
  <c r="BB320" i="1"/>
  <c r="CH320" i="1"/>
  <c r="CI320" i="1"/>
  <c r="CJ320" i="1"/>
  <c r="CK320" i="1"/>
  <c r="CL320" i="1"/>
  <c r="CM320" i="1"/>
  <c r="CN320" i="1"/>
  <c r="CO320" i="1"/>
  <c r="CP320" i="1"/>
  <c r="CQ320" i="1"/>
  <c r="CR320" i="1"/>
  <c r="CS320" i="1"/>
  <c r="BV320" i="1"/>
  <c r="BW320" i="1"/>
  <c r="BX320" i="1"/>
  <c r="BY320" i="1"/>
  <c r="BZ320" i="1"/>
  <c r="CA320" i="1"/>
  <c r="CB320" i="1"/>
  <c r="CC320" i="1"/>
  <c r="CD320" i="1"/>
  <c r="CE320" i="1"/>
  <c r="CF320" i="1"/>
  <c r="CG320" i="1"/>
  <c r="BC320" i="1"/>
  <c r="CT320" i="1"/>
  <c r="AZ184" i="1"/>
  <c r="BA184" i="1"/>
  <c r="BB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BC184" i="1"/>
  <c r="CT184" i="1"/>
  <c r="AZ183" i="1"/>
  <c r="BA183" i="1"/>
  <c r="BB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BC183" i="1"/>
  <c r="CT183" i="1"/>
  <c r="G20" i="2"/>
  <c r="I20" i="2"/>
  <c r="J20" i="2"/>
  <c r="K20" i="2"/>
  <c r="T20" i="2"/>
  <c r="U20" i="2"/>
  <c r="V20" i="2"/>
  <c r="AA20" i="2"/>
  <c r="AB20" i="2"/>
  <c r="AC20" i="2"/>
  <c r="AD20" i="2"/>
  <c r="AE20" i="2"/>
  <c r="AF20" i="2"/>
  <c r="AG20" i="2"/>
  <c r="AH20" i="2"/>
  <c r="AI20" i="2"/>
  <c r="AJ20" i="2"/>
  <c r="AK20" i="2"/>
  <c r="AL20" i="2"/>
  <c r="AM20" i="2"/>
  <c r="AZ134" i="1"/>
  <c r="BA134" i="1"/>
  <c r="BB134" i="1"/>
  <c r="CH134" i="1"/>
  <c r="CI134" i="1"/>
  <c r="CJ134" i="1"/>
  <c r="CK134" i="1"/>
  <c r="CL134" i="1"/>
  <c r="CM134" i="1"/>
  <c r="CN134" i="1"/>
  <c r="CO134" i="1"/>
  <c r="CP134" i="1"/>
  <c r="CQ134" i="1"/>
  <c r="CR134" i="1"/>
  <c r="CS134" i="1"/>
  <c r="BV134" i="1"/>
  <c r="BW134" i="1"/>
  <c r="BX134" i="1"/>
  <c r="BY134" i="1"/>
  <c r="BZ134" i="1"/>
  <c r="CA134" i="1"/>
  <c r="CB134" i="1"/>
  <c r="CC134" i="1"/>
  <c r="CD134" i="1"/>
  <c r="CE134" i="1"/>
  <c r="CF134" i="1"/>
  <c r="CG134" i="1"/>
  <c r="BC134" i="1"/>
  <c r="CT134" i="1"/>
  <c r="AZ135" i="1"/>
  <c r="BA135" i="1"/>
  <c r="BB135" i="1"/>
  <c r="CH135" i="1"/>
  <c r="CI135" i="1"/>
  <c r="CJ135" i="1"/>
  <c r="CK135" i="1"/>
  <c r="CL135" i="1"/>
  <c r="CM135" i="1"/>
  <c r="CN135" i="1"/>
  <c r="CO135" i="1"/>
  <c r="CP135" i="1"/>
  <c r="CQ135" i="1"/>
  <c r="CR135" i="1"/>
  <c r="CS135" i="1"/>
  <c r="BV135" i="1"/>
  <c r="BW135" i="1"/>
  <c r="BX135" i="1"/>
  <c r="BY135" i="1"/>
  <c r="BZ135" i="1"/>
  <c r="CA135" i="1"/>
  <c r="CB135" i="1"/>
  <c r="CC135" i="1"/>
  <c r="CD135" i="1"/>
  <c r="CE135" i="1"/>
  <c r="CF135" i="1"/>
  <c r="CG135" i="1"/>
  <c r="BC135" i="1"/>
  <c r="CT135" i="1"/>
  <c r="AZ53" i="1"/>
  <c r="BA53" i="1"/>
  <c r="BB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BC53" i="1"/>
  <c r="CT53" i="1"/>
  <c r="AZ52" i="1"/>
  <c r="BA52" i="1"/>
  <c r="BB52" i="1"/>
  <c r="CH52" i="1"/>
  <c r="CI52" i="1"/>
  <c r="CJ52" i="1"/>
  <c r="CK52" i="1"/>
  <c r="CL52" i="1"/>
  <c r="CM52" i="1"/>
  <c r="CN52" i="1"/>
  <c r="CO52" i="1"/>
  <c r="CP52" i="1"/>
  <c r="CQ52" i="1"/>
  <c r="CR52" i="1"/>
  <c r="CS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BC52" i="1"/>
  <c r="CT52" i="1"/>
  <c r="D408" i="9"/>
  <c r="F408" i="9"/>
  <c r="G408" i="9"/>
  <c r="E408" i="9"/>
  <c r="D407" i="9"/>
  <c r="F407" i="9"/>
  <c r="G407" i="9"/>
  <c r="E407" i="9"/>
  <c r="D406" i="9"/>
  <c r="F406" i="9"/>
  <c r="G406" i="9"/>
  <c r="E406" i="9"/>
  <c r="D405" i="9"/>
  <c r="F405" i="9"/>
  <c r="G405" i="9"/>
  <c r="E405" i="9"/>
  <c r="D404" i="9"/>
  <c r="F404" i="9"/>
  <c r="G404" i="9"/>
  <c r="E404" i="9"/>
  <c r="D403" i="9"/>
  <c r="F403" i="9"/>
  <c r="G403" i="9"/>
  <c r="E403" i="9"/>
  <c r="D402" i="9"/>
  <c r="F402" i="9"/>
  <c r="G402" i="9"/>
  <c r="E402" i="9"/>
  <c r="D401" i="9"/>
  <c r="F401" i="9"/>
  <c r="G401" i="9"/>
  <c r="E401" i="9"/>
  <c r="D400" i="9"/>
  <c r="F400" i="9"/>
  <c r="G400" i="9"/>
  <c r="E400" i="9"/>
  <c r="D399" i="9"/>
  <c r="F399" i="9"/>
  <c r="G399" i="9"/>
  <c r="E399" i="9"/>
  <c r="D398" i="9"/>
  <c r="F398" i="9"/>
  <c r="G398" i="9"/>
  <c r="E398" i="9"/>
  <c r="D397" i="9"/>
  <c r="F397" i="9"/>
  <c r="G397" i="9"/>
  <c r="E397" i="9"/>
  <c r="D396" i="9"/>
  <c r="F396" i="9"/>
  <c r="G396" i="9"/>
  <c r="E396" i="9"/>
  <c r="D395" i="9"/>
  <c r="F395" i="9"/>
  <c r="G395" i="9"/>
  <c r="E395" i="9"/>
  <c r="D394" i="9"/>
  <c r="F394" i="9"/>
  <c r="G394" i="9"/>
  <c r="E394" i="9"/>
  <c r="D393" i="9"/>
  <c r="F393" i="9"/>
  <c r="G393" i="9"/>
  <c r="E393" i="9"/>
  <c r="D392" i="9"/>
  <c r="F392" i="9"/>
  <c r="G392" i="9"/>
  <c r="E392" i="9"/>
  <c r="D391" i="9"/>
  <c r="F391" i="9"/>
  <c r="G391" i="9"/>
  <c r="E391" i="9"/>
  <c r="D390" i="9"/>
  <c r="F390" i="9"/>
  <c r="G390" i="9"/>
  <c r="E390" i="9"/>
  <c r="D389" i="9"/>
  <c r="F389" i="9"/>
  <c r="G389" i="9"/>
  <c r="E389" i="9"/>
  <c r="D388" i="9"/>
  <c r="F388" i="9"/>
  <c r="G388" i="9"/>
  <c r="E388" i="9"/>
  <c r="D387" i="9"/>
  <c r="F387" i="9"/>
  <c r="G387" i="9"/>
  <c r="E387" i="9"/>
  <c r="D386" i="9"/>
  <c r="F386" i="9"/>
  <c r="G386" i="9"/>
  <c r="E386" i="9"/>
  <c r="D385" i="9"/>
  <c r="F385" i="9"/>
  <c r="G385" i="9"/>
  <c r="E385" i="9"/>
  <c r="D384" i="9"/>
  <c r="F384" i="9"/>
  <c r="G384" i="9"/>
  <c r="E384" i="9"/>
  <c r="D383" i="9"/>
  <c r="F383" i="9"/>
  <c r="G383" i="9"/>
  <c r="E383" i="9"/>
  <c r="D382" i="9"/>
  <c r="F382" i="9"/>
  <c r="G382" i="9"/>
  <c r="E382" i="9"/>
  <c r="D381" i="9"/>
  <c r="F381" i="9"/>
  <c r="G381" i="9"/>
  <c r="E381" i="9"/>
  <c r="D380" i="9"/>
  <c r="F380" i="9"/>
  <c r="G380" i="9"/>
  <c r="E380" i="9"/>
  <c r="D379" i="9"/>
  <c r="F379" i="9"/>
  <c r="G379" i="9"/>
  <c r="E379" i="9"/>
  <c r="D378" i="9"/>
  <c r="F378" i="9"/>
  <c r="G378" i="9"/>
  <c r="E378" i="9"/>
  <c r="D377" i="9"/>
  <c r="F377" i="9"/>
  <c r="G377" i="9"/>
  <c r="E377" i="9"/>
  <c r="D376" i="9"/>
  <c r="F376" i="9"/>
  <c r="G376" i="9"/>
  <c r="E376" i="9"/>
  <c r="D375" i="9"/>
  <c r="F375" i="9"/>
  <c r="G375" i="9"/>
  <c r="E375" i="9"/>
  <c r="D374" i="9"/>
  <c r="F374" i="9"/>
  <c r="G374" i="9"/>
  <c r="E374" i="9"/>
  <c r="D373" i="9"/>
  <c r="F373" i="9"/>
  <c r="G373" i="9"/>
  <c r="E373" i="9"/>
  <c r="D372" i="9"/>
  <c r="F372" i="9"/>
  <c r="G372" i="9"/>
  <c r="E372" i="9"/>
  <c r="D371" i="9"/>
  <c r="F371" i="9"/>
  <c r="G371" i="9"/>
  <c r="E371" i="9"/>
  <c r="D370" i="9"/>
  <c r="F370" i="9"/>
  <c r="G370" i="9"/>
  <c r="E370" i="9"/>
  <c r="D369" i="9"/>
  <c r="F369" i="9"/>
  <c r="G369" i="9"/>
  <c r="E369" i="9"/>
  <c r="D368" i="9"/>
  <c r="F368" i="9"/>
  <c r="G368" i="9"/>
  <c r="E368" i="9"/>
  <c r="D367" i="9"/>
  <c r="F367" i="9"/>
  <c r="G367" i="9"/>
  <c r="E367" i="9"/>
  <c r="D366" i="9"/>
  <c r="F366" i="9"/>
  <c r="G366" i="9"/>
  <c r="E366" i="9"/>
  <c r="D365" i="9"/>
  <c r="F365" i="9"/>
  <c r="G365" i="9"/>
  <c r="E365" i="9"/>
  <c r="D364" i="9"/>
  <c r="F364" i="9"/>
  <c r="G364" i="9"/>
  <c r="E364" i="9"/>
  <c r="D363" i="9"/>
  <c r="F363" i="9"/>
  <c r="G363" i="9"/>
  <c r="E363" i="9"/>
  <c r="D362" i="9"/>
  <c r="F362" i="9"/>
  <c r="G362" i="9"/>
  <c r="E362" i="9"/>
  <c r="D361" i="9"/>
  <c r="F361" i="9"/>
  <c r="G361" i="9"/>
  <c r="E361" i="9"/>
  <c r="D360" i="9"/>
  <c r="F360" i="9"/>
  <c r="G360" i="9"/>
  <c r="E360" i="9"/>
  <c r="D359" i="9"/>
  <c r="F359" i="9"/>
  <c r="G359" i="9"/>
  <c r="E359" i="9"/>
  <c r="D358" i="9"/>
  <c r="F358" i="9"/>
  <c r="G358" i="9"/>
  <c r="E358" i="9"/>
  <c r="D357" i="9"/>
  <c r="F357" i="9"/>
  <c r="G357" i="9"/>
  <c r="E357" i="9"/>
  <c r="D356" i="9"/>
  <c r="F356" i="9"/>
  <c r="G356" i="9"/>
  <c r="E356" i="9"/>
  <c r="D355" i="9"/>
  <c r="F355" i="9"/>
  <c r="G355" i="9"/>
  <c r="E355" i="9"/>
  <c r="D354" i="9"/>
  <c r="F354" i="9"/>
  <c r="G354" i="9"/>
  <c r="E354" i="9"/>
  <c r="D353" i="9"/>
  <c r="F353" i="9"/>
  <c r="G353" i="9"/>
  <c r="E353" i="9"/>
  <c r="D352" i="9"/>
  <c r="F352" i="9"/>
  <c r="G352" i="9"/>
  <c r="E352" i="9"/>
  <c r="D351" i="9"/>
  <c r="F351" i="9"/>
  <c r="G351" i="9"/>
  <c r="E351" i="9"/>
  <c r="D350" i="9"/>
  <c r="F350" i="9"/>
  <c r="G350" i="9"/>
  <c r="E350" i="9"/>
  <c r="D349" i="9"/>
  <c r="F349" i="9"/>
  <c r="G349" i="9"/>
  <c r="E349" i="9"/>
  <c r="D348" i="9"/>
  <c r="F348" i="9"/>
  <c r="G348" i="9"/>
  <c r="E348" i="9"/>
  <c r="D345" i="9"/>
  <c r="F345" i="9"/>
  <c r="G345" i="9"/>
  <c r="E345" i="9"/>
  <c r="D344" i="9"/>
  <c r="F344" i="9"/>
  <c r="G344" i="9"/>
  <c r="E344" i="9"/>
  <c r="D343" i="9"/>
  <c r="F343" i="9"/>
  <c r="G343" i="9"/>
  <c r="E343" i="9"/>
  <c r="D342" i="9"/>
  <c r="F342" i="9"/>
  <c r="G342" i="9"/>
  <c r="E342" i="9"/>
  <c r="D341" i="9"/>
  <c r="F341" i="9"/>
  <c r="G341" i="9"/>
  <c r="E341" i="9"/>
  <c r="D340" i="9"/>
  <c r="F340" i="9"/>
  <c r="G340" i="9"/>
  <c r="E340" i="9"/>
  <c r="D339" i="9"/>
  <c r="F339" i="9"/>
  <c r="G339" i="9"/>
  <c r="E339" i="9"/>
  <c r="D338" i="9"/>
  <c r="F338" i="9"/>
  <c r="G338" i="9"/>
  <c r="E338" i="9"/>
  <c r="D337" i="9"/>
  <c r="F337" i="9"/>
  <c r="G337" i="9"/>
  <c r="E337" i="9"/>
  <c r="D336" i="9"/>
  <c r="F336" i="9"/>
  <c r="G336" i="9"/>
  <c r="E336" i="9"/>
  <c r="D335" i="9"/>
  <c r="F335" i="9"/>
  <c r="G335" i="9"/>
  <c r="E335" i="9"/>
  <c r="D334" i="9"/>
  <c r="F334" i="9"/>
  <c r="G334" i="9"/>
  <c r="E334" i="9"/>
  <c r="D333" i="9"/>
  <c r="F333" i="9"/>
  <c r="G333" i="9"/>
  <c r="E333" i="9"/>
  <c r="D332" i="9"/>
  <c r="F332" i="9"/>
  <c r="G332" i="9"/>
  <c r="E332" i="9"/>
  <c r="D331" i="9"/>
  <c r="F331" i="9"/>
  <c r="G331" i="9"/>
  <c r="E331" i="9"/>
  <c r="D330" i="9"/>
  <c r="F330" i="9"/>
  <c r="G330" i="9"/>
  <c r="E330" i="9"/>
  <c r="D329" i="9"/>
  <c r="F329" i="9"/>
  <c r="G329" i="9"/>
  <c r="E329" i="9"/>
  <c r="D328" i="9"/>
  <c r="F328" i="9"/>
  <c r="G328" i="9"/>
  <c r="E328" i="9"/>
  <c r="D327" i="9"/>
  <c r="F327" i="9"/>
  <c r="G327" i="9"/>
  <c r="E327" i="9"/>
  <c r="D326" i="9"/>
  <c r="F326" i="9"/>
  <c r="G326" i="9"/>
  <c r="E326" i="9"/>
  <c r="D325" i="9"/>
  <c r="F325" i="9"/>
  <c r="G325" i="9"/>
  <c r="E325" i="9"/>
  <c r="D324" i="9"/>
  <c r="F324" i="9"/>
  <c r="G324" i="9"/>
  <c r="E324" i="9"/>
  <c r="D323" i="9"/>
  <c r="F323" i="9"/>
  <c r="G323" i="9"/>
  <c r="E323" i="9"/>
  <c r="D322" i="9"/>
  <c r="F322" i="9"/>
  <c r="G322" i="9"/>
  <c r="E322" i="9"/>
  <c r="D321" i="9"/>
  <c r="F321" i="9"/>
  <c r="G321" i="9"/>
  <c r="E321" i="9"/>
  <c r="D320" i="9"/>
  <c r="F320" i="9"/>
  <c r="G320" i="9"/>
  <c r="E320" i="9"/>
  <c r="D319" i="9"/>
  <c r="F319" i="9"/>
  <c r="G319" i="9"/>
  <c r="E319" i="9"/>
  <c r="D318" i="9"/>
  <c r="F318" i="9"/>
  <c r="G318" i="9"/>
  <c r="E318" i="9"/>
  <c r="D317" i="9"/>
  <c r="F317" i="9"/>
  <c r="G317" i="9"/>
  <c r="E317" i="9"/>
  <c r="D316" i="9"/>
  <c r="F316" i="9"/>
  <c r="G316" i="9"/>
  <c r="E316" i="9"/>
  <c r="D315" i="9"/>
  <c r="F315" i="9"/>
  <c r="G315" i="9"/>
  <c r="E315" i="9"/>
  <c r="D314" i="9"/>
  <c r="F314" i="9"/>
  <c r="G314" i="9"/>
  <c r="E314" i="9"/>
  <c r="D313" i="9"/>
  <c r="F313" i="9"/>
  <c r="G313" i="9"/>
  <c r="E313" i="9"/>
  <c r="D312" i="9"/>
  <c r="F312" i="9"/>
  <c r="G312" i="9"/>
  <c r="E312" i="9"/>
  <c r="D311" i="9"/>
  <c r="F311" i="9"/>
  <c r="G311" i="9"/>
  <c r="E311" i="9"/>
  <c r="D310" i="9"/>
  <c r="F310" i="9"/>
  <c r="G310" i="9"/>
  <c r="E310" i="9"/>
  <c r="D309" i="9"/>
  <c r="F309" i="9"/>
  <c r="G309" i="9"/>
  <c r="E309" i="9"/>
  <c r="D308" i="9"/>
  <c r="F308" i="9"/>
  <c r="G308" i="9"/>
  <c r="E308" i="9"/>
  <c r="D307" i="9"/>
  <c r="F307" i="9"/>
  <c r="G307" i="9"/>
  <c r="E307" i="9"/>
  <c r="D306" i="9"/>
  <c r="F306" i="9"/>
  <c r="G306" i="9"/>
  <c r="E306" i="9"/>
  <c r="D305" i="9"/>
  <c r="F305" i="9"/>
  <c r="G305" i="9"/>
  <c r="E305" i="9"/>
  <c r="D304" i="9"/>
  <c r="F304" i="9"/>
  <c r="G304" i="9"/>
  <c r="E304" i="9"/>
  <c r="D303" i="9"/>
  <c r="F303" i="9"/>
  <c r="G303" i="9"/>
  <c r="E303" i="9"/>
  <c r="D302" i="9"/>
  <c r="F302" i="9"/>
  <c r="G302" i="9"/>
  <c r="E302" i="9"/>
  <c r="D301" i="9"/>
  <c r="F301" i="9"/>
  <c r="G301" i="9"/>
  <c r="E301" i="9"/>
  <c r="D300" i="9"/>
  <c r="F300" i="9"/>
  <c r="G300" i="9"/>
  <c r="E300" i="9"/>
  <c r="D299" i="9"/>
  <c r="F299" i="9"/>
  <c r="G299" i="9"/>
  <c r="E299" i="9"/>
  <c r="D298" i="9"/>
  <c r="F298" i="9"/>
  <c r="G298" i="9"/>
  <c r="E298" i="9"/>
  <c r="D297" i="9"/>
  <c r="F297" i="9"/>
  <c r="G297" i="9"/>
  <c r="E297" i="9"/>
  <c r="D296" i="9"/>
  <c r="F296" i="9"/>
  <c r="G296" i="9"/>
  <c r="E296" i="9"/>
  <c r="D295" i="9"/>
  <c r="F295" i="9"/>
  <c r="G295" i="9"/>
  <c r="E295" i="9"/>
  <c r="D294" i="9"/>
  <c r="F294" i="9"/>
  <c r="G294" i="9"/>
  <c r="E294" i="9"/>
  <c r="D293" i="9"/>
  <c r="F293" i="9"/>
  <c r="G293" i="9"/>
  <c r="E293" i="9"/>
  <c r="D292" i="9"/>
  <c r="F292" i="9"/>
  <c r="G292" i="9"/>
  <c r="E292" i="9"/>
  <c r="D291" i="9"/>
  <c r="F291" i="9"/>
  <c r="G291" i="9"/>
  <c r="E291" i="9"/>
  <c r="D290" i="9"/>
  <c r="F290" i="9"/>
  <c r="G290" i="9"/>
  <c r="E290" i="9"/>
  <c r="D289" i="9"/>
  <c r="F289" i="9"/>
  <c r="G289" i="9"/>
  <c r="E289" i="9"/>
  <c r="D288" i="9"/>
  <c r="F288" i="9"/>
  <c r="G288" i="9"/>
  <c r="E288" i="9"/>
  <c r="D287" i="9"/>
  <c r="F287" i="9"/>
  <c r="G287" i="9"/>
  <c r="E287" i="9"/>
  <c r="D286" i="9"/>
  <c r="F286" i="9"/>
  <c r="G286" i="9"/>
  <c r="E286" i="9"/>
  <c r="D285" i="9"/>
  <c r="F285" i="9"/>
  <c r="G285" i="9"/>
  <c r="E285" i="9"/>
  <c r="D284" i="9"/>
  <c r="F284" i="9"/>
  <c r="G284" i="9"/>
  <c r="E284" i="9"/>
  <c r="D283" i="9"/>
  <c r="F283" i="9"/>
  <c r="G283" i="9"/>
  <c r="E283" i="9"/>
  <c r="D282" i="9"/>
  <c r="F282" i="9"/>
  <c r="G282" i="9"/>
  <c r="E282" i="9"/>
  <c r="D281" i="9"/>
  <c r="F281" i="9"/>
  <c r="G281" i="9"/>
  <c r="E281" i="9"/>
  <c r="D280" i="9"/>
  <c r="F280" i="9"/>
  <c r="G280" i="9"/>
  <c r="E280" i="9"/>
  <c r="D279" i="9"/>
  <c r="F279" i="9"/>
  <c r="G279" i="9"/>
  <c r="E279" i="9"/>
  <c r="D278" i="9"/>
  <c r="F278" i="9"/>
  <c r="G278" i="9"/>
  <c r="E278" i="9"/>
  <c r="D277" i="9"/>
  <c r="F277" i="9"/>
  <c r="G277" i="9"/>
  <c r="E277" i="9"/>
  <c r="D276" i="9"/>
  <c r="F276" i="9"/>
  <c r="G276" i="9"/>
  <c r="E276" i="9"/>
  <c r="D275" i="9"/>
  <c r="F275" i="9"/>
  <c r="G275" i="9"/>
  <c r="E275" i="9"/>
  <c r="D274" i="9"/>
  <c r="F274" i="9"/>
  <c r="G274" i="9"/>
  <c r="E274" i="9"/>
  <c r="D273" i="9"/>
  <c r="F273" i="9"/>
  <c r="G273" i="9"/>
  <c r="E273" i="9"/>
  <c r="D272" i="9"/>
  <c r="F272" i="9"/>
  <c r="G272" i="9"/>
  <c r="E272" i="9"/>
  <c r="D271" i="9"/>
  <c r="F271" i="9"/>
  <c r="G271" i="9"/>
  <c r="E271" i="9"/>
  <c r="D270" i="9"/>
  <c r="F270" i="9"/>
  <c r="G270" i="9"/>
  <c r="E270" i="9"/>
  <c r="D269" i="9"/>
  <c r="F269" i="9"/>
  <c r="G269" i="9"/>
  <c r="E269" i="9"/>
  <c r="D268" i="9"/>
  <c r="F268" i="9"/>
  <c r="G268" i="9"/>
  <c r="E268" i="9"/>
  <c r="D267" i="9"/>
  <c r="F267" i="9"/>
  <c r="G267" i="9"/>
  <c r="E267" i="9"/>
  <c r="D266" i="9"/>
  <c r="F266" i="9"/>
  <c r="G266" i="9"/>
  <c r="E266" i="9"/>
  <c r="D265" i="9"/>
  <c r="F265" i="9"/>
  <c r="G265" i="9"/>
  <c r="E265" i="9"/>
  <c r="D264" i="9"/>
  <c r="F264" i="9"/>
  <c r="G264" i="9"/>
  <c r="E264" i="9"/>
  <c r="D263" i="9"/>
  <c r="F263" i="9"/>
  <c r="G263" i="9"/>
  <c r="E263" i="9"/>
  <c r="D262" i="9"/>
  <c r="F262" i="9"/>
  <c r="G262" i="9"/>
  <c r="E262" i="9"/>
  <c r="D261" i="9"/>
  <c r="F261" i="9"/>
  <c r="G261" i="9"/>
  <c r="E261" i="9"/>
  <c r="D260" i="9"/>
  <c r="F260" i="9"/>
  <c r="G260" i="9"/>
  <c r="E260" i="9"/>
  <c r="D259" i="9"/>
  <c r="F259" i="9"/>
  <c r="G259" i="9"/>
  <c r="E259" i="9"/>
  <c r="D258" i="9"/>
  <c r="F258" i="9"/>
  <c r="G258" i="9"/>
  <c r="E258" i="9"/>
  <c r="D257" i="9"/>
  <c r="F257" i="9"/>
  <c r="G257" i="9"/>
  <c r="E257" i="9"/>
  <c r="D256" i="9"/>
  <c r="F256" i="9"/>
  <c r="G256" i="9"/>
  <c r="E256" i="9"/>
  <c r="D255" i="9"/>
  <c r="F255" i="9"/>
  <c r="G255" i="9"/>
  <c r="E255" i="9"/>
  <c r="D254" i="9"/>
  <c r="F254" i="9"/>
  <c r="G254" i="9"/>
  <c r="E254" i="9"/>
  <c r="D253" i="9"/>
  <c r="F253" i="9"/>
  <c r="G253" i="9"/>
  <c r="E253" i="9"/>
  <c r="D252" i="9"/>
  <c r="F252" i="9"/>
  <c r="G252" i="9"/>
  <c r="E252" i="9"/>
  <c r="D251" i="9"/>
  <c r="F251" i="9"/>
  <c r="G251" i="9"/>
  <c r="E251" i="9"/>
  <c r="D250" i="9"/>
  <c r="F250" i="9"/>
  <c r="G250" i="9"/>
  <c r="E250" i="9"/>
  <c r="D249" i="9"/>
  <c r="F249" i="9"/>
  <c r="G249" i="9"/>
  <c r="E249" i="9"/>
  <c r="D248" i="9"/>
  <c r="F248" i="9"/>
  <c r="G248" i="9"/>
  <c r="E248" i="9"/>
  <c r="D247" i="9"/>
  <c r="F247" i="9"/>
  <c r="G247" i="9"/>
  <c r="E247" i="9"/>
  <c r="D246" i="9"/>
  <c r="F246" i="9"/>
  <c r="G246" i="9"/>
  <c r="E246" i="9"/>
  <c r="D245" i="9"/>
  <c r="F245" i="9"/>
  <c r="G245" i="9"/>
  <c r="E245" i="9"/>
  <c r="D244" i="9"/>
  <c r="F244" i="9"/>
  <c r="G244" i="9"/>
  <c r="E244" i="9"/>
  <c r="D243" i="9"/>
  <c r="F243" i="9"/>
  <c r="G243" i="9"/>
  <c r="E243" i="9"/>
  <c r="D242" i="9"/>
  <c r="F242" i="9"/>
  <c r="G242" i="9"/>
  <c r="E242" i="9"/>
  <c r="D241" i="9"/>
  <c r="F241" i="9"/>
  <c r="G241" i="9"/>
  <c r="E241" i="9"/>
  <c r="D240" i="9"/>
  <c r="F240" i="9"/>
  <c r="G240" i="9"/>
  <c r="E240" i="9"/>
  <c r="D239" i="9"/>
  <c r="F239" i="9"/>
  <c r="G239" i="9"/>
  <c r="E239" i="9"/>
  <c r="D238" i="9"/>
  <c r="F238" i="9"/>
  <c r="G238" i="9"/>
  <c r="E238" i="9"/>
  <c r="D237" i="9"/>
  <c r="F237" i="9"/>
  <c r="G237" i="9"/>
  <c r="E237" i="9"/>
  <c r="D236" i="9"/>
  <c r="F236" i="9"/>
  <c r="G236" i="9"/>
  <c r="E236" i="9"/>
  <c r="D235" i="9"/>
  <c r="F235" i="9"/>
  <c r="G235" i="9"/>
  <c r="E235" i="9"/>
  <c r="D234" i="9"/>
  <c r="F234" i="9"/>
  <c r="G234" i="9"/>
  <c r="E234" i="9"/>
  <c r="D233" i="9"/>
  <c r="F233" i="9"/>
  <c r="G233" i="9"/>
  <c r="E233" i="9"/>
  <c r="D232" i="9"/>
  <c r="F232" i="9"/>
  <c r="G232" i="9"/>
  <c r="E232" i="9"/>
  <c r="D231" i="9"/>
  <c r="F231" i="9"/>
  <c r="G231" i="9"/>
  <c r="E231" i="9"/>
  <c r="D230" i="9"/>
  <c r="F230" i="9"/>
  <c r="G230" i="9"/>
  <c r="E230" i="9"/>
  <c r="D229" i="9"/>
  <c r="F229" i="9"/>
  <c r="G229" i="9"/>
  <c r="E229" i="9"/>
  <c r="D228" i="9"/>
  <c r="F228" i="9"/>
  <c r="G228" i="9"/>
  <c r="E228" i="9"/>
  <c r="D227" i="9"/>
  <c r="F227" i="9"/>
  <c r="G227" i="9"/>
  <c r="E227" i="9"/>
  <c r="D226" i="9"/>
  <c r="F226" i="9"/>
  <c r="G226" i="9"/>
  <c r="E226" i="9"/>
  <c r="D225" i="9"/>
  <c r="F225" i="9"/>
  <c r="G225" i="9"/>
  <c r="E225" i="9"/>
  <c r="D224" i="9"/>
  <c r="F224" i="9"/>
  <c r="G224" i="9"/>
  <c r="E224" i="9"/>
  <c r="D223" i="9"/>
  <c r="F223" i="9"/>
  <c r="G223" i="9"/>
  <c r="E223" i="9"/>
  <c r="D222" i="9"/>
  <c r="F222" i="9"/>
  <c r="G222" i="9"/>
  <c r="E222" i="9"/>
  <c r="D221" i="9"/>
  <c r="F221" i="9"/>
  <c r="G221" i="9"/>
  <c r="E221" i="9"/>
  <c r="D220" i="9"/>
  <c r="F220" i="9"/>
  <c r="G220" i="9"/>
  <c r="E220" i="9"/>
  <c r="D219" i="9"/>
  <c r="F219" i="9"/>
  <c r="G219" i="9"/>
  <c r="E219" i="9"/>
  <c r="D218" i="9"/>
  <c r="F218" i="9"/>
  <c r="G218" i="9"/>
  <c r="E218" i="9"/>
  <c r="D217" i="9"/>
  <c r="F217" i="9"/>
  <c r="G217" i="9"/>
  <c r="E217" i="9"/>
  <c r="D216" i="9"/>
  <c r="F216" i="9"/>
  <c r="G216" i="9"/>
  <c r="E216" i="9"/>
  <c r="D215" i="9"/>
  <c r="F215" i="9"/>
  <c r="G215" i="9"/>
  <c r="E215" i="9"/>
  <c r="D214" i="9"/>
  <c r="F214" i="9"/>
  <c r="G214" i="9"/>
  <c r="E214" i="9"/>
  <c r="D213" i="9"/>
  <c r="F213" i="9"/>
  <c r="G213" i="9"/>
  <c r="E213" i="9"/>
  <c r="D212" i="9"/>
  <c r="F212" i="9"/>
  <c r="G212" i="9"/>
  <c r="E212" i="9"/>
  <c r="D211" i="9"/>
  <c r="F211" i="9"/>
  <c r="G211" i="9"/>
  <c r="E211" i="9"/>
  <c r="D210" i="9"/>
  <c r="F210" i="9"/>
  <c r="G210" i="9"/>
  <c r="E210" i="9"/>
  <c r="D209" i="9"/>
  <c r="F209" i="9"/>
  <c r="G209" i="9"/>
  <c r="E209" i="9"/>
  <c r="D208" i="9"/>
  <c r="F208" i="9"/>
  <c r="G208" i="9"/>
  <c r="E208" i="9"/>
  <c r="D207" i="9"/>
  <c r="F207" i="9"/>
  <c r="G207" i="9"/>
  <c r="E207" i="9"/>
  <c r="D206" i="9"/>
  <c r="F206" i="9"/>
  <c r="G206" i="9"/>
  <c r="E206" i="9"/>
  <c r="D205" i="9"/>
  <c r="F205" i="9"/>
  <c r="G205" i="9"/>
  <c r="E205" i="9"/>
  <c r="D204" i="9"/>
  <c r="F204" i="9"/>
  <c r="G204" i="9"/>
  <c r="E204" i="9"/>
  <c r="D203" i="9"/>
  <c r="F203" i="9"/>
  <c r="G203" i="9"/>
  <c r="E203" i="9"/>
  <c r="D202" i="9"/>
  <c r="F202" i="9"/>
  <c r="G202" i="9"/>
  <c r="E202" i="9"/>
  <c r="D201" i="9"/>
  <c r="F201" i="9"/>
  <c r="G201" i="9"/>
  <c r="E201" i="9"/>
  <c r="D200" i="9"/>
  <c r="F200" i="9"/>
  <c r="G200" i="9"/>
  <c r="E200" i="9"/>
  <c r="D199" i="9"/>
  <c r="F199" i="9"/>
  <c r="G199" i="9"/>
  <c r="E199" i="9"/>
  <c r="D198" i="9"/>
  <c r="F198" i="9"/>
  <c r="G198" i="9"/>
  <c r="E198" i="9"/>
  <c r="D197" i="9"/>
  <c r="F197" i="9"/>
  <c r="G197" i="9"/>
  <c r="E197" i="9"/>
  <c r="D196" i="9"/>
  <c r="F196" i="9"/>
  <c r="G196" i="9"/>
  <c r="E196" i="9"/>
  <c r="D195" i="9"/>
  <c r="F195" i="9"/>
  <c r="G195" i="9"/>
  <c r="E195" i="9"/>
  <c r="D194" i="9"/>
  <c r="F194" i="9"/>
  <c r="G194" i="9"/>
  <c r="E194" i="9"/>
  <c r="D193" i="9"/>
  <c r="F193" i="9"/>
  <c r="G193" i="9"/>
  <c r="E193" i="9"/>
  <c r="D192" i="9"/>
  <c r="F192" i="9"/>
  <c r="G192" i="9"/>
  <c r="E192" i="9"/>
  <c r="D191" i="9"/>
  <c r="F191" i="9"/>
  <c r="G191" i="9"/>
  <c r="E191" i="9"/>
  <c r="D190" i="9"/>
  <c r="F190" i="9"/>
  <c r="G190" i="9"/>
  <c r="E190" i="9"/>
  <c r="D189" i="9"/>
  <c r="F189" i="9"/>
  <c r="G189" i="9"/>
  <c r="E189" i="9"/>
  <c r="D188" i="9"/>
  <c r="F188" i="9"/>
  <c r="G188" i="9"/>
  <c r="E188" i="9"/>
  <c r="D187" i="9"/>
  <c r="F187" i="9"/>
  <c r="G187" i="9"/>
  <c r="E187" i="9"/>
  <c r="D186" i="9"/>
  <c r="F186" i="9"/>
  <c r="G186" i="9"/>
  <c r="E186" i="9"/>
  <c r="D185" i="9"/>
  <c r="F185" i="9"/>
  <c r="G185" i="9"/>
  <c r="E185" i="9"/>
  <c r="D184" i="9"/>
  <c r="F184" i="9"/>
  <c r="G184" i="9"/>
  <c r="E184" i="9"/>
  <c r="D183" i="9"/>
  <c r="F183" i="9"/>
  <c r="G183" i="9"/>
  <c r="E183" i="9"/>
  <c r="D182" i="9"/>
  <c r="F182" i="9"/>
  <c r="G182" i="9"/>
  <c r="E182" i="9"/>
  <c r="D181" i="9"/>
  <c r="F181" i="9"/>
  <c r="G181" i="9"/>
  <c r="E181" i="9"/>
  <c r="D180" i="9"/>
  <c r="F180" i="9"/>
  <c r="G180" i="9"/>
  <c r="E180" i="9"/>
  <c r="D179" i="9"/>
  <c r="F179" i="9"/>
  <c r="G179" i="9"/>
  <c r="E179" i="9"/>
  <c r="D178" i="9"/>
  <c r="F178" i="9"/>
  <c r="G178" i="9"/>
  <c r="E178" i="9"/>
  <c r="D177" i="9"/>
  <c r="F177" i="9"/>
  <c r="G177" i="9"/>
  <c r="E177" i="9"/>
  <c r="D176" i="9"/>
  <c r="F176" i="9"/>
  <c r="G176" i="9"/>
  <c r="E176" i="9"/>
  <c r="D175" i="9"/>
  <c r="F175" i="9"/>
  <c r="G175" i="9"/>
  <c r="E175" i="9"/>
  <c r="D174" i="9"/>
  <c r="F174" i="9"/>
  <c r="G174" i="9"/>
  <c r="E174" i="9"/>
  <c r="D173" i="9"/>
  <c r="F173" i="9"/>
  <c r="G173" i="9"/>
  <c r="E173" i="9"/>
  <c r="D172" i="9"/>
  <c r="F172" i="9"/>
  <c r="G172" i="9"/>
  <c r="E172" i="9"/>
  <c r="D171" i="9"/>
  <c r="F171" i="9"/>
  <c r="G171" i="9"/>
  <c r="E171" i="9"/>
  <c r="D170" i="9"/>
  <c r="F170" i="9"/>
  <c r="G170" i="9"/>
  <c r="E170" i="9"/>
  <c r="D169" i="9"/>
  <c r="F169" i="9"/>
  <c r="G169" i="9"/>
  <c r="E169" i="9"/>
  <c r="D168" i="9"/>
  <c r="F168" i="9"/>
  <c r="G168" i="9"/>
  <c r="E168" i="9"/>
  <c r="D167" i="9"/>
  <c r="F167" i="9"/>
  <c r="G167" i="9"/>
  <c r="E167" i="9"/>
  <c r="D166" i="9"/>
  <c r="F166" i="9"/>
  <c r="G166" i="9"/>
  <c r="E166" i="9"/>
  <c r="D165" i="9"/>
  <c r="F165" i="9"/>
  <c r="G165" i="9"/>
  <c r="E165" i="9"/>
  <c r="D164" i="9"/>
  <c r="F164" i="9"/>
  <c r="G164" i="9"/>
  <c r="E164" i="9"/>
  <c r="D163" i="9"/>
  <c r="F163" i="9"/>
  <c r="G163" i="9"/>
  <c r="E163" i="9"/>
  <c r="D162" i="9"/>
  <c r="F162" i="9"/>
  <c r="G162" i="9"/>
  <c r="E162" i="9"/>
  <c r="D161" i="9"/>
  <c r="F161" i="9"/>
  <c r="G161" i="9"/>
  <c r="E161" i="9"/>
  <c r="D160" i="9"/>
  <c r="F160" i="9"/>
  <c r="G160" i="9"/>
  <c r="E160" i="9"/>
  <c r="D159" i="9"/>
  <c r="F159" i="9"/>
  <c r="G159" i="9"/>
  <c r="E159" i="9"/>
  <c r="D158" i="9"/>
  <c r="F158" i="9"/>
  <c r="G158" i="9"/>
  <c r="E158" i="9"/>
  <c r="D157" i="9"/>
  <c r="F157" i="9"/>
  <c r="G157" i="9"/>
  <c r="E157" i="9"/>
  <c r="D156" i="9"/>
  <c r="F156" i="9"/>
  <c r="G156" i="9"/>
  <c r="E156" i="9"/>
  <c r="D155" i="9"/>
  <c r="F155" i="9"/>
  <c r="G155" i="9"/>
  <c r="E155" i="9"/>
  <c r="D154" i="9"/>
  <c r="F154" i="9"/>
  <c r="G154" i="9"/>
  <c r="E154" i="9"/>
  <c r="D153" i="9"/>
  <c r="F153" i="9"/>
  <c r="G153" i="9"/>
  <c r="E153" i="9"/>
  <c r="D152" i="9"/>
  <c r="F152" i="9"/>
  <c r="G152" i="9"/>
  <c r="E152" i="9"/>
  <c r="D151" i="9"/>
  <c r="F151" i="9"/>
  <c r="G151" i="9"/>
  <c r="E151" i="9"/>
  <c r="D150" i="9"/>
  <c r="F150" i="9"/>
  <c r="G150" i="9"/>
  <c r="E150" i="9"/>
  <c r="D149" i="9"/>
  <c r="F149" i="9"/>
  <c r="G149" i="9"/>
  <c r="E149" i="9"/>
  <c r="D148" i="9"/>
  <c r="F148" i="9"/>
  <c r="G148" i="9"/>
  <c r="E148" i="9"/>
  <c r="D147" i="9"/>
  <c r="F147" i="9"/>
  <c r="G147" i="9"/>
  <c r="E147" i="9"/>
  <c r="D146" i="9"/>
  <c r="F146" i="9"/>
  <c r="G146" i="9"/>
  <c r="E146" i="9"/>
  <c r="D145" i="9"/>
  <c r="F145" i="9"/>
  <c r="G145" i="9"/>
  <c r="E145" i="9"/>
  <c r="D144" i="9"/>
  <c r="F144" i="9"/>
  <c r="G144" i="9"/>
  <c r="E144" i="9"/>
  <c r="D143" i="9"/>
  <c r="F143" i="9"/>
  <c r="G143" i="9"/>
  <c r="E143" i="9"/>
  <c r="D142" i="9"/>
  <c r="F142" i="9"/>
  <c r="G142" i="9"/>
  <c r="E142" i="9"/>
  <c r="D141" i="9"/>
  <c r="F141" i="9"/>
  <c r="G141" i="9"/>
  <c r="E141" i="9"/>
  <c r="D140" i="9"/>
  <c r="F140" i="9"/>
  <c r="G140" i="9"/>
  <c r="E140" i="9"/>
  <c r="D139" i="9"/>
  <c r="F139" i="9"/>
  <c r="G139" i="9"/>
  <c r="E139" i="9"/>
  <c r="D138" i="9"/>
  <c r="F138" i="9"/>
  <c r="G138" i="9"/>
  <c r="E138" i="9"/>
  <c r="D137" i="9"/>
  <c r="F137" i="9"/>
  <c r="G137" i="9"/>
  <c r="E137" i="9"/>
  <c r="D136" i="9"/>
  <c r="F136" i="9"/>
  <c r="G136" i="9"/>
  <c r="E136" i="9"/>
  <c r="D135" i="9"/>
  <c r="F135" i="9"/>
  <c r="G135" i="9"/>
  <c r="E135" i="9"/>
  <c r="D134" i="9"/>
  <c r="F134" i="9"/>
  <c r="G134" i="9"/>
  <c r="E134" i="9"/>
  <c r="D133" i="9"/>
  <c r="F133" i="9"/>
  <c r="G133" i="9"/>
  <c r="E133" i="9"/>
  <c r="D132" i="9"/>
  <c r="F132" i="9"/>
  <c r="G132" i="9"/>
  <c r="E132" i="9"/>
  <c r="D131" i="9"/>
  <c r="F131" i="9"/>
  <c r="G131" i="9"/>
  <c r="E131" i="9"/>
  <c r="D130" i="9"/>
  <c r="F130" i="9"/>
  <c r="G130" i="9"/>
  <c r="E130" i="9"/>
  <c r="D129" i="9"/>
  <c r="F129" i="9"/>
  <c r="G129" i="9"/>
  <c r="E129" i="9"/>
  <c r="D128" i="9"/>
  <c r="F128" i="9"/>
  <c r="G128" i="9"/>
  <c r="E128" i="9"/>
  <c r="D127" i="9"/>
  <c r="F127" i="9"/>
  <c r="G127" i="9"/>
  <c r="E127" i="9"/>
  <c r="D126" i="9"/>
  <c r="F126" i="9"/>
  <c r="G126" i="9"/>
  <c r="E126" i="9"/>
  <c r="D125" i="9"/>
  <c r="F125" i="9"/>
  <c r="G125" i="9"/>
  <c r="E125" i="9"/>
  <c r="D124" i="9"/>
  <c r="F124" i="9"/>
  <c r="G124" i="9"/>
  <c r="E124" i="9"/>
  <c r="D123" i="9"/>
  <c r="F123" i="9"/>
  <c r="G123" i="9"/>
  <c r="E123" i="9"/>
  <c r="D122" i="9"/>
  <c r="F122" i="9"/>
  <c r="G122" i="9"/>
  <c r="E122" i="9"/>
  <c r="D121" i="9"/>
  <c r="F121" i="9"/>
  <c r="G121" i="9"/>
  <c r="E121" i="9"/>
  <c r="D120" i="9"/>
  <c r="F120" i="9"/>
  <c r="G120" i="9"/>
  <c r="E120" i="9"/>
  <c r="D119" i="9"/>
  <c r="F119" i="9"/>
  <c r="G119" i="9"/>
  <c r="E119" i="9"/>
  <c r="D118" i="9"/>
  <c r="F118" i="9"/>
  <c r="G118" i="9"/>
  <c r="E118" i="9"/>
  <c r="D117" i="9"/>
  <c r="F117" i="9"/>
  <c r="G117" i="9"/>
  <c r="E117" i="9"/>
  <c r="D116" i="9"/>
  <c r="F116" i="9"/>
  <c r="G116" i="9"/>
  <c r="E116" i="9"/>
  <c r="D115" i="9"/>
  <c r="F115" i="9"/>
  <c r="G115" i="9"/>
  <c r="E115" i="9"/>
  <c r="D114" i="9"/>
  <c r="F114" i="9"/>
  <c r="G114" i="9"/>
  <c r="E114" i="9"/>
  <c r="D113" i="9"/>
  <c r="F113" i="9"/>
  <c r="G113" i="9"/>
  <c r="E113" i="9"/>
  <c r="D112" i="9"/>
  <c r="F112" i="9"/>
  <c r="G112" i="9"/>
  <c r="E112" i="9"/>
  <c r="D111" i="9"/>
  <c r="F111" i="9"/>
  <c r="G111" i="9"/>
  <c r="E111" i="9"/>
  <c r="D110" i="9"/>
  <c r="F110" i="9"/>
  <c r="G110" i="9"/>
  <c r="E110" i="9"/>
  <c r="D109" i="9"/>
  <c r="F109" i="9"/>
  <c r="G109" i="9"/>
  <c r="E109" i="9"/>
  <c r="D108" i="9"/>
  <c r="F108" i="9"/>
  <c r="G108" i="9"/>
  <c r="E108" i="9"/>
  <c r="D107" i="9"/>
  <c r="F107" i="9"/>
  <c r="G107" i="9"/>
  <c r="E107" i="9"/>
  <c r="D106" i="9"/>
  <c r="F106" i="9"/>
  <c r="G106" i="9"/>
  <c r="E106" i="9"/>
  <c r="D105" i="9"/>
  <c r="F105" i="9"/>
  <c r="G105" i="9"/>
  <c r="E105" i="9"/>
  <c r="D104" i="9"/>
  <c r="F104" i="9"/>
  <c r="G104" i="9"/>
  <c r="E104" i="9"/>
  <c r="D103" i="9"/>
  <c r="F103" i="9"/>
  <c r="G103" i="9"/>
  <c r="E103" i="9"/>
  <c r="D102" i="9"/>
  <c r="F102" i="9"/>
  <c r="G102" i="9"/>
  <c r="E102" i="9"/>
  <c r="D101" i="9"/>
  <c r="F101" i="9"/>
  <c r="G101" i="9"/>
  <c r="E101" i="9"/>
  <c r="D100" i="9"/>
  <c r="F100" i="9"/>
  <c r="G100" i="9"/>
  <c r="E100" i="9"/>
  <c r="D99" i="9"/>
  <c r="F99" i="9"/>
  <c r="G99" i="9"/>
  <c r="E99" i="9"/>
  <c r="D98" i="9"/>
  <c r="F98" i="9"/>
  <c r="G98" i="9"/>
  <c r="E98" i="9"/>
  <c r="D97" i="9"/>
  <c r="F97" i="9"/>
  <c r="G97" i="9"/>
  <c r="E97" i="9"/>
  <c r="D96" i="9"/>
  <c r="F96" i="9"/>
  <c r="G96" i="9"/>
  <c r="E96" i="9"/>
  <c r="D95" i="9"/>
  <c r="F95" i="9"/>
  <c r="G95" i="9"/>
  <c r="E95" i="9"/>
  <c r="D94" i="9"/>
  <c r="F94" i="9"/>
  <c r="G94" i="9"/>
  <c r="E94" i="9"/>
  <c r="D93" i="9"/>
  <c r="F93" i="9"/>
  <c r="G93" i="9"/>
  <c r="E93" i="9"/>
  <c r="D92" i="9"/>
  <c r="F92" i="9"/>
  <c r="G92" i="9"/>
  <c r="E92" i="9"/>
  <c r="D91" i="9"/>
  <c r="F91" i="9"/>
  <c r="G91" i="9"/>
  <c r="E91" i="9"/>
  <c r="D90" i="9"/>
  <c r="F90" i="9"/>
  <c r="G90" i="9"/>
  <c r="E90" i="9"/>
  <c r="D89" i="9"/>
  <c r="F89" i="9"/>
  <c r="G89" i="9"/>
  <c r="E89" i="9"/>
  <c r="D88" i="9"/>
  <c r="F88" i="9"/>
  <c r="G88" i="9"/>
  <c r="E88" i="9"/>
  <c r="D87" i="9"/>
  <c r="F87" i="9"/>
  <c r="G87" i="9"/>
  <c r="E87" i="9"/>
  <c r="D86" i="9"/>
  <c r="F86" i="9"/>
  <c r="G86" i="9"/>
  <c r="E86" i="9"/>
  <c r="D85" i="9"/>
  <c r="F85" i="9"/>
  <c r="G85" i="9"/>
  <c r="E85" i="9"/>
  <c r="D84" i="9"/>
  <c r="F84" i="9"/>
  <c r="G84" i="9"/>
  <c r="E84" i="9"/>
  <c r="D83" i="9"/>
  <c r="F83" i="9"/>
  <c r="G83" i="9"/>
  <c r="E83" i="9"/>
  <c r="D82" i="9"/>
  <c r="F82" i="9"/>
  <c r="G82" i="9"/>
  <c r="E82" i="9"/>
  <c r="D81" i="9"/>
  <c r="F81" i="9"/>
  <c r="G81" i="9"/>
  <c r="E81" i="9"/>
  <c r="D80" i="9"/>
  <c r="F80" i="9"/>
  <c r="G80" i="9"/>
  <c r="E80" i="9"/>
  <c r="D79" i="9"/>
  <c r="F79" i="9"/>
  <c r="G79" i="9"/>
  <c r="E79" i="9"/>
  <c r="D78" i="9"/>
  <c r="F78" i="9"/>
  <c r="G78" i="9"/>
  <c r="E78" i="9"/>
  <c r="D77" i="9"/>
  <c r="F77" i="9"/>
  <c r="G77" i="9"/>
  <c r="E77" i="9"/>
  <c r="D76" i="9"/>
  <c r="F76" i="9"/>
  <c r="G76" i="9"/>
  <c r="E76" i="9"/>
  <c r="D75" i="9"/>
  <c r="F75" i="9"/>
  <c r="G75" i="9"/>
  <c r="E75" i="9"/>
  <c r="D74" i="9"/>
  <c r="F74" i="9"/>
  <c r="G74" i="9"/>
  <c r="E74" i="9"/>
  <c r="D73" i="9"/>
  <c r="F73" i="9"/>
  <c r="G73" i="9"/>
  <c r="E73" i="9"/>
  <c r="D72" i="9"/>
  <c r="F72" i="9"/>
  <c r="G72" i="9"/>
  <c r="E72" i="9"/>
  <c r="D71" i="9"/>
  <c r="F71" i="9"/>
  <c r="G71" i="9"/>
  <c r="E71" i="9"/>
  <c r="D70" i="9"/>
  <c r="F70" i="9"/>
  <c r="G70" i="9"/>
  <c r="E70" i="9"/>
  <c r="D69" i="9"/>
  <c r="F69" i="9"/>
  <c r="G69" i="9"/>
  <c r="E69" i="9"/>
  <c r="D68" i="9"/>
  <c r="F68" i="9"/>
  <c r="G68" i="9"/>
  <c r="E68" i="9"/>
  <c r="D67" i="9"/>
  <c r="F67" i="9"/>
  <c r="G67" i="9"/>
  <c r="E67" i="9"/>
  <c r="D66" i="9"/>
  <c r="F66" i="9"/>
  <c r="G66" i="9"/>
  <c r="E66" i="9"/>
  <c r="D65" i="9"/>
  <c r="F65" i="9"/>
  <c r="G65" i="9"/>
  <c r="E65" i="9"/>
  <c r="D64" i="9"/>
  <c r="F64" i="9"/>
  <c r="G64" i="9"/>
  <c r="E64" i="9"/>
  <c r="D63" i="9"/>
  <c r="F63" i="9"/>
  <c r="G63" i="9"/>
  <c r="E63" i="9"/>
  <c r="D62" i="9"/>
  <c r="F62" i="9"/>
  <c r="G62" i="9"/>
  <c r="E62" i="9"/>
  <c r="D61" i="9"/>
  <c r="F61" i="9"/>
  <c r="G61" i="9"/>
  <c r="E61" i="9"/>
  <c r="D60" i="9"/>
  <c r="F60" i="9"/>
  <c r="G60" i="9"/>
  <c r="E60" i="9"/>
  <c r="D59" i="9"/>
  <c r="F59" i="9"/>
  <c r="G59" i="9"/>
  <c r="E59" i="9"/>
  <c r="D58" i="9"/>
  <c r="F58" i="9"/>
  <c r="G58" i="9"/>
  <c r="E58" i="9"/>
  <c r="D57" i="9"/>
  <c r="F57" i="9"/>
  <c r="G57" i="9"/>
  <c r="E57" i="9"/>
  <c r="D56" i="9"/>
  <c r="F56" i="9"/>
  <c r="G56" i="9"/>
  <c r="E56" i="9"/>
  <c r="D55" i="9"/>
  <c r="F55" i="9"/>
  <c r="G55" i="9"/>
  <c r="E55" i="9"/>
  <c r="D54" i="9"/>
  <c r="F54" i="9"/>
  <c r="G54" i="9"/>
  <c r="E54" i="9"/>
  <c r="D53" i="9"/>
  <c r="F53" i="9"/>
  <c r="G53" i="9"/>
  <c r="E53" i="9"/>
  <c r="D52" i="9"/>
  <c r="F52" i="9"/>
  <c r="G52" i="9"/>
  <c r="E52" i="9"/>
  <c r="D51" i="9"/>
  <c r="F51" i="9"/>
  <c r="G51" i="9"/>
  <c r="E51" i="9"/>
  <c r="D50" i="9"/>
  <c r="F50" i="9"/>
  <c r="G50" i="9"/>
  <c r="E50" i="9"/>
  <c r="D49" i="9"/>
  <c r="F49" i="9"/>
  <c r="G49" i="9"/>
  <c r="E49" i="9"/>
  <c r="D48" i="9"/>
  <c r="F48" i="9"/>
  <c r="G48" i="9"/>
  <c r="E48" i="9"/>
  <c r="D47" i="9"/>
  <c r="F47" i="9"/>
  <c r="G47" i="9"/>
  <c r="E47" i="9"/>
  <c r="D46" i="9"/>
  <c r="F46" i="9"/>
  <c r="G46" i="9"/>
  <c r="E46" i="9"/>
  <c r="D45" i="9"/>
  <c r="F45" i="9"/>
  <c r="G45" i="9"/>
  <c r="E45" i="9"/>
  <c r="D44" i="9"/>
  <c r="F44" i="9"/>
  <c r="G44" i="9"/>
  <c r="E44" i="9"/>
  <c r="D43" i="9"/>
  <c r="F43" i="9"/>
  <c r="G43" i="9"/>
  <c r="E43" i="9"/>
  <c r="D42" i="9"/>
  <c r="F42" i="9"/>
  <c r="G42" i="9"/>
  <c r="E42" i="9"/>
  <c r="D41" i="9"/>
  <c r="F41" i="9"/>
  <c r="G41" i="9"/>
  <c r="E41" i="9"/>
  <c r="D40" i="9"/>
  <c r="F40" i="9"/>
  <c r="G40" i="9"/>
  <c r="E40" i="9"/>
  <c r="D39" i="9"/>
  <c r="F39" i="9"/>
  <c r="G39" i="9"/>
  <c r="E39" i="9"/>
  <c r="D38" i="9"/>
  <c r="F38" i="9"/>
  <c r="G38" i="9"/>
  <c r="E38" i="9"/>
  <c r="D37" i="9"/>
  <c r="F37" i="9"/>
  <c r="G37" i="9"/>
  <c r="E37" i="9"/>
  <c r="D36" i="9"/>
  <c r="F36" i="9"/>
  <c r="G36" i="9"/>
  <c r="E36" i="9"/>
  <c r="D35" i="9"/>
  <c r="F35" i="9"/>
  <c r="G35" i="9"/>
  <c r="E35" i="9"/>
  <c r="D34" i="9"/>
  <c r="F34" i="9"/>
  <c r="G34" i="9"/>
  <c r="E34" i="9"/>
  <c r="D33" i="9"/>
  <c r="F33" i="9"/>
  <c r="G33" i="9"/>
  <c r="E33" i="9"/>
  <c r="D32" i="9"/>
  <c r="F32" i="9"/>
  <c r="G32" i="9"/>
  <c r="E32" i="9"/>
  <c r="D31" i="9"/>
  <c r="F31" i="9"/>
  <c r="G31" i="9"/>
  <c r="E31" i="9"/>
  <c r="D30" i="9"/>
  <c r="F30" i="9"/>
  <c r="G30" i="9"/>
  <c r="E30" i="9"/>
  <c r="D29" i="9"/>
  <c r="F29" i="9"/>
  <c r="G29" i="9"/>
  <c r="E29" i="9"/>
  <c r="D28" i="9"/>
  <c r="F28" i="9"/>
  <c r="G28" i="9"/>
  <c r="E28" i="9"/>
  <c r="D27" i="9"/>
  <c r="F27" i="9"/>
  <c r="G27" i="9"/>
  <c r="E27" i="9"/>
  <c r="D26" i="9"/>
  <c r="F26" i="9"/>
  <c r="G26" i="9"/>
  <c r="E26" i="9"/>
  <c r="D25" i="9"/>
  <c r="F25" i="9"/>
  <c r="G25" i="9"/>
  <c r="E25" i="9"/>
  <c r="D24" i="9"/>
  <c r="F24" i="9"/>
  <c r="G24" i="9"/>
  <c r="E24" i="9"/>
  <c r="D23" i="9"/>
  <c r="F23" i="9"/>
  <c r="G23" i="9"/>
  <c r="E23" i="9"/>
  <c r="D22" i="9"/>
  <c r="F22" i="9"/>
  <c r="G22" i="9"/>
  <c r="E22" i="9"/>
  <c r="D21" i="9"/>
  <c r="F21" i="9"/>
  <c r="G21" i="9"/>
  <c r="E21" i="9"/>
  <c r="D20" i="9"/>
  <c r="F20" i="9"/>
  <c r="G20" i="9"/>
  <c r="E20" i="9"/>
  <c r="D19" i="9"/>
  <c r="F19" i="9"/>
  <c r="G19" i="9"/>
  <c r="E19" i="9"/>
  <c r="D18" i="9"/>
  <c r="F18" i="9"/>
  <c r="G18" i="9"/>
  <c r="E18" i="9"/>
  <c r="D17" i="9"/>
  <c r="F17" i="9"/>
  <c r="G17" i="9"/>
  <c r="E17" i="9"/>
  <c r="D16" i="9"/>
  <c r="F16" i="9"/>
  <c r="G16" i="9"/>
  <c r="E16" i="9"/>
  <c r="D15" i="9"/>
  <c r="F15" i="9"/>
  <c r="G15" i="9"/>
  <c r="E15" i="9"/>
  <c r="D14" i="9"/>
  <c r="F14" i="9"/>
  <c r="G14" i="9"/>
  <c r="E14" i="9"/>
  <c r="D13" i="9"/>
  <c r="F13" i="9"/>
  <c r="G13" i="9"/>
  <c r="E13" i="9"/>
  <c r="D12" i="9"/>
  <c r="F12" i="9"/>
  <c r="G12" i="9"/>
  <c r="E12" i="9"/>
  <c r="D11" i="9"/>
  <c r="F11" i="9"/>
  <c r="G11" i="9"/>
  <c r="E11" i="9"/>
  <c r="D10" i="9"/>
  <c r="F10" i="9"/>
  <c r="G10" i="9"/>
  <c r="E10" i="9"/>
  <c r="D9" i="9"/>
  <c r="F9" i="9"/>
  <c r="G9" i="9"/>
  <c r="E9" i="9"/>
  <c r="D8" i="9"/>
  <c r="F8" i="9"/>
  <c r="G8" i="9"/>
  <c r="E8" i="9"/>
  <c r="D7" i="9"/>
  <c r="F7" i="9"/>
  <c r="G7" i="9"/>
  <c r="E7" i="9"/>
  <c r="D6" i="9"/>
  <c r="F6" i="9"/>
  <c r="G6" i="9"/>
  <c r="E6" i="9"/>
  <c r="D5" i="9"/>
  <c r="F5" i="9"/>
  <c r="G5" i="9"/>
  <c r="E5" i="9"/>
  <c r="D4" i="9"/>
  <c r="F4" i="9"/>
  <c r="G4" i="9"/>
  <c r="E4" i="9"/>
  <c r="D3" i="9"/>
  <c r="F3" i="9"/>
  <c r="G3" i="9"/>
  <c r="E3" i="9"/>
  <c r="D2" i="9"/>
  <c r="F2" i="9"/>
  <c r="G2" i="9"/>
  <c r="E2" i="9"/>
  <c r="AZ315" i="1"/>
  <c r="BA315" i="1"/>
  <c r="BB315" i="1"/>
  <c r="CH315" i="1"/>
  <c r="CI315" i="1"/>
  <c r="CJ315" i="1"/>
  <c r="CK315" i="1"/>
  <c r="CL315" i="1"/>
  <c r="CM315" i="1"/>
  <c r="CN315" i="1"/>
  <c r="CO315" i="1"/>
  <c r="CP315" i="1"/>
  <c r="CQ315" i="1"/>
  <c r="CR315" i="1"/>
  <c r="CS315" i="1"/>
  <c r="BV315" i="1"/>
  <c r="BW315" i="1"/>
  <c r="BX315" i="1"/>
  <c r="BY315" i="1"/>
  <c r="BZ315" i="1"/>
  <c r="CA315" i="1"/>
  <c r="CB315" i="1"/>
  <c r="CC315" i="1"/>
  <c r="CD315" i="1"/>
  <c r="CE315" i="1"/>
  <c r="CF315" i="1"/>
  <c r="CG315" i="1"/>
  <c r="BC315" i="1"/>
  <c r="CT315" i="1"/>
  <c r="AZ314" i="1"/>
  <c r="BA314" i="1"/>
  <c r="BB314" i="1"/>
  <c r="CH314" i="1"/>
  <c r="CI314" i="1"/>
  <c r="CJ314" i="1"/>
  <c r="CK314" i="1"/>
  <c r="CL314" i="1"/>
  <c r="CM314" i="1"/>
  <c r="CN314" i="1"/>
  <c r="CO314" i="1"/>
  <c r="CP314" i="1"/>
  <c r="CQ314" i="1"/>
  <c r="CR314" i="1"/>
  <c r="CS314" i="1"/>
  <c r="BV314" i="1"/>
  <c r="BW314" i="1"/>
  <c r="BX314" i="1"/>
  <c r="BY314" i="1"/>
  <c r="BZ314" i="1"/>
  <c r="CA314" i="1"/>
  <c r="CB314" i="1"/>
  <c r="CC314" i="1"/>
  <c r="CD314" i="1"/>
  <c r="CE314" i="1"/>
  <c r="CF314" i="1"/>
  <c r="CG314" i="1"/>
  <c r="BC314" i="1"/>
  <c r="CT314" i="1"/>
  <c r="AZ318" i="1"/>
  <c r="BA318" i="1"/>
  <c r="BB318" i="1"/>
  <c r="CH318" i="1"/>
  <c r="CI318" i="1"/>
  <c r="CJ318" i="1"/>
  <c r="CK318" i="1"/>
  <c r="CL318" i="1"/>
  <c r="CM318" i="1"/>
  <c r="CN318" i="1"/>
  <c r="CO318" i="1"/>
  <c r="CP318" i="1"/>
  <c r="CQ318" i="1"/>
  <c r="CR318" i="1"/>
  <c r="CS318" i="1"/>
  <c r="BV318" i="1"/>
  <c r="BW318" i="1"/>
  <c r="BX318" i="1"/>
  <c r="BY318" i="1"/>
  <c r="BZ318" i="1"/>
  <c r="CA318" i="1"/>
  <c r="CB318" i="1"/>
  <c r="CC318" i="1"/>
  <c r="CD318" i="1"/>
  <c r="CE318" i="1"/>
  <c r="CF318" i="1"/>
  <c r="CG318" i="1"/>
  <c r="BC318" i="1"/>
  <c r="CT318" i="1"/>
  <c r="E48" i="2"/>
  <c r="F48" i="2"/>
  <c r="G48" i="2"/>
  <c r="H48" i="2"/>
  <c r="K48" i="2"/>
  <c r="R48" i="2"/>
  <c r="S48" i="2"/>
  <c r="W48" i="2"/>
  <c r="AA48" i="2"/>
  <c r="AB48" i="2"/>
  <c r="AC48" i="2"/>
  <c r="AD48" i="2"/>
  <c r="AE48" i="2"/>
  <c r="AF48" i="2"/>
  <c r="AG48" i="2"/>
  <c r="AH48" i="2"/>
  <c r="AI48" i="2"/>
  <c r="AJ48" i="2"/>
  <c r="AK48" i="2"/>
  <c r="AL48" i="2"/>
  <c r="AM48" i="2"/>
  <c r="AZ317" i="1"/>
  <c r="BA317" i="1"/>
  <c r="BB317" i="1"/>
  <c r="CH317" i="1"/>
  <c r="CI317" i="1"/>
  <c r="CJ317" i="1"/>
  <c r="CK317" i="1"/>
  <c r="CL317" i="1"/>
  <c r="CM317" i="1"/>
  <c r="CN317" i="1"/>
  <c r="CO317" i="1"/>
  <c r="CP317" i="1"/>
  <c r="CQ317" i="1"/>
  <c r="CR317" i="1"/>
  <c r="CS317" i="1"/>
  <c r="BV317" i="1"/>
  <c r="BW317" i="1"/>
  <c r="BX317" i="1"/>
  <c r="BY317" i="1"/>
  <c r="BZ317" i="1"/>
  <c r="CA317" i="1"/>
  <c r="CB317" i="1"/>
  <c r="CC317" i="1"/>
  <c r="CD317" i="1"/>
  <c r="CE317" i="1"/>
  <c r="CF317" i="1"/>
  <c r="CG317" i="1"/>
  <c r="BC317" i="1"/>
  <c r="CT317" i="1"/>
  <c r="AZ319" i="1"/>
  <c r="BA319" i="1"/>
  <c r="BB319" i="1"/>
  <c r="CH319" i="1"/>
  <c r="CI319" i="1"/>
  <c r="CJ319" i="1"/>
  <c r="CK319" i="1"/>
  <c r="CL319" i="1"/>
  <c r="CM319" i="1"/>
  <c r="CN319" i="1"/>
  <c r="CO319" i="1"/>
  <c r="CP319" i="1"/>
  <c r="CQ319" i="1"/>
  <c r="CR319" i="1"/>
  <c r="CS319" i="1"/>
  <c r="BV319" i="1"/>
  <c r="BW319" i="1"/>
  <c r="BX319" i="1"/>
  <c r="BY319" i="1"/>
  <c r="BZ319" i="1"/>
  <c r="CA319" i="1"/>
  <c r="CB319" i="1"/>
  <c r="CC319" i="1"/>
  <c r="CD319" i="1"/>
  <c r="CE319" i="1"/>
  <c r="CF319" i="1"/>
  <c r="CG319" i="1"/>
  <c r="BC319" i="1"/>
  <c r="CT319" i="1"/>
  <c r="E45" i="2"/>
  <c r="G45" i="2"/>
  <c r="H45" i="2"/>
  <c r="K45" i="2"/>
  <c r="R45" i="2"/>
  <c r="S45" i="2"/>
  <c r="W45" i="2"/>
  <c r="AA45" i="2"/>
  <c r="AB45" i="2"/>
  <c r="AC45" i="2"/>
  <c r="AD45" i="2"/>
  <c r="AE45" i="2"/>
  <c r="AF45" i="2"/>
  <c r="AG45" i="2"/>
  <c r="AH45" i="2"/>
  <c r="AI45" i="2"/>
  <c r="AJ45" i="2"/>
  <c r="AK45" i="2"/>
  <c r="AL45" i="2"/>
  <c r="AM45" i="2"/>
  <c r="AZ300" i="1"/>
  <c r="BA300" i="1"/>
  <c r="BB300" i="1"/>
  <c r="CH300" i="1"/>
  <c r="CI300" i="1"/>
  <c r="CJ300" i="1"/>
  <c r="CK300" i="1"/>
  <c r="CL300" i="1"/>
  <c r="CM300" i="1"/>
  <c r="CN300" i="1"/>
  <c r="CO300" i="1"/>
  <c r="CP300" i="1"/>
  <c r="CQ300" i="1"/>
  <c r="CR300" i="1"/>
  <c r="CS300" i="1"/>
  <c r="BV300" i="1"/>
  <c r="BW300" i="1"/>
  <c r="BX300" i="1"/>
  <c r="BY300" i="1"/>
  <c r="BZ300" i="1"/>
  <c r="CA300" i="1"/>
  <c r="CB300" i="1"/>
  <c r="CC300" i="1"/>
  <c r="CD300" i="1"/>
  <c r="CE300" i="1"/>
  <c r="CF300" i="1"/>
  <c r="CG300" i="1"/>
  <c r="BC300" i="1"/>
  <c r="CT300" i="1"/>
  <c r="AZ301" i="1"/>
  <c r="BA301" i="1"/>
  <c r="BB301" i="1"/>
  <c r="CH301" i="1"/>
  <c r="CI301" i="1"/>
  <c r="CJ301" i="1"/>
  <c r="CK301" i="1"/>
  <c r="CL301" i="1"/>
  <c r="CM301" i="1"/>
  <c r="CN301" i="1"/>
  <c r="CO301" i="1"/>
  <c r="CP301" i="1"/>
  <c r="CQ301" i="1"/>
  <c r="CR301" i="1"/>
  <c r="CS301" i="1"/>
  <c r="BV301" i="1"/>
  <c r="BW301" i="1"/>
  <c r="BX301" i="1"/>
  <c r="BY301" i="1"/>
  <c r="BZ301" i="1"/>
  <c r="CA301" i="1"/>
  <c r="CB301" i="1"/>
  <c r="CC301" i="1"/>
  <c r="CD301" i="1"/>
  <c r="CE301" i="1"/>
  <c r="CF301" i="1"/>
  <c r="CG301" i="1"/>
  <c r="BC301" i="1"/>
  <c r="CT301" i="1"/>
  <c r="AZ235" i="1"/>
  <c r="BA235" i="1"/>
  <c r="BB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BC235" i="1"/>
  <c r="CT235" i="1"/>
  <c r="AZ234" i="1"/>
  <c r="BA234" i="1"/>
  <c r="BB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BC234" i="1"/>
  <c r="CT234" i="1"/>
  <c r="AZ272" i="1"/>
  <c r="BA272" i="1"/>
  <c r="BB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BC272" i="1"/>
  <c r="CT272" i="1"/>
  <c r="G44" i="2"/>
  <c r="K44" i="2"/>
  <c r="T44" i="2"/>
  <c r="U44" i="2"/>
  <c r="V44" i="2"/>
  <c r="AA44" i="2"/>
  <c r="AB44" i="2"/>
  <c r="AC44" i="2"/>
  <c r="AD44" i="2"/>
  <c r="AE44" i="2"/>
  <c r="AF44" i="2"/>
  <c r="AG44" i="2"/>
  <c r="AH44" i="2"/>
  <c r="AI44" i="2"/>
  <c r="AJ44" i="2"/>
  <c r="AK44" i="2"/>
  <c r="AL44" i="2"/>
  <c r="AM44" i="2"/>
  <c r="AZ271" i="1"/>
  <c r="BA271" i="1"/>
  <c r="BB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BC271" i="1"/>
  <c r="CT271" i="1"/>
  <c r="AZ269" i="1"/>
  <c r="BA269" i="1"/>
  <c r="BB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BC269" i="1"/>
  <c r="CT269" i="1"/>
  <c r="AZ270" i="1"/>
  <c r="BA270" i="1"/>
  <c r="BB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BC270" i="1"/>
  <c r="CT270" i="1"/>
  <c r="AZ132" i="1"/>
  <c r="BA132" i="1"/>
  <c r="BB132" i="1"/>
  <c r="CH132" i="1"/>
  <c r="CI132" i="1"/>
  <c r="CJ132" i="1"/>
  <c r="CK132" i="1"/>
  <c r="CL132" i="1"/>
  <c r="CM132" i="1"/>
  <c r="CN132" i="1"/>
  <c r="CO132" i="1"/>
  <c r="CP132" i="1"/>
  <c r="CQ132" i="1"/>
  <c r="CR132" i="1"/>
  <c r="CS132" i="1"/>
  <c r="BV132" i="1"/>
  <c r="BW132" i="1"/>
  <c r="BX132" i="1"/>
  <c r="BY132" i="1"/>
  <c r="BZ132" i="1"/>
  <c r="CA132" i="1"/>
  <c r="CB132" i="1"/>
  <c r="CC132" i="1"/>
  <c r="CD132" i="1"/>
  <c r="CE132" i="1"/>
  <c r="CF132" i="1"/>
  <c r="CG132" i="1"/>
  <c r="BC132" i="1"/>
  <c r="CT132" i="1"/>
  <c r="AZ131" i="1"/>
  <c r="BA131" i="1"/>
  <c r="BB131" i="1"/>
  <c r="CH131" i="1"/>
  <c r="CI131" i="1"/>
  <c r="CJ131" i="1"/>
  <c r="CK131" i="1"/>
  <c r="CL131" i="1"/>
  <c r="CM131" i="1"/>
  <c r="CN131" i="1"/>
  <c r="CO131" i="1"/>
  <c r="CP131" i="1"/>
  <c r="CQ131" i="1"/>
  <c r="CR131" i="1"/>
  <c r="CS131" i="1"/>
  <c r="BV131" i="1"/>
  <c r="BW131" i="1"/>
  <c r="BX131" i="1"/>
  <c r="BY131" i="1"/>
  <c r="BZ131" i="1"/>
  <c r="CA131" i="1"/>
  <c r="CB131" i="1"/>
  <c r="CC131" i="1"/>
  <c r="CD131" i="1"/>
  <c r="CE131" i="1"/>
  <c r="CF131" i="1"/>
  <c r="CG131" i="1"/>
  <c r="BC131" i="1"/>
  <c r="CT131" i="1"/>
  <c r="B14" i="3"/>
  <c r="C14" i="3"/>
  <c r="E14" i="3"/>
  <c r="G19" i="2"/>
  <c r="K19" i="2"/>
  <c r="R19" i="2"/>
  <c r="T19" i="2"/>
  <c r="U19" i="2"/>
  <c r="V19" i="2"/>
  <c r="AA19" i="2"/>
  <c r="AB19" i="2"/>
  <c r="AC19" i="2"/>
  <c r="AD19" i="2"/>
  <c r="AE19" i="2"/>
  <c r="AF19" i="2"/>
  <c r="AG19" i="2"/>
  <c r="AH19" i="2"/>
  <c r="AI19" i="2"/>
  <c r="AJ19" i="2"/>
  <c r="AK19" i="2"/>
  <c r="AL19" i="2"/>
  <c r="AM19" i="2"/>
  <c r="AZ129" i="1"/>
  <c r="BA129" i="1"/>
  <c r="BB129" i="1"/>
  <c r="CH129" i="1"/>
  <c r="CI129" i="1"/>
  <c r="CJ129" i="1"/>
  <c r="CK129" i="1"/>
  <c r="CL129" i="1"/>
  <c r="CM129" i="1"/>
  <c r="CN129" i="1"/>
  <c r="CO129" i="1"/>
  <c r="CP129" i="1"/>
  <c r="CQ129" i="1"/>
  <c r="CR129" i="1"/>
  <c r="CS129" i="1"/>
  <c r="BV129" i="1"/>
  <c r="BW129" i="1"/>
  <c r="BX129" i="1"/>
  <c r="BY129" i="1"/>
  <c r="BZ129" i="1"/>
  <c r="CA129" i="1"/>
  <c r="CB129" i="1"/>
  <c r="CC129" i="1"/>
  <c r="CD129" i="1"/>
  <c r="CE129" i="1"/>
  <c r="CF129" i="1"/>
  <c r="CG129" i="1"/>
  <c r="BC129" i="1"/>
  <c r="CT129" i="1"/>
  <c r="BA130" i="1"/>
  <c r="BB130" i="1"/>
  <c r="CH130" i="1"/>
  <c r="CI130" i="1"/>
  <c r="CJ130" i="1"/>
  <c r="CK130" i="1"/>
  <c r="CL130" i="1"/>
  <c r="CM130" i="1"/>
  <c r="CN130" i="1"/>
  <c r="CO130" i="1"/>
  <c r="CP130" i="1"/>
  <c r="CQ130" i="1"/>
  <c r="CR130" i="1"/>
  <c r="CS130" i="1"/>
  <c r="BV130" i="1"/>
  <c r="BW130" i="1"/>
  <c r="BX130" i="1"/>
  <c r="BY130" i="1"/>
  <c r="BZ130" i="1"/>
  <c r="CA130" i="1"/>
  <c r="CB130" i="1"/>
  <c r="CC130" i="1"/>
  <c r="CD130" i="1"/>
  <c r="CE130" i="1"/>
  <c r="CF130" i="1"/>
  <c r="CG130" i="1"/>
  <c r="BC130" i="1"/>
  <c r="CT130" i="1"/>
  <c r="E33" i="2"/>
  <c r="F33" i="2"/>
  <c r="I33" i="2"/>
  <c r="J33" i="2"/>
  <c r="R33" i="2"/>
  <c r="H34" i="2"/>
  <c r="R41" i="2"/>
  <c r="I29" i="2"/>
  <c r="J29" i="2"/>
  <c r="E17" i="2"/>
  <c r="F17" i="2"/>
  <c r="S46" i="2"/>
  <c r="R12" i="2"/>
  <c r="R11" i="2"/>
  <c r="N14" i="2"/>
  <c r="H23" i="2"/>
  <c r="K30" i="2"/>
  <c r="G30" i="2"/>
  <c r="V30" i="2"/>
  <c r="E25" i="2"/>
  <c r="F25" i="2"/>
  <c r="H47" i="2"/>
  <c r="S47" i="2"/>
  <c r="R16" i="2"/>
  <c r="AH288" i="4"/>
  <c r="AH26" i="4"/>
  <c r="AH245" i="4"/>
  <c r="AH131" i="4"/>
  <c r="AH133" i="4"/>
  <c r="AH130" i="4"/>
  <c r="AH7" i="4"/>
  <c r="AH23" i="4"/>
  <c r="AH132" i="4"/>
  <c r="AH24" i="4"/>
  <c r="AH179" i="4"/>
  <c r="AH180" i="4"/>
  <c r="AH286" i="4"/>
  <c r="AH290" i="4"/>
  <c r="AH187" i="4"/>
  <c r="AH250" i="4"/>
  <c r="AH77" i="4"/>
  <c r="AH192" i="4"/>
  <c r="AH121" i="4"/>
  <c r="AH264" i="4"/>
  <c r="AH269" i="4"/>
  <c r="AH270" i="4"/>
  <c r="AH233" i="4"/>
  <c r="AH247" i="4"/>
  <c r="AH241" i="4"/>
  <c r="AH244" i="4"/>
  <c r="AH263" i="4"/>
  <c r="AH151" i="4"/>
  <c r="AH267" i="4"/>
  <c r="AH265" i="4"/>
  <c r="AH266" i="4"/>
  <c r="AH238" i="4"/>
  <c r="AH240" i="4"/>
  <c r="AH243" i="4"/>
  <c r="AH268" i="4"/>
  <c r="AH272" i="4"/>
  <c r="AH271" i="4"/>
  <c r="AH210" i="4"/>
  <c r="AH220" i="4"/>
  <c r="AH221" i="4"/>
  <c r="AH199" i="4"/>
  <c r="AH213" i="4"/>
  <c r="AH25" i="4"/>
  <c r="AH287" i="4"/>
  <c r="AH239" i="4"/>
  <c r="AH242" i="4"/>
  <c r="AH273" i="4"/>
  <c r="AH186" i="4"/>
  <c r="AH190" i="4"/>
  <c r="AH113" i="4"/>
  <c r="AH9" i="4"/>
  <c r="AH10" i="4"/>
  <c r="AH83" i="4"/>
  <c r="AH278" i="4"/>
  <c r="AH284" i="4"/>
  <c r="AH82" i="4"/>
  <c r="AH16" i="4"/>
  <c r="AH84" i="4"/>
  <c r="AH68" i="4"/>
  <c r="AH87" i="4"/>
  <c r="AH100" i="4"/>
  <c r="AH196" i="4"/>
  <c r="AH291" i="4"/>
  <c r="AH8" i="4"/>
  <c r="AH218" i="4"/>
  <c r="AH281" i="4"/>
  <c r="AH292" i="4"/>
  <c r="AH251" i="4"/>
  <c r="AH252" i="4"/>
  <c r="AH279" i="4"/>
  <c r="AH280" i="4"/>
  <c r="AH228" i="4"/>
  <c r="AH297" i="4"/>
  <c r="AH294" i="4"/>
  <c r="AH296" i="4"/>
  <c r="AH197" i="4"/>
  <c r="AH156" i="4"/>
  <c r="AH246" i="4"/>
  <c r="AH194" i="4"/>
  <c r="AH248" i="4"/>
  <c r="AH141" i="4"/>
  <c r="AH116" i="4"/>
  <c r="AH295" i="4"/>
  <c r="AH235" i="4"/>
  <c r="AH234" i="4"/>
  <c r="AH191" i="4"/>
  <c r="AH155" i="4"/>
  <c r="AH249" i="4"/>
  <c r="AH258" i="4"/>
  <c r="AH285" i="4"/>
  <c r="AH256" i="4"/>
  <c r="AH255" i="4"/>
  <c r="AH73" i="4"/>
  <c r="AH230" i="4"/>
  <c r="AH212" i="4"/>
  <c r="AH129" i="4"/>
  <c r="AH253" i="4"/>
  <c r="AH178" i="4"/>
  <c r="AH237" i="4"/>
  <c r="AH222" i="4"/>
  <c r="AH277" i="4"/>
  <c r="AH189" i="4"/>
  <c r="AH231" i="4"/>
  <c r="AH254" i="4"/>
  <c r="AH204" i="4"/>
  <c r="AH149" i="4"/>
  <c r="AH219" i="4"/>
  <c r="AH145" i="4"/>
  <c r="AH122" i="4"/>
  <c r="AH183" i="4"/>
  <c r="AH229" i="4"/>
  <c r="AH257" i="4"/>
  <c r="AH259" i="4"/>
  <c r="AH261" i="4"/>
  <c r="AH260" i="4"/>
  <c r="AH114" i="4"/>
  <c r="AH236" i="4"/>
  <c r="AH176" i="4"/>
  <c r="AH177" i="4"/>
  <c r="AH28" i="4"/>
  <c r="AH135" i="4"/>
  <c r="AH214" i="4"/>
  <c r="AH137" i="4"/>
  <c r="AH139" i="4"/>
  <c r="AH27" i="4"/>
  <c r="AH138" i="4"/>
  <c r="AH143" i="4"/>
  <c r="AH140" i="4"/>
  <c r="AH134" i="4"/>
  <c r="AH111" i="4"/>
  <c r="AH127" i="4"/>
  <c r="AH289" i="4"/>
  <c r="AH223" i="4"/>
  <c r="AH117" i="4"/>
  <c r="AH142" i="4"/>
  <c r="AH50" i="4"/>
  <c r="AH49" i="4"/>
  <c r="AH123" i="4"/>
  <c r="AH92" i="4"/>
  <c r="AH93" i="4"/>
  <c r="AH91" i="4"/>
  <c r="AH96" i="4"/>
  <c r="AH95" i="4"/>
  <c r="AH173" i="4"/>
  <c r="AH168" i="4"/>
  <c r="AH276" i="4"/>
  <c r="AH152" i="4"/>
  <c r="AH158" i="4"/>
  <c r="AH166" i="4"/>
  <c r="AH275" i="4"/>
  <c r="AH211" i="4"/>
  <c r="AH165" i="4"/>
  <c r="AH124" i="4"/>
  <c r="AH144" i="4"/>
  <c r="AH167" i="4"/>
  <c r="AH174" i="4"/>
  <c r="AH293" i="4"/>
  <c r="AH120" i="4"/>
  <c r="AH80" i="4"/>
  <c r="AH206" i="4"/>
  <c r="AH169" i="4"/>
  <c r="AH171" i="4"/>
  <c r="AH172" i="4"/>
  <c r="AH298" i="4"/>
  <c r="AH200" i="4"/>
  <c r="AH201" i="4"/>
  <c r="AH52" i="4"/>
  <c r="AH54" i="4"/>
  <c r="AH14" i="4"/>
  <c r="AH163" i="4"/>
  <c r="AH47" i="4"/>
  <c r="AH85" i="4"/>
  <c r="AH86" i="4"/>
  <c r="AH88" i="4"/>
  <c r="AH90" i="4"/>
  <c r="AH170" i="4"/>
  <c r="AH74" i="4"/>
  <c r="AH45" i="4"/>
  <c r="AH182" i="4"/>
  <c r="AH162" i="4"/>
  <c r="AH59" i="4"/>
  <c r="AH48" i="4"/>
  <c r="AH193" i="4"/>
  <c r="AH195" i="4"/>
  <c r="AH5" i="4"/>
  <c r="AH112" i="4"/>
  <c r="AH126" i="4"/>
  <c r="AH202" i="4"/>
  <c r="AH207" i="4"/>
  <c r="AH6" i="4"/>
  <c r="AH4" i="4"/>
  <c r="AH164" i="4"/>
  <c r="AH42" i="4"/>
  <c r="AH208" i="4"/>
  <c r="AH115" i="4"/>
  <c r="AH161" i="4"/>
  <c r="AH105" i="4"/>
  <c r="AH65" i="4"/>
  <c r="AH125" i="4"/>
  <c r="AH22" i="4"/>
  <c r="AH53" i="4"/>
  <c r="AH283" i="4"/>
  <c r="AH215" i="4"/>
  <c r="AH209" i="4"/>
  <c r="AH118" i="4"/>
  <c r="AH128" i="4"/>
  <c r="AH55" i="4"/>
  <c r="AH57" i="4"/>
  <c r="AH56" i="4"/>
  <c r="AH51" i="4"/>
  <c r="AH89" i="4"/>
  <c r="AH94" i="4"/>
  <c r="AH72" i="4"/>
  <c r="AH69" i="4"/>
  <c r="AH20" i="4"/>
  <c r="AH71" i="4"/>
  <c r="AH157" i="4"/>
  <c r="AH21" i="4"/>
  <c r="AH79" i="4"/>
  <c r="AH224" i="4"/>
  <c r="AH136" i="4"/>
  <c r="AH2" i="4"/>
  <c r="AH198" i="4"/>
  <c r="AH205" i="4"/>
  <c r="AH101" i="4"/>
  <c r="AH30" i="4"/>
  <c r="AH225" i="4"/>
  <c r="AH12" i="4"/>
  <c r="AH64" i="4"/>
  <c r="AH3" i="4"/>
  <c r="AH44" i="4"/>
  <c r="AH43" i="4"/>
  <c r="AH274" i="4"/>
  <c r="AH226" i="4"/>
  <c r="AH160" i="4"/>
  <c r="AH159" i="4"/>
  <c r="AH153" i="4"/>
  <c r="AH18" i="4"/>
  <c r="AH40" i="4"/>
  <c r="AH184" i="4"/>
  <c r="AH99" i="4"/>
  <c r="AH97" i="4"/>
  <c r="AH203" i="4"/>
  <c r="AH78" i="4"/>
  <c r="AH13" i="4"/>
  <c r="AH217" i="4"/>
  <c r="AH70" i="4"/>
  <c r="AH185" i="4"/>
  <c r="AH39" i="4"/>
  <c r="AH216" i="4"/>
  <c r="AH31" i="4"/>
  <c r="AH181" i="4"/>
  <c r="AH60" i="4"/>
  <c r="AH148" i="4"/>
  <c r="AH63" i="4"/>
  <c r="AH146" i="4"/>
  <c r="AH61" i="4"/>
  <c r="AH227" i="4"/>
  <c r="AH98" i="4"/>
  <c r="AH19" i="4"/>
  <c r="AH62" i="4"/>
  <c r="AH11" i="4"/>
  <c r="AH147" i="4"/>
  <c r="AH38" i="4"/>
  <c r="AH75" i="4"/>
  <c r="AH104" i="4"/>
  <c r="AH150" i="4"/>
  <c r="AH103" i="4"/>
  <c r="AH119" i="4"/>
  <c r="AH76" i="4"/>
  <c r="AH29" i="4"/>
  <c r="AH17" i="4"/>
  <c r="AH58" i="4"/>
  <c r="AH154" i="4"/>
  <c r="AH109" i="4"/>
  <c r="AH110" i="4"/>
  <c r="AH66" i="4"/>
  <c r="AH102" i="4"/>
  <c r="AH175" i="4"/>
  <c r="AH81" i="4"/>
  <c r="AH107" i="4"/>
  <c r="AH32" i="4"/>
  <c r="AH15" i="4"/>
  <c r="AH41" i="4"/>
  <c r="AH106" i="4"/>
  <c r="AH33" i="4"/>
  <c r="AH36" i="4"/>
  <c r="AH108" i="4"/>
  <c r="AH46" i="4"/>
  <c r="AH37" i="4"/>
  <c r="AH35" i="4"/>
  <c r="AH34" i="4"/>
  <c r="AH307" i="4"/>
  <c r="AH306" i="4"/>
  <c r="AH304" i="4"/>
  <c r="AH305" i="4"/>
  <c r="AH310" i="4"/>
  <c r="AH311" i="4"/>
  <c r="AH312" i="4"/>
  <c r="AH313" i="4"/>
  <c r="AH300" i="4"/>
  <c r="AH301" i="4"/>
  <c r="AH299" i="4"/>
  <c r="AH302" i="4"/>
  <c r="AH303" i="4"/>
  <c r="AH308" i="4"/>
  <c r="AH314" i="4"/>
  <c r="AH342" i="4"/>
  <c r="AH333" i="4"/>
  <c r="AH331" i="4"/>
  <c r="AH332" i="4"/>
  <c r="AH334" i="4"/>
  <c r="AH324" i="4"/>
  <c r="AH341" i="4"/>
  <c r="AH323" i="4"/>
  <c r="AH322" i="4"/>
  <c r="AH325" i="4"/>
  <c r="AH339" i="4"/>
  <c r="AH346" i="4"/>
  <c r="AH318" i="4"/>
  <c r="AH326" i="4"/>
  <c r="AH327" i="4"/>
  <c r="AH328" i="4"/>
  <c r="AH329" i="4"/>
  <c r="AH319" i="4"/>
  <c r="AH320" i="4"/>
  <c r="AH321" i="4"/>
  <c r="AH347" i="4"/>
  <c r="AH338" i="4"/>
  <c r="AH337" i="4"/>
  <c r="AH340" i="4"/>
  <c r="AH330" i="4"/>
  <c r="AH317" i="4"/>
  <c r="AH316" i="4"/>
  <c r="AH315" i="4"/>
  <c r="AH335" i="4"/>
  <c r="AH336" i="4"/>
  <c r="AH345" i="4"/>
  <c r="AH343" i="4"/>
  <c r="AH344" i="4"/>
  <c r="AH351" i="4"/>
  <c r="AH348" i="4"/>
  <c r="AH361" i="4"/>
  <c r="AH362" i="4"/>
  <c r="AH352" i="4"/>
  <c r="AH353" i="4"/>
  <c r="AH354" i="4"/>
  <c r="AH349" i="4"/>
  <c r="AH350" i="4"/>
  <c r="AH358" i="4"/>
  <c r="AH359" i="4"/>
  <c r="AH364" i="4"/>
  <c r="AH365" i="4"/>
  <c r="AH366" i="4"/>
  <c r="AH367" i="4"/>
  <c r="AH356" i="4"/>
  <c r="AH357" i="4"/>
  <c r="AH368" i="4"/>
  <c r="AH363" i="4"/>
  <c r="AH369" i="4"/>
  <c r="AH360" i="4"/>
  <c r="AH355" i="4"/>
  <c r="AH371" i="4"/>
  <c r="AH377" i="4"/>
  <c r="AH378" i="4"/>
  <c r="AH379" i="4"/>
  <c r="AH373" i="4"/>
  <c r="AH370" i="4"/>
  <c r="AH376" i="4"/>
  <c r="AH374" i="4"/>
  <c r="AH375" i="4"/>
  <c r="AH381" i="4"/>
  <c r="AH372" i="4"/>
  <c r="AH384" i="4"/>
  <c r="AH386" i="4"/>
  <c r="AH385" i="4"/>
  <c r="AH383" i="4"/>
  <c r="AH382" i="4"/>
  <c r="AH390" i="4"/>
  <c r="AH389" i="4"/>
  <c r="AH394" i="4"/>
  <c r="AH388" i="4"/>
  <c r="AH407" i="4"/>
  <c r="AH391" i="4"/>
  <c r="AH397" i="4"/>
  <c r="AH398" i="4"/>
  <c r="AH399" i="4"/>
  <c r="AH400" i="4"/>
  <c r="AH403" i="4"/>
  <c r="AH404" i="4"/>
  <c r="AH405" i="4"/>
  <c r="AH393" i="4"/>
  <c r="AH402" i="4"/>
  <c r="AH406" i="4"/>
  <c r="AH409" i="4"/>
  <c r="AH410" i="4"/>
  <c r="AH411" i="4"/>
  <c r="AH401" i="4"/>
  <c r="AH392" i="4"/>
  <c r="AH395" i="4"/>
  <c r="AH396" i="4"/>
  <c r="AH408" i="4"/>
  <c r="AH387" i="4"/>
  <c r="AH188" i="4"/>
  <c r="E3" i="2"/>
  <c r="F3" i="2"/>
  <c r="E31" i="2"/>
  <c r="F31" i="2"/>
  <c r="R31" i="2"/>
  <c r="E38" i="2"/>
  <c r="E36" i="2"/>
  <c r="F38" i="2"/>
  <c r="F36" i="2"/>
  <c r="I38" i="2"/>
  <c r="J38" i="2"/>
  <c r="I41" i="2"/>
  <c r="J41" i="2"/>
  <c r="H3" i="2"/>
  <c r="R43" i="2"/>
  <c r="R3" i="2"/>
  <c r="R24" i="2"/>
  <c r="R42" i="2"/>
  <c r="R17" i="2"/>
  <c r="R38" i="2"/>
  <c r="T18" i="2"/>
  <c r="U18" i="2"/>
  <c r="T24" i="2"/>
  <c r="U24" i="2"/>
  <c r="V24" i="2"/>
  <c r="K29" i="2"/>
  <c r="T29" i="2"/>
  <c r="U29" i="2"/>
  <c r="V29" i="2"/>
  <c r="K27" i="2"/>
  <c r="T27" i="2"/>
  <c r="U27" i="2"/>
  <c r="W27" i="2"/>
  <c r="K23" i="2"/>
  <c r="V23" i="2"/>
  <c r="W23" i="2"/>
  <c r="G14" i="2"/>
  <c r="K14" i="2"/>
  <c r="T14" i="2"/>
  <c r="U14" i="2"/>
  <c r="V14" i="2"/>
  <c r="W14" i="2"/>
  <c r="AA14" i="2"/>
  <c r="AB14" i="2"/>
  <c r="AC14" i="2"/>
  <c r="AD14" i="2"/>
  <c r="AE14" i="2"/>
  <c r="AF14" i="2"/>
  <c r="AG14" i="2"/>
  <c r="AH14" i="2"/>
  <c r="AI14" i="2"/>
  <c r="AJ14" i="2"/>
  <c r="AK14" i="2"/>
  <c r="AL14" i="2"/>
  <c r="AM14" i="2"/>
  <c r="AZ23" i="1"/>
  <c r="BA23" i="1"/>
  <c r="BB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BC23" i="1"/>
  <c r="CT23" i="1"/>
  <c r="AZ25" i="1"/>
  <c r="BA25" i="1"/>
  <c r="BB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BC25" i="1"/>
  <c r="CT25" i="1"/>
  <c r="CT51" i="1"/>
  <c r="CS51" i="1"/>
  <c r="CR51" i="1"/>
  <c r="CQ51" i="1"/>
  <c r="CP51" i="1"/>
  <c r="CO51" i="1"/>
  <c r="CN51" i="1"/>
  <c r="CM51" i="1"/>
  <c r="CL51" i="1"/>
  <c r="CK51" i="1"/>
  <c r="CJ51" i="1"/>
  <c r="CI51" i="1"/>
  <c r="CH51" i="1"/>
  <c r="CG51" i="1"/>
  <c r="CF51" i="1"/>
  <c r="CE51" i="1"/>
  <c r="CD51" i="1"/>
  <c r="CC51" i="1"/>
  <c r="CB51" i="1"/>
  <c r="CA51" i="1"/>
  <c r="BZ51" i="1"/>
  <c r="BY51" i="1"/>
  <c r="BX51" i="1"/>
  <c r="BW51" i="1"/>
  <c r="BV51" i="1"/>
  <c r="BC51" i="1"/>
  <c r="BB51" i="1"/>
  <c r="BA51" i="1"/>
  <c r="AZ51" i="1"/>
  <c r="AZ15" i="1"/>
  <c r="BA15" i="1"/>
  <c r="BB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BC15" i="1"/>
  <c r="CT15" i="1"/>
  <c r="AZ206" i="1"/>
  <c r="BA206" i="1"/>
  <c r="BB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BC206" i="1"/>
  <c r="CT206" i="1"/>
  <c r="N64" i="4"/>
  <c r="AZ293" i="1"/>
  <c r="BA293" i="1"/>
  <c r="BB293" i="1"/>
  <c r="CH293" i="1"/>
  <c r="CI293" i="1"/>
  <c r="CJ293" i="1"/>
  <c r="CK293" i="1"/>
  <c r="CL293" i="1"/>
  <c r="CM293" i="1"/>
  <c r="CN293" i="1"/>
  <c r="CO293" i="1"/>
  <c r="CP293" i="1"/>
  <c r="CQ293" i="1"/>
  <c r="CR293" i="1"/>
  <c r="CS293" i="1"/>
  <c r="BV293" i="1"/>
  <c r="BW293" i="1"/>
  <c r="BX293" i="1"/>
  <c r="BY293" i="1"/>
  <c r="BZ293" i="1"/>
  <c r="CA293" i="1"/>
  <c r="CB293" i="1"/>
  <c r="CC293" i="1"/>
  <c r="CD293" i="1"/>
  <c r="CE293" i="1"/>
  <c r="CF293" i="1"/>
  <c r="CG293" i="1"/>
  <c r="BC293" i="1"/>
  <c r="CT293" i="1"/>
  <c r="AZ230" i="1"/>
  <c r="BA230" i="1"/>
  <c r="BB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BC230" i="1"/>
  <c r="CT230" i="1"/>
  <c r="AZ227" i="1"/>
  <c r="BA227" i="1"/>
  <c r="BB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BC227" i="1"/>
  <c r="CT227" i="1"/>
  <c r="AZ153" i="1"/>
  <c r="BA153" i="1"/>
  <c r="BB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BC153" i="1"/>
  <c r="CT153" i="1"/>
  <c r="AA22" i="6"/>
  <c r="AA28" i="6"/>
  <c r="AA37" i="6"/>
  <c r="AA40" i="6"/>
  <c r="AA42" i="6"/>
  <c r="AA45" i="6"/>
  <c r="AA52" i="6"/>
  <c r="AA62" i="6"/>
  <c r="AA65" i="6"/>
  <c r="AA85" i="6"/>
  <c r="AA93" i="6"/>
  <c r="AA103" i="6"/>
  <c r="AA104" i="6"/>
  <c r="AA108" i="6"/>
  <c r="AA116" i="6"/>
  <c r="AA124" i="6"/>
  <c r="AA129" i="6"/>
  <c r="AA134" i="6"/>
  <c r="AA136" i="6"/>
  <c r="AA149" i="6"/>
  <c r="AA152" i="6"/>
  <c r="AA156" i="6"/>
  <c r="AA163" i="6"/>
  <c r="AA170" i="6"/>
  <c r="AA180" i="6"/>
  <c r="AA189" i="6"/>
  <c r="AA192" i="6"/>
  <c r="AA195" i="6"/>
  <c r="AA204" i="6"/>
  <c r="AA226" i="6"/>
  <c r="AA252" i="6"/>
  <c r="AA265" i="6"/>
  <c r="AA278" i="6"/>
  <c r="AA290" i="6"/>
  <c r="AA297" i="6"/>
  <c r="AA2" i="6"/>
  <c r="AA4" i="6"/>
  <c r="AA5" i="6"/>
  <c r="AA6" i="6"/>
  <c r="AA21" i="6"/>
  <c r="AA23" i="6"/>
  <c r="AA47" i="6"/>
  <c r="AA7" i="6"/>
  <c r="AA48" i="6"/>
  <c r="AA8" i="6"/>
  <c r="AA27" i="6"/>
  <c r="AA29" i="6"/>
  <c r="AA30" i="6"/>
  <c r="AA86" i="6"/>
  <c r="AA87" i="6"/>
  <c r="AA64" i="6"/>
  <c r="AA88" i="6"/>
  <c r="AA41" i="6"/>
  <c r="AA43" i="6"/>
  <c r="AA282" i="6"/>
  <c r="AA9" i="6"/>
  <c r="AA49" i="6"/>
  <c r="AA50" i="6"/>
  <c r="AA10" i="6"/>
  <c r="AA114" i="6"/>
  <c r="AA11" i="6"/>
  <c r="AA51" i="6"/>
  <c r="AA53" i="6"/>
  <c r="AA66" i="6"/>
  <c r="AA67" i="6"/>
  <c r="AA68" i="6"/>
  <c r="AA69" i="6"/>
  <c r="AA206" i="6"/>
  <c r="AA159" i="6"/>
  <c r="AA70" i="6"/>
  <c r="AA106" i="6"/>
  <c r="AA207" i="6"/>
  <c r="AA89" i="6"/>
  <c r="AA90" i="6"/>
  <c r="AA91" i="6"/>
  <c r="AA92" i="6"/>
  <c r="AA94" i="6"/>
  <c r="AA95" i="6"/>
  <c r="AA96" i="6"/>
  <c r="AA97" i="6"/>
  <c r="AA232" i="6"/>
  <c r="AA233" i="6"/>
  <c r="AA71" i="6"/>
  <c r="AA105" i="6"/>
  <c r="AA98" i="6"/>
  <c r="AA99" i="6"/>
  <c r="AA100" i="6"/>
  <c r="AA107" i="6"/>
  <c r="AA109" i="6"/>
  <c r="AA101" i="6"/>
  <c r="AA54" i="6"/>
  <c r="AA115" i="6"/>
  <c r="AA117" i="6"/>
  <c r="AA55" i="6"/>
  <c r="AA123" i="6"/>
  <c r="AA125" i="6"/>
  <c r="AA130" i="6"/>
  <c r="AA271" i="6"/>
  <c r="AA160" i="6"/>
  <c r="AA110" i="6"/>
  <c r="AA111" i="6"/>
  <c r="AA112" i="6"/>
  <c r="AA31" i="6"/>
  <c r="AA165" i="6"/>
  <c r="AA166" i="6"/>
  <c r="AA167" i="6"/>
  <c r="AA208" i="6"/>
  <c r="AA141" i="6"/>
  <c r="AA168" i="6"/>
  <c r="AA56" i="6"/>
  <c r="AA283" i="6"/>
  <c r="AA234" i="6"/>
  <c r="AA196" i="6"/>
  <c r="AA142" i="6"/>
  <c r="AA175" i="6"/>
  <c r="AA176" i="6"/>
  <c r="AA131" i="6"/>
  <c r="AA12" i="6"/>
  <c r="AA296" i="6"/>
  <c r="AA197" i="6"/>
  <c r="AA209" i="6"/>
  <c r="AA143" i="6"/>
  <c r="AA210" i="6"/>
  <c r="AA132" i="6"/>
  <c r="AA13" i="6"/>
  <c r="AA46" i="6"/>
  <c r="AA260" i="6"/>
  <c r="AA24" i="6"/>
  <c r="AA235" i="6"/>
  <c r="AA198" i="6"/>
  <c r="AA72" i="6"/>
  <c r="AA261" i="6"/>
  <c r="AA38" i="6"/>
  <c r="AA73" i="6"/>
  <c r="AA74" i="6"/>
  <c r="AA284" i="6"/>
  <c r="AA75" i="6"/>
  <c r="AA236" i="6"/>
  <c r="AA237" i="6"/>
  <c r="AA211" i="6"/>
  <c r="AA272" i="6"/>
  <c r="AA212" i="6"/>
  <c r="AA133" i="6"/>
  <c r="AA76" i="6"/>
  <c r="AA213" i="6"/>
  <c r="AA25" i="6"/>
  <c r="AA135" i="6"/>
  <c r="AA238" i="6"/>
  <c r="AA161" i="6"/>
  <c r="AA77" i="6"/>
  <c r="AA262" i="6"/>
  <c r="AA273" i="6"/>
  <c r="AA126" i="6"/>
  <c r="AA144" i="6"/>
  <c r="AA239" i="6"/>
  <c r="AA274" i="6"/>
  <c r="AA57" i="6"/>
  <c r="AA214" i="6"/>
  <c r="AA275" i="6"/>
  <c r="AA285" i="6"/>
  <c r="AA118" i="6"/>
  <c r="AA119" i="6"/>
  <c r="AA14" i="6"/>
  <c r="AA120" i="6"/>
  <c r="AA199" i="6"/>
  <c r="AA153" i="6"/>
  <c r="AA215" i="6"/>
  <c r="AA200" i="6"/>
  <c r="AA26" i="6"/>
  <c r="AA263" i="6"/>
  <c r="AA121" i="6"/>
  <c r="AA127" i="6"/>
  <c r="AA240" i="6"/>
  <c r="AA241" i="6"/>
  <c r="AA242" i="6"/>
  <c r="AA58" i="6"/>
  <c r="AA39" i="6"/>
  <c r="AA44" i="6"/>
  <c r="AA177" i="6"/>
  <c r="AA78" i="6"/>
  <c r="AA32" i="6"/>
  <c r="AA190" i="6"/>
  <c r="AA137" i="6"/>
  <c r="AA138" i="6"/>
  <c r="AA243" i="6"/>
  <c r="AA244" i="6"/>
  <c r="AA245" i="6"/>
  <c r="AA33" i="6"/>
  <c r="AA79" i="6"/>
  <c r="AA113" i="6"/>
  <c r="AA246" i="6"/>
  <c r="AA247" i="6"/>
  <c r="AA286" i="6"/>
  <c r="AA287" i="6"/>
  <c r="AA34" i="6"/>
  <c r="AA178" i="6"/>
  <c r="AA154" i="6"/>
  <c r="AA248" i="6"/>
  <c r="AA276" i="6"/>
  <c r="AA249" i="6"/>
  <c r="AA80" i="6"/>
  <c r="AA250" i="6"/>
  <c r="AA81" i="6"/>
  <c r="AA264" i="6"/>
  <c r="AA162" i="6"/>
  <c r="AA288" i="6"/>
  <c r="AA145" i="6"/>
  <c r="AA59" i="6"/>
  <c r="AA216" i="6"/>
  <c r="AA217" i="6"/>
  <c r="AA218" i="6"/>
  <c r="AA201" i="6"/>
  <c r="AA219" i="6"/>
  <c r="AA128" i="6"/>
  <c r="AA146" i="6"/>
  <c r="AA147" i="6"/>
  <c r="AA179" i="6"/>
  <c r="AA155" i="6"/>
  <c r="AA220" i="6"/>
  <c r="AA202" i="6"/>
  <c r="AA221" i="6"/>
  <c r="AA222" i="6"/>
  <c r="AA203" i="6"/>
  <c r="AA223" i="6"/>
  <c r="AA224" i="6"/>
  <c r="AA225" i="6"/>
  <c r="AA148" i="6"/>
  <c r="AA150" i="6"/>
  <c r="AA82" i="6"/>
  <c r="AA186" i="6"/>
  <c r="AA187" i="6"/>
  <c r="AA188" i="6"/>
  <c r="AA169" i="6"/>
  <c r="AA191" i="6"/>
  <c r="AA193" i="6"/>
  <c r="AA194" i="6"/>
  <c r="AA164" i="6"/>
  <c r="AA251" i="6"/>
  <c r="AA205" i="6"/>
  <c r="AA253" i="6"/>
  <c r="AA254" i="6"/>
  <c r="AA255" i="6"/>
  <c r="AA277" i="6"/>
  <c r="AA256" i="6"/>
  <c r="AA257" i="6"/>
  <c r="AA266" i="6"/>
  <c r="AA267" i="6"/>
  <c r="AA279" i="6"/>
  <c r="AA280" i="6"/>
  <c r="AA281" i="6"/>
  <c r="AA227" i="6"/>
  <c r="AA157" i="6"/>
  <c r="AA35" i="6"/>
  <c r="AA151" i="6"/>
  <c r="AA289" i="6"/>
  <c r="AA268" i="6"/>
  <c r="AA269" i="6"/>
  <c r="AA122" i="6"/>
  <c r="AA228" i="6"/>
  <c r="AA229" i="6"/>
  <c r="AA230" i="6"/>
  <c r="AA258" i="6"/>
  <c r="AA270" i="6"/>
  <c r="AA231" i="6"/>
  <c r="AA83" i="6"/>
  <c r="AA84" i="6"/>
  <c r="AA63" i="6"/>
  <c r="AA60" i="6"/>
  <c r="AA291" i="6"/>
  <c r="AA292" i="6"/>
  <c r="AA293" i="6"/>
  <c r="AA294" i="6"/>
  <c r="AA171" i="6"/>
  <c r="AA172" i="6"/>
  <c r="AA181" i="6"/>
  <c r="AA158" i="6"/>
  <c r="AA173" i="6"/>
  <c r="AA259" i="6"/>
  <c r="AA295" i="6"/>
  <c r="AA61" i="6"/>
  <c r="AA15" i="6"/>
  <c r="AA16" i="6"/>
  <c r="AA17" i="6"/>
  <c r="AA18" i="6"/>
  <c r="AA19" i="6"/>
  <c r="AA20" i="6"/>
  <c r="AA182" i="6"/>
  <c r="AA36" i="6"/>
  <c r="AA183" i="6"/>
  <c r="AA174" i="6"/>
  <c r="AA184" i="6"/>
  <c r="AA185" i="6"/>
  <c r="AA102" i="6"/>
  <c r="AA301" i="6"/>
  <c r="AA307" i="6"/>
  <c r="AA299" i="6"/>
  <c r="AA300" i="6"/>
  <c r="AA302" i="6"/>
  <c r="AA303" i="6"/>
  <c r="AA304" i="6"/>
  <c r="AA305" i="6"/>
  <c r="AA306" i="6"/>
  <c r="AA308" i="6"/>
  <c r="AA309" i="6"/>
  <c r="AA310" i="6"/>
  <c r="AA311" i="6"/>
  <c r="AA312" i="6"/>
  <c r="AA313" i="6"/>
  <c r="AA315" i="6"/>
  <c r="AA316" i="6"/>
  <c r="AA317" i="6"/>
  <c r="AA318" i="6"/>
  <c r="AA319" i="6"/>
  <c r="AA320" i="6"/>
  <c r="AA321" i="6"/>
  <c r="AA322" i="6"/>
  <c r="AA323" i="6"/>
  <c r="AA324" i="6"/>
  <c r="AA325" i="6"/>
  <c r="AA326" i="6"/>
  <c r="AA327" i="6"/>
  <c r="AA328" i="6"/>
  <c r="AA329" i="6"/>
  <c r="AA330" i="6"/>
  <c r="AA331" i="6"/>
  <c r="AA332" i="6"/>
  <c r="AA333" i="6"/>
  <c r="AA334" i="6"/>
  <c r="AA335" i="6"/>
  <c r="AA336" i="6"/>
  <c r="AA337" i="6"/>
  <c r="AA338" i="6"/>
  <c r="AA339" i="6"/>
  <c r="AA340" i="6"/>
  <c r="AA341" i="6"/>
  <c r="AA346" i="6"/>
  <c r="AA342" i="6"/>
  <c r="AA343" i="6"/>
  <c r="AA347" i="6"/>
  <c r="AA344" i="6"/>
  <c r="AA345" i="6"/>
  <c r="AA356" i="6"/>
  <c r="AA366" i="6"/>
  <c r="AA361" i="6"/>
  <c r="AA348" i="6"/>
  <c r="AA362" i="6"/>
  <c r="AA349" i="6"/>
  <c r="AA350" i="6"/>
  <c r="AA351" i="6"/>
  <c r="AA352" i="6"/>
  <c r="AA353" i="6"/>
  <c r="AA354" i="6"/>
  <c r="AA355" i="6"/>
  <c r="AA363" i="6"/>
  <c r="AA364" i="6"/>
  <c r="AA365" i="6"/>
  <c r="AA367" i="6"/>
  <c r="AA368" i="6"/>
  <c r="AA369" i="6"/>
  <c r="AA357" i="6"/>
  <c r="AA358" i="6"/>
  <c r="AA359" i="6"/>
  <c r="AA360" i="6"/>
  <c r="AA380" i="6"/>
  <c r="AA370" i="6"/>
  <c r="AA371" i="6"/>
  <c r="AA372" i="6"/>
  <c r="AA373" i="6"/>
  <c r="AA374" i="6"/>
  <c r="AA375" i="6"/>
  <c r="AA376" i="6"/>
  <c r="AA377" i="6"/>
  <c r="AA378" i="6"/>
  <c r="AA379" i="6"/>
  <c r="AA383" i="6"/>
  <c r="AA386" i="6"/>
  <c r="AA382" i="6"/>
  <c r="AA385" i="6"/>
  <c r="AA384" i="6"/>
  <c r="AA410" i="6"/>
  <c r="AA388" i="6"/>
  <c r="AA409" i="6"/>
  <c r="AA408" i="6"/>
  <c r="AA391" i="6"/>
  <c r="AA392" i="6"/>
  <c r="AA393" i="6"/>
  <c r="AA394" i="6"/>
  <c r="AA395" i="6"/>
  <c r="AA390" i="6"/>
  <c r="AA406" i="6"/>
  <c r="AA396" i="6"/>
  <c r="AA397" i="6"/>
  <c r="AA398" i="6"/>
  <c r="AA399" i="6"/>
  <c r="AA400" i="6"/>
  <c r="AA401" i="6"/>
  <c r="AA387" i="6"/>
  <c r="AA407" i="6"/>
  <c r="AA402" i="6"/>
  <c r="AA389" i="6"/>
  <c r="AA411" i="6"/>
  <c r="AA403" i="6"/>
  <c r="AA404" i="6"/>
  <c r="AA405" i="6"/>
  <c r="AA3" i="6"/>
  <c r="Z22" i="6"/>
  <c r="Z28" i="6"/>
  <c r="Z37" i="6"/>
  <c r="Z40" i="6"/>
  <c r="Z42" i="6"/>
  <c r="Z45" i="6"/>
  <c r="Z52" i="6"/>
  <c r="Z62" i="6"/>
  <c r="Z65" i="6"/>
  <c r="Z85" i="6"/>
  <c r="Z93" i="6"/>
  <c r="Z103" i="6"/>
  <c r="Z104" i="6"/>
  <c r="Z108" i="6"/>
  <c r="Z116" i="6"/>
  <c r="Z124" i="6"/>
  <c r="Z129" i="6"/>
  <c r="Z134" i="6"/>
  <c r="Z136" i="6"/>
  <c r="Z149" i="6"/>
  <c r="Z152" i="6"/>
  <c r="Z156" i="6"/>
  <c r="Z163" i="6"/>
  <c r="Z170" i="6"/>
  <c r="Z180" i="6"/>
  <c r="Z189" i="6"/>
  <c r="Z192" i="6"/>
  <c r="Z195" i="6"/>
  <c r="Z204" i="6"/>
  <c r="Z226" i="6"/>
  <c r="Z252" i="6"/>
  <c r="Z265" i="6"/>
  <c r="Z278" i="6"/>
  <c r="Z290" i="6"/>
  <c r="Z297" i="6"/>
  <c r="Z2" i="6"/>
  <c r="Z4" i="6"/>
  <c r="Z5" i="6"/>
  <c r="Z6" i="6"/>
  <c r="Z21" i="6"/>
  <c r="Z23" i="6"/>
  <c r="Z47" i="6"/>
  <c r="Z7" i="6"/>
  <c r="Z48" i="6"/>
  <c r="Z8" i="6"/>
  <c r="Z27" i="6"/>
  <c r="Z29" i="6"/>
  <c r="Z30" i="6"/>
  <c r="Z86" i="6"/>
  <c r="Z87" i="6"/>
  <c r="Z64" i="6"/>
  <c r="Z88" i="6"/>
  <c r="Z41" i="6"/>
  <c r="Z43" i="6"/>
  <c r="Z282" i="6"/>
  <c r="Z9" i="6"/>
  <c r="Z49" i="6"/>
  <c r="Z50" i="6"/>
  <c r="Z10" i="6"/>
  <c r="Z114" i="6"/>
  <c r="Z11" i="6"/>
  <c r="Z51" i="6"/>
  <c r="Z53" i="6"/>
  <c r="Z66" i="6"/>
  <c r="Z67" i="6"/>
  <c r="Z68" i="6"/>
  <c r="Z69" i="6"/>
  <c r="Z206" i="6"/>
  <c r="Z159" i="6"/>
  <c r="Z70" i="6"/>
  <c r="Z106" i="6"/>
  <c r="Z207" i="6"/>
  <c r="Z89" i="6"/>
  <c r="Z90" i="6"/>
  <c r="Z91" i="6"/>
  <c r="Z92" i="6"/>
  <c r="Z94" i="6"/>
  <c r="Z95" i="6"/>
  <c r="Z96" i="6"/>
  <c r="Z97" i="6"/>
  <c r="Z232" i="6"/>
  <c r="Z233" i="6"/>
  <c r="Z71" i="6"/>
  <c r="Z105" i="6"/>
  <c r="Z98" i="6"/>
  <c r="Z99" i="6"/>
  <c r="Z100" i="6"/>
  <c r="Z107" i="6"/>
  <c r="Z109" i="6"/>
  <c r="Z101" i="6"/>
  <c r="Z54" i="6"/>
  <c r="Z115" i="6"/>
  <c r="Z117" i="6"/>
  <c r="Z55" i="6"/>
  <c r="Z123" i="6"/>
  <c r="Z125" i="6"/>
  <c r="Z130" i="6"/>
  <c r="Z271" i="6"/>
  <c r="Z160" i="6"/>
  <c r="Z110" i="6"/>
  <c r="Z111" i="6"/>
  <c r="Z112" i="6"/>
  <c r="Z31" i="6"/>
  <c r="Z165" i="6"/>
  <c r="Z166" i="6"/>
  <c r="Z167" i="6"/>
  <c r="Z208" i="6"/>
  <c r="Z141" i="6"/>
  <c r="Z168" i="6"/>
  <c r="Z56" i="6"/>
  <c r="Z283" i="6"/>
  <c r="Z234" i="6"/>
  <c r="Z196" i="6"/>
  <c r="Z142" i="6"/>
  <c r="Z175" i="6"/>
  <c r="Z176" i="6"/>
  <c r="Z131" i="6"/>
  <c r="Z12" i="6"/>
  <c r="Z296" i="6"/>
  <c r="Z197" i="6"/>
  <c r="Z209" i="6"/>
  <c r="Z143" i="6"/>
  <c r="Z210" i="6"/>
  <c r="Z132" i="6"/>
  <c r="Z13" i="6"/>
  <c r="Z46" i="6"/>
  <c r="Z260" i="6"/>
  <c r="Z24" i="6"/>
  <c r="Z235" i="6"/>
  <c r="Z198" i="6"/>
  <c r="Z72" i="6"/>
  <c r="Z261" i="6"/>
  <c r="Z38" i="6"/>
  <c r="Z73" i="6"/>
  <c r="Z74" i="6"/>
  <c r="Z284" i="6"/>
  <c r="Z75" i="6"/>
  <c r="Z236" i="6"/>
  <c r="Z237" i="6"/>
  <c r="Z211" i="6"/>
  <c r="Z272" i="6"/>
  <c r="Z212" i="6"/>
  <c r="Z133" i="6"/>
  <c r="Z76" i="6"/>
  <c r="Z213" i="6"/>
  <c r="Z25" i="6"/>
  <c r="Z135" i="6"/>
  <c r="Z238" i="6"/>
  <c r="Z161" i="6"/>
  <c r="Z77" i="6"/>
  <c r="Z262" i="6"/>
  <c r="Z273" i="6"/>
  <c r="Z126" i="6"/>
  <c r="Z144" i="6"/>
  <c r="Z239" i="6"/>
  <c r="Z274" i="6"/>
  <c r="Z57" i="6"/>
  <c r="Z214" i="6"/>
  <c r="Z275" i="6"/>
  <c r="Z285" i="6"/>
  <c r="Z118" i="6"/>
  <c r="Z119" i="6"/>
  <c r="Z14" i="6"/>
  <c r="Z120" i="6"/>
  <c r="Z199" i="6"/>
  <c r="Z153" i="6"/>
  <c r="Z215" i="6"/>
  <c r="Z200" i="6"/>
  <c r="Z26" i="6"/>
  <c r="Z263" i="6"/>
  <c r="Z121" i="6"/>
  <c r="Z127" i="6"/>
  <c r="Z240" i="6"/>
  <c r="Z241" i="6"/>
  <c r="Z242" i="6"/>
  <c r="Z58" i="6"/>
  <c r="Z39" i="6"/>
  <c r="Z44" i="6"/>
  <c r="Z177" i="6"/>
  <c r="Z78" i="6"/>
  <c r="Z32" i="6"/>
  <c r="Z190" i="6"/>
  <c r="Z137" i="6"/>
  <c r="Z138" i="6"/>
  <c r="Z243" i="6"/>
  <c r="Z244" i="6"/>
  <c r="Z245" i="6"/>
  <c r="Z33" i="6"/>
  <c r="Z79" i="6"/>
  <c r="Z113" i="6"/>
  <c r="Z246" i="6"/>
  <c r="Z247" i="6"/>
  <c r="Z286" i="6"/>
  <c r="Z287" i="6"/>
  <c r="Z34" i="6"/>
  <c r="Z178" i="6"/>
  <c r="Z154" i="6"/>
  <c r="Z248" i="6"/>
  <c r="Z276" i="6"/>
  <c r="Z249" i="6"/>
  <c r="Z80" i="6"/>
  <c r="Z250" i="6"/>
  <c r="Z81" i="6"/>
  <c r="Z264" i="6"/>
  <c r="Z162" i="6"/>
  <c r="Z288" i="6"/>
  <c r="Z145" i="6"/>
  <c r="Z59" i="6"/>
  <c r="Z216" i="6"/>
  <c r="Z217" i="6"/>
  <c r="Z218" i="6"/>
  <c r="Z201" i="6"/>
  <c r="Z219" i="6"/>
  <c r="Z128" i="6"/>
  <c r="Z146" i="6"/>
  <c r="Z147" i="6"/>
  <c r="Z179" i="6"/>
  <c r="Z155" i="6"/>
  <c r="Z220" i="6"/>
  <c r="Z202" i="6"/>
  <c r="Z221" i="6"/>
  <c r="Z222" i="6"/>
  <c r="Z203" i="6"/>
  <c r="Z223" i="6"/>
  <c r="Z224" i="6"/>
  <c r="Z225" i="6"/>
  <c r="Z148" i="6"/>
  <c r="Z150" i="6"/>
  <c r="Z82" i="6"/>
  <c r="Z186" i="6"/>
  <c r="Z187" i="6"/>
  <c r="Z188" i="6"/>
  <c r="Z169" i="6"/>
  <c r="Z191" i="6"/>
  <c r="Z193" i="6"/>
  <c r="Z194" i="6"/>
  <c r="Z164" i="6"/>
  <c r="Z251" i="6"/>
  <c r="Z205" i="6"/>
  <c r="Z253" i="6"/>
  <c r="Z254" i="6"/>
  <c r="Z255" i="6"/>
  <c r="Z277" i="6"/>
  <c r="Z256" i="6"/>
  <c r="Z257" i="6"/>
  <c r="Z266" i="6"/>
  <c r="Z267" i="6"/>
  <c r="Z279" i="6"/>
  <c r="Z280" i="6"/>
  <c r="Z281" i="6"/>
  <c r="Z227" i="6"/>
  <c r="Z157" i="6"/>
  <c r="Z35" i="6"/>
  <c r="Z151" i="6"/>
  <c r="Z289" i="6"/>
  <c r="Z268" i="6"/>
  <c r="Z269" i="6"/>
  <c r="Z122" i="6"/>
  <c r="Z228" i="6"/>
  <c r="Z229" i="6"/>
  <c r="Z230" i="6"/>
  <c r="Z258" i="6"/>
  <c r="Z270" i="6"/>
  <c r="Z231" i="6"/>
  <c r="Z83" i="6"/>
  <c r="Z84" i="6"/>
  <c r="Z63" i="6"/>
  <c r="Z60" i="6"/>
  <c r="Z291" i="6"/>
  <c r="Z292" i="6"/>
  <c r="Z293" i="6"/>
  <c r="Z294" i="6"/>
  <c r="Z171" i="6"/>
  <c r="Z172" i="6"/>
  <c r="Z181" i="6"/>
  <c r="Z158" i="6"/>
  <c r="Z173" i="6"/>
  <c r="Z259" i="6"/>
  <c r="Z295" i="6"/>
  <c r="Z61" i="6"/>
  <c r="Z15" i="6"/>
  <c r="Z16" i="6"/>
  <c r="Z17" i="6"/>
  <c r="Z18" i="6"/>
  <c r="Z19" i="6"/>
  <c r="Z20" i="6"/>
  <c r="Z182" i="6"/>
  <c r="Z36" i="6"/>
  <c r="Z183" i="6"/>
  <c r="Z174" i="6"/>
  <c r="Z184" i="6"/>
  <c r="Z185" i="6"/>
  <c r="Z102" i="6"/>
  <c r="Z301" i="6"/>
  <c r="Z307" i="6"/>
  <c r="Z299" i="6"/>
  <c r="Z300" i="6"/>
  <c r="Z302" i="6"/>
  <c r="Z303" i="6"/>
  <c r="Z304" i="6"/>
  <c r="Z305" i="6"/>
  <c r="Z306" i="6"/>
  <c r="Z308" i="6"/>
  <c r="Z309" i="6"/>
  <c r="Z310" i="6"/>
  <c r="Z311" i="6"/>
  <c r="Z312" i="6"/>
  <c r="Z313" i="6"/>
  <c r="Z315" i="6"/>
  <c r="Z316" i="6"/>
  <c r="Z317" i="6"/>
  <c r="Z318" i="6"/>
  <c r="Z319" i="6"/>
  <c r="Z320" i="6"/>
  <c r="Z321" i="6"/>
  <c r="Z322" i="6"/>
  <c r="Z323" i="6"/>
  <c r="Z324" i="6"/>
  <c r="Z325" i="6"/>
  <c r="Z326" i="6"/>
  <c r="Z327" i="6"/>
  <c r="Z328" i="6"/>
  <c r="Z329" i="6"/>
  <c r="Z330" i="6"/>
  <c r="Z331" i="6"/>
  <c r="Z332" i="6"/>
  <c r="Z333" i="6"/>
  <c r="Z334" i="6"/>
  <c r="Z335" i="6"/>
  <c r="Z336" i="6"/>
  <c r="Z337" i="6"/>
  <c r="Z338" i="6"/>
  <c r="Z339" i="6"/>
  <c r="Z340" i="6"/>
  <c r="Z341" i="6"/>
  <c r="Z346" i="6"/>
  <c r="Z342" i="6"/>
  <c r="Z343" i="6"/>
  <c r="Z347" i="6"/>
  <c r="Z344" i="6"/>
  <c r="Z345" i="6"/>
  <c r="Z356" i="6"/>
  <c r="Z366" i="6"/>
  <c r="Z361" i="6"/>
  <c r="Z348" i="6"/>
  <c r="Z362" i="6"/>
  <c r="Z349" i="6"/>
  <c r="Z350" i="6"/>
  <c r="Z351" i="6"/>
  <c r="Z352" i="6"/>
  <c r="Z353" i="6"/>
  <c r="Z354" i="6"/>
  <c r="Z355" i="6"/>
  <c r="Z363" i="6"/>
  <c r="Z364" i="6"/>
  <c r="Z365" i="6"/>
  <c r="Z367" i="6"/>
  <c r="Z368" i="6"/>
  <c r="Z369" i="6"/>
  <c r="Z357" i="6"/>
  <c r="Z358" i="6"/>
  <c r="Z359" i="6"/>
  <c r="Z360" i="6"/>
  <c r="Z380" i="6"/>
  <c r="Z370" i="6"/>
  <c r="Z371" i="6"/>
  <c r="Z372" i="6"/>
  <c r="Z373" i="6"/>
  <c r="Z374" i="6"/>
  <c r="Z375" i="6"/>
  <c r="Z376" i="6"/>
  <c r="Z377" i="6"/>
  <c r="Z378" i="6"/>
  <c r="Z379" i="6"/>
  <c r="Z383" i="6"/>
  <c r="Z386" i="6"/>
  <c r="Z382" i="6"/>
  <c r="Z385" i="6"/>
  <c r="Z384" i="6"/>
  <c r="Z410" i="6"/>
  <c r="Z388" i="6"/>
  <c r="Z409" i="6"/>
  <c r="Z408" i="6"/>
  <c r="Z391" i="6"/>
  <c r="Z392" i="6"/>
  <c r="Z393" i="6"/>
  <c r="Z394" i="6"/>
  <c r="Z395" i="6"/>
  <c r="Z390" i="6"/>
  <c r="Z406" i="6"/>
  <c r="Z396" i="6"/>
  <c r="Z397" i="6"/>
  <c r="Z398" i="6"/>
  <c r="Z399" i="6"/>
  <c r="Z400" i="6"/>
  <c r="Z401" i="6"/>
  <c r="Z387" i="6"/>
  <c r="Z407" i="6"/>
  <c r="Z402" i="6"/>
  <c r="Z389" i="6"/>
  <c r="Z411" i="6"/>
  <c r="Z403" i="6"/>
  <c r="Z404" i="6"/>
  <c r="Z405" i="6"/>
  <c r="Z3" i="6"/>
  <c r="AO29" i="5"/>
  <c r="AO9" i="5"/>
  <c r="AO11" i="5"/>
  <c r="AO10" i="5"/>
  <c r="AO269" i="5"/>
  <c r="AO4" i="5"/>
  <c r="AO17" i="5"/>
  <c r="AO18" i="5"/>
  <c r="AO12" i="5"/>
  <c r="AO36" i="5"/>
  <c r="AO2" i="5"/>
  <c r="AO13" i="5"/>
  <c r="AO35" i="5"/>
  <c r="AO37" i="5"/>
  <c r="AO21" i="5"/>
  <c r="AO25" i="5"/>
  <c r="AO26" i="5"/>
  <c r="AO22" i="5"/>
  <c r="AO286" i="5"/>
  <c r="AO268" i="5"/>
  <c r="AO288" i="5"/>
  <c r="AO273" i="5"/>
  <c r="AO293" i="5"/>
  <c r="AO281" i="5"/>
  <c r="AO291" i="5"/>
  <c r="AO282" i="5"/>
  <c r="AO279" i="5"/>
  <c r="AO294" i="5"/>
  <c r="AO8" i="5"/>
  <c r="AO3" i="5"/>
  <c r="AO295" i="5"/>
  <c r="AO285" i="5"/>
  <c r="AO289" i="5"/>
  <c r="AO287" i="5"/>
  <c r="AO290" i="5"/>
  <c r="AO5" i="5"/>
  <c r="AO14" i="5"/>
  <c r="AO280" i="5"/>
  <c r="AO27" i="5"/>
  <c r="AO15" i="5"/>
  <c r="AO28" i="5"/>
  <c r="AO32" i="5"/>
  <c r="AO33" i="5"/>
  <c r="AO118" i="5"/>
  <c r="AO404" i="5"/>
  <c r="AO49" i="5"/>
  <c r="AO277" i="5"/>
  <c r="AO67" i="5"/>
  <c r="AO242" i="5"/>
  <c r="AO39" i="5"/>
  <c r="AO47" i="5"/>
  <c r="AO244" i="5"/>
  <c r="AO245" i="5"/>
  <c r="AO247" i="5"/>
  <c r="AO243" i="5"/>
  <c r="AO246" i="5"/>
  <c r="AO40" i="5"/>
  <c r="AO65" i="5"/>
  <c r="AO38" i="5"/>
  <c r="AO121" i="5"/>
  <c r="AO62" i="5"/>
  <c r="AO41" i="5"/>
  <c r="AO42" i="5"/>
  <c r="AO388" i="5"/>
  <c r="AO43" i="5"/>
  <c r="AO44" i="5"/>
  <c r="AO45" i="5"/>
  <c r="AO124" i="5"/>
  <c r="AO154" i="5"/>
  <c r="AO254" i="5"/>
  <c r="AO177" i="5"/>
  <c r="AO165" i="5"/>
  <c r="AO249" i="5"/>
  <c r="AO109" i="5"/>
  <c r="AO170" i="5"/>
  <c r="AO223" i="5"/>
  <c r="AO52" i="5"/>
  <c r="AO50" i="5"/>
  <c r="AO51" i="5"/>
  <c r="AO53" i="5"/>
  <c r="AO255" i="5"/>
  <c r="AO55" i="5"/>
  <c r="AO274" i="5"/>
  <c r="AO407" i="5"/>
  <c r="AO56" i="5"/>
  <c r="AO396" i="5"/>
  <c r="AO57" i="5"/>
  <c r="AO58" i="5"/>
  <c r="AO60" i="5"/>
  <c r="AO256" i="5"/>
  <c r="AO59" i="5"/>
  <c r="AO122" i="5"/>
  <c r="AO64" i="5"/>
  <c r="AO98" i="5"/>
  <c r="AO68" i="5"/>
  <c r="AO69" i="5"/>
  <c r="AO71" i="5"/>
  <c r="AO63" i="5"/>
  <c r="AO96" i="5"/>
  <c r="AO46" i="5"/>
  <c r="AO115" i="5"/>
  <c r="AO275" i="5"/>
  <c r="AO241" i="5"/>
  <c r="AO48" i="5"/>
  <c r="AO190" i="5"/>
  <c r="AO162" i="5"/>
  <c r="AO70" i="5"/>
  <c r="AO183" i="5"/>
  <c r="AO185" i="5"/>
  <c r="AO384" i="5"/>
  <c r="AO391" i="5"/>
  <c r="AO392" i="5"/>
  <c r="AO393" i="5"/>
  <c r="AO394" i="5"/>
  <c r="AO395" i="5"/>
  <c r="AO398" i="5"/>
  <c r="AO399" i="5"/>
  <c r="AO400" i="5"/>
  <c r="AO401" i="5"/>
  <c r="AO402" i="5"/>
  <c r="AO403" i="5"/>
  <c r="AO406" i="5"/>
  <c r="AO409" i="5"/>
  <c r="AO410" i="5"/>
  <c r="AO411" i="5"/>
  <c r="AO164" i="5"/>
  <c r="AO296" i="5"/>
  <c r="AO75" i="5"/>
  <c r="AO127" i="5"/>
  <c r="AO125" i="5"/>
  <c r="AO264" i="5"/>
  <c r="AO135" i="5"/>
  <c r="AO232" i="5"/>
  <c r="AO74" i="5"/>
  <c r="AO89" i="5"/>
  <c r="AO78" i="5"/>
  <c r="AO128" i="5"/>
  <c r="AO130" i="5"/>
  <c r="AO73" i="5"/>
  <c r="AO72" i="5"/>
  <c r="AO140" i="5"/>
  <c r="AO199" i="5"/>
  <c r="AO171" i="5"/>
  <c r="AO259" i="5"/>
  <c r="AO260" i="5"/>
  <c r="AO258" i="5"/>
  <c r="AO263" i="5"/>
  <c r="AO54" i="5"/>
  <c r="AO266" i="5"/>
  <c r="AO82" i="5"/>
  <c r="AO84" i="5"/>
  <c r="AO265" i="5"/>
  <c r="AO81" i="5"/>
  <c r="AO83" i="5"/>
  <c r="AO86" i="5"/>
  <c r="AO252" i="5"/>
  <c r="AO261" i="5"/>
  <c r="AO85" i="5"/>
  <c r="AO92" i="5"/>
  <c r="AO251" i="5"/>
  <c r="AO347" i="5"/>
  <c r="AO334" i="5"/>
  <c r="AO344" i="5"/>
  <c r="AO345" i="5"/>
  <c r="AO330" i="5"/>
  <c r="AO342" i="5"/>
  <c r="AO318" i="5"/>
  <c r="AO319" i="5"/>
  <c r="AO336" i="5"/>
  <c r="AO340" i="5"/>
  <c r="AO338" i="5"/>
  <c r="AO339" i="5"/>
  <c r="AO316" i="5"/>
  <c r="AO328" i="5"/>
  <c r="AO317" i="5"/>
  <c r="AO321" i="5"/>
  <c r="AO332" i="5"/>
  <c r="AO322" i="5"/>
  <c r="AO326" i="5"/>
  <c r="AO320" i="5"/>
  <c r="AO323" i="5"/>
  <c r="AO337" i="5"/>
  <c r="AO327" i="5"/>
  <c r="AO331" i="5"/>
  <c r="AO341" i="5"/>
  <c r="AO329" i="5"/>
  <c r="AO324" i="5"/>
  <c r="AO333" i="5"/>
  <c r="AO335" i="5"/>
  <c r="AO325" i="5"/>
  <c r="AO299" i="5"/>
  <c r="AO300" i="5"/>
  <c r="AO301" i="5"/>
  <c r="AO302" i="5"/>
  <c r="AO315" i="5"/>
  <c r="AO382" i="5"/>
  <c r="AO386" i="5"/>
  <c r="AO93" i="5"/>
  <c r="AO95" i="5"/>
  <c r="AO172" i="5"/>
  <c r="AO79" i="5"/>
  <c r="AO94" i="5"/>
  <c r="AO106" i="5"/>
  <c r="AO107" i="5"/>
  <c r="AO108" i="5"/>
  <c r="AO156" i="5"/>
  <c r="AO150" i="5"/>
  <c r="AO278" i="5"/>
  <c r="AO97" i="5"/>
  <c r="AO253" i="5"/>
  <c r="AO262" i="5"/>
  <c r="AO228" i="5"/>
  <c r="AO66" i="5"/>
  <c r="AO276" i="5"/>
  <c r="AO143" i="5"/>
  <c r="AO101" i="5"/>
  <c r="AO100" i="5"/>
  <c r="AO99" i="5"/>
  <c r="AO193" i="5"/>
  <c r="AO157" i="5"/>
  <c r="AO102" i="5"/>
  <c r="AO103" i="5"/>
  <c r="AO346" i="5"/>
  <c r="AO343" i="5"/>
  <c r="AO310" i="5"/>
  <c r="AO307" i="5"/>
  <c r="AO311" i="5"/>
  <c r="AO306" i="5"/>
  <c r="AO309" i="5"/>
  <c r="AO308" i="5"/>
  <c r="AO305" i="5"/>
  <c r="AO312" i="5"/>
  <c r="AO313" i="5"/>
  <c r="AO304" i="5"/>
  <c r="AO314" i="5"/>
  <c r="AO351" i="5"/>
  <c r="AO356" i="5"/>
  <c r="AO366" i="5"/>
  <c r="AO385" i="5"/>
  <c r="AO349" i="5"/>
  <c r="AO358" i="5"/>
  <c r="AO357" i="5"/>
  <c r="AO369" i="5"/>
  <c r="AO367" i="5"/>
  <c r="AO368" i="5"/>
  <c r="AO352" i="5"/>
  <c r="AO353" i="5"/>
  <c r="AO355" i="5"/>
  <c r="AO354" i="5"/>
  <c r="AO348" i="5"/>
  <c r="AO364" i="5"/>
  <c r="AO361" i="5"/>
  <c r="AO363" i="5"/>
  <c r="AO365" i="5"/>
  <c r="AO362" i="5"/>
  <c r="AO360" i="5"/>
  <c r="AO359" i="5"/>
  <c r="AO350" i="5"/>
  <c r="AO161" i="5"/>
  <c r="AO272" i="5"/>
  <c r="AO90" i="5"/>
  <c r="AO91" i="5"/>
  <c r="AO137" i="5"/>
  <c r="AO16" i="5"/>
  <c r="AO189" i="5"/>
  <c r="AO197" i="5"/>
  <c r="AO196" i="5"/>
  <c r="AO194" i="5"/>
  <c r="AO144" i="5"/>
  <c r="AO195" i="5"/>
  <c r="AO114" i="5"/>
  <c r="AO198" i="5"/>
  <c r="AO224" i="5"/>
  <c r="AO119" i="5"/>
  <c r="AO152" i="5"/>
  <c r="AO201" i="5"/>
  <c r="AO202" i="5"/>
  <c r="AO237" i="5"/>
  <c r="AO284" i="5"/>
  <c r="AO179" i="5"/>
  <c r="AO222" i="5"/>
  <c r="AO187" i="5"/>
  <c r="AO208" i="5"/>
  <c r="AO203" i="5"/>
  <c r="AO105" i="5"/>
  <c r="AO139" i="5"/>
  <c r="AO77" i="5"/>
  <c r="AO397" i="5"/>
  <c r="AO204" i="5"/>
  <c r="AO205" i="5"/>
  <c r="AO234" i="5"/>
  <c r="AO235" i="5"/>
  <c r="AO110" i="5"/>
  <c r="AO238" i="5"/>
  <c r="AO111" i="5"/>
  <c r="AO112" i="5"/>
  <c r="AO178" i="5"/>
  <c r="AO206" i="5"/>
  <c r="AO250" i="5"/>
  <c r="AO163" i="5"/>
  <c r="AO236" i="5"/>
  <c r="AO283" i="5"/>
  <c r="AO248" i="5"/>
  <c r="AO117" i="5"/>
  <c r="AO200" i="5"/>
  <c r="AO292" i="5"/>
  <c r="AO23" i="5"/>
  <c r="AO405" i="5"/>
  <c r="AO166" i="5"/>
  <c r="AO24" i="5"/>
  <c r="AO207" i="5"/>
  <c r="AO271" i="5"/>
  <c r="AO6" i="5"/>
  <c r="AO153" i="5"/>
  <c r="AO151" i="5"/>
  <c r="AO390" i="5"/>
  <c r="AO7" i="5"/>
  <c r="AO113" i="5"/>
  <c r="AO76" i="5"/>
  <c r="AO231" i="5"/>
  <c r="AO80" i="5"/>
  <c r="AO147" i="5"/>
  <c r="AO191" i="5"/>
  <c r="AO221" i="5"/>
  <c r="AO134" i="5"/>
  <c r="AO192" i="5"/>
  <c r="AO120" i="5"/>
  <c r="AO136" i="5"/>
  <c r="AO173" i="5"/>
  <c r="AO174" i="5"/>
  <c r="AO180" i="5"/>
  <c r="AO182" i="5"/>
  <c r="AO184" i="5"/>
  <c r="AO389" i="5"/>
  <c r="AO131" i="5"/>
  <c r="AO210" i="5"/>
  <c r="AO214" i="5"/>
  <c r="AO167" i="5"/>
  <c r="AO88" i="5"/>
  <c r="AO267" i="5"/>
  <c r="AO212" i="5"/>
  <c r="AO209" i="5"/>
  <c r="AO211" i="5"/>
  <c r="AO159" i="5"/>
  <c r="AO160" i="5"/>
  <c r="AO257" i="5"/>
  <c r="AO168" i="5"/>
  <c r="AO87" i="5"/>
  <c r="AO132" i="5"/>
  <c r="AO239" i="5"/>
  <c r="AO229" i="5"/>
  <c r="AO145" i="5"/>
  <c r="AO169" i="5"/>
  <c r="AO158" i="5"/>
  <c r="AO138" i="5"/>
  <c r="AO186" i="5"/>
  <c r="AO226" i="5"/>
  <c r="AO383" i="5"/>
  <c r="AO141" i="5"/>
  <c r="AO216" i="5"/>
  <c r="AO155" i="5"/>
  <c r="AO227" i="5"/>
  <c r="AO126" i="5"/>
  <c r="AO215" i="5"/>
  <c r="AO230" i="5"/>
  <c r="AO217" i="5"/>
  <c r="AO123" i="5"/>
  <c r="AO133" i="5"/>
  <c r="AO181" i="5"/>
  <c r="AO218" i="5"/>
  <c r="AO219" i="5"/>
  <c r="AO220" i="5"/>
  <c r="AO213" i="5"/>
  <c r="AO104" i="5"/>
  <c r="AO146" i="5"/>
  <c r="AO148" i="5"/>
  <c r="AO142" i="5"/>
  <c r="AO61" i="5"/>
  <c r="AO116" i="5"/>
  <c r="AO129" i="5"/>
  <c r="AO149" i="5"/>
  <c r="AO175" i="5"/>
  <c r="AO176" i="5"/>
  <c r="AO188" i="5"/>
  <c r="AO225" i="5"/>
  <c r="AO31" i="5"/>
  <c r="AO233" i="5"/>
  <c r="AO34" i="5"/>
  <c r="AO240" i="5"/>
  <c r="AO387" i="5"/>
  <c r="AO370" i="5"/>
  <c r="AO378" i="5"/>
  <c r="AO377" i="5"/>
  <c r="AO372" i="5"/>
  <c r="AO375" i="5"/>
  <c r="AO380" i="5"/>
  <c r="AO379" i="5"/>
  <c r="AO371" i="5"/>
  <c r="AO374" i="5"/>
  <c r="AO373" i="5"/>
  <c r="AO376" i="5"/>
  <c r="AO270" i="5"/>
  <c r="AO408" i="5"/>
  <c r="AO297" i="5"/>
  <c r="AO30" i="5"/>
  <c r="C2" i="7"/>
  <c r="AZ151" i="1"/>
  <c r="BA151" i="1"/>
  <c r="BB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BC151" i="1"/>
  <c r="CT151" i="1"/>
  <c r="AB40" i="2"/>
  <c r="AB28" i="2"/>
  <c r="AB38" i="2"/>
  <c r="AB46" i="2"/>
  <c r="AB47" i="2"/>
  <c r="AB50" i="2"/>
  <c r="AB51" i="2"/>
  <c r="AB52" i="2"/>
  <c r="AB31" i="2"/>
  <c r="AB32" i="2"/>
  <c r="AB41" i="2"/>
  <c r="AB22" i="2"/>
  <c r="AB29" i="2"/>
  <c r="AB21" i="2"/>
  <c r="AB30" i="2"/>
  <c r="AB25" i="2"/>
  <c r="AB3" i="2"/>
  <c r="AB10" i="2"/>
  <c r="AB26" i="2"/>
  <c r="AB16" i="2"/>
  <c r="AB42" i="2"/>
  <c r="AB36" i="2"/>
  <c r="AB43" i="2"/>
  <c r="AB2" i="2"/>
  <c r="AB17" i="2"/>
  <c r="AB7" i="2"/>
  <c r="AB15" i="2"/>
  <c r="AB23" i="2"/>
  <c r="AB24" i="2"/>
  <c r="AB5" i="2"/>
  <c r="AB11" i="2"/>
  <c r="AB18" i="2"/>
  <c r="AB8" i="2"/>
  <c r="AB33" i="2"/>
  <c r="AB12" i="2"/>
  <c r="AB34" i="2"/>
  <c r="AB35" i="2"/>
  <c r="AB13" i="2"/>
  <c r="AB37" i="2"/>
  <c r="AB39" i="2"/>
  <c r="AB27" i="2"/>
  <c r="BA2" i="1"/>
  <c r="AC39" i="2"/>
  <c r="AC40" i="2"/>
  <c r="AC28" i="2"/>
  <c r="AC38" i="2"/>
  <c r="AC36" i="2"/>
  <c r="AC29" i="2"/>
  <c r="AC26" i="2"/>
  <c r="AC12" i="2"/>
  <c r="AC17" i="2"/>
  <c r="AC16" i="2"/>
  <c r="AC10" i="2"/>
  <c r="AC13" i="2"/>
  <c r="AC11" i="2"/>
  <c r="AC27" i="2"/>
  <c r="AC37" i="2"/>
  <c r="AC7" i="2"/>
  <c r="AC15" i="2"/>
  <c r="AC8" i="2"/>
  <c r="AC33" i="2"/>
  <c r="AC34" i="2"/>
  <c r="AC32" i="2"/>
  <c r="AC35" i="2"/>
  <c r="AC31" i="2"/>
  <c r="AC43" i="2"/>
  <c r="AC30" i="2"/>
  <c r="AC42" i="2"/>
  <c r="AC24" i="2"/>
  <c r="AC18" i="2"/>
  <c r="AC22" i="2"/>
  <c r="AC25" i="2"/>
  <c r="AC41" i="2"/>
  <c r="AC21" i="2"/>
  <c r="AC2" i="2"/>
  <c r="AC3" i="2"/>
  <c r="AC5" i="2"/>
  <c r="AC23" i="2"/>
  <c r="AC46" i="2"/>
  <c r="AC47" i="2"/>
  <c r="AC51" i="2"/>
  <c r="AC50" i="2"/>
  <c r="AC52" i="2"/>
  <c r="BA28" i="1"/>
  <c r="BA74" i="1"/>
  <c r="BA73" i="1"/>
  <c r="BA114" i="1"/>
  <c r="BA112" i="1"/>
  <c r="BA116" i="1"/>
  <c r="BA117" i="1"/>
  <c r="BA118" i="1"/>
  <c r="BA119" i="1"/>
  <c r="BA217" i="1"/>
  <c r="BA228" i="1"/>
  <c r="BA229" i="1"/>
  <c r="BA292" i="1"/>
  <c r="BA3" i="1"/>
  <c r="BA4" i="1"/>
  <c r="BA10" i="1"/>
  <c r="BA12" i="1"/>
  <c r="BA11" i="1"/>
  <c r="BA13" i="1"/>
  <c r="BA27" i="1"/>
  <c r="BA37" i="1"/>
  <c r="BA35" i="1"/>
  <c r="BA40" i="1"/>
  <c r="BA44" i="1"/>
  <c r="BA45" i="1"/>
  <c r="BA46" i="1"/>
  <c r="BA47" i="1"/>
  <c r="BA36" i="1"/>
  <c r="BA42" i="1"/>
  <c r="BA32" i="1"/>
  <c r="BA33" i="1"/>
  <c r="BA34" i="1"/>
  <c r="BA39" i="1"/>
  <c r="BA41" i="1"/>
  <c r="BA43" i="1"/>
  <c r="BA38" i="1"/>
  <c r="BA31" i="1"/>
  <c r="BA30" i="1"/>
  <c r="BA69" i="1"/>
  <c r="BA70" i="1"/>
  <c r="BA71" i="1"/>
  <c r="BA72" i="1"/>
  <c r="BA80" i="1"/>
  <c r="BA81" i="1"/>
  <c r="BA82" i="1"/>
  <c r="BA83" i="1"/>
  <c r="BA84" i="1"/>
  <c r="BA85" i="1"/>
  <c r="BA86" i="1"/>
  <c r="BA87" i="1"/>
  <c r="BA88" i="1"/>
  <c r="BA89" i="1"/>
  <c r="BA92" i="1"/>
  <c r="BA93" i="1"/>
  <c r="BA95" i="1"/>
  <c r="BA96" i="1"/>
  <c r="BA91" i="1"/>
  <c r="BA98" i="1"/>
  <c r="BA94" i="1"/>
  <c r="BA90" i="1"/>
  <c r="BA99" i="1"/>
  <c r="BA97" i="1"/>
  <c r="BA106" i="1"/>
  <c r="BA121" i="1"/>
  <c r="BA113" i="1"/>
  <c r="BA107" i="1"/>
  <c r="BA120" i="1"/>
  <c r="BA108" i="1"/>
  <c r="BA109" i="1"/>
  <c r="BA110" i="1"/>
  <c r="BA111" i="1"/>
  <c r="BA124" i="1"/>
  <c r="BA126" i="1"/>
  <c r="BA127" i="1"/>
  <c r="BA125" i="1"/>
  <c r="BA140" i="1"/>
  <c r="BA141" i="1"/>
  <c r="BA144" i="1"/>
  <c r="BA145" i="1"/>
  <c r="BA152" i="1"/>
  <c r="BA154" i="1"/>
  <c r="BA155" i="1"/>
  <c r="BA156" i="1"/>
  <c r="BA305" i="1"/>
  <c r="BA309" i="1"/>
  <c r="BA308" i="1"/>
  <c r="BA307" i="1"/>
  <c r="BA306" i="1"/>
  <c r="BA162" i="1"/>
  <c r="BA163" i="1"/>
  <c r="BA165" i="1"/>
  <c r="BA164" i="1"/>
  <c r="BA168" i="1"/>
  <c r="BA169" i="1"/>
  <c r="BA175" i="1"/>
  <c r="BA174" i="1"/>
  <c r="BA173" i="1"/>
  <c r="BA180" i="1"/>
  <c r="BA181" i="1"/>
  <c r="BA310" i="1"/>
  <c r="BA312" i="1"/>
  <c r="BA311" i="1"/>
  <c r="BA313" i="1"/>
  <c r="BA326" i="1"/>
  <c r="BA327" i="1"/>
  <c r="BA328" i="1"/>
  <c r="BA329" i="1"/>
  <c r="BA330" i="1"/>
  <c r="BA331" i="1"/>
  <c r="BA185" i="1"/>
  <c r="BA186" i="1"/>
  <c r="BA187" i="1"/>
  <c r="BA188" i="1"/>
  <c r="BA189" i="1"/>
  <c r="BA190" i="1"/>
  <c r="BA201" i="1"/>
  <c r="BA202" i="1"/>
  <c r="BA205" i="1"/>
  <c r="BA204" i="1"/>
  <c r="BA203" i="1"/>
  <c r="BA207" i="1"/>
  <c r="BA208" i="1"/>
  <c r="BA209" i="1"/>
  <c r="BA210" i="1"/>
  <c r="BA211" i="1"/>
  <c r="BA212" i="1"/>
  <c r="BA213" i="1"/>
  <c r="BA215" i="1"/>
  <c r="BA216" i="1"/>
  <c r="BA220" i="1"/>
  <c r="BA222" i="1"/>
  <c r="BA221" i="1"/>
  <c r="BA223" i="1"/>
  <c r="BA224" i="1"/>
  <c r="BA231" i="1"/>
  <c r="BA232" i="1"/>
  <c r="BA233" i="1"/>
  <c r="BA225" i="1"/>
  <c r="BA226" i="1"/>
  <c r="BA246" i="1"/>
  <c r="BA247" i="1"/>
  <c r="BA251" i="1"/>
  <c r="BA252" i="1"/>
  <c r="BA253" i="1"/>
  <c r="BA254" i="1"/>
  <c r="BA255" i="1"/>
  <c r="BA256" i="1"/>
  <c r="BA257" i="1"/>
  <c r="BA260" i="1"/>
  <c r="BA262" i="1"/>
  <c r="BA261" i="1"/>
  <c r="BA263" i="1"/>
  <c r="BA264" i="1"/>
  <c r="BA265" i="1"/>
  <c r="BA266" i="1"/>
  <c r="BA267" i="1"/>
  <c r="BA268" i="1"/>
  <c r="BA289" i="1"/>
  <c r="BA290" i="1"/>
  <c r="BA338" i="1"/>
  <c r="BA340" i="1"/>
  <c r="BA339" i="1"/>
  <c r="BA342" i="1"/>
  <c r="BA343" i="1"/>
  <c r="BA344" i="1"/>
  <c r="BA345" i="1"/>
  <c r="BA341" i="1"/>
  <c r="BA291" i="1"/>
  <c r="BA29" i="1"/>
  <c r="AZ29" i="1"/>
  <c r="G3" i="2"/>
  <c r="K3" i="2"/>
  <c r="T3" i="2"/>
  <c r="U3" i="2"/>
  <c r="V3" i="2"/>
  <c r="W3" i="2"/>
  <c r="AA3" i="2"/>
  <c r="AD3" i="2"/>
  <c r="AE3" i="2"/>
  <c r="AF3" i="2"/>
  <c r="AG3" i="2"/>
  <c r="AH3" i="2"/>
  <c r="AI3" i="2"/>
  <c r="AJ3" i="2"/>
  <c r="AK3" i="2"/>
  <c r="AL3" i="2"/>
  <c r="AM3" i="2"/>
  <c r="AZ141" i="1"/>
  <c r="BB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BC141" i="1"/>
  <c r="CT141" i="1"/>
  <c r="CT140" i="1"/>
  <c r="CS140" i="1"/>
  <c r="CR140" i="1"/>
  <c r="CQ140" i="1"/>
  <c r="CP140" i="1"/>
  <c r="CO140" i="1"/>
  <c r="CN140" i="1"/>
  <c r="CM140" i="1"/>
  <c r="CL140" i="1"/>
  <c r="CK140" i="1"/>
  <c r="CJ140" i="1"/>
  <c r="CI140" i="1"/>
  <c r="CH140" i="1"/>
  <c r="CG140" i="1"/>
  <c r="CF140" i="1"/>
  <c r="CE140" i="1"/>
  <c r="CD140" i="1"/>
  <c r="CC140" i="1"/>
  <c r="CB140" i="1"/>
  <c r="CA140" i="1"/>
  <c r="BZ140" i="1"/>
  <c r="BY140" i="1"/>
  <c r="BX140" i="1"/>
  <c r="BW140" i="1"/>
  <c r="BV140" i="1"/>
  <c r="BC140" i="1"/>
  <c r="BB140" i="1"/>
  <c r="AZ140" i="1"/>
  <c r="BB229" i="1"/>
  <c r="BB4" i="1"/>
  <c r="BB13" i="1"/>
  <c r="BB226" i="1"/>
  <c r="BB228" i="1"/>
  <c r="BB231" i="1"/>
  <c r="BB232" i="1"/>
  <c r="BB233" i="1"/>
  <c r="BB246" i="1"/>
  <c r="BB42" i="1"/>
  <c r="BB43" i="1"/>
  <c r="BB44" i="1"/>
  <c r="BB45" i="1"/>
  <c r="BB46" i="1"/>
  <c r="BB47" i="1"/>
  <c r="BB69" i="1"/>
  <c r="BB70" i="1"/>
  <c r="BB71" i="1"/>
  <c r="BB72" i="1"/>
  <c r="BB73" i="1"/>
  <c r="BB74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6" i="1"/>
  <c r="BB107" i="1"/>
  <c r="BB108" i="1"/>
  <c r="BB109" i="1"/>
  <c r="BB110" i="1"/>
  <c r="BB111" i="1"/>
  <c r="BB112" i="1"/>
  <c r="BB113" i="1"/>
  <c r="BB114" i="1"/>
  <c r="BB116" i="1"/>
  <c r="BB117" i="1"/>
  <c r="BB118" i="1"/>
  <c r="BB119" i="1"/>
  <c r="BB120" i="1"/>
  <c r="BB121" i="1"/>
  <c r="BB124" i="1"/>
  <c r="BB125" i="1"/>
  <c r="BB126" i="1"/>
  <c r="BB127" i="1"/>
  <c r="BB144" i="1"/>
  <c r="BB145" i="1"/>
  <c r="BB152" i="1"/>
  <c r="BB154" i="1"/>
  <c r="BB155" i="1"/>
  <c r="BB156" i="1"/>
  <c r="BB305" i="1"/>
  <c r="BB306" i="1"/>
  <c r="BB307" i="1"/>
  <c r="BB308" i="1"/>
  <c r="BB309" i="1"/>
  <c r="BB162" i="1"/>
  <c r="BB163" i="1"/>
  <c r="BB164" i="1"/>
  <c r="BB165" i="1"/>
  <c r="BB168" i="1"/>
  <c r="BB169" i="1"/>
  <c r="BB173" i="1"/>
  <c r="BB174" i="1"/>
  <c r="BB175" i="1"/>
  <c r="BB180" i="1"/>
  <c r="BB181" i="1"/>
  <c r="BB310" i="1"/>
  <c r="BB311" i="1"/>
  <c r="BB312" i="1"/>
  <c r="BB313" i="1"/>
  <c r="BB326" i="1"/>
  <c r="BB327" i="1"/>
  <c r="BB328" i="1"/>
  <c r="BB329" i="1"/>
  <c r="BB330" i="1"/>
  <c r="BB331" i="1"/>
  <c r="BB185" i="1"/>
  <c r="BB186" i="1"/>
  <c r="BB187" i="1"/>
  <c r="BB188" i="1"/>
  <c r="BB189" i="1"/>
  <c r="BB190" i="1"/>
  <c r="BB201" i="1"/>
  <c r="BB202" i="1"/>
  <c r="BB203" i="1"/>
  <c r="BB204" i="1"/>
  <c r="BB205" i="1"/>
  <c r="BB207" i="1"/>
  <c r="BB208" i="1"/>
  <c r="BB209" i="1"/>
  <c r="BB210" i="1"/>
  <c r="BB211" i="1"/>
  <c r="BB212" i="1"/>
  <c r="BB213" i="1"/>
  <c r="BB215" i="1"/>
  <c r="BB216" i="1"/>
  <c r="BB217" i="1"/>
  <c r="BB220" i="1"/>
  <c r="BB221" i="1"/>
  <c r="BB222" i="1"/>
  <c r="BB223" i="1"/>
  <c r="BB224" i="1"/>
  <c r="BB225" i="1"/>
  <c r="BB39" i="1"/>
  <c r="BB40" i="1"/>
  <c r="BB41" i="1"/>
  <c r="AZ39" i="1"/>
  <c r="AZ228" i="1"/>
  <c r="AZ229" i="1"/>
  <c r="AZ231" i="1"/>
  <c r="AZ232" i="1"/>
  <c r="AZ233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BV345" i="1"/>
  <c r="BW345" i="1"/>
  <c r="BX345" i="1"/>
  <c r="BY345" i="1"/>
  <c r="BZ345" i="1"/>
  <c r="CA345" i="1"/>
  <c r="CB345" i="1"/>
  <c r="CC345" i="1"/>
  <c r="CD345" i="1"/>
  <c r="CE345" i="1"/>
  <c r="CF345" i="1"/>
  <c r="CG345" i="1"/>
  <c r="CH345" i="1"/>
  <c r="CI345" i="1"/>
  <c r="CJ345" i="1"/>
  <c r="CK345" i="1"/>
  <c r="CL345" i="1"/>
  <c r="CM345" i="1"/>
  <c r="CN345" i="1"/>
  <c r="CO345" i="1"/>
  <c r="CP345" i="1"/>
  <c r="CQ345" i="1"/>
  <c r="CR345" i="1"/>
  <c r="CS345" i="1"/>
  <c r="CT345" i="1"/>
  <c r="BV344" i="1"/>
  <c r="BW344" i="1"/>
  <c r="BX344" i="1"/>
  <c r="BY344" i="1"/>
  <c r="BZ344" i="1"/>
  <c r="CA344" i="1"/>
  <c r="CB344" i="1"/>
  <c r="CC344" i="1"/>
  <c r="CD344" i="1"/>
  <c r="CE344" i="1"/>
  <c r="CF344" i="1"/>
  <c r="CG344" i="1"/>
  <c r="CH344" i="1"/>
  <c r="CI344" i="1"/>
  <c r="CJ344" i="1"/>
  <c r="CK344" i="1"/>
  <c r="CL344" i="1"/>
  <c r="CM344" i="1"/>
  <c r="CN344" i="1"/>
  <c r="CO344" i="1"/>
  <c r="CP344" i="1"/>
  <c r="CQ344" i="1"/>
  <c r="CR344" i="1"/>
  <c r="CS344" i="1"/>
  <c r="CT344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BV121" i="1"/>
  <c r="BW121" i="1"/>
  <c r="BX121" i="1"/>
  <c r="BY121" i="1"/>
  <c r="BZ121" i="1"/>
  <c r="CA121" i="1"/>
  <c r="CB121" i="1"/>
  <c r="CC121" i="1"/>
  <c r="CD121" i="1"/>
  <c r="CE121" i="1"/>
  <c r="CF121" i="1"/>
  <c r="CG121" i="1"/>
  <c r="CH121" i="1"/>
  <c r="CI121" i="1"/>
  <c r="CJ121" i="1"/>
  <c r="CK121" i="1"/>
  <c r="CL121" i="1"/>
  <c r="CM121" i="1"/>
  <c r="CN121" i="1"/>
  <c r="CO121" i="1"/>
  <c r="CP121" i="1"/>
  <c r="CQ121" i="1"/>
  <c r="CR121" i="1"/>
  <c r="CS121" i="1"/>
  <c r="CT121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BV99" i="1"/>
  <c r="BW99" i="1"/>
  <c r="BX99" i="1"/>
  <c r="BY99" i="1"/>
  <c r="BZ99" i="1"/>
  <c r="CA99" i="1"/>
  <c r="CB99" i="1"/>
  <c r="CC99" i="1"/>
  <c r="CD99" i="1"/>
  <c r="CE99" i="1"/>
  <c r="CF99" i="1"/>
  <c r="CG99" i="1"/>
  <c r="CH99" i="1"/>
  <c r="CI99" i="1"/>
  <c r="CJ99" i="1"/>
  <c r="CK99" i="1"/>
  <c r="CL99" i="1"/>
  <c r="CM99" i="1"/>
  <c r="CN99" i="1"/>
  <c r="CO99" i="1"/>
  <c r="CP99" i="1"/>
  <c r="CQ99" i="1"/>
  <c r="CR99" i="1"/>
  <c r="CS99" i="1"/>
  <c r="CT99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BV313" i="1"/>
  <c r="BW313" i="1"/>
  <c r="BX313" i="1"/>
  <c r="BY313" i="1"/>
  <c r="BZ313" i="1"/>
  <c r="CA313" i="1"/>
  <c r="CB313" i="1"/>
  <c r="CC313" i="1"/>
  <c r="CD313" i="1"/>
  <c r="CE313" i="1"/>
  <c r="CF313" i="1"/>
  <c r="CG313" i="1"/>
  <c r="CH313" i="1"/>
  <c r="CI313" i="1"/>
  <c r="CJ313" i="1"/>
  <c r="CK313" i="1"/>
  <c r="CL313" i="1"/>
  <c r="CM313" i="1"/>
  <c r="CN313" i="1"/>
  <c r="CO313" i="1"/>
  <c r="CP313" i="1"/>
  <c r="CQ313" i="1"/>
  <c r="CR313" i="1"/>
  <c r="CS313" i="1"/>
  <c r="CT313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BV84" i="1"/>
  <c r="BW84" i="1"/>
  <c r="BX84" i="1"/>
  <c r="BY84" i="1"/>
  <c r="BZ84" i="1"/>
  <c r="CA84" i="1"/>
  <c r="CB84" i="1"/>
  <c r="CC84" i="1"/>
  <c r="CD84" i="1"/>
  <c r="CE84" i="1"/>
  <c r="CF84" i="1"/>
  <c r="CG84" i="1"/>
  <c r="CH84" i="1"/>
  <c r="CI84" i="1"/>
  <c r="CJ84" i="1"/>
  <c r="CK84" i="1"/>
  <c r="CL84" i="1"/>
  <c r="CM84" i="1"/>
  <c r="CN84" i="1"/>
  <c r="CO84" i="1"/>
  <c r="CP84" i="1"/>
  <c r="CQ84" i="1"/>
  <c r="CR84" i="1"/>
  <c r="CS84" i="1"/>
  <c r="CT84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BV120" i="1"/>
  <c r="BW120" i="1"/>
  <c r="BX120" i="1"/>
  <c r="BY120" i="1"/>
  <c r="BZ120" i="1"/>
  <c r="CA120" i="1"/>
  <c r="CB120" i="1"/>
  <c r="CC120" i="1"/>
  <c r="CD120" i="1"/>
  <c r="CE120" i="1"/>
  <c r="CF120" i="1"/>
  <c r="CG120" i="1"/>
  <c r="CH120" i="1"/>
  <c r="CI120" i="1"/>
  <c r="CJ120" i="1"/>
  <c r="CK120" i="1"/>
  <c r="CL120" i="1"/>
  <c r="CM120" i="1"/>
  <c r="CN120" i="1"/>
  <c r="CO120" i="1"/>
  <c r="CP120" i="1"/>
  <c r="CQ120" i="1"/>
  <c r="CR120" i="1"/>
  <c r="CS120" i="1"/>
  <c r="CT12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BV331" i="1"/>
  <c r="BW331" i="1"/>
  <c r="BX331" i="1"/>
  <c r="BY331" i="1"/>
  <c r="BZ331" i="1"/>
  <c r="CA331" i="1"/>
  <c r="CB331" i="1"/>
  <c r="CC331" i="1"/>
  <c r="CD331" i="1"/>
  <c r="CE331" i="1"/>
  <c r="CF331" i="1"/>
  <c r="CG331" i="1"/>
  <c r="CH331" i="1"/>
  <c r="CI331" i="1"/>
  <c r="CJ331" i="1"/>
  <c r="CK331" i="1"/>
  <c r="CL331" i="1"/>
  <c r="CM331" i="1"/>
  <c r="CN331" i="1"/>
  <c r="CO331" i="1"/>
  <c r="CP331" i="1"/>
  <c r="CQ331" i="1"/>
  <c r="CR331" i="1"/>
  <c r="CS331" i="1"/>
  <c r="CT331" i="1"/>
  <c r="BV330" i="1"/>
  <c r="BW330" i="1"/>
  <c r="BX330" i="1"/>
  <c r="BY330" i="1"/>
  <c r="BZ330" i="1"/>
  <c r="CA330" i="1"/>
  <c r="CB330" i="1"/>
  <c r="CC330" i="1"/>
  <c r="CD330" i="1"/>
  <c r="CE330" i="1"/>
  <c r="CF330" i="1"/>
  <c r="CG330" i="1"/>
  <c r="CH330" i="1"/>
  <c r="CI330" i="1"/>
  <c r="CJ330" i="1"/>
  <c r="CK330" i="1"/>
  <c r="CL330" i="1"/>
  <c r="CM330" i="1"/>
  <c r="CN330" i="1"/>
  <c r="CO330" i="1"/>
  <c r="CP330" i="1"/>
  <c r="CQ330" i="1"/>
  <c r="CR330" i="1"/>
  <c r="CS330" i="1"/>
  <c r="CT330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BV98" i="1"/>
  <c r="BW98" i="1"/>
  <c r="BX98" i="1"/>
  <c r="BY98" i="1"/>
  <c r="BZ98" i="1"/>
  <c r="CA98" i="1"/>
  <c r="CB98" i="1"/>
  <c r="CC98" i="1"/>
  <c r="CD98" i="1"/>
  <c r="CE98" i="1"/>
  <c r="CF98" i="1"/>
  <c r="CG98" i="1"/>
  <c r="CH98" i="1"/>
  <c r="CI98" i="1"/>
  <c r="CJ98" i="1"/>
  <c r="CK98" i="1"/>
  <c r="CL98" i="1"/>
  <c r="CM98" i="1"/>
  <c r="CN98" i="1"/>
  <c r="CO98" i="1"/>
  <c r="CP98" i="1"/>
  <c r="CQ98" i="1"/>
  <c r="CR98" i="1"/>
  <c r="CS98" i="1"/>
  <c r="CT98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BV127" i="1"/>
  <c r="BW127" i="1"/>
  <c r="BX127" i="1"/>
  <c r="BY127" i="1"/>
  <c r="BZ127" i="1"/>
  <c r="CA127" i="1"/>
  <c r="CB127" i="1"/>
  <c r="CC127" i="1"/>
  <c r="CD127" i="1"/>
  <c r="CE127" i="1"/>
  <c r="CF127" i="1"/>
  <c r="CG127" i="1"/>
  <c r="CH127" i="1"/>
  <c r="CI127" i="1"/>
  <c r="CJ127" i="1"/>
  <c r="CK127" i="1"/>
  <c r="CL127" i="1"/>
  <c r="CM127" i="1"/>
  <c r="CN127" i="1"/>
  <c r="CO127" i="1"/>
  <c r="CP127" i="1"/>
  <c r="CQ127" i="1"/>
  <c r="CR127" i="1"/>
  <c r="CS127" i="1"/>
  <c r="CT127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BV308" i="1"/>
  <c r="BW308" i="1"/>
  <c r="BX308" i="1"/>
  <c r="BY308" i="1"/>
  <c r="BZ308" i="1"/>
  <c r="CA308" i="1"/>
  <c r="CB308" i="1"/>
  <c r="CC308" i="1"/>
  <c r="CD308" i="1"/>
  <c r="CE308" i="1"/>
  <c r="CF308" i="1"/>
  <c r="CG308" i="1"/>
  <c r="CH308" i="1"/>
  <c r="CI308" i="1"/>
  <c r="CJ308" i="1"/>
  <c r="CK308" i="1"/>
  <c r="CL308" i="1"/>
  <c r="CM308" i="1"/>
  <c r="CN308" i="1"/>
  <c r="CO308" i="1"/>
  <c r="CP308" i="1"/>
  <c r="CQ308" i="1"/>
  <c r="CR308" i="1"/>
  <c r="CS308" i="1"/>
  <c r="CT308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BV125" i="1"/>
  <c r="BW125" i="1"/>
  <c r="BX125" i="1"/>
  <c r="BY125" i="1"/>
  <c r="BZ125" i="1"/>
  <c r="CA125" i="1"/>
  <c r="CB125" i="1"/>
  <c r="CC125" i="1"/>
  <c r="CD125" i="1"/>
  <c r="CE125" i="1"/>
  <c r="CF125" i="1"/>
  <c r="CG125" i="1"/>
  <c r="CH125" i="1"/>
  <c r="CI125" i="1"/>
  <c r="CJ125" i="1"/>
  <c r="CK125" i="1"/>
  <c r="CL125" i="1"/>
  <c r="CM125" i="1"/>
  <c r="CN125" i="1"/>
  <c r="CO125" i="1"/>
  <c r="CP125" i="1"/>
  <c r="CQ125" i="1"/>
  <c r="CR125" i="1"/>
  <c r="CS125" i="1"/>
  <c r="CT125" i="1"/>
  <c r="BV292" i="1"/>
  <c r="BW292" i="1"/>
  <c r="BX292" i="1"/>
  <c r="BY292" i="1"/>
  <c r="BZ292" i="1"/>
  <c r="CA292" i="1"/>
  <c r="CB292" i="1"/>
  <c r="CC292" i="1"/>
  <c r="CD292" i="1"/>
  <c r="CE292" i="1"/>
  <c r="CF292" i="1"/>
  <c r="CG292" i="1"/>
  <c r="CH292" i="1"/>
  <c r="CI292" i="1"/>
  <c r="CJ292" i="1"/>
  <c r="CK292" i="1"/>
  <c r="CL292" i="1"/>
  <c r="CM292" i="1"/>
  <c r="CN292" i="1"/>
  <c r="CO292" i="1"/>
  <c r="CP292" i="1"/>
  <c r="CQ292" i="1"/>
  <c r="CR292" i="1"/>
  <c r="CS292" i="1"/>
  <c r="CT29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BV82" i="1"/>
  <c r="BW82" i="1"/>
  <c r="BX82" i="1"/>
  <c r="BY82" i="1"/>
  <c r="BZ82" i="1"/>
  <c r="CA82" i="1"/>
  <c r="CB82" i="1"/>
  <c r="CC82" i="1"/>
  <c r="CD82" i="1"/>
  <c r="CE82" i="1"/>
  <c r="CF82" i="1"/>
  <c r="CG82" i="1"/>
  <c r="CH82" i="1"/>
  <c r="CI82" i="1"/>
  <c r="CJ82" i="1"/>
  <c r="CK82" i="1"/>
  <c r="CL82" i="1"/>
  <c r="CM82" i="1"/>
  <c r="CN82" i="1"/>
  <c r="CO82" i="1"/>
  <c r="CP82" i="1"/>
  <c r="CQ82" i="1"/>
  <c r="CR82" i="1"/>
  <c r="CS82" i="1"/>
  <c r="CT82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CN81" i="1"/>
  <c r="CO81" i="1"/>
  <c r="CP81" i="1"/>
  <c r="CQ81" i="1"/>
  <c r="CR81" i="1"/>
  <c r="CS81" i="1"/>
  <c r="CT81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BV119" i="1"/>
  <c r="BW119" i="1"/>
  <c r="BX119" i="1"/>
  <c r="BY119" i="1"/>
  <c r="BZ119" i="1"/>
  <c r="CA119" i="1"/>
  <c r="CB119" i="1"/>
  <c r="CC119" i="1"/>
  <c r="CD119" i="1"/>
  <c r="CE119" i="1"/>
  <c r="CF119" i="1"/>
  <c r="CG119" i="1"/>
  <c r="CH119" i="1"/>
  <c r="CI119" i="1"/>
  <c r="CJ119" i="1"/>
  <c r="CK119" i="1"/>
  <c r="CL119" i="1"/>
  <c r="CM119" i="1"/>
  <c r="CN119" i="1"/>
  <c r="CO119" i="1"/>
  <c r="CP119" i="1"/>
  <c r="CQ119" i="1"/>
  <c r="CR119" i="1"/>
  <c r="CS119" i="1"/>
  <c r="CT119" i="1"/>
  <c r="BV343" i="1"/>
  <c r="BW343" i="1"/>
  <c r="BX343" i="1"/>
  <c r="BY343" i="1"/>
  <c r="BZ343" i="1"/>
  <c r="CA343" i="1"/>
  <c r="CB343" i="1"/>
  <c r="CC343" i="1"/>
  <c r="CD343" i="1"/>
  <c r="CE343" i="1"/>
  <c r="CF343" i="1"/>
  <c r="CG343" i="1"/>
  <c r="CH343" i="1"/>
  <c r="CI343" i="1"/>
  <c r="CJ343" i="1"/>
  <c r="CK343" i="1"/>
  <c r="CL343" i="1"/>
  <c r="CM343" i="1"/>
  <c r="CN343" i="1"/>
  <c r="CO343" i="1"/>
  <c r="CP343" i="1"/>
  <c r="CQ343" i="1"/>
  <c r="CR343" i="1"/>
  <c r="CS343" i="1"/>
  <c r="CT343" i="1"/>
  <c r="BV342" i="1"/>
  <c r="BW342" i="1"/>
  <c r="BX342" i="1"/>
  <c r="BY342" i="1"/>
  <c r="BZ342" i="1"/>
  <c r="CA342" i="1"/>
  <c r="CB342" i="1"/>
  <c r="CC342" i="1"/>
  <c r="CD342" i="1"/>
  <c r="CE342" i="1"/>
  <c r="CF342" i="1"/>
  <c r="CG342" i="1"/>
  <c r="CH342" i="1"/>
  <c r="CI342" i="1"/>
  <c r="CJ342" i="1"/>
  <c r="CK342" i="1"/>
  <c r="CL342" i="1"/>
  <c r="CM342" i="1"/>
  <c r="CN342" i="1"/>
  <c r="CO342" i="1"/>
  <c r="CP342" i="1"/>
  <c r="CQ342" i="1"/>
  <c r="CR342" i="1"/>
  <c r="CS342" i="1"/>
  <c r="CT342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BV327" i="1"/>
  <c r="BW327" i="1"/>
  <c r="BX327" i="1"/>
  <c r="BY327" i="1"/>
  <c r="BZ327" i="1"/>
  <c r="CA327" i="1"/>
  <c r="CB327" i="1"/>
  <c r="CC327" i="1"/>
  <c r="CD327" i="1"/>
  <c r="CE327" i="1"/>
  <c r="CF327" i="1"/>
  <c r="CG327" i="1"/>
  <c r="CH327" i="1"/>
  <c r="CI327" i="1"/>
  <c r="CJ327" i="1"/>
  <c r="CK327" i="1"/>
  <c r="CL327" i="1"/>
  <c r="CM327" i="1"/>
  <c r="CN327" i="1"/>
  <c r="CO327" i="1"/>
  <c r="CP327" i="1"/>
  <c r="CQ327" i="1"/>
  <c r="CR327" i="1"/>
  <c r="CS327" i="1"/>
  <c r="CT327" i="1"/>
  <c r="BV329" i="1"/>
  <c r="BW329" i="1"/>
  <c r="BX329" i="1"/>
  <c r="BY329" i="1"/>
  <c r="BZ329" i="1"/>
  <c r="CA329" i="1"/>
  <c r="CB329" i="1"/>
  <c r="CC329" i="1"/>
  <c r="CD329" i="1"/>
  <c r="CE329" i="1"/>
  <c r="CF329" i="1"/>
  <c r="CG329" i="1"/>
  <c r="CH329" i="1"/>
  <c r="CI329" i="1"/>
  <c r="CJ329" i="1"/>
  <c r="CK329" i="1"/>
  <c r="CL329" i="1"/>
  <c r="CM329" i="1"/>
  <c r="CN329" i="1"/>
  <c r="CO329" i="1"/>
  <c r="CP329" i="1"/>
  <c r="CQ329" i="1"/>
  <c r="CR329" i="1"/>
  <c r="CS329" i="1"/>
  <c r="CT329" i="1"/>
  <c r="BV341" i="1"/>
  <c r="BW341" i="1"/>
  <c r="BX341" i="1"/>
  <c r="BY341" i="1"/>
  <c r="BZ341" i="1"/>
  <c r="CA341" i="1"/>
  <c r="CB341" i="1"/>
  <c r="CC341" i="1"/>
  <c r="CD341" i="1"/>
  <c r="CE341" i="1"/>
  <c r="CF341" i="1"/>
  <c r="CG341" i="1"/>
  <c r="CH341" i="1"/>
  <c r="CI341" i="1"/>
  <c r="CJ341" i="1"/>
  <c r="CK341" i="1"/>
  <c r="CL341" i="1"/>
  <c r="CM341" i="1"/>
  <c r="CN341" i="1"/>
  <c r="CO341" i="1"/>
  <c r="CP341" i="1"/>
  <c r="CQ341" i="1"/>
  <c r="CR341" i="1"/>
  <c r="CS341" i="1"/>
  <c r="CT341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BV340" i="1"/>
  <c r="BW340" i="1"/>
  <c r="BX340" i="1"/>
  <c r="BY340" i="1"/>
  <c r="BZ340" i="1"/>
  <c r="CA340" i="1"/>
  <c r="CB340" i="1"/>
  <c r="CC340" i="1"/>
  <c r="CD340" i="1"/>
  <c r="CE340" i="1"/>
  <c r="CF340" i="1"/>
  <c r="CG340" i="1"/>
  <c r="CH340" i="1"/>
  <c r="CI340" i="1"/>
  <c r="CJ340" i="1"/>
  <c r="CK340" i="1"/>
  <c r="CL340" i="1"/>
  <c r="CM340" i="1"/>
  <c r="CN340" i="1"/>
  <c r="CO340" i="1"/>
  <c r="CP340" i="1"/>
  <c r="CQ340" i="1"/>
  <c r="CR340" i="1"/>
  <c r="CS340" i="1"/>
  <c r="CT340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BV118" i="1"/>
  <c r="BW118" i="1"/>
  <c r="BX118" i="1"/>
  <c r="BY118" i="1"/>
  <c r="BZ118" i="1"/>
  <c r="CA118" i="1"/>
  <c r="CB118" i="1"/>
  <c r="CC118" i="1"/>
  <c r="CD118" i="1"/>
  <c r="CE118" i="1"/>
  <c r="CF118" i="1"/>
  <c r="CG118" i="1"/>
  <c r="CH118" i="1"/>
  <c r="CI118" i="1"/>
  <c r="CJ118" i="1"/>
  <c r="CK118" i="1"/>
  <c r="CL118" i="1"/>
  <c r="CM118" i="1"/>
  <c r="CN118" i="1"/>
  <c r="CO118" i="1"/>
  <c r="CP118" i="1"/>
  <c r="CQ118" i="1"/>
  <c r="CR118" i="1"/>
  <c r="CS118" i="1"/>
  <c r="CT118" i="1"/>
  <c r="BV117" i="1"/>
  <c r="BW117" i="1"/>
  <c r="BX117" i="1"/>
  <c r="BY117" i="1"/>
  <c r="BZ117" i="1"/>
  <c r="CA117" i="1"/>
  <c r="CB117" i="1"/>
  <c r="CC117" i="1"/>
  <c r="CD117" i="1"/>
  <c r="CE117" i="1"/>
  <c r="CF117" i="1"/>
  <c r="CG117" i="1"/>
  <c r="CH117" i="1"/>
  <c r="CI117" i="1"/>
  <c r="CJ117" i="1"/>
  <c r="CK117" i="1"/>
  <c r="CL117" i="1"/>
  <c r="CM117" i="1"/>
  <c r="CN117" i="1"/>
  <c r="CO117" i="1"/>
  <c r="CP117" i="1"/>
  <c r="CQ117" i="1"/>
  <c r="CR117" i="1"/>
  <c r="CS117" i="1"/>
  <c r="CT117" i="1"/>
  <c r="BV116" i="1"/>
  <c r="BW116" i="1"/>
  <c r="BX116" i="1"/>
  <c r="BY116" i="1"/>
  <c r="BZ116" i="1"/>
  <c r="CA116" i="1"/>
  <c r="CB116" i="1"/>
  <c r="CC116" i="1"/>
  <c r="CD116" i="1"/>
  <c r="CE116" i="1"/>
  <c r="CF116" i="1"/>
  <c r="CG116" i="1"/>
  <c r="CH116" i="1"/>
  <c r="CI116" i="1"/>
  <c r="CJ116" i="1"/>
  <c r="CK116" i="1"/>
  <c r="CL116" i="1"/>
  <c r="CM116" i="1"/>
  <c r="CN116" i="1"/>
  <c r="CO116" i="1"/>
  <c r="CP116" i="1"/>
  <c r="CQ116" i="1"/>
  <c r="CR116" i="1"/>
  <c r="CS116" i="1"/>
  <c r="CT116" i="1"/>
  <c r="BV311" i="1"/>
  <c r="BW311" i="1"/>
  <c r="BX311" i="1"/>
  <c r="BY311" i="1"/>
  <c r="BZ311" i="1"/>
  <c r="CA311" i="1"/>
  <c r="CB311" i="1"/>
  <c r="CC311" i="1"/>
  <c r="CD311" i="1"/>
  <c r="CE311" i="1"/>
  <c r="CF311" i="1"/>
  <c r="CG311" i="1"/>
  <c r="CH311" i="1"/>
  <c r="CI311" i="1"/>
  <c r="CJ311" i="1"/>
  <c r="CK311" i="1"/>
  <c r="CL311" i="1"/>
  <c r="CM311" i="1"/>
  <c r="CN311" i="1"/>
  <c r="CO311" i="1"/>
  <c r="CP311" i="1"/>
  <c r="CQ311" i="1"/>
  <c r="CR311" i="1"/>
  <c r="CS311" i="1"/>
  <c r="CT311" i="1"/>
  <c r="BV306" i="1"/>
  <c r="BW306" i="1"/>
  <c r="BX306" i="1"/>
  <c r="BY306" i="1"/>
  <c r="BZ306" i="1"/>
  <c r="CA306" i="1"/>
  <c r="CB306" i="1"/>
  <c r="CC306" i="1"/>
  <c r="CD306" i="1"/>
  <c r="CE306" i="1"/>
  <c r="CF306" i="1"/>
  <c r="CG306" i="1"/>
  <c r="CH306" i="1"/>
  <c r="CI306" i="1"/>
  <c r="CJ306" i="1"/>
  <c r="CK306" i="1"/>
  <c r="CL306" i="1"/>
  <c r="CM306" i="1"/>
  <c r="CN306" i="1"/>
  <c r="CO306" i="1"/>
  <c r="CP306" i="1"/>
  <c r="CQ306" i="1"/>
  <c r="CR306" i="1"/>
  <c r="CS306" i="1"/>
  <c r="CT306" i="1"/>
  <c r="BV339" i="1"/>
  <c r="BW339" i="1"/>
  <c r="BX339" i="1"/>
  <c r="BY339" i="1"/>
  <c r="BZ339" i="1"/>
  <c r="CA339" i="1"/>
  <c r="CB339" i="1"/>
  <c r="CC339" i="1"/>
  <c r="CD339" i="1"/>
  <c r="CE339" i="1"/>
  <c r="CF339" i="1"/>
  <c r="CG339" i="1"/>
  <c r="CH339" i="1"/>
  <c r="CI339" i="1"/>
  <c r="CJ339" i="1"/>
  <c r="CK339" i="1"/>
  <c r="CL339" i="1"/>
  <c r="CM339" i="1"/>
  <c r="CN339" i="1"/>
  <c r="CO339" i="1"/>
  <c r="CP339" i="1"/>
  <c r="CQ339" i="1"/>
  <c r="CR339" i="1"/>
  <c r="CS339" i="1"/>
  <c r="CT339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BV97" i="1"/>
  <c r="BW97" i="1"/>
  <c r="BX97" i="1"/>
  <c r="BY97" i="1"/>
  <c r="BZ97" i="1"/>
  <c r="CA97" i="1"/>
  <c r="CB97" i="1"/>
  <c r="CC97" i="1"/>
  <c r="CD97" i="1"/>
  <c r="CE97" i="1"/>
  <c r="CF97" i="1"/>
  <c r="CG97" i="1"/>
  <c r="CH97" i="1"/>
  <c r="CI97" i="1"/>
  <c r="CJ97" i="1"/>
  <c r="CK97" i="1"/>
  <c r="CL97" i="1"/>
  <c r="CM97" i="1"/>
  <c r="CN97" i="1"/>
  <c r="CO97" i="1"/>
  <c r="CP97" i="1"/>
  <c r="CQ97" i="1"/>
  <c r="CR97" i="1"/>
  <c r="CS97" i="1"/>
  <c r="CT97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BV96" i="1"/>
  <c r="BW96" i="1"/>
  <c r="BX96" i="1"/>
  <c r="BY96" i="1"/>
  <c r="BZ96" i="1"/>
  <c r="CA96" i="1"/>
  <c r="CB96" i="1"/>
  <c r="CC96" i="1"/>
  <c r="CD96" i="1"/>
  <c r="CE96" i="1"/>
  <c r="CF96" i="1"/>
  <c r="CG96" i="1"/>
  <c r="CH96" i="1"/>
  <c r="CI96" i="1"/>
  <c r="CJ96" i="1"/>
  <c r="CK96" i="1"/>
  <c r="CL96" i="1"/>
  <c r="CM96" i="1"/>
  <c r="CN96" i="1"/>
  <c r="CO96" i="1"/>
  <c r="CP96" i="1"/>
  <c r="CQ96" i="1"/>
  <c r="CR96" i="1"/>
  <c r="CS96" i="1"/>
  <c r="CT96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BV95" i="1"/>
  <c r="BW95" i="1"/>
  <c r="BX95" i="1"/>
  <c r="BY95" i="1"/>
  <c r="BZ95" i="1"/>
  <c r="CA95" i="1"/>
  <c r="CB95" i="1"/>
  <c r="CC95" i="1"/>
  <c r="CD95" i="1"/>
  <c r="CE95" i="1"/>
  <c r="CF95" i="1"/>
  <c r="CG95" i="1"/>
  <c r="CH95" i="1"/>
  <c r="CI95" i="1"/>
  <c r="CJ95" i="1"/>
  <c r="CK95" i="1"/>
  <c r="CL95" i="1"/>
  <c r="CM95" i="1"/>
  <c r="CN95" i="1"/>
  <c r="CO95" i="1"/>
  <c r="CP95" i="1"/>
  <c r="CQ95" i="1"/>
  <c r="CR95" i="1"/>
  <c r="CS95" i="1"/>
  <c r="CT95" i="1"/>
  <c r="BV94" i="1"/>
  <c r="BW94" i="1"/>
  <c r="BX94" i="1"/>
  <c r="BY94" i="1"/>
  <c r="BZ94" i="1"/>
  <c r="CA94" i="1"/>
  <c r="CB94" i="1"/>
  <c r="CC94" i="1"/>
  <c r="CD94" i="1"/>
  <c r="CE94" i="1"/>
  <c r="CF94" i="1"/>
  <c r="CG94" i="1"/>
  <c r="CH94" i="1"/>
  <c r="CI94" i="1"/>
  <c r="CJ94" i="1"/>
  <c r="CK94" i="1"/>
  <c r="CL94" i="1"/>
  <c r="CM94" i="1"/>
  <c r="CN94" i="1"/>
  <c r="CO94" i="1"/>
  <c r="CP94" i="1"/>
  <c r="CQ94" i="1"/>
  <c r="CR94" i="1"/>
  <c r="CS94" i="1"/>
  <c r="CT94" i="1"/>
  <c r="BV93" i="1"/>
  <c r="BW93" i="1"/>
  <c r="BX93" i="1"/>
  <c r="BY93" i="1"/>
  <c r="BZ93" i="1"/>
  <c r="CA93" i="1"/>
  <c r="CB93" i="1"/>
  <c r="CC93" i="1"/>
  <c r="CD93" i="1"/>
  <c r="CE93" i="1"/>
  <c r="CF93" i="1"/>
  <c r="CG93" i="1"/>
  <c r="CH93" i="1"/>
  <c r="CI93" i="1"/>
  <c r="CJ93" i="1"/>
  <c r="CK93" i="1"/>
  <c r="CL93" i="1"/>
  <c r="CM93" i="1"/>
  <c r="CN93" i="1"/>
  <c r="CO93" i="1"/>
  <c r="CP93" i="1"/>
  <c r="CQ93" i="1"/>
  <c r="CR93" i="1"/>
  <c r="CS93" i="1"/>
  <c r="CT93" i="1"/>
  <c r="BV92" i="1"/>
  <c r="BW92" i="1"/>
  <c r="BX92" i="1"/>
  <c r="BY92" i="1"/>
  <c r="BZ92" i="1"/>
  <c r="CA92" i="1"/>
  <c r="CB92" i="1"/>
  <c r="CC92" i="1"/>
  <c r="CD92" i="1"/>
  <c r="CE92" i="1"/>
  <c r="CF92" i="1"/>
  <c r="CG92" i="1"/>
  <c r="CH92" i="1"/>
  <c r="CI92" i="1"/>
  <c r="CJ92" i="1"/>
  <c r="CK92" i="1"/>
  <c r="CL92" i="1"/>
  <c r="CM92" i="1"/>
  <c r="CN92" i="1"/>
  <c r="CO92" i="1"/>
  <c r="CP92" i="1"/>
  <c r="CQ92" i="1"/>
  <c r="CR92" i="1"/>
  <c r="CS92" i="1"/>
  <c r="CT92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BV290" i="1"/>
  <c r="BW290" i="1"/>
  <c r="BX290" i="1"/>
  <c r="BY290" i="1"/>
  <c r="BZ290" i="1"/>
  <c r="CA290" i="1"/>
  <c r="CB290" i="1"/>
  <c r="CC290" i="1"/>
  <c r="CD290" i="1"/>
  <c r="CE290" i="1"/>
  <c r="CF290" i="1"/>
  <c r="CG290" i="1"/>
  <c r="CH290" i="1"/>
  <c r="CI290" i="1"/>
  <c r="CJ290" i="1"/>
  <c r="CK290" i="1"/>
  <c r="CL290" i="1"/>
  <c r="CM290" i="1"/>
  <c r="CN290" i="1"/>
  <c r="CO290" i="1"/>
  <c r="CP290" i="1"/>
  <c r="CQ290" i="1"/>
  <c r="CR290" i="1"/>
  <c r="CS290" i="1"/>
  <c r="CT290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BV114" i="1"/>
  <c r="BW114" i="1"/>
  <c r="BX114" i="1"/>
  <c r="BY114" i="1"/>
  <c r="BZ114" i="1"/>
  <c r="CA114" i="1"/>
  <c r="CB114" i="1"/>
  <c r="CC114" i="1"/>
  <c r="CD114" i="1"/>
  <c r="CE114" i="1"/>
  <c r="CF114" i="1"/>
  <c r="CG114" i="1"/>
  <c r="CH114" i="1"/>
  <c r="CI114" i="1"/>
  <c r="CJ114" i="1"/>
  <c r="CK114" i="1"/>
  <c r="CL114" i="1"/>
  <c r="CM114" i="1"/>
  <c r="CN114" i="1"/>
  <c r="CO114" i="1"/>
  <c r="CP114" i="1"/>
  <c r="CQ114" i="1"/>
  <c r="CR114" i="1"/>
  <c r="CS114" i="1"/>
  <c r="CT114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BV113" i="1"/>
  <c r="BW113" i="1"/>
  <c r="BX113" i="1"/>
  <c r="BY113" i="1"/>
  <c r="BZ113" i="1"/>
  <c r="CA113" i="1"/>
  <c r="CB113" i="1"/>
  <c r="CC113" i="1"/>
  <c r="CD113" i="1"/>
  <c r="CE113" i="1"/>
  <c r="CF113" i="1"/>
  <c r="CG113" i="1"/>
  <c r="CH113" i="1"/>
  <c r="CI113" i="1"/>
  <c r="CJ113" i="1"/>
  <c r="CK113" i="1"/>
  <c r="CL113" i="1"/>
  <c r="CM113" i="1"/>
  <c r="CN113" i="1"/>
  <c r="CO113" i="1"/>
  <c r="CP113" i="1"/>
  <c r="CQ113" i="1"/>
  <c r="CR113" i="1"/>
  <c r="CS113" i="1"/>
  <c r="CT113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BV112" i="1"/>
  <c r="BW112" i="1"/>
  <c r="BX112" i="1"/>
  <c r="BY112" i="1"/>
  <c r="BZ112" i="1"/>
  <c r="CA112" i="1"/>
  <c r="CB112" i="1"/>
  <c r="CC112" i="1"/>
  <c r="CD112" i="1"/>
  <c r="CE112" i="1"/>
  <c r="CF112" i="1"/>
  <c r="CG112" i="1"/>
  <c r="CH112" i="1"/>
  <c r="CI112" i="1"/>
  <c r="CJ112" i="1"/>
  <c r="CK112" i="1"/>
  <c r="CL112" i="1"/>
  <c r="CM112" i="1"/>
  <c r="CN112" i="1"/>
  <c r="CO112" i="1"/>
  <c r="CP112" i="1"/>
  <c r="CQ112" i="1"/>
  <c r="CR112" i="1"/>
  <c r="CS112" i="1"/>
  <c r="CT112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BV111" i="1"/>
  <c r="BW111" i="1"/>
  <c r="BX111" i="1"/>
  <c r="BY111" i="1"/>
  <c r="BZ111" i="1"/>
  <c r="CA111" i="1"/>
  <c r="CB111" i="1"/>
  <c r="CC111" i="1"/>
  <c r="CD111" i="1"/>
  <c r="CE111" i="1"/>
  <c r="CF111" i="1"/>
  <c r="CG111" i="1"/>
  <c r="CH111" i="1"/>
  <c r="CI111" i="1"/>
  <c r="CJ111" i="1"/>
  <c r="CK111" i="1"/>
  <c r="CL111" i="1"/>
  <c r="CM111" i="1"/>
  <c r="CN111" i="1"/>
  <c r="CO111" i="1"/>
  <c r="CP111" i="1"/>
  <c r="CQ111" i="1"/>
  <c r="CR111" i="1"/>
  <c r="CS111" i="1"/>
  <c r="CT111" i="1"/>
  <c r="BV110" i="1"/>
  <c r="BW110" i="1"/>
  <c r="BX110" i="1"/>
  <c r="BY110" i="1"/>
  <c r="BZ110" i="1"/>
  <c r="CA110" i="1"/>
  <c r="CB110" i="1"/>
  <c r="CC110" i="1"/>
  <c r="CD110" i="1"/>
  <c r="CE110" i="1"/>
  <c r="CF110" i="1"/>
  <c r="CG110" i="1"/>
  <c r="CH110" i="1"/>
  <c r="CI110" i="1"/>
  <c r="CJ110" i="1"/>
  <c r="CK110" i="1"/>
  <c r="CL110" i="1"/>
  <c r="CM110" i="1"/>
  <c r="CN110" i="1"/>
  <c r="CO110" i="1"/>
  <c r="CP110" i="1"/>
  <c r="CQ110" i="1"/>
  <c r="CR110" i="1"/>
  <c r="CS110" i="1"/>
  <c r="CT110" i="1"/>
  <c r="BV109" i="1"/>
  <c r="BW109" i="1"/>
  <c r="BX109" i="1"/>
  <c r="BY109" i="1"/>
  <c r="BZ109" i="1"/>
  <c r="CA109" i="1"/>
  <c r="CB109" i="1"/>
  <c r="CC109" i="1"/>
  <c r="CD109" i="1"/>
  <c r="CE109" i="1"/>
  <c r="CF109" i="1"/>
  <c r="CG109" i="1"/>
  <c r="CH109" i="1"/>
  <c r="CI109" i="1"/>
  <c r="CJ109" i="1"/>
  <c r="CK109" i="1"/>
  <c r="CL109" i="1"/>
  <c r="CM109" i="1"/>
  <c r="CN109" i="1"/>
  <c r="CO109" i="1"/>
  <c r="CP109" i="1"/>
  <c r="CQ109" i="1"/>
  <c r="CR109" i="1"/>
  <c r="CS109" i="1"/>
  <c r="CT109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BV108" i="1"/>
  <c r="BW108" i="1"/>
  <c r="BX108" i="1"/>
  <c r="BY108" i="1"/>
  <c r="BZ108" i="1"/>
  <c r="CA108" i="1"/>
  <c r="CB108" i="1"/>
  <c r="CC108" i="1"/>
  <c r="CD108" i="1"/>
  <c r="CE108" i="1"/>
  <c r="CF108" i="1"/>
  <c r="CG108" i="1"/>
  <c r="CH108" i="1"/>
  <c r="CI108" i="1"/>
  <c r="CJ108" i="1"/>
  <c r="CK108" i="1"/>
  <c r="CL108" i="1"/>
  <c r="CM108" i="1"/>
  <c r="CN108" i="1"/>
  <c r="CO108" i="1"/>
  <c r="CP108" i="1"/>
  <c r="CQ108" i="1"/>
  <c r="CR108" i="1"/>
  <c r="CS108" i="1"/>
  <c r="CT108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P29" i="1"/>
  <c r="CQ29" i="1"/>
  <c r="CR29" i="1"/>
  <c r="CS29" i="1"/>
  <c r="CT29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P28" i="1"/>
  <c r="CQ28" i="1"/>
  <c r="CR28" i="1"/>
  <c r="CS28" i="1"/>
  <c r="CT28" i="1"/>
  <c r="BV91" i="1"/>
  <c r="BW91" i="1"/>
  <c r="BX91" i="1"/>
  <c r="BY91" i="1"/>
  <c r="BZ91" i="1"/>
  <c r="CA91" i="1"/>
  <c r="CB91" i="1"/>
  <c r="CC91" i="1"/>
  <c r="CD91" i="1"/>
  <c r="CE91" i="1"/>
  <c r="CF91" i="1"/>
  <c r="CG91" i="1"/>
  <c r="CH91" i="1"/>
  <c r="CI91" i="1"/>
  <c r="CJ91" i="1"/>
  <c r="CK91" i="1"/>
  <c r="CL91" i="1"/>
  <c r="CM91" i="1"/>
  <c r="CN91" i="1"/>
  <c r="CO91" i="1"/>
  <c r="CP91" i="1"/>
  <c r="CQ91" i="1"/>
  <c r="CR91" i="1"/>
  <c r="CS91" i="1"/>
  <c r="CT91" i="1"/>
  <c r="BV90" i="1"/>
  <c r="BW90" i="1"/>
  <c r="BX90" i="1"/>
  <c r="BY90" i="1"/>
  <c r="BZ90" i="1"/>
  <c r="CA90" i="1"/>
  <c r="CB90" i="1"/>
  <c r="CC90" i="1"/>
  <c r="CD90" i="1"/>
  <c r="CE90" i="1"/>
  <c r="CF90" i="1"/>
  <c r="CG90" i="1"/>
  <c r="CH90" i="1"/>
  <c r="CI90" i="1"/>
  <c r="CJ90" i="1"/>
  <c r="CK90" i="1"/>
  <c r="CL90" i="1"/>
  <c r="CM90" i="1"/>
  <c r="CN90" i="1"/>
  <c r="CO90" i="1"/>
  <c r="CP90" i="1"/>
  <c r="CQ90" i="1"/>
  <c r="CR90" i="1"/>
  <c r="CS90" i="1"/>
  <c r="CT90" i="1"/>
  <c r="BV89" i="1"/>
  <c r="BW89" i="1"/>
  <c r="BX89" i="1"/>
  <c r="BY89" i="1"/>
  <c r="BZ89" i="1"/>
  <c r="CA89" i="1"/>
  <c r="CB89" i="1"/>
  <c r="CC89" i="1"/>
  <c r="CD89" i="1"/>
  <c r="CE89" i="1"/>
  <c r="CF89" i="1"/>
  <c r="CG89" i="1"/>
  <c r="CH89" i="1"/>
  <c r="CI89" i="1"/>
  <c r="CJ89" i="1"/>
  <c r="CK89" i="1"/>
  <c r="CL89" i="1"/>
  <c r="CM89" i="1"/>
  <c r="CN89" i="1"/>
  <c r="CO89" i="1"/>
  <c r="CP89" i="1"/>
  <c r="CQ89" i="1"/>
  <c r="CR89" i="1"/>
  <c r="CS89" i="1"/>
  <c r="CT89" i="1"/>
  <c r="BV88" i="1"/>
  <c r="BW88" i="1"/>
  <c r="BX88" i="1"/>
  <c r="BY88" i="1"/>
  <c r="BZ88" i="1"/>
  <c r="CA88" i="1"/>
  <c r="CB88" i="1"/>
  <c r="CC88" i="1"/>
  <c r="CD88" i="1"/>
  <c r="CE88" i="1"/>
  <c r="CF88" i="1"/>
  <c r="CG88" i="1"/>
  <c r="CH88" i="1"/>
  <c r="CI88" i="1"/>
  <c r="CJ88" i="1"/>
  <c r="CK88" i="1"/>
  <c r="CL88" i="1"/>
  <c r="CM88" i="1"/>
  <c r="CN88" i="1"/>
  <c r="CO88" i="1"/>
  <c r="CP88" i="1"/>
  <c r="CQ88" i="1"/>
  <c r="CR88" i="1"/>
  <c r="CS88" i="1"/>
  <c r="CT88" i="1"/>
  <c r="BV87" i="1"/>
  <c r="BW87" i="1"/>
  <c r="BX87" i="1"/>
  <c r="BY87" i="1"/>
  <c r="BZ87" i="1"/>
  <c r="CA87" i="1"/>
  <c r="CB87" i="1"/>
  <c r="CC87" i="1"/>
  <c r="CD87" i="1"/>
  <c r="CE87" i="1"/>
  <c r="CF87" i="1"/>
  <c r="CG87" i="1"/>
  <c r="CH87" i="1"/>
  <c r="CI87" i="1"/>
  <c r="CJ87" i="1"/>
  <c r="CK87" i="1"/>
  <c r="CL87" i="1"/>
  <c r="CM87" i="1"/>
  <c r="CN87" i="1"/>
  <c r="CO87" i="1"/>
  <c r="CP87" i="1"/>
  <c r="CQ87" i="1"/>
  <c r="CR87" i="1"/>
  <c r="CS87" i="1"/>
  <c r="CT87" i="1"/>
  <c r="BV86" i="1"/>
  <c r="BW86" i="1"/>
  <c r="BX86" i="1"/>
  <c r="BY86" i="1"/>
  <c r="BZ86" i="1"/>
  <c r="CA86" i="1"/>
  <c r="CB86" i="1"/>
  <c r="CC86" i="1"/>
  <c r="CD86" i="1"/>
  <c r="CE86" i="1"/>
  <c r="CF86" i="1"/>
  <c r="CG86" i="1"/>
  <c r="CH86" i="1"/>
  <c r="CI86" i="1"/>
  <c r="CJ86" i="1"/>
  <c r="CK86" i="1"/>
  <c r="CL86" i="1"/>
  <c r="CM86" i="1"/>
  <c r="CN86" i="1"/>
  <c r="CO86" i="1"/>
  <c r="CP86" i="1"/>
  <c r="CQ86" i="1"/>
  <c r="CR86" i="1"/>
  <c r="CS86" i="1"/>
  <c r="CT86" i="1"/>
  <c r="BV107" i="1"/>
  <c r="BW107" i="1"/>
  <c r="BX107" i="1"/>
  <c r="BY107" i="1"/>
  <c r="BZ107" i="1"/>
  <c r="CA107" i="1"/>
  <c r="CB107" i="1"/>
  <c r="CC107" i="1"/>
  <c r="CD107" i="1"/>
  <c r="CE107" i="1"/>
  <c r="CF107" i="1"/>
  <c r="CG107" i="1"/>
  <c r="CH107" i="1"/>
  <c r="CI107" i="1"/>
  <c r="CJ107" i="1"/>
  <c r="CK107" i="1"/>
  <c r="CL107" i="1"/>
  <c r="CM107" i="1"/>
  <c r="CN107" i="1"/>
  <c r="CO107" i="1"/>
  <c r="CP107" i="1"/>
  <c r="CQ107" i="1"/>
  <c r="CR107" i="1"/>
  <c r="CS107" i="1"/>
  <c r="CT107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T2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BV80" i="1"/>
  <c r="BW80" i="1"/>
  <c r="BX80" i="1"/>
  <c r="BY80" i="1"/>
  <c r="BZ80" i="1"/>
  <c r="CA80" i="1"/>
  <c r="CB80" i="1"/>
  <c r="CC80" i="1"/>
  <c r="CD80" i="1"/>
  <c r="CE80" i="1"/>
  <c r="CF80" i="1"/>
  <c r="CG80" i="1"/>
  <c r="CH80" i="1"/>
  <c r="CI80" i="1"/>
  <c r="CJ80" i="1"/>
  <c r="CK80" i="1"/>
  <c r="CL80" i="1"/>
  <c r="CM80" i="1"/>
  <c r="CN80" i="1"/>
  <c r="CO80" i="1"/>
  <c r="CP80" i="1"/>
  <c r="CQ80" i="1"/>
  <c r="CR80" i="1"/>
  <c r="CS80" i="1"/>
  <c r="CT80" i="1"/>
  <c r="BV83" i="1"/>
  <c r="BW83" i="1"/>
  <c r="BX83" i="1"/>
  <c r="BY83" i="1"/>
  <c r="BZ83" i="1"/>
  <c r="CA83" i="1"/>
  <c r="CB83" i="1"/>
  <c r="CC83" i="1"/>
  <c r="CD83" i="1"/>
  <c r="CE83" i="1"/>
  <c r="CF83" i="1"/>
  <c r="CG83" i="1"/>
  <c r="CH83" i="1"/>
  <c r="CI83" i="1"/>
  <c r="CJ83" i="1"/>
  <c r="CK83" i="1"/>
  <c r="CL83" i="1"/>
  <c r="CM83" i="1"/>
  <c r="CN83" i="1"/>
  <c r="CO83" i="1"/>
  <c r="CP83" i="1"/>
  <c r="CQ83" i="1"/>
  <c r="CR83" i="1"/>
  <c r="CS83" i="1"/>
  <c r="CT83" i="1"/>
  <c r="BV85" i="1"/>
  <c r="BW85" i="1"/>
  <c r="BX85" i="1"/>
  <c r="BY85" i="1"/>
  <c r="BZ85" i="1"/>
  <c r="CA85" i="1"/>
  <c r="CB85" i="1"/>
  <c r="CC85" i="1"/>
  <c r="CD85" i="1"/>
  <c r="CE85" i="1"/>
  <c r="CF85" i="1"/>
  <c r="CG85" i="1"/>
  <c r="CH85" i="1"/>
  <c r="CI85" i="1"/>
  <c r="CJ85" i="1"/>
  <c r="CK85" i="1"/>
  <c r="CL85" i="1"/>
  <c r="CM85" i="1"/>
  <c r="CN85" i="1"/>
  <c r="CO85" i="1"/>
  <c r="CP85" i="1"/>
  <c r="CQ85" i="1"/>
  <c r="CR85" i="1"/>
  <c r="CS85" i="1"/>
  <c r="CT85" i="1"/>
  <c r="BV106" i="1"/>
  <c r="BW106" i="1"/>
  <c r="BX106" i="1"/>
  <c r="BY106" i="1"/>
  <c r="BZ106" i="1"/>
  <c r="CA106" i="1"/>
  <c r="CB106" i="1"/>
  <c r="CC106" i="1"/>
  <c r="CD106" i="1"/>
  <c r="CE106" i="1"/>
  <c r="CF106" i="1"/>
  <c r="CG106" i="1"/>
  <c r="CH106" i="1"/>
  <c r="CI106" i="1"/>
  <c r="CJ106" i="1"/>
  <c r="CK106" i="1"/>
  <c r="CL106" i="1"/>
  <c r="CM106" i="1"/>
  <c r="CN106" i="1"/>
  <c r="CO106" i="1"/>
  <c r="CP106" i="1"/>
  <c r="CQ106" i="1"/>
  <c r="CR106" i="1"/>
  <c r="CS106" i="1"/>
  <c r="CT106" i="1"/>
  <c r="BV124" i="1"/>
  <c r="BW124" i="1"/>
  <c r="BX124" i="1"/>
  <c r="BY124" i="1"/>
  <c r="BZ124" i="1"/>
  <c r="CA124" i="1"/>
  <c r="CB124" i="1"/>
  <c r="CC124" i="1"/>
  <c r="CD124" i="1"/>
  <c r="CE124" i="1"/>
  <c r="CF124" i="1"/>
  <c r="CG124" i="1"/>
  <c r="CH124" i="1"/>
  <c r="CI124" i="1"/>
  <c r="CJ124" i="1"/>
  <c r="CK124" i="1"/>
  <c r="CL124" i="1"/>
  <c r="CM124" i="1"/>
  <c r="CN124" i="1"/>
  <c r="CO124" i="1"/>
  <c r="CP124" i="1"/>
  <c r="CQ124" i="1"/>
  <c r="CR124" i="1"/>
  <c r="CS124" i="1"/>
  <c r="CT12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BV305" i="1"/>
  <c r="BW305" i="1"/>
  <c r="BX305" i="1"/>
  <c r="BY305" i="1"/>
  <c r="BZ305" i="1"/>
  <c r="CA305" i="1"/>
  <c r="CB305" i="1"/>
  <c r="CC305" i="1"/>
  <c r="CD305" i="1"/>
  <c r="CE305" i="1"/>
  <c r="CF305" i="1"/>
  <c r="CG305" i="1"/>
  <c r="CH305" i="1"/>
  <c r="CI305" i="1"/>
  <c r="CJ305" i="1"/>
  <c r="CK305" i="1"/>
  <c r="CL305" i="1"/>
  <c r="CM305" i="1"/>
  <c r="CN305" i="1"/>
  <c r="CO305" i="1"/>
  <c r="CP305" i="1"/>
  <c r="CQ305" i="1"/>
  <c r="CR305" i="1"/>
  <c r="CS305" i="1"/>
  <c r="CT305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BV312" i="1"/>
  <c r="BW312" i="1"/>
  <c r="BX312" i="1"/>
  <c r="BY312" i="1"/>
  <c r="BZ312" i="1"/>
  <c r="CA312" i="1"/>
  <c r="CB312" i="1"/>
  <c r="CC312" i="1"/>
  <c r="CD312" i="1"/>
  <c r="CE312" i="1"/>
  <c r="CF312" i="1"/>
  <c r="CG312" i="1"/>
  <c r="CH312" i="1"/>
  <c r="CI312" i="1"/>
  <c r="CJ312" i="1"/>
  <c r="CK312" i="1"/>
  <c r="CL312" i="1"/>
  <c r="CM312" i="1"/>
  <c r="CN312" i="1"/>
  <c r="CO312" i="1"/>
  <c r="CP312" i="1"/>
  <c r="CQ312" i="1"/>
  <c r="CR312" i="1"/>
  <c r="CS312" i="1"/>
  <c r="CT312" i="1"/>
  <c r="BC175" i="1"/>
  <c r="BC174" i="1"/>
  <c r="BC38" i="1"/>
  <c r="BC99" i="1"/>
  <c r="BC233" i="1"/>
  <c r="BC313" i="1"/>
  <c r="AJ50" i="2"/>
  <c r="AJ46" i="2"/>
  <c r="AJ47" i="2"/>
  <c r="AJ26" i="2"/>
  <c r="AJ12" i="2"/>
  <c r="AJ28" i="2"/>
  <c r="AJ17" i="2"/>
  <c r="AJ16" i="2"/>
  <c r="AJ10" i="2"/>
  <c r="AJ13" i="2"/>
  <c r="AJ11" i="2"/>
  <c r="AJ27" i="2"/>
  <c r="AJ37" i="2"/>
  <c r="AJ38" i="2"/>
  <c r="AJ36" i="2"/>
  <c r="AJ5" i="2"/>
  <c r="AJ7" i="2"/>
  <c r="AJ29" i="2"/>
  <c r="AJ15" i="2"/>
  <c r="AJ8" i="2"/>
  <c r="AJ33" i="2"/>
  <c r="AJ34" i="2"/>
  <c r="AJ32" i="2"/>
  <c r="AJ35" i="2"/>
  <c r="AJ31" i="2"/>
  <c r="AJ43" i="2"/>
  <c r="AJ39" i="2"/>
  <c r="AJ40" i="2"/>
  <c r="AJ30" i="2"/>
  <c r="AJ2" i="2"/>
  <c r="AJ42" i="2"/>
  <c r="AJ24" i="2"/>
  <c r="AJ18" i="2"/>
  <c r="AJ22" i="2"/>
  <c r="AJ25" i="2"/>
  <c r="AJ23" i="2"/>
  <c r="AJ41" i="2"/>
  <c r="AJ52" i="2"/>
  <c r="AJ21" i="2"/>
  <c r="AJ51" i="2"/>
  <c r="AF151" i="4"/>
  <c r="AF128" i="4"/>
  <c r="AF157" i="4"/>
  <c r="AF88" i="4"/>
  <c r="AF287" i="4"/>
  <c r="AF159" i="4"/>
  <c r="AF160" i="4"/>
  <c r="AF97" i="4"/>
  <c r="AF3" i="4"/>
  <c r="AF277" i="4"/>
  <c r="AF265" i="4"/>
  <c r="AF125" i="4"/>
  <c r="AF174" i="4"/>
  <c r="AF169" i="4"/>
  <c r="AF171" i="4"/>
  <c r="AF172" i="4"/>
  <c r="AF298" i="4"/>
  <c r="AF74" i="4"/>
  <c r="AF45" i="4"/>
  <c r="AF170" i="4"/>
  <c r="AF207" i="4"/>
  <c r="AF208" i="4"/>
  <c r="AF136" i="4"/>
  <c r="AF75" i="4"/>
  <c r="AF175" i="4"/>
  <c r="AF173" i="4"/>
  <c r="AF182" i="4"/>
  <c r="AF200" i="4"/>
  <c r="AF201" i="4"/>
  <c r="AF72" i="4"/>
  <c r="AF126" i="4"/>
  <c r="AF217" i="4"/>
  <c r="AF216" i="4"/>
  <c r="AF269" i="4"/>
  <c r="AF270" i="4"/>
  <c r="AF116" i="4"/>
  <c r="AF183" i="4"/>
  <c r="AF85" i="4"/>
  <c r="AF86" i="4"/>
  <c r="AF118" i="4"/>
  <c r="AF117" i="4"/>
  <c r="AF249" i="4"/>
  <c r="AF258" i="4"/>
  <c r="AF235" i="4"/>
  <c r="AF178" i="4"/>
  <c r="AF91" i="4"/>
  <c r="AF96" i="4"/>
  <c r="AF90" i="4"/>
  <c r="AF185" i="4"/>
  <c r="AF184" i="4"/>
  <c r="AF127" i="4"/>
  <c r="AF95" i="4"/>
  <c r="AF155" i="4"/>
  <c r="AF109" i="4"/>
  <c r="AF156" i="4"/>
  <c r="AF49" i="4"/>
  <c r="AF50" i="4"/>
  <c r="AF115" i="4"/>
  <c r="AF47" i="4"/>
  <c r="AF92" i="4"/>
  <c r="AF93" i="4"/>
  <c r="AF26" i="4"/>
  <c r="AF130" i="4"/>
  <c r="AF132" i="4"/>
  <c r="AF133" i="4"/>
  <c r="AF204" i="4"/>
  <c r="AF5" i="4"/>
  <c r="AF6" i="4"/>
  <c r="AF4" i="4"/>
  <c r="AF129" i="4"/>
  <c r="AF253" i="4"/>
  <c r="AF233" i="4"/>
  <c r="AF247" i="4"/>
  <c r="AF120" i="4"/>
  <c r="AF2" i="4"/>
  <c r="AF273" i="4"/>
  <c r="AF295" i="4"/>
  <c r="AF271" i="4"/>
  <c r="AF241" i="4"/>
  <c r="AF244" i="4"/>
  <c r="AF263" i="4"/>
  <c r="AF239" i="4"/>
  <c r="AF14" i="4"/>
  <c r="AF59" i="4"/>
  <c r="AF290" i="4"/>
  <c r="AF291" i="4"/>
  <c r="AF27" i="4"/>
  <c r="AF65" i="4"/>
  <c r="AF274" i="4"/>
  <c r="AF153" i="4"/>
  <c r="AF203" i="4"/>
  <c r="AF98" i="4"/>
  <c r="AF238" i="4"/>
  <c r="AF240" i="4"/>
  <c r="AF142" i="4"/>
  <c r="AF144" i="4"/>
  <c r="AF285" i="4"/>
  <c r="AF138" i="4"/>
  <c r="AF143" i="4"/>
  <c r="AF281" i="4"/>
  <c r="AF256" i="4"/>
  <c r="AF145" i="4"/>
  <c r="AF113" i="4"/>
  <c r="AF213" i="4"/>
  <c r="AF190" i="4"/>
  <c r="AF255" i="4"/>
  <c r="AF28" i="4"/>
  <c r="AF73" i="4"/>
  <c r="AF187" i="4"/>
  <c r="AF210" i="4"/>
  <c r="AF250" i="4"/>
  <c r="AF77" i="4"/>
  <c r="AF25" i="4"/>
  <c r="AF186" i="4"/>
  <c r="AF9" i="4"/>
  <c r="AF278" i="4"/>
  <c r="AF284" i="4"/>
  <c r="AF8" i="4"/>
  <c r="AF296" i="4"/>
  <c r="AF251" i="4"/>
  <c r="AF252" i="4"/>
  <c r="AF279" i="4"/>
  <c r="AF280" i="4"/>
  <c r="AF196" i="4"/>
  <c r="AF218" i="4"/>
  <c r="AF228" i="4"/>
  <c r="AF297" i="4"/>
  <c r="AF294" i="4"/>
  <c r="AF246" i="4"/>
  <c r="AF248" i="4"/>
  <c r="AF194" i="4"/>
  <c r="AF141" i="4"/>
  <c r="AF191" i="4"/>
  <c r="AF230" i="4"/>
  <c r="AF237" i="4"/>
  <c r="AF222" i="4"/>
  <c r="AF231" i="4"/>
  <c r="AF122" i="4"/>
  <c r="AF229" i="4"/>
  <c r="AF261" i="4"/>
  <c r="AF236" i="4"/>
  <c r="AF289" i="4"/>
  <c r="AF223" i="4"/>
  <c r="AF111" i="4"/>
  <c r="AF123" i="4"/>
  <c r="AF124" i="4"/>
  <c r="AF211" i="4"/>
  <c r="AF165" i="4"/>
  <c r="AF166" i="4"/>
  <c r="AF167" i="4"/>
  <c r="AF80" i="4"/>
  <c r="AF52" i="4"/>
  <c r="AF54" i="4"/>
  <c r="AF202" i="4"/>
  <c r="AF193" i="4"/>
  <c r="AF112" i="4"/>
  <c r="AF215" i="4"/>
  <c r="AF53" i="4"/>
  <c r="AF89" i="4"/>
  <c r="AF51" i="4"/>
  <c r="AF55" i="4"/>
  <c r="AF57" i="4"/>
  <c r="AF20" i="4"/>
  <c r="AF101" i="4"/>
  <c r="AF44" i="4"/>
  <c r="AF99" i="4"/>
  <c r="AF70" i="4"/>
  <c r="AF181" i="4"/>
  <c r="AF63" i="4"/>
  <c r="AF61" i="4"/>
  <c r="AF62" i="4"/>
  <c r="AF11" i="4"/>
  <c r="AF38" i="4"/>
  <c r="AF104" i="4"/>
  <c r="AF29" i="4"/>
  <c r="AF58" i="4"/>
  <c r="AF154" i="4"/>
  <c r="AF102" i="4"/>
  <c r="AF15" i="4"/>
  <c r="AF106" i="4"/>
  <c r="AF108" i="4"/>
  <c r="AF37" i="4"/>
  <c r="AF34" i="4"/>
  <c r="AF188" i="4"/>
  <c r="AF24" i="4"/>
  <c r="AF220" i="4"/>
  <c r="AF212" i="4"/>
  <c r="AF195" i="4"/>
  <c r="AF209" i="4"/>
  <c r="AF7" i="4"/>
  <c r="AF179" i="4"/>
  <c r="AF192" i="4"/>
  <c r="AF189" i="4"/>
  <c r="AF69" i="4"/>
  <c r="AF56" i="4"/>
  <c r="AF60" i="4"/>
  <c r="AF131" i="4"/>
  <c r="AF264" i="4"/>
  <c r="AF199" i="4"/>
  <c r="AF219" i="4"/>
  <c r="AF168" i="4"/>
  <c r="AF21" i="4"/>
  <c r="AF43" i="4"/>
  <c r="AF150" i="4"/>
  <c r="AF180" i="4"/>
  <c r="AF121" i="4"/>
  <c r="AF10" i="4"/>
  <c r="AF260" i="4"/>
  <c r="AF13" i="4"/>
  <c r="AF107" i="4"/>
  <c r="AF221" i="4"/>
  <c r="AF254" i="4"/>
  <c r="AF23" i="4"/>
  <c r="AF206" i="4"/>
  <c r="AF71" i="4"/>
  <c r="AF79" i="4"/>
  <c r="AF205" i="4"/>
  <c r="AF31" i="4"/>
  <c r="AF148" i="4"/>
  <c r="AF146" i="4"/>
  <c r="AF147" i="4"/>
  <c r="AF42" i="4"/>
  <c r="AF224" i="4"/>
  <c r="AF225" i="4"/>
  <c r="AF78" i="4"/>
  <c r="AF227" i="4"/>
  <c r="AF18" i="4"/>
  <c r="AF286" i="4"/>
  <c r="AF114" i="4"/>
  <c r="AF293" i="4"/>
  <c r="AF12" i="4"/>
  <c r="AF19" i="4"/>
  <c r="AF162" i="4"/>
  <c r="AF48" i="4"/>
  <c r="AF275" i="4"/>
  <c r="AF149" i="4"/>
  <c r="AF163" i="4"/>
  <c r="AF164" i="4"/>
  <c r="AF161" i="4"/>
  <c r="AF198" i="4"/>
  <c r="AF82" i="4"/>
  <c r="AF83" i="4"/>
  <c r="AF84" i="4"/>
  <c r="AF68" i="4"/>
  <c r="AF87" i="4"/>
  <c r="AF100" i="4"/>
  <c r="AF17" i="4"/>
  <c r="AF242" i="4"/>
  <c r="AF272" i="4"/>
  <c r="AF105" i="4"/>
  <c r="AF64" i="4"/>
  <c r="AF176" i="4"/>
  <c r="AF139" i="4"/>
  <c r="AF140" i="4"/>
  <c r="AF177" i="4"/>
  <c r="AF137" i="4"/>
  <c r="AF16" i="4"/>
  <c r="AF292" i="4"/>
  <c r="AF197" i="4"/>
  <c r="AF234" i="4"/>
  <c r="AF259" i="4"/>
  <c r="AF40" i="4"/>
  <c r="AF39" i="4"/>
  <c r="AF103" i="4"/>
  <c r="AF32" i="4"/>
  <c r="AF33" i="4"/>
  <c r="AF36" i="4"/>
  <c r="AF46" i="4"/>
  <c r="AF35" i="4"/>
  <c r="AF276" i="4"/>
  <c r="AF94" i="4"/>
  <c r="AF119" i="4"/>
  <c r="AF226" i="4"/>
  <c r="AF245" i="4"/>
  <c r="AF266" i="4"/>
  <c r="AF110" i="4"/>
  <c r="AF152" i="4"/>
  <c r="AF158" i="4"/>
  <c r="AF41" i="4"/>
  <c r="AF257" i="4"/>
  <c r="AF30" i="4"/>
  <c r="AF81" i="4"/>
  <c r="AF76" i="4"/>
  <c r="AF22" i="4"/>
  <c r="AF267" i="4"/>
  <c r="AF134" i="4"/>
  <c r="AF135" i="4"/>
  <c r="AF243" i="4"/>
  <c r="AF268" i="4"/>
  <c r="AF66" i="4"/>
  <c r="AF283" i="4"/>
  <c r="AF214" i="4"/>
  <c r="AF303" i="4"/>
  <c r="AF307" i="4"/>
  <c r="AF304" i="4"/>
  <c r="AF305" i="4"/>
  <c r="AF300" i="4"/>
  <c r="AF301" i="4"/>
  <c r="AF299" i="4"/>
  <c r="AF302" i="4"/>
  <c r="AF310" i="4"/>
  <c r="AF311" i="4"/>
  <c r="AF312" i="4"/>
  <c r="AF308" i="4"/>
  <c r="AF314" i="4"/>
  <c r="AF306" i="4"/>
  <c r="AF313" i="4"/>
  <c r="AF341" i="4"/>
  <c r="AF335" i="4"/>
  <c r="AF336" i="4"/>
  <c r="AF333" i="4"/>
  <c r="AF331" i="4"/>
  <c r="AF332" i="4"/>
  <c r="AF318" i="4"/>
  <c r="AF326" i="4"/>
  <c r="AF327" i="4"/>
  <c r="AF328" i="4"/>
  <c r="AF329" i="4"/>
  <c r="AF315" i="4"/>
  <c r="AF334" i="4"/>
  <c r="AF330" i="4"/>
  <c r="AF342" i="4"/>
  <c r="AF323" i="4"/>
  <c r="AF322" i="4"/>
  <c r="AF325" i="4"/>
  <c r="AF317" i="4"/>
  <c r="AF324" i="4"/>
  <c r="AF346" i="4"/>
  <c r="AF338" i="4"/>
  <c r="AF339" i="4"/>
  <c r="AF337" i="4"/>
  <c r="AF316" i="4"/>
  <c r="AF340" i="4"/>
  <c r="AF319" i="4"/>
  <c r="AF320" i="4"/>
  <c r="AF321" i="4"/>
  <c r="AF347" i="4"/>
  <c r="AF345" i="4"/>
  <c r="AF343" i="4"/>
  <c r="AF344" i="4"/>
  <c r="AF361" i="4"/>
  <c r="AF362" i="4"/>
  <c r="AF368" i="4"/>
  <c r="AF363" i="4"/>
  <c r="AF369" i="4"/>
  <c r="AF360" i="4"/>
  <c r="AF357" i="4"/>
  <c r="AF351" i="4"/>
  <c r="AF355" i="4"/>
  <c r="AF350" i="4"/>
  <c r="AF358" i="4"/>
  <c r="AF359" i="4"/>
  <c r="AF364" i="4"/>
  <c r="AF365" i="4"/>
  <c r="AF366" i="4"/>
  <c r="AF367" i="4"/>
  <c r="AF356" i="4"/>
  <c r="AF352" i="4"/>
  <c r="AF353" i="4"/>
  <c r="AF354" i="4"/>
  <c r="AF348" i="4"/>
  <c r="AF349" i="4"/>
  <c r="AF371" i="4"/>
  <c r="AF377" i="4"/>
  <c r="AF378" i="4"/>
  <c r="AF379" i="4"/>
  <c r="AF373" i="4"/>
  <c r="AF370" i="4"/>
  <c r="AF376" i="4"/>
  <c r="AF374" i="4"/>
  <c r="AF375" i="4"/>
  <c r="AF372" i="4"/>
  <c r="AF381" i="4"/>
  <c r="AF386" i="4"/>
  <c r="AF383" i="4"/>
  <c r="AF385" i="4"/>
  <c r="AF382" i="4"/>
  <c r="AF384" i="4"/>
  <c r="AF390" i="4"/>
  <c r="AF395" i="4"/>
  <c r="AF408" i="4"/>
  <c r="AF397" i="4"/>
  <c r="AF398" i="4"/>
  <c r="AF399" i="4"/>
  <c r="AF400" i="4"/>
  <c r="AF403" i="4"/>
  <c r="AF404" i="4"/>
  <c r="AF405" i="4"/>
  <c r="AF407" i="4"/>
  <c r="AF387" i="4"/>
  <c r="AF389" i="4"/>
  <c r="AF396" i="4"/>
  <c r="AF388" i="4"/>
  <c r="AF391" i="4"/>
  <c r="AF392" i="4"/>
  <c r="AF393" i="4"/>
  <c r="AF402" i="4"/>
  <c r="AF394" i="4"/>
  <c r="AF406" i="4"/>
  <c r="AF409" i="4"/>
  <c r="AF410" i="4"/>
  <c r="AF411" i="4"/>
  <c r="AF401" i="4"/>
  <c r="AF288" i="4"/>
  <c r="AE245" i="4"/>
  <c r="BC118" i="5"/>
  <c r="B8" i="3"/>
  <c r="C8" i="3"/>
  <c r="E8" i="3"/>
  <c r="B9" i="3"/>
  <c r="C9" i="3"/>
  <c r="E9" i="3"/>
  <c r="I9" i="3"/>
  <c r="J9" i="3"/>
  <c r="G2" i="2"/>
  <c r="K2" i="2"/>
  <c r="T2" i="2"/>
  <c r="U2" i="2"/>
  <c r="V2" i="2"/>
  <c r="AA2" i="2"/>
  <c r="AD2" i="2"/>
  <c r="AE2" i="2"/>
  <c r="AF2" i="2"/>
  <c r="AG2" i="2"/>
  <c r="AH2" i="2"/>
  <c r="AI2" i="2"/>
  <c r="AK2" i="2"/>
  <c r="AL2" i="2"/>
  <c r="AM2" i="2"/>
  <c r="D67" i="6"/>
  <c r="D206" i="6"/>
  <c r="D90" i="6"/>
  <c r="D91" i="6"/>
  <c r="D98" i="6"/>
  <c r="D100" i="6"/>
  <c r="D107" i="6"/>
  <c r="D109" i="6"/>
  <c r="D117" i="6"/>
  <c r="D123" i="6"/>
  <c r="D124" i="6"/>
  <c r="D125" i="6"/>
  <c r="D160" i="6"/>
  <c r="D165" i="6"/>
  <c r="D141" i="6"/>
  <c r="D168" i="6"/>
  <c r="D126" i="6"/>
  <c r="D144" i="6"/>
  <c r="D57" i="6"/>
  <c r="D14" i="6"/>
  <c r="D127" i="6"/>
  <c r="D244" i="6"/>
  <c r="D79" i="6"/>
  <c r="D113" i="6"/>
  <c r="D154" i="6"/>
  <c r="D145" i="6"/>
  <c r="D218" i="6"/>
  <c r="D201" i="6"/>
  <c r="D219" i="6"/>
  <c r="D128" i="6"/>
  <c r="D203" i="6"/>
  <c r="D148" i="6"/>
  <c r="D149" i="6"/>
  <c r="D150" i="6"/>
  <c r="D281" i="6"/>
  <c r="D228" i="6"/>
  <c r="D229" i="6"/>
  <c r="D230" i="6"/>
  <c r="D297" i="6"/>
  <c r="D159" i="6"/>
  <c r="D103" i="6"/>
  <c r="D224" i="6"/>
  <c r="D212" i="6"/>
  <c r="D214" i="6"/>
  <c r="D200" i="6"/>
  <c r="D234" i="6"/>
  <c r="D153" i="6"/>
  <c r="D178" i="6"/>
  <c r="D171" i="6"/>
  <c r="D172" i="6"/>
  <c r="D216" i="6"/>
  <c r="D259" i="6"/>
  <c r="D207" i="6"/>
  <c r="D208" i="6"/>
  <c r="D260" i="6"/>
  <c r="D236" i="6"/>
  <c r="D220" i="6"/>
  <c r="D202" i="6"/>
  <c r="D204" i="6"/>
  <c r="D226" i="6"/>
  <c r="D280" i="6"/>
  <c r="D44" i="6"/>
  <c r="D209" i="6"/>
  <c r="D72" i="6"/>
  <c r="D21" i="6"/>
  <c r="D23" i="6"/>
  <c r="D87" i="6"/>
  <c r="D64" i="6"/>
  <c r="D88" i="6"/>
  <c r="D65" i="6"/>
  <c r="D66" i="6"/>
  <c r="D68" i="6"/>
  <c r="D69" i="6"/>
  <c r="D89" i="6"/>
  <c r="D85" i="6"/>
  <c r="D92" i="6"/>
  <c r="D93" i="6"/>
  <c r="D95" i="6"/>
  <c r="D232" i="6"/>
  <c r="D71" i="6"/>
  <c r="D99" i="6"/>
  <c r="D101" i="6"/>
  <c r="D115" i="6"/>
  <c r="D116" i="6"/>
  <c r="D166" i="6"/>
  <c r="D167" i="6"/>
  <c r="D196" i="6"/>
  <c r="D143" i="6"/>
  <c r="D198" i="6"/>
  <c r="D77" i="6"/>
  <c r="D275" i="6"/>
  <c r="D215" i="6"/>
  <c r="D263" i="6"/>
  <c r="D177" i="6"/>
  <c r="D245" i="6"/>
  <c r="D146" i="6"/>
  <c r="D147" i="6"/>
  <c r="D221" i="6"/>
  <c r="D222" i="6"/>
  <c r="D223" i="6"/>
  <c r="D225" i="6"/>
  <c r="D205" i="6"/>
  <c r="D83" i="6"/>
  <c r="D173" i="6"/>
  <c r="D174" i="6"/>
  <c r="D184" i="6"/>
  <c r="D185" i="6"/>
  <c r="D86" i="6"/>
  <c r="D70" i="6"/>
  <c r="D106" i="6"/>
  <c r="D96" i="6"/>
  <c r="D97" i="6"/>
  <c r="D108" i="6"/>
  <c r="D110" i="6"/>
  <c r="D111" i="6"/>
  <c r="D112" i="6"/>
  <c r="D261" i="6"/>
  <c r="D237" i="6"/>
  <c r="D238" i="6"/>
  <c r="D279" i="6"/>
  <c r="D157" i="6"/>
  <c r="D84" i="6"/>
  <c r="D158" i="6"/>
  <c r="D183" i="6"/>
  <c r="D175" i="6"/>
  <c r="D211" i="6"/>
  <c r="D134" i="6"/>
  <c r="D59" i="6"/>
  <c r="D217" i="6"/>
  <c r="D179" i="6"/>
  <c r="D155" i="6"/>
  <c r="D251" i="6"/>
  <c r="D278" i="6"/>
  <c r="D181" i="6"/>
  <c r="D39" i="6"/>
  <c r="D104" i="6"/>
  <c r="D31" i="6"/>
  <c r="D197" i="6"/>
  <c r="D24" i="6"/>
  <c r="D38" i="6"/>
  <c r="D25" i="6"/>
  <c r="D118" i="6"/>
  <c r="D120" i="6"/>
  <c r="D26" i="6"/>
  <c r="D32" i="6"/>
  <c r="D190" i="6"/>
  <c r="D33" i="6"/>
  <c r="D186" i="6"/>
  <c r="D189" i="6"/>
  <c r="D192" i="6"/>
  <c r="D195" i="6"/>
  <c r="D257" i="6"/>
  <c r="D267" i="6"/>
  <c r="D35" i="6"/>
  <c r="D289" i="6"/>
  <c r="D269" i="6"/>
  <c r="D270" i="6"/>
  <c r="D63" i="6"/>
  <c r="D60" i="6"/>
  <c r="D61" i="6"/>
  <c r="D15" i="6"/>
  <c r="D36" i="6"/>
  <c r="D130" i="6"/>
  <c r="D271" i="6"/>
  <c r="D13" i="6"/>
  <c r="D235" i="6"/>
  <c r="D161" i="6"/>
  <c r="D274" i="6"/>
  <c r="D255" i="6"/>
  <c r="D256" i="6"/>
  <c r="D227" i="6"/>
  <c r="D151" i="6"/>
  <c r="D268" i="6"/>
  <c r="D122" i="6"/>
  <c r="D182" i="6"/>
  <c r="D133" i="6"/>
  <c r="D262" i="6"/>
  <c r="D27" i="6"/>
  <c r="D28" i="6"/>
  <c r="D29" i="6"/>
  <c r="D30" i="6"/>
  <c r="D282" i="6"/>
  <c r="D283" i="6"/>
  <c r="D74" i="6"/>
  <c r="D284" i="6"/>
  <c r="D75" i="6"/>
  <c r="D76" i="6"/>
  <c r="D135" i="6"/>
  <c r="D285" i="6"/>
  <c r="D119" i="6"/>
  <c r="D78" i="6"/>
  <c r="D136" i="6"/>
  <c r="D137" i="6"/>
  <c r="D138" i="6"/>
  <c r="D243" i="6"/>
  <c r="D286" i="6"/>
  <c r="D287" i="6"/>
  <c r="D34" i="6"/>
  <c r="D152" i="6"/>
  <c r="D156" i="6"/>
  <c r="D163" i="6"/>
  <c r="D169" i="6"/>
  <c r="D170" i="6"/>
  <c r="D180" i="6"/>
  <c r="D231" i="6"/>
  <c r="D290" i="6"/>
  <c r="D291" i="6"/>
  <c r="D292" i="6"/>
  <c r="D293" i="6"/>
  <c r="D294" i="6"/>
  <c r="D295" i="6"/>
  <c r="D276" i="6"/>
  <c r="D252" i="6"/>
  <c r="D129" i="6"/>
  <c r="D273" i="6"/>
  <c r="D254" i="6"/>
  <c r="D277" i="6"/>
  <c r="D239" i="6"/>
  <c r="D247" i="6"/>
  <c r="D248" i="6"/>
  <c r="D164" i="6"/>
  <c r="D258" i="6"/>
  <c r="D12" i="6"/>
  <c r="D213" i="6"/>
  <c r="D253" i="6"/>
  <c r="D2" i="6"/>
  <c r="D3" i="6"/>
  <c r="D4" i="6"/>
  <c r="D5" i="6"/>
  <c r="D6" i="6"/>
  <c r="D47" i="6"/>
  <c r="D7" i="6"/>
  <c r="D48" i="6"/>
  <c r="D9" i="6"/>
  <c r="D49" i="6"/>
  <c r="D50" i="6"/>
  <c r="D10" i="6"/>
  <c r="D114" i="6"/>
  <c r="D11" i="6"/>
  <c r="D51" i="6"/>
  <c r="D52" i="6"/>
  <c r="D62" i="6"/>
  <c r="D53" i="6"/>
  <c r="D94" i="6"/>
  <c r="D233" i="6"/>
  <c r="D105" i="6"/>
  <c r="D54" i="6"/>
  <c r="D55" i="6"/>
  <c r="D56" i="6"/>
  <c r="D131" i="6"/>
  <c r="D296" i="6"/>
  <c r="D210" i="6"/>
  <c r="D46" i="6"/>
  <c r="D199" i="6"/>
  <c r="D58" i="6"/>
  <c r="D250" i="6"/>
  <c r="D81" i="6"/>
  <c r="D264" i="6"/>
  <c r="D162" i="6"/>
  <c r="D288" i="6"/>
  <c r="D82" i="6"/>
  <c r="D187" i="6"/>
  <c r="D191" i="6"/>
  <c r="D265" i="6"/>
  <c r="D266" i="6"/>
  <c r="D16" i="6"/>
  <c r="D18" i="6"/>
  <c r="D19" i="6"/>
  <c r="D20" i="6"/>
  <c r="D102" i="6"/>
  <c r="D8" i="6"/>
  <c r="D142" i="6"/>
  <c r="D176" i="6"/>
  <c r="D73" i="6"/>
  <c r="D272" i="6"/>
  <c r="D240" i="6"/>
  <c r="D241" i="6"/>
  <c r="D242" i="6"/>
  <c r="D246" i="6"/>
  <c r="D249" i="6"/>
  <c r="D188" i="6"/>
  <c r="D193" i="6"/>
  <c r="D194" i="6"/>
  <c r="D17" i="6"/>
  <c r="D132" i="6"/>
  <c r="D121" i="6"/>
  <c r="D80" i="6"/>
  <c r="D37" i="6"/>
  <c r="D40" i="6"/>
  <c r="D41" i="6"/>
  <c r="D42" i="6"/>
  <c r="D45" i="6"/>
  <c r="D43" i="6"/>
  <c r="D304" i="6"/>
  <c r="D305" i="6"/>
  <c r="D306" i="6"/>
  <c r="D307" i="6"/>
  <c r="D300" i="6"/>
  <c r="D301" i="6"/>
  <c r="D302" i="6"/>
  <c r="D313" i="6"/>
  <c r="D299" i="6"/>
  <c r="D303" i="6"/>
  <c r="D312" i="6"/>
  <c r="D308" i="6"/>
  <c r="D309" i="6"/>
  <c r="D310" i="6"/>
  <c r="D311" i="6"/>
  <c r="D327" i="6"/>
  <c r="D328" i="6"/>
  <c r="D329" i="6"/>
  <c r="D315" i="6"/>
  <c r="D316" i="6"/>
  <c r="D317" i="6"/>
  <c r="D320" i="6"/>
  <c r="D325" i="6"/>
  <c r="D347" i="6"/>
  <c r="D326" i="6"/>
  <c r="D330" i="6"/>
  <c r="D342" i="6"/>
  <c r="D343" i="6"/>
  <c r="D318" i="6"/>
  <c r="D319" i="6"/>
  <c r="D321" i="6"/>
  <c r="D322" i="6"/>
  <c r="D323" i="6"/>
  <c r="D324" i="6"/>
  <c r="D331" i="6"/>
  <c r="D332" i="6"/>
  <c r="D333" i="6"/>
  <c r="D334" i="6"/>
  <c r="D335" i="6"/>
  <c r="D336" i="6"/>
  <c r="D337" i="6"/>
  <c r="D338" i="6"/>
  <c r="D339" i="6"/>
  <c r="D340" i="6"/>
  <c r="D341" i="6"/>
  <c r="D346" i="6"/>
  <c r="D344" i="6"/>
  <c r="D345" i="6"/>
  <c r="D350" i="6"/>
  <c r="D352" i="6"/>
  <c r="D354" i="6"/>
  <c r="D357" i="6"/>
  <c r="D361" i="6"/>
  <c r="D355" i="6"/>
  <c r="D358" i="6"/>
  <c r="D360" i="6"/>
  <c r="D351" i="6"/>
  <c r="D365" i="6"/>
  <c r="D366" i="6"/>
  <c r="D348" i="6"/>
  <c r="D362" i="6"/>
  <c r="D349" i="6"/>
  <c r="D367" i="6"/>
  <c r="D353" i="6"/>
  <c r="D356" i="6"/>
  <c r="D363" i="6"/>
  <c r="D364" i="6"/>
  <c r="D368" i="6"/>
  <c r="D369" i="6"/>
  <c r="D359" i="6"/>
  <c r="D375" i="6"/>
  <c r="D378" i="6"/>
  <c r="D370" i="6"/>
  <c r="D371" i="6"/>
  <c r="D372" i="6"/>
  <c r="D373" i="6"/>
  <c r="D374" i="6"/>
  <c r="D376" i="6"/>
  <c r="D377" i="6"/>
  <c r="D379" i="6"/>
  <c r="D380" i="6"/>
  <c r="D383" i="6"/>
  <c r="D382" i="6"/>
  <c r="D386" i="6"/>
  <c r="D385" i="6"/>
  <c r="D384" i="6"/>
  <c r="D391" i="6"/>
  <c r="D392" i="6"/>
  <c r="D393" i="6"/>
  <c r="D394" i="6"/>
  <c r="D398" i="6"/>
  <c r="D399" i="6"/>
  <c r="D400" i="6"/>
  <c r="D401" i="6"/>
  <c r="D397" i="6"/>
  <c r="D387" i="6"/>
  <c r="D389" i="6"/>
  <c r="D403" i="6"/>
  <c r="D402" i="6"/>
  <c r="D395" i="6"/>
  <c r="D396" i="6"/>
  <c r="D405" i="6"/>
  <c r="D410" i="6"/>
  <c r="D388" i="6"/>
  <c r="D409" i="6"/>
  <c r="D411" i="6"/>
  <c r="D404" i="6"/>
  <c r="D407" i="6"/>
  <c r="D390" i="6"/>
  <c r="D406" i="6"/>
  <c r="D408" i="6"/>
  <c r="D22" i="6"/>
  <c r="A171" i="8"/>
  <c r="C171" i="8"/>
  <c r="AZ152" i="1"/>
  <c r="BC152" i="1"/>
  <c r="AZ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BC156" i="1"/>
  <c r="CT156" i="1"/>
  <c r="K35" i="2"/>
  <c r="K176" i="4"/>
  <c r="K34" i="2"/>
  <c r="K32" i="2"/>
  <c r="K139" i="4"/>
  <c r="K33" i="2"/>
  <c r="K8" i="2"/>
  <c r="K16" i="2"/>
  <c r="K140" i="4"/>
  <c r="K31" i="2"/>
  <c r="K177" i="4"/>
  <c r="K137" i="4"/>
  <c r="K47" i="4"/>
  <c r="K115" i="4"/>
  <c r="AL26" i="4"/>
  <c r="AL288" i="4"/>
  <c r="AL130" i="4"/>
  <c r="AL132" i="4"/>
  <c r="AL133" i="4"/>
  <c r="AL204" i="4"/>
  <c r="AL5" i="4"/>
  <c r="AL6" i="4"/>
  <c r="AL129" i="4"/>
  <c r="AL253" i="4"/>
  <c r="AL277" i="4"/>
  <c r="AL128" i="4"/>
  <c r="AL233" i="4"/>
  <c r="AL265" i="4"/>
  <c r="AL247" i="4"/>
  <c r="AL269" i="4"/>
  <c r="AL151" i="4"/>
  <c r="AL120" i="4"/>
  <c r="AL2" i="4"/>
  <c r="AL242" i="4"/>
  <c r="AL273" i="4"/>
  <c r="AL295" i="4"/>
  <c r="AL266" i="4"/>
  <c r="AL271" i="4"/>
  <c r="AL272" i="4"/>
  <c r="AL270" i="4"/>
  <c r="AL241" i="4"/>
  <c r="AL267" i="4"/>
  <c r="AL105" i="4"/>
  <c r="AL268" i="4"/>
  <c r="AL290" i="4"/>
  <c r="AL291" i="4"/>
  <c r="AL116" i="4"/>
  <c r="AL183" i="4"/>
  <c r="AL134" i="4"/>
  <c r="AL27" i="4"/>
  <c r="AL85" i="4"/>
  <c r="AL86" i="4"/>
  <c r="AL115" i="4"/>
  <c r="AL65" i="4"/>
  <c r="AL118" i="4"/>
  <c r="AL274" i="4"/>
  <c r="AL153" i="4"/>
  <c r="AL203" i="4"/>
  <c r="AL98" i="4"/>
  <c r="AL110" i="4"/>
  <c r="AL64" i="4"/>
  <c r="AL238" i="4"/>
  <c r="AL240" i="4"/>
  <c r="AL176" i="4"/>
  <c r="AL139" i="4"/>
  <c r="AL140" i="4"/>
  <c r="AL142" i="4"/>
  <c r="AL144" i="4"/>
  <c r="AL125" i="4"/>
  <c r="AL285" i="4"/>
  <c r="AL135" i="4"/>
  <c r="AL177" i="4"/>
  <c r="AL138" i="4"/>
  <c r="AL143" i="4"/>
  <c r="AL281" i="4"/>
  <c r="AL256" i="4"/>
  <c r="AL145" i="4"/>
  <c r="AL137" i="4"/>
  <c r="AL117" i="4"/>
  <c r="AL113" i="4"/>
  <c r="AL243" i="4"/>
  <c r="AL213" i="4"/>
  <c r="AL190" i="4"/>
  <c r="AL249" i="4"/>
  <c r="AL258" i="4"/>
  <c r="AL255" i="4"/>
  <c r="AL187" i="4"/>
  <c r="AL210" i="4"/>
  <c r="AL250" i="4"/>
  <c r="AL77" i="4"/>
  <c r="AL25" i="4"/>
  <c r="AL186" i="4"/>
  <c r="AL9" i="4"/>
  <c r="AL16" i="4"/>
  <c r="AL278" i="4"/>
  <c r="AL284" i="4"/>
  <c r="AL8" i="4"/>
  <c r="AL296" i="4"/>
  <c r="AL251" i="4"/>
  <c r="AL252" i="4"/>
  <c r="AL279" i="4"/>
  <c r="AL280" i="4"/>
  <c r="AL196" i="4"/>
  <c r="AL218" i="4"/>
  <c r="AL228" i="4"/>
  <c r="AL292" i="4"/>
  <c r="AL297" i="4"/>
  <c r="AL197" i="4"/>
  <c r="AL294" i="4"/>
  <c r="AL246" i="4"/>
  <c r="AL248" i="4"/>
  <c r="AL194" i="4"/>
  <c r="AL141" i="4"/>
  <c r="AL234" i="4"/>
  <c r="AL235" i="4"/>
  <c r="AL191" i="4"/>
  <c r="AL230" i="4"/>
  <c r="AL178" i="4"/>
  <c r="AL237" i="4"/>
  <c r="AL222" i="4"/>
  <c r="AL231" i="4"/>
  <c r="AL122" i="4"/>
  <c r="AL229" i="4"/>
  <c r="AL259" i="4"/>
  <c r="AL261" i="4"/>
  <c r="AL236" i="4"/>
  <c r="AL289" i="4"/>
  <c r="AL223" i="4"/>
  <c r="AL111" i="4"/>
  <c r="AL123" i="4"/>
  <c r="AL91" i="4"/>
  <c r="AL92" i="4"/>
  <c r="AL93" i="4"/>
  <c r="AL96" i="4"/>
  <c r="AL152" i="4"/>
  <c r="AL158" i="4"/>
  <c r="AL124" i="4"/>
  <c r="AL211" i="4"/>
  <c r="AL165" i="4"/>
  <c r="AL166" i="4"/>
  <c r="AL167" i="4"/>
  <c r="AL174" i="4"/>
  <c r="AL80" i="4"/>
  <c r="AL169" i="4"/>
  <c r="AL171" i="4"/>
  <c r="AL172" i="4"/>
  <c r="AL298" i="4"/>
  <c r="AL74" i="4"/>
  <c r="AL45" i="4"/>
  <c r="AL170" i="4"/>
  <c r="AL88" i="4"/>
  <c r="AL90" i="4"/>
  <c r="AL52" i="4"/>
  <c r="AL54" i="4"/>
  <c r="AL202" i="4"/>
  <c r="AL193" i="4"/>
  <c r="AL112" i="4"/>
  <c r="AL207" i="4"/>
  <c r="AL208" i="4"/>
  <c r="AL215" i="4"/>
  <c r="AL283" i="4"/>
  <c r="AL53" i="4"/>
  <c r="AL89" i="4"/>
  <c r="AL51" i="4"/>
  <c r="AL55" i="4"/>
  <c r="AL57" i="4"/>
  <c r="AL20" i="4"/>
  <c r="AL136" i="4"/>
  <c r="AL101" i="4"/>
  <c r="AL44" i="4"/>
  <c r="AL159" i="4"/>
  <c r="AL40" i="4"/>
  <c r="AL99" i="4"/>
  <c r="AL217" i="4"/>
  <c r="AL70" i="4"/>
  <c r="AL185" i="4"/>
  <c r="AL39" i="4"/>
  <c r="AL216" i="4"/>
  <c r="AL181" i="4"/>
  <c r="AL63" i="4"/>
  <c r="AL61" i="4"/>
  <c r="AL62" i="4"/>
  <c r="AL11" i="4"/>
  <c r="AL38" i="4"/>
  <c r="AL75" i="4"/>
  <c r="AL104" i="4"/>
  <c r="AL103" i="4"/>
  <c r="AL29" i="4"/>
  <c r="AL58" i="4"/>
  <c r="AL154" i="4"/>
  <c r="AL102" i="4"/>
  <c r="AL175" i="4"/>
  <c r="AL32" i="4"/>
  <c r="AL15" i="4"/>
  <c r="AL41" i="4"/>
  <c r="AL106" i="4"/>
  <c r="AL33" i="4"/>
  <c r="AL36" i="4"/>
  <c r="AL108" i="4"/>
  <c r="AL46" i="4"/>
  <c r="AL37" i="4"/>
  <c r="AL34" i="4"/>
  <c r="AL276" i="4"/>
  <c r="AL188" i="4"/>
  <c r="AL24" i="4"/>
  <c r="AL220" i="4"/>
  <c r="AL212" i="4"/>
  <c r="AL257" i="4"/>
  <c r="AL195" i="4"/>
  <c r="AL209" i="4"/>
  <c r="AL184" i="4"/>
  <c r="AL7" i="4"/>
  <c r="AL179" i="4"/>
  <c r="AL192" i="4"/>
  <c r="AL189" i="4"/>
  <c r="AL127" i="4"/>
  <c r="AL69" i="4"/>
  <c r="AL56" i="4"/>
  <c r="AL60" i="4"/>
  <c r="AL131" i="4"/>
  <c r="AL264" i="4"/>
  <c r="AL199" i="4"/>
  <c r="AL219" i="4"/>
  <c r="AL168" i="4"/>
  <c r="AL21" i="4"/>
  <c r="AL43" i="4"/>
  <c r="AL150" i="4"/>
  <c r="AL180" i="4"/>
  <c r="AL121" i="4"/>
  <c r="AL10" i="4"/>
  <c r="AL260" i="4"/>
  <c r="AL95" i="4"/>
  <c r="AL160" i="4"/>
  <c r="AL13" i="4"/>
  <c r="AL107" i="4"/>
  <c r="AL23" i="4"/>
  <c r="AL155" i="4"/>
  <c r="AL206" i="4"/>
  <c r="AL182" i="4"/>
  <c r="AL94" i="4"/>
  <c r="AL71" i="4"/>
  <c r="AL79" i="4"/>
  <c r="AL205" i="4"/>
  <c r="AL31" i="4"/>
  <c r="AL148" i="4"/>
  <c r="AL146" i="4"/>
  <c r="AL147" i="4"/>
  <c r="AL119" i="4"/>
  <c r="AL109" i="4"/>
  <c r="AL66" i="4"/>
  <c r="AL200" i="4"/>
  <c r="AL201" i="4"/>
  <c r="AL42" i="4"/>
  <c r="AL157" i="4"/>
  <c r="AL224" i="4"/>
  <c r="AL225" i="4"/>
  <c r="AL226" i="4"/>
  <c r="AL78" i="4"/>
  <c r="AL227" i="4"/>
  <c r="AL72" i="4"/>
  <c r="AL3" i="4"/>
  <c r="AL18" i="4"/>
  <c r="AL286" i="4"/>
  <c r="AL114" i="4"/>
  <c r="AL214" i="4"/>
  <c r="AL293" i="4"/>
  <c r="AL12" i="4"/>
  <c r="AL19" i="4"/>
  <c r="AL76" i="4"/>
  <c r="AL162" i="4"/>
  <c r="AL48" i="4"/>
  <c r="AL275" i="4"/>
  <c r="AL149" i="4"/>
  <c r="AL163" i="4"/>
  <c r="AL164" i="4"/>
  <c r="AL161" i="4"/>
  <c r="AL198" i="4"/>
  <c r="AL82" i="4"/>
  <c r="AL83" i="4"/>
  <c r="AL84" i="4"/>
  <c r="AL68" i="4"/>
  <c r="AL87" i="4"/>
  <c r="AL100" i="4"/>
  <c r="AL49" i="4"/>
  <c r="AL50" i="4"/>
  <c r="AL126" i="4"/>
  <c r="AL22" i="4"/>
  <c r="AL17" i="4"/>
  <c r="AL307" i="4"/>
  <c r="AL306" i="4"/>
  <c r="AL304" i="4"/>
  <c r="AL305" i="4"/>
  <c r="AL300" i="4"/>
  <c r="AL301" i="4"/>
  <c r="AL299" i="4"/>
  <c r="AL302" i="4"/>
  <c r="AL303" i="4"/>
  <c r="AL310" i="4"/>
  <c r="AL311" i="4"/>
  <c r="AL312" i="4"/>
  <c r="AL313" i="4"/>
  <c r="AL308" i="4"/>
  <c r="AL314" i="4"/>
  <c r="AL333" i="4"/>
  <c r="AL331" i="4"/>
  <c r="AL332" i="4"/>
  <c r="AL341" i="4"/>
  <c r="AL318" i="4"/>
  <c r="AL319" i="4"/>
  <c r="AL320" i="4"/>
  <c r="AL321" i="4"/>
  <c r="AL347" i="4"/>
  <c r="AL326" i="4"/>
  <c r="AL327" i="4"/>
  <c r="AL328" i="4"/>
  <c r="AL329" i="4"/>
  <c r="AL315" i="4"/>
  <c r="AL335" i="4"/>
  <c r="AL336" i="4"/>
  <c r="AL342" i="4"/>
  <c r="AL334" i="4"/>
  <c r="AL323" i="4"/>
  <c r="AL322" i="4"/>
  <c r="AL325" i="4"/>
  <c r="AL330" i="4"/>
  <c r="AL317" i="4"/>
  <c r="AL345" i="4"/>
  <c r="AL343" i="4"/>
  <c r="AL344" i="4"/>
  <c r="AL324" i="4"/>
  <c r="AL338" i="4"/>
  <c r="AL339" i="4"/>
  <c r="AL337" i="4"/>
  <c r="AL316" i="4"/>
  <c r="AL340" i="4"/>
  <c r="AL346" i="4"/>
  <c r="AL351" i="4"/>
  <c r="AL350" i="4"/>
  <c r="AL361" i="4"/>
  <c r="AL362" i="4"/>
  <c r="AL348" i="4"/>
  <c r="AL358" i="4"/>
  <c r="AL359" i="4"/>
  <c r="AL364" i="4"/>
  <c r="AL349" i="4"/>
  <c r="AL365" i="4"/>
  <c r="AL366" i="4"/>
  <c r="AL367" i="4"/>
  <c r="AL352" i="4"/>
  <c r="AL353" i="4"/>
  <c r="AL354" i="4"/>
  <c r="AL368" i="4"/>
  <c r="AL363" i="4"/>
  <c r="AL369" i="4"/>
  <c r="AL360" i="4"/>
  <c r="AL355" i="4"/>
  <c r="AL356" i="4"/>
  <c r="AL357" i="4"/>
  <c r="AL371" i="4"/>
  <c r="AL377" i="4"/>
  <c r="AL378" i="4"/>
  <c r="AL379" i="4"/>
  <c r="AL373" i="4"/>
  <c r="AL370" i="4"/>
  <c r="AL376" i="4"/>
  <c r="AL381" i="4"/>
  <c r="AL374" i="4"/>
  <c r="AL375" i="4"/>
  <c r="AL372" i="4"/>
  <c r="AL383" i="4"/>
  <c r="AL385" i="4"/>
  <c r="AL386" i="4"/>
  <c r="AL384" i="4"/>
  <c r="AL382" i="4"/>
  <c r="AL390" i="4"/>
  <c r="AL395" i="4"/>
  <c r="AL408" i="4"/>
  <c r="AL397" i="4"/>
  <c r="AL398" i="4"/>
  <c r="AL399" i="4"/>
  <c r="AL400" i="4"/>
  <c r="AL403" i="4"/>
  <c r="AL404" i="4"/>
  <c r="AL405" i="4"/>
  <c r="AL407" i="4"/>
  <c r="AL387" i="4"/>
  <c r="AL389" i="4"/>
  <c r="AL396" i="4"/>
  <c r="AL388" i="4"/>
  <c r="AL391" i="4"/>
  <c r="AL392" i="4"/>
  <c r="AL393" i="4"/>
  <c r="AL402" i="4"/>
  <c r="AL394" i="4"/>
  <c r="AL406" i="4"/>
  <c r="AL409" i="4"/>
  <c r="AL410" i="4"/>
  <c r="AL411" i="4"/>
  <c r="AL401" i="4"/>
  <c r="AL4" i="4"/>
  <c r="AL244" i="4"/>
  <c r="AL263" i="4"/>
  <c r="AL239" i="4"/>
  <c r="AL14" i="4"/>
  <c r="AL59" i="4"/>
  <c r="AL287" i="4"/>
  <c r="AL28" i="4"/>
  <c r="AL47" i="4"/>
  <c r="AL73" i="4"/>
  <c r="AL221" i="4"/>
  <c r="AL254" i="4"/>
  <c r="AL173" i="4"/>
  <c r="AL30" i="4"/>
  <c r="AL97" i="4"/>
  <c r="AL81" i="4"/>
  <c r="AL156" i="4"/>
  <c r="AL245" i="4"/>
  <c r="F64" i="4"/>
  <c r="F65" i="4"/>
  <c r="E65" i="4"/>
  <c r="E64" i="4"/>
  <c r="M64" i="4"/>
  <c r="T21" i="2"/>
  <c r="U21" i="2"/>
  <c r="AA21" i="2"/>
  <c r="AD21" i="2"/>
  <c r="AE21" i="2"/>
  <c r="AF21" i="2"/>
  <c r="AG21" i="2"/>
  <c r="AH21" i="2"/>
  <c r="AI21" i="2"/>
  <c r="AK21" i="2"/>
  <c r="AL21" i="2"/>
  <c r="AM21" i="2"/>
  <c r="AZ154" i="1"/>
  <c r="BC154" i="1"/>
  <c r="AZ155" i="1"/>
  <c r="BC155" i="1"/>
  <c r="BC232" i="1"/>
  <c r="AZ223" i="1"/>
  <c r="BC223" i="1"/>
  <c r="AZ222" i="1"/>
  <c r="BC222" i="1"/>
  <c r="AZ99" i="1"/>
  <c r="AZ345" i="1"/>
  <c r="BC345" i="1"/>
  <c r="BB345" i="1"/>
  <c r="AZ344" i="1"/>
  <c r="BC344" i="1"/>
  <c r="BB344" i="1"/>
  <c r="AZ205" i="1"/>
  <c r="BC205" i="1"/>
  <c r="AZ204" i="1"/>
  <c r="BC204" i="1"/>
  <c r="AZ43" i="1"/>
  <c r="BC43" i="1"/>
  <c r="AZ42" i="1"/>
  <c r="BC42" i="1"/>
  <c r="AZ41" i="1"/>
  <c r="BC41" i="1"/>
  <c r="AZ40" i="1"/>
  <c r="BC40" i="1"/>
  <c r="BC39" i="1"/>
  <c r="AZ121" i="1"/>
  <c r="BC121" i="1"/>
  <c r="AZ120" i="1"/>
  <c r="BC120" i="1"/>
  <c r="AZ47" i="1"/>
  <c r="BC47" i="1"/>
  <c r="AZ46" i="1"/>
  <c r="BC46" i="1"/>
  <c r="AZ3" i="1"/>
  <c r="AZ4" i="1"/>
  <c r="AZ10" i="1"/>
  <c r="AZ11" i="1"/>
  <c r="AZ12" i="1"/>
  <c r="AZ13" i="1"/>
  <c r="AZ27" i="1"/>
  <c r="AZ28" i="1"/>
  <c r="AZ30" i="1"/>
  <c r="AZ31" i="1"/>
  <c r="AZ32" i="1"/>
  <c r="AZ33" i="1"/>
  <c r="AZ34" i="1"/>
  <c r="AZ35" i="1"/>
  <c r="AZ36" i="1"/>
  <c r="AZ37" i="1"/>
  <c r="AZ38" i="1"/>
  <c r="AZ44" i="1"/>
  <c r="AZ45" i="1"/>
  <c r="AZ69" i="1"/>
  <c r="AZ70" i="1"/>
  <c r="AZ71" i="1"/>
  <c r="AZ72" i="1"/>
  <c r="AZ73" i="1"/>
  <c r="AZ74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106" i="1"/>
  <c r="AZ107" i="1"/>
  <c r="AZ108" i="1"/>
  <c r="AZ109" i="1"/>
  <c r="AZ110" i="1"/>
  <c r="AZ111" i="1"/>
  <c r="AZ112" i="1"/>
  <c r="AZ113" i="1"/>
  <c r="AZ114" i="1"/>
  <c r="AZ116" i="1"/>
  <c r="AZ117" i="1"/>
  <c r="AZ118" i="1"/>
  <c r="AZ119" i="1"/>
  <c r="AZ124" i="1"/>
  <c r="AZ125" i="1"/>
  <c r="AZ126" i="1"/>
  <c r="AZ127" i="1"/>
  <c r="AZ144" i="1"/>
  <c r="AZ145" i="1"/>
  <c r="AZ162" i="1"/>
  <c r="AZ163" i="1"/>
  <c r="AZ164" i="1"/>
  <c r="AZ165" i="1"/>
  <c r="AZ168" i="1"/>
  <c r="AZ169" i="1"/>
  <c r="AZ173" i="1"/>
  <c r="AZ174" i="1"/>
  <c r="AZ175" i="1"/>
  <c r="AZ180" i="1"/>
  <c r="AZ181" i="1"/>
  <c r="AZ185" i="1"/>
  <c r="AZ186" i="1"/>
  <c r="AZ187" i="1"/>
  <c r="AZ188" i="1"/>
  <c r="AZ189" i="1"/>
  <c r="AZ190" i="1"/>
  <c r="AZ201" i="1"/>
  <c r="AZ202" i="1"/>
  <c r="AZ203" i="1"/>
  <c r="AZ207" i="1"/>
  <c r="AZ208" i="1"/>
  <c r="AZ209" i="1"/>
  <c r="AZ210" i="1"/>
  <c r="AZ211" i="1"/>
  <c r="AZ212" i="1"/>
  <c r="AZ213" i="1"/>
  <c r="AZ215" i="1"/>
  <c r="AZ216" i="1"/>
  <c r="AZ217" i="1"/>
  <c r="AZ220" i="1"/>
  <c r="AZ221" i="1"/>
  <c r="AZ224" i="1"/>
  <c r="AZ225" i="1"/>
  <c r="AZ226" i="1"/>
  <c r="AZ246" i="1"/>
  <c r="AZ247" i="1"/>
  <c r="AZ251" i="1"/>
  <c r="AZ252" i="1"/>
  <c r="AZ253" i="1"/>
  <c r="AZ254" i="1"/>
  <c r="AZ255" i="1"/>
  <c r="AZ256" i="1"/>
  <c r="AZ257" i="1"/>
  <c r="AZ260" i="1"/>
  <c r="AZ261" i="1"/>
  <c r="AZ262" i="1"/>
  <c r="AZ263" i="1"/>
  <c r="AZ264" i="1"/>
  <c r="AZ265" i="1"/>
  <c r="AZ266" i="1"/>
  <c r="AZ267" i="1"/>
  <c r="AZ268" i="1"/>
  <c r="AZ289" i="1"/>
  <c r="AZ290" i="1"/>
  <c r="AZ291" i="1"/>
  <c r="AZ292" i="1"/>
  <c r="AZ305" i="1"/>
  <c r="AZ306" i="1"/>
  <c r="AZ307" i="1"/>
  <c r="AZ308" i="1"/>
  <c r="AZ309" i="1"/>
  <c r="AZ310" i="1"/>
  <c r="AZ311" i="1"/>
  <c r="AZ312" i="1"/>
  <c r="AZ313" i="1"/>
  <c r="AZ326" i="1"/>
  <c r="AZ327" i="1"/>
  <c r="AZ328" i="1"/>
  <c r="AZ329" i="1"/>
  <c r="AZ330" i="1"/>
  <c r="AZ331" i="1"/>
  <c r="AZ338" i="1"/>
  <c r="AZ339" i="1"/>
  <c r="AZ340" i="1"/>
  <c r="AZ341" i="1"/>
  <c r="AZ342" i="1"/>
  <c r="AZ343" i="1"/>
  <c r="AZ2" i="1"/>
  <c r="BC45" i="1"/>
  <c r="BC44" i="1"/>
  <c r="BC209" i="1"/>
  <c r="BB343" i="1"/>
  <c r="BC343" i="1"/>
  <c r="BB342" i="1"/>
  <c r="BC342" i="1"/>
  <c r="BB341" i="1"/>
  <c r="BC341" i="1"/>
  <c r="BB340" i="1"/>
  <c r="BC340" i="1"/>
  <c r="BB339" i="1"/>
  <c r="BC339" i="1"/>
  <c r="CT338" i="1"/>
  <c r="CS338" i="1"/>
  <c r="CR338" i="1"/>
  <c r="CQ338" i="1"/>
  <c r="CP338" i="1"/>
  <c r="CO338" i="1"/>
  <c r="CN338" i="1"/>
  <c r="CM338" i="1"/>
  <c r="CL338" i="1"/>
  <c r="CK338" i="1"/>
  <c r="CJ338" i="1"/>
  <c r="CI338" i="1"/>
  <c r="CH338" i="1"/>
  <c r="CG338" i="1"/>
  <c r="CF338" i="1"/>
  <c r="CE338" i="1"/>
  <c r="CD338" i="1"/>
  <c r="CC338" i="1"/>
  <c r="CB338" i="1"/>
  <c r="CA338" i="1"/>
  <c r="BZ338" i="1"/>
  <c r="BY338" i="1"/>
  <c r="BX338" i="1"/>
  <c r="BW338" i="1"/>
  <c r="BV338" i="1"/>
  <c r="BB338" i="1"/>
  <c r="BC338" i="1"/>
  <c r="BC331" i="1"/>
  <c r="BC330" i="1"/>
  <c r="BC329" i="1"/>
  <c r="CT328" i="1"/>
  <c r="CS328" i="1"/>
  <c r="CR328" i="1"/>
  <c r="CQ328" i="1"/>
  <c r="CP328" i="1"/>
  <c r="CO328" i="1"/>
  <c r="CN328" i="1"/>
  <c r="CM328" i="1"/>
  <c r="CL328" i="1"/>
  <c r="CK328" i="1"/>
  <c r="CJ328" i="1"/>
  <c r="CI328" i="1"/>
  <c r="CH328" i="1"/>
  <c r="CG328" i="1"/>
  <c r="CF328" i="1"/>
  <c r="CE328" i="1"/>
  <c r="CD328" i="1"/>
  <c r="CC328" i="1"/>
  <c r="CB328" i="1"/>
  <c r="CA328" i="1"/>
  <c r="BZ328" i="1"/>
  <c r="BY328" i="1"/>
  <c r="BX328" i="1"/>
  <c r="BW328" i="1"/>
  <c r="BV328" i="1"/>
  <c r="BC328" i="1"/>
  <c r="BC327" i="1"/>
  <c r="CT326" i="1"/>
  <c r="CS326" i="1"/>
  <c r="CR326" i="1"/>
  <c r="CQ326" i="1"/>
  <c r="CP326" i="1"/>
  <c r="CO326" i="1"/>
  <c r="CN326" i="1"/>
  <c r="CM326" i="1"/>
  <c r="CL326" i="1"/>
  <c r="CK326" i="1"/>
  <c r="CJ326" i="1"/>
  <c r="CI326" i="1"/>
  <c r="CH326" i="1"/>
  <c r="CG326" i="1"/>
  <c r="CF326" i="1"/>
  <c r="CE326" i="1"/>
  <c r="CD326" i="1"/>
  <c r="CC326" i="1"/>
  <c r="CB326" i="1"/>
  <c r="CA326" i="1"/>
  <c r="BZ326" i="1"/>
  <c r="BY326" i="1"/>
  <c r="BX326" i="1"/>
  <c r="BW326" i="1"/>
  <c r="BV326" i="1"/>
  <c r="BC326" i="1"/>
  <c r="BC312" i="1"/>
  <c r="BC311" i="1"/>
  <c r="CT310" i="1"/>
  <c r="CS310" i="1"/>
  <c r="CR310" i="1"/>
  <c r="CQ310" i="1"/>
  <c r="CP310" i="1"/>
  <c r="CO310" i="1"/>
  <c r="CN310" i="1"/>
  <c r="CM310" i="1"/>
  <c r="CL310" i="1"/>
  <c r="CK310" i="1"/>
  <c r="CJ310" i="1"/>
  <c r="CI310" i="1"/>
  <c r="CH310" i="1"/>
  <c r="CG310" i="1"/>
  <c r="CF310" i="1"/>
  <c r="CE310" i="1"/>
  <c r="CD310" i="1"/>
  <c r="CC310" i="1"/>
  <c r="CB310" i="1"/>
  <c r="CA310" i="1"/>
  <c r="BZ310" i="1"/>
  <c r="BY310" i="1"/>
  <c r="BX310" i="1"/>
  <c r="BW310" i="1"/>
  <c r="BV310" i="1"/>
  <c r="BC310" i="1"/>
  <c r="CT309" i="1"/>
  <c r="CS309" i="1"/>
  <c r="CR309" i="1"/>
  <c r="CQ309" i="1"/>
  <c r="CP309" i="1"/>
  <c r="CO309" i="1"/>
  <c r="CN309" i="1"/>
  <c r="CM309" i="1"/>
  <c r="CL309" i="1"/>
  <c r="CK309" i="1"/>
  <c r="CJ309" i="1"/>
  <c r="CI309" i="1"/>
  <c r="CH309" i="1"/>
  <c r="CG309" i="1"/>
  <c r="CF309" i="1"/>
  <c r="CE309" i="1"/>
  <c r="CD309" i="1"/>
  <c r="CC309" i="1"/>
  <c r="CB309" i="1"/>
  <c r="CA309" i="1"/>
  <c r="BZ309" i="1"/>
  <c r="BY309" i="1"/>
  <c r="BX309" i="1"/>
  <c r="BW309" i="1"/>
  <c r="BV309" i="1"/>
  <c r="BC309" i="1"/>
  <c r="BC308" i="1"/>
  <c r="CT307" i="1"/>
  <c r="CS307" i="1"/>
  <c r="CR307" i="1"/>
  <c r="CQ307" i="1"/>
  <c r="CP307" i="1"/>
  <c r="CO307" i="1"/>
  <c r="CN307" i="1"/>
  <c r="CM307" i="1"/>
  <c r="CL307" i="1"/>
  <c r="CK307" i="1"/>
  <c r="CJ307" i="1"/>
  <c r="CI307" i="1"/>
  <c r="CH307" i="1"/>
  <c r="CG307" i="1"/>
  <c r="CF307" i="1"/>
  <c r="CE307" i="1"/>
  <c r="CD307" i="1"/>
  <c r="CC307" i="1"/>
  <c r="CB307" i="1"/>
  <c r="CA307" i="1"/>
  <c r="BZ307" i="1"/>
  <c r="BY307" i="1"/>
  <c r="BX307" i="1"/>
  <c r="BW307" i="1"/>
  <c r="BV307" i="1"/>
  <c r="BC307" i="1"/>
  <c r="BC306" i="1"/>
  <c r="BC305" i="1"/>
  <c r="BB292" i="1"/>
  <c r="BC292" i="1"/>
  <c r="CT291" i="1"/>
  <c r="CS291" i="1"/>
  <c r="CR291" i="1"/>
  <c r="CQ291" i="1"/>
  <c r="CP291" i="1"/>
  <c r="CO291" i="1"/>
  <c r="CN291" i="1"/>
  <c r="CM291" i="1"/>
  <c r="CL291" i="1"/>
  <c r="CK291" i="1"/>
  <c r="CJ291" i="1"/>
  <c r="CI291" i="1"/>
  <c r="CH291" i="1"/>
  <c r="CG291" i="1"/>
  <c r="CF291" i="1"/>
  <c r="CE291" i="1"/>
  <c r="CD291" i="1"/>
  <c r="CC291" i="1"/>
  <c r="CB291" i="1"/>
  <c r="CA291" i="1"/>
  <c r="BZ291" i="1"/>
  <c r="BY291" i="1"/>
  <c r="BX291" i="1"/>
  <c r="BW291" i="1"/>
  <c r="BV291" i="1"/>
  <c r="BB291" i="1"/>
  <c r="BC291" i="1"/>
  <c r="BB290" i="1"/>
  <c r="BC290" i="1"/>
  <c r="CT289" i="1"/>
  <c r="CS289" i="1"/>
  <c r="CR289" i="1"/>
  <c r="CQ289" i="1"/>
  <c r="CP289" i="1"/>
  <c r="CO289" i="1"/>
  <c r="CN289" i="1"/>
  <c r="CM289" i="1"/>
  <c r="CL289" i="1"/>
  <c r="CK289" i="1"/>
  <c r="CJ289" i="1"/>
  <c r="CI289" i="1"/>
  <c r="CH289" i="1"/>
  <c r="CG289" i="1"/>
  <c r="CF289" i="1"/>
  <c r="CE289" i="1"/>
  <c r="CD289" i="1"/>
  <c r="CC289" i="1"/>
  <c r="CB289" i="1"/>
  <c r="CA289" i="1"/>
  <c r="BZ289" i="1"/>
  <c r="BY289" i="1"/>
  <c r="BX289" i="1"/>
  <c r="BW289" i="1"/>
  <c r="BV289" i="1"/>
  <c r="BB289" i="1"/>
  <c r="BC289" i="1"/>
  <c r="BB268" i="1"/>
  <c r="BC268" i="1"/>
  <c r="CT267" i="1"/>
  <c r="CS267" i="1"/>
  <c r="CR267" i="1"/>
  <c r="CQ267" i="1"/>
  <c r="CP267" i="1"/>
  <c r="CO267" i="1"/>
  <c r="CN267" i="1"/>
  <c r="CM267" i="1"/>
  <c r="CL267" i="1"/>
  <c r="CK267" i="1"/>
  <c r="CJ267" i="1"/>
  <c r="CI267" i="1"/>
  <c r="CH267" i="1"/>
  <c r="CG267" i="1"/>
  <c r="CF267" i="1"/>
  <c r="CE267" i="1"/>
  <c r="CD267" i="1"/>
  <c r="CC267" i="1"/>
  <c r="CB267" i="1"/>
  <c r="CA267" i="1"/>
  <c r="BZ267" i="1"/>
  <c r="BY267" i="1"/>
  <c r="BX267" i="1"/>
  <c r="BW267" i="1"/>
  <c r="BV267" i="1"/>
  <c r="BB267" i="1"/>
  <c r="BC267" i="1"/>
  <c r="BB266" i="1"/>
  <c r="BC266" i="1"/>
  <c r="BB265" i="1"/>
  <c r="BC265" i="1"/>
  <c r="BB264" i="1"/>
  <c r="BC264" i="1"/>
  <c r="CT263" i="1"/>
  <c r="CS263" i="1"/>
  <c r="CR263" i="1"/>
  <c r="CQ263" i="1"/>
  <c r="CP263" i="1"/>
  <c r="CO263" i="1"/>
  <c r="CN263" i="1"/>
  <c r="CM263" i="1"/>
  <c r="CL263" i="1"/>
  <c r="CK263" i="1"/>
  <c r="CJ263" i="1"/>
  <c r="CI263" i="1"/>
  <c r="CH263" i="1"/>
  <c r="CG263" i="1"/>
  <c r="CF263" i="1"/>
  <c r="CE263" i="1"/>
  <c r="CD263" i="1"/>
  <c r="CC263" i="1"/>
  <c r="CB263" i="1"/>
  <c r="CA263" i="1"/>
  <c r="BZ263" i="1"/>
  <c r="BY263" i="1"/>
  <c r="BX263" i="1"/>
  <c r="BW263" i="1"/>
  <c r="BV263" i="1"/>
  <c r="BB263" i="1"/>
  <c r="BC263" i="1"/>
  <c r="BB262" i="1"/>
  <c r="BC262" i="1"/>
  <c r="BB261" i="1"/>
  <c r="BC261" i="1"/>
  <c r="CT260" i="1"/>
  <c r="CS260" i="1"/>
  <c r="CR260" i="1"/>
  <c r="CQ260" i="1"/>
  <c r="CP260" i="1"/>
  <c r="CO260" i="1"/>
  <c r="CN260" i="1"/>
  <c r="CM260" i="1"/>
  <c r="CL260" i="1"/>
  <c r="CK260" i="1"/>
  <c r="CJ260" i="1"/>
  <c r="CI260" i="1"/>
  <c r="CH260" i="1"/>
  <c r="CG260" i="1"/>
  <c r="CF260" i="1"/>
  <c r="CE260" i="1"/>
  <c r="CD260" i="1"/>
  <c r="CC260" i="1"/>
  <c r="CB260" i="1"/>
  <c r="CA260" i="1"/>
  <c r="BZ260" i="1"/>
  <c r="BY260" i="1"/>
  <c r="BX260" i="1"/>
  <c r="BW260" i="1"/>
  <c r="BV260" i="1"/>
  <c r="BB260" i="1"/>
  <c r="BC260" i="1"/>
  <c r="BB257" i="1"/>
  <c r="BC257" i="1"/>
  <c r="CT256" i="1"/>
  <c r="CS256" i="1"/>
  <c r="CR256" i="1"/>
  <c r="CQ256" i="1"/>
  <c r="CP256" i="1"/>
  <c r="CO256" i="1"/>
  <c r="CN256" i="1"/>
  <c r="CM256" i="1"/>
  <c r="CL256" i="1"/>
  <c r="CK256" i="1"/>
  <c r="CJ256" i="1"/>
  <c r="CI256" i="1"/>
  <c r="CH256" i="1"/>
  <c r="CG256" i="1"/>
  <c r="CF256" i="1"/>
  <c r="CE256" i="1"/>
  <c r="CD256" i="1"/>
  <c r="CC256" i="1"/>
  <c r="CB256" i="1"/>
  <c r="CA256" i="1"/>
  <c r="BZ256" i="1"/>
  <c r="BY256" i="1"/>
  <c r="BX256" i="1"/>
  <c r="BW256" i="1"/>
  <c r="BV256" i="1"/>
  <c r="BB256" i="1"/>
  <c r="BC256" i="1"/>
  <c r="BB255" i="1"/>
  <c r="BC255" i="1"/>
  <c r="BB254" i="1"/>
  <c r="BC254" i="1"/>
  <c r="CT253" i="1"/>
  <c r="CS253" i="1"/>
  <c r="CR253" i="1"/>
  <c r="CQ253" i="1"/>
  <c r="CP253" i="1"/>
  <c r="CO253" i="1"/>
  <c r="CN253" i="1"/>
  <c r="CM253" i="1"/>
  <c r="CL253" i="1"/>
  <c r="CK253" i="1"/>
  <c r="CJ253" i="1"/>
  <c r="CI253" i="1"/>
  <c r="CH253" i="1"/>
  <c r="CG253" i="1"/>
  <c r="CF253" i="1"/>
  <c r="CE253" i="1"/>
  <c r="CD253" i="1"/>
  <c r="CC253" i="1"/>
  <c r="CB253" i="1"/>
  <c r="CA253" i="1"/>
  <c r="BZ253" i="1"/>
  <c r="BY253" i="1"/>
  <c r="BX253" i="1"/>
  <c r="BW253" i="1"/>
  <c r="BV253" i="1"/>
  <c r="BB253" i="1"/>
  <c r="BC253" i="1"/>
  <c r="BB252" i="1"/>
  <c r="BC252" i="1"/>
  <c r="CT251" i="1"/>
  <c r="CS251" i="1"/>
  <c r="CR251" i="1"/>
  <c r="CQ251" i="1"/>
  <c r="CP251" i="1"/>
  <c r="CO251" i="1"/>
  <c r="CN251" i="1"/>
  <c r="CM251" i="1"/>
  <c r="CL251" i="1"/>
  <c r="CK251" i="1"/>
  <c r="CJ251" i="1"/>
  <c r="CI251" i="1"/>
  <c r="CH251" i="1"/>
  <c r="CG251" i="1"/>
  <c r="CF251" i="1"/>
  <c r="CE251" i="1"/>
  <c r="CD251" i="1"/>
  <c r="CC251" i="1"/>
  <c r="CB251" i="1"/>
  <c r="CA251" i="1"/>
  <c r="BZ251" i="1"/>
  <c r="BY251" i="1"/>
  <c r="BX251" i="1"/>
  <c r="BW251" i="1"/>
  <c r="BV251" i="1"/>
  <c r="BB251" i="1"/>
  <c r="BC251" i="1"/>
  <c r="BB247" i="1"/>
  <c r="BC247" i="1"/>
  <c r="CT246" i="1"/>
  <c r="CS246" i="1"/>
  <c r="CR246" i="1"/>
  <c r="CQ246" i="1"/>
  <c r="CP246" i="1"/>
  <c r="CO246" i="1"/>
  <c r="CN246" i="1"/>
  <c r="CM246" i="1"/>
  <c r="CL246" i="1"/>
  <c r="CK246" i="1"/>
  <c r="CJ246" i="1"/>
  <c r="CI246" i="1"/>
  <c r="CH246" i="1"/>
  <c r="CG246" i="1"/>
  <c r="CF246" i="1"/>
  <c r="CE246" i="1"/>
  <c r="CD246" i="1"/>
  <c r="CC246" i="1"/>
  <c r="CB246" i="1"/>
  <c r="CA246" i="1"/>
  <c r="BZ246" i="1"/>
  <c r="BY246" i="1"/>
  <c r="BX246" i="1"/>
  <c r="BW246" i="1"/>
  <c r="BV246" i="1"/>
  <c r="BC246" i="1"/>
  <c r="BC231" i="1"/>
  <c r="BC229" i="1"/>
  <c r="BC228" i="1"/>
  <c r="BC226" i="1"/>
  <c r="BC225" i="1"/>
  <c r="CT224" i="1"/>
  <c r="CS224" i="1"/>
  <c r="CR224" i="1"/>
  <c r="CQ224" i="1"/>
  <c r="CP224" i="1"/>
  <c r="CO224" i="1"/>
  <c r="CN224" i="1"/>
  <c r="CM224" i="1"/>
  <c r="CL224" i="1"/>
  <c r="CK224" i="1"/>
  <c r="CJ224" i="1"/>
  <c r="CI224" i="1"/>
  <c r="CH224" i="1"/>
  <c r="CG224" i="1"/>
  <c r="CF224" i="1"/>
  <c r="CE224" i="1"/>
  <c r="CD224" i="1"/>
  <c r="CC224" i="1"/>
  <c r="CB224" i="1"/>
  <c r="CA224" i="1"/>
  <c r="BZ224" i="1"/>
  <c r="BY224" i="1"/>
  <c r="BX224" i="1"/>
  <c r="BW224" i="1"/>
  <c r="BV224" i="1"/>
  <c r="BC224" i="1"/>
  <c r="BC221" i="1"/>
  <c r="CT220" i="1"/>
  <c r="CS220" i="1"/>
  <c r="CR220" i="1"/>
  <c r="CQ220" i="1"/>
  <c r="CP220" i="1"/>
  <c r="CO220" i="1"/>
  <c r="CN220" i="1"/>
  <c r="CM220" i="1"/>
  <c r="CL220" i="1"/>
  <c r="CK220" i="1"/>
  <c r="CJ220" i="1"/>
  <c r="CI220" i="1"/>
  <c r="CH220" i="1"/>
  <c r="CG220" i="1"/>
  <c r="CF220" i="1"/>
  <c r="CE220" i="1"/>
  <c r="CD220" i="1"/>
  <c r="CC220" i="1"/>
  <c r="CB220" i="1"/>
  <c r="CA220" i="1"/>
  <c r="BZ220" i="1"/>
  <c r="BY220" i="1"/>
  <c r="BX220" i="1"/>
  <c r="BW220" i="1"/>
  <c r="BV220" i="1"/>
  <c r="BC220" i="1"/>
  <c r="BC217" i="1"/>
  <c r="BC216" i="1"/>
  <c r="CT215" i="1"/>
  <c r="CS215" i="1"/>
  <c r="CR215" i="1"/>
  <c r="CQ215" i="1"/>
  <c r="CP215" i="1"/>
  <c r="CO215" i="1"/>
  <c r="CN215" i="1"/>
  <c r="CM215" i="1"/>
  <c r="CL215" i="1"/>
  <c r="CK215" i="1"/>
  <c r="CJ215" i="1"/>
  <c r="CI215" i="1"/>
  <c r="CH215" i="1"/>
  <c r="CG215" i="1"/>
  <c r="CF215" i="1"/>
  <c r="CE215" i="1"/>
  <c r="CD215" i="1"/>
  <c r="CC215" i="1"/>
  <c r="CB215" i="1"/>
  <c r="CA215" i="1"/>
  <c r="BZ215" i="1"/>
  <c r="BY215" i="1"/>
  <c r="BX215" i="1"/>
  <c r="BW215" i="1"/>
  <c r="BV215" i="1"/>
  <c r="BC215" i="1"/>
  <c r="BC213" i="1"/>
  <c r="CT212" i="1"/>
  <c r="CS212" i="1"/>
  <c r="CR212" i="1"/>
  <c r="CQ212" i="1"/>
  <c r="CP212" i="1"/>
  <c r="CO212" i="1"/>
  <c r="CN212" i="1"/>
  <c r="CM212" i="1"/>
  <c r="CL212" i="1"/>
  <c r="CK212" i="1"/>
  <c r="CJ212" i="1"/>
  <c r="CI212" i="1"/>
  <c r="CH212" i="1"/>
  <c r="CG212" i="1"/>
  <c r="CF212" i="1"/>
  <c r="CE212" i="1"/>
  <c r="CD212" i="1"/>
  <c r="CC212" i="1"/>
  <c r="CB212" i="1"/>
  <c r="CA212" i="1"/>
  <c r="BZ212" i="1"/>
  <c r="BY212" i="1"/>
  <c r="BX212" i="1"/>
  <c r="BW212" i="1"/>
  <c r="BV212" i="1"/>
  <c r="BC212" i="1"/>
  <c r="BC211" i="1"/>
  <c r="CT210" i="1"/>
  <c r="CS210" i="1"/>
  <c r="CR210" i="1"/>
  <c r="CQ210" i="1"/>
  <c r="CP210" i="1"/>
  <c r="CO210" i="1"/>
  <c r="CN210" i="1"/>
  <c r="CM210" i="1"/>
  <c r="CL210" i="1"/>
  <c r="CK210" i="1"/>
  <c r="CJ210" i="1"/>
  <c r="CI210" i="1"/>
  <c r="CH210" i="1"/>
  <c r="CG210" i="1"/>
  <c r="CF210" i="1"/>
  <c r="CE210" i="1"/>
  <c r="CD210" i="1"/>
  <c r="CC210" i="1"/>
  <c r="CB210" i="1"/>
  <c r="CA210" i="1"/>
  <c r="BZ210" i="1"/>
  <c r="BY210" i="1"/>
  <c r="BX210" i="1"/>
  <c r="BW210" i="1"/>
  <c r="BV210" i="1"/>
  <c r="BC210" i="1"/>
  <c r="BC208" i="1"/>
  <c r="CT207" i="1"/>
  <c r="CS207" i="1"/>
  <c r="CR207" i="1"/>
  <c r="CQ207" i="1"/>
  <c r="CP207" i="1"/>
  <c r="CO207" i="1"/>
  <c r="CN207" i="1"/>
  <c r="CM207" i="1"/>
  <c r="CL207" i="1"/>
  <c r="CK207" i="1"/>
  <c r="CJ207" i="1"/>
  <c r="CI207" i="1"/>
  <c r="CH207" i="1"/>
  <c r="CG207" i="1"/>
  <c r="CF207" i="1"/>
  <c r="CE207" i="1"/>
  <c r="CD207" i="1"/>
  <c r="CC207" i="1"/>
  <c r="CB207" i="1"/>
  <c r="CA207" i="1"/>
  <c r="BZ207" i="1"/>
  <c r="BY207" i="1"/>
  <c r="BX207" i="1"/>
  <c r="BW207" i="1"/>
  <c r="BV207" i="1"/>
  <c r="BC207" i="1"/>
  <c r="BC203" i="1"/>
  <c r="BC202" i="1"/>
  <c r="CT201" i="1"/>
  <c r="CS201" i="1"/>
  <c r="CR201" i="1"/>
  <c r="CQ201" i="1"/>
  <c r="CP201" i="1"/>
  <c r="CO201" i="1"/>
  <c r="CN201" i="1"/>
  <c r="CM201" i="1"/>
  <c r="CL201" i="1"/>
  <c r="CK201" i="1"/>
  <c r="CJ201" i="1"/>
  <c r="CI201" i="1"/>
  <c r="CH201" i="1"/>
  <c r="CG201" i="1"/>
  <c r="CF201" i="1"/>
  <c r="CE201" i="1"/>
  <c r="CD201" i="1"/>
  <c r="CC201" i="1"/>
  <c r="CB201" i="1"/>
  <c r="CA201" i="1"/>
  <c r="BZ201" i="1"/>
  <c r="BY201" i="1"/>
  <c r="BX201" i="1"/>
  <c r="BW201" i="1"/>
  <c r="BV201" i="1"/>
  <c r="BC201" i="1"/>
  <c r="BC190" i="1"/>
  <c r="BC189" i="1"/>
  <c r="BC188" i="1"/>
  <c r="CT187" i="1"/>
  <c r="CS187" i="1"/>
  <c r="CR187" i="1"/>
  <c r="CQ187" i="1"/>
  <c r="CP187" i="1"/>
  <c r="CO187" i="1"/>
  <c r="CN187" i="1"/>
  <c r="CM187" i="1"/>
  <c r="CL187" i="1"/>
  <c r="CK187" i="1"/>
  <c r="CJ187" i="1"/>
  <c r="CI187" i="1"/>
  <c r="CH187" i="1"/>
  <c r="CG187" i="1"/>
  <c r="CF187" i="1"/>
  <c r="CE187" i="1"/>
  <c r="CD187" i="1"/>
  <c r="CC187" i="1"/>
  <c r="CB187" i="1"/>
  <c r="CA187" i="1"/>
  <c r="BZ187" i="1"/>
  <c r="BY187" i="1"/>
  <c r="BX187" i="1"/>
  <c r="BW187" i="1"/>
  <c r="BV187" i="1"/>
  <c r="BC187" i="1"/>
  <c r="BC186" i="1"/>
  <c r="CT185" i="1"/>
  <c r="CS185" i="1"/>
  <c r="CR185" i="1"/>
  <c r="CQ185" i="1"/>
  <c r="CP185" i="1"/>
  <c r="CO185" i="1"/>
  <c r="CN185" i="1"/>
  <c r="CM185" i="1"/>
  <c r="CL185" i="1"/>
  <c r="CK185" i="1"/>
  <c r="CJ185" i="1"/>
  <c r="CI185" i="1"/>
  <c r="CH185" i="1"/>
  <c r="CG185" i="1"/>
  <c r="CF185" i="1"/>
  <c r="CE185" i="1"/>
  <c r="CD185" i="1"/>
  <c r="CC185" i="1"/>
  <c r="CB185" i="1"/>
  <c r="CA185" i="1"/>
  <c r="BZ185" i="1"/>
  <c r="BY185" i="1"/>
  <c r="BX185" i="1"/>
  <c r="BW185" i="1"/>
  <c r="BV185" i="1"/>
  <c r="BC185" i="1"/>
  <c r="BC181" i="1"/>
  <c r="CT180" i="1"/>
  <c r="CS180" i="1"/>
  <c r="CR180" i="1"/>
  <c r="CQ180" i="1"/>
  <c r="CP180" i="1"/>
  <c r="CO180" i="1"/>
  <c r="CN180" i="1"/>
  <c r="CM180" i="1"/>
  <c r="CL180" i="1"/>
  <c r="CK180" i="1"/>
  <c r="CJ180" i="1"/>
  <c r="CI180" i="1"/>
  <c r="CH180" i="1"/>
  <c r="CG180" i="1"/>
  <c r="CF180" i="1"/>
  <c r="CE180" i="1"/>
  <c r="CD180" i="1"/>
  <c r="CC180" i="1"/>
  <c r="CB180" i="1"/>
  <c r="CA180" i="1"/>
  <c r="BZ180" i="1"/>
  <c r="BY180" i="1"/>
  <c r="BX180" i="1"/>
  <c r="BW180" i="1"/>
  <c r="BV180" i="1"/>
  <c r="BC180" i="1"/>
  <c r="BC169" i="1"/>
  <c r="BC168" i="1"/>
  <c r="BC165" i="1"/>
  <c r="BC164" i="1"/>
  <c r="BC163" i="1"/>
  <c r="BC162" i="1"/>
  <c r="BC145" i="1"/>
  <c r="BC144" i="1"/>
  <c r="BC127" i="1"/>
  <c r="CT126" i="1"/>
  <c r="CS126" i="1"/>
  <c r="CR126" i="1"/>
  <c r="CQ126" i="1"/>
  <c r="CP126" i="1"/>
  <c r="CO126" i="1"/>
  <c r="CN126" i="1"/>
  <c r="CM126" i="1"/>
  <c r="CL126" i="1"/>
  <c r="CK126" i="1"/>
  <c r="CJ126" i="1"/>
  <c r="CI126" i="1"/>
  <c r="CH126" i="1"/>
  <c r="CG126" i="1"/>
  <c r="CF126" i="1"/>
  <c r="CE126" i="1"/>
  <c r="CD126" i="1"/>
  <c r="CC126" i="1"/>
  <c r="CB126" i="1"/>
  <c r="CA126" i="1"/>
  <c r="BZ126" i="1"/>
  <c r="BY126" i="1"/>
  <c r="BX126" i="1"/>
  <c r="BW126" i="1"/>
  <c r="BV126" i="1"/>
  <c r="BC126" i="1"/>
  <c r="BC125" i="1"/>
  <c r="BC124" i="1"/>
  <c r="BC119" i="1"/>
  <c r="BC118" i="1"/>
  <c r="BC117" i="1"/>
  <c r="BC116" i="1"/>
  <c r="BC114" i="1"/>
  <c r="BC113" i="1"/>
  <c r="BC112" i="1"/>
  <c r="BC111" i="1"/>
  <c r="BC110" i="1"/>
  <c r="BC109" i="1"/>
  <c r="BC108" i="1"/>
  <c r="BC107" i="1"/>
  <c r="BC106" i="1"/>
  <c r="BC98" i="1"/>
  <c r="BC97" i="1"/>
  <c r="BC96" i="1"/>
  <c r="BC95" i="1"/>
  <c r="BC94" i="1"/>
  <c r="BC93" i="1"/>
  <c r="BC92" i="1"/>
  <c r="BC91" i="1"/>
  <c r="BC90" i="1"/>
  <c r="BC89" i="1"/>
  <c r="BC88" i="1"/>
  <c r="BC87" i="1"/>
  <c r="BC86" i="1"/>
  <c r="BC85" i="1"/>
  <c r="BC84" i="1"/>
  <c r="BC83" i="1"/>
  <c r="BC82" i="1"/>
  <c r="BC81" i="1"/>
  <c r="BC80" i="1"/>
  <c r="BC74" i="1"/>
  <c r="BC73" i="1"/>
  <c r="BC72" i="1"/>
  <c r="BC71" i="1"/>
  <c r="BC70" i="1"/>
  <c r="BC69" i="1"/>
  <c r="BB38" i="1"/>
  <c r="BB37" i="1"/>
  <c r="BC37" i="1"/>
  <c r="BB36" i="1"/>
  <c r="BC36" i="1"/>
  <c r="BB35" i="1"/>
  <c r="BC35" i="1"/>
  <c r="BB34" i="1"/>
  <c r="BC34" i="1"/>
  <c r="BB33" i="1"/>
  <c r="BC33" i="1"/>
  <c r="BB32" i="1"/>
  <c r="BC32" i="1"/>
  <c r="BB31" i="1"/>
  <c r="BC31" i="1"/>
  <c r="BB30" i="1"/>
  <c r="BC30" i="1"/>
  <c r="BB29" i="1"/>
  <c r="BC29" i="1"/>
  <c r="BB28" i="1"/>
  <c r="BC28" i="1"/>
  <c r="BB27" i="1"/>
  <c r="BC27" i="1"/>
  <c r="BC13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B12" i="1"/>
  <c r="BC12" i="1"/>
  <c r="BB11" i="1"/>
  <c r="BC11" i="1"/>
  <c r="BB10" i="1"/>
  <c r="BC10" i="1"/>
  <c r="BC4" i="1"/>
  <c r="BB3" i="1"/>
  <c r="BC3" i="1"/>
  <c r="BB2" i="1"/>
  <c r="B270" i="6"/>
  <c r="F38" i="3"/>
  <c r="A38" i="3"/>
  <c r="G38" i="3"/>
  <c r="H38" i="3"/>
  <c r="F39" i="3"/>
  <c r="F40" i="3"/>
  <c r="F41" i="3"/>
  <c r="A39" i="3"/>
  <c r="H39" i="3"/>
  <c r="A40" i="3"/>
  <c r="H40" i="3"/>
  <c r="A41" i="3"/>
  <c r="H41" i="3"/>
  <c r="AI292" i="4"/>
  <c r="AI94" i="4"/>
  <c r="U94" i="4" a="1"/>
  <c r="U94" i="4"/>
  <c r="AI217" i="4"/>
  <c r="AI216" i="4"/>
  <c r="G39" i="3"/>
  <c r="G40" i="3"/>
  <c r="G41" i="3"/>
  <c r="T94" i="4" a="1"/>
  <c r="T94" i="4"/>
  <c r="T217" i="4" a="1"/>
  <c r="T217" i="4"/>
  <c r="T216" i="4" a="1"/>
  <c r="T216" i="4"/>
  <c r="B24" i="3"/>
  <c r="C24" i="3"/>
  <c r="E24" i="3"/>
  <c r="G25" i="2"/>
  <c r="K25" i="2"/>
  <c r="T25" i="2"/>
  <c r="AA25" i="2"/>
  <c r="AD25" i="2"/>
  <c r="AE25" i="2"/>
  <c r="AF25" i="2"/>
  <c r="AG25" i="2"/>
  <c r="AH25" i="2"/>
  <c r="AI25" i="2"/>
  <c r="AK25" i="2"/>
  <c r="AL25" i="2"/>
  <c r="R46" i="2"/>
  <c r="R323" i="4"/>
  <c r="R333" i="4"/>
  <c r="R331" i="4"/>
  <c r="R332" i="4"/>
  <c r="R340" i="4"/>
  <c r="R341" i="4"/>
  <c r="R335" i="4"/>
  <c r="R336" i="4"/>
  <c r="R325" i="4"/>
  <c r="R328" i="4"/>
  <c r="R326" i="4"/>
  <c r="R327" i="4"/>
  <c r="R344" i="4"/>
  <c r="R338" i="4"/>
  <c r="R345" i="4"/>
  <c r="R315" i="4"/>
  <c r="R322" i="4"/>
  <c r="R319" i="4"/>
  <c r="R50" i="2"/>
  <c r="R350" i="4"/>
  <c r="R337" i="4"/>
  <c r="R356" i="4"/>
  <c r="R366" i="4"/>
  <c r="R348" i="4"/>
  <c r="R364" i="4"/>
  <c r="R351" i="4"/>
  <c r="R365" i="4"/>
  <c r="R367" i="4"/>
  <c r="R318" i="4"/>
  <c r="R349" i="4"/>
  <c r="R359" i="4"/>
  <c r="R354" i="4"/>
  <c r="R358" i="4"/>
  <c r="R352" i="4"/>
  <c r="R353" i="4"/>
  <c r="R36" i="2"/>
  <c r="R84" i="4"/>
  <c r="R83" i="4"/>
  <c r="R320" i="4"/>
  <c r="R82" i="4"/>
  <c r="R330" i="4"/>
  <c r="R357" i="4"/>
  <c r="R346" i="4"/>
  <c r="R316" i="4"/>
  <c r="R342" i="4"/>
  <c r="R329" i="4"/>
  <c r="R339" i="4"/>
  <c r="R50" i="4"/>
  <c r="R361" i="4"/>
  <c r="R100" i="4"/>
  <c r="R49" i="4"/>
  <c r="R362" i="4"/>
  <c r="R321" i="4"/>
  <c r="R68" i="4"/>
  <c r="R37" i="2"/>
  <c r="R87" i="4"/>
  <c r="R379" i="4"/>
  <c r="R372" i="4"/>
  <c r="R317" i="4"/>
  <c r="R324" i="4"/>
  <c r="R158" i="4"/>
  <c r="R376" i="4"/>
  <c r="R373" i="4"/>
  <c r="R371" i="4"/>
  <c r="R381" i="4"/>
  <c r="R378" i="4"/>
  <c r="R377" i="4"/>
  <c r="R370" i="4"/>
  <c r="R374" i="4"/>
  <c r="R347" i="4"/>
  <c r="R375" i="4"/>
  <c r="R304" i="4"/>
  <c r="R314" i="4"/>
  <c r="R312" i="4"/>
  <c r="R305" i="4"/>
  <c r="R208" i="4"/>
  <c r="R308" i="4"/>
  <c r="R311" i="4"/>
  <c r="R301" i="4"/>
  <c r="R313" i="4"/>
  <c r="R306" i="4"/>
  <c r="R152" i="4"/>
  <c r="R310" i="4"/>
  <c r="R299" i="4"/>
  <c r="R302" i="4"/>
  <c r="R307" i="4"/>
  <c r="R300" i="4"/>
  <c r="R303" i="4"/>
  <c r="R111" i="4"/>
  <c r="R126" i="4"/>
  <c r="R276" i="4"/>
  <c r="R197" i="4"/>
  <c r="R179" i="4"/>
  <c r="R283" i="4"/>
  <c r="R62" i="4"/>
  <c r="R275" i="4"/>
  <c r="R218" i="4"/>
  <c r="R165" i="4"/>
  <c r="R171" i="4"/>
  <c r="R148" i="4"/>
  <c r="R160" i="4"/>
  <c r="R180" i="4"/>
  <c r="R146" i="4"/>
  <c r="R178" i="4"/>
  <c r="R226" i="4"/>
  <c r="R45" i="4"/>
  <c r="R225" i="4"/>
  <c r="R10" i="2"/>
  <c r="R34" i="4"/>
  <c r="R89" i="4"/>
  <c r="R35" i="4"/>
  <c r="R205" i="4"/>
  <c r="R138" i="4"/>
  <c r="R274" i="4"/>
  <c r="R157" i="4"/>
  <c r="R139" i="4"/>
  <c r="R200" i="4"/>
  <c r="R38" i="4"/>
  <c r="R237" i="4"/>
  <c r="R182" i="4"/>
  <c r="R267" i="4"/>
  <c r="R74" i="4"/>
  <c r="R224" i="4"/>
  <c r="R137" i="4"/>
  <c r="R217" i="4"/>
  <c r="R251" i="4"/>
  <c r="R201" i="4"/>
  <c r="R27" i="4"/>
  <c r="R119" i="4"/>
  <c r="R147" i="4"/>
  <c r="R154" i="4"/>
  <c r="R295" i="4"/>
  <c r="R223" i="4"/>
  <c r="R206" i="4"/>
  <c r="R202" i="4"/>
  <c r="R271" i="4"/>
  <c r="R207" i="4"/>
  <c r="R173" i="4"/>
  <c r="R95" i="4"/>
  <c r="R96" i="4"/>
  <c r="R184" i="4"/>
  <c r="R107" i="4"/>
  <c r="R273" i="4"/>
  <c r="R250" i="4"/>
  <c r="R291" i="4"/>
  <c r="R216" i="4"/>
  <c r="R292" i="4"/>
  <c r="R363" i="4"/>
  <c r="R174" i="4"/>
  <c r="R209" i="4"/>
  <c r="R52" i="4"/>
  <c r="R125" i="4"/>
  <c r="R140" i="4"/>
  <c r="R103" i="4"/>
  <c r="R39" i="4"/>
  <c r="R183" i="4"/>
  <c r="R268" i="4"/>
  <c r="R211" i="4"/>
  <c r="R26" i="2"/>
  <c r="R195" i="4"/>
  <c r="R172" i="4"/>
  <c r="R175" i="4"/>
  <c r="R176" i="4"/>
  <c r="R177" i="4"/>
  <c r="R28" i="4"/>
  <c r="R243" i="4"/>
  <c r="R75" i="4"/>
  <c r="R135" i="4"/>
  <c r="R136" i="4"/>
  <c r="R343" i="4"/>
  <c r="R264" i="4"/>
  <c r="R63" i="4"/>
  <c r="R150" i="4"/>
  <c r="R270" i="4"/>
  <c r="R193" i="4"/>
  <c r="R288" i="4"/>
  <c r="R233" i="4"/>
  <c r="R61" i="4"/>
  <c r="R235" i="4"/>
  <c r="R78" i="4"/>
  <c r="R101" i="4"/>
  <c r="R153" i="4"/>
  <c r="R227" i="4"/>
  <c r="R260" i="4"/>
  <c r="R21" i="4"/>
  <c r="R143" i="4"/>
  <c r="R368" i="4"/>
  <c r="R31" i="4"/>
  <c r="R72" i="4"/>
  <c r="R254" i="4"/>
  <c r="R54" i="4"/>
  <c r="R40" i="4"/>
  <c r="R266" i="4"/>
  <c r="R278" i="4"/>
  <c r="R213" i="4"/>
  <c r="R215" i="4"/>
  <c r="R297" i="4"/>
  <c r="R284" i="4"/>
  <c r="R144" i="4"/>
  <c r="R239" i="4"/>
  <c r="R167" i="4"/>
  <c r="R55" i="4"/>
  <c r="R57" i="4"/>
  <c r="R236" i="4"/>
  <c r="R121" i="4"/>
  <c r="R109" i="4"/>
  <c r="R53" i="4"/>
  <c r="R56" i="4"/>
  <c r="R104" i="4"/>
  <c r="R15" i="4"/>
  <c r="R187" i="4"/>
  <c r="R81" i="4"/>
  <c r="R255" i="4"/>
  <c r="R134" i="4"/>
  <c r="R88" i="4"/>
  <c r="R102" i="4"/>
  <c r="R241" i="4"/>
  <c r="R189" i="4"/>
  <c r="R269" i="4"/>
  <c r="R122" i="4"/>
  <c r="R127" i="4"/>
  <c r="R192" i="4"/>
  <c r="R92" i="4"/>
  <c r="R93" i="4"/>
  <c r="R97" i="4"/>
  <c r="R12" i="4"/>
  <c r="R188" i="4"/>
  <c r="R272" i="4"/>
  <c r="R203" i="4"/>
  <c r="R296" i="4"/>
  <c r="R94" i="4"/>
  <c r="R145" i="4"/>
  <c r="R185" i="4"/>
  <c r="R36" i="4"/>
  <c r="R230" i="4"/>
  <c r="R30" i="4"/>
  <c r="R265" i="4"/>
  <c r="R112" i="4"/>
  <c r="R91" i="4"/>
  <c r="R37" i="4"/>
  <c r="R238" i="4"/>
  <c r="R240" i="4"/>
  <c r="R244" i="4"/>
  <c r="R222" i="4"/>
  <c r="R90" i="4"/>
  <c r="R228" i="4"/>
  <c r="R229" i="4"/>
  <c r="R198" i="4"/>
  <c r="R41" i="4"/>
  <c r="R108" i="4"/>
  <c r="R191" i="4"/>
  <c r="R159" i="4"/>
  <c r="R199" i="4"/>
  <c r="R51" i="4"/>
  <c r="R219" i="4"/>
  <c r="R245" i="4"/>
  <c r="R66" i="4"/>
  <c r="R289" i="4"/>
  <c r="R20" i="4"/>
  <c r="R170" i="4"/>
  <c r="R258" i="4"/>
  <c r="R13" i="4"/>
  <c r="R234" i="4"/>
  <c r="R151" i="4"/>
  <c r="R46" i="4"/>
  <c r="R169" i="4"/>
  <c r="R77" i="4"/>
  <c r="R99" i="4"/>
  <c r="R32" i="4"/>
  <c r="R242" i="4"/>
  <c r="R70" i="4"/>
  <c r="R168" i="4"/>
  <c r="R279" i="4"/>
  <c r="R280" i="4"/>
  <c r="R166" i="4"/>
  <c r="R257" i="4"/>
  <c r="R33" i="4"/>
  <c r="R60" i="4"/>
  <c r="R210" i="4"/>
  <c r="R220" i="4"/>
  <c r="R221" i="4"/>
  <c r="R247" i="4"/>
  <c r="R123" i="4"/>
  <c r="R281" i="4"/>
  <c r="R141" i="4"/>
  <c r="R259" i="4"/>
  <c r="R263" i="4"/>
  <c r="R42" i="4"/>
  <c r="R71" i="4"/>
  <c r="R80" i="4"/>
  <c r="R29" i="4"/>
  <c r="R246" i="4"/>
  <c r="R231" i="4"/>
  <c r="R287" i="4"/>
  <c r="R58" i="4"/>
  <c r="R186" i="4"/>
  <c r="R124" i="4"/>
  <c r="R73" i="4"/>
  <c r="R79" i="4"/>
  <c r="R196" i="4"/>
  <c r="R261" i="4"/>
  <c r="R285" i="4"/>
  <c r="R120" i="4"/>
  <c r="R76" i="4"/>
  <c r="R16" i="4"/>
  <c r="R48" i="4"/>
  <c r="R294" i="4"/>
  <c r="R59" i="4"/>
  <c r="R9" i="4"/>
  <c r="R10" i="4"/>
  <c r="R19" i="4"/>
  <c r="R249" i="4"/>
  <c r="R252" i="4"/>
  <c r="R253" i="4"/>
  <c r="R11" i="4"/>
  <c r="R256" i="4"/>
  <c r="R290" i="4"/>
  <c r="R105" i="4"/>
  <c r="R14" i="4"/>
  <c r="R190" i="4"/>
  <c r="R248" i="4"/>
  <c r="R194" i="4"/>
  <c r="R106" i="4"/>
  <c r="R8" i="4"/>
  <c r="R110" i="4"/>
  <c r="R212" i="4"/>
  <c r="R204" i="4"/>
  <c r="R3" i="4"/>
  <c r="R18" i="4"/>
  <c r="R43" i="4"/>
  <c r="R44" i="4"/>
  <c r="Z363" i="4"/>
  <c r="Z369" i="4"/>
  <c r="Z360" i="4"/>
  <c r="U2" i="12"/>
  <c r="R286" i="4"/>
  <c r="R293" i="4"/>
  <c r="R69" i="4"/>
  <c r="R334" i="4"/>
  <c r="Q2" i="12"/>
  <c r="O2" i="12"/>
  <c r="N396" i="4"/>
  <c r="N408" i="4"/>
  <c r="M2" i="12"/>
  <c r="K2" i="12"/>
  <c r="J188" i="4"/>
  <c r="J23" i="4"/>
  <c r="J179" i="4"/>
  <c r="J180" i="4"/>
  <c r="J286" i="4"/>
  <c r="J187" i="4"/>
  <c r="J238" i="4"/>
  <c r="J266" i="4"/>
  <c r="J240" i="4"/>
  <c r="J241" i="4"/>
  <c r="J243" i="4"/>
  <c r="J267" i="4"/>
  <c r="J244" i="4"/>
  <c r="J268" i="4"/>
  <c r="J121" i="4"/>
  <c r="J269" i="4"/>
  <c r="J270" i="4"/>
  <c r="J271" i="4"/>
  <c r="J272" i="4"/>
  <c r="J151" i="4"/>
  <c r="J210" i="4"/>
  <c r="J220" i="4"/>
  <c r="J221" i="4"/>
  <c r="J250" i="4"/>
  <c r="J192" i="4"/>
  <c r="J213" i="4"/>
  <c r="J77" i="4"/>
  <c r="J290" i="4"/>
  <c r="J199" i="4"/>
  <c r="J263" i="4"/>
  <c r="J186" i="4"/>
  <c r="J239" i="4"/>
  <c r="J242" i="4"/>
  <c r="J273" i="4"/>
  <c r="J9" i="4"/>
  <c r="J190" i="4"/>
  <c r="J10" i="4"/>
  <c r="J26" i="2"/>
  <c r="J16" i="4"/>
  <c r="J278" i="4"/>
  <c r="J284" i="4"/>
  <c r="J8" i="4"/>
  <c r="J68" i="4"/>
  <c r="J296" i="4"/>
  <c r="J251" i="4"/>
  <c r="J252" i="4"/>
  <c r="J279" i="4"/>
  <c r="J280" i="4"/>
  <c r="J281" i="4"/>
  <c r="J87" i="4"/>
  <c r="J291" i="4"/>
  <c r="J196" i="4"/>
  <c r="J218" i="4"/>
  <c r="J228" i="4"/>
  <c r="J292" i="4"/>
  <c r="J297" i="4"/>
  <c r="J197" i="4"/>
  <c r="J294" i="4"/>
  <c r="J100" i="4"/>
  <c r="J246" i="4"/>
  <c r="J194" i="4"/>
  <c r="J141" i="4"/>
  <c r="J116" i="4"/>
  <c r="J234" i="4"/>
  <c r="J235" i="4"/>
  <c r="J155" i="4"/>
  <c r="J191" i="4"/>
  <c r="J249" i="4"/>
  <c r="J295" i="4"/>
  <c r="J73" i="4"/>
  <c r="J212" i="4"/>
  <c r="J255" i="4"/>
  <c r="J256" i="4"/>
  <c r="J230" i="4"/>
  <c r="J258" i="4"/>
  <c r="J285" i="4"/>
  <c r="J237" i="4"/>
  <c r="J189" i="4"/>
  <c r="J277" i="4"/>
  <c r="J222" i="4"/>
  <c r="J254" i="4"/>
  <c r="J231" i="4"/>
  <c r="J219" i="4"/>
  <c r="J122" i="4"/>
  <c r="J229" i="4"/>
  <c r="J257" i="4"/>
  <c r="J260" i="4"/>
  <c r="J114" i="4"/>
  <c r="J145" i="4"/>
  <c r="J183" i="4"/>
  <c r="J236" i="4"/>
  <c r="J127" i="4"/>
  <c r="J289" i="4"/>
  <c r="J223" i="4"/>
  <c r="J214" i="4"/>
  <c r="J111" i="4"/>
  <c r="J134" i="4"/>
  <c r="J135" i="4"/>
  <c r="J176" i="4"/>
  <c r="J137" i="4"/>
  <c r="J138" i="4"/>
  <c r="J140" i="4"/>
  <c r="J117" i="4"/>
  <c r="J142" i="4"/>
  <c r="J27" i="4"/>
  <c r="J143" i="4"/>
  <c r="J28" i="4"/>
  <c r="J123" i="4"/>
  <c r="J168" i="4"/>
  <c r="J173" i="4"/>
  <c r="J91" i="4"/>
  <c r="J93" i="4"/>
  <c r="J95" i="4"/>
  <c r="J96" i="4"/>
  <c r="J50" i="4"/>
  <c r="J276" i="4"/>
  <c r="J158" i="4"/>
  <c r="J275" i="4"/>
  <c r="J124" i="4"/>
  <c r="J211" i="4"/>
  <c r="J165" i="4"/>
  <c r="J166" i="4"/>
  <c r="J167" i="4"/>
  <c r="J174" i="4"/>
  <c r="J293" i="4"/>
  <c r="J144" i="4"/>
  <c r="J120" i="4"/>
  <c r="J80" i="4"/>
  <c r="J169" i="4"/>
  <c r="J171" i="4"/>
  <c r="J206" i="4"/>
  <c r="J172" i="4"/>
  <c r="J298" i="4"/>
  <c r="J200" i="4"/>
  <c r="J201" i="4"/>
  <c r="J14" i="4"/>
  <c r="J74" i="4"/>
  <c r="J45" i="4"/>
  <c r="J47" i="4"/>
  <c r="J85" i="4"/>
  <c r="J86" i="4"/>
  <c r="J170" i="4"/>
  <c r="J88" i="4"/>
  <c r="J90" i="4"/>
  <c r="J182" i="4"/>
  <c r="J52" i="4"/>
  <c r="J54" i="4"/>
  <c r="J59" i="4"/>
  <c r="J202" i="4"/>
  <c r="J193" i="4"/>
  <c r="J112" i="4"/>
  <c r="J195" i="4"/>
  <c r="J207" i="4"/>
  <c r="J208" i="4"/>
  <c r="J115" i="4"/>
  <c r="J105" i="4"/>
  <c r="J125" i="4"/>
  <c r="J215" i="4"/>
  <c r="J209" i="4"/>
  <c r="J283" i="4"/>
  <c r="J118" i="4"/>
  <c r="J53" i="4"/>
  <c r="J72" i="4"/>
  <c r="J89" i="4"/>
  <c r="J51" i="4"/>
  <c r="J55" i="4"/>
  <c r="J56" i="4"/>
  <c r="J57" i="4"/>
  <c r="J71" i="4"/>
  <c r="J79" i="4"/>
  <c r="J136" i="4"/>
  <c r="J2" i="4"/>
  <c r="J205" i="4"/>
  <c r="J101" i="4"/>
  <c r="J30" i="4"/>
  <c r="J225" i="4"/>
  <c r="J274" i="4"/>
  <c r="J159" i="4"/>
  <c r="J160" i="4"/>
  <c r="J153" i="4"/>
  <c r="J18" i="4"/>
  <c r="J40" i="4"/>
  <c r="J97" i="4"/>
  <c r="J99" i="4"/>
  <c r="J184" i="4"/>
  <c r="J203" i="4"/>
  <c r="J78" i="4"/>
  <c r="J13" i="4"/>
  <c r="J217" i="4"/>
  <c r="J70" i="4"/>
  <c r="J185" i="4"/>
  <c r="J216" i="4"/>
  <c r="J31" i="4"/>
  <c r="J148" i="4"/>
  <c r="J60" i="4"/>
  <c r="J63" i="4"/>
  <c r="J146" i="4"/>
  <c r="J61" i="4"/>
  <c r="J227" i="4"/>
  <c r="J10" i="2"/>
  <c r="J19" i="4"/>
  <c r="J98" i="4"/>
  <c r="J62" i="4"/>
  <c r="J147" i="4"/>
  <c r="J38" i="4"/>
  <c r="J104" i="4"/>
  <c r="J150" i="4"/>
  <c r="J103" i="4"/>
  <c r="J119" i="4"/>
  <c r="J29" i="4"/>
  <c r="J17" i="4"/>
  <c r="J58" i="4"/>
  <c r="J154" i="4"/>
  <c r="J13" i="2"/>
  <c r="J110" i="4"/>
  <c r="J66" i="4"/>
  <c r="J102" i="4"/>
  <c r="J175" i="4"/>
  <c r="J81" i="4"/>
  <c r="J107" i="4"/>
  <c r="J32" i="4"/>
  <c r="J15" i="4"/>
  <c r="J41" i="4"/>
  <c r="J106" i="4"/>
  <c r="J33" i="4"/>
  <c r="J36" i="4"/>
  <c r="J108" i="4"/>
  <c r="J46" i="4"/>
  <c r="J37" i="4"/>
  <c r="J34" i="4"/>
  <c r="I2" i="12"/>
  <c r="H90" i="4"/>
  <c r="H89" i="4"/>
  <c r="G2" i="12"/>
  <c r="F245" i="4"/>
  <c r="F46" i="2"/>
  <c r="F233" i="4"/>
  <c r="F264" i="4"/>
  <c r="F265" i="4"/>
  <c r="F238" i="4"/>
  <c r="F266" i="4"/>
  <c r="F240" i="4"/>
  <c r="F241" i="4"/>
  <c r="F243" i="4"/>
  <c r="F267" i="4"/>
  <c r="F244" i="4"/>
  <c r="F268" i="4"/>
  <c r="F247" i="4"/>
  <c r="F269" i="4"/>
  <c r="F270" i="4"/>
  <c r="F271" i="4"/>
  <c r="F272" i="4"/>
  <c r="F151" i="4"/>
  <c r="F250" i="4"/>
  <c r="F290" i="4"/>
  <c r="F287" i="4"/>
  <c r="F263" i="4"/>
  <c r="F239" i="4"/>
  <c r="F242" i="4"/>
  <c r="F273" i="4"/>
  <c r="F190" i="4"/>
  <c r="F278" i="4"/>
  <c r="F284" i="4"/>
  <c r="F68" i="4"/>
  <c r="F281" i="4"/>
  <c r="F37" i="2"/>
  <c r="F87" i="4"/>
  <c r="F291" i="4"/>
  <c r="F218" i="4"/>
  <c r="F197" i="4"/>
  <c r="F100" i="4"/>
  <c r="F116" i="4"/>
  <c r="F234" i="4"/>
  <c r="F295" i="4"/>
  <c r="F129" i="4"/>
  <c r="F212" i="4"/>
  <c r="F255" i="4"/>
  <c r="F256" i="4"/>
  <c r="F12" i="2"/>
  <c r="F149" i="4"/>
  <c r="F237" i="4"/>
  <c r="F204" i="4"/>
  <c r="F257" i="4"/>
  <c r="F114" i="4"/>
  <c r="F145" i="4"/>
  <c r="F183" i="4"/>
  <c r="F236" i="4"/>
  <c r="F289" i="4"/>
  <c r="F111" i="4"/>
  <c r="F134" i="4"/>
  <c r="F135" i="4"/>
  <c r="F176" i="4"/>
  <c r="F177" i="4"/>
  <c r="F137" i="4"/>
  <c r="F138" i="4"/>
  <c r="F139" i="4"/>
  <c r="F140" i="4"/>
  <c r="F117" i="4"/>
  <c r="F142" i="4"/>
  <c r="F27" i="4"/>
  <c r="F143" i="4"/>
  <c r="F28" i="4"/>
  <c r="F123" i="4"/>
  <c r="F168" i="4"/>
  <c r="F173" i="4"/>
  <c r="F91" i="4"/>
  <c r="F92" i="4"/>
  <c r="F93" i="4"/>
  <c r="F95" i="4"/>
  <c r="F96" i="4"/>
  <c r="F49" i="4"/>
  <c r="F50" i="4"/>
  <c r="F276" i="4"/>
  <c r="F152" i="4"/>
  <c r="F158" i="4"/>
  <c r="F275" i="4"/>
  <c r="F124" i="4"/>
  <c r="F211" i="4"/>
  <c r="F165" i="4"/>
  <c r="F166" i="4"/>
  <c r="F167" i="4"/>
  <c r="F174" i="4"/>
  <c r="F144" i="4"/>
  <c r="F120" i="4"/>
  <c r="F80" i="4"/>
  <c r="F169" i="4"/>
  <c r="F171" i="4"/>
  <c r="F206" i="4"/>
  <c r="F172" i="4"/>
  <c r="F298" i="4"/>
  <c r="F200" i="4"/>
  <c r="F201" i="4"/>
  <c r="F14" i="4"/>
  <c r="F74" i="4"/>
  <c r="F45" i="4"/>
  <c r="F47" i="4"/>
  <c r="F85" i="4"/>
  <c r="F86" i="4"/>
  <c r="F162" i="4"/>
  <c r="F163" i="4"/>
  <c r="F170" i="4"/>
  <c r="F88" i="4"/>
  <c r="F90" i="4"/>
  <c r="F182" i="4"/>
  <c r="F52" i="4"/>
  <c r="F54" i="4"/>
  <c r="F59" i="4"/>
  <c r="F202" i="4"/>
  <c r="F126" i="4"/>
  <c r="F5" i="4"/>
  <c r="F6" i="4"/>
  <c r="F193" i="4"/>
  <c r="F164" i="4"/>
  <c r="F195" i="4"/>
  <c r="F207" i="4"/>
  <c r="F161" i="4"/>
  <c r="F208" i="4"/>
  <c r="F115" i="4"/>
  <c r="F105" i="4"/>
  <c r="F125" i="4"/>
  <c r="F22" i="4"/>
  <c r="F215" i="4"/>
  <c r="F209" i="4"/>
  <c r="F283" i="4"/>
  <c r="F118" i="4"/>
  <c r="F53" i="4"/>
  <c r="F13" i="2"/>
  <c r="F128" i="4"/>
  <c r="F72" i="4"/>
  <c r="F89" i="4"/>
  <c r="F94" i="4"/>
  <c r="F51" i="4"/>
  <c r="F55" i="4"/>
  <c r="F56" i="4"/>
  <c r="F57" i="4"/>
  <c r="F20" i="4"/>
  <c r="F71" i="4"/>
  <c r="F21" i="4"/>
  <c r="F79" i="4"/>
  <c r="F2" i="4"/>
  <c r="F205" i="4"/>
  <c r="F101" i="4"/>
  <c r="F30" i="4"/>
  <c r="F225" i="4"/>
  <c r="F12" i="4"/>
  <c r="F43" i="4"/>
  <c r="F44" i="4"/>
  <c r="F274" i="4"/>
  <c r="F226" i="4"/>
  <c r="F159" i="4"/>
  <c r="F160" i="4"/>
  <c r="F18" i="4"/>
  <c r="F40" i="4"/>
  <c r="F97" i="4"/>
  <c r="F99" i="4"/>
  <c r="F184" i="4"/>
  <c r="F203" i="4"/>
  <c r="F13" i="4"/>
  <c r="F217" i="4"/>
  <c r="F70" i="4"/>
  <c r="F185" i="4"/>
  <c r="F39" i="4"/>
  <c r="F216" i="4"/>
  <c r="F31" i="4"/>
  <c r="F148" i="4"/>
  <c r="F60" i="4"/>
  <c r="F63" i="4"/>
  <c r="F146" i="4"/>
  <c r="F61" i="4"/>
  <c r="F10" i="2"/>
  <c r="F19" i="4"/>
  <c r="F98" i="4"/>
  <c r="F62" i="4"/>
  <c r="F11" i="4"/>
  <c r="F147" i="4"/>
  <c r="F38" i="4"/>
  <c r="F75" i="4"/>
  <c r="F104" i="4"/>
  <c r="F150" i="4"/>
  <c r="F103" i="4"/>
  <c r="F119" i="4"/>
  <c r="F76" i="4"/>
  <c r="F29" i="4"/>
  <c r="F58" i="4"/>
  <c r="F154" i="4"/>
  <c r="F109" i="4"/>
  <c r="F110" i="4"/>
  <c r="F66" i="4"/>
  <c r="F102" i="4"/>
  <c r="F175" i="4"/>
  <c r="F81" i="4"/>
  <c r="F107" i="4"/>
  <c r="F32" i="4"/>
  <c r="F15" i="4"/>
  <c r="F41" i="4"/>
  <c r="F106" i="4"/>
  <c r="F33" i="4"/>
  <c r="F36" i="4"/>
  <c r="F108" i="4"/>
  <c r="F50" i="2"/>
  <c r="F46" i="4"/>
  <c r="F37" i="4"/>
  <c r="F34" i="4"/>
  <c r="F35" i="4"/>
  <c r="F304" i="4"/>
  <c r="F305" i="4"/>
  <c r="F306" i="4"/>
  <c r="F307" i="4"/>
  <c r="F310" i="4"/>
  <c r="F311" i="4"/>
  <c r="F312" i="4"/>
  <c r="F313" i="4"/>
  <c r="F300" i="4"/>
  <c r="F301" i="4"/>
  <c r="F299" i="4"/>
  <c r="F302" i="4"/>
  <c r="F303" i="4"/>
  <c r="F314" i="4"/>
  <c r="F51" i="2"/>
  <c r="F308" i="4"/>
  <c r="F342" i="4"/>
  <c r="F333" i="4"/>
  <c r="F331" i="4"/>
  <c r="F332" i="4"/>
  <c r="F324" i="4"/>
  <c r="F334" i="4"/>
  <c r="F323" i="4"/>
  <c r="F341" i="4"/>
  <c r="F316" i="4"/>
  <c r="F339" i="4"/>
  <c r="F322" i="4"/>
  <c r="F346" i="4"/>
  <c r="F325" i="4"/>
  <c r="F318" i="4"/>
  <c r="F319" i="4"/>
  <c r="F320" i="4"/>
  <c r="F321" i="4"/>
  <c r="F347" i="4"/>
  <c r="F337" i="4"/>
  <c r="F338" i="4"/>
  <c r="F340" i="4"/>
  <c r="F326" i="4"/>
  <c r="F327" i="4"/>
  <c r="F328" i="4"/>
  <c r="F329" i="4"/>
  <c r="F330" i="4"/>
  <c r="F317" i="4"/>
  <c r="F315" i="4"/>
  <c r="F335" i="4"/>
  <c r="F336" i="4"/>
  <c r="F345" i="4"/>
  <c r="F343" i="4"/>
  <c r="F344" i="4"/>
  <c r="F351" i="4"/>
  <c r="F350" i="4"/>
  <c r="F361" i="4"/>
  <c r="F362" i="4"/>
  <c r="F348" i="4"/>
  <c r="F358" i="4"/>
  <c r="F359" i="4"/>
  <c r="F364" i="4"/>
  <c r="F349" i="4"/>
  <c r="F365" i="4"/>
  <c r="F366" i="4"/>
  <c r="F367" i="4"/>
  <c r="F352" i="4"/>
  <c r="F353" i="4"/>
  <c r="F354" i="4"/>
  <c r="F356" i="4"/>
  <c r="F357" i="4"/>
  <c r="F355" i="4"/>
  <c r="F368" i="4"/>
  <c r="F363" i="4"/>
  <c r="F369" i="4"/>
  <c r="F360" i="4"/>
  <c r="F379" i="4"/>
  <c r="F377" i="4"/>
  <c r="F373" i="4"/>
  <c r="F374" i="4"/>
  <c r="F370" i="4"/>
  <c r="F371" i="4"/>
  <c r="F375" i="4"/>
  <c r="F376" i="4"/>
  <c r="F378" i="4"/>
  <c r="F372" i="4"/>
  <c r="F381" i="4"/>
  <c r="F390" i="4"/>
  <c r="F389" i="4"/>
  <c r="F396" i="4"/>
  <c r="F388" i="4"/>
  <c r="F397" i="4"/>
  <c r="F398" i="4"/>
  <c r="F399" i="4"/>
  <c r="F400" i="4"/>
  <c r="F401" i="4"/>
  <c r="F391" i="4"/>
  <c r="F392" i="4"/>
  <c r="F393" i="4"/>
  <c r="F402" i="4"/>
  <c r="F403" i="4"/>
  <c r="F404" i="4"/>
  <c r="F405" i="4"/>
  <c r="F394" i="4"/>
  <c r="F395" i="4"/>
  <c r="F406" i="4"/>
  <c r="F407" i="4"/>
  <c r="F408" i="4"/>
  <c r="F409" i="4"/>
  <c r="F410" i="4"/>
  <c r="F411" i="4"/>
  <c r="F387" i="4"/>
  <c r="E2" i="12"/>
  <c r="C2" i="12"/>
  <c r="E245" i="4"/>
  <c r="E46" i="2"/>
  <c r="E233" i="4"/>
  <c r="E264" i="4"/>
  <c r="E265" i="4"/>
  <c r="E238" i="4"/>
  <c r="E266" i="4"/>
  <c r="E240" i="4"/>
  <c r="E241" i="4"/>
  <c r="E243" i="4"/>
  <c r="E267" i="4"/>
  <c r="E244" i="4"/>
  <c r="E268" i="4"/>
  <c r="E247" i="4"/>
  <c r="E269" i="4"/>
  <c r="E270" i="4"/>
  <c r="E271" i="4"/>
  <c r="E272" i="4"/>
  <c r="E151" i="4"/>
  <c r="E250" i="4"/>
  <c r="E290" i="4"/>
  <c r="E287" i="4"/>
  <c r="E263" i="4"/>
  <c r="E239" i="4"/>
  <c r="E242" i="4"/>
  <c r="E273" i="4"/>
  <c r="E190" i="4"/>
  <c r="E278" i="4"/>
  <c r="E284" i="4"/>
  <c r="E68" i="4"/>
  <c r="E281" i="4"/>
  <c r="E37" i="2"/>
  <c r="E87" i="4"/>
  <c r="E291" i="4"/>
  <c r="E218" i="4"/>
  <c r="E197" i="4"/>
  <c r="E100" i="4"/>
  <c r="E116" i="4"/>
  <c r="E234" i="4"/>
  <c r="E295" i="4"/>
  <c r="E129" i="4"/>
  <c r="E212" i="4"/>
  <c r="E255" i="4"/>
  <c r="E256" i="4"/>
  <c r="E12" i="2"/>
  <c r="E149" i="4"/>
  <c r="E237" i="4"/>
  <c r="E204" i="4"/>
  <c r="E257" i="4"/>
  <c r="E114" i="4"/>
  <c r="E145" i="4"/>
  <c r="E183" i="4"/>
  <c r="E236" i="4"/>
  <c r="E289" i="4"/>
  <c r="E111" i="4"/>
  <c r="E134" i="4"/>
  <c r="E135" i="4"/>
  <c r="E176" i="4"/>
  <c r="E177" i="4"/>
  <c r="E137" i="4"/>
  <c r="E138" i="4"/>
  <c r="E139" i="4"/>
  <c r="E140" i="4"/>
  <c r="E117" i="4"/>
  <c r="E142" i="4"/>
  <c r="E27" i="4"/>
  <c r="E143" i="4"/>
  <c r="E28" i="4"/>
  <c r="E123" i="4"/>
  <c r="E168" i="4"/>
  <c r="E173" i="4"/>
  <c r="E91" i="4"/>
  <c r="E92" i="4"/>
  <c r="E93" i="4"/>
  <c r="E95" i="4"/>
  <c r="E96" i="4"/>
  <c r="E49" i="4"/>
  <c r="E50" i="4"/>
  <c r="E276" i="4"/>
  <c r="E152" i="4"/>
  <c r="E158" i="4"/>
  <c r="E275" i="4"/>
  <c r="E124" i="4"/>
  <c r="E211" i="4"/>
  <c r="E165" i="4"/>
  <c r="E166" i="4"/>
  <c r="E167" i="4"/>
  <c r="E174" i="4"/>
  <c r="E144" i="4"/>
  <c r="E120" i="4"/>
  <c r="E80" i="4"/>
  <c r="E169" i="4"/>
  <c r="E171" i="4"/>
  <c r="E206" i="4"/>
  <c r="E172" i="4"/>
  <c r="E298" i="4"/>
  <c r="E200" i="4"/>
  <c r="E201" i="4"/>
  <c r="E14" i="4"/>
  <c r="E74" i="4"/>
  <c r="E45" i="4"/>
  <c r="E47" i="4"/>
  <c r="E85" i="4"/>
  <c r="E86" i="4"/>
  <c r="E162" i="4"/>
  <c r="E163" i="4"/>
  <c r="E170" i="4"/>
  <c r="E88" i="4"/>
  <c r="E90" i="4"/>
  <c r="E182" i="4"/>
  <c r="E52" i="4"/>
  <c r="E54" i="4"/>
  <c r="E59" i="4"/>
  <c r="E202" i="4"/>
  <c r="E126" i="4"/>
  <c r="E5" i="4"/>
  <c r="E6" i="4"/>
  <c r="E193" i="4"/>
  <c r="E164" i="4"/>
  <c r="E195" i="4"/>
  <c r="E207" i="4"/>
  <c r="E161" i="4"/>
  <c r="E208" i="4"/>
  <c r="E115" i="4"/>
  <c r="E105" i="4"/>
  <c r="E125" i="4"/>
  <c r="E22" i="4"/>
  <c r="E215" i="4"/>
  <c r="E209" i="4"/>
  <c r="E283" i="4"/>
  <c r="E118" i="4"/>
  <c r="E53" i="4"/>
  <c r="E13" i="2"/>
  <c r="E128" i="4"/>
  <c r="E72" i="4"/>
  <c r="E89" i="4"/>
  <c r="E94" i="4"/>
  <c r="E51" i="4"/>
  <c r="E55" i="4"/>
  <c r="E56" i="4"/>
  <c r="E57" i="4"/>
  <c r="E20" i="4"/>
  <c r="E71" i="4"/>
  <c r="E21" i="4"/>
  <c r="E79" i="4"/>
  <c r="E2" i="4"/>
  <c r="E205" i="4"/>
  <c r="E101" i="4"/>
  <c r="E30" i="4"/>
  <c r="E225" i="4"/>
  <c r="E12" i="4"/>
  <c r="E43" i="4"/>
  <c r="E44" i="4"/>
  <c r="E274" i="4"/>
  <c r="E226" i="4"/>
  <c r="E159" i="4"/>
  <c r="E160" i="4"/>
  <c r="E18" i="4"/>
  <c r="E40" i="4"/>
  <c r="E97" i="4"/>
  <c r="E99" i="4"/>
  <c r="E184" i="4"/>
  <c r="E203" i="4"/>
  <c r="E13" i="4"/>
  <c r="E217" i="4"/>
  <c r="E70" i="4"/>
  <c r="E185" i="4"/>
  <c r="E39" i="4"/>
  <c r="E216" i="4"/>
  <c r="E31" i="4"/>
  <c r="E148" i="4"/>
  <c r="E60" i="4"/>
  <c r="E63" i="4"/>
  <c r="E146" i="4"/>
  <c r="E61" i="4"/>
  <c r="E10" i="2"/>
  <c r="E19" i="4"/>
  <c r="E98" i="4"/>
  <c r="E62" i="4"/>
  <c r="E11" i="4"/>
  <c r="E147" i="4"/>
  <c r="E38" i="4"/>
  <c r="E75" i="4"/>
  <c r="E104" i="4"/>
  <c r="E150" i="4"/>
  <c r="E103" i="4"/>
  <c r="E119" i="4"/>
  <c r="E76" i="4"/>
  <c r="E29" i="4"/>
  <c r="E58" i="4"/>
  <c r="E154" i="4"/>
  <c r="E109" i="4"/>
  <c r="E110" i="4"/>
  <c r="E66" i="4"/>
  <c r="E102" i="4"/>
  <c r="E175" i="4"/>
  <c r="E81" i="4"/>
  <c r="E107" i="4"/>
  <c r="E32" i="4"/>
  <c r="E15" i="4"/>
  <c r="E41" i="4"/>
  <c r="E106" i="4"/>
  <c r="E33" i="4"/>
  <c r="E36" i="4"/>
  <c r="E108" i="4"/>
  <c r="E50" i="2"/>
  <c r="E46" i="4"/>
  <c r="E37" i="4"/>
  <c r="E34" i="4"/>
  <c r="E35" i="4"/>
  <c r="E304" i="4"/>
  <c r="E305" i="4"/>
  <c r="E306" i="4"/>
  <c r="E307" i="4"/>
  <c r="E310" i="4"/>
  <c r="E311" i="4"/>
  <c r="E312" i="4"/>
  <c r="E313" i="4"/>
  <c r="E300" i="4"/>
  <c r="E301" i="4"/>
  <c r="E299" i="4"/>
  <c r="E302" i="4"/>
  <c r="E303" i="4"/>
  <c r="E314" i="4"/>
  <c r="E51" i="2"/>
  <c r="E308" i="4"/>
  <c r="E342" i="4"/>
  <c r="E333" i="4"/>
  <c r="E331" i="4"/>
  <c r="E332" i="4"/>
  <c r="E324" i="4"/>
  <c r="E334" i="4"/>
  <c r="E323" i="4"/>
  <c r="E341" i="4"/>
  <c r="E316" i="4"/>
  <c r="E339" i="4"/>
  <c r="E322" i="4"/>
  <c r="E346" i="4"/>
  <c r="E325" i="4"/>
  <c r="E318" i="4"/>
  <c r="E319" i="4"/>
  <c r="E320" i="4"/>
  <c r="E321" i="4"/>
  <c r="E347" i="4"/>
  <c r="E337" i="4"/>
  <c r="E338" i="4"/>
  <c r="E340" i="4"/>
  <c r="E326" i="4"/>
  <c r="E327" i="4"/>
  <c r="E328" i="4"/>
  <c r="E329" i="4"/>
  <c r="E330" i="4"/>
  <c r="E317" i="4"/>
  <c r="E315" i="4"/>
  <c r="E335" i="4"/>
  <c r="E336" i="4"/>
  <c r="E345" i="4"/>
  <c r="E343" i="4"/>
  <c r="E344" i="4"/>
  <c r="E351" i="4"/>
  <c r="E350" i="4"/>
  <c r="E361" i="4"/>
  <c r="E362" i="4"/>
  <c r="E348" i="4"/>
  <c r="E358" i="4"/>
  <c r="E359" i="4"/>
  <c r="E364" i="4"/>
  <c r="E349" i="4"/>
  <c r="E365" i="4"/>
  <c r="E366" i="4"/>
  <c r="E367" i="4"/>
  <c r="E352" i="4"/>
  <c r="E353" i="4"/>
  <c r="E354" i="4"/>
  <c r="E356" i="4"/>
  <c r="E357" i="4"/>
  <c r="E355" i="4"/>
  <c r="E368" i="4"/>
  <c r="E363" i="4"/>
  <c r="E369" i="4"/>
  <c r="E360" i="4"/>
  <c r="E379" i="4"/>
  <c r="E377" i="4"/>
  <c r="E373" i="4"/>
  <c r="E374" i="4"/>
  <c r="E370" i="4"/>
  <c r="E371" i="4"/>
  <c r="E375" i="4"/>
  <c r="E376" i="4"/>
  <c r="E378" i="4"/>
  <c r="E372" i="4"/>
  <c r="E381" i="4"/>
  <c r="E390" i="4"/>
  <c r="E389" i="4"/>
  <c r="E396" i="4"/>
  <c r="E388" i="4"/>
  <c r="E397" i="4"/>
  <c r="E398" i="4"/>
  <c r="E399" i="4"/>
  <c r="E400" i="4"/>
  <c r="E401" i="4"/>
  <c r="E391" i="4"/>
  <c r="E392" i="4"/>
  <c r="E393" i="4"/>
  <c r="E402" i="4"/>
  <c r="E403" i="4"/>
  <c r="E404" i="4"/>
  <c r="E405" i="4"/>
  <c r="E394" i="4"/>
  <c r="E395" i="4"/>
  <c r="E406" i="4"/>
  <c r="E407" i="4"/>
  <c r="E408" i="4"/>
  <c r="E409" i="4"/>
  <c r="E410" i="4"/>
  <c r="E411" i="4"/>
  <c r="E387" i="4"/>
  <c r="D2" i="12"/>
  <c r="F2" i="12"/>
  <c r="I188" i="4"/>
  <c r="I23" i="4"/>
  <c r="I179" i="4"/>
  <c r="I180" i="4"/>
  <c r="I286" i="4"/>
  <c r="I187" i="4"/>
  <c r="I238" i="4"/>
  <c r="I266" i="4"/>
  <c r="I240" i="4"/>
  <c r="I241" i="4"/>
  <c r="I243" i="4"/>
  <c r="I267" i="4"/>
  <c r="I244" i="4"/>
  <c r="I268" i="4"/>
  <c r="I121" i="4"/>
  <c r="I269" i="4"/>
  <c r="I270" i="4"/>
  <c r="I271" i="4"/>
  <c r="I272" i="4"/>
  <c r="I151" i="4"/>
  <c r="I210" i="4"/>
  <c r="I220" i="4"/>
  <c r="I221" i="4"/>
  <c r="I250" i="4"/>
  <c r="I192" i="4"/>
  <c r="I213" i="4"/>
  <c r="I77" i="4"/>
  <c r="I290" i="4"/>
  <c r="I199" i="4"/>
  <c r="I263" i="4"/>
  <c r="I186" i="4"/>
  <c r="I239" i="4"/>
  <c r="I242" i="4"/>
  <c r="I273" i="4"/>
  <c r="I9" i="4"/>
  <c r="I190" i="4"/>
  <c r="I10" i="4"/>
  <c r="I26" i="2"/>
  <c r="I16" i="4"/>
  <c r="I278" i="4"/>
  <c r="I284" i="4"/>
  <c r="I8" i="4"/>
  <c r="I296" i="4"/>
  <c r="I251" i="4"/>
  <c r="I252" i="4"/>
  <c r="I279" i="4"/>
  <c r="I280" i="4"/>
  <c r="I281" i="4"/>
  <c r="I291" i="4"/>
  <c r="I196" i="4"/>
  <c r="I218" i="4"/>
  <c r="I228" i="4"/>
  <c r="I292" i="4"/>
  <c r="I297" i="4"/>
  <c r="I197" i="4"/>
  <c r="I294" i="4"/>
  <c r="I246" i="4"/>
  <c r="I194" i="4"/>
  <c r="I141" i="4"/>
  <c r="I116" i="4"/>
  <c r="I234" i="4"/>
  <c r="I235" i="4"/>
  <c r="I155" i="4"/>
  <c r="I191" i="4"/>
  <c r="I249" i="4"/>
  <c r="I295" i="4"/>
  <c r="I73" i="4"/>
  <c r="I212" i="4"/>
  <c r="I255" i="4"/>
  <c r="I256" i="4"/>
  <c r="I230" i="4"/>
  <c r="I258" i="4"/>
  <c r="I178" i="4"/>
  <c r="I285" i="4"/>
  <c r="I237" i="4"/>
  <c r="I189" i="4"/>
  <c r="I277" i="4"/>
  <c r="I222" i="4"/>
  <c r="I254" i="4"/>
  <c r="I231" i="4"/>
  <c r="I219" i="4"/>
  <c r="I122" i="4"/>
  <c r="I229" i="4"/>
  <c r="I257" i="4"/>
  <c r="I260" i="4"/>
  <c r="I114" i="4"/>
  <c r="I145" i="4"/>
  <c r="I183" i="4"/>
  <c r="I236" i="4"/>
  <c r="I127" i="4"/>
  <c r="I289" i="4"/>
  <c r="I223" i="4"/>
  <c r="I214" i="4"/>
  <c r="I111" i="4"/>
  <c r="I134" i="4"/>
  <c r="I135" i="4"/>
  <c r="I176" i="4"/>
  <c r="I137" i="4"/>
  <c r="I138" i="4"/>
  <c r="I140" i="4"/>
  <c r="I117" i="4"/>
  <c r="I142" i="4"/>
  <c r="I27" i="4"/>
  <c r="I143" i="4"/>
  <c r="I28" i="4"/>
  <c r="I123" i="4"/>
  <c r="I168" i="4"/>
  <c r="I173" i="4"/>
  <c r="I91" i="4"/>
  <c r="I93" i="4"/>
  <c r="I95" i="4"/>
  <c r="I96" i="4"/>
  <c r="I50" i="4"/>
  <c r="I276" i="4"/>
  <c r="I158" i="4"/>
  <c r="I275" i="4"/>
  <c r="I124" i="4"/>
  <c r="I211" i="4"/>
  <c r="I165" i="4"/>
  <c r="I166" i="4"/>
  <c r="I167" i="4"/>
  <c r="I174" i="4"/>
  <c r="I144" i="4"/>
  <c r="I120" i="4"/>
  <c r="I80" i="4"/>
  <c r="I169" i="4"/>
  <c r="I171" i="4"/>
  <c r="I206" i="4"/>
  <c r="I172" i="4"/>
  <c r="I298" i="4"/>
  <c r="I200" i="4"/>
  <c r="I201" i="4"/>
  <c r="I14" i="4"/>
  <c r="I74" i="4"/>
  <c r="I45" i="4"/>
  <c r="I47" i="4"/>
  <c r="I85" i="4"/>
  <c r="I86" i="4"/>
  <c r="I170" i="4"/>
  <c r="I88" i="4"/>
  <c r="I90" i="4"/>
  <c r="I182" i="4"/>
  <c r="I52" i="4"/>
  <c r="I54" i="4"/>
  <c r="I59" i="4"/>
  <c r="I202" i="4"/>
  <c r="I193" i="4"/>
  <c r="I112" i="4"/>
  <c r="I195" i="4"/>
  <c r="I207" i="4"/>
  <c r="I208" i="4"/>
  <c r="I115" i="4"/>
  <c r="I105" i="4"/>
  <c r="I125" i="4"/>
  <c r="I215" i="4"/>
  <c r="I209" i="4"/>
  <c r="I283" i="4"/>
  <c r="I118" i="4"/>
  <c r="I53" i="4"/>
  <c r="I72" i="4"/>
  <c r="I89" i="4"/>
  <c r="I51" i="4"/>
  <c r="I55" i="4"/>
  <c r="I56" i="4"/>
  <c r="I57" i="4"/>
  <c r="I71" i="4"/>
  <c r="I79" i="4"/>
  <c r="I136" i="4"/>
  <c r="I2" i="4"/>
  <c r="I205" i="4"/>
  <c r="I101" i="4"/>
  <c r="I30" i="4"/>
  <c r="I225" i="4"/>
  <c r="I274" i="4"/>
  <c r="I159" i="4"/>
  <c r="I160" i="4"/>
  <c r="I153" i="4"/>
  <c r="I18" i="4"/>
  <c r="I40" i="4"/>
  <c r="I97" i="4"/>
  <c r="I99" i="4"/>
  <c r="I184" i="4"/>
  <c r="I203" i="4"/>
  <c r="I78" i="4"/>
  <c r="I13" i="4"/>
  <c r="I217" i="4"/>
  <c r="I70" i="4"/>
  <c r="I185" i="4"/>
  <c r="I216" i="4"/>
  <c r="I31" i="4"/>
  <c r="I148" i="4"/>
  <c r="I60" i="4"/>
  <c r="I63" i="4"/>
  <c r="I146" i="4"/>
  <c r="I61" i="4"/>
  <c r="I227" i="4"/>
  <c r="I10" i="2"/>
  <c r="I19" i="4"/>
  <c r="I98" i="4"/>
  <c r="I62" i="4"/>
  <c r="I147" i="4"/>
  <c r="I38" i="4"/>
  <c r="I104" i="4"/>
  <c r="I150" i="4"/>
  <c r="I103" i="4"/>
  <c r="I119" i="4"/>
  <c r="I29" i="4"/>
  <c r="I17" i="4"/>
  <c r="I58" i="4"/>
  <c r="I154" i="4"/>
  <c r="I13" i="2"/>
  <c r="I110" i="4"/>
  <c r="I66" i="4"/>
  <c r="I102" i="4"/>
  <c r="I175" i="4"/>
  <c r="I81" i="4"/>
  <c r="I107" i="4"/>
  <c r="I32" i="4"/>
  <c r="I15" i="4"/>
  <c r="I41" i="4"/>
  <c r="I106" i="4"/>
  <c r="I33" i="4"/>
  <c r="I36" i="4"/>
  <c r="I108" i="4"/>
  <c r="I46" i="4"/>
  <c r="I37" i="4"/>
  <c r="I34" i="4"/>
  <c r="H2" i="12"/>
  <c r="J2" i="12"/>
  <c r="M149" i="4"/>
  <c r="M162" i="4"/>
  <c r="M4" i="4"/>
  <c r="M5" i="4"/>
  <c r="M6" i="4"/>
  <c r="M164" i="4"/>
  <c r="M161" i="4"/>
  <c r="M65" i="4"/>
  <c r="M390" i="4"/>
  <c r="M389" i="4"/>
  <c r="M396" i="4"/>
  <c r="M388" i="4"/>
  <c r="M397" i="4"/>
  <c r="M398" i="4"/>
  <c r="M399" i="4"/>
  <c r="M400" i="4"/>
  <c r="M401" i="4"/>
  <c r="M391" i="4"/>
  <c r="M392" i="4"/>
  <c r="M393" i="4"/>
  <c r="M402" i="4"/>
  <c r="M403" i="4"/>
  <c r="M404" i="4"/>
  <c r="M405" i="4"/>
  <c r="M394" i="4"/>
  <c r="M395" i="4"/>
  <c r="M406" i="4"/>
  <c r="M407" i="4"/>
  <c r="M408" i="4"/>
  <c r="M409" i="4"/>
  <c r="M410" i="4"/>
  <c r="M411" i="4"/>
  <c r="M387" i="4"/>
  <c r="L2" i="12"/>
  <c r="N2" i="12"/>
  <c r="Q286" i="4"/>
  <c r="Q293" i="4"/>
  <c r="Q69" i="4"/>
  <c r="P2" i="12"/>
  <c r="R2" i="12"/>
  <c r="V2" i="12"/>
  <c r="Y316" i="4"/>
  <c r="Y360" i="4"/>
  <c r="B384" i="4"/>
  <c r="C384" i="4"/>
  <c r="B386" i="4"/>
  <c r="C386" i="4"/>
  <c r="B383" i="4"/>
  <c r="C383" i="4"/>
  <c r="C382" i="4"/>
  <c r="B2" i="12"/>
  <c r="AG3" i="6"/>
  <c r="AH3" i="6"/>
  <c r="AG4" i="6"/>
  <c r="AH4" i="6"/>
  <c r="AG5" i="6"/>
  <c r="AH5" i="6"/>
  <c r="AG6" i="6"/>
  <c r="AH6" i="6"/>
  <c r="AG21" i="6"/>
  <c r="AH21" i="6"/>
  <c r="AG22" i="6"/>
  <c r="AH22" i="6"/>
  <c r="AG23" i="6"/>
  <c r="AH23" i="6"/>
  <c r="AG47" i="6"/>
  <c r="AH47" i="6"/>
  <c r="AG7" i="6"/>
  <c r="AH7" i="6"/>
  <c r="AG48" i="6"/>
  <c r="AH48" i="6"/>
  <c r="AG8" i="6"/>
  <c r="AH8" i="6"/>
  <c r="AG27" i="6"/>
  <c r="AH27" i="6"/>
  <c r="AG28" i="6"/>
  <c r="AH28" i="6"/>
  <c r="AG29" i="6"/>
  <c r="AH29" i="6"/>
  <c r="AG30" i="6"/>
  <c r="AH30" i="6"/>
  <c r="AG86" i="6"/>
  <c r="AH86" i="6"/>
  <c r="AG87" i="6"/>
  <c r="AH87" i="6"/>
  <c r="AG64" i="6"/>
  <c r="AH64" i="6"/>
  <c r="AG88" i="6"/>
  <c r="AH88" i="6"/>
  <c r="AG37" i="6"/>
  <c r="AH37" i="6"/>
  <c r="AG40" i="6"/>
  <c r="AH40" i="6"/>
  <c r="AG41" i="6"/>
  <c r="AH41" i="6"/>
  <c r="AG42" i="6"/>
  <c r="AH42" i="6"/>
  <c r="AG45" i="6"/>
  <c r="AH45" i="6"/>
  <c r="AG43" i="6"/>
  <c r="AH43" i="6"/>
  <c r="AG282" i="6"/>
  <c r="AH282" i="6"/>
  <c r="AG9" i="6"/>
  <c r="AH9" i="6"/>
  <c r="AG49" i="6"/>
  <c r="AH49" i="6"/>
  <c r="AG50" i="6"/>
  <c r="AH50" i="6"/>
  <c r="AG10" i="6"/>
  <c r="AH10" i="6"/>
  <c r="AG114" i="6"/>
  <c r="AH114" i="6"/>
  <c r="AG11" i="6"/>
  <c r="AH11" i="6"/>
  <c r="AG51" i="6"/>
  <c r="AH51" i="6"/>
  <c r="AG52" i="6"/>
  <c r="AH52" i="6"/>
  <c r="AG62" i="6"/>
  <c r="AH62" i="6"/>
  <c r="AG53" i="6"/>
  <c r="AH53" i="6"/>
  <c r="AG65" i="6"/>
  <c r="AH65" i="6"/>
  <c r="AG66" i="6"/>
  <c r="AH66" i="6"/>
  <c r="AG67" i="6"/>
  <c r="AH67" i="6"/>
  <c r="AG68" i="6"/>
  <c r="AH68" i="6"/>
  <c r="AG69" i="6"/>
  <c r="AH69" i="6"/>
  <c r="AG206" i="6"/>
  <c r="AH206" i="6"/>
  <c r="AG159" i="6"/>
  <c r="AH159" i="6"/>
  <c r="AG70" i="6"/>
  <c r="AH70" i="6"/>
  <c r="AG106" i="6"/>
  <c r="AH106" i="6"/>
  <c r="AG207" i="6"/>
  <c r="AH207" i="6"/>
  <c r="AG89" i="6"/>
  <c r="AH89" i="6"/>
  <c r="AG90" i="6"/>
  <c r="AH90" i="6"/>
  <c r="AG85" i="6"/>
  <c r="AH85" i="6"/>
  <c r="AG91" i="6"/>
  <c r="AH91" i="6"/>
  <c r="AG92" i="6"/>
  <c r="AH92" i="6"/>
  <c r="AG93" i="6"/>
  <c r="AH93" i="6"/>
  <c r="AG94" i="6"/>
  <c r="AH94" i="6"/>
  <c r="AG95" i="6"/>
  <c r="AH95" i="6"/>
  <c r="AG96" i="6"/>
  <c r="AH96" i="6"/>
  <c r="AG103" i="6"/>
  <c r="AH103" i="6"/>
  <c r="AG97" i="6"/>
  <c r="AH97" i="6"/>
  <c r="AG232" i="6"/>
  <c r="AH232" i="6"/>
  <c r="AG233" i="6"/>
  <c r="AH233" i="6"/>
  <c r="AG71" i="6"/>
  <c r="AH71" i="6"/>
  <c r="AG104" i="6"/>
  <c r="AH104" i="6"/>
  <c r="AG105" i="6"/>
  <c r="AH105" i="6"/>
  <c r="AG98" i="6"/>
  <c r="AH98" i="6"/>
  <c r="AG99" i="6"/>
  <c r="AH99" i="6"/>
  <c r="AG100" i="6"/>
  <c r="AH100" i="6"/>
  <c r="AG107" i="6"/>
  <c r="AH107" i="6"/>
  <c r="AG108" i="6"/>
  <c r="AH108" i="6"/>
  <c r="AG109" i="6"/>
  <c r="AH109" i="6"/>
  <c r="AG101" i="6"/>
  <c r="AH101" i="6"/>
  <c r="AG54" i="6"/>
  <c r="AH54" i="6"/>
  <c r="AG115" i="6"/>
  <c r="AH115" i="6"/>
  <c r="AG116" i="6"/>
  <c r="AH116" i="6"/>
  <c r="AG117" i="6"/>
  <c r="AH117" i="6"/>
  <c r="AG55" i="6"/>
  <c r="AH55" i="6"/>
  <c r="AG123" i="6"/>
  <c r="AH123" i="6"/>
  <c r="AG124" i="6"/>
  <c r="AH124" i="6"/>
  <c r="AG125" i="6"/>
  <c r="AH125" i="6"/>
  <c r="AG129" i="6"/>
  <c r="AH129" i="6"/>
  <c r="AG130" i="6"/>
  <c r="AH130" i="6"/>
  <c r="AG271" i="6"/>
  <c r="AH271" i="6"/>
  <c r="AG160" i="6"/>
  <c r="AH160" i="6"/>
  <c r="AG110" i="6"/>
  <c r="AH110" i="6"/>
  <c r="AG111" i="6"/>
  <c r="AH111" i="6"/>
  <c r="AG112" i="6"/>
  <c r="AH112" i="6"/>
  <c r="AG31" i="6"/>
  <c r="AH31" i="6"/>
  <c r="AG165" i="6"/>
  <c r="AH165" i="6"/>
  <c r="AG166" i="6"/>
  <c r="AH166" i="6"/>
  <c r="AG167" i="6"/>
  <c r="AH167" i="6"/>
  <c r="AG208" i="6"/>
  <c r="AH208" i="6"/>
  <c r="AG141" i="6"/>
  <c r="AH141" i="6"/>
  <c r="AG168" i="6"/>
  <c r="AH168" i="6"/>
  <c r="AG56" i="6"/>
  <c r="AH56" i="6"/>
  <c r="AG283" i="6"/>
  <c r="AH283" i="6"/>
  <c r="AG234" i="6"/>
  <c r="AH234" i="6"/>
  <c r="AG196" i="6"/>
  <c r="AH196" i="6"/>
  <c r="AG142" i="6"/>
  <c r="AH142" i="6"/>
  <c r="AG175" i="6"/>
  <c r="AH175" i="6"/>
  <c r="AG176" i="6"/>
  <c r="AH176" i="6"/>
  <c r="AG131" i="6"/>
  <c r="AH131" i="6"/>
  <c r="AG12" i="6"/>
  <c r="AH12" i="6"/>
  <c r="AG296" i="6"/>
  <c r="AH296" i="6"/>
  <c r="AG197" i="6"/>
  <c r="AH197" i="6"/>
  <c r="AG209" i="6"/>
  <c r="AH209" i="6"/>
  <c r="AG143" i="6"/>
  <c r="AH143" i="6"/>
  <c r="AG210" i="6"/>
  <c r="AH210" i="6"/>
  <c r="AG132" i="6"/>
  <c r="AH132" i="6"/>
  <c r="AG13" i="6"/>
  <c r="AH13" i="6"/>
  <c r="AG46" i="6"/>
  <c r="AH46" i="6"/>
  <c r="AG260" i="6"/>
  <c r="AH260" i="6"/>
  <c r="AG24" i="6"/>
  <c r="AH24" i="6"/>
  <c r="AG235" i="6"/>
  <c r="AH235" i="6"/>
  <c r="AG198" i="6"/>
  <c r="AH198" i="6"/>
  <c r="AG72" i="6"/>
  <c r="AH72" i="6"/>
  <c r="AG261" i="6"/>
  <c r="AH261" i="6"/>
  <c r="AG38" i="6"/>
  <c r="AH38" i="6"/>
  <c r="AG73" i="6"/>
  <c r="AH73" i="6"/>
  <c r="AG74" i="6"/>
  <c r="AH74" i="6"/>
  <c r="AG284" i="6"/>
  <c r="AH284" i="6"/>
  <c r="AG75" i="6"/>
  <c r="AH75" i="6"/>
  <c r="AG236" i="6"/>
  <c r="AH236" i="6"/>
  <c r="AG237" i="6"/>
  <c r="AH237" i="6"/>
  <c r="AG211" i="6"/>
  <c r="AH211" i="6"/>
  <c r="AG272" i="6"/>
  <c r="AH272" i="6"/>
  <c r="AG212" i="6"/>
  <c r="AH212" i="6"/>
  <c r="AG133" i="6"/>
  <c r="AH133" i="6"/>
  <c r="AG76" i="6"/>
  <c r="AH76" i="6"/>
  <c r="AG213" i="6"/>
  <c r="AH213" i="6"/>
  <c r="AG25" i="6"/>
  <c r="AH25" i="6"/>
  <c r="AG135" i="6"/>
  <c r="AH135" i="6"/>
  <c r="AG238" i="6"/>
  <c r="AH238" i="6"/>
  <c r="AG161" i="6"/>
  <c r="AH161" i="6"/>
  <c r="AG77" i="6"/>
  <c r="AH77" i="6"/>
  <c r="AG262" i="6"/>
  <c r="AH262" i="6"/>
  <c r="AG273" i="6"/>
  <c r="AH273" i="6"/>
  <c r="AG126" i="6"/>
  <c r="AH126" i="6"/>
  <c r="AG144" i="6"/>
  <c r="AH144" i="6"/>
  <c r="AG239" i="6"/>
  <c r="AH239" i="6"/>
  <c r="AG274" i="6"/>
  <c r="AH274" i="6"/>
  <c r="AG57" i="6"/>
  <c r="AH57" i="6"/>
  <c r="AG214" i="6"/>
  <c r="AH214" i="6"/>
  <c r="AG275" i="6"/>
  <c r="AH275" i="6"/>
  <c r="AG285" i="6"/>
  <c r="AH285" i="6"/>
  <c r="AG118" i="6"/>
  <c r="AH118" i="6"/>
  <c r="AG119" i="6"/>
  <c r="AH119" i="6"/>
  <c r="AG14" i="6"/>
  <c r="AH14" i="6"/>
  <c r="AG120" i="6"/>
  <c r="AH120" i="6"/>
  <c r="AG199" i="6"/>
  <c r="AH199" i="6"/>
  <c r="AG153" i="6"/>
  <c r="AH153" i="6"/>
  <c r="AG215" i="6"/>
  <c r="AH215" i="6"/>
  <c r="AG200" i="6"/>
  <c r="AH200" i="6"/>
  <c r="AG26" i="6"/>
  <c r="AH26" i="6"/>
  <c r="AG263" i="6"/>
  <c r="AH263" i="6"/>
  <c r="AG121" i="6"/>
  <c r="AH121" i="6"/>
  <c r="AG127" i="6"/>
  <c r="AH127" i="6"/>
  <c r="AG240" i="6"/>
  <c r="AH240" i="6"/>
  <c r="AG241" i="6"/>
  <c r="AH241" i="6"/>
  <c r="AG242" i="6"/>
  <c r="AH242" i="6"/>
  <c r="AG134" i="6"/>
  <c r="AH134" i="6"/>
  <c r="AG58" i="6"/>
  <c r="AH58" i="6"/>
  <c r="AG39" i="6"/>
  <c r="AH39" i="6"/>
  <c r="AG44" i="6"/>
  <c r="AH44" i="6"/>
  <c r="AG177" i="6"/>
  <c r="AH177" i="6"/>
  <c r="AG78" i="6"/>
  <c r="AH78" i="6"/>
  <c r="AG32" i="6"/>
  <c r="AH32" i="6"/>
  <c r="AG190" i="6"/>
  <c r="AH190" i="6"/>
  <c r="AG136" i="6"/>
  <c r="AH136" i="6"/>
  <c r="AG137" i="6"/>
  <c r="AH137" i="6"/>
  <c r="AG138" i="6"/>
  <c r="AH138" i="6"/>
  <c r="AG243" i="6"/>
  <c r="AH243" i="6"/>
  <c r="AG244" i="6"/>
  <c r="AH244" i="6"/>
  <c r="AG245" i="6"/>
  <c r="AH245" i="6"/>
  <c r="AG33" i="6"/>
  <c r="AH33" i="6"/>
  <c r="AG79" i="6"/>
  <c r="AH79" i="6"/>
  <c r="AG113" i="6"/>
  <c r="AH113" i="6"/>
  <c r="AG246" i="6"/>
  <c r="AH246" i="6"/>
  <c r="AG247" i="6"/>
  <c r="AH247" i="6"/>
  <c r="AG286" i="6"/>
  <c r="AH286" i="6"/>
  <c r="AG287" i="6"/>
  <c r="AH287" i="6"/>
  <c r="AG34" i="6"/>
  <c r="AH34" i="6"/>
  <c r="AG178" i="6"/>
  <c r="AH178" i="6"/>
  <c r="AG154" i="6"/>
  <c r="AH154" i="6"/>
  <c r="AG248" i="6"/>
  <c r="AH248" i="6"/>
  <c r="AG276" i="6"/>
  <c r="AH276" i="6"/>
  <c r="AG249" i="6"/>
  <c r="AH249" i="6"/>
  <c r="AG80" i="6"/>
  <c r="AH80" i="6"/>
  <c r="AG250" i="6"/>
  <c r="AH250" i="6"/>
  <c r="AG81" i="6"/>
  <c r="AH81" i="6"/>
  <c r="AG264" i="6"/>
  <c r="AH264" i="6"/>
  <c r="AG162" i="6"/>
  <c r="AH162" i="6"/>
  <c r="AG288" i="6"/>
  <c r="AH288" i="6"/>
  <c r="AG145" i="6"/>
  <c r="AH145" i="6"/>
  <c r="AG59" i="6"/>
  <c r="AH59" i="6"/>
  <c r="AG216" i="6"/>
  <c r="AH216" i="6"/>
  <c r="AG217" i="6"/>
  <c r="AH217" i="6"/>
  <c r="AG218" i="6"/>
  <c r="AH218" i="6"/>
  <c r="AG201" i="6"/>
  <c r="AH201" i="6"/>
  <c r="AG219" i="6"/>
  <c r="AH219" i="6"/>
  <c r="AG128" i="6"/>
  <c r="AH128" i="6"/>
  <c r="AG146" i="6"/>
  <c r="AH146" i="6"/>
  <c r="AG147" i="6"/>
  <c r="AH147" i="6"/>
  <c r="AG179" i="6"/>
  <c r="AH179" i="6"/>
  <c r="AG155" i="6"/>
  <c r="AH155" i="6"/>
  <c r="AG220" i="6"/>
  <c r="AH220" i="6"/>
  <c r="AG202" i="6"/>
  <c r="AH202" i="6"/>
  <c r="AG221" i="6"/>
  <c r="AH221" i="6"/>
  <c r="AG222" i="6"/>
  <c r="AH222" i="6"/>
  <c r="AG203" i="6"/>
  <c r="AH203" i="6"/>
  <c r="AG223" i="6"/>
  <c r="AH223" i="6"/>
  <c r="AG224" i="6"/>
  <c r="AH224" i="6"/>
  <c r="AG225" i="6"/>
  <c r="AH225" i="6"/>
  <c r="AG148" i="6"/>
  <c r="AH148" i="6"/>
  <c r="AG149" i="6"/>
  <c r="AH149" i="6"/>
  <c r="AG150" i="6"/>
  <c r="AH150" i="6"/>
  <c r="AG82" i="6"/>
  <c r="AH82" i="6"/>
  <c r="AG186" i="6"/>
  <c r="AH186" i="6"/>
  <c r="AG187" i="6"/>
  <c r="AH187" i="6"/>
  <c r="AG188" i="6"/>
  <c r="AH188" i="6"/>
  <c r="AG152" i="6"/>
  <c r="AH152" i="6"/>
  <c r="AG156" i="6"/>
  <c r="AH156" i="6"/>
  <c r="AG163" i="6"/>
  <c r="AH163" i="6"/>
  <c r="AG169" i="6"/>
  <c r="AH169" i="6"/>
  <c r="AG170" i="6"/>
  <c r="AH170" i="6"/>
  <c r="AG180" i="6"/>
  <c r="AH180" i="6"/>
  <c r="AG191" i="6"/>
  <c r="AH191" i="6"/>
  <c r="AG189" i="6"/>
  <c r="AH189" i="6"/>
  <c r="AG192" i="6"/>
  <c r="AH192" i="6"/>
  <c r="AG195" i="6"/>
  <c r="AH195" i="6"/>
  <c r="AG193" i="6"/>
  <c r="AH193" i="6"/>
  <c r="AG194" i="6"/>
  <c r="AH194" i="6"/>
  <c r="AG204" i="6"/>
  <c r="AH204" i="6"/>
  <c r="AG226" i="6"/>
  <c r="AH226" i="6"/>
  <c r="AG164" i="6"/>
  <c r="AH164" i="6"/>
  <c r="AG251" i="6"/>
  <c r="AH251" i="6"/>
  <c r="AG205" i="6"/>
  <c r="AH205" i="6"/>
  <c r="AG252" i="6"/>
  <c r="AH252" i="6"/>
  <c r="AG253" i="6"/>
  <c r="AH253" i="6"/>
  <c r="AG254" i="6"/>
  <c r="AH254" i="6"/>
  <c r="AG255" i="6"/>
  <c r="AH255" i="6"/>
  <c r="AG277" i="6"/>
  <c r="AH277" i="6"/>
  <c r="AG256" i="6"/>
  <c r="AH256" i="6"/>
  <c r="AG257" i="6"/>
  <c r="AH257" i="6"/>
  <c r="AG265" i="6"/>
  <c r="AH265" i="6"/>
  <c r="AG266" i="6"/>
  <c r="AH266" i="6"/>
  <c r="AG267" i="6"/>
  <c r="AH267" i="6"/>
  <c r="AG278" i="6"/>
  <c r="AH278" i="6"/>
  <c r="AG279" i="6"/>
  <c r="AH279" i="6"/>
  <c r="AG280" i="6"/>
  <c r="AH280" i="6"/>
  <c r="AG281" i="6"/>
  <c r="AH281" i="6"/>
  <c r="AG227" i="6"/>
  <c r="AH227" i="6"/>
  <c r="AG157" i="6"/>
  <c r="AH157" i="6"/>
  <c r="AG35" i="6"/>
  <c r="AH35" i="6"/>
  <c r="AG151" i="6"/>
  <c r="AH151" i="6"/>
  <c r="AG289" i="6"/>
  <c r="AH289" i="6"/>
  <c r="AG268" i="6"/>
  <c r="AH268" i="6"/>
  <c r="AG269" i="6"/>
  <c r="AH269" i="6"/>
  <c r="AG122" i="6"/>
  <c r="AH122" i="6"/>
  <c r="AG228" i="6"/>
  <c r="AH228" i="6"/>
  <c r="AG229" i="6"/>
  <c r="AH229" i="6"/>
  <c r="AG230" i="6"/>
  <c r="AH230" i="6"/>
  <c r="AG258" i="6"/>
  <c r="AH258" i="6"/>
  <c r="AG270" i="6"/>
  <c r="AH270" i="6"/>
  <c r="AG231" i="6"/>
  <c r="AH231" i="6"/>
  <c r="AG83" i="6"/>
  <c r="AH83" i="6"/>
  <c r="AG84" i="6"/>
  <c r="AH84" i="6"/>
  <c r="AG63" i="6"/>
  <c r="AH63" i="6"/>
  <c r="AG60" i="6"/>
  <c r="AH60" i="6"/>
  <c r="AG290" i="6"/>
  <c r="AH290" i="6"/>
  <c r="AG291" i="6"/>
  <c r="AH291" i="6"/>
  <c r="AG292" i="6"/>
  <c r="AH292" i="6"/>
  <c r="AG293" i="6"/>
  <c r="AH293" i="6"/>
  <c r="AG294" i="6"/>
  <c r="AH294" i="6"/>
  <c r="AG171" i="6"/>
  <c r="AH171" i="6"/>
  <c r="AG172" i="6"/>
  <c r="AH172" i="6"/>
  <c r="AG181" i="6"/>
  <c r="AH181" i="6"/>
  <c r="AG158" i="6"/>
  <c r="AH158" i="6"/>
  <c r="AG173" i="6"/>
  <c r="AH173" i="6"/>
  <c r="AG259" i="6"/>
  <c r="AH259" i="6"/>
  <c r="AG295" i="6"/>
  <c r="AH295" i="6"/>
  <c r="AG61" i="6"/>
  <c r="AH61" i="6"/>
  <c r="AG15" i="6"/>
  <c r="AH15" i="6"/>
  <c r="AG16" i="6"/>
  <c r="AH16" i="6"/>
  <c r="AG17" i="6"/>
  <c r="AH17" i="6"/>
  <c r="AG18" i="6"/>
  <c r="AH18" i="6"/>
  <c r="AG19" i="6"/>
  <c r="AH19" i="6"/>
  <c r="AG20" i="6"/>
  <c r="AH20" i="6"/>
  <c r="AG182" i="6"/>
  <c r="AH182" i="6"/>
  <c r="AG36" i="6"/>
  <c r="AH36" i="6"/>
  <c r="AG183" i="6"/>
  <c r="AH183" i="6"/>
  <c r="AG297" i="6"/>
  <c r="AH297" i="6"/>
  <c r="AG174" i="6"/>
  <c r="AH174" i="6"/>
  <c r="AG184" i="6"/>
  <c r="AH184" i="6"/>
  <c r="AG185" i="6"/>
  <c r="AH185" i="6"/>
  <c r="AG102" i="6"/>
  <c r="AH102" i="6"/>
  <c r="AG299" i="6"/>
  <c r="AH299" i="6"/>
  <c r="AG300" i="6"/>
  <c r="AH300" i="6"/>
  <c r="AG301" i="6"/>
  <c r="AH301" i="6"/>
  <c r="AG302" i="6"/>
  <c r="AH302" i="6"/>
  <c r="AG303" i="6"/>
  <c r="AH303" i="6"/>
  <c r="AG304" i="6"/>
  <c r="AH304" i="6"/>
  <c r="AG305" i="6"/>
  <c r="AH305" i="6"/>
  <c r="AG306" i="6"/>
  <c r="AH306" i="6"/>
  <c r="AG307" i="6"/>
  <c r="AH307" i="6"/>
  <c r="AG308" i="6"/>
  <c r="AH308" i="6"/>
  <c r="AG309" i="6"/>
  <c r="AH309" i="6"/>
  <c r="AG310" i="6"/>
  <c r="AH310" i="6"/>
  <c r="AG311" i="6"/>
  <c r="AH311" i="6"/>
  <c r="AG312" i="6"/>
  <c r="AH312" i="6"/>
  <c r="AG313" i="6"/>
  <c r="AH313" i="6"/>
  <c r="AG315" i="6"/>
  <c r="AH315" i="6"/>
  <c r="AG316" i="6"/>
  <c r="AH316" i="6"/>
  <c r="AG317" i="6"/>
  <c r="AH317" i="6"/>
  <c r="AG318" i="6"/>
  <c r="AH318" i="6"/>
  <c r="AG319" i="6"/>
  <c r="AH319" i="6"/>
  <c r="AG320" i="6"/>
  <c r="AH320" i="6"/>
  <c r="AG321" i="6"/>
  <c r="AH321" i="6"/>
  <c r="AG322" i="6"/>
  <c r="AH322" i="6"/>
  <c r="AG323" i="6"/>
  <c r="AH323" i="6"/>
  <c r="AG324" i="6"/>
  <c r="AH324" i="6"/>
  <c r="AG325" i="6"/>
  <c r="AH325" i="6"/>
  <c r="AG326" i="6"/>
  <c r="AH326" i="6"/>
  <c r="AG327" i="6"/>
  <c r="AH327" i="6"/>
  <c r="AG328" i="6"/>
  <c r="AH328" i="6"/>
  <c r="AG329" i="6"/>
  <c r="AH329" i="6"/>
  <c r="AG330" i="6"/>
  <c r="AH330" i="6"/>
  <c r="AG331" i="6"/>
  <c r="AH331" i="6"/>
  <c r="AG332" i="6"/>
  <c r="AH332" i="6"/>
  <c r="AG333" i="6"/>
  <c r="AH333" i="6"/>
  <c r="AG334" i="6"/>
  <c r="AH334" i="6"/>
  <c r="AG335" i="6"/>
  <c r="AH335" i="6"/>
  <c r="AG336" i="6"/>
  <c r="AH336" i="6"/>
  <c r="AG337" i="6"/>
  <c r="AH337" i="6"/>
  <c r="AG338" i="6"/>
  <c r="AH338" i="6"/>
  <c r="AG339" i="6"/>
  <c r="AH339" i="6"/>
  <c r="AG340" i="6"/>
  <c r="AH340" i="6"/>
  <c r="AG341" i="6"/>
  <c r="AH341" i="6"/>
  <c r="AG346" i="6"/>
  <c r="AH346" i="6"/>
  <c r="AG342" i="6"/>
  <c r="AH342" i="6"/>
  <c r="AG343" i="6"/>
  <c r="AH343" i="6"/>
  <c r="AG347" i="6"/>
  <c r="AH347" i="6"/>
  <c r="AG344" i="6"/>
  <c r="AH344" i="6"/>
  <c r="AG345" i="6"/>
  <c r="AH345" i="6"/>
  <c r="AG361" i="6"/>
  <c r="AH361" i="6"/>
  <c r="AG348" i="6"/>
  <c r="AH348" i="6"/>
  <c r="AG362" i="6"/>
  <c r="AH362" i="6"/>
  <c r="AG349" i="6"/>
  <c r="AH349" i="6"/>
  <c r="AG350" i="6"/>
  <c r="AH350" i="6"/>
  <c r="AG351" i="6"/>
  <c r="AH351" i="6"/>
  <c r="AG352" i="6"/>
  <c r="AH352" i="6"/>
  <c r="AG353" i="6"/>
  <c r="AH353" i="6"/>
  <c r="AG354" i="6"/>
  <c r="AH354" i="6"/>
  <c r="AG355" i="6"/>
  <c r="AH355" i="6"/>
  <c r="AG356" i="6"/>
  <c r="AH356" i="6"/>
  <c r="AG363" i="6"/>
  <c r="AH363" i="6"/>
  <c r="AG364" i="6"/>
  <c r="AH364" i="6"/>
  <c r="AG365" i="6"/>
  <c r="AH365" i="6"/>
  <c r="AG366" i="6"/>
  <c r="AH366" i="6"/>
  <c r="AG367" i="6"/>
  <c r="AH367" i="6"/>
  <c r="AG368" i="6"/>
  <c r="AH368" i="6"/>
  <c r="AG369" i="6"/>
  <c r="AH369" i="6"/>
  <c r="AG357" i="6"/>
  <c r="AH357" i="6"/>
  <c r="AG358" i="6"/>
  <c r="AH358" i="6"/>
  <c r="AG359" i="6"/>
  <c r="AH359" i="6"/>
  <c r="AG360" i="6"/>
  <c r="AH360" i="6"/>
  <c r="AG370" i="6"/>
  <c r="AH370" i="6"/>
  <c r="AG371" i="6"/>
  <c r="AH371" i="6"/>
  <c r="AG372" i="6"/>
  <c r="AH372" i="6"/>
  <c r="AG373" i="6"/>
  <c r="AH373" i="6"/>
  <c r="AG374" i="6"/>
  <c r="AH374" i="6"/>
  <c r="AG375" i="6"/>
  <c r="AH375" i="6"/>
  <c r="AG376" i="6"/>
  <c r="AH376" i="6"/>
  <c r="AG377" i="6"/>
  <c r="AH377" i="6"/>
  <c r="AG378" i="6"/>
  <c r="AH378" i="6"/>
  <c r="AG379" i="6"/>
  <c r="AH379" i="6"/>
  <c r="AG380" i="6"/>
  <c r="AH380" i="6"/>
  <c r="AG383" i="6"/>
  <c r="AH383" i="6"/>
  <c r="AG386" i="6"/>
  <c r="AH386" i="6"/>
  <c r="AG382" i="6"/>
  <c r="AH382" i="6"/>
  <c r="AG385" i="6"/>
  <c r="AH385" i="6"/>
  <c r="AG384" i="6"/>
  <c r="AH384" i="6"/>
  <c r="AG410" i="6"/>
  <c r="AH410" i="6"/>
  <c r="AG388" i="6"/>
  <c r="AH388" i="6"/>
  <c r="AG409" i="6"/>
  <c r="AH409" i="6"/>
  <c r="AG408" i="6"/>
  <c r="AH408" i="6"/>
  <c r="AG391" i="6"/>
  <c r="AH391" i="6"/>
  <c r="AG392" i="6"/>
  <c r="AH392" i="6"/>
  <c r="AG393" i="6"/>
  <c r="AH393" i="6"/>
  <c r="AG394" i="6"/>
  <c r="AH394" i="6"/>
  <c r="AG395" i="6"/>
  <c r="AH395" i="6"/>
  <c r="AG390" i="6"/>
  <c r="AH390" i="6"/>
  <c r="AG406" i="6"/>
  <c r="AH406" i="6"/>
  <c r="AG396" i="6"/>
  <c r="AH396" i="6"/>
  <c r="AG397" i="6"/>
  <c r="AH397" i="6"/>
  <c r="AG398" i="6"/>
  <c r="AH398" i="6"/>
  <c r="AG399" i="6"/>
  <c r="AH399" i="6"/>
  <c r="AG400" i="6"/>
  <c r="AH400" i="6"/>
  <c r="AG401" i="6"/>
  <c r="AH401" i="6"/>
  <c r="AG387" i="6"/>
  <c r="AH387" i="6"/>
  <c r="AG407" i="6"/>
  <c r="AH407" i="6"/>
  <c r="AG402" i="6"/>
  <c r="AH402" i="6"/>
  <c r="AG389" i="6"/>
  <c r="AH389" i="6"/>
  <c r="AG411" i="6"/>
  <c r="AH411" i="6"/>
  <c r="AG403" i="6"/>
  <c r="AH403" i="6"/>
  <c r="AG404" i="6"/>
  <c r="AH404" i="6"/>
  <c r="AG405" i="6"/>
  <c r="AH405" i="6"/>
  <c r="AH2" i="6"/>
  <c r="AG2" i="6"/>
  <c r="AF3" i="6"/>
  <c r="AF4" i="6"/>
  <c r="AF5" i="6"/>
  <c r="AF6" i="6"/>
  <c r="AF21" i="6"/>
  <c r="AF22" i="6"/>
  <c r="AF23" i="6"/>
  <c r="AF47" i="6"/>
  <c r="AF7" i="6"/>
  <c r="AF48" i="6"/>
  <c r="AF8" i="6"/>
  <c r="AF27" i="6"/>
  <c r="AF28" i="6"/>
  <c r="AF29" i="6"/>
  <c r="AF30" i="6"/>
  <c r="AF86" i="6"/>
  <c r="AF87" i="6"/>
  <c r="AF64" i="6"/>
  <c r="AF88" i="6"/>
  <c r="AF37" i="6"/>
  <c r="AF40" i="6"/>
  <c r="AF41" i="6"/>
  <c r="AF42" i="6"/>
  <c r="AF45" i="6"/>
  <c r="AF43" i="6"/>
  <c r="AF282" i="6"/>
  <c r="AF9" i="6"/>
  <c r="AF49" i="6"/>
  <c r="AF50" i="6"/>
  <c r="AF10" i="6"/>
  <c r="AF114" i="6"/>
  <c r="AF11" i="6"/>
  <c r="AF51" i="6"/>
  <c r="AF52" i="6"/>
  <c r="AF62" i="6"/>
  <c r="AF53" i="6"/>
  <c r="AF65" i="6"/>
  <c r="AF66" i="6"/>
  <c r="AF67" i="6"/>
  <c r="AF68" i="6"/>
  <c r="AF69" i="6"/>
  <c r="AF206" i="6"/>
  <c r="AF159" i="6"/>
  <c r="AF70" i="6"/>
  <c r="AF106" i="6"/>
  <c r="AF207" i="6"/>
  <c r="AF89" i="6"/>
  <c r="AF90" i="6"/>
  <c r="AF85" i="6"/>
  <c r="AF91" i="6"/>
  <c r="AF92" i="6"/>
  <c r="AF93" i="6"/>
  <c r="AF94" i="6"/>
  <c r="AF95" i="6"/>
  <c r="AF96" i="6"/>
  <c r="AF103" i="6"/>
  <c r="AF97" i="6"/>
  <c r="AF232" i="6"/>
  <c r="AF233" i="6"/>
  <c r="AF71" i="6"/>
  <c r="AF104" i="6"/>
  <c r="AF105" i="6"/>
  <c r="AF98" i="6"/>
  <c r="AF99" i="6"/>
  <c r="AF100" i="6"/>
  <c r="AF107" i="6"/>
  <c r="AF108" i="6"/>
  <c r="AF109" i="6"/>
  <c r="AF101" i="6"/>
  <c r="AF54" i="6"/>
  <c r="AF115" i="6"/>
  <c r="AF116" i="6"/>
  <c r="AF117" i="6"/>
  <c r="AF55" i="6"/>
  <c r="AF123" i="6"/>
  <c r="AF124" i="6"/>
  <c r="AF125" i="6"/>
  <c r="AF129" i="6"/>
  <c r="AF130" i="6"/>
  <c r="AF271" i="6"/>
  <c r="AF160" i="6"/>
  <c r="AF110" i="6"/>
  <c r="AF111" i="6"/>
  <c r="AF112" i="6"/>
  <c r="AF31" i="6"/>
  <c r="AF165" i="6"/>
  <c r="AF166" i="6"/>
  <c r="AF167" i="6"/>
  <c r="AF208" i="6"/>
  <c r="AF141" i="6"/>
  <c r="AF168" i="6"/>
  <c r="AF56" i="6"/>
  <c r="AF283" i="6"/>
  <c r="AF234" i="6"/>
  <c r="AF196" i="6"/>
  <c r="AF142" i="6"/>
  <c r="AF175" i="6"/>
  <c r="AF176" i="6"/>
  <c r="AF131" i="6"/>
  <c r="AF12" i="6"/>
  <c r="AF296" i="6"/>
  <c r="AF197" i="6"/>
  <c r="AF209" i="6"/>
  <c r="AF143" i="6"/>
  <c r="AF210" i="6"/>
  <c r="AF132" i="6"/>
  <c r="AF13" i="6"/>
  <c r="AF46" i="6"/>
  <c r="AF260" i="6"/>
  <c r="AF24" i="6"/>
  <c r="AF235" i="6"/>
  <c r="AF198" i="6"/>
  <c r="AF72" i="6"/>
  <c r="AF261" i="6"/>
  <c r="AF38" i="6"/>
  <c r="AF73" i="6"/>
  <c r="AF74" i="6"/>
  <c r="AF284" i="6"/>
  <c r="AF75" i="6"/>
  <c r="AF236" i="6"/>
  <c r="AF237" i="6"/>
  <c r="AF211" i="6"/>
  <c r="AF272" i="6"/>
  <c r="AF212" i="6"/>
  <c r="AF133" i="6"/>
  <c r="AF76" i="6"/>
  <c r="AF213" i="6"/>
  <c r="AF25" i="6"/>
  <c r="AF135" i="6"/>
  <c r="AF238" i="6"/>
  <c r="AF161" i="6"/>
  <c r="AF77" i="6"/>
  <c r="AF262" i="6"/>
  <c r="AF273" i="6"/>
  <c r="AF126" i="6"/>
  <c r="AF144" i="6"/>
  <c r="AF239" i="6"/>
  <c r="AF274" i="6"/>
  <c r="AF57" i="6"/>
  <c r="AF214" i="6"/>
  <c r="AF275" i="6"/>
  <c r="AF285" i="6"/>
  <c r="AF118" i="6"/>
  <c r="AF119" i="6"/>
  <c r="AF14" i="6"/>
  <c r="AF120" i="6"/>
  <c r="AF199" i="6"/>
  <c r="AF153" i="6"/>
  <c r="AF215" i="6"/>
  <c r="AF200" i="6"/>
  <c r="AF26" i="6"/>
  <c r="AF263" i="6"/>
  <c r="AF121" i="6"/>
  <c r="AF127" i="6"/>
  <c r="AF240" i="6"/>
  <c r="AF241" i="6"/>
  <c r="AF242" i="6"/>
  <c r="AF134" i="6"/>
  <c r="AF58" i="6"/>
  <c r="AF39" i="6"/>
  <c r="AF44" i="6"/>
  <c r="AF177" i="6"/>
  <c r="AF78" i="6"/>
  <c r="AF32" i="6"/>
  <c r="AF190" i="6"/>
  <c r="AF136" i="6"/>
  <c r="AF137" i="6"/>
  <c r="AF138" i="6"/>
  <c r="AF243" i="6"/>
  <c r="AF244" i="6"/>
  <c r="AF245" i="6"/>
  <c r="AF33" i="6"/>
  <c r="AF79" i="6"/>
  <c r="AF113" i="6"/>
  <c r="AF246" i="6"/>
  <c r="AF247" i="6"/>
  <c r="AF286" i="6"/>
  <c r="AF287" i="6"/>
  <c r="AF34" i="6"/>
  <c r="AF178" i="6"/>
  <c r="AF154" i="6"/>
  <c r="AF248" i="6"/>
  <c r="AF276" i="6"/>
  <c r="AF249" i="6"/>
  <c r="AF80" i="6"/>
  <c r="AF250" i="6"/>
  <c r="AF81" i="6"/>
  <c r="AF264" i="6"/>
  <c r="AF162" i="6"/>
  <c r="AF288" i="6"/>
  <c r="AF145" i="6"/>
  <c r="AF59" i="6"/>
  <c r="AF216" i="6"/>
  <c r="AF217" i="6"/>
  <c r="AF218" i="6"/>
  <c r="AF201" i="6"/>
  <c r="AF219" i="6"/>
  <c r="AF128" i="6"/>
  <c r="AF146" i="6"/>
  <c r="AF147" i="6"/>
  <c r="AF179" i="6"/>
  <c r="AF155" i="6"/>
  <c r="AF220" i="6"/>
  <c r="AF202" i="6"/>
  <c r="AF221" i="6"/>
  <c r="AF222" i="6"/>
  <c r="AF203" i="6"/>
  <c r="AF223" i="6"/>
  <c r="AF224" i="6"/>
  <c r="AF225" i="6"/>
  <c r="AF148" i="6"/>
  <c r="AF149" i="6"/>
  <c r="AF150" i="6"/>
  <c r="AF82" i="6"/>
  <c r="AF186" i="6"/>
  <c r="AF187" i="6"/>
  <c r="AF188" i="6"/>
  <c r="AF152" i="6"/>
  <c r="AF156" i="6"/>
  <c r="AF163" i="6"/>
  <c r="AF169" i="6"/>
  <c r="AF170" i="6"/>
  <c r="AF180" i="6"/>
  <c r="AF191" i="6"/>
  <c r="AF189" i="6"/>
  <c r="AF192" i="6"/>
  <c r="AF195" i="6"/>
  <c r="AF193" i="6"/>
  <c r="AF194" i="6"/>
  <c r="AF204" i="6"/>
  <c r="AF226" i="6"/>
  <c r="AF164" i="6"/>
  <c r="AF251" i="6"/>
  <c r="AF205" i="6"/>
  <c r="AF252" i="6"/>
  <c r="AF253" i="6"/>
  <c r="AF254" i="6"/>
  <c r="AF255" i="6"/>
  <c r="AF277" i="6"/>
  <c r="AF256" i="6"/>
  <c r="AF257" i="6"/>
  <c r="AF265" i="6"/>
  <c r="AF266" i="6"/>
  <c r="AF267" i="6"/>
  <c r="AF278" i="6"/>
  <c r="AF279" i="6"/>
  <c r="AF280" i="6"/>
  <c r="AF281" i="6"/>
  <c r="AF227" i="6"/>
  <c r="AF157" i="6"/>
  <c r="AF35" i="6"/>
  <c r="AF151" i="6"/>
  <c r="AF289" i="6"/>
  <c r="AF268" i="6"/>
  <c r="AF269" i="6"/>
  <c r="AF122" i="6"/>
  <c r="AF228" i="6"/>
  <c r="AF229" i="6"/>
  <c r="AF230" i="6"/>
  <c r="AF258" i="6"/>
  <c r="AF270" i="6"/>
  <c r="AF231" i="6"/>
  <c r="AF83" i="6"/>
  <c r="AF84" i="6"/>
  <c r="AF63" i="6"/>
  <c r="AF60" i="6"/>
  <c r="AF290" i="6"/>
  <c r="AF291" i="6"/>
  <c r="AF292" i="6"/>
  <c r="AF293" i="6"/>
  <c r="AF294" i="6"/>
  <c r="AF171" i="6"/>
  <c r="AF172" i="6"/>
  <c r="AF181" i="6"/>
  <c r="AF158" i="6"/>
  <c r="AF173" i="6"/>
  <c r="AF259" i="6"/>
  <c r="AF295" i="6"/>
  <c r="AF61" i="6"/>
  <c r="AF15" i="6"/>
  <c r="AF16" i="6"/>
  <c r="AF17" i="6"/>
  <c r="AF18" i="6"/>
  <c r="AF19" i="6"/>
  <c r="AF20" i="6"/>
  <c r="AF182" i="6"/>
  <c r="AF36" i="6"/>
  <c r="AF183" i="6"/>
  <c r="AF297" i="6"/>
  <c r="AF174" i="6"/>
  <c r="AF184" i="6"/>
  <c r="AF185" i="6"/>
  <c r="AF102" i="6"/>
  <c r="AF299" i="6"/>
  <c r="AF300" i="6"/>
  <c r="AF301" i="6"/>
  <c r="AF302" i="6"/>
  <c r="AF303" i="6"/>
  <c r="AF304" i="6"/>
  <c r="AF305" i="6"/>
  <c r="AF306" i="6"/>
  <c r="AF307" i="6"/>
  <c r="AF308" i="6"/>
  <c r="AF309" i="6"/>
  <c r="AF310" i="6"/>
  <c r="AF311" i="6"/>
  <c r="AF312" i="6"/>
  <c r="AF313" i="6"/>
  <c r="AF315" i="6"/>
  <c r="AF316" i="6"/>
  <c r="AF317" i="6"/>
  <c r="AF318" i="6"/>
  <c r="AF319" i="6"/>
  <c r="AF320" i="6"/>
  <c r="AF321" i="6"/>
  <c r="AF322" i="6"/>
  <c r="AF323" i="6"/>
  <c r="AF324" i="6"/>
  <c r="AF325" i="6"/>
  <c r="AF326" i="6"/>
  <c r="AF327" i="6"/>
  <c r="AF328" i="6"/>
  <c r="AF329" i="6"/>
  <c r="AF330" i="6"/>
  <c r="AF331" i="6"/>
  <c r="AF332" i="6"/>
  <c r="AF333" i="6"/>
  <c r="AF334" i="6"/>
  <c r="AF335" i="6"/>
  <c r="AF336" i="6"/>
  <c r="AF337" i="6"/>
  <c r="AF338" i="6"/>
  <c r="AF339" i="6"/>
  <c r="AF340" i="6"/>
  <c r="AF341" i="6"/>
  <c r="AF346" i="6"/>
  <c r="AF342" i="6"/>
  <c r="AF343" i="6"/>
  <c r="AF347" i="6"/>
  <c r="AF344" i="6"/>
  <c r="AF345" i="6"/>
  <c r="AF361" i="6"/>
  <c r="AF348" i="6"/>
  <c r="AF362" i="6"/>
  <c r="AF349" i="6"/>
  <c r="AF350" i="6"/>
  <c r="AF351" i="6"/>
  <c r="AF352" i="6"/>
  <c r="AF353" i="6"/>
  <c r="AF354" i="6"/>
  <c r="AF355" i="6"/>
  <c r="AF356" i="6"/>
  <c r="AF363" i="6"/>
  <c r="AF364" i="6"/>
  <c r="AF365" i="6"/>
  <c r="AF366" i="6"/>
  <c r="AF367" i="6"/>
  <c r="AF368" i="6"/>
  <c r="AF369" i="6"/>
  <c r="AF357" i="6"/>
  <c r="AF358" i="6"/>
  <c r="AF359" i="6"/>
  <c r="AF360" i="6"/>
  <c r="AF370" i="6"/>
  <c r="AF371" i="6"/>
  <c r="AF372" i="6"/>
  <c r="AF373" i="6"/>
  <c r="AF374" i="6"/>
  <c r="AF375" i="6"/>
  <c r="AF376" i="6"/>
  <c r="AF377" i="6"/>
  <c r="AF378" i="6"/>
  <c r="AF379" i="6"/>
  <c r="AF380" i="6"/>
  <c r="AF383" i="6"/>
  <c r="AF386" i="6"/>
  <c r="AF382" i="6"/>
  <c r="AF385" i="6"/>
  <c r="AF384" i="6"/>
  <c r="AF410" i="6"/>
  <c r="AF388" i="6"/>
  <c r="AF409" i="6"/>
  <c r="AF408" i="6"/>
  <c r="AF391" i="6"/>
  <c r="AF392" i="6"/>
  <c r="AF393" i="6"/>
  <c r="AF394" i="6"/>
  <c r="AF395" i="6"/>
  <c r="AF390" i="6"/>
  <c r="AF406" i="6"/>
  <c r="AF396" i="6"/>
  <c r="AF397" i="6"/>
  <c r="AF398" i="6"/>
  <c r="AF399" i="6"/>
  <c r="AF400" i="6"/>
  <c r="AF401" i="6"/>
  <c r="AF387" i="6"/>
  <c r="AF407" i="6"/>
  <c r="AF402" i="6"/>
  <c r="AF389" i="6"/>
  <c r="AF411" i="6"/>
  <c r="AF403" i="6"/>
  <c r="AF404" i="6"/>
  <c r="AF405" i="6"/>
  <c r="AF2" i="6"/>
  <c r="AB3" i="6"/>
  <c r="AC3" i="6"/>
  <c r="AD3" i="6"/>
  <c r="AE3" i="6"/>
  <c r="AB4" i="6"/>
  <c r="AC4" i="6"/>
  <c r="AD4" i="6"/>
  <c r="AE4" i="6"/>
  <c r="AB5" i="6"/>
  <c r="AC5" i="6"/>
  <c r="AD5" i="6"/>
  <c r="AE5" i="6"/>
  <c r="AB6" i="6"/>
  <c r="AC6" i="6"/>
  <c r="AD6" i="6"/>
  <c r="AE6" i="6"/>
  <c r="AB21" i="6"/>
  <c r="AC21" i="6"/>
  <c r="AD21" i="6"/>
  <c r="AE21" i="6"/>
  <c r="AB22" i="6"/>
  <c r="AC22" i="6"/>
  <c r="AD22" i="6"/>
  <c r="AE22" i="6"/>
  <c r="AB23" i="6"/>
  <c r="AC23" i="6"/>
  <c r="AD23" i="6"/>
  <c r="AE23" i="6"/>
  <c r="AB47" i="6"/>
  <c r="AC47" i="6"/>
  <c r="AD47" i="6"/>
  <c r="AE47" i="6"/>
  <c r="AB7" i="6"/>
  <c r="AC7" i="6"/>
  <c r="AD7" i="6"/>
  <c r="AE7" i="6"/>
  <c r="AB48" i="6"/>
  <c r="AC48" i="6"/>
  <c r="AD48" i="6"/>
  <c r="AE48" i="6"/>
  <c r="AB8" i="6"/>
  <c r="AC8" i="6"/>
  <c r="AD8" i="6"/>
  <c r="AE8" i="6"/>
  <c r="AB27" i="6"/>
  <c r="AC27" i="6"/>
  <c r="AD27" i="6"/>
  <c r="AE27" i="6"/>
  <c r="AB28" i="6"/>
  <c r="AC28" i="6"/>
  <c r="AD28" i="6"/>
  <c r="AE28" i="6"/>
  <c r="AB29" i="6"/>
  <c r="AC29" i="6"/>
  <c r="AD29" i="6"/>
  <c r="AE29" i="6"/>
  <c r="AB30" i="6"/>
  <c r="AC30" i="6"/>
  <c r="AD30" i="6"/>
  <c r="AE30" i="6"/>
  <c r="AB86" i="6"/>
  <c r="AC86" i="6"/>
  <c r="AD86" i="6"/>
  <c r="AE86" i="6"/>
  <c r="AB87" i="6"/>
  <c r="AC87" i="6"/>
  <c r="AD87" i="6"/>
  <c r="AE87" i="6"/>
  <c r="AB64" i="6"/>
  <c r="AC64" i="6"/>
  <c r="AD64" i="6"/>
  <c r="AE64" i="6"/>
  <c r="AB88" i="6"/>
  <c r="AC88" i="6"/>
  <c r="AD88" i="6"/>
  <c r="AE88" i="6"/>
  <c r="AB37" i="6"/>
  <c r="AC37" i="6"/>
  <c r="AD37" i="6"/>
  <c r="AE37" i="6"/>
  <c r="AB40" i="6"/>
  <c r="AC40" i="6"/>
  <c r="AD40" i="6"/>
  <c r="AE40" i="6"/>
  <c r="AB41" i="6"/>
  <c r="AC41" i="6"/>
  <c r="AD41" i="6"/>
  <c r="AE41" i="6"/>
  <c r="AB42" i="6"/>
  <c r="AC42" i="6"/>
  <c r="AD42" i="6"/>
  <c r="AE42" i="6"/>
  <c r="AB45" i="6"/>
  <c r="AC45" i="6"/>
  <c r="AD45" i="6"/>
  <c r="AE45" i="6"/>
  <c r="AB43" i="6"/>
  <c r="AC43" i="6"/>
  <c r="AD43" i="6"/>
  <c r="AE43" i="6"/>
  <c r="AB282" i="6"/>
  <c r="AC282" i="6"/>
  <c r="AD282" i="6"/>
  <c r="AE282" i="6"/>
  <c r="AB9" i="6"/>
  <c r="AC9" i="6"/>
  <c r="AD9" i="6"/>
  <c r="AE9" i="6"/>
  <c r="AB49" i="6"/>
  <c r="AC49" i="6"/>
  <c r="AD49" i="6"/>
  <c r="AE49" i="6"/>
  <c r="AB50" i="6"/>
  <c r="AC50" i="6"/>
  <c r="AD50" i="6"/>
  <c r="AE50" i="6"/>
  <c r="AB10" i="6"/>
  <c r="AC10" i="6"/>
  <c r="AD10" i="6"/>
  <c r="AE10" i="6"/>
  <c r="AB114" i="6"/>
  <c r="AC114" i="6"/>
  <c r="AD114" i="6"/>
  <c r="AE114" i="6"/>
  <c r="AB11" i="6"/>
  <c r="AC11" i="6"/>
  <c r="AD11" i="6"/>
  <c r="AE11" i="6"/>
  <c r="AB51" i="6"/>
  <c r="AC51" i="6"/>
  <c r="AD51" i="6"/>
  <c r="AE51" i="6"/>
  <c r="AB52" i="6"/>
  <c r="AC52" i="6"/>
  <c r="AD52" i="6"/>
  <c r="AE52" i="6"/>
  <c r="AB62" i="6"/>
  <c r="AC62" i="6"/>
  <c r="AD62" i="6"/>
  <c r="AE62" i="6"/>
  <c r="AB53" i="6"/>
  <c r="AC53" i="6"/>
  <c r="AD53" i="6"/>
  <c r="AE53" i="6"/>
  <c r="AB65" i="6"/>
  <c r="AC65" i="6"/>
  <c r="AD65" i="6"/>
  <c r="AE65" i="6"/>
  <c r="AB66" i="6"/>
  <c r="AC66" i="6"/>
  <c r="AD66" i="6"/>
  <c r="AE66" i="6"/>
  <c r="AB67" i="6"/>
  <c r="AC67" i="6"/>
  <c r="AD67" i="6"/>
  <c r="AE67" i="6"/>
  <c r="AB68" i="6"/>
  <c r="AC68" i="6"/>
  <c r="AD68" i="6"/>
  <c r="AE68" i="6"/>
  <c r="AB69" i="6"/>
  <c r="AC69" i="6"/>
  <c r="AD69" i="6"/>
  <c r="AE69" i="6"/>
  <c r="AB206" i="6"/>
  <c r="AC206" i="6"/>
  <c r="AD206" i="6"/>
  <c r="AE206" i="6"/>
  <c r="AB159" i="6"/>
  <c r="AC159" i="6"/>
  <c r="AD159" i="6"/>
  <c r="AE159" i="6"/>
  <c r="AB70" i="6"/>
  <c r="AC70" i="6"/>
  <c r="AD70" i="6"/>
  <c r="AE70" i="6"/>
  <c r="AB106" i="6"/>
  <c r="AC106" i="6"/>
  <c r="AD106" i="6"/>
  <c r="AE106" i="6"/>
  <c r="AB207" i="6"/>
  <c r="AC207" i="6"/>
  <c r="AD207" i="6"/>
  <c r="AE207" i="6"/>
  <c r="AB89" i="6"/>
  <c r="AC89" i="6"/>
  <c r="AD89" i="6"/>
  <c r="AE89" i="6"/>
  <c r="AB90" i="6"/>
  <c r="AC90" i="6"/>
  <c r="AD90" i="6"/>
  <c r="AE90" i="6"/>
  <c r="AB85" i="6"/>
  <c r="AC85" i="6"/>
  <c r="AD85" i="6"/>
  <c r="AE85" i="6"/>
  <c r="AB91" i="6"/>
  <c r="AC91" i="6"/>
  <c r="AD91" i="6"/>
  <c r="AE91" i="6"/>
  <c r="AB92" i="6"/>
  <c r="AC92" i="6"/>
  <c r="AD92" i="6"/>
  <c r="AE92" i="6"/>
  <c r="AB93" i="6"/>
  <c r="AC93" i="6"/>
  <c r="AD93" i="6"/>
  <c r="AE93" i="6"/>
  <c r="AB94" i="6"/>
  <c r="AC94" i="6"/>
  <c r="AD94" i="6"/>
  <c r="AE94" i="6"/>
  <c r="AB95" i="6"/>
  <c r="AC95" i="6"/>
  <c r="AD95" i="6"/>
  <c r="AE95" i="6"/>
  <c r="AB96" i="6"/>
  <c r="AC96" i="6"/>
  <c r="AD96" i="6"/>
  <c r="AE96" i="6"/>
  <c r="AB103" i="6"/>
  <c r="AC103" i="6"/>
  <c r="AD103" i="6"/>
  <c r="AE103" i="6"/>
  <c r="AB97" i="6"/>
  <c r="AC97" i="6"/>
  <c r="AD97" i="6"/>
  <c r="AE97" i="6"/>
  <c r="AB232" i="6"/>
  <c r="AC232" i="6"/>
  <c r="AD232" i="6"/>
  <c r="AE232" i="6"/>
  <c r="AB233" i="6"/>
  <c r="AC233" i="6"/>
  <c r="AD233" i="6"/>
  <c r="AE233" i="6"/>
  <c r="AB71" i="6"/>
  <c r="AC71" i="6"/>
  <c r="AD71" i="6"/>
  <c r="AE71" i="6"/>
  <c r="AB104" i="6"/>
  <c r="AC104" i="6"/>
  <c r="AD104" i="6"/>
  <c r="AE104" i="6"/>
  <c r="AB105" i="6"/>
  <c r="AC105" i="6"/>
  <c r="AD105" i="6"/>
  <c r="AE105" i="6"/>
  <c r="AB98" i="6"/>
  <c r="AC98" i="6"/>
  <c r="AD98" i="6"/>
  <c r="AE98" i="6"/>
  <c r="AB99" i="6"/>
  <c r="AC99" i="6"/>
  <c r="AD99" i="6"/>
  <c r="AE99" i="6"/>
  <c r="AB100" i="6"/>
  <c r="AC100" i="6"/>
  <c r="AD100" i="6"/>
  <c r="AE100" i="6"/>
  <c r="AB107" i="6"/>
  <c r="AC107" i="6"/>
  <c r="AD107" i="6"/>
  <c r="AE107" i="6"/>
  <c r="AB108" i="6"/>
  <c r="AC108" i="6"/>
  <c r="AD108" i="6"/>
  <c r="AE108" i="6"/>
  <c r="AB109" i="6"/>
  <c r="AC109" i="6"/>
  <c r="AD109" i="6"/>
  <c r="AE109" i="6"/>
  <c r="AB101" i="6"/>
  <c r="AC101" i="6"/>
  <c r="AD101" i="6"/>
  <c r="AE101" i="6"/>
  <c r="AB54" i="6"/>
  <c r="AC54" i="6"/>
  <c r="AD54" i="6"/>
  <c r="AE54" i="6"/>
  <c r="AB115" i="6"/>
  <c r="AC115" i="6"/>
  <c r="AD115" i="6"/>
  <c r="AE115" i="6"/>
  <c r="AB116" i="6"/>
  <c r="AC116" i="6"/>
  <c r="AD116" i="6"/>
  <c r="AE116" i="6"/>
  <c r="AB117" i="6"/>
  <c r="AC117" i="6"/>
  <c r="AD117" i="6"/>
  <c r="AE117" i="6"/>
  <c r="AB55" i="6"/>
  <c r="AC55" i="6"/>
  <c r="AD55" i="6"/>
  <c r="AE55" i="6"/>
  <c r="AB123" i="6"/>
  <c r="AC123" i="6"/>
  <c r="AD123" i="6"/>
  <c r="AE123" i="6"/>
  <c r="AB124" i="6"/>
  <c r="AC124" i="6"/>
  <c r="AD124" i="6"/>
  <c r="AE124" i="6"/>
  <c r="AB125" i="6"/>
  <c r="AC125" i="6"/>
  <c r="AD125" i="6"/>
  <c r="AE125" i="6"/>
  <c r="AB129" i="6"/>
  <c r="AC129" i="6"/>
  <c r="AD129" i="6"/>
  <c r="AE129" i="6"/>
  <c r="AB130" i="6"/>
  <c r="AC130" i="6"/>
  <c r="AD130" i="6"/>
  <c r="AE130" i="6"/>
  <c r="AB271" i="6"/>
  <c r="AC271" i="6"/>
  <c r="AD271" i="6"/>
  <c r="AE271" i="6"/>
  <c r="AB160" i="6"/>
  <c r="AC160" i="6"/>
  <c r="AD160" i="6"/>
  <c r="AE160" i="6"/>
  <c r="AB110" i="6"/>
  <c r="AC110" i="6"/>
  <c r="AD110" i="6"/>
  <c r="AE110" i="6"/>
  <c r="AB111" i="6"/>
  <c r="AC111" i="6"/>
  <c r="AD111" i="6"/>
  <c r="AE111" i="6"/>
  <c r="AB112" i="6"/>
  <c r="AC112" i="6"/>
  <c r="AD112" i="6"/>
  <c r="AE112" i="6"/>
  <c r="AB31" i="6"/>
  <c r="AC31" i="6"/>
  <c r="AD31" i="6"/>
  <c r="AE31" i="6"/>
  <c r="AB165" i="6"/>
  <c r="AC165" i="6"/>
  <c r="AD165" i="6"/>
  <c r="AE165" i="6"/>
  <c r="AB166" i="6"/>
  <c r="AC166" i="6"/>
  <c r="AD166" i="6"/>
  <c r="AE166" i="6"/>
  <c r="AB167" i="6"/>
  <c r="AC167" i="6"/>
  <c r="AD167" i="6"/>
  <c r="AE167" i="6"/>
  <c r="AB208" i="6"/>
  <c r="AC208" i="6"/>
  <c r="AD208" i="6"/>
  <c r="AE208" i="6"/>
  <c r="AB141" i="6"/>
  <c r="AC141" i="6"/>
  <c r="AD141" i="6"/>
  <c r="AE141" i="6"/>
  <c r="AB168" i="6"/>
  <c r="AC168" i="6"/>
  <c r="AD168" i="6"/>
  <c r="AE168" i="6"/>
  <c r="AB56" i="6"/>
  <c r="AC56" i="6"/>
  <c r="AD56" i="6"/>
  <c r="AE56" i="6"/>
  <c r="AB283" i="6"/>
  <c r="AC283" i="6"/>
  <c r="AD283" i="6"/>
  <c r="AE283" i="6"/>
  <c r="AB234" i="6"/>
  <c r="AC234" i="6"/>
  <c r="AD234" i="6"/>
  <c r="AE234" i="6"/>
  <c r="AB196" i="6"/>
  <c r="AC196" i="6"/>
  <c r="AD196" i="6"/>
  <c r="AE196" i="6"/>
  <c r="AB142" i="6"/>
  <c r="AC142" i="6"/>
  <c r="AD142" i="6"/>
  <c r="AE142" i="6"/>
  <c r="AB175" i="6"/>
  <c r="AC175" i="6"/>
  <c r="AD175" i="6"/>
  <c r="AE175" i="6"/>
  <c r="AB176" i="6"/>
  <c r="AC176" i="6"/>
  <c r="AD176" i="6"/>
  <c r="AE176" i="6"/>
  <c r="AB131" i="6"/>
  <c r="AC131" i="6"/>
  <c r="AD131" i="6"/>
  <c r="AE131" i="6"/>
  <c r="AB12" i="6"/>
  <c r="AC12" i="6"/>
  <c r="AD12" i="6"/>
  <c r="AE12" i="6"/>
  <c r="AB296" i="6"/>
  <c r="AC296" i="6"/>
  <c r="AD296" i="6"/>
  <c r="AE296" i="6"/>
  <c r="AB197" i="6"/>
  <c r="AC197" i="6"/>
  <c r="AD197" i="6"/>
  <c r="AE197" i="6"/>
  <c r="AB209" i="6"/>
  <c r="AC209" i="6"/>
  <c r="AD209" i="6"/>
  <c r="AE209" i="6"/>
  <c r="AB143" i="6"/>
  <c r="AC143" i="6"/>
  <c r="AD143" i="6"/>
  <c r="AE143" i="6"/>
  <c r="AB210" i="6"/>
  <c r="AC210" i="6"/>
  <c r="AD210" i="6"/>
  <c r="AE210" i="6"/>
  <c r="AB132" i="6"/>
  <c r="AC132" i="6"/>
  <c r="AD132" i="6"/>
  <c r="AE132" i="6"/>
  <c r="AB13" i="6"/>
  <c r="AC13" i="6"/>
  <c r="AD13" i="6"/>
  <c r="AE13" i="6"/>
  <c r="AB46" i="6"/>
  <c r="AC46" i="6"/>
  <c r="AD46" i="6"/>
  <c r="AE46" i="6"/>
  <c r="AB260" i="6"/>
  <c r="AC260" i="6"/>
  <c r="AD260" i="6"/>
  <c r="AE260" i="6"/>
  <c r="AB24" i="6"/>
  <c r="AC24" i="6"/>
  <c r="AD24" i="6"/>
  <c r="AE24" i="6"/>
  <c r="AB235" i="6"/>
  <c r="AC235" i="6"/>
  <c r="AD235" i="6"/>
  <c r="AE235" i="6"/>
  <c r="AB198" i="6"/>
  <c r="AC198" i="6"/>
  <c r="AD198" i="6"/>
  <c r="AE198" i="6"/>
  <c r="AB72" i="6"/>
  <c r="AC72" i="6"/>
  <c r="AD72" i="6"/>
  <c r="AE72" i="6"/>
  <c r="AB261" i="6"/>
  <c r="AC261" i="6"/>
  <c r="AD261" i="6"/>
  <c r="AE261" i="6"/>
  <c r="AB38" i="6"/>
  <c r="AC38" i="6"/>
  <c r="AD38" i="6"/>
  <c r="AE38" i="6"/>
  <c r="AB73" i="6"/>
  <c r="AC73" i="6"/>
  <c r="AD73" i="6"/>
  <c r="AE73" i="6"/>
  <c r="AB74" i="6"/>
  <c r="AC74" i="6"/>
  <c r="AD74" i="6"/>
  <c r="AE74" i="6"/>
  <c r="AB284" i="6"/>
  <c r="AC284" i="6"/>
  <c r="AD284" i="6"/>
  <c r="AE284" i="6"/>
  <c r="AB75" i="6"/>
  <c r="AC75" i="6"/>
  <c r="AD75" i="6"/>
  <c r="AE75" i="6"/>
  <c r="AB236" i="6"/>
  <c r="AC236" i="6"/>
  <c r="AD236" i="6"/>
  <c r="AE236" i="6"/>
  <c r="AB237" i="6"/>
  <c r="AC237" i="6"/>
  <c r="AD237" i="6"/>
  <c r="AE237" i="6"/>
  <c r="AB211" i="6"/>
  <c r="AC211" i="6"/>
  <c r="AD211" i="6"/>
  <c r="AE211" i="6"/>
  <c r="AB272" i="6"/>
  <c r="AC272" i="6"/>
  <c r="AD272" i="6"/>
  <c r="AE272" i="6"/>
  <c r="AB212" i="6"/>
  <c r="AC212" i="6"/>
  <c r="AD212" i="6"/>
  <c r="AE212" i="6"/>
  <c r="AB133" i="6"/>
  <c r="AC133" i="6"/>
  <c r="AD133" i="6"/>
  <c r="AE133" i="6"/>
  <c r="AB76" i="6"/>
  <c r="AC76" i="6"/>
  <c r="AD76" i="6"/>
  <c r="AE76" i="6"/>
  <c r="AB213" i="6"/>
  <c r="AC213" i="6"/>
  <c r="AD213" i="6"/>
  <c r="AE213" i="6"/>
  <c r="AB25" i="6"/>
  <c r="AC25" i="6"/>
  <c r="AD25" i="6"/>
  <c r="AE25" i="6"/>
  <c r="AB135" i="6"/>
  <c r="AC135" i="6"/>
  <c r="AD135" i="6"/>
  <c r="AE135" i="6"/>
  <c r="AB238" i="6"/>
  <c r="AC238" i="6"/>
  <c r="AD238" i="6"/>
  <c r="AE238" i="6"/>
  <c r="AB161" i="6"/>
  <c r="AC161" i="6"/>
  <c r="AD161" i="6"/>
  <c r="AE161" i="6"/>
  <c r="AB77" i="6"/>
  <c r="AC77" i="6"/>
  <c r="AD77" i="6"/>
  <c r="AE77" i="6"/>
  <c r="AB262" i="6"/>
  <c r="AC262" i="6"/>
  <c r="AD262" i="6"/>
  <c r="AE262" i="6"/>
  <c r="AB273" i="6"/>
  <c r="AC273" i="6"/>
  <c r="AD273" i="6"/>
  <c r="AE273" i="6"/>
  <c r="AB126" i="6"/>
  <c r="AC126" i="6"/>
  <c r="AD126" i="6"/>
  <c r="AE126" i="6"/>
  <c r="AB144" i="6"/>
  <c r="AC144" i="6"/>
  <c r="AD144" i="6"/>
  <c r="AE144" i="6"/>
  <c r="AB239" i="6"/>
  <c r="AC239" i="6"/>
  <c r="AD239" i="6"/>
  <c r="AE239" i="6"/>
  <c r="AB274" i="6"/>
  <c r="AC274" i="6"/>
  <c r="AD274" i="6"/>
  <c r="AE274" i="6"/>
  <c r="AB57" i="6"/>
  <c r="AC57" i="6"/>
  <c r="AD57" i="6"/>
  <c r="AE57" i="6"/>
  <c r="AB214" i="6"/>
  <c r="AC214" i="6"/>
  <c r="AD214" i="6"/>
  <c r="AE214" i="6"/>
  <c r="AB275" i="6"/>
  <c r="AC275" i="6"/>
  <c r="AD275" i="6"/>
  <c r="AE275" i="6"/>
  <c r="AB285" i="6"/>
  <c r="AC285" i="6"/>
  <c r="AD285" i="6"/>
  <c r="AE285" i="6"/>
  <c r="AB118" i="6"/>
  <c r="AC118" i="6"/>
  <c r="AD118" i="6"/>
  <c r="AE118" i="6"/>
  <c r="AB119" i="6"/>
  <c r="AC119" i="6"/>
  <c r="AD119" i="6"/>
  <c r="AE119" i="6"/>
  <c r="AB14" i="6"/>
  <c r="AC14" i="6"/>
  <c r="AD14" i="6"/>
  <c r="AE14" i="6"/>
  <c r="AB120" i="6"/>
  <c r="AC120" i="6"/>
  <c r="AD120" i="6"/>
  <c r="AE120" i="6"/>
  <c r="AB199" i="6"/>
  <c r="AC199" i="6"/>
  <c r="AD199" i="6"/>
  <c r="AE199" i="6"/>
  <c r="AB153" i="6"/>
  <c r="AC153" i="6"/>
  <c r="AD153" i="6"/>
  <c r="AE153" i="6"/>
  <c r="AB215" i="6"/>
  <c r="AC215" i="6"/>
  <c r="AD215" i="6"/>
  <c r="AE215" i="6"/>
  <c r="AB200" i="6"/>
  <c r="AC200" i="6"/>
  <c r="AD200" i="6"/>
  <c r="AE200" i="6"/>
  <c r="AB26" i="6"/>
  <c r="AC26" i="6"/>
  <c r="AD26" i="6"/>
  <c r="AE26" i="6"/>
  <c r="AB263" i="6"/>
  <c r="AC263" i="6"/>
  <c r="AD263" i="6"/>
  <c r="AE263" i="6"/>
  <c r="AB121" i="6"/>
  <c r="AC121" i="6"/>
  <c r="AD121" i="6"/>
  <c r="AE121" i="6"/>
  <c r="AB127" i="6"/>
  <c r="AC127" i="6"/>
  <c r="AD127" i="6"/>
  <c r="AE127" i="6"/>
  <c r="AB240" i="6"/>
  <c r="AC240" i="6"/>
  <c r="AD240" i="6"/>
  <c r="AE240" i="6"/>
  <c r="AB241" i="6"/>
  <c r="AC241" i="6"/>
  <c r="AD241" i="6"/>
  <c r="AE241" i="6"/>
  <c r="AB242" i="6"/>
  <c r="AC242" i="6"/>
  <c r="AD242" i="6"/>
  <c r="AE242" i="6"/>
  <c r="AB134" i="6"/>
  <c r="AC134" i="6"/>
  <c r="AD134" i="6"/>
  <c r="AE134" i="6"/>
  <c r="AB58" i="6"/>
  <c r="AC58" i="6"/>
  <c r="AD58" i="6"/>
  <c r="AE58" i="6"/>
  <c r="AB39" i="6"/>
  <c r="AC39" i="6"/>
  <c r="AD39" i="6"/>
  <c r="AE39" i="6"/>
  <c r="AB44" i="6"/>
  <c r="AC44" i="6"/>
  <c r="AD44" i="6"/>
  <c r="AE44" i="6"/>
  <c r="AB177" i="6"/>
  <c r="AC177" i="6"/>
  <c r="AD177" i="6"/>
  <c r="AE177" i="6"/>
  <c r="AB78" i="6"/>
  <c r="AC78" i="6"/>
  <c r="AD78" i="6"/>
  <c r="AE78" i="6"/>
  <c r="AB32" i="6"/>
  <c r="AC32" i="6"/>
  <c r="AD32" i="6"/>
  <c r="AE32" i="6"/>
  <c r="AB190" i="6"/>
  <c r="AC190" i="6"/>
  <c r="AD190" i="6"/>
  <c r="AE190" i="6"/>
  <c r="AB136" i="6"/>
  <c r="AC136" i="6"/>
  <c r="AD136" i="6"/>
  <c r="AE136" i="6"/>
  <c r="AB137" i="6"/>
  <c r="AC137" i="6"/>
  <c r="AD137" i="6"/>
  <c r="AE137" i="6"/>
  <c r="AB138" i="6"/>
  <c r="AC138" i="6"/>
  <c r="AD138" i="6"/>
  <c r="AE138" i="6"/>
  <c r="AB243" i="6"/>
  <c r="AC243" i="6"/>
  <c r="AD243" i="6"/>
  <c r="AE243" i="6"/>
  <c r="AB244" i="6"/>
  <c r="AC244" i="6"/>
  <c r="AD244" i="6"/>
  <c r="AE244" i="6"/>
  <c r="AB245" i="6"/>
  <c r="AC245" i="6"/>
  <c r="AD245" i="6"/>
  <c r="AE245" i="6"/>
  <c r="AB33" i="6"/>
  <c r="AC33" i="6"/>
  <c r="AD33" i="6"/>
  <c r="AE33" i="6"/>
  <c r="AB79" i="6"/>
  <c r="AC79" i="6"/>
  <c r="AD79" i="6"/>
  <c r="AE79" i="6"/>
  <c r="AB113" i="6"/>
  <c r="AC113" i="6"/>
  <c r="AD113" i="6"/>
  <c r="AE113" i="6"/>
  <c r="AB246" i="6"/>
  <c r="AC246" i="6"/>
  <c r="AD246" i="6"/>
  <c r="AE246" i="6"/>
  <c r="AB247" i="6"/>
  <c r="AC247" i="6"/>
  <c r="AD247" i="6"/>
  <c r="AE247" i="6"/>
  <c r="AB286" i="6"/>
  <c r="AC286" i="6"/>
  <c r="AD286" i="6"/>
  <c r="AE286" i="6"/>
  <c r="AB287" i="6"/>
  <c r="AC287" i="6"/>
  <c r="AD287" i="6"/>
  <c r="AE287" i="6"/>
  <c r="AB34" i="6"/>
  <c r="AC34" i="6"/>
  <c r="AD34" i="6"/>
  <c r="AE34" i="6"/>
  <c r="AB178" i="6"/>
  <c r="AC178" i="6"/>
  <c r="AD178" i="6"/>
  <c r="AE178" i="6"/>
  <c r="AB154" i="6"/>
  <c r="AC154" i="6"/>
  <c r="AD154" i="6"/>
  <c r="AE154" i="6"/>
  <c r="AB248" i="6"/>
  <c r="AC248" i="6"/>
  <c r="AD248" i="6"/>
  <c r="AE248" i="6"/>
  <c r="AB276" i="6"/>
  <c r="AC276" i="6"/>
  <c r="AD276" i="6"/>
  <c r="AE276" i="6"/>
  <c r="AB249" i="6"/>
  <c r="AC249" i="6"/>
  <c r="AD249" i="6"/>
  <c r="AE249" i="6"/>
  <c r="AB80" i="6"/>
  <c r="AC80" i="6"/>
  <c r="AD80" i="6"/>
  <c r="AE80" i="6"/>
  <c r="AB250" i="6"/>
  <c r="AC250" i="6"/>
  <c r="AD250" i="6"/>
  <c r="AE250" i="6"/>
  <c r="AB81" i="6"/>
  <c r="AC81" i="6"/>
  <c r="AD81" i="6"/>
  <c r="AE81" i="6"/>
  <c r="AB264" i="6"/>
  <c r="AC264" i="6"/>
  <c r="AD264" i="6"/>
  <c r="AE264" i="6"/>
  <c r="AB162" i="6"/>
  <c r="AC162" i="6"/>
  <c r="AD162" i="6"/>
  <c r="AE162" i="6"/>
  <c r="AB288" i="6"/>
  <c r="AC288" i="6"/>
  <c r="AD288" i="6"/>
  <c r="AE288" i="6"/>
  <c r="AB145" i="6"/>
  <c r="AC145" i="6"/>
  <c r="AD145" i="6"/>
  <c r="AE145" i="6"/>
  <c r="AB59" i="6"/>
  <c r="AC59" i="6"/>
  <c r="AD59" i="6"/>
  <c r="AE59" i="6"/>
  <c r="AB216" i="6"/>
  <c r="AC216" i="6"/>
  <c r="AD216" i="6"/>
  <c r="AE216" i="6"/>
  <c r="AB217" i="6"/>
  <c r="AC217" i="6"/>
  <c r="AD217" i="6"/>
  <c r="AE217" i="6"/>
  <c r="AB218" i="6"/>
  <c r="AC218" i="6"/>
  <c r="AD218" i="6"/>
  <c r="AE218" i="6"/>
  <c r="AB201" i="6"/>
  <c r="AC201" i="6"/>
  <c r="AD201" i="6"/>
  <c r="AE201" i="6"/>
  <c r="AB219" i="6"/>
  <c r="AC219" i="6"/>
  <c r="AD219" i="6"/>
  <c r="AE219" i="6"/>
  <c r="AB128" i="6"/>
  <c r="AC128" i="6"/>
  <c r="AD128" i="6"/>
  <c r="AE128" i="6"/>
  <c r="AB146" i="6"/>
  <c r="AC146" i="6"/>
  <c r="AD146" i="6"/>
  <c r="AE146" i="6"/>
  <c r="AB147" i="6"/>
  <c r="AC147" i="6"/>
  <c r="AD147" i="6"/>
  <c r="AE147" i="6"/>
  <c r="AB179" i="6"/>
  <c r="AC179" i="6"/>
  <c r="AD179" i="6"/>
  <c r="AE179" i="6"/>
  <c r="AB155" i="6"/>
  <c r="AC155" i="6"/>
  <c r="AD155" i="6"/>
  <c r="AE155" i="6"/>
  <c r="AB220" i="6"/>
  <c r="AC220" i="6"/>
  <c r="AD220" i="6"/>
  <c r="AE220" i="6"/>
  <c r="AB202" i="6"/>
  <c r="AC202" i="6"/>
  <c r="AD202" i="6"/>
  <c r="AE202" i="6"/>
  <c r="AB221" i="6"/>
  <c r="AC221" i="6"/>
  <c r="AD221" i="6"/>
  <c r="AE221" i="6"/>
  <c r="AB222" i="6"/>
  <c r="AC222" i="6"/>
  <c r="AD222" i="6"/>
  <c r="AE222" i="6"/>
  <c r="AB203" i="6"/>
  <c r="AC203" i="6"/>
  <c r="AD203" i="6"/>
  <c r="AE203" i="6"/>
  <c r="AB223" i="6"/>
  <c r="AC223" i="6"/>
  <c r="AD223" i="6"/>
  <c r="AE223" i="6"/>
  <c r="AB224" i="6"/>
  <c r="AC224" i="6"/>
  <c r="AD224" i="6"/>
  <c r="AE224" i="6"/>
  <c r="AB225" i="6"/>
  <c r="AC225" i="6"/>
  <c r="AD225" i="6"/>
  <c r="AE225" i="6"/>
  <c r="AB148" i="6"/>
  <c r="AC148" i="6"/>
  <c r="AD148" i="6"/>
  <c r="AE148" i="6"/>
  <c r="AB149" i="6"/>
  <c r="AC149" i="6"/>
  <c r="AD149" i="6"/>
  <c r="AE149" i="6"/>
  <c r="AB150" i="6"/>
  <c r="AC150" i="6"/>
  <c r="AD150" i="6"/>
  <c r="AE150" i="6"/>
  <c r="AB82" i="6"/>
  <c r="AC82" i="6"/>
  <c r="AD82" i="6"/>
  <c r="AE82" i="6"/>
  <c r="AB186" i="6"/>
  <c r="AC186" i="6"/>
  <c r="AD186" i="6"/>
  <c r="AE186" i="6"/>
  <c r="AB187" i="6"/>
  <c r="AC187" i="6"/>
  <c r="AD187" i="6"/>
  <c r="AE187" i="6"/>
  <c r="AB188" i="6"/>
  <c r="AC188" i="6"/>
  <c r="AD188" i="6"/>
  <c r="AE188" i="6"/>
  <c r="AB152" i="6"/>
  <c r="AC152" i="6"/>
  <c r="AD152" i="6"/>
  <c r="AE152" i="6"/>
  <c r="AB156" i="6"/>
  <c r="AC156" i="6"/>
  <c r="AD156" i="6"/>
  <c r="AE156" i="6"/>
  <c r="AB163" i="6"/>
  <c r="AC163" i="6"/>
  <c r="AD163" i="6"/>
  <c r="AE163" i="6"/>
  <c r="AB169" i="6"/>
  <c r="AC169" i="6"/>
  <c r="AD169" i="6"/>
  <c r="AE169" i="6"/>
  <c r="AB170" i="6"/>
  <c r="AC170" i="6"/>
  <c r="AD170" i="6"/>
  <c r="AE170" i="6"/>
  <c r="AB180" i="6"/>
  <c r="AC180" i="6"/>
  <c r="AD180" i="6"/>
  <c r="AE180" i="6"/>
  <c r="AB191" i="6"/>
  <c r="AC191" i="6"/>
  <c r="AD191" i="6"/>
  <c r="AE191" i="6"/>
  <c r="AB189" i="6"/>
  <c r="AC189" i="6"/>
  <c r="AD189" i="6"/>
  <c r="AE189" i="6"/>
  <c r="AB192" i="6"/>
  <c r="AC192" i="6"/>
  <c r="AD192" i="6"/>
  <c r="AE192" i="6"/>
  <c r="AB195" i="6"/>
  <c r="AC195" i="6"/>
  <c r="AD195" i="6"/>
  <c r="AE195" i="6"/>
  <c r="AB193" i="6"/>
  <c r="AC193" i="6"/>
  <c r="AD193" i="6"/>
  <c r="AE193" i="6"/>
  <c r="AB194" i="6"/>
  <c r="AC194" i="6"/>
  <c r="AD194" i="6"/>
  <c r="AE194" i="6"/>
  <c r="AB204" i="6"/>
  <c r="AC204" i="6"/>
  <c r="AD204" i="6"/>
  <c r="AE204" i="6"/>
  <c r="AB226" i="6"/>
  <c r="AC226" i="6"/>
  <c r="AD226" i="6"/>
  <c r="AE226" i="6"/>
  <c r="AB164" i="6"/>
  <c r="AC164" i="6"/>
  <c r="AD164" i="6"/>
  <c r="AE164" i="6"/>
  <c r="AB251" i="6"/>
  <c r="AC251" i="6"/>
  <c r="AD251" i="6"/>
  <c r="AE251" i="6"/>
  <c r="AB205" i="6"/>
  <c r="AC205" i="6"/>
  <c r="AD205" i="6"/>
  <c r="AE205" i="6"/>
  <c r="AB252" i="6"/>
  <c r="AC252" i="6"/>
  <c r="AD252" i="6"/>
  <c r="AE252" i="6"/>
  <c r="AB253" i="6"/>
  <c r="AC253" i="6"/>
  <c r="AD253" i="6"/>
  <c r="AE253" i="6"/>
  <c r="AB254" i="6"/>
  <c r="AC254" i="6"/>
  <c r="AD254" i="6"/>
  <c r="AE254" i="6"/>
  <c r="AB255" i="6"/>
  <c r="AC255" i="6"/>
  <c r="AD255" i="6"/>
  <c r="AE255" i="6"/>
  <c r="AB277" i="6"/>
  <c r="AC277" i="6"/>
  <c r="AD277" i="6"/>
  <c r="AE277" i="6"/>
  <c r="AB256" i="6"/>
  <c r="AC256" i="6"/>
  <c r="AD256" i="6"/>
  <c r="AE256" i="6"/>
  <c r="AB257" i="6"/>
  <c r="AC257" i="6"/>
  <c r="AD257" i="6"/>
  <c r="AE257" i="6"/>
  <c r="AB265" i="6"/>
  <c r="AC265" i="6"/>
  <c r="AD265" i="6"/>
  <c r="AE265" i="6"/>
  <c r="AB266" i="6"/>
  <c r="AC266" i="6"/>
  <c r="AD266" i="6"/>
  <c r="AE266" i="6"/>
  <c r="AB267" i="6"/>
  <c r="AC267" i="6"/>
  <c r="AD267" i="6"/>
  <c r="AE267" i="6"/>
  <c r="AB278" i="6"/>
  <c r="AC278" i="6"/>
  <c r="AD278" i="6"/>
  <c r="AE278" i="6"/>
  <c r="AB279" i="6"/>
  <c r="AC279" i="6"/>
  <c r="AD279" i="6"/>
  <c r="AE279" i="6"/>
  <c r="AB280" i="6"/>
  <c r="AC280" i="6"/>
  <c r="AD280" i="6"/>
  <c r="AE280" i="6"/>
  <c r="AB281" i="6"/>
  <c r="AC281" i="6"/>
  <c r="AD281" i="6"/>
  <c r="AE281" i="6"/>
  <c r="AB227" i="6"/>
  <c r="AC227" i="6"/>
  <c r="AD227" i="6"/>
  <c r="AE227" i="6"/>
  <c r="AB157" i="6"/>
  <c r="AC157" i="6"/>
  <c r="AD157" i="6"/>
  <c r="AE157" i="6"/>
  <c r="AB35" i="6"/>
  <c r="AC35" i="6"/>
  <c r="AD35" i="6"/>
  <c r="AE35" i="6"/>
  <c r="AB151" i="6"/>
  <c r="AC151" i="6"/>
  <c r="AD151" i="6"/>
  <c r="AE151" i="6"/>
  <c r="AB289" i="6"/>
  <c r="AC289" i="6"/>
  <c r="AD289" i="6"/>
  <c r="AE289" i="6"/>
  <c r="AB268" i="6"/>
  <c r="AC268" i="6"/>
  <c r="AD268" i="6"/>
  <c r="AE268" i="6"/>
  <c r="AB269" i="6"/>
  <c r="AC269" i="6"/>
  <c r="AD269" i="6"/>
  <c r="AE269" i="6"/>
  <c r="AB122" i="6"/>
  <c r="AC122" i="6"/>
  <c r="AD122" i="6"/>
  <c r="AE122" i="6"/>
  <c r="AB228" i="6"/>
  <c r="AC228" i="6"/>
  <c r="AD228" i="6"/>
  <c r="AE228" i="6"/>
  <c r="AB229" i="6"/>
  <c r="AC229" i="6"/>
  <c r="AD229" i="6"/>
  <c r="AE229" i="6"/>
  <c r="AB230" i="6"/>
  <c r="AC230" i="6"/>
  <c r="AD230" i="6"/>
  <c r="AE230" i="6"/>
  <c r="AB258" i="6"/>
  <c r="AC258" i="6"/>
  <c r="AD258" i="6"/>
  <c r="AE258" i="6"/>
  <c r="AB270" i="6"/>
  <c r="AC270" i="6"/>
  <c r="AD270" i="6"/>
  <c r="AE270" i="6"/>
  <c r="AB231" i="6"/>
  <c r="AC231" i="6"/>
  <c r="AD231" i="6"/>
  <c r="AE231" i="6"/>
  <c r="AB83" i="6"/>
  <c r="AC83" i="6"/>
  <c r="AD83" i="6"/>
  <c r="AE83" i="6"/>
  <c r="AB84" i="6"/>
  <c r="AC84" i="6"/>
  <c r="AD84" i="6"/>
  <c r="AE84" i="6"/>
  <c r="AB63" i="6"/>
  <c r="AC63" i="6"/>
  <c r="AD63" i="6"/>
  <c r="AE63" i="6"/>
  <c r="AB60" i="6"/>
  <c r="AC60" i="6"/>
  <c r="AD60" i="6"/>
  <c r="AE60" i="6"/>
  <c r="AB290" i="6"/>
  <c r="AC290" i="6"/>
  <c r="AD290" i="6"/>
  <c r="AE290" i="6"/>
  <c r="AB291" i="6"/>
  <c r="AC291" i="6"/>
  <c r="AD291" i="6"/>
  <c r="AE291" i="6"/>
  <c r="AB292" i="6"/>
  <c r="AC292" i="6"/>
  <c r="AD292" i="6"/>
  <c r="AE292" i="6"/>
  <c r="AB293" i="6"/>
  <c r="AC293" i="6"/>
  <c r="AD293" i="6"/>
  <c r="AE293" i="6"/>
  <c r="AB294" i="6"/>
  <c r="AC294" i="6"/>
  <c r="AD294" i="6"/>
  <c r="AE294" i="6"/>
  <c r="AB171" i="6"/>
  <c r="AC171" i="6"/>
  <c r="AD171" i="6"/>
  <c r="AE171" i="6"/>
  <c r="AB172" i="6"/>
  <c r="AC172" i="6"/>
  <c r="AD172" i="6"/>
  <c r="AE172" i="6"/>
  <c r="AB181" i="6"/>
  <c r="AC181" i="6"/>
  <c r="AD181" i="6"/>
  <c r="AE181" i="6"/>
  <c r="AB158" i="6"/>
  <c r="AC158" i="6"/>
  <c r="AD158" i="6"/>
  <c r="AE158" i="6"/>
  <c r="AB173" i="6"/>
  <c r="AC173" i="6"/>
  <c r="AD173" i="6"/>
  <c r="AE173" i="6"/>
  <c r="AB259" i="6"/>
  <c r="AC259" i="6"/>
  <c r="AD259" i="6"/>
  <c r="AE259" i="6"/>
  <c r="AB295" i="6"/>
  <c r="AC295" i="6"/>
  <c r="AD295" i="6"/>
  <c r="AE295" i="6"/>
  <c r="AB61" i="6"/>
  <c r="AC61" i="6"/>
  <c r="AD61" i="6"/>
  <c r="AE61" i="6"/>
  <c r="AB15" i="6"/>
  <c r="AC15" i="6"/>
  <c r="AD15" i="6"/>
  <c r="AE15" i="6"/>
  <c r="AB16" i="6"/>
  <c r="AC16" i="6"/>
  <c r="AD16" i="6"/>
  <c r="AE16" i="6"/>
  <c r="AB17" i="6"/>
  <c r="AC17" i="6"/>
  <c r="AD17" i="6"/>
  <c r="AE17" i="6"/>
  <c r="AB18" i="6"/>
  <c r="AC18" i="6"/>
  <c r="AD18" i="6"/>
  <c r="AE18" i="6"/>
  <c r="AB19" i="6"/>
  <c r="AC19" i="6"/>
  <c r="AD19" i="6"/>
  <c r="AE19" i="6"/>
  <c r="AB20" i="6"/>
  <c r="AC20" i="6"/>
  <c r="AD20" i="6"/>
  <c r="AE20" i="6"/>
  <c r="AB182" i="6"/>
  <c r="AC182" i="6"/>
  <c r="AD182" i="6"/>
  <c r="AE182" i="6"/>
  <c r="AB36" i="6"/>
  <c r="AC36" i="6"/>
  <c r="AD36" i="6"/>
  <c r="AE36" i="6"/>
  <c r="AB183" i="6"/>
  <c r="AC183" i="6"/>
  <c r="AD183" i="6"/>
  <c r="AE183" i="6"/>
  <c r="AB297" i="6"/>
  <c r="AC297" i="6"/>
  <c r="AD297" i="6"/>
  <c r="AE297" i="6"/>
  <c r="AB174" i="6"/>
  <c r="AC174" i="6"/>
  <c r="AD174" i="6"/>
  <c r="AE174" i="6"/>
  <c r="AB184" i="6"/>
  <c r="AC184" i="6"/>
  <c r="AD184" i="6"/>
  <c r="AE184" i="6"/>
  <c r="AB185" i="6"/>
  <c r="AC185" i="6"/>
  <c r="AD185" i="6"/>
  <c r="AE185" i="6"/>
  <c r="AB102" i="6"/>
  <c r="AC102" i="6"/>
  <c r="AD102" i="6"/>
  <c r="AE102" i="6"/>
  <c r="AB299" i="6"/>
  <c r="AC299" i="6"/>
  <c r="AD299" i="6"/>
  <c r="AE299" i="6"/>
  <c r="AB300" i="6"/>
  <c r="AC300" i="6"/>
  <c r="AD300" i="6"/>
  <c r="AE300" i="6"/>
  <c r="AB301" i="6"/>
  <c r="AC301" i="6"/>
  <c r="AD301" i="6"/>
  <c r="AE301" i="6"/>
  <c r="AB302" i="6"/>
  <c r="AC302" i="6"/>
  <c r="AD302" i="6"/>
  <c r="AE302" i="6"/>
  <c r="AB303" i="6"/>
  <c r="AC303" i="6"/>
  <c r="AD303" i="6"/>
  <c r="AE303" i="6"/>
  <c r="AB304" i="6"/>
  <c r="AC304" i="6"/>
  <c r="AD304" i="6"/>
  <c r="AE304" i="6"/>
  <c r="AB305" i="6"/>
  <c r="AC305" i="6"/>
  <c r="AD305" i="6"/>
  <c r="AE305" i="6"/>
  <c r="AB306" i="6"/>
  <c r="AC306" i="6"/>
  <c r="AD306" i="6"/>
  <c r="AE306" i="6"/>
  <c r="AB307" i="6"/>
  <c r="AC307" i="6"/>
  <c r="AD307" i="6"/>
  <c r="AE307" i="6"/>
  <c r="AB308" i="6"/>
  <c r="AC308" i="6"/>
  <c r="AD308" i="6"/>
  <c r="AE308" i="6"/>
  <c r="AB309" i="6"/>
  <c r="AC309" i="6"/>
  <c r="AD309" i="6"/>
  <c r="AE309" i="6"/>
  <c r="AB310" i="6"/>
  <c r="AC310" i="6"/>
  <c r="AD310" i="6"/>
  <c r="AE310" i="6"/>
  <c r="AB311" i="6"/>
  <c r="AC311" i="6"/>
  <c r="AD311" i="6"/>
  <c r="AE311" i="6"/>
  <c r="AB312" i="6"/>
  <c r="AC312" i="6"/>
  <c r="AD312" i="6"/>
  <c r="AE312" i="6"/>
  <c r="AB313" i="6"/>
  <c r="AC313" i="6"/>
  <c r="AD313" i="6"/>
  <c r="AE313" i="6"/>
  <c r="AB315" i="6"/>
  <c r="AC315" i="6"/>
  <c r="AD315" i="6"/>
  <c r="AE315" i="6"/>
  <c r="AB316" i="6"/>
  <c r="AC316" i="6"/>
  <c r="AD316" i="6"/>
  <c r="AE316" i="6"/>
  <c r="AB317" i="6"/>
  <c r="AC317" i="6"/>
  <c r="AD317" i="6"/>
  <c r="AE317" i="6"/>
  <c r="AB318" i="6"/>
  <c r="AC318" i="6"/>
  <c r="AD318" i="6"/>
  <c r="AE318" i="6"/>
  <c r="AB319" i="6"/>
  <c r="AC319" i="6"/>
  <c r="AD319" i="6"/>
  <c r="AE319" i="6"/>
  <c r="AB320" i="6"/>
  <c r="AC320" i="6"/>
  <c r="AD320" i="6"/>
  <c r="AE320" i="6"/>
  <c r="AB321" i="6"/>
  <c r="AC321" i="6"/>
  <c r="AD321" i="6"/>
  <c r="AE321" i="6"/>
  <c r="AB322" i="6"/>
  <c r="AC322" i="6"/>
  <c r="AD322" i="6"/>
  <c r="AE322" i="6"/>
  <c r="AB323" i="6"/>
  <c r="AC323" i="6"/>
  <c r="AD323" i="6"/>
  <c r="AE323" i="6"/>
  <c r="AB324" i="6"/>
  <c r="AC324" i="6"/>
  <c r="AD324" i="6"/>
  <c r="AE324" i="6"/>
  <c r="AB325" i="6"/>
  <c r="AC325" i="6"/>
  <c r="AD325" i="6"/>
  <c r="AE325" i="6"/>
  <c r="AB326" i="6"/>
  <c r="AC326" i="6"/>
  <c r="AD326" i="6"/>
  <c r="AE326" i="6"/>
  <c r="AB327" i="6"/>
  <c r="AC327" i="6"/>
  <c r="AD327" i="6"/>
  <c r="AE327" i="6"/>
  <c r="AB328" i="6"/>
  <c r="AC328" i="6"/>
  <c r="AD328" i="6"/>
  <c r="AE328" i="6"/>
  <c r="AB329" i="6"/>
  <c r="AC329" i="6"/>
  <c r="AD329" i="6"/>
  <c r="AE329" i="6"/>
  <c r="AB330" i="6"/>
  <c r="AC330" i="6"/>
  <c r="AD330" i="6"/>
  <c r="AE330" i="6"/>
  <c r="AB331" i="6"/>
  <c r="AC331" i="6"/>
  <c r="AD331" i="6"/>
  <c r="AE331" i="6"/>
  <c r="AB332" i="6"/>
  <c r="AC332" i="6"/>
  <c r="AD332" i="6"/>
  <c r="AE332" i="6"/>
  <c r="AB333" i="6"/>
  <c r="AC333" i="6"/>
  <c r="AD333" i="6"/>
  <c r="AE333" i="6"/>
  <c r="AB334" i="6"/>
  <c r="AC334" i="6"/>
  <c r="AD334" i="6"/>
  <c r="AE334" i="6"/>
  <c r="AB335" i="6"/>
  <c r="AC335" i="6"/>
  <c r="AD335" i="6"/>
  <c r="AE335" i="6"/>
  <c r="AB336" i="6"/>
  <c r="AC336" i="6"/>
  <c r="AD336" i="6"/>
  <c r="AE336" i="6"/>
  <c r="AB337" i="6"/>
  <c r="AC337" i="6"/>
  <c r="AD337" i="6"/>
  <c r="AE337" i="6"/>
  <c r="AB338" i="6"/>
  <c r="AC338" i="6"/>
  <c r="AD338" i="6"/>
  <c r="AE338" i="6"/>
  <c r="AB339" i="6"/>
  <c r="AC339" i="6"/>
  <c r="AD339" i="6"/>
  <c r="AE339" i="6"/>
  <c r="AB340" i="6"/>
  <c r="AC340" i="6"/>
  <c r="AD340" i="6"/>
  <c r="AE340" i="6"/>
  <c r="AB341" i="6"/>
  <c r="AC341" i="6"/>
  <c r="AD341" i="6"/>
  <c r="AE341" i="6"/>
  <c r="AB346" i="6"/>
  <c r="AC346" i="6"/>
  <c r="AD346" i="6"/>
  <c r="AE346" i="6"/>
  <c r="AB342" i="6"/>
  <c r="AC342" i="6"/>
  <c r="AD342" i="6"/>
  <c r="AE342" i="6"/>
  <c r="AB343" i="6"/>
  <c r="AC343" i="6"/>
  <c r="AD343" i="6"/>
  <c r="AE343" i="6"/>
  <c r="AB347" i="6"/>
  <c r="AC347" i="6"/>
  <c r="AD347" i="6"/>
  <c r="AE347" i="6"/>
  <c r="AB344" i="6"/>
  <c r="AC344" i="6"/>
  <c r="AD344" i="6"/>
  <c r="AE344" i="6"/>
  <c r="AB345" i="6"/>
  <c r="AC345" i="6"/>
  <c r="AD345" i="6"/>
  <c r="AE345" i="6"/>
  <c r="AB361" i="6"/>
  <c r="AC361" i="6"/>
  <c r="AD361" i="6"/>
  <c r="AE361" i="6"/>
  <c r="AB348" i="6"/>
  <c r="AC348" i="6"/>
  <c r="AD348" i="6"/>
  <c r="AE348" i="6"/>
  <c r="AB362" i="6"/>
  <c r="AC362" i="6"/>
  <c r="AD362" i="6"/>
  <c r="AE362" i="6"/>
  <c r="AB349" i="6"/>
  <c r="AC349" i="6"/>
  <c r="AD349" i="6"/>
  <c r="AE349" i="6"/>
  <c r="AB350" i="6"/>
  <c r="AC350" i="6"/>
  <c r="AD350" i="6"/>
  <c r="AE350" i="6"/>
  <c r="AB351" i="6"/>
  <c r="AC351" i="6"/>
  <c r="AD351" i="6"/>
  <c r="AE351" i="6"/>
  <c r="AB352" i="6"/>
  <c r="AC352" i="6"/>
  <c r="AD352" i="6"/>
  <c r="AE352" i="6"/>
  <c r="AB353" i="6"/>
  <c r="AC353" i="6"/>
  <c r="AD353" i="6"/>
  <c r="AE353" i="6"/>
  <c r="AB354" i="6"/>
  <c r="AC354" i="6"/>
  <c r="AD354" i="6"/>
  <c r="AE354" i="6"/>
  <c r="AB355" i="6"/>
  <c r="AC355" i="6"/>
  <c r="AD355" i="6"/>
  <c r="AE355" i="6"/>
  <c r="AB356" i="6"/>
  <c r="AC356" i="6"/>
  <c r="AD356" i="6"/>
  <c r="AE356" i="6"/>
  <c r="AB363" i="6"/>
  <c r="AC363" i="6"/>
  <c r="AD363" i="6"/>
  <c r="AE363" i="6"/>
  <c r="AB364" i="6"/>
  <c r="AC364" i="6"/>
  <c r="AD364" i="6"/>
  <c r="AE364" i="6"/>
  <c r="AB365" i="6"/>
  <c r="AC365" i="6"/>
  <c r="AD365" i="6"/>
  <c r="AE365" i="6"/>
  <c r="AB366" i="6"/>
  <c r="AC366" i="6"/>
  <c r="AD366" i="6"/>
  <c r="AE366" i="6"/>
  <c r="AB367" i="6"/>
  <c r="AC367" i="6"/>
  <c r="AD367" i="6"/>
  <c r="AE367" i="6"/>
  <c r="AB368" i="6"/>
  <c r="AC368" i="6"/>
  <c r="AD368" i="6"/>
  <c r="AE368" i="6"/>
  <c r="AB369" i="6"/>
  <c r="AC369" i="6"/>
  <c r="AD369" i="6"/>
  <c r="AE369" i="6"/>
  <c r="AB357" i="6"/>
  <c r="AC357" i="6"/>
  <c r="AD357" i="6"/>
  <c r="AE357" i="6"/>
  <c r="AB358" i="6"/>
  <c r="AC358" i="6"/>
  <c r="AD358" i="6"/>
  <c r="AE358" i="6"/>
  <c r="AB359" i="6"/>
  <c r="AC359" i="6"/>
  <c r="AD359" i="6"/>
  <c r="AE359" i="6"/>
  <c r="AB360" i="6"/>
  <c r="AC360" i="6"/>
  <c r="AD360" i="6"/>
  <c r="AE360" i="6"/>
  <c r="AB370" i="6"/>
  <c r="AC370" i="6"/>
  <c r="AD370" i="6"/>
  <c r="AE370" i="6"/>
  <c r="AB371" i="6"/>
  <c r="AC371" i="6"/>
  <c r="AD371" i="6"/>
  <c r="AE371" i="6"/>
  <c r="AB372" i="6"/>
  <c r="AC372" i="6"/>
  <c r="AD372" i="6"/>
  <c r="AE372" i="6"/>
  <c r="AB373" i="6"/>
  <c r="AC373" i="6"/>
  <c r="AD373" i="6"/>
  <c r="AE373" i="6"/>
  <c r="AB374" i="6"/>
  <c r="AC374" i="6"/>
  <c r="AD374" i="6"/>
  <c r="AE374" i="6"/>
  <c r="AB375" i="6"/>
  <c r="AC375" i="6"/>
  <c r="AD375" i="6"/>
  <c r="AE375" i="6"/>
  <c r="AB376" i="6"/>
  <c r="AC376" i="6"/>
  <c r="AD376" i="6"/>
  <c r="AE376" i="6"/>
  <c r="AB377" i="6"/>
  <c r="AC377" i="6"/>
  <c r="AD377" i="6"/>
  <c r="AE377" i="6"/>
  <c r="AB378" i="6"/>
  <c r="AC378" i="6"/>
  <c r="AD378" i="6"/>
  <c r="AE378" i="6"/>
  <c r="AB379" i="6"/>
  <c r="AC379" i="6"/>
  <c r="AD379" i="6"/>
  <c r="AE379" i="6"/>
  <c r="AB380" i="6"/>
  <c r="AC380" i="6"/>
  <c r="AD380" i="6"/>
  <c r="AE380" i="6"/>
  <c r="AB383" i="6"/>
  <c r="AC383" i="6"/>
  <c r="AD383" i="6"/>
  <c r="AE383" i="6"/>
  <c r="AB386" i="6"/>
  <c r="AC386" i="6"/>
  <c r="AD386" i="6"/>
  <c r="AE386" i="6"/>
  <c r="AB382" i="6"/>
  <c r="AC382" i="6"/>
  <c r="AD382" i="6"/>
  <c r="AE382" i="6"/>
  <c r="AB385" i="6"/>
  <c r="AC385" i="6"/>
  <c r="AD385" i="6"/>
  <c r="AE385" i="6"/>
  <c r="AB384" i="6"/>
  <c r="AC384" i="6"/>
  <c r="AD384" i="6"/>
  <c r="AE384" i="6"/>
  <c r="AB410" i="6"/>
  <c r="AC410" i="6"/>
  <c r="AD410" i="6"/>
  <c r="AE410" i="6"/>
  <c r="AB388" i="6"/>
  <c r="AC388" i="6"/>
  <c r="AD388" i="6"/>
  <c r="AE388" i="6"/>
  <c r="AB409" i="6"/>
  <c r="AC409" i="6"/>
  <c r="AD409" i="6"/>
  <c r="AE409" i="6"/>
  <c r="AB408" i="6"/>
  <c r="AC408" i="6"/>
  <c r="AD408" i="6"/>
  <c r="AE408" i="6"/>
  <c r="AB391" i="6"/>
  <c r="AC391" i="6"/>
  <c r="AD391" i="6"/>
  <c r="AE391" i="6"/>
  <c r="AB392" i="6"/>
  <c r="AC392" i="6"/>
  <c r="AD392" i="6"/>
  <c r="AE392" i="6"/>
  <c r="AB393" i="6"/>
  <c r="AC393" i="6"/>
  <c r="AD393" i="6"/>
  <c r="AE393" i="6"/>
  <c r="AB394" i="6"/>
  <c r="AC394" i="6"/>
  <c r="AD394" i="6"/>
  <c r="AE394" i="6"/>
  <c r="AB395" i="6"/>
  <c r="AC395" i="6"/>
  <c r="AD395" i="6"/>
  <c r="AE395" i="6"/>
  <c r="AB390" i="6"/>
  <c r="AC390" i="6"/>
  <c r="AD390" i="6"/>
  <c r="AE390" i="6"/>
  <c r="AB406" i="6"/>
  <c r="AC406" i="6"/>
  <c r="AD406" i="6"/>
  <c r="AE406" i="6"/>
  <c r="AB396" i="6"/>
  <c r="AC396" i="6"/>
  <c r="AD396" i="6"/>
  <c r="AE396" i="6"/>
  <c r="AB397" i="6"/>
  <c r="AC397" i="6"/>
  <c r="AD397" i="6"/>
  <c r="AE397" i="6"/>
  <c r="AB398" i="6"/>
  <c r="AC398" i="6"/>
  <c r="AD398" i="6"/>
  <c r="AE398" i="6"/>
  <c r="AB399" i="6"/>
  <c r="AC399" i="6"/>
  <c r="AD399" i="6"/>
  <c r="AE399" i="6"/>
  <c r="AB400" i="6"/>
  <c r="AC400" i="6"/>
  <c r="AD400" i="6"/>
  <c r="AE400" i="6"/>
  <c r="AB401" i="6"/>
  <c r="AC401" i="6"/>
  <c r="AD401" i="6"/>
  <c r="AE401" i="6"/>
  <c r="AB387" i="6"/>
  <c r="AC387" i="6"/>
  <c r="AD387" i="6"/>
  <c r="AE387" i="6"/>
  <c r="AB407" i="6"/>
  <c r="AC407" i="6"/>
  <c r="AD407" i="6"/>
  <c r="AE407" i="6"/>
  <c r="AB402" i="6"/>
  <c r="AC402" i="6"/>
  <c r="AD402" i="6"/>
  <c r="AE402" i="6"/>
  <c r="AB389" i="6"/>
  <c r="AC389" i="6"/>
  <c r="AD389" i="6"/>
  <c r="AE389" i="6"/>
  <c r="AB411" i="6"/>
  <c r="AC411" i="6"/>
  <c r="AD411" i="6"/>
  <c r="AE411" i="6"/>
  <c r="AB403" i="6"/>
  <c r="AC403" i="6"/>
  <c r="AD403" i="6"/>
  <c r="AE403" i="6"/>
  <c r="AB404" i="6"/>
  <c r="AC404" i="6"/>
  <c r="AD404" i="6"/>
  <c r="AE404" i="6"/>
  <c r="AB405" i="6"/>
  <c r="AC405" i="6"/>
  <c r="AD405" i="6"/>
  <c r="AE405" i="6"/>
  <c r="AB2" i="6"/>
  <c r="AC2" i="6"/>
  <c r="AD2" i="6"/>
  <c r="AE2" i="6"/>
  <c r="Y2" i="6"/>
  <c r="X2" i="6"/>
  <c r="W2" i="6"/>
  <c r="V2" i="6"/>
  <c r="V3" i="6"/>
  <c r="W3" i="6"/>
  <c r="X3" i="6"/>
  <c r="Y3" i="6"/>
  <c r="V4" i="6"/>
  <c r="W4" i="6"/>
  <c r="X4" i="6"/>
  <c r="Y4" i="6"/>
  <c r="V5" i="6"/>
  <c r="W5" i="6"/>
  <c r="X5" i="6"/>
  <c r="Y5" i="6"/>
  <c r="V6" i="6"/>
  <c r="W6" i="6"/>
  <c r="X6" i="6"/>
  <c r="Y6" i="6"/>
  <c r="V21" i="6"/>
  <c r="W21" i="6"/>
  <c r="X21" i="6"/>
  <c r="Y21" i="6"/>
  <c r="V22" i="6"/>
  <c r="W22" i="6"/>
  <c r="X22" i="6"/>
  <c r="Y22" i="6"/>
  <c r="V23" i="6"/>
  <c r="W23" i="6"/>
  <c r="X23" i="6"/>
  <c r="Y23" i="6"/>
  <c r="V47" i="6"/>
  <c r="W47" i="6"/>
  <c r="X47" i="6"/>
  <c r="Y47" i="6"/>
  <c r="V7" i="6"/>
  <c r="W7" i="6"/>
  <c r="X7" i="6"/>
  <c r="Y7" i="6"/>
  <c r="V48" i="6"/>
  <c r="W48" i="6"/>
  <c r="X48" i="6"/>
  <c r="Y48" i="6"/>
  <c r="V8" i="6"/>
  <c r="W8" i="6"/>
  <c r="X8" i="6"/>
  <c r="Y8" i="6"/>
  <c r="V27" i="6"/>
  <c r="W27" i="6"/>
  <c r="X27" i="6"/>
  <c r="Y27" i="6"/>
  <c r="V28" i="6"/>
  <c r="W28" i="6"/>
  <c r="X28" i="6"/>
  <c r="Y28" i="6"/>
  <c r="V29" i="6"/>
  <c r="W29" i="6"/>
  <c r="X29" i="6"/>
  <c r="Y29" i="6"/>
  <c r="V30" i="6"/>
  <c r="W30" i="6"/>
  <c r="X30" i="6"/>
  <c r="Y30" i="6"/>
  <c r="V86" i="6"/>
  <c r="W86" i="6"/>
  <c r="X86" i="6"/>
  <c r="Y86" i="6"/>
  <c r="V87" i="6"/>
  <c r="W87" i="6"/>
  <c r="X87" i="6"/>
  <c r="Y87" i="6"/>
  <c r="V64" i="6"/>
  <c r="W64" i="6"/>
  <c r="X64" i="6"/>
  <c r="Y64" i="6"/>
  <c r="V88" i="6"/>
  <c r="W88" i="6"/>
  <c r="X88" i="6"/>
  <c r="Y88" i="6"/>
  <c r="V37" i="6"/>
  <c r="W37" i="6"/>
  <c r="X37" i="6"/>
  <c r="Y37" i="6"/>
  <c r="V40" i="6"/>
  <c r="W40" i="6"/>
  <c r="X40" i="6"/>
  <c r="Y40" i="6"/>
  <c r="V41" i="6"/>
  <c r="W41" i="6"/>
  <c r="X41" i="6"/>
  <c r="Y41" i="6"/>
  <c r="V42" i="6"/>
  <c r="W42" i="6"/>
  <c r="X42" i="6"/>
  <c r="Y42" i="6"/>
  <c r="V45" i="6"/>
  <c r="W45" i="6"/>
  <c r="X45" i="6"/>
  <c r="Y45" i="6"/>
  <c r="V43" i="6"/>
  <c r="W43" i="6"/>
  <c r="X43" i="6"/>
  <c r="Y43" i="6"/>
  <c r="V282" i="6"/>
  <c r="W282" i="6"/>
  <c r="X282" i="6"/>
  <c r="Y282" i="6"/>
  <c r="V9" i="6"/>
  <c r="W9" i="6"/>
  <c r="X9" i="6"/>
  <c r="Y9" i="6"/>
  <c r="V49" i="6"/>
  <c r="W49" i="6"/>
  <c r="X49" i="6"/>
  <c r="Y49" i="6"/>
  <c r="V50" i="6"/>
  <c r="W50" i="6"/>
  <c r="X50" i="6"/>
  <c r="Y50" i="6"/>
  <c r="V10" i="6"/>
  <c r="W10" i="6"/>
  <c r="X10" i="6"/>
  <c r="Y10" i="6"/>
  <c r="V114" i="6"/>
  <c r="W114" i="6"/>
  <c r="X114" i="6"/>
  <c r="Y114" i="6"/>
  <c r="V11" i="6"/>
  <c r="W11" i="6"/>
  <c r="X11" i="6"/>
  <c r="Y11" i="6"/>
  <c r="V51" i="6"/>
  <c r="W51" i="6"/>
  <c r="X51" i="6"/>
  <c r="Y51" i="6"/>
  <c r="V52" i="6"/>
  <c r="W52" i="6"/>
  <c r="X52" i="6"/>
  <c r="Y52" i="6"/>
  <c r="V62" i="6"/>
  <c r="W62" i="6"/>
  <c r="X62" i="6"/>
  <c r="Y62" i="6"/>
  <c r="V53" i="6"/>
  <c r="W53" i="6"/>
  <c r="X53" i="6"/>
  <c r="Y53" i="6"/>
  <c r="V65" i="6"/>
  <c r="W65" i="6"/>
  <c r="X65" i="6"/>
  <c r="Y65" i="6"/>
  <c r="V66" i="6"/>
  <c r="W66" i="6"/>
  <c r="X66" i="6"/>
  <c r="Y66" i="6"/>
  <c r="V67" i="6"/>
  <c r="W67" i="6"/>
  <c r="X67" i="6"/>
  <c r="Y67" i="6"/>
  <c r="V68" i="6"/>
  <c r="W68" i="6"/>
  <c r="X68" i="6"/>
  <c r="Y68" i="6"/>
  <c r="V69" i="6"/>
  <c r="W69" i="6"/>
  <c r="X69" i="6"/>
  <c r="Y69" i="6"/>
  <c r="V206" i="6"/>
  <c r="W206" i="6"/>
  <c r="X206" i="6"/>
  <c r="Y206" i="6"/>
  <c r="V159" i="6"/>
  <c r="W159" i="6"/>
  <c r="X159" i="6"/>
  <c r="Y159" i="6"/>
  <c r="V70" i="6"/>
  <c r="W70" i="6"/>
  <c r="X70" i="6"/>
  <c r="Y70" i="6"/>
  <c r="V106" i="6"/>
  <c r="W106" i="6"/>
  <c r="X106" i="6"/>
  <c r="Y106" i="6"/>
  <c r="V207" i="6"/>
  <c r="W207" i="6"/>
  <c r="X207" i="6"/>
  <c r="Y207" i="6"/>
  <c r="V89" i="6"/>
  <c r="W89" i="6"/>
  <c r="X89" i="6"/>
  <c r="Y89" i="6"/>
  <c r="V90" i="6"/>
  <c r="W90" i="6"/>
  <c r="X90" i="6"/>
  <c r="Y90" i="6"/>
  <c r="V85" i="6"/>
  <c r="W85" i="6"/>
  <c r="X85" i="6"/>
  <c r="Y85" i="6"/>
  <c r="V91" i="6"/>
  <c r="W91" i="6"/>
  <c r="X91" i="6"/>
  <c r="Y91" i="6"/>
  <c r="V92" i="6"/>
  <c r="W92" i="6"/>
  <c r="X92" i="6"/>
  <c r="Y92" i="6"/>
  <c r="V93" i="6"/>
  <c r="W93" i="6"/>
  <c r="X93" i="6"/>
  <c r="Y93" i="6"/>
  <c r="V94" i="6"/>
  <c r="W94" i="6"/>
  <c r="X94" i="6"/>
  <c r="Y94" i="6"/>
  <c r="V95" i="6"/>
  <c r="W95" i="6"/>
  <c r="X95" i="6"/>
  <c r="Y95" i="6"/>
  <c r="V96" i="6"/>
  <c r="W96" i="6"/>
  <c r="X96" i="6"/>
  <c r="Y96" i="6"/>
  <c r="V103" i="6"/>
  <c r="W103" i="6"/>
  <c r="X103" i="6"/>
  <c r="Y103" i="6"/>
  <c r="V97" i="6"/>
  <c r="W97" i="6"/>
  <c r="X97" i="6"/>
  <c r="Y97" i="6"/>
  <c r="V232" i="6"/>
  <c r="W232" i="6"/>
  <c r="X232" i="6"/>
  <c r="Y232" i="6"/>
  <c r="V233" i="6"/>
  <c r="W233" i="6"/>
  <c r="X233" i="6"/>
  <c r="Y233" i="6"/>
  <c r="V71" i="6"/>
  <c r="W71" i="6"/>
  <c r="X71" i="6"/>
  <c r="Y71" i="6"/>
  <c r="V104" i="6"/>
  <c r="W104" i="6"/>
  <c r="X104" i="6"/>
  <c r="Y104" i="6"/>
  <c r="V105" i="6"/>
  <c r="W105" i="6"/>
  <c r="X105" i="6"/>
  <c r="Y105" i="6"/>
  <c r="V98" i="6"/>
  <c r="W98" i="6"/>
  <c r="X98" i="6"/>
  <c r="Y98" i="6"/>
  <c r="V99" i="6"/>
  <c r="W99" i="6"/>
  <c r="X99" i="6"/>
  <c r="Y99" i="6"/>
  <c r="V100" i="6"/>
  <c r="W100" i="6"/>
  <c r="X100" i="6"/>
  <c r="Y100" i="6"/>
  <c r="V107" i="6"/>
  <c r="W107" i="6"/>
  <c r="X107" i="6"/>
  <c r="Y107" i="6"/>
  <c r="V108" i="6"/>
  <c r="W108" i="6"/>
  <c r="X108" i="6"/>
  <c r="Y108" i="6"/>
  <c r="V109" i="6"/>
  <c r="W109" i="6"/>
  <c r="X109" i="6"/>
  <c r="Y109" i="6"/>
  <c r="V101" i="6"/>
  <c r="W101" i="6"/>
  <c r="X101" i="6"/>
  <c r="Y101" i="6"/>
  <c r="V54" i="6"/>
  <c r="W54" i="6"/>
  <c r="X54" i="6"/>
  <c r="Y54" i="6"/>
  <c r="V115" i="6"/>
  <c r="W115" i="6"/>
  <c r="X115" i="6"/>
  <c r="Y115" i="6"/>
  <c r="V116" i="6"/>
  <c r="W116" i="6"/>
  <c r="X116" i="6"/>
  <c r="Y116" i="6"/>
  <c r="V117" i="6"/>
  <c r="W117" i="6"/>
  <c r="X117" i="6"/>
  <c r="Y117" i="6"/>
  <c r="V55" i="6"/>
  <c r="W55" i="6"/>
  <c r="X55" i="6"/>
  <c r="Y55" i="6"/>
  <c r="V123" i="6"/>
  <c r="W123" i="6"/>
  <c r="X123" i="6"/>
  <c r="Y123" i="6"/>
  <c r="V124" i="6"/>
  <c r="W124" i="6"/>
  <c r="X124" i="6"/>
  <c r="Y124" i="6"/>
  <c r="V125" i="6"/>
  <c r="W125" i="6"/>
  <c r="X125" i="6"/>
  <c r="Y125" i="6"/>
  <c r="V129" i="6"/>
  <c r="W129" i="6"/>
  <c r="X129" i="6"/>
  <c r="Y129" i="6"/>
  <c r="V130" i="6"/>
  <c r="W130" i="6"/>
  <c r="X130" i="6"/>
  <c r="Y130" i="6"/>
  <c r="V271" i="6"/>
  <c r="W271" i="6"/>
  <c r="X271" i="6"/>
  <c r="Y271" i="6"/>
  <c r="V160" i="6"/>
  <c r="W160" i="6"/>
  <c r="X160" i="6"/>
  <c r="Y160" i="6"/>
  <c r="V110" i="6"/>
  <c r="W110" i="6"/>
  <c r="X110" i="6"/>
  <c r="Y110" i="6"/>
  <c r="V111" i="6"/>
  <c r="W111" i="6"/>
  <c r="X111" i="6"/>
  <c r="Y111" i="6"/>
  <c r="V112" i="6"/>
  <c r="W112" i="6"/>
  <c r="X112" i="6"/>
  <c r="Y112" i="6"/>
  <c r="V31" i="6"/>
  <c r="W31" i="6"/>
  <c r="X31" i="6"/>
  <c r="Y31" i="6"/>
  <c r="V165" i="6"/>
  <c r="W165" i="6"/>
  <c r="X165" i="6"/>
  <c r="Y165" i="6"/>
  <c r="V166" i="6"/>
  <c r="W166" i="6"/>
  <c r="X166" i="6"/>
  <c r="Y166" i="6"/>
  <c r="V167" i="6"/>
  <c r="W167" i="6"/>
  <c r="X167" i="6"/>
  <c r="Y167" i="6"/>
  <c r="V208" i="6"/>
  <c r="W208" i="6"/>
  <c r="X208" i="6"/>
  <c r="Y208" i="6"/>
  <c r="V141" i="6"/>
  <c r="W141" i="6"/>
  <c r="X141" i="6"/>
  <c r="Y141" i="6"/>
  <c r="V168" i="6"/>
  <c r="W168" i="6"/>
  <c r="X168" i="6"/>
  <c r="Y168" i="6"/>
  <c r="V56" i="6"/>
  <c r="W56" i="6"/>
  <c r="X56" i="6"/>
  <c r="Y56" i="6"/>
  <c r="V283" i="6"/>
  <c r="W283" i="6"/>
  <c r="X283" i="6"/>
  <c r="Y283" i="6"/>
  <c r="V234" i="6"/>
  <c r="W234" i="6"/>
  <c r="X234" i="6"/>
  <c r="Y234" i="6"/>
  <c r="V196" i="6"/>
  <c r="W196" i="6"/>
  <c r="X196" i="6"/>
  <c r="Y196" i="6"/>
  <c r="V142" i="6"/>
  <c r="W142" i="6"/>
  <c r="X142" i="6"/>
  <c r="Y142" i="6"/>
  <c r="V175" i="6"/>
  <c r="W175" i="6"/>
  <c r="X175" i="6"/>
  <c r="Y175" i="6"/>
  <c r="V176" i="6"/>
  <c r="W176" i="6"/>
  <c r="X176" i="6"/>
  <c r="Y176" i="6"/>
  <c r="V131" i="6"/>
  <c r="W131" i="6"/>
  <c r="X131" i="6"/>
  <c r="Y131" i="6"/>
  <c r="V12" i="6"/>
  <c r="W12" i="6"/>
  <c r="X12" i="6"/>
  <c r="Y12" i="6"/>
  <c r="V296" i="6"/>
  <c r="W296" i="6"/>
  <c r="X296" i="6"/>
  <c r="Y296" i="6"/>
  <c r="V197" i="6"/>
  <c r="W197" i="6"/>
  <c r="X197" i="6"/>
  <c r="Y197" i="6"/>
  <c r="V209" i="6"/>
  <c r="W209" i="6"/>
  <c r="X209" i="6"/>
  <c r="Y209" i="6"/>
  <c r="V143" i="6"/>
  <c r="W143" i="6"/>
  <c r="X143" i="6"/>
  <c r="Y143" i="6"/>
  <c r="V210" i="6"/>
  <c r="W210" i="6"/>
  <c r="X210" i="6"/>
  <c r="Y210" i="6"/>
  <c r="V132" i="6"/>
  <c r="W132" i="6"/>
  <c r="X132" i="6"/>
  <c r="Y132" i="6"/>
  <c r="V13" i="6"/>
  <c r="W13" i="6"/>
  <c r="X13" i="6"/>
  <c r="Y13" i="6"/>
  <c r="V46" i="6"/>
  <c r="W46" i="6"/>
  <c r="X46" i="6"/>
  <c r="Y46" i="6"/>
  <c r="V260" i="6"/>
  <c r="W260" i="6"/>
  <c r="X260" i="6"/>
  <c r="Y260" i="6"/>
  <c r="V24" i="6"/>
  <c r="W24" i="6"/>
  <c r="X24" i="6"/>
  <c r="Y24" i="6"/>
  <c r="V235" i="6"/>
  <c r="W235" i="6"/>
  <c r="X235" i="6"/>
  <c r="Y235" i="6"/>
  <c r="V198" i="6"/>
  <c r="W198" i="6"/>
  <c r="X198" i="6"/>
  <c r="Y198" i="6"/>
  <c r="V72" i="6"/>
  <c r="W72" i="6"/>
  <c r="X72" i="6"/>
  <c r="Y72" i="6"/>
  <c r="V261" i="6"/>
  <c r="W261" i="6"/>
  <c r="X261" i="6"/>
  <c r="Y261" i="6"/>
  <c r="V38" i="6"/>
  <c r="W38" i="6"/>
  <c r="X38" i="6"/>
  <c r="Y38" i="6"/>
  <c r="V73" i="6"/>
  <c r="W73" i="6"/>
  <c r="X73" i="6"/>
  <c r="Y73" i="6"/>
  <c r="V74" i="6"/>
  <c r="W74" i="6"/>
  <c r="X74" i="6"/>
  <c r="Y74" i="6"/>
  <c r="V284" i="6"/>
  <c r="W284" i="6"/>
  <c r="X284" i="6"/>
  <c r="Y284" i="6"/>
  <c r="V75" i="6"/>
  <c r="W75" i="6"/>
  <c r="X75" i="6"/>
  <c r="Y75" i="6"/>
  <c r="V236" i="6"/>
  <c r="W236" i="6"/>
  <c r="X236" i="6"/>
  <c r="Y236" i="6"/>
  <c r="V237" i="6"/>
  <c r="W237" i="6"/>
  <c r="X237" i="6"/>
  <c r="Y237" i="6"/>
  <c r="V211" i="6"/>
  <c r="W211" i="6"/>
  <c r="X211" i="6"/>
  <c r="Y211" i="6"/>
  <c r="V272" i="6"/>
  <c r="W272" i="6"/>
  <c r="X272" i="6"/>
  <c r="Y272" i="6"/>
  <c r="V212" i="6"/>
  <c r="W212" i="6"/>
  <c r="X212" i="6"/>
  <c r="Y212" i="6"/>
  <c r="V133" i="6"/>
  <c r="W133" i="6"/>
  <c r="X133" i="6"/>
  <c r="Y133" i="6"/>
  <c r="V76" i="6"/>
  <c r="W76" i="6"/>
  <c r="X76" i="6"/>
  <c r="Y76" i="6"/>
  <c r="V213" i="6"/>
  <c r="W213" i="6"/>
  <c r="X213" i="6"/>
  <c r="Y213" i="6"/>
  <c r="V25" i="6"/>
  <c r="W25" i="6"/>
  <c r="X25" i="6"/>
  <c r="Y25" i="6"/>
  <c r="V135" i="6"/>
  <c r="W135" i="6"/>
  <c r="X135" i="6"/>
  <c r="Y135" i="6"/>
  <c r="V238" i="6"/>
  <c r="W238" i="6"/>
  <c r="X238" i="6"/>
  <c r="Y238" i="6"/>
  <c r="V161" i="6"/>
  <c r="W161" i="6"/>
  <c r="X161" i="6"/>
  <c r="Y161" i="6"/>
  <c r="V77" i="6"/>
  <c r="W77" i="6"/>
  <c r="X77" i="6"/>
  <c r="Y77" i="6"/>
  <c r="V262" i="6"/>
  <c r="W262" i="6"/>
  <c r="X262" i="6"/>
  <c r="Y262" i="6"/>
  <c r="V273" i="6"/>
  <c r="W273" i="6"/>
  <c r="X273" i="6"/>
  <c r="Y273" i="6"/>
  <c r="V126" i="6"/>
  <c r="W126" i="6"/>
  <c r="X126" i="6"/>
  <c r="Y126" i="6"/>
  <c r="V144" i="6"/>
  <c r="W144" i="6"/>
  <c r="X144" i="6"/>
  <c r="Y144" i="6"/>
  <c r="V239" i="6"/>
  <c r="W239" i="6"/>
  <c r="X239" i="6"/>
  <c r="Y239" i="6"/>
  <c r="V274" i="6"/>
  <c r="W274" i="6"/>
  <c r="X274" i="6"/>
  <c r="Y274" i="6"/>
  <c r="V57" i="6"/>
  <c r="W57" i="6"/>
  <c r="X57" i="6"/>
  <c r="Y57" i="6"/>
  <c r="V214" i="6"/>
  <c r="W214" i="6"/>
  <c r="X214" i="6"/>
  <c r="Y214" i="6"/>
  <c r="V275" i="6"/>
  <c r="W275" i="6"/>
  <c r="X275" i="6"/>
  <c r="Y275" i="6"/>
  <c r="V285" i="6"/>
  <c r="W285" i="6"/>
  <c r="X285" i="6"/>
  <c r="Y285" i="6"/>
  <c r="V118" i="6"/>
  <c r="W118" i="6"/>
  <c r="X118" i="6"/>
  <c r="Y118" i="6"/>
  <c r="V119" i="6"/>
  <c r="W119" i="6"/>
  <c r="X119" i="6"/>
  <c r="Y119" i="6"/>
  <c r="V14" i="6"/>
  <c r="W14" i="6"/>
  <c r="X14" i="6"/>
  <c r="Y14" i="6"/>
  <c r="V120" i="6"/>
  <c r="W120" i="6"/>
  <c r="X120" i="6"/>
  <c r="Y120" i="6"/>
  <c r="V199" i="6"/>
  <c r="W199" i="6"/>
  <c r="X199" i="6"/>
  <c r="Y199" i="6"/>
  <c r="V153" i="6"/>
  <c r="W153" i="6"/>
  <c r="X153" i="6"/>
  <c r="Y153" i="6"/>
  <c r="V215" i="6"/>
  <c r="W215" i="6"/>
  <c r="X215" i="6"/>
  <c r="Y215" i="6"/>
  <c r="V200" i="6"/>
  <c r="W200" i="6"/>
  <c r="X200" i="6"/>
  <c r="Y200" i="6"/>
  <c r="V26" i="6"/>
  <c r="W26" i="6"/>
  <c r="X26" i="6"/>
  <c r="Y26" i="6"/>
  <c r="V263" i="6"/>
  <c r="W263" i="6"/>
  <c r="X263" i="6"/>
  <c r="Y263" i="6"/>
  <c r="V121" i="6"/>
  <c r="W121" i="6"/>
  <c r="X121" i="6"/>
  <c r="Y121" i="6"/>
  <c r="V127" i="6"/>
  <c r="W127" i="6"/>
  <c r="X127" i="6"/>
  <c r="Y127" i="6"/>
  <c r="V240" i="6"/>
  <c r="W240" i="6"/>
  <c r="X240" i="6"/>
  <c r="Y240" i="6"/>
  <c r="V241" i="6"/>
  <c r="W241" i="6"/>
  <c r="X241" i="6"/>
  <c r="Y241" i="6"/>
  <c r="V242" i="6"/>
  <c r="W242" i="6"/>
  <c r="X242" i="6"/>
  <c r="Y242" i="6"/>
  <c r="V134" i="6"/>
  <c r="W134" i="6"/>
  <c r="X134" i="6"/>
  <c r="Y134" i="6"/>
  <c r="V58" i="6"/>
  <c r="W58" i="6"/>
  <c r="X58" i="6"/>
  <c r="Y58" i="6"/>
  <c r="V39" i="6"/>
  <c r="W39" i="6"/>
  <c r="X39" i="6"/>
  <c r="Y39" i="6"/>
  <c r="V44" i="6"/>
  <c r="W44" i="6"/>
  <c r="X44" i="6"/>
  <c r="Y44" i="6"/>
  <c r="V177" i="6"/>
  <c r="W177" i="6"/>
  <c r="X177" i="6"/>
  <c r="Y177" i="6"/>
  <c r="V78" i="6"/>
  <c r="W78" i="6"/>
  <c r="X78" i="6"/>
  <c r="Y78" i="6"/>
  <c r="V32" i="6"/>
  <c r="W32" i="6"/>
  <c r="X32" i="6"/>
  <c r="Y32" i="6"/>
  <c r="V190" i="6"/>
  <c r="W190" i="6"/>
  <c r="X190" i="6"/>
  <c r="Y190" i="6"/>
  <c r="V136" i="6"/>
  <c r="W136" i="6"/>
  <c r="X136" i="6"/>
  <c r="Y136" i="6"/>
  <c r="V137" i="6"/>
  <c r="W137" i="6"/>
  <c r="X137" i="6"/>
  <c r="Y137" i="6"/>
  <c r="V138" i="6"/>
  <c r="W138" i="6"/>
  <c r="X138" i="6"/>
  <c r="Y138" i="6"/>
  <c r="V243" i="6"/>
  <c r="W243" i="6"/>
  <c r="X243" i="6"/>
  <c r="Y243" i="6"/>
  <c r="V244" i="6"/>
  <c r="W244" i="6"/>
  <c r="X244" i="6"/>
  <c r="Y244" i="6"/>
  <c r="V245" i="6"/>
  <c r="W245" i="6"/>
  <c r="X245" i="6"/>
  <c r="Y245" i="6"/>
  <c r="V33" i="6"/>
  <c r="W33" i="6"/>
  <c r="X33" i="6"/>
  <c r="Y33" i="6"/>
  <c r="V79" i="6"/>
  <c r="W79" i="6"/>
  <c r="X79" i="6"/>
  <c r="Y79" i="6"/>
  <c r="V113" i="6"/>
  <c r="W113" i="6"/>
  <c r="X113" i="6"/>
  <c r="Y113" i="6"/>
  <c r="V246" i="6"/>
  <c r="W246" i="6"/>
  <c r="X246" i="6"/>
  <c r="Y246" i="6"/>
  <c r="V247" i="6"/>
  <c r="W247" i="6"/>
  <c r="X247" i="6"/>
  <c r="Y247" i="6"/>
  <c r="V286" i="6"/>
  <c r="W286" i="6"/>
  <c r="X286" i="6"/>
  <c r="Y286" i="6"/>
  <c r="V287" i="6"/>
  <c r="W287" i="6"/>
  <c r="X287" i="6"/>
  <c r="Y287" i="6"/>
  <c r="V34" i="6"/>
  <c r="W34" i="6"/>
  <c r="X34" i="6"/>
  <c r="Y34" i="6"/>
  <c r="V178" i="6"/>
  <c r="W178" i="6"/>
  <c r="X178" i="6"/>
  <c r="Y178" i="6"/>
  <c r="V154" i="6"/>
  <c r="W154" i="6"/>
  <c r="X154" i="6"/>
  <c r="Y154" i="6"/>
  <c r="V248" i="6"/>
  <c r="W248" i="6"/>
  <c r="X248" i="6"/>
  <c r="Y248" i="6"/>
  <c r="V276" i="6"/>
  <c r="W276" i="6"/>
  <c r="X276" i="6"/>
  <c r="Y276" i="6"/>
  <c r="V249" i="6"/>
  <c r="W249" i="6"/>
  <c r="X249" i="6"/>
  <c r="Y249" i="6"/>
  <c r="V80" i="6"/>
  <c r="W80" i="6"/>
  <c r="X80" i="6"/>
  <c r="Y80" i="6"/>
  <c r="V250" i="6"/>
  <c r="W250" i="6"/>
  <c r="X250" i="6"/>
  <c r="Y250" i="6"/>
  <c r="V81" i="6"/>
  <c r="W81" i="6"/>
  <c r="X81" i="6"/>
  <c r="Y81" i="6"/>
  <c r="V264" i="6"/>
  <c r="W264" i="6"/>
  <c r="X264" i="6"/>
  <c r="Y264" i="6"/>
  <c r="V162" i="6"/>
  <c r="W162" i="6"/>
  <c r="X162" i="6"/>
  <c r="Y162" i="6"/>
  <c r="V288" i="6"/>
  <c r="W288" i="6"/>
  <c r="X288" i="6"/>
  <c r="Y288" i="6"/>
  <c r="V145" i="6"/>
  <c r="W145" i="6"/>
  <c r="X145" i="6"/>
  <c r="Y145" i="6"/>
  <c r="V59" i="6"/>
  <c r="W59" i="6"/>
  <c r="X59" i="6"/>
  <c r="Y59" i="6"/>
  <c r="V216" i="6"/>
  <c r="W216" i="6"/>
  <c r="X216" i="6"/>
  <c r="Y216" i="6"/>
  <c r="V217" i="6"/>
  <c r="W217" i="6"/>
  <c r="X217" i="6"/>
  <c r="Y217" i="6"/>
  <c r="V218" i="6"/>
  <c r="W218" i="6"/>
  <c r="X218" i="6"/>
  <c r="Y218" i="6"/>
  <c r="V201" i="6"/>
  <c r="W201" i="6"/>
  <c r="X201" i="6"/>
  <c r="Y201" i="6"/>
  <c r="V219" i="6"/>
  <c r="W219" i="6"/>
  <c r="X219" i="6"/>
  <c r="Y219" i="6"/>
  <c r="V128" i="6"/>
  <c r="W128" i="6"/>
  <c r="X128" i="6"/>
  <c r="Y128" i="6"/>
  <c r="V146" i="6"/>
  <c r="W146" i="6"/>
  <c r="X146" i="6"/>
  <c r="Y146" i="6"/>
  <c r="V147" i="6"/>
  <c r="W147" i="6"/>
  <c r="X147" i="6"/>
  <c r="Y147" i="6"/>
  <c r="V179" i="6"/>
  <c r="W179" i="6"/>
  <c r="X179" i="6"/>
  <c r="Y179" i="6"/>
  <c r="V155" i="6"/>
  <c r="W155" i="6"/>
  <c r="X155" i="6"/>
  <c r="Y155" i="6"/>
  <c r="V220" i="6"/>
  <c r="W220" i="6"/>
  <c r="X220" i="6"/>
  <c r="Y220" i="6"/>
  <c r="V202" i="6"/>
  <c r="W202" i="6"/>
  <c r="X202" i="6"/>
  <c r="Y202" i="6"/>
  <c r="V221" i="6"/>
  <c r="W221" i="6"/>
  <c r="X221" i="6"/>
  <c r="Y221" i="6"/>
  <c r="V222" i="6"/>
  <c r="W222" i="6"/>
  <c r="X222" i="6"/>
  <c r="Y222" i="6"/>
  <c r="V203" i="6"/>
  <c r="W203" i="6"/>
  <c r="X203" i="6"/>
  <c r="Y203" i="6"/>
  <c r="V223" i="6"/>
  <c r="W223" i="6"/>
  <c r="X223" i="6"/>
  <c r="Y223" i="6"/>
  <c r="V224" i="6"/>
  <c r="W224" i="6"/>
  <c r="X224" i="6"/>
  <c r="Y224" i="6"/>
  <c r="V225" i="6"/>
  <c r="W225" i="6"/>
  <c r="X225" i="6"/>
  <c r="Y225" i="6"/>
  <c r="V148" i="6"/>
  <c r="W148" i="6"/>
  <c r="X148" i="6"/>
  <c r="Y148" i="6"/>
  <c r="V149" i="6"/>
  <c r="W149" i="6"/>
  <c r="X149" i="6"/>
  <c r="Y149" i="6"/>
  <c r="V150" i="6"/>
  <c r="W150" i="6"/>
  <c r="X150" i="6"/>
  <c r="Y150" i="6"/>
  <c r="V82" i="6"/>
  <c r="W82" i="6"/>
  <c r="X82" i="6"/>
  <c r="Y82" i="6"/>
  <c r="V186" i="6"/>
  <c r="W186" i="6"/>
  <c r="X186" i="6"/>
  <c r="Y186" i="6"/>
  <c r="V187" i="6"/>
  <c r="W187" i="6"/>
  <c r="X187" i="6"/>
  <c r="Y187" i="6"/>
  <c r="V188" i="6"/>
  <c r="W188" i="6"/>
  <c r="X188" i="6"/>
  <c r="Y188" i="6"/>
  <c r="V152" i="6"/>
  <c r="W152" i="6"/>
  <c r="X152" i="6"/>
  <c r="Y152" i="6"/>
  <c r="V156" i="6"/>
  <c r="W156" i="6"/>
  <c r="X156" i="6"/>
  <c r="Y156" i="6"/>
  <c r="V163" i="6"/>
  <c r="W163" i="6"/>
  <c r="X163" i="6"/>
  <c r="Y163" i="6"/>
  <c r="V169" i="6"/>
  <c r="W169" i="6"/>
  <c r="X169" i="6"/>
  <c r="Y169" i="6"/>
  <c r="V170" i="6"/>
  <c r="W170" i="6"/>
  <c r="X170" i="6"/>
  <c r="Y170" i="6"/>
  <c r="V180" i="6"/>
  <c r="W180" i="6"/>
  <c r="X180" i="6"/>
  <c r="Y180" i="6"/>
  <c r="V191" i="6"/>
  <c r="W191" i="6"/>
  <c r="X191" i="6"/>
  <c r="Y191" i="6"/>
  <c r="V189" i="6"/>
  <c r="W189" i="6"/>
  <c r="X189" i="6"/>
  <c r="Y189" i="6"/>
  <c r="V192" i="6"/>
  <c r="W192" i="6"/>
  <c r="X192" i="6"/>
  <c r="Y192" i="6"/>
  <c r="V195" i="6"/>
  <c r="W195" i="6"/>
  <c r="X195" i="6"/>
  <c r="Y195" i="6"/>
  <c r="V193" i="6"/>
  <c r="W193" i="6"/>
  <c r="X193" i="6"/>
  <c r="Y193" i="6"/>
  <c r="V194" i="6"/>
  <c r="W194" i="6"/>
  <c r="X194" i="6"/>
  <c r="Y194" i="6"/>
  <c r="V204" i="6"/>
  <c r="W204" i="6"/>
  <c r="X204" i="6"/>
  <c r="Y204" i="6"/>
  <c r="V226" i="6"/>
  <c r="W226" i="6"/>
  <c r="X226" i="6"/>
  <c r="Y226" i="6"/>
  <c r="V164" i="6"/>
  <c r="W164" i="6"/>
  <c r="X164" i="6"/>
  <c r="Y164" i="6"/>
  <c r="V251" i="6"/>
  <c r="W251" i="6"/>
  <c r="X251" i="6"/>
  <c r="Y251" i="6"/>
  <c r="V205" i="6"/>
  <c r="W205" i="6"/>
  <c r="X205" i="6"/>
  <c r="Y205" i="6"/>
  <c r="V252" i="6"/>
  <c r="W252" i="6"/>
  <c r="X252" i="6"/>
  <c r="Y252" i="6"/>
  <c r="V253" i="6"/>
  <c r="W253" i="6"/>
  <c r="X253" i="6"/>
  <c r="Y253" i="6"/>
  <c r="V254" i="6"/>
  <c r="W254" i="6"/>
  <c r="X254" i="6"/>
  <c r="Y254" i="6"/>
  <c r="V255" i="6"/>
  <c r="W255" i="6"/>
  <c r="X255" i="6"/>
  <c r="Y255" i="6"/>
  <c r="V277" i="6"/>
  <c r="W277" i="6"/>
  <c r="X277" i="6"/>
  <c r="Y277" i="6"/>
  <c r="V256" i="6"/>
  <c r="W256" i="6"/>
  <c r="X256" i="6"/>
  <c r="Y256" i="6"/>
  <c r="V257" i="6"/>
  <c r="W257" i="6"/>
  <c r="X257" i="6"/>
  <c r="Y257" i="6"/>
  <c r="V265" i="6"/>
  <c r="W265" i="6"/>
  <c r="X265" i="6"/>
  <c r="Y265" i="6"/>
  <c r="V266" i="6"/>
  <c r="W266" i="6"/>
  <c r="X266" i="6"/>
  <c r="Y266" i="6"/>
  <c r="V267" i="6"/>
  <c r="W267" i="6"/>
  <c r="X267" i="6"/>
  <c r="Y267" i="6"/>
  <c r="V278" i="6"/>
  <c r="W278" i="6"/>
  <c r="X278" i="6"/>
  <c r="Y278" i="6"/>
  <c r="V279" i="6"/>
  <c r="W279" i="6"/>
  <c r="X279" i="6"/>
  <c r="Y279" i="6"/>
  <c r="V280" i="6"/>
  <c r="W280" i="6"/>
  <c r="X280" i="6"/>
  <c r="Y280" i="6"/>
  <c r="V281" i="6"/>
  <c r="W281" i="6"/>
  <c r="X281" i="6"/>
  <c r="Y281" i="6"/>
  <c r="V227" i="6"/>
  <c r="W227" i="6"/>
  <c r="X227" i="6"/>
  <c r="Y227" i="6"/>
  <c r="V157" i="6"/>
  <c r="W157" i="6"/>
  <c r="X157" i="6"/>
  <c r="Y157" i="6"/>
  <c r="V35" i="6"/>
  <c r="W35" i="6"/>
  <c r="X35" i="6"/>
  <c r="Y35" i="6"/>
  <c r="V151" i="6"/>
  <c r="W151" i="6"/>
  <c r="X151" i="6"/>
  <c r="Y151" i="6"/>
  <c r="V289" i="6"/>
  <c r="W289" i="6"/>
  <c r="X289" i="6"/>
  <c r="Y289" i="6"/>
  <c r="V268" i="6"/>
  <c r="W268" i="6"/>
  <c r="X268" i="6"/>
  <c r="Y268" i="6"/>
  <c r="V269" i="6"/>
  <c r="W269" i="6"/>
  <c r="X269" i="6"/>
  <c r="Y269" i="6"/>
  <c r="V122" i="6"/>
  <c r="W122" i="6"/>
  <c r="X122" i="6"/>
  <c r="Y122" i="6"/>
  <c r="V228" i="6"/>
  <c r="W228" i="6"/>
  <c r="X228" i="6"/>
  <c r="Y228" i="6"/>
  <c r="V229" i="6"/>
  <c r="W229" i="6"/>
  <c r="X229" i="6"/>
  <c r="Y229" i="6"/>
  <c r="V230" i="6"/>
  <c r="W230" i="6"/>
  <c r="X230" i="6"/>
  <c r="Y230" i="6"/>
  <c r="V258" i="6"/>
  <c r="W258" i="6"/>
  <c r="X258" i="6"/>
  <c r="Y258" i="6"/>
  <c r="V270" i="6"/>
  <c r="W270" i="6"/>
  <c r="X270" i="6"/>
  <c r="Y270" i="6"/>
  <c r="V231" i="6"/>
  <c r="W231" i="6"/>
  <c r="X231" i="6"/>
  <c r="Y231" i="6"/>
  <c r="V83" i="6"/>
  <c r="W83" i="6"/>
  <c r="X83" i="6"/>
  <c r="Y83" i="6"/>
  <c r="V84" i="6"/>
  <c r="W84" i="6"/>
  <c r="X84" i="6"/>
  <c r="Y84" i="6"/>
  <c r="V63" i="6"/>
  <c r="W63" i="6"/>
  <c r="X63" i="6"/>
  <c r="Y63" i="6"/>
  <c r="V60" i="6"/>
  <c r="W60" i="6"/>
  <c r="X60" i="6"/>
  <c r="Y60" i="6"/>
  <c r="V290" i="6"/>
  <c r="W290" i="6"/>
  <c r="X290" i="6"/>
  <c r="Y290" i="6"/>
  <c r="V291" i="6"/>
  <c r="W291" i="6"/>
  <c r="X291" i="6"/>
  <c r="Y291" i="6"/>
  <c r="V292" i="6"/>
  <c r="W292" i="6"/>
  <c r="X292" i="6"/>
  <c r="Y292" i="6"/>
  <c r="V293" i="6"/>
  <c r="W293" i="6"/>
  <c r="X293" i="6"/>
  <c r="Y293" i="6"/>
  <c r="V294" i="6"/>
  <c r="W294" i="6"/>
  <c r="X294" i="6"/>
  <c r="Y294" i="6"/>
  <c r="V171" i="6"/>
  <c r="W171" i="6"/>
  <c r="X171" i="6"/>
  <c r="Y171" i="6"/>
  <c r="V172" i="6"/>
  <c r="W172" i="6"/>
  <c r="X172" i="6"/>
  <c r="Y172" i="6"/>
  <c r="V181" i="6"/>
  <c r="W181" i="6"/>
  <c r="X181" i="6"/>
  <c r="Y181" i="6"/>
  <c r="V158" i="6"/>
  <c r="W158" i="6"/>
  <c r="X158" i="6"/>
  <c r="Y158" i="6"/>
  <c r="V173" i="6"/>
  <c r="W173" i="6"/>
  <c r="X173" i="6"/>
  <c r="Y173" i="6"/>
  <c r="V259" i="6"/>
  <c r="W259" i="6"/>
  <c r="X259" i="6"/>
  <c r="Y259" i="6"/>
  <c r="V295" i="6"/>
  <c r="W295" i="6"/>
  <c r="X295" i="6"/>
  <c r="Y295" i="6"/>
  <c r="V61" i="6"/>
  <c r="W61" i="6"/>
  <c r="X61" i="6"/>
  <c r="Y61" i="6"/>
  <c r="V15" i="6"/>
  <c r="W15" i="6"/>
  <c r="X15" i="6"/>
  <c r="Y15" i="6"/>
  <c r="V16" i="6"/>
  <c r="W16" i="6"/>
  <c r="X16" i="6"/>
  <c r="Y16" i="6"/>
  <c r="V17" i="6"/>
  <c r="W17" i="6"/>
  <c r="X17" i="6"/>
  <c r="Y17" i="6"/>
  <c r="V18" i="6"/>
  <c r="W18" i="6"/>
  <c r="X18" i="6"/>
  <c r="Y18" i="6"/>
  <c r="V19" i="6"/>
  <c r="W19" i="6"/>
  <c r="X19" i="6"/>
  <c r="Y19" i="6"/>
  <c r="V20" i="6"/>
  <c r="W20" i="6"/>
  <c r="X20" i="6"/>
  <c r="Y20" i="6"/>
  <c r="V182" i="6"/>
  <c r="W182" i="6"/>
  <c r="X182" i="6"/>
  <c r="Y182" i="6"/>
  <c r="V36" i="6"/>
  <c r="W36" i="6"/>
  <c r="X36" i="6"/>
  <c r="Y36" i="6"/>
  <c r="V183" i="6"/>
  <c r="W183" i="6"/>
  <c r="X183" i="6"/>
  <c r="Y183" i="6"/>
  <c r="V297" i="6"/>
  <c r="W297" i="6"/>
  <c r="X297" i="6"/>
  <c r="Y297" i="6"/>
  <c r="V174" i="6"/>
  <c r="W174" i="6"/>
  <c r="X174" i="6"/>
  <c r="Y174" i="6"/>
  <c r="V184" i="6"/>
  <c r="W184" i="6"/>
  <c r="X184" i="6"/>
  <c r="Y184" i="6"/>
  <c r="V185" i="6"/>
  <c r="W185" i="6"/>
  <c r="X185" i="6"/>
  <c r="Y185" i="6"/>
  <c r="V102" i="6"/>
  <c r="W102" i="6"/>
  <c r="X102" i="6"/>
  <c r="Y102" i="6"/>
  <c r="V299" i="6"/>
  <c r="W299" i="6"/>
  <c r="X299" i="6"/>
  <c r="Y299" i="6"/>
  <c r="V300" i="6"/>
  <c r="W300" i="6"/>
  <c r="X300" i="6"/>
  <c r="Y300" i="6"/>
  <c r="V301" i="6"/>
  <c r="W301" i="6"/>
  <c r="X301" i="6"/>
  <c r="Y301" i="6"/>
  <c r="V302" i="6"/>
  <c r="W302" i="6"/>
  <c r="X302" i="6"/>
  <c r="Y302" i="6"/>
  <c r="V303" i="6"/>
  <c r="W303" i="6"/>
  <c r="X303" i="6"/>
  <c r="Y303" i="6"/>
  <c r="V304" i="6"/>
  <c r="W304" i="6"/>
  <c r="X304" i="6"/>
  <c r="Y304" i="6"/>
  <c r="V305" i="6"/>
  <c r="W305" i="6"/>
  <c r="X305" i="6"/>
  <c r="Y305" i="6"/>
  <c r="V306" i="6"/>
  <c r="W306" i="6"/>
  <c r="X306" i="6"/>
  <c r="Y306" i="6"/>
  <c r="V307" i="6"/>
  <c r="W307" i="6"/>
  <c r="X307" i="6"/>
  <c r="Y307" i="6"/>
  <c r="V308" i="6"/>
  <c r="W308" i="6"/>
  <c r="X308" i="6"/>
  <c r="Y308" i="6"/>
  <c r="V309" i="6"/>
  <c r="W309" i="6"/>
  <c r="X309" i="6"/>
  <c r="Y309" i="6"/>
  <c r="V310" i="6"/>
  <c r="W310" i="6"/>
  <c r="X310" i="6"/>
  <c r="Y310" i="6"/>
  <c r="V311" i="6"/>
  <c r="W311" i="6"/>
  <c r="X311" i="6"/>
  <c r="Y311" i="6"/>
  <c r="V312" i="6"/>
  <c r="W312" i="6"/>
  <c r="X312" i="6"/>
  <c r="Y312" i="6"/>
  <c r="V313" i="6"/>
  <c r="W313" i="6"/>
  <c r="X313" i="6"/>
  <c r="Y313" i="6"/>
  <c r="V315" i="6"/>
  <c r="W315" i="6"/>
  <c r="X315" i="6"/>
  <c r="Y315" i="6"/>
  <c r="V316" i="6"/>
  <c r="W316" i="6"/>
  <c r="X316" i="6"/>
  <c r="Y316" i="6"/>
  <c r="V317" i="6"/>
  <c r="W317" i="6"/>
  <c r="X317" i="6"/>
  <c r="Y317" i="6"/>
  <c r="V318" i="6"/>
  <c r="W318" i="6"/>
  <c r="X318" i="6"/>
  <c r="Y318" i="6"/>
  <c r="V319" i="6"/>
  <c r="W319" i="6"/>
  <c r="X319" i="6"/>
  <c r="Y319" i="6"/>
  <c r="V320" i="6"/>
  <c r="W320" i="6"/>
  <c r="X320" i="6"/>
  <c r="Y320" i="6"/>
  <c r="V321" i="6"/>
  <c r="W321" i="6"/>
  <c r="X321" i="6"/>
  <c r="Y321" i="6"/>
  <c r="V322" i="6"/>
  <c r="W322" i="6"/>
  <c r="X322" i="6"/>
  <c r="Y322" i="6"/>
  <c r="V323" i="6"/>
  <c r="W323" i="6"/>
  <c r="X323" i="6"/>
  <c r="Y323" i="6"/>
  <c r="V324" i="6"/>
  <c r="W324" i="6"/>
  <c r="X324" i="6"/>
  <c r="Y324" i="6"/>
  <c r="V325" i="6"/>
  <c r="W325" i="6"/>
  <c r="X325" i="6"/>
  <c r="Y325" i="6"/>
  <c r="V326" i="6"/>
  <c r="W326" i="6"/>
  <c r="X326" i="6"/>
  <c r="Y326" i="6"/>
  <c r="V327" i="6"/>
  <c r="W327" i="6"/>
  <c r="X327" i="6"/>
  <c r="Y327" i="6"/>
  <c r="V328" i="6"/>
  <c r="W328" i="6"/>
  <c r="X328" i="6"/>
  <c r="Y328" i="6"/>
  <c r="V329" i="6"/>
  <c r="W329" i="6"/>
  <c r="X329" i="6"/>
  <c r="Y329" i="6"/>
  <c r="V330" i="6"/>
  <c r="W330" i="6"/>
  <c r="X330" i="6"/>
  <c r="Y330" i="6"/>
  <c r="V331" i="6"/>
  <c r="W331" i="6"/>
  <c r="X331" i="6"/>
  <c r="Y331" i="6"/>
  <c r="V332" i="6"/>
  <c r="W332" i="6"/>
  <c r="X332" i="6"/>
  <c r="Y332" i="6"/>
  <c r="V333" i="6"/>
  <c r="W333" i="6"/>
  <c r="X333" i="6"/>
  <c r="Y333" i="6"/>
  <c r="V334" i="6"/>
  <c r="W334" i="6"/>
  <c r="X334" i="6"/>
  <c r="Y334" i="6"/>
  <c r="V335" i="6"/>
  <c r="W335" i="6"/>
  <c r="X335" i="6"/>
  <c r="Y335" i="6"/>
  <c r="V336" i="6"/>
  <c r="W336" i="6"/>
  <c r="X336" i="6"/>
  <c r="Y336" i="6"/>
  <c r="V337" i="6"/>
  <c r="W337" i="6"/>
  <c r="X337" i="6"/>
  <c r="Y337" i="6"/>
  <c r="V338" i="6"/>
  <c r="W338" i="6"/>
  <c r="X338" i="6"/>
  <c r="Y338" i="6"/>
  <c r="V339" i="6"/>
  <c r="W339" i="6"/>
  <c r="X339" i="6"/>
  <c r="Y339" i="6"/>
  <c r="V340" i="6"/>
  <c r="W340" i="6"/>
  <c r="X340" i="6"/>
  <c r="Y340" i="6"/>
  <c r="V341" i="6"/>
  <c r="W341" i="6"/>
  <c r="X341" i="6"/>
  <c r="Y341" i="6"/>
  <c r="V346" i="6"/>
  <c r="W346" i="6"/>
  <c r="X346" i="6"/>
  <c r="Y346" i="6"/>
  <c r="V342" i="6"/>
  <c r="W342" i="6"/>
  <c r="X342" i="6"/>
  <c r="Y342" i="6"/>
  <c r="V343" i="6"/>
  <c r="W343" i="6"/>
  <c r="X343" i="6"/>
  <c r="Y343" i="6"/>
  <c r="V347" i="6"/>
  <c r="W347" i="6"/>
  <c r="X347" i="6"/>
  <c r="Y347" i="6"/>
  <c r="V344" i="6"/>
  <c r="W344" i="6"/>
  <c r="X344" i="6"/>
  <c r="Y344" i="6"/>
  <c r="V345" i="6"/>
  <c r="W345" i="6"/>
  <c r="X345" i="6"/>
  <c r="Y345" i="6"/>
  <c r="V361" i="6"/>
  <c r="W361" i="6"/>
  <c r="X361" i="6"/>
  <c r="Y361" i="6"/>
  <c r="V348" i="6"/>
  <c r="W348" i="6"/>
  <c r="X348" i="6"/>
  <c r="Y348" i="6"/>
  <c r="V362" i="6"/>
  <c r="W362" i="6"/>
  <c r="X362" i="6"/>
  <c r="Y362" i="6"/>
  <c r="V349" i="6"/>
  <c r="W349" i="6"/>
  <c r="X349" i="6"/>
  <c r="Y349" i="6"/>
  <c r="V350" i="6"/>
  <c r="W350" i="6"/>
  <c r="X350" i="6"/>
  <c r="Y350" i="6"/>
  <c r="V351" i="6"/>
  <c r="W351" i="6"/>
  <c r="X351" i="6"/>
  <c r="Y351" i="6"/>
  <c r="V352" i="6"/>
  <c r="W352" i="6"/>
  <c r="X352" i="6"/>
  <c r="Y352" i="6"/>
  <c r="V353" i="6"/>
  <c r="W353" i="6"/>
  <c r="X353" i="6"/>
  <c r="Y353" i="6"/>
  <c r="V354" i="6"/>
  <c r="W354" i="6"/>
  <c r="X354" i="6"/>
  <c r="Y354" i="6"/>
  <c r="V355" i="6"/>
  <c r="W355" i="6"/>
  <c r="X355" i="6"/>
  <c r="Y355" i="6"/>
  <c r="V356" i="6"/>
  <c r="W356" i="6"/>
  <c r="X356" i="6"/>
  <c r="Y356" i="6"/>
  <c r="V363" i="6"/>
  <c r="W363" i="6"/>
  <c r="X363" i="6"/>
  <c r="Y363" i="6"/>
  <c r="V364" i="6"/>
  <c r="W364" i="6"/>
  <c r="X364" i="6"/>
  <c r="Y364" i="6"/>
  <c r="V365" i="6"/>
  <c r="W365" i="6"/>
  <c r="X365" i="6"/>
  <c r="Y365" i="6"/>
  <c r="V366" i="6"/>
  <c r="W366" i="6"/>
  <c r="X366" i="6"/>
  <c r="Y366" i="6"/>
  <c r="V367" i="6"/>
  <c r="W367" i="6"/>
  <c r="X367" i="6"/>
  <c r="Y367" i="6"/>
  <c r="V368" i="6"/>
  <c r="W368" i="6"/>
  <c r="X368" i="6"/>
  <c r="Y368" i="6"/>
  <c r="V369" i="6"/>
  <c r="W369" i="6"/>
  <c r="X369" i="6"/>
  <c r="Y369" i="6"/>
  <c r="V357" i="6"/>
  <c r="W357" i="6"/>
  <c r="X357" i="6"/>
  <c r="Y357" i="6"/>
  <c r="V358" i="6"/>
  <c r="W358" i="6"/>
  <c r="X358" i="6"/>
  <c r="Y358" i="6"/>
  <c r="V359" i="6"/>
  <c r="W359" i="6"/>
  <c r="X359" i="6"/>
  <c r="Y359" i="6"/>
  <c r="V360" i="6"/>
  <c r="W360" i="6"/>
  <c r="X360" i="6"/>
  <c r="Y360" i="6"/>
  <c r="V370" i="6"/>
  <c r="W370" i="6"/>
  <c r="X370" i="6"/>
  <c r="Y370" i="6"/>
  <c r="V371" i="6"/>
  <c r="W371" i="6"/>
  <c r="X371" i="6"/>
  <c r="Y371" i="6"/>
  <c r="V372" i="6"/>
  <c r="W372" i="6"/>
  <c r="X372" i="6"/>
  <c r="Y372" i="6"/>
  <c r="V373" i="6"/>
  <c r="W373" i="6"/>
  <c r="X373" i="6"/>
  <c r="Y373" i="6"/>
  <c r="V374" i="6"/>
  <c r="W374" i="6"/>
  <c r="X374" i="6"/>
  <c r="Y374" i="6"/>
  <c r="V375" i="6"/>
  <c r="W375" i="6"/>
  <c r="X375" i="6"/>
  <c r="Y375" i="6"/>
  <c r="V376" i="6"/>
  <c r="W376" i="6"/>
  <c r="X376" i="6"/>
  <c r="Y376" i="6"/>
  <c r="V377" i="6"/>
  <c r="W377" i="6"/>
  <c r="X377" i="6"/>
  <c r="Y377" i="6"/>
  <c r="V378" i="6"/>
  <c r="W378" i="6"/>
  <c r="X378" i="6"/>
  <c r="Y378" i="6"/>
  <c r="V379" i="6"/>
  <c r="W379" i="6"/>
  <c r="X379" i="6"/>
  <c r="Y379" i="6"/>
  <c r="V380" i="6"/>
  <c r="W380" i="6"/>
  <c r="X380" i="6"/>
  <c r="Y380" i="6"/>
  <c r="V383" i="6"/>
  <c r="W383" i="6"/>
  <c r="X383" i="6"/>
  <c r="Y383" i="6"/>
  <c r="V386" i="6"/>
  <c r="W386" i="6"/>
  <c r="X386" i="6"/>
  <c r="Y386" i="6"/>
  <c r="V382" i="6"/>
  <c r="W382" i="6"/>
  <c r="X382" i="6"/>
  <c r="Y382" i="6"/>
  <c r="V385" i="6"/>
  <c r="W385" i="6"/>
  <c r="X385" i="6"/>
  <c r="Y385" i="6"/>
  <c r="V384" i="6"/>
  <c r="W384" i="6"/>
  <c r="X384" i="6"/>
  <c r="Y384" i="6"/>
  <c r="V410" i="6"/>
  <c r="W410" i="6"/>
  <c r="X410" i="6"/>
  <c r="Y410" i="6"/>
  <c r="V388" i="6"/>
  <c r="W388" i="6"/>
  <c r="X388" i="6"/>
  <c r="Y388" i="6"/>
  <c r="V409" i="6"/>
  <c r="W409" i="6"/>
  <c r="X409" i="6"/>
  <c r="Y409" i="6"/>
  <c r="V408" i="6"/>
  <c r="W408" i="6"/>
  <c r="X408" i="6"/>
  <c r="Y408" i="6"/>
  <c r="V391" i="6"/>
  <c r="W391" i="6"/>
  <c r="X391" i="6"/>
  <c r="Y391" i="6"/>
  <c r="V392" i="6"/>
  <c r="W392" i="6"/>
  <c r="X392" i="6"/>
  <c r="Y392" i="6"/>
  <c r="V393" i="6"/>
  <c r="W393" i="6"/>
  <c r="X393" i="6"/>
  <c r="Y393" i="6"/>
  <c r="V394" i="6"/>
  <c r="W394" i="6"/>
  <c r="X394" i="6"/>
  <c r="Y394" i="6"/>
  <c r="V395" i="6"/>
  <c r="W395" i="6"/>
  <c r="X395" i="6"/>
  <c r="Y395" i="6"/>
  <c r="V390" i="6"/>
  <c r="W390" i="6"/>
  <c r="X390" i="6"/>
  <c r="Y390" i="6"/>
  <c r="V406" i="6"/>
  <c r="W406" i="6"/>
  <c r="X406" i="6"/>
  <c r="Y406" i="6"/>
  <c r="V396" i="6"/>
  <c r="W396" i="6"/>
  <c r="X396" i="6"/>
  <c r="Y396" i="6"/>
  <c r="V397" i="6"/>
  <c r="W397" i="6"/>
  <c r="X397" i="6"/>
  <c r="Y397" i="6"/>
  <c r="V398" i="6"/>
  <c r="W398" i="6"/>
  <c r="X398" i="6"/>
  <c r="Y398" i="6"/>
  <c r="V399" i="6"/>
  <c r="W399" i="6"/>
  <c r="X399" i="6"/>
  <c r="Y399" i="6"/>
  <c r="V400" i="6"/>
  <c r="W400" i="6"/>
  <c r="X400" i="6"/>
  <c r="Y400" i="6"/>
  <c r="V401" i="6"/>
  <c r="W401" i="6"/>
  <c r="X401" i="6"/>
  <c r="Y401" i="6"/>
  <c r="V387" i="6"/>
  <c r="W387" i="6"/>
  <c r="X387" i="6"/>
  <c r="Y387" i="6"/>
  <c r="V407" i="6"/>
  <c r="W407" i="6"/>
  <c r="X407" i="6"/>
  <c r="Y407" i="6"/>
  <c r="V402" i="6"/>
  <c r="W402" i="6"/>
  <c r="X402" i="6"/>
  <c r="Y402" i="6"/>
  <c r="V389" i="6"/>
  <c r="W389" i="6"/>
  <c r="X389" i="6"/>
  <c r="Y389" i="6"/>
  <c r="V411" i="6"/>
  <c r="W411" i="6"/>
  <c r="X411" i="6"/>
  <c r="Y411" i="6"/>
  <c r="V403" i="6"/>
  <c r="W403" i="6"/>
  <c r="X403" i="6"/>
  <c r="Y403" i="6"/>
  <c r="V404" i="6"/>
  <c r="W404" i="6"/>
  <c r="X404" i="6"/>
  <c r="Y404" i="6"/>
  <c r="V405" i="6"/>
  <c r="W405" i="6"/>
  <c r="X405" i="6"/>
  <c r="Y405" i="6"/>
  <c r="C408" i="6"/>
  <c r="C155" i="6"/>
  <c r="C116" i="6"/>
  <c r="C115" i="6"/>
  <c r="C389" i="6"/>
  <c r="C325" i="6"/>
  <c r="C391" i="6"/>
  <c r="C399" i="6"/>
  <c r="C401" i="6"/>
  <c r="C134" i="6"/>
  <c r="C117" i="6"/>
  <c r="C288" i="6"/>
  <c r="C6" i="6"/>
  <c r="C34" i="6"/>
  <c r="C7" i="6"/>
  <c r="C388" i="6"/>
  <c r="C407" i="6"/>
  <c r="C175" i="6"/>
  <c r="C387" i="6"/>
  <c r="C282" i="6"/>
  <c r="C179" i="6"/>
  <c r="C224" i="6"/>
  <c r="C335" i="6"/>
  <c r="C129" i="6"/>
  <c r="C5" i="6"/>
  <c r="C4" i="6"/>
  <c r="C3" i="6"/>
  <c r="C340" i="6"/>
  <c r="C396" i="6"/>
  <c r="C404" i="6"/>
  <c r="C2" i="6"/>
  <c r="C114" i="6"/>
  <c r="C286" i="6"/>
  <c r="C333" i="6"/>
  <c r="C10" i="6"/>
  <c r="C372" i="6"/>
  <c r="C377" i="6"/>
  <c r="C370" i="6"/>
  <c r="C359" i="6"/>
  <c r="C411" i="6"/>
  <c r="C30" i="6"/>
  <c r="C153" i="6"/>
  <c r="C406" i="6"/>
  <c r="C40" i="6"/>
  <c r="C45" i="6"/>
  <c r="C390" i="6"/>
  <c r="C11" i="6"/>
  <c r="C200" i="6"/>
  <c r="C255" i="6"/>
  <c r="C358" i="6"/>
  <c r="C27" i="6"/>
  <c r="C410" i="6"/>
  <c r="C392" i="6"/>
  <c r="C394" i="6"/>
  <c r="C397" i="6"/>
  <c r="C398" i="6"/>
  <c r="C400" i="6"/>
  <c r="C405" i="6"/>
  <c r="C275" i="6"/>
  <c r="C287" i="6"/>
  <c r="C402" i="6"/>
  <c r="C273" i="6"/>
  <c r="C331" i="6"/>
  <c r="C29" i="6"/>
  <c r="C403" i="6"/>
  <c r="C26" i="6"/>
  <c r="C77" i="6"/>
  <c r="C86" i="6"/>
  <c r="C44" i="6"/>
  <c r="C19" i="6"/>
  <c r="C154" i="6"/>
  <c r="C39" i="6"/>
  <c r="C17" i="6"/>
  <c r="C135" i="6"/>
  <c r="C284" i="6"/>
  <c r="C285" i="6"/>
  <c r="C24" i="6"/>
  <c r="C256" i="6"/>
  <c r="C303" i="6"/>
  <c r="C395" i="6"/>
  <c r="C61" i="6"/>
  <c r="C295" i="6"/>
  <c r="C16" i="6"/>
  <c r="C18" i="6"/>
  <c r="C251" i="6"/>
  <c r="C12" i="6"/>
  <c r="C367" i="6"/>
  <c r="C409" i="6"/>
  <c r="C260" i="6"/>
  <c r="C383" i="6"/>
  <c r="C230" i="6"/>
  <c r="C360" i="6"/>
  <c r="C80" i="6"/>
  <c r="C238" i="6"/>
  <c r="C227" i="6"/>
  <c r="C131" i="6"/>
  <c r="C15" i="6"/>
  <c r="C25" i="6"/>
  <c r="C43" i="6"/>
  <c r="C20" i="6"/>
  <c r="C322" i="6"/>
  <c r="C393" i="6"/>
  <c r="C259" i="6"/>
  <c r="C68" i="6"/>
  <c r="C266" i="6"/>
  <c r="C302" i="6"/>
  <c r="C311" i="6"/>
  <c r="C301" i="6"/>
  <c r="C329" i="6"/>
  <c r="C160" i="6"/>
  <c r="C161" i="6"/>
  <c r="C235" i="6"/>
  <c r="C276" i="6"/>
  <c r="C35" i="6"/>
  <c r="C233" i="6"/>
  <c r="C374" i="6"/>
  <c r="C323" i="6"/>
  <c r="C232" i="6"/>
  <c r="C37" i="6"/>
  <c r="C189" i="6"/>
  <c r="C192" i="6"/>
  <c r="C221" i="6"/>
  <c r="C193" i="6"/>
  <c r="C194" i="6"/>
  <c r="C236" i="6"/>
  <c r="C178" i="6"/>
  <c r="C66" i="6"/>
  <c r="C281" i="6"/>
  <c r="C213" i="6"/>
  <c r="C151" i="6"/>
  <c r="C97" i="6"/>
  <c r="C141" i="6"/>
  <c r="C289" i="6"/>
  <c r="C267" i="6"/>
  <c r="C237" i="6"/>
  <c r="C248" i="6"/>
  <c r="C246" i="6"/>
  <c r="C191" i="6"/>
  <c r="C99" i="6"/>
  <c r="C214" i="6"/>
  <c r="C64" i="6"/>
  <c r="C386" i="6"/>
  <c r="C346" i="6"/>
  <c r="C132" i="6"/>
  <c r="C265" i="6"/>
  <c r="C212" i="6"/>
  <c r="C102" i="6"/>
  <c r="C106" i="6"/>
  <c r="C165" i="6"/>
  <c r="C185" i="6"/>
  <c r="C263" i="6"/>
  <c r="C100" i="6"/>
  <c r="C258" i="6"/>
  <c r="C159" i="6"/>
  <c r="C88" i="6"/>
  <c r="C42" i="6"/>
  <c r="C41" i="6"/>
  <c r="C121" i="6"/>
  <c r="C57" i="6"/>
  <c r="C70" i="6"/>
  <c r="C305" i="6"/>
  <c r="C176" i="6"/>
  <c r="C110" i="6"/>
  <c r="C111" i="6"/>
  <c r="C81" i="6"/>
  <c r="C188" i="6"/>
  <c r="C74" i="6"/>
  <c r="C252" i="6"/>
  <c r="C384" i="6"/>
  <c r="C73" i="6"/>
  <c r="C14" i="6"/>
  <c r="C385" i="6"/>
  <c r="C38" i="6"/>
  <c r="C250" i="6"/>
  <c r="C162" i="6"/>
  <c r="C108" i="6"/>
  <c r="C109" i="6"/>
  <c r="C107" i="6"/>
  <c r="C163" i="6"/>
  <c r="C313" i="6"/>
  <c r="C324" i="6"/>
  <c r="C270" i="6"/>
  <c r="C112" i="6"/>
  <c r="C180" i="6"/>
  <c r="C229" i="6"/>
  <c r="C228" i="6"/>
  <c r="C279" i="6"/>
  <c r="C264" i="6"/>
  <c r="C76" i="6"/>
  <c r="C90" i="6"/>
  <c r="C249" i="6"/>
  <c r="C103" i="6"/>
  <c r="C95" i="6"/>
  <c r="C278" i="6"/>
  <c r="C245" i="6"/>
  <c r="C257" i="6"/>
  <c r="C150" i="6"/>
  <c r="C136" i="6"/>
  <c r="C152" i="6"/>
  <c r="C156" i="6"/>
  <c r="C101" i="6"/>
  <c r="C56" i="6"/>
  <c r="C89" i="6"/>
  <c r="C91" i="6"/>
  <c r="C223" i="6"/>
  <c r="C364" i="6"/>
  <c r="C130" i="6"/>
  <c r="C59" i="6"/>
  <c r="C65" i="6"/>
  <c r="C93" i="6"/>
  <c r="C261" i="6"/>
  <c r="C96" i="6"/>
  <c r="C71" i="6"/>
  <c r="C216" i="6"/>
  <c r="C148" i="6"/>
  <c r="C308" i="6"/>
  <c r="C328" i="6"/>
  <c r="C283" i="6"/>
  <c r="C137" i="6"/>
  <c r="C75" i="6"/>
  <c r="C92" i="6"/>
  <c r="C262" i="6"/>
  <c r="C149" i="6"/>
  <c r="C312" i="6"/>
  <c r="C363" i="6"/>
  <c r="C269" i="6"/>
  <c r="C172" i="6"/>
  <c r="C203" i="6"/>
  <c r="C69" i="6"/>
  <c r="C124" i="6"/>
  <c r="C145" i="6"/>
  <c r="C94" i="6"/>
  <c r="C208" i="6"/>
  <c r="C123" i="6"/>
  <c r="C371" i="6"/>
  <c r="C321" i="6"/>
  <c r="C254" i="6"/>
  <c r="C243" i="6"/>
  <c r="C207" i="6"/>
  <c r="C272" i="6"/>
  <c r="C31" i="6"/>
  <c r="C138" i="6"/>
  <c r="C297" i="6"/>
  <c r="C173" i="6"/>
  <c r="C105" i="6"/>
  <c r="C205" i="6"/>
  <c r="C304" i="6"/>
  <c r="C98" i="6"/>
  <c r="C170" i="6"/>
  <c r="C169" i="6"/>
  <c r="C379" i="6"/>
  <c r="C53" i="6"/>
  <c r="C127" i="6"/>
  <c r="C84" i="6"/>
  <c r="C375" i="6"/>
  <c r="C60" i="6"/>
  <c r="C277" i="6"/>
  <c r="C247" i="6"/>
  <c r="C300" i="6"/>
  <c r="C307" i="6"/>
  <c r="C320" i="6"/>
  <c r="C79" i="6"/>
  <c r="C291" i="6"/>
  <c r="C222" i="6"/>
  <c r="C126" i="6"/>
  <c r="C133" i="6"/>
  <c r="C125" i="6"/>
  <c r="C33" i="6"/>
  <c r="C128" i="6"/>
  <c r="C271" i="6"/>
  <c r="C274" i="6"/>
  <c r="C240" i="6"/>
  <c r="C204" i="6"/>
  <c r="C171" i="6"/>
  <c r="C164" i="6"/>
  <c r="C326" i="6"/>
  <c r="C369" i="6"/>
  <c r="C365" i="6"/>
  <c r="C368" i="6"/>
  <c r="C142" i="6"/>
  <c r="C241" i="6"/>
  <c r="C67" i="6"/>
  <c r="C85" i="6"/>
  <c r="C199" i="6"/>
  <c r="C206" i="6"/>
  <c r="C113" i="6"/>
  <c r="C174" i="6"/>
  <c r="C299" i="6"/>
  <c r="C58" i="6"/>
  <c r="C253" i="6"/>
  <c r="C290" i="6"/>
  <c r="C146" i="6"/>
  <c r="C234" i="6"/>
  <c r="C87" i="6"/>
  <c r="C336" i="6"/>
  <c r="C183" i="6"/>
  <c r="C244" i="6"/>
  <c r="C177" i="6"/>
  <c r="C104" i="6"/>
  <c r="C239" i="6"/>
  <c r="C47" i="6"/>
  <c r="C158" i="6"/>
  <c r="C63" i="6"/>
  <c r="C36" i="6"/>
  <c r="C330" i="6"/>
  <c r="C167" i="6"/>
  <c r="C82" i="6"/>
  <c r="C293" i="6"/>
  <c r="C32" i="6"/>
  <c r="C119" i="6"/>
  <c r="C182" i="6"/>
  <c r="C83" i="6"/>
  <c r="C215" i="6"/>
  <c r="C354" i="6"/>
  <c r="C292" i="6"/>
  <c r="C226" i="6"/>
  <c r="C72" i="6"/>
  <c r="C197" i="6"/>
  <c r="C184" i="6"/>
  <c r="C211" i="6"/>
  <c r="C357" i="6"/>
  <c r="C62" i="6"/>
  <c r="C202" i="6"/>
  <c r="C147" i="6"/>
  <c r="C378" i="6"/>
  <c r="C157" i="6"/>
  <c r="C355" i="6"/>
  <c r="C334" i="6"/>
  <c r="C23" i="6"/>
  <c r="C201" i="6"/>
  <c r="C294" i="6"/>
  <c r="C21" i="6"/>
  <c r="C242" i="6"/>
  <c r="C186" i="6"/>
  <c r="C122" i="6"/>
  <c r="C166" i="6"/>
  <c r="C382" i="6"/>
  <c r="C8" i="6"/>
  <c r="C231" i="6"/>
  <c r="C51" i="6"/>
  <c r="C220" i="6"/>
  <c r="C22" i="6"/>
  <c r="C348" i="6"/>
  <c r="C218" i="6"/>
  <c r="C344" i="6"/>
  <c r="C306" i="6"/>
  <c r="C181" i="6"/>
  <c r="C196" i="6"/>
  <c r="C144" i="6"/>
  <c r="C118" i="6"/>
  <c r="C352" i="6"/>
  <c r="C219" i="6"/>
  <c r="C28" i="6"/>
  <c r="C209" i="6"/>
  <c r="C54" i="6"/>
  <c r="C55" i="6"/>
  <c r="C48" i="6"/>
  <c r="C309" i="6"/>
  <c r="C310" i="6"/>
  <c r="C187" i="6"/>
  <c r="C195" i="6"/>
  <c r="C332" i="6"/>
  <c r="C353" i="6"/>
  <c r="C190" i="6"/>
  <c r="C9" i="6"/>
  <c r="C52" i="6"/>
  <c r="C78" i="6"/>
  <c r="C345" i="6"/>
  <c r="C268" i="6"/>
  <c r="C120" i="6"/>
  <c r="C373" i="6"/>
  <c r="C50" i="6"/>
  <c r="C49" i="6"/>
  <c r="C143" i="6"/>
  <c r="C362" i="6"/>
  <c r="C198" i="6"/>
  <c r="C13" i="6"/>
  <c r="C376" i="6"/>
  <c r="C361" i="6"/>
  <c r="C315" i="6"/>
  <c r="C380" i="6"/>
  <c r="C46" i="6"/>
  <c r="C316" i="6"/>
  <c r="C317" i="6"/>
  <c r="C342" i="6"/>
  <c r="C343" i="6"/>
  <c r="C210" i="6"/>
  <c r="C217" i="6"/>
  <c r="C339" i="6"/>
  <c r="C356" i="6"/>
  <c r="C296" i="6"/>
  <c r="C338" i="6"/>
  <c r="C319" i="6"/>
  <c r="C337" i="6"/>
  <c r="C318" i="6"/>
  <c r="C366" i="6"/>
  <c r="C341" i="6"/>
  <c r="C349" i="6"/>
  <c r="C347" i="6"/>
  <c r="C350" i="6"/>
  <c r="C351" i="6"/>
  <c r="C168" i="6"/>
  <c r="C280" i="6"/>
  <c r="C327" i="6"/>
  <c r="C225" i="6"/>
  <c r="B327" i="6"/>
  <c r="B280" i="6"/>
  <c r="B168" i="6"/>
  <c r="B351" i="6"/>
  <c r="B350" i="6"/>
  <c r="B347" i="6"/>
  <c r="B349" i="6"/>
  <c r="B341" i="6"/>
  <c r="B366" i="6"/>
  <c r="B318" i="6"/>
  <c r="B337" i="6"/>
  <c r="B319" i="6"/>
  <c r="B338" i="6"/>
  <c r="B296" i="6"/>
  <c r="B356" i="6"/>
  <c r="B339" i="6"/>
  <c r="B217" i="6"/>
  <c r="B210" i="6"/>
  <c r="B343" i="6"/>
  <c r="B342" i="6"/>
  <c r="B317" i="6"/>
  <c r="B316" i="6"/>
  <c r="B46" i="6"/>
  <c r="B380" i="6"/>
  <c r="B315" i="6"/>
  <c r="B361" i="6"/>
  <c r="B376" i="6"/>
  <c r="B13" i="6"/>
  <c r="B198" i="6"/>
  <c r="B362" i="6"/>
  <c r="B143" i="6"/>
  <c r="B49" i="6"/>
  <c r="B50" i="6"/>
  <c r="B373" i="6"/>
  <c r="B120" i="6"/>
  <c r="B268" i="6"/>
  <c r="B345" i="6"/>
  <c r="B78" i="6"/>
  <c r="B52" i="6"/>
  <c r="B9" i="6"/>
  <c r="B190" i="6"/>
  <c r="B353" i="6"/>
  <c r="B332" i="6"/>
  <c r="B195" i="6"/>
  <c r="B310" i="6"/>
  <c r="B309" i="6"/>
  <c r="B48" i="6"/>
  <c r="B55" i="6"/>
  <c r="B54" i="6"/>
  <c r="B209" i="6"/>
  <c r="B28" i="6"/>
  <c r="B219" i="6"/>
  <c r="B352" i="6"/>
  <c r="B118" i="6"/>
  <c r="B144" i="6"/>
  <c r="B196" i="6"/>
  <c r="B181" i="6"/>
  <c r="B306" i="6"/>
  <c r="B344" i="6"/>
  <c r="B218" i="6"/>
  <c r="B348" i="6"/>
  <c r="B22" i="6"/>
  <c r="B220" i="6"/>
  <c r="B51" i="6"/>
  <c r="B231" i="6"/>
  <c r="B8" i="6"/>
  <c r="B382" i="6"/>
  <c r="B166" i="6"/>
  <c r="B122" i="6"/>
  <c r="B186" i="6"/>
  <c r="B242" i="6"/>
  <c r="B21" i="6"/>
  <c r="B294" i="6"/>
  <c r="B201" i="6"/>
  <c r="B23" i="6"/>
  <c r="B334" i="6"/>
  <c r="B355" i="6"/>
  <c r="B157" i="6"/>
  <c r="B378" i="6"/>
  <c r="B147" i="6"/>
  <c r="B202" i="6"/>
  <c r="B62" i="6"/>
  <c r="B357" i="6"/>
  <c r="B211" i="6"/>
  <c r="B184" i="6"/>
  <c r="B197" i="6"/>
  <c r="B72" i="6"/>
  <c r="B226" i="6"/>
  <c r="B292" i="6"/>
  <c r="B354" i="6"/>
  <c r="B215" i="6"/>
  <c r="B83" i="6"/>
  <c r="B182" i="6"/>
  <c r="B119" i="6"/>
  <c r="B32" i="6"/>
  <c r="B293" i="6"/>
  <c r="B82" i="6"/>
  <c r="B167" i="6"/>
  <c r="B330" i="6"/>
  <c r="B36" i="6"/>
  <c r="B63" i="6"/>
  <c r="B158" i="6"/>
  <c r="B47" i="6"/>
  <c r="B239" i="6"/>
  <c r="B104" i="6"/>
  <c r="B177" i="6"/>
  <c r="B244" i="6"/>
  <c r="B183" i="6"/>
  <c r="B336" i="6"/>
  <c r="B87" i="6"/>
  <c r="B234" i="6"/>
  <c r="B146" i="6"/>
  <c r="B290" i="6"/>
  <c r="B253" i="6"/>
  <c r="B58" i="6"/>
  <c r="B299" i="6"/>
  <c r="B174" i="6"/>
  <c r="B113" i="6"/>
  <c r="B206" i="6"/>
  <c r="B199" i="6"/>
  <c r="B85" i="6"/>
  <c r="B67" i="6"/>
  <c r="B241" i="6"/>
  <c r="B142" i="6"/>
  <c r="B368" i="6"/>
  <c r="B365" i="6"/>
  <c r="B369" i="6"/>
  <c r="B326" i="6"/>
  <c r="B164" i="6"/>
  <c r="B171" i="6"/>
  <c r="B204" i="6"/>
  <c r="B240" i="6"/>
  <c r="B274" i="6"/>
  <c r="B271" i="6"/>
  <c r="B128" i="6"/>
  <c r="B33" i="6"/>
  <c r="B125" i="6"/>
  <c r="B133" i="6"/>
  <c r="B126" i="6"/>
  <c r="B222" i="6"/>
  <c r="B291" i="6"/>
  <c r="B79" i="6"/>
  <c r="B320" i="6"/>
  <c r="B307" i="6"/>
  <c r="B300" i="6"/>
  <c r="B247" i="6"/>
  <c r="B277" i="6"/>
  <c r="B60" i="6"/>
  <c r="B375" i="6"/>
  <c r="B84" i="6"/>
  <c r="B127" i="6"/>
  <c r="B53" i="6"/>
  <c r="B379" i="6"/>
  <c r="B169" i="6"/>
  <c r="B170" i="6"/>
  <c r="B98" i="6"/>
  <c r="B304" i="6"/>
  <c r="B205" i="6"/>
  <c r="B105" i="6"/>
  <c r="B173" i="6"/>
  <c r="B297" i="6"/>
  <c r="B138" i="6"/>
  <c r="B31" i="6"/>
  <c r="B272" i="6"/>
  <c r="B207" i="6"/>
  <c r="B243" i="6"/>
  <c r="B254" i="6"/>
  <c r="B321" i="6"/>
  <c r="B371" i="6"/>
  <c r="B123" i="6"/>
  <c r="B208" i="6"/>
  <c r="B94" i="6"/>
  <c r="B145" i="6"/>
  <c r="B124" i="6"/>
  <c r="B69" i="6"/>
  <c r="B203" i="6"/>
  <c r="B172" i="6"/>
  <c r="B269" i="6"/>
  <c r="B363" i="6"/>
  <c r="B312" i="6"/>
  <c r="B149" i="6"/>
  <c r="B262" i="6"/>
  <c r="B92" i="6"/>
  <c r="B75" i="6"/>
  <c r="B137" i="6"/>
  <c r="B283" i="6"/>
  <c r="B328" i="6"/>
  <c r="B308" i="6"/>
  <c r="B148" i="6"/>
  <c r="B216" i="6"/>
  <c r="B71" i="6"/>
  <c r="B96" i="6"/>
  <c r="B261" i="6"/>
  <c r="B93" i="6"/>
  <c r="B65" i="6"/>
  <c r="B59" i="6"/>
  <c r="B130" i="6"/>
  <c r="B364" i="6"/>
  <c r="B223" i="6"/>
  <c r="B91" i="6"/>
  <c r="B89" i="6"/>
  <c r="B56" i="6"/>
  <c r="B101" i="6"/>
  <c r="B156" i="6"/>
  <c r="B152" i="6"/>
  <c r="B136" i="6"/>
  <c r="B150" i="6"/>
  <c r="B257" i="6"/>
  <c r="B245" i="6"/>
  <c r="B278" i="6"/>
  <c r="B95" i="6"/>
  <c r="B103" i="6"/>
  <c r="B249" i="6"/>
  <c r="B90" i="6"/>
  <c r="B76" i="6"/>
  <c r="B264" i="6"/>
  <c r="B279" i="6"/>
  <c r="B228" i="6"/>
  <c r="B229" i="6"/>
  <c r="B180" i="6"/>
  <c r="B112" i="6"/>
  <c r="B324" i="6"/>
  <c r="B313" i="6"/>
  <c r="B163" i="6"/>
  <c r="B107" i="6"/>
  <c r="B109" i="6"/>
  <c r="B108" i="6"/>
  <c r="B162" i="6"/>
  <c r="B250" i="6"/>
  <c r="B38" i="6"/>
  <c r="B385" i="6"/>
  <c r="B14" i="6"/>
  <c r="B73" i="6"/>
  <c r="B384" i="6"/>
  <c r="B252" i="6"/>
  <c r="B74" i="6"/>
  <c r="B81" i="6"/>
  <c r="B111" i="6"/>
  <c r="B110" i="6"/>
  <c r="B176" i="6"/>
  <c r="B305" i="6"/>
  <c r="B70" i="6"/>
  <c r="B57" i="6"/>
  <c r="B121" i="6"/>
  <c r="B41" i="6"/>
  <c r="B42" i="6"/>
  <c r="B88" i="6"/>
  <c r="B159" i="6"/>
  <c r="B258" i="6"/>
  <c r="B100" i="6"/>
  <c r="B263" i="6"/>
  <c r="B185" i="6"/>
  <c r="B165" i="6"/>
  <c r="B106" i="6"/>
  <c r="B102" i="6"/>
  <c r="B212" i="6"/>
  <c r="B265" i="6"/>
  <c r="B132" i="6"/>
  <c r="B346" i="6"/>
  <c r="B386" i="6"/>
  <c r="B64" i="6"/>
  <c r="B214" i="6"/>
  <c r="B99" i="6"/>
  <c r="B191" i="6"/>
  <c r="B246" i="6"/>
  <c r="B248" i="6"/>
  <c r="B237" i="6"/>
  <c r="B267" i="6"/>
  <c r="B289" i="6"/>
  <c r="B141" i="6"/>
  <c r="B97" i="6"/>
  <c r="B151" i="6"/>
  <c r="B213" i="6"/>
  <c r="B281" i="6"/>
  <c r="B178" i="6"/>
  <c r="B236" i="6"/>
  <c r="B194" i="6"/>
  <c r="B193" i="6"/>
  <c r="B221" i="6"/>
  <c r="B192" i="6"/>
  <c r="B189" i="6"/>
  <c r="B37" i="6"/>
  <c r="B232" i="6"/>
  <c r="B323" i="6"/>
  <c r="B374" i="6"/>
  <c r="B233" i="6"/>
  <c r="B35" i="6"/>
  <c r="B276" i="6"/>
  <c r="B235" i="6"/>
  <c r="B161" i="6"/>
  <c r="B160" i="6"/>
  <c r="B329" i="6"/>
  <c r="B301" i="6"/>
  <c r="B311" i="6"/>
  <c r="B302" i="6"/>
  <c r="B266" i="6"/>
  <c r="B68" i="6"/>
  <c r="B259" i="6"/>
  <c r="B393" i="6"/>
  <c r="B322" i="6"/>
  <c r="B20" i="6"/>
  <c r="B43" i="6"/>
  <c r="B25" i="6"/>
  <c r="B15" i="6"/>
  <c r="B131" i="6"/>
  <c r="B227" i="6"/>
  <c r="B238" i="6"/>
  <c r="B80" i="6"/>
  <c r="B360" i="6"/>
  <c r="B230" i="6"/>
  <c r="B383" i="6"/>
  <c r="B260" i="6"/>
  <c r="B409" i="6"/>
  <c r="B367" i="6"/>
  <c r="B12" i="6"/>
  <c r="B251" i="6"/>
  <c r="B18" i="6"/>
  <c r="B16" i="6"/>
  <c r="B295" i="6"/>
  <c r="B61" i="6"/>
  <c r="B395" i="6"/>
  <c r="B303" i="6"/>
  <c r="B256" i="6"/>
  <c r="B24" i="6"/>
  <c r="B285" i="6"/>
  <c r="B284" i="6"/>
  <c r="B135" i="6"/>
  <c r="B17" i="6"/>
  <c r="B39" i="6"/>
  <c r="B154" i="6"/>
  <c r="B19" i="6"/>
  <c r="B44" i="6"/>
  <c r="B86" i="6"/>
  <c r="B77" i="6"/>
  <c r="B26" i="6"/>
  <c r="B403" i="6"/>
  <c r="B29" i="6"/>
  <c r="B331" i="6"/>
  <c r="B273" i="6"/>
  <c r="B402" i="6"/>
  <c r="B287" i="6"/>
  <c r="B275" i="6"/>
  <c r="B405" i="6"/>
  <c r="B400" i="6"/>
  <c r="B398" i="6"/>
  <c r="B397" i="6"/>
  <c r="B394" i="6"/>
  <c r="B392" i="6"/>
  <c r="B410" i="6"/>
  <c r="B27" i="6"/>
  <c r="B358" i="6"/>
  <c r="B255" i="6"/>
  <c r="B200" i="6"/>
  <c r="B11" i="6"/>
  <c r="B390" i="6"/>
  <c r="B45" i="6"/>
  <c r="B40" i="6"/>
  <c r="B406" i="6"/>
  <c r="B153" i="6"/>
  <c r="B30" i="6"/>
  <c r="B411" i="6"/>
  <c r="B359" i="6"/>
  <c r="B370" i="6"/>
  <c r="B377" i="6"/>
  <c r="B372" i="6"/>
  <c r="B10" i="6"/>
  <c r="B333" i="6"/>
  <c r="B286" i="6"/>
  <c r="B114" i="6"/>
  <c r="B2" i="6"/>
  <c r="B404" i="6"/>
  <c r="B396" i="6"/>
  <c r="B340" i="6"/>
  <c r="B3" i="6"/>
  <c r="B4" i="6"/>
  <c r="B5" i="6"/>
  <c r="B129" i="6"/>
  <c r="B335" i="6"/>
  <c r="B224" i="6"/>
  <c r="B179" i="6"/>
  <c r="B282" i="6"/>
  <c r="B387" i="6"/>
  <c r="B175" i="6"/>
  <c r="B407" i="6"/>
  <c r="B388" i="6"/>
  <c r="B7" i="6"/>
  <c r="B34" i="6"/>
  <c r="B6" i="6"/>
  <c r="B288" i="6"/>
  <c r="B117" i="6"/>
  <c r="B134" i="6"/>
  <c r="B401" i="6"/>
  <c r="B399" i="6"/>
  <c r="B391" i="6"/>
  <c r="B325" i="6"/>
  <c r="B389" i="6"/>
  <c r="B115" i="6"/>
  <c r="B116" i="6"/>
  <c r="B155" i="6"/>
  <c r="B408" i="6"/>
  <c r="B225" i="6"/>
  <c r="A3" i="8"/>
  <c r="AD3" i="8"/>
  <c r="AE3" i="8"/>
  <c r="AF3" i="8"/>
  <c r="AG3" i="8"/>
  <c r="AH3" i="8"/>
  <c r="AI3" i="8"/>
  <c r="AJ3" i="8"/>
  <c r="AK3" i="8"/>
  <c r="AL3" i="8"/>
  <c r="A4" i="8"/>
  <c r="AD4" i="8"/>
  <c r="AE4" i="8"/>
  <c r="AF4" i="8"/>
  <c r="AG4" i="8"/>
  <c r="AH4" i="8"/>
  <c r="AI4" i="8"/>
  <c r="AJ4" i="8"/>
  <c r="AK4" i="8"/>
  <c r="AL4" i="8"/>
  <c r="A5" i="8"/>
  <c r="AD5" i="8"/>
  <c r="AE5" i="8"/>
  <c r="AF5" i="8"/>
  <c r="AG5" i="8"/>
  <c r="AH5" i="8"/>
  <c r="AI5" i="8"/>
  <c r="AJ5" i="8"/>
  <c r="AK5" i="8"/>
  <c r="AL5" i="8"/>
  <c r="A6" i="8"/>
  <c r="AD6" i="8"/>
  <c r="AE6" i="8"/>
  <c r="AF6" i="8"/>
  <c r="AG6" i="8"/>
  <c r="AH6" i="8"/>
  <c r="AI6" i="8"/>
  <c r="AJ6" i="8"/>
  <c r="AK6" i="8"/>
  <c r="AL6" i="8"/>
  <c r="A7" i="8"/>
  <c r="AD7" i="8"/>
  <c r="AE7" i="8"/>
  <c r="AF7" i="8"/>
  <c r="AG7" i="8"/>
  <c r="AH7" i="8"/>
  <c r="AI7" i="8"/>
  <c r="AJ7" i="8"/>
  <c r="AK7" i="8"/>
  <c r="AL7" i="8"/>
  <c r="A8" i="8"/>
  <c r="AD8" i="8"/>
  <c r="AE8" i="8"/>
  <c r="AF8" i="8"/>
  <c r="AG8" i="8"/>
  <c r="AH8" i="8"/>
  <c r="AI8" i="8"/>
  <c r="AJ8" i="8"/>
  <c r="AK8" i="8"/>
  <c r="AL8" i="8"/>
  <c r="A9" i="8"/>
  <c r="AD9" i="8"/>
  <c r="AE9" i="8"/>
  <c r="AF9" i="8"/>
  <c r="AG9" i="8"/>
  <c r="AH9" i="8"/>
  <c r="AI9" i="8"/>
  <c r="AJ9" i="8"/>
  <c r="AK9" i="8"/>
  <c r="AL9" i="8"/>
  <c r="A10" i="8"/>
  <c r="AD10" i="8"/>
  <c r="AE10" i="8"/>
  <c r="AF10" i="8"/>
  <c r="AG10" i="8"/>
  <c r="AH10" i="8"/>
  <c r="AI10" i="8"/>
  <c r="AJ10" i="8"/>
  <c r="AK10" i="8"/>
  <c r="AL10" i="8"/>
  <c r="A11" i="8"/>
  <c r="AD11" i="8"/>
  <c r="AE11" i="8"/>
  <c r="AF11" i="8"/>
  <c r="AG11" i="8"/>
  <c r="AH11" i="8"/>
  <c r="AI11" i="8"/>
  <c r="AJ11" i="8"/>
  <c r="AK11" i="8"/>
  <c r="AL11" i="8"/>
  <c r="A12" i="8"/>
  <c r="AD12" i="8"/>
  <c r="AE12" i="8"/>
  <c r="AF12" i="8"/>
  <c r="AG12" i="8"/>
  <c r="AH12" i="8"/>
  <c r="AI12" i="8"/>
  <c r="AJ12" i="8"/>
  <c r="AK12" i="8"/>
  <c r="AL12" i="8"/>
  <c r="AM12" i="8"/>
  <c r="AN12" i="8"/>
  <c r="AO12" i="8"/>
  <c r="A13" i="8"/>
  <c r="AD13" i="8"/>
  <c r="AE13" i="8"/>
  <c r="AF13" i="8"/>
  <c r="AG13" i="8"/>
  <c r="AH13" i="8"/>
  <c r="AI13" i="8"/>
  <c r="AJ13" i="8"/>
  <c r="AK13" i="8"/>
  <c r="AL13" i="8"/>
  <c r="AM13" i="8"/>
  <c r="AN13" i="8"/>
  <c r="AO13" i="8"/>
  <c r="A14" i="8"/>
  <c r="AD14" i="8"/>
  <c r="AE14" i="8"/>
  <c r="AF14" i="8"/>
  <c r="AG14" i="8"/>
  <c r="AH14" i="8"/>
  <c r="AI14" i="8"/>
  <c r="AJ14" i="8"/>
  <c r="AK14" i="8"/>
  <c r="AL14" i="8"/>
  <c r="A15" i="8"/>
  <c r="AD15" i="8"/>
  <c r="AE15" i="8"/>
  <c r="AF15" i="8"/>
  <c r="AG15" i="8"/>
  <c r="AH15" i="8"/>
  <c r="AI15" i="8"/>
  <c r="AJ15" i="8"/>
  <c r="AK15" i="8"/>
  <c r="AL15" i="8"/>
  <c r="A16" i="8"/>
  <c r="AD16" i="8"/>
  <c r="AE16" i="8"/>
  <c r="AF16" i="8"/>
  <c r="AG16" i="8"/>
  <c r="AH16" i="8"/>
  <c r="AI16" i="8"/>
  <c r="AJ16" i="8"/>
  <c r="AK16" i="8"/>
  <c r="AL16" i="8"/>
  <c r="A17" i="8"/>
  <c r="AD17" i="8"/>
  <c r="AE17" i="8"/>
  <c r="AF17" i="8"/>
  <c r="AG17" i="8"/>
  <c r="AH17" i="8"/>
  <c r="AI17" i="8"/>
  <c r="AJ17" i="8"/>
  <c r="AK17" i="8"/>
  <c r="AL17" i="8"/>
  <c r="AM17" i="8"/>
  <c r="AN17" i="8"/>
  <c r="AO17" i="8"/>
  <c r="A18" i="8"/>
  <c r="AD18" i="8"/>
  <c r="AE18" i="8"/>
  <c r="AF18" i="8"/>
  <c r="AG18" i="8"/>
  <c r="AH18" i="8"/>
  <c r="AI18" i="8"/>
  <c r="AJ18" i="8"/>
  <c r="AK18" i="8"/>
  <c r="AL18" i="8"/>
  <c r="AM18" i="8"/>
  <c r="AN18" i="8"/>
  <c r="AO18" i="8"/>
  <c r="A19" i="8"/>
  <c r="AD19" i="8"/>
  <c r="AE19" i="8"/>
  <c r="AF19" i="8"/>
  <c r="AG19" i="8"/>
  <c r="AH19" i="8"/>
  <c r="AI19" i="8"/>
  <c r="AJ19" i="8"/>
  <c r="AK19" i="8"/>
  <c r="AL19" i="8"/>
  <c r="AM19" i="8"/>
  <c r="AN19" i="8"/>
  <c r="AO19" i="8"/>
  <c r="A20" i="8"/>
  <c r="AD20" i="8"/>
  <c r="AE20" i="8"/>
  <c r="AF20" i="8"/>
  <c r="AG20" i="8"/>
  <c r="AH20" i="8"/>
  <c r="AI20" i="8"/>
  <c r="AJ20" i="8"/>
  <c r="AK20" i="8"/>
  <c r="AL20" i="8"/>
  <c r="AM20" i="8"/>
  <c r="AN20" i="8"/>
  <c r="AO20" i="8"/>
  <c r="A21" i="8"/>
  <c r="AD21" i="8"/>
  <c r="AE21" i="8"/>
  <c r="AF21" i="8"/>
  <c r="AG21" i="8"/>
  <c r="AH21" i="8"/>
  <c r="AI21" i="8"/>
  <c r="AJ21" i="8"/>
  <c r="AK21" i="8"/>
  <c r="AL21" i="8"/>
  <c r="AM21" i="8"/>
  <c r="AN21" i="8"/>
  <c r="AO21" i="8"/>
  <c r="A22" i="8"/>
  <c r="AD22" i="8"/>
  <c r="AE22" i="8"/>
  <c r="AF22" i="8"/>
  <c r="AG22" i="8"/>
  <c r="AH22" i="8"/>
  <c r="AI22" i="8"/>
  <c r="AJ22" i="8"/>
  <c r="AK22" i="8"/>
  <c r="AL22" i="8"/>
  <c r="AM22" i="8"/>
  <c r="AN22" i="8"/>
  <c r="AO22" i="8"/>
  <c r="A23" i="8"/>
  <c r="AD23" i="8"/>
  <c r="AE23" i="8"/>
  <c r="AF23" i="8"/>
  <c r="AG23" i="8"/>
  <c r="AH23" i="8"/>
  <c r="AI23" i="8"/>
  <c r="AJ23" i="8"/>
  <c r="AK23" i="8"/>
  <c r="AL23" i="8"/>
  <c r="AM23" i="8"/>
  <c r="AN23" i="8"/>
  <c r="AO23" i="8"/>
  <c r="A24" i="8"/>
  <c r="AD24" i="8"/>
  <c r="AE24" i="8"/>
  <c r="AF24" i="8"/>
  <c r="AG24" i="8"/>
  <c r="AH24" i="8"/>
  <c r="AI24" i="8"/>
  <c r="AJ24" i="8"/>
  <c r="AK24" i="8"/>
  <c r="AL24" i="8"/>
  <c r="A25" i="8"/>
  <c r="AD25" i="8"/>
  <c r="AE25" i="8"/>
  <c r="AF25" i="8"/>
  <c r="AG25" i="8"/>
  <c r="AH25" i="8"/>
  <c r="AI25" i="8"/>
  <c r="AJ25" i="8"/>
  <c r="AK25" i="8"/>
  <c r="AL25" i="8"/>
  <c r="A26" i="8"/>
  <c r="AD26" i="8"/>
  <c r="AE26" i="8"/>
  <c r="AF26" i="8"/>
  <c r="AG26" i="8"/>
  <c r="AH26" i="8"/>
  <c r="AI26" i="8"/>
  <c r="AJ26" i="8"/>
  <c r="AK26" i="8"/>
  <c r="AL26" i="8"/>
  <c r="A27" i="8"/>
  <c r="AD27" i="8"/>
  <c r="AE27" i="8"/>
  <c r="AF27" i="8"/>
  <c r="AG27" i="8"/>
  <c r="AH27" i="8"/>
  <c r="AI27" i="8"/>
  <c r="AJ27" i="8"/>
  <c r="AK27" i="8"/>
  <c r="AL27" i="8"/>
  <c r="A28" i="8"/>
  <c r="AD28" i="8"/>
  <c r="AE28" i="8"/>
  <c r="AF28" i="8"/>
  <c r="AG28" i="8"/>
  <c r="AH28" i="8"/>
  <c r="AI28" i="8"/>
  <c r="AJ28" i="8"/>
  <c r="AK28" i="8"/>
  <c r="AL28" i="8"/>
  <c r="A29" i="8"/>
  <c r="AD29" i="8"/>
  <c r="AE29" i="8"/>
  <c r="AF29" i="8"/>
  <c r="AG29" i="8"/>
  <c r="AH29" i="8"/>
  <c r="AI29" i="8"/>
  <c r="AJ29" i="8"/>
  <c r="AK29" i="8"/>
  <c r="AL29" i="8"/>
  <c r="A30" i="8"/>
  <c r="AD30" i="8"/>
  <c r="AE30" i="8"/>
  <c r="AF30" i="8"/>
  <c r="AG30" i="8"/>
  <c r="AH30" i="8"/>
  <c r="AI30" i="8"/>
  <c r="AJ30" i="8"/>
  <c r="AK30" i="8"/>
  <c r="AL30" i="8"/>
  <c r="A31" i="8"/>
  <c r="AD31" i="8"/>
  <c r="AE31" i="8"/>
  <c r="AF31" i="8"/>
  <c r="AG31" i="8"/>
  <c r="AH31" i="8"/>
  <c r="AI31" i="8"/>
  <c r="AJ31" i="8"/>
  <c r="AK31" i="8"/>
  <c r="AL31" i="8"/>
  <c r="A32" i="8"/>
  <c r="AD32" i="8"/>
  <c r="AE32" i="8"/>
  <c r="AF32" i="8"/>
  <c r="AG32" i="8"/>
  <c r="AH32" i="8"/>
  <c r="AI32" i="8"/>
  <c r="AJ32" i="8"/>
  <c r="AK32" i="8"/>
  <c r="AL32" i="8"/>
  <c r="A33" i="8"/>
  <c r="AD33" i="8"/>
  <c r="AE33" i="8"/>
  <c r="AF33" i="8"/>
  <c r="AG33" i="8"/>
  <c r="AH33" i="8"/>
  <c r="AI33" i="8"/>
  <c r="AJ33" i="8"/>
  <c r="AK33" i="8"/>
  <c r="AL33" i="8"/>
  <c r="A34" i="8"/>
  <c r="AD34" i="8"/>
  <c r="AE34" i="8"/>
  <c r="AF34" i="8"/>
  <c r="AG34" i="8"/>
  <c r="AH34" i="8"/>
  <c r="AI34" i="8"/>
  <c r="AJ34" i="8"/>
  <c r="AK34" i="8"/>
  <c r="AL34" i="8"/>
  <c r="A35" i="8"/>
  <c r="AD35" i="8"/>
  <c r="AE35" i="8"/>
  <c r="AF35" i="8"/>
  <c r="AG35" i="8"/>
  <c r="AH35" i="8"/>
  <c r="AI35" i="8"/>
  <c r="AJ35" i="8"/>
  <c r="AK35" i="8"/>
  <c r="AL35" i="8"/>
  <c r="A36" i="8"/>
  <c r="AD36" i="8"/>
  <c r="AE36" i="8"/>
  <c r="AF36" i="8"/>
  <c r="AG36" i="8"/>
  <c r="AH36" i="8"/>
  <c r="AI36" i="8"/>
  <c r="AJ36" i="8"/>
  <c r="AK36" i="8"/>
  <c r="AL36" i="8"/>
  <c r="A37" i="8"/>
  <c r="AD37" i="8"/>
  <c r="AE37" i="8"/>
  <c r="AF37" i="8"/>
  <c r="AG37" i="8"/>
  <c r="AH37" i="8"/>
  <c r="AI37" i="8"/>
  <c r="AJ37" i="8"/>
  <c r="AK37" i="8"/>
  <c r="AL37" i="8"/>
  <c r="AM37" i="8"/>
  <c r="AN37" i="8"/>
  <c r="A38" i="8"/>
  <c r="AD38" i="8"/>
  <c r="AE38" i="8"/>
  <c r="AF38" i="8"/>
  <c r="AG38" i="8"/>
  <c r="AH38" i="8"/>
  <c r="AI38" i="8"/>
  <c r="AJ38" i="8"/>
  <c r="AK38" i="8"/>
  <c r="AL38" i="8"/>
  <c r="AM38" i="8"/>
  <c r="AN38" i="8"/>
  <c r="AO38" i="8"/>
  <c r="A39" i="8"/>
  <c r="AD39" i="8"/>
  <c r="AE39" i="8"/>
  <c r="AF39" i="8"/>
  <c r="AG39" i="8"/>
  <c r="AH39" i="8"/>
  <c r="AI39" i="8"/>
  <c r="AJ39" i="8"/>
  <c r="AK39" i="8"/>
  <c r="AL39" i="8"/>
  <c r="A40" i="8"/>
  <c r="AD40" i="8"/>
  <c r="AE40" i="8"/>
  <c r="AF40" i="8"/>
  <c r="AG40" i="8"/>
  <c r="AH40" i="8"/>
  <c r="AI40" i="8"/>
  <c r="AJ40" i="8"/>
  <c r="AK40" i="8"/>
  <c r="AL40" i="8"/>
  <c r="AM40" i="8"/>
  <c r="AN40" i="8"/>
  <c r="A41" i="8"/>
  <c r="AD41" i="8"/>
  <c r="AE41" i="8"/>
  <c r="AF41" i="8"/>
  <c r="AG41" i="8"/>
  <c r="AH41" i="8"/>
  <c r="AI41" i="8"/>
  <c r="AJ41" i="8"/>
  <c r="AK41" i="8"/>
  <c r="AL41" i="8"/>
  <c r="A42" i="8"/>
  <c r="AD42" i="8"/>
  <c r="AE42" i="8"/>
  <c r="AF42" i="8"/>
  <c r="AG42" i="8"/>
  <c r="AH42" i="8"/>
  <c r="AI42" i="8"/>
  <c r="AJ42" i="8"/>
  <c r="AK42" i="8"/>
  <c r="AL42" i="8"/>
  <c r="A43" i="8"/>
  <c r="AD43" i="8"/>
  <c r="AE43" i="8"/>
  <c r="AF43" i="8"/>
  <c r="AG43" i="8"/>
  <c r="AH43" i="8"/>
  <c r="AI43" i="8"/>
  <c r="AJ43" i="8"/>
  <c r="AK43" i="8"/>
  <c r="AL43" i="8"/>
  <c r="A44" i="8"/>
  <c r="AD44" i="8"/>
  <c r="AE44" i="8"/>
  <c r="AF44" i="8"/>
  <c r="AG44" i="8"/>
  <c r="AH44" i="8"/>
  <c r="AI44" i="8"/>
  <c r="AJ44" i="8"/>
  <c r="AK44" i="8"/>
  <c r="AL44" i="8"/>
  <c r="A45" i="8"/>
  <c r="AD45" i="8"/>
  <c r="AE45" i="8"/>
  <c r="AF45" i="8"/>
  <c r="AG45" i="8"/>
  <c r="AH45" i="8"/>
  <c r="AI45" i="8"/>
  <c r="AJ45" i="8"/>
  <c r="AK45" i="8"/>
  <c r="AL45" i="8"/>
  <c r="A46" i="8"/>
  <c r="AD46" i="8"/>
  <c r="AE46" i="8"/>
  <c r="AF46" i="8"/>
  <c r="AG46" i="8"/>
  <c r="AH46" i="8"/>
  <c r="AI46" i="8"/>
  <c r="AJ46" i="8"/>
  <c r="AK46" i="8"/>
  <c r="AL46" i="8"/>
  <c r="A47" i="8"/>
  <c r="AD47" i="8"/>
  <c r="AE47" i="8"/>
  <c r="AF47" i="8"/>
  <c r="AG47" i="8"/>
  <c r="AH47" i="8"/>
  <c r="AI47" i="8"/>
  <c r="AJ47" i="8"/>
  <c r="AK47" i="8"/>
  <c r="AL47" i="8"/>
  <c r="A48" i="8"/>
  <c r="AD48" i="8"/>
  <c r="AE48" i="8"/>
  <c r="AF48" i="8"/>
  <c r="AG48" i="8"/>
  <c r="AH48" i="8"/>
  <c r="AI48" i="8"/>
  <c r="AJ48" i="8"/>
  <c r="AK48" i="8"/>
  <c r="AL48" i="8"/>
  <c r="A49" i="8"/>
  <c r="AD49" i="8"/>
  <c r="AE49" i="8"/>
  <c r="AF49" i="8"/>
  <c r="AG49" i="8"/>
  <c r="AH49" i="8"/>
  <c r="AI49" i="8"/>
  <c r="AJ49" i="8"/>
  <c r="AK49" i="8"/>
  <c r="AL49" i="8"/>
  <c r="A50" i="8"/>
  <c r="AD50" i="8"/>
  <c r="AE50" i="8"/>
  <c r="AF50" i="8"/>
  <c r="AG50" i="8"/>
  <c r="AH50" i="8"/>
  <c r="AI50" i="8"/>
  <c r="AJ50" i="8"/>
  <c r="AK50" i="8"/>
  <c r="AL50" i="8"/>
  <c r="A51" i="8"/>
  <c r="AD51" i="8"/>
  <c r="AE51" i="8"/>
  <c r="AF51" i="8"/>
  <c r="AG51" i="8"/>
  <c r="AH51" i="8"/>
  <c r="AI51" i="8"/>
  <c r="AJ51" i="8"/>
  <c r="AK51" i="8"/>
  <c r="AL51" i="8"/>
  <c r="A52" i="8"/>
  <c r="AD52" i="8"/>
  <c r="AE52" i="8"/>
  <c r="AF52" i="8"/>
  <c r="AG52" i="8"/>
  <c r="AH52" i="8"/>
  <c r="AI52" i="8"/>
  <c r="AJ52" i="8"/>
  <c r="AK52" i="8"/>
  <c r="AL52" i="8"/>
  <c r="A53" i="8"/>
  <c r="AD53" i="8"/>
  <c r="AE53" i="8"/>
  <c r="AF53" i="8"/>
  <c r="AG53" i="8"/>
  <c r="AH53" i="8"/>
  <c r="AI53" i="8"/>
  <c r="AJ53" i="8"/>
  <c r="AK53" i="8"/>
  <c r="AL53" i="8"/>
  <c r="A54" i="8"/>
  <c r="AD54" i="8"/>
  <c r="AE54" i="8"/>
  <c r="AF54" i="8"/>
  <c r="AG54" i="8"/>
  <c r="AH54" i="8"/>
  <c r="AI54" i="8"/>
  <c r="AJ54" i="8"/>
  <c r="AK54" i="8"/>
  <c r="AL54" i="8"/>
  <c r="A55" i="8"/>
  <c r="AD55" i="8"/>
  <c r="AE55" i="8"/>
  <c r="AF55" i="8"/>
  <c r="AG55" i="8"/>
  <c r="AH55" i="8"/>
  <c r="AI55" i="8"/>
  <c r="AJ55" i="8"/>
  <c r="AK55" i="8"/>
  <c r="AL55" i="8"/>
  <c r="A56" i="8"/>
  <c r="AD56" i="8"/>
  <c r="AE56" i="8"/>
  <c r="AF56" i="8"/>
  <c r="AG56" i="8"/>
  <c r="AH56" i="8"/>
  <c r="AI56" i="8"/>
  <c r="AJ56" i="8"/>
  <c r="AK56" i="8"/>
  <c r="AL56" i="8"/>
  <c r="A57" i="8"/>
  <c r="AD57" i="8"/>
  <c r="AE57" i="8"/>
  <c r="AF57" i="8"/>
  <c r="AG57" i="8"/>
  <c r="AH57" i="8"/>
  <c r="AI57" i="8"/>
  <c r="AJ57" i="8"/>
  <c r="AK57" i="8"/>
  <c r="AL57" i="8"/>
  <c r="AM57" i="8"/>
  <c r="AN57" i="8"/>
  <c r="A58" i="8"/>
  <c r="AD58" i="8"/>
  <c r="AE58" i="8"/>
  <c r="AF58" i="8"/>
  <c r="AG58" i="8"/>
  <c r="AH58" i="8"/>
  <c r="AI58" i="8"/>
  <c r="AJ58" i="8"/>
  <c r="AK58" i="8"/>
  <c r="AL58" i="8"/>
  <c r="A59" i="8"/>
  <c r="AD59" i="8"/>
  <c r="AE59" i="8"/>
  <c r="AF59" i="8"/>
  <c r="AG59" i="8"/>
  <c r="AH59" i="8"/>
  <c r="AI59" i="8"/>
  <c r="AJ59" i="8"/>
  <c r="AK59" i="8"/>
  <c r="AL59" i="8"/>
  <c r="A60" i="8"/>
  <c r="AD60" i="8"/>
  <c r="AE60" i="8"/>
  <c r="AF60" i="8"/>
  <c r="AG60" i="8"/>
  <c r="AH60" i="8"/>
  <c r="AI60" i="8"/>
  <c r="AJ60" i="8"/>
  <c r="AK60" i="8"/>
  <c r="AL60" i="8"/>
  <c r="A61" i="8"/>
  <c r="AD61" i="8"/>
  <c r="AE61" i="8"/>
  <c r="AF61" i="8"/>
  <c r="AG61" i="8"/>
  <c r="AH61" i="8"/>
  <c r="AI61" i="8"/>
  <c r="AJ61" i="8"/>
  <c r="AK61" i="8"/>
  <c r="AL61" i="8"/>
  <c r="A62" i="8"/>
  <c r="AD62" i="8"/>
  <c r="AE62" i="8"/>
  <c r="AF62" i="8"/>
  <c r="AG62" i="8"/>
  <c r="AH62" i="8"/>
  <c r="AI62" i="8"/>
  <c r="AJ62" i="8"/>
  <c r="AK62" i="8"/>
  <c r="AL62" i="8"/>
  <c r="A63" i="8"/>
  <c r="AD63" i="8"/>
  <c r="AE63" i="8"/>
  <c r="AF63" i="8"/>
  <c r="AG63" i="8"/>
  <c r="AH63" i="8"/>
  <c r="AI63" i="8"/>
  <c r="AJ63" i="8"/>
  <c r="AK63" i="8"/>
  <c r="AL63" i="8"/>
  <c r="A64" i="8"/>
  <c r="AD64" i="8"/>
  <c r="AE64" i="8"/>
  <c r="AF64" i="8"/>
  <c r="AG64" i="8"/>
  <c r="AH64" i="8"/>
  <c r="AI64" i="8"/>
  <c r="AJ64" i="8"/>
  <c r="AK64" i="8"/>
  <c r="AL64" i="8"/>
  <c r="A65" i="8"/>
  <c r="AD65" i="8"/>
  <c r="AE65" i="8"/>
  <c r="AF65" i="8"/>
  <c r="AG65" i="8"/>
  <c r="AH65" i="8"/>
  <c r="AI65" i="8"/>
  <c r="AJ65" i="8"/>
  <c r="AK65" i="8"/>
  <c r="AL65" i="8"/>
  <c r="A66" i="8"/>
  <c r="AD66" i="8"/>
  <c r="AE66" i="8"/>
  <c r="AF66" i="8"/>
  <c r="AG66" i="8"/>
  <c r="AH66" i="8"/>
  <c r="AI66" i="8"/>
  <c r="AJ66" i="8"/>
  <c r="AK66" i="8"/>
  <c r="AL66" i="8"/>
  <c r="A67" i="8"/>
  <c r="AD67" i="8"/>
  <c r="AE67" i="8"/>
  <c r="AF67" i="8"/>
  <c r="AG67" i="8"/>
  <c r="AH67" i="8"/>
  <c r="AI67" i="8"/>
  <c r="AJ67" i="8"/>
  <c r="AK67" i="8"/>
  <c r="AL67" i="8"/>
  <c r="A68" i="8"/>
  <c r="AD68" i="8"/>
  <c r="AE68" i="8"/>
  <c r="AF68" i="8"/>
  <c r="AG68" i="8"/>
  <c r="AH68" i="8"/>
  <c r="AI68" i="8"/>
  <c r="AJ68" i="8"/>
  <c r="AK68" i="8"/>
  <c r="AL68" i="8"/>
  <c r="A69" i="8"/>
  <c r="AD69" i="8"/>
  <c r="AE69" i="8"/>
  <c r="AF69" i="8"/>
  <c r="AG69" i="8"/>
  <c r="AH69" i="8"/>
  <c r="AI69" i="8"/>
  <c r="AJ69" i="8"/>
  <c r="AK69" i="8"/>
  <c r="AL69" i="8"/>
  <c r="A70" i="8"/>
  <c r="AD70" i="8"/>
  <c r="AE70" i="8"/>
  <c r="AF70" i="8"/>
  <c r="AG70" i="8"/>
  <c r="AH70" i="8"/>
  <c r="AI70" i="8"/>
  <c r="AJ70" i="8"/>
  <c r="AK70" i="8"/>
  <c r="AL70" i="8"/>
  <c r="A71" i="8"/>
  <c r="AD71" i="8"/>
  <c r="AE71" i="8"/>
  <c r="AF71" i="8"/>
  <c r="AG71" i="8"/>
  <c r="AH71" i="8"/>
  <c r="AI71" i="8"/>
  <c r="AJ71" i="8"/>
  <c r="AK71" i="8"/>
  <c r="AL71" i="8"/>
  <c r="A72" i="8"/>
  <c r="AD72" i="8"/>
  <c r="AE72" i="8"/>
  <c r="AF72" i="8"/>
  <c r="AG72" i="8"/>
  <c r="AH72" i="8"/>
  <c r="AI72" i="8"/>
  <c r="AJ72" i="8"/>
  <c r="AK72" i="8"/>
  <c r="AL72" i="8"/>
  <c r="A73" i="8"/>
  <c r="AD73" i="8"/>
  <c r="AE73" i="8"/>
  <c r="AF73" i="8"/>
  <c r="AG73" i="8"/>
  <c r="AH73" i="8"/>
  <c r="AI73" i="8"/>
  <c r="AJ73" i="8"/>
  <c r="AK73" i="8"/>
  <c r="AL73" i="8"/>
  <c r="A74" i="8"/>
  <c r="AD74" i="8"/>
  <c r="AE74" i="8"/>
  <c r="AF74" i="8"/>
  <c r="AG74" i="8"/>
  <c r="AH74" i="8"/>
  <c r="AI74" i="8"/>
  <c r="AJ74" i="8"/>
  <c r="AK74" i="8"/>
  <c r="AL74" i="8"/>
  <c r="A75" i="8"/>
  <c r="AD75" i="8"/>
  <c r="AE75" i="8"/>
  <c r="AF75" i="8"/>
  <c r="AG75" i="8"/>
  <c r="AH75" i="8"/>
  <c r="AI75" i="8"/>
  <c r="AJ75" i="8"/>
  <c r="AK75" i="8"/>
  <c r="AL75" i="8"/>
  <c r="AM75" i="8"/>
  <c r="AN75" i="8"/>
  <c r="A76" i="8"/>
  <c r="AD76" i="8"/>
  <c r="AE76" i="8"/>
  <c r="AF76" i="8"/>
  <c r="AG76" i="8"/>
  <c r="AH76" i="8"/>
  <c r="AI76" i="8"/>
  <c r="AJ76" i="8"/>
  <c r="AK76" i="8"/>
  <c r="AL76" i="8"/>
  <c r="A77" i="8"/>
  <c r="AD77" i="8"/>
  <c r="AE77" i="8"/>
  <c r="AF77" i="8"/>
  <c r="AG77" i="8"/>
  <c r="AH77" i="8"/>
  <c r="AI77" i="8"/>
  <c r="AJ77" i="8"/>
  <c r="AK77" i="8"/>
  <c r="AL77" i="8"/>
  <c r="AM77" i="8"/>
  <c r="AN77" i="8"/>
  <c r="A78" i="8"/>
  <c r="AD78" i="8"/>
  <c r="AE78" i="8"/>
  <c r="AF78" i="8"/>
  <c r="AG78" i="8"/>
  <c r="AH78" i="8"/>
  <c r="AI78" i="8"/>
  <c r="AJ78" i="8"/>
  <c r="AK78" i="8"/>
  <c r="AL78" i="8"/>
  <c r="A79" i="8"/>
  <c r="AD79" i="8"/>
  <c r="AE79" i="8"/>
  <c r="AF79" i="8"/>
  <c r="AG79" i="8"/>
  <c r="AH79" i="8"/>
  <c r="AI79" i="8"/>
  <c r="AJ79" i="8"/>
  <c r="AK79" i="8"/>
  <c r="AL79" i="8"/>
  <c r="A80" i="8"/>
  <c r="AD80" i="8"/>
  <c r="AE80" i="8"/>
  <c r="AF80" i="8"/>
  <c r="AG80" i="8"/>
  <c r="AH80" i="8"/>
  <c r="AI80" i="8"/>
  <c r="AJ80" i="8"/>
  <c r="AK80" i="8"/>
  <c r="AL80" i="8"/>
  <c r="A81" i="8"/>
  <c r="AD81" i="8"/>
  <c r="AE81" i="8"/>
  <c r="AF81" i="8"/>
  <c r="AG81" i="8"/>
  <c r="AH81" i="8"/>
  <c r="AI81" i="8"/>
  <c r="AJ81" i="8"/>
  <c r="AK81" i="8"/>
  <c r="AL81" i="8"/>
  <c r="A82" i="8"/>
  <c r="AD82" i="8"/>
  <c r="AE82" i="8"/>
  <c r="AF82" i="8"/>
  <c r="AG82" i="8"/>
  <c r="AH82" i="8"/>
  <c r="AI82" i="8"/>
  <c r="AJ82" i="8"/>
  <c r="AK82" i="8"/>
  <c r="AL82" i="8"/>
  <c r="A83" i="8"/>
  <c r="AD83" i="8"/>
  <c r="AE83" i="8"/>
  <c r="AF83" i="8"/>
  <c r="AG83" i="8"/>
  <c r="AH83" i="8"/>
  <c r="AI83" i="8"/>
  <c r="AJ83" i="8"/>
  <c r="AK83" i="8"/>
  <c r="AL83" i="8"/>
  <c r="A84" i="8"/>
  <c r="AD84" i="8"/>
  <c r="AE84" i="8"/>
  <c r="AF84" i="8"/>
  <c r="AG84" i="8"/>
  <c r="AH84" i="8"/>
  <c r="AI84" i="8"/>
  <c r="AJ84" i="8"/>
  <c r="AK84" i="8"/>
  <c r="AL84" i="8"/>
  <c r="A85" i="8"/>
  <c r="AD85" i="8"/>
  <c r="AE85" i="8"/>
  <c r="AF85" i="8"/>
  <c r="AG85" i="8"/>
  <c r="AH85" i="8"/>
  <c r="AI85" i="8"/>
  <c r="AJ85" i="8"/>
  <c r="AK85" i="8"/>
  <c r="AL85" i="8"/>
  <c r="A86" i="8"/>
  <c r="AD86" i="8"/>
  <c r="AE86" i="8"/>
  <c r="AF86" i="8"/>
  <c r="AG86" i="8"/>
  <c r="AH86" i="8"/>
  <c r="AI86" i="8"/>
  <c r="AJ86" i="8"/>
  <c r="AK86" i="8"/>
  <c r="AL86" i="8"/>
  <c r="A87" i="8"/>
  <c r="AD87" i="8"/>
  <c r="AE87" i="8"/>
  <c r="AF87" i="8"/>
  <c r="AG87" i="8"/>
  <c r="AH87" i="8"/>
  <c r="AI87" i="8"/>
  <c r="AJ87" i="8"/>
  <c r="AK87" i="8"/>
  <c r="AL87" i="8"/>
  <c r="A88" i="8"/>
  <c r="AD88" i="8"/>
  <c r="AE88" i="8"/>
  <c r="AF88" i="8"/>
  <c r="AG88" i="8"/>
  <c r="AH88" i="8"/>
  <c r="AI88" i="8"/>
  <c r="AJ88" i="8"/>
  <c r="AK88" i="8"/>
  <c r="AL88" i="8"/>
  <c r="A89" i="8"/>
  <c r="AD89" i="8"/>
  <c r="AE89" i="8"/>
  <c r="AF89" i="8"/>
  <c r="AG89" i="8"/>
  <c r="AH89" i="8"/>
  <c r="AI89" i="8"/>
  <c r="AJ89" i="8"/>
  <c r="AK89" i="8"/>
  <c r="AL89" i="8"/>
  <c r="A90" i="8"/>
  <c r="AD90" i="8"/>
  <c r="AE90" i="8"/>
  <c r="AF90" i="8"/>
  <c r="AG90" i="8"/>
  <c r="AH90" i="8"/>
  <c r="AI90" i="8"/>
  <c r="AJ90" i="8"/>
  <c r="AK90" i="8"/>
  <c r="AL90" i="8"/>
  <c r="A91" i="8"/>
  <c r="AD91" i="8"/>
  <c r="AE91" i="8"/>
  <c r="AF91" i="8"/>
  <c r="AG91" i="8"/>
  <c r="AH91" i="8"/>
  <c r="AI91" i="8"/>
  <c r="AJ91" i="8"/>
  <c r="AK91" i="8"/>
  <c r="AL91" i="8"/>
  <c r="A92" i="8"/>
  <c r="AD92" i="8"/>
  <c r="AE92" i="8"/>
  <c r="AF92" i="8"/>
  <c r="AG92" i="8"/>
  <c r="AH92" i="8"/>
  <c r="AI92" i="8"/>
  <c r="AJ92" i="8"/>
  <c r="AK92" i="8"/>
  <c r="AL92" i="8"/>
  <c r="A93" i="8"/>
  <c r="AD93" i="8"/>
  <c r="AE93" i="8"/>
  <c r="AF93" i="8"/>
  <c r="AG93" i="8"/>
  <c r="AH93" i="8"/>
  <c r="AI93" i="8"/>
  <c r="AJ93" i="8"/>
  <c r="AK93" i="8"/>
  <c r="AL93" i="8"/>
  <c r="A94" i="8"/>
  <c r="AD94" i="8"/>
  <c r="AE94" i="8"/>
  <c r="AF94" i="8"/>
  <c r="AG94" i="8"/>
  <c r="AH94" i="8"/>
  <c r="AI94" i="8"/>
  <c r="AJ94" i="8"/>
  <c r="AK94" i="8"/>
  <c r="AL94" i="8"/>
  <c r="A95" i="8"/>
  <c r="AD95" i="8"/>
  <c r="AE95" i="8"/>
  <c r="AF95" i="8"/>
  <c r="AG95" i="8"/>
  <c r="AH95" i="8"/>
  <c r="AI95" i="8"/>
  <c r="AJ95" i="8"/>
  <c r="AK95" i="8"/>
  <c r="AL95" i="8"/>
  <c r="A96" i="8"/>
  <c r="AD96" i="8"/>
  <c r="AE96" i="8"/>
  <c r="AF96" i="8"/>
  <c r="AG96" i="8"/>
  <c r="AH96" i="8"/>
  <c r="AI96" i="8"/>
  <c r="AJ96" i="8"/>
  <c r="AK96" i="8"/>
  <c r="AL96" i="8"/>
  <c r="A97" i="8"/>
  <c r="AD97" i="8"/>
  <c r="AE97" i="8"/>
  <c r="AF97" i="8"/>
  <c r="AG97" i="8"/>
  <c r="AH97" i="8"/>
  <c r="AI97" i="8"/>
  <c r="AJ97" i="8"/>
  <c r="AK97" i="8"/>
  <c r="AL97" i="8"/>
  <c r="AO97" i="8"/>
  <c r="A98" i="8"/>
  <c r="AD98" i="8"/>
  <c r="AE98" i="8"/>
  <c r="AF98" i="8"/>
  <c r="AG98" i="8"/>
  <c r="AH98" i="8"/>
  <c r="AI98" i="8"/>
  <c r="AJ98" i="8"/>
  <c r="AK98" i="8"/>
  <c r="AL98" i="8"/>
  <c r="AO98" i="8"/>
  <c r="A99" i="8"/>
  <c r="AD99" i="8"/>
  <c r="AE99" i="8"/>
  <c r="AF99" i="8"/>
  <c r="AG99" i="8"/>
  <c r="AH99" i="8"/>
  <c r="AI99" i="8"/>
  <c r="AJ99" i="8"/>
  <c r="AK99" i="8"/>
  <c r="AL99" i="8"/>
  <c r="A100" i="8"/>
  <c r="AD100" i="8"/>
  <c r="AE100" i="8"/>
  <c r="AF100" i="8"/>
  <c r="AG100" i="8"/>
  <c r="AH100" i="8"/>
  <c r="AI100" i="8"/>
  <c r="AJ100" i="8"/>
  <c r="AK100" i="8"/>
  <c r="AL100" i="8"/>
  <c r="A101" i="8"/>
  <c r="AD101" i="8"/>
  <c r="AE101" i="8"/>
  <c r="AF101" i="8"/>
  <c r="AG101" i="8"/>
  <c r="AH101" i="8"/>
  <c r="AI101" i="8"/>
  <c r="AJ101" i="8"/>
  <c r="AK101" i="8"/>
  <c r="AL101" i="8"/>
  <c r="AM101" i="8"/>
  <c r="AN101" i="8"/>
  <c r="AO101" i="8"/>
  <c r="A102" i="8"/>
  <c r="AD102" i="8"/>
  <c r="AE102" i="8"/>
  <c r="AF102" i="8"/>
  <c r="AG102" i="8"/>
  <c r="AH102" i="8"/>
  <c r="AI102" i="8"/>
  <c r="AJ102" i="8"/>
  <c r="AK102" i="8"/>
  <c r="AL102" i="8"/>
  <c r="AM102" i="8"/>
  <c r="AN102" i="8"/>
  <c r="A103" i="8"/>
  <c r="AD103" i="8"/>
  <c r="AE103" i="8"/>
  <c r="AF103" i="8"/>
  <c r="AG103" i="8"/>
  <c r="AH103" i="8"/>
  <c r="AI103" i="8"/>
  <c r="AJ103" i="8"/>
  <c r="AK103" i="8"/>
  <c r="AL103" i="8"/>
  <c r="AM103" i="8"/>
  <c r="AN103" i="8"/>
  <c r="A104" i="8"/>
  <c r="AD104" i="8"/>
  <c r="AE104" i="8"/>
  <c r="AF104" i="8"/>
  <c r="AG104" i="8"/>
  <c r="AH104" i="8"/>
  <c r="AI104" i="8"/>
  <c r="AJ104" i="8"/>
  <c r="AK104" i="8"/>
  <c r="AL104" i="8"/>
  <c r="AM104" i="8"/>
  <c r="AN104" i="8"/>
  <c r="A105" i="8"/>
  <c r="AD105" i="8"/>
  <c r="AE105" i="8"/>
  <c r="AF105" i="8"/>
  <c r="AG105" i="8"/>
  <c r="AH105" i="8"/>
  <c r="AI105" i="8"/>
  <c r="AJ105" i="8"/>
  <c r="AK105" i="8"/>
  <c r="AL105" i="8"/>
  <c r="AM105" i="8"/>
  <c r="AN105" i="8"/>
  <c r="A106" i="8"/>
  <c r="AD106" i="8"/>
  <c r="AE106" i="8"/>
  <c r="AF106" i="8"/>
  <c r="AG106" i="8"/>
  <c r="AH106" i="8"/>
  <c r="AI106" i="8"/>
  <c r="AJ106" i="8"/>
  <c r="AK106" i="8"/>
  <c r="AL106" i="8"/>
  <c r="AM106" i="8"/>
  <c r="AN106" i="8"/>
  <c r="A107" i="8"/>
  <c r="AD107" i="8"/>
  <c r="AE107" i="8"/>
  <c r="AF107" i="8"/>
  <c r="AG107" i="8"/>
  <c r="AH107" i="8"/>
  <c r="AI107" i="8"/>
  <c r="AJ107" i="8"/>
  <c r="AK107" i="8"/>
  <c r="AL107" i="8"/>
  <c r="AM107" i="8"/>
  <c r="AN107" i="8"/>
  <c r="A108" i="8"/>
  <c r="AD108" i="8"/>
  <c r="AE108" i="8"/>
  <c r="AF108" i="8"/>
  <c r="AG108" i="8"/>
  <c r="AH108" i="8"/>
  <c r="AI108" i="8"/>
  <c r="AJ108" i="8"/>
  <c r="AK108" i="8"/>
  <c r="AL108" i="8"/>
  <c r="AM108" i="8"/>
  <c r="AN108" i="8"/>
  <c r="A109" i="8"/>
  <c r="AD109" i="8"/>
  <c r="AE109" i="8"/>
  <c r="AF109" i="8"/>
  <c r="AG109" i="8"/>
  <c r="AH109" i="8"/>
  <c r="AI109" i="8"/>
  <c r="AJ109" i="8"/>
  <c r="AK109" i="8"/>
  <c r="AL109" i="8"/>
  <c r="AM109" i="8"/>
  <c r="AN109" i="8"/>
  <c r="A110" i="8"/>
  <c r="AD110" i="8"/>
  <c r="AE110" i="8"/>
  <c r="AF110" i="8"/>
  <c r="AG110" i="8"/>
  <c r="AH110" i="8"/>
  <c r="AI110" i="8"/>
  <c r="AJ110" i="8"/>
  <c r="AK110" i="8"/>
  <c r="AL110" i="8"/>
  <c r="AM110" i="8"/>
  <c r="AN110" i="8"/>
  <c r="A111" i="8"/>
  <c r="AD111" i="8"/>
  <c r="AE111" i="8"/>
  <c r="AF111" i="8"/>
  <c r="AG111" i="8"/>
  <c r="AH111" i="8"/>
  <c r="AI111" i="8"/>
  <c r="AJ111" i="8"/>
  <c r="AK111" i="8"/>
  <c r="AL111" i="8"/>
  <c r="AM111" i="8"/>
  <c r="AN111" i="8"/>
  <c r="A112" i="8"/>
  <c r="AD112" i="8"/>
  <c r="AE112" i="8"/>
  <c r="AF112" i="8"/>
  <c r="AG112" i="8"/>
  <c r="AH112" i="8"/>
  <c r="AI112" i="8"/>
  <c r="AJ112" i="8"/>
  <c r="AK112" i="8"/>
  <c r="AL112" i="8"/>
  <c r="AM112" i="8"/>
  <c r="AN112" i="8"/>
  <c r="A113" i="8"/>
  <c r="AD113" i="8"/>
  <c r="AE113" i="8"/>
  <c r="AF113" i="8"/>
  <c r="AG113" i="8"/>
  <c r="AH113" i="8"/>
  <c r="AI113" i="8"/>
  <c r="AJ113" i="8"/>
  <c r="AK113" i="8"/>
  <c r="AL113" i="8"/>
  <c r="AM113" i="8"/>
  <c r="AN113" i="8"/>
  <c r="A114" i="8"/>
  <c r="AD114" i="8"/>
  <c r="AE114" i="8"/>
  <c r="AF114" i="8"/>
  <c r="AG114" i="8"/>
  <c r="AH114" i="8"/>
  <c r="AI114" i="8"/>
  <c r="AJ114" i="8"/>
  <c r="AK114" i="8"/>
  <c r="AL114" i="8"/>
  <c r="AM114" i="8"/>
  <c r="AN114" i="8"/>
  <c r="A115" i="8"/>
  <c r="AD115" i="8"/>
  <c r="AE115" i="8"/>
  <c r="AF115" i="8"/>
  <c r="AG115" i="8"/>
  <c r="AH115" i="8"/>
  <c r="AI115" i="8"/>
  <c r="AJ115" i="8"/>
  <c r="AK115" i="8"/>
  <c r="AL115" i="8"/>
  <c r="AM115" i="8"/>
  <c r="AN115" i="8"/>
  <c r="A116" i="8"/>
  <c r="AD116" i="8"/>
  <c r="AE116" i="8"/>
  <c r="AF116" i="8"/>
  <c r="AG116" i="8"/>
  <c r="AH116" i="8"/>
  <c r="AI116" i="8"/>
  <c r="AJ116" i="8"/>
  <c r="AK116" i="8"/>
  <c r="AL116" i="8"/>
  <c r="AM116" i="8"/>
  <c r="AN116" i="8"/>
  <c r="A117" i="8"/>
  <c r="AD117" i="8"/>
  <c r="AE117" i="8"/>
  <c r="AF117" i="8"/>
  <c r="AG117" i="8"/>
  <c r="AH117" i="8"/>
  <c r="AI117" i="8"/>
  <c r="AJ117" i="8"/>
  <c r="AK117" i="8"/>
  <c r="AL117" i="8"/>
  <c r="A118" i="8"/>
  <c r="AD118" i="8"/>
  <c r="AE118" i="8"/>
  <c r="AF118" i="8"/>
  <c r="AG118" i="8"/>
  <c r="AH118" i="8"/>
  <c r="AI118" i="8"/>
  <c r="AJ118" i="8"/>
  <c r="AK118" i="8"/>
  <c r="AL118" i="8"/>
  <c r="A119" i="8"/>
  <c r="AD119" i="8"/>
  <c r="AE119" i="8"/>
  <c r="AF119" i="8"/>
  <c r="AG119" i="8"/>
  <c r="AH119" i="8"/>
  <c r="AI119" i="8"/>
  <c r="AJ119" i="8"/>
  <c r="AK119" i="8"/>
  <c r="AL119" i="8"/>
  <c r="A120" i="8"/>
  <c r="AD120" i="8"/>
  <c r="AE120" i="8"/>
  <c r="AF120" i="8"/>
  <c r="AG120" i="8"/>
  <c r="AH120" i="8"/>
  <c r="AI120" i="8"/>
  <c r="AJ120" i="8"/>
  <c r="AK120" i="8"/>
  <c r="AL120" i="8"/>
  <c r="A121" i="8"/>
  <c r="AD121" i="8"/>
  <c r="AE121" i="8"/>
  <c r="AF121" i="8"/>
  <c r="AG121" i="8"/>
  <c r="AH121" i="8"/>
  <c r="AI121" i="8"/>
  <c r="AJ121" i="8"/>
  <c r="AK121" i="8"/>
  <c r="AL121" i="8"/>
  <c r="A122" i="8"/>
  <c r="AD122" i="8"/>
  <c r="AE122" i="8"/>
  <c r="AF122" i="8"/>
  <c r="AG122" i="8"/>
  <c r="AH122" i="8"/>
  <c r="AI122" i="8"/>
  <c r="AJ122" i="8"/>
  <c r="AK122" i="8"/>
  <c r="AL122" i="8"/>
  <c r="A123" i="8"/>
  <c r="AD123" i="8"/>
  <c r="AE123" i="8"/>
  <c r="AF123" i="8"/>
  <c r="AG123" i="8"/>
  <c r="AH123" i="8"/>
  <c r="AI123" i="8"/>
  <c r="AJ123" i="8"/>
  <c r="AK123" i="8"/>
  <c r="AL123" i="8"/>
  <c r="A124" i="8"/>
  <c r="AD124" i="8"/>
  <c r="AE124" i="8"/>
  <c r="AF124" i="8"/>
  <c r="AG124" i="8"/>
  <c r="AH124" i="8"/>
  <c r="AI124" i="8"/>
  <c r="AJ124" i="8"/>
  <c r="AK124" i="8"/>
  <c r="AL124" i="8"/>
  <c r="A125" i="8"/>
  <c r="AD125" i="8"/>
  <c r="AE125" i="8"/>
  <c r="AF125" i="8"/>
  <c r="AG125" i="8"/>
  <c r="AH125" i="8"/>
  <c r="AI125" i="8"/>
  <c r="AJ125" i="8"/>
  <c r="AK125" i="8"/>
  <c r="AL125" i="8"/>
  <c r="A126" i="8"/>
  <c r="AD126" i="8"/>
  <c r="AE126" i="8"/>
  <c r="AF126" i="8"/>
  <c r="AG126" i="8"/>
  <c r="AH126" i="8"/>
  <c r="AI126" i="8"/>
  <c r="AJ126" i="8"/>
  <c r="AK126" i="8"/>
  <c r="AL126" i="8"/>
  <c r="A127" i="8"/>
  <c r="AD127" i="8"/>
  <c r="AE127" i="8"/>
  <c r="AF127" i="8"/>
  <c r="AG127" i="8"/>
  <c r="AH127" i="8"/>
  <c r="AI127" i="8"/>
  <c r="AJ127" i="8"/>
  <c r="AK127" i="8"/>
  <c r="AL127" i="8"/>
  <c r="A128" i="8"/>
  <c r="AD128" i="8"/>
  <c r="AE128" i="8"/>
  <c r="AF128" i="8"/>
  <c r="AG128" i="8"/>
  <c r="AH128" i="8"/>
  <c r="AI128" i="8"/>
  <c r="AJ128" i="8"/>
  <c r="AK128" i="8"/>
  <c r="AL128" i="8"/>
  <c r="A129" i="8"/>
  <c r="AD129" i="8"/>
  <c r="AE129" i="8"/>
  <c r="AF129" i="8"/>
  <c r="AG129" i="8"/>
  <c r="AH129" i="8"/>
  <c r="AI129" i="8"/>
  <c r="AJ129" i="8"/>
  <c r="AK129" i="8"/>
  <c r="AL129" i="8"/>
  <c r="A130" i="8"/>
  <c r="AD130" i="8"/>
  <c r="AE130" i="8"/>
  <c r="AF130" i="8"/>
  <c r="AG130" i="8"/>
  <c r="AH130" i="8"/>
  <c r="AI130" i="8"/>
  <c r="AJ130" i="8"/>
  <c r="AK130" i="8"/>
  <c r="AL130" i="8"/>
  <c r="A131" i="8"/>
  <c r="AD131" i="8"/>
  <c r="AE131" i="8"/>
  <c r="AF131" i="8"/>
  <c r="AG131" i="8"/>
  <c r="AH131" i="8"/>
  <c r="AI131" i="8"/>
  <c r="AJ131" i="8"/>
  <c r="AK131" i="8"/>
  <c r="AL131" i="8"/>
  <c r="A132" i="8"/>
  <c r="AD132" i="8"/>
  <c r="AE132" i="8"/>
  <c r="AF132" i="8"/>
  <c r="AG132" i="8"/>
  <c r="AH132" i="8"/>
  <c r="AI132" i="8"/>
  <c r="AJ132" i="8"/>
  <c r="AK132" i="8"/>
  <c r="AL132" i="8"/>
  <c r="A133" i="8"/>
  <c r="AD133" i="8"/>
  <c r="AE133" i="8"/>
  <c r="AF133" i="8"/>
  <c r="AG133" i="8"/>
  <c r="AH133" i="8"/>
  <c r="AI133" i="8"/>
  <c r="AJ133" i="8"/>
  <c r="AK133" i="8"/>
  <c r="AL133" i="8"/>
  <c r="A134" i="8"/>
  <c r="AD134" i="8"/>
  <c r="AE134" i="8"/>
  <c r="AF134" i="8"/>
  <c r="AG134" i="8"/>
  <c r="AH134" i="8"/>
  <c r="AI134" i="8"/>
  <c r="AJ134" i="8"/>
  <c r="AK134" i="8"/>
  <c r="AL134" i="8"/>
  <c r="A135" i="8"/>
  <c r="AD135" i="8"/>
  <c r="AE135" i="8"/>
  <c r="AF135" i="8"/>
  <c r="AG135" i="8"/>
  <c r="AH135" i="8"/>
  <c r="AI135" i="8"/>
  <c r="AJ135" i="8"/>
  <c r="AK135" i="8"/>
  <c r="AL135" i="8"/>
  <c r="A136" i="8"/>
  <c r="AD136" i="8"/>
  <c r="AE136" i="8"/>
  <c r="AF136" i="8"/>
  <c r="AG136" i="8"/>
  <c r="AH136" i="8"/>
  <c r="AI136" i="8"/>
  <c r="AJ136" i="8"/>
  <c r="AK136" i="8"/>
  <c r="AL136" i="8"/>
  <c r="A137" i="8"/>
  <c r="AD137" i="8"/>
  <c r="AE137" i="8"/>
  <c r="AF137" i="8"/>
  <c r="AG137" i="8"/>
  <c r="AH137" i="8"/>
  <c r="AI137" i="8"/>
  <c r="AJ137" i="8"/>
  <c r="AK137" i="8"/>
  <c r="AL137" i="8"/>
  <c r="A138" i="8"/>
  <c r="AD138" i="8"/>
  <c r="AE138" i="8"/>
  <c r="AF138" i="8"/>
  <c r="AG138" i="8"/>
  <c r="AH138" i="8"/>
  <c r="AI138" i="8"/>
  <c r="AJ138" i="8"/>
  <c r="AK138" i="8"/>
  <c r="AL138" i="8"/>
  <c r="A139" i="8"/>
  <c r="AD139" i="8"/>
  <c r="AE139" i="8"/>
  <c r="AF139" i="8"/>
  <c r="AG139" i="8"/>
  <c r="AH139" i="8"/>
  <c r="AI139" i="8"/>
  <c r="AJ139" i="8"/>
  <c r="AK139" i="8"/>
  <c r="AL139" i="8"/>
  <c r="A140" i="8"/>
  <c r="AD140" i="8"/>
  <c r="AE140" i="8"/>
  <c r="AF140" i="8"/>
  <c r="AG140" i="8"/>
  <c r="AH140" i="8"/>
  <c r="AI140" i="8"/>
  <c r="AJ140" i="8"/>
  <c r="AK140" i="8"/>
  <c r="AL140" i="8"/>
  <c r="A141" i="8"/>
  <c r="AD141" i="8"/>
  <c r="AE141" i="8"/>
  <c r="AF141" i="8"/>
  <c r="AG141" i="8"/>
  <c r="AH141" i="8"/>
  <c r="AI141" i="8"/>
  <c r="AJ141" i="8"/>
  <c r="AK141" i="8"/>
  <c r="AL141" i="8"/>
  <c r="A142" i="8"/>
  <c r="AD142" i="8"/>
  <c r="AE142" i="8"/>
  <c r="AF142" i="8"/>
  <c r="AG142" i="8"/>
  <c r="AH142" i="8"/>
  <c r="AI142" i="8"/>
  <c r="AJ142" i="8"/>
  <c r="AK142" i="8"/>
  <c r="AL142" i="8"/>
  <c r="A143" i="8"/>
  <c r="AD143" i="8"/>
  <c r="AE143" i="8"/>
  <c r="AF143" i="8"/>
  <c r="AG143" i="8"/>
  <c r="AH143" i="8"/>
  <c r="AI143" i="8"/>
  <c r="AJ143" i="8"/>
  <c r="AK143" i="8"/>
  <c r="AL143" i="8"/>
  <c r="A144" i="8"/>
  <c r="AD144" i="8"/>
  <c r="AE144" i="8"/>
  <c r="AF144" i="8"/>
  <c r="AG144" i="8"/>
  <c r="AH144" i="8"/>
  <c r="AI144" i="8"/>
  <c r="AJ144" i="8"/>
  <c r="AK144" i="8"/>
  <c r="AL144" i="8"/>
  <c r="A145" i="8"/>
  <c r="AD145" i="8"/>
  <c r="AE145" i="8"/>
  <c r="AF145" i="8"/>
  <c r="AG145" i="8"/>
  <c r="AH145" i="8"/>
  <c r="AI145" i="8"/>
  <c r="AJ145" i="8"/>
  <c r="AK145" i="8"/>
  <c r="AL145" i="8"/>
  <c r="A146" i="8"/>
  <c r="AD146" i="8"/>
  <c r="AE146" i="8"/>
  <c r="AF146" i="8"/>
  <c r="AG146" i="8"/>
  <c r="AH146" i="8"/>
  <c r="AI146" i="8"/>
  <c r="AJ146" i="8"/>
  <c r="AK146" i="8"/>
  <c r="AL146" i="8"/>
  <c r="A147" i="8"/>
  <c r="AD147" i="8"/>
  <c r="AE147" i="8"/>
  <c r="AF147" i="8"/>
  <c r="AG147" i="8"/>
  <c r="AH147" i="8"/>
  <c r="AI147" i="8"/>
  <c r="AJ147" i="8"/>
  <c r="AK147" i="8"/>
  <c r="AL147" i="8"/>
  <c r="A148" i="8"/>
  <c r="AD148" i="8"/>
  <c r="AE148" i="8"/>
  <c r="AF148" i="8"/>
  <c r="AG148" i="8"/>
  <c r="AH148" i="8"/>
  <c r="AI148" i="8"/>
  <c r="AJ148" i="8"/>
  <c r="AK148" i="8"/>
  <c r="AL148" i="8"/>
  <c r="A149" i="8"/>
  <c r="AD149" i="8"/>
  <c r="AE149" i="8"/>
  <c r="AF149" i="8"/>
  <c r="AG149" i="8"/>
  <c r="AH149" i="8"/>
  <c r="AI149" i="8"/>
  <c r="AJ149" i="8"/>
  <c r="AK149" i="8"/>
  <c r="AL149" i="8"/>
  <c r="A150" i="8"/>
  <c r="AD150" i="8"/>
  <c r="AE150" i="8"/>
  <c r="AF150" i="8"/>
  <c r="AG150" i="8"/>
  <c r="AH150" i="8"/>
  <c r="AI150" i="8"/>
  <c r="AJ150" i="8"/>
  <c r="AK150" i="8"/>
  <c r="AL150" i="8"/>
  <c r="A151" i="8"/>
  <c r="AD151" i="8"/>
  <c r="AE151" i="8"/>
  <c r="AF151" i="8"/>
  <c r="AG151" i="8"/>
  <c r="AH151" i="8"/>
  <c r="AI151" i="8"/>
  <c r="AJ151" i="8"/>
  <c r="AK151" i="8"/>
  <c r="AL151" i="8"/>
  <c r="AM151" i="8"/>
  <c r="AN151" i="8"/>
  <c r="AO151" i="8"/>
  <c r="A152" i="8"/>
  <c r="AD152" i="8"/>
  <c r="AE152" i="8"/>
  <c r="AF152" i="8"/>
  <c r="AG152" i="8"/>
  <c r="AH152" i="8"/>
  <c r="AI152" i="8"/>
  <c r="AJ152" i="8"/>
  <c r="AK152" i="8"/>
  <c r="AL152" i="8"/>
  <c r="AM152" i="8"/>
  <c r="AN152" i="8"/>
  <c r="AO152" i="8"/>
  <c r="A153" i="8"/>
  <c r="AD153" i="8"/>
  <c r="AE153" i="8"/>
  <c r="AF153" i="8"/>
  <c r="AG153" i="8"/>
  <c r="AH153" i="8"/>
  <c r="AI153" i="8"/>
  <c r="AJ153" i="8"/>
  <c r="AK153" i="8"/>
  <c r="AL153" i="8"/>
  <c r="AM153" i="8"/>
  <c r="AN153" i="8"/>
  <c r="AO153" i="8"/>
  <c r="A154" i="8"/>
  <c r="AD154" i="8"/>
  <c r="AE154" i="8"/>
  <c r="AF154" i="8"/>
  <c r="AG154" i="8"/>
  <c r="AH154" i="8"/>
  <c r="AI154" i="8"/>
  <c r="AJ154" i="8"/>
  <c r="AK154" i="8"/>
  <c r="AL154" i="8"/>
  <c r="AM154" i="8"/>
  <c r="AN154" i="8"/>
  <c r="AO154" i="8"/>
  <c r="A155" i="8"/>
  <c r="AD155" i="8"/>
  <c r="AE155" i="8"/>
  <c r="AF155" i="8"/>
  <c r="AG155" i="8"/>
  <c r="AH155" i="8"/>
  <c r="AI155" i="8"/>
  <c r="AJ155" i="8"/>
  <c r="AK155" i="8"/>
  <c r="AL155" i="8"/>
  <c r="AM155" i="8"/>
  <c r="AN155" i="8"/>
  <c r="AO155" i="8"/>
  <c r="A156" i="8"/>
  <c r="AD156" i="8"/>
  <c r="AE156" i="8"/>
  <c r="AF156" i="8"/>
  <c r="AG156" i="8"/>
  <c r="AH156" i="8"/>
  <c r="AI156" i="8"/>
  <c r="AJ156" i="8"/>
  <c r="AK156" i="8"/>
  <c r="AL156" i="8"/>
  <c r="AM156" i="8"/>
  <c r="AN156" i="8"/>
  <c r="AO156" i="8"/>
  <c r="A157" i="8"/>
  <c r="AD157" i="8"/>
  <c r="AE157" i="8"/>
  <c r="AF157" i="8"/>
  <c r="AG157" i="8"/>
  <c r="AH157" i="8"/>
  <c r="AI157" i="8"/>
  <c r="AJ157" i="8"/>
  <c r="AK157" i="8"/>
  <c r="AL157" i="8"/>
  <c r="AM157" i="8"/>
  <c r="AN157" i="8"/>
  <c r="AO157" i="8"/>
  <c r="A158" i="8"/>
  <c r="AD158" i="8"/>
  <c r="AE158" i="8"/>
  <c r="AF158" i="8"/>
  <c r="AG158" i="8"/>
  <c r="AH158" i="8"/>
  <c r="AI158" i="8"/>
  <c r="AJ158" i="8"/>
  <c r="AK158" i="8"/>
  <c r="AL158" i="8"/>
  <c r="AM158" i="8"/>
  <c r="AN158" i="8"/>
  <c r="AO158" i="8"/>
  <c r="A159" i="8"/>
  <c r="AD159" i="8"/>
  <c r="AE159" i="8"/>
  <c r="AF159" i="8"/>
  <c r="AG159" i="8"/>
  <c r="AH159" i="8"/>
  <c r="AI159" i="8"/>
  <c r="AJ159" i="8"/>
  <c r="AK159" i="8"/>
  <c r="AL159" i="8"/>
  <c r="AM159" i="8"/>
  <c r="AN159" i="8"/>
  <c r="AO159" i="8"/>
  <c r="A160" i="8"/>
  <c r="AD160" i="8"/>
  <c r="AE160" i="8"/>
  <c r="AF160" i="8"/>
  <c r="AG160" i="8"/>
  <c r="AH160" i="8"/>
  <c r="AI160" i="8"/>
  <c r="AJ160" i="8"/>
  <c r="AK160" i="8"/>
  <c r="AL160" i="8"/>
  <c r="AM160" i="8"/>
  <c r="AN160" i="8"/>
  <c r="AO160" i="8"/>
  <c r="A161" i="8"/>
  <c r="AD161" i="8"/>
  <c r="AE161" i="8"/>
  <c r="AF161" i="8"/>
  <c r="AG161" i="8"/>
  <c r="AH161" i="8"/>
  <c r="AI161" i="8"/>
  <c r="AJ161" i="8"/>
  <c r="AK161" i="8"/>
  <c r="AL161" i="8"/>
  <c r="AM161" i="8"/>
  <c r="AN161" i="8"/>
  <c r="AO161" i="8"/>
  <c r="A162" i="8"/>
  <c r="AD162" i="8"/>
  <c r="AE162" i="8"/>
  <c r="AF162" i="8"/>
  <c r="AG162" i="8"/>
  <c r="AH162" i="8"/>
  <c r="AI162" i="8"/>
  <c r="AJ162" i="8"/>
  <c r="AK162" i="8"/>
  <c r="AL162" i="8"/>
  <c r="AM162" i="8"/>
  <c r="AN162" i="8"/>
  <c r="AO162" i="8"/>
  <c r="A163" i="8"/>
  <c r="AD163" i="8"/>
  <c r="AE163" i="8"/>
  <c r="AF163" i="8"/>
  <c r="AG163" i="8"/>
  <c r="AH163" i="8"/>
  <c r="AI163" i="8"/>
  <c r="AJ163" i="8"/>
  <c r="AK163" i="8"/>
  <c r="AL163" i="8"/>
  <c r="AM163" i="8"/>
  <c r="AN163" i="8"/>
  <c r="AO163" i="8"/>
  <c r="A164" i="8"/>
  <c r="AD164" i="8"/>
  <c r="AE164" i="8"/>
  <c r="AF164" i="8"/>
  <c r="AG164" i="8"/>
  <c r="AH164" i="8"/>
  <c r="AI164" i="8"/>
  <c r="AJ164" i="8"/>
  <c r="AK164" i="8"/>
  <c r="AL164" i="8"/>
  <c r="AM164" i="8"/>
  <c r="AN164" i="8"/>
  <c r="AO164" i="8"/>
  <c r="A165" i="8"/>
  <c r="AD165" i="8"/>
  <c r="AE165" i="8"/>
  <c r="AF165" i="8"/>
  <c r="AG165" i="8"/>
  <c r="AH165" i="8"/>
  <c r="AI165" i="8"/>
  <c r="AJ165" i="8"/>
  <c r="AK165" i="8"/>
  <c r="AL165" i="8"/>
  <c r="AM165" i="8"/>
  <c r="AN165" i="8"/>
  <c r="AO165" i="8"/>
  <c r="A166" i="8"/>
  <c r="AD166" i="8"/>
  <c r="AE166" i="8"/>
  <c r="AF166" i="8"/>
  <c r="AG166" i="8"/>
  <c r="AH166" i="8"/>
  <c r="AI166" i="8"/>
  <c r="AJ166" i="8"/>
  <c r="AK166" i="8"/>
  <c r="AL166" i="8"/>
  <c r="AM166" i="8"/>
  <c r="AN166" i="8"/>
  <c r="AO166" i="8"/>
  <c r="A167" i="8"/>
  <c r="AD167" i="8"/>
  <c r="AE167" i="8"/>
  <c r="AF167" i="8"/>
  <c r="AG167" i="8"/>
  <c r="AH167" i="8"/>
  <c r="AI167" i="8"/>
  <c r="AJ167" i="8"/>
  <c r="AK167" i="8"/>
  <c r="AL167" i="8"/>
  <c r="AM167" i="8"/>
  <c r="AN167" i="8"/>
  <c r="AO167" i="8"/>
  <c r="A168" i="8"/>
  <c r="AD168" i="8"/>
  <c r="AE168" i="8"/>
  <c r="AF168" i="8"/>
  <c r="AG168" i="8"/>
  <c r="AH168" i="8"/>
  <c r="AI168" i="8"/>
  <c r="AJ168" i="8"/>
  <c r="AK168" i="8"/>
  <c r="AL168" i="8"/>
  <c r="AM168" i="8"/>
  <c r="AN168" i="8"/>
  <c r="AO168" i="8"/>
  <c r="A169" i="8"/>
  <c r="AD169" i="8"/>
  <c r="AE169" i="8"/>
  <c r="AF169" i="8"/>
  <c r="AG169" i="8"/>
  <c r="AH169" i="8"/>
  <c r="AI169" i="8"/>
  <c r="AJ169" i="8"/>
  <c r="AK169" i="8"/>
  <c r="AL169" i="8"/>
  <c r="AM169" i="8"/>
  <c r="AN169" i="8"/>
  <c r="AO169" i="8"/>
  <c r="A170" i="8"/>
  <c r="AD170" i="8"/>
  <c r="AE170" i="8"/>
  <c r="AF170" i="8"/>
  <c r="AG170" i="8"/>
  <c r="AH170" i="8"/>
  <c r="AI170" i="8"/>
  <c r="AJ170" i="8"/>
  <c r="AK170" i="8"/>
  <c r="AL170" i="8"/>
  <c r="AM170" i="8"/>
  <c r="AN170" i="8"/>
  <c r="AO170" i="8"/>
  <c r="AD171" i="8"/>
  <c r="AE171" i="8"/>
  <c r="AF171" i="8"/>
  <c r="AG171" i="8"/>
  <c r="AH171" i="8"/>
  <c r="AI171" i="8"/>
  <c r="AJ171" i="8"/>
  <c r="AK171" i="8"/>
  <c r="AL171" i="8"/>
  <c r="AM171" i="8"/>
  <c r="AN171" i="8"/>
  <c r="AO171" i="8"/>
  <c r="A172" i="8"/>
  <c r="AD172" i="8"/>
  <c r="AE172" i="8"/>
  <c r="AF172" i="8"/>
  <c r="AG172" i="8"/>
  <c r="AH172" i="8"/>
  <c r="AI172" i="8"/>
  <c r="AJ172" i="8"/>
  <c r="AK172" i="8"/>
  <c r="AL172" i="8"/>
  <c r="AM172" i="8"/>
  <c r="AN172" i="8"/>
  <c r="AO172" i="8"/>
  <c r="A173" i="8"/>
  <c r="AD173" i="8"/>
  <c r="AE173" i="8"/>
  <c r="AF173" i="8"/>
  <c r="AG173" i="8"/>
  <c r="AH173" i="8"/>
  <c r="AI173" i="8"/>
  <c r="AJ173" i="8"/>
  <c r="AK173" i="8"/>
  <c r="AL173" i="8"/>
  <c r="AM173" i="8"/>
  <c r="AN173" i="8"/>
  <c r="AO173" i="8"/>
  <c r="A174" i="8"/>
  <c r="AD174" i="8"/>
  <c r="AE174" i="8"/>
  <c r="AF174" i="8"/>
  <c r="AG174" i="8"/>
  <c r="AH174" i="8"/>
  <c r="AI174" i="8"/>
  <c r="AJ174" i="8"/>
  <c r="AK174" i="8"/>
  <c r="AL174" i="8"/>
  <c r="AM174" i="8"/>
  <c r="AN174" i="8"/>
  <c r="AO174" i="8"/>
  <c r="A175" i="8"/>
  <c r="AD175" i="8"/>
  <c r="AE175" i="8"/>
  <c r="AF175" i="8"/>
  <c r="AG175" i="8"/>
  <c r="AH175" i="8"/>
  <c r="AI175" i="8"/>
  <c r="AJ175" i="8"/>
  <c r="AK175" i="8"/>
  <c r="AL175" i="8"/>
  <c r="AM175" i="8"/>
  <c r="AN175" i="8"/>
  <c r="AO175" i="8"/>
  <c r="A176" i="8"/>
  <c r="AD176" i="8"/>
  <c r="AE176" i="8"/>
  <c r="AF176" i="8"/>
  <c r="AG176" i="8"/>
  <c r="AH176" i="8"/>
  <c r="AI176" i="8"/>
  <c r="AJ176" i="8"/>
  <c r="AK176" i="8"/>
  <c r="AL176" i="8"/>
  <c r="AM176" i="8"/>
  <c r="AN176" i="8"/>
  <c r="AO176" i="8"/>
  <c r="A177" i="8"/>
  <c r="AD177" i="8"/>
  <c r="AE177" i="8"/>
  <c r="AF177" i="8"/>
  <c r="AG177" i="8"/>
  <c r="AH177" i="8"/>
  <c r="AI177" i="8"/>
  <c r="AJ177" i="8"/>
  <c r="AK177" i="8"/>
  <c r="AL177" i="8"/>
  <c r="AM177" i="8"/>
  <c r="AN177" i="8"/>
  <c r="AO177" i="8"/>
  <c r="A178" i="8"/>
  <c r="AD178" i="8"/>
  <c r="AE178" i="8"/>
  <c r="AF178" i="8"/>
  <c r="AG178" i="8"/>
  <c r="AH178" i="8"/>
  <c r="AI178" i="8"/>
  <c r="AJ178" i="8"/>
  <c r="AK178" i="8"/>
  <c r="AL178" i="8"/>
  <c r="AM178" i="8"/>
  <c r="AN178" i="8"/>
  <c r="AO178" i="8"/>
  <c r="A179" i="8"/>
  <c r="AD179" i="8"/>
  <c r="AE179" i="8"/>
  <c r="AF179" i="8"/>
  <c r="AG179" i="8"/>
  <c r="AH179" i="8"/>
  <c r="AI179" i="8"/>
  <c r="AJ179" i="8"/>
  <c r="AK179" i="8"/>
  <c r="AL179" i="8"/>
  <c r="AM179" i="8"/>
  <c r="AN179" i="8"/>
  <c r="AO179" i="8"/>
  <c r="A180" i="8"/>
  <c r="AD180" i="8"/>
  <c r="AE180" i="8"/>
  <c r="AF180" i="8"/>
  <c r="AG180" i="8"/>
  <c r="AH180" i="8"/>
  <c r="AI180" i="8"/>
  <c r="AJ180" i="8"/>
  <c r="AK180" i="8"/>
  <c r="AL180" i="8"/>
  <c r="AM180" i="8"/>
  <c r="AN180" i="8"/>
  <c r="AO180" i="8"/>
  <c r="A181" i="8"/>
  <c r="AD181" i="8"/>
  <c r="AE181" i="8"/>
  <c r="AF181" i="8"/>
  <c r="AG181" i="8"/>
  <c r="AH181" i="8"/>
  <c r="AI181" i="8"/>
  <c r="AJ181" i="8"/>
  <c r="AK181" i="8"/>
  <c r="AL181" i="8"/>
  <c r="AM181" i="8"/>
  <c r="AN181" i="8"/>
  <c r="AO181" i="8"/>
  <c r="A182" i="8"/>
  <c r="AD182" i="8"/>
  <c r="AE182" i="8"/>
  <c r="AF182" i="8"/>
  <c r="AG182" i="8"/>
  <c r="AH182" i="8"/>
  <c r="AI182" i="8"/>
  <c r="AJ182" i="8"/>
  <c r="AK182" i="8"/>
  <c r="AL182" i="8"/>
  <c r="AM182" i="8"/>
  <c r="AN182" i="8"/>
  <c r="AO182" i="8"/>
  <c r="A183" i="8"/>
  <c r="AD183" i="8"/>
  <c r="AE183" i="8"/>
  <c r="AF183" i="8"/>
  <c r="AG183" i="8"/>
  <c r="AH183" i="8"/>
  <c r="AI183" i="8"/>
  <c r="AJ183" i="8"/>
  <c r="AK183" i="8"/>
  <c r="AL183" i="8"/>
  <c r="AM183" i="8"/>
  <c r="AN183" i="8"/>
  <c r="AO183" i="8"/>
  <c r="A184" i="8"/>
  <c r="AD184" i="8"/>
  <c r="AE184" i="8"/>
  <c r="AF184" i="8"/>
  <c r="AG184" i="8"/>
  <c r="AH184" i="8"/>
  <c r="AI184" i="8"/>
  <c r="AJ184" i="8"/>
  <c r="AK184" i="8"/>
  <c r="AL184" i="8"/>
  <c r="AM184" i="8"/>
  <c r="AN184" i="8"/>
  <c r="AO184" i="8"/>
  <c r="A185" i="8"/>
  <c r="AD185" i="8"/>
  <c r="AE185" i="8"/>
  <c r="AF185" i="8"/>
  <c r="AG185" i="8"/>
  <c r="AH185" i="8"/>
  <c r="AI185" i="8"/>
  <c r="AJ185" i="8"/>
  <c r="AK185" i="8"/>
  <c r="AL185" i="8"/>
  <c r="AM185" i="8"/>
  <c r="AN185" i="8"/>
  <c r="AO185" i="8"/>
  <c r="A186" i="8"/>
  <c r="AD186" i="8"/>
  <c r="AE186" i="8"/>
  <c r="AF186" i="8"/>
  <c r="AG186" i="8"/>
  <c r="AH186" i="8"/>
  <c r="AI186" i="8"/>
  <c r="AJ186" i="8"/>
  <c r="AK186" i="8"/>
  <c r="AL186" i="8"/>
  <c r="A187" i="8"/>
  <c r="AD187" i="8"/>
  <c r="AE187" i="8"/>
  <c r="AF187" i="8"/>
  <c r="AG187" i="8"/>
  <c r="AH187" i="8"/>
  <c r="AI187" i="8"/>
  <c r="AJ187" i="8"/>
  <c r="AK187" i="8"/>
  <c r="AL187" i="8"/>
  <c r="A188" i="8"/>
  <c r="AD188" i="8"/>
  <c r="AE188" i="8"/>
  <c r="AF188" i="8"/>
  <c r="AG188" i="8"/>
  <c r="AH188" i="8"/>
  <c r="AI188" i="8"/>
  <c r="AJ188" i="8"/>
  <c r="AK188" i="8"/>
  <c r="AL188" i="8"/>
  <c r="A189" i="8"/>
  <c r="AD189" i="8"/>
  <c r="AE189" i="8"/>
  <c r="AF189" i="8"/>
  <c r="AG189" i="8"/>
  <c r="AH189" i="8"/>
  <c r="AI189" i="8"/>
  <c r="AJ189" i="8"/>
  <c r="AK189" i="8"/>
  <c r="AL189" i="8"/>
  <c r="A190" i="8"/>
  <c r="AD190" i="8"/>
  <c r="AE190" i="8"/>
  <c r="AF190" i="8"/>
  <c r="AG190" i="8"/>
  <c r="AH190" i="8"/>
  <c r="AI190" i="8"/>
  <c r="AJ190" i="8"/>
  <c r="AK190" i="8"/>
  <c r="AL190" i="8"/>
  <c r="A191" i="8"/>
  <c r="AD191" i="8"/>
  <c r="AE191" i="8"/>
  <c r="AF191" i="8"/>
  <c r="AG191" i="8"/>
  <c r="AH191" i="8"/>
  <c r="AI191" i="8"/>
  <c r="AJ191" i="8"/>
  <c r="AK191" i="8"/>
  <c r="AL191" i="8"/>
  <c r="A192" i="8"/>
  <c r="AD192" i="8"/>
  <c r="AE192" i="8"/>
  <c r="AF192" i="8"/>
  <c r="AG192" i="8"/>
  <c r="AH192" i="8"/>
  <c r="AI192" i="8"/>
  <c r="AJ192" i="8"/>
  <c r="AK192" i="8"/>
  <c r="AL192" i="8"/>
  <c r="A193" i="8"/>
  <c r="AD193" i="8"/>
  <c r="AE193" i="8"/>
  <c r="AF193" i="8"/>
  <c r="AG193" i="8"/>
  <c r="AH193" i="8"/>
  <c r="AI193" i="8"/>
  <c r="AJ193" i="8"/>
  <c r="AK193" i="8"/>
  <c r="AL193" i="8"/>
  <c r="A194" i="8"/>
  <c r="AD194" i="8"/>
  <c r="AE194" i="8"/>
  <c r="AF194" i="8"/>
  <c r="AG194" i="8"/>
  <c r="AH194" i="8"/>
  <c r="AI194" i="8"/>
  <c r="AJ194" i="8"/>
  <c r="AK194" i="8"/>
  <c r="AL194" i="8"/>
  <c r="A195" i="8"/>
  <c r="AD195" i="8"/>
  <c r="AE195" i="8"/>
  <c r="AF195" i="8"/>
  <c r="AG195" i="8"/>
  <c r="AH195" i="8"/>
  <c r="AI195" i="8"/>
  <c r="AJ195" i="8"/>
  <c r="AK195" i="8"/>
  <c r="AL195" i="8"/>
  <c r="A196" i="8"/>
  <c r="AD196" i="8"/>
  <c r="AE196" i="8"/>
  <c r="AF196" i="8"/>
  <c r="AG196" i="8"/>
  <c r="AH196" i="8"/>
  <c r="AI196" i="8"/>
  <c r="AJ196" i="8"/>
  <c r="AK196" i="8"/>
  <c r="AL196" i="8"/>
  <c r="A197" i="8"/>
  <c r="AD197" i="8"/>
  <c r="AE197" i="8"/>
  <c r="AF197" i="8"/>
  <c r="AG197" i="8"/>
  <c r="AH197" i="8"/>
  <c r="AI197" i="8"/>
  <c r="AJ197" i="8"/>
  <c r="AK197" i="8"/>
  <c r="AL197" i="8"/>
  <c r="A198" i="8"/>
  <c r="AD198" i="8"/>
  <c r="AE198" i="8"/>
  <c r="AF198" i="8"/>
  <c r="AG198" i="8"/>
  <c r="AH198" i="8"/>
  <c r="AI198" i="8"/>
  <c r="AJ198" i="8"/>
  <c r="AK198" i="8"/>
  <c r="AL198" i="8"/>
  <c r="A199" i="8"/>
  <c r="AD199" i="8"/>
  <c r="AE199" i="8"/>
  <c r="AF199" i="8"/>
  <c r="AG199" i="8"/>
  <c r="AH199" i="8"/>
  <c r="AI199" i="8"/>
  <c r="AJ199" i="8"/>
  <c r="AK199" i="8"/>
  <c r="AL199" i="8"/>
  <c r="A200" i="8"/>
  <c r="AD200" i="8"/>
  <c r="AE200" i="8"/>
  <c r="AF200" i="8"/>
  <c r="AG200" i="8"/>
  <c r="AH200" i="8"/>
  <c r="AI200" i="8"/>
  <c r="AJ200" i="8"/>
  <c r="AK200" i="8"/>
  <c r="AL200" i="8"/>
  <c r="A201" i="8"/>
  <c r="AD201" i="8"/>
  <c r="AE201" i="8"/>
  <c r="AF201" i="8"/>
  <c r="AG201" i="8"/>
  <c r="AH201" i="8"/>
  <c r="AI201" i="8"/>
  <c r="AJ201" i="8"/>
  <c r="AK201" i="8"/>
  <c r="AL201" i="8"/>
  <c r="A202" i="8"/>
  <c r="AD202" i="8"/>
  <c r="AE202" i="8"/>
  <c r="AF202" i="8"/>
  <c r="AG202" i="8"/>
  <c r="AH202" i="8"/>
  <c r="AI202" i="8"/>
  <c r="AJ202" i="8"/>
  <c r="AK202" i="8"/>
  <c r="AL202" i="8"/>
  <c r="A203" i="8"/>
  <c r="AD203" i="8"/>
  <c r="AE203" i="8"/>
  <c r="AF203" i="8"/>
  <c r="AG203" i="8"/>
  <c r="AH203" i="8"/>
  <c r="AI203" i="8"/>
  <c r="AJ203" i="8"/>
  <c r="AK203" i="8"/>
  <c r="AL203" i="8"/>
  <c r="A204" i="8"/>
  <c r="AD204" i="8"/>
  <c r="AE204" i="8"/>
  <c r="AF204" i="8"/>
  <c r="AG204" i="8"/>
  <c r="AH204" i="8"/>
  <c r="AI204" i="8"/>
  <c r="AJ204" i="8"/>
  <c r="AK204" i="8"/>
  <c r="AL204" i="8"/>
  <c r="A205" i="8"/>
  <c r="AD205" i="8"/>
  <c r="AE205" i="8"/>
  <c r="AF205" i="8"/>
  <c r="AG205" i="8"/>
  <c r="AH205" i="8"/>
  <c r="AI205" i="8"/>
  <c r="AJ205" i="8"/>
  <c r="AK205" i="8"/>
  <c r="AL205" i="8"/>
  <c r="A206" i="8"/>
  <c r="AD206" i="8"/>
  <c r="AE206" i="8"/>
  <c r="AF206" i="8"/>
  <c r="AG206" i="8"/>
  <c r="AH206" i="8"/>
  <c r="AI206" i="8"/>
  <c r="AJ206" i="8"/>
  <c r="AK206" i="8"/>
  <c r="AL206" i="8"/>
  <c r="A207" i="8"/>
  <c r="AD207" i="8"/>
  <c r="AE207" i="8"/>
  <c r="AF207" i="8"/>
  <c r="AG207" i="8"/>
  <c r="AH207" i="8"/>
  <c r="AI207" i="8"/>
  <c r="AJ207" i="8"/>
  <c r="AK207" i="8"/>
  <c r="AL207" i="8"/>
  <c r="A208" i="8"/>
  <c r="AD208" i="8"/>
  <c r="AE208" i="8"/>
  <c r="AF208" i="8"/>
  <c r="AG208" i="8"/>
  <c r="AH208" i="8"/>
  <c r="AI208" i="8"/>
  <c r="AJ208" i="8"/>
  <c r="AK208" i="8"/>
  <c r="AL208" i="8"/>
  <c r="AM208" i="8"/>
  <c r="AN208" i="8"/>
  <c r="AO208" i="8"/>
  <c r="A209" i="8"/>
  <c r="AD209" i="8"/>
  <c r="AE209" i="8"/>
  <c r="AF209" i="8"/>
  <c r="AG209" i="8"/>
  <c r="AH209" i="8"/>
  <c r="AI209" i="8"/>
  <c r="AJ209" i="8"/>
  <c r="AK209" i="8"/>
  <c r="AL209" i="8"/>
  <c r="AM209" i="8"/>
  <c r="AN209" i="8"/>
  <c r="AO209" i="8"/>
  <c r="A210" i="8"/>
  <c r="AD210" i="8"/>
  <c r="AE210" i="8"/>
  <c r="AF210" i="8"/>
  <c r="AG210" i="8"/>
  <c r="AH210" i="8"/>
  <c r="AI210" i="8"/>
  <c r="AJ210" i="8"/>
  <c r="AK210" i="8"/>
  <c r="AL210" i="8"/>
  <c r="AM210" i="8"/>
  <c r="AN210" i="8"/>
  <c r="AO210" i="8"/>
  <c r="A211" i="8"/>
  <c r="AD211" i="8"/>
  <c r="AE211" i="8"/>
  <c r="AF211" i="8"/>
  <c r="AG211" i="8"/>
  <c r="AH211" i="8"/>
  <c r="AI211" i="8"/>
  <c r="AJ211" i="8"/>
  <c r="AK211" i="8"/>
  <c r="AL211" i="8"/>
  <c r="AM211" i="8"/>
  <c r="AN211" i="8"/>
  <c r="AO211" i="8"/>
  <c r="A212" i="8"/>
  <c r="AD212" i="8"/>
  <c r="AE212" i="8"/>
  <c r="AF212" i="8"/>
  <c r="AG212" i="8"/>
  <c r="AH212" i="8"/>
  <c r="AI212" i="8"/>
  <c r="AJ212" i="8"/>
  <c r="AK212" i="8"/>
  <c r="AL212" i="8"/>
  <c r="AM212" i="8"/>
  <c r="AN212" i="8"/>
  <c r="AO212" i="8"/>
  <c r="A213" i="8"/>
  <c r="AD213" i="8"/>
  <c r="AE213" i="8"/>
  <c r="AF213" i="8"/>
  <c r="AG213" i="8"/>
  <c r="AH213" i="8"/>
  <c r="AI213" i="8"/>
  <c r="AJ213" i="8"/>
  <c r="AK213" i="8"/>
  <c r="AL213" i="8"/>
  <c r="AM213" i="8"/>
  <c r="AN213" i="8"/>
  <c r="AO213" i="8"/>
  <c r="A214" i="8"/>
  <c r="AD214" i="8"/>
  <c r="AE214" i="8"/>
  <c r="AF214" i="8"/>
  <c r="AG214" i="8"/>
  <c r="AH214" i="8"/>
  <c r="AI214" i="8"/>
  <c r="AJ214" i="8"/>
  <c r="AK214" i="8"/>
  <c r="AL214" i="8"/>
  <c r="AM214" i="8"/>
  <c r="AN214" i="8"/>
  <c r="AO214" i="8"/>
  <c r="A215" i="8"/>
  <c r="AD215" i="8"/>
  <c r="AE215" i="8"/>
  <c r="AF215" i="8"/>
  <c r="AG215" i="8"/>
  <c r="AH215" i="8"/>
  <c r="AI215" i="8"/>
  <c r="AJ215" i="8"/>
  <c r="AK215" i="8"/>
  <c r="AL215" i="8"/>
  <c r="AM215" i="8"/>
  <c r="AN215" i="8"/>
  <c r="AO215" i="8"/>
  <c r="A216" i="8"/>
  <c r="AD216" i="8"/>
  <c r="AE216" i="8"/>
  <c r="AF216" i="8"/>
  <c r="AG216" i="8"/>
  <c r="AH216" i="8"/>
  <c r="AI216" i="8"/>
  <c r="AJ216" i="8"/>
  <c r="AK216" i="8"/>
  <c r="AL216" i="8"/>
  <c r="AM216" i="8"/>
  <c r="AN216" i="8"/>
  <c r="AO216" i="8"/>
  <c r="A217" i="8"/>
  <c r="AD217" i="8"/>
  <c r="AE217" i="8"/>
  <c r="AF217" i="8"/>
  <c r="AG217" i="8"/>
  <c r="AH217" i="8"/>
  <c r="AI217" i="8"/>
  <c r="AJ217" i="8"/>
  <c r="AK217" i="8"/>
  <c r="AL217" i="8"/>
  <c r="AM217" i="8"/>
  <c r="AN217" i="8"/>
  <c r="AO217" i="8"/>
  <c r="A218" i="8"/>
  <c r="AD218" i="8"/>
  <c r="AE218" i="8"/>
  <c r="AF218" i="8"/>
  <c r="AG218" i="8"/>
  <c r="AH218" i="8"/>
  <c r="AI218" i="8"/>
  <c r="AJ218" i="8"/>
  <c r="AK218" i="8"/>
  <c r="AL218" i="8"/>
  <c r="AM218" i="8"/>
  <c r="AN218" i="8"/>
  <c r="AO218" i="8"/>
  <c r="A219" i="8"/>
  <c r="AD219" i="8"/>
  <c r="AE219" i="8"/>
  <c r="AF219" i="8"/>
  <c r="AG219" i="8"/>
  <c r="AH219" i="8"/>
  <c r="AI219" i="8"/>
  <c r="AJ219" i="8"/>
  <c r="AK219" i="8"/>
  <c r="AL219" i="8"/>
  <c r="AM219" i="8"/>
  <c r="AN219" i="8"/>
  <c r="AO219" i="8"/>
  <c r="A220" i="8"/>
  <c r="AD220" i="8"/>
  <c r="AE220" i="8"/>
  <c r="AF220" i="8"/>
  <c r="AG220" i="8"/>
  <c r="AH220" i="8"/>
  <c r="AI220" i="8"/>
  <c r="AJ220" i="8"/>
  <c r="AK220" i="8"/>
  <c r="AL220" i="8"/>
  <c r="AM220" i="8"/>
  <c r="AN220" i="8"/>
  <c r="AO220" i="8"/>
  <c r="A221" i="8"/>
  <c r="AD221" i="8"/>
  <c r="AE221" i="8"/>
  <c r="AF221" i="8"/>
  <c r="AG221" i="8"/>
  <c r="AH221" i="8"/>
  <c r="AI221" i="8"/>
  <c r="AJ221" i="8"/>
  <c r="AK221" i="8"/>
  <c r="AL221" i="8"/>
  <c r="AM221" i="8"/>
  <c r="AN221" i="8"/>
  <c r="AO221" i="8"/>
  <c r="A222" i="8"/>
  <c r="AD222" i="8"/>
  <c r="AE222" i="8"/>
  <c r="AF222" i="8"/>
  <c r="AG222" i="8"/>
  <c r="AH222" i="8"/>
  <c r="AI222" i="8"/>
  <c r="AJ222" i="8"/>
  <c r="AK222" i="8"/>
  <c r="AL222" i="8"/>
  <c r="AM222" i="8"/>
  <c r="AN222" i="8"/>
  <c r="AO222" i="8"/>
  <c r="A223" i="8"/>
  <c r="AD223" i="8"/>
  <c r="AE223" i="8"/>
  <c r="AF223" i="8"/>
  <c r="AG223" i="8"/>
  <c r="AH223" i="8"/>
  <c r="AI223" i="8"/>
  <c r="AJ223" i="8"/>
  <c r="AK223" i="8"/>
  <c r="AL223" i="8"/>
  <c r="AM223" i="8"/>
  <c r="AN223" i="8"/>
  <c r="AO223" i="8"/>
  <c r="A224" i="8"/>
  <c r="AD224" i="8"/>
  <c r="AE224" i="8"/>
  <c r="AF224" i="8"/>
  <c r="AG224" i="8"/>
  <c r="AH224" i="8"/>
  <c r="AI224" i="8"/>
  <c r="AJ224" i="8"/>
  <c r="AK224" i="8"/>
  <c r="AL224" i="8"/>
  <c r="AM224" i="8"/>
  <c r="AN224" i="8"/>
  <c r="AO224" i="8"/>
  <c r="A225" i="8"/>
  <c r="AD225" i="8"/>
  <c r="AE225" i="8"/>
  <c r="AF225" i="8"/>
  <c r="AG225" i="8"/>
  <c r="AH225" i="8"/>
  <c r="AI225" i="8"/>
  <c r="AJ225" i="8"/>
  <c r="AK225" i="8"/>
  <c r="AL225" i="8"/>
  <c r="AM225" i="8"/>
  <c r="AN225" i="8"/>
  <c r="AO225" i="8"/>
  <c r="A226" i="8"/>
  <c r="AD226" i="8"/>
  <c r="AE226" i="8"/>
  <c r="AF226" i="8"/>
  <c r="AG226" i="8"/>
  <c r="AH226" i="8"/>
  <c r="AI226" i="8"/>
  <c r="AJ226" i="8"/>
  <c r="AK226" i="8"/>
  <c r="AL226" i="8"/>
  <c r="AM226" i="8"/>
  <c r="AN226" i="8"/>
  <c r="AO226" i="8"/>
  <c r="A227" i="8"/>
  <c r="AD227" i="8"/>
  <c r="AE227" i="8"/>
  <c r="AF227" i="8"/>
  <c r="AG227" i="8"/>
  <c r="AH227" i="8"/>
  <c r="AI227" i="8"/>
  <c r="AJ227" i="8"/>
  <c r="AK227" i="8"/>
  <c r="AL227" i="8"/>
  <c r="AM227" i="8"/>
  <c r="AN227" i="8"/>
  <c r="AO227" i="8"/>
  <c r="A228" i="8"/>
  <c r="AD228" i="8"/>
  <c r="AE228" i="8"/>
  <c r="AF228" i="8"/>
  <c r="AG228" i="8"/>
  <c r="AH228" i="8"/>
  <c r="AI228" i="8"/>
  <c r="AJ228" i="8"/>
  <c r="AK228" i="8"/>
  <c r="AL228" i="8"/>
  <c r="AM228" i="8"/>
  <c r="AN228" i="8"/>
  <c r="AO228" i="8"/>
  <c r="A229" i="8"/>
  <c r="AD229" i="8"/>
  <c r="AE229" i="8"/>
  <c r="AF229" i="8"/>
  <c r="AG229" i="8"/>
  <c r="AH229" i="8"/>
  <c r="AI229" i="8"/>
  <c r="AJ229" i="8"/>
  <c r="AK229" i="8"/>
  <c r="AL229" i="8"/>
  <c r="AM229" i="8"/>
  <c r="AN229" i="8"/>
  <c r="AO229" i="8"/>
  <c r="A230" i="8"/>
  <c r="AD230" i="8"/>
  <c r="AE230" i="8"/>
  <c r="AF230" i="8"/>
  <c r="AG230" i="8"/>
  <c r="AH230" i="8"/>
  <c r="AI230" i="8"/>
  <c r="AJ230" i="8"/>
  <c r="AK230" i="8"/>
  <c r="AL230" i="8"/>
  <c r="AM230" i="8"/>
  <c r="AN230" i="8"/>
  <c r="AO230" i="8"/>
  <c r="A231" i="8"/>
  <c r="AD231" i="8"/>
  <c r="AE231" i="8"/>
  <c r="AF231" i="8"/>
  <c r="AG231" i="8"/>
  <c r="AH231" i="8"/>
  <c r="AI231" i="8"/>
  <c r="AJ231" i="8"/>
  <c r="AK231" i="8"/>
  <c r="AL231" i="8"/>
  <c r="AM231" i="8"/>
  <c r="AN231" i="8"/>
  <c r="AO231" i="8"/>
  <c r="A232" i="8"/>
  <c r="AD232" i="8"/>
  <c r="AE232" i="8"/>
  <c r="AF232" i="8"/>
  <c r="AG232" i="8"/>
  <c r="AH232" i="8"/>
  <c r="AI232" i="8"/>
  <c r="AJ232" i="8"/>
  <c r="AK232" i="8"/>
  <c r="AL232" i="8"/>
  <c r="AM232" i="8"/>
  <c r="AN232" i="8"/>
  <c r="AO232" i="8"/>
  <c r="A233" i="8"/>
  <c r="AD233" i="8"/>
  <c r="AE233" i="8"/>
  <c r="AF233" i="8"/>
  <c r="AG233" i="8"/>
  <c r="AH233" i="8"/>
  <c r="AI233" i="8"/>
  <c r="AJ233" i="8"/>
  <c r="AK233" i="8"/>
  <c r="AL233" i="8"/>
  <c r="AM233" i="8"/>
  <c r="AN233" i="8"/>
  <c r="AO233" i="8"/>
  <c r="A234" i="8"/>
  <c r="AD234" i="8"/>
  <c r="AE234" i="8"/>
  <c r="AF234" i="8"/>
  <c r="AG234" i="8"/>
  <c r="AH234" i="8"/>
  <c r="AI234" i="8"/>
  <c r="AJ234" i="8"/>
  <c r="AK234" i="8"/>
  <c r="AL234" i="8"/>
  <c r="AM234" i="8"/>
  <c r="AN234" i="8"/>
  <c r="AO234" i="8"/>
  <c r="A235" i="8"/>
  <c r="AD235" i="8"/>
  <c r="AE235" i="8"/>
  <c r="AF235" i="8"/>
  <c r="AG235" i="8"/>
  <c r="AH235" i="8"/>
  <c r="AI235" i="8"/>
  <c r="AJ235" i="8"/>
  <c r="AK235" i="8"/>
  <c r="AL235" i="8"/>
  <c r="AM235" i="8"/>
  <c r="AN235" i="8"/>
  <c r="AO235" i="8"/>
  <c r="A236" i="8"/>
  <c r="AD236" i="8"/>
  <c r="AE236" i="8"/>
  <c r="AF236" i="8"/>
  <c r="AG236" i="8"/>
  <c r="AH236" i="8"/>
  <c r="AI236" i="8"/>
  <c r="AJ236" i="8"/>
  <c r="AK236" i="8"/>
  <c r="AL236" i="8"/>
  <c r="AM236" i="8"/>
  <c r="AN236" i="8"/>
  <c r="AO236" i="8"/>
  <c r="A237" i="8"/>
  <c r="AD237" i="8"/>
  <c r="AE237" i="8"/>
  <c r="AF237" i="8"/>
  <c r="AG237" i="8"/>
  <c r="AH237" i="8"/>
  <c r="AI237" i="8"/>
  <c r="AJ237" i="8"/>
  <c r="AK237" i="8"/>
  <c r="AL237" i="8"/>
  <c r="A238" i="8"/>
  <c r="AD238" i="8"/>
  <c r="AE238" i="8"/>
  <c r="AF238" i="8"/>
  <c r="AG238" i="8"/>
  <c r="AH238" i="8"/>
  <c r="AI238" i="8"/>
  <c r="AJ238" i="8"/>
  <c r="AK238" i="8"/>
  <c r="AL238" i="8"/>
  <c r="A239" i="8"/>
  <c r="AD239" i="8"/>
  <c r="AE239" i="8"/>
  <c r="AF239" i="8"/>
  <c r="AG239" i="8"/>
  <c r="AH239" i="8"/>
  <c r="AI239" i="8"/>
  <c r="AJ239" i="8"/>
  <c r="AK239" i="8"/>
  <c r="AL239" i="8"/>
  <c r="A240" i="8"/>
  <c r="AD240" i="8"/>
  <c r="AE240" i="8"/>
  <c r="AF240" i="8"/>
  <c r="AG240" i="8"/>
  <c r="AH240" i="8"/>
  <c r="AI240" i="8"/>
  <c r="AJ240" i="8"/>
  <c r="AK240" i="8"/>
  <c r="AL240" i="8"/>
  <c r="A241" i="8"/>
  <c r="AD241" i="8"/>
  <c r="AE241" i="8"/>
  <c r="AF241" i="8"/>
  <c r="AG241" i="8"/>
  <c r="AH241" i="8"/>
  <c r="AI241" i="8"/>
  <c r="AJ241" i="8"/>
  <c r="AK241" i="8"/>
  <c r="AL241" i="8"/>
  <c r="A242" i="8"/>
  <c r="AD242" i="8"/>
  <c r="AE242" i="8"/>
  <c r="AF242" i="8"/>
  <c r="AG242" i="8"/>
  <c r="AH242" i="8"/>
  <c r="AI242" i="8"/>
  <c r="AJ242" i="8"/>
  <c r="AK242" i="8"/>
  <c r="AL242" i="8"/>
  <c r="A243" i="8"/>
  <c r="AD243" i="8"/>
  <c r="AE243" i="8"/>
  <c r="AF243" i="8"/>
  <c r="AG243" i="8"/>
  <c r="AH243" i="8"/>
  <c r="AI243" i="8"/>
  <c r="AJ243" i="8"/>
  <c r="AK243" i="8"/>
  <c r="AL243" i="8"/>
  <c r="A244" i="8"/>
  <c r="AD244" i="8"/>
  <c r="AE244" i="8"/>
  <c r="AF244" i="8"/>
  <c r="AG244" i="8"/>
  <c r="AH244" i="8"/>
  <c r="AI244" i="8"/>
  <c r="AJ244" i="8"/>
  <c r="AK244" i="8"/>
  <c r="AL244" i="8"/>
  <c r="A245" i="8"/>
  <c r="AD245" i="8"/>
  <c r="AE245" i="8"/>
  <c r="AF245" i="8"/>
  <c r="AG245" i="8"/>
  <c r="AH245" i="8"/>
  <c r="AI245" i="8"/>
  <c r="AJ245" i="8"/>
  <c r="AK245" i="8"/>
  <c r="AL245" i="8"/>
  <c r="A246" i="8"/>
  <c r="AD246" i="8"/>
  <c r="AE246" i="8"/>
  <c r="AF246" i="8"/>
  <c r="AG246" i="8"/>
  <c r="AH246" i="8"/>
  <c r="AI246" i="8"/>
  <c r="AJ246" i="8"/>
  <c r="AK246" i="8"/>
  <c r="AL246" i="8"/>
  <c r="A247" i="8"/>
  <c r="AD247" i="8"/>
  <c r="AE247" i="8"/>
  <c r="AF247" i="8"/>
  <c r="AG247" i="8"/>
  <c r="AH247" i="8"/>
  <c r="AI247" i="8"/>
  <c r="AJ247" i="8"/>
  <c r="AK247" i="8"/>
  <c r="AL247" i="8"/>
  <c r="A248" i="8"/>
  <c r="AD248" i="8"/>
  <c r="AE248" i="8"/>
  <c r="AF248" i="8"/>
  <c r="AG248" i="8"/>
  <c r="AH248" i="8"/>
  <c r="AI248" i="8"/>
  <c r="AJ248" i="8"/>
  <c r="AK248" i="8"/>
  <c r="AL248" i="8"/>
  <c r="A249" i="8"/>
  <c r="AD249" i="8"/>
  <c r="AE249" i="8"/>
  <c r="AF249" i="8"/>
  <c r="AG249" i="8"/>
  <c r="AH249" i="8"/>
  <c r="AI249" i="8"/>
  <c r="AJ249" i="8"/>
  <c r="AK249" i="8"/>
  <c r="AL249" i="8"/>
  <c r="A250" i="8"/>
  <c r="AD250" i="8"/>
  <c r="AE250" i="8"/>
  <c r="AF250" i="8"/>
  <c r="AG250" i="8"/>
  <c r="AH250" i="8"/>
  <c r="AI250" i="8"/>
  <c r="AJ250" i="8"/>
  <c r="AK250" i="8"/>
  <c r="AL250" i="8"/>
  <c r="A251" i="8"/>
  <c r="AD251" i="8"/>
  <c r="AE251" i="8"/>
  <c r="AF251" i="8"/>
  <c r="AG251" i="8"/>
  <c r="AH251" i="8"/>
  <c r="AI251" i="8"/>
  <c r="AJ251" i="8"/>
  <c r="AK251" i="8"/>
  <c r="AL251" i="8"/>
  <c r="A252" i="8"/>
  <c r="AD252" i="8"/>
  <c r="AE252" i="8"/>
  <c r="AF252" i="8"/>
  <c r="AG252" i="8"/>
  <c r="AH252" i="8"/>
  <c r="AI252" i="8"/>
  <c r="AJ252" i="8"/>
  <c r="AK252" i="8"/>
  <c r="AL252" i="8"/>
  <c r="A253" i="8"/>
  <c r="AD253" i="8"/>
  <c r="AE253" i="8"/>
  <c r="AF253" i="8"/>
  <c r="AG253" i="8"/>
  <c r="AH253" i="8"/>
  <c r="AI253" i="8"/>
  <c r="AJ253" i="8"/>
  <c r="AK253" i="8"/>
  <c r="AL253" i="8"/>
  <c r="A254" i="8"/>
  <c r="AD254" i="8"/>
  <c r="AE254" i="8"/>
  <c r="AF254" i="8"/>
  <c r="AG254" i="8"/>
  <c r="AH254" i="8"/>
  <c r="AI254" i="8"/>
  <c r="AJ254" i="8"/>
  <c r="AK254" i="8"/>
  <c r="AL254" i="8"/>
  <c r="A255" i="8"/>
  <c r="AD255" i="8"/>
  <c r="AE255" i="8"/>
  <c r="AF255" i="8"/>
  <c r="AG255" i="8"/>
  <c r="AH255" i="8"/>
  <c r="AI255" i="8"/>
  <c r="AJ255" i="8"/>
  <c r="AK255" i="8"/>
  <c r="AL255" i="8"/>
  <c r="A256" i="8"/>
  <c r="AD256" i="8"/>
  <c r="AE256" i="8"/>
  <c r="AF256" i="8"/>
  <c r="AG256" i="8"/>
  <c r="AH256" i="8"/>
  <c r="AI256" i="8"/>
  <c r="AJ256" i="8"/>
  <c r="AK256" i="8"/>
  <c r="AL256" i="8"/>
  <c r="A257" i="8"/>
  <c r="AD257" i="8"/>
  <c r="AE257" i="8"/>
  <c r="AF257" i="8"/>
  <c r="AG257" i="8"/>
  <c r="AH257" i="8"/>
  <c r="AI257" i="8"/>
  <c r="AJ257" i="8"/>
  <c r="AK257" i="8"/>
  <c r="AL257" i="8"/>
  <c r="A258" i="8"/>
  <c r="AD258" i="8"/>
  <c r="AE258" i="8"/>
  <c r="AF258" i="8"/>
  <c r="AG258" i="8"/>
  <c r="AH258" i="8"/>
  <c r="AI258" i="8"/>
  <c r="AJ258" i="8"/>
  <c r="AK258" i="8"/>
  <c r="AL258" i="8"/>
  <c r="A259" i="8"/>
  <c r="AD259" i="8"/>
  <c r="AE259" i="8"/>
  <c r="AF259" i="8"/>
  <c r="AG259" i="8"/>
  <c r="AH259" i="8"/>
  <c r="AI259" i="8"/>
  <c r="AJ259" i="8"/>
  <c r="AK259" i="8"/>
  <c r="AL259" i="8"/>
  <c r="A260" i="8"/>
  <c r="AD260" i="8"/>
  <c r="AE260" i="8"/>
  <c r="AF260" i="8"/>
  <c r="AG260" i="8"/>
  <c r="AH260" i="8"/>
  <c r="AI260" i="8"/>
  <c r="AJ260" i="8"/>
  <c r="AK260" i="8"/>
  <c r="AL260" i="8"/>
  <c r="A261" i="8"/>
  <c r="AD261" i="8"/>
  <c r="AE261" i="8"/>
  <c r="AF261" i="8"/>
  <c r="AG261" i="8"/>
  <c r="AH261" i="8"/>
  <c r="AI261" i="8"/>
  <c r="AJ261" i="8"/>
  <c r="AK261" i="8"/>
  <c r="AL261" i="8"/>
  <c r="A262" i="8"/>
  <c r="AD262" i="8"/>
  <c r="AE262" i="8"/>
  <c r="AF262" i="8"/>
  <c r="AG262" i="8"/>
  <c r="AH262" i="8"/>
  <c r="AI262" i="8"/>
  <c r="AJ262" i="8"/>
  <c r="AK262" i="8"/>
  <c r="AL262" i="8"/>
  <c r="A263" i="8"/>
  <c r="AD263" i="8"/>
  <c r="AE263" i="8"/>
  <c r="AF263" i="8"/>
  <c r="AG263" i="8"/>
  <c r="AH263" i="8"/>
  <c r="AI263" i="8"/>
  <c r="AJ263" i="8"/>
  <c r="AK263" i="8"/>
  <c r="AL263" i="8"/>
  <c r="A264" i="8"/>
  <c r="AD264" i="8"/>
  <c r="AE264" i="8"/>
  <c r="AF264" i="8"/>
  <c r="AG264" i="8"/>
  <c r="AH264" i="8"/>
  <c r="AI264" i="8"/>
  <c r="AJ264" i="8"/>
  <c r="AK264" i="8"/>
  <c r="AL264" i="8"/>
  <c r="A265" i="8"/>
  <c r="AD265" i="8"/>
  <c r="AE265" i="8"/>
  <c r="AF265" i="8"/>
  <c r="AG265" i="8"/>
  <c r="AH265" i="8"/>
  <c r="AI265" i="8"/>
  <c r="AJ265" i="8"/>
  <c r="AK265" i="8"/>
  <c r="AL265" i="8"/>
  <c r="A266" i="8"/>
  <c r="AD266" i="8"/>
  <c r="AE266" i="8"/>
  <c r="AF266" i="8"/>
  <c r="AG266" i="8"/>
  <c r="AH266" i="8"/>
  <c r="AI266" i="8"/>
  <c r="AJ266" i="8"/>
  <c r="AK266" i="8"/>
  <c r="AL266" i="8"/>
  <c r="A267" i="8"/>
  <c r="AD267" i="8"/>
  <c r="AE267" i="8"/>
  <c r="AF267" i="8"/>
  <c r="AG267" i="8"/>
  <c r="AH267" i="8"/>
  <c r="AI267" i="8"/>
  <c r="AJ267" i="8"/>
  <c r="AK267" i="8"/>
  <c r="AL267" i="8"/>
  <c r="A268" i="8"/>
  <c r="AD268" i="8"/>
  <c r="AE268" i="8"/>
  <c r="AF268" i="8"/>
  <c r="AG268" i="8"/>
  <c r="AH268" i="8"/>
  <c r="AI268" i="8"/>
  <c r="AJ268" i="8"/>
  <c r="AK268" i="8"/>
  <c r="AL268" i="8"/>
  <c r="AM268" i="8"/>
  <c r="AN268" i="8"/>
  <c r="A269" i="8"/>
  <c r="AD269" i="8"/>
  <c r="AE269" i="8"/>
  <c r="AF269" i="8"/>
  <c r="AG269" i="8"/>
  <c r="AH269" i="8"/>
  <c r="AI269" i="8"/>
  <c r="AJ269" i="8"/>
  <c r="AK269" i="8"/>
  <c r="AL269" i="8"/>
  <c r="A270" i="8"/>
  <c r="AD270" i="8"/>
  <c r="AE270" i="8"/>
  <c r="AF270" i="8"/>
  <c r="AG270" i="8"/>
  <c r="AH270" i="8"/>
  <c r="AI270" i="8"/>
  <c r="AJ270" i="8"/>
  <c r="AK270" i="8"/>
  <c r="AL270" i="8"/>
  <c r="A271" i="8"/>
  <c r="AD271" i="8"/>
  <c r="AE271" i="8"/>
  <c r="AF271" i="8"/>
  <c r="AG271" i="8"/>
  <c r="AH271" i="8"/>
  <c r="AI271" i="8"/>
  <c r="AJ271" i="8"/>
  <c r="AK271" i="8"/>
  <c r="AL271" i="8"/>
  <c r="A272" i="8"/>
  <c r="AD272" i="8"/>
  <c r="AE272" i="8"/>
  <c r="AF272" i="8"/>
  <c r="AG272" i="8"/>
  <c r="AH272" i="8"/>
  <c r="AI272" i="8"/>
  <c r="AJ272" i="8"/>
  <c r="AK272" i="8"/>
  <c r="AL272" i="8"/>
  <c r="A273" i="8"/>
  <c r="AD273" i="8"/>
  <c r="AE273" i="8"/>
  <c r="AF273" i="8"/>
  <c r="AG273" i="8"/>
  <c r="AH273" i="8"/>
  <c r="AI273" i="8"/>
  <c r="AJ273" i="8"/>
  <c r="AK273" i="8"/>
  <c r="AL273" i="8"/>
  <c r="A274" i="8"/>
  <c r="AD274" i="8"/>
  <c r="AE274" i="8"/>
  <c r="AF274" i="8"/>
  <c r="AG274" i="8"/>
  <c r="AH274" i="8"/>
  <c r="AI274" i="8"/>
  <c r="AJ274" i="8"/>
  <c r="AK274" i="8"/>
  <c r="AL274" i="8"/>
  <c r="A275" i="8"/>
  <c r="AD275" i="8"/>
  <c r="AE275" i="8"/>
  <c r="AF275" i="8"/>
  <c r="AG275" i="8"/>
  <c r="AH275" i="8"/>
  <c r="AI275" i="8"/>
  <c r="AJ275" i="8"/>
  <c r="AK275" i="8"/>
  <c r="AL275" i="8"/>
  <c r="A276" i="8"/>
  <c r="AD276" i="8"/>
  <c r="AE276" i="8"/>
  <c r="AF276" i="8"/>
  <c r="AG276" i="8"/>
  <c r="AH276" i="8"/>
  <c r="AI276" i="8"/>
  <c r="AJ276" i="8"/>
  <c r="AK276" i="8"/>
  <c r="AL276" i="8"/>
  <c r="A277" i="8"/>
  <c r="AD277" i="8"/>
  <c r="AE277" i="8"/>
  <c r="AF277" i="8"/>
  <c r="AG277" i="8"/>
  <c r="AH277" i="8"/>
  <c r="AI277" i="8"/>
  <c r="AJ277" i="8"/>
  <c r="AK277" i="8"/>
  <c r="AL277" i="8"/>
  <c r="A278" i="8"/>
  <c r="AD278" i="8"/>
  <c r="AE278" i="8"/>
  <c r="AF278" i="8"/>
  <c r="AG278" i="8"/>
  <c r="AH278" i="8"/>
  <c r="AI278" i="8"/>
  <c r="AJ278" i="8"/>
  <c r="AK278" i="8"/>
  <c r="AL278" i="8"/>
  <c r="A279" i="8"/>
  <c r="AD279" i="8"/>
  <c r="AE279" i="8"/>
  <c r="AF279" i="8"/>
  <c r="AG279" i="8"/>
  <c r="AH279" i="8"/>
  <c r="AI279" i="8"/>
  <c r="AJ279" i="8"/>
  <c r="AK279" i="8"/>
  <c r="AL279" i="8"/>
  <c r="A280" i="8"/>
  <c r="AD280" i="8"/>
  <c r="AE280" i="8"/>
  <c r="AF280" i="8"/>
  <c r="AG280" i="8"/>
  <c r="AH280" i="8"/>
  <c r="AI280" i="8"/>
  <c r="AJ280" i="8"/>
  <c r="AK280" i="8"/>
  <c r="AL280" i="8"/>
  <c r="A281" i="8"/>
  <c r="AD281" i="8"/>
  <c r="AE281" i="8"/>
  <c r="AF281" i="8"/>
  <c r="AG281" i="8"/>
  <c r="AH281" i="8"/>
  <c r="AI281" i="8"/>
  <c r="AJ281" i="8"/>
  <c r="AK281" i="8"/>
  <c r="AL281" i="8"/>
  <c r="A282" i="8"/>
  <c r="AD282" i="8"/>
  <c r="AE282" i="8"/>
  <c r="AF282" i="8"/>
  <c r="AG282" i="8"/>
  <c r="AH282" i="8"/>
  <c r="AI282" i="8"/>
  <c r="AJ282" i="8"/>
  <c r="AK282" i="8"/>
  <c r="AL282" i="8"/>
  <c r="A283" i="8"/>
  <c r="AD283" i="8"/>
  <c r="AE283" i="8"/>
  <c r="AF283" i="8"/>
  <c r="AG283" i="8"/>
  <c r="AH283" i="8"/>
  <c r="AI283" i="8"/>
  <c r="AJ283" i="8"/>
  <c r="AK283" i="8"/>
  <c r="AL283" i="8"/>
  <c r="A284" i="8"/>
  <c r="AD284" i="8"/>
  <c r="AE284" i="8"/>
  <c r="AF284" i="8"/>
  <c r="AG284" i="8"/>
  <c r="AH284" i="8"/>
  <c r="AI284" i="8"/>
  <c r="AJ284" i="8"/>
  <c r="AK284" i="8"/>
  <c r="AL284" i="8"/>
  <c r="A285" i="8"/>
  <c r="AD285" i="8"/>
  <c r="AE285" i="8"/>
  <c r="AF285" i="8"/>
  <c r="AG285" i="8"/>
  <c r="AH285" i="8"/>
  <c r="AI285" i="8"/>
  <c r="AJ285" i="8"/>
  <c r="AK285" i="8"/>
  <c r="AL285" i="8"/>
  <c r="A286" i="8"/>
  <c r="AD286" i="8"/>
  <c r="AE286" i="8"/>
  <c r="AF286" i="8"/>
  <c r="AG286" i="8"/>
  <c r="AH286" i="8"/>
  <c r="AI286" i="8"/>
  <c r="AJ286" i="8"/>
  <c r="AK286" i="8"/>
  <c r="AL286" i="8"/>
  <c r="A287" i="8"/>
  <c r="AD287" i="8"/>
  <c r="AE287" i="8"/>
  <c r="AF287" i="8"/>
  <c r="AG287" i="8"/>
  <c r="AH287" i="8"/>
  <c r="AI287" i="8"/>
  <c r="AJ287" i="8"/>
  <c r="AK287" i="8"/>
  <c r="AL287" i="8"/>
  <c r="AO287" i="8"/>
  <c r="A288" i="8"/>
  <c r="AD288" i="8"/>
  <c r="AE288" i="8"/>
  <c r="AF288" i="8"/>
  <c r="AG288" i="8"/>
  <c r="AH288" i="8"/>
  <c r="AI288" i="8"/>
  <c r="AJ288" i="8"/>
  <c r="AK288" i="8"/>
  <c r="AL288" i="8"/>
  <c r="A289" i="8"/>
  <c r="AD289" i="8"/>
  <c r="AE289" i="8"/>
  <c r="AF289" i="8"/>
  <c r="AG289" i="8"/>
  <c r="AH289" i="8"/>
  <c r="AI289" i="8"/>
  <c r="AJ289" i="8"/>
  <c r="AK289" i="8"/>
  <c r="AL289" i="8"/>
  <c r="A290" i="8"/>
  <c r="AD290" i="8"/>
  <c r="AE290" i="8"/>
  <c r="AF290" i="8"/>
  <c r="AG290" i="8"/>
  <c r="AH290" i="8"/>
  <c r="AI290" i="8"/>
  <c r="AJ290" i="8"/>
  <c r="AK290" i="8"/>
  <c r="AL290" i="8"/>
  <c r="A291" i="8"/>
  <c r="AD291" i="8"/>
  <c r="AE291" i="8"/>
  <c r="AF291" i="8"/>
  <c r="AG291" i="8"/>
  <c r="AH291" i="8"/>
  <c r="AI291" i="8"/>
  <c r="AJ291" i="8"/>
  <c r="AK291" i="8"/>
  <c r="AL291" i="8"/>
  <c r="A292" i="8"/>
  <c r="AD292" i="8"/>
  <c r="AE292" i="8"/>
  <c r="AF292" i="8"/>
  <c r="AG292" i="8"/>
  <c r="AH292" i="8"/>
  <c r="AI292" i="8"/>
  <c r="AJ292" i="8"/>
  <c r="AK292" i="8"/>
  <c r="AL292" i="8"/>
  <c r="AM292" i="8"/>
  <c r="AN292" i="8"/>
  <c r="A293" i="8"/>
  <c r="AD293" i="8"/>
  <c r="AE293" i="8"/>
  <c r="AF293" i="8"/>
  <c r="AG293" i="8"/>
  <c r="AH293" i="8"/>
  <c r="AI293" i="8"/>
  <c r="AJ293" i="8"/>
  <c r="AK293" i="8"/>
  <c r="AL293" i="8"/>
  <c r="A294" i="8"/>
  <c r="AD294" i="8"/>
  <c r="AE294" i="8"/>
  <c r="AF294" i="8"/>
  <c r="AG294" i="8"/>
  <c r="AH294" i="8"/>
  <c r="AI294" i="8"/>
  <c r="AJ294" i="8"/>
  <c r="AK294" i="8"/>
  <c r="AL294" i="8"/>
  <c r="A295" i="8"/>
  <c r="AD295" i="8"/>
  <c r="AE295" i="8"/>
  <c r="AF295" i="8"/>
  <c r="AG295" i="8"/>
  <c r="AH295" i="8"/>
  <c r="AI295" i="8"/>
  <c r="AJ295" i="8"/>
  <c r="AK295" i="8"/>
  <c r="AL295" i="8"/>
  <c r="A296" i="8"/>
  <c r="AD296" i="8"/>
  <c r="AE296" i="8"/>
  <c r="AF296" i="8"/>
  <c r="AG296" i="8"/>
  <c r="AH296" i="8"/>
  <c r="AI296" i="8"/>
  <c r="AJ296" i="8"/>
  <c r="AK296" i="8"/>
  <c r="AL296" i="8"/>
  <c r="A297" i="8"/>
  <c r="AD297" i="8"/>
  <c r="AE297" i="8"/>
  <c r="AF297" i="8"/>
  <c r="AG297" i="8"/>
  <c r="AH297" i="8"/>
  <c r="AI297" i="8"/>
  <c r="AJ297" i="8"/>
  <c r="AK297" i="8"/>
  <c r="AL297" i="8"/>
  <c r="A298" i="8"/>
  <c r="AD298" i="8"/>
  <c r="AE298" i="8"/>
  <c r="AF298" i="8"/>
  <c r="AG298" i="8"/>
  <c r="AH298" i="8"/>
  <c r="AI298" i="8"/>
  <c r="AJ298" i="8"/>
  <c r="AK298" i="8"/>
  <c r="AL298" i="8"/>
  <c r="A299" i="8"/>
  <c r="AD299" i="8"/>
  <c r="AE299" i="8"/>
  <c r="AF299" i="8"/>
  <c r="AG299" i="8"/>
  <c r="AH299" i="8"/>
  <c r="AI299" i="8"/>
  <c r="AJ299" i="8"/>
  <c r="AK299" i="8"/>
  <c r="AL299" i="8"/>
  <c r="A300" i="8"/>
  <c r="AD300" i="8"/>
  <c r="AE300" i="8"/>
  <c r="AF300" i="8"/>
  <c r="AG300" i="8"/>
  <c r="AH300" i="8"/>
  <c r="AI300" i="8"/>
  <c r="AJ300" i="8"/>
  <c r="AK300" i="8"/>
  <c r="AL300" i="8"/>
  <c r="A301" i="8"/>
  <c r="AD301" i="8"/>
  <c r="AE301" i="8"/>
  <c r="AF301" i="8"/>
  <c r="AG301" i="8"/>
  <c r="AH301" i="8"/>
  <c r="AI301" i="8"/>
  <c r="AJ301" i="8"/>
  <c r="AK301" i="8"/>
  <c r="AL301" i="8"/>
  <c r="A302" i="8"/>
  <c r="AD302" i="8"/>
  <c r="AE302" i="8"/>
  <c r="AF302" i="8"/>
  <c r="AG302" i="8"/>
  <c r="AH302" i="8"/>
  <c r="AI302" i="8"/>
  <c r="AJ302" i="8"/>
  <c r="AK302" i="8"/>
  <c r="AL302" i="8"/>
  <c r="A303" i="8"/>
  <c r="AD303" i="8"/>
  <c r="AE303" i="8"/>
  <c r="AF303" i="8"/>
  <c r="AG303" i="8"/>
  <c r="AH303" i="8"/>
  <c r="AI303" i="8"/>
  <c r="AJ303" i="8"/>
  <c r="AK303" i="8"/>
  <c r="AL303" i="8"/>
  <c r="A304" i="8"/>
  <c r="AD304" i="8"/>
  <c r="AE304" i="8"/>
  <c r="AF304" i="8"/>
  <c r="AG304" i="8"/>
  <c r="AH304" i="8"/>
  <c r="AI304" i="8"/>
  <c r="AJ304" i="8"/>
  <c r="AK304" i="8"/>
  <c r="AL304" i="8"/>
  <c r="A305" i="8"/>
  <c r="AD305" i="8"/>
  <c r="AE305" i="8"/>
  <c r="AF305" i="8"/>
  <c r="AG305" i="8"/>
  <c r="AH305" i="8"/>
  <c r="AI305" i="8"/>
  <c r="AJ305" i="8"/>
  <c r="AK305" i="8"/>
  <c r="AL305" i="8"/>
  <c r="A306" i="8"/>
  <c r="AD306" i="8"/>
  <c r="AE306" i="8"/>
  <c r="AF306" i="8"/>
  <c r="AG306" i="8"/>
  <c r="AH306" i="8"/>
  <c r="AI306" i="8"/>
  <c r="AJ306" i="8"/>
  <c r="AK306" i="8"/>
  <c r="AL306" i="8"/>
  <c r="A307" i="8"/>
  <c r="AD307" i="8"/>
  <c r="AE307" i="8"/>
  <c r="AF307" i="8"/>
  <c r="AG307" i="8"/>
  <c r="AH307" i="8"/>
  <c r="AI307" i="8"/>
  <c r="AJ307" i="8"/>
  <c r="AK307" i="8"/>
  <c r="AL307" i="8"/>
  <c r="A308" i="8"/>
  <c r="AD308" i="8"/>
  <c r="AE308" i="8"/>
  <c r="AF308" i="8"/>
  <c r="AG308" i="8"/>
  <c r="AH308" i="8"/>
  <c r="AI308" i="8"/>
  <c r="AJ308" i="8"/>
  <c r="AK308" i="8"/>
  <c r="AL308" i="8"/>
  <c r="A309" i="8"/>
  <c r="AD309" i="8"/>
  <c r="AE309" i="8"/>
  <c r="AF309" i="8"/>
  <c r="AG309" i="8"/>
  <c r="AH309" i="8"/>
  <c r="AI309" i="8"/>
  <c r="AJ309" i="8"/>
  <c r="AK309" i="8"/>
  <c r="AL309" i="8"/>
  <c r="AM309" i="8"/>
  <c r="AN309" i="8"/>
  <c r="A310" i="8"/>
  <c r="AD310" i="8"/>
  <c r="AE310" i="8"/>
  <c r="AF310" i="8"/>
  <c r="AG310" i="8"/>
  <c r="AH310" i="8"/>
  <c r="AI310" i="8"/>
  <c r="AJ310" i="8"/>
  <c r="AK310" i="8"/>
  <c r="AL310" i="8"/>
  <c r="A311" i="8"/>
  <c r="AD311" i="8"/>
  <c r="AE311" i="8"/>
  <c r="AF311" i="8"/>
  <c r="AG311" i="8"/>
  <c r="AH311" i="8"/>
  <c r="AI311" i="8"/>
  <c r="AJ311" i="8"/>
  <c r="AK311" i="8"/>
  <c r="AL311" i="8"/>
  <c r="A312" i="8"/>
  <c r="AD312" i="8"/>
  <c r="AE312" i="8"/>
  <c r="AF312" i="8"/>
  <c r="AG312" i="8"/>
  <c r="AH312" i="8"/>
  <c r="AI312" i="8"/>
  <c r="AJ312" i="8"/>
  <c r="AK312" i="8"/>
  <c r="AL312" i="8"/>
  <c r="AO312" i="8"/>
  <c r="A313" i="8"/>
  <c r="AD313" i="8"/>
  <c r="AE313" i="8"/>
  <c r="AF313" i="8"/>
  <c r="AG313" i="8"/>
  <c r="AH313" i="8"/>
  <c r="AI313" i="8"/>
  <c r="AJ313" i="8"/>
  <c r="AK313" i="8"/>
  <c r="AL313" i="8"/>
  <c r="A314" i="8"/>
  <c r="AD314" i="8"/>
  <c r="AE314" i="8"/>
  <c r="AF314" i="8"/>
  <c r="AG314" i="8"/>
  <c r="AH314" i="8"/>
  <c r="AI314" i="8"/>
  <c r="AJ314" i="8"/>
  <c r="AK314" i="8"/>
  <c r="AL314" i="8"/>
  <c r="A315" i="8"/>
  <c r="AD315" i="8"/>
  <c r="AE315" i="8"/>
  <c r="AF315" i="8"/>
  <c r="AG315" i="8"/>
  <c r="AH315" i="8"/>
  <c r="AI315" i="8"/>
  <c r="AJ315" i="8"/>
  <c r="AK315" i="8"/>
  <c r="AL315" i="8"/>
  <c r="A316" i="8"/>
  <c r="AD316" i="8"/>
  <c r="AE316" i="8"/>
  <c r="AF316" i="8"/>
  <c r="AG316" i="8"/>
  <c r="AH316" i="8"/>
  <c r="AI316" i="8"/>
  <c r="AJ316" i="8"/>
  <c r="AK316" i="8"/>
  <c r="AL316" i="8"/>
  <c r="AO316" i="8"/>
  <c r="A317" i="8"/>
  <c r="AD317" i="8"/>
  <c r="AE317" i="8"/>
  <c r="AF317" i="8"/>
  <c r="AG317" i="8"/>
  <c r="AH317" i="8"/>
  <c r="AI317" i="8"/>
  <c r="AJ317" i="8"/>
  <c r="AK317" i="8"/>
  <c r="AL317" i="8"/>
  <c r="A318" i="8"/>
  <c r="AD318" i="8"/>
  <c r="AE318" i="8"/>
  <c r="AF318" i="8"/>
  <c r="AG318" i="8"/>
  <c r="AH318" i="8"/>
  <c r="AI318" i="8"/>
  <c r="AJ318" i="8"/>
  <c r="AK318" i="8"/>
  <c r="AL318" i="8"/>
  <c r="A319" i="8"/>
  <c r="AD319" i="8"/>
  <c r="AE319" i="8"/>
  <c r="AF319" i="8"/>
  <c r="AG319" i="8"/>
  <c r="AH319" i="8"/>
  <c r="AI319" i="8"/>
  <c r="AJ319" i="8"/>
  <c r="AK319" i="8"/>
  <c r="AL319" i="8"/>
  <c r="A320" i="8"/>
  <c r="AD320" i="8"/>
  <c r="AE320" i="8"/>
  <c r="AF320" i="8"/>
  <c r="AG320" i="8"/>
  <c r="AH320" i="8"/>
  <c r="AI320" i="8"/>
  <c r="AJ320" i="8"/>
  <c r="AK320" i="8"/>
  <c r="AL320" i="8"/>
  <c r="A321" i="8"/>
  <c r="AD321" i="8"/>
  <c r="AE321" i="8"/>
  <c r="AF321" i="8"/>
  <c r="AG321" i="8"/>
  <c r="AH321" i="8"/>
  <c r="AI321" i="8"/>
  <c r="AJ321" i="8"/>
  <c r="AK321" i="8"/>
  <c r="AL321" i="8"/>
  <c r="A322" i="8"/>
  <c r="AD322" i="8"/>
  <c r="AE322" i="8"/>
  <c r="AF322" i="8"/>
  <c r="AG322" i="8"/>
  <c r="AH322" i="8"/>
  <c r="AI322" i="8"/>
  <c r="AJ322" i="8"/>
  <c r="AK322" i="8"/>
  <c r="AL322" i="8"/>
  <c r="A323" i="8"/>
  <c r="AD323" i="8"/>
  <c r="AE323" i="8"/>
  <c r="AF323" i="8"/>
  <c r="AG323" i="8"/>
  <c r="AH323" i="8"/>
  <c r="AI323" i="8"/>
  <c r="AJ323" i="8"/>
  <c r="AK323" i="8"/>
  <c r="AL323" i="8"/>
  <c r="A324" i="8"/>
  <c r="AD324" i="8"/>
  <c r="AE324" i="8"/>
  <c r="AF324" i="8"/>
  <c r="AG324" i="8"/>
  <c r="AH324" i="8"/>
  <c r="AI324" i="8"/>
  <c r="AJ324" i="8"/>
  <c r="AK324" i="8"/>
  <c r="AL324" i="8"/>
  <c r="A325" i="8"/>
  <c r="AD325" i="8"/>
  <c r="AE325" i="8"/>
  <c r="AF325" i="8"/>
  <c r="AG325" i="8"/>
  <c r="AH325" i="8"/>
  <c r="AI325" i="8"/>
  <c r="AJ325" i="8"/>
  <c r="AK325" i="8"/>
  <c r="AL325" i="8"/>
  <c r="A326" i="8"/>
  <c r="AD326" i="8"/>
  <c r="AE326" i="8"/>
  <c r="AF326" i="8"/>
  <c r="AG326" i="8"/>
  <c r="AH326" i="8"/>
  <c r="AI326" i="8"/>
  <c r="AJ326" i="8"/>
  <c r="AK326" i="8"/>
  <c r="AL326" i="8"/>
  <c r="A327" i="8"/>
  <c r="AD327" i="8"/>
  <c r="AE327" i="8"/>
  <c r="AF327" i="8"/>
  <c r="AG327" i="8"/>
  <c r="AH327" i="8"/>
  <c r="AI327" i="8"/>
  <c r="AJ327" i="8"/>
  <c r="AK327" i="8"/>
  <c r="AL327" i="8"/>
  <c r="A328" i="8"/>
  <c r="AD328" i="8"/>
  <c r="AE328" i="8"/>
  <c r="AF328" i="8"/>
  <c r="AG328" i="8"/>
  <c r="AH328" i="8"/>
  <c r="AI328" i="8"/>
  <c r="AJ328" i="8"/>
  <c r="AK328" i="8"/>
  <c r="AL328" i="8"/>
  <c r="A329" i="8"/>
  <c r="AD329" i="8"/>
  <c r="AE329" i="8"/>
  <c r="AF329" i="8"/>
  <c r="AG329" i="8"/>
  <c r="AH329" i="8"/>
  <c r="AI329" i="8"/>
  <c r="AJ329" i="8"/>
  <c r="AK329" i="8"/>
  <c r="AL329" i="8"/>
  <c r="A330" i="8"/>
  <c r="AD330" i="8"/>
  <c r="AE330" i="8"/>
  <c r="AF330" i="8"/>
  <c r="AG330" i="8"/>
  <c r="AH330" i="8"/>
  <c r="AI330" i="8"/>
  <c r="AJ330" i="8"/>
  <c r="AK330" i="8"/>
  <c r="AL330" i="8"/>
  <c r="A331" i="8"/>
  <c r="AD331" i="8"/>
  <c r="AE331" i="8"/>
  <c r="AF331" i="8"/>
  <c r="AG331" i="8"/>
  <c r="AH331" i="8"/>
  <c r="AI331" i="8"/>
  <c r="AJ331" i="8"/>
  <c r="AK331" i="8"/>
  <c r="AL331" i="8"/>
  <c r="A332" i="8"/>
  <c r="AD332" i="8"/>
  <c r="AE332" i="8"/>
  <c r="AF332" i="8"/>
  <c r="AG332" i="8"/>
  <c r="AH332" i="8"/>
  <c r="AI332" i="8"/>
  <c r="AJ332" i="8"/>
  <c r="AK332" i="8"/>
  <c r="AL332" i="8"/>
  <c r="A333" i="8"/>
  <c r="AD333" i="8"/>
  <c r="AE333" i="8"/>
  <c r="AF333" i="8"/>
  <c r="AG333" i="8"/>
  <c r="AH333" i="8"/>
  <c r="AI333" i="8"/>
  <c r="AJ333" i="8"/>
  <c r="AK333" i="8"/>
  <c r="AL333" i="8"/>
  <c r="A334" i="8"/>
  <c r="AD334" i="8"/>
  <c r="AE334" i="8"/>
  <c r="AF334" i="8"/>
  <c r="AG334" i="8"/>
  <c r="AH334" i="8"/>
  <c r="AI334" i="8"/>
  <c r="AJ334" i="8"/>
  <c r="AK334" i="8"/>
  <c r="AL334" i="8"/>
  <c r="A335" i="8"/>
  <c r="AD335" i="8"/>
  <c r="AE335" i="8"/>
  <c r="AF335" i="8"/>
  <c r="AG335" i="8"/>
  <c r="AH335" i="8"/>
  <c r="AI335" i="8"/>
  <c r="AJ335" i="8"/>
  <c r="AK335" i="8"/>
  <c r="AL335" i="8"/>
  <c r="A336" i="8"/>
  <c r="AD336" i="8"/>
  <c r="AE336" i="8"/>
  <c r="AF336" i="8"/>
  <c r="AG336" i="8"/>
  <c r="AH336" i="8"/>
  <c r="AI336" i="8"/>
  <c r="AJ336" i="8"/>
  <c r="AK336" i="8"/>
  <c r="AL336" i="8"/>
  <c r="A337" i="8"/>
  <c r="AD337" i="8"/>
  <c r="AE337" i="8"/>
  <c r="AF337" i="8"/>
  <c r="AG337" i="8"/>
  <c r="AH337" i="8"/>
  <c r="AI337" i="8"/>
  <c r="AJ337" i="8"/>
  <c r="AK337" i="8"/>
  <c r="AL337" i="8"/>
  <c r="A338" i="8"/>
  <c r="AD338" i="8"/>
  <c r="AE338" i="8"/>
  <c r="AF338" i="8"/>
  <c r="AG338" i="8"/>
  <c r="AH338" i="8"/>
  <c r="AI338" i="8"/>
  <c r="AJ338" i="8"/>
  <c r="AK338" i="8"/>
  <c r="AL338" i="8"/>
  <c r="AM338" i="8"/>
  <c r="AN338" i="8"/>
  <c r="A339" i="8"/>
  <c r="AD339" i="8"/>
  <c r="AE339" i="8"/>
  <c r="AF339" i="8"/>
  <c r="AG339" i="8"/>
  <c r="AH339" i="8"/>
  <c r="AI339" i="8"/>
  <c r="AJ339" i="8"/>
  <c r="AK339" i="8"/>
  <c r="AL339" i="8"/>
  <c r="A340" i="8"/>
  <c r="AD340" i="8"/>
  <c r="AE340" i="8"/>
  <c r="AF340" i="8"/>
  <c r="AG340" i="8"/>
  <c r="AH340" i="8"/>
  <c r="AI340" i="8"/>
  <c r="AJ340" i="8"/>
  <c r="AK340" i="8"/>
  <c r="AL340" i="8"/>
  <c r="A341" i="8"/>
  <c r="AD341" i="8"/>
  <c r="AE341" i="8"/>
  <c r="AF341" i="8"/>
  <c r="AG341" i="8"/>
  <c r="AH341" i="8"/>
  <c r="AI341" i="8"/>
  <c r="AJ341" i="8"/>
  <c r="AK341" i="8"/>
  <c r="AL341" i="8"/>
  <c r="A342" i="8"/>
  <c r="AD342" i="8"/>
  <c r="AE342" i="8"/>
  <c r="AF342" i="8"/>
  <c r="AG342" i="8"/>
  <c r="AH342" i="8"/>
  <c r="AI342" i="8"/>
  <c r="AJ342" i="8"/>
  <c r="AK342" i="8"/>
  <c r="AL342" i="8"/>
  <c r="A343" i="8"/>
  <c r="AD343" i="8"/>
  <c r="AE343" i="8"/>
  <c r="AF343" i="8"/>
  <c r="AG343" i="8"/>
  <c r="AH343" i="8"/>
  <c r="AI343" i="8"/>
  <c r="AJ343" i="8"/>
  <c r="AK343" i="8"/>
  <c r="AL343" i="8"/>
  <c r="A344" i="8"/>
  <c r="AD344" i="8"/>
  <c r="AE344" i="8"/>
  <c r="AF344" i="8"/>
  <c r="AG344" i="8"/>
  <c r="AH344" i="8"/>
  <c r="AI344" i="8"/>
  <c r="AJ344" i="8"/>
  <c r="AK344" i="8"/>
  <c r="AL344" i="8"/>
  <c r="A345" i="8"/>
  <c r="AD345" i="8"/>
  <c r="AE345" i="8"/>
  <c r="AF345" i="8"/>
  <c r="AG345" i="8"/>
  <c r="AH345" i="8"/>
  <c r="AI345" i="8"/>
  <c r="AJ345" i="8"/>
  <c r="AK345" i="8"/>
  <c r="AL345" i="8"/>
  <c r="A346" i="8"/>
  <c r="AD346" i="8"/>
  <c r="AE346" i="8"/>
  <c r="AF346" i="8"/>
  <c r="AG346" i="8"/>
  <c r="AH346" i="8"/>
  <c r="AI346" i="8"/>
  <c r="AJ346" i="8"/>
  <c r="AK346" i="8"/>
  <c r="AL346" i="8"/>
  <c r="A347" i="8"/>
  <c r="AD347" i="8"/>
  <c r="AE347" i="8"/>
  <c r="AF347" i="8"/>
  <c r="AG347" i="8"/>
  <c r="AH347" i="8"/>
  <c r="AI347" i="8"/>
  <c r="AJ347" i="8"/>
  <c r="AK347" i="8"/>
  <c r="AL347" i="8"/>
  <c r="A348" i="8"/>
  <c r="AD348" i="8"/>
  <c r="AE348" i="8"/>
  <c r="AF348" i="8"/>
  <c r="AG348" i="8"/>
  <c r="AH348" i="8"/>
  <c r="AI348" i="8"/>
  <c r="AJ348" i="8"/>
  <c r="AK348" i="8"/>
  <c r="AL348" i="8"/>
  <c r="A349" i="8"/>
  <c r="AD349" i="8"/>
  <c r="AE349" i="8"/>
  <c r="AF349" i="8"/>
  <c r="AG349" i="8"/>
  <c r="AH349" i="8"/>
  <c r="AI349" i="8"/>
  <c r="AJ349" i="8"/>
  <c r="AK349" i="8"/>
  <c r="AL349" i="8"/>
  <c r="A350" i="8"/>
  <c r="AD350" i="8"/>
  <c r="AE350" i="8"/>
  <c r="AF350" i="8"/>
  <c r="AG350" i="8"/>
  <c r="AH350" i="8"/>
  <c r="AI350" i="8"/>
  <c r="AJ350" i="8"/>
  <c r="AK350" i="8"/>
  <c r="AL350" i="8"/>
  <c r="A351" i="8"/>
  <c r="AD351" i="8"/>
  <c r="AE351" i="8"/>
  <c r="AF351" i="8"/>
  <c r="AG351" i="8"/>
  <c r="AH351" i="8"/>
  <c r="AI351" i="8"/>
  <c r="AJ351" i="8"/>
  <c r="AK351" i="8"/>
  <c r="AL351" i="8"/>
  <c r="A352" i="8"/>
  <c r="AD352" i="8"/>
  <c r="AE352" i="8"/>
  <c r="AF352" i="8"/>
  <c r="AG352" i="8"/>
  <c r="AH352" i="8"/>
  <c r="AI352" i="8"/>
  <c r="AJ352" i="8"/>
  <c r="AK352" i="8"/>
  <c r="AL352" i="8"/>
  <c r="A353" i="8"/>
  <c r="AD353" i="8"/>
  <c r="AE353" i="8"/>
  <c r="AF353" i="8"/>
  <c r="AG353" i="8"/>
  <c r="AH353" i="8"/>
  <c r="AI353" i="8"/>
  <c r="AJ353" i="8"/>
  <c r="AK353" i="8"/>
  <c r="AL353" i="8"/>
  <c r="A354" i="8"/>
  <c r="AD354" i="8"/>
  <c r="AE354" i="8"/>
  <c r="AF354" i="8"/>
  <c r="AG354" i="8"/>
  <c r="AH354" i="8"/>
  <c r="AI354" i="8"/>
  <c r="AJ354" i="8"/>
  <c r="AK354" i="8"/>
  <c r="AL354" i="8"/>
  <c r="A355" i="8"/>
  <c r="AD355" i="8"/>
  <c r="AE355" i="8"/>
  <c r="AF355" i="8"/>
  <c r="AG355" i="8"/>
  <c r="AH355" i="8"/>
  <c r="AI355" i="8"/>
  <c r="AJ355" i="8"/>
  <c r="AK355" i="8"/>
  <c r="AL355" i="8"/>
  <c r="A356" i="8"/>
  <c r="AD356" i="8"/>
  <c r="AE356" i="8"/>
  <c r="AF356" i="8"/>
  <c r="AG356" i="8"/>
  <c r="AH356" i="8"/>
  <c r="AI356" i="8"/>
  <c r="AJ356" i="8"/>
  <c r="AK356" i="8"/>
  <c r="AL356" i="8"/>
  <c r="A357" i="8"/>
  <c r="AD357" i="8"/>
  <c r="AE357" i="8"/>
  <c r="AF357" i="8"/>
  <c r="AG357" i="8"/>
  <c r="AH357" i="8"/>
  <c r="AI357" i="8"/>
  <c r="AJ357" i="8"/>
  <c r="AK357" i="8"/>
  <c r="AL357" i="8"/>
  <c r="A358" i="8"/>
  <c r="AD358" i="8"/>
  <c r="AE358" i="8"/>
  <c r="AF358" i="8"/>
  <c r="AG358" i="8"/>
  <c r="AH358" i="8"/>
  <c r="AI358" i="8"/>
  <c r="AJ358" i="8"/>
  <c r="AK358" i="8"/>
  <c r="AL358" i="8"/>
  <c r="A359" i="8"/>
  <c r="AD359" i="8"/>
  <c r="AE359" i="8"/>
  <c r="AF359" i="8"/>
  <c r="AG359" i="8"/>
  <c r="AH359" i="8"/>
  <c r="AI359" i="8"/>
  <c r="AJ359" i="8"/>
  <c r="AK359" i="8"/>
  <c r="AL359" i="8"/>
  <c r="A360" i="8"/>
  <c r="AD360" i="8"/>
  <c r="AE360" i="8"/>
  <c r="AF360" i="8"/>
  <c r="AG360" i="8"/>
  <c r="AH360" i="8"/>
  <c r="AI360" i="8"/>
  <c r="AJ360" i="8"/>
  <c r="AK360" i="8"/>
  <c r="AL360" i="8"/>
  <c r="A361" i="8"/>
  <c r="AD361" i="8"/>
  <c r="AE361" i="8"/>
  <c r="AF361" i="8"/>
  <c r="AG361" i="8"/>
  <c r="AH361" i="8"/>
  <c r="AI361" i="8"/>
  <c r="AJ361" i="8"/>
  <c r="AK361" i="8"/>
  <c r="AL361" i="8"/>
  <c r="A362" i="8"/>
  <c r="AD362" i="8"/>
  <c r="AE362" i="8"/>
  <c r="AF362" i="8"/>
  <c r="AG362" i="8"/>
  <c r="AH362" i="8"/>
  <c r="AI362" i="8"/>
  <c r="AJ362" i="8"/>
  <c r="AK362" i="8"/>
  <c r="AL362" i="8"/>
  <c r="AM362" i="8"/>
  <c r="AN362" i="8"/>
  <c r="AO362" i="8"/>
  <c r="A363" i="8"/>
  <c r="AD363" i="8"/>
  <c r="AE363" i="8"/>
  <c r="AF363" i="8"/>
  <c r="AG363" i="8"/>
  <c r="AH363" i="8"/>
  <c r="AI363" i="8"/>
  <c r="AJ363" i="8"/>
  <c r="AK363" i="8"/>
  <c r="AL363" i="8"/>
  <c r="A364" i="8"/>
  <c r="AD364" i="8"/>
  <c r="AE364" i="8"/>
  <c r="AF364" i="8"/>
  <c r="AG364" i="8"/>
  <c r="AH364" i="8"/>
  <c r="AI364" i="8"/>
  <c r="AJ364" i="8"/>
  <c r="AK364" i="8"/>
  <c r="AL364" i="8"/>
  <c r="A365" i="8"/>
  <c r="AD365" i="8"/>
  <c r="AE365" i="8"/>
  <c r="AF365" i="8"/>
  <c r="AG365" i="8"/>
  <c r="AH365" i="8"/>
  <c r="AI365" i="8"/>
  <c r="AJ365" i="8"/>
  <c r="AK365" i="8"/>
  <c r="AL365" i="8"/>
  <c r="A366" i="8"/>
  <c r="AD366" i="8"/>
  <c r="AE366" i="8"/>
  <c r="AF366" i="8"/>
  <c r="AG366" i="8"/>
  <c r="AH366" i="8"/>
  <c r="AI366" i="8"/>
  <c r="AJ366" i="8"/>
  <c r="AK366" i="8"/>
  <c r="AL366" i="8"/>
  <c r="A367" i="8"/>
  <c r="AD367" i="8"/>
  <c r="AE367" i="8"/>
  <c r="AF367" i="8"/>
  <c r="AG367" i="8"/>
  <c r="AH367" i="8"/>
  <c r="AI367" i="8"/>
  <c r="AJ367" i="8"/>
  <c r="AK367" i="8"/>
  <c r="AL367" i="8"/>
  <c r="A368" i="8"/>
  <c r="AD368" i="8"/>
  <c r="AE368" i="8"/>
  <c r="AF368" i="8"/>
  <c r="AG368" i="8"/>
  <c r="AH368" i="8"/>
  <c r="AI368" i="8"/>
  <c r="AJ368" i="8"/>
  <c r="AK368" i="8"/>
  <c r="AL368" i="8"/>
  <c r="A369" i="8"/>
  <c r="AD369" i="8"/>
  <c r="AE369" i="8"/>
  <c r="AF369" i="8"/>
  <c r="AG369" i="8"/>
  <c r="AH369" i="8"/>
  <c r="AI369" i="8"/>
  <c r="AJ369" i="8"/>
  <c r="AK369" i="8"/>
  <c r="AL369" i="8"/>
  <c r="A370" i="8"/>
  <c r="AD370" i="8"/>
  <c r="AE370" i="8"/>
  <c r="AF370" i="8"/>
  <c r="AG370" i="8"/>
  <c r="AH370" i="8"/>
  <c r="AI370" i="8"/>
  <c r="AJ370" i="8"/>
  <c r="AK370" i="8"/>
  <c r="AL370" i="8"/>
  <c r="A371" i="8"/>
  <c r="AD371" i="8"/>
  <c r="AE371" i="8"/>
  <c r="AF371" i="8"/>
  <c r="AG371" i="8"/>
  <c r="AH371" i="8"/>
  <c r="AI371" i="8"/>
  <c r="AJ371" i="8"/>
  <c r="AK371" i="8"/>
  <c r="AL371" i="8"/>
  <c r="A372" i="8"/>
  <c r="AD372" i="8"/>
  <c r="AE372" i="8"/>
  <c r="AF372" i="8"/>
  <c r="AG372" i="8"/>
  <c r="AH372" i="8"/>
  <c r="AI372" i="8"/>
  <c r="AJ372" i="8"/>
  <c r="AK372" i="8"/>
  <c r="AL372" i="8"/>
  <c r="A373" i="8"/>
  <c r="AD373" i="8"/>
  <c r="AE373" i="8"/>
  <c r="AF373" i="8"/>
  <c r="AG373" i="8"/>
  <c r="AH373" i="8"/>
  <c r="AI373" i="8"/>
  <c r="AJ373" i="8"/>
  <c r="AK373" i="8"/>
  <c r="AL373" i="8"/>
  <c r="AO373" i="8"/>
  <c r="A374" i="8"/>
  <c r="AD374" i="8"/>
  <c r="AE374" i="8"/>
  <c r="AF374" i="8"/>
  <c r="AG374" i="8"/>
  <c r="AH374" i="8"/>
  <c r="AI374" i="8"/>
  <c r="AJ374" i="8"/>
  <c r="AK374" i="8"/>
  <c r="AL374" i="8"/>
  <c r="A375" i="8"/>
  <c r="AD375" i="8"/>
  <c r="AE375" i="8"/>
  <c r="AF375" i="8"/>
  <c r="AG375" i="8"/>
  <c r="AH375" i="8"/>
  <c r="AI375" i="8"/>
  <c r="AJ375" i="8"/>
  <c r="AK375" i="8"/>
  <c r="AL375" i="8"/>
  <c r="A376" i="8"/>
  <c r="AD376" i="8"/>
  <c r="AE376" i="8"/>
  <c r="AF376" i="8"/>
  <c r="AG376" i="8"/>
  <c r="AH376" i="8"/>
  <c r="AI376" i="8"/>
  <c r="AJ376" i="8"/>
  <c r="AK376" i="8"/>
  <c r="AL376" i="8"/>
  <c r="A377" i="8"/>
  <c r="AD377" i="8"/>
  <c r="AE377" i="8"/>
  <c r="AF377" i="8"/>
  <c r="AG377" i="8"/>
  <c r="AH377" i="8"/>
  <c r="AI377" i="8"/>
  <c r="AJ377" i="8"/>
  <c r="AK377" i="8"/>
  <c r="AL377" i="8"/>
  <c r="A378" i="8"/>
  <c r="AD378" i="8"/>
  <c r="AE378" i="8"/>
  <c r="AF378" i="8"/>
  <c r="AG378" i="8"/>
  <c r="AH378" i="8"/>
  <c r="AI378" i="8"/>
  <c r="AJ378" i="8"/>
  <c r="AK378" i="8"/>
  <c r="AL378" i="8"/>
  <c r="A379" i="8"/>
  <c r="AD379" i="8"/>
  <c r="AE379" i="8"/>
  <c r="AF379" i="8"/>
  <c r="AG379" i="8"/>
  <c r="AH379" i="8"/>
  <c r="AI379" i="8"/>
  <c r="AJ379" i="8"/>
  <c r="AK379" i="8"/>
  <c r="AL379" i="8"/>
  <c r="A380" i="8"/>
  <c r="AD380" i="8"/>
  <c r="AE380" i="8"/>
  <c r="AF380" i="8"/>
  <c r="AG380" i="8"/>
  <c r="AH380" i="8"/>
  <c r="AI380" i="8"/>
  <c r="AJ380" i="8"/>
  <c r="AK380" i="8"/>
  <c r="AL380" i="8"/>
  <c r="A381" i="8"/>
  <c r="AD381" i="8"/>
  <c r="AE381" i="8"/>
  <c r="AF381" i="8"/>
  <c r="AG381" i="8"/>
  <c r="AH381" i="8"/>
  <c r="AI381" i="8"/>
  <c r="AJ381" i="8"/>
  <c r="AK381" i="8"/>
  <c r="AL381" i="8"/>
  <c r="A382" i="8"/>
  <c r="AD382" i="8"/>
  <c r="AE382" i="8"/>
  <c r="AF382" i="8"/>
  <c r="AG382" i="8"/>
  <c r="AH382" i="8"/>
  <c r="AI382" i="8"/>
  <c r="AJ382" i="8"/>
  <c r="AK382" i="8"/>
  <c r="AL382" i="8"/>
  <c r="A383" i="8"/>
  <c r="AD383" i="8"/>
  <c r="AE383" i="8"/>
  <c r="AF383" i="8"/>
  <c r="AG383" i="8"/>
  <c r="AH383" i="8"/>
  <c r="AI383" i="8"/>
  <c r="AJ383" i="8"/>
  <c r="AK383" i="8"/>
  <c r="AL383" i="8"/>
  <c r="A384" i="8"/>
  <c r="AD384" i="8"/>
  <c r="AE384" i="8"/>
  <c r="AF384" i="8"/>
  <c r="AG384" i="8"/>
  <c r="AH384" i="8"/>
  <c r="AI384" i="8"/>
  <c r="AJ384" i="8"/>
  <c r="AK384" i="8"/>
  <c r="AL384" i="8"/>
  <c r="A385" i="8"/>
  <c r="AD385" i="8"/>
  <c r="AE385" i="8"/>
  <c r="AF385" i="8"/>
  <c r="AG385" i="8"/>
  <c r="AH385" i="8"/>
  <c r="AI385" i="8"/>
  <c r="AJ385" i="8"/>
  <c r="AK385" i="8"/>
  <c r="AL385" i="8"/>
  <c r="A386" i="8"/>
  <c r="AD386" i="8"/>
  <c r="AE386" i="8"/>
  <c r="AF386" i="8"/>
  <c r="AG386" i="8"/>
  <c r="AH386" i="8"/>
  <c r="AI386" i="8"/>
  <c r="AJ386" i="8"/>
  <c r="AK386" i="8"/>
  <c r="AL386" i="8"/>
  <c r="A387" i="8"/>
  <c r="AD387" i="8"/>
  <c r="AE387" i="8"/>
  <c r="AF387" i="8"/>
  <c r="AG387" i="8"/>
  <c r="AH387" i="8"/>
  <c r="AI387" i="8"/>
  <c r="AJ387" i="8"/>
  <c r="AK387" i="8"/>
  <c r="AL387" i="8"/>
  <c r="A388" i="8"/>
  <c r="AD388" i="8"/>
  <c r="AE388" i="8"/>
  <c r="AF388" i="8"/>
  <c r="AG388" i="8"/>
  <c r="AH388" i="8"/>
  <c r="AI388" i="8"/>
  <c r="AJ388" i="8"/>
  <c r="AK388" i="8"/>
  <c r="AL388" i="8"/>
  <c r="A389" i="8"/>
  <c r="AD389" i="8"/>
  <c r="AE389" i="8"/>
  <c r="AF389" i="8"/>
  <c r="AG389" i="8"/>
  <c r="AH389" i="8"/>
  <c r="AI389" i="8"/>
  <c r="AJ389" i="8"/>
  <c r="AK389" i="8"/>
  <c r="AL389" i="8"/>
  <c r="A390" i="8"/>
  <c r="AD390" i="8"/>
  <c r="AE390" i="8"/>
  <c r="AF390" i="8"/>
  <c r="AG390" i="8"/>
  <c r="AH390" i="8"/>
  <c r="AI390" i="8"/>
  <c r="AJ390" i="8"/>
  <c r="AK390" i="8"/>
  <c r="AL390" i="8"/>
  <c r="A391" i="8"/>
  <c r="AD391" i="8"/>
  <c r="AE391" i="8"/>
  <c r="AF391" i="8"/>
  <c r="AG391" i="8"/>
  <c r="AH391" i="8"/>
  <c r="AI391" i="8"/>
  <c r="AJ391" i="8"/>
  <c r="AK391" i="8"/>
  <c r="AL391" i="8"/>
  <c r="A392" i="8"/>
  <c r="AD392" i="8"/>
  <c r="AE392" i="8"/>
  <c r="AF392" i="8"/>
  <c r="AG392" i="8"/>
  <c r="AH392" i="8"/>
  <c r="AI392" i="8"/>
  <c r="AJ392" i="8"/>
  <c r="AK392" i="8"/>
  <c r="AL392" i="8"/>
  <c r="A393" i="8"/>
  <c r="AD393" i="8"/>
  <c r="AE393" i="8"/>
  <c r="AF393" i="8"/>
  <c r="AG393" i="8"/>
  <c r="AH393" i="8"/>
  <c r="AI393" i="8"/>
  <c r="AJ393" i="8"/>
  <c r="AK393" i="8"/>
  <c r="AL393" i="8"/>
  <c r="A394" i="8"/>
  <c r="AD394" i="8"/>
  <c r="AE394" i="8"/>
  <c r="AF394" i="8"/>
  <c r="AG394" i="8"/>
  <c r="AH394" i="8"/>
  <c r="AI394" i="8"/>
  <c r="AJ394" i="8"/>
  <c r="AK394" i="8"/>
  <c r="AL394" i="8"/>
  <c r="AM394" i="8"/>
  <c r="AN394" i="8"/>
  <c r="AO394" i="8"/>
  <c r="A395" i="8"/>
  <c r="AD395" i="8"/>
  <c r="AE395" i="8"/>
  <c r="AF395" i="8"/>
  <c r="AG395" i="8"/>
  <c r="AH395" i="8"/>
  <c r="AI395" i="8"/>
  <c r="AJ395" i="8"/>
  <c r="AK395" i="8"/>
  <c r="AL395" i="8"/>
  <c r="AM395" i="8"/>
  <c r="AN395" i="8"/>
  <c r="AO395" i="8"/>
  <c r="A396" i="8"/>
  <c r="AD396" i="8"/>
  <c r="AE396" i="8"/>
  <c r="AF396" i="8"/>
  <c r="AG396" i="8"/>
  <c r="AH396" i="8"/>
  <c r="AI396" i="8"/>
  <c r="AJ396" i="8"/>
  <c r="AK396" i="8"/>
  <c r="AL396" i="8"/>
  <c r="AM396" i="8"/>
  <c r="AN396" i="8"/>
  <c r="AO396" i="8"/>
  <c r="A397" i="8"/>
  <c r="AD397" i="8"/>
  <c r="AE397" i="8"/>
  <c r="AF397" i="8"/>
  <c r="AG397" i="8"/>
  <c r="AH397" i="8"/>
  <c r="AI397" i="8"/>
  <c r="AJ397" i="8"/>
  <c r="AK397" i="8"/>
  <c r="AL397" i="8"/>
  <c r="AM397" i="8"/>
  <c r="AN397" i="8"/>
  <c r="AO397" i="8"/>
  <c r="A398" i="8"/>
  <c r="AD398" i="8"/>
  <c r="AE398" i="8"/>
  <c r="AF398" i="8"/>
  <c r="AG398" i="8"/>
  <c r="AH398" i="8"/>
  <c r="AI398" i="8"/>
  <c r="AJ398" i="8"/>
  <c r="AK398" i="8"/>
  <c r="AL398" i="8"/>
  <c r="AM398" i="8"/>
  <c r="AN398" i="8"/>
  <c r="AO398" i="8"/>
  <c r="A399" i="8"/>
  <c r="AD399" i="8"/>
  <c r="AE399" i="8"/>
  <c r="AF399" i="8"/>
  <c r="AG399" i="8"/>
  <c r="AH399" i="8"/>
  <c r="AI399" i="8"/>
  <c r="AJ399" i="8"/>
  <c r="AK399" i="8"/>
  <c r="AL399" i="8"/>
  <c r="AM399" i="8"/>
  <c r="AN399" i="8"/>
  <c r="AO399" i="8"/>
  <c r="A400" i="8"/>
  <c r="AD400" i="8"/>
  <c r="AE400" i="8"/>
  <c r="AF400" i="8"/>
  <c r="AG400" i="8"/>
  <c r="AH400" i="8"/>
  <c r="AI400" i="8"/>
  <c r="AJ400" i="8"/>
  <c r="AK400" i="8"/>
  <c r="AL400" i="8"/>
  <c r="AM400" i="8"/>
  <c r="AN400" i="8"/>
  <c r="AO400" i="8"/>
  <c r="A401" i="8"/>
  <c r="AD401" i="8"/>
  <c r="AE401" i="8"/>
  <c r="AF401" i="8"/>
  <c r="AG401" i="8"/>
  <c r="AH401" i="8"/>
  <c r="AI401" i="8"/>
  <c r="AJ401" i="8"/>
  <c r="AK401" i="8"/>
  <c r="AL401" i="8"/>
  <c r="AM401" i="8"/>
  <c r="AN401" i="8"/>
  <c r="AO401" i="8"/>
  <c r="A402" i="8"/>
  <c r="AD402" i="8"/>
  <c r="AE402" i="8"/>
  <c r="AF402" i="8"/>
  <c r="AG402" i="8"/>
  <c r="AH402" i="8"/>
  <c r="AI402" i="8"/>
  <c r="AJ402" i="8"/>
  <c r="AK402" i="8"/>
  <c r="AL402" i="8"/>
  <c r="AM402" i="8"/>
  <c r="AN402" i="8"/>
  <c r="AO402" i="8"/>
  <c r="A403" i="8"/>
  <c r="AD403" i="8"/>
  <c r="AE403" i="8"/>
  <c r="AF403" i="8"/>
  <c r="AG403" i="8"/>
  <c r="AH403" i="8"/>
  <c r="AI403" i="8"/>
  <c r="AJ403" i="8"/>
  <c r="AK403" i="8"/>
  <c r="AL403" i="8"/>
  <c r="AM403" i="8"/>
  <c r="AN403" i="8"/>
  <c r="AO403" i="8"/>
  <c r="A404" i="8"/>
  <c r="AD404" i="8"/>
  <c r="AE404" i="8"/>
  <c r="AF404" i="8"/>
  <c r="AG404" i="8"/>
  <c r="AH404" i="8"/>
  <c r="AI404" i="8"/>
  <c r="AJ404" i="8"/>
  <c r="AK404" i="8"/>
  <c r="AL404" i="8"/>
  <c r="A405" i="8"/>
  <c r="AD405" i="8"/>
  <c r="AE405" i="8"/>
  <c r="AF405" i="8"/>
  <c r="AG405" i="8"/>
  <c r="AH405" i="8"/>
  <c r="AI405" i="8"/>
  <c r="AJ405" i="8"/>
  <c r="AK405" i="8"/>
  <c r="AL405" i="8"/>
  <c r="AM405" i="8"/>
  <c r="AN405" i="8"/>
  <c r="A406" i="8"/>
  <c r="AD406" i="8"/>
  <c r="AE406" i="8"/>
  <c r="AF406" i="8"/>
  <c r="AG406" i="8"/>
  <c r="AH406" i="8"/>
  <c r="AI406" i="8"/>
  <c r="AJ406" i="8"/>
  <c r="AK406" i="8"/>
  <c r="AL406" i="8"/>
  <c r="A2" i="8"/>
  <c r="AL2" i="8"/>
  <c r="AK2" i="8"/>
  <c r="AJ2" i="8"/>
  <c r="AI2" i="8"/>
  <c r="AH2" i="8"/>
  <c r="AG2" i="8"/>
  <c r="AF2" i="8"/>
  <c r="AE2" i="8"/>
  <c r="AD2" i="8"/>
  <c r="AA42" i="2"/>
  <c r="R39" i="8"/>
  <c r="R40" i="8"/>
  <c r="S40" i="8"/>
  <c r="T40" i="8"/>
  <c r="U40" i="8"/>
  <c r="V40" i="8"/>
  <c r="W40" i="8"/>
  <c r="X40" i="8"/>
  <c r="Y40" i="8"/>
  <c r="Z40" i="8"/>
  <c r="AA40" i="8"/>
  <c r="AB40" i="8"/>
  <c r="AC40" i="8"/>
  <c r="R41" i="8"/>
  <c r="S41" i="8"/>
  <c r="T41" i="8"/>
  <c r="U41" i="8"/>
  <c r="V41" i="8"/>
  <c r="W41" i="8"/>
  <c r="X41" i="8"/>
  <c r="Y41" i="8"/>
  <c r="Z41" i="8"/>
  <c r="AA41" i="8"/>
  <c r="AB41" i="8"/>
  <c r="AC41" i="8"/>
  <c r="R2" i="8"/>
  <c r="S2" i="8"/>
  <c r="T2" i="8"/>
  <c r="U2" i="8"/>
  <c r="V2" i="8"/>
  <c r="W2" i="8"/>
  <c r="X2" i="8"/>
  <c r="Y2" i="8"/>
  <c r="Z2" i="8"/>
  <c r="AA2" i="8"/>
  <c r="AB2" i="8"/>
  <c r="AC2" i="8"/>
  <c r="R42" i="8"/>
  <c r="S42" i="8"/>
  <c r="T42" i="8"/>
  <c r="U42" i="8"/>
  <c r="V42" i="8"/>
  <c r="W42" i="8"/>
  <c r="X42" i="8"/>
  <c r="Y42" i="8"/>
  <c r="Z42" i="8"/>
  <c r="AA42" i="8"/>
  <c r="AB42" i="8"/>
  <c r="AC42" i="8"/>
  <c r="R43" i="8"/>
  <c r="S43" i="8"/>
  <c r="T43" i="8"/>
  <c r="U43" i="8"/>
  <c r="V43" i="8"/>
  <c r="W43" i="8"/>
  <c r="X43" i="8"/>
  <c r="Y43" i="8"/>
  <c r="Z43" i="8"/>
  <c r="AA43" i="8"/>
  <c r="AB43" i="8"/>
  <c r="AC43" i="8"/>
  <c r="R44" i="8"/>
  <c r="S44" i="8"/>
  <c r="T44" i="8"/>
  <c r="U44" i="8"/>
  <c r="V44" i="8"/>
  <c r="W44" i="8"/>
  <c r="X44" i="8"/>
  <c r="Y44" i="8"/>
  <c r="Z44" i="8"/>
  <c r="AA44" i="8"/>
  <c r="AB44" i="8"/>
  <c r="AC44" i="8"/>
  <c r="R45" i="8"/>
  <c r="S45" i="8"/>
  <c r="T45" i="8"/>
  <c r="U45" i="8"/>
  <c r="V45" i="8"/>
  <c r="W45" i="8"/>
  <c r="X45" i="8"/>
  <c r="Y45" i="8"/>
  <c r="Z45" i="8"/>
  <c r="AA45" i="8"/>
  <c r="AB45" i="8"/>
  <c r="AC45" i="8"/>
  <c r="R46" i="8"/>
  <c r="S46" i="8"/>
  <c r="T46" i="8"/>
  <c r="U46" i="8"/>
  <c r="V46" i="8"/>
  <c r="W46" i="8"/>
  <c r="X46" i="8"/>
  <c r="Y46" i="8"/>
  <c r="Z46" i="8"/>
  <c r="AA46" i="8"/>
  <c r="AB46" i="8"/>
  <c r="AC46" i="8"/>
  <c r="R47" i="8"/>
  <c r="S47" i="8"/>
  <c r="T47" i="8"/>
  <c r="U47" i="8"/>
  <c r="V47" i="8"/>
  <c r="W47" i="8"/>
  <c r="X47" i="8"/>
  <c r="Y47" i="8"/>
  <c r="Z47" i="8"/>
  <c r="AA47" i="8"/>
  <c r="AB47" i="8"/>
  <c r="AC47" i="8"/>
  <c r="R3" i="8"/>
  <c r="S3" i="8"/>
  <c r="T3" i="8"/>
  <c r="U3" i="8"/>
  <c r="V3" i="8"/>
  <c r="W3" i="8"/>
  <c r="X3" i="8"/>
  <c r="Y3" i="8"/>
  <c r="Z3" i="8"/>
  <c r="AA3" i="8"/>
  <c r="AB3" i="8"/>
  <c r="AC3" i="8"/>
  <c r="R48" i="8"/>
  <c r="S48" i="8"/>
  <c r="T48" i="8"/>
  <c r="U48" i="8"/>
  <c r="V48" i="8"/>
  <c r="W48" i="8"/>
  <c r="X48" i="8"/>
  <c r="Y48" i="8"/>
  <c r="Z48" i="8"/>
  <c r="AA48" i="8"/>
  <c r="AB48" i="8"/>
  <c r="AC48" i="8"/>
  <c r="R49" i="8"/>
  <c r="S49" i="8"/>
  <c r="T49" i="8"/>
  <c r="U49" i="8"/>
  <c r="V49" i="8"/>
  <c r="W49" i="8"/>
  <c r="X49" i="8"/>
  <c r="Y49" i="8"/>
  <c r="Z49" i="8"/>
  <c r="AA49" i="8"/>
  <c r="AB49" i="8"/>
  <c r="AC49" i="8"/>
  <c r="R50" i="8"/>
  <c r="S50" i="8"/>
  <c r="T50" i="8"/>
  <c r="U50" i="8"/>
  <c r="V50" i="8"/>
  <c r="W50" i="8"/>
  <c r="X50" i="8"/>
  <c r="Y50" i="8"/>
  <c r="Z50" i="8"/>
  <c r="AA50" i="8"/>
  <c r="AB50" i="8"/>
  <c r="AC50" i="8"/>
  <c r="R51" i="8"/>
  <c r="S51" i="8"/>
  <c r="T51" i="8"/>
  <c r="U51" i="8"/>
  <c r="V51" i="8"/>
  <c r="W51" i="8"/>
  <c r="X51" i="8"/>
  <c r="Y51" i="8"/>
  <c r="Z51" i="8"/>
  <c r="AA51" i="8"/>
  <c r="AB51" i="8"/>
  <c r="AC51" i="8"/>
  <c r="R52" i="8"/>
  <c r="S52" i="8"/>
  <c r="T52" i="8"/>
  <c r="U52" i="8"/>
  <c r="V52" i="8"/>
  <c r="W52" i="8"/>
  <c r="X52" i="8"/>
  <c r="Y52" i="8"/>
  <c r="Z52" i="8"/>
  <c r="AA52" i="8"/>
  <c r="AB52" i="8"/>
  <c r="AC52" i="8"/>
  <c r="R53" i="8"/>
  <c r="S53" i="8"/>
  <c r="T53" i="8"/>
  <c r="U53" i="8"/>
  <c r="V53" i="8"/>
  <c r="W53" i="8"/>
  <c r="X53" i="8"/>
  <c r="Y53" i="8"/>
  <c r="Z53" i="8"/>
  <c r="AA53" i="8"/>
  <c r="AB53" i="8"/>
  <c r="AC53" i="8"/>
  <c r="R54" i="8"/>
  <c r="S54" i="8"/>
  <c r="T54" i="8"/>
  <c r="U54" i="8"/>
  <c r="V54" i="8"/>
  <c r="W54" i="8"/>
  <c r="X54" i="8"/>
  <c r="Y54" i="8"/>
  <c r="Z54" i="8"/>
  <c r="AA54" i="8"/>
  <c r="AB54" i="8"/>
  <c r="AC54" i="8"/>
  <c r="R55" i="8"/>
  <c r="S55" i="8"/>
  <c r="T55" i="8"/>
  <c r="U55" i="8"/>
  <c r="V55" i="8"/>
  <c r="W55" i="8"/>
  <c r="X55" i="8"/>
  <c r="Y55" i="8"/>
  <c r="Z55" i="8"/>
  <c r="AA55" i="8"/>
  <c r="AB55" i="8"/>
  <c r="AC55" i="8"/>
  <c r="R56" i="8"/>
  <c r="S56" i="8"/>
  <c r="T56" i="8"/>
  <c r="U56" i="8"/>
  <c r="V56" i="8"/>
  <c r="W56" i="8"/>
  <c r="X56" i="8"/>
  <c r="Y56" i="8"/>
  <c r="Z56" i="8"/>
  <c r="AA56" i="8"/>
  <c r="AB56" i="8"/>
  <c r="AC56" i="8"/>
  <c r="R57" i="8"/>
  <c r="S57" i="8"/>
  <c r="T57" i="8"/>
  <c r="U57" i="8"/>
  <c r="V57" i="8"/>
  <c r="W57" i="8"/>
  <c r="X57" i="8"/>
  <c r="Y57" i="8"/>
  <c r="Z57" i="8"/>
  <c r="AA57" i="8"/>
  <c r="AB57" i="8"/>
  <c r="AC57" i="8"/>
  <c r="R58" i="8"/>
  <c r="S58" i="8"/>
  <c r="T58" i="8"/>
  <c r="U58" i="8"/>
  <c r="V58" i="8"/>
  <c r="W58" i="8"/>
  <c r="X58" i="8"/>
  <c r="Y58" i="8"/>
  <c r="Z58" i="8"/>
  <c r="AA58" i="8"/>
  <c r="AB58" i="8"/>
  <c r="AC58" i="8"/>
  <c r="R59" i="8"/>
  <c r="S59" i="8"/>
  <c r="T59" i="8"/>
  <c r="U59" i="8"/>
  <c r="V59" i="8"/>
  <c r="W59" i="8"/>
  <c r="X59" i="8"/>
  <c r="Y59" i="8"/>
  <c r="Z59" i="8"/>
  <c r="AA59" i="8"/>
  <c r="AB59" i="8"/>
  <c r="AC59" i="8"/>
  <c r="R60" i="8"/>
  <c r="S60" i="8"/>
  <c r="T60" i="8"/>
  <c r="U60" i="8"/>
  <c r="V60" i="8"/>
  <c r="W60" i="8"/>
  <c r="X60" i="8"/>
  <c r="Y60" i="8"/>
  <c r="Z60" i="8"/>
  <c r="AA60" i="8"/>
  <c r="AB60" i="8"/>
  <c r="AC60" i="8"/>
  <c r="R4" i="8"/>
  <c r="S4" i="8"/>
  <c r="T4" i="8"/>
  <c r="U4" i="8"/>
  <c r="V4" i="8"/>
  <c r="W4" i="8"/>
  <c r="X4" i="8"/>
  <c r="Y4" i="8"/>
  <c r="Z4" i="8"/>
  <c r="AA4" i="8"/>
  <c r="AB4" i="8"/>
  <c r="AC4" i="8"/>
  <c r="R61" i="8"/>
  <c r="S61" i="8"/>
  <c r="T61" i="8"/>
  <c r="U61" i="8"/>
  <c r="V61" i="8"/>
  <c r="W61" i="8"/>
  <c r="X61" i="8"/>
  <c r="Y61" i="8"/>
  <c r="Z61" i="8"/>
  <c r="AA61" i="8"/>
  <c r="AB61" i="8"/>
  <c r="AC61" i="8"/>
  <c r="R62" i="8"/>
  <c r="S62" i="8"/>
  <c r="T62" i="8"/>
  <c r="U62" i="8"/>
  <c r="V62" i="8"/>
  <c r="W62" i="8"/>
  <c r="X62" i="8"/>
  <c r="Y62" i="8"/>
  <c r="Z62" i="8"/>
  <c r="AA62" i="8"/>
  <c r="AB62" i="8"/>
  <c r="AC62" i="8"/>
  <c r="R5" i="8"/>
  <c r="S5" i="8"/>
  <c r="T5" i="8"/>
  <c r="U5" i="8"/>
  <c r="V5" i="8"/>
  <c r="W5" i="8"/>
  <c r="X5" i="8"/>
  <c r="Y5" i="8"/>
  <c r="Z5" i="8"/>
  <c r="AA5" i="8"/>
  <c r="AB5" i="8"/>
  <c r="AC5" i="8"/>
  <c r="R63" i="8"/>
  <c r="S63" i="8"/>
  <c r="T63" i="8"/>
  <c r="U63" i="8"/>
  <c r="V63" i="8"/>
  <c r="W63" i="8"/>
  <c r="X63" i="8"/>
  <c r="Y63" i="8"/>
  <c r="Z63" i="8"/>
  <c r="AA63" i="8"/>
  <c r="AB63" i="8"/>
  <c r="AC63" i="8"/>
  <c r="R64" i="8"/>
  <c r="S64" i="8"/>
  <c r="T64" i="8"/>
  <c r="U64" i="8"/>
  <c r="V64" i="8"/>
  <c r="W64" i="8"/>
  <c r="X64" i="8"/>
  <c r="Y64" i="8"/>
  <c r="Z64" i="8"/>
  <c r="AA64" i="8"/>
  <c r="AB64" i="8"/>
  <c r="AC64" i="8"/>
  <c r="R65" i="8"/>
  <c r="S65" i="8"/>
  <c r="T65" i="8"/>
  <c r="U65" i="8"/>
  <c r="V65" i="8"/>
  <c r="W65" i="8"/>
  <c r="X65" i="8"/>
  <c r="Y65" i="8"/>
  <c r="Z65" i="8"/>
  <c r="AA65" i="8"/>
  <c r="AB65" i="8"/>
  <c r="AC65" i="8"/>
  <c r="R66" i="8"/>
  <c r="S66" i="8"/>
  <c r="T66" i="8"/>
  <c r="U66" i="8"/>
  <c r="V66" i="8"/>
  <c r="W66" i="8"/>
  <c r="X66" i="8"/>
  <c r="Y66" i="8"/>
  <c r="Z66" i="8"/>
  <c r="AA66" i="8"/>
  <c r="AB66" i="8"/>
  <c r="AC66" i="8"/>
  <c r="R67" i="8"/>
  <c r="S67" i="8"/>
  <c r="T67" i="8"/>
  <c r="U67" i="8"/>
  <c r="V67" i="8"/>
  <c r="W67" i="8"/>
  <c r="X67" i="8"/>
  <c r="Y67" i="8"/>
  <c r="Z67" i="8"/>
  <c r="AA67" i="8"/>
  <c r="AB67" i="8"/>
  <c r="AC67" i="8"/>
  <c r="R68" i="8"/>
  <c r="S68" i="8"/>
  <c r="T68" i="8"/>
  <c r="U68" i="8"/>
  <c r="V68" i="8"/>
  <c r="W68" i="8"/>
  <c r="X68" i="8"/>
  <c r="Y68" i="8"/>
  <c r="Z68" i="8"/>
  <c r="AA68" i="8"/>
  <c r="AB68" i="8"/>
  <c r="AC68" i="8"/>
  <c r="R69" i="8"/>
  <c r="S69" i="8"/>
  <c r="T69" i="8"/>
  <c r="U69" i="8"/>
  <c r="V69" i="8"/>
  <c r="W69" i="8"/>
  <c r="X69" i="8"/>
  <c r="Y69" i="8"/>
  <c r="Z69" i="8"/>
  <c r="AA69" i="8"/>
  <c r="AB69" i="8"/>
  <c r="AC69" i="8"/>
  <c r="R70" i="8"/>
  <c r="S70" i="8"/>
  <c r="T70" i="8"/>
  <c r="U70" i="8"/>
  <c r="V70" i="8"/>
  <c r="W70" i="8"/>
  <c r="X70" i="8"/>
  <c r="Y70" i="8"/>
  <c r="Z70" i="8"/>
  <c r="AA70" i="8"/>
  <c r="AB70" i="8"/>
  <c r="AC70" i="8"/>
  <c r="R71" i="8"/>
  <c r="S71" i="8"/>
  <c r="T71" i="8"/>
  <c r="U71" i="8"/>
  <c r="V71" i="8"/>
  <c r="W71" i="8"/>
  <c r="X71" i="8"/>
  <c r="Y71" i="8"/>
  <c r="Z71" i="8"/>
  <c r="AA71" i="8"/>
  <c r="AB71" i="8"/>
  <c r="AC71" i="8"/>
  <c r="R72" i="8"/>
  <c r="S72" i="8"/>
  <c r="T72" i="8"/>
  <c r="U72" i="8"/>
  <c r="V72" i="8"/>
  <c r="W72" i="8"/>
  <c r="X72" i="8"/>
  <c r="Y72" i="8"/>
  <c r="Z72" i="8"/>
  <c r="AA72" i="8"/>
  <c r="AB72" i="8"/>
  <c r="AC72" i="8"/>
  <c r="R73" i="8"/>
  <c r="S73" i="8"/>
  <c r="T73" i="8"/>
  <c r="U73" i="8"/>
  <c r="V73" i="8"/>
  <c r="W73" i="8"/>
  <c r="X73" i="8"/>
  <c r="Y73" i="8"/>
  <c r="Z73" i="8"/>
  <c r="AA73" i="8"/>
  <c r="AB73" i="8"/>
  <c r="AC73" i="8"/>
  <c r="R74" i="8"/>
  <c r="S74" i="8"/>
  <c r="T74" i="8"/>
  <c r="U74" i="8"/>
  <c r="V74" i="8"/>
  <c r="W74" i="8"/>
  <c r="X74" i="8"/>
  <c r="Y74" i="8"/>
  <c r="Z74" i="8"/>
  <c r="AA74" i="8"/>
  <c r="AB74" i="8"/>
  <c r="AC74" i="8"/>
  <c r="R75" i="8"/>
  <c r="S75" i="8"/>
  <c r="T75" i="8"/>
  <c r="U75" i="8"/>
  <c r="V75" i="8"/>
  <c r="W75" i="8"/>
  <c r="X75" i="8"/>
  <c r="Y75" i="8"/>
  <c r="Z75" i="8"/>
  <c r="AA75" i="8"/>
  <c r="AB75" i="8"/>
  <c r="AC75" i="8"/>
  <c r="R76" i="8"/>
  <c r="S76" i="8"/>
  <c r="T76" i="8"/>
  <c r="U76" i="8"/>
  <c r="V76" i="8"/>
  <c r="W76" i="8"/>
  <c r="X76" i="8"/>
  <c r="Y76" i="8"/>
  <c r="Z76" i="8"/>
  <c r="AA76" i="8"/>
  <c r="AB76" i="8"/>
  <c r="AC76" i="8"/>
  <c r="R77" i="8"/>
  <c r="S77" i="8"/>
  <c r="T77" i="8"/>
  <c r="U77" i="8"/>
  <c r="V77" i="8"/>
  <c r="W77" i="8"/>
  <c r="X77" i="8"/>
  <c r="Y77" i="8"/>
  <c r="Z77" i="8"/>
  <c r="AA77" i="8"/>
  <c r="AB77" i="8"/>
  <c r="AC77" i="8"/>
  <c r="R78" i="8"/>
  <c r="S78" i="8"/>
  <c r="T78" i="8"/>
  <c r="U78" i="8"/>
  <c r="V78" i="8"/>
  <c r="W78" i="8"/>
  <c r="X78" i="8"/>
  <c r="Y78" i="8"/>
  <c r="Z78" i="8"/>
  <c r="AA78" i="8"/>
  <c r="AB78" i="8"/>
  <c r="AC78" i="8"/>
  <c r="R6" i="8"/>
  <c r="S6" i="8"/>
  <c r="T6" i="8"/>
  <c r="U6" i="8"/>
  <c r="V6" i="8"/>
  <c r="W6" i="8"/>
  <c r="X6" i="8"/>
  <c r="Y6" i="8"/>
  <c r="Z6" i="8"/>
  <c r="AA6" i="8"/>
  <c r="AB6" i="8"/>
  <c r="AC6" i="8"/>
  <c r="R7" i="8"/>
  <c r="S7" i="8"/>
  <c r="T7" i="8"/>
  <c r="U7" i="8"/>
  <c r="V7" i="8"/>
  <c r="W7" i="8"/>
  <c r="X7" i="8"/>
  <c r="Y7" i="8"/>
  <c r="Z7" i="8"/>
  <c r="AA7" i="8"/>
  <c r="AB7" i="8"/>
  <c r="AC7" i="8"/>
  <c r="R79" i="8"/>
  <c r="S79" i="8"/>
  <c r="T79" i="8"/>
  <c r="U79" i="8"/>
  <c r="V79" i="8"/>
  <c r="W79" i="8"/>
  <c r="X79" i="8"/>
  <c r="Y79" i="8"/>
  <c r="Z79" i="8"/>
  <c r="AA79" i="8"/>
  <c r="AB79" i="8"/>
  <c r="AC79" i="8"/>
  <c r="R80" i="8"/>
  <c r="S80" i="8"/>
  <c r="T80" i="8"/>
  <c r="U80" i="8"/>
  <c r="V80" i="8"/>
  <c r="W80" i="8"/>
  <c r="X80" i="8"/>
  <c r="Y80" i="8"/>
  <c r="Z80" i="8"/>
  <c r="AA80" i="8"/>
  <c r="AB80" i="8"/>
  <c r="AC80" i="8"/>
  <c r="R81" i="8"/>
  <c r="S81" i="8"/>
  <c r="T81" i="8"/>
  <c r="U81" i="8"/>
  <c r="V81" i="8"/>
  <c r="W81" i="8"/>
  <c r="X81" i="8"/>
  <c r="Y81" i="8"/>
  <c r="Z81" i="8"/>
  <c r="AA81" i="8"/>
  <c r="AB81" i="8"/>
  <c r="AC81" i="8"/>
  <c r="R82" i="8"/>
  <c r="S82" i="8"/>
  <c r="T82" i="8"/>
  <c r="U82" i="8"/>
  <c r="V82" i="8"/>
  <c r="W82" i="8"/>
  <c r="X82" i="8"/>
  <c r="Y82" i="8"/>
  <c r="Z82" i="8"/>
  <c r="AA82" i="8"/>
  <c r="AB82" i="8"/>
  <c r="AC82" i="8"/>
  <c r="R83" i="8"/>
  <c r="S83" i="8"/>
  <c r="T83" i="8"/>
  <c r="U83" i="8"/>
  <c r="V83" i="8"/>
  <c r="W83" i="8"/>
  <c r="X83" i="8"/>
  <c r="Y83" i="8"/>
  <c r="Z83" i="8"/>
  <c r="AA83" i="8"/>
  <c r="AB83" i="8"/>
  <c r="AC83" i="8"/>
  <c r="R84" i="8"/>
  <c r="S84" i="8"/>
  <c r="T84" i="8"/>
  <c r="U84" i="8"/>
  <c r="V84" i="8"/>
  <c r="W84" i="8"/>
  <c r="X84" i="8"/>
  <c r="Y84" i="8"/>
  <c r="Z84" i="8"/>
  <c r="AA84" i="8"/>
  <c r="AB84" i="8"/>
  <c r="AC84" i="8"/>
  <c r="R85" i="8"/>
  <c r="S85" i="8"/>
  <c r="T85" i="8"/>
  <c r="U85" i="8"/>
  <c r="V85" i="8"/>
  <c r="W85" i="8"/>
  <c r="X85" i="8"/>
  <c r="Y85" i="8"/>
  <c r="Z85" i="8"/>
  <c r="AA85" i="8"/>
  <c r="AB85" i="8"/>
  <c r="AC85" i="8"/>
  <c r="R86" i="8"/>
  <c r="S86" i="8"/>
  <c r="T86" i="8"/>
  <c r="U86" i="8"/>
  <c r="V86" i="8"/>
  <c r="W86" i="8"/>
  <c r="X86" i="8"/>
  <c r="Y86" i="8"/>
  <c r="Z86" i="8"/>
  <c r="AA86" i="8"/>
  <c r="AB86" i="8"/>
  <c r="AC86" i="8"/>
  <c r="R87" i="8"/>
  <c r="S87" i="8"/>
  <c r="T87" i="8"/>
  <c r="U87" i="8"/>
  <c r="V87" i="8"/>
  <c r="W87" i="8"/>
  <c r="X87" i="8"/>
  <c r="Y87" i="8"/>
  <c r="Z87" i="8"/>
  <c r="AA87" i="8"/>
  <c r="AB87" i="8"/>
  <c r="AC87" i="8"/>
  <c r="R88" i="8"/>
  <c r="S88" i="8"/>
  <c r="T88" i="8"/>
  <c r="U88" i="8"/>
  <c r="V88" i="8"/>
  <c r="W88" i="8"/>
  <c r="X88" i="8"/>
  <c r="Y88" i="8"/>
  <c r="Z88" i="8"/>
  <c r="AA88" i="8"/>
  <c r="AB88" i="8"/>
  <c r="AC88" i="8"/>
  <c r="R89" i="8"/>
  <c r="S89" i="8"/>
  <c r="T89" i="8"/>
  <c r="U89" i="8"/>
  <c r="V89" i="8"/>
  <c r="W89" i="8"/>
  <c r="X89" i="8"/>
  <c r="Y89" i="8"/>
  <c r="Z89" i="8"/>
  <c r="AA89" i="8"/>
  <c r="AB89" i="8"/>
  <c r="AC89" i="8"/>
  <c r="R90" i="8"/>
  <c r="S90" i="8"/>
  <c r="T90" i="8"/>
  <c r="U90" i="8"/>
  <c r="V90" i="8"/>
  <c r="W90" i="8"/>
  <c r="X90" i="8"/>
  <c r="Y90" i="8"/>
  <c r="Z90" i="8"/>
  <c r="AA90" i="8"/>
  <c r="AB90" i="8"/>
  <c r="AC90" i="8"/>
  <c r="R91" i="8"/>
  <c r="S91" i="8"/>
  <c r="T91" i="8"/>
  <c r="U91" i="8"/>
  <c r="V91" i="8"/>
  <c r="W91" i="8"/>
  <c r="X91" i="8"/>
  <c r="Y91" i="8"/>
  <c r="Z91" i="8"/>
  <c r="AA91" i="8"/>
  <c r="AB91" i="8"/>
  <c r="AC91" i="8"/>
  <c r="R92" i="8"/>
  <c r="S92" i="8"/>
  <c r="T92" i="8"/>
  <c r="U92" i="8"/>
  <c r="V92" i="8"/>
  <c r="W92" i="8"/>
  <c r="X92" i="8"/>
  <c r="Y92" i="8"/>
  <c r="Z92" i="8"/>
  <c r="AA92" i="8"/>
  <c r="AB92" i="8"/>
  <c r="AC92" i="8"/>
  <c r="R93" i="8"/>
  <c r="S93" i="8"/>
  <c r="T93" i="8"/>
  <c r="U93" i="8"/>
  <c r="V93" i="8"/>
  <c r="W93" i="8"/>
  <c r="X93" i="8"/>
  <c r="Y93" i="8"/>
  <c r="Z93" i="8"/>
  <c r="AA93" i="8"/>
  <c r="AB93" i="8"/>
  <c r="AC93" i="8"/>
  <c r="R94" i="8"/>
  <c r="S94" i="8"/>
  <c r="T94" i="8"/>
  <c r="U94" i="8"/>
  <c r="V94" i="8"/>
  <c r="W94" i="8"/>
  <c r="X94" i="8"/>
  <c r="Y94" i="8"/>
  <c r="Z94" i="8"/>
  <c r="AA94" i="8"/>
  <c r="AB94" i="8"/>
  <c r="AC94" i="8"/>
  <c r="R95" i="8"/>
  <c r="S95" i="8"/>
  <c r="T95" i="8"/>
  <c r="U95" i="8"/>
  <c r="V95" i="8"/>
  <c r="W95" i="8"/>
  <c r="X95" i="8"/>
  <c r="Y95" i="8"/>
  <c r="Z95" i="8"/>
  <c r="AA95" i="8"/>
  <c r="AB95" i="8"/>
  <c r="AC95" i="8"/>
  <c r="R96" i="8"/>
  <c r="S96" i="8"/>
  <c r="T96" i="8"/>
  <c r="U96" i="8"/>
  <c r="V96" i="8"/>
  <c r="W96" i="8"/>
  <c r="X96" i="8"/>
  <c r="Y96" i="8"/>
  <c r="Z96" i="8"/>
  <c r="AA96" i="8"/>
  <c r="AB96" i="8"/>
  <c r="AC96" i="8"/>
  <c r="R97" i="8"/>
  <c r="S97" i="8"/>
  <c r="T97" i="8"/>
  <c r="U97" i="8"/>
  <c r="V97" i="8"/>
  <c r="W97" i="8"/>
  <c r="X97" i="8"/>
  <c r="Y97" i="8"/>
  <c r="Z97" i="8"/>
  <c r="AA97" i="8"/>
  <c r="AB97" i="8"/>
  <c r="AC97" i="8"/>
  <c r="R98" i="8"/>
  <c r="S98" i="8"/>
  <c r="T98" i="8"/>
  <c r="U98" i="8"/>
  <c r="V98" i="8"/>
  <c r="W98" i="8"/>
  <c r="X98" i="8"/>
  <c r="Y98" i="8"/>
  <c r="Z98" i="8"/>
  <c r="AA98" i="8"/>
  <c r="AB98" i="8"/>
  <c r="AC98" i="8"/>
  <c r="R99" i="8"/>
  <c r="S99" i="8"/>
  <c r="T99" i="8"/>
  <c r="U99" i="8"/>
  <c r="V99" i="8"/>
  <c r="W99" i="8"/>
  <c r="X99" i="8"/>
  <c r="Y99" i="8"/>
  <c r="Z99" i="8"/>
  <c r="AA99" i="8"/>
  <c r="AB99" i="8"/>
  <c r="AC99" i="8"/>
  <c r="R100" i="8"/>
  <c r="S100" i="8"/>
  <c r="T100" i="8"/>
  <c r="U100" i="8"/>
  <c r="V100" i="8"/>
  <c r="W100" i="8"/>
  <c r="X100" i="8"/>
  <c r="Y100" i="8"/>
  <c r="Z100" i="8"/>
  <c r="AA100" i="8"/>
  <c r="AB100" i="8"/>
  <c r="AC100" i="8"/>
  <c r="R101" i="8"/>
  <c r="S101" i="8"/>
  <c r="T101" i="8"/>
  <c r="U101" i="8"/>
  <c r="V101" i="8"/>
  <c r="W101" i="8"/>
  <c r="X101" i="8"/>
  <c r="Y101" i="8"/>
  <c r="Z101" i="8"/>
  <c r="AA101" i="8"/>
  <c r="AB101" i="8"/>
  <c r="AC101" i="8"/>
  <c r="R102" i="8"/>
  <c r="S102" i="8"/>
  <c r="T102" i="8"/>
  <c r="U102" i="8"/>
  <c r="V102" i="8"/>
  <c r="W102" i="8"/>
  <c r="X102" i="8"/>
  <c r="Y102" i="8"/>
  <c r="Z102" i="8"/>
  <c r="AA102" i="8"/>
  <c r="AB102" i="8"/>
  <c r="AC102" i="8"/>
  <c r="R103" i="8"/>
  <c r="S103" i="8"/>
  <c r="T103" i="8"/>
  <c r="U103" i="8"/>
  <c r="V103" i="8"/>
  <c r="W103" i="8"/>
  <c r="X103" i="8"/>
  <c r="Y103" i="8"/>
  <c r="Z103" i="8"/>
  <c r="AA103" i="8"/>
  <c r="AB103" i="8"/>
  <c r="AC103" i="8"/>
  <c r="R104" i="8"/>
  <c r="S104" i="8"/>
  <c r="T104" i="8"/>
  <c r="U104" i="8"/>
  <c r="V104" i="8"/>
  <c r="W104" i="8"/>
  <c r="X104" i="8"/>
  <c r="Y104" i="8"/>
  <c r="Z104" i="8"/>
  <c r="AA104" i="8"/>
  <c r="AB104" i="8"/>
  <c r="AC104" i="8"/>
  <c r="R105" i="8"/>
  <c r="S105" i="8"/>
  <c r="T105" i="8"/>
  <c r="U105" i="8"/>
  <c r="V105" i="8"/>
  <c r="W105" i="8"/>
  <c r="X105" i="8"/>
  <c r="Y105" i="8"/>
  <c r="Z105" i="8"/>
  <c r="AA105" i="8"/>
  <c r="AB105" i="8"/>
  <c r="AC105" i="8"/>
  <c r="R106" i="8"/>
  <c r="S106" i="8"/>
  <c r="T106" i="8"/>
  <c r="U106" i="8"/>
  <c r="V106" i="8"/>
  <c r="W106" i="8"/>
  <c r="X106" i="8"/>
  <c r="Y106" i="8"/>
  <c r="Z106" i="8"/>
  <c r="AA106" i="8"/>
  <c r="AB106" i="8"/>
  <c r="AC106" i="8"/>
  <c r="R107" i="8"/>
  <c r="S107" i="8"/>
  <c r="T107" i="8"/>
  <c r="U107" i="8"/>
  <c r="V107" i="8"/>
  <c r="W107" i="8"/>
  <c r="X107" i="8"/>
  <c r="Y107" i="8"/>
  <c r="Z107" i="8"/>
  <c r="AA107" i="8"/>
  <c r="AB107" i="8"/>
  <c r="AC107" i="8"/>
  <c r="R108" i="8"/>
  <c r="S108" i="8"/>
  <c r="T108" i="8"/>
  <c r="U108" i="8"/>
  <c r="V108" i="8"/>
  <c r="W108" i="8"/>
  <c r="X108" i="8"/>
  <c r="Y108" i="8"/>
  <c r="Z108" i="8"/>
  <c r="AA108" i="8"/>
  <c r="AB108" i="8"/>
  <c r="AC108" i="8"/>
  <c r="R109" i="8"/>
  <c r="S109" i="8"/>
  <c r="T109" i="8"/>
  <c r="U109" i="8"/>
  <c r="V109" i="8"/>
  <c r="W109" i="8"/>
  <c r="X109" i="8"/>
  <c r="Y109" i="8"/>
  <c r="Z109" i="8"/>
  <c r="AA109" i="8"/>
  <c r="AB109" i="8"/>
  <c r="AC109" i="8"/>
  <c r="R110" i="8"/>
  <c r="S110" i="8"/>
  <c r="T110" i="8"/>
  <c r="U110" i="8"/>
  <c r="V110" i="8"/>
  <c r="W110" i="8"/>
  <c r="X110" i="8"/>
  <c r="Y110" i="8"/>
  <c r="Z110" i="8"/>
  <c r="AA110" i="8"/>
  <c r="AB110" i="8"/>
  <c r="AC110" i="8"/>
  <c r="R111" i="8"/>
  <c r="S111" i="8"/>
  <c r="T111" i="8"/>
  <c r="U111" i="8"/>
  <c r="V111" i="8"/>
  <c r="W111" i="8"/>
  <c r="X111" i="8"/>
  <c r="Y111" i="8"/>
  <c r="Z111" i="8"/>
  <c r="AA111" i="8"/>
  <c r="AB111" i="8"/>
  <c r="AC111" i="8"/>
  <c r="R112" i="8"/>
  <c r="S112" i="8"/>
  <c r="T112" i="8"/>
  <c r="U112" i="8"/>
  <c r="V112" i="8"/>
  <c r="W112" i="8"/>
  <c r="X112" i="8"/>
  <c r="Y112" i="8"/>
  <c r="Z112" i="8"/>
  <c r="AA112" i="8"/>
  <c r="AB112" i="8"/>
  <c r="AC112" i="8"/>
  <c r="R113" i="8"/>
  <c r="S113" i="8"/>
  <c r="T113" i="8"/>
  <c r="U113" i="8"/>
  <c r="V113" i="8"/>
  <c r="W113" i="8"/>
  <c r="X113" i="8"/>
  <c r="Y113" i="8"/>
  <c r="Z113" i="8"/>
  <c r="AA113" i="8"/>
  <c r="AB113" i="8"/>
  <c r="AC113" i="8"/>
  <c r="R114" i="8"/>
  <c r="S114" i="8"/>
  <c r="T114" i="8"/>
  <c r="U114" i="8"/>
  <c r="V114" i="8"/>
  <c r="W114" i="8"/>
  <c r="X114" i="8"/>
  <c r="Y114" i="8"/>
  <c r="Z114" i="8"/>
  <c r="AA114" i="8"/>
  <c r="AB114" i="8"/>
  <c r="AC114" i="8"/>
  <c r="R115" i="8"/>
  <c r="S115" i="8"/>
  <c r="T115" i="8"/>
  <c r="U115" i="8"/>
  <c r="V115" i="8"/>
  <c r="W115" i="8"/>
  <c r="X115" i="8"/>
  <c r="Y115" i="8"/>
  <c r="Z115" i="8"/>
  <c r="AA115" i="8"/>
  <c r="AB115" i="8"/>
  <c r="AC115" i="8"/>
  <c r="R116" i="8"/>
  <c r="S116" i="8"/>
  <c r="T116" i="8"/>
  <c r="U116" i="8"/>
  <c r="V116" i="8"/>
  <c r="W116" i="8"/>
  <c r="X116" i="8"/>
  <c r="Y116" i="8"/>
  <c r="Z116" i="8"/>
  <c r="AA116" i="8"/>
  <c r="AB116" i="8"/>
  <c r="AC116" i="8"/>
  <c r="R117" i="8"/>
  <c r="S117" i="8"/>
  <c r="T117" i="8"/>
  <c r="U117" i="8"/>
  <c r="V117" i="8"/>
  <c r="W117" i="8"/>
  <c r="X117" i="8"/>
  <c r="Y117" i="8"/>
  <c r="Z117" i="8"/>
  <c r="AA117" i="8"/>
  <c r="AB117" i="8"/>
  <c r="AC117" i="8"/>
  <c r="R118" i="8"/>
  <c r="S118" i="8"/>
  <c r="T118" i="8"/>
  <c r="U118" i="8"/>
  <c r="V118" i="8"/>
  <c r="W118" i="8"/>
  <c r="X118" i="8"/>
  <c r="Y118" i="8"/>
  <c r="Z118" i="8"/>
  <c r="AA118" i="8"/>
  <c r="AB118" i="8"/>
  <c r="AC118" i="8"/>
  <c r="R119" i="8"/>
  <c r="S119" i="8"/>
  <c r="T119" i="8"/>
  <c r="U119" i="8"/>
  <c r="V119" i="8"/>
  <c r="W119" i="8"/>
  <c r="X119" i="8"/>
  <c r="Y119" i="8"/>
  <c r="Z119" i="8"/>
  <c r="AA119" i="8"/>
  <c r="AB119" i="8"/>
  <c r="AC119" i="8"/>
  <c r="R120" i="8"/>
  <c r="S120" i="8"/>
  <c r="T120" i="8"/>
  <c r="U120" i="8"/>
  <c r="V120" i="8"/>
  <c r="W120" i="8"/>
  <c r="X120" i="8"/>
  <c r="Y120" i="8"/>
  <c r="Z120" i="8"/>
  <c r="AA120" i="8"/>
  <c r="AB120" i="8"/>
  <c r="AC120" i="8"/>
  <c r="R121" i="8"/>
  <c r="S121" i="8"/>
  <c r="T121" i="8"/>
  <c r="U121" i="8"/>
  <c r="V121" i="8"/>
  <c r="W121" i="8"/>
  <c r="X121" i="8"/>
  <c r="Y121" i="8"/>
  <c r="Z121" i="8"/>
  <c r="AA121" i="8"/>
  <c r="AB121" i="8"/>
  <c r="AC121" i="8"/>
  <c r="R122" i="8"/>
  <c r="S122" i="8"/>
  <c r="T122" i="8"/>
  <c r="U122" i="8"/>
  <c r="V122" i="8"/>
  <c r="W122" i="8"/>
  <c r="X122" i="8"/>
  <c r="Y122" i="8"/>
  <c r="Z122" i="8"/>
  <c r="AA122" i="8"/>
  <c r="AB122" i="8"/>
  <c r="AC122" i="8"/>
  <c r="R123" i="8"/>
  <c r="S123" i="8"/>
  <c r="T123" i="8"/>
  <c r="U123" i="8"/>
  <c r="V123" i="8"/>
  <c r="W123" i="8"/>
  <c r="X123" i="8"/>
  <c r="Y123" i="8"/>
  <c r="Z123" i="8"/>
  <c r="AA123" i="8"/>
  <c r="AB123" i="8"/>
  <c r="AC123" i="8"/>
  <c r="R124" i="8"/>
  <c r="S124" i="8"/>
  <c r="T124" i="8"/>
  <c r="U124" i="8"/>
  <c r="V124" i="8"/>
  <c r="W124" i="8"/>
  <c r="X124" i="8"/>
  <c r="Y124" i="8"/>
  <c r="Z124" i="8"/>
  <c r="AA124" i="8"/>
  <c r="AB124" i="8"/>
  <c r="AC124" i="8"/>
  <c r="R125" i="8"/>
  <c r="S125" i="8"/>
  <c r="T125" i="8"/>
  <c r="U125" i="8"/>
  <c r="V125" i="8"/>
  <c r="W125" i="8"/>
  <c r="X125" i="8"/>
  <c r="Y125" i="8"/>
  <c r="Z125" i="8"/>
  <c r="AA125" i="8"/>
  <c r="AB125" i="8"/>
  <c r="AC125" i="8"/>
  <c r="R126" i="8"/>
  <c r="S126" i="8"/>
  <c r="T126" i="8"/>
  <c r="U126" i="8"/>
  <c r="V126" i="8"/>
  <c r="W126" i="8"/>
  <c r="X126" i="8"/>
  <c r="Y126" i="8"/>
  <c r="Z126" i="8"/>
  <c r="AA126" i="8"/>
  <c r="AB126" i="8"/>
  <c r="AC126" i="8"/>
  <c r="R127" i="8"/>
  <c r="S127" i="8"/>
  <c r="T127" i="8"/>
  <c r="U127" i="8"/>
  <c r="V127" i="8"/>
  <c r="W127" i="8"/>
  <c r="X127" i="8"/>
  <c r="Y127" i="8"/>
  <c r="Z127" i="8"/>
  <c r="AA127" i="8"/>
  <c r="AB127" i="8"/>
  <c r="AC127" i="8"/>
  <c r="R128" i="8"/>
  <c r="S128" i="8"/>
  <c r="T128" i="8"/>
  <c r="U128" i="8"/>
  <c r="V128" i="8"/>
  <c r="W128" i="8"/>
  <c r="X128" i="8"/>
  <c r="Y128" i="8"/>
  <c r="Z128" i="8"/>
  <c r="AA128" i="8"/>
  <c r="AB128" i="8"/>
  <c r="AC128" i="8"/>
  <c r="R129" i="8"/>
  <c r="S129" i="8"/>
  <c r="T129" i="8"/>
  <c r="U129" i="8"/>
  <c r="V129" i="8"/>
  <c r="W129" i="8"/>
  <c r="X129" i="8"/>
  <c r="Y129" i="8"/>
  <c r="Z129" i="8"/>
  <c r="AA129" i="8"/>
  <c r="AB129" i="8"/>
  <c r="AC129" i="8"/>
  <c r="R130" i="8"/>
  <c r="S130" i="8"/>
  <c r="T130" i="8"/>
  <c r="U130" i="8"/>
  <c r="V130" i="8"/>
  <c r="W130" i="8"/>
  <c r="X130" i="8"/>
  <c r="Y130" i="8"/>
  <c r="Z130" i="8"/>
  <c r="AA130" i="8"/>
  <c r="AB130" i="8"/>
  <c r="AC130" i="8"/>
  <c r="R131" i="8"/>
  <c r="S131" i="8"/>
  <c r="T131" i="8"/>
  <c r="U131" i="8"/>
  <c r="V131" i="8"/>
  <c r="W131" i="8"/>
  <c r="X131" i="8"/>
  <c r="Y131" i="8"/>
  <c r="Z131" i="8"/>
  <c r="AA131" i="8"/>
  <c r="AB131" i="8"/>
  <c r="AC131" i="8"/>
  <c r="R132" i="8"/>
  <c r="S132" i="8"/>
  <c r="T132" i="8"/>
  <c r="U132" i="8"/>
  <c r="V132" i="8"/>
  <c r="W132" i="8"/>
  <c r="X132" i="8"/>
  <c r="Y132" i="8"/>
  <c r="Z132" i="8"/>
  <c r="AA132" i="8"/>
  <c r="AB132" i="8"/>
  <c r="AC132" i="8"/>
  <c r="R133" i="8"/>
  <c r="S133" i="8"/>
  <c r="T133" i="8"/>
  <c r="U133" i="8"/>
  <c r="V133" i="8"/>
  <c r="W133" i="8"/>
  <c r="X133" i="8"/>
  <c r="Y133" i="8"/>
  <c r="Z133" i="8"/>
  <c r="AA133" i="8"/>
  <c r="AB133" i="8"/>
  <c r="AC133" i="8"/>
  <c r="R134" i="8"/>
  <c r="S134" i="8"/>
  <c r="T134" i="8"/>
  <c r="U134" i="8"/>
  <c r="V134" i="8"/>
  <c r="W134" i="8"/>
  <c r="X134" i="8"/>
  <c r="Y134" i="8"/>
  <c r="Z134" i="8"/>
  <c r="AA134" i="8"/>
  <c r="AB134" i="8"/>
  <c r="AC134" i="8"/>
  <c r="R135" i="8"/>
  <c r="S135" i="8"/>
  <c r="T135" i="8"/>
  <c r="U135" i="8"/>
  <c r="V135" i="8"/>
  <c r="W135" i="8"/>
  <c r="X135" i="8"/>
  <c r="Y135" i="8"/>
  <c r="Z135" i="8"/>
  <c r="AA135" i="8"/>
  <c r="AB135" i="8"/>
  <c r="AC135" i="8"/>
  <c r="R136" i="8"/>
  <c r="S136" i="8"/>
  <c r="T136" i="8"/>
  <c r="U136" i="8"/>
  <c r="V136" i="8"/>
  <c r="W136" i="8"/>
  <c r="X136" i="8"/>
  <c r="Y136" i="8"/>
  <c r="Z136" i="8"/>
  <c r="AA136" i="8"/>
  <c r="AB136" i="8"/>
  <c r="AC136" i="8"/>
  <c r="R137" i="8"/>
  <c r="S137" i="8"/>
  <c r="T137" i="8"/>
  <c r="U137" i="8"/>
  <c r="V137" i="8"/>
  <c r="W137" i="8"/>
  <c r="X137" i="8"/>
  <c r="Y137" i="8"/>
  <c r="Z137" i="8"/>
  <c r="AA137" i="8"/>
  <c r="AB137" i="8"/>
  <c r="AC137" i="8"/>
  <c r="R138" i="8"/>
  <c r="S138" i="8"/>
  <c r="T138" i="8"/>
  <c r="U138" i="8"/>
  <c r="V138" i="8"/>
  <c r="W138" i="8"/>
  <c r="X138" i="8"/>
  <c r="Y138" i="8"/>
  <c r="Z138" i="8"/>
  <c r="AA138" i="8"/>
  <c r="AB138" i="8"/>
  <c r="AC138" i="8"/>
  <c r="R139" i="8"/>
  <c r="S139" i="8"/>
  <c r="T139" i="8"/>
  <c r="U139" i="8"/>
  <c r="V139" i="8"/>
  <c r="W139" i="8"/>
  <c r="X139" i="8"/>
  <c r="Y139" i="8"/>
  <c r="Z139" i="8"/>
  <c r="AA139" i="8"/>
  <c r="AB139" i="8"/>
  <c r="AC139" i="8"/>
  <c r="R140" i="8"/>
  <c r="S140" i="8"/>
  <c r="T140" i="8"/>
  <c r="U140" i="8"/>
  <c r="V140" i="8"/>
  <c r="W140" i="8"/>
  <c r="X140" i="8"/>
  <c r="Y140" i="8"/>
  <c r="Z140" i="8"/>
  <c r="AA140" i="8"/>
  <c r="AB140" i="8"/>
  <c r="AC140" i="8"/>
  <c r="R141" i="8"/>
  <c r="S141" i="8"/>
  <c r="T141" i="8"/>
  <c r="U141" i="8"/>
  <c r="V141" i="8"/>
  <c r="W141" i="8"/>
  <c r="X141" i="8"/>
  <c r="Y141" i="8"/>
  <c r="Z141" i="8"/>
  <c r="AA141" i="8"/>
  <c r="AB141" i="8"/>
  <c r="AC141" i="8"/>
  <c r="R8" i="8"/>
  <c r="S8" i="8"/>
  <c r="T8" i="8"/>
  <c r="U8" i="8"/>
  <c r="V8" i="8"/>
  <c r="W8" i="8"/>
  <c r="X8" i="8"/>
  <c r="Y8" i="8"/>
  <c r="Z8" i="8"/>
  <c r="AA8" i="8"/>
  <c r="AB8" i="8"/>
  <c r="AC8" i="8"/>
  <c r="R142" i="8"/>
  <c r="S142" i="8"/>
  <c r="T142" i="8"/>
  <c r="U142" i="8"/>
  <c r="V142" i="8"/>
  <c r="W142" i="8"/>
  <c r="X142" i="8"/>
  <c r="Y142" i="8"/>
  <c r="Z142" i="8"/>
  <c r="AA142" i="8"/>
  <c r="AB142" i="8"/>
  <c r="AC142" i="8"/>
  <c r="R143" i="8"/>
  <c r="S143" i="8"/>
  <c r="T143" i="8"/>
  <c r="U143" i="8"/>
  <c r="V143" i="8"/>
  <c r="W143" i="8"/>
  <c r="X143" i="8"/>
  <c r="Y143" i="8"/>
  <c r="Z143" i="8"/>
  <c r="AA143" i="8"/>
  <c r="AB143" i="8"/>
  <c r="AC143" i="8"/>
  <c r="R144" i="8"/>
  <c r="S144" i="8"/>
  <c r="T144" i="8"/>
  <c r="U144" i="8"/>
  <c r="V144" i="8"/>
  <c r="W144" i="8"/>
  <c r="X144" i="8"/>
  <c r="Y144" i="8"/>
  <c r="Z144" i="8"/>
  <c r="AA144" i="8"/>
  <c r="AB144" i="8"/>
  <c r="AC144" i="8"/>
  <c r="R145" i="8"/>
  <c r="S145" i="8"/>
  <c r="T145" i="8"/>
  <c r="U145" i="8"/>
  <c r="V145" i="8"/>
  <c r="W145" i="8"/>
  <c r="X145" i="8"/>
  <c r="Y145" i="8"/>
  <c r="Z145" i="8"/>
  <c r="AA145" i="8"/>
  <c r="AB145" i="8"/>
  <c r="AC145" i="8"/>
  <c r="R146" i="8"/>
  <c r="S146" i="8"/>
  <c r="T146" i="8"/>
  <c r="U146" i="8"/>
  <c r="V146" i="8"/>
  <c r="W146" i="8"/>
  <c r="X146" i="8"/>
  <c r="Y146" i="8"/>
  <c r="Z146" i="8"/>
  <c r="AA146" i="8"/>
  <c r="AB146" i="8"/>
  <c r="AC146" i="8"/>
  <c r="R147" i="8"/>
  <c r="S147" i="8"/>
  <c r="T147" i="8"/>
  <c r="U147" i="8"/>
  <c r="V147" i="8"/>
  <c r="W147" i="8"/>
  <c r="X147" i="8"/>
  <c r="Y147" i="8"/>
  <c r="Z147" i="8"/>
  <c r="AA147" i="8"/>
  <c r="AB147" i="8"/>
  <c r="AC147" i="8"/>
  <c r="R148" i="8"/>
  <c r="S148" i="8"/>
  <c r="T148" i="8"/>
  <c r="U148" i="8"/>
  <c r="V148" i="8"/>
  <c r="W148" i="8"/>
  <c r="X148" i="8"/>
  <c r="Y148" i="8"/>
  <c r="Z148" i="8"/>
  <c r="AA148" i="8"/>
  <c r="AB148" i="8"/>
  <c r="AC148" i="8"/>
  <c r="R149" i="8"/>
  <c r="S149" i="8"/>
  <c r="T149" i="8"/>
  <c r="U149" i="8"/>
  <c r="V149" i="8"/>
  <c r="W149" i="8"/>
  <c r="X149" i="8"/>
  <c r="Y149" i="8"/>
  <c r="Z149" i="8"/>
  <c r="AA149" i="8"/>
  <c r="AB149" i="8"/>
  <c r="AC149" i="8"/>
  <c r="R150" i="8"/>
  <c r="S150" i="8"/>
  <c r="T150" i="8"/>
  <c r="U150" i="8"/>
  <c r="V150" i="8"/>
  <c r="W150" i="8"/>
  <c r="X150" i="8"/>
  <c r="Y150" i="8"/>
  <c r="Z150" i="8"/>
  <c r="AA150" i="8"/>
  <c r="AB150" i="8"/>
  <c r="AC150" i="8"/>
  <c r="R9" i="8"/>
  <c r="S9" i="8"/>
  <c r="T9" i="8"/>
  <c r="U9" i="8"/>
  <c r="V9" i="8"/>
  <c r="W9" i="8"/>
  <c r="X9" i="8"/>
  <c r="Y9" i="8"/>
  <c r="Z9" i="8"/>
  <c r="AA9" i="8"/>
  <c r="AB9" i="8"/>
  <c r="AC9" i="8"/>
  <c r="R10" i="8"/>
  <c r="S10" i="8"/>
  <c r="T10" i="8"/>
  <c r="U10" i="8"/>
  <c r="V10" i="8"/>
  <c r="W10" i="8"/>
  <c r="X10" i="8"/>
  <c r="Y10" i="8"/>
  <c r="Z10" i="8"/>
  <c r="AA10" i="8"/>
  <c r="AB10" i="8"/>
  <c r="AC10" i="8"/>
  <c r="R11" i="8"/>
  <c r="S11" i="8"/>
  <c r="T11" i="8"/>
  <c r="U11" i="8"/>
  <c r="V11" i="8"/>
  <c r="W11" i="8"/>
  <c r="X11" i="8"/>
  <c r="Y11" i="8"/>
  <c r="Z11" i="8"/>
  <c r="AA11" i="8"/>
  <c r="AB11" i="8"/>
  <c r="AC11" i="8"/>
  <c r="R151" i="8"/>
  <c r="S151" i="8"/>
  <c r="T151" i="8"/>
  <c r="U151" i="8"/>
  <c r="V151" i="8"/>
  <c r="W151" i="8"/>
  <c r="X151" i="8"/>
  <c r="Y151" i="8"/>
  <c r="Z151" i="8"/>
  <c r="AA151" i="8"/>
  <c r="AB151" i="8"/>
  <c r="AC151" i="8"/>
  <c r="R152" i="8"/>
  <c r="S152" i="8"/>
  <c r="T152" i="8"/>
  <c r="U152" i="8"/>
  <c r="V152" i="8"/>
  <c r="W152" i="8"/>
  <c r="X152" i="8"/>
  <c r="Y152" i="8"/>
  <c r="Z152" i="8"/>
  <c r="AA152" i="8"/>
  <c r="AB152" i="8"/>
  <c r="AC152" i="8"/>
  <c r="R153" i="8"/>
  <c r="S153" i="8"/>
  <c r="T153" i="8"/>
  <c r="U153" i="8"/>
  <c r="V153" i="8"/>
  <c r="W153" i="8"/>
  <c r="X153" i="8"/>
  <c r="Y153" i="8"/>
  <c r="Z153" i="8"/>
  <c r="AA153" i="8"/>
  <c r="AB153" i="8"/>
  <c r="AC153" i="8"/>
  <c r="R154" i="8"/>
  <c r="S154" i="8"/>
  <c r="T154" i="8"/>
  <c r="U154" i="8"/>
  <c r="V154" i="8"/>
  <c r="W154" i="8"/>
  <c r="X154" i="8"/>
  <c r="Y154" i="8"/>
  <c r="Z154" i="8"/>
  <c r="AA154" i="8"/>
  <c r="AB154" i="8"/>
  <c r="AC154" i="8"/>
  <c r="R155" i="8"/>
  <c r="S155" i="8"/>
  <c r="T155" i="8"/>
  <c r="U155" i="8"/>
  <c r="V155" i="8"/>
  <c r="W155" i="8"/>
  <c r="X155" i="8"/>
  <c r="Y155" i="8"/>
  <c r="Z155" i="8"/>
  <c r="AA155" i="8"/>
  <c r="AB155" i="8"/>
  <c r="AC155" i="8"/>
  <c r="R156" i="8"/>
  <c r="S156" i="8"/>
  <c r="T156" i="8"/>
  <c r="U156" i="8"/>
  <c r="V156" i="8"/>
  <c r="W156" i="8"/>
  <c r="X156" i="8"/>
  <c r="Y156" i="8"/>
  <c r="Z156" i="8"/>
  <c r="AA156" i="8"/>
  <c r="AB156" i="8"/>
  <c r="AC156" i="8"/>
  <c r="R157" i="8"/>
  <c r="S157" i="8"/>
  <c r="T157" i="8"/>
  <c r="U157" i="8"/>
  <c r="V157" i="8"/>
  <c r="W157" i="8"/>
  <c r="X157" i="8"/>
  <c r="Y157" i="8"/>
  <c r="Z157" i="8"/>
  <c r="AA157" i="8"/>
  <c r="AB157" i="8"/>
  <c r="AC157" i="8"/>
  <c r="R158" i="8"/>
  <c r="S158" i="8"/>
  <c r="T158" i="8"/>
  <c r="U158" i="8"/>
  <c r="V158" i="8"/>
  <c r="W158" i="8"/>
  <c r="X158" i="8"/>
  <c r="Y158" i="8"/>
  <c r="Z158" i="8"/>
  <c r="AA158" i="8"/>
  <c r="AB158" i="8"/>
  <c r="AC158" i="8"/>
  <c r="R159" i="8"/>
  <c r="S159" i="8"/>
  <c r="T159" i="8"/>
  <c r="U159" i="8"/>
  <c r="V159" i="8"/>
  <c r="W159" i="8"/>
  <c r="X159" i="8"/>
  <c r="Y159" i="8"/>
  <c r="Z159" i="8"/>
  <c r="AA159" i="8"/>
  <c r="AB159" i="8"/>
  <c r="AC159" i="8"/>
  <c r="R160" i="8"/>
  <c r="S160" i="8"/>
  <c r="T160" i="8"/>
  <c r="U160" i="8"/>
  <c r="V160" i="8"/>
  <c r="W160" i="8"/>
  <c r="X160" i="8"/>
  <c r="Y160" i="8"/>
  <c r="Z160" i="8"/>
  <c r="AA160" i="8"/>
  <c r="AB160" i="8"/>
  <c r="AC160" i="8"/>
  <c r="R161" i="8"/>
  <c r="S161" i="8"/>
  <c r="T161" i="8"/>
  <c r="U161" i="8"/>
  <c r="V161" i="8"/>
  <c r="W161" i="8"/>
  <c r="X161" i="8"/>
  <c r="Y161" i="8"/>
  <c r="Z161" i="8"/>
  <c r="AA161" i="8"/>
  <c r="AB161" i="8"/>
  <c r="AC161" i="8"/>
  <c r="R162" i="8"/>
  <c r="S162" i="8"/>
  <c r="T162" i="8"/>
  <c r="U162" i="8"/>
  <c r="V162" i="8"/>
  <c r="W162" i="8"/>
  <c r="X162" i="8"/>
  <c r="Y162" i="8"/>
  <c r="Z162" i="8"/>
  <c r="AA162" i="8"/>
  <c r="AB162" i="8"/>
  <c r="AC162" i="8"/>
  <c r="R163" i="8"/>
  <c r="S163" i="8"/>
  <c r="T163" i="8"/>
  <c r="U163" i="8"/>
  <c r="V163" i="8"/>
  <c r="W163" i="8"/>
  <c r="X163" i="8"/>
  <c r="Y163" i="8"/>
  <c r="Z163" i="8"/>
  <c r="AA163" i="8"/>
  <c r="AB163" i="8"/>
  <c r="AC163" i="8"/>
  <c r="R164" i="8"/>
  <c r="S164" i="8"/>
  <c r="T164" i="8"/>
  <c r="U164" i="8"/>
  <c r="V164" i="8"/>
  <c r="W164" i="8"/>
  <c r="X164" i="8"/>
  <c r="Y164" i="8"/>
  <c r="Z164" i="8"/>
  <c r="AA164" i="8"/>
  <c r="AB164" i="8"/>
  <c r="AC164" i="8"/>
  <c r="R165" i="8"/>
  <c r="S165" i="8"/>
  <c r="T165" i="8"/>
  <c r="U165" i="8"/>
  <c r="V165" i="8"/>
  <c r="W165" i="8"/>
  <c r="X165" i="8"/>
  <c r="Y165" i="8"/>
  <c r="Z165" i="8"/>
  <c r="AA165" i="8"/>
  <c r="AB165" i="8"/>
  <c r="AC165" i="8"/>
  <c r="R166" i="8"/>
  <c r="S166" i="8"/>
  <c r="T166" i="8"/>
  <c r="U166" i="8"/>
  <c r="V166" i="8"/>
  <c r="W166" i="8"/>
  <c r="X166" i="8"/>
  <c r="Y166" i="8"/>
  <c r="Z166" i="8"/>
  <c r="AA166" i="8"/>
  <c r="AB166" i="8"/>
  <c r="AC166" i="8"/>
  <c r="R167" i="8"/>
  <c r="S167" i="8"/>
  <c r="T167" i="8"/>
  <c r="U167" i="8"/>
  <c r="V167" i="8"/>
  <c r="W167" i="8"/>
  <c r="X167" i="8"/>
  <c r="Y167" i="8"/>
  <c r="Z167" i="8"/>
  <c r="AA167" i="8"/>
  <c r="AB167" i="8"/>
  <c r="AC167" i="8"/>
  <c r="R168" i="8"/>
  <c r="S168" i="8"/>
  <c r="T168" i="8"/>
  <c r="U168" i="8"/>
  <c r="V168" i="8"/>
  <c r="W168" i="8"/>
  <c r="X168" i="8"/>
  <c r="Y168" i="8"/>
  <c r="Z168" i="8"/>
  <c r="AA168" i="8"/>
  <c r="AB168" i="8"/>
  <c r="AC168" i="8"/>
  <c r="R169" i="8"/>
  <c r="S169" i="8"/>
  <c r="T169" i="8"/>
  <c r="U169" i="8"/>
  <c r="V169" i="8"/>
  <c r="W169" i="8"/>
  <c r="X169" i="8"/>
  <c r="Y169" i="8"/>
  <c r="Z169" i="8"/>
  <c r="AA169" i="8"/>
  <c r="AB169" i="8"/>
  <c r="AC169" i="8"/>
  <c r="R170" i="8"/>
  <c r="S170" i="8"/>
  <c r="T170" i="8"/>
  <c r="U170" i="8"/>
  <c r="V170" i="8"/>
  <c r="W170" i="8"/>
  <c r="X170" i="8"/>
  <c r="Y170" i="8"/>
  <c r="Z170" i="8"/>
  <c r="AA170" i="8"/>
  <c r="AB170" i="8"/>
  <c r="AC170" i="8"/>
  <c r="R171" i="8"/>
  <c r="S171" i="8"/>
  <c r="T171" i="8"/>
  <c r="U171" i="8"/>
  <c r="V171" i="8"/>
  <c r="W171" i="8"/>
  <c r="X171" i="8"/>
  <c r="Y171" i="8"/>
  <c r="Z171" i="8"/>
  <c r="AA171" i="8"/>
  <c r="AB171" i="8"/>
  <c r="AC171" i="8"/>
  <c r="R172" i="8"/>
  <c r="S172" i="8"/>
  <c r="T172" i="8"/>
  <c r="U172" i="8"/>
  <c r="V172" i="8"/>
  <c r="W172" i="8"/>
  <c r="X172" i="8"/>
  <c r="Y172" i="8"/>
  <c r="Z172" i="8"/>
  <c r="AA172" i="8"/>
  <c r="AB172" i="8"/>
  <c r="AC172" i="8"/>
  <c r="R12" i="8"/>
  <c r="S12" i="8"/>
  <c r="T12" i="8"/>
  <c r="U12" i="8"/>
  <c r="V12" i="8"/>
  <c r="W12" i="8"/>
  <c r="X12" i="8"/>
  <c r="Y12" i="8"/>
  <c r="Z12" i="8"/>
  <c r="AA12" i="8"/>
  <c r="AB12" i="8"/>
  <c r="AC12" i="8"/>
  <c r="R173" i="8"/>
  <c r="S173" i="8"/>
  <c r="T173" i="8"/>
  <c r="U173" i="8"/>
  <c r="V173" i="8"/>
  <c r="W173" i="8"/>
  <c r="X173" i="8"/>
  <c r="Y173" i="8"/>
  <c r="Z173" i="8"/>
  <c r="AA173" i="8"/>
  <c r="AB173" i="8"/>
  <c r="AC173" i="8"/>
  <c r="R174" i="8"/>
  <c r="S174" i="8"/>
  <c r="T174" i="8"/>
  <c r="U174" i="8"/>
  <c r="V174" i="8"/>
  <c r="W174" i="8"/>
  <c r="X174" i="8"/>
  <c r="Y174" i="8"/>
  <c r="Z174" i="8"/>
  <c r="AA174" i="8"/>
  <c r="AB174" i="8"/>
  <c r="AC174" i="8"/>
  <c r="R175" i="8"/>
  <c r="S175" i="8"/>
  <c r="T175" i="8"/>
  <c r="U175" i="8"/>
  <c r="V175" i="8"/>
  <c r="W175" i="8"/>
  <c r="X175" i="8"/>
  <c r="Y175" i="8"/>
  <c r="Z175" i="8"/>
  <c r="AA175" i="8"/>
  <c r="AB175" i="8"/>
  <c r="AC175" i="8"/>
  <c r="R176" i="8"/>
  <c r="S176" i="8"/>
  <c r="T176" i="8"/>
  <c r="U176" i="8"/>
  <c r="V176" i="8"/>
  <c r="W176" i="8"/>
  <c r="X176" i="8"/>
  <c r="Y176" i="8"/>
  <c r="Z176" i="8"/>
  <c r="AA176" i="8"/>
  <c r="AB176" i="8"/>
  <c r="AC176" i="8"/>
  <c r="R177" i="8"/>
  <c r="S177" i="8"/>
  <c r="T177" i="8"/>
  <c r="U177" i="8"/>
  <c r="V177" i="8"/>
  <c r="W177" i="8"/>
  <c r="X177" i="8"/>
  <c r="Y177" i="8"/>
  <c r="Z177" i="8"/>
  <c r="AA177" i="8"/>
  <c r="AB177" i="8"/>
  <c r="AC177" i="8"/>
  <c r="R178" i="8"/>
  <c r="S178" i="8"/>
  <c r="T178" i="8"/>
  <c r="U178" i="8"/>
  <c r="V178" i="8"/>
  <c r="W178" i="8"/>
  <c r="X178" i="8"/>
  <c r="Y178" i="8"/>
  <c r="Z178" i="8"/>
  <c r="AA178" i="8"/>
  <c r="AB178" i="8"/>
  <c r="AC178" i="8"/>
  <c r="R179" i="8"/>
  <c r="S179" i="8"/>
  <c r="T179" i="8"/>
  <c r="U179" i="8"/>
  <c r="V179" i="8"/>
  <c r="W179" i="8"/>
  <c r="X179" i="8"/>
  <c r="Y179" i="8"/>
  <c r="Z179" i="8"/>
  <c r="AA179" i="8"/>
  <c r="AB179" i="8"/>
  <c r="AC179" i="8"/>
  <c r="R180" i="8"/>
  <c r="S180" i="8"/>
  <c r="T180" i="8"/>
  <c r="U180" i="8"/>
  <c r="V180" i="8"/>
  <c r="W180" i="8"/>
  <c r="X180" i="8"/>
  <c r="Y180" i="8"/>
  <c r="Z180" i="8"/>
  <c r="AA180" i="8"/>
  <c r="AB180" i="8"/>
  <c r="AC180" i="8"/>
  <c r="R181" i="8"/>
  <c r="S181" i="8"/>
  <c r="T181" i="8"/>
  <c r="U181" i="8"/>
  <c r="V181" i="8"/>
  <c r="W181" i="8"/>
  <c r="X181" i="8"/>
  <c r="Y181" i="8"/>
  <c r="Z181" i="8"/>
  <c r="AA181" i="8"/>
  <c r="AB181" i="8"/>
  <c r="AC181" i="8"/>
  <c r="R182" i="8"/>
  <c r="S182" i="8"/>
  <c r="T182" i="8"/>
  <c r="U182" i="8"/>
  <c r="V182" i="8"/>
  <c r="W182" i="8"/>
  <c r="X182" i="8"/>
  <c r="Y182" i="8"/>
  <c r="Z182" i="8"/>
  <c r="AA182" i="8"/>
  <c r="AB182" i="8"/>
  <c r="AC182" i="8"/>
  <c r="R13" i="8"/>
  <c r="S13" i="8"/>
  <c r="T13" i="8"/>
  <c r="U13" i="8"/>
  <c r="V13" i="8"/>
  <c r="W13" i="8"/>
  <c r="X13" i="8"/>
  <c r="Y13" i="8"/>
  <c r="Z13" i="8"/>
  <c r="AA13" i="8"/>
  <c r="AB13" i="8"/>
  <c r="AC13" i="8"/>
  <c r="R183" i="8"/>
  <c r="S183" i="8"/>
  <c r="T183" i="8"/>
  <c r="U183" i="8"/>
  <c r="V183" i="8"/>
  <c r="W183" i="8"/>
  <c r="X183" i="8"/>
  <c r="Y183" i="8"/>
  <c r="Z183" i="8"/>
  <c r="AA183" i="8"/>
  <c r="AB183" i="8"/>
  <c r="AC183" i="8"/>
  <c r="R184" i="8"/>
  <c r="S184" i="8"/>
  <c r="T184" i="8"/>
  <c r="U184" i="8"/>
  <c r="V184" i="8"/>
  <c r="W184" i="8"/>
  <c r="X184" i="8"/>
  <c r="Y184" i="8"/>
  <c r="Z184" i="8"/>
  <c r="AA184" i="8"/>
  <c r="AB184" i="8"/>
  <c r="AC184" i="8"/>
  <c r="R185" i="8"/>
  <c r="S185" i="8"/>
  <c r="T185" i="8"/>
  <c r="U185" i="8"/>
  <c r="V185" i="8"/>
  <c r="W185" i="8"/>
  <c r="X185" i="8"/>
  <c r="Y185" i="8"/>
  <c r="Z185" i="8"/>
  <c r="AA185" i="8"/>
  <c r="AB185" i="8"/>
  <c r="AC185" i="8"/>
  <c r="R186" i="8"/>
  <c r="S186" i="8"/>
  <c r="T186" i="8"/>
  <c r="U186" i="8"/>
  <c r="V186" i="8"/>
  <c r="W186" i="8"/>
  <c r="X186" i="8"/>
  <c r="Y186" i="8"/>
  <c r="Z186" i="8"/>
  <c r="AA186" i="8"/>
  <c r="AB186" i="8"/>
  <c r="AC186" i="8"/>
  <c r="R187" i="8"/>
  <c r="S187" i="8"/>
  <c r="T187" i="8"/>
  <c r="U187" i="8"/>
  <c r="V187" i="8"/>
  <c r="W187" i="8"/>
  <c r="X187" i="8"/>
  <c r="Y187" i="8"/>
  <c r="Z187" i="8"/>
  <c r="AA187" i="8"/>
  <c r="AB187" i="8"/>
  <c r="AC187" i="8"/>
  <c r="R188" i="8"/>
  <c r="S188" i="8"/>
  <c r="T188" i="8"/>
  <c r="U188" i="8"/>
  <c r="V188" i="8"/>
  <c r="W188" i="8"/>
  <c r="X188" i="8"/>
  <c r="Y188" i="8"/>
  <c r="Z188" i="8"/>
  <c r="AA188" i="8"/>
  <c r="AB188" i="8"/>
  <c r="AC188" i="8"/>
  <c r="R189" i="8"/>
  <c r="S189" i="8"/>
  <c r="T189" i="8"/>
  <c r="U189" i="8"/>
  <c r="V189" i="8"/>
  <c r="W189" i="8"/>
  <c r="X189" i="8"/>
  <c r="Y189" i="8"/>
  <c r="Z189" i="8"/>
  <c r="AA189" i="8"/>
  <c r="AB189" i="8"/>
  <c r="AC189" i="8"/>
  <c r="R190" i="8"/>
  <c r="S190" i="8"/>
  <c r="T190" i="8"/>
  <c r="U190" i="8"/>
  <c r="V190" i="8"/>
  <c r="W190" i="8"/>
  <c r="X190" i="8"/>
  <c r="Y190" i="8"/>
  <c r="Z190" i="8"/>
  <c r="AA190" i="8"/>
  <c r="AB190" i="8"/>
  <c r="AC190" i="8"/>
  <c r="R191" i="8"/>
  <c r="S191" i="8"/>
  <c r="T191" i="8"/>
  <c r="U191" i="8"/>
  <c r="V191" i="8"/>
  <c r="W191" i="8"/>
  <c r="X191" i="8"/>
  <c r="Y191" i="8"/>
  <c r="Z191" i="8"/>
  <c r="AA191" i="8"/>
  <c r="AB191" i="8"/>
  <c r="AC191" i="8"/>
  <c r="R192" i="8"/>
  <c r="S192" i="8"/>
  <c r="T192" i="8"/>
  <c r="U192" i="8"/>
  <c r="V192" i="8"/>
  <c r="W192" i="8"/>
  <c r="X192" i="8"/>
  <c r="Y192" i="8"/>
  <c r="Z192" i="8"/>
  <c r="AA192" i="8"/>
  <c r="AB192" i="8"/>
  <c r="AC192" i="8"/>
  <c r="R193" i="8"/>
  <c r="S193" i="8"/>
  <c r="T193" i="8"/>
  <c r="U193" i="8"/>
  <c r="V193" i="8"/>
  <c r="W193" i="8"/>
  <c r="X193" i="8"/>
  <c r="Y193" i="8"/>
  <c r="Z193" i="8"/>
  <c r="AA193" i="8"/>
  <c r="AB193" i="8"/>
  <c r="AC193" i="8"/>
  <c r="R194" i="8"/>
  <c r="S194" i="8"/>
  <c r="T194" i="8"/>
  <c r="U194" i="8"/>
  <c r="V194" i="8"/>
  <c r="W194" i="8"/>
  <c r="X194" i="8"/>
  <c r="Y194" i="8"/>
  <c r="Z194" i="8"/>
  <c r="AA194" i="8"/>
  <c r="AB194" i="8"/>
  <c r="AC194" i="8"/>
  <c r="R14" i="8"/>
  <c r="S14" i="8"/>
  <c r="T14" i="8"/>
  <c r="U14" i="8"/>
  <c r="V14" i="8"/>
  <c r="W14" i="8"/>
  <c r="X14" i="8"/>
  <c r="Y14" i="8"/>
  <c r="Z14" i="8"/>
  <c r="AA14" i="8"/>
  <c r="AB14" i="8"/>
  <c r="AC14" i="8"/>
  <c r="R195" i="8"/>
  <c r="S195" i="8"/>
  <c r="T195" i="8"/>
  <c r="U195" i="8"/>
  <c r="V195" i="8"/>
  <c r="W195" i="8"/>
  <c r="X195" i="8"/>
  <c r="Y195" i="8"/>
  <c r="Z195" i="8"/>
  <c r="AA195" i="8"/>
  <c r="AB195" i="8"/>
  <c r="AC195" i="8"/>
  <c r="R196" i="8"/>
  <c r="S196" i="8"/>
  <c r="T196" i="8"/>
  <c r="U196" i="8"/>
  <c r="V196" i="8"/>
  <c r="W196" i="8"/>
  <c r="X196" i="8"/>
  <c r="Y196" i="8"/>
  <c r="Z196" i="8"/>
  <c r="AA196" i="8"/>
  <c r="AB196" i="8"/>
  <c r="AC196" i="8"/>
  <c r="R197" i="8"/>
  <c r="S197" i="8"/>
  <c r="T197" i="8"/>
  <c r="U197" i="8"/>
  <c r="V197" i="8"/>
  <c r="W197" i="8"/>
  <c r="X197" i="8"/>
  <c r="Y197" i="8"/>
  <c r="Z197" i="8"/>
  <c r="AA197" i="8"/>
  <c r="AB197" i="8"/>
  <c r="AC197" i="8"/>
  <c r="R198" i="8"/>
  <c r="S198" i="8"/>
  <c r="T198" i="8"/>
  <c r="U198" i="8"/>
  <c r="V198" i="8"/>
  <c r="W198" i="8"/>
  <c r="X198" i="8"/>
  <c r="Y198" i="8"/>
  <c r="Z198" i="8"/>
  <c r="AA198" i="8"/>
  <c r="AB198" i="8"/>
  <c r="AC198" i="8"/>
  <c r="R199" i="8"/>
  <c r="S199" i="8"/>
  <c r="T199" i="8"/>
  <c r="U199" i="8"/>
  <c r="V199" i="8"/>
  <c r="W199" i="8"/>
  <c r="X199" i="8"/>
  <c r="Y199" i="8"/>
  <c r="Z199" i="8"/>
  <c r="AA199" i="8"/>
  <c r="AB199" i="8"/>
  <c r="AC199" i="8"/>
  <c r="R200" i="8"/>
  <c r="S200" i="8"/>
  <c r="T200" i="8"/>
  <c r="U200" i="8"/>
  <c r="V200" i="8"/>
  <c r="W200" i="8"/>
  <c r="X200" i="8"/>
  <c r="Y200" i="8"/>
  <c r="Z200" i="8"/>
  <c r="AA200" i="8"/>
  <c r="AB200" i="8"/>
  <c r="AC200" i="8"/>
  <c r="R201" i="8"/>
  <c r="S201" i="8"/>
  <c r="T201" i="8"/>
  <c r="U201" i="8"/>
  <c r="V201" i="8"/>
  <c r="W201" i="8"/>
  <c r="X201" i="8"/>
  <c r="Y201" i="8"/>
  <c r="Z201" i="8"/>
  <c r="AA201" i="8"/>
  <c r="AB201" i="8"/>
  <c r="AC201" i="8"/>
  <c r="R15" i="8"/>
  <c r="S15" i="8"/>
  <c r="T15" i="8"/>
  <c r="U15" i="8"/>
  <c r="V15" i="8"/>
  <c r="W15" i="8"/>
  <c r="X15" i="8"/>
  <c r="Y15" i="8"/>
  <c r="Z15" i="8"/>
  <c r="AA15" i="8"/>
  <c r="AB15" i="8"/>
  <c r="AC15" i="8"/>
  <c r="R202" i="8"/>
  <c r="S202" i="8"/>
  <c r="T202" i="8"/>
  <c r="U202" i="8"/>
  <c r="V202" i="8"/>
  <c r="W202" i="8"/>
  <c r="X202" i="8"/>
  <c r="Y202" i="8"/>
  <c r="Z202" i="8"/>
  <c r="AA202" i="8"/>
  <c r="AB202" i="8"/>
  <c r="AC202" i="8"/>
  <c r="R203" i="8"/>
  <c r="S203" i="8"/>
  <c r="T203" i="8"/>
  <c r="U203" i="8"/>
  <c r="V203" i="8"/>
  <c r="W203" i="8"/>
  <c r="X203" i="8"/>
  <c r="Y203" i="8"/>
  <c r="Z203" i="8"/>
  <c r="AA203" i="8"/>
  <c r="AB203" i="8"/>
  <c r="AC203" i="8"/>
  <c r="R16" i="8"/>
  <c r="S16" i="8"/>
  <c r="T16" i="8"/>
  <c r="U16" i="8"/>
  <c r="V16" i="8"/>
  <c r="W16" i="8"/>
  <c r="X16" i="8"/>
  <c r="Y16" i="8"/>
  <c r="Z16" i="8"/>
  <c r="AA16" i="8"/>
  <c r="AB16" i="8"/>
  <c r="AC16" i="8"/>
  <c r="R204" i="8"/>
  <c r="S204" i="8"/>
  <c r="T204" i="8"/>
  <c r="U204" i="8"/>
  <c r="V204" i="8"/>
  <c r="W204" i="8"/>
  <c r="X204" i="8"/>
  <c r="Y204" i="8"/>
  <c r="Z204" i="8"/>
  <c r="AA204" i="8"/>
  <c r="AB204" i="8"/>
  <c r="AC204" i="8"/>
  <c r="R205" i="8"/>
  <c r="S205" i="8"/>
  <c r="T205" i="8"/>
  <c r="U205" i="8"/>
  <c r="V205" i="8"/>
  <c r="W205" i="8"/>
  <c r="X205" i="8"/>
  <c r="Y205" i="8"/>
  <c r="Z205" i="8"/>
  <c r="AA205" i="8"/>
  <c r="AB205" i="8"/>
  <c r="AC205" i="8"/>
  <c r="R206" i="8"/>
  <c r="S206" i="8"/>
  <c r="T206" i="8"/>
  <c r="U206" i="8"/>
  <c r="V206" i="8"/>
  <c r="W206" i="8"/>
  <c r="X206" i="8"/>
  <c r="Y206" i="8"/>
  <c r="Z206" i="8"/>
  <c r="AA206" i="8"/>
  <c r="AB206" i="8"/>
  <c r="AC206" i="8"/>
  <c r="R207" i="8"/>
  <c r="S207" i="8"/>
  <c r="T207" i="8"/>
  <c r="U207" i="8"/>
  <c r="V207" i="8"/>
  <c r="W207" i="8"/>
  <c r="X207" i="8"/>
  <c r="Y207" i="8"/>
  <c r="Z207" i="8"/>
  <c r="AA207" i="8"/>
  <c r="AB207" i="8"/>
  <c r="AC207" i="8"/>
  <c r="R208" i="8"/>
  <c r="S208" i="8"/>
  <c r="T208" i="8"/>
  <c r="U208" i="8"/>
  <c r="V208" i="8"/>
  <c r="W208" i="8"/>
  <c r="X208" i="8"/>
  <c r="Y208" i="8"/>
  <c r="Z208" i="8"/>
  <c r="AA208" i="8"/>
  <c r="AB208" i="8"/>
  <c r="AC208" i="8"/>
  <c r="R209" i="8"/>
  <c r="S209" i="8"/>
  <c r="T209" i="8"/>
  <c r="U209" i="8"/>
  <c r="V209" i="8"/>
  <c r="W209" i="8"/>
  <c r="X209" i="8"/>
  <c r="Y209" i="8"/>
  <c r="Z209" i="8"/>
  <c r="AA209" i="8"/>
  <c r="AB209" i="8"/>
  <c r="AC209" i="8"/>
  <c r="R17" i="8"/>
  <c r="S17" i="8"/>
  <c r="T17" i="8"/>
  <c r="U17" i="8"/>
  <c r="V17" i="8"/>
  <c r="W17" i="8"/>
  <c r="X17" i="8"/>
  <c r="Y17" i="8"/>
  <c r="Z17" i="8"/>
  <c r="AA17" i="8"/>
  <c r="AB17" i="8"/>
  <c r="AC17" i="8"/>
  <c r="R210" i="8"/>
  <c r="S210" i="8"/>
  <c r="T210" i="8"/>
  <c r="U210" i="8"/>
  <c r="V210" i="8"/>
  <c r="W210" i="8"/>
  <c r="X210" i="8"/>
  <c r="Y210" i="8"/>
  <c r="Z210" i="8"/>
  <c r="AA210" i="8"/>
  <c r="AB210" i="8"/>
  <c r="AC210" i="8"/>
  <c r="R211" i="8"/>
  <c r="S211" i="8"/>
  <c r="T211" i="8"/>
  <c r="U211" i="8"/>
  <c r="V211" i="8"/>
  <c r="W211" i="8"/>
  <c r="X211" i="8"/>
  <c r="Y211" i="8"/>
  <c r="Z211" i="8"/>
  <c r="AA211" i="8"/>
  <c r="AB211" i="8"/>
  <c r="AC211" i="8"/>
  <c r="R212" i="8"/>
  <c r="S212" i="8"/>
  <c r="T212" i="8"/>
  <c r="U212" i="8"/>
  <c r="V212" i="8"/>
  <c r="W212" i="8"/>
  <c r="X212" i="8"/>
  <c r="Y212" i="8"/>
  <c r="Z212" i="8"/>
  <c r="AA212" i="8"/>
  <c r="AB212" i="8"/>
  <c r="AC212" i="8"/>
  <c r="R213" i="8"/>
  <c r="S213" i="8"/>
  <c r="T213" i="8"/>
  <c r="U213" i="8"/>
  <c r="V213" i="8"/>
  <c r="W213" i="8"/>
  <c r="X213" i="8"/>
  <c r="Y213" i="8"/>
  <c r="Z213" i="8"/>
  <c r="AA213" i="8"/>
  <c r="AB213" i="8"/>
  <c r="AC213" i="8"/>
  <c r="R214" i="8"/>
  <c r="S214" i="8"/>
  <c r="T214" i="8"/>
  <c r="U214" i="8"/>
  <c r="V214" i="8"/>
  <c r="W214" i="8"/>
  <c r="X214" i="8"/>
  <c r="Y214" i="8"/>
  <c r="Z214" i="8"/>
  <c r="AA214" i="8"/>
  <c r="AB214" i="8"/>
  <c r="AC214" i="8"/>
  <c r="R215" i="8"/>
  <c r="S215" i="8"/>
  <c r="T215" i="8"/>
  <c r="U215" i="8"/>
  <c r="V215" i="8"/>
  <c r="W215" i="8"/>
  <c r="X215" i="8"/>
  <c r="Y215" i="8"/>
  <c r="Z215" i="8"/>
  <c r="AA215" i="8"/>
  <c r="AB215" i="8"/>
  <c r="AC215" i="8"/>
  <c r="R216" i="8"/>
  <c r="S216" i="8"/>
  <c r="T216" i="8"/>
  <c r="U216" i="8"/>
  <c r="V216" i="8"/>
  <c r="W216" i="8"/>
  <c r="X216" i="8"/>
  <c r="Y216" i="8"/>
  <c r="Z216" i="8"/>
  <c r="AA216" i="8"/>
  <c r="AB216" i="8"/>
  <c r="AC216" i="8"/>
  <c r="R217" i="8"/>
  <c r="S217" i="8"/>
  <c r="T217" i="8"/>
  <c r="U217" i="8"/>
  <c r="V217" i="8"/>
  <c r="W217" i="8"/>
  <c r="X217" i="8"/>
  <c r="Y217" i="8"/>
  <c r="Z217" i="8"/>
  <c r="AA217" i="8"/>
  <c r="AB217" i="8"/>
  <c r="AC217" i="8"/>
  <c r="R218" i="8"/>
  <c r="S218" i="8"/>
  <c r="T218" i="8"/>
  <c r="U218" i="8"/>
  <c r="V218" i="8"/>
  <c r="W218" i="8"/>
  <c r="X218" i="8"/>
  <c r="Y218" i="8"/>
  <c r="Z218" i="8"/>
  <c r="AA218" i="8"/>
  <c r="AB218" i="8"/>
  <c r="AC218" i="8"/>
  <c r="R18" i="8"/>
  <c r="S18" i="8"/>
  <c r="T18" i="8"/>
  <c r="U18" i="8"/>
  <c r="V18" i="8"/>
  <c r="W18" i="8"/>
  <c r="X18" i="8"/>
  <c r="Y18" i="8"/>
  <c r="Z18" i="8"/>
  <c r="AA18" i="8"/>
  <c r="AB18" i="8"/>
  <c r="AC18" i="8"/>
  <c r="R219" i="8"/>
  <c r="S219" i="8"/>
  <c r="T219" i="8"/>
  <c r="U219" i="8"/>
  <c r="V219" i="8"/>
  <c r="W219" i="8"/>
  <c r="X219" i="8"/>
  <c r="Y219" i="8"/>
  <c r="Z219" i="8"/>
  <c r="AA219" i="8"/>
  <c r="AB219" i="8"/>
  <c r="AC219" i="8"/>
  <c r="R220" i="8"/>
  <c r="S220" i="8"/>
  <c r="T220" i="8"/>
  <c r="U220" i="8"/>
  <c r="V220" i="8"/>
  <c r="W220" i="8"/>
  <c r="X220" i="8"/>
  <c r="Y220" i="8"/>
  <c r="Z220" i="8"/>
  <c r="AA220" i="8"/>
  <c r="AB220" i="8"/>
  <c r="AC220" i="8"/>
  <c r="R19" i="8"/>
  <c r="S19" i="8"/>
  <c r="T19" i="8"/>
  <c r="U19" i="8"/>
  <c r="V19" i="8"/>
  <c r="W19" i="8"/>
  <c r="X19" i="8"/>
  <c r="Y19" i="8"/>
  <c r="Z19" i="8"/>
  <c r="AA19" i="8"/>
  <c r="AB19" i="8"/>
  <c r="AC19" i="8"/>
  <c r="R20" i="8"/>
  <c r="S20" i="8"/>
  <c r="T20" i="8"/>
  <c r="U20" i="8"/>
  <c r="V20" i="8"/>
  <c r="W20" i="8"/>
  <c r="X20" i="8"/>
  <c r="Y20" i="8"/>
  <c r="Z20" i="8"/>
  <c r="AA20" i="8"/>
  <c r="AB20" i="8"/>
  <c r="AC20" i="8"/>
  <c r="R21" i="8"/>
  <c r="S21" i="8"/>
  <c r="T21" i="8"/>
  <c r="U21" i="8"/>
  <c r="V21" i="8"/>
  <c r="W21" i="8"/>
  <c r="X21" i="8"/>
  <c r="Y21" i="8"/>
  <c r="Z21" i="8"/>
  <c r="AA21" i="8"/>
  <c r="AB21" i="8"/>
  <c r="AC21" i="8"/>
  <c r="R221" i="8"/>
  <c r="S221" i="8"/>
  <c r="T221" i="8"/>
  <c r="U221" i="8"/>
  <c r="V221" i="8"/>
  <c r="W221" i="8"/>
  <c r="X221" i="8"/>
  <c r="Y221" i="8"/>
  <c r="Z221" i="8"/>
  <c r="AA221" i="8"/>
  <c r="AB221" i="8"/>
  <c r="AC221" i="8"/>
  <c r="R222" i="8"/>
  <c r="S222" i="8"/>
  <c r="T222" i="8"/>
  <c r="U222" i="8"/>
  <c r="V222" i="8"/>
  <c r="W222" i="8"/>
  <c r="X222" i="8"/>
  <c r="Y222" i="8"/>
  <c r="Z222" i="8"/>
  <c r="AA222" i="8"/>
  <c r="AB222" i="8"/>
  <c r="AC222" i="8"/>
  <c r="R223" i="8"/>
  <c r="S223" i="8"/>
  <c r="T223" i="8"/>
  <c r="U223" i="8"/>
  <c r="V223" i="8"/>
  <c r="W223" i="8"/>
  <c r="X223" i="8"/>
  <c r="Y223" i="8"/>
  <c r="Z223" i="8"/>
  <c r="AA223" i="8"/>
  <c r="AB223" i="8"/>
  <c r="AC223" i="8"/>
  <c r="R224" i="8"/>
  <c r="S224" i="8"/>
  <c r="T224" i="8"/>
  <c r="U224" i="8"/>
  <c r="V224" i="8"/>
  <c r="W224" i="8"/>
  <c r="X224" i="8"/>
  <c r="Y224" i="8"/>
  <c r="Z224" i="8"/>
  <c r="AA224" i="8"/>
  <c r="AB224" i="8"/>
  <c r="AC224" i="8"/>
  <c r="R225" i="8"/>
  <c r="S225" i="8"/>
  <c r="T225" i="8"/>
  <c r="U225" i="8"/>
  <c r="V225" i="8"/>
  <c r="W225" i="8"/>
  <c r="X225" i="8"/>
  <c r="Y225" i="8"/>
  <c r="Z225" i="8"/>
  <c r="AA225" i="8"/>
  <c r="AB225" i="8"/>
  <c r="AC225" i="8"/>
  <c r="R226" i="8"/>
  <c r="S226" i="8"/>
  <c r="T226" i="8"/>
  <c r="U226" i="8"/>
  <c r="V226" i="8"/>
  <c r="W226" i="8"/>
  <c r="X226" i="8"/>
  <c r="Y226" i="8"/>
  <c r="Z226" i="8"/>
  <c r="AA226" i="8"/>
  <c r="AB226" i="8"/>
  <c r="AC226" i="8"/>
  <c r="R227" i="8"/>
  <c r="S227" i="8"/>
  <c r="T227" i="8"/>
  <c r="U227" i="8"/>
  <c r="V227" i="8"/>
  <c r="W227" i="8"/>
  <c r="X227" i="8"/>
  <c r="Y227" i="8"/>
  <c r="Z227" i="8"/>
  <c r="AA227" i="8"/>
  <c r="AB227" i="8"/>
  <c r="AC227" i="8"/>
  <c r="R228" i="8"/>
  <c r="S228" i="8"/>
  <c r="T228" i="8"/>
  <c r="U228" i="8"/>
  <c r="V228" i="8"/>
  <c r="W228" i="8"/>
  <c r="X228" i="8"/>
  <c r="Y228" i="8"/>
  <c r="Z228" i="8"/>
  <c r="AA228" i="8"/>
  <c r="AB228" i="8"/>
  <c r="AC228" i="8"/>
  <c r="R22" i="8"/>
  <c r="S22" i="8"/>
  <c r="T22" i="8"/>
  <c r="U22" i="8"/>
  <c r="V22" i="8"/>
  <c r="W22" i="8"/>
  <c r="X22" i="8"/>
  <c r="Y22" i="8"/>
  <c r="Z22" i="8"/>
  <c r="AA22" i="8"/>
  <c r="AB22" i="8"/>
  <c r="AC22" i="8"/>
  <c r="R23" i="8"/>
  <c r="S23" i="8"/>
  <c r="T23" i="8"/>
  <c r="U23" i="8"/>
  <c r="V23" i="8"/>
  <c r="W23" i="8"/>
  <c r="X23" i="8"/>
  <c r="Y23" i="8"/>
  <c r="Z23" i="8"/>
  <c r="AA23" i="8"/>
  <c r="AB23" i="8"/>
  <c r="AC23" i="8"/>
  <c r="R229" i="8"/>
  <c r="S229" i="8"/>
  <c r="T229" i="8"/>
  <c r="U229" i="8"/>
  <c r="V229" i="8"/>
  <c r="W229" i="8"/>
  <c r="X229" i="8"/>
  <c r="Y229" i="8"/>
  <c r="Z229" i="8"/>
  <c r="AA229" i="8"/>
  <c r="AB229" i="8"/>
  <c r="AC229" i="8"/>
  <c r="R230" i="8"/>
  <c r="S230" i="8"/>
  <c r="T230" i="8"/>
  <c r="U230" i="8"/>
  <c r="V230" i="8"/>
  <c r="W230" i="8"/>
  <c r="X230" i="8"/>
  <c r="Y230" i="8"/>
  <c r="Z230" i="8"/>
  <c r="AA230" i="8"/>
  <c r="AB230" i="8"/>
  <c r="AC230" i="8"/>
  <c r="R231" i="8"/>
  <c r="S231" i="8"/>
  <c r="T231" i="8"/>
  <c r="U231" i="8"/>
  <c r="V231" i="8"/>
  <c r="W231" i="8"/>
  <c r="X231" i="8"/>
  <c r="Y231" i="8"/>
  <c r="Z231" i="8"/>
  <c r="AA231" i="8"/>
  <c r="AB231" i="8"/>
  <c r="AC231" i="8"/>
  <c r="R232" i="8"/>
  <c r="S232" i="8"/>
  <c r="T232" i="8"/>
  <c r="U232" i="8"/>
  <c r="V232" i="8"/>
  <c r="W232" i="8"/>
  <c r="X232" i="8"/>
  <c r="Y232" i="8"/>
  <c r="Z232" i="8"/>
  <c r="AA232" i="8"/>
  <c r="AB232" i="8"/>
  <c r="AC232" i="8"/>
  <c r="R233" i="8"/>
  <c r="S233" i="8"/>
  <c r="T233" i="8"/>
  <c r="U233" i="8"/>
  <c r="V233" i="8"/>
  <c r="W233" i="8"/>
  <c r="X233" i="8"/>
  <c r="Y233" i="8"/>
  <c r="Z233" i="8"/>
  <c r="AA233" i="8"/>
  <c r="AB233" i="8"/>
  <c r="AC233" i="8"/>
  <c r="R234" i="8"/>
  <c r="S234" i="8"/>
  <c r="T234" i="8"/>
  <c r="U234" i="8"/>
  <c r="V234" i="8"/>
  <c r="W234" i="8"/>
  <c r="X234" i="8"/>
  <c r="Y234" i="8"/>
  <c r="Z234" i="8"/>
  <c r="AA234" i="8"/>
  <c r="AB234" i="8"/>
  <c r="AC234" i="8"/>
  <c r="R235" i="8"/>
  <c r="S235" i="8"/>
  <c r="T235" i="8"/>
  <c r="U235" i="8"/>
  <c r="V235" i="8"/>
  <c r="W235" i="8"/>
  <c r="X235" i="8"/>
  <c r="Y235" i="8"/>
  <c r="Z235" i="8"/>
  <c r="AA235" i="8"/>
  <c r="AB235" i="8"/>
  <c r="AC235" i="8"/>
  <c r="R236" i="8"/>
  <c r="S236" i="8"/>
  <c r="T236" i="8"/>
  <c r="U236" i="8"/>
  <c r="V236" i="8"/>
  <c r="W236" i="8"/>
  <c r="X236" i="8"/>
  <c r="Y236" i="8"/>
  <c r="Z236" i="8"/>
  <c r="AA236" i="8"/>
  <c r="AB236" i="8"/>
  <c r="AC236" i="8"/>
  <c r="R237" i="8"/>
  <c r="S237" i="8"/>
  <c r="T237" i="8"/>
  <c r="U237" i="8"/>
  <c r="V237" i="8"/>
  <c r="W237" i="8"/>
  <c r="X237" i="8"/>
  <c r="Y237" i="8"/>
  <c r="Z237" i="8"/>
  <c r="AA237" i="8"/>
  <c r="AB237" i="8"/>
  <c r="AC237" i="8"/>
  <c r="R238" i="8"/>
  <c r="S238" i="8"/>
  <c r="T238" i="8"/>
  <c r="U238" i="8"/>
  <c r="V238" i="8"/>
  <c r="W238" i="8"/>
  <c r="X238" i="8"/>
  <c r="Y238" i="8"/>
  <c r="Z238" i="8"/>
  <c r="AA238" i="8"/>
  <c r="AB238" i="8"/>
  <c r="AC238" i="8"/>
  <c r="R239" i="8"/>
  <c r="S239" i="8"/>
  <c r="T239" i="8"/>
  <c r="U239" i="8"/>
  <c r="V239" i="8"/>
  <c r="W239" i="8"/>
  <c r="X239" i="8"/>
  <c r="Y239" i="8"/>
  <c r="Z239" i="8"/>
  <c r="AA239" i="8"/>
  <c r="AB239" i="8"/>
  <c r="AC239" i="8"/>
  <c r="R240" i="8"/>
  <c r="S240" i="8"/>
  <c r="T240" i="8"/>
  <c r="U240" i="8"/>
  <c r="V240" i="8"/>
  <c r="W240" i="8"/>
  <c r="X240" i="8"/>
  <c r="Y240" i="8"/>
  <c r="Z240" i="8"/>
  <c r="AA240" i="8"/>
  <c r="AB240" i="8"/>
  <c r="AC240" i="8"/>
  <c r="R24" i="8"/>
  <c r="S24" i="8"/>
  <c r="T24" i="8"/>
  <c r="U24" i="8"/>
  <c r="V24" i="8"/>
  <c r="W24" i="8"/>
  <c r="X24" i="8"/>
  <c r="Y24" i="8"/>
  <c r="Z24" i="8"/>
  <c r="AA24" i="8"/>
  <c r="AB24" i="8"/>
  <c r="AC24" i="8"/>
  <c r="R241" i="8"/>
  <c r="S241" i="8"/>
  <c r="T241" i="8"/>
  <c r="U241" i="8"/>
  <c r="V241" i="8"/>
  <c r="W241" i="8"/>
  <c r="X241" i="8"/>
  <c r="Y241" i="8"/>
  <c r="Z241" i="8"/>
  <c r="AA241" i="8"/>
  <c r="AB241" i="8"/>
  <c r="AC241" i="8"/>
  <c r="R242" i="8"/>
  <c r="S242" i="8"/>
  <c r="T242" i="8"/>
  <c r="U242" i="8"/>
  <c r="V242" i="8"/>
  <c r="W242" i="8"/>
  <c r="X242" i="8"/>
  <c r="Y242" i="8"/>
  <c r="Z242" i="8"/>
  <c r="AA242" i="8"/>
  <c r="AB242" i="8"/>
  <c r="AC242" i="8"/>
  <c r="R243" i="8"/>
  <c r="S243" i="8"/>
  <c r="T243" i="8"/>
  <c r="U243" i="8"/>
  <c r="V243" i="8"/>
  <c r="W243" i="8"/>
  <c r="X243" i="8"/>
  <c r="Y243" i="8"/>
  <c r="Z243" i="8"/>
  <c r="AA243" i="8"/>
  <c r="AB243" i="8"/>
  <c r="AC243" i="8"/>
  <c r="R244" i="8"/>
  <c r="S244" i="8"/>
  <c r="T244" i="8"/>
  <c r="U244" i="8"/>
  <c r="V244" i="8"/>
  <c r="W244" i="8"/>
  <c r="X244" i="8"/>
  <c r="Y244" i="8"/>
  <c r="Z244" i="8"/>
  <c r="AA244" i="8"/>
  <c r="AB244" i="8"/>
  <c r="AC244" i="8"/>
  <c r="R245" i="8"/>
  <c r="S245" i="8"/>
  <c r="T245" i="8"/>
  <c r="U245" i="8"/>
  <c r="V245" i="8"/>
  <c r="W245" i="8"/>
  <c r="X245" i="8"/>
  <c r="Y245" i="8"/>
  <c r="Z245" i="8"/>
  <c r="AA245" i="8"/>
  <c r="AB245" i="8"/>
  <c r="AC245" i="8"/>
  <c r="R246" i="8"/>
  <c r="S246" i="8"/>
  <c r="T246" i="8"/>
  <c r="U246" i="8"/>
  <c r="V246" i="8"/>
  <c r="W246" i="8"/>
  <c r="X246" i="8"/>
  <c r="Y246" i="8"/>
  <c r="Z246" i="8"/>
  <c r="AA246" i="8"/>
  <c r="AB246" i="8"/>
  <c r="AC246" i="8"/>
  <c r="R247" i="8"/>
  <c r="S247" i="8"/>
  <c r="T247" i="8"/>
  <c r="U247" i="8"/>
  <c r="V247" i="8"/>
  <c r="W247" i="8"/>
  <c r="X247" i="8"/>
  <c r="Y247" i="8"/>
  <c r="Z247" i="8"/>
  <c r="AA247" i="8"/>
  <c r="AB247" i="8"/>
  <c r="AC247" i="8"/>
  <c r="R248" i="8"/>
  <c r="S248" i="8"/>
  <c r="T248" i="8"/>
  <c r="U248" i="8"/>
  <c r="V248" i="8"/>
  <c r="W248" i="8"/>
  <c r="X248" i="8"/>
  <c r="Y248" i="8"/>
  <c r="Z248" i="8"/>
  <c r="AA248" i="8"/>
  <c r="AB248" i="8"/>
  <c r="AC248" i="8"/>
  <c r="R249" i="8"/>
  <c r="S249" i="8"/>
  <c r="T249" i="8"/>
  <c r="U249" i="8"/>
  <c r="V249" i="8"/>
  <c r="W249" i="8"/>
  <c r="X249" i="8"/>
  <c r="Y249" i="8"/>
  <c r="Z249" i="8"/>
  <c r="AA249" i="8"/>
  <c r="AB249" i="8"/>
  <c r="AC249" i="8"/>
  <c r="R250" i="8"/>
  <c r="S250" i="8"/>
  <c r="T250" i="8"/>
  <c r="U250" i="8"/>
  <c r="V250" i="8"/>
  <c r="W250" i="8"/>
  <c r="X250" i="8"/>
  <c r="Y250" i="8"/>
  <c r="Z250" i="8"/>
  <c r="AA250" i="8"/>
  <c r="AB250" i="8"/>
  <c r="AC250" i="8"/>
  <c r="R251" i="8"/>
  <c r="S251" i="8"/>
  <c r="T251" i="8"/>
  <c r="U251" i="8"/>
  <c r="V251" i="8"/>
  <c r="W251" i="8"/>
  <c r="X251" i="8"/>
  <c r="Y251" i="8"/>
  <c r="Z251" i="8"/>
  <c r="AA251" i="8"/>
  <c r="AB251" i="8"/>
  <c r="AC251" i="8"/>
  <c r="R252" i="8"/>
  <c r="S252" i="8"/>
  <c r="T252" i="8"/>
  <c r="U252" i="8"/>
  <c r="V252" i="8"/>
  <c r="W252" i="8"/>
  <c r="X252" i="8"/>
  <c r="Y252" i="8"/>
  <c r="Z252" i="8"/>
  <c r="AA252" i="8"/>
  <c r="AB252" i="8"/>
  <c r="AC252" i="8"/>
  <c r="R253" i="8"/>
  <c r="S253" i="8"/>
  <c r="T253" i="8"/>
  <c r="U253" i="8"/>
  <c r="V253" i="8"/>
  <c r="W253" i="8"/>
  <c r="X253" i="8"/>
  <c r="Y253" i="8"/>
  <c r="Z253" i="8"/>
  <c r="AA253" i="8"/>
  <c r="AB253" i="8"/>
  <c r="AC253" i="8"/>
  <c r="R254" i="8"/>
  <c r="S254" i="8"/>
  <c r="T254" i="8"/>
  <c r="U254" i="8"/>
  <c r="V254" i="8"/>
  <c r="W254" i="8"/>
  <c r="X254" i="8"/>
  <c r="Y254" i="8"/>
  <c r="Z254" i="8"/>
  <c r="AA254" i="8"/>
  <c r="AB254" i="8"/>
  <c r="AC254" i="8"/>
  <c r="R255" i="8"/>
  <c r="S255" i="8"/>
  <c r="T255" i="8"/>
  <c r="U255" i="8"/>
  <c r="V255" i="8"/>
  <c r="W255" i="8"/>
  <c r="X255" i="8"/>
  <c r="Y255" i="8"/>
  <c r="Z255" i="8"/>
  <c r="AA255" i="8"/>
  <c r="AB255" i="8"/>
  <c r="AC255" i="8"/>
  <c r="R256" i="8"/>
  <c r="S256" i="8"/>
  <c r="T256" i="8"/>
  <c r="U256" i="8"/>
  <c r="V256" i="8"/>
  <c r="W256" i="8"/>
  <c r="X256" i="8"/>
  <c r="Y256" i="8"/>
  <c r="Z256" i="8"/>
  <c r="AA256" i="8"/>
  <c r="AB256" i="8"/>
  <c r="AC256" i="8"/>
  <c r="R257" i="8"/>
  <c r="S257" i="8"/>
  <c r="T257" i="8"/>
  <c r="U257" i="8"/>
  <c r="V257" i="8"/>
  <c r="W257" i="8"/>
  <c r="X257" i="8"/>
  <c r="Y257" i="8"/>
  <c r="Z257" i="8"/>
  <c r="AA257" i="8"/>
  <c r="AB257" i="8"/>
  <c r="AC257" i="8"/>
  <c r="R258" i="8"/>
  <c r="S258" i="8"/>
  <c r="T258" i="8"/>
  <c r="U258" i="8"/>
  <c r="V258" i="8"/>
  <c r="W258" i="8"/>
  <c r="X258" i="8"/>
  <c r="Y258" i="8"/>
  <c r="Z258" i="8"/>
  <c r="AA258" i="8"/>
  <c r="AB258" i="8"/>
  <c r="AC258" i="8"/>
  <c r="R25" i="8"/>
  <c r="S25" i="8"/>
  <c r="T25" i="8"/>
  <c r="U25" i="8"/>
  <c r="V25" i="8"/>
  <c r="W25" i="8"/>
  <c r="X25" i="8"/>
  <c r="Y25" i="8"/>
  <c r="Z25" i="8"/>
  <c r="AA25" i="8"/>
  <c r="AB25" i="8"/>
  <c r="AC25" i="8"/>
  <c r="R259" i="8"/>
  <c r="S259" i="8"/>
  <c r="T259" i="8"/>
  <c r="U259" i="8"/>
  <c r="V259" i="8"/>
  <c r="W259" i="8"/>
  <c r="X259" i="8"/>
  <c r="Y259" i="8"/>
  <c r="Z259" i="8"/>
  <c r="AA259" i="8"/>
  <c r="AB259" i="8"/>
  <c r="AC259" i="8"/>
  <c r="R260" i="8"/>
  <c r="S260" i="8"/>
  <c r="T260" i="8"/>
  <c r="U260" i="8"/>
  <c r="V260" i="8"/>
  <c r="W260" i="8"/>
  <c r="X260" i="8"/>
  <c r="Y260" i="8"/>
  <c r="Z260" i="8"/>
  <c r="AA260" i="8"/>
  <c r="AB260" i="8"/>
  <c r="AC260" i="8"/>
  <c r="R261" i="8"/>
  <c r="S261" i="8"/>
  <c r="T261" i="8"/>
  <c r="U261" i="8"/>
  <c r="V261" i="8"/>
  <c r="W261" i="8"/>
  <c r="X261" i="8"/>
  <c r="Y261" i="8"/>
  <c r="Z261" i="8"/>
  <c r="AA261" i="8"/>
  <c r="AB261" i="8"/>
  <c r="AC261" i="8"/>
  <c r="R262" i="8"/>
  <c r="S262" i="8"/>
  <c r="T262" i="8"/>
  <c r="U262" i="8"/>
  <c r="V262" i="8"/>
  <c r="W262" i="8"/>
  <c r="X262" i="8"/>
  <c r="Y262" i="8"/>
  <c r="Z262" i="8"/>
  <c r="AA262" i="8"/>
  <c r="AB262" i="8"/>
  <c r="AC262" i="8"/>
  <c r="R263" i="8"/>
  <c r="S263" i="8"/>
  <c r="T263" i="8"/>
  <c r="U263" i="8"/>
  <c r="V263" i="8"/>
  <c r="W263" i="8"/>
  <c r="X263" i="8"/>
  <c r="Y263" i="8"/>
  <c r="Z263" i="8"/>
  <c r="AA263" i="8"/>
  <c r="AB263" i="8"/>
  <c r="AC263" i="8"/>
  <c r="R26" i="8"/>
  <c r="S26" i="8"/>
  <c r="T26" i="8"/>
  <c r="U26" i="8"/>
  <c r="V26" i="8"/>
  <c r="W26" i="8"/>
  <c r="X26" i="8"/>
  <c r="Y26" i="8"/>
  <c r="Z26" i="8"/>
  <c r="AA26" i="8"/>
  <c r="AB26" i="8"/>
  <c r="AC26" i="8"/>
  <c r="R264" i="8"/>
  <c r="S264" i="8"/>
  <c r="T264" i="8"/>
  <c r="U264" i="8"/>
  <c r="V264" i="8"/>
  <c r="W264" i="8"/>
  <c r="X264" i="8"/>
  <c r="Y264" i="8"/>
  <c r="Z264" i="8"/>
  <c r="AA264" i="8"/>
  <c r="AB264" i="8"/>
  <c r="AC264" i="8"/>
  <c r="R265" i="8"/>
  <c r="S265" i="8"/>
  <c r="T265" i="8"/>
  <c r="U265" i="8"/>
  <c r="V265" i="8"/>
  <c r="W265" i="8"/>
  <c r="X265" i="8"/>
  <c r="Y265" i="8"/>
  <c r="Z265" i="8"/>
  <c r="AA265" i="8"/>
  <c r="AB265" i="8"/>
  <c r="AC265" i="8"/>
  <c r="R266" i="8"/>
  <c r="S266" i="8"/>
  <c r="T266" i="8"/>
  <c r="U266" i="8"/>
  <c r="V266" i="8"/>
  <c r="W266" i="8"/>
  <c r="X266" i="8"/>
  <c r="Y266" i="8"/>
  <c r="Z266" i="8"/>
  <c r="AA266" i="8"/>
  <c r="AB266" i="8"/>
  <c r="AC266" i="8"/>
  <c r="R267" i="8"/>
  <c r="S267" i="8"/>
  <c r="T267" i="8"/>
  <c r="U267" i="8"/>
  <c r="V267" i="8"/>
  <c r="W267" i="8"/>
  <c r="X267" i="8"/>
  <c r="Y267" i="8"/>
  <c r="Z267" i="8"/>
  <c r="AA267" i="8"/>
  <c r="AB267" i="8"/>
  <c r="AC267" i="8"/>
  <c r="R268" i="8"/>
  <c r="S268" i="8"/>
  <c r="T268" i="8"/>
  <c r="U268" i="8"/>
  <c r="V268" i="8"/>
  <c r="W268" i="8"/>
  <c r="X268" i="8"/>
  <c r="Y268" i="8"/>
  <c r="Z268" i="8"/>
  <c r="AA268" i="8"/>
  <c r="AB268" i="8"/>
  <c r="AC268" i="8"/>
  <c r="R269" i="8"/>
  <c r="S269" i="8"/>
  <c r="T269" i="8"/>
  <c r="U269" i="8"/>
  <c r="V269" i="8"/>
  <c r="W269" i="8"/>
  <c r="X269" i="8"/>
  <c r="Y269" i="8"/>
  <c r="Z269" i="8"/>
  <c r="AA269" i="8"/>
  <c r="AB269" i="8"/>
  <c r="AC269" i="8"/>
  <c r="R270" i="8"/>
  <c r="S270" i="8"/>
  <c r="T270" i="8"/>
  <c r="U270" i="8"/>
  <c r="V270" i="8"/>
  <c r="W270" i="8"/>
  <c r="X270" i="8"/>
  <c r="Y270" i="8"/>
  <c r="Z270" i="8"/>
  <c r="AA270" i="8"/>
  <c r="AB270" i="8"/>
  <c r="AC270" i="8"/>
  <c r="R271" i="8"/>
  <c r="S271" i="8"/>
  <c r="T271" i="8"/>
  <c r="U271" i="8"/>
  <c r="V271" i="8"/>
  <c r="W271" i="8"/>
  <c r="X271" i="8"/>
  <c r="Y271" i="8"/>
  <c r="Z271" i="8"/>
  <c r="AA271" i="8"/>
  <c r="AB271" i="8"/>
  <c r="AC271" i="8"/>
  <c r="R272" i="8"/>
  <c r="S272" i="8"/>
  <c r="T272" i="8"/>
  <c r="U272" i="8"/>
  <c r="V272" i="8"/>
  <c r="W272" i="8"/>
  <c r="X272" i="8"/>
  <c r="Y272" i="8"/>
  <c r="Z272" i="8"/>
  <c r="AA272" i="8"/>
  <c r="AB272" i="8"/>
  <c r="AC272" i="8"/>
  <c r="R273" i="8"/>
  <c r="S273" i="8"/>
  <c r="T273" i="8"/>
  <c r="U273" i="8"/>
  <c r="V273" i="8"/>
  <c r="W273" i="8"/>
  <c r="X273" i="8"/>
  <c r="Y273" i="8"/>
  <c r="Z273" i="8"/>
  <c r="AA273" i="8"/>
  <c r="AB273" i="8"/>
  <c r="AC273" i="8"/>
  <c r="R27" i="8"/>
  <c r="S27" i="8"/>
  <c r="T27" i="8"/>
  <c r="U27" i="8"/>
  <c r="V27" i="8"/>
  <c r="W27" i="8"/>
  <c r="X27" i="8"/>
  <c r="Y27" i="8"/>
  <c r="Z27" i="8"/>
  <c r="AA27" i="8"/>
  <c r="AB27" i="8"/>
  <c r="AC27" i="8"/>
  <c r="R274" i="8"/>
  <c r="S274" i="8"/>
  <c r="T274" i="8"/>
  <c r="U274" i="8"/>
  <c r="V274" i="8"/>
  <c r="W274" i="8"/>
  <c r="X274" i="8"/>
  <c r="Y274" i="8"/>
  <c r="Z274" i="8"/>
  <c r="AA274" i="8"/>
  <c r="AB274" i="8"/>
  <c r="AC274" i="8"/>
  <c r="R275" i="8"/>
  <c r="S275" i="8"/>
  <c r="T275" i="8"/>
  <c r="U275" i="8"/>
  <c r="V275" i="8"/>
  <c r="W275" i="8"/>
  <c r="X275" i="8"/>
  <c r="Y275" i="8"/>
  <c r="Z275" i="8"/>
  <c r="AA275" i="8"/>
  <c r="AB275" i="8"/>
  <c r="AC275" i="8"/>
  <c r="R276" i="8"/>
  <c r="S276" i="8"/>
  <c r="T276" i="8"/>
  <c r="U276" i="8"/>
  <c r="V276" i="8"/>
  <c r="W276" i="8"/>
  <c r="X276" i="8"/>
  <c r="Y276" i="8"/>
  <c r="Z276" i="8"/>
  <c r="AA276" i="8"/>
  <c r="AB276" i="8"/>
  <c r="AC276" i="8"/>
  <c r="R277" i="8"/>
  <c r="S277" i="8"/>
  <c r="T277" i="8"/>
  <c r="U277" i="8"/>
  <c r="V277" i="8"/>
  <c r="W277" i="8"/>
  <c r="X277" i="8"/>
  <c r="Y277" i="8"/>
  <c r="Z277" i="8"/>
  <c r="AA277" i="8"/>
  <c r="AB277" i="8"/>
  <c r="AC277" i="8"/>
  <c r="R278" i="8"/>
  <c r="S278" i="8"/>
  <c r="T278" i="8"/>
  <c r="U278" i="8"/>
  <c r="V278" i="8"/>
  <c r="W278" i="8"/>
  <c r="X278" i="8"/>
  <c r="Y278" i="8"/>
  <c r="Z278" i="8"/>
  <c r="AA278" i="8"/>
  <c r="AB278" i="8"/>
  <c r="AC278" i="8"/>
  <c r="R279" i="8"/>
  <c r="S279" i="8"/>
  <c r="T279" i="8"/>
  <c r="U279" i="8"/>
  <c r="V279" i="8"/>
  <c r="W279" i="8"/>
  <c r="X279" i="8"/>
  <c r="Y279" i="8"/>
  <c r="Z279" i="8"/>
  <c r="AA279" i="8"/>
  <c r="AB279" i="8"/>
  <c r="AC279" i="8"/>
  <c r="R280" i="8"/>
  <c r="S280" i="8"/>
  <c r="T280" i="8"/>
  <c r="U280" i="8"/>
  <c r="V280" i="8"/>
  <c r="W280" i="8"/>
  <c r="X280" i="8"/>
  <c r="Y280" i="8"/>
  <c r="Z280" i="8"/>
  <c r="AA280" i="8"/>
  <c r="AB280" i="8"/>
  <c r="AC280" i="8"/>
  <c r="R281" i="8"/>
  <c r="S281" i="8"/>
  <c r="T281" i="8"/>
  <c r="U281" i="8"/>
  <c r="V281" i="8"/>
  <c r="W281" i="8"/>
  <c r="X281" i="8"/>
  <c r="Y281" i="8"/>
  <c r="Z281" i="8"/>
  <c r="AA281" i="8"/>
  <c r="AB281" i="8"/>
  <c r="AC281" i="8"/>
  <c r="R282" i="8"/>
  <c r="S282" i="8"/>
  <c r="T282" i="8"/>
  <c r="U282" i="8"/>
  <c r="V282" i="8"/>
  <c r="W282" i="8"/>
  <c r="X282" i="8"/>
  <c r="Y282" i="8"/>
  <c r="Z282" i="8"/>
  <c r="AA282" i="8"/>
  <c r="AB282" i="8"/>
  <c r="AC282" i="8"/>
  <c r="R283" i="8"/>
  <c r="S283" i="8"/>
  <c r="T283" i="8"/>
  <c r="U283" i="8"/>
  <c r="V283" i="8"/>
  <c r="W283" i="8"/>
  <c r="X283" i="8"/>
  <c r="Y283" i="8"/>
  <c r="Z283" i="8"/>
  <c r="AA283" i="8"/>
  <c r="AB283" i="8"/>
  <c r="AC283" i="8"/>
  <c r="R284" i="8"/>
  <c r="S284" i="8"/>
  <c r="T284" i="8"/>
  <c r="U284" i="8"/>
  <c r="V284" i="8"/>
  <c r="W284" i="8"/>
  <c r="X284" i="8"/>
  <c r="Y284" i="8"/>
  <c r="Z284" i="8"/>
  <c r="AA284" i="8"/>
  <c r="AB284" i="8"/>
  <c r="AC284" i="8"/>
  <c r="R285" i="8"/>
  <c r="S285" i="8"/>
  <c r="T285" i="8"/>
  <c r="U285" i="8"/>
  <c r="V285" i="8"/>
  <c r="W285" i="8"/>
  <c r="X285" i="8"/>
  <c r="Y285" i="8"/>
  <c r="Z285" i="8"/>
  <c r="AA285" i="8"/>
  <c r="AB285" i="8"/>
  <c r="AC285" i="8"/>
  <c r="R286" i="8"/>
  <c r="S286" i="8"/>
  <c r="T286" i="8"/>
  <c r="U286" i="8"/>
  <c r="V286" i="8"/>
  <c r="W286" i="8"/>
  <c r="X286" i="8"/>
  <c r="Y286" i="8"/>
  <c r="Z286" i="8"/>
  <c r="AA286" i="8"/>
  <c r="AB286" i="8"/>
  <c r="AC286" i="8"/>
  <c r="R28" i="8"/>
  <c r="S28" i="8"/>
  <c r="T28" i="8"/>
  <c r="U28" i="8"/>
  <c r="V28" i="8"/>
  <c r="W28" i="8"/>
  <c r="X28" i="8"/>
  <c r="Y28" i="8"/>
  <c r="Z28" i="8"/>
  <c r="AA28" i="8"/>
  <c r="AB28" i="8"/>
  <c r="AC28" i="8"/>
  <c r="R287" i="8"/>
  <c r="S287" i="8"/>
  <c r="T287" i="8"/>
  <c r="U287" i="8"/>
  <c r="V287" i="8"/>
  <c r="W287" i="8"/>
  <c r="X287" i="8"/>
  <c r="Y287" i="8"/>
  <c r="Z287" i="8"/>
  <c r="AA287" i="8"/>
  <c r="AB287" i="8"/>
  <c r="AC287" i="8"/>
  <c r="R288" i="8"/>
  <c r="S288" i="8"/>
  <c r="T288" i="8"/>
  <c r="U288" i="8"/>
  <c r="V288" i="8"/>
  <c r="W288" i="8"/>
  <c r="X288" i="8"/>
  <c r="Y288" i="8"/>
  <c r="Z288" i="8"/>
  <c r="AA288" i="8"/>
  <c r="AB288" i="8"/>
  <c r="AC288" i="8"/>
  <c r="R289" i="8"/>
  <c r="S289" i="8"/>
  <c r="T289" i="8"/>
  <c r="U289" i="8"/>
  <c r="V289" i="8"/>
  <c r="W289" i="8"/>
  <c r="X289" i="8"/>
  <c r="Y289" i="8"/>
  <c r="Z289" i="8"/>
  <c r="AA289" i="8"/>
  <c r="AB289" i="8"/>
  <c r="AC289" i="8"/>
  <c r="R290" i="8"/>
  <c r="S290" i="8"/>
  <c r="T290" i="8"/>
  <c r="U290" i="8"/>
  <c r="V290" i="8"/>
  <c r="W290" i="8"/>
  <c r="X290" i="8"/>
  <c r="Y290" i="8"/>
  <c r="Z290" i="8"/>
  <c r="AA290" i="8"/>
  <c r="AB290" i="8"/>
  <c r="AC290" i="8"/>
  <c r="R291" i="8"/>
  <c r="S291" i="8"/>
  <c r="T291" i="8"/>
  <c r="U291" i="8"/>
  <c r="V291" i="8"/>
  <c r="W291" i="8"/>
  <c r="X291" i="8"/>
  <c r="Y291" i="8"/>
  <c r="Z291" i="8"/>
  <c r="AA291" i="8"/>
  <c r="AB291" i="8"/>
  <c r="AC291" i="8"/>
  <c r="R292" i="8"/>
  <c r="S292" i="8"/>
  <c r="T292" i="8"/>
  <c r="U292" i="8"/>
  <c r="V292" i="8"/>
  <c r="W292" i="8"/>
  <c r="X292" i="8"/>
  <c r="Y292" i="8"/>
  <c r="Z292" i="8"/>
  <c r="AA292" i="8"/>
  <c r="AB292" i="8"/>
  <c r="AC292" i="8"/>
  <c r="R293" i="8"/>
  <c r="S293" i="8"/>
  <c r="T293" i="8"/>
  <c r="U293" i="8"/>
  <c r="V293" i="8"/>
  <c r="W293" i="8"/>
  <c r="X293" i="8"/>
  <c r="Y293" i="8"/>
  <c r="Z293" i="8"/>
  <c r="AA293" i="8"/>
  <c r="AB293" i="8"/>
  <c r="AC293" i="8"/>
  <c r="R294" i="8"/>
  <c r="S294" i="8"/>
  <c r="T294" i="8"/>
  <c r="U294" i="8"/>
  <c r="V294" i="8"/>
  <c r="W294" i="8"/>
  <c r="X294" i="8"/>
  <c r="Y294" i="8"/>
  <c r="Z294" i="8"/>
  <c r="AA294" i="8"/>
  <c r="AB294" i="8"/>
  <c r="AC294" i="8"/>
  <c r="R295" i="8"/>
  <c r="S295" i="8"/>
  <c r="T295" i="8"/>
  <c r="U295" i="8"/>
  <c r="V295" i="8"/>
  <c r="W295" i="8"/>
  <c r="X295" i="8"/>
  <c r="Y295" i="8"/>
  <c r="Z295" i="8"/>
  <c r="AA295" i="8"/>
  <c r="AB295" i="8"/>
  <c r="AC295" i="8"/>
  <c r="R296" i="8"/>
  <c r="S296" i="8"/>
  <c r="T296" i="8"/>
  <c r="U296" i="8"/>
  <c r="V296" i="8"/>
  <c r="W296" i="8"/>
  <c r="X296" i="8"/>
  <c r="Y296" i="8"/>
  <c r="Z296" i="8"/>
  <c r="AA296" i="8"/>
  <c r="AB296" i="8"/>
  <c r="AC296" i="8"/>
  <c r="R297" i="8"/>
  <c r="S297" i="8"/>
  <c r="T297" i="8"/>
  <c r="U297" i="8"/>
  <c r="V297" i="8"/>
  <c r="W297" i="8"/>
  <c r="X297" i="8"/>
  <c r="Y297" i="8"/>
  <c r="Z297" i="8"/>
  <c r="AA297" i="8"/>
  <c r="AB297" i="8"/>
  <c r="AC297" i="8"/>
  <c r="R298" i="8"/>
  <c r="S298" i="8"/>
  <c r="T298" i="8"/>
  <c r="U298" i="8"/>
  <c r="V298" i="8"/>
  <c r="W298" i="8"/>
  <c r="X298" i="8"/>
  <c r="Y298" i="8"/>
  <c r="Z298" i="8"/>
  <c r="AA298" i="8"/>
  <c r="AB298" i="8"/>
  <c r="AC298" i="8"/>
  <c r="R299" i="8"/>
  <c r="S299" i="8"/>
  <c r="T299" i="8"/>
  <c r="U299" i="8"/>
  <c r="V299" i="8"/>
  <c r="W299" i="8"/>
  <c r="X299" i="8"/>
  <c r="Y299" i="8"/>
  <c r="Z299" i="8"/>
  <c r="AA299" i="8"/>
  <c r="AB299" i="8"/>
  <c r="AC299" i="8"/>
  <c r="R300" i="8"/>
  <c r="S300" i="8"/>
  <c r="T300" i="8"/>
  <c r="U300" i="8"/>
  <c r="V300" i="8"/>
  <c r="W300" i="8"/>
  <c r="X300" i="8"/>
  <c r="Y300" i="8"/>
  <c r="Z300" i="8"/>
  <c r="AA300" i="8"/>
  <c r="AB300" i="8"/>
  <c r="AC300" i="8"/>
  <c r="R301" i="8"/>
  <c r="S301" i="8"/>
  <c r="T301" i="8"/>
  <c r="U301" i="8"/>
  <c r="V301" i="8"/>
  <c r="W301" i="8"/>
  <c r="X301" i="8"/>
  <c r="Y301" i="8"/>
  <c r="Z301" i="8"/>
  <c r="AA301" i="8"/>
  <c r="AB301" i="8"/>
  <c r="AC301" i="8"/>
  <c r="R302" i="8"/>
  <c r="S302" i="8"/>
  <c r="T302" i="8"/>
  <c r="U302" i="8"/>
  <c r="V302" i="8"/>
  <c r="W302" i="8"/>
  <c r="X302" i="8"/>
  <c r="Y302" i="8"/>
  <c r="Z302" i="8"/>
  <c r="AA302" i="8"/>
  <c r="AB302" i="8"/>
  <c r="AC302" i="8"/>
  <c r="R29" i="8"/>
  <c r="S29" i="8"/>
  <c r="T29" i="8"/>
  <c r="U29" i="8"/>
  <c r="V29" i="8"/>
  <c r="W29" i="8"/>
  <c r="X29" i="8"/>
  <c r="Y29" i="8"/>
  <c r="Z29" i="8"/>
  <c r="AA29" i="8"/>
  <c r="AB29" i="8"/>
  <c r="AC29" i="8"/>
  <c r="R303" i="8"/>
  <c r="S303" i="8"/>
  <c r="T303" i="8"/>
  <c r="U303" i="8"/>
  <c r="V303" i="8"/>
  <c r="W303" i="8"/>
  <c r="X303" i="8"/>
  <c r="Y303" i="8"/>
  <c r="Z303" i="8"/>
  <c r="AA303" i="8"/>
  <c r="AB303" i="8"/>
  <c r="AC303" i="8"/>
  <c r="R304" i="8"/>
  <c r="S304" i="8"/>
  <c r="T304" i="8"/>
  <c r="U304" i="8"/>
  <c r="V304" i="8"/>
  <c r="W304" i="8"/>
  <c r="X304" i="8"/>
  <c r="Y304" i="8"/>
  <c r="Z304" i="8"/>
  <c r="AA304" i="8"/>
  <c r="AB304" i="8"/>
  <c r="AC304" i="8"/>
  <c r="R305" i="8"/>
  <c r="S305" i="8"/>
  <c r="T305" i="8"/>
  <c r="U305" i="8"/>
  <c r="V305" i="8"/>
  <c r="W305" i="8"/>
  <c r="X305" i="8"/>
  <c r="Y305" i="8"/>
  <c r="Z305" i="8"/>
  <c r="AA305" i="8"/>
  <c r="AB305" i="8"/>
  <c r="AC305" i="8"/>
  <c r="R306" i="8"/>
  <c r="S306" i="8"/>
  <c r="T306" i="8"/>
  <c r="U306" i="8"/>
  <c r="V306" i="8"/>
  <c r="W306" i="8"/>
  <c r="X306" i="8"/>
  <c r="Y306" i="8"/>
  <c r="Z306" i="8"/>
  <c r="AA306" i="8"/>
  <c r="AB306" i="8"/>
  <c r="AC306" i="8"/>
  <c r="R307" i="8"/>
  <c r="S307" i="8"/>
  <c r="T307" i="8"/>
  <c r="U307" i="8"/>
  <c r="V307" i="8"/>
  <c r="W307" i="8"/>
  <c r="X307" i="8"/>
  <c r="Y307" i="8"/>
  <c r="Z307" i="8"/>
  <c r="AA307" i="8"/>
  <c r="AB307" i="8"/>
  <c r="AC307" i="8"/>
  <c r="R308" i="8"/>
  <c r="S308" i="8"/>
  <c r="T308" i="8"/>
  <c r="U308" i="8"/>
  <c r="V308" i="8"/>
  <c r="W308" i="8"/>
  <c r="X308" i="8"/>
  <c r="Y308" i="8"/>
  <c r="Z308" i="8"/>
  <c r="AA308" i="8"/>
  <c r="AB308" i="8"/>
  <c r="AC308" i="8"/>
  <c r="R309" i="8"/>
  <c r="S309" i="8"/>
  <c r="T309" i="8"/>
  <c r="U309" i="8"/>
  <c r="V309" i="8"/>
  <c r="W309" i="8"/>
  <c r="X309" i="8"/>
  <c r="Y309" i="8"/>
  <c r="Z309" i="8"/>
  <c r="AA309" i="8"/>
  <c r="AB309" i="8"/>
  <c r="AC309" i="8"/>
  <c r="R310" i="8"/>
  <c r="S310" i="8"/>
  <c r="T310" i="8"/>
  <c r="U310" i="8"/>
  <c r="V310" i="8"/>
  <c r="W310" i="8"/>
  <c r="X310" i="8"/>
  <c r="Y310" i="8"/>
  <c r="Z310" i="8"/>
  <c r="AA310" i="8"/>
  <c r="AB310" i="8"/>
  <c r="AC310" i="8"/>
  <c r="R311" i="8"/>
  <c r="S311" i="8"/>
  <c r="T311" i="8"/>
  <c r="U311" i="8"/>
  <c r="V311" i="8"/>
  <c r="W311" i="8"/>
  <c r="X311" i="8"/>
  <c r="Y311" i="8"/>
  <c r="Z311" i="8"/>
  <c r="AA311" i="8"/>
  <c r="AB311" i="8"/>
  <c r="AC311" i="8"/>
  <c r="R312" i="8"/>
  <c r="S312" i="8"/>
  <c r="T312" i="8"/>
  <c r="U312" i="8"/>
  <c r="V312" i="8"/>
  <c r="W312" i="8"/>
  <c r="X312" i="8"/>
  <c r="Y312" i="8"/>
  <c r="Z312" i="8"/>
  <c r="AA312" i="8"/>
  <c r="AB312" i="8"/>
  <c r="AC312" i="8"/>
  <c r="R313" i="8"/>
  <c r="S313" i="8"/>
  <c r="T313" i="8"/>
  <c r="U313" i="8"/>
  <c r="V313" i="8"/>
  <c r="W313" i="8"/>
  <c r="X313" i="8"/>
  <c r="Y313" i="8"/>
  <c r="Z313" i="8"/>
  <c r="AA313" i="8"/>
  <c r="AB313" i="8"/>
  <c r="AC313" i="8"/>
  <c r="R314" i="8"/>
  <c r="S314" i="8"/>
  <c r="T314" i="8"/>
  <c r="U314" i="8"/>
  <c r="V314" i="8"/>
  <c r="W314" i="8"/>
  <c r="X314" i="8"/>
  <c r="Y314" i="8"/>
  <c r="Z314" i="8"/>
  <c r="AA314" i="8"/>
  <c r="AB314" i="8"/>
  <c r="AC314" i="8"/>
  <c r="R315" i="8"/>
  <c r="S315" i="8"/>
  <c r="T315" i="8"/>
  <c r="U315" i="8"/>
  <c r="V315" i="8"/>
  <c r="W315" i="8"/>
  <c r="X315" i="8"/>
  <c r="Y315" i="8"/>
  <c r="Z315" i="8"/>
  <c r="AA315" i="8"/>
  <c r="AB315" i="8"/>
  <c r="AC315" i="8"/>
  <c r="R316" i="8"/>
  <c r="S316" i="8"/>
  <c r="T316" i="8"/>
  <c r="U316" i="8"/>
  <c r="V316" i="8"/>
  <c r="W316" i="8"/>
  <c r="X316" i="8"/>
  <c r="Y316" i="8"/>
  <c r="Z316" i="8"/>
  <c r="AA316" i="8"/>
  <c r="AB316" i="8"/>
  <c r="AC316" i="8"/>
  <c r="R317" i="8"/>
  <c r="S317" i="8"/>
  <c r="T317" i="8"/>
  <c r="U317" i="8"/>
  <c r="V317" i="8"/>
  <c r="W317" i="8"/>
  <c r="X317" i="8"/>
  <c r="Y317" i="8"/>
  <c r="Z317" i="8"/>
  <c r="AA317" i="8"/>
  <c r="AB317" i="8"/>
  <c r="AC317" i="8"/>
  <c r="R318" i="8"/>
  <c r="S318" i="8"/>
  <c r="T318" i="8"/>
  <c r="U318" i="8"/>
  <c r="V318" i="8"/>
  <c r="W318" i="8"/>
  <c r="X318" i="8"/>
  <c r="Y318" i="8"/>
  <c r="Z318" i="8"/>
  <c r="AA318" i="8"/>
  <c r="AB318" i="8"/>
  <c r="AC318" i="8"/>
  <c r="R319" i="8"/>
  <c r="S319" i="8"/>
  <c r="T319" i="8"/>
  <c r="U319" i="8"/>
  <c r="V319" i="8"/>
  <c r="W319" i="8"/>
  <c r="X319" i="8"/>
  <c r="Y319" i="8"/>
  <c r="Z319" i="8"/>
  <c r="AA319" i="8"/>
  <c r="AB319" i="8"/>
  <c r="AC319" i="8"/>
  <c r="R320" i="8"/>
  <c r="S320" i="8"/>
  <c r="T320" i="8"/>
  <c r="U320" i="8"/>
  <c r="V320" i="8"/>
  <c r="W320" i="8"/>
  <c r="X320" i="8"/>
  <c r="Y320" i="8"/>
  <c r="Z320" i="8"/>
  <c r="AA320" i="8"/>
  <c r="AB320" i="8"/>
  <c r="AC320" i="8"/>
  <c r="R321" i="8"/>
  <c r="S321" i="8"/>
  <c r="T321" i="8"/>
  <c r="U321" i="8"/>
  <c r="V321" i="8"/>
  <c r="W321" i="8"/>
  <c r="X321" i="8"/>
  <c r="Y321" i="8"/>
  <c r="Z321" i="8"/>
  <c r="AA321" i="8"/>
  <c r="AB321" i="8"/>
  <c r="AC321" i="8"/>
  <c r="R322" i="8"/>
  <c r="S322" i="8"/>
  <c r="T322" i="8"/>
  <c r="U322" i="8"/>
  <c r="V322" i="8"/>
  <c r="W322" i="8"/>
  <c r="X322" i="8"/>
  <c r="Y322" i="8"/>
  <c r="Z322" i="8"/>
  <c r="AA322" i="8"/>
  <c r="AB322" i="8"/>
  <c r="AC322" i="8"/>
  <c r="R323" i="8"/>
  <c r="S323" i="8"/>
  <c r="T323" i="8"/>
  <c r="U323" i="8"/>
  <c r="V323" i="8"/>
  <c r="W323" i="8"/>
  <c r="X323" i="8"/>
  <c r="Y323" i="8"/>
  <c r="Z323" i="8"/>
  <c r="AA323" i="8"/>
  <c r="AB323" i="8"/>
  <c r="AC323" i="8"/>
  <c r="R324" i="8"/>
  <c r="S324" i="8"/>
  <c r="T324" i="8"/>
  <c r="U324" i="8"/>
  <c r="V324" i="8"/>
  <c r="W324" i="8"/>
  <c r="X324" i="8"/>
  <c r="Y324" i="8"/>
  <c r="Z324" i="8"/>
  <c r="AA324" i="8"/>
  <c r="AB324" i="8"/>
  <c r="AC324" i="8"/>
  <c r="R325" i="8"/>
  <c r="S325" i="8"/>
  <c r="T325" i="8"/>
  <c r="U325" i="8"/>
  <c r="V325" i="8"/>
  <c r="W325" i="8"/>
  <c r="X325" i="8"/>
  <c r="Y325" i="8"/>
  <c r="Z325" i="8"/>
  <c r="AA325" i="8"/>
  <c r="AB325" i="8"/>
  <c r="AC325" i="8"/>
  <c r="R326" i="8"/>
  <c r="S326" i="8"/>
  <c r="T326" i="8"/>
  <c r="U326" i="8"/>
  <c r="V326" i="8"/>
  <c r="W326" i="8"/>
  <c r="X326" i="8"/>
  <c r="Y326" i="8"/>
  <c r="Z326" i="8"/>
  <c r="AA326" i="8"/>
  <c r="AB326" i="8"/>
  <c r="AC326" i="8"/>
  <c r="R30" i="8"/>
  <c r="S30" i="8"/>
  <c r="T30" i="8"/>
  <c r="U30" i="8"/>
  <c r="V30" i="8"/>
  <c r="W30" i="8"/>
  <c r="X30" i="8"/>
  <c r="Y30" i="8"/>
  <c r="Z30" i="8"/>
  <c r="AA30" i="8"/>
  <c r="AB30" i="8"/>
  <c r="AC30" i="8"/>
  <c r="R327" i="8"/>
  <c r="S327" i="8"/>
  <c r="T327" i="8"/>
  <c r="U327" i="8"/>
  <c r="V327" i="8"/>
  <c r="W327" i="8"/>
  <c r="X327" i="8"/>
  <c r="Y327" i="8"/>
  <c r="Z327" i="8"/>
  <c r="AA327" i="8"/>
  <c r="AB327" i="8"/>
  <c r="AC327" i="8"/>
  <c r="R328" i="8"/>
  <c r="S328" i="8"/>
  <c r="T328" i="8"/>
  <c r="U328" i="8"/>
  <c r="V328" i="8"/>
  <c r="W328" i="8"/>
  <c r="X328" i="8"/>
  <c r="Y328" i="8"/>
  <c r="Z328" i="8"/>
  <c r="AA328" i="8"/>
  <c r="AB328" i="8"/>
  <c r="AC328" i="8"/>
  <c r="R329" i="8"/>
  <c r="S329" i="8"/>
  <c r="T329" i="8"/>
  <c r="U329" i="8"/>
  <c r="V329" i="8"/>
  <c r="W329" i="8"/>
  <c r="X329" i="8"/>
  <c r="Y329" i="8"/>
  <c r="Z329" i="8"/>
  <c r="AA329" i="8"/>
  <c r="AB329" i="8"/>
  <c r="AC329" i="8"/>
  <c r="R330" i="8"/>
  <c r="S330" i="8"/>
  <c r="T330" i="8"/>
  <c r="U330" i="8"/>
  <c r="V330" i="8"/>
  <c r="W330" i="8"/>
  <c r="X330" i="8"/>
  <c r="Y330" i="8"/>
  <c r="Z330" i="8"/>
  <c r="AA330" i="8"/>
  <c r="AB330" i="8"/>
  <c r="AC330" i="8"/>
  <c r="R331" i="8"/>
  <c r="S331" i="8"/>
  <c r="T331" i="8"/>
  <c r="U331" i="8"/>
  <c r="V331" i="8"/>
  <c r="W331" i="8"/>
  <c r="X331" i="8"/>
  <c r="Y331" i="8"/>
  <c r="Z331" i="8"/>
  <c r="AA331" i="8"/>
  <c r="AB331" i="8"/>
  <c r="AC331" i="8"/>
  <c r="R31" i="8"/>
  <c r="S31" i="8"/>
  <c r="T31" i="8"/>
  <c r="U31" i="8"/>
  <c r="V31" i="8"/>
  <c r="W31" i="8"/>
  <c r="X31" i="8"/>
  <c r="Y31" i="8"/>
  <c r="Z31" i="8"/>
  <c r="AA31" i="8"/>
  <c r="AB31" i="8"/>
  <c r="AC31" i="8"/>
  <c r="R332" i="8"/>
  <c r="S332" i="8"/>
  <c r="T332" i="8"/>
  <c r="U332" i="8"/>
  <c r="V332" i="8"/>
  <c r="W332" i="8"/>
  <c r="X332" i="8"/>
  <c r="Y332" i="8"/>
  <c r="Z332" i="8"/>
  <c r="AA332" i="8"/>
  <c r="AB332" i="8"/>
  <c r="AC332" i="8"/>
  <c r="R333" i="8"/>
  <c r="S333" i="8"/>
  <c r="T333" i="8"/>
  <c r="U333" i="8"/>
  <c r="V333" i="8"/>
  <c r="W333" i="8"/>
  <c r="X333" i="8"/>
  <c r="Y333" i="8"/>
  <c r="Z333" i="8"/>
  <c r="AA333" i="8"/>
  <c r="AB333" i="8"/>
  <c r="AC333" i="8"/>
  <c r="R334" i="8"/>
  <c r="S334" i="8"/>
  <c r="T334" i="8"/>
  <c r="U334" i="8"/>
  <c r="V334" i="8"/>
  <c r="W334" i="8"/>
  <c r="X334" i="8"/>
  <c r="Y334" i="8"/>
  <c r="Z334" i="8"/>
  <c r="AA334" i="8"/>
  <c r="AB334" i="8"/>
  <c r="AC334" i="8"/>
  <c r="R335" i="8"/>
  <c r="S335" i="8"/>
  <c r="T335" i="8"/>
  <c r="U335" i="8"/>
  <c r="V335" i="8"/>
  <c r="W335" i="8"/>
  <c r="X335" i="8"/>
  <c r="Y335" i="8"/>
  <c r="Z335" i="8"/>
  <c r="AA335" i="8"/>
  <c r="AB335" i="8"/>
  <c r="AC335" i="8"/>
  <c r="R336" i="8"/>
  <c r="S336" i="8"/>
  <c r="T336" i="8"/>
  <c r="U336" i="8"/>
  <c r="V336" i="8"/>
  <c r="W336" i="8"/>
  <c r="X336" i="8"/>
  <c r="Y336" i="8"/>
  <c r="Z336" i="8"/>
  <c r="AA336" i="8"/>
  <c r="AB336" i="8"/>
  <c r="AC336" i="8"/>
  <c r="R337" i="8"/>
  <c r="S337" i="8"/>
  <c r="T337" i="8"/>
  <c r="U337" i="8"/>
  <c r="V337" i="8"/>
  <c r="W337" i="8"/>
  <c r="X337" i="8"/>
  <c r="Y337" i="8"/>
  <c r="Z337" i="8"/>
  <c r="AA337" i="8"/>
  <c r="AB337" i="8"/>
  <c r="AC337" i="8"/>
  <c r="R338" i="8"/>
  <c r="S338" i="8"/>
  <c r="T338" i="8"/>
  <c r="U338" i="8"/>
  <c r="V338" i="8"/>
  <c r="W338" i="8"/>
  <c r="X338" i="8"/>
  <c r="Y338" i="8"/>
  <c r="Z338" i="8"/>
  <c r="AA338" i="8"/>
  <c r="AB338" i="8"/>
  <c r="AC338" i="8"/>
  <c r="R339" i="8"/>
  <c r="S339" i="8"/>
  <c r="T339" i="8"/>
  <c r="U339" i="8"/>
  <c r="V339" i="8"/>
  <c r="W339" i="8"/>
  <c r="X339" i="8"/>
  <c r="Y339" i="8"/>
  <c r="Z339" i="8"/>
  <c r="AA339" i="8"/>
  <c r="AB339" i="8"/>
  <c r="AC339" i="8"/>
  <c r="R340" i="8"/>
  <c r="S340" i="8"/>
  <c r="T340" i="8"/>
  <c r="U340" i="8"/>
  <c r="V340" i="8"/>
  <c r="W340" i="8"/>
  <c r="X340" i="8"/>
  <c r="Y340" i="8"/>
  <c r="Z340" i="8"/>
  <c r="AA340" i="8"/>
  <c r="AB340" i="8"/>
  <c r="AC340" i="8"/>
  <c r="R341" i="8"/>
  <c r="S341" i="8"/>
  <c r="T341" i="8"/>
  <c r="U341" i="8"/>
  <c r="V341" i="8"/>
  <c r="W341" i="8"/>
  <c r="X341" i="8"/>
  <c r="Y341" i="8"/>
  <c r="Z341" i="8"/>
  <c r="AA341" i="8"/>
  <c r="AB341" i="8"/>
  <c r="AC341" i="8"/>
  <c r="R342" i="8"/>
  <c r="S342" i="8"/>
  <c r="T342" i="8"/>
  <c r="U342" i="8"/>
  <c r="V342" i="8"/>
  <c r="W342" i="8"/>
  <c r="X342" i="8"/>
  <c r="Y342" i="8"/>
  <c r="Z342" i="8"/>
  <c r="AA342" i="8"/>
  <c r="AB342" i="8"/>
  <c r="AC342" i="8"/>
  <c r="R343" i="8"/>
  <c r="S343" i="8"/>
  <c r="T343" i="8"/>
  <c r="U343" i="8"/>
  <c r="V343" i="8"/>
  <c r="W343" i="8"/>
  <c r="X343" i="8"/>
  <c r="Y343" i="8"/>
  <c r="Z343" i="8"/>
  <c r="AA343" i="8"/>
  <c r="AB343" i="8"/>
  <c r="AC343" i="8"/>
  <c r="R344" i="8"/>
  <c r="S344" i="8"/>
  <c r="T344" i="8"/>
  <c r="U344" i="8"/>
  <c r="V344" i="8"/>
  <c r="W344" i="8"/>
  <c r="X344" i="8"/>
  <c r="Y344" i="8"/>
  <c r="Z344" i="8"/>
  <c r="AA344" i="8"/>
  <c r="AB344" i="8"/>
  <c r="AC344" i="8"/>
  <c r="R345" i="8"/>
  <c r="S345" i="8"/>
  <c r="T345" i="8"/>
  <c r="U345" i="8"/>
  <c r="V345" i="8"/>
  <c r="W345" i="8"/>
  <c r="X345" i="8"/>
  <c r="Y345" i="8"/>
  <c r="Z345" i="8"/>
  <c r="AA345" i="8"/>
  <c r="AB345" i="8"/>
  <c r="AC345" i="8"/>
  <c r="R346" i="8"/>
  <c r="S346" i="8"/>
  <c r="T346" i="8"/>
  <c r="U346" i="8"/>
  <c r="V346" i="8"/>
  <c r="W346" i="8"/>
  <c r="X346" i="8"/>
  <c r="Y346" i="8"/>
  <c r="Z346" i="8"/>
  <c r="AA346" i="8"/>
  <c r="AB346" i="8"/>
  <c r="AC346" i="8"/>
  <c r="R347" i="8"/>
  <c r="S347" i="8"/>
  <c r="T347" i="8"/>
  <c r="U347" i="8"/>
  <c r="V347" i="8"/>
  <c r="W347" i="8"/>
  <c r="X347" i="8"/>
  <c r="Y347" i="8"/>
  <c r="Z347" i="8"/>
  <c r="AA347" i="8"/>
  <c r="AB347" i="8"/>
  <c r="AC347" i="8"/>
  <c r="R348" i="8"/>
  <c r="S348" i="8"/>
  <c r="T348" i="8"/>
  <c r="U348" i="8"/>
  <c r="V348" i="8"/>
  <c r="W348" i="8"/>
  <c r="X348" i="8"/>
  <c r="Y348" i="8"/>
  <c r="Z348" i="8"/>
  <c r="AA348" i="8"/>
  <c r="AB348" i="8"/>
  <c r="AC348" i="8"/>
  <c r="R349" i="8"/>
  <c r="S349" i="8"/>
  <c r="T349" i="8"/>
  <c r="U349" i="8"/>
  <c r="V349" i="8"/>
  <c r="W349" i="8"/>
  <c r="X349" i="8"/>
  <c r="Y349" i="8"/>
  <c r="Z349" i="8"/>
  <c r="AA349" i="8"/>
  <c r="AB349" i="8"/>
  <c r="AC349" i="8"/>
  <c r="R350" i="8"/>
  <c r="S350" i="8"/>
  <c r="T350" i="8"/>
  <c r="U350" i="8"/>
  <c r="V350" i="8"/>
  <c r="W350" i="8"/>
  <c r="X350" i="8"/>
  <c r="Y350" i="8"/>
  <c r="Z350" i="8"/>
  <c r="AA350" i="8"/>
  <c r="AB350" i="8"/>
  <c r="AC350" i="8"/>
  <c r="R32" i="8"/>
  <c r="S32" i="8"/>
  <c r="T32" i="8"/>
  <c r="U32" i="8"/>
  <c r="V32" i="8"/>
  <c r="W32" i="8"/>
  <c r="X32" i="8"/>
  <c r="Y32" i="8"/>
  <c r="Z32" i="8"/>
  <c r="AA32" i="8"/>
  <c r="AB32" i="8"/>
  <c r="AC32" i="8"/>
  <c r="R351" i="8"/>
  <c r="S351" i="8"/>
  <c r="T351" i="8"/>
  <c r="U351" i="8"/>
  <c r="V351" i="8"/>
  <c r="W351" i="8"/>
  <c r="X351" i="8"/>
  <c r="Y351" i="8"/>
  <c r="Z351" i="8"/>
  <c r="AA351" i="8"/>
  <c r="AB351" i="8"/>
  <c r="AC351" i="8"/>
  <c r="R352" i="8"/>
  <c r="S352" i="8"/>
  <c r="T352" i="8"/>
  <c r="U352" i="8"/>
  <c r="V352" i="8"/>
  <c r="W352" i="8"/>
  <c r="X352" i="8"/>
  <c r="Y352" i="8"/>
  <c r="Z352" i="8"/>
  <c r="AA352" i="8"/>
  <c r="AB352" i="8"/>
  <c r="AC352" i="8"/>
  <c r="R353" i="8"/>
  <c r="S353" i="8"/>
  <c r="T353" i="8"/>
  <c r="U353" i="8"/>
  <c r="V353" i="8"/>
  <c r="W353" i="8"/>
  <c r="X353" i="8"/>
  <c r="Y353" i="8"/>
  <c r="Z353" i="8"/>
  <c r="AA353" i="8"/>
  <c r="AB353" i="8"/>
  <c r="AC353" i="8"/>
  <c r="R354" i="8"/>
  <c r="S354" i="8"/>
  <c r="T354" i="8"/>
  <c r="U354" i="8"/>
  <c r="V354" i="8"/>
  <c r="W354" i="8"/>
  <c r="X354" i="8"/>
  <c r="Y354" i="8"/>
  <c r="Z354" i="8"/>
  <c r="AA354" i="8"/>
  <c r="AB354" i="8"/>
  <c r="AC354" i="8"/>
  <c r="R355" i="8"/>
  <c r="S355" i="8"/>
  <c r="T355" i="8"/>
  <c r="U355" i="8"/>
  <c r="V355" i="8"/>
  <c r="W355" i="8"/>
  <c r="X355" i="8"/>
  <c r="Y355" i="8"/>
  <c r="Z355" i="8"/>
  <c r="AA355" i="8"/>
  <c r="AB355" i="8"/>
  <c r="AC355" i="8"/>
  <c r="R356" i="8"/>
  <c r="S356" i="8"/>
  <c r="T356" i="8"/>
  <c r="U356" i="8"/>
  <c r="V356" i="8"/>
  <c r="W356" i="8"/>
  <c r="X356" i="8"/>
  <c r="Y356" i="8"/>
  <c r="Z356" i="8"/>
  <c r="AA356" i="8"/>
  <c r="AB356" i="8"/>
  <c r="AC356" i="8"/>
  <c r="R357" i="8"/>
  <c r="S357" i="8"/>
  <c r="T357" i="8"/>
  <c r="U357" i="8"/>
  <c r="V357" i="8"/>
  <c r="W357" i="8"/>
  <c r="X357" i="8"/>
  <c r="Y357" i="8"/>
  <c r="Z357" i="8"/>
  <c r="AA357" i="8"/>
  <c r="AB357" i="8"/>
  <c r="AC357" i="8"/>
  <c r="R358" i="8"/>
  <c r="S358" i="8"/>
  <c r="T358" i="8"/>
  <c r="U358" i="8"/>
  <c r="V358" i="8"/>
  <c r="W358" i="8"/>
  <c r="X358" i="8"/>
  <c r="Y358" i="8"/>
  <c r="Z358" i="8"/>
  <c r="AA358" i="8"/>
  <c r="AB358" i="8"/>
  <c r="AC358" i="8"/>
  <c r="R359" i="8"/>
  <c r="S359" i="8"/>
  <c r="T359" i="8"/>
  <c r="U359" i="8"/>
  <c r="V359" i="8"/>
  <c r="W359" i="8"/>
  <c r="X359" i="8"/>
  <c r="Y359" i="8"/>
  <c r="Z359" i="8"/>
  <c r="AA359" i="8"/>
  <c r="AB359" i="8"/>
  <c r="AC359" i="8"/>
  <c r="R360" i="8"/>
  <c r="S360" i="8"/>
  <c r="T360" i="8"/>
  <c r="U360" i="8"/>
  <c r="V360" i="8"/>
  <c r="W360" i="8"/>
  <c r="X360" i="8"/>
  <c r="Y360" i="8"/>
  <c r="Z360" i="8"/>
  <c r="AA360" i="8"/>
  <c r="AB360" i="8"/>
  <c r="AC360" i="8"/>
  <c r="R33" i="8"/>
  <c r="S33" i="8"/>
  <c r="T33" i="8"/>
  <c r="U33" i="8"/>
  <c r="V33" i="8"/>
  <c r="W33" i="8"/>
  <c r="X33" i="8"/>
  <c r="Y33" i="8"/>
  <c r="Z33" i="8"/>
  <c r="AA33" i="8"/>
  <c r="AB33" i="8"/>
  <c r="AC33" i="8"/>
  <c r="R361" i="8"/>
  <c r="S361" i="8"/>
  <c r="T361" i="8"/>
  <c r="U361" i="8"/>
  <c r="V361" i="8"/>
  <c r="W361" i="8"/>
  <c r="X361" i="8"/>
  <c r="Y361" i="8"/>
  <c r="Z361" i="8"/>
  <c r="AA361" i="8"/>
  <c r="AB361" i="8"/>
  <c r="AC361" i="8"/>
  <c r="R362" i="8"/>
  <c r="S362" i="8"/>
  <c r="T362" i="8"/>
  <c r="U362" i="8"/>
  <c r="V362" i="8"/>
  <c r="W362" i="8"/>
  <c r="X362" i="8"/>
  <c r="Y362" i="8"/>
  <c r="Z362" i="8"/>
  <c r="AA362" i="8"/>
  <c r="AB362" i="8"/>
  <c r="AC362" i="8"/>
  <c r="R363" i="8"/>
  <c r="S363" i="8"/>
  <c r="T363" i="8"/>
  <c r="U363" i="8"/>
  <c r="V363" i="8"/>
  <c r="W363" i="8"/>
  <c r="X363" i="8"/>
  <c r="Y363" i="8"/>
  <c r="Z363" i="8"/>
  <c r="AA363" i="8"/>
  <c r="AB363" i="8"/>
  <c r="AC363" i="8"/>
  <c r="R364" i="8"/>
  <c r="S364" i="8"/>
  <c r="T364" i="8"/>
  <c r="U364" i="8"/>
  <c r="V364" i="8"/>
  <c r="W364" i="8"/>
  <c r="X364" i="8"/>
  <c r="Y364" i="8"/>
  <c r="Z364" i="8"/>
  <c r="AA364" i="8"/>
  <c r="AB364" i="8"/>
  <c r="AC364" i="8"/>
  <c r="R365" i="8"/>
  <c r="S365" i="8"/>
  <c r="T365" i="8"/>
  <c r="U365" i="8"/>
  <c r="V365" i="8"/>
  <c r="W365" i="8"/>
  <c r="X365" i="8"/>
  <c r="Y365" i="8"/>
  <c r="Z365" i="8"/>
  <c r="AA365" i="8"/>
  <c r="AB365" i="8"/>
  <c r="AC365" i="8"/>
  <c r="R366" i="8"/>
  <c r="S366" i="8"/>
  <c r="T366" i="8"/>
  <c r="U366" i="8"/>
  <c r="V366" i="8"/>
  <c r="W366" i="8"/>
  <c r="X366" i="8"/>
  <c r="Y366" i="8"/>
  <c r="Z366" i="8"/>
  <c r="AA366" i="8"/>
  <c r="AB366" i="8"/>
  <c r="AC366" i="8"/>
  <c r="R367" i="8"/>
  <c r="S367" i="8"/>
  <c r="T367" i="8"/>
  <c r="U367" i="8"/>
  <c r="V367" i="8"/>
  <c r="W367" i="8"/>
  <c r="X367" i="8"/>
  <c r="Y367" i="8"/>
  <c r="Z367" i="8"/>
  <c r="AA367" i="8"/>
  <c r="AB367" i="8"/>
  <c r="AC367" i="8"/>
  <c r="R34" i="8"/>
  <c r="S34" i="8"/>
  <c r="T34" i="8"/>
  <c r="U34" i="8"/>
  <c r="V34" i="8"/>
  <c r="W34" i="8"/>
  <c r="X34" i="8"/>
  <c r="Y34" i="8"/>
  <c r="Z34" i="8"/>
  <c r="AA34" i="8"/>
  <c r="AB34" i="8"/>
  <c r="AC34" i="8"/>
  <c r="R368" i="8"/>
  <c r="S368" i="8"/>
  <c r="T368" i="8"/>
  <c r="U368" i="8"/>
  <c r="V368" i="8"/>
  <c r="W368" i="8"/>
  <c r="X368" i="8"/>
  <c r="Y368" i="8"/>
  <c r="Z368" i="8"/>
  <c r="AA368" i="8"/>
  <c r="AB368" i="8"/>
  <c r="AC368" i="8"/>
  <c r="R369" i="8"/>
  <c r="S369" i="8"/>
  <c r="T369" i="8"/>
  <c r="U369" i="8"/>
  <c r="V369" i="8"/>
  <c r="W369" i="8"/>
  <c r="X369" i="8"/>
  <c r="Y369" i="8"/>
  <c r="Z369" i="8"/>
  <c r="AA369" i="8"/>
  <c r="AB369" i="8"/>
  <c r="AC369" i="8"/>
  <c r="R370" i="8"/>
  <c r="S370" i="8"/>
  <c r="T370" i="8"/>
  <c r="U370" i="8"/>
  <c r="V370" i="8"/>
  <c r="W370" i="8"/>
  <c r="X370" i="8"/>
  <c r="Y370" i="8"/>
  <c r="Z370" i="8"/>
  <c r="AA370" i="8"/>
  <c r="AB370" i="8"/>
  <c r="AC370" i="8"/>
  <c r="R35" i="8"/>
  <c r="S35" i="8"/>
  <c r="T35" i="8"/>
  <c r="U35" i="8"/>
  <c r="V35" i="8"/>
  <c r="W35" i="8"/>
  <c r="X35" i="8"/>
  <c r="Y35" i="8"/>
  <c r="Z35" i="8"/>
  <c r="AA35" i="8"/>
  <c r="AB35" i="8"/>
  <c r="AC35" i="8"/>
  <c r="R371" i="8"/>
  <c r="S371" i="8"/>
  <c r="T371" i="8"/>
  <c r="U371" i="8"/>
  <c r="V371" i="8"/>
  <c r="W371" i="8"/>
  <c r="X371" i="8"/>
  <c r="Y371" i="8"/>
  <c r="Z371" i="8"/>
  <c r="AA371" i="8"/>
  <c r="AB371" i="8"/>
  <c r="AC371" i="8"/>
  <c r="R372" i="8"/>
  <c r="S372" i="8"/>
  <c r="T372" i="8"/>
  <c r="U372" i="8"/>
  <c r="V372" i="8"/>
  <c r="W372" i="8"/>
  <c r="X372" i="8"/>
  <c r="Y372" i="8"/>
  <c r="Z372" i="8"/>
  <c r="AA372" i="8"/>
  <c r="AB372" i="8"/>
  <c r="AC372" i="8"/>
  <c r="R373" i="8"/>
  <c r="S373" i="8"/>
  <c r="T373" i="8"/>
  <c r="U373" i="8"/>
  <c r="V373" i="8"/>
  <c r="W373" i="8"/>
  <c r="X373" i="8"/>
  <c r="Y373" i="8"/>
  <c r="Z373" i="8"/>
  <c r="AA373" i="8"/>
  <c r="AB373" i="8"/>
  <c r="AC373" i="8"/>
  <c r="R374" i="8"/>
  <c r="S374" i="8"/>
  <c r="T374" i="8"/>
  <c r="U374" i="8"/>
  <c r="V374" i="8"/>
  <c r="W374" i="8"/>
  <c r="X374" i="8"/>
  <c r="Y374" i="8"/>
  <c r="Z374" i="8"/>
  <c r="AA374" i="8"/>
  <c r="AB374" i="8"/>
  <c r="AC374" i="8"/>
  <c r="R375" i="8"/>
  <c r="S375" i="8"/>
  <c r="T375" i="8"/>
  <c r="U375" i="8"/>
  <c r="V375" i="8"/>
  <c r="W375" i="8"/>
  <c r="X375" i="8"/>
  <c r="Y375" i="8"/>
  <c r="Z375" i="8"/>
  <c r="AA375" i="8"/>
  <c r="AB375" i="8"/>
  <c r="AC375" i="8"/>
  <c r="R376" i="8"/>
  <c r="S376" i="8"/>
  <c r="T376" i="8"/>
  <c r="U376" i="8"/>
  <c r="V376" i="8"/>
  <c r="W376" i="8"/>
  <c r="X376" i="8"/>
  <c r="Y376" i="8"/>
  <c r="Z376" i="8"/>
  <c r="AA376" i="8"/>
  <c r="AB376" i="8"/>
  <c r="AC376" i="8"/>
  <c r="R377" i="8"/>
  <c r="S377" i="8"/>
  <c r="T377" i="8"/>
  <c r="U377" i="8"/>
  <c r="V377" i="8"/>
  <c r="W377" i="8"/>
  <c r="X377" i="8"/>
  <c r="Y377" i="8"/>
  <c r="Z377" i="8"/>
  <c r="AA377" i="8"/>
  <c r="AB377" i="8"/>
  <c r="AC377" i="8"/>
  <c r="R378" i="8"/>
  <c r="S378" i="8"/>
  <c r="T378" i="8"/>
  <c r="U378" i="8"/>
  <c r="V378" i="8"/>
  <c r="W378" i="8"/>
  <c r="X378" i="8"/>
  <c r="Y378" i="8"/>
  <c r="Z378" i="8"/>
  <c r="AA378" i="8"/>
  <c r="AB378" i="8"/>
  <c r="AC378" i="8"/>
  <c r="R379" i="8"/>
  <c r="S379" i="8"/>
  <c r="T379" i="8"/>
  <c r="U379" i="8"/>
  <c r="V379" i="8"/>
  <c r="W379" i="8"/>
  <c r="X379" i="8"/>
  <c r="Y379" i="8"/>
  <c r="Z379" i="8"/>
  <c r="AA379" i="8"/>
  <c r="AB379" i="8"/>
  <c r="AC379" i="8"/>
  <c r="R380" i="8"/>
  <c r="S380" i="8"/>
  <c r="T380" i="8"/>
  <c r="U380" i="8"/>
  <c r="V380" i="8"/>
  <c r="W380" i="8"/>
  <c r="X380" i="8"/>
  <c r="Y380" i="8"/>
  <c r="Z380" i="8"/>
  <c r="AA380" i="8"/>
  <c r="AB380" i="8"/>
  <c r="AC380" i="8"/>
  <c r="R381" i="8"/>
  <c r="S381" i="8"/>
  <c r="T381" i="8"/>
  <c r="U381" i="8"/>
  <c r="V381" i="8"/>
  <c r="W381" i="8"/>
  <c r="X381" i="8"/>
  <c r="Y381" i="8"/>
  <c r="Z381" i="8"/>
  <c r="AA381" i="8"/>
  <c r="AB381" i="8"/>
  <c r="AC381" i="8"/>
  <c r="R382" i="8"/>
  <c r="S382" i="8"/>
  <c r="T382" i="8"/>
  <c r="U382" i="8"/>
  <c r="V382" i="8"/>
  <c r="W382" i="8"/>
  <c r="X382" i="8"/>
  <c r="Y382" i="8"/>
  <c r="Z382" i="8"/>
  <c r="AA382" i="8"/>
  <c r="AB382" i="8"/>
  <c r="AC382" i="8"/>
  <c r="R383" i="8"/>
  <c r="S383" i="8"/>
  <c r="T383" i="8"/>
  <c r="U383" i="8"/>
  <c r="V383" i="8"/>
  <c r="W383" i="8"/>
  <c r="X383" i="8"/>
  <c r="Y383" i="8"/>
  <c r="Z383" i="8"/>
  <c r="AA383" i="8"/>
  <c r="AB383" i="8"/>
  <c r="AC383" i="8"/>
  <c r="R384" i="8"/>
  <c r="S384" i="8"/>
  <c r="T384" i="8"/>
  <c r="U384" i="8"/>
  <c r="V384" i="8"/>
  <c r="W384" i="8"/>
  <c r="X384" i="8"/>
  <c r="Y384" i="8"/>
  <c r="Z384" i="8"/>
  <c r="AA384" i="8"/>
  <c r="AB384" i="8"/>
  <c r="AC384" i="8"/>
  <c r="R385" i="8"/>
  <c r="S385" i="8"/>
  <c r="T385" i="8"/>
  <c r="U385" i="8"/>
  <c r="V385" i="8"/>
  <c r="W385" i="8"/>
  <c r="X385" i="8"/>
  <c r="Y385" i="8"/>
  <c r="Z385" i="8"/>
  <c r="AA385" i="8"/>
  <c r="AB385" i="8"/>
  <c r="AC385" i="8"/>
  <c r="R36" i="8"/>
  <c r="S36" i="8"/>
  <c r="T36" i="8"/>
  <c r="U36" i="8"/>
  <c r="V36" i="8"/>
  <c r="W36" i="8"/>
  <c r="X36" i="8"/>
  <c r="Y36" i="8"/>
  <c r="Z36" i="8"/>
  <c r="AA36" i="8"/>
  <c r="AB36" i="8"/>
  <c r="AC36" i="8"/>
  <c r="R386" i="8"/>
  <c r="S386" i="8"/>
  <c r="T386" i="8"/>
  <c r="U386" i="8"/>
  <c r="V386" i="8"/>
  <c r="W386" i="8"/>
  <c r="X386" i="8"/>
  <c r="Y386" i="8"/>
  <c r="Z386" i="8"/>
  <c r="AA386" i="8"/>
  <c r="AB386" i="8"/>
  <c r="AC386" i="8"/>
  <c r="R387" i="8"/>
  <c r="S387" i="8"/>
  <c r="T387" i="8"/>
  <c r="U387" i="8"/>
  <c r="V387" i="8"/>
  <c r="W387" i="8"/>
  <c r="X387" i="8"/>
  <c r="Y387" i="8"/>
  <c r="Z387" i="8"/>
  <c r="AA387" i="8"/>
  <c r="AB387" i="8"/>
  <c r="AC387" i="8"/>
  <c r="R388" i="8"/>
  <c r="S388" i="8"/>
  <c r="T388" i="8"/>
  <c r="U388" i="8"/>
  <c r="V388" i="8"/>
  <c r="W388" i="8"/>
  <c r="X388" i="8"/>
  <c r="Y388" i="8"/>
  <c r="Z388" i="8"/>
  <c r="AA388" i="8"/>
  <c r="AB388" i="8"/>
  <c r="AC388" i="8"/>
  <c r="R389" i="8"/>
  <c r="S389" i="8"/>
  <c r="T389" i="8"/>
  <c r="U389" i="8"/>
  <c r="V389" i="8"/>
  <c r="W389" i="8"/>
  <c r="X389" i="8"/>
  <c r="Y389" i="8"/>
  <c r="Z389" i="8"/>
  <c r="AA389" i="8"/>
  <c r="AB389" i="8"/>
  <c r="AC389" i="8"/>
  <c r="R390" i="8"/>
  <c r="S390" i="8"/>
  <c r="T390" i="8"/>
  <c r="U390" i="8"/>
  <c r="V390" i="8"/>
  <c r="W390" i="8"/>
  <c r="X390" i="8"/>
  <c r="Y390" i="8"/>
  <c r="Z390" i="8"/>
  <c r="AA390" i="8"/>
  <c r="AB390" i="8"/>
  <c r="AC390" i="8"/>
  <c r="R391" i="8"/>
  <c r="S391" i="8"/>
  <c r="T391" i="8"/>
  <c r="U391" i="8"/>
  <c r="V391" i="8"/>
  <c r="W391" i="8"/>
  <c r="X391" i="8"/>
  <c r="Y391" i="8"/>
  <c r="Z391" i="8"/>
  <c r="AA391" i="8"/>
  <c r="AB391" i="8"/>
  <c r="AC391" i="8"/>
  <c r="R392" i="8"/>
  <c r="S392" i="8"/>
  <c r="T392" i="8"/>
  <c r="U392" i="8"/>
  <c r="V392" i="8"/>
  <c r="W392" i="8"/>
  <c r="X392" i="8"/>
  <c r="Y392" i="8"/>
  <c r="Z392" i="8"/>
  <c r="AA392" i="8"/>
  <c r="AB392" i="8"/>
  <c r="AC392" i="8"/>
  <c r="R393" i="8"/>
  <c r="S393" i="8"/>
  <c r="T393" i="8"/>
  <c r="U393" i="8"/>
  <c r="V393" i="8"/>
  <c r="W393" i="8"/>
  <c r="X393" i="8"/>
  <c r="Y393" i="8"/>
  <c r="Z393" i="8"/>
  <c r="AA393" i="8"/>
  <c r="AB393" i="8"/>
  <c r="AC393" i="8"/>
  <c r="R37" i="8"/>
  <c r="S37" i="8"/>
  <c r="T37" i="8"/>
  <c r="U37" i="8"/>
  <c r="V37" i="8"/>
  <c r="W37" i="8"/>
  <c r="X37" i="8"/>
  <c r="Y37" i="8"/>
  <c r="Z37" i="8"/>
  <c r="AA37" i="8"/>
  <c r="AB37" i="8"/>
  <c r="AC37" i="8"/>
  <c r="R394" i="8"/>
  <c r="S394" i="8"/>
  <c r="T394" i="8"/>
  <c r="U394" i="8"/>
  <c r="V394" i="8"/>
  <c r="W394" i="8"/>
  <c r="X394" i="8"/>
  <c r="Y394" i="8"/>
  <c r="Z394" i="8"/>
  <c r="AA394" i="8"/>
  <c r="AB394" i="8"/>
  <c r="AC394" i="8"/>
  <c r="R395" i="8"/>
  <c r="S395" i="8"/>
  <c r="T395" i="8"/>
  <c r="U395" i="8"/>
  <c r="V395" i="8"/>
  <c r="W395" i="8"/>
  <c r="X395" i="8"/>
  <c r="Y395" i="8"/>
  <c r="Z395" i="8"/>
  <c r="AA395" i="8"/>
  <c r="AB395" i="8"/>
  <c r="AC395" i="8"/>
  <c r="R396" i="8"/>
  <c r="S396" i="8"/>
  <c r="T396" i="8"/>
  <c r="U396" i="8"/>
  <c r="V396" i="8"/>
  <c r="W396" i="8"/>
  <c r="X396" i="8"/>
  <c r="Y396" i="8"/>
  <c r="Z396" i="8"/>
  <c r="AA396" i="8"/>
  <c r="AB396" i="8"/>
  <c r="AC396" i="8"/>
  <c r="R397" i="8"/>
  <c r="S397" i="8"/>
  <c r="T397" i="8"/>
  <c r="U397" i="8"/>
  <c r="V397" i="8"/>
  <c r="W397" i="8"/>
  <c r="X397" i="8"/>
  <c r="Y397" i="8"/>
  <c r="Z397" i="8"/>
  <c r="AA397" i="8"/>
  <c r="AB397" i="8"/>
  <c r="AC397" i="8"/>
  <c r="R398" i="8"/>
  <c r="S398" i="8"/>
  <c r="T398" i="8"/>
  <c r="U398" i="8"/>
  <c r="V398" i="8"/>
  <c r="W398" i="8"/>
  <c r="X398" i="8"/>
  <c r="Y398" i="8"/>
  <c r="Z398" i="8"/>
  <c r="AA398" i="8"/>
  <c r="AB398" i="8"/>
  <c r="AC398" i="8"/>
  <c r="R38" i="8"/>
  <c r="S38" i="8"/>
  <c r="T38" i="8"/>
  <c r="U38" i="8"/>
  <c r="V38" i="8"/>
  <c r="W38" i="8"/>
  <c r="X38" i="8"/>
  <c r="Y38" i="8"/>
  <c r="Z38" i="8"/>
  <c r="AA38" i="8"/>
  <c r="AB38" i="8"/>
  <c r="AC38" i="8"/>
  <c r="R399" i="8"/>
  <c r="S399" i="8"/>
  <c r="T399" i="8"/>
  <c r="U399" i="8"/>
  <c r="V399" i="8"/>
  <c r="W399" i="8"/>
  <c r="X399" i="8"/>
  <c r="Y399" i="8"/>
  <c r="Z399" i="8"/>
  <c r="AA399" i="8"/>
  <c r="AB399" i="8"/>
  <c r="AC399" i="8"/>
  <c r="R400" i="8"/>
  <c r="S400" i="8"/>
  <c r="T400" i="8"/>
  <c r="U400" i="8"/>
  <c r="V400" i="8"/>
  <c r="W400" i="8"/>
  <c r="X400" i="8"/>
  <c r="Y400" i="8"/>
  <c r="Z400" i="8"/>
  <c r="AA400" i="8"/>
  <c r="AB400" i="8"/>
  <c r="AC400" i="8"/>
  <c r="R401" i="8"/>
  <c r="S401" i="8"/>
  <c r="T401" i="8"/>
  <c r="U401" i="8"/>
  <c r="V401" i="8"/>
  <c r="W401" i="8"/>
  <c r="X401" i="8"/>
  <c r="Y401" i="8"/>
  <c r="Z401" i="8"/>
  <c r="AA401" i="8"/>
  <c r="AB401" i="8"/>
  <c r="AC401" i="8"/>
  <c r="R402" i="8"/>
  <c r="S402" i="8"/>
  <c r="T402" i="8"/>
  <c r="U402" i="8"/>
  <c r="V402" i="8"/>
  <c r="W402" i="8"/>
  <c r="X402" i="8"/>
  <c r="Y402" i="8"/>
  <c r="Z402" i="8"/>
  <c r="AA402" i="8"/>
  <c r="AB402" i="8"/>
  <c r="AC402" i="8"/>
  <c r="R403" i="8"/>
  <c r="S403" i="8"/>
  <c r="T403" i="8"/>
  <c r="U403" i="8"/>
  <c r="V403" i="8"/>
  <c r="W403" i="8"/>
  <c r="X403" i="8"/>
  <c r="Y403" i="8"/>
  <c r="Z403" i="8"/>
  <c r="AA403" i="8"/>
  <c r="AB403" i="8"/>
  <c r="AC403" i="8"/>
  <c r="R404" i="8"/>
  <c r="S404" i="8"/>
  <c r="T404" i="8"/>
  <c r="U404" i="8"/>
  <c r="V404" i="8"/>
  <c r="W404" i="8"/>
  <c r="X404" i="8"/>
  <c r="Y404" i="8"/>
  <c r="Z404" i="8"/>
  <c r="AA404" i="8"/>
  <c r="AB404" i="8"/>
  <c r="AC404" i="8"/>
  <c r="R405" i="8"/>
  <c r="S405" i="8"/>
  <c r="T405" i="8"/>
  <c r="U405" i="8"/>
  <c r="V405" i="8"/>
  <c r="W405" i="8"/>
  <c r="X405" i="8"/>
  <c r="Y405" i="8"/>
  <c r="Z405" i="8"/>
  <c r="AA405" i="8"/>
  <c r="AB405" i="8"/>
  <c r="AC405" i="8"/>
  <c r="R406" i="8"/>
  <c r="S406" i="8"/>
  <c r="T406" i="8"/>
  <c r="U406" i="8"/>
  <c r="V406" i="8"/>
  <c r="W406" i="8"/>
  <c r="X406" i="8"/>
  <c r="Y406" i="8"/>
  <c r="Z406" i="8"/>
  <c r="AA406" i="8"/>
  <c r="AB406" i="8"/>
  <c r="AC406" i="8"/>
  <c r="AC39" i="8"/>
  <c r="AB39" i="8"/>
  <c r="AA39" i="8"/>
  <c r="Z39" i="8"/>
  <c r="Y39" i="8"/>
  <c r="X39" i="8"/>
  <c r="W39" i="8"/>
  <c r="V39" i="8"/>
  <c r="U39" i="8"/>
  <c r="T39" i="8"/>
  <c r="S39" i="8"/>
  <c r="AP39" i="8"/>
  <c r="E39" i="8"/>
  <c r="F39" i="8"/>
  <c r="BA219" i="5"/>
  <c r="BA325" i="5"/>
  <c r="BA117" i="5"/>
  <c r="BA335" i="5"/>
  <c r="BA341" i="5"/>
  <c r="BA333" i="5"/>
  <c r="BA372" i="5"/>
  <c r="BA377" i="5"/>
  <c r="BA370" i="5"/>
  <c r="BA368" i="5"/>
  <c r="BA367" i="5"/>
  <c r="BA331" i="5"/>
  <c r="BA304" i="5"/>
  <c r="BA363" i="5"/>
  <c r="BA382" i="5"/>
  <c r="BA369" i="5"/>
  <c r="BA322" i="5"/>
  <c r="BA302" i="5"/>
  <c r="BA312" i="5"/>
  <c r="BA301" i="5"/>
  <c r="BA329" i="5"/>
  <c r="BA374" i="5"/>
  <c r="BA323" i="5"/>
  <c r="BA383" i="5"/>
  <c r="BA343" i="5"/>
  <c r="BA306" i="5"/>
  <c r="BA386" i="5"/>
  <c r="BA385" i="5"/>
  <c r="BA314" i="5"/>
  <c r="BA324" i="5"/>
  <c r="BA295" i="5"/>
  <c r="BA294" i="5"/>
  <c r="BA360" i="5"/>
  <c r="BA309" i="5"/>
  <c r="BA328" i="5"/>
  <c r="BA313" i="5"/>
  <c r="BA359" i="5"/>
  <c r="BA371" i="5"/>
  <c r="BA321" i="5"/>
  <c r="BA305" i="5"/>
  <c r="BA379" i="5"/>
  <c r="BA375" i="5"/>
  <c r="BA300" i="5"/>
  <c r="BA308" i="5"/>
  <c r="BA320" i="5"/>
  <c r="BA326" i="5"/>
  <c r="BA365" i="5"/>
  <c r="BA361" i="5"/>
  <c r="BA364" i="5"/>
  <c r="BA299" i="5"/>
  <c r="BA337" i="5"/>
  <c r="BA29" i="5"/>
  <c r="BA330" i="5"/>
  <c r="BA356" i="5"/>
  <c r="BA366" i="5"/>
  <c r="BA70" i="5"/>
  <c r="BA378" i="5"/>
  <c r="BA357" i="5"/>
  <c r="BA334" i="5"/>
  <c r="BA384" i="5"/>
  <c r="BA349" i="5"/>
  <c r="BA336" i="5"/>
  <c r="BA307" i="5"/>
  <c r="BA354" i="5"/>
  <c r="BA310" i="5"/>
  <c r="BA311" i="5"/>
  <c r="BA332" i="5"/>
  <c r="BA355" i="5"/>
  <c r="BA347" i="5"/>
  <c r="BA373" i="5"/>
  <c r="BA350" i="5"/>
  <c r="BA376" i="5"/>
  <c r="BA348" i="5"/>
  <c r="BA315" i="5"/>
  <c r="BA380" i="5"/>
  <c r="BA316" i="5"/>
  <c r="BA317" i="5"/>
  <c r="BA344" i="5"/>
  <c r="BA345" i="5"/>
  <c r="BA340" i="5"/>
  <c r="BA358" i="5"/>
  <c r="BA339" i="5"/>
  <c r="BA319" i="5"/>
  <c r="BA338" i="5"/>
  <c r="BA318" i="5"/>
  <c r="BA362" i="5"/>
  <c r="BA342" i="5"/>
  <c r="BA351" i="5"/>
  <c r="BA346" i="5"/>
  <c r="BA352" i="5"/>
  <c r="BA353" i="5"/>
  <c r="BA327" i="5"/>
  <c r="BA390" i="5"/>
  <c r="BF219" i="5"/>
  <c r="BF325" i="5"/>
  <c r="BF327" i="5"/>
  <c r="BF333" i="5"/>
  <c r="BF335" i="5"/>
  <c r="BF341" i="5"/>
  <c r="BF390" i="5"/>
  <c r="BF253" i="5"/>
  <c r="BF262" i="5"/>
  <c r="BF407" i="5"/>
  <c r="BF391" i="5"/>
  <c r="BF401" i="5"/>
  <c r="BF403" i="5"/>
  <c r="BF97" i="5"/>
  <c r="BF161" i="5"/>
  <c r="BF188" i="5"/>
  <c r="BF42" i="5"/>
  <c r="BF47" i="5"/>
  <c r="BF177" i="5"/>
  <c r="BF388" i="5"/>
  <c r="BF404" i="5"/>
  <c r="BF405" i="5"/>
  <c r="BF61" i="5"/>
  <c r="BF117" i="5"/>
  <c r="BF283" i="5"/>
  <c r="BF290" i="5"/>
  <c r="BF39" i="5"/>
  <c r="BF40" i="5"/>
  <c r="BF41" i="5"/>
  <c r="BF102" i="5"/>
  <c r="BF331" i="5"/>
  <c r="BF398" i="5"/>
  <c r="BF410" i="5"/>
  <c r="BF38" i="5"/>
  <c r="BF66" i="5"/>
  <c r="BF175" i="5"/>
  <c r="BF65" i="5"/>
  <c r="BF67" i="5"/>
  <c r="BF368" i="5"/>
  <c r="BF370" i="5"/>
  <c r="BF372" i="5"/>
  <c r="BF377" i="5"/>
  <c r="BF396" i="5"/>
  <c r="BF397" i="5"/>
  <c r="BF408" i="5"/>
  <c r="BF53" i="5"/>
  <c r="BF56" i="5"/>
  <c r="BF59" i="5"/>
  <c r="BF153" i="5"/>
  <c r="BF257" i="5"/>
  <c r="BF367" i="5"/>
  <c r="BF50" i="5"/>
  <c r="BF387" i="5"/>
  <c r="BF392" i="5"/>
  <c r="BF394" i="5"/>
  <c r="BF399" i="5"/>
  <c r="BF400" i="5"/>
  <c r="BF402" i="5"/>
  <c r="BF411" i="5"/>
  <c r="BF148" i="5"/>
  <c r="BF152" i="5"/>
  <c r="BF322" i="5"/>
  <c r="BF176" i="5"/>
  <c r="BF329" i="5"/>
  <c r="BF406" i="5"/>
  <c r="BF142" i="5"/>
  <c r="BF409" i="5"/>
  <c r="BF52" i="5"/>
  <c r="BF263" i="5"/>
  <c r="BF140" i="5"/>
  <c r="BF154" i="5"/>
  <c r="BF323" i="5"/>
  <c r="BF129" i="5"/>
  <c r="BF137" i="5"/>
  <c r="BF149" i="5"/>
  <c r="BF256" i="5"/>
  <c r="BF179" i="5"/>
  <c r="BF244" i="5"/>
  <c r="BF246" i="5"/>
  <c r="BF124" i="5"/>
  <c r="BF255" i="5"/>
  <c r="BF27" i="5"/>
  <c r="BF225" i="5"/>
  <c r="BF304" i="5"/>
  <c r="BF395" i="5"/>
  <c r="BF118" i="5"/>
  <c r="BF209" i="5"/>
  <c r="BF241" i="5"/>
  <c r="BF243" i="5"/>
  <c r="BF245" i="5"/>
  <c r="BF363" i="5"/>
  <c r="BF389" i="5"/>
  <c r="BF123" i="5"/>
  <c r="BF8" i="5"/>
  <c r="BF343" i="5"/>
  <c r="BF369" i="5"/>
  <c r="BF382" i="5"/>
  <c r="BF269" i="5"/>
  <c r="BF138" i="5"/>
  <c r="BF183" i="5"/>
  <c r="BF221" i="5"/>
  <c r="BF240" i="5"/>
  <c r="BF242" i="5"/>
  <c r="BF60" i="5"/>
  <c r="BF254" i="5"/>
  <c r="BF247" i="5"/>
  <c r="BF393" i="5"/>
  <c r="BF74" i="5"/>
  <c r="BF216" i="5"/>
  <c r="BF239" i="5"/>
  <c r="BF301" i="5"/>
  <c r="BF302" i="5"/>
  <c r="BF312" i="5"/>
  <c r="BF105" i="5"/>
  <c r="BF139" i="5"/>
  <c r="BF88" i="5"/>
  <c r="BF15" i="5"/>
  <c r="BF181" i="5"/>
  <c r="BF324" i="5"/>
  <c r="BF374" i="5"/>
  <c r="BF55" i="5"/>
  <c r="BF87" i="5"/>
  <c r="BF131" i="5"/>
  <c r="BF178" i="5"/>
  <c r="BF5" i="5"/>
  <c r="BF23" i="5"/>
  <c r="BF24" i="5"/>
  <c r="BF25" i="5"/>
  <c r="BF26" i="5"/>
  <c r="BF9" i="5"/>
  <c r="BF136" i="5"/>
  <c r="BF180" i="5"/>
  <c r="BF220" i="5"/>
  <c r="BF252" i="5"/>
  <c r="BF114" i="5"/>
  <c r="BF224" i="5"/>
  <c r="BF264" i="5"/>
  <c r="BF10" i="5"/>
  <c r="BF132" i="5"/>
  <c r="BF147" i="5"/>
  <c r="BF173" i="5"/>
  <c r="BF22" i="5"/>
  <c r="BF217" i="5"/>
  <c r="BF383" i="5"/>
  <c r="BF284" i="5"/>
  <c r="BE284" i="5"/>
  <c r="E117" i="7"/>
  <c r="E118" i="7"/>
  <c r="E119" i="7"/>
  <c r="E120" i="7"/>
  <c r="E121" i="7"/>
  <c r="E122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00" i="7"/>
  <c r="E101" i="7"/>
  <c r="E45" i="7"/>
  <c r="E46" i="7"/>
  <c r="E33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3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4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34" i="7"/>
  <c r="E35" i="7"/>
  <c r="E36" i="7"/>
  <c r="E37" i="7"/>
  <c r="E38" i="7"/>
  <c r="E39" i="7"/>
  <c r="E40" i="7"/>
  <c r="E41" i="7"/>
  <c r="E42" i="7"/>
  <c r="E43" i="7"/>
  <c r="E27" i="7"/>
  <c r="E28" i="7"/>
  <c r="E29" i="7"/>
  <c r="E30" i="7"/>
  <c r="E31" i="7"/>
  <c r="E32" i="7"/>
  <c r="E116" i="7"/>
  <c r="AM291" i="5"/>
  <c r="T42" i="2"/>
  <c r="T22" i="2"/>
  <c r="K46" i="2"/>
  <c r="K42" i="2"/>
  <c r="K22" i="2"/>
  <c r="BE386" i="5"/>
  <c r="BE38" i="5"/>
  <c r="BE39" i="5"/>
  <c r="BE40" i="5"/>
  <c r="BE41" i="5"/>
  <c r="BE42" i="5"/>
  <c r="BE43" i="5"/>
  <c r="BE44" i="5"/>
  <c r="BE45" i="5"/>
  <c r="BE46" i="5"/>
  <c r="BE47" i="5"/>
  <c r="BE48" i="5"/>
  <c r="BE49" i="5"/>
  <c r="BE50" i="5"/>
  <c r="BE51" i="5"/>
  <c r="BE52" i="5"/>
  <c r="BE53" i="5"/>
  <c r="BE263" i="5"/>
  <c r="BE54" i="5"/>
  <c r="BE264" i="5"/>
  <c r="BE265" i="5"/>
  <c r="BE55" i="5"/>
  <c r="BE56" i="5"/>
  <c r="BE57" i="5"/>
  <c r="BE58" i="5"/>
  <c r="BE59" i="5"/>
  <c r="BE60" i="5"/>
  <c r="BE61" i="5"/>
  <c r="BE62" i="5"/>
  <c r="BE63" i="5"/>
  <c r="BE64" i="5"/>
  <c r="BE65" i="5"/>
  <c r="BE66" i="5"/>
  <c r="BE67" i="5"/>
  <c r="BE68" i="5"/>
  <c r="BE69" i="5"/>
  <c r="BE70" i="5"/>
  <c r="BE71" i="5"/>
  <c r="BE72" i="5"/>
  <c r="BE9" i="5"/>
  <c r="BE73" i="5"/>
  <c r="BE74" i="5"/>
  <c r="BE75" i="5"/>
  <c r="BE76" i="5"/>
  <c r="BE77" i="5"/>
  <c r="BE78" i="5"/>
  <c r="BE79" i="5"/>
  <c r="BE80" i="5"/>
  <c r="BE81" i="5"/>
  <c r="BE266" i="5"/>
  <c r="BE82" i="5"/>
  <c r="BE83" i="5"/>
  <c r="BE84" i="5"/>
  <c r="BE85" i="5"/>
  <c r="BE258" i="5"/>
  <c r="BE259" i="5"/>
  <c r="BE86" i="5"/>
  <c r="BE260" i="5"/>
  <c r="BE252" i="5"/>
  <c r="BE87" i="5"/>
  <c r="BE88" i="5"/>
  <c r="BE89" i="5"/>
  <c r="BE90" i="5"/>
  <c r="BE91" i="5"/>
  <c r="BE92" i="5"/>
  <c r="BE10" i="5"/>
  <c r="BE11" i="5"/>
  <c r="BE93" i="5"/>
  <c r="BE94" i="5"/>
  <c r="BE95" i="5"/>
  <c r="BE261" i="5"/>
  <c r="BE96" i="5"/>
  <c r="BE253" i="5"/>
  <c r="BE262" i="5"/>
  <c r="BE97" i="5"/>
  <c r="BE98" i="5"/>
  <c r="BE99" i="5"/>
  <c r="BE100" i="5"/>
  <c r="BE101" i="5"/>
  <c r="BE102" i="5"/>
  <c r="BE103" i="5"/>
  <c r="BE104" i="5"/>
  <c r="BE105" i="5"/>
  <c r="BE106" i="5"/>
  <c r="BE107" i="5"/>
  <c r="BE108" i="5"/>
  <c r="BE109" i="5"/>
  <c r="BE110" i="5"/>
  <c r="BE111" i="5"/>
  <c r="BE112" i="5"/>
  <c r="BE113" i="5"/>
  <c r="BE114" i="5"/>
  <c r="BE2" i="5"/>
  <c r="BE115" i="5"/>
  <c r="BE116" i="5"/>
  <c r="BE267" i="5"/>
  <c r="BE268" i="5"/>
  <c r="BE12" i="5"/>
  <c r="BE117" i="5"/>
  <c r="BE13" i="5"/>
  <c r="BE269" i="5"/>
  <c r="BE118" i="5"/>
  <c r="BE270" i="5"/>
  <c r="BE271" i="5"/>
  <c r="BE14" i="5"/>
  <c r="BE119" i="5"/>
  <c r="BE120" i="5"/>
  <c r="BE272" i="5"/>
  <c r="BE121" i="5"/>
  <c r="BE122" i="5"/>
  <c r="BE123" i="5"/>
  <c r="BE124" i="5"/>
  <c r="BE15" i="5"/>
  <c r="BE273" i="5"/>
  <c r="BE125" i="5"/>
  <c r="BE126" i="5"/>
  <c r="BE274" i="5"/>
  <c r="BE127" i="5"/>
  <c r="BE128" i="5"/>
  <c r="BE129" i="5"/>
  <c r="BE130" i="5"/>
  <c r="BE131" i="5"/>
  <c r="BE132" i="5"/>
  <c r="BE3" i="5"/>
  <c r="BE133" i="5"/>
  <c r="BE134" i="5"/>
  <c r="BE4" i="5"/>
  <c r="BE135" i="5"/>
  <c r="BE136" i="5"/>
  <c r="BE254" i="5"/>
  <c r="BE137" i="5"/>
  <c r="BE138" i="5"/>
  <c r="BE139" i="5"/>
  <c r="BE140" i="5"/>
  <c r="BE141" i="5"/>
  <c r="BE142" i="5"/>
  <c r="BE143" i="5"/>
  <c r="BE144" i="5"/>
  <c r="BE145" i="5"/>
  <c r="BE146" i="5"/>
  <c r="BE275" i="5"/>
  <c r="BE147" i="5"/>
  <c r="BE148" i="5"/>
  <c r="BE149" i="5"/>
  <c r="BE150" i="5"/>
  <c r="BE276" i="5"/>
  <c r="BE277" i="5"/>
  <c r="BE278" i="5"/>
  <c r="BE151" i="5"/>
  <c r="BE152" i="5"/>
  <c r="BE279" i="5"/>
  <c r="BE153" i="5"/>
  <c r="BE154" i="5"/>
  <c r="BE155" i="5"/>
  <c r="BE156" i="5"/>
  <c r="BE157" i="5"/>
  <c r="BE158" i="5"/>
  <c r="BE159" i="5"/>
  <c r="BE160" i="5"/>
  <c r="BE161" i="5"/>
  <c r="BE162" i="5"/>
  <c r="BE255" i="5"/>
  <c r="BE256" i="5"/>
  <c r="BE163" i="5"/>
  <c r="BE164" i="5"/>
  <c r="BE165" i="5"/>
  <c r="BE166" i="5"/>
  <c r="BE16" i="5"/>
  <c r="BE17" i="5"/>
  <c r="BE18" i="5"/>
  <c r="BE167" i="5"/>
  <c r="BE168" i="5"/>
  <c r="BE169" i="5"/>
  <c r="BE170" i="5"/>
  <c r="BE171" i="5"/>
  <c r="BE172" i="5"/>
  <c r="BE173" i="5"/>
  <c r="BE174" i="5"/>
  <c r="BE175" i="5"/>
  <c r="BE176" i="5"/>
  <c r="BE177" i="5"/>
  <c r="BE178" i="5"/>
  <c r="BE179" i="5"/>
  <c r="BE180" i="5"/>
  <c r="BE181" i="5"/>
  <c r="BE182" i="5"/>
  <c r="BE183" i="5"/>
  <c r="BE184" i="5"/>
  <c r="BE185" i="5"/>
  <c r="BE186" i="5"/>
  <c r="BE187" i="5"/>
  <c r="BE188" i="5"/>
  <c r="BE189" i="5"/>
  <c r="BE190" i="5"/>
  <c r="BE191" i="5"/>
  <c r="BE192" i="5"/>
  <c r="BE280" i="5"/>
  <c r="BE281" i="5"/>
  <c r="BE282" i="5"/>
  <c r="BE193" i="5"/>
  <c r="BE194" i="5"/>
  <c r="BE195" i="5"/>
  <c r="BE283" i="5"/>
  <c r="BE285" i="5"/>
  <c r="BE286" i="5"/>
  <c r="BE5" i="5"/>
  <c r="BE287" i="5"/>
  <c r="BE288" i="5"/>
  <c r="BE289" i="5"/>
  <c r="BE290" i="5"/>
  <c r="BE196" i="5"/>
  <c r="BE197" i="5"/>
  <c r="BE198" i="5"/>
  <c r="BE199" i="5"/>
  <c r="BE292" i="5"/>
  <c r="BE200" i="5"/>
  <c r="BE21" i="5"/>
  <c r="BE201" i="5"/>
  <c r="BE202" i="5"/>
  <c r="BE203" i="5"/>
  <c r="BE204" i="5"/>
  <c r="BE205" i="5"/>
  <c r="BE206" i="5"/>
  <c r="BE22" i="5"/>
  <c r="BE23" i="5"/>
  <c r="BE24" i="5"/>
  <c r="BE207" i="5"/>
  <c r="BE25" i="5"/>
  <c r="BE26" i="5"/>
  <c r="BE6" i="5"/>
  <c r="BE7" i="5"/>
  <c r="BE208" i="5"/>
  <c r="BE209" i="5"/>
  <c r="BE293" i="5"/>
  <c r="BE210" i="5"/>
  <c r="BE211" i="5"/>
  <c r="BE212" i="5"/>
  <c r="BE257" i="5"/>
  <c r="BE213" i="5"/>
  <c r="BE27" i="5"/>
  <c r="BE214" i="5"/>
  <c r="BE215" i="5"/>
  <c r="BE216" i="5"/>
  <c r="BE217" i="5"/>
  <c r="BE218" i="5"/>
  <c r="BE28" i="5"/>
  <c r="BE219" i="5"/>
  <c r="BE220" i="5"/>
  <c r="BE221" i="5"/>
  <c r="BE222" i="5"/>
  <c r="BE223" i="5"/>
  <c r="BE224" i="5"/>
  <c r="BE225" i="5"/>
  <c r="BE226" i="5"/>
  <c r="BE227" i="5"/>
  <c r="BE228" i="5"/>
  <c r="BE294" i="5"/>
  <c r="BE295" i="5"/>
  <c r="BE8" i="5"/>
  <c r="BE229" i="5"/>
  <c r="BE230" i="5"/>
  <c r="BE231" i="5"/>
  <c r="BE296" i="5"/>
  <c r="BE232" i="5"/>
  <c r="BE29" i="5"/>
  <c r="BE30" i="5"/>
  <c r="BE31" i="5"/>
  <c r="BE32" i="5"/>
  <c r="BE33" i="5"/>
  <c r="BE233" i="5"/>
  <c r="BE34" i="5"/>
  <c r="BE234" i="5"/>
  <c r="BE235" i="5"/>
  <c r="BE236" i="5"/>
  <c r="BE237" i="5"/>
  <c r="BE238" i="5"/>
  <c r="BE239" i="5"/>
  <c r="BE240" i="5"/>
  <c r="BE241" i="5"/>
  <c r="BE242" i="5"/>
  <c r="BE243" i="5"/>
  <c r="BE244" i="5"/>
  <c r="BE245" i="5"/>
  <c r="BE246" i="5"/>
  <c r="BE247" i="5"/>
  <c r="BE248" i="5"/>
  <c r="BE249" i="5"/>
  <c r="BE35" i="5"/>
  <c r="BE297" i="5"/>
  <c r="BE36" i="5"/>
  <c r="BE37" i="5"/>
  <c r="BE250" i="5"/>
  <c r="BE251" i="5"/>
  <c r="BE299" i="5"/>
  <c r="BE300" i="5"/>
  <c r="BE301" i="5"/>
  <c r="BE302" i="5"/>
  <c r="BE304" i="5"/>
  <c r="BE305" i="5"/>
  <c r="BE306" i="5"/>
  <c r="BE307" i="5"/>
  <c r="BE308" i="5"/>
  <c r="BE309" i="5"/>
  <c r="BE310" i="5"/>
  <c r="BE311" i="5"/>
  <c r="BE312" i="5"/>
  <c r="BE313" i="5"/>
  <c r="BE314" i="5"/>
  <c r="BE315" i="5"/>
  <c r="BE316" i="5"/>
  <c r="BE317" i="5"/>
  <c r="BE318" i="5"/>
  <c r="BE319" i="5"/>
  <c r="BE320" i="5"/>
  <c r="BE321" i="5"/>
  <c r="BE322" i="5"/>
  <c r="BE323" i="5"/>
  <c r="BE324" i="5"/>
  <c r="BE325" i="5"/>
  <c r="BE326" i="5"/>
  <c r="BE327" i="5"/>
  <c r="BE328" i="5"/>
  <c r="BE329" i="5"/>
  <c r="BE330" i="5"/>
  <c r="BE331" i="5"/>
  <c r="BE332" i="5"/>
  <c r="BE333" i="5"/>
  <c r="BE334" i="5"/>
  <c r="BE335" i="5"/>
  <c r="BE337" i="5"/>
  <c r="BE338" i="5"/>
  <c r="BE339" i="5"/>
  <c r="BE340" i="5"/>
  <c r="BE341" i="5"/>
  <c r="BE342" i="5"/>
  <c r="BE343" i="5"/>
  <c r="BE344" i="5"/>
  <c r="BE345" i="5"/>
  <c r="BE346" i="5"/>
  <c r="BE336" i="5"/>
  <c r="BE347" i="5"/>
  <c r="BE348" i="5"/>
  <c r="BE349" i="5"/>
  <c r="BE350" i="5"/>
  <c r="BE351" i="5"/>
  <c r="BE352" i="5"/>
  <c r="BE353" i="5"/>
  <c r="BE354" i="5"/>
  <c r="BE355" i="5"/>
  <c r="BE356" i="5"/>
  <c r="BE357" i="5"/>
  <c r="BE358" i="5"/>
  <c r="BE359" i="5"/>
  <c r="BE360" i="5"/>
  <c r="BE361" i="5"/>
  <c r="BE362" i="5"/>
  <c r="BE363" i="5"/>
  <c r="BE364" i="5"/>
  <c r="BE365" i="5"/>
  <c r="BE366" i="5"/>
  <c r="BE367" i="5"/>
  <c r="BE368" i="5"/>
  <c r="BE369" i="5"/>
  <c r="BE370" i="5"/>
  <c r="BE371" i="5"/>
  <c r="BE372" i="5"/>
  <c r="BE373" i="5"/>
  <c r="BE374" i="5"/>
  <c r="BE375" i="5"/>
  <c r="BE376" i="5"/>
  <c r="BE377" i="5"/>
  <c r="BE378" i="5"/>
  <c r="BE379" i="5"/>
  <c r="BE380" i="5"/>
  <c r="BE382" i="5"/>
  <c r="BE383" i="5"/>
  <c r="BE384" i="5"/>
  <c r="BE385" i="5"/>
  <c r="BE387" i="5"/>
  <c r="BE388" i="5"/>
  <c r="BE389" i="5"/>
  <c r="BE390" i="5"/>
  <c r="BE391" i="5"/>
  <c r="BE392" i="5"/>
  <c r="BE393" i="5"/>
  <c r="BE394" i="5"/>
  <c r="BE395" i="5"/>
  <c r="BE396" i="5"/>
  <c r="BE397" i="5"/>
  <c r="BE398" i="5"/>
  <c r="BE399" i="5"/>
  <c r="BE400" i="5"/>
  <c r="BE401" i="5"/>
  <c r="BE402" i="5"/>
  <c r="BE403" i="5"/>
  <c r="BE404" i="5"/>
  <c r="BE405" i="5"/>
  <c r="BE406" i="5"/>
  <c r="BE407" i="5"/>
  <c r="BE408" i="5"/>
  <c r="BE409" i="5"/>
  <c r="BE410" i="5"/>
  <c r="BE411" i="5"/>
  <c r="BE291" i="5"/>
  <c r="BC291" i="5"/>
  <c r="BC386" i="5"/>
  <c r="BC38" i="5"/>
  <c r="BC39" i="5"/>
  <c r="BC40" i="5"/>
  <c r="BC41" i="5"/>
  <c r="BC42" i="5"/>
  <c r="BC43" i="5"/>
  <c r="BC44" i="5"/>
  <c r="BC45" i="5"/>
  <c r="BC46" i="5"/>
  <c r="BC47" i="5"/>
  <c r="BC48" i="5"/>
  <c r="BC49" i="5"/>
  <c r="BC50" i="5"/>
  <c r="BC51" i="5"/>
  <c r="BC52" i="5"/>
  <c r="BC53" i="5"/>
  <c r="BC263" i="5"/>
  <c r="BC54" i="5"/>
  <c r="BC264" i="5"/>
  <c r="BC265" i="5"/>
  <c r="BC55" i="5"/>
  <c r="BC56" i="5"/>
  <c r="BC57" i="5"/>
  <c r="BC58" i="5"/>
  <c r="BC59" i="5"/>
  <c r="BC60" i="5"/>
  <c r="BC61" i="5"/>
  <c r="BC62" i="5"/>
  <c r="BC63" i="5"/>
  <c r="BC64" i="5"/>
  <c r="BC65" i="5"/>
  <c r="BC66" i="5"/>
  <c r="BC67" i="5"/>
  <c r="BC68" i="5"/>
  <c r="BC69" i="5"/>
  <c r="BC70" i="5"/>
  <c r="BC71" i="5"/>
  <c r="BC72" i="5"/>
  <c r="BC9" i="5"/>
  <c r="BC73" i="5"/>
  <c r="BC74" i="5"/>
  <c r="BC75" i="5"/>
  <c r="BC76" i="5"/>
  <c r="BC77" i="5"/>
  <c r="BC78" i="5"/>
  <c r="BC79" i="5"/>
  <c r="BC80" i="5"/>
  <c r="BC81" i="5"/>
  <c r="BC266" i="5"/>
  <c r="BC82" i="5"/>
  <c r="BC83" i="5"/>
  <c r="BC84" i="5"/>
  <c r="BC85" i="5"/>
  <c r="BC258" i="5"/>
  <c r="BC259" i="5"/>
  <c r="BC86" i="5"/>
  <c r="BC260" i="5"/>
  <c r="BC252" i="5"/>
  <c r="BC87" i="5"/>
  <c r="BC88" i="5"/>
  <c r="BC89" i="5"/>
  <c r="BC90" i="5"/>
  <c r="BC91" i="5"/>
  <c r="BC92" i="5"/>
  <c r="BC10" i="5"/>
  <c r="BC11" i="5"/>
  <c r="BC93" i="5"/>
  <c r="BC94" i="5"/>
  <c r="BC95" i="5"/>
  <c r="BC261" i="5"/>
  <c r="BC96" i="5"/>
  <c r="BC253" i="5"/>
  <c r="BC262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2" i="5"/>
  <c r="BC115" i="5"/>
  <c r="BC116" i="5"/>
  <c r="BC267" i="5"/>
  <c r="BC268" i="5"/>
  <c r="BC12" i="5"/>
  <c r="BC117" i="5"/>
  <c r="BC13" i="5"/>
  <c r="BC269" i="5"/>
  <c r="BC270" i="5"/>
  <c r="BC271" i="5"/>
  <c r="BC14" i="5"/>
  <c r="BC119" i="5"/>
  <c r="BC120" i="5"/>
  <c r="BC272" i="5"/>
  <c r="BC121" i="5"/>
  <c r="BC122" i="5"/>
  <c r="BC123" i="5"/>
  <c r="BC124" i="5"/>
  <c r="BC15" i="5"/>
  <c r="BC273" i="5"/>
  <c r="BC125" i="5"/>
  <c r="BC126" i="5"/>
  <c r="BC274" i="5"/>
  <c r="BC127" i="5"/>
  <c r="BC128" i="5"/>
  <c r="BC129" i="5"/>
  <c r="BC130" i="5"/>
  <c r="BC131" i="5"/>
  <c r="BC132" i="5"/>
  <c r="BC3" i="5"/>
  <c r="BC133" i="5"/>
  <c r="BC134" i="5"/>
  <c r="BC4" i="5"/>
  <c r="BC135" i="5"/>
  <c r="BC136" i="5"/>
  <c r="BC254" i="5"/>
  <c r="BC137" i="5"/>
  <c r="BC138" i="5"/>
  <c r="BC139" i="5"/>
  <c r="BC140" i="5"/>
  <c r="BC141" i="5"/>
  <c r="BC142" i="5"/>
  <c r="BC143" i="5"/>
  <c r="BC144" i="5"/>
  <c r="BC145" i="5"/>
  <c r="BC146" i="5"/>
  <c r="BC275" i="5"/>
  <c r="BC147" i="5"/>
  <c r="BC148" i="5"/>
  <c r="BC149" i="5"/>
  <c r="BC150" i="5"/>
  <c r="BC276" i="5"/>
  <c r="BC277" i="5"/>
  <c r="BC278" i="5"/>
  <c r="BC151" i="5"/>
  <c r="BC152" i="5"/>
  <c r="BC279" i="5"/>
  <c r="BC153" i="5"/>
  <c r="BC154" i="5"/>
  <c r="BC155" i="5"/>
  <c r="BC156" i="5"/>
  <c r="BC157" i="5"/>
  <c r="BC158" i="5"/>
  <c r="BC159" i="5"/>
  <c r="BC160" i="5"/>
  <c r="BC161" i="5"/>
  <c r="BC162" i="5"/>
  <c r="BC255" i="5"/>
  <c r="BC256" i="5"/>
  <c r="BC163" i="5"/>
  <c r="BC164" i="5"/>
  <c r="BC165" i="5"/>
  <c r="BC166" i="5"/>
  <c r="BC16" i="5"/>
  <c r="BC17" i="5"/>
  <c r="BC18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280" i="5"/>
  <c r="BC281" i="5"/>
  <c r="BC282" i="5"/>
  <c r="BC193" i="5"/>
  <c r="BC194" i="5"/>
  <c r="BC195" i="5"/>
  <c r="BC283" i="5"/>
  <c r="BC284" i="5"/>
  <c r="BC285" i="5"/>
  <c r="BC286" i="5"/>
  <c r="BC5" i="5"/>
  <c r="BC287" i="5"/>
  <c r="BC288" i="5"/>
  <c r="BC289" i="5"/>
  <c r="BC290" i="5"/>
  <c r="BC196" i="5"/>
  <c r="BC197" i="5"/>
  <c r="BC198" i="5"/>
  <c r="BC199" i="5"/>
  <c r="BC292" i="5"/>
  <c r="BC200" i="5"/>
  <c r="BC21" i="5"/>
  <c r="BC201" i="5"/>
  <c r="BC202" i="5"/>
  <c r="BC203" i="5"/>
  <c r="BC204" i="5"/>
  <c r="BC205" i="5"/>
  <c r="BC206" i="5"/>
  <c r="BC22" i="5"/>
  <c r="BC23" i="5"/>
  <c r="BC24" i="5"/>
  <c r="BC207" i="5"/>
  <c r="BC25" i="5"/>
  <c r="BC26" i="5"/>
  <c r="BC6" i="5"/>
  <c r="BC7" i="5"/>
  <c r="BC208" i="5"/>
  <c r="BC209" i="5"/>
  <c r="BC293" i="5"/>
  <c r="BC210" i="5"/>
  <c r="BC211" i="5"/>
  <c r="BC212" i="5"/>
  <c r="BC257" i="5"/>
  <c r="BC213" i="5"/>
  <c r="BC27" i="5"/>
  <c r="BC214" i="5"/>
  <c r="BC215" i="5"/>
  <c r="BC216" i="5"/>
  <c r="BC217" i="5"/>
  <c r="BC218" i="5"/>
  <c r="BC28" i="5"/>
  <c r="BC219" i="5"/>
  <c r="BC220" i="5"/>
  <c r="BC221" i="5"/>
  <c r="BC222" i="5"/>
  <c r="BC223" i="5"/>
  <c r="BC224" i="5"/>
  <c r="BC225" i="5"/>
  <c r="BC226" i="5"/>
  <c r="BC227" i="5"/>
  <c r="BC228" i="5"/>
  <c r="BC294" i="5"/>
  <c r="BC295" i="5"/>
  <c r="BC8" i="5"/>
  <c r="BC229" i="5"/>
  <c r="BC230" i="5"/>
  <c r="BC231" i="5"/>
  <c r="BC296" i="5"/>
  <c r="BC232" i="5"/>
  <c r="BC29" i="5"/>
  <c r="BC30" i="5"/>
  <c r="BC31" i="5"/>
  <c r="BC32" i="5"/>
  <c r="BC33" i="5"/>
  <c r="BC233" i="5"/>
  <c r="BC34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35" i="5"/>
  <c r="BC297" i="5"/>
  <c r="BC36" i="5"/>
  <c r="BC37" i="5"/>
  <c r="BC250" i="5"/>
  <c r="BC251" i="5"/>
  <c r="BC299" i="5"/>
  <c r="BC300" i="5"/>
  <c r="BC301" i="5"/>
  <c r="BC302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7" i="5"/>
  <c r="BC338" i="5"/>
  <c r="BC339" i="5"/>
  <c r="BC340" i="5"/>
  <c r="BC341" i="5"/>
  <c r="BC342" i="5"/>
  <c r="BC343" i="5"/>
  <c r="BC344" i="5"/>
  <c r="BC345" i="5"/>
  <c r="BC346" i="5"/>
  <c r="BC33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2" i="5"/>
  <c r="BC383" i="5"/>
  <c r="BC384" i="5"/>
  <c r="BC385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B386" i="5"/>
  <c r="BB38" i="5"/>
  <c r="BB39" i="5"/>
  <c r="BB40" i="5"/>
  <c r="BB41" i="5"/>
  <c r="BB42" i="5"/>
  <c r="BB43" i="5"/>
  <c r="BB44" i="5"/>
  <c r="BB45" i="5"/>
  <c r="BB46" i="5"/>
  <c r="BB47" i="5"/>
  <c r="BB48" i="5"/>
  <c r="BB49" i="5"/>
  <c r="BB50" i="5"/>
  <c r="BB51" i="5"/>
  <c r="BB52" i="5"/>
  <c r="BB53" i="5"/>
  <c r="BB263" i="5"/>
  <c r="BB54" i="5"/>
  <c r="BB264" i="5"/>
  <c r="BB265" i="5"/>
  <c r="BB55" i="5"/>
  <c r="BB56" i="5"/>
  <c r="BB57" i="5"/>
  <c r="BB58" i="5"/>
  <c r="BB59" i="5"/>
  <c r="BB60" i="5"/>
  <c r="BB61" i="5"/>
  <c r="BB62" i="5"/>
  <c r="BB63" i="5"/>
  <c r="BB64" i="5"/>
  <c r="BB65" i="5"/>
  <c r="BB66" i="5"/>
  <c r="BB67" i="5"/>
  <c r="BB68" i="5"/>
  <c r="BB69" i="5"/>
  <c r="BB70" i="5"/>
  <c r="BB71" i="5"/>
  <c r="BB72" i="5"/>
  <c r="BB9" i="5"/>
  <c r="BB73" i="5"/>
  <c r="BB74" i="5"/>
  <c r="BB75" i="5"/>
  <c r="BB76" i="5"/>
  <c r="BB77" i="5"/>
  <c r="BB78" i="5"/>
  <c r="BB79" i="5"/>
  <c r="BB80" i="5"/>
  <c r="BB81" i="5"/>
  <c r="BB266" i="5"/>
  <c r="BB82" i="5"/>
  <c r="BB83" i="5"/>
  <c r="BB84" i="5"/>
  <c r="BB85" i="5"/>
  <c r="BB258" i="5"/>
  <c r="BB259" i="5"/>
  <c r="BB86" i="5"/>
  <c r="BB260" i="5"/>
  <c r="BB252" i="5"/>
  <c r="BB87" i="5"/>
  <c r="BB88" i="5"/>
  <c r="BB89" i="5"/>
  <c r="BB90" i="5"/>
  <c r="BB91" i="5"/>
  <c r="BB92" i="5"/>
  <c r="BB10" i="5"/>
  <c r="BB11" i="5"/>
  <c r="BB93" i="5"/>
  <c r="BB94" i="5"/>
  <c r="BB95" i="5"/>
  <c r="BB261" i="5"/>
  <c r="BB96" i="5"/>
  <c r="BB253" i="5"/>
  <c r="BB262" i="5"/>
  <c r="BB97" i="5"/>
  <c r="BB98" i="5"/>
  <c r="BB99" i="5"/>
  <c r="BB100" i="5"/>
  <c r="BB101" i="5"/>
  <c r="BB102" i="5"/>
  <c r="BB103" i="5"/>
  <c r="BB104" i="5"/>
  <c r="BB105" i="5"/>
  <c r="BB106" i="5"/>
  <c r="BB107" i="5"/>
  <c r="BB108" i="5"/>
  <c r="BB109" i="5"/>
  <c r="BB110" i="5"/>
  <c r="BB111" i="5"/>
  <c r="BB112" i="5"/>
  <c r="BB113" i="5"/>
  <c r="BB114" i="5"/>
  <c r="BB2" i="5"/>
  <c r="BB115" i="5"/>
  <c r="BB116" i="5"/>
  <c r="BB267" i="5"/>
  <c r="BB268" i="5"/>
  <c r="BB12" i="5"/>
  <c r="BB117" i="5"/>
  <c r="BB13" i="5"/>
  <c r="BB269" i="5"/>
  <c r="BB118" i="5"/>
  <c r="BB270" i="5"/>
  <c r="BB271" i="5"/>
  <c r="BB14" i="5"/>
  <c r="BB119" i="5"/>
  <c r="BB120" i="5"/>
  <c r="BB272" i="5"/>
  <c r="BB121" i="5"/>
  <c r="BB122" i="5"/>
  <c r="BB123" i="5"/>
  <c r="BB124" i="5"/>
  <c r="BB15" i="5"/>
  <c r="BB273" i="5"/>
  <c r="BB125" i="5"/>
  <c r="BB126" i="5"/>
  <c r="BB274" i="5"/>
  <c r="BB127" i="5"/>
  <c r="BB128" i="5"/>
  <c r="BB129" i="5"/>
  <c r="BB130" i="5"/>
  <c r="BB131" i="5"/>
  <c r="BB132" i="5"/>
  <c r="BB3" i="5"/>
  <c r="BB133" i="5"/>
  <c r="BB134" i="5"/>
  <c r="BB4" i="5"/>
  <c r="BB135" i="5"/>
  <c r="BB136" i="5"/>
  <c r="BB254" i="5"/>
  <c r="BB137" i="5"/>
  <c r="BB138" i="5"/>
  <c r="BB139" i="5"/>
  <c r="BB140" i="5"/>
  <c r="BB141" i="5"/>
  <c r="BB142" i="5"/>
  <c r="BB143" i="5"/>
  <c r="BB144" i="5"/>
  <c r="BB145" i="5"/>
  <c r="BB146" i="5"/>
  <c r="BB275" i="5"/>
  <c r="BB147" i="5"/>
  <c r="BB148" i="5"/>
  <c r="BB149" i="5"/>
  <c r="BB150" i="5"/>
  <c r="BB276" i="5"/>
  <c r="BB277" i="5"/>
  <c r="BB278" i="5"/>
  <c r="BB151" i="5"/>
  <c r="BB152" i="5"/>
  <c r="BB279" i="5"/>
  <c r="BB153" i="5"/>
  <c r="BB154" i="5"/>
  <c r="BB155" i="5"/>
  <c r="BB156" i="5"/>
  <c r="BB157" i="5"/>
  <c r="BB158" i="5"/>
  <c r="BB159" i="5"/>
  <c r="BB160" i="5"/>
  <c r="BB161" i="5"/>
  <c r="BB162" i="5"/>
  <c r="BB255" i="5"/>
  <c r="BB256" i="5"/>
  <c r="BB163" i="5"/>
  <c r="BB164" i="5"/>
  <c r="BB165" i="5"/>
  <c r="BB166" i="5"/>
  <c r="BB16" i="5"/>
  <c r="BB17" i="5"/>
  <c r="BB18" i="5"/>
  <c r="BB167" i="5"/>
  <c r="BB168" i="5"/>
  <c r="BB169" i="5"/>
  <c r="BB170" i="5"/>
  <c r="BB171" i="5"/>
  <c r="BB172" i="5"/>
  <c r="BB173" i="5"/>
  <c r="BB174" i="5"/>
  <c r="BB175" i="5"/>
  <c r="BB176" i="5"/>
  <c r="BB177" i="5"/>
  <c r="BB178" i="5"/>
  <c r="BB179" i="5"/>
  <c r="BB180" i="5"/>
  <c r="BB181" i="5"/>
  <c r="BB182" i="5"/>
  <c r="BB183" i="5"/>
  <c r="BB184" i="5"/>
  <c r="BB185" i="5"/>
  <c r="BB186" i="5"/>
  <c r="BB187" i="5"/>
  <c r="BB188" i="5"/>
  <c r="BB189" i="5"/>
  <c r="BB190" i="5"/>
  <c r="BB191" i="5"/>
  <c r="BB192" i="5"/>
  <c r="BB280" i="5"/>
  <c r="BB281" i="5"/>
  <c r="BB282" i="5"/>
  <c r="BB193" i="5"/>
  <c r="BB194" i="5"/>
  <c r="BB195" i="5"/>
  <c r="BB283" i="5"/>
  <c r="BB284" i="5"/>
  <c r="BB285" i="5"/>
  <c r="BB286" i="5"/>
  <c r="BB5" i="5"/>
  <c r="BB287" i="5"/>
  <c r="BB288" i="5"/>
  <c r="BB289" i="5"/>
  <c r="BB290" i="5"/>
  <c r="BB196" i="5"/>
  <c r="BB197" i="5"/>
  <c r="BB198" i="5"/>
  <c r="BB199" i="5"/>
  <c r="BB292" i="5"/>
  <c r="BB200" i="5"/>
  <c r="BB21" i="5"/>
  <c r="BB201" i="5"/>
  <c r="BB202" i="5"/>
  <c r="BB203" i="5"/>
  <c r="BB204" i="5"/>
  <c r="BB205" i="5"/>
  <c r="BB206" i="5"/>
  <c r="BB22" i="5"/>
  <c r="BB23" i="5"/>
  <c r="BB24" i="5"/>
  <c r="BB207" i="5"/>
  <c r="BB25" i="5"/>
  <c r="BB26" i="5"/>
  <c r="BB6" i="5"/>
  <c r="BB7" i="5"/>
  <c r="BB208" i="5"/>
  <c r="BB209" i="5"/>
  <c r="BB293" i="5"/>
  <c r="BB210" i="5"/>
  <c r="BB211" i="5"/>
  <c r="BB212" i="5"/>
  <c r="BB257" i="5"/>
  <c r="BB213" i="5"/>
  <c r="BB27" i="5"/>
  <c r="BB214" i="5"/>
  <c r="BB215" i="5"/>
  <c r="BB216" i="5"/>
  <c r="BB217" i="5"/>
  <c r="BB218" i="5"/>
  <c r="BB28" i="5"/>
  <c r="BB219" i="5"/>
  <c r="BB220" i="5"/>
  <c r="BB221" i="5"/>
  <c r="BB222" i="5"/>
  <c r="BB223" i="5"/>
  <c r="BB224" i="5"/>
  <c r="BB225" i="5"/>
  <c r="BB226" i="5"/>
  <c r="BB227" i="5"/>
  <c r="BB228" i="5"/>
  <c r="BB294" i="5"/>
  <c r="BB295" i="5"/>
  <c r="BB8" i="5"/>
  <c r="BB229" i="5"/>
  <c r="BB230" i="5"/>
  <c r="BB231" i="5"/>
  <c r="BB296" i="5"/>
  <c r="BB232" i="5"/>
  <c r="BB29" i="5"/>
  <c r="BB30" i="5"/>
  <c r="BB31" i="5"/>
  <c r="BB32" i="5"/>
  <c r="BB33" i="5"/>
  <c r="BB233" i="5"/>
  <c r="BB34" i="5"/>
  <c r="BB234" i="5"/>
  <c r="BB235" i="5"/>
  <c r="BB236" i="5"/>
  <c r="BB237" i="5"/>
  <c r="BB238" i="5"/>
  <c r="BB239" i="5"/>
  <c r="BB240" i="5"/>
  <c r="BB241" i="5"/>
  <c r="BB242" i="5"/>
  <c r="BB243" i="5"/>
  <c r="BB244" i="5"/>
  <c r="BB245" i="5"/>
  <c r="BB246" i="5"/>
  <c r="BB247" i="5"/>
  <c r="BB248" i="5"/>
  <c r="BB249" i="5"/>
  <c r="BB35" i="5"/>
  <c r="BB297" i="5"/>
  <c r="BB36" i="5"/>
  <c r="BB37" i="5"/>
  <c r="BB250" i="5"/>
  <c r="BB251" i="5"/>
  <c r="BB299" i="5"/>
  <c r="BB300" i="5"/>
  <c r="BB301" i="5"/>
  <c r="BB302" i="5"/>
  <c r="BB304" i="5"/>
  <c r="BB305" i="5"/>
  <c r="BB306" i="5"/>
  <c r="BB307" i="5"/>
  <c r="BB308" i="5"/>
  <c r="BB309" i="5"/>
  <c r="BB310" i="5"/>
  <c r="BB311" i="5"/>
  <c r="BB312" i="5"/>
  <c r="BB313" i="5"/>
  <c r="BB314" i="5"/>
  <c r="BB315" i="5"/>
  <c r="BB316" i="5"/>
  <c r="BB317" i="5"/>
  <c r="BB318" i="5"/>
  <c r="BB319" i="5"/>
  <c r="BB320" i="5"/>
  <c r="BB321" i="5"/>
  <c r="BB322" i="5"/>
  <c r="BB323" i="5"/>
  <c r="BB324" i="5"/>
  <c r="BB325" i="5"/>
  <c r="BB326" i="5"/>
  <c r="BB327" i="5"/>
  <c r="BB328" i="5"/>
  <c r="BB329" i="5"/>
  <c r="BB330" i="5"/>
  <c r="BB331" i="5"/>
  <c r="BB332" i="5"/>
  <c r="BB333" i="5"/>
  <c r="BB334" i="5"/>
  <c r="BB335" i="5"/>
  <c r="BB337" i="5"/>
  <c r="BB338" i="5"/>
  <c r="BB339" i="5"/>
  <c r="BB340" i="5"/>
  <c r="BB341" i="5"/>
  <c r="BB342" i="5"/>
  <c r="BB343" i="5"/>
  <c r="BB344" i="5"/>
  <c r="BB345" i="5"/>
  <c r="BB346" i="5"/>
  <c r="BB336" i="5"/>
  <c r="BB347" i="5"/>
  <c r="BB348" i="5"/>
  <c r="BB349" i="5"/>
  <c r="BB350" i="5"/>
  <c r="BB351" i="5"/>
  <c r="BB352" i="5"/>
  <c r="BB353" i="5"/>
  <c r="BB354" i="5"/>
  <c r="BB355" i="5"/>
  <c r="BB356" i="5"/>
  <c r="BB357" i="5"/>
  <c r="BB358" i="5"/>
  <c r="BB359" i="5"/>
  <c r="BB360" i="5"/>
  <c r="BB361" i="5"/>
  <c r="BB362" i="5"/>
  <c r="BB363" i="5"/>
  <c r="BB364" i="5"/>
  <c r="BB365" i="5"/>
  <c r="BB366" i="5"/>
  <c r="BB367" i="5"/>
  <c r="BB368" i="5"/>
  <c r="BB369" i="5"/>
  <c r="BB370" i="5"/>
  <c r="BB371" i="5"/>
  <c r="BB372" i="5"/>
  <c r="BB373" i="5"/>
  <c r="BB374" i="5"/>
  <c r="BB375" i="5"/>
  <c r="BB376" i="5"/>
  <c r="BB377" i="5"/>
  <c r="BB378" i="5"/>
  <c r="BB379" i="5"/>
  <c r="BB380" i="5"/>
  <c r="BB382" i="5"/>
  <c r="BB383" i="5"/>
  <c r="BB384" i="5"/>
  <c r="BB385" i="5"/>
  <c r="BB387" i="5"/>
  <c r="BB388" i="5"/>
  <c r="BB389" i="5"/>
  <c r="BB390" i="5"/>
  <c r="BB391" i="5"/>
  <c r="BB392" i="5"/>
  <c r="BB393" i="5"/>
  <c r="BB394" i="5"/>
  <c r="BB395" i="5"/>
  <c r="BB396" i="5"/>
  <c r="BB397" i="5"/>
  <c r="BB398" i="5"/>
  <c r="BB399" i="5"/>
  <c r="BB400" i="5"/>
  <c r="BB401" i="5"/>
  <c r="BB402" i="5"/>
  <c r="BB403" i="5"/>
  <c r="BB404" i="5"/>
  <c r="BB405" i="5"/>
  <c r="BB406" i="5"/>
  <c r="BB407" i="5"/>
  <c r="BB408" i="5"/>
  <c r="BB409" i="5"/>
  <c r="BB410" i="5"/>
  <c r="BB411" i="5"/>
  <c r="BB291" i="5"/>
  <c r="W46" i="2"/>
  <c r="H46" i="2"/>
  <c r="T32" i="2"/>
  <c r="T41" i="2"/>
  <c r="T43" i="2"/>
  <c r="T35" i="2"/>
  <c r="T34" i="2"/>
  <c r="T33" i="2"/>
  <c r="T26" i="2"/>
  <c r="T15" i="2"/>
  <c r="T8" i="2"/>
  <c r="T30" i="2"/>
  <c r="T7" i="2"/>
  <c r="T39" i="2"/>
  <c r="T40" i="2"/>
  <c r="T38" i="2"/>
  <c r="T36" i="2"/>
  <c r="T16" i="2"/>
  <c r="T28" i="2"/>
  <c r="T5" i="2"/>
  <c r="T10" i="2"/>
  <c r="T12" i="2"/>
  <c r="T11" i="2"/>
  <c r="T13" i="2"/>
  <c r="AI304" i="4"/>
  <c r="AI305" i="4"/>
  <c r="AI306" i="4"/>
  <c r="AI307" i="4"/>
  <c r="AI311" i="4"/>
  <c r="AI312" i="4"/>
  <c r="AI313" i="4"/>
  <c r="AI301" i="4"/>
  <c r="AI299" i="4"/>
  <c r="AI302" i="4"/>
  <c r="AI303" i="4"/>
  <c r="AI314" i="4"/>
  <c r="AI308" i="4"/>
  <c r="AI342" i="4"/>
  <c r="AI333" i="4"/>
  <c r="AI331" i="4"/>
  <c r="AI332" i="4"/>
  <c r="AI324" i="4"/>
  <c r="AI334" i="4"/>
  <c r="AI323" i="4"/>
  <c r="AI341" i="4"/>
  <c r="AI316" i="4"/>
  <c r="AI339" i="4"/>
  <c r="AI322" i="4"/>
  <c r="AI346" i="4"/>
  <c r="AI325" i="4"/>
  <c r="AI318" i="4"/>
  <c r="AI319" i="4"/>
  <c r="AI320" i="4"/>
  <c r="AI321" i="4"/>
  <c r="AI347" i="4"/>
  <c r="AI337" i="4"/>
  <c r="AI338" i="4"/>
  <c r="AI340" i="4"/>
  <c r="AI326" i="4"/>
  <c r="AI327" i="4"/>
  <c r="AI328" i="4"/>
  <c r="AI329" i="4"/>
  <c r="AI330" i="4"/>
  <c r="AI317" i="4"/>
  <c r="AI315" i="4"/>
  <c r="AI335" i="4"/>
  <c r="AI336" i="4"/>
  <c r="AI345" i="4"/>
  <c r="AI343" i="4"/>
  <c r="AI344" i="4"/>
  <c r="AI351" i="4"/>
  <c r="AI350" i="4"/>
  <c r="AI361" i="4"/>
  <c r="AI362" i="4"/>
  <c r="AI348" i="4"/>
  <c r="AI358" i="4"/>
  <c r="AI359" i="4"/>
  <c r="AI364" i="4"/>
  <c r="AI349" i="4"/>
  <c r="AI365" i="4"/>
  <c r="AI366" i="4"/>
  <c r="AI367" i="4"/>
  <c r="AI352" i="4"/>
  <c r="AI353" i="4"/>
  <c r="AI354" i="4"/>
  <c r="AI356" i="4"/>
  <c r="AI357" i="4"/>
  <c r="AI355" i="4"/>
  <c r="AI368" i="4"/>
  <c r="AI363" i="4"/>
  <c r="AI369" i="4"/>
  <c r="AI360" i="4"/>
  <c r="AI379" i="4"/>
  <c r="AI377" i="4"/>
  <c r="AI373" i="4"/>
  <c r="AI374" i="4"/>
  <c r="AI370" i="4"/>
  <c r="AI371" i="4"/>
  <c r="AI375" i="4"/>
  <c r="AI376" i="4"/>
  <c r="AI378" i="4"/>
  <c r="AI372" i="4"/>
  <c r="AI381" i="4"/>
  <c r="AI384" i="4"/>
  <c r="AI386" i="4"/>
  <c r="AI385" i="4"/>
  <c r="AI383" i="4"/>
  <c r="AI382" i="4"/>
  <c r="AI390" i="4"/>
  <c r="AI389" i="4"/>
  <c r="AI396" i="4"/>
  <c r="AI388" i="4"/>
  <c r="AI397" i="4"/>
  <c r="AI398" i="4"/>
  <c r="AI399" i="4"/>
  <c r="AI400" i="4"/>
  <c r="AI401" i="4"/>
  <c r="AI391" i="4"/>
  <c r="AI392" i="4"/>
  <c r="AI393" i="4"/>
  <c r="AI402" i="4"/>
  <c r="AI403" i="4"/>
  <c r="AI404" i="4"/>
  <c r="AI405" i="4"/>
  <c r="AI394" i="4"/>
  <c r="AI395" i="4"/>
  <c r="AI406" i="4"/>
  <c r="AI407" i="4"/>
  <c r="AI408" i="4"/>
  <c r="AI409" i="4"/>
  <c r="AI410" i="4"/>
  <c r="AI411" i="4"/>
  <c r="AI387" i="4"/>
  <c r="BF79" i="5"/>
  <c r="I41" i="3"/>
  <c r="E10" i="3"/>
  <c r="E11" i="3"/>
  <c r="E12" i="3"/>
  <c r="E13" i="3"/>
  <c r="E15" i="3"/>
  <c r="E16" i="3"/>
  <c r="E17" i="3"/>
  <c r="E18" i="3"/>
  <c r="E19" i="3"/>
  <c r="E20" i="3"/>
  <c r="E21" i="3"/>
  <c r="E22" i="3"/>
  <c r="E23" i="3"/>
  <c r="E25" i="3"/>
  <c r="E26" i="3"/>
  <c r="E27" i="3"/>
  <c r="E38" i="3"/>
  <c r="E28" i="3"/>
  <c r="E29" i="3"/>
  <c r="E39" i="3"/>
  <c r="E40" i="3"/>
  <c r="E41" i="3"/>
  <c r="E30" i="3"/>
  <c r="E31" i="3"/>
  <c r="E32" i="3"/>
  <c r="E33" i="3"/>
  <c r="E34" i="3"/>
  <c r="E35" i="3"/>
  <c r="E36" i="3"/>
  <c r="E37" i="3"/>
  <c r="E6" i="3"/>
  <c r="I34" i="3"/>
  <c r="I29" i="3"/>
  <c r="I20" i="3"/>
  <c r="I27" i="3"/>
  <c r="AM263" i="5"/>
  <c r="D40" i="8"/>
  <c r="D41" i="8"/>
  <c r="D2" i="8"/>
  <c r="D42" i="8"/>
  <c r="D43" i="8"/>
  <c r="D44" i="8"/>
  <c r="D45" i="8"/>
  <c r="D46" i="8"/>
  <c r="D47" i="8"/>
  <c r="D3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4" i="8"/>
  <c r="D61" i="8"/>
  <c r="D62" i="8"/>
  <c r="D5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6" i="8"/>
  <c r="D7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8" i="8"/>
  <c r="D142" i="8"/>
  <c r="D143" i="8"/>
  <c r="D144" i="8"/>
  <c r="D145" i="8"/>
  <c r="D146" i="8"/>
  <c r="D147" i="8"/>
  <c r="D148" i="8"/>
  <c r="D149" i="8"/>
  <c r="D150" i="8"/>
  <c r="D9" i="8"/>
  <c r="D10" i="8"/>
  <c r="D11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2" i="8"/>
  <c r="D173" i="8"/>
  <c r="D174" i="8"/>
  <c r="D175" i="8"/>
  <c r="D176" i="8"/>
  <c r="D177" i="8"/>
  <c r="D178" i="8"/>
  <c r="D179" i="8"/>
  <c r="D180" i="8"/>
  <c r="D181" i="8"/>
  <c r="D182" i="8"/>
  <c r="D13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4" i="8"/>
  <c r="D195" i="8"/>
  <c r="D196" i="8"/>
  <c r="D197" i="8"/>
  <c r="D198" i="8"/>
  <c r="D199" i="8"/>
  <c r="D200" i="8"/>
  <c r="D201" i="8"/>
  <c r="D15" i="8"/>
  <c r="D202" i="8"/>
  <c r="D203" i="8"/>
  <c r="D16" i="8"/>
  <c r="D204" i="8"/>
  <c r="D205" i="8"/>
  <c r="D206" i="8"/>
  <c r="D207" i="8"/>
  <c r="D208" i="8"/>
  <c r="D209" i="8"/>
  <c r="D17" i="8"/>
  <c r="D210" i="8"/>
  <c r="D211" i="8"/>
  <c r="D212" i="8"/>
  <c r="D213" i="8"/>
  <c r="D214" i="8"/>
  <c r="D215" i="8"/>
  <c r="D216" i="8"/>
  <c r="D217" i="8"/>
  <c r="D218" i="8"/>
  <c r="D18" i="8"/>
  <c r="D219" i="8"/>
  <c r="D220" i="8"/>
  <c r="D19" i="8"/>
  <c r="D20" i="8"/>
  <c r="D21" i="8"/>
  <c r="D221" i="8"/>
  <c r="D222" i="8"/>
  <c r="D223" i="8"/>
  <c r="D224" i="8"/>
  <c r="D225" i="8"/>
  <c r="D226" i="8"/>
  <c r="D227" i="8"/>
  <c r="D228" i="8"/>
  <c r="D22" i="8"/>
  <c r="D23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" i="8"/>
  <c r="D259" i="8"/>
  <c r="D260" i="8"/>
  <c r="D261" i="8"/>
  <c r="D262" i="8"/>
  <c r="D263" i="8"/>
  <c r="D26" i="8"/>
  <c r="D264" i="8"/>
  <c r="D265" i="8"/>
  <c r="D266" i="8"/>
  <c r="D267" i="8"/>
  <c r="D268" i="8"/>
  <c r="D269" i="8"/>
  <c r="D270" i="8"/>
  <c r="D271" i="8"/>
  <c r="D272" i="8"/>
  <c r="D273" i="8"/>
  <c r="D27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29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0" i="8"/>
  <c r="D327" i="8"/>
  <c r="D328" i="8"/>
  <c r="D329" i="8"/>
  <c r="D330" i="8"/>
  <c r="D331" i="8"/>
  <c r="D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2" i="8"/>
  <c r="D351" i="8"/>
  <c r="D352" i="8"/>
  <c r="D353" i="8"/>
  <c r="D354" i="8"/>
  <c r="D355" i="8"/>
  <c r="D356" i="8"/>
  <c r="D357" i="8"/>
  <c r="D358" i="8"/>
  <c r="D359" i="8"/>
  <c r="D360" i="8"/>
  <c r="D33" i="8"/>
  <c r="D361" i="8"/>
  <c r="D362" i="8"/>
  <c r="D363" i="8"/>
  <c r="D364" i="8"/>
  <c r="D365" i="8"/>
  <c r="D366" i="8"/>
  <c r="D367" i="8"/>
  <c r="D34" i="8"/>
  <c r="D368" i="8"/>
  <c r="D369" i="8"/>
  <c r="D370" i="8"/>
  <c r="D35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6" i="8"/>
  <c r="D386" i="8"/>
  <c r="D387" i="8"/>
  <c r="D388" i="8"/>
  <c r="D389" i="8"/>
  <c r="D390" i="8"/>
  <c r="D391" i="8"/>
  <c r="D392" i="8"/>
  <c r="D393" i="8"/>
  <c r="D37" i="8"/>
  <c r="D394" i="8"/>
  <c r="D395" i="8"/>
  <c r="D396" i="8"/>
  <c r="D397" i="8"/>
  <c r="D398" i="8"/>
  <c r="D38" i="8"/>
  <c r="D399" i="8"/>
  <c r="D400" i="8"/>
  <c r="D401" i="8"/>
  <c r="D402" i="8"/>
  <c r="D403" i="8"/>
  <c r="D404" i="8"/>
  <c r="D405" i="8"/>
  <c r="D406" i="8"/>
  <c r="D39" i="8"/>
  <c r="G24" i="2"/>
  <c r="K24" i="2"/>
  <c r="G33" i="2"/>
  <c r="G34" i="2"/>
  <c r="G43" i="2"/>
  <c r="K43" i="2"/>
  <c r="G32" i="2"/>
  <c r="G18" i="2"/>
  <c r="K18" i="2"/>
  <c r="G17" i="2"/>
  <c r="K17" i="2"/>
  <c r="T17" i="2"/>
  <c r="G16" i="2"/>
  <c r="G10" i="2"/>
  <c r="K10" i="2"/>
  <c r="G15" i="2"/>
  <c r="K15" i="2"/>
  <c r="G13" i="2"/>
  <c r="K13" i="2"/>
  <c r="G11" i="2"/>
  <c r="K11" i="2"/>
  <c r="G12" i="2"/>
  <c r="K12" i="2"/>
  <c r="G38" i="2"/>
  <c r="K38" i="2"/>
  <c r="G36" i="2"/>
  <c r="K36" i="2"/>
  <c r="G5" i="2"/>
  <c r="K5" i="2"/>
  <c r="G39" i="2"/>
  <c r="K39" i="2"/>
  <c r="G40" i="2"/>
  <c r="K40" i="2"/>
  <c r="G8" i="2"/>
  <c r="G27" i="2"/>
  <c r="G37" i="2"/>
  <c r="K37" i="2"/>
  <c r="T37" i="2"/>
  <c r="G42" i="2"/>
  <c r="G41" i="2"/>
  <c r="K41" i="2"/>
  <c r="G26" i="2"/>
  <c r="K26" i="2"/>
  <c r="G46" i="2"/>
  <c r="G47" i="2"/>
  <c r="K47" i="2"/>
  <c r="W47" i="2"/>
  <c r="G51" i="2"/>
  <c r="G50" i="2"/>
  <c r="G52" i="2"/>
  <c r="G23" i="2"/>
  <c r="G31" i="2"/>
  <c r="T31" i="2"/>
  <c r="G22" i="2"/>
  <c r="G35" i="2"/>
  <c r="G28" i="2"/>
  <c r="G29" i="2"/>
  <c r="AP165" i="5"/>
  <c r="AQ165" i="5"/>
  <c r="AR165" i="5"/>
  <c r="AS165" i="5"/>
  <c r="AT165" i="5"/>
  <c r="AU165" i="5"/>
  <c r="AV165" i="5"/>
  <c r="AW165" i="5"/>
  <c r="AP109" i="5"/>
  <c r="AR109" i="5"/>
  <c r="AT109" i="5"/>
  <c r="AU109" i="5"/>
  <c r="AV109" i="5"/>
  <c r="AW109" i="5"/>
  <c r="AP166" i="5"/>
  <c r="AQ166" i="5"/>
  <c r="AR166" i="5"/>
  <c r="AS166" i="5"/>
  <c r="AT166" i="5"/>
  <c r="AU166" i="5"/>
  <c r="AV166" i="5"/>
  <c r="AW166" i="5"/>
  <c r="AP170" i="5"/>
  <c r="AR170" i="5"/>
  <c r="AT170" i="5"/>
  <c r="AU170" i="5"/>
  <c r="AV170" i="5"/>
  <c r="AW170" i="5"/>
  <c r="AP249" i="5"/>
  <c r="AR249" i="5"/>
  <c r="AT249" i="5"/>
  <c r="AU249" i="5"/>
  <c r="AV249" i="5"/>
  <c r="AW249" i="5"/>
  <c r="AP173" i="5"/>
  <c r="AQ173" i="5"/>
  <c r="AR173" i="5"/>
  <c r="AS173" i="5"/>
  <c r="AT173" i="5"/>
  <c r="AU173" i="5"/>
  <c r="AV173" i="5"/>
  <c r="AW173" i="5"/>
  <c r="AP184" i="5"/>
  <c r="AQ184" i="5"/>
  <c r="AR184" i="5"/>
  <c r="AS184" i="5"/>
  <c r="AT184" i="5"/>
  <c r="AU184" i="5"/>
  <c r="AV184" i="5"/>
  <c r="AW184" i="5"/>
  <c r="AP186" i="5"/>
  <c r="AQ186" i="5"/>
  <c r="AR186" i="5"/>
  <c r="AS186" i="5"/>
  <c r="AT186" i="5"/>
  <c r="AU186" i="5"/>
  <c r="AV186" i="5"/>
  <c r="AW186" i="5"/>
  <c r="AP187" i="5"/>
  <c r="AQ187" i="5"/>
  <c r="AR187" i="5"/>
  <c r="AS187" i="5"/>
  <c r="AT187" i="5"/>
  <c r="AU187" i="5"/>
  <c r="AV187" i="5"/>
  <c r="AW187" i="5"/>
  <c r="AP139" i="5"/>
  <c r="AQ139" i="5"/>
  <c r="AR139" i="5"/>
  <c r="AT139" i="5"/>
  <c r="AU139" i="5"/>
  <c r="AV139" i="5"/>
  <c r="AW139" i="5"/>
  <c r="AP171" i="5"/>
  <c r="AR171" i="5"/>
  <c r="AT171" i="5"/>
  <c r="AU171" i="5"/>
  <c r="AV171" i="5"/>
  <c r="AW171" i="5"/>
  <c r="AP222" i="5"/>
  <c r="AQ222" i="5"/>
  <c r="AR222" i="5"/>
  <c r="AT222" i="5"/>
  <c r="AU222" i="5"/>
  <c r="AV222" i="5"/>
  <c r="AW222" i="5"/>
  <c r="AP77" i="5"/>
  <c r="AQ77" i="5"/>
  <c r="AR77" i="5"/>
  <c r="AT77" i="5"/>
  <c r="AU77" i="5"/>
  <c r="AV77" i="5"/>
  <c r="AW77" i="5"/>
  <c r="AP79" i="5"/>
  <c r="AQ79" i="5"/>
  <c r="AR79" i="5"/>
  <c r="AT79" i="5"/>
  <c r="AU79" i="5"/>
  <c r="AV79" i="5"/>
  <c r="AW79" i="5"/>
  <c r="AP117" i="5"/>
  <c r="AR117" i="5"/>
  <c r="AT117" i="5"/>
  <c r="AU117" i="5"/>
  <c r="AV117" i="5"/>
  <c r="AW117" i="5"/>
  <c r="AP240" i="5"/>
  <c r="AQ240" i="5"/>
  <c r="AR240" i="5"/>
  <c r="AT240" i="5"/>
  <c r="AU240" i="5"/>
  <c r="AV240" i="5"/>
  <c r="AW240" i="5"/>
  <c r="AP263" i="5"/>
  <c r="AQ263" i="5"/>
  <c r="AR263" i="5"/>
  <c r="AS263" i="5"/>
  <c r="AT263" i="5"/>
  <c r="AU263" i="5"/>
  <c r="AV263" i="5"/>
  <c r="AW263" i="5"/>
  <c r="AP227" i="5"/>
  <c r="AR227" i="5"/>
  <c r="AT227" i="5"/>
  <c r="AU227" i="5"/>
  <c r="AV227" i="5"/>
  <c r="AW227" i="5"/>
  <c r="AP183" i="5"/>
  <c r="AQ183" i="5"/>
  <c r="AR183" i="5"/>
  <c r="AS183" i="5"/>
  <c r="AT183" i="5"/>
  <c r="AU183" i="5"/>
  <c r="AV183" i="5"/>
  <c r="AW183" i="5"/>
  <c r="AP208" i="5"/>
  <c r="AR208" i="5"/>
  <c r="AT208" i="5"/>
  <c r="AU208" i="5"/>
  <c r="AV208" i="5"/>
  <c r="AW208" i="5"/>
  <c r="AP225" i="5"/>
  <c r="AQ225" i="5"/>
  <c r="AR225" i="5"/>
  <c r="AT225" i="5"/>
  <c r="AU225" i="5"/>
  <c r="AV225" i="5"/>
  <c r="AW225" i="5"/>
  <c r="AP52" i="5"/>
  <c r="AR52" i="5"/>
  <c r="AT52" i="5"/>
  <c r="AU52" i="5"/>
  <c r="AV52" i="5"/>
  <c r="AW52" i="5"/>
  <c r="AP119" i="5"/>
  <c r="AQ119" i="5"/>
  <c r="AR119" i="5"/>
  <c r="AT119" i="5"/>
  <c r="AU119" i="5"/>
  <c r="AV119" i="5"/>
  <c r="AW119" i="5"/>
  <c r="AP174" i="5"/>
  <c r="AQ174" i="5"/>
  <c r="AR174" i="5"/>
  <c r="AS174" i="5"/>
  <c r="AT174" i="5"/>
  <c r="AU174" i="5"/>
  <c r="AV174" i="5"/>
  <c r="AW174" i="5"/>
  <c r="AP181" i="5"/>
  <c r="AQ181" i="5"/>
  <c r="AR181" i="5"/>
  <c r="AS181" i="5"/>
  <c r="AT181" i="5"/>
  <c r="AU181" i="5"/>
  <c r="AV181" i="5"/>
  <c r="AW181" i="5"/>
  <c r="AP185" i="5"/>
  <c r="AQ185" i="5"/>
  <c r="AR185" i="5"/>
  <c r="AS185" i="5"/>
  <c r="AT185" i="5"/>
  <c r="AU185" i="5"/>
  <c r="AV185" i="5"/>
  <c r="AW185" i="5"/>
  <c r="AP219" i="5"/>
  <c r="AQ219" i="5"/>
  <c r="AR219" i="5"/>
  <c r="AT219" i="5"/>
  <c r="AU219" i="5"/>
  <c r="AV219" i="5"/>
  <c r="AW219" i="5"/>
  <c r="AP220" i="5"/>
  <c r="AQ220" i="5"/>
  <c r="AR220" i="5"/>
  <c r="AT220" i="5"/>
  <c r="AU220" i="5"/>
  <c r="AV220" i="5"/>
  <c r="AW220" i="5"/>
  <c r="AP53" i="5"/>
  <c r="AR53" i="5"/>
  <c r="AT53" i="5"/>
  <c r="AU53" i="5"/>
  <c r="AV53" i="5"/>
  <c r="AW53" i="5"/>
  <c r="AP264" i="5"/>
  <c r="AR264" i="5"/>
  <c r="AS264" i="5"/>
  <c r="AT264" i="5"/>
  <c r="AU264" i="5"/>
  <c r="AV264" i="5"/>
  <c r="AW264" i="5"/>
  <c r="AP78" i="5"/>
  <c r="AQ78" i="5"/>
  <c r="AR78" i="5"/>
  <c r="AT78" i="5"/>
  <c r="AU78" i="5"/>
  <c r="AV78" i="5"/>
  <c r="AW78" i="5"/>
  <c r="AP89" i="5"/>
  <c r="AQ89" i="5"/>
  <c r="AR89" i="5"/>
  <c r="AT89" i="5"/>
  <c r="AU89" i="5"/>
  <c r="AV89" i="5"/>
  <c r="AW89" i="5"/>
  <c r="AP12" i="5"/>
  <c r="AQ12" i="5"/>
  <c r="AR12" i="5"/>
  <c r="AS12" i="5"/>
  <c r="AT12" i="5"/>
  <c r="AU12" i="5"/>
  <c r="AV12" i="5"/>
  <c r="AW12" i="5"/>
  <c r="AP272" i="5"/>
  <c r="AQ272" i="5"/>
  <c r="AR272" i="5"/>
  <c r="AS272" i="5"/>
  <c r="AT272" i="5"/>
  <c r="AU272" i="5"/>
  <c r="AV272" i="5"/>
  <c r="AW272" i="5"/>
  <c r="AP125" i="5"/>
  <c r="AR125" i="5"/>
  <c r="AT125" i="5"/>
  <c r="AU125" i="5"/>
  <c r="AV125" i="5"/>
  <c r="AW125" i="5"/>
  <c r="AP128" i="5"/>
  <c r="AQ128" i="5"/>
  <c r="AR128" i="5"/>
  <c r="AT128" i="5"/>
  <c r="AU128" i="5"/>
  <c r="AV128" i="5"/>
  <c r="AW128" i="5"/>
  <c r="AP140" i="5"/>
  <c r="AQ140" i="5"/>
  <c r="AR140" i="5"/>
  <c r="AT140" i="5"/>
  <c r="AU140" i="5"/>
  <c r="AV140" i="5"/>
  <c r="AW140" i="5"/>
  <c r="AP177" i="5"/>
  <c r="AR177" i="5"/>
  <c r="AS177" i="5"/>
  <c r="AT177" i="5"/>
  <c r="AU177" i="5"/>
  <c r="AV177" i="5"/>
  <c r="AW177" i="5"/>
  <c r="AP182" i="5"/>
  <c r="AQ182" i="5"/>
  <c r="AR182" i="5"/>
  <c r="AS182" i="5"/>
  <c r="AT182" i="5"/>
  <c r="AU182" i="5"/>
  <c r="AV182" i="5"/>
  <c r="AW182" i="5"/>
  <c r="AP29" i="5"/>
  <c r="AR29" i="5"/>
  <c r="AS29" i="5"/>
  <c r="AT29" i="5"/>
  <c r="AU29" i="5"/>
  <c r="AV29" i="5"/>
  <c r="AW29" i="5"/>
  <c r="AZ29" i="5"/>
  <c r="AP30" i="5"/>
  <c r="AR30" i="5"/>
  <c r="AT30" i="5"/>
  <c r="AU30" i="5"/>
  <c r="AV30" i="5"/>
  <c r="AW30" i="5"/>
  <c r="AP32" i="5"/>
  <c r="AR32" i="5"/>
  <c r="AU32" i="5"/>
  <c r="AP50" i="5"/>
  <c r="AR50" i="5"/>
  <c r="AT50" i="5"/>
  <c r="AU50" i="5"/>
  <c r="AV50" i="5"/>
  <c r="AW50" i="5"/>
  <c r="AP252" i="5"/>
  <c r="AR252" i="5"/>
  <c r="AS252" i="5"/>
  <c r="AT252" i="5"/>
  <c r="AU252" i="5"/>
  <c r="AV252" i="5"/>
  <c r="AW252" i="5"/>
  <c r="AP104" i="5"/>
  <c r="AQ104" i="5"/>
  <c r="AR104" i="5"/>
  <c r="AT104" i="5"/>
  <c r="AU104" i="5"/>
  <c r="AV104" i="5"/>
  <c r="AW104" i="5"/>
  <c r="AP269" i="5"/>
  <c r="AQ269" i="5"/>
  <c r="AR269" i="5"/>
  <c r="AT269" i="5"/>
  <c r="AU269" i="5"/>
  <c r="AV269" i="5"/>
  <c r="AW269" i="5"/>
  <c r="AP123" i="5"/>
  <c r="AQ123" i="5"/>
  <c r="AR123" i="5"/>
  <c r="AS123" i="5"/>
  <c r="AT123" i="5"/>
  <c r="AU123" i="5"/>
  <c r="AV123" i="5"/>
  <c r="AW123" i="5"/>
  <c r="AP146" i="5"/>
  <c r="AQ146" i="5"/>
  <c r="AR146" i="5"/>
  <c r="AT146" i="5"/>
  <c r="AU146" i="5"/>
  <c r="AV146" i="5"/>
  <c r="AW146" i="5"/>
  <c r="AP180" i="5"/>
  <c r="AQ180" i="5"/>
  <c r="AR180" i="5"/>
  <c r="AS180" i="5"/>
  <c r="AT180" i="5"/>
  <c r="AU180" i="5"/>
  <c r="AV180" i="5"/>
  <c r="AW180" i="5"/>
  <c r="AP22" i="5"/>
  <c r="AR22" i="5"/>
  <c r="AT22" i="5"/>
  <c r="AU22" i="5"/>
  <c r="AV22" i="5"/>
  <c r="AW22" i="5"/>
  <c r="AP23" i="5"/>
  <c r="AR23" i="5"/>
  <c r="AS23" i="5"/>
  <c r="AT23" i="5"/>
  <c r="AU23" i="5"/>
  <c r="AV23" i="5"/>
  <c r="AW23" i="5"/>
  <c r="AP24" i="5"/>
  <c r="AR24" i="5"/>
  <c r="AT24" i="5"/>
  <c r="AU24" i="5"/>
  <c r="AV24" i="5"/>
  <c r="AW24" i="5"/>
  <c r="AP25" i="5"/>
  <c r="AR25" i="5"/>
  <c r="AT25" i="5"/>
  <c r="AU25" i="5"/>
  <c r="AV25" i="5"/>
  <c r="AW25" i="5"/>
  <c r="AP26" i="5"/>
  <c r="AR26" i="5"/>
  <c r="AT26" i="5"/>
  <c r="AU26" i="5"/>
  <c r="AV26" i="5"/>
  <c r="AW26" i="5"/>
  <c r="AP297" i="5"/>
  <c r="AR297" i="5"/>
  <c r="AS297" i="5"/>
  <c r="AT297" i="5"/>
  <c r="AU297" i="5"/>
  <c r="AV297" i="5"/>
  <c r="AW297" i="5"/>
  <c r="AP61" i="5"/>
  <c r="AR61" i="5"/>
  <c r="AS61" i="5"/>
  <c r="AU61" i="5"/>
  <c r="AP110" i="5"/>
  <c r="AQ110" i="5"/>
  <c r="AR110" i="5"/>
  <c r="AT110" i="5"/>
  <c r="AU110" i="5"/>
  <c r="AV110" i="5"/>
  <c r="AW110" i="5"/>
  <c r="AP14" i="5"/>
  <c r="AQ14" i="5"/>
  <c r="AR14" i="5"/>
  <c r="AT14" i="5"/>
  <c r="AU14" i="5"/>
  <c r="AV14" i="5"/>
  <c r="AW14" i="5"/>
  <c r="AP135" i="5"/>
  <c r="AR135" i="5"/>
  <c r="AT135" i="5"/>
  <c r="AU135" i="5"/>
  <c r="AV135" i="5"/>
  <c r="AW135" i="5"/>
  <c r="AP164" i="5"/>
  <c r="AQ164" i="5"/>
  <c r="AR164" i="5"/>
  <c r="AS164" i="5"/>
  <c r="AT164" i="5"/>
  <c r="AU164" i="5"/>
  <c r="AV164" i="5"/>
  <c r="AW164" i="5"/>
  <c r="AP232" i="5"/>
  <c r="AR232" i="5"/>
  <c r="AT232" i="5"/>
  <c r="AU232" i="5"/>
  <c r="AV232" i="5"/>
  <c r="AW232" i="5"/>
  <c r="AP238" i="5"/>
  <c r="AR238" i="5"/>
  <c r="AT238" i="5"/>
  <c r="AU238" i="5"/>
  <c r="AV238" i="5"/>
  <c r="AW238" i="5"/>
  <c r="AP35" i="5"/>
  <c r="AR35" i="5"/>
  <c r="AT35" i="5"/>
  <c r="AU35" i="5"/>
  <c r="AV35" i="5"/>
  <c r="AW35" i="5"/>
  <c r="AP51" i="5"/>
  <c r="AR51" i="5"/>
  <c r="AT51" i="5"/>
  <c r="AU51" i="5"/>
  <c r="AV51" i="5"/>
  <c r="AW51" i="5"/>
  <c r="AP54" i="5"/>
  <c r="AR54" i="5"/>
  <c r="AS54" i="5"/>
  <c r="AT54" i="5"/>
  <c r="AU54" i="5"/>
  <c r="AV54" i="5"/>
  <c r="AW54" i="5"/>
  <c r="AP265" i="5"/>
  <c r="AR265" i="5"/>
  <c r="AS265" i="5"/>
  <c r="AT265" i="5"/>
  <c r="AU265" i="5"/>
  <c r="AV265" i="5"/>
  <c r="AW265" i="5"/>
  <c r="AP81" i="5"/>
  <c r="AR81" i="5"/>
  <c r="AT81" i="5"/>
  <c r="AU81" i="5"/>
  <c r="AV81" i="5"/>
  <c r="AW81" i="5"/>
  <c r="AP266" i="5"/>
  <c r="AR266" i="5"/>
  <c r="AT266" i="5"/>
  <c r="AU266" i="5"/>
  <c r="AV266" i="5"/>
  <c r="AW266" i="5"/>
  <c r="AP83" i="5"/>
  <c r="AR83" i="5"/>
  <c r="AT83" i="5"/>
  <c r="AU83" i="5"/>
  <c r="AV83" i="5"/>
  <c r="AW83" i="5"/>
  <c r="AP84" i="5"/>
  <c r="AR84" i="5"/>
  <c r="AT84" i="5"/>
  <c r="AU84" i="5"/>
  <c r="AV84" i="5"/>
  <c r="AW84" i="5"/>
  <c r="AP258" i="5"/>
  <c r="AR258" i="5"/>
  <c r="AT258" i="5"/>
  <c r="AU258" i="5"/>
  <c r="AV258" i="5"/>
  <c r="AW258" i="5"/>
  <c r="AP259" i="5"/>
  <c r="AR259" i="5"/>
  <c r="AT259" i="5"/>
  <c r="AU259" i="5"/>
  <c r="AV259" i="5"/>
  <c r="AW259" i="5"/>
  <c r="AP86" i="5"/>
  <c r="AR86" i="5"/>
  <c r="AT86" i="5"/>
  <c r="AU86" i="5"/>
  <c r="AV86" i="5"/>
  <c r="AW86" i="5"/>
  <c r="AP260" i="5"/>
  <c r="AR260" i="5"/>
  <c r="AT260" i="5"/>
  <c r="AU260" i="5"/>
  <c r="AV260" i="5"/>
  <c r="AW260" i="5"/>
  <c r="AP92" i="5"/>
  <c r="AR92" i="5"/>
  <c r="AS92" i="5"/>
  <c r="AT92" i="5"/>
  <c r="AU92" i="5"/>
  <c r="AV92" i="5"/>
  <c r="AW92" i="5"/>
  <c r="AP10" i="5"/>
  <c r="AR10" i="5"/>
  <c r="AT10" i="5"/>
  <c r="AU10" i="5"/>
  <c r="AV10" i="5"/>
  <c r="AW10" i="5"/>
  <c r="AP11" i="5"/>
  <c r="AR11" i="5"/>
  <c r="AT11" i="5"/>
  <c r="AU11" i="5"/>
  <c r="AV11" i="5"/>
  <c r="AW11" i="5"/>
  <c r="AP93" i="5"/>
  <c r="AR93" i="5"/>
  <c r="AT93" i="5"/>
  <c r="AU93" i="5"/>
  <c r="AV93" i="5"/>
  <c r="AW93" i="5"/>
  <c r="AP94" i="5"/>
  <c r="AR94" i="5"/>
  <c r="AT94" i="5"/>
  <c r="AU94" i="5"/>
  <c r="AV94" i="5"/>
  <c r="AW94" i="5"/>
  <c r="AP261" i="5"/>
  <c r="AR261" i="5"/>
  <c r="AT261" i="5"/>
  <c r="AU261" i="5"/>
  <c r="AV261" i="5"/>
  <c r="AW261" i="5"/>
  <c r="AP102" i="5"/>
  <c r="AQ102" i="5"/>
  <c r="AR102" i="5"/>
  <c r="AT102" i="5"/>
  <c r="AU102" i="5"/>
  <c r="AV102" i="5"/>
  <c r="AW102" i="5"/>
  <c r="AP103" i="5"/>
  <c r="AQ103" i="5"/>
  <c r="AR103" i="5"/>
  <c r="AT103" i="5"/>
  <c r="AU103" i="5"/>
  <c r="AV103" i="5"/>
  <c r="AW103" i="5"/>
  <c r="AP106" i="5"/>
  <c r="AQ106" i="5"/>
  <c r="AR106" i="5"/>
  <c r="AT106" i="5"/>
  <c r="AU106" i="5"/>
  <c r="AV106" i="5"/>
  <c r="AW106" i="5"/>
  <c r="AP107" i="5"/>
  <c r="AQ107" i="5"/>
  <c r="AR107" i="5"/>
  <c r="AT107" i="5"/>
  <c r="AU107" i="5"/>
  <c r="AV107" i="5"/>
  <c r="AW107" i="5"/>
  <c r="AP108" i="5"/>
  <c r="AQ108" i="5"/>
  <c r="AR108" i="5"/>
  <c r="AT108" i="5"/>
  <c r="AU108" i="5"/>
  <c r="AV108" i="5"/>
  <c r="AW108" i="5"/>
  <c r="AP267" i="5"/>
  <c r="AQ267" i="5"/>
  <c r="AR267" i="5"/>
  <c r="AT267" i="5"/>
  <c r="AU267" i="5"/>
  <c r="AV267" i="5"/>
  <c r="AW267" i="5"/>
  <c r="AP131" i="5"/>
  <c r="AQ131" i="5"/>
  <c r="AR131" i="5"/>
  <c r="AT131" i="5"/>
  <c r="AU131" i="5"/>
  <c r="AV131" i="5"/>
  <c r="AW131" i="5"/>
  <c r="AP145" i="5"/>
  <c r="AQ145" i="5"/>
  <c r="AR145" i="5"/>
  <c r="AT145" i="5"/>
  <c r="AU145" i="5"/>
  <c r="AV145" i="5"/>
  <c r="AW145" i="5"/>
  <c r="AP155" i="5"/>
  <c r="AQ155" i="5"/>
  <c r="AR155" i="5"/>
  <c r="AT155" i="5"/>
  <c r="AU155" i="5"/>
  <c r="AV155" i="5"/>
  <c r="AW155" i="5"/>
  <c r="AP159" i="5"/>
  <c r="AQ159" i="5"/>
  <c r="AR159" i="5"/>
  <c r="AT159" i="5"/>
  <c r="AU159" i="5"/>
  <c r="AV159" i="5"/>
  <c r="AW159" i="5"/>
  <c r="AP160" i="5"/>
  <c r="AQ160" i="5"/>
  <c r="AR160" i="5"/>
  <c r="AT160" i="5"/>
  <c r="AU160" i="5"/>
  <c r="AV160" i="5"/>
  <c r="AW160" i="5"/>
  <c r="AP162" i="5"/>
  <c r="AR162" i="5"/>
  <c r="AT162" i="5"/>
  <c r="AU162" i="5"/>
  <c r="AV162" i="5"/>
  <c r="AW162" i="5"/>
  <c r="AP168" i="5"/>
  <c r="AR168" i="5"/>
  <c r="AT168" i="5"/>
  <c r="AU168" i="5"/>
  <c r="AV168" i="5"/>
  <c r="AW168" i="5"/>
  <c r="AP178" i="5"/>
  <c r="AR178" i="5"/>
  <c r="AT178" i="5"/>
  <c r="AU178" i="5"/>
  <c r="AV178" i="5"/>
  <c r="AW178" i="5"/>
  <c r="AP192" i="5"/>
  <c r="AR192" i="5"/>
  <c r="AT192" i="5"/>
  <c r="AU192" i="5"/>
  <c r="AV192" i="5"/>
  <c r="AW192" i="5"/>
  <c r="AP283" i="5"/>
  <c r="AR283" i="5"/>
  <c r="AT283" i="5"/>
  <c r="AU283" i="5"/>
  <c r="AV283" i="5"/>
  <c r="AW283" i="5"/>
  <c r="AP284" i="5"/>
  <c r="AR284" i="5"/>
  <c r="AT284" i="5"/>
  <c r="AU284" i="5"/>
  <c r="AV284" i="5"/>
  <c r="AW284" i="5"/>
  <c r="AP288" i="5"/>
  <c r="AR288" i="5"/>
  <c r="AT288" i="5"/>
  <c r="AU288" i="5"/>
  <c r="AV288" i="5"/>
  <c r="AW288" i="5"/>
  <c r="AP199" i="5"/>
  <c r="AQ199" i="5"/>
  <c r="AR199" i="5"/>
  <c r="AT199" i="5"/>
  <c r="AU199" i="5"/>
  <c r="AV199" i="5"/>
  <c r="AW199" i="5"/>
  <c r="AP201" i="5"/>
  <c r="AR201" i="5"/>
  <c r="AT201" i="5"/>
  <c r="AU201" i="5"/>
  <c r="AV201" i="5"/>
  <c r="AW201" i="5"/>
  <c r="AP202" i="5"/>
  <c r="AR202" i="5"/>
  <c r="AS202" i="5"/>
  <c r="AT202" i="5"/>
  <c r="AU202" i="5"/>
  <c r="AV202" i="5"/>
  <c r="AW202" i="5"/>
  <c r="AP203" i="5"/>
  <c r="AR203" i="5"/>
  <c r="AT203" i="5"/>
  <c r="AU203" i="5"/>
  <c r="AV203" i="5"/>
  <c r="AW203" i="5"/>
  <c r="AP204" i="5"/>
  <c r="AR204" i="5"/>
  <c r="AT204" i="5"/>
  <c r="AU204" i="5"/>
  <c r="AV204" i="5"/>
  <c r="AW204" i="5"/>
  <c r="AP205" i="5"/>
  <c r="AR205" i="5"/>
  <c r="AS205" i="5"/>
  <c r="AT205" i="5"/>
  <c r="AU205" i="5"/>
  <c r="AV205" i="5"/>
  <c r="AW205" i="5"/>
  <c r="AP206" i="5"/>
  <c r="AR206" i="5"/>
  <c r="AT206" i="5"/>
  <c r="AU206" i="5"/>
  <c r="AV206" i="5"/>
  <c r="AW206" i="5"/>
  <c r="AP209" i="5"/>
  <c r="AQ209" i="5"/>
  <c r="AR209" i="5"/>
  <c r="AT209" i="5"/>
  <c r="AU209" i="5"/>
  <c r="AV209" i="5"/>
  <c r="AW209" i="5"/>
  <c r="AP210" i="5"/>
  <c r="AQ210" i="5"/>
  <c r="AR210" i="5"/>
  <c r="AT210" i="5"/>
  <c r="AU210" i="5"/>
  <c r="AV210" i="5"/>
  <c r="AW210" i="5"/>
  <c r="AP214" i="5"/>
  <c r="AQ214" i="5"/>
  <c r="AR214" i="5"/>
  <c r="AT214" i="5"/>
  <c r="AU214" i="5"/>
  <c r="AV214" i="5"/>
  <c r="AW214" i="5"/>
  <c r="AP218" i="5"/>
  <c r="AR218" i="5"/>
  <c r="AT218" i="5"/>
  <c r="AU218" i="5"/>
  <c r="AV218" i="5"/>
  <c r="AW218" i="5"/>
  <c r="AP229" i="5"/>
  <c r="AQ229" i="5"/>
  <c r="AR229" i="5"/>
  <c r="AT229" i="5"/>
  <c r="AU229" i="5"/>
  <c r="AV229" i="5"/>
  <c r="AW229" i="5"/>
  <c r="AP230" i="5"/>
  <c r="AQ230" i="5"/>
  <c r="AR230" i="5"/>
  <c r="AT230" i="5"/>
  <c r="AU230" i="5"/>
  <c r="AV230" i="5"/>
  <c r="AW230" i="5"/>
  <c r="AP234" i="5"/>
  <c r="AR234" i="5"/>
  <c r="AT234" i="5"/>
  <c r="AU234" i="5"/>
  <c r="AV234" i="5"/>
  <c r="AW234" i="5"/>
  <c r="AP235" i="5"/>
  <c r="AR235" i="5"/>
  <c r="AT235" i="5"/>
  <c r="AU235" i="5"/>
  <c r="AV235" i="5"/>
  <c r="AW235" i="5"/>
  <c r="AP237" i="5"/>
  <c r="AR237" i="5"/>
  <c r="AT237" i="5"/>
  <c r="AU237" i="5"/>
  <c r="AV237" i="5"/>
  <c r="AW237" i="5"/>
  <c r="AP242" i="5"/>
  <c r="AR242" i="5"/>
  <c r="AT242" i="5"/>
  <c r="AU242" i="5"/>
  <c r="AV242" i="5"/>
  <c r="AW242" i="5"/>
  <c r="AP244" i="5"/>
  <c r="AR244" i="5"/>
  <c r="AT244" i="5"/>
  <c r="AU244" i="5"/>
  <c r="AV244" i="5"/>
  <c r="AW244" i="5"/>
  <c r="AP251" i="5"/>
  <c r="AR251" i="5"/>
  <c r="AT251" i="5"/>
  <c r="AU251" i="5"/>
  <c r="AV251" i="5"/>
  <c r="AW251" i="5"/>
  <c r="AP82" i="5"/>
  <c r="AR82" i="5"/>
  <c r="AT82" i="5"/>
  <c r="AU82" i="5"/>
  <c r="AV82" i="5"/>
  <c r="AW82" i="5"/>
  <c r="AP85" i="5"/>
  <c r="AR85" i="5"/>
  <c r="AT85" i="5"/>
  <c r="AU85" i="5"/>
  <c r="AV85" i="5"/>
  <c r="AW85" i="5"/>
  <c r="AP87" i="5"/>
  <c r="AQ87" i="5"/>
  <c r="AR87" i="5"/>
  <c r="AT87" i="5"/>
  <c r="AU87" i="5"/>
  <c r="AV87" i="5"/>
  <c r="AW87" i="5"/>
  <c r="AP95" i="5"/>
  <c r="AR95" i="5"/>
  <c r="AT95" i="5"/>
  <c r="AU95" i="5"/>
  <c r="AV95" i="5"/>
  <c r="AW95" i="5"/>
  <c r="AP101" i="5"/>
  <c r="AR101" i="5"/>
  <c r="AS101" i="5"/>
  <c r="AT101" i="5"/>
  <c r="AU101" i="5"/>
  <c r="AV101" i="5"/>
  <c r="AW101" i="5"/>
  <c r="AP111" i="5"/>
  <c r="AR111" i="5"/>
  <c r="AT111" i="5"/>
  <c r="AU111" i="5"/>
  <c r="AV111" i="5"/>
  <c r="AW111" i="5"/>
  <c r="AP143" i="5"/>
  <c r="AR143" i="5"/>
  <c r="AT143" i="5"/>
  <c r="AU143" i="5"/>
  <c r="AV143" i="5"/>
  <c r="AW143" i="5"/>
  <c r="AP158" i="5"/>
  <c r="AQ158" i="5"/>
  <c r="AR158" i="5"/>
  <c r="AT158" i="5"/>
  <c r="AU158" i="5"/>
  <c r="AV158" i="5"/>
  <c r="AW158" i="5"/>
  <c r="AP213" i="5"/>
  <c r="AQ213" i="5"/>
  <c r="AR213" i="5"/>
  <c r="AT213" i="5"/>
  <c r="AU213" i="5"/>
  <c r="AV213" i="5"/>
  <c r="AW213" i="5"/>
  <c r="AP215" i="5"/>
  <c r="AQ215" i="5"/>
  <c r="AR215" i="5"/>
  <c r="AS215" i="5"/>
  <c r="AT215" i="5"/>
  <c r="AU215" i="5"/>
  <c r="AV215" i="5"/>
  <c r="AW215" i="5"/>
  <c r="AP216" i="5"/>
  <c r="AQ216" i="5"/>
  <c r="AR216" i="5"/>
  <c r="AS216" i="5"/>
  <c r="AT216" i="5"/>
  <c r="AU216" i="5"/>
  <c r="AV216" i="5"/>
  <c r="AW216" i="5"/>
  <c r="AP217" i="5"/>
  <c r="AQ217" i="5"/>
  <c r="AR217" i="5"/>
  <c r="AS217" i="5"/>
  <c r="AT217" i="5"/>
  <c r="AU217" i="5"/>
  <c r="AV217" i="5"/>
  <c r="AW217" i="5"/>
  <c r="AP33" i="5"/>
  <c r="AR33" i="5"/>
  <c r="AU33" i="5"/>
  <c r="AP233" i="5"/>
  <c r="AR233" i="5"/>
  <c r="AU233" i="5"/>
  <c r="AP72" i="5"/>
  <c r="AR72" i="5"/>
  <c r="AT72" i="5"/>
  <c r="AU72" i="5"/>
  <c r="AV72" i="5"/>
  <c r="AW72" i="5"/>
  <c r="AP9" i="5"/>
  <c r="AQ9" i="5"/>
  <c r="AR9" i="5"/>
  <c r="AT9" i="5"/>
  <c r="AU9" i="5"/>
  <c r="AV9" i="5"/>
  <c r="AW9" i="5"/>
  <c r="AP100" i="5"/>
  <c r="AR100" i="5"/>
  <c r="AT100" i="5"/>
  <c r="AU100" i="5"/>
  <c r="AV100" i="5"/>
  <c r="AW100" i="5"/>
  <c r="AP114" i="5"/>
  <c r="AR114" i="5"/>
  <c r="AT114" i="5"/>
  <c r="AU114" i="5"/>
  <c r="AV114" i="5"/>
  <c r="AW114" i="5"/>
  <c r="AP15" i="5"/>
  <c r="AQ15" i="5"/>
  <c r="AR15" i="5"/>
  <c r="AT15" i="5"/>
  <c r="AU15" i="5"/>
  <c r="AV15" i="5"/>
  <c r="AW15" i="5"/>
  <c r="AP132" i="5"/>
  <c r="AQ132" i="5"/>
  <c r="AR132" i="5"/>
  <c r="AT132" i="5"/>
  <c r="AU132" i="5"/>
  <c r="AV132" i="5"/>
  <c r="AW132" i="5"/>
  <c r="AP133" i="5"/>
  <c r="AR133" i="5"/>
  <c r="AS133" i="5"/>
  <c r="AT133" i="5"/>
  <c r="AU133" i="5"/>
  <c r="AV133" i="5"/>
  <c r="AW133" i="5"/>
  <c r="AP138" i="5"/>
  <c r="AR138" i="5"/>
  <c r="AT138" i="5"/>
  <c r="AU138" i="5"/>
  <c r="AV138" i="5"/>
  <c r="AW138" i="5"/>
  <c r="AP141" i="5"/>
  <c r="AQ141" i="5"/>
  <c r="AR141" i="5"/>
  <c r="AT141" i="5"/>
  <c r="AU141" i="5"/>
  <c r="AV141" i="5"/>
  <c r="AW141" i="5"/>
  <c r="AP148" i="5"/>
  <c r="AQ148" i="5"/>
  <c r="AR148" i="5"/>
  <c r="AS148" i="5"/>
  <c r="AT148" i="5"/>
  <c r="AU148" i="5"/>
  <c r="AV148" i="5"/>
  <c r="AW148" i="5"/>
  <c r="AP152" i="5"/>
  <c r="AQ152" i="5"/>
  <c r="AR152" i="5"/>
  <c r="AT152" i="5"/>
  <c r="AU152" i="5"/>
  <c r="AV152" i="5"/>
  <c r="AW152" i="5"/>
  <c r="AP167" i="5"/>
  <c r="AR167" i="5"/>
  <c r="AT167" i="5"/>
  <c r="AU167" i="5"/>
  <c r="AV167" i="5"/>
  <c r="AW167" i="5"/>
  <c r="AP169" i="5"/>
  <c r="AR169" i="5"/>
  <c r="AT169" i="5"/>
  <c r="AU169" i="5"/>
  <c r="AV169" i="5"/>
  <c r="AW169" i="5"/>
  <c r="AP189" i="5"/>
  <c r="AR189" i="5"/>
  <c r="AT189" i="5"/>
  <c r="AU189" i="5"/>
  <c r="AV189" i="5"/>
  <c r="AW189" i="5"/>
  <c r="AP191" i="5"/>
  <c r="AR191" i="5"/>
  <c r="AT191" i="5"/>
  <c r="AU191" i="5"/>
  <c r="AV191" i="5"/>
  <c r="AW191" i="5"/>
  <c r="AP289" i="5"/>
  <c r="AR289" i="5"/>
  <c r="AT289" i="5"/>
  <c r="AU289" i="5"/>
  <c r="AV289" i="5"/>
  <c r="AW289" i="5"/>
  <c r="AP292" i="5"/>
  <c r="AR292" i="5"/>
  <c r="AT292" i="5"/>
  <c r="AU292" i="5"/>
  <c r="AV292" i="5"/>
  <c r="AW292" i="5"/>
  <c r="AP21" i="5"/>
  <c r="AR21" i="5"/>
  <c r="AT21" i="5"/>
  <c r="AU21" i="5"/>
  <c r="AV21" i="5"/>
  <c r="AW21" i="5"/>
  <c r="AP212" i="5"/>
  <c r="AQ212" i="5"/>
  <c r="AR212" i="5"/>
  <c r="AT212" i="5"/>
  <c r="AU212" i="5"/>
  <c r="AV212" i="5"/>
  <c r="AW212" i="5"/>
  <c r="AP27" i="5"/>
  <c r="AQ27" i="5"/>
  <c r="AR27" i="5"/>
  <c r="AT27" i="5"/>
  <c r="AU27" i="5"/>
  <c r="AV27" i="5"/>
  <c r="AW27" i="5"/>
  <c r="AP28" i="5"/>
  <c r="AR28" i="5"/>
  <c r="AT28" i="5"/>
  <c r="AU28" i="5"/>
  <c r="AV28" i="5"/>
  <c r="AW28" i="5"/>
  <c r="AP239" i="5"/>
  <c r="AQ239" i="5"/>
  <c r="AR239" i="5"/>
  <c r="AT239" i="5"/>
  <c r="AU239" i="5"/>
  <c r="AV239" i="5"/>
  <c r="AW239" i="5"/>
  <c r="AP75" i="5"/>
  <c r="AR75" i="5"/>
  <c r="AT75" i="5"/>
  <c r="AU75" i="5"/>
  <c r="AV75" i="5"/>
  <c r="AW75" i="5"/>
  <c r="AP88" i="5"/>
  <c r="AQ88" i="5"/>
  <c r="AR88" i="5"/>
  <c r="AT88" i="5"/>
  <c r="AU88" i="5"/>
  <c r="AV88" i="5"/>
  <c r="AW88" i="5"/>
  <c r="AP99" i="5"/>
  <c r="AR99" i="5"/>
  <c r="AT99" i="5"/>
  <c r="AU99" i="5"/>
  <c r="AV99" i="5"/>
  <c r="AW99" i="5"/>
  <c r="AP112" i="5"/>
  <c r="AR112" i="5"/>
  <c r="AT112" i="5"/>
  <c r="AU112" i="5"/>
  <c r="AV112" i="5"/>
  <c r="AW112" i="5"/>
  <c r="AP130" i="5"/>
  <c r="AQ130" i="5"/>
  <c r="AR130" i="5"/>
  <c r="AT130" i="5"/>
  <c r="AU130" i="5"/>
  <c r="AV130" i="5"/>
  <c r="AW130" i="5"/>
  <c r="AP142" i="5"/>
  <c r="AR142" i="5"/>
  <c r="AS142" i="5"/>
  <c r="AT142" i="5"/>
  <c r="AU142" i="5"/>
  <c r="AV142" i="5"/>
  <c r="AW142" i="5"/>
  <c r="AP156" i="5"/>
  <c r="AR156" i="5"/>
  <c r="AS156" i="5"/>
  <c r="AT156" i="5"/>
  <c r="AU156" i="5"/>
  <c r="AV156" i="5"/>
  <c r="AW156" i="5"/>
  <c r="AP172" i="5"/>
  <c r="AR172" i="5"/>
  <c r="AT172" i="5"/>
  <c r="AU172" i="5"/>
  <c r="AV172" i="5"/>
  <c r="AW172" i="5"/>
  <c r="AP190" i="5"/>
  <c r="AR190" i="5"/>
  <c r="AT190" i="5"/>
  <c r="AU190" i="5"/>
  <c r="AV190" i="5"/>
  <c r="AW190" i="5"/>
  <c r="AP280" i="5"/>
  <c r="AR280" i="5"/>
  <c r="AT280" i="5"/>
  <c r="AU280" i="5"/>
  <c r="AV280" i="5"/>
  <c r="AW280" i="5"/>
  <c r="AP282" i="5"/>
  <c r="AR282" i="5"/>
  <c r="AT282" i="5"/>
  <c r="AU282" i="5"/>
  <c r="AV282" i="5"/>
  <c r="AW282" i="5"/>
  <c r="AP195" i="5"/>
  <c r="AR195" i="5"/>
  <c r="AT195" i="5"/>
  <c r="AU195" i="5"/>
  <c r="AV195" i="5"/>
  <c r="AW195" i="5"/>
  <c r="AP287" i="5"/>
  <c r="AR287" i="5"/>
  <c r="AT287" i="5"/>
  <c r="AU287" i="5"/>
  <c r="AV287" i="5"/>
  <c r="AW287" i="5"/>
  <c r="AP291" i="5"/>
  <c r="AR291" i="5"/>
  <c r="AT291" i="5"/>
  <c r="AU291" i="5"/>
  <c r="AV291" i="5"/>
  <c r="AW291" i="5"/>
  <c r="AP294" i="5"/>
  <c r="AR294" i="5"/>
  <c r="AT294" i="5"/>
  <c r="AU294" i="5"/>
  <c r="AV294" i="5"/>
  <c r="AW294" i="5"/>
  <c r="AP295" i="5"/>
  <c r="AR295" i="5"/>
  <c r="AT295" i="5"/>
  <c r="AU295" i="5"/>
  <c r="AV295" i="5"/>
  <c r="AW295" i="5"/>
  <c r="AP236" i="5"/>
  <c r="AR236" i="5"/>
  <c r="AT236" i="5"/>
  <c r="AU236" i="5"/>
  <c r="AV236" i="5"/>
  <c r="AW236" i="5"/>
  <c r="AP73" i="5"/>
  <c r="AQ73" i="5"/>
  <c r="AR73" i="5"/>
  <c r="AT73" i="5"/>
  <c r="AU73" i="5"/>
  <c r="AV73" i="5"/>
  <c r="AW73" i="5"/>
  <c r="AP13" i="5"/>
  <c r="AQ13" i="5"/>
  <c r="AR13" i="5"/>
  <c r="AS13" i="5"/>
  <c r="AT13" i="5"/>
  <c r="AU13" i="5"/>
  <c r="AV13" i="5"/>
  <c r="AW13" i="5"/>
  <c r="AP3" i="5"/>
  <c r="AR3" i="5"/>
  <c r="AT3" i="5"/>
  <c r="AU3" i="5"/>
  <c r="AV3" i="5"/>
  <c r="AW3" i="5"/>
  <c r="AP279" i="5"/>
  <c r="AR279" i="5"/>
  <c r="AT279" i="5"/>
  <c r="AU279" i="5"/>
  <c r="AV279" i="5"/>
  <c r="AW279" i="5"/>
  <c r="AP16" i="5"/>
  <c r="AR16" i="5"/>
  <c r="AT16" i="5"/>
  <c r="AU16" i="5"/>
  <c r="AV16" i="5"/>
  <c r="AW16" i="5"/>
  <c r="AP17" i="5"/>
  <c r="AR17" i="5"/>
  <c r="AT17" i="5"/>
  <c r="AU17" i="5"/>
  <c r="AV17" i="5"/>
  <c r="AW17" i="5"/>
  <c r="AP18" i="5"/>
  <c r="AR18" i="5"/>
  <c r="AT18" i="5"/>
  <c r="AU18" i="5"/>
  <c r="AV18" i="5"/>
  <c r="AW18" i="5"/>
  <c r="AP281" i="5"/>
  <c r="AR281" i="5"/>
  <c r="AT281" i="5"/>
  <c r="AU281" i="5"/>
  <c r="AV281" i="5"/>
  <c r="AW281" i="5"/>
  <c r="AP211" i="5"/>
  <c r="AQ211" i="5"/>
  <c r="AR211" i="5"/>
  <c r="AT211" i="5"/>
  <c r="AU211" i="5"/>
  <c r="AV211" i="5"/>
  <c r="AW211" i="5"/>
  <c r="AP257" i="5"/>
  <c r="AR257" i="5"/>
  <c r="AT257" i="5"/>
  <c r="AU257" i="5"/>
  <c r="AV257" i="5"/>
  <c r="AW257" i="5"/>
  <c r="AP8" i="5"/>
  <c r="AR8" i="5"/>
  <c r="AT8" i="5"/>
  <c r="AU8" i="5"/>
  <c r="AV8" i="5"/>
  <c r="AW8" i="5"/>
  <c r="AP74" i="5"/>
  <c r="AR74" i="5"/>
  <c r="AT74" i="5"/>
  <c r="AU74" i="5"/>
  <c r="AV74" i="5"/>
  <c r="AW74" i="5"/>
  <c r="AP76" i="5"/>
  <c r="AR76" i="5"/>
  <c r="AT76" i="5"/>
  <c r="AU76" i="5"/>
  <c r="AV76" i="5"/>
  <c r="AW76" i="5"/>
  <c r="AP268" i="5"/>
  <c r="AR268" i="5"/>
  <c r="AS268" i="5"/>
  <c r="AT268" i="5"/>
  <c r="AU268" i="5"/>
  <c r="AV268" i="5"/>
  <c r="AW268" i="5"/>
  <c r="AP126" i="5"/>
  <c r="AR126" i="5"/>
  <c r="AT126" i="5"/>
  <c r="AU126" i="5"/>
  <c r="AV126" i="5"/>
  <c r="AW126" i="5"/>
  <c r="AP127" i="5"/>
  <c r="AR127" i="5"/>
  <c r="AT127" i="5"/>
  <c r="AU127" i="5"/>
  <c r="AV127" i="5"/>
  <c r="AW127" i="5"/>
  <c r="AP137" i="5"/>
  <c r="AR137" i="5"/>
  <c r="AT137" i="5"/>
  <c r="AU137" i="5"/>
  <c r="AV137" i="5"/>
  <c r="AW137" i="5"/>
  <c r="AP157" i="5"/>
  <c r="AR157" i="5"/>
  <c r="AT157" i="5"/>
  <c r="AU157" i="5"/>
  <c r="AV157" i="5"/>
  <c r="AW157" i="5"/>
  <c r="AP193" i="5"/>
  <c r="AR193" i="5"/>
  <c r="AT193" i="5"/>
  <c r="AU193" i="5"/>
  <c r="AV193" i="5"/>
  <c r="AW193" i="5"/>
  <c r="AP285" i="5"/>
  <c r="AR285" i="5"/>
  <c r="AT285" i="5"/>
  <c r="AU285" i="5"/>
  <c r="AV285" i="5"/>
  <c r="AW285" i="5"/>
  <c r="AP176" i="5"/>
  <c r="AR176" i="5"/>
  <c r="AS176" i="5"/>
  <c r="AU176" i="5"/>
  <c r="AP179" i="5"/>
  <c r="AQ179" i="5"/>
  <c r="AR179" i="5"/>
  <c r="AT179" i="5"/>
  <c r="AU179" i="5"/>
  <c r="AV179" i="5"/>
  <c r="AW179" i="5"/>
  <c r="AP286" i="5"/>
  <c r="AR286" i="5"/>
  <c r="AT286" i="5"/>
  <c r="AU286" i="5"/>
  <c r="AV286" i="5"/>
  <c r="AW286" i="5"/>
  <c r="AP243" i="5"/>
  <c r="AR243" i="5"/>
  <c r="AT243" i="5"/>
  <c r="AU243" i="5"/>
  <c r="AV243" i="5"/>
  <c r="AW243" i="5"/>
  <c r="AP91" i="5"/>
  <c r="AR91" i="5"/>
  <c r="AS91" i="5"/>
  <c r="AT91" i="5"/>
  <c r="AU91" i="5"/>
  <c r="AV91" i="5"/>
  <c r="AW91" i="5"/>
  <c r="AP129" i="5"/>
  <c r="AQ129" i="5"/>
  <c r="AR129" i="5"/>
  <c r="AU129" i="5"/>
  <c r="AP149" i="5"/>
  <c r="AR149" i="5"/>
  <c r="AU149" i="5"/>
  <c r="AP188" i="5"/>
  <c r="AR188" i="5"/>
  <c r="AS188" i="5"/>
  <c r="AU188" i="5"/>
  <c r="AP2" i="5"/>
  <c r="AR2" i="5"/>
  <c r="AT2" i="5"/>
  <c r="AU2" i="5"/>
  <c r="AV2" i="5"/>
  <c r="AW2" i="5"/>
  <c r="AP124" i="5"/>
  <c r="AR124" i="5"/>
  <c r="AT124" i="5"/>
  <c r="AU124" i="5"/>
  <c r="AV124" i="5"/>
  <c r="AW124" i="5"/>
  <c r="AP175" i="5"/>
  <c r="AR175" i="5"/>
  <c r="AS175" i="5"/>
  <c r="AU175" i="5"/>
  <c r="AP31" i="5"/>
  <c r="AR31" i="5"/>
  <c r="AU31" i="5"/>
  <c r="AP245" i="5"/>
  <c r="AR245" i="5"/>
  <c r="AT245" i="5"/>
  <c r="AU245" i="5"/>
  <c r="AV245" i="5"/>
  <c r="AW245" i="5"/>
  <c r="AP246" i="5"/>
  <c r="AR246" i="5"/>
  <c r="AT246" i="5"/>
  <c r="AU246" i="5"/>
  <c r="AV246" i="5"/>
  <c r="AW246" i="5"/>
  <c r="AP247" i="5"/>
  <c r="AR247" i="5"/>
  <c r="AT247" i="5"/>
  <c r="AU247" i="5"/>
  <c r="AV247" i="5"/>
  <c r="AW247" i="5"/>
  <c r="AP116" i="5"/>
  <c r="AQ116" i="5"/>
  <c r="AR116" i="5"/>
  <c r="AS116" i="5"/>
  <c r="AT116" i="5"/>
  <c r="AU116" i="5"/>
  <c r="AV116" i="5"/>
  <c r="AW116" i="5"/>
  <c r="AP154" i="5"/>
  <c r="AR154" i="5"/>
  <c r="AT154" i="5"/>
  <c r="AU154" i="5"/>
  <c r="AV154" i="5"/>
  <c r="AW154" i="5"/>
  <c r="AP241" i="5"/>
  <c r="AR241" i="5"/>
  <c r="AT241" i="5"/>
  <c r="AU241" i="5"/>
  <c r="AV241" i="5"/>
  <c r="AW241" i="5"/>
  <c r="AP200" i="5"/>
  <c r="AR200" i="5"/>
  <c r="AT200" i="5"/>
  <c r="AU200" i="5"/>
  <c r="AV200" i="5"/>
  <c r="AW200" i="5"/>
  <c r="AP207" i="5"/>
  <c r="AR207" i="5"/>
  <c r="AS207" i="5"/>
  <c r="AT207" i="5"/>
  <c r="AU207" i="5"/>
  <c r="AV207" i="5"/>
  <c r="AW207" i="5"/>
  <c r="AP231" i="5"/>
  <c r="AR231" i="5"/>
  <c r="AT231" i="5"/>
  <c r="AU231" i="5"/>
  <c r="AV231" i="5"/>
  <c r="AW231" i="5"/>
  <c r="AP274" i="5"/>
  <c r="AR274" i="5"/>
  <c r="AS274" i="5"/>
  <c r="AT274" i="5"/>
  <c r="AU274" i="5"/>
  <c r="AV274" i="5"/>
  <c r="AW274" i="5"/>
  <c r="AP163" i="5"/>
  <c r="AR163" i="5"/>
  <c r="AT163" i="5"/>
  <c r="AU163" i="5"/>
  <c r="AV163" i="5"/>
  <c r="AW163" i="5"/>
  <c r="AP228" i="5"/>
  <c r="AQ228" i="5"/>
  <c r="AR228" i="5"/>
  <c r="AS228" i="5"/>
  <c r="AT228" i="5"/>
  <c r="AU228" i="5"/>
  <c r="AV228" i="5"/>
  <c r="AW228" i="5"/>
  <c r="AP118" i="5"/>
  <c r="AR118" i="5"/>
  <c r="AT118" i="5"/>
  <c r="AU118" i="5"/>
  <c r="AV118" i="5"/>
  <c r="AW118" i="5"/>
  <c r="AP273" i="5"/>
  <c r="AR273" i="5"/>
  <c r="AT273" i="5"/>
  <c r="AU273" i="5"/>
  <c r="AV273" i="5"/>
  <c r="AW273" i="5"/>
  <c r="AP34" i="5"/>
  <c r="AR34" i="5"/>
  <c r="AU34" i="5"/>
  <c r="AP134" i="5"/>
  <c r="AR134" i="5"/>
  <c r="AS134" i="5"/>
  <c r="AT134" i="5"/>
  <c r="AU134" i="5"/>
  <c r="AV134" i="5"/>
  <c r="AW134" i="5"/>
  <c r="AP271" i="5"/>
  <c r="AQ271" i="5"/>
  <c r="AR271" i="5"/>
  <c r="AS271" i="5"/>
  <c r="AT271" i="5"/>
  <c r="AU271" i="5"/>
  <c r="AV271" i="5"/>
  <c r="AW271" i="5"/>
  <c r="AP136" i="5"/>
  <c r="AR136" i="5"/>
  <c r="AS136" i="5"/>
  <c r="AT136" i="5"/>
  <c r="AU136" i="5"/>
  <c r="AV136" i="5"/>
  <c r="AW136" i="5"/>
  <c r="AP147" i="5"/>
  <c r="AR147" i="5"/>
  <c r="AS147" i="5"/>
  <c r="AT147" i="5"/>
  <c r="AU147" i="5"/>
  <c r="AV147" i="5"/>
  <c r="AW147" i="5"/>
  <c r="AP276" i="5"/>
  <c r="AQ276" i="5"/>
  <c r="AR276" i="5"/>
  <c r="AS276" i="5"/>
  <c r="AT276" i="5"/>
  <c r="AU276" i="5"/>
  <c r="AV276" i="5"/>
  <c r="AW276" i="5"/>
  <c r="AP46" i="5"/>
  <c r="AR46" i="5"/>
  <c r="AT46" i="5"/>
  <c r="AU46" i="5"/>
  <c r="AV46" i="5"/>
  <c r="AW46" i="5"/>
  <c r="AP144" i="5"/>
  <c r="AQ144" i="5"/>
  <c r="AR144" i="5"/>
  <c r="AS144" i="5"/>
  <c r="AT144" i="5"/>
  <c r="AU144" i="5"/>
  <c r="AV144" i="5"/>
  <c r="AW144" i="5"/>
  <c r="AP5" i="5"/>
  <c r="AQ5" i="5"/>
  <c r="AR5" i="5"/>
  <c r="AT5" i="5"/>
  <c r="AU5" i="5"/>
  <c r="AV5" i="5"/>
  <c r="AW5" i="5"/>
  <c r="AP221" i="5"/>
  <c r="AQ221" i="5"/>
  <c r="AR221" i="5"/>
  <c r="AS221" i="5"/>
  <c r="AT221" i="5"/>
  <c r="AU221" i="5"/>
  <c r="AV221" i="5"/>
  <c r="AW221" i="5"/>
  <c r="AP296" i="5"/>
  <c r="AR296" i="5"/>
  <c r="AT296" i="5"/>
  <c r="AU296" i="5"/>
  <c r="AV296" i="5"/>
  <c r="AW296" i="5"/>
  <c r="AP277" i="5"/>
  <c r="AR277" i="5"/>
  <c r="AT277" i="5"/>
  <c r="AU277" i="5"/>
  <c r="AV277" i="5"/>
  <c r="AW277" i="5"/>
  <c r="AP194" i="5"/>
  <c r="AR194" i="5"/>
  <c r="AT194" i="5"/>
  <c r="AU194" i="5"/>
  <c r="AV194" i="5"/>
  <c r="AW194" i="5"/>
  <c r="AP196" i="5"/>
  <c r="AR196" i="5"/>
  <c r="AT196" i="5"/>
  <c r="AU196" i="5"/>
  <c r="AV196" i="5"/>
  <c r="AW196" i="5"/>
  <c r="AP224" i="5"/>
  <c r="AR224" i="5"/>
  <c r="AS224" i="5"/>
  <c r="AT224" i="5"/>
  <c r="AU224" i="5"/>
  <c r="AV224" i="5"/>
  <c r="AW224" i="5"/>
  <c r="AP250" i="5"/>
  <c r="AR250" i="5"/>
  <c r="AT250" i="5"/>
  <c r="AU250" i="5"/>
  <c r="AV250" i="5"/>
  <c r="AW250" i="5"/>
  <c r="AP98" i="5"/>
  <c r="AR98" i="5"/>
  <c r="AT98" i="5"/>
  <c r="AU98" i="5"/>
  <c r="AV98" i="5"/>
  <c r="AW98" i="5"/>
  <c r="AP120" i="5"/>
  <c r="AR120" i="5"/>
  <c r="AT120" i="5"/>
  <c r="AU120" i="5"/>
  <c r="AV120" i="5"/>
  <c r="AW120" i="5"/>
  <c r="AP90" i="5"/>
  <c r="AR90" i="5"/>
  <c r="AS90" i="5"/>
  <c r="AT90" i="5"/>
  <c r="AU90" i="5"/>
  <c r="AV90" i="5"/>
  <c r="AW90" i="5"/>
  <c r="AP275" i="5"/>
  <c r="AR275" i="5"/>
  <c r="AT275" i="5"/>
  <c r="AU275" i="5"/>
  <c r="AV275" i="5"/>
  <c r="AW275" i="5"/>
  <c r="AP151" i="5"/>
  <c r="AR151" i="5"/>
  <c r="AS151" i="5"/>
  <c r="AT151" i="5"/>
  <c r="AU151" i="5"/>
  <c r="AV151" i="5"/>
  <c r="AW151" i="5"/>
  <c r="AP70" i="5"/>
  <c r="AR70" i="5"/>
  <c r="AT70" i="5"/>
  <c r="AU70" i="5"/>
  <c r="AV70" i="5"/>
  <c r="AW70" i="5"/>
  <c r="AZ70" i="5"/>
  <c r="AP197" i="5"/>
  <c r="AR197" i="5"/>
  <c r="AS197" i="5"/>
  <c r="AT197" i="5"/>
  <c r="AU197" i="5"/>
  <c r="AV197" i="5"/>
  <c r="AW197" i="5"/>
  <c r="AP150" i="5"/>
  <c r="AQ150" i="5"/>
  <c r="AR150" i="5"/>
  <c r="AT150" i="5"/>
  <c r="AU150" i="5"/>
  <c r="AV150" i="5"/>
  <c r="AW150" i="5"/>
  <c r="AP105" i="5"/>
  <c r="AQ105" i="5"/>
  <c r="AR105" i="5"/>
  <c r="AT105" i="5"/>
  <c r="AU105" i="5"/>
  <c r="AV105" i="5"/>
  <c r="AW105" i="5"/>
  <c r="AP96" i="5"/>
  <c r="AR96" i="5"/>
  <c r="AT96" i="5"/>
  <c r="AU96" i="5"/>
  <c r="AV96" i="5"/>
  <c r="AW96" i="5"/>
  <c r="AP293" i="5"/>
  <c r="AR293" i="5"/>
  <c r="AT293" i="5"/>
  <c r="AU293" i="5"/>
  <c r="AV293" i="5"/>
  <c r="AW293" i="5"/>
  <c r="AP48" i="5"/>
  <c r="AR48" i="5"/>
  <c r="AT48" i="5"/>
  <c r="AU48" i="5"/>
  <c r="AV48" i="5"/>
  <c r="AW48" i="5"/>
  <c r="AP248" i="5"/>
  <c r="AR248" i="5"/>
  <c r="AT248" i="5"/>
  <c r="AU248" i="5"/>
  <c r="AV248" i="5"/>
  <c r="AW248" i="5"/>
  <c r="AP36" i="5"/>
  <c r="AR36" i="5"/>
  <c r="AT36" i="5"/>
  <c r="AU36" i="5"/>
  <c r="AV36" i="5"/>
  <c r="AW36" i="5"/>
  <c r="AP121" i="5"/>
  <c r="AR121" i="5"/>
  <c r="AT121" i="5"/>
  <c r="AU121" i="5"/>
  <c r="AV121" i="5"/>
  <c r="AW121" i="5"/>
  <c r="AP69" i="5"/>
  <c r="AR69" i="5"/>
  <c r="AS69" i="5"/>
  <c r="AT69" i="5"/>
  <c r="AU69" i="5"/>
  <c r="AV69" i="5"/>
  <c r="AW69" i="5"/>
  <c r="AP47" i="5"/>
  <c r="AR47" i="5"/>
  <c r="AT47" i="5"/>
  <c r="AU47" i="5"/>
  <c r="AV47" i="5"/>
  <c r="AW47" i="5"/>
  <c r="AP7" i="5"/>
  <c r="AR7" i="5"/>
  <c r="AT7" i="5"/>
  <c r="AU7" i="5"/>
  <c r="AV7" i="5"/>
  <c r="AW7" i="5"/>
  <c r="AP43" i="5"/>
  <c r="AR43" i="5"/>
  <c r="AT43" i="5"/>
  <c r="AU43" i="5"/>
  <c r="AV43" i="5"/>
  <c r="AW43" i="5"/>
  <c r="AP6" i="5"/>
  <c r="AR6" i="5"/>
  <c r="AT6" i="5"/>
  <c r="AU6" i="5"/>
  <c r="AV6" i="5"/>
  <c r="AW6" i="5"/>
  <c r="AP37" i="5"/>
  <c r="AR37" i="5"/>
  <c r="AT37" i="5"/>
  <c r="AU37" i="5"/>
  <c r="AV37" i="5"/>
  <c r="AW37" i="5"/>
  <c r="AP49" i="5"/>
  <c r="AR49" i="5"/>
  <c r="AT49" i="5"/>
  <c r="AU49" i="5"/>
  <c r="AV49" i="5"/>
  <c r="AW49" i="5"/>
  <c r="AP62" i="5"/>
  <c r="AR62" i="5"/>
  <c r="AT62" i="5"/>
  <c r="AU62" i="5"/>
  <c r="AV62" i="5"/>
  <c r="AW62" i="5"/>
  <c r="AP71" i="5"/>
  <c r="AR71" i="5"/>
  <c r="AT71" i="5"/>
  <c r="AU71" i="5"/>
  <c r="AV71" i="5"/>
  <c r="AW71" i="5"/>
  <c r="AP63" i="5"/>
  <c r="AR63" i="5"/>
  <c r="AT63" i="5"/>
  <c r="AU63" i="5"/>
  <c r="AV63" i="5"/>
  <c r="AW63" i="5"/>
  <c r="AP122" i="5"/>
  <c r="AR122" i="5"/>
  <c r="AT122" i="5"/>
  <c r="AU122" i="5"/>
  <c r="AV122" i="5"/>
  <c r="AW122" i="5"/>
  <c r="AP226" i="5"/>
  <c r="AQ226" i="5"/>
  <c r="AR226" i="5"/>
  <c r="AS226" i="5"/>
  <c r="AT226" i="5"/>
  <c r="AU226" i="5"/>
  <c r="AV226" i="5"/>
  <c r="AW226" i="5"/>
  <c r="AP45" i="5"/>
  <c r="AR45" i="5"/>
  <c r="AT45" i="5"/>
  <c r="AU45" i="5"/>
  <c r="AV45" i="5"/>
  <c r="AW45" i="5"/>
  <c r="AP64" i="5"/>
  <c r="AR64" i="5"/>
  <c r="AT64" i="5"/>
  <c r="AU64" i="5"/>
  <c r="AV64" i="5"/>
  <c r="AW64" i="5"/>
  <c r="AP198" i="5"/>
  <c r="AQ198" i="5"/>
  <c r="AR198" i="5"/>
  <c r="AT198" i="5"/>
  <c r="AU198" i="5"/>
  <c r="AV198" i="5"/>
  <c r="AW198" i="5"/>
  <c r="AP4" i="5"/>
  <c r="AR4" i="5"/>
  <c r="AS4" i="5"/>
  <c r="AT4" i="5"/>
  <c r="AU4" i="5"/>
  <c r="AV4" i="5"/>
  <c r="AW4" i="5"/>
  <c r="AP223" i="5"/>
  <c r="AR223" i="5"/>
  <c r="AT223" i="5"/>
  <c r="AU223" i="5"/>
  <c r="AV223" i="5"/>
  <c r="AW223" i="5"/>
  <c r="AP153" i="5"/>
  <c r="AR153" i="5"/>
  <c r="AS153" i="5"/>
  <c r="AT153" i="5"/>
  <c r="AU153" i="5"/>
  <c r="AV153" i="5"/>
  <c r="AW153" i="5"/>
  <c r="AP68" i="5"/>
  <c r="AR68" i="5"/>
  <c r="AT68" i="5"/>
  <c r="AU68" i="5"/>
  <c r="AV68" i="5"/>
  <c r="AW68" i="5"/>
  <c r="AP40" i="5"/>
  <c r="AR40" i="5"/>
  <c r="AT40" i="5"/>
  <c r="AU40" i="5"/>
  <c r="AV40" i="5"/>
  <c r="AW40" i="5"/>
  <c r="AP44" i="5"/>
  <c r="AR44" i="5"/>
  <c r="AT44" i="5"/>
  <c r="AU44" i="5"/>
  <c r="AV44" i="5"/>
  <c r="AW44" i="5"/>
  <c r="AP254" i="5"/>
  <c r="AR254" i="5"/>
  <c r="AS254" i="5"/>
  <c r="AT254" i="5"/>
  <c r="AU254" i="5"/>
  <c r="AV254" i="5"/>
  <c r="AW254" i="5"/>
  <c r="AP39" i="5"/>
  <c r="AR39" i="5"/>
  <c r="AT39" i="5"/>
  <c r="AU39" i="5"/>
  <c r="AV39" i="5"/>
  <c r="AW39" i="5"/>
  <c r="AP80" i="5"/>
  <c r="AR80" i="5"/>
  <c r="AT80" i="5"/>
  <c r="AU80" i="5"/>
  <c r="AV80" i="5"/>
  <c r="AW80" i="5"/>
  <c r="AP41" i="5"/>
  <c r="AR41" i="5"/>
  <c r="AT41" i="5"/>
  <c r="AU41" i="5"/>
  <c r="AV41" i="5"/>
  <c r="AW41" i="5"/>
  <c r="AP42" i="5"/>
  <c r="AR42" i="5"/>
  <c r="AT42" i="5"/>
  <c r="AU42" i="5"/>
  <c r="AV42" i="5"/>
  <c r="AW42" i="5"/>
  <c r="AP113" i="5"/>
  <c r="AR113" i="5"/>
  <c r="AT113" i="5"/>
  <c r="AU113" i="5"/>
  <c r="AV113" i="5"/>
  <c r="AW113" i="5"/>
  <c r="AP270" i="5"/>
  <c r="AQ270" i="5"/>
  <c r="AR270" i="5"/>
  <c r="AT270" i="5"/>
  <c r="AU270" i="5"/>
  <c r="AV270" i="5"/>
  <c r="AW270" i="5"/>
  <c r="AP256" i="5"/>
  <c r="AR256" i="5"/>
  <c r="AT256" i="5"/>
  <c r="AU256" i="5"/>
  <c r="AV256" i="5"/>
  <c r="AW256" i="5"/>
  <c r="AP278" i="5"/>
  <c r="AR278" i="5"/>
  <c r="AS278" i="5"/>
  <c r="AT278" i="5"/>
  <c r="AU278" i="5"/>
  <c r="AV278" i="5"/>
  <c r="AW278" i="5"/>
  <c r="AP262" i="5"/>
  <c r="AR262" i="5"/>
  <c r="AT262" i="5"/>
  <c r="AU262" i="5"/>
  <c r="AV262" i="5"/>
  <c r="AW262" i="5"/>
  <c r="AP38" i="5"/>
  <c r="AR38" i="5"/>
  <c r="AT38" i="5"/>
  <c r="AU38" i="5"/>
  <c r="AV38" i="5"/>
  <c r="AW38" i="5"/>
  <c r="AP255" i="5"/>
  <c r="AR255" i="5"/>
  <c r="AT255" i="5"/>
  <c r="AU255" i="5"/>
  <c r="AV255" i="5"/>
  <c r="AW255" i="5"/>
  <c r="AP290" i="5"/>
  <c r="AR290" i="5"/>
  <c r="AT290" i="5"/>
  <c r="AU290" i="5"/>
  <c r="AV290" i="5"/>
  <c r="AW290" i="5"/>
  <c r="AP67" i="5"/>
  <c r="AR67" i="5"/>
  <c r="AT67" i="5"/>
  <c r="AU67" i="5"/>
  <c r="AV67" i="5"/>
  <c r="AW67" i="5"/>
  <c r="AP55" i="5"/>
  <c r="AR55" i="5"/>
  <c r="AT55" i="5"/>
  <c r="AU55" i="5"/>
  <c r="AV55" i="5"/>
  <c r="AW55" i="5"/>
  <c r="AP65" i="5"/>
  <c r="AR65" i="5"/>
  <c r="AT65" i="5"/>
  <c r="AU65" i="5"/>
  <c r="AV65" i="5"/>
  <c r="AW65" i="5"/>
  <c r="AP253" i="5"/>
  <c r="AR253" i="5"/>
  <c r="AT253" i="5"/>
  <c r="AU253" i="5"/>
  <c r="AV253" i="5"/>
  <c r="AW253" i="5"/>
  <c r="AP66" i="5"/>
  <c r="AR66" i="5"/>
  <c r="AT66" i="5"/>
  <c r="AU66" i="5"/>
  <c r="AV66" i="5"/>
  <c r="AW66" i="5"/>
  <c r="AP56" i="5"/>
  <c r="AR56" i="5"/>
  <c r="AT56" i="5"/>
  <c r="AU56" i="5"/>
  <c r="AV56" i="5"/>
  <c r="AW56" i="5"/>
  <c r="AP97" i="5"/>
  <c r="AR97" i="5"/>
  <c r="AT97" i="5"/>
  <c r="AU97" i="5"/>
  <c r="AV97" i="5"/>
  <c r="AW97" i="5"/>
  <c r="AP59" i="5"/>
  <c r="AR59" i="5"/>
  <c r="AT59" i="5"/>
  <c r="AU59" i="5"/>
  <c r="AV59" i="5"/>
  <c r="AW59" i="5"/>
  <c r="AP115" i="5"/>
  <c r="AR115" i="5"/>
  <c r="AT115" i="5"/>
  <c r="AU115" i="5"/>
  <c r="AV115" i="5"/>
  <c r="AW115" i="5"/>
  <c r="AP161" i="5"/>
  <c r="AR161" i="5"/>
  <c r="AT161" i="5"/>
  <c r="AU161" i="5"/>
  <c r="AV161" i="5"/>
  <c r="AW161" i="5"/>
  <c r="AP60" i="5"/>
  <c r="AR60" i="5"/>
  <c r="AT60" i="5"/>
  <c r="AU60" i="5"/>
  <c r="AV60" i="5"/>
  <c r="AW60" i="5"/>
  <c r="AP57" i="5"/>
  <c r="AR57" i="5"/>
  <c r="AT57" i="5"/>
  <c r="AU57" i="5"/>
  <c r="AV57" i="5"/>
  <c r="AW57" i="5"/>
  <c r="AP58" i="5"/>
  <c r="AR58" i="5"/>
  <c r="AS58" i="5"/>
  <c r="AT58" i="5"/>
  <c r="AU58" i="5"/>
  <c r="AV58" i="5"/>
  <c r="AW58" i="5"/>
  <c r="AP299" i="5"/>
  <c r="AR299" i="5"/>
  <c r="AS299" i="5"/>
  <c r="AT299" i="5"/>
  <c r="AU299" i="5"/>
  <c r="AV299" i="5"/>
  <c r="AW299" i="5"/>
  <c r="AX299" i="5"/>
  <c r="AY299" i="5"/>
  <c r="AZ299" i="5"/>
  <c r="AP300" i="5"/>
  <c r="AR300" i="5"/>
  <c r="AS300" i="5"/>
  <c r="AT300" i="5"/>
  <c r="AU300" i="5"/>
  <c r="AV300" i="5"/>
  <c r="AW300" i="5"/>
  <c r="AX300" i="5"/>
  <c r="AY300" i="5"/>
  <c r="AZ300" i="5"/>
  <c r="AP301" i="5"/>
  <c r="AR301" i="5"/>
  <c r="AS301" i="5"/>
  <c r="AT301" i="5"/>
  <c r="AU301" i="5"/>
  <c r="AV301" i="5"/>
  <c r="AW301" i="5"/>
  <c r="AX301" i="5"/>
  <c r="AY301" i="5"/>
  <c r="AZ301" i="5"/>
  <c r="AP302" i="5"/>
  <c r="AR302" i="5"/>
  <c r="AS302" i="5"/>
  <c r="AT302" i="5"/>
  <c r="AU302" i="5"/>
  <c r="AV302" i="5"/>
  <c r="AW302" i="5"/>
  <c r="AX302" i="5"/>
  <c r="AY302" i="5"/>
  <c r="AZ302" i="5"/>
  <c r="AP305" i="5"/>
  <c r="AR305" i="5"/>
  <c r="AS305" i="5"/>
  <c r="AT305" i="5"/>
  <c r="AU305" i="5"/>
  <c r="AV305" i="5"/>
  <c r="AW305" i="5"/>
  <c r="AX305" i="5"/>
  <c r="AY305" i="5"/>
  <c r="AZ305" i="5"/>
  <c r="AP306" i="5"/>
  <c r="AR306" i="5"/>
  <c r="AS306" i="5"/>
  <c r="AT306" i="5"/>
  <c r="AU306" i="5"/>
  <c r="AV306" i="5"/>
  <c r="AW306" i="5"/>
  <c r="AX306" i="5"/>
  <c r="AY306" i="5"/>
  <c r="AZ306" i="5"/>
  <c r="AP307" i="5"/>
  <c r="AR307" i="5"/>
  <c r="AS307" i="5"/>
  <c r="AT307" i="5"/>
  <c r="AU307" i="5"/>
  <c r="AV307" i="5"/>
  <c r="AW307" i="5"/>
  <c r="AX307" i="5"/>
  <c r="AY307" i="5"/>
  <c r="AZ307" i="5"/>
  <c r="AP308" i="5"/>
  <c r="AR308" i="5"/>
  <c r="AS308" i="5"/>
  <c r="AT308" i="5"/>
  <c r="AU308" i="5"/>
  <c r="AV308" i="5"/>
  <c r="AW308" i="5"/>
  <c r="AX308" i="5"/>
  <c r="AY308" i="5"/>
  <c r="AZ308" i="5"/>
  <c r="AP304" i="5"/>
  <c r="AR304" i="5"/>
  <c r="AS304" i="5"/>
  <c r="AT304" i="5"/>
  <c r="AU304" i="5"/>
  <c r="AV304" i="5"/>
  <c r="AW304" i="5"/>
  <c r="AX304" i="5"/>
  <c r="AY304" i="5"/>
  <c r="AZ304" i="5"/>
  <c r="AP309" i="5"/>
  <c r="AR309" i="5"/>
  <c r="AS309" i="5"/>
  <c r="AT309" i="5"/>
  <c r="AU309" i="5"/>
  <c r="AV309" i="5"/>
  <c r="AW309" i="5"/>
  <c r="AX309" i="5"/>
  <c r="AY309" i="5"/>
  <c r="AZ309" i="5"/>
  <c r="AP312" i="5"/>
  <c r="AR312" i="5"/>
  <c r="AS312" i="5"/>
  <c r="AT312" i="5"/>
  <c r="AU312" i="5"/>
  <c r="AV312" i="5"/>
  <c r="AW312" i="5"/>
  <c r="AX312" i="5"/>
  <c r="AY312" i="5"/>
  <c r="AZ312" i="5"/>
  <c r="AP313" i="5"/>
  <c r="AR313" i="5"/>
  <c r="AS313" i="5"/>
  <c r="AT313" i="5"/>
  <c r="AU313" i="5"/>
  <c r="AV313" i="5"/>
  <c r="AW313" i="5"/>
  <c r="AX313" i="5"/>
  <c r="AY313" i="5"/>
  <c r="AZ313" i="5"/>
  <c r="AP314" i="5"/>
  <c r="AR314" i="5"/>
  <c r="AS314" i="5"/>
  <c r="AT314" i="5"/>
  <c r="AU314" i="5"/>
  <c r="AV314" i="5"/>
  <c r="AW314" i="5"/>
  <c r="AX314" i="5"/>
  <c r="AY314" i="5"/>
  <c r="AZ314" i="5"/>
  <c r="AP310" i="5"/>
  <c r="AR310" i="5"/>
  <c r="AS310" i="5"/>
  <c r="AT310" i="5"/>
  <c r="AU310" i="5"/>
  <c r="AV310" i="5"/>
  <c r="AW310" i="5"/>
  <c r="AX310" i="5"/>
  <c r="AY310" i="5"/>
  <c r="AZ310" i="5"/>
  <c r="AP311" i="5"/>
  <c r="AR311" i="5"/>
  <c r="AS311" i="5"/>
  <c r="AT311" i="5"/>
  <c r="AU311" i="5"/>
  <c r="AV311" i="5"/>
  <c r="AW311" i="5"/>
  <c r="AX311" i="5"/>
  <c r="AY311" i="5"/>
  <c r="AZ311" i="5"/>
  <c r="AP346" i="5"/>
  <c r="AR346" i="5"/>
  <c r="AS346" i="5"/>
  <c r="AT346" i="5"/>
  <c r="AU346" i="5"/>
  <c r="AV346" i="5"/>
  <c r="AW346" i="5"/>
  <c r="AX346" i="5"/>
  <c r="AY346" i="5"/>
  <c r="AZ346" i="5"/>
  <c r="AP331" i="5"/>
  <c r="AR331" i="5"/>
  <c r="AS331" i="5"/>
  <c r="AT331" i="5"/>
  <c r="AU331" i="5"/>
  <c r="AV331" i="5"/>
  <c r="AW331" i="5"/>
  <c r="AX331" i="5"/>
  <c r="AY331" i="5"/>
  <c r="AZ331" i="5"/>
  <c r="AP344" i="5"/>
  <c r="AR344" i="5"/>
  <c r="AS344" i="5"/>
  <c r="AT344" i="5"/>
  <c r="AU344" i="5"/>
  <c r="AV344" i="5"/>
  <c r="AW344" i="5"/>
  <c r="AX344" i="5"/>
  <c r="AY344" i="5"/>
  <c r="AZ344" i="5"/>
  <c r="AP345" i="5"/>
  <c r="AR345" i="5"/>
  <c r="AS345" i="5"/>
  <c r="AT345" i="5"/>
  <c r="AU345" i="5"/>
  <c r="AV345" i="5"/>
  <c r="AW345" i="5"/>
  <c r="AX345" i="5"/>
  <c r="AY345" i="5"/>
  <c r="AZ345" i="5"/>
  <c r="AP347" i="5"/>
  <c r="AR347" i="5"/>
  <c r="AS347" i="5"/>
  <c r="AT347" i="5"/>
  <c r="AU347" i="5"/>
  <c r="AV347" i="5"/>
  <c r="AW347" i="5"/>
  <c r="AX347" i="5"/>
  <c r="AY347" i="5"/>
  <c r="AZ347" i="5"/>
  <c r="AP334" i="5"/>
  <c r="AR334" i="5"/>
  <c r="AS334" i="5"/>
  <c r="AT334" i="5"/>
  <c r="AU334" i="5"/>
  <c r="AV334" i="5"/>
  <c r="AW334" i="5"/>
  <c r="AX334" i="5"/>
  <c r="AY334" i="5"/>
  <c r="AZ334" i="5"/>
  <c r="AP342" i="5"/>
  <c r="AR342" i="5"/>
  <c r="AS342" i="5"/>
  <c r="AT342" i="5"/>
  <c r="AU342" i="5"/>
  <c r="AV342" i="5"/>
  <c r="AW342" i="5"/>
  <c r="AX342" i="5"/>
  <c r="AY342" i="5"/>
  <c r="AZ342" i="5"/>
  <c r="AP327" i="5"/>
  <c r="AR327" i="5"/>
  <c r="AS327" i="5"/>
  <c r="AT327" i="5"/>
  <c r="AU327" i="5"/>
  <c r="AV327" i="5"/>
  <c r="AW327" i="5"/>
  <c r="AX327" i="5"/>
  <c r="AY327" i="5"/>
  <c r="AZ327" i="5"/>
  <c r="AP329" i="5"/>
  <c r="AR329" i="5"/>
  <c r="AS329" i="5"/>
  <c r="AT329" i="5"/>
  <c r="AU329" i="5"/>
  <c r="AV329" i="5"/>
  <c r="AW329" i="5"/>
  <c r="AX329" i="5"/>
  <c r="AY329" i="5"/>
  <c r="AZ329" i="5"/>
  <c r="AP332" i="5"/>
  <c r="AR332" i="5"/>
  <c r="AS332" i="5"/>
  <c r="AT332" i="5"/>
  <c r="AU332" i="5"/>
  <c r="AV332" i="5"/>
  <c r="AW332" i="5"/>
  <c r="AX332" i="5"/>
  <c r="AY332" i="5"/>
  <c r="AZ332" i="5"/>
  <c r="AP335" i="5"/>
  <c r="AR335" i="5"/>
  <c r="AS335" i="5"/>
  <c r="AT335" i="5"/>
  <c r="AU335" i="5"/>
  <c r="AV335" i="5"/>
  <c r="AW335" i="5"/>
  <c r="AX335" i="5"/>
  <c r="AY335" i="5"/>
  <c r="AZ335" i="5"/>
  <c r="AP337" i="5"/>
  <c r="AR337" i="5"/>
  <c r="AS337" i="5"/>
  <c r="AT337" i="5"/>
  <c r="AU337" i="5"/>
  <c r="AV337" i="5"/>
  <c r="AW337" i="5"/>
  <c r="AX337" i="5"/>
  <c r="AY337" i="5"/>
  <c r="AZ337" i="5"/>
  <c r="AP336" i="5"/>
  <c r="AR336" i="5"/>
  <c r="AS336" i="5"/>
  <c r="AT336" i="5"/>
  <c r="AU336" i="5"/>
  <c r="AV336" i="5"/>
  <c r="AW336" i="5"/>
  <c r="AX336" i="5"/>
  <c r="AY336" i="5"/>
  <c r="AZ336" i="5"/>
  <c r="AP320" i="5"/>
  <c r="AR320" i="5"/>
  <c r="AS320" i="5"/>
  <c r="AT320" i="5"/>
  <c r="AU320" i="5"/>
  <c r="AV320" i="5"/>
  <c r="AW320" i="5"/>
  <c r="AX320" i="5"/>
  <c r="AY320" i="5"/>
  <c r="AZ320" i="5"/>
  <c r="AP322" i="5"/>
  <c r="AR322" i="5"/>
  <c r="AS322" i="5"/>
  <c r="AT322" i="5"/>
  <c r="AU322" i="5"/>
  <c r="AV322" i="5"/>
  <c r="AW322" i="5"/>
  <c r="AX322" i="5"/>
  <c r="AY322" i="5"/>
  <c r="AZ322" i="5"/>
  <c r="AP323" i="5"/>
  <c r="AR323" i="5"/>
  <c r="AS323" i="5"/>
  <c r="AT323" i="5"/>
  <c r="AU323" i="5"/>
  <c r="AV323" i="5"/>
  <c r="AW323" i="5"/>
  <c r="AX323" i="5"/>
  <c r="AY323" i="5"/>
  <c r="AZ323" i="5"/>
  <c r="AP324" i="5"/>
  <c r="AR324" i="5"/>
  <c r="AS324" i="5"/>
  <c r="AT324" i="5"/>
  <c r="AU324" i="5"/>
  <c r="AV324" i="5"/>
  <c r="AW324" i="5"/>
  <c r="AX324" i="5"/>
  <c r="AY324" i="5"/>
  <c r="AZ324" i="5"/>
  <c r="AP325" i="5"/>
  <c r="AR325" i="5"/>
  <c r="AS325" i="5"/>
  <c r="AT325" i="5"/>
  <c r="AU325" i="5"/>
  <c r="AV325" i="5"/>
  <c r="AW325" i="5"/>
  <c r="AX325" i="5"/>
  <c r="AY325" i="5"/>
  <c r="AZ325" i="5"/>
  <c r="AP326" i="5"/>
  <c r="AR326" i="5"/>
  <c r="AS326" i="5"/>
  <c r="AT326" i="5"/>
  <c r="AU326" i="5"/>
  <c r="AV326" i="5"/>
  <c r="AW326" i="5"/>
  <c r="AX326" i="5"/>
  <c r="AY326" i="5"/>
  <c r="AZ326" i="5"/>
  <c r="AP328" i="5"/>
  <c r="AR328" i="5"/>
  <c r="AS328" i="5"/>
  <c r="AT328" i="5"/>
  <c r="AU328" i="5"/>
  <c r="AV328" i="5"/>
  <c r="AW328" i="5"/>
  <c r="AX328" i="5"/>
  <c r="AY328" i="5"/>
  <c r="AZ328" i="5"/>
  <c r="AP330" i="5"/>
  <c r="AR330" i="5"/>
  <c r="AS330" i="5"/>
  <c r="AT330" i="5"/>
  <c r="AU330" i="5"/>
  <c r="AV330" i="5"/>
  <c r="AW330" i="5"/>
  <c r="AX330" i="5"/>
  <c r="AY330" i="5"/>
  <c r="AZ330" i="5"/>
  <c r="AP338" i="5"/>
  <c r="AR338" i="5"/>
  <c r="AS338" i="5"/>
  <c r="AT338" i="5"/>
  <c r="AU338" i="5"/>
  <c r="AV338" i="5"/>
  <c r="AW338" i="5"/>
  <c r="AX338" i="5"/>
  <c r="AY338" i="5"/>
  <c r="AZ338" i="5"/>
  <c r="AP339" i="5"/>
  <c r="AR339" i="5"/>
  <c r="AS339" i="5"/>
  <c r="AT339" i="5"/>
  <c r="AU339" i="5"/>
  <c r="AV339" i="5"/>
  <c r="AW339" i="5"/>
  <c r="AX339" i="5"/>
  <c r="AY339" i="5"/>
  <c r="AZ339" i="5"/>
  <c r="AP340" i="5"/>
  <c r="AR340" i="5"/>
  <c r="AS340" i="5"/>
  <c r="AT340" i="5"/>
  <c r="AU340" i="5"/>
  <c r="AV340" i="5"/>
  <c r="AW340" i="5"/>
  <c r="AX340" i="5"/>
  <c r="AY340" i="5"/>
  <c r="AZ340" i="5"/>
  <c r="AP341" i="5"/>
  <c r="AR341" i="5"/>
  <c r="AS341" i="5"/>
  <c r="AT341" i="5"/>
  <c r="AU341" i="5"/>
  <c r="AV341" i="5"/>
  <c r="AW341" i="5"/>
  <c r="AX341" i="5"/>
  <c r="AY341" i="5"/>
  <c r="AZ341" i="5"/>
  <c r="AP333" i="5"/>
  <c r="AR333" i="5"/>
  <c r="AS333" i="5"/>
  <c r="AT333" i="5"/>
  <c r="AU333" i="5"/>
  <c r="AV333" i="5"/>
  <c r="AW333" i="5"/>
  <c r="AX333" i="5"/>
  <c r="AY333" i="5"/>
  <c r="AZ333" i="5"/>
  <c r="AP343" i="5"/>
  <c r="AR343" i="5"/>
  <c r="AS343" i="5"/>
  <c r="AT343" i="5"/>
  <c r="AU343" i="5"/>
  <c r="AV343" i="5"/>
  <c r="AW343" i="5"/>
  <c r="AX343" i="5"/>
  <c r="AY343" i="5"/>
  <c r="AZ343" i="5"/>
  <c r="AP321" i="5"/>
  <c r="AR321" i="5"/>
  <c r="AS321" i="5"/>
  <c r="AT321" i="5"/>
  <c r="AU321" i="5"/>
  <c r="AV321" i="5"/>
  <c r="AW321" i="5"/>
  <c r="AX321" i="5"/>
  <c r="AY321" i="5"/>
  <c r="AZ321" i="5"/>
  <c r="AP318" i="5"/>
  <c r="AR318" i="5"/>
  <c r="AS318" i="5"/>
  <c r="AT318" i="5"/>
  <c r="AU318" i="5"/>
  <c r="AV318" i="5"/>
  <c r="AW318" i="5"/>
  <c r="AX318" i="5"/>
  <c r="AY318" i="5"/>
  <c r="AZ318" i="5"/>
  <c r="AP319" i="5"/>
  <c r="AR319" i="5"/>
  <c r="AS319" i="5"/>
  <c r="AT319" i="5"/>
  <c r="AU319" i="5"/>
  <c r="AV319" i="5"/>
  <c r="AW319" i="5"/>
  <c r="AX319" i="5"/>
  <c r="AY319" i="5"/>
  <c r="AZ319" i="5"/>
  <c r="AP317" i="5"/>
  <c r="AR317" i="5"/>
  <c r="AS317" i="5"/>
  <c r="AT317" i="5"/>
  <c r="AU317" i="5"/>
  <c r="AV317" i="5"/>
  <c r="AW317" i="5"/>
  <c r="AX317" i="5"/>
  <c r="AY317" i="5"/>
  <c r="AZ317" i="5"/>
  <c r="AP315" i="5"/>
  <c r="AR315" i="5"/>
  <c r="AS315" i="5"/>
  <c r="AT315" i="5"/>
  <c r="AU315" i="5"/>
  <c r="AV315" i="5"/>
  <c r="AW315" i="5"/>
  <c r="AX315" i="5"/>
  <c r="AY315" i="5"/>
  <c r="AZ315" i="5"/>
  <c r="AP316" i="5"/>
  <c r="AR316" i="5"/>
  <c r="AS316" i="5"/>
  <c r="AT316" i="5"/>
  <c r="AU316" i="5"/>
  <c r="AV316" i="5"/>
  <c r="AW316" i="5"/>
  <c r="AX316" i="5"/>
  <c r="AY316" i="5"/>
  <c r="AZ316" i="5"/>
  <c r="AP357" i="5"/>
  <c r="AR357" i="5"/>
  <c r="AS357" i="5"/>
  <c r="AT357" i="5"/>
  <c r="AU357" i="5"/>
  <c r="AV357" i="5"/>
  <c r="AW357" i="5"/>
  <c r="AX357" i="5"/>
  <c r="AY357" i="5"/>
  <c r="AZ357" i="5"/>
  <c r="AP348" i="5"/>
  <c r="AR348" i="5"/>
  <c r="AS348" i="5"/>
  <c r="AT348" i="5"/>
  <c r="AU348" i="5"/>
  <c r="AV348" i="5"/>
  <c r="AW348" i="5"/>
  <c r="AX348" i="5"/>
  <c r="AY348" i="5"/>
  <c r="AZ348" i="5"/>
  <c r="AP352" i="5"/>
  <c r="AR352" i="5"/>
  <c r="AS352" i="5"/>
  <c r="AT352" i="5"/>
  <c r="AU352" i="5"/>
  <c r="AV352" i="5"/>
  <c r="AW352" i="5"/>
  <c r="AX352" i="5"/>
  <c r="AY352" i="5"/>
  <c r="AZ352" i="5"/>
  <c r="AP353" i="5"/>
  <c r="AR353" i="5"/>
  <c r="AS353" i="5"/>
  <c r="AT353" i="5"/>
  <c r="AU353" i="5"/>
  <c r="AV353" i="5"/>
  <c r="AW353" i="5"/>
  <c r="AX353" i="5"/>
  <c r="AY353" i="5"/>
  <c r="AZ353" i="5"/>
  <c r="AP358" i="5"/>
  <c r="AR358" i="5"/>
  <c r="AS358" i="5"/>
  <c r="AT358" i="5"/>
  <c r="AU358" i="5"/>
  <c r="AV358" i="5"/>
  <c r="AW358" i="5"/>
  <c r="AX358" i="5"/>
  <c r="AY358" i="5"/>
  <c r="AZ358" i="5"/>
  <c r="AP359" i="5"/>
  <c r="AR359" i="5"/>
  <c r="AS359" i="5"/>
  <c r="AT359" i="5"/>
  <c r="AU359" i="5"/>
  <c r="AV359" i="5"/>
  <c r="AW359" i="5"/>
  <c r="AX359" i="5"/>
  <c r="AY359" i="5"/>
  <c r="AZ359" i="5"/>
  <c r="AP360" i="5"/>
  <c r="AR360" i="5"/>
  <c r="AS360" i="5"/>
  <c r="AT360" i="5"/>
  <c r="AU360" i="5"/>
  <c r="AV360" i="5"/>
  <c r="AW360" i="5"/>
  <c r="AX360" i="5"/>
  <c r="AY360" i="5"/>
  <c r="AZ360" i="5"/>
  <c r="AP361" i="5"/>
  <c r="AR361" i="5"/>
  <c r="AS361" i="5"/>
  <c r="AT361" i="5"/>
  <c r="AU361" i="5"/>
  <c r="AV361" i="5"/>
  <c r="AW361" i="5"/>
  <c r="AX361" i="5"/>
  <c r="AY361" i="5"/>
  <c r="AZ361" i="5"/>
  <c r="AP362" i="5"/>
  <c r="AR362" i="5"/>
  <c r="AS362" i="5"/>
  <c r="AT362" i="5"/>
  <c r="AU362" i="5"/>
  <c r="AV362" i="5"/>
  <c r="AW362" i="5"/>
  <c r="AX362" i="5"/>
  <c r="AY362" i="5"/>
  <c r="AZ362" i="5"/>
  <c r="AP363" i="5"/>
  <c r="AR363" i="5"/>
  <c r="AS363" i="5"/>
  <c r="AT363" i="5"/>
  <c r="AU363" i="5"/>
  <c r="AV363" i="5"/>
  <c r="AW363" i="5"/>
  <c r="AX363" i="5"/>
  <c r="AY363" i="5"/>
  <c r="AZ363" i="5"/>
  <c r="AP364" i="5"/>
  <c r="AR364" i="5"/>
  <c r="AS364" i="5"/>
  <c r="AT364" i="5"/>
  <c r="AU364" i="5"/>
  <c r="AV364" i="5"/>
  <c r="AW364" i="5"/>
  <c r="AX364" i="5"/>
  <c r="AY364" i="5"/>
  <c r="AZ364" i="5"/>
  <c r="AP365" i="5"/>
  <c r="AR365" i="5"/>
  <c r="AS365" i="5"/>
  <c r="AT365" i="5"/>
  <c r="AU365" i="5"/>
  <c r="AV365" i="5"/>
  <c r="AW365" i="5"/>
  <c r="AX365" i="5"/>
  <c r="AY365" i="5"/>
  <c r="AZ365" i="5"/>
  <c r="AP367" i="5"/>
  <c r="AR367" i="5"/>
  <c r="AS367" i="5"/>
  <c r="AT367" i="5"/>
  <c r="AU367" i="5"/>
  <c r="AV367" i="5"/>
  <c r="AW367" i="5"/>
  <c r="AX367" i="5"/>
  <c r="AY367" i="5"/>
  <c r="AZ367" i="5"/>
  <c r="AP368" i="5"/>
  <c r="AR368" i="5"/>
  <c r="AS368" i="5"/>
  <c r="AT368" i="5"/>
  <c r="AU368" i="5"/>
  <c r="AV368" i="5"/>
  <c r="AW368" i="5"/>
  <c r="AX368" i="5"/>
  <c r="AY368" i="5"/>
  <c r="AZ368" i="5"/>
  <c r="AP369" i="5"/>
  <c r="AR369" i="5"/>
  <c r="AS369" i="5"/>
  <c r="AT369" i="5"/>
  <c r="AU369" i="5"/>
  <c r="AV369" i="5"/>
  <c r="AW369" i="5"/>
  <c r="AX369" i="5"/>
  <c r="AY369" i="5"/>
  <c r="AZ369" i="5"/>
  <c r="AP349" i="5"/>
  <c r="AR349" i="5"/>
  <c r="AS349" i="5"/>
  <c r="AT349" i="5"/>
  <c r="AU349" i="5"/>
  <c r="AV349" i="5"/>
  <c r="AW349" i="5"/>
  <c r="AX349" i="5"/>
  <c r="AY349" i="5"/>
  <c r="AZ349" i="5"/>
  <c r="AP350" i="5"/>
  <c r="AR350" i="5"/>
  <c r="AS350" i="5"/>
  <c r="AT350" i="5"/>
  <c r="AU350" i="5"/>
  <c r="AV350" i="5"/>
  <c r="AW350" i="5"/>
  <c r="AX350" i="5"/>
  <c r="AY350" i="5"/>
  <c r="AZ350" i="5"/>
  <c r="AP351" i="5"/>
  <c r="AR351" i="5"/>
  <c r="AS351" i="5"/>
  <c r="AT351" i="5"/>
  <c r="AU351" i="5"/>
  <c r="AV351" i="5"/>
  <c r="AW351" i="5"/>
  <c r="AX351" i="5"/>
  <c r="AY351" i="5"/>
  <c r="AZ351" i="5"/>
  <c r="AP354" i="5"/>
  <c r="AR354" i="5"/>
  <c r="AS354" i="5"/>
  <c r="AT354" i="5"/>
  <c r="AU354" i="5"/>
  <c r="AV354" i="5"/>
  <c r="AW354" i="5"/>
  <c r="AX354" i="5"/>
  <c r="AY354" i="5"/>
  <c r="AZ354" i="5"/>
  <c r="AP355" i="5"/>
  <c r="AR355" i="5"/>
  <c r="AS355" i="5"/>
  <c r="AT355" i="5"/>
  <c r="AU355" i="5"/>
  <c r="AV355" i="5"/>
  <c r="AW355" i="5"/>
  <c r="AX355" i="5"/>
  <c r="AY355" i="5"/>
  <c r="AZ355" i="5"/>
  <c r="AP356" i="5"/>
  <c r="AR356" i="5"/>
  <c r="AS356" i="5"/>
  <c r="AT356" i="5"/>
  <c r="AU356" i="5"/>
  <c r="AV356" i="5"/>
  <c r="AW356" i="5"/>
  <c r="AX356" i="5"/>
  <c r="AY356" i="5"/>
  <c r="AZ356" i="5"/>
  <c r="AP366" i="5"/>
  <c r="AR366" i="5"/>
  <c r="AS366" i="5"/>
  <c r="AT366" i="5"/>
  <c r="AU366" i="5"/>
  <c r="AV366" i="5"/>
  <c r="AW366" i="5"/>
  <c r="AX366" i="5"/>
  <c r="AY366" i="5"/>
  <c r="AZ366" i="5"/>
  <c r="AP370" i="5"/>
  <c r="AR370" i="5"/>
  <c r="AS370" i="5"/>
  <c r="AT370" i="5"/>
  <c r="AU370" i="5"/>
  <c r="AV370" i="5"/>
  <c r="AW370" i="5"/>
  <c r="AX370" i="5"/>
  <c r="AY370" i="5"/>
  <c r="AZ370" i="5"/>
  <c r="AP371" i="5"/>
  <c r="AR371" i="5"/>
  <c r="AS371" i="5"/>
  <c r="AT371" i="5"/>
  <c r="AU371" i="5"/>
  <c r="AV371" i="5"/>
  <c r="AW371" i="5"/>
  <c r="AX371" i="5"/>
  <c r="AY371" i="5"/>
  <c r="AZ371" i="5"/>
  <c r="AP372" i="5"/>
  <c r="AR372" i="5"/>
  <c r="AS372" i="5"/>
  <c r="AT372" i="5"/>
  <c r="AU372" i="5"/>
  <c r="AV372" i="5"/>
  <c r="AW372" i="5"/>
  <c r="AX372" i="5"/>
  <c r="AY372" i="5"/>
  <c r="AZ372" i="5"/>
  <c r="AP373" i="5"/>
  <c r="AR373" i="5"/>
  <c r="AS373" i="5"/>
  <c r="AT373" i="5"/>
  <c r="AU373" i="5"/>
  <c r="AV373" i="5"/>
  <c r="AW373" i="5"/>
  <c r="AX373" i="5"/>
  <c r="AY373" i="5"/>
  <c r="AZ373" i="5"/>
  <c r="AP374" i="5"/>
  <c r="AR374" i="5"/>
  <c r="AS374" i="5"/>
  <c r="AT374" i="5"/>
  <c r="AU374" i="5"/>
  <c r="AV374" i="5"/>
  <c r="AW374" i="5"/>
  <c r="AX374" i="5"/>
  <c r="AY374" i="5"/>
  <c r="AZ374" i="5"/>
  <c r="AP375" i="5"/>
  <c r="AR375" i="5"/>
  <c r="AS375" i="5"/>
  <c r="AT375" i="5"/>
  <c r="AU375" i="5"/>
  <c r="AV375" i="5"/>
  <c r="AW375" i="5"/>
  <c r="AX375" i="5"/>
  <c r="AY375" i="5"/>
  <c r="AZ375" i="5"/>
  <c r="AP376" i="5"/>
  <c r="AR376" i="5"/>
  <c r="AS376" i="5"/>
  <c r="AT376" i="5"/>
  <c r="AU376" i="5"/>
  <c r="AV376" i="5"/>
  <c r="AW376" i="5"/>
  <c r="AX376" i="5"/>
  <c r="AY376" i="5"/>
  <c r="AZ376" i="5"/>
  <c r="AP377" i="5"/>
  <c r="AR377" i="5"/>
  <c r="AS377" i="5"/>
  <c r="AT377" i="5"/>
  <c r="AU377" i="5"/>
  <c r="AV377" i="5"/>
  <c r="AW377" i="5"/>
  <c r="AX377" i="5"/>
  <c r="AY377" i="5"/>
  <c r="AZ377" i="5"/>
  <c r="AP379" i="5"/>
  <c r="AR379" i="5"/>
  <c r="AS379" i="5"/>
  <c r="AT379" i="5"/>
  <c r="AU379" i="5"/>
  <c r="AV379" i="5"/>
  <c r="AW379" i="5"/>
  <c r="AX379" i="5"/>
  <c r="AY379" i="5"/>
  <c r="AZ379" i="5"/>
  <c r="AP378" i="5"/>
  <c r="AR378" i="5"/>
  <c r="AS378" i="5"/>
  <c r="AT378" i="5"/>
  <c r="AU378" i="5"/>
  <c r="AV378" i="5"/>
  <c r="AW378" i="5"/>
  <c r="AX378" i="5"/>
  <c r="AY378" i="5"/>
  <c r="AZ378" i="5"/>
  <c r="AP380" i="5"/>
  <c r="AR380" i="5"/>
  <c r="AS380" i="5"/>
  <c r="AT380" i="5"/>
  <c r="AU380" i="5"/>
  <c r="AV380" i="5"/>
  <c r="AW380" i="5"/>
  <c r="AX380" i="5"/>
  <c r="AY380" i="5"/>
  <c r="AZ380" i="5"/>
  <c r="AP383" i="5"/>
  <c r="AQ383" i="5"/>
  <c r="AR383" i="5"/>
  <c r="AS383" i="5"/>
  <c r="AT383" i="5"/>
  <c r="AU383" i="5"/>
  <c r="AV383" i="5"/>
  <c r="AW383" i="5"/>
  <c r="AX383" i="5"/>
  <c r="AY383" i="5"/>
  <c r="AZ383" i="5"/>
  <c r="AP384" i="5"/>
  <c r="AQ384" i="5"/>
  <c r="AR384" i="5"/>
  <c r="AS384" i="5"/>
  <c r="AT384" i="5"/>
  <c r="AU384" i="5"/>
  <c r="AV384" i="5"/>
  <c r="AW384" i="5"/>
  <c r="AX384" i="5"/>
  <c r="AY384" i="5"/>
  <c r="AZ384" i="5"/>
  <c r="AP385" i="5"/>
  <c r="AQ385" i="5"/>
  <c r="AR385" i="5"/>
  <c r="AS385" i="5"/>
  <c r="AT385" i="5"/>
  <c r="AU385" i="5"/>
  <c r="AV385" i="5"/>
  <c r="AW385" i="5"/>
  <c r="AX385" i="5"/>
  <c r="AY385" i="5"/>
  <c r="AZ385" i="5"/>
  <c r="AP382" i="5"/>
  <c r="AQ382" i="5"/>
  <c r="AR382" i="5"/>
  <c r="AS382" i="5"/>
  <c r="AT382" i="5"/>
  <c r="AU382" i="5"/>
  <c r="AV382" i="5"/>
  <c r="AW382" i="5"/>
  <c r="AX382" i="5"/>
  <c r="AY382" i="5"/>
  <c r="AZ382" i="5"/>
  <c r="AP386" i="5"/>
  <c r="AQ386" i="5"/>
  <c r="AR386" i="5"/>
  <c r="AS386" i="5"/>
  <c r="AT386" i="5"/>
  <c r="AU386" i="5"/>
  <c r="AV386" i="5"/>
  <c r="AW386" i="5"/>
  <c r="AX386" i="5"/>
  <c r="AY386" i="5"/>
  <c r="AZ386" i="5"/>
  <c r="AR390" i="5"/>
  <c r="AS390" i="5"/>
  <c r="AT390" i="5"/>
  <c r="AU390" i="5"/>
  <c r="AV390" i="5"/>
  <c r="AW390" i="5"/>
  <c r="AX390" i="5"/>
  <c r="AY390" i="5"/>
  <c r="AR389" i="5"/>
  <c r="AS389" i="5"/>
  <c r="AT389" i="5"/>
  <c r="AU389" i="5"/>
  <c r="AV389" i="5"/>
  <c r="AW389" i="5"/>
  <c r="AX389" i="5"/>
  <c r="AY389" i="5"/>
  <c r="AR387" i="5"/>
  <c r="AS387" i="5"/>
  <c r="AT387" i="5"/>
  <c r="AU387" i="5"/>
  <c r="AV387" i="5"/>
  <c r="AW387" i="5"/>
  <c r="AX387" i="5"/>
  <c r="AY387" i="5"/>
  <c r="AR388" i="5"/>
  <c r="AS388" i="5"/>
  <c r="AT388" i="5"/>
  <c r="AU388" i="5"/>
  <c r="AV388" i="5"/>
  <c r="AW388" i="5"/>
  <c r="AX388" i="5"/>
  <c r="AY388" i="5"/>
  <c r="AR391" i="5"/>
  <c r="AS391" i="5"/>
  <c r="AT391" i="5"/>
  <c r="AU391" i="5"/>
  <c r="AV391" i="5"/>
  <c r="AW391" i="5"/>
  <c r="AX391" i="5"/>
  <c r="AY391" i="5"/>
  <c r="AR392" i="5"/>
  <c r="AS392" i="5"/>
  <c r="AT392" i="5"/>
  <c r="AU392" i="5"/>
  <c r="AV392" i="5"/>
  <c r="AW392" i="5"/>
  <c r="AX392" i="5"/>
  <c r="AY392" i="5"/>
  <c r="AR393" i="5"/>
  <c r="AS393" i="5"/>
  <c r="AT393" i="5"/>
  <c r="AU393" i="5"/>
  <c r="AV393" i="5"/>
  <c r="AW393" i="5"/>
  <c r="AX393" i="5"/>
  <c r="AY393" i="5"/>
  <c r="AR394" i="5"/>
  <c r="AS394" i="5"/>
  <c r="AT394" i="5"/>
  <c r="AU394" i="5"/>
  <c r="AV394" i="5"/>
  <c r="AW394" i="5"/>
  <c r="AX394" i="5"/>
  <c r="AY394" i="5"/>
  <c r="AR395" i="5"/>
  <c r="AS395" i="5"/>
  <c r="AT395" i="5"/>
  <c r="AU395" i="5"/>
  <c r="AV395" i="5"/>
  <c r="AW395" i="5"/>
  <c r="AX395" i="5"/>
  <c r="AY395" i="5"/>
  <c r="AR396" i="5"/>
  <c r="AS396" i="5"/>
  <c r="AT396" i="5"/>
  <c r="AU396" i="5"/>
  <c r="AV396" i="5"/>
  <c r="AW396" i="5"/>
  <c r="AX396" i="5"/>
  <c r="AY396" i="5"/>
  <c r="AR397" i="5"/>
  <c r="AS397" i="5"/>
  <c r="AT397" i="5"/>
  <c r="AU397" i="5"/>
  <c r="AV397" i="5"/>
  <c r="AW397" i="5"/>
  <c r="AX397" i="5"/>
  <c r="AY397" i="5"/>
  <c r="AR398" i="5"/>
  <c r="AS398" i="5"/>
  <c r="AT398" i="5"/>
  <c r="AU398" i="5"/>
  <c r="AV398" i="5"/>
  <c r="AW398" i="5"/>
  <c r="AX398" i="5"/>
  <c r="AY398" i="5"/>
  <c r="AR399" i="5"/>
  <c r="AS399" i="5"/>
  <c r="AT399" i="5"/>
  <c r="AU399" i="5"/>
  <c r="AV399" i="5"/>
  <c r="AW399" i="5"/>
  <c r="AX399" i="5"/>
  <c r="AY399" i="5"/>
  <c r="AR400" i="5"/>
  <c r="AS400" i="5"/>
  <c r="AT400" i="5"/>
  <c r="AU400" i="5"/>
  <c r="AV400" i="5"/>
  <c r="AW400" i="5"/>
  <c r="AX400" i="5"/>
  <c r="AY400" i="5"/>
  <c r="AR402" i="5"/>
  <c r="AS402" i="5"/>
  <c r="AT402" i="5"/>
  <c r="AU402" i="5"/>
  <c r="AV402" i="5"/>
  <c r="AW402" i="5"/>
  <c r="AX402" i="5"/>
  <c r="AY402" i="5"/>
  <c r="AR403" i="5"/>
  <c r="AS403" i="5"/>
  <c r="AT403" i="5"/>
  <c r="AU403" i="5"/>
  <c r="AV403" i="5"/>
  <c r="AW403" i="5"/>
  <c r="AX403" i="5"/>
  <c r="AY403" i="5"/>
  <c r="AR404" i="5"/>
  <c r="AS404" i="5"/>
  <c r="AT404" i="5"/>
  <c r="AU404" i="5"/>
  <c r="AV404" i="5"/>
  <c r="AW404" i="5"/>
  <c r="AX404" i="5"/>
  <c r="AY404" i="5"/>
  <c r="AR405" i="5"/>
  <c r="AS405" i="5"/>
  <c r="AT405" i="5"/>
  <c r="AU405" i="5"/>
  <c r="AV405" i="5"/>
  <c r="AW405" i="5"/>
  <c r="AX405" i="5"/>
  <c r="AY405" i="5"/>
  <c r="AR406" i="5"/>
  <c r="AS406" i="5"/>
  <c r="AT406" i="5"/>
  <c r="AU406" i="5"/>
  <c r="AV406" i="5"/>
  <c r="AW406" i="5"/>
  <c r="AX406" i="5"/>
  <c r="AY406" i="5"/>
  <c r="AR407" i="5"/>
  <c r="AS407" i="5"/>
  <c r="AT407" i="5"/>
  <c r="AU407" i="5"/>
  <c r="AV407" i="5"/>
  <c r="AW407" i="5"/>
  <c r="AX407" i="5"/>
  <c r="AY407" i="5"/>
  <c r="AR408" i="5"/>
  <c r="AS408" i="5"/>
  <c r="AT408" i="5"/>
  <c r="AU408" i="5"/>
  <c r="AV408" i="5"/>
  <c r="AW408" i="5"/>
  <c r="AX408" i="5"/>
  <c r="AY408" i="5"/>
  <c r="AR409" i="5"/>
  <c r="AS409" i="5"/>
  <c r="AT409" i="5"/>
  <c r="AU409" i="5"/>
  <c r="AV409" i="5"/>
  <c r="AW409" i="5"/>
  <c r="AX409" i="5"/>
  <c r="AY409" i="5"/>
  <c r="AR410" i="5"/>
  <c r="AS410" i="5"/>
  <c r="AT410" i="5"/>
  <c r="AU410" i="5"/>
  <c r="AV410" i="5"/>
  <c r="AW410" i="5"/>
  <c r="AX410" i="5"/>
  <c r="AY410" i="5"/>
  <c r="AR411" i="5"/>
  <c r="AS411" i="5"/>
  <c r="AT411" i="5"/>
  <c r="AU411" i="5"/>
  <c r="AV411" i="5"/>
  <c r="AW411" i="5"/>
  <c r="AX411" i="5"/>
  <c r="AY411" i="5"/>
  <c r="AR401" i="5"/>
  <c r="AS401" i="5"/>
  <c r="AT401" i="5"/>
  <c r="AU401" i="5"/>
  <c r="AV401" i="5"/>
  <c r="AW401" i="5"/>
  <c r="AX401" i="5"/>
  <c r="AY401" i="5"/>
  <c r="AL28" i="2"/>
  <c r="AL35" i="2"/>
  <c r="AL22" i="2"/>
  <c r="AL31" i="2"/>
  <c r="AL23" i="2"/>
  <c r="AL24" i="2"/>
  <c r="AL33" i="2"/>
  <c r="AL34" i="2"/>
  <c r="AL43" i="2"/>
  <c r="AL32" i="2"/>
  <c r="AL18" i="2"/>
  <c r="AL17" i="2"/>
  <c r="AL16" i="2"/>
  <c r="AL10" i="2"/>
  <c r="AL15" i="2"/>
  <c r="AL13" i="2"/>
  <c r="AL11" i="2"/>
  <c r="AL12" i="2"/>
  <c r="AL38" i="2"/>
  <c r="AL36" i="2"/>
  <c r="AL7" i="2"/>
  <c r="AL5" i="2"/>
  <c r="AL39" i="2"/>
  <c r="AL40" i="2"/>
  <c r="AL8" i="2"/>
  <c r="AL27" i="2"/>
  <c r="AL30" i="2"/>
  <c r="AL37" i="2"/>
  <c r="AL42" i="2"/>
  <c r="AL41" i="2"/>
  <c r="AL26" i="2"/>
  <c r="AL46" i="2"/>
  <c r="AL47" i="2"/>
  <c r="AL51" i="2"/>
  <c r="AL50" i="2"/>
  <c r="AL52" i="2"/>
  <c r="AK29" i="2"/>
  <c r="AD29" i="2"/>
  <c r="AD28" i="2"/>
  <c r="AD35" i="2"/>
  <c r="AD22" i="2"/>
  <c r="AD31" i="2"/>
  <c r="AD23" i="2"/>
  <c r="AD24" i="2"/>
  <c r="AD33" i="2"/>
  <c r="AD34" i="2"/>
  <c r="AD43" i="2"/>
  <c r="AD32" i="2"/>
  <c r="AD18" i="2"/>
  <c r="AD17" i="2"/>
  <c r="AD16" i="2"/>
  <c r="AD10" i="2"/>
  <c r="AD15" i="2"/>
  <c r="AD13" i="2"/>
  <c r="AD11" i="2"/>
  <c r="AD12" i="2"/>
  <c r="AD38" i="2"/>
  <c r="AD36" i="2"/>
  <c r="AD7" i="2"/>
  <c r="AD5" i="2"/>
  <c r="AD39" i="2"/>
  <c r="AD40" i="2"/>
  <c r="AD8" i="2"/>
  <c r="AD27" i="2"/>
  <c r="AD30" i="2"/>
  <c r="AD37" i="2"/>
  <c r="AD42" i="2"/>
  <c r="AD41" i="2"/>
  <c r="AD26" i="2"/>
  <c r="AD46" i="2"/>
  <c r="AD47" i="2"/>
  <c r="AD51" i="2"/>
  <c r="AD50" i="2"/>
  <c r="AD52" i="2"/>
  <c r="AE29" i="2"/>
  <c r="AC26" i="4"/>
  <c r="AC288" i="4"/>
  <c r="AC4" i="4"/>
  <c r="AC5" i="4"/>
  <c r="AC204" i="4"/>
  <c r="AC6" i="4"/>
  <c r="AC130" i="4"/>
  <c r="AC132" i="4"/>
  <c r="AC133" i="4"/>
  <c r="AC277" i="4"/>
  <c r="AC128" i="4"/>
  <c r="AC129" i="4"/>
  <c r="AC253" i="4"/>
  <c r="AC59" i="4"/>
  <c r="AC105" i="4"/>
  <c r="AC120" i="4"/>
  <c r="AC14" i="4"/>
  <c r="AC233" i="4"/>
  <c r="AC265" i="4"/>
  <c r="AC266" i="4"/>
  <c r="AC239" i="4"/>
  <c r="AC241" i="4"/>
  <c r="AC242" i="4"/>
  <c r="AC267" i="4"/>
  <c r="AC244" i="4"/>
  <c r="AC268" i="4"/>
  <c r="AC247" i="4"/>
  <c r="AC269" i="4"/>
  <c r="AC270" i="4"/>
  <c r="AC271" i="4"/>
  <c r="AC272" i="4"/>
  <c r="AC273" i="4"/>
  <c r="AC151" i="4"/>
  <c r="AC2" i="4"/>
  <c r="AC295" i="4"/>
  <c r="AC287" i="4"/>
  <c r="AC263" i="4"/>
  <c r="AC238" i="4"/>
  <c r="AC240" i="4"/>
  <c r="AC243" i="4"/>
  <c r="AC64" i="4"/>
  <c r="AC65" i="4"/>
  <c r="AC203" i="4"/>
  <c r="AC274" i="4"/>
  <c r="AC153" i="4"/>
  <c r="AC125" i="4"/>
  <c r="AC190" i="4"/>
  <c r="AC249" i="4"/>
  <c r="AC73" i="4"/>
  <c r="AC213" i="4"/>
  <c r="AC110" i="4"/>
  <c r="AC47" i="4"/>
  <c r="AC85" i="4"/>
  <c r="AC86" i="4"/>
  <c r="AC255" i="4"/>
  <c r="AC281" i="4"/>
  <c r="AC256" i="4"/>
  <c r="AC290" i="4"/>
  <c r="AC291" i="4"/>
  <c r="AC113" i="4"/>
  <c r="AC134" i="4"/>
  <c r="AC135" i="4"/>
  <c r="AC176" i="4"/>
  <c r="AC177" i="4"/>
  <c r="AC137" i="4"/>
  <c r="AC138" i="4"/>
  <c r="AC139" i="4"/>
  <c r="AC140" i="4"/>
  <c r="AC258" i="4"/>
  <c r="AC98" i="4"/>
  <c r="AC115" i="4"/>
  <c r="AC116" i="4"/>
  <c r="AC117" i="4"/>
  <c r="AC142" i="4"/>
  <c r="AC118" i="4"/>
  <c r="AC27" i="4"/>
  <c r="AC143" i="4"/>
  <c r="AC144" i="4"/>
  <c r="AC28" i="4"/>
  <c r="AC145" i="4"/>
  <c r="AC285" i="4"/>
  <c r="AC183" i="4"/>
  <c r="AC102" i="4"/>
  <c r="AC103" i="4"/>
  <c r="AC104" i="4"/>
  <c r="AC29" i="4"/>
  <c r="AC58" i="4"/>
  <c r="AC30" i="4"/>
  <c r="AC13" i="4"/>
  <c r="AC264" i="4"/>
  <c r="AC32" i="4"/>
  <c r="AC33" i="4"/>
  <c r="AC34" i="4"/>
  <c r="AC35" i="4"/>
  <c r="AC36" i="4"/>
  <c r="AC37" i="4"/>
  <c r="AC60" i="4"/>
  <c r="AC61" i="4"/>
  <c r="AC62" i="4"/>
  <c r="AC15" i="4"/>
  <c r="AC106" i="4"/>
  <c r="AC107" i="4"/>
  <c r="AC38" i="4"/>
  <c r="AC39" i="4"/>
  <c r="AC40" i="4"/>
  <c r="AC63" i="4"/>
  <c r="AC234" i="4"/>
  <c r="AC235" i="4"/>
  <c r="AC219" i="4"/>
  <c r="AC236" i="4"/>
  <c r="AC237" i="4"/>
  <c r="AC202" i="4"/>
  <c r="AC186" i="4"/>
  <c r="AC187" i="4"/>
  <c r="AC188" i="4"/>
  <c r="AC150" i="4"/>
  <c r="AC246" i="4"/>
  <c r="AC189" i="4"/>
  <c r="AC121" i="4"/>
  <c r="AC41" i="4"/>
  <c r="AC276" i="4"/>
  <c r="AC152" i="4"/>
  <c r="AC16" i="4"/>
  <c r="AC8" i="4"/>
  <c r="AC9" i="4"/>
  <c r="AC210" i="4"/>
  <c r="AC220" i="4"/>
  <c r="AC221" i="4"/>
  <c r="AC122" i="4"/>
  <c r="AC123" i="4"/>
  <c r="AC124" i="4"/>
  <c r="AC154" i="4"/>
  <c r="AC211" i="4"/>
  <c r="AC108" i="4"/>
  <c r="AC69" i="4"/>
  <c r="AC296" i="4"/>
  <c r="AC127" i="4"/>
  <c r="AC191" i="4"/>
  <c r="AC70" i="4"/>
  <c r="AC248" i="4"/>
  <c r="AC250" i="4"/>
  <c r="AC289" i="4"/>
  <c r="AC192" i="4"/>
  <c r="AC222" i="4"/>
  <c r="AC251" i="4"/>
  <c r="AC74" i="4"/>
  <c r="AC20" i="4"/>
  <c r="AC75" i="4"/>
  <c r="AC278" i="4"/>
  <c r="AC43" i="4"/>
  <c r="AC212" i="4"/>
  <c r="AC77" i="4"/>
  <c r="AC223" i="4"/>
  <c r="AC158" i="4"/>
  <c r="AC252" i="4"/>
  <c r="AC10" i="4"/>
  <c r="AC159" i="4"/>
  <c r="AC21" i="4"/>
  <c r="AC160" i="4"/>
  <c r="AC44" i="4"/>
  <c r="AC45" i="4"/>
  <c r="AC11" i="4"/>
  <c r="AC254" i="4"/>
  <c r="AC193" i="4"/>
  <c r="AC194" i="4"/>
  <c r="AC279" i="4"/>
  <c r="AC280" i="4"/>
  <c r="AC46" i="4"/>
  <c r="AC80" i="4"/>
  <c r="AC81" i="4"/>
  <c r="AC215" i="4"/>
  <c r="AC7" i="4"/>
  <c r="AC111" i="4"/>
  <c r="AC112" i="4"/>
  <c r="AC24" i="4"/>
  <c r="AC25" i="4"/>
  <c r="AC131" i="4"/>
  <c r="AC165" i="4"/>
  <c r="AC166" i="4"/>
  <c r="AC167" i="4"/>
  <c r="AC168" i="4"/>
  <c r="AC169" i="4"/>
  <c r="AC170" i="4"/>
  <c r="AC171" i="4"/>
  <c r="AC195" i="4"/>
  <c r="AC207" i="4"/>
  <c r="AC208" i="4"/>
  <c r="AC136" i="4"/>
  <c r="AC172" i="4"/>
  <c r="AC173" i="4"/>
  <c r="AC174" i="4"/>
  <c r="AC175" i="4"/>
  <c r="AC298" i="4"/>
  <c r="AC196" i="4"/>
  <c r="AC88" i="4"/>
  <c r="AC89" i="4"/>
  <c r="AC90" i="4"/>
  <c r="AC91" i="4"/>
  <c r="AC92" i="4"/>
  <c r="AC93" i="4"/>
  <c r="AC95" i="4"/>
  <c r="AC96" i="4"/>
  <c r="AC216" i="4"/>
  <c r="AC217" i="4"/>
  <c r="AC218" i="4"/>
  <c r="AC228" i="4"/>
  <c r="AC97" i="4"/>
  <c r="AC292" i="4"/>
  <c r="AC229" i="4"/>
  <c r="AC230" i="4"/>
  <c r="AC257" i="4"/>
  <c r="AC141" i="4"/>
  <c r="AC297" i="4"/>
  <c r="AC259" i="4"/>
  <c r="AC260" i="4"/>
  <c r="AC261" i="4"/>
  <c r="AC197" i="4"/>
  <c r="AC178" i="4"/>
  <c r="AC179" i="4"/>
  <c r="AC180" i="4"/>
  <c r="AC199" i="4"/>
  <c r="AC181" i="4"/>
  <c r="AC294" i="4"/>
  <c r="AC231" i="4"/>
  <c r="AC209" i="4"/>
  <c r="AC283" i="4"/>
  <c r="AC284" i="4"/>
  <c r="AC51" i="4"/>
  <c r="AC52" i="4"/>
  <c r="AC53" i="4"/>
  <c r="AC54" i="4"/>
  <c r="AC55" i="4"/>
  <c r="AC56" i="4"/>
  <c r="AC57" i="4"/>
  <c r="AC99" i="4"/>
  <c r="AC184" i="4"/>
  <c r="AC185" i="4"/>
  <c r="AC101" i="4"/>
  <c r="AC146" i="4"/>
  <c r="AC119" i="4"/>
  <c r="AC147" i="4"/>
  <c r="AC31" i="4"/>
  <c r="AC148" i="4"/>
  <c r="AC66" i="4"/>
  <c r="AC155" i="4"/>
  <c r="AC156" i="4"/>
  <c r="AC71" i="4"/>
  <c r="AC109" i="4"/>
  <c r="AC79" i="4"/>
  <c r="AC23" i="4"/>
  <c r="AC205" i="4"/>
  <c r="AC206" i="4"/>
  <c r="AC94" i="4"/>
  <c r="AC182" i="4"/>
  <c r="AC157" i="4"/>
  <c r="AC42" i="4"/>
  <c r="AC224" i="4"/>
  <c r="AC78" i="4"/>
  <c r="AC225" i="4"/>
  <c r="AC226" i="4"/>
  <c r="AC227" i="4"/>
  <c r="AC200" i="4"/>
  <c r="AC201" i="4"/>
  <c r="AC18" i="4"/>
  <c r="AC72" i="4"/>
  <c r="AC3" i="4"/>
  <c r="AC19" i="4"/>
  <c r="AC76" i="4"/>
  <c r="AC214" i="4"/>
  <c r="AC12" i="4"/>
  <c r="AC293" i="4"/>
  <c r="AC114" i="4"/>
  <c r="AC286" i="4"/>
  <c r="AC275" i="4"/>
  <c r="AC162" i="4"/>
  <c r="AC48" i="4"/>
  <c r="AC149" i="4"/>
  <c r="AC161" i="4"/>
  <c r="AC163" i="4"/>
  <c r="AC164" i="4"/>
  <c r="AC198" i="4"/>
  <c r="AC68" i="4"/>
  <c r="AC82" i="4"/>
  <c r="AC83" i="4"/>
  <c r="AC84" i="4"/>
  <c r="AC87" i="4"/>
  <c r="AC49" i="4"/>
  <c r="AC50" i="4"/>
  <c r="AC100" i="4"/>
  <c r="AC126" i="4"/>
  <c r="AC22" i="4"/>
  <c r="AC17" i="4"/>
  <c r="AC307" i="4"/>
  <c r="AC306" i="4"/>
  <c r="AC304" i="4"/>
  <c r="AC305" i="4"/>
  <c r="AC300" i="4"/>
  <c r="AC301" i="4"/>
  <c r="AC299" i="4"/>
  <c r="AC302" i="4"/>
  <c r="AC303" i="4"/>
  <c r="AC310" i="4"/>
  <c r="AC311" i="4"/>
  <c r="AC312" i="4"/>
  <c r="AC313" i="4"/>
  <c r="AC308" i="4"/>
  <c r="AC314" i="4"/>
  <c r="AC335" i="4"/>
  <c r="AC336" i="4"/>
  <c r="AC318" i="4"/>
  <c r="AC315" i="4"/>
  <c r="AC319" i="4"/>
  <c r="AC320" i="4"/>
  <c r="AC321" i="4"/>
  <c r="AC347" i="4"/>
  <c r="AC326" i="4"/>
  <c r="AC327" i="4"/>
  <c r="AC328" i="4"/>
  <c r="AC329" i="4"/>
  <c r="AC341" i="4"/>
  <c r="AC331" i="4"/>
  <c r="AC332" i="4"/>
  <c r="AC333" i="4"/>
  <c r="AC343" i="4"/>
  <c r="AC344" i="4"/>
  <c r="AC345" i="4"/>
  <c r="AC342" i="4"/>
  <c r="AC322" i="4"/>
  <c r="AC317" i="4"/>
  <c r="AC323" i="4"/>
  <c r="AC330" i="4"/>
  <c r="AC325" i="4"/>
  <c r="AC334" i="4"/>
  <c r="AC324" i="4"/>
  <c r="AC338" i="4"/>
  <c r="AC337" i="4"/>
  <c r="AC316" i="4"/>
  <c r="AC339" i="4"/>
  <c r="AC340" i="4"/>
  <c r="AC346" i="4"/>
  <c r="AC350" i="4"/>
  <c r="AC361" i="4"/>
  <c r="AC362" i="4"/>
  <c r="AC368" i="4"/>
  <c r="AC363" i="4"/>
  <c r="AC369" i="4"/>
  <c r="AC351" i="4"/>
  <c r="AC348" i="4"/>
  <c r="AC358" i="4"/>
  <c r="AC359" i="4"/>
  <c r="AC364" i="4"/>
  <c r="AC349" i="4"/>
  <c r="AC365" i="4"/>
  <c r="AC366" i="4"/>
  <c r="AC367" i="4"/>
  <c r="AC360" i="4"/>
  <c r="AC352" i="4"/>
  <c r="AC353" i="4"/>
  <c r="AC354" i="4"/>
  <c r="AC355" i="4"/>
  <c r="AC356" i="4"/>
  <c r="AC357" i="4"/>
  <c r="AC371" i="4"/>
  <c r="AC377" i="4"/>
  <c r="AC378" i="4"/>
  <c r="AC379" i="4"/>
  <c r="AC373" i="4"/>
  <c r="AC370" i="4"/>
  <c r="AC376" i="4"/>
  <c r="AC381" i="4"/>
  <c r="AC374" i="4"/>
  <c r="AC375" i="4"/>
  <c r="AC372" i="4"/>
  <c r="AC383" i="4"/>
  <c r="AC385" i="4"/>
  <c r="AC386" i="4"/>
  <c r="AC384" i="4"/>
  <c r="AC382" i="4"/>
  <c r="AC390" i="4"/>
  <c r="AC395" i="4"/>
  <c r="AC408" i="4"/>
  <c r="AC397" i="4"/>
  <c r="AC398" i="4"/>
  <c r="AC399" i="4"/>
  <c r="AC400" i="4"/>
  <c r="AC403" i="4"/>
  <c r="AC387" i="4"/>
  <c r="AC404" i="4"/>
  <c r="AC405" i="4"/>
  <c r="AC407" i="4"/>
  <c r="AC396" i="4"/>
  <c r="AC388" i="4"/>
  <c r="AC389" i="4"/>
  <c r="AC391" i="4"/>
  <c r="AC392" i="4"/>
  <c r="AC393" i="4"/>
  <c r="AC402" i="4"/>
  <c r="AC394" i="4"/>
  <c r="AC406" i="4"/>
  <c r="AC409" i="4"/>
  <c r="AC410" i="4"/>
  <c r="AC411" i="4"/>
  <c r="AC401" i="4"/>
  <c r="AC245" i="4"/>
  <c r="AD245" i="4"/>
  <c r="BD114" i="5"/>
  <c r="BD195" i="5"/>
  <c r="BD194" i="5"/>
  <c r="BD21" i="5"/>
  <c r="BD170" i="5"/>
  <c r="BD109" i="5"/>
  <c r="BD249" i="5"/>
  <c r="BD117" i="5"/>
  <c r="BD171" i="5"/>
  <c r="BD291" i="5"/>
  <c r="BD227" i="5"/>
  <c r="BD139" i="5"/>
  <c r="BD77" i="5"/>
  <c r="BD240" i="5"/>
  <c r="BD222" i="5"/>
  <c r="BD79" i="5"/>
  <c r="BD173" i="5"/>
  <c r="BD263" i="5"/>
  <c r="BD165" i="5"/>
  <c r="BD166" i="5"/>
  <c r="BD184" i="5"/>
  <c r="BD186" i="5"/>
  <c r="BD187" i="5"/>
  <c r="BD331" i="5"/>
  <c r="BD386" i="5"/>
  <c r="BD382" i="5"/>
  <c r="BD383" i="5"/>
  <c r="BD391" i="5"/>
  <c r="BD407" i="5"/>
  <c r="BD408" i="5"/>
  <c r="BD388" i="5"/>
  <c r="BD51" i="5"/>
  <c r="BD52" i="5"/>
  <c r="BD120" i="5"/>
  <c r="BD50" i="5"/>
  <c r="BD53" i="5"/>
  <c r="BD66" i="5"/>
  <c r="BD122" i="5"/>
  <c r="BD138" i="5"/>
  <c r="BD256" i="5"/>
  <c r="BD169" i="5"/>
  <c r="BD162" i="5"/>
  <c r="BD154" i="5"/>
  <c r="BD168" i="5"/>
  <c r="BD41" i="5"/>
  <c r="BD124" i="5"/>
  <c r="BD42" i="5"/>
  <c r="BD56" i="5"/>
  <c r="BD241" i="5"/>
  <c r="BD55" i="5"/>
  <c r="BD111" i="5"/>
  <c r="BD248" i="5"/>
  <c r="BD48" i="5"/>
  <c r="BD62" i="5"/>
  <c r="BD257" i="5"/>
  <c r="BD121" i="5"/>
  <c r="BD161" i="5"/>
  <c r="BD190" i="5"/>
  <c r="BD192" i="5"/>
  <c r="BD72" i="5"/>
  <c r="BD262" i="5"/>
  <c r="BD85" i="5"/>
  <c r="BD18" i="5"/>
  <c r="BD60" i="5"/>
  <c r="BD261" i="5"/>
  <c r="BD251" i="5"/>
  <c r="BD243" i="5"/>
  <c r="BD246" i="5"/>
  <c r="BD115" i="5"/>
  <c r="BD126" i="5"/>
  <c r="BD17" i="5"/>
  <c r="BD59" i="5"/>
  <c r="BD280" i="5"/>
  <c r="BD245" i="5"/>
  <c r="BD247" i="5"/>
  <c r="BD32" i="5"/>
  <c r="BD65" i="5"/>
  <c r="BD70" i="5"/>
  <c r="BD281" i="5"/>
  <c r="BD37" i="5"/>
  <c r="BD81" i="5"/>
  <c r="BD83" i="5"/>
  <c r="BD253" i="5"/>
  <c r="BD275" i="5"/>
  <c r="BD255" i="5"/>
  <c r="BD22" i="5"/>
  <c r="BD244" i="5"/>
  <c r="BD97" i="5"/>
  <c r="BD207" i="5"/>
  <c r="BD86" i="5"/>
  <c r="BD34" i="5"/>
  <c r="BD38" i="5"/>
  <c r="BD283" i="5"/>
  <c r="BD71" i="5"/>
  <c r="BD23" i="5"/>
  <c r="BD24" i="5"/>
  <c r="BD74" i="5"/>
  <c r="BD94" i="5"/>
  <c r="BD40" i="5"/>
  <c r="BD84" i="5"/>
  <c r="BD10" i="5"/>
  <c r="BD293" i="5"/>
  <c r="BD33" i="5"/>
  <c r="BD167" i="5"/>
  <c r="BD135" i="5"/>
  <c r="BD137" i="5"/>
  <c r="BD238" i="5"/>
  <c r="BD157" i="5"/>
  <c r="BD191" i="5"/>
  <c r="BD287" i="5"/>
  <c r="BD47" i="5"/>
  <c r="BD69" i="5"/>
  <c r="BD80" i="5"/>
  <c r="BD289" i="5"/>
  <c r="BD290" i="5"/>
  <c r="BD292" i="5"/>
  <c r="BD273" i="5"/>
  <c r="BD82" i="5"/>
  <c r="BD2" i="5"/>
  <c r="BD163" i="5"/>
  <c r="BD235" i="5"/>
  <c r="BD193" i="5"/>
  <c r="BD285" i="5"/>
  <c r="BD242" i="5"/>
  <c r="BD236" i="5"/>
  <c r="BD31" i="5"/>
  <c r="BD284" i="5"/>
  <c r="BD63" i="5"/>
  <c r="BD231" i="5"/>
  <c r="BD233" i="5"/>
  <c r="BD258" i="5"/>
  <c r="BD6" i="5"/>
  <c r="BD237" i="5"/>
  <c r="BD76" i="5"/>
  <c r="BD260" i="5"/>
  <c r="BD11" i="5"/>
  <c r="BD16" i="5"/>
  <c r="BD201" i="5"/>
  <c r="BD202" i="5"/>
  <c r="BD39" i="5"/>
  <c r="BD288" i="5"/>
  <c r="BD95" i="5"/>
  <c r="BD36" i="5"/>
  <c r="BD206" i="5"/>
  <c r="BD35" i="5"/>
  <c r="BD67" i="5"/>
  <c r="BD93" i="5"/>
  <c r="BD26" i="5"/>
  <c r="BD25" i="5"/>
  <c r="BD125" i="5"/>
  <c r="BD45" i="5"/>
  <c r="BD295" i="5"/>
  <c r="BD113" i="5"/>
  <c r="BD7" i="5"/>
  <c r="BD44" i="5"/>
  <c r="BD75" i="5"/>
  <c r="BD259" i="5"/>
  <c r="BD234" i="5"/>
  <c r="BD68" i="5"/>
  <c r="BD127" i="5"/>
  <c r="BD203" i="5"/>
  <c r="BD8" i="5"/>
  <c r="BD294" i="5"/>
  <c r="BD196" i="5"/>
  <c r="BD197" i="5"/>
  <c r="BD3" i="5"/>
  <c r="BD58" i="5"/>
  <c r="BD205" i="5"/>
  <c r="BD57" i="5"/>
  <c r="BD204" i="5"/>
  <c r="BD200" i="5"/>
  <c r="BD279" i="5"/>
  <c r="BD149" i="5"/>
  <c r="BD43" i="5"/>
  <c r="BD28" i="5"/>
  <c r="BD99" i="5"/>
  <c r="BD277" i="5"/>
  <c r="BD49" i="5"/>
  <c r="BD282" i="5"/>
  <c r="BD208" i="5"/>
  <c r="BD64" i="5"/>
  <c r="BD100" i="5"/>
  <c r="BD218" i="5"/>
  <c r="BD286" i="5"/>
  <c r="BD143" i="5"/>
  <c r="BD30" i="5"/>
  <c r="BD254" i="5"/>
  <c r="BD142" i="5"/>
  <c r="BD153" i="5"/>
  <c r="BD61" i="5"/>
  <c r="BD92" i="5"/>
  <c r="BD156" i="5"/>
  <c r="BD297" i="5"/>
  <c r="BD177" i="5"/>
  <c r="BD252" i="5"/>
  <c r="BD175" i="5"/>
  <c r="BD188" i="5"/>
  <c r="BD265" i="5"/>
  <c r="BD264" i="5"/>
  <c r="BD278" i="5"/>
  <c r="BD176" i="5"/>
  <c r="BD54" i="5"/>
  <c r="BD133" i="5"/>
  <c r="BD268" i="5"/>
  <c r="BD101" i="5"/>
  <c r="BD29" i="5"/>
  <c r="BD46" i="5"/>
  <c r="BD96" i="5"/>
  <c r="BD250" i="5"/>
  <c r="BD98" i="5"/>
  <c r="BD232" i="5"/>
  <c r="BD266" i="5"/>
  <c r="BD118" i="5"/>
  <c r="BD172" i="5"/>
  <c r="BD296" i="5"/>
  <c r="BD151" i="5"/>
  <c r="BD274" i="5"/>
  <c r="BD134" i="5"/>
  <c r="BD91" i="5"/>
  <c r="BD147" i="5"/>
  <c r="BD4" i="5"/>
  <c r="BD90" i="5"/>
  <c r="BD136" i="5"/>
  <c r="BD223" i="5"/>
  <c r="BD178" i="5"/>
  <c r="BD224" i="5"/>
  <c r="BD112" i="5"/>
  <c r="BD159" i="5"/>
  <c r="BD152" i="5"/>
  <c r="BD15" i="5"/>
  <c r="BD132" i="5"/>
  <c r="BD239" i="5"/>
  <c r="BD119" i="5"/>
  <c r="BD27" i="5"/>
  <c r="BD105" i="5"/>
  <c r="BD14" i="5"/>
  <c r="BD129" i="5"/>
  <c r="BD5" i="5"/>
  <c r="BD102" i="5"/>
  <c r="BD103" i="5"/>
  <c r="BD229" i="5"/>
  <c r="BD104" i="5"/>
  <c r="BD146" i="5"/>
  <c r="BD158" i="5"/>
  <c r="BD230" i="5"/>
  <c r="BD145" i="5"/>
  <c r="BD199" i="5"/>
  <c r="BD87" i="5"/>
  <c r="BD213" i="5"/>
  <c r="BD106" i="5"/>
  <c r="BD107" i="5"/>
  <c r="BD108" i="5"/>
  <c r="BD160" i="5"/>
  <c r="BD140" i="5"/>
  <c r="BD269" i="5"/>
  <c r="BD73" i="5"/>
  <c r="BD214" i="5"/>
  <c r="BD130" i="5"/>
  <c r="BD179" i="5"/>
  <c r="BD209" i="5"/>
  <c r="BD211" i="5"/>
  <c r="BD110" i="5"/>
  <c r="BD198" i="5"/>
  <c r="BD212" i="5"/>
  <c r="BD78" i="5"/>
  <c r="BD128" i="5"/>
  <c r="BD88" i="5"/>
  <c r="BD89" i="5"/>
  <c r="BD155" i="5"/>
  <c r="BD150" i="5"/>
  <c r="BD267" i="5"/>
  <c r="BD9" i="5"/>
  <c r="BD210" i="5"/>
  <c r="BD141" i="5"/>
  <c r="BD225" i="5"/>
  <c r="BD131" i="5"/>
  <c r="BD220" i="5"/>
  <c r="BD219" i="5"/>
  <c r="BD270" i="5"/>
  <c r="BD12" i="5"/>
  <c r="BD216" i="5"/>
  <c r="BD116" i="5"/>
  <c r="BD13" i="5"/>
  <c r="BD271" i="5"/>
  <c r="BD272" i="5"/>
  <c r="BD123" i="5"/>
  <c r="BD144" i="5"/>
  <c r="BD148" i="5"/>
  <c r="BD276" i="5"/>
  <c r="BD164" i="5"/>
  <c r="BD174" i="5"/>
  <c r="BD180" i="5"/>
  <c r="BD181" i="5"/>
  <c r="BD182" i="5"/>
  <c r="BD183" i="5"/>
  <c r="BD185" i="5"/>
  <c r="BD215" i="5"/>
  <c r="BD217" i="5"/>
  <c r="BD221" i="5"/>
  <c r="BD226" i="5"/>
  <c r="BD228" i="5"/>
  <c r="BD302" i="5"/>
  <c r="BD314" i="5"/>
  <c r="BD304" i="5"/>
  <c r="BD305" i="5"/>
  <c r="BD300" i="5"/>
  <c r="BD308" i="5"/>
  <c r="BD312" i="5"/>
  <c r="BD313" i="5"/>
  <c r="BD306" i="5"/>
  <c r="BD311" i="5"/>
  <c r="BD301" i="5"/>
  <c r="BD309" i="5"/>
  <c r="BD307" i="5"/>
  <c r="BD299" i="5"/>
  <c r="BD310" i="5"/>
  <c r="BD325" i="5"/>
  <c r="BD324" i="5"/>
  <c r="BD323" i="5"/>
  <c r="BD338" i="5"/>
  <c r="BD340" i="5"/>
  <c r="BD345" i="5"/>
  <c r="BD344" i="5"/>
  <c r="BD346" i="5"/>
  <c r="BD336" i="5"/>
  <c r="BD330" i="5"/>
  <c r="BD320" i="5"/>
  <c r="BD315" i="5"/>
  <c r="BD316" i="5"/>
  <c r="BD317" i="5"/>
  <c r="BD318" i="5"/>
  <c r="BD319" i="5"/>
  <c r="BD321" i="5"/>
  <c r="BD322" i="5"/>
  <c r="BD326" i="5"/>
  <c r="BD327" i="5"/>
  <c r="BD328" i="5"/>
  <c r="BD329" i="5"/>
  <c r="BD332" i="5"/>
  <c r="BD333" i="5"/>
  <c r="BD334" i="5"/>
  <c r="BD335" i="5"/>
  <c r="BD337" i="5"/>
  <c r="BD339" i="5"/>
  <c r="BD341" i="5"/>
  <c r="BD342" i="5"/>
  <c r="BD343" i="5"/>
  <c r="BD347" i="5"/>
  <c r="BD351" i="5"/>
  <c r="BD353" i="5"/>
  <c r="BD352" i="5"/>
  <c r="BD350" i="5"/>
  <c r="BD368" i="5"/>
  <c r="BD367" i="5"/>
  <c r="BD359" i="5"/>
  <c r="BD369" i="5"/>
  <c r="BD360" i="5"/>
  <c r="BD362" i="5"/>
  <c r="BD365" i="5"/>
  <c r="BD363" i="5"/>
  <c r="BD361" i="5"/>
  <c r="BD364" i="5"/>
  <c r="BD349" i="5"/>
  <c r="BD358" i="5"/>
  <c r="BD348" i="5"/>
  <c r="BD357" i="5"/>
  <c r="BD356" i="5"/>
  <c r="BD366" i="5"/>
  <c r="BD355" i="5"/>
  <c r="BD354" i="5"/>
  <c r="BD376" i="5"/>
  <c r="BD373" i="5"/>
  <c r="BD374" i="5"/>
  <c r="BD371" i="5"/>
  <c r="BD380" i="5"/>
  <c r="BD379" i="5"/>
  <c r="BD375" i="5"/>
  <c r="BD372" i="5"/>
  <c r="BD377" i="5"/>
  <c r="BD378" i="5"/>
  <c r="BD370" i="5"/>
  <c r="BD384" i="5"/>
  <c r="BD385" i="5"/>
  <c r="BD387" i="5"/>
  <c r="BD389" i="5"/>
  <c r="BD392" i="5"/>
  <c r="BD393" i="5"/>
  <c r="BD394" i="5"/>
  <c r="BD398" i="5"/>
  <c r="BD399" i="5"/>
  <c r="BD400" i="5"/>
  <c r="BD401" i="5"/>
  <c r="BD402" i="5"/>
  <c r="BD403" i="5"/>
  <c r="BD405" i="5"/>
  <c r="BD406" i="5"/>
  <c r="BD409" i="5"/>
  <c r="BD410" i="5"/>
  <c r="BD411" i="5"/>
  <c r="BD390" i="5"/>
  <c r="BD395" i="5"/>
  <c r="BD404" i="5"/>
  <c r="BD397" i="5"/>
  <c r="BD396" i="5"/>
  <c r="BD189" i="5"/>
  <c r="AI22" i="2"/>
  <c r="AI28" i="2"/>
  <c r="AI29" i="2"/>
  <c r="AI15" i="2"/>
  <c r="AI33" i="2"/>
  <c r="AI32" i="2"/>
  <c r="AI34" i="2"/>
  <c r="AI35" i="2"/>
  <c r="AI31" i="2"/>
  <c r="AI11" i="2"/>
  <c r="AI13" i="2"/>
  <c r="AI10" i="2"/>
  <c r="AI12" i="2"/>
  <c r="AI27" i="2"/>
  <c r="AI16" i="2"/>
  <c r="AI17" i="2"/>
  <c r="AI38" i="2"/>
  <c r="AI36" i="2"/>
  <c r="AI7" i="2"/>
  <c r="AI40" i="2"/>
  <c r="AI39" i="2"/>
  <c r="AI41" i="2"/>
  <c r="AI26" i="2"/>
  <c r="AI43" i="2"/>
  <c r="AI18" i="2"/>
  <c r="AI5" i="2"/>
  <c r="AI8" i="2"/>
  <c r="AI30" i="2"/>
  <c r="AI37" i="2"/>
  <c r="AI23" i="2"/>
  <c r="AI42" i="2"/>
  <c r="AI46" i="2"/>
  <c r="AI47" i="2"/>
  <c r="AI51" i="2"/>
  <c r="AI50" i="2"/>
  <c r="AI52" i="2"/>
  <c r="AI24" i="2"/>
  <c r="AH24" i="2"/>
  <c r="AK24" i="2"/>
  <c r="AK22" i="2"/>
  <c r="AK28" i="2"/>
  <c r="AK15" i="2"/>
  <c r="AK33" i="2"/>
  <c r="AK32" i="2"/>
  <c r="AK34" i="2"/>
  <c r="AK35" i="2"/>
  <c r="AK31" i="2"/>
  <c r="AK11" i="2"/>
  <c r="AK13" i="2"/>
  <c r="AK10" i="2"/>
  <c r="AK12" i="2"/>
  <c r="AK27" i="2"/>
  <c r="AK16" i="2"/>
  <c r="AK17" i="2"/>
  <c r="AK38" i="2"/>
  <c r="AK36" i="2"/>
  <c r="AK7" i="2"/>
  <c r="AK40" i="2"/>
  <c r="AK39" i="2"/>
  <c r="AK41" i="2"/>
  <c r="AK26" i="2"/>
  <c r="AK43" i="2"/>
  <c r="AK18" i="2"/>
  <c r="AK5" i="2"/>
  <c r="AK8" i="2"/>
  <c r="AK30" i="2"/>
  <c r="AK37" i="2"/>
  <c r="AK23" i="2"/>
  <c r="AK42" i="2"/>
  <c r="AK46" i="2"/>
  <c r="AK47" i="2"/>
  <c r="AK51" i="2"/>
  <c r="AK50" i="2"/>
  <c r="AK52" i="2"/>
  <c r="AG24" i="2"/>
  <c r="AG22" i="2"/>
  <c r="AG23" i="2"/>
  <c r="AG28" i="2"/>
  <c r="AG29" i="2"/>
  <c r="AG33" i="2"/>
  <c r="AG32" i="2"/>
  <c r="AG34" i="2"/>
  <c r="AG35" i="2"/>
  <c r="AG31" i="2"/>
  <c r="AG41" i="2"/>
  <c r="AG26" i="2"/>
  <c r="AG43" i="2"/>
  <c r="AG18" i="2"/>
  <c r="AG42" i="2"/>
  <c r="AG11" i="2"/>
  <c r="AG13" i="2"/>
  <c r="AG10" i="2"/>
  <c r="AG12" i="2"/>
  <c r="AG27" i="2"/>
  <c r="AG16" i="2"/>
  <c r="AG17" i="2"/>
  <c r="AG38" i="2"/>
  <c r="AG36" i="2"/>
  <c r="AG7" i="2"/>
  <c r="AG40" i="2"/>
  <c r="AG39" i="2"/>
  <c r="AG5" i="2"/>
  <c r="AG8" i="2"/>
  <c r="AG37" i="2"/>
  <c r="AG30" i="2"/>
  <c r="AG46" i="2"/>
  <c r="AG47" i="2"/>
  <c r="AG51" i="2"/>
  <c r="AG50" i="2"/>
  <c r="AG52" i="2"/>
  <c r="AG15" i="2"/>
  <c r="AF15" i="2"/>
  <c r="AF24" i="2"/>
  <c r="AF22" i="2"/>
  <c r="AF23" i="2"/>
  <c r="AF28" i="2"/>
  <c r="AF29" i="2"/>
  <c r="AF33" i="2"/>
  <c r="AF32" i="2"/>
  <c r="AF34" i="2"/>
  <c r="AF35" i="2"/>
  <c r="AF31" i="2"/>
  <c r="AF41" i="2"/>
  <c r="AF26" i="2"/>
  <c r="AF43" i="2"/>
  <c r="AF18" i="2"/>
  <c r="AF42" i="2"/>
  <c r="AF11" i="2"/>
  <c r="AF13" i="2"/>
  <c r="AF10" i="2"/>
  <c r="AF12" i="2"/>
  <c r="AF27" i="2"/>
  <c r="AF16" i="2"/>
  <c r="AF17" i="2"/>
  <c r="AF38" i="2"/>
  <c r="AF36" i="2"/>
  <c r="AF7" i="2"/>
  <c r="AF40" i="2"/>
  <c r="AF39" i="2"/>
  <c r="AF5" i="2"/>
  <c r="AF8" i="2"/>
  <c r="AF37" i="2"/>
  <c r="AF30" i="2"/>
  <c r="AF46" i="2"/>
  <c r="AF47" i="2"/>
  <c r="AF51" i="2"/>
  <c r="AF50" i="2"/>
  <c r="AF52" i="2"/>
  <c r="AE15" i="2"/>
  <c r="AD26" i="4"/>
  <c r="AD288" i="4"/>
  <c r="AD4" i="4"/>
  <c r="AD5" i="4"/>
  <c r="AD204" i="4"/>
  <c r="AD6" i="4"/>
  <c r="AD130" i="4"/>
  <c r="AD132" i="4"/>
  <c r="AD133" i="4"/>
  <c r="AD277" i="4"/>
  <c r="AD128" i="4"/>
  <c r="AD129" i="4"/>
  <c r="AD253" i="4"/>
  <c r="AD59" i="4"/>
  <c r="AD105" i="4"/>
  <c r="AD120" i="4"/>
  <c r="AD14" i="4"/>
  <c r="AD233" i="4"/>
  <c r="AD265" i="4"/>
  <c r="AD266" i="4"/>
  <c r="AD239" i="4"/>
  <c r="AD241" i="4"/>
  <c r="AD242" i="4"/>
  <c r="AD267" i="4"/>
  <c r="AD244" i="4"/>
  <c r="AD268" i="4"/>
  <c r="AD247" i="4"/>
  <c r="AD269" i="4"/>
  <c r="AD270" i="4"/>
  <c r="AD271" i="4"/>
  <c r="AD272" i="4"/>
  <c r="AD273" i="4"/>
  <c r="AD151" i="4"/>
  <c r="AD2" i="4"/>
  <c r="AD295" i="4"/>
  <c r="AD287" i="4"/>
  <c r="AD263" i="4"/>
  <c r="AD238" i="4"/>
  <c r="AD240" i="4"/>
  <c r="AD243" i="4"/>
  <c r="AD64" i="4"/>
  <c r="AD65" i="4"/>
  <c r="AD203" i="4"/>
  <c r="AD274" i="4"/>
  <c r="AD153" i="4"/>
  <c r="AD125" i="4"/>
  <c r="AD190" i="4"/>
  <c r="AD249" i="4"/>
  <c r="AD73" i="4"/>
  <c r="AD213" i="4"/>
  <c r="AD110" i="4"/>
  <c r="AD47" i="4"/>
  <c r="AD85" i="4"/>
  <c r="AD86" i="4"/>
  <c r="AD255" i="4"/>
  <c r="AD281" i="4"/>
  <c r="AD256" i="4"/>
  <c r="AD290" i="4"/>
  <c r="AD291" i="4"/>
  <c r="AD113" i="4"/>
  <c r="AD134" i="4"/>
  <c r="AD135" i="4"/>
  <c r="AD176" i="4"/>
  <c r="AD177" i="4"/>
  <c r="AD137" i="4"/>
  <c r="AD138" i="4"/>
  <c r="AD139" i="4"/>
  <c r="AD140" i="4"/>
  <c r="AD258" i="4"/>
  <c r="AD98" i="4"/>
  <c r="AD115" i="4"/>
  <c r="AD116" i="4"/>
  <c r="AD117" i="4"/>
  <c r="AD142" i="4"/>
  <c r="AD118" i="4"/>
  <c r="AD27" i="4"/>
  <c r="AD143" i="4"/>
  <c r="AD144" i="4"/>
  <c r="AD28" i="4"/>
  <c r="AD145" i="4"/>
  <c r="AD285" i="4"/>
  <c r="AD183" i="4"/>
  <c r="AD102" i="4"/>
  <c r="AD103" i="4"/>
  <c r="AD104" i="4"/>
  <c r="AD29" i="4"/>
  <c r="AD58" i="4"/>
  <c r="AD30" i="4"/>
  <c r="AD13" i="4"/>
  <c r="AD264" i="4"/>
  <c r="AD32" i="4"/>
  <c r="AD33" i="4"/>
  <c r="AD34" i="4"/>
  <c r="AD35" i="4"/>
  <c r="AD36" i="4"/>
  <c r="AD37" i="4"/>
  <c r="AD60" i="4"/>
  <c r="AD61" i="4"/>
  <c r="AD62" i="4"/>
  <c r="AD15" i="4"/>
  <c r="AD106" i="4"/>
  <c r="AD107" i="4"/>
  <c r="AD38" i="4"/>
  <c r="AD39" i="4"/>
  <c r="AD40" i="4"/>
  <c r="AD63" i="4"/>
  <c r="AD234" i="4"/>
  <c r="AD235" i="4"/>
  <c r="AD219" i="4"/>
  <c r="AD236" i="4"/>
  <c r="AD237" i="4"/>
  <c r="AD202" i="4"/>
  <c r="AD186" i="4"/>
  <c r="AD187" i="4"/>
  <c r="AD188" i="4"/>
  <c r="AD150" i="4"/>
  <c r="AD246" i="4"/>
  <c r="AD189" i="4"/>
  <c r="AD121" i="4"/>
  <c r="AD41" i="4"/>
  <c r="AD276" i="4"/>
  <c r="AD152" i="4"/>
  <c r="AD16" i="4"/>
  <c r="AD8" i="4"/>
  <c r="AD9" i="4"/>
  <c r="AD210" i="4"/>
  <c r="AD220" i="4"/>
  <c r="AD221" i="4"/>
  <c r="AD122" i="4"/>
  <c r="AD123" i="4"/>
  <c r="AD124" i="4"/>
  <c r="AD154" i="4"/>
  <c r="AD211" i="4"/>
  <c r="AD108" i="4"/>
  <c r="AD69" i="4"/>
  <c r="AD296" i="4"/>
  <c r="AD127" i="4"/>
  <c r="AD191" i="4"/>
  <c r="AD70" i="4"/>
  <c r="AD248" i="4"/>
  <c r="AD250" i="4"/>
  <c r="AD289" i="4"/>
  <c r="AD192" i="4"/>
  <c r="AD222" i="4"/>
  <c r="AD251" i="4"/>
  <c r="AD74" i="4"/>
  <c r="AD20" i="4"/>
  <c r="AD75" i="4"/>
  <c r="AD278" i="4"/>
  <c r="AD43" i="4"/>
  <c r="AD212" i="4"/>
  <c r="AD77" i="4"/>
  <c r="AD223" i="4"/>
  <c r="AD158" i="4"/>
  <c r="AD252" i="4"/>
  <c r="AD10" i="4"/>
  <c r="AD159" i="4"/>
  <c r="AD21" i="4"/>
  <c r="AD160" i="4"/>
  <c r="AD44" i="4"/>
  <c r="AD45" i="4"/>
  <c r="AD11" i="4"/>
  <c r="AD254" i="4"/>
  <c r="AD193" i="4"/>
  <c r="AD194" i="4"/>
  <c r="AD279" i="4"/>
  <c r="AD280" i="4"/>
  <c r="AD46" i="4"/>
  <c r="AD80" i="4"/>
  <c r="AD81" i="4"/>
  <c r="AD215" i="4"/>
  <c r="AD7" i="4"/>
  <c r="AD111" i="4"/>
  <c r="AD112" i="4"/>
  <c r="AD24" i="4"/>
  <c r="AD25" i="4"/>
  <c r="AD131" i="4"/>
  <c r="AD165" i="4"/>
  <c r="AD166" i="4"/>
  <c r="AD167" i="4"/>
  <c r="AD168" i="4"/>
  <c r="AD169" i="4"/>
  <c r="AD170" i="4"/>
  <c r="AD171" i="4"/>
  <c r="AD195" i="4"/>
  <c r="AD207" i="4"/>
  <c r="AD208" i="4"/>
  <c r="AD136" i="4"/>
  <c r="AD172" i="4"/>
  <c r="AD173" i="4"/>
  <c r="AD174" i="4"/>
  <c r="AD175" i="4"/>
  <c r="AD298" i="4"/>
  <c r="AD196" i="4"/>
  <c r="AD88" i="4"/>
  <c r="AD89" i="4"/>
  <c r="AD90" i="4"/>
  <c r="AD91" i="4"/>
  <c r="AD92" i="4"/>
  <c r="AD93" i="4"/>
  <c r="AD95" i="4"/>
  <c r="AD96" i="4"/>
  <c r="AD216" i="4"/>
  <c r="AD217" i="4"/>
  <c r="AD218" i="4"/>
  <c r="AD228" i="4"/>
  <c r="AD97" i="4"/>
  <c r="AD292" i="4"/>
  <c r="AD229" i="4"/>
  <c r="AD230" i="4"/>
  <c r="AD257" i="4"/>
  <c r="AD141" i="4"/>
  <c r="AD297" i="4"/>
  <c r="AD259" i="4"/>
  <c r="AD260" i="4"/>
  <c r="AD261" i="4"/>
  <c r="AD197" i="4"/>
  <c r="AD178" i="4"/>
  <c r="AD179" i="4"/>
  <c r="AD180" i="4"/>
  <c r="AD199" i="4"/>
  <c r="AD181" i="4"/>
  <c r="AD294" i="4"/>
  <c r="AD231" i="4"/>
  <c r="AD209" i="4"/>
  <c r="AD283" i="4"/>
  <c r="AD284" i="4"/>
  <c r="AD51" i="4"/>
  <c r="AD52" i="4"/>
  <c r="AD53" i="4"/>
  <c r="AD54" i="4"/>
  <c r="AD55" i="4"/>
  <c r="AD56" i="4"/>
  <c r="AD57" i="4"/>
  <c r="AD99" i="4"/>
  <c r="AD184" i="4"/>
  <c r="AD185" i="4"/>
  <c r="AD101" i="4"/>
  <c r="AD146" i="4"/>
  <c r="AD119" i="4"/>
  <c r="AD147" i="4"/>
  <c r="AD31" i="4"/>
  <c r="AD148" i="4"/>
  <c r="AD66" i="4"/>
  <c r="AD155" i="4"/>
  <c r="AD156" i="4"/>
  <c r="AD71" i="4"/>
  <c r="AD109" i="4"/>
  <c r="AD79" i="4"/>
  <c r="AD23" i="4"/>
  <c r="AD205" i="4"/>
  <c r="AD206" i="4"/>
  <c r="AD94" i="4"/>
  <c r="AD182" i="4"/>
  <c r="AD157" i="4"/>
  <c r="AD42" i="4"/>
  <c r="AD224" i="4"/>
  <c r="AD78" i="4"/>
  <c r="AD225" i="4"/>
  <c r="AD226" i="4"/>
  <c r="AD227" i="4"/>
  <c r="AD200" i="4"/>
  <c r="AD201" i="4"/>
  <c r="AD18" i="4"/>
  <c r="AD72" i="4"/>
  <c r="AD3" i="4"/>
  <c r="AD19" i="4"/>
  <c r="AD76" i="4"/>
  <c r="AD214" i="4"/>
  <c r="AD12" i="4"/>
  <c r="AD293" i="4"/>
  <c r="AD114" i="4"/>
  <c r="AD286" i="4"/>
  <c r="AD275" i="4"/>
  <c r="AD162" i="4"/>
  <c r="AD48" i="4"/>
  <c r="AD149" i="4"/>
  <c r="AD161" i="4"/>
  <c r="AD163" i="4"/>
  <c r="AD164" i="4"/>
  <c r="AD198" i="4"/>
  <c r="AD68" i="4"/>
  <c r="AD82" i="4"/>
  <c r="AD83" i="4"/>
  <c r="AD84" i="4"/>
  <c r="AD87" i="4"/>
  <c r="AD49" i="4"/>
  <c r="AD50" i="4"/>
  <c r="AD100" i="4"/>
  <c r="AD126" i="4"/>
  <c r="AD22" i="4"/>
  <c r="AD17" i="4"/>
  <c r="AD307" i="4"/>
  <c r="AD306" i="4"/>
  <c r="AD304" i="4"/>
  <c r="AD305" i="4"/>
  <c r="AD300" i="4"/>
  <c r="AD301" i="4"/>
  <c r="AD299" i="4"/>
  <c r="AD302" i="4"/>
  <c r="AD303" i="4"/>
  <c r="AD310" i="4"/>
  <c r="AD311" i="4"/>
  <c r="AD312" i="4"/>
  <c r="AD313" i="4"/>
  <c r="AD308" i="4"/>
  <c r="AD314" i="4"/>
  <c r="AD335" i="4"/>
  <c r="AD336" i="4"/>
  <c r="AD318" i="4"/>
  <c r="AD315" i="4"/>
  <c r="AD319" i="4"/>
  <c r="AD320" i="4"/>
  <c r="AD321" i="4"/>
  <c r="AD347" i="4"/>
  <c r="AD326" i="4"/>
  <c r="AD327" i="4"/>
  <c r="AD328" i="4"/>
  <c r="AD329" i="4"/>
  <c r="AD341" i="4"/>
  <c r="AD331" i="4"/>
  <c r="AD332" i="4"/>
  <c r="AD333" i="4"/>
  <c r="AD343" i="4"/>
  <c r="AD344" i="4"/>
  <c r="AD345" i="4"/>
  <c r="AD342" i="4"/>
  <c r="AD322" i="4"/>
  <c r="AD317" i="4"/>
  <c r="AD323" i="4"/>
  <c r="AD330" i="4"/>
  <c r="AD325" i="4"/>
  <c r="AD334" i="4"/>
  <c r="AD324" i="4"/>
  <c r="AD338" i="4"/>
  <c r="AD337" i="4"/>
  <c r="AD316" i="4"/>
  <c r="AD339" i="4"/>
  <c r="AD340" i="4"/>
  <c r="AD346" i="4"/>
  <c r="AD350" i="4"/>
  <c r="AD361" i="4"/>
  <c r="AD362" i="4"/>
  <c r="AD368" i="4"/>
  <c r="AD363" i="4"/>
  <c r="AD369" i="4"/>
  <c r="AD351" i="4"/>
  <c r="AD348" i="4"/>
  <c r="AD358" i="4"/>
  <c r="AD359" i="4"/>
  <c r="AD364" i="4"/>
  <c r="AD349" i="4"/>
  <c r="AD365" i="4"/>
  <c r="AD366" i="4"/>
  <c r="AD367" i="4"/>
  <c r="AD360" i="4"/>
  <c r="AD352" i="4"/>
  <c r="AD353" i="4"/>
  <c r="AD354" i="4"/>
  <c r="AD355" i="4"/>
  <c r="AD356" i="4"/>
  <c r="AD357" i="4"/>
  <c r="AD371" i="4"/>
  <c r="AD377" i="4"/>
  <c r="AD378" i="4"/>
  <c r="AD379" i="4"/>
  <c r="AD373" i="4"/>
  <c r="AD370" i="4"/>
  <c r="AD376" i="4"/>
  <c r="AD381" i="4"/>
  <c r="AD374" i="4"/>
  <c r="AD375" i="4"/>
  <c r="AD372" i="4"/>
  <c r="AD383" i="4"/>
  <c r="AD385" i="4"/>
  <c r="AD386" i="4"/>
  <c r="AD384" i="4"/>
  <c r="AD382" i="4"/>
  <c r="AD390" i="4"/>
  <c r="AD395" i="4"/>
  <c r="AD408" i="4"/>
  <c r="AD397" i="4"/>
  <c r="AD398" i="4"/>
  <c r="AD399" i="4"/>
  <c r="AD400" i="4"/>
  <c r="AD403" i="4"/>
  <c r="AD387" i="4"/>
  <c r="AD404" i="4"/>
  <c r="AD405" i="4"/>
  <c r="AD407" i="4"/>
  <c r="AD396" i="4"/>
  <c r="AD388" i="4"/>
  <c r="AD389" i="4"/>
  <c r="AD391" i="4"/>
  <c r="AD392" i="4"/>
  <c r="AD393" i="4"/>
  <c r="AD402" i="4"/>
  <c r="AD394" i="4"/>
  <c r="AD406" i="4"/>
  <c r="AD409" i="4"/>
  <c r="AD410" i="4"/>
  <c r="AD411" i="4"/>
  <c r="AD401" i="4"/>
  <c r="AE11" i="2"/>
  <c r="AE13" i="2"/>
  <c r="AE10" i="2"/>
  <c r="AE12" i="2"/>
  <c r="AE27" i="2"/>
  <c r="AE16" i="2"/>
  <c r="AE17" i="2"/>
  <c r="AE28" i="2"/>
  <c r="AE5" i="2"/>
  <c r="AE38" i="2"/>
  <c r="AE37" i="2"/>
  <c r="AE36" i="2"/>
  <c r="AE7" i="2"/>
  <c r="AE33" i="2"/>
  <c r="AE32" i="2"/>
  <c r="AE34" i="2"/>
  <c r="AE8" i="2"/>
  <c r="AE35" i="2"/>
  <c r="AE31" i="2"/>
  <c r="AE43" i="2"/>
  <c r="AE40" i="2"/>
  <c r="AE39" i="2"/>
  <c r="AE30" i="2"/>
  <c r="AE18" i="2"/>
  <c r="AE42" i="2"/>
  <c r="AE24" i="2"/>
  <c r="AE22" i="2"/>
  <c r="AE23" i="2"/>
  <c r="AE41" i="2"/>
  <c r="AE46" i="2"/>
  <c r="AE47" i="2"/>
  <c r="AE51" i="2"/>
  <c r="AE50" i="2"/>
  <c r="AE52" i="2"/>
  <c r="AE26" i="2"/>
  <c r="AH26" i="2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66" i="4"/>
  <c r="AE58" i="4"/>
  <c r="AE59" i="4"/>
  <c r="AE60" i="4"/>
  <c r="AE61" i="4"/>
  <c r="AE62" i="4"/>
  <c r="AE63" i="4"/>
  <c r="AE64" i="4"/>
  <c r="AE65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81" i="4"/>
  <c r="AE182" i="4"/>
  <c r="AE183" i="4"/>
  <c r="AE184" i="4"/>
  <c r="AE185" i="4"/>
  <c r="AE178" i="4"/>
  <c r="AE179" i="4"/>
  <c r="AE180" i="4"/>
  <c r="AE186" i="4"/>
  <c r="AE187" i="4"/>
  <c r="AE188" i="4"/>
  <c r="AE189" i="4"/>
  <c r="AE190" i="4"/>
  <c r="AE191" i="4"/>
  <c r="AE192" i="4"/>
  <c r="AE193" i="4"/>
  <c r="AE194" i="4"/>
  <c r="AE195" i="4"/>
  <c r="AE196" i="4"/>
  <c r="AE198" i="4"/>
  <c r="AE199" i="4"/>
  <c r="AE200" i="4"/>
  <c r="AE201" i="4"/>
  <c r="AE197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3" i="4"/>
  <c r="AE234" i="4"/>
  <c r="AE235" i="4"/>
  <c r="AE236" i="4"/>
  <c r="AE237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3" i="4"/>
  <c r="AE238" i="4"/>
  <c r="AE239" i="4"/>
  <c r="AE240" i="4"/>
  <c r="AE241" i="4"/>
  <c r="AE242" i="4"/>
  <c r="AE243" i="4"/>
  <c r="AE244" i="4"/>
  <c r="AE264" i="4"/>
  <c r="AE265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3" i="4"/>
  <c r="AE284" i="4"/>
  <c r="AE285" i="4"/>
  <c r="AE286" i="4"/>
  <c r="AE287" i="4"/>
  <c r="AE266" i="4"/>
  <c r="AE267" i="4"/>
  <c r="AE268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10" i="4"/>
  <c r="AE311" i="4"/>
  <c r="AE312" i="4"/>
  <c r="AE313" i="4"/>
  <c r="AE314" i="4"/>
  <c r="AE315" i="4"/>
  <c r="AE317" i="4"/>
  <c r="AE318" i="4"/>
  <c r="AE319" i="4"/>
  <c r="AE320" i="4"/>
  <c r="AE321" i="4"/>
  <c r="AE322" i="4"/>
  <c r="AE323" i="4"/>
  <c r="AE324" i="4"/>
  <c r="AE326" i="4"/>
  <c r="AE327" i="4"/>
  <c r="AE328" i="4"/>
  <c r="AE329" i="4"/>
  <c r="AE330" i="4"/>
  <c r="AE331" i="4"/>
  <c r="AE332" i="4"/>
  <c r="AE333" i="4"/>
  <c r="AE325" i="4"/>
  <c r="AE334" i="4"/>
  <c r="AE335" i="4"/>
  <c r="AE336" i="4"/>
  <c r="AE337" i="4"/>
  <c r="AE316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60" i="4"/>
  <c r="AE356" i="4"/>
  <c r="AE357" i="4"/>
  <c r="AE358" i="4"/>
  <c r="AE359" i="4"/>
  <c r="AE361" i="4"/>
  <c r="AE362" i="4"/>
  <c r="AE363" i="4"/>
  <c r="AE368" i="4"/>
  <c r="AE369" i="4"/>
  <c r="AE364" i="4"/>
  <c r="AE365" i="4"/>
  <c r="AE366" i="4"/>
  <c r="AE367" i="4"/>
  <c r="AE370" i="4"/>
  <c r="AE371" i="4"/>
  <c r="AE372" i="4"/>
  <c r="AE373" i="4"/>
  <c r="AE374" i="4"/>
  <c r="AE375" i="4"/>
  <c r="AE376" i="4"/>
  <c r="AE377" i="4"/>
  <c r="AE378" i="4"/>
  <c r="AE379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2" i="4"/>
  <c r="AH11" i="2"/>
  <c r="AH13" i="2"/>
  <c r="AH10" i="2"/>
  <c r="AH12" i="2"/>
  <c r="AH27" i="2"/>
  <c r="AH16" i="2"/>
  <c r="AH17" i="2"/>
  <c r="AH28" i="2"/>
  <c r="AH5" i="2"/>
  <c r="AH38" i="2"/>
  <c r="AH37" i="2"/>
  <c r="AH36" i="2"/>
  <c r="AH7" i="2"/>
  <c r="AH15" i="2"/>
  <c r="AH29" i="2"/>
  <c r="AH33" i="2"/>
  <c r="AH32" i="2"/>
  <c r="AH34" i="2"/>
  <c r="AH8" i="2"/>
  <c r="AH35" i="2"/>
  <c r="AH31" i="2"/>
  <c r="AH43" i="2"/>
  <c r="AH40" i="2"/>
  <c r="AH39" i="2"/>
  <c r="AH30" i="2"/>
  <c r="AH18" i="2"/>
  <c r="AH42" i="2"/>
  <c r="AH22" i="2"/>
  <c r="AH23" i="2"/>
  <c r="AH41" i="2"/>
  <c r="AH46" i="2"/>
  <c r="AH47" i="2"/>
  <c r="AH51" i="2"/>
  <c r="AH50" i="2"/>
  <c r="AH52" i="2"/>
  <c r="AG385" i="4"/>
  <c r="AG386" i="4"/>
  <c r="AG382" i="4"/>
  <c r="AG384" i="4"/>
  <c r="AG383" i="4"/>
  <c r="AG396" i="4"/>
  <c r="AG388" i="4"/>
  <c r="AG389" i="4"/>
  <c r="AG390" i="4"/>
  <c r="AG397" i="4"/>
  <c r="AG398" i="4"/>
  <c r="AG399" i="4"/>
  <c r="AG400" i="4"/>
  <c r="AG401" i="4"/>
  <c r="AG391" i="4"/>
  <c r="AG392" i="4"/>
  <c r="AG393" i="4"/>
  <c r="AG402" i="4"/>
  <c r="AG403" i="4"/>
  <c r="AG387" i="4"/>
  <c r="AG404" i="4"/>
  <c r="AG405" i="4"/>
  <c r="AG394" i="4"/>
  <c r="AG395" i="4"/>
  <c r="AG406" i="4"/>
  <c r="AG407" i="4"/>
  <c r="AG408" i="4"/>
  <c r="AG409" i="4"/>
  <c r="AG410" i="4"/>
  <c r="AG411" i="4"/>
  <c r="AJ304" i="4"/>
  <c r="AJ305" i="4"/>
  <c r="AJ306" i="4"/>
  <c r="AJ307" i="4"/>
  <c r="AJ300" i="4"/>
  <c r="AJ310" i="4"/>
  <c r="AJ311" i="4"/>
  <c r="AJ312" i="4"/>
  <c r="AJ313" i="4"/>
  <c r="AJ301" i="4"/>
  <c r="AJ314" i="4"/>
  <c r="AJ308" i="4"/>
  <c r="AJ299" i="4"/>
  <c r="AJ302" i="4"/>
  <c r="AJ303" i="4"/>
  <c r="AJ343" i="4"/>
  <c r="AJ344" i="4"/>
  <c r="AJ345" i="4"/>
  <c r="AJ335" i="4"/>
  <c r="AJ336" i="4"/>
  <c r="AJ318" i="4"/>
  <c r="AJ315" i="4"/>
  <c r="AJ319" i="4"/>
  <c r="AJ320" i="4"/>
  <c r="AJ321" i="4"/>
  <c r="AJ347" i="4"/>
  <c r="AJ337" i="4"/>
  <c r="AJ316" i="4"/>
  <c r="AJ338" i="4"/>
  <c r="AJ339" i="4"/>
  <c r="AJ340" i="4"/>
  <c r="AJ342" i="4"/>
  <c r="AJ322" i="4"/>
  <c r="AJ317" i="4"/>
  <c r="AJ323" i="4"/>
  <c r="AJ346" i="4"/>
  <c r="AJ326" i="4"/>
  <c r="AJ327" i="4"/>
  <c r="AJ328" i="4"/>
  <c r="AJ329" i="4"/>
  <c r="AJ341" i="4"/>
  <c r="AJ331" i="4"/>
  <c r="AJ332" i="4"/>
  <c r="AJ333" i="4"/>
  <c r="AJ325" i="4"/>
  <c r="AJ334" i="4"/>
  <c r="AJ324" i="4"/>
  <c r="AJ330" i="4"/>
  <c r="AJ350" i="4"/>
  <c r="AJ356" i="4"/>
  <c r="AJ357" i="4"/>
  <c r="AJ355" i="4"/>
  <c r="AJ361" i="4"/>
  <c r="AJ362" i="4"/>
  <c r="AJ368" i="4"/>
  <c r="AJ363" i="4"/>
  <c r="AJ369" i="4"/>
  <c r="AJ351" i="4"/>
  <c r="AJ348" i="4"/>
  <c r="AJ358" i="4"/>
  <c r="AJ359" i="4"/>
  <c r="AJ364" i="4"/>
  <c r="AJ349" i="4"/>
  <c r="AJ365" i="4"/>
  <c r="AJ366" i="4"/>
  <c r="AJ367" i="4"/>
  <c r="AJ360" i="4"/>
  <c r="AJ352" i="4"/>
  <c r="AJ353" i="4"/>
  <c r="AJ354" i="4"/>
  <c r="AJ379" i="4"/>
  <c r="AJ377" i="4"/>
  <c r="AJ373" i="4"/>
  <c r="AJ374" i="4"/>
  <c r="AJ370" i="4"/>
  <c r="AJ371" i="4"/>
  <c r="AJ375" i="4"/>
  <c r="AJ376" i="4"/>
  <c r="AJ372" i="4"/>
  <c r="AJ378" i="4"/>
  <c r="AJ381" i="4"/>
  <c r="AJ385" i="4"/>
  <c r="AJ386" i="4"/>
  <c r="AJ382" i="4"/>
  <c r="AJ384" i="4"/>
  <c r="AJ383" i="4"/>
  <c r="AJ396" i="4"/>
  <c r="AJ388" i="4"/>
  <c r="AJ389" i="4"/>
  <c r="AJ390" i="4"/>
  <c r="AJ397" i="4"/>
  <c r="AJ398" i="4"/>
  <c r="AJ399" i="4"/>
  <c r="AJ400" i="4"/>
  <c r="AJ401" i="4"/>
  <c r="AJ391" i="4"/>
  <c r="AJ392" i="4"/>
  <c r="AJ393" i="4"/>
  <c r="AJ402" i="4"/>
  <c r="AJ403" i="4"/>
  <c r="AJ387" i="4"/>
  <c r="AJ404" i="4"/>
  <c r="AJ405" i="4"/>
  <c r="AJ394" i="4"/>
  <c r="AJ395" i="4"/>
  <c r="AJ406" i="4"/>
  <c r="AJ407" i="4"/>
  <c r="AJ408" i="4"/>
  <c r="AJ409" i="4"/>
  <c r="AJ410" i="4"/>
  <c r="AJ411" i="4"/>
  <c r="AG30" i="4"/>
  <c r="AG61" i="4"/>
  <c r="AG62" i="4"/>
  <c r="AG38" i="4"/>
  <c r="AG39" i="4"/>
  <c r="AG40" i="4"/>
  <c r="AG63" i="4"/>
  <c r="AG203" i="4"/>
  <c r="AG274" i="4"/>
  <c r="AG69" i="4"/>
  <c r="AG159" i="4"/>
  <c r="AG80" i="4"/>
  <c r="AG49" i="4"/>
  <c r="AG50" i="4"/>
  <c r="AG51" i="4"/>
  <c r="AG32" i="4"/>
  <c r="AG33" i="4"/>
  <c r="AG36" i="4"/>
  <c r="AG46" i="4"/>
  <c r="AG70" i="4"/>
  <c r="AG75" i="4"/>
  <c r="AG18" i="4"/>
  <c r="AG42" i="4"/>
  <c r="AG64" i="4"/>
  <c r="AG65" i="4"/>
  <c r="AG128" i="4"/>
  <c r="AG5" i="4"/>
  <c r="AG47" i="4"/>
  <c r="AG85" i="4"/>
  <c r="AG86" i="4"/>
  <c r="AG34" i="4"/>
  <c r="AG35" i="4"/>
  <c r="AG37" i="4"/>
  <c r="AG81" i="4"/>
  <c r="AG110" i="4"/>
  <c r="AG66" i="4"/>
  <c r="AG106" i="4"/>
  <c r="AG107" i="4"/>
  <c r="AG41" i="4"/>
  <c r="AG43" i="4"/>
  <c r="AG78" i="4"/>
  <c r="AG3" i="4"/>
  <c r="AG160" i="4"/>
  <c r="AG22" i="4"/>
  <c r="AG90" i="4"/>
  <c r="AG91" i="4"/>
  <c r="AG93" i="4"/>
  <c r="AG94" i="4"/>
  <c r="AG95" i="4"/>
  <c r="AG96" i="4"/>
  <c r="AG88" i="4"/>
  <c r="AG89" i="4"/>
  <c r="AG92" i="4"/>
  <c r="AG102" i="4"/>
  <c r="AG103" i="4"/>
  <c r="AG104" i="4"/>
  <c r="AG29" i="4"/>
  <c r="AG58" i="4"/>
  <c r="AG31" i="4"/>
  <c r="AG13" i="4"/>
  <c r="AG148" i="4"/>
  <c r="AG60" i="4"/>
  <c r="AG15" i="4"/>
  <c r="AG2" i="4"/>
  <c r="AG19" i="4"/>
  <c r="AG114" i="4"/>
  <c r="AG52" i="4"/>
  <c r="AG53" i="4"/>
  <c r="AG54" i="4"/>
  <c r="AG55" i="4"/>
  <c r="AG56" i="4"/>
  <c r="AG57" i="4"/>
  <c r="AG4" i="4"/>
  <c r="AG6" i="4"/>
  <c r="AG115" i="4"/>
  <c r="AG116" i="4"/>
  <c r="AG117" i="4"/>
  <c r="AG142" i="4"/>
  <c r="AG118" i="4"/>
  <c r="AG149" i="4"/>
  <c r="AG161" i="4"/>
  <c r="AG162" i="4"/>
  <c r="AG164" i="4"/>
  <c r="AG59" i="4"/>
  <c r="AG105" i="4"/>
  <c r="AG120" i="4"/>
  <c r="AG14" i="4"/>
  <c r="AG68" i="4"/>
  <c r="AG83" i="4"/>
  <c r="AG87" i="4"/>
  <c r="AG163" i="4"/>
  <c r="AG293" i="4"/>
  <c r="AG100" i="4"/>
  <c r="AG146" i="4"/>
  <c r="AG119" i="4"/>
  <c r="AG147" i="4"/>
  <c r="AG71" i="4"/>
  <c r="AG76" i="4"/>
  <c r="AG79" i="4"/>
  <c r="AG84" i="4"/>
  <c r="AG123" i="4"/>
  <c r="AG124" i="4"/>
  <c r="AG190" i="4"/>
  <c r="AG277" i="4"/>
  <c r="AG215" i="4"/>
  <c r="AG111" i="4"/>
  <c r="AG134" i="4"/>
  <c r="AG140" i="4"/>
  <c r="AG144" i="4"/>
  <c r="AG145" i="4"/>
  <c r="AG99" i="4"/>
  <c r="AG183" i="4"/>
  <c r="AG101" i="4"/>
  <c r="AG275" i="4"/>
  <c r="AG276" i="4"/>
  <c r="AG153" i="4"/>
  <c r="AG122" i="4"/>
  <c r="AG155" i="4"/>
  <c r="AG213" i="4"/>
  <c r="AG290" i="4"/>
  <c r="AG23" i="4"/>
  <c r="AG130" i="4"/>
  <c r="AG132" i="4"/>
  <c r="AG133" i="4"/>
  <c r="AG166" i="4"/>
  <c r="AG137" i="4"/>
  <c r="AG218" i="4"/>
  <c r="AG186" i="4"/>
  <c r="AG125" i="4"/>
  <c r="AG138" i="4"/>
  <c r="AG139" i="4"/>
  <c r="AG27" i="4"/>
  <c r="AG143" i="4"/>
  <c r="AG184" i="4"/>
  <c r="AG185" i="4"/>
  <c r="AG112" i="4"/>
  <c r="AG135" i="4"/>
  <c r="AG176" i="4"/>
  <c r="AG177" i="4"/>
  <c r="AG199" i="4"/>
  <c r="AG98" i="4"/>
  <c r="AG28" i="4"/>
  <c r="AG8" i="4"/>
  <c r="AG9" i="4"/>
  <c r="AG289" i="4"/>
  <c r="AG129" i="4"/>
  <c r="AG204" i="4"/>
  <c r="AG10" i="4"/>
  <c r="AG253" i="4"/>
  <c r="AG255" i="4"/>
  <c r="AG281" i="4"/>
  <c r="AG256" i="4"/>
  <c r="AG24" i="4"/>
  <c r="AG141" i="4"/>
  <c r="AG197" i="4"/>
  <c r="AG178" i="4"/>
  <c r="AG179" i="4"/>
  <c r="AG180" i="4"/>
  <c r="AG202" i="4"/>
  <c r="AG150" i="4"/>
  <c r="AG152" i="4"/>
  <c r="AG154" i="4"/>
  <c r="AG126" i="4"/>
  <c r="AG157" i="4"/>
  <c r="AG72" i="4"/>
  <c r="AG74" i="4"/>
  <c r="AG20" i="4"/>
  <c r="AG158" i="4"/>
  <c r="AG21" i="4"/>
  <c r="AG44" i="4"/>
  <c r="AG45" i="4"/>
  <c r="AG11" i="4"/>
  <c r="AG193" i="4"/>
  <c r="AG167" i="4"/>
  <c r="AG168" i="4"/>
  <c r="AG169" i="4"/>
  <c r="AG170" i="4"/>
  <c r="AG171" i="4"/>
  <c r="AG195" i="4"/>
  <c r="AG207" i="4"/>
  <c r="AG208" i="4"/>
  <c r="AG136" i="4"/>
  <c r="AG172" i="4"/>
  <c r="AG173" i="4"/>
  <c r="AG174" i="4"/>
  <c r="AG175" i="4"/>
  <c r="AG298" i="4"/>
  <c r="AG216" i="4"/>
  <c r="AG217" i="4"/>
  <c r="AG97" i="4"/>
  <c r="AG200" i="4"/>
  <c r="AG201" i="4"/>
  <c r="AG182" i="4"/>
  <c r="AG209" i="4"/>
  <c r="AG211" i="4"/>
  <c r="AG127" i="4"/>
  <c r="AG191" i="4"/>
  <c r="AG224" i="4"/>
  <c r="AG165" i="4"/>
  <c r="AG205" i="4"/>
  <c r="AG206" i="4"/>
  <c r="AG225" i="4"/>
  <c r="AG226" i="4"/>
  <c r="AG227" i="4"/>
  <c r="AG198" i="4"/>
  <c r="AG12" i="4"/>
  <c r="AG295" i="4"/>
  <c r="AG248" i="4"/>
  <c r="AG223" i="4"/>
  <c r="AG214" i="4"/>
  <c r="AG254" i="4"/>
  <c r="AG259" i="4"/>
  <c r="AG260" i="4"/>
  <c r="AG261" i="4"/>
  <c r="AG181" i="4"/>
  <c r="AG231" i="4"/>
  <c r="AG286" i="4"/>
  <c r="AG288" i="4"/>
  <c r="AG233" i="4"/>
  <c r="AG265" i="4"/>
  <c r="AG238" i="4"/>
  <c r="AG266" i="4"/>
  <c r="AG239" i="4"/>
  <c r="AG240" i="4"/>
  <c r="AG241" i="4"/>
  <c r="AG242" i="4"/>
  <c r="AG243" i="4"/>
  <c r="AG267" i="4"/>
  <c r="AG244" i="4"/>
  <c r="AG268" i="4"/>
  <c r="AG245" i="4"/>
  <c r="AG247" i="4"/>
  <c r="AG269" i="4"/>
  <c r="AG270" i="4"/>
  <c r="AG151" i="4"/>
  <c r="AG108" i="4"/>
  <c r="AG156" i="4"/>
  <c r="AG263" i="4"/>
  <c r="AG264" i="4"/>
  <c r="AG234" i="4"/>
  <c r="AG235" i="4"/>
  <c r="AG219" i="4"/>
  <c r="AG236" i="4"/>
  <c r="AG237" i="4"/>
  <c r="AG187" i="4"/>
  <c r="AG121" i="4"/>
  <c r="AG250" i="4"/>
  <c r="AG192" i="4"/>
  <c r="AG222" i="4"/>
  <c r="AG278" i="4"/>
  <c r="AG77" i="4"/>
  <c r="AG82" i="4"/>
  <c r="AG113" i="4"/>
  <c r="AG26" i="4"/>
  <c r="AG131" i="4"/>
  <c r="AG196" i="4"/>
  <c r="AG283" i="4"/>
  <c r="AG284" i="4"/>
  <c r="AG188" i="4"/>
  <c r="AG271" i="4"/>
  <c r="AG272" i="4"/>
  <c r="AG273" i="4"/>
  <c r="AG210" i="4"/>
  <c r="AG220" i="4"/>
  <c r="AG221" i="4"/>
  <c r="AG291" i="4"/>
  <c r="AG17" i="4"/>
  <c r="AG109" i="4"/>
  <c r="AG287" i="4"/>
  <c r="AG246" i="4"/>
  <c r="AG189" i="4"/>
  <c r="AG296" i="4"/>
  <c r="AG249" i="4"/>
  <c r="AG251" i="4"/>
  <c r="AG73" i="4"/>
  <c r="AG212" i="4"/>
  <c r="AG252" i="4"/>
  <c r="AG194" i="4"/>
  <c r="AG279" i="4"/>
  <c r="AG280" i="4"/>
  <c r="AG7" i="4"/>
  <c r="AG25" i="4"/>
  <c r="AG228" i="4"/>
  <c r="AG292" i="4"/>
  <c r="AG229" i="4"/>
  <c r="AG230" i="4"/>
  <c r="AG257" i="4"/>
  <c r="AG258" i="4"/>
  <c r="AG297" i="4"/>
  <c r="AG48" i="4"/>
  <c r="AG294" i="4"/>
  <c r="AG285" i="4"/>
  <c r="AG304" i="4"/>
  <c r="AG305" i="4"/>
  <c r="AG306" i="4"/>
  <c r="AG307" i="4"/>
  <c r="AG300" i="4"/>
  <c r="AG310" i="4"/>
  <c r="AG311" i="4"/>
  <c r="AG312" i="4"/>
  <c r="AG313" i="4"/>
  <c r="AG301" i="4"/>
  <c r="AG314" i="4"/>
  <c r="AG308" i="4"/>
  <c r="AG299" i="4"/>
  <c r="AG302" i="4"/>
  <c r="AG303" i="4"/>
  <c r="AG343" i="4"/>
  <c r="AG344" i="4"/>
  <c r="AG345" i="4"/>
  <c r="AG335" i="4"/>
  <c r="AG336" i="4"/>
  <c r="AG318" i="4"/>
  <c r="AG315" i="4"/>
  <c r="AG319" i="4"/>
  <c r="AG320" i="4"/>
  <c r="AG321" i="4"/>
  <c r="AG347" i="4"/>
  <c r="AG337" i="4"/>
  <c r="AG316" i="4"/>
  <c r="AG338" i="4"/>
  <c r="AG339" i="4"/>
  <c r="AG340" i="4"/>
  <c r="AG342" i="4"/>
  <c r="AG322" i="4"/>
  <c r="AG317" i="4"/>
  <c r="AG323" i="4"/>
  <c r="AG346" i="4"/>
  <c r="AG326" i="4"/>
  <c r="AG327" i="4"/>
  <c r="AG328" i="4"/>
  <c r="AG329" i="4"/>
  <c r="AG341" i="4"/>
  <c r="AG331" i="4"/>
  <c r="AG332" i="4"/>
  <c r="AG333" i="4"/>
  <c r="AG325" i="4"/>
  <c r="AG334" i="4"/>
  <c r="AG324" i="4"/>
  <c r="AG330" i="4"/>
  <c r="AG350" i="4"/>
  <c r="AG356" i="4"/>
  <c r="AG357" i="4"/>
  <c r="AG355" i="4"/>
  <c r="AG361" i="4"/>
  <c r="AG362" i="4"/>
  <c r="AG368" i="4"/>
  <c r="AG363" i="4"/>
  <c r="AG369" i="4"/>
  <c r="AG351" i="4"/>
  <c r="AG348" i="4"/>
  <c r="AG358" i="4"/>
  <c r="AG359" i="4"/>
  <c r="AG364" i="4"/>
  <c r="AG349" i="4"/>
  <c r="AG365" i="4"/>
  <c r="AG366" i="4"/>
  <c r="AG367" i="4"/>
  <c r="AG360" i="4"/>
  <c r="AG352" i="4"/>
  <c r="AG353" i="4"/>
  <c r="AG354" i="4"/>
  <c r="AG379" i="4"/>
  <c r="AG377" i="4"/>
  <c r="AG373" i="4"/>
  <c r="AG374" i="4"/>
  <c r="AG370" i="4"/>
  <c r="AG371" i="4"/>
  <c r="AG375" i="4"/>
  <c r="AG376" i="4"/>
  <c r="AG372" i="4"/>
  <c r="AG378" i="4"/>
  <c r="AG381" i="4"/>
  <c r="AG16" i="4"/>
  <c r="B297" i="5"/>
  <c r="AM297" i="5"/>
  <c r="AQ297" i="5"/>
  <c r="B202" i="5"/>
  <c r="AM202" i="5"/>
  <c r="AQ202" i="5"/>
  <c r="B205" i="5"/>
  <c r="AM205" i="5"/>
  <c r="AQ205" i="5"/>
  <c r="B197" i="5"/>
  <c r="AM197" i="5"/>
  <c r="AQ197" i="5"/>
  <c r="B207" i="5"/>
  <c r="AM207" i="5"/>
  <c r="AQ207" i="5"/>
  <c r="B23" i="5"/>
  <c r="AM23" i="5"/>
  <c r="AQ23" i="5"/>
  <c r="B69" i="5"/>
  <c r="AM69" i="5"/>
  <c r="AQ69" i="5"/>
  <c r="AM47" i="2"/>
  <c r="AM46" i="2"/>
  <c r="AM51" i="2"/>
  <c r="AM50" i="2"/>
  <c r="AM52" i="2"/>
  <c r="AP72" i="2"/>
  <c r="AP71" i="2"/>
  <c r="AP73" i="2"/>
  <c r="AP78" i="2"/>
  <c r="AP75" i="2"/>
  <c r="AP74" i="2"/>
  <c r="AP76" i="2"/>
  <c r="AP77" i="2"/>
  <c r="AP79" i="2"/>
  <c r="AP81" i="2"/>
  <c r="AP80" i="2"/>
  <c r="AP82" i="2"/>
  <c r="AP83" i="2"/>
  <c r="AQ72" i="2"/>
  <c r="AQ71" i="2"/>
  <c r="AQ73" i="2"/>
  <c r="AQ78" i="2"/>
  <c r="AQ75" i="2"/>
  <c r="AQ74" i="2"/>
  <c r="AQ76" i="2"/>
  <c r="AQ77" i="2"/>
  <c r="AQ79" i="2"/>
  <c r="AQ81" i="2"/>
  <c r="AQ80" i="2"/>
  <c r="AQ82" i="2"/>
  <c r="AQ83" i="2"/>
  <c r="AR72" i="2"/>
  <c r="AR71" i="2"/>
  <c r="AR73" i="2"/>
  <c r="AR78" i="2"/>
  <c r="AR75" i="2"/>
  <c r="AR74" i="2"/>
  <c r="AR76" i="2"/>
  <c r="AR77" i="2"/>
  <c r="AR79" i="2"/>
  <c r="AR81" i="2"/>
  <c r="AR80" i="2"/>
  <c r="AR82" i="2"/>
  <c r="AR83" i="2"/>
  <c r="AS72" i="2"/>
  <c r="AS71" i="2"/>
  <c r="AS73" i="2"/>
  <c r="AS78" i="2"/>
  <c r="AS75" i="2"/>
  <c r="AS74" i="2"/>
  <c r="AS76" i="2"/>
  <c r="AS77" i="2"/>
  <c r="AS79" i="2"/>
  <c r="AS81" i="2"/>
  <c r="AS80" i="2"/>
  <c r="AS82" i="2"/>
  <c r="AS83" i="2"/>
  <c r="AT72" i="2"/>
  <c r="AT71" i="2"/>
  <c r="AT73" i="2"/>
  <c r="AT78" i="2"/>
  <c r="AT75" i="2"/>
  <c r="AT74" i="2"/>
  <c r="AT76" i="2"/>
  <c r="AT77" i="2"/>
  <c r="AT79" i="2"/>
  <c r="AT81" i="2"/>
  <c r="AT80" i="2"/>
  <c r="AT82" i="2"/>
  <c r="AT83" i="2"/>
  <c r="AU72" i="2"/>
  <c r="AU71" i="2"/>
  <c r="AU73" i="2"/>
  <c r="AU78" i="2"/>
  <c r="AU75" i="2"/>
  <c r="AU74" i="2"/>
  <c r="AU76" i="2"/>
  <c r="AU77" i="2"/>
  <c r="AU79" i="2"/>
  <c r="AU81" i="2"/>
  <c r="AU80" i="2"/>
  <c r="AU82" i="2"/>
  <c r="AU83" i="2"/>
  <c r="AV72" i="2"/>
  <c r="AV71" i="2"/>
  <c r="AV73" i="2"/>
  <c r="AV78" i="2"/>
  <c r="AV75" i="2"/>
  <c r="AV74" i="2"/>
  <c r="AV76" i="2"/>
  <c r="AV77" i="2"/>
  <c r="AV79" i="2"/>
  <c r="AV81" i="2"/>
  <c r="AV80" i="2"/>
  <c r="AV82" i="2"/>
  <c r="AV83" i="2"/>
  <c r="AW72" i="2"/>
  <c r="AW71" i="2"/>
  <c r="AW73" i="2"/>
  <c r="AW78" i="2"/>
  <c r="AW75" i="2"/>
  <c r="AW74" i="2"/>
  <c r="AW76" i="2"/>
  <c r="AW77" i="2"/>
  <c r="AW79" i="2"/>
  <c r="AW81" i="2"/>
  <c r="AW80" i="2"/>
  <c r="AW82" i="2"/>
  <c r="AW83" i="2"/>
  <c r="AX72" i="2"/>
  <c r="AX71" i="2"/>
  <c r="AX73" i="2"/>
  <c r="AX78" i="2"/>
  <c r="AX75" i="2"/>
  <c r="AX74" i="2"/>
  <c r="AX76" i="2"/>
  <c r="AX77" i="2"/>
  <c r="AX79" i="2"/>
  <c r="AX81" i="2"/>
  <c r="AX80" i="2"/>
  <c r="AX82" i="2"/>
  <c r="AX83" i="2"/>
  <c r="AY72" i="2"/>
  <c r="AY71" i="2"/>
  <c r="AY73" i="2"/>
  <c r="AY78" i="2"/>
  <c r="AY75" i="2"/>
  <c r="AY74" i="2"/>
  <c r="AY76" i="2"/>
  <c r="AY77" i="2"/>
  <c r="AY79" i="2"/>
  <c r="AY81" i="2"/>
  <c r="AY80" i="2"/>
  <c r="AY82" i="2"/>
  <c r="AY83" i="2"/>
  <c r="AZ72" i="2"/>
  <c r="AZ71" i="2"/>
  <c r="AZ73" i="2"/>
  <c r="AZ78" i="2"/>
  <c r="AZ75" i="2"/>
  <c r="AZ74" i="2"/>
  <c r="AZ76" i="2"/>
  <c r="AZ77" i="2"/>
  <c r="AZ79" i="2"/>
  <c r="AZ81" i="2"/>
  <c r="AZ80" i="2"/>
  <c r="AZ82" i="2"/>
  <c r="AZ83" i="2"/>
  <c r="BA72" i="2"/>
  <c r="BA71" i="2"/>
  <c r="BA73" i="2"/>
  <c r="BA78" i="2"/>
  <c r="BA75" i="2"/>
  <c r="BA74" i="2"/>
  <c r="BA76" i="2"/>
  <c r="BA77" i="2"/>
  <c r="BA79" i="2"/>
  <c r="BA81" i="2"/>
  <c r="BA80" i="2"/>
  <c r="BA82" i="2"/>
  <c r="BA83" i="2"/>
  <c r="BB72" i="2"/>
  <c r="BB71" i="2"/>
  <c r="BB73" i="2"/>
  <c r="BB78" i="2"/>
  <c r="BB75" i="2"/>
  <c r="BB74" i="2"/>
  <c r="BB76" i="2"/>
  <c r="BB77" i="2"/>
  <c r="BB79" i="2"/>
  <c r="BB81" i="2"/>
  <c r="BB80" i="2"/>
  <c r="BB82" i="2"/>
  <c r="BB83" i="2"/>
  <c r="BC72" i="2"/>
  <c r="BC71" i="2"/>
  <c r="BC73" i="2"/>
  <c r="BC78" i="2"/>
  <c r="BC75" i="2"/>
  <c r="BC74" i="2"/>
  <c r="BC76" i="2"/>
  <c r="BC77" i="2"/>
  <c r="BC79" i="2"/>
  <c r="BC81" i="2"/>
  <c r="BC80" i="2"/>
  <c r="BC82" i="2"/>
  <c r="BC83" i="2"/>
  <c r="BD72" i="2"/>
  <c r="BD71" i="2"/>
  <c r="BD73" i="2"/>
  <c r="BD78" i="2"/>
  <c r="BD75" i="2"/>
  <c r="BD74" i="2"/>
  <c r="BD76" i="2"/>
  <c r="BD77" i="2"/>
  <c r="BD79" i="2"/>
  <c r="BD81" i="2"/>
  <c r="BD80" i="2"/>
  <c r="BD82" i="2"/>
  <c r="BD83" i="2"/>
  <c r="BE78" i="2"/>
  <c r="BE75" i="2"/>
  <c r="BE74" i="2"/>
  <c r="BE76" i="2"/>
  <c r="BE77" i="2"/>
  <c r="BE79" i="2"/>
  <c r="BE81" i="2"/>
  <c r="BE80" i="2"/>
  <c r="BE82" i="2"/>
  <c r="BF78" i="2"/>
  <c r="BF75" i="2"/>
  <c r="BF74" i="2"/>
  <c r="BF76" i="2"/>
  <c r="BF77" i="2"/>
  <c r="BF79" i="2"/>
  <c r="BF81" i="2"/>
  <c r="BF80" i="2"/>
  <c r="BF82" i="2"/>
  <c r="U30" i="2"/>
  <c r="U41" i="2"/>
  <c r="BG78" i="2"/>
  <c r="U37" i="2"/>
  <c r="U5" i="2"/>
  <c r="U22" i="2"/>
  <c r="U25" i="2"/>
  <c r="U38" i="2"/>
  <c r="U43" i="2"/>
  <c r="BG75" i="2"/>
  <c r="BG74" i="2"/>
  <c r="BG76" i="2"/>
  <c r="BG77" i="2"/>
  <c r="BG79" i="2"/>
  <c r="BG81" i="2"/>
  <c r="BG80" i="2"/>
  <c r="BG82" i="2"/>
  <c r="V41" i="2"/>
  <c r="BH78" i="2"/>
  <c r="V37" i="2"/>
  <c r="V22" i="2"/>
  <c r="V25" i="2"/>
  <c r="V38" i="2"/>
  <c r="V43" i="2"/>
  <c r="BH75" i="2"/>
  <c r="BH74" i="2"/>
  <c r="BH76" i="2"/>
  <c r="BH77" i="2"/>
  <c r="BH79" i="2"/>
  <c r="BH81" i="2"/>
  <c r="BH80" i="2"/>
  <c r="BH82" i="2"/>
  <c r="W41" i="2"/>
  <c r="BI78" i="2"/>
  <c r="W37" i="2"/>
  <c r="W5" i="2"/>
  <c r="W38" i="2"/>
  <c r="BI75" i="2"/>
  <c r="BI74" i="2"/>
  <c r="BI76" i="2"/>
  <c r="BI77" i="2"/>
  <c r="BI79" i="2"/>
  <c r="BI81" i="2"/>
  <c r="BI80" i="2"/>
  <c r="BI82" i="2"/>
  <c r="BJ78" i="2"/>
  <c r="BJ75" i="2"/>
  <c r="BJ74" i="2"/>
  <c r="BJ76" i="2"/>
  <c r="BJ77" i="2"/>
  <c r="BJ79" i="2"/>
  <c r="BJ81" i="2"/>
  <c r="BJ80" i="2"/>
  <c r="BJ82" i="2"/>
  <c r="BK78" i="2"/>
  <c r="BK75" i="2"/>
  <c r="BK74" i="2"/>
  <c r="BK76" i="2"/>
  <c r="BK77" i="2"/>
  <c r="BK79" i="2"/>
  <c r="BK81" i="2"/>
  <c r="BK80" i="2"/>
  <c r="BK82" i="2"/>
  <c r="BL78" i="2"/>
  <c r="BL75" i="2"/>
  <c r="BL74" i="2"/>
  <c r="BL76" i="2"/>
  <c r="BL77" i="2"/>
  <c r="BL79" i="2"/>
  <c r="BL81" i="2"/>
  <c r="BL80" i="2"/>
  <c r="BL82" i="2"/>
  <c r="AO72" i="2"/>
  <c r="AO71" i="2"/>
  <c r="AO73" i="2"/>
  <c r="AO78" i="2"/>
  <c r="AO75" i="2"/>
  <c r="AO74" i="2"/>
  <c r="AO76" i="2"/>
  <c r="AO77" i="2"/>
  <c r="AO79" i="2"/>
  <c r="AO81" i="2"/>
  <c r="AO80" i="2"/>
  <c r="AO82" i="2"/>
  <c r="AO83" i="2"/>
  <c r="B58" i="5"/>
  <c r="AM58" i="5"/>
  <c r="AQ58" i="5"/>
  <c r="B269" i="5"/>
  <c r="B293" i="5"/>
  <c r="B280" i="5"/>
  <c r="B2" i="5"/>
  <c r="B4" i="5"/>
  <c r="B29" i="5"/>
  <c r="B30" i="5"/>
  <c r="B32" i="5"/>
  <c r="B33" i="5"/>
  <c r="B31" i="5"/>
  <c r="B230" i="5"/>
  <c r="B12" i="5"/>
  <c r="B136" i="5"/>
  <c r="B66" i="5"/>
  <c r="B15" i="5"/>
  <c r="B27" i="5"/>
  <c r="B97" i="5"/>
  <c r="B10" i="5"/>
  <c r="B156" i="5"/>
  <c r="B150" i="5"/>
  <c r="B11" i="5"/>
  <c r="B67" i="5"/>
  <c r="B13" i="5"/>
  <c r="B229" i="5"/>
  <c r="B281" i="5"/>
  <c r="B37" i="5"/>
  <c r="B22" i="5"/>
  <c r="B24" i="5"/>
  <c r="B14" i="5"/>
  <c r="B287" i="5"/>
  <c r="B232" i="5"/>
  <c r="B289" i="5"/>
  <c r="B290" i="5"/>
  <c r="B285" i="5"/>
  <c r="B9" i="5"/>
  <c r="B273" i="5"/>
  <c r="B231" i="5"/>
  <c r="B6" i="5"/>
  <c r="B5" i="5"/>
  <c r="B35" i="5"/>
  <c r="B288" i="5"/>
  <c r="B36" i="5"/>
  <c r="B26" i="5"/>
  <c r="B25" i="5"/>
  <c r="B7" i="5"/>
  <c r="B295" i="5"/>
  <c r="B8" i="5"/>
  <c r="B294" i="5"/>
  <c r="B3" i="5"/>
  <c r="B279" i="5"/>
  <c r="B28" i="5"/>
  <c r="B282" i="5"/>
  <c r="B268" i="5"/>
  <c r="B286" i="5"/>
  <c r="B18" i="5"/>
  <c r="B17" i="5"/>
  <c r="B16" i="5"/>
  <c r="B183" i="5"/>
  <c r="B117" i="5"/>
  <c r="B158" i="5"/>
  <c r="B171" i="5"/>
  <c r="B228" i="5"/>
  <c r="B226" i="5"/>
  <c r="B153" i="5"/>
  <c r="B132" i="5"/>
  <c r="B184" i="5"/>
  <c r="B186" i="5"/>
  <c r="B187" i="5"/>
  <c r="B77" i="5"/>
  <c r="B96" i="5"/>
  <c r="B180" i="5"/>
  <c r="B140" i="5"/>
  <c r="B185" i="5"/>
  <c r="B222" i="5"/>
  <c r="B173" i="5"/>
  <c r="B240" i="5"/>
  <c r="B79" i="5"/>
  <c r="B227" i="5"/>
  <c r="B224" i="5"/>
  <c r="B223" i="5"/>
  <c r="B189" i="5"/>
  <c r="B88" i="5"/>
  <c r="B89" i="5"/>
  <c r="B98" i="5"/>
  <c r="B139" i="5"/>
  <c r="B155" i="5"/>
  <c r="B114" i="5"/>
  <c r="B182" i="5"/>
  <c r="B216" i="5"/>
  <c r="B195" i="5"/>
  <c r="B118" i="5"/>
  <c r="B141" i="5"/>
  <c r="B127" i="5"/>
  <c r="B194" i="5"/>
  <c r="B174" i="5"/>
  <c r="B170" i="5"/>
  <c r="B109" i="5"/>
  <c r="B249" i="5"/>
  <c r="B164" i="5"/>
  <c r="B165" i="5"/>
  <c r="B166" i="5"/>
  <c r="B270" i="5"/>
  <c r="B233" i="5"/>
  <c r="B91" i="5"/>
  <c r="B137" i="5"/>
  <c r="B90" i="5"/>
  <c r="B51" i="5"/>
  <c r="B52" i="5"/>
  <c r="B116" i="5"/>
  <c r="B102" i="5"/>
  <c r="B50" i="5"/>
  <c r="B103" i="5"/>
  <c r="B53" i="5"/>
  <c r="B120" i="5"/>
  <c r="B138" i="5"/>
  <c r="B123" i="5"/>
  <c r="B104" i="5"/>
  <c r="B146" i="5"/>
  <c r="B169" i="5"/>
  <c r="B142" i="5"/>
  <c r="B122" i="5"/>
  <c r="B145" i="5"/>
  <c r="B162" i="5"/>
  <c r="B154" i="5"/>
  <c r="B46" i="5"/>
  <c r="B199" i="5"/>
  <c r="B217" i="5"/>
  <c r="B168" i="5"/>
  <c r="B148" i="5"/>
  <c r="B41" i="5"/>
  <c r="B112" i="5"/>
  <c r="B239" i="5"/>
  <c r="B124" i="5"/>
  <c r="B56" i="5"/>
  <c r="B241" i="5"/>
  <c r="B87" i="5"/>
  <c r="B213" i="5"/>
  <c r="B181" i="5"/>
  <c r="B215" i="5"/>
  <c r="B55" i="5"/>
  <c r="B106" i="5"/>
  <c r="B107" i="5"/>
  <c r="B108" i="5"/>
  <c r="B111" i="5"/>
  <c r="B248" i="5"/>
  <c r="B48" i="5"/>
  <c r="B62" i="5"/>
  <c r="B121" i="5"/>
  <c r="B161" i="5"/>
  <c r="B190" i="5"/>
  <c r="B159" i="5"/>
  <c r="B160" i="5"/>
  <c r="B72" i="5"/>
  <c r="B85" i="5"/>
  <c r="B192" i="5"/>
  <c r="B73" i="5"/>
  <c r="B251" i="5"/>
  <c r="B92" i="5"/>
  <c r="B214" i="5"/>
  <c r="B60" i="5"/>
  <c r="B243" i="5"/>
  <c r="B246" i="5"/>
  <c r="B115" i="5"/>
  <c r="B119" i="5"/>
  <c r="B126" i="5"/>
  <c r="B245" i="5"/>
  <c r="B247" i="5"/>
  <c r="B59" i="5"/>
  <c r="B221" i="5"/>
  <c r="B65" i="5"/>
  <c r="B70" i="5"/>
  <c r="B130" i="5"/>
  <c r="B81" i="5"/>
  <c r="B83" i="5"/>
  <c r="B86" i="5"/>
  <c r="B179" i="5"/>
  <c r="B209" i="5"/>
  <c r="B211" i="5"/>
  <c r="B244" i="5"/>
  <c r="B253" i="5"/>
  <c r="B198" i="5"/>
  <c r="B144" i="5"/>
  <c r="B110" i="5"/>
  <c r="B212" i="5"/>
  <c r="B152" i="5"/>
  <c r="B38" i="5"/>
  <c r="B78" i="5"/>
  <c r="B94" i="5"/>
  <c r="B71" i="5"/>
  <c r="B74" i="5"/>
  <c r="B128" i="5"/>
  <c r="B84" i="5"/>
  <c r="B105" i="5"/>
  <c r="B167" i="5"/>
  <c r="B135" i="5"/>
  <c r="B238" i="5"/>
  <c r="B250" i="5"/>
  <c r="B82" i="5"/>
  <c r="B157" i="5"/>
  <c r="B191" i="5"/>
  <c r="B47" i="5"/>
  <c r="B177" i="5"/>
  <c r="B235" i="5"/>
  <c r="B163" i="5"/>
  <c r="B242" i="5"/>
  <c r="B236" i="5"/>
  <c r="B54" i="5"/>
  <c r="B63" i="5"/>
  <c r="B237" i="5"/>
  <c r="B201" i="5"/>
  <c r="B39" i="5"/>
  <c r="B95" i="5"/>
  <c r="B206" i="5"/>
  <c r="B133" i="5"/>
  <c r="B93" i="5"/>
  <c r="B210" i="5"/>
  <c r="B172" i="5"/>
  <c r="B125" i="5"/>
  <c r="B44" i="5"/>
  <c r="B225" i="5"/>
  <c r="B75" i="5"/>
  <c r="B234" i="5"/>
  <c r="B68" i="5"/>
  <c r="B203" i="5"/>
  <c r="B131" i="5"/>
  <c r="B57" i="5"/>
  <c r="B196" i="5"/>
  <c r="B204" i="5"/>
  <c r="B43" i="5"/>
  <c r="B220" i="5"/>
  <c r="B49" i="5"/>
  <c r="B99" i="5"/>
  <c r="B208" i="5"/>
  <c r="B219" i="5"/>
  <c r="B64" i="5"/>
  <c r="B100" i="5"/>
  <c r="B218" i="5"/>
  <c r="B178" i="5"/>
  <c r="B61" i="5"/>
  <c r="B129" i="5"/>
  <c r="B175" i="5"/>
  <c r="B188" i="5"/>
  <c r="B176" i="5"/>
  <c r="B149" i="5"/>
  <c r="B151" i="5"/>
  <c r="B256" i="5"/>
  <c r="B254" i="5"/>
  <c r="B42" i="5"/>
  <c r="B257" i="5"/>
  <c r="B134" i="5"/>
  <c r="B252" i="5"/>
  <c r="B262" i="5"/>
  <c r="B255" i="5"/>
  <c r="B40" i="5"/>
  <c r="B80" i="5"/>
  <c r="B147" i="5"/>
  <c r="B193" i="5"/>
  <c r="B76" i="5"/>
  <c r="B45" i="5"/>
  <c r="B113" i="5"/>
  <c r="B101" i="5"/>
  <c r="B143" i="5"/>
  <c r="B261" i="5"/>
  <c r="B258" i="5"/>
  <c r="B260" i="5"/>
  <c r="B259" i="5"/>
  <c r="B263" i="5"/>
  <c r="B291" i="5"/>
  <c r="B275" i="5"/>
  <c r="B296" i="5"/>
  <c r="B264" i="5"/>
  <c r="B266" i="5"/>
  <c r="B265" i="5"/>
  <c r="B277" i="5"/>
  <c r="B276" i="5"/>
  <c r="B272" i="5"/>
  <c r="B274" i="5"/>
  <c r="B284" i="5"/>
  <c r="B283" i="5"/>
  <c r="B292" i="5"/>
  <c r="B271" i="5"/>
  <c r="B267" i="5"/>
  <c r="B278" i="5"/>
  <c r="B299" i="5"/>
  <c r="B300" i="5"/>
  <c r="B301" i="5"/>
  <c r="B302" i="5"/>
  <c r="B304" i="5"/>
  <c r="B305" i="5"/>
  <c r="B306" i="5"/>
  <c r="B307" i="5"/>
  <c r="B308" i="5"/>
  <c r="B309" i="5"/>
  <c r="B310" i="5"/>
  <c r="B311" i="5"/>
  <c r="B312" i="5"/>
  <c r="B313" i="5"/>
  <c r="B314" i="5"/>
  <c r="B331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2" i="5"/>
  <c r="B333" i="5"/>
  <c r="B334" i="5"/>
  <c r="B335" i="5"/>
  <c r="B337" i="5"/>
  <c r="B338" i="5"/>
  <c r="B339" i="5"/>
  <c r="B340" i="5"/>
  <c r="B341" i="5"/>
  <c r="B342" i="5"/>
  <c r="B343" i="5"/>
  <c r="B344" i="5"/>
  <c r="B345" i="5"/>
  <c r="B346" i="5"/>
  <c r="B33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4" i="5"/>
  <c r="B370" i="5"/>
  <c r="B371" i="5"/>
  <c r="B372" i="5"/>
  <c r="B373" i="5"/>
  <c r="B375" i="5"/>
  <c r="B376" i="5"/>
  <c r="B377" i="5"/>
  <c r="B378" i="5"/>
  <c r="B379" i="5"/>
  <c r="B380" i="5"/>
  <c r="B382" i="5"/>
  <c r="B383" i="5"/>
  <c r="B386" i="5"/>
  <c r="B384" i="5"/>
  <c r="B385" i="5"/>
  <c r="B390" i="5"/>
  <c r="B405" i="5"/>
  <c r="B408" i="5"/>
  <c r="B387" i="5"/>
  <c r="B391" i="5"/>
  <c r="B392" i="5"/>
  <c r="B393" i="5"/>
  <c r="B394" i="5"/>
  <c r="B400" i="5"/>
  <c r="B401" i="5"/>
  <c r="B402" i="5"/>
  <c r="B403" i="5"/>
  <c r="B407" i="5"/>
  <c r="B388" i="5"/>
  <c r="B389" i="5"/>
  <c r="B398" i="5"/>
  <c r="B399" i="5"/>
  <c r="B406" i="5"/>
  <c r="B409" i="5"/>
  <c r="B410" i="5"/>
  <c r="B411" i="5"/>
  <c r="B395" i="5"/>
  <c r="B404" i="5"/>
  <c r="B397" i="5"/>
  <c r="B396" i="5"/>
  <c r="B34" i="5"/>
  <c r="AA103" i="4"/>
  <c r="AA104" i="4"/>
  <c r="AA30" i="4"/>
  <c r="AA29" i="4"/>
  <c r="AA58" i="4"/>
  <c r="AA146" i="4"/>
  <c r="AA31" i="4"/>
  <c r="AA119" i="4"/>
  <c r="AA147" i="4"/>
  <c r="AA13" i="4"/>
  <c r="AA148" i="4"/>
  <c r="AA59" i="4"/>
  <c r="AA105" i="4"/>
  <c r="AA120" i="4"/>
  <c r="AA14" i="4"/>
  <c r="AA288" i="4"/>
  <c r="AA233" i="4"/>
  <c r="AA264" i="4"/>
  <c r="AA265" i="4"/>
  <c r="AA32" i="4"/>
  <c r="AA33" i="4"/>
  <c r="AA34" i="4"/>
  <c r="AA35" i="4"/>
  <c r="AA36" i="4"/>
  <c r="AA37" i="4"/>
  <c r="AA149" i="4"/>
  <c r="AA60" i="4"/>
  <c r="AA61" i="4"/>
  <c r="AA62" i="4"/>
  <c r="AA15" i="4"/>
  <c r="AA106" i="4"/>
  <c r="AA107" i="4"/>
  <c r="AA38" i="4"/>
  <c r="AA39" i="4"/>
  <c r="AA40" i="4"/>
  <c r="AA63" i="4"/>
  <c r="AA234" i="4"/>
  <c r="AA235" i="4"/>
  <c r="AA219" i="4"/>
  <c r="AA236" i="4"/>
  <c r="AA237" i="4"/>
  <c r="AA202" i="4"/>
  <c r="AA186" i="4"/>
  <c r="AA187" i="4"/>
  <c r="AA188" i="4"/>
  <c r="AA150" i="4"/>
  <c r="AA238" i="4"/>
  <c r="AA266" i="4"/>
  <c r="AA239" i="4"/>
  <c r="AA240" i="4"/>
  <c r="AA241" i="4"/>
  <c r="AA242" i="4"/>
  <c r="AA243" i="4"/>
  <c r="AA267" i="4"/>
  <c r="AA244" i="4"/>
  <c r="AA268" i="4"/>
  <c r="AA245" i="4"/>
  <c r="AA246" i="4"/>
  <c r="AA189" i="4"/>
  <c r="AA121" i="4"/>
  <c r="AA64" i="4"/>
  <c r="AA65" i="4"/>
  <c r="AA247" i="4"/>
  <c r="AA269" i="4"/>
  <c r="AA270" i="4"/>
  <c r="AA271" i="4"/>
  <c r="AA272" i="4"/>
  <c r="AA273" i="4"/>
  <c r="AA151" i="4"/>
  <c r="AA203" i="4"/>
  <c r="AA41" i="4"/>
  <c r="AA66" i="4"/>
  <c r="AA274" i="4"/>
  <c r="AA275" i="4"/>
  <c r="AA276" i="4"/>
  <c r="AA152" i="4"/>
  <c r="AA16" i="4"/>
  <c r="AA8" i="4"/>
  <c r="AA9" i="4"/>
  <c r="AA153" i="4"/>
  <c r="AA210" i="4"/>
  <c r="AA220" i="4"/>
  <c r="AA221" i="4"/>
  <c r="AA68" i="4"/>
  <c r="AA122" i="4"/>
  <c r="AA123" i="4"/>
  <c r="AA124" i="4"/>
  <c r="AA154" i="4"/>
  <c r="AA211" i="4"/>
  <c r="AA125" i="4"/>
  <c r="AA108" i="4"/>
  <c r="AA69" i="4"/>
  <c r="AA296" i="4"/>
  <c r="AA126" i="4"/>
  <c r="AA155" i="4"/>
  <c r="AA190" i="4"/>
  <c r="AA156" i="4"/>
  <c r="AA277" i="4"/>
  <c r="AA2" i="4"/>
  <c r="AA17" i="4"/>
  <c r="AA157" i="4"/>
  <c r="AA127" i="4"/>
  <c r="AA191" i="4"/>
  <c r="AA18" i="4"/>
  <c r="AA70" i="4"/>
  <c r="AA19" i="4"/>
  <c r="AA42" i="4"/>
  <c r="AA248" i="4"/>
  <c r="AA71" i="4"/>
  <c r="AA249" i="4"/>
  <c r="AA72" i="4"/>
  <c r="AA250" i="4"/>
  <c r="AA289" i="4"/>
  <c r="AA128" i="4"/>
  <c r="AA295" i="4"/>
  <c r="AA192" i="4"/>
  <c r="AA4" i="4"/>
  <c r="AA222" i="4"/>
  <c r="AA251" i="4"/>
  <c r="AA73" i="4"/>
  <c r="AA74" i="4"/>
  <c r="AA129" i="4"/>
  <c r="AA20" i="4"/>
  <c r="AA75" i="4"/>
  <c r="AA278" i="4"/>
  <c r="AA43" i="4"/>
  <c r="AA76" i="4"/>
  <c r="AA5" i="4"/>
  <c r="AA212" i="4"/>
  <c r="AA213" i="4"/>
  <c r="AA77" i="4"/>
  <c r="AA223" i="4"/>
  <c r="AA204" i="4"/>
  <c r="AA158" i="4"/>
  <c r="AA224" i="4"/>
  <c r="AA252" i="4"/>
  <c r="AA10" i="4"/>
  <c r="AA159" i="4"/>
  <c r="AA21" i="4"/>
  <c r="AA253" i="4"/>
  <c r="AA6" i="4"/>
  <c r="AA78" i="4"/>
  <c r="AA3" i="4"/>
  <c r="AA160" i="4"/>
  <c r="AA109" i="4"/>
  <c r="AA44" i="4"/>
  <c r="AA214" i="4"/>
  <c r="AA45" i="4"/>
  <c r="AA11" i="4"/>
  <c r="AA79" i="4"/>
  <c r="AA254" i="4"/>
  <c r="AA22" i="4"/>
  <c r="AA193" i="4"/>
  <c r="AA194" i="4"/>
  <c r="AA279" i="4"/>
  <c r="AA280" i="4"/>
  <c r="AA46" i="4"/>
  <c r="AA80" i="4"/>
  <c r="AA81" i="4"/>
  <c r="AA110" i="4"/>
  <c r="AA215" i="4"/>
  <c r="AA82" i="4"/>
  <c r="AA83" i="4"/>
  <c r="AA84" i="4"/>
  <c r="AA47" i="4"/>
  <c r="AA85" i="4"/>
  <c r="AA86" i="4"/>
  <c r="AA255" i="4"/>
  <c r="AA281" i="4"/>
  <c r="AA256" i="4"/>
  <c r="AA87" i="4"/>
  <c r="AA290" i="4"/>
  <c r="AA291" i="4"/>
  <c r="AA23" i="4"/>
  <c r="AA7" i="4"/>
  <c r="AA161" i="4"/>
  <c r="AA162" i="4"/>
  <c r="AA163" i="4"/>
  <c r="AA111" i="4"/>
  <c r="AA112" i="4"/>
  <c r="AA113" i="4"/>
  <c r="AA24" i="4"/>
  <c r="AA25" i="4"/>
  <c r="AA26" i="4"/>
  <c r="AA130" i="4"/>
  <c r="AA131" i="4"/>
  <c r="AA132" i="4"/>
  <c r="AA133" i="4"/>
  <c r="AA164" i="4"/>
  <c r="AA165" i="4"/>
  <c r="AA166" i="4"/>
  <c r="AA167" i="4"/>
  <c r="AA168" i="4"/>
  <c r="AA169" i="4"/>
  <c r="AA170" i="4"/>
  <c r="AA171" i="4"/>
  <c r="AA195" i="4"/>
  <c r="AA205" i="4"/>
  <c r="AA206" i="4"/>
  <c r="AA134" i="4"/>
  <c r="AA135" i="4"/>
  <c r="AA207" i="4"/>
  <c r="AA208" i="4"/>
  <c r="AA136" i="4"/>
  <c r="AA172" i="4"/>
  <c r="AA173" i="4"/>
  <c r="AA174" i="4"/>
  <c r="AA175" i="4"/>
  <c r="AA298" i="4"/>
  <c r="AA225" i="4"/>
  <c r="AA226" i="4"/>
  <c r="AA227" i="4"/>
  <c r="AA196" i="4"/>
  <c r="AA88" i="4"/>
  <c r="AA89" i="4"/>
  <c r="AA90" i="4"/>
  <c r="AA176" i="4"/>
  <c r="AA177" i="4"/>
  <c r="AA137" i="4"/>
  <c r="AA138" i="4"/>
  <c r="AA139" i="4"/>
  <c r="AA140" i="4"/>
  <c r="AA91" i="4"/>
  <c r="AA92" i="4"/>
  <c r="AA93" i="4"/>
  <c r="AA94" i="4"/>
  <c r="AA95" i="4"/>
  <c r="AA96" i="4"/>
  <c r="AA216" i="4"/>
  <c r="AA217" i="4"/>
  <c r="AA218" i="4"/>
  <c r="AA228" i="4"/>
  <c r="AA97" i="4"/>
  <c r="AA292" i="4"/>
  <c r="AA229" i="4"/>
  <c r="AA230" i="4"/>
  <c r="AA257" i="4"/>
  <c r="AA141" i="4"/>
  <c r="AA261" i="4"/>
  <c r="AA197" i="4"/>
  <c r="AA178" i="4"/>
  <c r="AA179" i="4"/>
  <c r="AA180" i="4"/>
  <c r="AA198" i="4"/>
  <c r="AA199" i="4"/>
  <c r="AA98" i="4"/>
  <c r="AA12" i="4"/>
  <c r="AA258" i="4"/>
  <c r="AA293" i="4"/>
  <c r="AA181" i="4"/>
  <c r="AA114" i="4"/>
  <c r="AA48" i="4"/>
  <c r="AA200" i="4"/>
  <c r="AA201" i="4"/>
  <c r="AA182" i="4"/>
  <c r="AA49" i="4"/>
  <c r="AA231" i="4"/>
  <c r="AA209" i="4"/>
  <c r="AA283" i="4"/>
  <c r="AA284" i="4"/>
  <c r="AA297" i="4"/>
  <c r="AA50" i="4"/>
  <c r="AA115" i="4"/>
  <c r="AA116" i="4"/>
  <c r="AA117" i="4"/>
  <c r="AA142" i="4"/>
  <c r="AA118" i="4"/>
  <c r="AA27" i="4"/>
  <c r="AA143" i="4"/>
  <c r="AA144" i="4"/>
  <c r="AA28" i="4"/>
  <c r="AA259" i="4"/>
  <c r="AA260" i="4"/>
  <c r="AA145" i="4"/>
  <c r="AA285" i="4"/>
  <c r="AA286" i="4"/>
  <c r="AA51" i="4"/>
  <c r="AA294" i="4"/>
  <c r="AA52" i="4"/>
  <c r="AA53" i="4"/>
  <c r="AA54" i="4"/>
  <c r="AA55" i="4"/>
  <c r="AA56" i="4"/>
  <c r="AA57" i="4"/>
  <c r="AA99" i="4"/>
  <c r="AA100" i="4"/>
  <c r="AA183" i="4"/>
  <c r="AA287" i="4"/>
  <c r="AA184" i="4"/>
  <c r="AA185" i="4"/>
  <c r="AA101" i="4"/>
  <c r="AA263" i="4"/>
  <c r="AA304" i="4"/>
  <c r="AA305" i="4"/>
  <c r="AA306" i="4"/>
  <c r="AA307" i="4"/>
  <c r="AA300" i="4"/>
  <c r="AA310" i="4"/>
  <c r="AA311" i="4"/>
  <c r="AA312" i="4"/>
  <c r="AA313" i="4"/>
  <c r="AA301" i="4"/>
  <c r="AA314" i="4"/>
  <c r="AA308" i="4"/>
  <c r="AA299" i="4"/>
  <c r="AA302" i="4"/>
  <c r="AA303" i="4"/>
  <c r="AA343" i="4"/>
  <c r="AA344" i="4"/>
  <c r="AA345" i="4"/>
  <c r="AA335" i="4"/>
  <c r="AA336" i="4"/>
  <c r="AA318" i="4"/>
  <c r="AA315" i="4"/>
  <c r="AA319" i="4"/>
  <c r="AA320" i="4"/>
  <c r="AA321" i="4"/>
  <c r="AA347" i="4"/>
  <c r="AA337" i="4"/>
  <c r="AA316" i="4"/>
  <c r="AA338" i="4"/>
  <c r="AA339" i="4"/>
  <c r="AA340" i="4"/>
  <c r="AA342" i="4"/>
  <c r="AA322" i="4"/>
  <c r="AA317" i="4"/>
  <c r="AA323" i="4"/>
  <c r="AA324" i="4"/>
  <c r="AA346" i="4"/>
  <c r="AA326" i="4"/>
  <c r="AA327" i="4"/>
  <c r="AA328" i="4"/>
  <c r="AA329" i="4"/>
  <c r="AA341" i="4"/>
  <c r="AA330" i="4"/>
  <c r="AA331" i="4"/>
  <c r="AA332" i="4"/>
  <c r="AA333" i="4"/>
  <c r="AA325" i="4"/>
  <c r="AA334" i="4"/>
  <c r="AA350" i="4"/>
  <c r="AA356" i="4"/>
  <c r="AA360" i="4"/>
  <c r="AA357" i="4"/>
  <c r="AA355" i="4"/>
  <c r="AA361" i="4"/>
  <c r="AA362" i="4"/>
  <c r="AA368" i="4"/>
  <c r="AA363" i="4"/>
  <c r="AA369" i="4"/>
  <c r="AA351" i="4"/>
  <c r="AA348" i="4"/>
  <c r="AA358" i="4"/>
  <c r="AA359" i="4"/>
  <c r="AA364" i="4"/>
  <c r="AA349" i="4"/>
  <c r="AA365" i="4"/>
  <c r="AA366" i="4"/>
  <c r="AA352" i="4"/>
  <c r="AA353" i="4"/>
  <c r="AA367" i="4"/>
  <c r="AA354" i="4"/>
  <c r="AA379" i="4"/>
  <c r="AA377" i="4"/>
  <c r="AA373" i="4"/>
  <c r="AA374" i="4"/>
  <c r="AA370" i="4"/>
  <c r="AA371" i="4"/>
  <c r="AA375" i="4"/>
  <c r="AA376" i="4"/>
  <c r="AA372" i="4"/>
  <c r="AA378" i="4"/>
  <c r="AA381" i="4"/>
  <c r="AA382" i="4"/>
  <c r="AA384" i="4"/>
  <c r="AA386" i="4"/>
  <c r="AA385" i="4"/>
  <c r="AA383" i="4"/>
  <c r="AA396" i="4"/>
  <c r="AA388" i="4"/>
  <c r="AA389" i="4"/>
  <c r="AA390" i="4"/>
  <c r="AA397" i="4"/>
  <c r="AA398" i="4"/>
  <c r="AA399" i="4"/>
  <c r="AA400" i="4"/>
  <c r="AA401" i="4"/>
  <c r="AA391" i="4"/>
  <c r="AA392" i="4"/>
  <c r="AA393" i="4"/>
  <c r="AA402" i="4"/>
  <c r="AA403" i="4"/>
  <c r="AA387" i="4"/>
  <c r="AA404" i="4"/>
  <c r="AA405" i="4"/>
  <c r="AA394" i="4"/>
  <c r="AA395" i="4"/>
  <c r="AA406" i="4"/>
  <c r="AA407" i="4"/>
  <c r="AA408" i="4"/>
  <c r="AA409" i="4"/>
  <c r="AA410" i="4"/>
  <c r="AA411" i="4"/>
  <c r="AA102" i="4"/>
  <c r="AM118" i="5"/>
  <c r="C39" i="8"/>
  <c r="AR39" i="8"/>
  <c r="H39" i="8"/>
  <c r="AT39" i="8"/>
  <c r="J39" i="8"/>
  <c r="AV39" i="8"/>
  <c r="L39" i="8"/>
  <c r="AX39" i="8"/>
  <c r="N39" i="8"/>
  <c r="E40" i="8"/>
  <c r="AP40" i="8"/>
  <c r="F40" i="8"/>
  <c r="AR40" i="8"/>
  <c r="H40" i="8"/>
  <c r="AT40" i="8"/>
  <c r="J40" i="8"/>
  <c r="AV40" i="8"/>
  <c r="L40" i="8"/>
  <c r="AX40" i="8"/>
  <c r="N40" i="8"/>
  <c r="AY40" i="8"/>
  <c r="O40" i="8"/>
  <c r="AZ40" i="8"/>
  <c r="P40" i="8"/>
  <c r="E41" i="8"/>
  <c r="AP41" i="8"/>
  <c r="F41" i="8"/>
  <c r="AR41" i="8"/>
  <c r="H41" i="8"/>
  <c r="AT41" i="8"/>
  <c r="J41" i="8"/>
  <c r="AV41" i="8"/>
  <c r="L41" i="8"/>
  <c r="AX41" i="8"/>
  <c r="N41" i="8"/>
  <c r="E2" i="8"/>
  <c r="AP2" i="8"/>
  <c r="F2" i="8"/>
  <c r="AR2" i="8"/>
  <c r="H2" i="8"/>
  <c r="AT2" i="8"/>
  <c r="J2" i="8"/>
  <c r="AV2" i="8"/>
  <c r="L2" i="8"/>
  <c r="AX2" i="8"/>
  <c r="N2" i="8"/>
  <c r="E42" i="8"/>
  <c r="AP42" i="8"/>
  <c r="F42" i="8"/>
  <c r="AR42" i="8"/>
  <c r="H42" i="8"/>
  <c r="AT42" i="8"/>
  <c r="J42" i="8"/>
  <c r="AV42" i="8"/>
  <c r="L42" i="8"/>
  <c r="AX42" i="8"/>
  <c r="N42" i="8"/>
  <c r="E43" i="8"/>
  <c r="AP43" i="8"/>
  <c r="F43" i="8"/>
  <c r="AR43" i="8"/>
  <c r="H43" i="8"/>
  <c r="AT43" i="8"/>
  <c r="J43" i="8"/>
  <c r="AV43" i="8"/>
  <c r="L43" i="8"/>
  <c r="AX43" i="8"/>
  <c r="N43" i="8"/>
  <c r="E44" i="8"/>
  <c r="AP44" i="8"/>
  <c r="F44" i="8"/>
  <c r="AR44" i="8"/>
  <c r="H44" i="8"/>
  <c r="AT44" i="8"/>
  <c r="J44" i="8"/>
  <c r="AV44" i="8"/>
  <c r="L44" i="8"/>
  <c r="AX44" i="8"/>
  <c r="N44" i="8"/>
  <c r="E72" i="8"/>
  <c r="AP72" i="8"/>
  <c r="F72" i="8"/>
  <c r="AR72" i="8"/>
  <c r="H72" i="8"/>
  <c r="AT72" i="8"/>
  <c r="J72" i="8"/>
  <c r="AV72" i="8"/>
  <c r="L72" i="8"/>
  <c r="AX72" i="8"/>
  <c r="N72" i="8"/>
  <c r="E73" i="8"/>
  <c r="AP73" i="8"/>
  <c r="F73" i="8"/>
  <c r="AR73" i="8"/>
  <c r="H73" i="8"/>
  <c r="AT73" i="8"/>
  <c r="J73" i="8"/>
  <c r="AV73" i="8"/>
  <c r="L73" i="8"/>
  <c r="AX73" i="8"/>
  <c r="N73" i="8"/>
  <c r="E74" i="8"/>
  <c r="AP74" i="8"/>
  <c r="F74" i="8"/>
  <c r="AR74" i="8"/>
  <c r="H74" i="8"/>
  <c r="AT74" i="8"/>
  <c r="J74" i="8"/>
  <c r="AV74" i="8"/>
  <c r="L74" i="8"/>
  <c r="AX74" i="8"/>
  <c r="N74" i="8"/>
  <c r="E75" i="8"/>
  <c r="AP75" i="8"/>
  <c r="F75" i="8"/>
  <c r="AR75" i="8"/>
  <c r="H75" i="8"/>
  <c r="AT75" i="8"/>
  <c r="J75" i="8"/>
  <c r="AV75" i="8"/>
  <c r="L75" i="8"/>
  <c r="AX75" i="8"/>
  <c r="N75" i="8"/>
  <c r="AY75" i="8"/>
  <c r="O75" i="8"/>
  <c r="AZ75" i="8"/>
  <c r="P75" i="8"/>
  <c r="E76" i="8"/>
  <c r="AP76" i="8"/>
  <c r="F76" i="8"/>
  <c r="AR76" i="8"/>
  <c r="H76" i="8"/>
  <c r="AT76" i="8"/>
  <c r="J76" i="8"/>
  <c r="AV76" i="8"/>
  <c r="L76" i="8"/>
  <c r="AX76" i="8"/>
  <c r="N76" i="8"/>
  <c r="E77" i="8"/>
  <c r="AP77" i="8"/>
  <c r="F77" i="8"/>
  <c r="AR77" i="8"/>
  <c r="H77" i="8"/>
  <c r="AT77" i="8"/>
  <c r="J77" i="8"/>
  <c r="AV77" i="8"/>
  <c r="L77" i="8"/>
  <c r="AX77" i="8"/>
  <c r="N77" i="8"/>
  <c r="AY77" i="8"/>
  <c r="O77" i="8"/>
  <c r="AZ77" i="8"/>
  <c r="P77" i="8"/>
  <c r="E78" i="8"/>
  <c r="AP78" i="8"/>
  <c r="F78" i="8"/>
  <c r="AR78" i="8"/>
  <c r="H78" i="8"/>
  <c r="AT78" i="8"/>
  <c r="J78" i="8"/>
  <c r="AV78" i="8"/>
  <c r="L78" i="8"/>
  <c r="AX78" i="8"/>
  <c r="N78" i="8"/>
  <c r="E6" i="8"/>
  <c r="AP6" i="8"/>
  <c r="F6" i="8"/>
  <c r="AR6" i="8"/>
  <c r="H6" i="8"/>
  <c r="AT6" i="8"/>
  <c r="J6" i="8"/>
  <c r="AV6" i="8"/>
  <c r="L6" i="8"/>
  <c r="AX6" i="8"/>
  <c r="N6" i="8"/>
  <c r="E7" i="8"/>
  <c r="AP7" i="8"/>
  <c r="F7" i="8"/>
  <c r="AR7" i="8"/>
  <c r="H7" i="8"/>
  <c r="AT7" i="8"/>
  <c r="J7" i="8"/>
  <c r="AV7" i="8"/>
  <c r="L7" i="8"/>
  <c r="AX7" i="8"/>
  <c r="N7" i="8"/>
  <c r="E79" i="8"/>
  <c r="AP79" i="8"/>
  <c r="F79" i="8"/>
  <c r="AR79" i="8"/>
  <c r="H79" i="8"/>
  <c r="AT79" i="8"/>
  <c r="J79" i="8"/>
  <c r="AV79" i="8"/>
  <c r="L79" i="8"/>
  <c r="AX79" i="8"/>
  <c r="N79" i="8"/>
  <c r="E80" i="8"/>
  <c r="AP80" i="8"/>
  <c r="F80" i="8"/>
  <c r="AR80" i="8"/>
  <c r="H80" i="8"/>
  <c r="AT80" i="8"/>
  <c r="J80" i="8"/>
  <c r="AV80" i="8"/>
  <c r="L80" i="8"/>
  <c r="AX80" i="8"/>
  <c r="N80" i="8"/>
  <c r="E81" i="8"/>
  <c r="AP81" i="8"/>
  <c r="F81" i="8"/>
  <c r="AR81" i="8"/>
  <c r="H81" i="8"/>
  <c r="AT81" i="8"/>
  <c r="J81" i="8"/>
  <c r="AV81" i="8"/>
  <c r="L81" i="8"/>
  <c r="AX81" i="8"/>
  <c r="N81" i="8"/>
  <c r="E82" i="8"/>
  <c r="AP82" i="8"/>
  <c r="F82" i="8"/>
  <c r="AR82" i="8"/>
  <c r="H82" i="8"/>
  <c r="AT82" i="8"/>
  <c r="J82" i="8"/>
  <c r="AV82" i="8"/>
  <c r="L82" i="8"/>
  <c r="AX82" i="8"/>
  <c r="N82" i="8"/>
  <c r="E83" i="8"/>
  <c r="AP83" i="8"/>
  <c r="F83" i="8"/>
  <c r="AR83" i="8"/>
  <c r="H83" i="8"/>
  <c r="AT83" i="8"/>
  <c r="J83" i="8"/>
  <c r="AV83" i="8"/>
  <c r="L83" i="8"/>
  <c r="AX83" i="8"/>
  <c r="N83" i="8"/>
  <c r="E84" i="8"/>
  <c r="AP84" i="8"/>
  <c r="F84" i="8"/>
  <c r="AR84" i="8"/>
  <c r="H84" i="8"/>
  <c r="AT84" i="8"/>
  <c r="J84" i="8"/>
  <c r="AV84" i="8"/>
  <c r="L84" i="8"/>
  <c r="AX84" i="8"/>
  <c r="N84" i="8"/>
  <c r="E85" i="8"/>
  <c r="AP85" i="8"/>
  <c r="F85" i="8"/>
  <c r="AR85" i="8"/>
  <c r="H85" i="8"/>
  <c r="AT85" i="8"/>
  <c r="J85" i="8"/>
  <c r="AV85" i="8"/>
  <c r="L85" i="8"/>
  <c r="AX85" i="8"/>
  <c r="N85" i="8"/>
  <c r="E86" i="8"/>
  <c r="AP86" i="8"/>
  <c r="F86" i="8"/>
  <c r="AR86" i="8"/>
  <c r="H86" i="8"/>
  <c r="AT86" i="8"/>
  <c r="J86" i="8"/>
  <c r="AV86" i="8"/>
  <c r="L86" i="8"/>
  <c r="AX86" i="8"/>
  <c r="N86" i="8"/>
  <c r="E87" i="8"/>
  <c r="AP87" i="8"/>
  <c r="F87" i="8"/>
  <c r="AR87" i="8"/>
  <c r="H87" i="8"/>
  <c r="AT87" i="8"/>
  <c r="J87" i="8"/>
  <c r="AV87" i="8"/>
  <c r="L87" i="8"/>
  <c r="AX87" i="8"/>
  <c r="N87" i="8"/>
  <c r="E88" i="8"/>
  <c r="AP88" i="8"/>
  <c r="F88" i="8"/>
  <c r="AR88" i="8"/>
  <c r="H88" i="8"/>
  <c r="AT88" i="8"/>
  <c r="J88" i="8"/>
  <c r="AV88" i="8"/>
  <c r="L88" i="8"/>
  <c r="AX88" i="8"/>
  <c r="N88" i="8"/>
  <c r="E89" i="8"/>
  <c r="AP89" i="8"/>
  <c r="F89" i="8"/>
  <c r="AR89" i="8"/>
  <c r="H89" i="8"/>
  <c r="AT89" i="8"/>
  <c r="J89" i="8"/>
  <c r="AV89" i="8"/>
  <c r="L89" i="8"/>
  <c r="AX89" i="8"/>
  <c r="N89" i="8"/>
  <c r="E90" i="8"/>
  <c r="AP90" i="8"/>
  <c r="F90" i="8"/>
  <c r="AR90" i="8"/>
  <c r="H90" i="8"/>
  <c r="AT90" i="8"/>
  <c r="J90" i="8"/>
  <c r="AV90" i="8"/>
  <c r="L90" i="8"/>
  <c r="AX90" i="8"/>
  <c r="N90" i="8"/>
  <c r="E91" i="8"/>
  <c r="AP91" i="8"/>
  <c r="F91" i="8"/>
  <c r="AR91" i="8"/>
  <c r="H91" i="8"/>
  <c r="AT91" i="8"/>
  <c r="J91" i="8"/>
  <c r="AV91" i="8"/>
  <c r="L91" i="8"/>
  <c r="AX91" i="8"/>
  <c r="N91" i="8"/>
  <c r="E92" i="8"/>
  <c r="AP92" i="8"/>
  <c r="F92" i="8"/>
  <c r="AR92" i="8"/>
  <c r="H92" i="8"/>
  <c r="AT92" i="8"/>
  <c r="J92" i="8"/>
  <c r="AV92" i="8"/>
  <c r="L92" i="8"/>
  <c r="AX92" i="8"/>
  <c r="N92" i="8"/>
  <c r="E93" i="8"/>
  <c r="AP93" i="8"/>
  <c r="F93" i="8"/>
  <c r="AR93" i="8"/>
  <c r="H93" i="8"/>
  <c r="AT93" i="8"/>
  <c r="J93" i="8"/>
  <c r="AV93" i="8"/>
  <c r="L93" i="8"/>
  <c r="AX93" i="8"/>
  <c r="N93" i="8"/>
  <c r="E94" i="8"/>
  <c r="AP94" i="8"/>
  <c r="F94" i="8"/>
  <c r="AR94" i="8"/>
  <c r="H94" i="8"/>
  <c r="AT94" i="8"/>
  <c r="J94" i="8"/>
  <c r="AV94" i="8"/>
  <c r="L94" i="8"/>
  <c r="AX94" i="8"/>
  <c r="N94" i="8"/>
  <c r="E95" i="8"/>
  <c r="AP95" i="8"/>
  <c r="F95" i="8"/>
  <c r="AR95" i="8"/>
  <c r="H95" i="8"/>
  <c r="AT95" i="8"/>
  <c r="J95" i="8"/>
  <c r="AV95" i="8"/>
  <c r="L95" i="8"/>
  <c r="AX95" i="8"/>
  <c r="N95" i="8"/>
  <c r="E96" i="8"/>
  <c r="AP96" i="8"/>
  <c r="F96" i="8"/>
  <c r="AR96" i="8"/>
  <c r="H96" i="8"/>
  <c r="AT96" i="8"/>
  <c r="J96" i="8"/>
  <c r="AV96" i="8"/>
  <c r="L96" i="8"/>
  <c r="AX96" i="8"/>
  <c r="N96" i="8"/>
  <c r="E97" i="8"/>
  <c r="AP97" i="8"/>
  <c r="F97" i="8"/>
  <c r="AR97" i="8"/>
  <c r="H97" i="8"/>
  <c r="AT97" i="8"/>
  <c r="J97" i="8"/>
  <c r="AV97" i="8"/>
  <c r="L97" i="8"/>
  <c r="AX97" i="8"/>
  <c r="N97" i="8"/>
  <c r="BA97" i="8"/>
  <c r="Q97" i="8"/>
  <c r="E98" i="8"/>
  <c r="AP98" i="8"/>
  <c r="F98" i="8"/>
  <c r="AR98" i="8"/>
  <c r="H98" i="8"/>
  <c r="AT98" i="8"/>
  <c r="J98" i="8"/>
  <c r="AV98" i="8"/>
  <c r="L98" i="8"/>
  <c r="AX98" i="8"/>
  <c r="N98" i="8"/>
  <c r="BA98" i="8"/>
  <c r="Q98" i="8"/>
  <c r="E99" i="8"/>
  <c r="AP99" i="8"/>
  <c r="F99" i="8"/>
  <c r="AR99" i="8"/>
  <c r="H99" i="8"/>
  <c r="AT99" i="8"/>
  <c r="J99" i="8"/>
  <c r="AV99" i="8"/>
  <c r="L99" i="8"/>
  <c r="AX99" i="8"/>
  <c r="N99" i="8"/>
  <c r="E45" i="8"/>
  <c r="AP45" i="8"/>
  <c r="F45" i="8"/>
  <c r="AR45" i="8"/>
  <c r="H45" i="8"/>
  <c r="AT45" i="8"/>
  <c r="J45" i="8"/>
  <c r="AV45" i="8"/>
  <c r="L45" i="8"/>
  <c r="AX45" i="8"/>
  <c r="N45" i="8"/>
  <c r="E46" i="8"/>
  <c r="AP46" i="8"/>
  <c r="F46" i="8"/>
  <c r="AR46" i="8"/>
  <c r="H46" i="8"/>
  <c r="AT46" i="8"/>
  <c r="J46" i="8"/>
  <c r="AV46" i="8"/>
  <c r="L46" i="8"/>
  <c r="AX46" i="8"/>
  <c r="N46" i="8"/>
  <c r="E47" i="8"/>
  <c r="AP47" i="8"/>
  <c r="F47" i="8"/>
  <c r="AR47" i="8"/>
  <c r="H47" i="8"/>
  <c r="AT47" i="8"/>
  <c r="J47" i="8"/>
  <c r="AV47" i="8"/>
  <c r="L47" i="8"/>
  <c r="AX47" i="8"/>
  <c r="N47" i="8"/>
  <c r="E3" i="8"/>
  <c r="AP3" i="8"/>
  <c r="F3" i="8"/>
  <c r="AR3" i="8"/>
  <c r="H3" i="8"/>
  <c r="AT3" i="8"/>
  <c r="J3" i="8"/>
  <c r="AV3" i="8"/>
  <c r="L3" i="8"/>
  <c r="AX3" i="8"/>
  <c r="N3" i="8"/>
  <c r="E48" i="8"/>
  <c r="AP48" i="8"/>
  <c r="F48" i="8"/>
  <c r="AR48" i="8"/>
  <c r="H48" i="8"/>
  <c r="AT48" i="8"/>
  <c r="J48" i="8"/>
  <c r="AV48" i="8"/>
  <c r="L48" i="8"/>
  <c r="AX48" i="8"/>
  <c r="N48" i="8"/>
  <c r="E49" i="8"/>
  <c r="AP49" i="8"/>
  <c r="F49" i="8"/>
  <c r="AR49" i="8"/>
  <c r="H49" i="8"/>
  <c r="AT49" i="8"/>
  <c r="J49" i="8"/>
  <c r="AV49" i="8"/>
  <c r="L49" i="8"/>
  <c r="AX49" i="8"/>
  <c r="N49" i="8"/>
  <c r="E50" i="8"/>
  <c r="AP50" i="8"/>
  <c r="F50" i="8"/>
  <c r="AR50" i="8"/>
  <c r="H50" i="8"/>
  <c r="AT50" i="8"/>
  <c r="J50" i="8"/>
  <c r="AV50" i="8"/>
  <c r="L50" i="8"/>
  <c r="AX50" i="8"/>
  <c r="N50" i="8"/>
  <c r="E51" i="8"/>
  <c r="AP51" i="8"/>
  <c r="F51" i="8"/>
  <c r="AR51" i="8"/>
  <c r="H51" i="8"/>
  <c r="AT51" i="8"/>
  <c r="J51" i="8"/>
  <c r="AV51" i="8"/>
  <c r="L51" i="8"/>
  <c r="AX51" i="8"/>
  <c r="N51" i="8"/>
  <c r="E52" i="8"/>
  <c r="AP52" i="8"/>
  <c r="F52" i="8"/>
  <c r="AR52" i="8"/>
  <c r="H52" i="8"/>
  <c r="AT52" i="8"/>
  <c r="J52" i="8"/>
  <c r="AV52" i="8"/>
  <c r="L52" i="8"/>
  <c r="AX52" i="8"/>
  <c r="N52" i="8"/>
  <c r="E53" i="8"/>
  <c r="AP53" i="8"/>
  <c r="F53" i="8"/>
  <c r="AR53" i="8"/>
  <c r="H53" i="8"/>
  <c r="AT53" i="8"/>
  <c r="J53" i="8"/>
  <c r="AV53" i="8"/>
  <c r="L53" i="8"/>
  <c r="AX53" i="8"/>
  <c r="N53" i="8"/>
  <c r="E54" i="8"/>
  <c r="AP54" i="8"/>
  <c r="F54" i="8"/>
  <c r="AR54" i="8"/>
  <c r="H54" i="8"/>
  <c r="AT54" i="8"/>
  <c r="J54" i="8"/>
  <c r="AV54" i="8"/>
  <c r="L54" i="8"/>
  <c r="AX54" i="8"/>
  <c r="N54" i="8"/>
  <c r="E55" i="8"/>
  <c r="AP55" i="8"/>
  <c r="F55" i="8"/>
  <c r="AR55" i="8"/>
  <c r="H55" i="8"/>
  <c r="AT55" i="8"/>
  <c r="J55" i="8"/>
  <c r="AV55" i="8"/>
  <c r="L55" i="8"/>
  <c r="AX55" i="8"/>
  <c r="N55" i="8"/>
  <c r="E56" i="8"/>
  <c r="AP56" i="8"/>
  <c r="F56" i="8"/>
  <c r="AR56" i="8"/>
  <c r="H56" i="8"/>
  <c r="AT56" i="8"/>
  <c r="J56" i="8"/>
  <c r="AV56" i="8"/>
  <c r="L56" i="8"/>
  <c r="AX56" i="8"/>
  <c r="N56" i="8"/>
  <c r="E57" i="8"/>
  <c r="AP57" i="8"/>
  <c r="F57" i="8"/>
  <c r="AR57" i="8"/>
  <c r="H57" i="8"/>
  <c r="AT57" i="8"/>
  <c r="J57" i="8"/>
  <c r="AV57" i="8"/>
  <c r="L57" i="8"/>
  <c r="AX57" i="8"/>
  <c r="N57" i="8"/>
  <c r="AY57" i="8"/>
  <c r="O57" i="8"/>
  <c r="AZ57" i="8"/>
  <c r="P57" i="8"/>
  <c r="E58" i="8"/>
  <c r="AP58" i="8"/>
  <c r="F58" i="8"/>
  <c r="AR58" i="8"/>
  <c r="H58" i="8"/>
  <c r="AT58" i="8"/>
  <c r="J58" i="8"/>
  <c r="AV58" i="8"/>
  <c r="L58" i="8"/>
  <c r="AX58" i="8"/>
  <c r="N58" i="8"/>
  <c r="E59" i="8"/>
  <c r="AP59" i="8"/>
  <c r="F59" i="8"/>
  <c r="AR59" i="8"/>
  <c r="H59" i="8"/>
  <c r="AT59" i="8"/>
  <c r="J59" i="8"/>
  <c r="AV59" i="8"/>
  <c r="L59" i="8"/>
  <c r="AX59" i="8"/>
  <c r="N59" i="8"/>
  <c r="E60" i="8"/>
  <c r="AP60" i="8"/>
  <c r="F60" i="8"/>
  <c r="AR60" i="8"/>
  <c r="H60" i="8"/>
  <c r="AT60" i="8"/>
  <c r="J60" i="8"/>
  <c r="AV60" i="8"/>
  <c r="L60" i="8"/>
  <c r="AX60" i="8"/>
  <c r="N60" i="8"/>
  <c r="E4" i="8"/>
  <c r="AP4" i="8"/>
  <c r="F4" i="8"/>
  <c r="AR4" i="8"/>
  <c r="H4" i="8"/>
  <c r="AT4" i="8"/>
  <c r="J4" i="8"/>
  <c r="AV4" i="8"/>
  <c r="L4" i="8"/>
  <c r="AX4" i="8"/>
  <c r="N4" i="8"/>
  <c r="E61" i="8"/>
  <c r="AP61" i="8"/>
  <c r="F61" i="8"/>
  <c r="AR61" i="8"/>
  <c r="H61" i="8"/>
  <c r="AT61" i="8"/>
  <c r="J61" i="8"/>
  <c r="AV61" i="8"/>
  <c r="L61" i="8"/>
  <c r="AX61" i="8"/>
  <c r="N61" i="8"/>
  <c r="E62" i="8"/>
  <c r="AP62" i="8"/>
  <c r="F62" i="8"/>
  <c r="AR62" i="8"/>
  <c r="H62" i="8"/>
  <c r="AT62" i="8"/>
  <c r="J62" i="8"/>
  <c r="AV62" i="8"/>
  <c r="L62" i="8"/>
  <c r="AX62" i="8"/>
  <c r="N62" i="8"/>
  <c r="E5" i="8"/>
  <c r="AP5" i="8"/>
  <c r="F5" i="8"/>
  <c r="AR5" i="8"/>
  <c r="H5" i="8"/>
  <c r="AT5" i="8"/>
  <c r="J5" i="8"/>
  <c r="AV5" i="8"/>
  <c r="L5" i="8"/>
  <c r="AX5" i="8"/>
  <c r="N5" i="8"/>
  <c r="E63" i="8"/>
  <c r="AP63" i="8"/>
  <c r="F63" i="8"/>
  <c r="AR63" i="8"/>
  <c r="H63" i="8"/>
  <c r="AT63" i="8"/>
  <c r="J63" i="8"/>
  <c r="AV63" i="8"/>
  <c r="L63" i="8"/>
  <c r="AX63" i="8"/>
  <c r="N63" i="8"/>
  <c r="E64" i="8"/>
  <c r="AP64" i="8"/>
  <c r="F64" i="8"/>
  <c r="AR64" i="8"/>
  <c r="H64" i="8"/>
  <c r="AT64" i="8"/>
  <c r="J64" i="8"/>
  <c r="AV64" i="8"/>
  <c r="L64" i="8"/>
  <c r="AX64" i="8"/>
  <c r="N64" i="8"/>
  <c r="E65" i="8"/>
  <c r="AP65" i="8"/>
  <c r="F65" i="8"/>
  <c r="AR65" i="8"/>
  <c r="H65" i="8"/>
  <c r="AT65" i="8"/>
  <c r="J65" i="8"/>
  <c r="AV65" i="8"/>
  <c r="L65" i="8"/>
  <c r="AX65" i="8"/>
  <c r="N65" i="8"/>
  <c r="E66" i="8"/>
  <c r="AP66" i="8"/>
  <c r="F66" i="8"/>
  <c r="AR66" i="8"/>
  <c r="H66" i="8"/>
  <c r="AT66" i="8"/>
  <c r="J66" i="8"/>
  <c r="AV66" i="8"/>
  <c r="L66" i="8"/>
  <c r="AX66" i="8"/>
  <c r="N66" i="8"/>
  <c r="E67" i="8"/>
  <c r="AP67" i="8"/>
  <c r="F67" i="8"/>
  <c r="AR67" i="8"/>
  <c r="H67" i="8"/>
  <c r="AT67" i="8"/>
  <c r="J67" i="8"/>
  <c r="AV67" i="8"/>
  <c r="L67" i="8"/>
  <c r="AX67" i="8"/>
  <c r="N67" i="8"/>
  <c r="E68" i="8"/>
  <c r="AP68" i="8"/>
  <c r="F68" i="8"/>
  <c r="AR68" i="8"/>
  <c r="H68" i="8"/>
  <c r="AT68" i="8"/>
  <c r="J68" i="8"/>
  <c r="AV68" i="8"/>
  <c r="L68" i="8"/>
  <c r="AX68" i="8"/>
  <c r="N68" i="8"/>
  <c r="E69" i="8"/>
  <c r="AP69" i="8"/>
  <c r="F69" i="8"/>
  <c r="AR69" i="8"/>
  <c r="H69" i="8"/>
  <c r="AT69" i="8"/>
  <c r="J69" i="8"/>
  <c r="AV69" i="8"/>
  <c r="L69" i="8"/>
  <c r="AX69" i="8"/>
  <c r="N69" i="8"/>
  <c r="E70" i="8"/>
  <c r="AP70" i="8"/>
  <c r="F70" i="8"/>
  <c r="AR70" i="8"/>
  <c r="H70" i="8"/>
  <c r="AT70" i="8"/>
  <c r="J70" i="8"/>
  <c r="AV70" i="8"/>
  <c r="L70" i="8"/>
  <c r="AX70" i="8"/>
  <c r="N70" i="8"/>
  <c r="E71" i="8"/>
  <c r="AP71" i="8"/>
  <c r="F71" i="8"/>
  <c r="AR71" i="8"/>
  <c r="H71" i="8"/>
  <c r="AT71" i="8"/>
  <c r="J71" i="8"/>
  <c r="AV71" i="8"/>
  <c r="L71" i="8"/>
  <c r="AX71" i="8"/>
  <c r="N71" i="8"/>
  <c r="E100" i="8"/>
  <c r="AP100" i="8"/>
  <c r="F100" i="8"/>
  <c r="AR100" i="8"/>
  <c r="H100" i="8"/>
  <c r="AT100" i="8"/>
  <c r="J100" i="8"/>
  <c r="AV100" i="8"/>
  <c r="L100" i="8"/>
  <c r="AX100" i="8"/>
  <c r="N100" i="8"/>
  <c r="E101" i="8"/>
  <c r="AP101" i="8"/>
  <c r="F101" i="8"/>
  <c r="AR101" i="8"/>
  <c r="H101" i="8"/>
  <c r="AT101" i="8"/>
  <c r="J101" i="8"/>
  <c r="AV101" i="8"/>
  <c r="L101" i="8"/>
  <c r="AX101" i="8"/>
  <c r="N101" i="8"/>
  <c r="AY101" i="8"/>
  <c r="O101" i="8"/>
  <c r="AZ101" i="8"/>
  <c r="P101" i="8"/>
  <c r="BA101" i="8"/>
  <c r="Q101" i="8"/>
  <c r="B101" i="8"/>
  <c r="E102" i="8"/>
  <c r="AP102" i="8"/>
  <c r="F102" i="8"/>
  <c r="AR102" i="8"/>
  <c r="H102" i="8"/>
  <c r="AT102" i="8"/>
  <c r="J102" i="8"/>
  <c r="AV102" i="8"/>
  <c r="L102" i="8"/>
  <c r="AX102" i="8"/>
  <c r="N102" i="8"/>
  <c r="AY102" i="8"/>
  <c r="O102" i="8"/>
  <c r="AZ102" i="8"/>
  <c r="P102" i="8"/>
  <c r="E103" i="8"/>
  <c r="AP103" i="8"/>
  <c r="F103" i="8"/>
  <c r="AR103" i="8"/>
  <c r="H103" i="8"/>
  <c r="AT103" i="8"/>
  <c r="J103" i="8"/>
  <c r="AV103" i="8"/>
  <c r="L103" i="8"/>
  <c r="AX103" i="8"/>
  <c r="N103" i="8"/>
  <c r="AY103" i="8"/>
  <c r="O103" i="8"/>
  <c r="AZ103" i="8"/>
  <c r="P103" i="8"/>
  <c r="E104" i="8"/>
  <c r="AP104" i="8"/>
  <c r="F104" i="8"/>
  <c r="AR104" i="8"/>
  <c r="H104" i="8"/>
  <c r="AT104" i="8"/>
  <c r="J104" i="8"/>
  <c r="AV104" i="8"/>
  <c r="L104" i="8"/>
  <c r="AX104" i="8"/>
  <c r="N104" i="8"/>
  <c r="AY104" i="8"/>
  <c r="O104" i="8"/>
  <c r="AZ104" i="8"/>
  <c r="P104" i="8"/>
  <c r="E105" i="8"/>
  <c r="AP105" i="8"/>
  <c r="F105" i="8"/>
  <c r="AR105" i="8"/>
  <c r="H105" i="8"/>
  <c r="AT105" i="8"/>
  <c r="J105" i="8"/>
  <c r="AV105" i="8"/>
  <c r="L105" i="8"/>
  <c r="AX105" i="8"/>
  <c r="N105" i="8"/>
  <c r="AY105" i="8"/>
  <c r="O105" i="8"/>
  <c r="AZ105" i="8"/>
  <c r="P105" i="8"/>
  <c r="E106" i="8"/>
  <c r="AP106" i="8"/>
  <c r="F106" i="8"/>
  <c r="AR106" i="8"/>
  <c r="H106" i="8"/>
  <c r="AT106" i="8"/>
  <c r="J106" i="8"/>
  <c r="AV106" i="8"/>
  <c r="L106" i="8"/>
  <c r="AX106" i="8"/>
  <c r="N106" i="8"/>
  <c r="AY106" i="8"/>
  <c r="O106" i="8"/>
  <c r="AZ106" i="8"/>
  <c r="P106" i="8"/>
  <c r="E107" i="8"/>
  <c r="AP107" i="8"/>
  <c r="F107" i="8"/>
  <c r="AR107" i="8"/>
  <c r="H107" i="8"/>
  <c r="AT107" i="8"/>
  <c r="J107" i="8"/>
  <c r="AV107" i="8"/>
  <c r="L107" i="8"/>
  <c r="AX107" i="8"/>
  <c r="N107" i="8"/>
  <c r="AY107" i="8"/>
  <c r="O107" i="8"/>
  <c r="AZ107" i="8"/>
  <c r="P107" i="8"/>
  <c r="E108" i="8"/>
  <c r="AP108" i="8"/>
  <c r="F108" i="8"/>
  <c r="AR108" i="8"/>
  <c r="H108" i="8"/>
  <c r="AT108" i="8"/>
  <c r="J108" i="8"/>
  <c r="AV108" i="8"/>
  <c r="L108" i="8"/>
  <c r="AX108" i="8"/>
  <c r="N108" i="8"/>
  <c r="AY108" i="8"/>
  <c r="O108" i="8"/>
  <c r="AZ108" i="8"/>
  <c r="P108" i="8"/>
  <c r="E109" i="8"/>
  <c r="AP109" i="8"/>
  <c r="F109" i="8"/>
  <c r="AR109" i="8"/>
  <c r="H109" i="8"/>
  <c r="AT109" i="8"/>
  <c r="J109" i="8"/>
  <c r="AV109" i="8"/>
  <c r="L109" i="8"/>
  <c r="AX109" i="8"/>
  <c r="N109" i="8"/>
  <c r="AY109" i="8"/>
  <c r="O109" i="8"/>
  <c r="AZ109" i="8"/>
  <c r="P109" i="8"/>
  <c r="E110" i="8"/>
  <c r="AP110" i="8"/>
  <c r="F110" i="8"/>
  <c r="AR110" i="8"/>
  <c r="H110" i="8"/>
  <c r="AT110" i="8"/>
  <c r="J110" i="8"/>
  <c r="AV110" i="8"/>
  <c r="L110" i="8"/>
  <c r="AX110" i="8"/>
  <c r="N110" i="8"/>
  <c r="AY110" i="8"/>
  <c r="O110" i="8"/>
  <c r="AZ110" i="8"/>
  <c r="P110" i="8"/>
  <c r="E111" i="8"/>
  <c r="AP111" i="8"/>
  <c r="F111" i="8"/>
  <c r="AR111" i="8"/>
  <c r="H111" i="8"/>
  <c r="AT111" i="8"/>
  <c r="J111" i="8"/>
  <c r="AV111" i="8"/>
  <c r="L111" i="8"/>
  <c r="AX111" i="8"/>
  <c r="N111" i="8"/>
  <c r="AY111" i="8"/>
  <c r="O111" i="8"/>
  <c r="AZ111" i="8"/>
  <c r="P111" i="8"/>
  <c r="E112" i="8"/>
  <c r="AP112" i="8"/>
  <c r="F112" i="8"/>
  <c r="AR112" i="8"/>
  <c r="H112" i="8"/>
  <c r="AT112" i="8"/>
  <c r="J112" i="8"/>
  <c r="AV112" i="8"/>
  <c r="L112" i="8"/>
  <c r="AX112" i="8"/>
  <c r="N112" i="8"/>
  <c r="AY112" i="8"/>
  <c r="O112" i="8"/>
  <c r="AZ112" i="8"/>
  <c r="P112" i="8"/>
  <c r="E113" i="8"/>
  <c r="AP113" i="8"/>
  <c r="F113" i="8"/>
  <c r="AR113" i="8"/>
  <c r="H113" i="8"/>
  <c r="AT113" i="8"/>
  <c r="J113" i="8"/>
  <c r="AV113" i="8"/>
  <c r="L113" i="8"/>
  <c r="AX113" i="8"/>
  <c r="N113" i="8"/>
  <c r="AY113" i="8"/>
  <c r="O113" i="8"/>
  <c r="AZ113" i="8"/>
  <c r="P113" i="8"/>
  <c r="E114" i="8"/>
  <c r="AP114" i="8"/>
  <c r="F114" i="8"/>
  <c r="AR114" i="8"/>
  <c r="H114" i="8"/>
  <c r="AT114" i="8"/>
  <c r="J114" i="8"/>
  <c r="AV114" i="8"/>
  <c r="L114" i="8"/>
  <c r="AX114" i="8"/>
  <c r="N114" i="8"/>
  <c r="AY114" i="8"/>
  <c r="O114" i="8"/>
  <c r="AZ114" i="8"/>
  <c r="P114" i="8"/>
  <c r="E115" i="8"/>
  <c r="AP115" i="8"/>
  <c r="F115" i="8"/>
  <c r="AR115" i="8"/>
  <c r="H115" i="8"/>
  <c r="AT115" i="8"/>
  <c r="J115" i="8"/>
  <c r="AV115" i="8"/>
  <c r="L115" i="8"/>
  <c r="AX115" i="8"/>
  <c r="N115" i="8"/>
  <c r="AY115" i="8"/>
  <c r="O115" i="8"/>
  <c r="AZ115" i="8"/>
  <c r="P115" i="8"/>
  <c r="E116" i="8"/>
  <c r="AP116" i="8"/>
  <c r="F116" i="8"/>
  <c r="AR116" i="8"/>
  <c r="H116" i="8"/>
  <c r="AT116" i="8"/>
  <c r="J116" i="8"/>
  <c r="AV116" i="8"/>
  <c r="L116" i="8"/>
  <c r="AX116" i="8"/>
  <c r="N116" i="8"/>
  <c r="AY116" i="8"/>
  <c r="O116" i="8"/>
  <c r="AZ116" i="8"/>
  <c r="P116" i="8"/>
  <c r="E117" i="8"/>
  <c r="AP117" i="8"/>
  <c r="F117" i="8"/>
  <c r="AR117" i="8"/>
  <c r="H117" i="8"/>
  <c r="AT117" i="8"/>
  <c r="J117" i="8"/>
  <c r="AV117" i="8"/>
  <c r="L117" i="8"/>
  <c r="AX117" i="8"/>
  <c r="N117" i="8"/>
  <c r="E118" i="8"/>
  <c r="AP118" i="8"/>
  <c r="F118" i="8"/>
  <c r="AR118" i="8"/>
  <c r="H118" i="8"/>
  <c r="AT118" i="8"/>
  <c r="J118" i="8"/>
  <c r="AV118" i="8"/>
  <c r="L118" i="8"/>
  <c r="AX118" i="8"/>
  <c r="N118" i="8"/>
  <c r="E119" i="8"/>
  <c r="AP119" i="8"/>
  <c r="F119" i="8"/>
  <c r="AR119" i="8"/>
  <c r="H119" i="8"/>
  <c r="AT119" i="8"/>
  <c r="J119" i="8"/>
  <c r="AV119" i="8"/>
  <c r="L119" i="8"/>
  <c r="AX119" i="8"/>
  <c r="N119" i="8"/>
  <c r="E120" i="8"/>
  <c r="AP120" i="8"/>
  <c r="F120" i="8"/>
  <c r="AR120" i="8"/>
  <c r="H120" i="8"/>
  <c r="AT120" i="8"/>
  <c r="J120" i="8"/>
  <c r="AV120" i="8"/>
  <c r="L120" i="8"/>
  <c r="AX120" i="8"/>
  <c r="N120" i="8"/>
  <c r="E121" i="8"/>
  <c r="AP121" i="8"/>
  <c r="F121" i="8"/>
  <c r="AR121" i="8"/>
  <c r="H121" i="8"/>
  <c r="AT121" i="8"/>
  <c r="J121" i="8"/>
  <c r="AV121" i="8"/>
  <c r="L121" i="8"/>
  <c r="AX121" i="8"/>
  <c r="N121" i="8"/>
  <c r="E122" i="8"/>
  <c r="AP122" i="8"/>
  <c r="F122" i="8"/>
  <c r="AR122" i="8"/>
  <c r="H122" i="8"/>
  <c r="AT122" i="8"/>
  <c r="J122" i="8"/>
  <c r="AV122" i="8"/>
  <c r="L122" i="8"/>
  <c r="AX122" i="8"/>
  <c r="N122" i="8"/>
  <c r="E123" i="8"/>
  <c r="AP123" i="8"/>
  <c r="F123" i="8"/>
  <c r="AR123" i="8"/>
  <c r="H123" i="8"/>
  <c r="AT123" i="8"/>
  <c r="J123" i="8"/>
  <c r="AV123" i="8"/>
  <c r="L123" i="8"/>
  <c r="AX123" i="8"/>
  <c r="N123" i="8"/>
  <c r="E124" i="8"/>
  <c r="AP124" i="8"/>
  <c r="F124" i="8"/>
  <c r="AR124" i="8"/>
  <c r="H124" i="8"/>
  <c r="AT124" i="8"/>
  <c r="J124" i="8"/>
  <c r="AV124" i="8"/>
  <c r="L124" i="8"/>
  <c r="AX124" i="8"/>
  <c r="N124" i="8"/>
  <c r="E125" i="8"/>
  <c r="AP125" i="8"/>
  <c r="F125" i="8"/>
  <c r="AR125" i="8"/>
  <c r="H125" i="8"/>
  <c r="AT125" i="8"/>
  <c r="J125" i="8"/>
  <c r="AV125" i="8"/>
  <c r="L125" i="8"/>
  <c r="AX125" i="8"/>
  <c r="N125" i="8"/>
  <c r="E126" i="8"/>
  <c r="AP126" i="8"/>
  <c r="F126" i="8"/>
  <c r="AR126" i="8"/>
  <c r="H126" i="8"/>
  <c r="AT126" i="8"/>
  <c r="J126" i="8"/>
  <c r="AV126" i="8"/>
  <c r="L126" i="8"/>
  <c r="AX126" i="8"/>
  <c r="N126" i="8"/>
  <c r="E127" i="8"/>
  <c r="AP127" i="8"/>
  <c r="F127" i="8"/>
  <c r="AR127" i="8"/>
  <c r="H127" i="8"/>
  <c r="AT127" i="8"/>
  <c r="J127" i="8"/>
  <c r="AV127" i="8"/>
  <c r="L127" i="8"/>
  <c r="AX127" i="8"/>
  <c r="N127" i="8"/>
  <c r="E128" i="8"/>
  <c r="AP128" i="8"/>
  <c r="F128" i="8"/>
  <c r="AR128" i="8"/>
  <c r="H128" i="8"/>
  <c r="AT128" i="8"/>
  <c r="J128" i="8"/>
  <c r="AV128" i="8"/>
  <c r="L128" i="8"/>
  <c r="AX128" i="8"/>
  <c r="N128" i="8"/>
  <c r="E129" i="8"/>
  <c r="AP129" i="8"/>
  <c r="F129" i="8"/>
  <c r="AR129" i="8"/>
  <c r="H129" i="8"/>
  <c r="AT129" i="8"/>
  <c r="J129" i="8"/>
  <c r="AV129" i="8"/>
  <c r="L129" i="8"/>
  <c r="AX129" i="8"/>
  <c r="N129" i="8"/>
  <c r="E130" i="8"/>
  <c r="AP130" i="8"/>
  <c r="F130" i="8"/>
  <c r="AR130" i="8"/>
  <c r="H130" i="8"/>
  <c r="AT130" i="8"/>
  <c r="J130" i="8"/>
  <c r="AV130" i="8"/>
  <c r="L130" i="8"/>
  <c r="AX130" i="8"/>
  <c r="N130" i="8"/>
  <c r="E131" i="8"/>
  <c r="AP131" i="8"/>
  <c r="F131" i="8"/>
  <c r="AR131" i="8"/>
  <c r="H131" i="8"/>
  <c r="AT131" i="8"/>
  <c r="J131" i="8"/>
  <c r="AV131" i="8"/>
  <c r="L131" i="8"/>
  <c r="AX131" i="8"/>
  <c r="N131" i="8"/>
  <c r="E132" i="8"/>
  <c r="AP132" i="8"/>
  <c r="F132" i="8"/>
  <c r="AR132" i="8"/>
  <c r="H132" i="8"/>
  <c r="AT132" i="8"/>
  <c r="J132" i="8"/>
  <c r="AV132" i="8"/>
  <c r="L132" i="8"/>
  <c r="AX132" i="8"/>
  <c r="N132" i="8"/>
  <c r="E133" i="8"/>
  <c r="AP133" i="8"/>
  <c r="F133" i="8"/>
  <c r="AR133" i="8"/>
  <c r="H133" i="8"/>
  <c r="AT133" i="8"/>
  <c r="J133" i="8"/>
  <c r="AV133" i="8"/>
  <c r="L133" i="8"/>
  <c r="AX133" i="8"/>
  <c r="N133" i="8"/>
  <c r="E134" i="8"/>
  <c r="AP134" i="8"/>
  <c r="F134" i="8"/>
  <c r="AR134" i="8"/>
  <c r="H134" i="8"/>
  <c r="AT134" i="8"/>
  <c r="J134" i="8"/>
  <c r="AV134" i="8"/>
  <c r="L134" i="8"/>
  <c r="AX134" i="8"/>
  <c r="N134" i="8"/>
  <c r="E135" i="8"/>
  <c r="AP135" i="8"/>
  <c r="F135" i="8"/>
  <c r="AR135" i="8"/>
  <c r="H135" i="8"/>
  <c r="AT135" i="8"/>
  <c r="J135" i="8"/>
  <c r="AV135" i="8"/>
  <c r="L135" i="8"/>
  <c r="AX135" i="8"/>
  <c r="N135" i="8"/>
  <c r="E136" i="8"/>
  <c r="AP136" i="8"/>
  <c r="F136" i="8"/>
  <c r="AR136" i="8"/>
  <c r="H136" i="8"/>
  <c r="AT136" i="8"/>
  <c r="J136" i="8"/>
  <c r="AV136" i="8"/>
  <c r="L136" i="8"/>
  <c r="AX136" i="8"/>
  <c r="N136" i="8"/>
  <c r="E137" i="8"/>
  <c r="AP137" i="8"/>
  <c r="F137" i="8"/>
  <c r="AR137" i="8"/>
  <c r="H137" i="8"/>
  <c r="AT137" i="8"/>
  <c r="J137" i="8"/>
  <c r="AV137" i="8"/>
  <c r="L137" i="8"/>
  <c r="AX137" i="8"/>
  <c r="N137" i="8"/>
  <c r="E138" i="8"/>
  <c r="AP138" i="8"/>
  <c r="F138" i="8"/>
  <c r="AR138" i="8"/>
  <c r="H138" i="8"/>
  <c r="AT138" i="8"/>
  <c r="J138" i="8"/>
  <c r="AV138" i="8"/>
  <c r="L138" i="8"/>
  <c r="AX138" i="8"/>
  <c r="N138" i="8"/>
  <c r="E139" i="8"/>
  <c r="AP139" i="8"/>
  <c r="F139" i="8"/>
  <c r="AR139" i="8"/>
  <c r="H139" i="8"/>
  <c r="AT139" i="8"/>
  <c r="J139" i="8"/>
  <c r="AV139" i="8"/>
  <c r="L139" i="8"/>
  <c r="AX139" i="8"/>
  <c r="N139" i="8"/>
  <c r="E140" i="8"/>
  <c r="AP140" i="8"/>
  <c r="F140" i="8"/>
  <c r="AR140" i="8"/>
  <c r="H140" i="8"/>
  <c r="AT140" i="8"/>
  <c r="J140" i="8"/>
  <c r="AV140" i="8"/>
  <c r="L140" i="8"/>
  <c r="AX140" i="8"/>
  <c r="N140" i="8"/>
  <c r="E141" i="8"/>
  <c r="AP141" i="8"/>
  <c r="F141" i="8"/>
  <c r="AR141" i="8"/>
  <c r="H141" i="8"/>
  <c r="AT141" i="8"/>
  <c r="J141" i="8"/>
  <c r="AV141" i="8"/>
  <c r="L141" i="8"/>
  <c r="AX141" i="8"/>
  <c r="N141" i="8"/>
  <c r="E8" i="8"/>
  <c r="AP8" i="8"/>
  <c r="F8" i="8"/>
  <c r="AR8" i="8"/>
  <c r="H8" i="8"/>
  <c r="AT8" i="8"/>
  <c r="J8" i="8"/>
  <c r="AV8" i="8"/>
  <c r="L8" i="8"/>
  <c r="AX8" i="8"/>
  <c r="N8" i="8"/>
  <c r="E142" i="8"/>
  <c r="AP142" i="8"/>
  <c r="F142" i="8"/>
  <c r="AR142" i="8"/>
  <c r="H142" i="8"/>
  <c r="AT142" i="8"/>
  <c r="J142" i="8"/>
  <c r="AV142" i="8"/>
  <c r="L142" i="8"/>
  <c r="AX142" i="8"/>
  <c r="N142" i="8"/>
  <c r="E143" i="8"/>
  <c r="AP143" i="8"/>
  <c r="F143" i="8"/>
  <c r="AR143" i="8"/>
  <c r="H143" i="8"/>
  <c r="AT143" i="8"/>
  <c r="J143" i="8"/>
  <c r="AV143" i="8"/>
  <c r="L143" i="8"/>
  <c r="AX143" i="8"/>
  <c r="N143" i="8"/>
  <c r="E144" i="8"/>
  <c r="AP144" i="8"/>
  <c r="F144" i="8"/>
  <c r="AR144" i="8"/>
  <c r="H144" i="8"/>
  <c r="AT144" i="8"/>
  <c r="J144" i="8"/>
  <c r="AV144" i="8"/>
  <c r="L144" i="8"/>
  <c r="AX144" i="8"/>
  <c r="N144" i="8"/>
  <c r="E145" i="8"/>
  <c r="AP145" i="8"/>
  <c r="F145" i="8"/>
  <c r="AR145" i="8"/>
  <c r="H145" i="8"/>
  <c r="AT145" i="8"/>
  <c r="J145" i="8"/>
  <c r="AV145" i="8"/>
  <c r="L145" i="8"/>
  <c r="AX145" i="8"/>
  <c r="N145" i="8"/>
  <c r="E146" i="8"/>
  <c r="AP146" i="8"/>
  <c r="F146" i="8"/>
  <c r="AR146" i="8"/>
  <c r="H146" i="8"/>
  <c r="AT146" i="8"/>
  <c r="J146" i="8"/>
  <c r="AV146" i="8"/>
  <c r="L146" i="8"/>
  <c r="AX146" i="8"/>
  <c r="N146" i="8"/>
  <c r="E147" i="8"/>
  <c r="AP147" i="8"/>
  <c r="F147" i="8"/>
  <c r="AR147" i="8"/>
  <c r="H147" i="8"/>
  <c r="AT147" i="8"/>
  <c r="J147" i="8"/>
  <c r="AV147" i="8"/>
  <c r="L147" i="8"/>
  <c r="AX147" i="8"/>
  <c r="N147" i="8"/>
  <c r="E148" i="8"/>
  <c r="AP148" i="8"/>
  <c r="F148" i="8"/>
  <c r="AR148" i="8"/>
  <c r="H148" i="8"/>
  <c r="AT148" i="8"/>
  <c r="J148" i="8"/>
  <c r="AV148" i="8"/>
  <c r="L148" i="8"/>
  <c r="AX148" i="8"/>
  <c r="N148" i="8"/>
  <c r="E149" i="8"/>
  <c r="AP149" i="8"/>
  <c r="F149" i="8"/>
  <c r="AR149" i="8"/>
  <c r="H149" i="8"/>
  <c r="AT149" i="8"/>
  <c r="J149" i="8"/>
  <c r="AV149" i="8"/>
  <c r="L149" i="8"/>
  <c r="AX149" i="8"/>
  <c r="N149" i="8"/>
  <c r="E150" i="8"/>
  <c r="AP150" i="8"/>
  <c r="F150" i="8"/>
  <c r="AR150" i="8"/>
  <c r="H150" i="8"/>
  <c r="AT150" i="8"/>
  <c r="J150" i="8"/>
  <c r="AV150" i="8"/>
  <c r="L150" i="8"/>
  <c r="AX150" i="8"/>
  <c r="N150" i="8"/>
  <c r="E9" i="8"/>
  <c r="AP9" i="8"/>
  <c r="F9" i="8"/>
  <c r="AR9" i="8"/>
  <c r="H9" i="8"/>
  <c r="AT9" i="8"/>
  <c r="J9" i="8"/>
  <c r="AV9" i="8"/>
  <c r="L9" i="8"/>
  <c r="AX9" i="8"/>
  <c r="N9" i="8"/>
  <c r="E10" i="8"/>
  <c r="AP10" i="8"/>
  <c r="F10" i="8"/>
  <c r="AR10" i="8"/>
  <c r="H10" i="8"/>
  <c r="AT10" i="8"/>
  <c r="J10" i="8"/>
  <c r="AV10" i="8"/>
  <c r="L10" i="8"/>
  <c r="AX10" i="8"/>
  <c r="N10" i="8"/>
  <c r="E11" i="8"/>
  <c r="AP11" i="8"/>
  <c r="F11" i="8"/>
  <c r="AR11" i="8"/>
  <c r="H11" i="8"/>
  <c r="AT11" i="8"/>
  <c r="J11" i="8"/>
  <c r="AV11" i="8"/>
  <c r="L11" i="8"/>
  <c r="AX11" i="8"/>
  <c r="N11" i="8"/>
  <c r="E151" i="8"/>
  <c r="AP151" i="8"/>
  <c r="F151" i="8"/>
  <c r="AR151" i="8"/>
  <c r="H151" i="8"/>
  <c r="AT151" i="8"/>
  <c r="J151" i="8"/>
  <c r="AV151" i="8"/>
  <c r="L151" i="8"/>
  <c r="AX151" i="8"/>
  <c r="N151" i="8"/>
  <c r="AY151" i="8"/>
  <c r="O151" i="8"/>
  <c r="AZ151" i="8"/>
  <c r="P151" i="8"/>
  <c r="BA151" i="8"/>
  <c r="Q151" i="8"/>
  <c r="B151" i="8"/>
  <c r="E152" i="8"/>
  <c r="AP152" i="8"/>
  <c r="F152" i="8"/>
  <c r="AR152" i="8"/>
  <c r="H152" i="8"/>
  <c r="AT152" i="8"/>
  <c r="J152" i="8"/>
  <c r="AV152" i="8"/>
  <c r="L152" i="8"/>
  <c r="AX152" i="8"/>
  <c r="N152" i="8"/>
  <c r="AY152" i="8"/>
  <c r="O152" i="8"/>
  <c r="AZ152" i="8"/>
  <c r="P152" i="8"/>
  <c r="BA152" i="8"/>
  <c r="Q152" i="8"/>
  <c r="B152" i="8"/>
  <c r="E153" i="8"/>
  <c r="AP153" i="8"/>
  <c r="F153" i="8"/>
  <c r="AR153" i="8"/>
  <c r="H153" i="8"/>
  <c r="AT153" i="8"/>
  <c r="J153" i="8"/>
  <c r="AV153" i="8"/>
  <c r="L153" i="8"/>
  <c r="AX153" i="8"/>
  <c r="N153" i="8"/>
  <c r="AY153" i="8"/>
  <c r="O153" i="8"/>
  <c r="AZ153" i="8"/>
  <c r="P153" i="8"/>
  <c r="BA153" i="8"/>
  <c r="Q153" i="8"/>
  <c r="B153" i="8"/>
  <c r="E154" i="8"/>
  <c r="AP154" i="8"/>
  <c r="F154" i="8"/>
  <c r="AR154" i="8"/>
  <c r="H154" i="8"/>
  <c r="AT154" i="8"/>
  <c r="J154" i="8"/>
  <c r="AV154" i="8"/>
  <c r="L154" i="8"/>
  <c r="AX154" i="8"/>
  <c r="N154" i="8"/>
  <c r="AY154" i="8"/>
  <c r="O154" i="8"/>
  <c r="AZ154" i="8"/>
  <c r="P154" i="8"/>
  <c r="BA154" i="8"/>
  <c r="Q154" i="8"/>
  <c r="B154" i="8"/>
  <c r="E155" i="8"/>
  <c r="AP155" i="8"/>
  <c r="F155" i="8"/>
  <c r="AR155" i="8"/>
  <c r="H155" i="8"/>
  <c r="AT155" i="8"/>
  <c r="J155" i="8"/>
  <c r="AV155" i="8"/>
  <c r="L155" i="8"/>
  <c r="AX155" i="8"/>
  <c r="N155" i="8"/>
  <c r="AY155" i="8"/>
  <c r="O155" i="8"/>
  <c r="AZ155" i="8"/>
  <c r="P155" i="8"/>
  <c r="BA155" i="8"/>
  <c r="Q155" i="8"/>
  <c r="B155" i="8"/>
  <c r="E156" i="8"/>
  <c r="AP156" i="8"/>
  <c r="F156" i="8"/>
  <c r="AR156" i="8"/>
  <c r="H156" i="8"/>
  <c r="AT156" i="8"/>
  <c r="J156" i="8"/>
  <c r="AV156" i="8"/>
  <c r="L156" i="8"/>
  <c r="AX156" i="8"/>
  <c r="N156" i="8"/>
  <c r="AY156" i="8"/>
  <c r="O156" i="8"/>
  <c r="AZ156" i="8"/>
  <c r="P156" i="8"/>
  <c r="BA156" i="8"/>
  <c r="Q156" i="8"/>
  <c r="B156" i="8"/>
  <c r="E157" i="8"/>
  <c r="AP157" i="8"/>
  <c r="F157" i="8"/>
  <c r="AR157" i="8"/>
  <c r="H157" i="8"/>
  <c r="AT157" i="8"/>
  <c r="J157" i="8"/>
  <c r="AV157" i="8"/>
  <c r="L157" i="8"/>
  <c r="AX157" i="8"/>
  <c r="N157" i="8"/>
  <c r="AY157" i="8"/>
  <c r="O157" i="8"/>
  <c r="AZ157" i="8"/>
  <c r="P157" i="8"/>
  <c r="BA157" i="8"/>
  <c r="Q157" i="8"/>
  <c r="B157" i="8"/>
  <c r="E158" i="8"/>
  <c r="AP158" i="8"/>
  <c r="F158" i="8"/>
  <c r="AR158" i="8"/>
  <c r="H158" i="8"/>
  <c r="AT158" i="8"/>
  <c r="J158" i="8"/>
  <c r="AV158" i="8"/>
  <c r="L158" i="8"/>
  <c r="AX158" i="8"/>
  <c r="N158" i="8"/>
  <c r="AY158" i="8"/>
  <c r="O158" i="8"/>
  <c r="AZ158" i="8"/>
  <c r="P158" i="8"/>
  <c r="BA158" i="8"/>
  <c r="Q158" i="8"/>
  <c r="B158" i="8"/>
  <c r="E159" i="8"/>
  <c r="AP159" i="8"/>
  <c r="F159" i="8"/>
  <c r="AR159" i="8"/>
  <c r="H159" i="8"/>
  <c r="AT159" i="8"/>
  <c r="J159" i="8"/>
  <c r="AV159" i="8"/>
  <c r="L159" i="8"/>
  <c r="AX159" i="8"/>
  <c r="N159" i="8"/>
  <c r="AY159" i="8"/>
  <c r="O159" i="8"/>
  <c r="AZ159" i="8"/>
  <c r="P159" i="8"/>
  <c r="BA159" i="8"/>
  <c r="Q159" i="8"/>
  <c r="B159" i="8"/>
  <c r="E160" i="8"/>
  <c r="AP160" i="8"/>
  <c r="F160" i="8"/>
  <c r="AR160" i="8"/>
  <c r="H160" i="8"/>
  <c r="AT160" i="8"/>
  <c r="J160" i="8"/>
  <c r="AV160" i="8"/>
  <c r="L160" i="8"/>
  <c r="AX160" i="8"/>
  <c r="N160" i="8"/>
  <c r="AY160" i="8"/>
  <c r="O160" i="8"/>
  <c r="AZ160" i="8"/>
  <c r="P160" i="8"/>
  <c r="BA160" i="8"/>
  <c r="Q160" i="8"/>
  <c r="B160" i="8"/>
  <c r="E161" i="8"/>
  <c r="AP161" i="8"/>
  <c r="F161" i="8"/>
  <c r="AR161" i="8"/>
  <c r="H161" i="8"/>
  <c r="AT161" i="8"/>
  <c r="J161" i="8"/>
  <c r="AV161" i="8"/>
  <c r="L161" i="8"/>
  <c r="AX161" i="8"/>
  <c r="N161" i="8"/>
  <c r="AY161" i="8"/>
  <c r="O161" i="8"/>
  <c r="AZ161" i="8"/>
  <c r="P161" i="8"/>
  <c r="BA161" i="8"/>
  <c r="Q161" i="8"/>
  <c r="B161" i="8"/>
  <c r="E162" i="8"/>
  <c r="AP162" i="8"/>
  <c r="F162" i="8"/>
  <c r="AR162" i="8"/>
  <c r="H162" i="8"/>
  <c r="AT162" i="8"/>
  <c r="J162" i="8"/>
  <c r="AV162" i="8"/>
  <c r="L162" i="8"/>
  <c r="AX162" i="8"/>
  <c r="N162" i="8"/>
  <c r="AY162" i="8"/>
  <c r="O162" i="8"/>
  <c r="AZ162" i="8"/>
  <c r="P162" i="8"/>
  <c r="BA162" i="8"/>
  <c r="Q162" i="8"/>
  <c r="B162" i="8"/>
  <c r="E163" i="8"/>
  <c r="AP163" i="8"/>
  <c r="F163" i="8"/>
  <c r="AR163" i="8"/>
  <c r="H163" i="8"/>
  <c r="AT163" i="8"/>
  <c r="J163" i="8"/>
  <c r="AV163" i="8"/>
  <c r="L163" i="8"/>
  <c r="AX163" i="8"/>
  <c r="N163" i="8"/>
  <c r="AY163" i="8"/>
  <c r="O163" i="8"/>
  <c r="AZ163" i="8"/>
  <c r="P163" i="8"/>
  <c r="BA163" i="8"/>
  <c r="Q163" i="8"/>
  <c r="B163" i="8"/>
  <c r="E164" i="8"/>
  <c r="AP164" i="8"/>
  <c r="F164" i="8"/>
  <c r="AR164" i="8"/>
  <c r="H164" i="8"/>
  <c r="AT164" i="8"/>
  <c r="J164" i="8"/>
  <c r="AV164" i="8"/>
  <c r="L164" i="8"/>
  <c r="AX164" i="8"/>
  <c r="N164" i="8"/>
  <c r="AY164" i="8"/>
  <c r="O164" i="8"/>
  <c r="AZ164" i="8"/>
  <c r="P164" i="8"/>
  <c r="BA164" i="8"/>
  <c r="Q164" i="8"/>
  <c r="B164" i="8"/>
  <c r="E165" i="8"/>
  <c r="AP165" i="8"/>
  <c r="F165" i="8"/>
  <c r="AR165" i="8"/>
  <c r="H165" i="8"/>
  <c r="AT165" i="8"/>
  <c r="J165" i="8"/>
  <c r="AV165" i="8"/>
  <c r="L165" i="8"/>
  <c r="AX165" i="8"/>
  <c r="N165" i="8"/>
  <c r="AY165" i="8"/>
  <c r="O165" i="8"/>
  <c r="AZ165" i="8"/>
  <c r="P165" i="8"/>
  <c r="BA165" i="8"/>
  <c r="Q165" i="8"/>
  <c r="B165" i="8"/>
  <c r="E166" i="8"/>
  <c r="AP166" i="8"/>
  <c r="F166" i="8"/>
  <c r="AR166" i="8"/>
  <c r="H166" i="8"/>
  <c r="AT166" i="8"/>
  <c r="J166" i="8"/>
  <c r="AV166" i="8"/>
  <c r="L166" i="8"/>
  <c r="AX166" i="8"/>
  <c r="N166" i="8"/>
  <c r="AY166" i="8"/>
  <c r="O166" i="8"/>
  <c r="AZ166" i="8"/>
  <c r="P166" i="8"/>
  <c r="BA166" i="8"/>
  <c r="Q166" i="8"/>
  <c r="B166" i="8"/>
  <c r="E167" i="8"/>
  <c r="AP167" i="8"/>
  <c r="F167" i="8"/>
  <c r="AR167" i="8"/>
  <c r="H167" i="8"/>
  <c r="AT167" i="8"/>
  <c r="J167" i="8"/>
  <c r="AV167" i="8"/>
  <c r="L167" i="8"/>
  <c r="AX167" i="8"/>
  <c r="N167" i="8"/>
  <c r="AY167" i="8"/>
  <c r="O167" i="8"/>
  <c r="AZ167" i="8"/>
  <c r="P167" i="8"/>
  <c r="BA167" i="8"/>
  <c r="Q167" i="8"/>
  <c r="B167" i="8"/>
  <c r="E168" i="8"/>
  <c r="AP168" i="8"/>
  <c r="F168" i="8"/>
  <c r="AR168" i="8"/>
  <c r="H168" i="8"/>
  <c r="AT168" i="8"/>
  <c r="J168" i="8"/>
  <c r="AV168" i="8"/>
  <c r="L168" i="8"/>
  <c r="AX168" i="8"/>
  <c r="N168" i="8"/>
  <c r="AY168" i="8"/>
  <c r="O168" i="8"/>
  <c r="AZ168" i="8"/>
  <c r="P168" i="8"/>
  <c r="BA168" i="8"/>
  <c r="Q168" i="8"/>
  <c r="B168" i="8"/>
  <c r="E169" i="8"/>
  <c r="AP169" i="8"/>
  <c r="F169" i="8"/>
  <c r="AR169" i="8"/>
  <c r="H169" i="8"/>
  <c r="AT169" i="8"/>
  <c r="J169" i="8"/>
  <c r="AV169" i="8"/>
  <c r="L169" i="8"/>
  <c r="AX169" i="8"/>
  <c r="N169" i="8"/>
  <c r="AY169" i="8"/>
  <c r="O169" i="8"/>
  <c r="AZ169" i="8"/>
  <c r="P169" i="8"/>
  <c r="BA169" i="8"/>
  <c r="Q169" i="8"/>
  <c r="B169" i="8"/>
  <c r="E170" i="8"/>
  <c r="AP170" i="8"/>
  <c r="F170" i="8"/>
  <c r="AR170" i="8"/>
  <c r="H170" i="8"/>
  <c r="AT170" i="8"/>
  <c r="J170" i="8"/>
  <c r="AV170" i="8"/>
  <c r="L170" i="8"/>
  <c r="AX170" i="8"/>
  <c r="N170" i="8"/>
  <c r="AY170" i="8"/>
  <c r="O170" i="8"/>
  <c r="AZ170" i="8"/>
  <c r="P170" i="8"/>
  <c r="BA170" i="8"/>
  <c r="Q170" i="8"/>
  <c r="B170" i="8"/>
  <c r="E171" i="8"/>
  <c r="AP171" i="8"/>
  <c r="F171" i="8"/>
  <c r="AR171" i="8"/>
  <c r="H171" i="8"/>
  <c r="AT171" i="8"/>
  <c r="J171" i="8"/>
  <c r="AV171" i="8"/>
  <c r="L171" i="8"/>
  <c r="AX171" i="8"/>
  <c r="N171" i="8"/>
  <c r="AY171" i="8"/>
  <c r="O171" i="8"/>
  <c r="AZ171" i="8"/>
  <c r="P171" i="8"/>
  <c r="BA171" i="8"/>
  <c r="Q171" i="8"/>
  <c r="B171" i="8"/>
  <c r="E172" i="8"/>
  <c r="AP172" i="8"/>
  <c r="F172" i="8"/>
  <c r="AR172" i="8"/>
  <c r="H172" i="8"/>
  <c r="AT172" i="8"/>
  <c r="J172" i="8"/>
  <c r="AV172" i="8"/>
  <c r="L172" i="8"/>
  <c r="AX172" i="8"/>
  <c r="N172" i="8"/>
  <c r="AY172" i="8"/>
  <c r="O172" i="8"/>
  <c r="AZ172" i="8"/>
  <c r="P172" i="8"/>
  <c r="BA172" i="8"/>
  <c r="Q172" i="8"/>
  <c r="B172" i="8"/>
  <c r="E12" i="8"/>
  <c r="AP12" i="8"/>
  <c r="F12" i="8"/>
  <c r="AR12" i="8"/>
  <c r="H12" i="8"/>
  <c r="AT12" i="8"/>
  <c r="J12" i="8"/>
  <c r="AV12" i="8"/>
  <c r="L12" i="8"/>
  <c r="AX12" i="8"/>
  <c r="N12" i="8"/>
  <c r="AY12" i="8"/>
  <c r="O12" i="8"/>
  <c r="AZ12" i="8"/>
  <c r="P12" i="8"/>
  <c r="BA12" i="8"/>
  <c r="Q12" i="8"/>
  <c r="B12" i="8"/>
  <c r="E173" i="8"/>
  <c r="AP173" i="8"/>
  <c r="F173" i="8"/>
  <c r="AR173" i="8"/>
  <c r="H173" i="8"/>
  <c r="AT173" i="8"/>
  <c r="J173" i="8"/>
  <c r="AV173" i="8"/>
  <c r="L173" i="8"/>
  <c r="AX173" i="8"/>
  <c r="N173" i="8"/>
  <c r="AY173" i="8"/>
  <c r="O173" i="8"/>
  <c r="AZ173" i="8"/>
  <c r="P173" i="8"/>
  <c r="BA173" i="8"/>
  <c r="Q173" i="8"/>
  <c r="B173" i="8"/>
  <c r="E174" i="8"/>
  <c r="AP174" i="8"/>
  <c r="F174" i="8"/>
  <c r="AR174" i="8"/>
  <c r="H174" i="8"/>
  <c r="AT174" i="8"/>
  <c r="J174" i="8"/>
  <c r="AV174" i="8"/>
  <c r="L174" i="8"/>
  <c r="AX174" i="8"/>
  <c r="N174" i="8"/>
  <c r="AY174" i="8"/>
  <c r="O174" i="8"/>
  <c r="AZ174" i="8"/>
  <c r="P174" i="8"/>
  <c r="BA174" i="8"/>
  <c r="Q174" i="8"/>
  <c r="B174" i="8"/>
  <c r="E175" i="8"/>
  <c r="AP175" i="8"/>
  <c r="F175" i="8"/>
  <c r="AR175" i="8"/>
  <c r="H175" i="8"/>
  <c r="AT175" i="8"/>
  <c r="J175" i="8"/>
  <c r="AV175" i="8"/>
  <c r="L175" i="8"/>
  <c r="AX175" i="8"/>
  <c r="N175" i="8"/>
  <c r="AY175" i="8"/>
  <c r="O175" i="8"/>
  <c r="AZ175" i="8"/>
  <c r="P175" i="8"/>
  <c r="BA175" i="8"/>
  <c r="Q175" i="8"/>
  <c r="B175" i="8"/>
  <c r="E176" i="8"/>
  <c r="AP176" i="8"/>
  <c r="F176" i="8"/>
  <c r="AR176" i="8"/>
  <c r="H176" i="8"/>
  <c r="AT176" i="8"/>
  <c r="J176" i="8"/>
  <c r="AV176" i="8"/>
  <c r="L176" i="8"/>
  <c r="AX176" i="8"/>
  <c r="N176" i="8"/>
  <c r="AY176" i="8"/>
  <c r="O176" i="8"/>
  <c r="AZ176" i="8"/>
  <c r="P176" i="8"/>
  <c r="BA176" i="8"/>
  <c r="Q176" i="8"/>
  <c r="B176" i="8"/>
  <c r="E177" i="8"/>
  <c r="AP177" i="8"/>
  <c r="F177" i="8"/>
  <c r="AR177" i="8"/>
  <c r="H177" i="8"/>
  <c r="AT177" i="8"/>
  <c r="J177" i="8"/>
  <c r="AV177" i="8"/>
  <c r="L177" i="8"/>
  <c r="AX177" i="8"/>
  <c r="N177" i="8"/>
  <c r="AY177" i="8"/>
  <c r="O177" i="8"/>
  <c r="AZ177" i="8"/>
  <c r="P177" i="8"/>
  <c r="BA177" i="8"/>
  <c r="Q177" i="8"/>
  <c r="B177" i="8"/>
  <c r="E178" i="8"/>
  <c r="AP178" i="8"/>
  <c r="F178" i="8"/>
  <c r="AR178" i="8"/>
  <c r="H178" i="8"/>
  <c r="AT178" i="8"/>
  <c r="J178" i="8"/>
  <c r="AV178" i="8"/>
  <c r="L178" i="8"/>
  <c r="AX178" i="8"/>
  <c r="N178" i="8"/>
  <c r="AY178" i="8"/>
  <c r="O178" i="8"/>
  <c r="AZ178" i="8"/>
  <c r="P178" i="8"/>
  <c r="BA178" i="8"/>
  <c r="Q178" i="8"/>
  <c r="B178" i="8"/>
  <c r="E179" i="8"/>
  <c r="AP179" i="8"/>
  <c r="F179" i="8"/>
  <c r="AR179" i="8"/>
  <c r="H179" i="8"/>
  <c r="AT179" i="8"/>
  <c r="J179" i="8"/>
  <c r="AV179" i="8"/>
  <c r="L179" i="8"/>
  <c r="AX179" i="8"/>
  <c r="N179" i="8"/>
  <c r="AY179" i="8"/>
  <c r="O179" i="8"/>
  <c r="AZ179" i="8"/>
  <c r="P179" i="8"/>
  <c r="BA179" i="8"/>
  <c r="Q179" i="8"/>
  <c r="B179" i="8"/>
  <c r="E180" i="8"/>
  <c r="AP180" i="8"/>
  <c r="F180" i="8"/>
  <c r="AR180" i="8"/>
  <c r="H180" i="8"/>
  <c r="AT180" i="8"/>
  <c r="J180" i="8"/>
  <c r="AV180" i="8"/>
  <c r="L180" i="8"/>
  <c r="AX180" i="8"/>
  <c r="N180" i="8"/>
  <c r="AY180" i="8"/>
  <c r="O180" i="8"/>
  <c r="AZ180" i="8"/>
  <c r="P180" i="8"/>
  <c r="BA180" i="8"/>
  <c r="Q180" i="8"/>
  <c r="B180" i="8"/>
  <c r="E181" i="8"/>
  <c r="AP181" i="8"/>
  <c r="F181" i="8"/>
  <c r="AR181" i="8"/>
  <c r="H181" i="8"/>
  <c r="AT181" i="8"/>
  <c r="J181" i="8"/>
  <c r="AV181" i="8"/>
  <c r="L181" i="8"/>
  <c r="AX181" i="8"/>
  <c r="N181" i="8"/>
  <c r="AY181" i="8"/>
  <c r="O181" i="8"/>
  <c r="AZ181" i="8"/>
  <c r="P181" i="8"/>
  <c r="BA181" i="8"/>
  <c r="Q181" i="8"/>
  <c r="B181" i="8"/>
  <c r="E182" i="8"/>
  <c r="AP182" i="8"/>
  <c r="F182" i="8"/>
  <c r="AR182" i="8"/>
  <c r="H182" i="8"/>
  <c r="AT182" i="8"/>
  <c r="J182" i="8"/>
  <c r="AV182" i="8"/>
  <c r="L182" i="8"/>
  <c r="AX182" i="8"/>
  <c r="N182" i="8"/>
  <c r="AY182" i="8"/>
  <c r="O182" i="8"/>
  <c r="AZ182" i="8"/>
  <c r="P182" i="8"/>
  <c r="BA182" i="8"/>
  <c r="Q182" i="8"/>
  <c r="B182" i="8"/>
  <c r="E13" i="8"/>
  <c r="AP13" i="8"/>
  <c r="F13" i="8"/>
  <c r="AR13" i="8"/>
  <c r="H13" i="8"/>
  <c r="AT13" i="8"/>
  <c r="J13" i="8"/>
  <c r="AV13" i="8"/>
  <c r="L13" i="8"/>
  <c r="AX13" i="8"/>
  <c r="N13" i="8"/>
  <c r="AY13" i="8"/>
  <c r="O13" i="8"/>
  <c r="AZ13" i="8"/>
  <c r="P13" i="8"/>
  <c r="BA13" i="8"/>
  <c r="Q13" i="8"/>
  <c r="B13" i="8"/>
  <c r="E183" i="8"/>
  <c r="AP183" i="8"/>
  <c r="F183" i="8"/>
  <c r="AR183" i="8"/>
  <c r="H183" i="8"/>
  <c r="AT183" i="8"/>
  <c r="J183" i="8"/>
  <c r="AV183" i="8"/>
  <c r="L183" i="8"/>
  <c r="AX183" i="8"/>
  <c r="N183" i="8"/>
  <c r="AY183" i="8"/>
  <c r="O183" i="8"/>
  <c r="AZ183" i="8"/>
  <c r="P183" i="8"/>
  <c r="BA183" i="8"/>
  <c r="Q183" i="8"/>
  <c r="B183" i="8"/>
  <c r="E184" i="8"/>
  <c r="AP184" i="8"/>
  <c r="F184" i="8"/>
  <c r="AR184" i="8"/>
  <c r="H184" i="8"/>
  <c r="AT184" i="8"/>
  <c r="J184" i="8"/>
  <c r="AV184" i="8"/>
  <c r="L184" i="8"/>
  <c r="AX184" i="8"/>
  <c r="N184" i="8"/>
  <c r="AY184" i="8"/>
  <c r="O184" i="8"/>
  <c r="AZ184" i="8"/>
  <c r="P184" i="8"/>
  <c r="BA184" i="8"/>
  <c r="Q184" i="8"/>
  <c r="B184" i="8"/>
  <c r="E185" i="8"/>
  <c r="AP185" i="8"/>
  <c r="F185" i="8"/>
  <c r="AR185" i="8"/>
  <c r="H185" i="8"/>
  <c r="AT185" i="8"/>
  <c r="J185" i="8"/>
  <c r="AV185" i="8"/>
  <c r="L185" i="8"/>
  <c r="AX185" i="8"/>
  <c r="N185" i="8"/>
  <c r="AY185" i="8"/>
  <c r="O185" i="8"/>
  <c r="AZ185" i="8"/>
  <c r="P185" i="8"/>
  <c r="BA185" i="8"/>
  <c r="Q185" i="8"/>
  <c r="B185" i="8"/>
  <c r="E186" i="8"/>
  <c r="AP186" i="8"/>
  <c r="F186" i="8"/>
  <c r="AR186" i="8"/>
  <c r="H186" i="8"/>
  <c r="AT186" i="8"/>
  <c r="J186" i="8"/>
  <c r="AV186" i="8"/>
  <c r="L186" i="8"/>
  <c r="AX186" i="8"/>
  <c r="N186" i="8"/>
  <c r="E187" i="8"/>
  <c r="AP187" i="8"/>
  <c r="F187" i="8"/>
  <c r="AR187" i="8"/>
  <c r="H187" i="8"/>
  <c r="AT187" i="8"/>
  <c r="J187" i="8"/>
  <c r="AV187" i="8"/>
  <c r="L187" i="8"/>
  <c r="AX187" i="8"/>
  <c r="N187" i="8"/>
  <c r="E188" i="8"/>
  <c r="AP188" i="8"/>
  <c r="F188" i="8"/>
  <c r="AR188" i="8"/>
  <c r="H188" i="8"/>
  <c r="AT188" i="8"/>
  <c r="J188" i="8"/>
  <c r="AV188" i="8"/>
  <c r="L188" i="8"/>
  <c r="AX188" i="8"/>
  <c r="N188" i="8"/>
  <c r="E189" i="8"/>
  <c r="AP189" i="8"/>
  <c r="F189" i="8"/>
  <c r="AR189" i="8"/>
  <c r="H189" i="8"/>
  <c r="AT189" i="8"/>
  <c r="J189" i="8"/>
  <c r="AV189" i="8"/>
  <c r="L189" i="8"/>
  <c r="AX189" i="8"/>
  <c r="N189" i="8"/>
  <c r="E190" i="8"/>
  <c r="AP190" i="8"/>
  <c r="F190" i="8"/>
  <c r="AR190" i="8"/>
  <c r="H190" i="8"/>
  <c r="AT190" i="8"/>
  <c r="J190" i="8"/>
  <c r="AV190" i="8"/>
  <c r="L190" i="8"/>
  <c r="AX190" i="8"/>
  <c r="N190" i="8"/>
  <c r="E191" i="8"/>
  <c r="AP191" i="8"/>
  <c r="F191" i="8"/>
  <c r="AR191" i="8"/>
  <c r="H191" i="8"/>
  <c r="AT191" i="8"/>
  <c r="J191" i="8"/>
  <c r="AV191" i="8"/>
  <c r="L191" i="8"/>
  <c r="AX191" i="8"/>
  <c r="N191" i="8"/>
  <c r="E192" i="8"/>
  <c r="AP192" i="8"/>
  <c r="F192" i="8"/>
  <c r="AR192" i="8"/>
  <c r="H192" i="8"/>
  <c r="AT192" i="8"/>
  <c r="J192" i="8"/>
  <c r="AV192" i="8"/>
  <c r="L192" i="8"/>
  <c r="AX192" i="8"/>
  <c r="N192" i="8"/>
  <c r="E193" i="8"/>
  <c r="AP193" i="8"/>
  <c r="F193" i="8"/>
  <c r="AR193" i="8"/>
  <c r="H193" i="8"/>
  <c r="AT193" i="8"/>
  <c r="J193" i="8"/>
  <c r="AV193" i="8"/>
  <c r="L193" i="8"/>
  <c r="AX193" i="8"/>
  <c r="N193" i="8"/>
  <c r="E194" i="8"/>
  <c r="AP194" i="8"/>
  <c r="F194" i="8"/>
  <c r="AR194" i="8"/>
  <c r="H194" i="8"/>
  <c r="AT194" i="8"/>
  <c r="J194" i="8"/>
  <c r="AV194" i="8"/>
  <c r="L194" i="8"/>
  <c r="AX194" i="8"/>
  <c r="N194" i="8"/>
  <c r="E14" i="8"/>
  <c r="AP14" i="8"/>
  <c r="F14" i="8"/>
  <c r="AR14" i="8"/>
  <c r="H14" i="8"/>
  <c r="AT14" i="8"/>
  <c r="J14" i="8"/>
  <c r="AV14" i="8"/>
  <c r="L14" i="8"/>
  <c r="AX14" i="8"/>
  <c r="N14" i="8"/>
  <c r="E195" i="8"/>
  <c r="AP195" i="8"/>
  <c r="F195" i="8"/>
  <c r="AR195" i="8"/>
  <c r="H195" i="8"/>
  <c r="AT195" i="8"/>
  <c r="J195" i="8"/>
  <c r="AV195" i="8"/>
  <c r="L195" i="8"/>
  <c r="AX195" i="8"/>
  <c r="N195" i="8"/>
  <c r="E196" i="8"/>
  <c r="AP196" i="8"/>
  <c r="F196" i="8"/>
  <c r="AR196" i="8"/>
  <c r="H196" i="8"/>
  <c r="AT196" i="8"/>
  <c r="J196" i="8"/>
  <c r="AV196" i="8"/>
  <c r="L196" i="8"/>
  <c r="AX196" i="8"/>
  <c r="N196" i="8"/>
  <c r="E197" i="8"/>
  <c r="AP197" i="8"/>
  <c r="F197" i="8"/>
  <c r="AR197" i="8"/>
  <c r="H197" i="8"/>
  <c r="AT197" i="8"/>
  <c r="J197" i="8"/>
  <c r="AV197" i="8"/>
  <c r="L197" i="8"/>
  <c r="AX197" i="8"/>
  <c r="N197" i="8"/>
  <c r="E198" i="8"/>
  <c r="AP198" i="8"/>
  <c r="F198" i="8"/>
  <c r="AR198" i="8"/>
  <c r="H198" i="8"/>
  <c r="AT198" i="8"/>
  <c r="J198" i="8"/>
  <c r="AV198" i="8"/>
  <c r="L198" i="8"/>
  <c r="AX198" i="8"/>
  <c r="N198" i="8"/>
  <c r="E199" i="8"/>
  <c r="AP199" i="8"/>
  <c r="F199" i="8"/>
  <c r="AR199" i="8"/>
  <c r="H199" i="8"/>
  <c r="AT199" i="8"/>
  <c r="J199" i="8"/>
  <c r="AV199" i="8"/>
  <c r="L199" i="8"/>
  <c r="AX199" i="8"/>
  <c r="N199" i="8"/>
  <c r="E200" i="8"/>
  <c r="AP200" i="8"/>
  <c r="F200" i="8"/>
  <c r="AR200" i="8"/>
  <c r="H200" i="8"/>
  <c r="AT200" i="8"/>
  <c r="J200" i="8"/>
  <c r="AV200" i="8"/>
  <c r="L200" i="8"/>
  <c r="AX200" i="8"/>
  <c r="N200" i="8"/>
  <c r="E201" i="8"/>
  <c r="AP201" i="8"/>
  <c r="F201" i="8"/>
  <c r="AR201" i="8"/>
  <c r="H201" i="8"/>
  <c r="AT201" i="8"/>
  <c r="J201" i="8"/>
  <c r="AV201" i="8"/>
  <c r="L201" i="8"/>
  <c r="AX201" i="8"/>
  <c r="N201" i="8"/>
  <c r="E15" i="8"/>
  <c r="AP15" i="8"/>
  <c r="F15" i="8"/>
  <c r="AR15" i="8"/>
  <c r="H15" i="8"/>
  <c r="AT15" i="8"/>
  <c r="J15" i="8"/>
  <c r="AV15" i="8"/>
  <c r="L15" i="8"/>
  <c r="AX15" i="8"/>
  <c r="N15" i="8"/>
  <c r="E202" i="8"/>
  <c r="AP202" i="8"/>
  <c r="F202" i="8"/>
  <c r="AR202" i="8"/>
  <c r="H202" i="8"/>
  <c r="AT202" i="8"/>
  <c r="J202" i="8"/>
  <c r="AV202" i="8"/>
  <c r="L202" i="8"/>
  <c r="AX202" i="8"/>
  <c r="N202" i="8"/>
  <c r="E203" i="8"/>
  <c r="AP203" i="8"/>
  <c r="F203" i="8"/>
  <c r="AR203" i="8"/>
  <c r="H203" i="8"/>
  <c r="AT203" i="8"/>
  <c r="J203" i="8"/>
  <c r="AV203" i="8"/>
  <c r="L203" i="8"/>
  <c r="AX203" i="8"/>
  <c r="N203" i="8"/>
  <c r="E16" i="8"/>
  <c r="AP16" i="8"/>
  <c r="F16" i="8"/>
  <c r="AR16" i="8"/>
  <c r="H16" i="8"/>
  <c r="AT16" i="8"/>
  <c r="J16" i="8"/>
  <c r="AV16" i="8"/>
  <c r="L16" i="8"/>
  <c r="AX16" i="8"/>
  <c r="N16" i="8"/>
  <c r="E204" i="8"/>
  <c r="AP204" i="8"/>
  <c r="F204" i="8"/>
  <c r="AR204" i="8"/>
  <c r="H204" i="8"/>
  <c r="AT204" i="8"/>
  <c r="J204" i="8"/>
  <c r="AV204" i="8"/>
  <c r="L204" i="8"/>
  <c r="AX204" i="8"/>
  <c r="N204" i="8"/>
  <c r="E205" i="8"/>
  <c r="AP205" i="8"/>
  <c r="F205" i="8"/>
  <c r="AR205" i="8"/>
  <c r="H205" i="8"/>
  <c r="AT205" i="8"/>
  <c r="J205" i="8"/>
  <c r="AV205" i="8"/>
  <c r="L205" i="8"/>
  <c r="AX205" i="8"/>
  <c r="N205" i="8"/>
  <c r="E206" i="8"/>
  <c r="AP206" i="8"/>
  <c r="F206" i="8"/>
  <c r="AR206" i="8"/>
  <c r="H206" i="8"/>
  <c r="AT206" i="8"/>
  <c r="J206" i="8"/>
  <c r="AV206" i="8"/>
  <c r="L206" i="8"/>
  <c r="AX206" i="8"/>
  <c r="N206" i="8"/>
  <c r="E207" i="8"/>
  <c r="AP207" i="8"/>
  <c r="F207" i="8"/>
  <c r="AR207" i="8"/>
  <c r="H207" i="8"/>
  <c r="AT207" i="8"/>
  <c r="J207" i="8"/>
  <c r="AV207" i="8"/>
  <c r="L207" i="8"/>
  <c r="AX207" i="8"/>
  <c r="N207" i="8"/>
  <c r="E208" i="8"/>
  <c r="AP208" i="8"/>
  <c r="F208" i="8"/>
  <c r="AR208" i="8"/>
  <c r="H208" i="8"/>
  <c r="AT208" i="8"/>
  <c r="J208" i="8"/>
  <c r="AV208" i="8"/>
  <c r="L208" i="8"/>
  <c r="AX208" i="8"/>
  <c r="N208" i="8"/>
  <c r="AY208" i="8"/>
  <c r="O208" i="8"/>
  <c r="AZ208" i="8"/>
  <c r="P208" i="8"/>
  <c r="BA208" i="8"/>
  <c r="Q208" i="8"/>
  <c r="B208" i="8"/>
  <c r="E209" i="8"/>
  <c r="AP209" i="8"/>
  <c r="F209" i="8"/>
  <c r="AR209" i="8"/>
  <c r="H209" i="8"/>
  <c r="AT209" i="8"/>
  <c r="J209" i="8"/>
  <c r="AV209" i="8"/>
  <c r="L209" i="8"/>
  <c r="AX209" i="8"/>
  <c r="N209" i="8"/>
  <c r="AY209" i="8"/>
  <c r="O209" i="8"/>
  <c r="AZ209" i="8"/>
  <c r="P209" i="8"/>
  <c r="BA209" i="8"/>
  <c r="Q209" i="8"/>
  <c r="B209" i="8"/>
  <c r="E17" i="8"/>
  <c r="AP17" i="8"/>
  <c r="F17" i="8"/>
  <c r="AR17" i="8"/>
  <c r="H17" i="8"/>
  <c r="AT17" i="8"/>
  <c r="J17" i="8"/>
  <c r="AV17" i="8"/>
  <c r="L17" i="8"/>
  <c r="AX17" i="8"/>
  <c r="N17" i="8"/>
  <c r="AY17" i="8"/>
  <c r="O17" i="8"/>
  <c r="AZ17" i="8"/>
  <c r="P17" i="8"/>
  <c r="BA17" i="8"/>
  <c r="Q17" i="8"/>
  <c r="B17" i="8"/>
  <c r="E210" i="8"/>
  <c r="AP210" i="8"/>
  <c r="F210" i="8"/>
  <c r="AR210" i="8"/>
  <c r="H210" i="8"/>
  <c r="AT210" i="8"/>
  <c r="J210" i="8"/>
  <c r="AV210" i="8"/>
  <c r="L210" i="8"/>
  <c r="AX210" i="8"/>
  <c r="N210" i="8"/>
  <c r="AY210" i="8"/>
  <c r="O210" i="8"/>
  <c r="AZ210" i="8"/>
  <c r="P210" i="8"/>
  <c r="BA210" i="8"/>
  <c r="Q210" i="8"/>
  <c r="B210" i="8"/>
  <c r="E211" i="8"/>
  <c r="AP211" i="8"/>
  <c r="F211" i="8"/>
  <c r="AR211" i="8"/>
  <c r="H211" i="8"/>
  <c r="AT211" i="8"/>
  <c r="J211" i="8"/>
  <c r="AV211" i="8"/>
  <c r="L211" i="8"/>
  <c r="AX211" i="8"/>
  <c r="N211" i="8"/>
  <c r="AY211" i="8"/>
  <c r="O211" i="8"/>
  <c r="AZ211" i="8"/>
  <c r="P211" i="8"/>
  <c r="BA211" i="8"/>
  <c r="Q211" i="8"/>
  <c r="B211" i="8"/>
  <c r="E212" i="8"/>
  <c r="AP212" i="8"/>
  <c r="F212" i="8"/>
  <c r="AR212" i="8"/>
  <c r="H212" i="8"/>
  <c r="AT212" i="8"/>
  <c r="J212" i="8"/>
  <c r="AV212" i="8"/>
  <c r="L212" i="8"/>
  <c r="AX212" i="8"/>
  <c r="N212" i="8"/>
  <c r="AY212" i="8"/>
  <c r="O212" i="8"/>
  <c r="AZ212" i="8"/>
  <c r="P212" i="8"/>
  <c r="BA212" i="8"/>
  <c r="Q212" i="8"/>
  <c r="B212" i="8"/>
  <c r="E213" i="8"/>
  <c r="AP213" i="8"/>
  <c r="F213" i="8"/>
  <c r="AR213" i="8"/>
  <c r="H213" i="8"/>
  <c r="AT213" i="8"/>
  <c r="J213" i="8"/>
  <c r="AV213" i="8"/>
  <c r="L213" i="8"/>
  <c r="AX213" i="8"/>
  <c r="N213" i="8"/>
  <c r="AY213" i="8"/>
  <c r="O213" i="8"/>
  <c r="AZ213" i="8"/>
  <c r="P213" i="8"/>
  <c r="BA213" i="8"/>
  <c r="Q213" i="8"/>
  <c r="B213" i="8"/>
  <c r="E214" i="8"/>
  <c r="AP214" i="8"/>
  <c r="F214" i="8"/>
  <c r="AR214" i="8"/>
  <c r="H214" i="8"/>
  <c r="AT214" i="8"/>
  <c r="J214" i="8"/>
  <c r="AV214" i="8"/>
  <c r="L214" i="8"/>
  <c r="AX214" i="8"/>
  <c r="N214" i="8"/>
  <c r="AY214" i="8"/>
  <c r="O214" i="8"/>
  <c r="AZ214" i="8"/>
  <c r="P214" i="8"/>
  <c r="BA214" i="8"/>
  <c r="Q214" i="8"/>
  <c r="B214" i="8"/>
  <c r="E215" i="8"/>
  <c r="AP215" i="8"/>
  <c r="F215" i="8"/>
  <c r="AR215" i="8"/>
  <c r="H215" i="8"/>
  <c r="AT215" i="8"/>
  <c r="J215" i="8"/>
  <c r="AV215" i="8"/>
  <c r="L215" i="8"/>
  <c r="AX215" i="8"/>
  <c r="N215" i="8"/>
  <c r="AY215" i="8"/>
  <c r="O215" i="8"/>
  <c r="AZ215" i="8"/>
  <c r="P215" i="8"/>
  <c r="BA215" i="8"/>
  <c r="Q215" i="8"/>
  <c r="B215" i="8"/>
  <c r="E216" i="8"/>
  <c r="AP216" i="8"/>
  <c r="F216" i="8"/>
  <c r="AR216" i="8"/>
  <c r="H216" i="8"/>
  <c r="AT216" i="8"/>
  <c r="J216" i="8"/>
  <c r="AV216" i="8"/>
  <c r="L216" i="8"/>
  <c r="AX216" i="8"/>
  <c r="N216" i="8"/>
  <c r="AY216" i="8"/>
  <c r="O216" i="8"/>
  <c r="AZ216" i="8"/>
  <c r="P216" i="8"/>
  <c r="BA216" i="8"/>
  <c r="Q216" i="8"/>
  <c r="B216" i="8"/>
  <c r="E217" i="8"/>
  <c r="AP217" i="8"/>
  <c r="F217" i="8"/>
  <c r="AR217" i="8"/>
  <c r="H217" i="8"/>
  <c r="AT217" i="8"/>
  <c r="J217" i="8"/>
  <c r="AV217" i="8"/>
  <c r="L217" i="8"/>
  <c r="AX217" i="8"/>
  <c r="N217" i="8"/>
  <c r="AY217" i="8"/>
  <c r="O217" i="8"/>
  <c r="AZ217" i="8"/>
  <c r="P217" i="8"/>
  <c r="BA217" i="8"/>
  <c r="Q217" i="8"/>
  <c r="B217" i="8"/>
  <c r="E218" i="8"/>
  <c r="AP218" i="8"/>
  <c r="F218" i="8"/>
  <c r="AR218" i="8"/>
  <c r="H218" i="8"/>
  <c r="AT218" i="8"/>
  <c r="J218" i="8"/>
  <c r="AV218" i="8"/>
  <c r="L218" i="8"/>
  <c r="AX218" i="8"/>
  <c r="N218" i="8"/>
  <c r="AY218" i="8"/>
  <c r="O218" i="8"/>
  <c r="AZ218" i="8"/>
  <c r="P218" i="8"/>
  <c r="BA218" i="8"/>
  <c r="Q218" i="8"/>
  <c r="B218" i="8"/>
  <c r="E18" i="8"/>
  <c r="AP18" i="8"/>
  <c r="F18" i="8"/>
  <c r="AR18" i="8"/>
  <c r="H18" i="8"/>
  <c r="AT18" i="8"/>
  <c r="J18" i="8"/>
  <c r="AV18" i="8"/>
  <c r="L18" i="8"/>
  <c r="AX18" i="8"/>
  <c r="N18" i="8"/>
  <c r="AY18" i="8"/>
  <c r="O18" i="8"/>
  <c r="AZ18" i="8"/>
  <c r="P18" i="8"/>
  <c r="BA18" i="8"/>
  <c r="Q18" i="8"/>
  <c r="B18" i="8"/>
  <c r="E219" i="8"/>
  <c r="AP219" i="8"/>
  <c r="F219" i="8"/>
  <c r="AR219" i="8"/>
  <c r="H219" i="8"/>
  <c r="AT219" i="8"/>
  <c r="J219" i="8"/>
  <c r="AV219" i="8"/>
  <c r="L219" i="8"/>
  <c r="AX219" i="8"/>
  <c r="N219" i="8"/>
  <c r="AY219" i="8"/>
  <c r="O219" i="8"/>
  <c r="AZ219" i="8"/>
  <c r="P219" i="8"/>
  <c r="BA219" i="8"/>
  <c r="Q219" i="8"/>
  <c r="B219" i="8"/>
  <c r="E220" i="8"/>
  <c r="AP220" i="8"/>
  <c r="F220" i="8"/>
  <c r="AR220" i="8"/>
  <c r="H220" i="8"/>
  <c r="AT220" i="8"/>
  <c r="J220" i="8"/>
  <c r="AV220" i="8"/>
  <c r="L220" i="8"/>
  <c r="AX220" i="8"/>
  <c r="N220" i="8"/>
  <c r="AY220" i="8"/>
  <c r="O220" i="8"/>
  <c r="AZ220" i="8"/>
  <c r="P220" i="8"/>
  <c r="BA220" i="8"/>
  <c r="Q220" i="8"/>
  <c r="B220" i="8"/>
  <c r="E19" i="8"/>
  <c r="AP19" i="8"/>
  <c r="F19" i="8"/>
  <c r="AR19" i="8"/>
  <c r="H19" i="8"/>
  <c r="AT19" i="8"/>
  <c r="J19" i="8"/>
  <c r="AV19" i="8"/>
  <c r="L19" i="8"/>
  <c r="AX19" i="8"/>
  <c r="N19" i="8"/>
  <c r="AY19" i="8"/>
  <c r="O19" i="8"/>
  <c r="AZ19" i="8"/>
  <c r="P19" i="8"/>
  <c r="BA19" i="8"/>
  <c r="Q19" i="8"/>
  <c r="B19" i="8"/>
  <c r="E20" i="8"/>
  <c r="AP20" i="8"/>
  <c r="F20" i="8"/>
  <c r="AR20" i="8"/>
  <c r="H20" i="8"/>
  <c r="AT20" i="8"/>
  <c r="J20" i="8"/>
  <c r="AV20" i="8"/>
  <c r="L20" i="8"/>
  <c r="AX20" i="8"/>
  <c r="N20" i="8"/>
  <c r="AY20" i="8"/>
  <c r="O20" i="8"/>
  <c r="AZ20" i="8"/>
  <c r="P20" i="8"/>
  <c r="BA20" i="8"/>
  <c r="Q20" i="8"/>
  <c r="B20" i="8"/>
  <c r="E21" i="8"/>
  <c r="AP21" i="8"/>
  <c r="F21" i="8"/>
  <c r="AR21" i="8"/>
  <c r="H21" i="8"/>
  <c r="AT21" i="8"/>
  <c r="J21" i="8"/>
  <c r="AV21" i="8"/>
  <c r="L21" i="8"/>
  <c r="AX21" i="8"/>
  <c r="N21" i="8"/>
  <c r="AY21" i="8"/>
  <c r="O21" i="8"/>
  <c r="AZ21" i="8"/>
  <c r="P21" i="8"/>
  <c r="BA21" i="8"/>
  <c r="Q21" i="8"/>
  <c r="B21" i="8"/>
  <c r="E221" i="8"/>
  <c r="AP221" i="8"/>
  <c r="F221" i="8"/>
  <c r="AR221" i="8"/>
  <c r="H221" i="8"/>
  <c r="AT221" i="8"/>
  <c r="J221" i="8"/>
  <c r="AV221" i="8"/>
  <c r="L221" i="8"/>
  <c r="AX221" i="8"/>
  <c r="N221" i="8"/>
  <c r="AY221" i="8"/>
  <c r="O221" i="8"/>
  <c r="AZ221" i="8"/>
  <c r="P221" i="8"/>
  <c r="BA221" i="8"/>
  <c r="Q221" i="8"/>
  <c r="B221" i="8"/>
  <c r="E222" i="8"/>
  <c r="AP222" i="8"/>
  <c r="F222" i="8"/>
  <c r="AR222" i="8"/>
  <c r="H222" i="8"/>
  <c r="AT222" i="8"/>
  <c r="J222" i="8"/>
  <c r="AV222" i="8"/>
  <c r="L222" i="8"/>
  <c r="AX222" i="8"/>
  <c r="N222" i="8"/>
  <c r="AY222" i="8"/>
  <c r="O222" i="8"/>
  <c r="AZ222" i="8"/>
  <c r="P222" i="8"/>
  <c r="BA222" i="8"/>
  <c r="Q222" i="8"/>
  <c r="B222" i="8"/>
  <c r="E223" i="8"/>
  <c r="AP223" i="8"/>
  <c r="F223" i="8"/>
  <c r="AR223" i="8"/>
  <c r="H223" i="8"/>
  <c r="AT223" i="8"/>
  <c r="J223" i="8"/>
  <c r="AV223" i="8"/>
  <c r="L223" i="8"/>
  <c r="AX223" i="8"/>
  <c r="N223" i="8"/>
  <c r="AY223" i="8"/>
  <c r="O223" i="8"/>
  <c r="AZ223" i="8"/>
  <c r="P223" i="8"/>
  <c r="BA223" i="8"/>
  <c r="Q223" i="8"/>
  <c r="B223" i="8"/>
  <c r="E224" i="8"/>
  <c r="AP224" i="8"/>
  <c r="F224" i="8"/>
  <c r="AR224" i="8"/>
  <c r="H224" i="8"/>
  <c r="AT224" i="8"/>
  <c r="J224" i="8"/>
  <c r="AV224" i="8"/>
  <c r="L224" i="8"/>
  <c r="AX224" i="8"/>
  <c r="N224" i="8"/>
  <c r="AY224" i="8"/>
  <c r="O224" i="8"/>
  <c r="AZ224" i="8"/>
  <c r="P224" i="8"/>
  <c r="BA224" i="8"/>
  <c r="Q224" i="8"/>
  <c r="B224" i="8"/>
  <c r="E225" i="8"/>
  <c r="AP225" i="8"/>
  <c r="F225" i="8"/>
  <c r="AR225" i="8"/>
  <c r="H225" i="8"/>
  <c r="AT225" i="8"/>
  <c r="J225" i="8"/>
  <c r="AV225" i="8"/>
  <c r="L225" i="8"/>
  <c r="AX225" i="8"/>
  <c r="N225" i="8"/>
  <c r="AY225" i="8"/>
  <c r="O225" i="8"/>
  <c r="AZ225" i="8"/>
  <c r="P225" i="8"/>
  <c r="BA225" i="8"/>
  <c r="Q225" i="8"/>
  <c r="B225" i="8"/>
  <c r="E226" i="8"/>
  <c r="AP226" i="8"/>
  <c r="F226" i="8"/>
  <c r="AR226" i="8"/>
  <c r="H226" i="8"/>
  <c r="AT226" i="8"/>
  <c r="J226" i="8"/>
  <c r="AV226" i="8"/>
  <c r="L226" i="8"/>
  <c r="AX226" i="8"/>
  <c r="N226" i="8"/>
  <c r="AY226" i="8"/>
  <c r="O226" i="8"/>
  <c r="AZ226" i="8"/>
  <c r="P226" i="8"/>
  <c r="BA226" i="8"/>
  <c r="Q226" i="8"/>
  <c r="B226" i="8"/>
  <c r="E227" i="8"/>
  <c r="AP227" i="8"/>
  <c r="F227" i="8"/>
  <c r="AR227" i="8"/>
  <c r="H227" i="8"/>
  <c r="AT227" i="8"/>
  <c r="J227" i="8"/>
  <c r="AV227" i="8"/>
  <c r="L227" i="8"/>
  <c r="AX227" i="8"/>
  <c r="N227" i="8"/>
  <c r="AY227" i="8"/>
  <c r="O227" i="8"/>
  <c r="AZ227" i="8"/>
  <c r="P227" i="8"/>
  <c r="BA227" i="8"/>
  <c r="Q227" i="8"/>
  <c r="B227" i="8"/>
  <c r="E228" i="8"/>
  <c r="AP228" i="8"/>
  <c r="F228" i="8"/>
  <c r="AR228" i="8"/>
  <c r="H228" i="8"/>
  <c r="AT228" i="8"/>
  <c r="J228" i="8"/>
  <c r="AV228" i="8"/>
  <c r="L228" i="8"/>
  <c r="AX228" i="8"/>
  <c r="N228" i="8"/>
  <c r="AY228" i="8"/>
  <c r="O228" i="8"/>
  <c r="AZ228" i="8"/>
  <c r="P228" i="8"/>
  <c r="BA228" i="8"/>
  <c r="Q228" i="8"/>
  <c r="B228" i="8"/>
  <c r="E22" i="8"/>
  <c r="AP22" i="8"/>
  <c r="F22" i="8"/>
  <c r="AR22" i="8"/>
  <c r="H22" i="8"/>
  <c r="AT22" i="8"/>
  <c r="J22" i="8"/>
  <c r="AV22" i="8"/>
  <c r="L22" i="8"/>
  <c r="AX22" i="8"/>
  <c r="N22" i="8"/>
  <c r="AY22" i="8"/>
  <c r="O22" i="8"/>
  <c r="AZ22" i="8"/>
  <c r="P22" i="8"/>
  <c r="BA22" i="8"/>
  <c r="Q22" i="8"/>
  <c r="B22" i="8"/>
  <c r="E23" i="8"/>
  <c r="AP23" i="8"/>
  <c r="F23" i="8"/>
  <c r="AR23" i="8"/>
  <c r="H23" i="8"/>
  <c r="AT23" i="8"/>
  <c r="J23" i="8"/>
  <c r="AV23" i="8"/>
  <c r="L23" i="8"/>
  <c r="AX23" i="8"/>
  <c r="N23" i="8"/>
  <c r="AY23" i="8"/>
  <c r="O23" i="8"/>
  <c r="AZ23" i="8"/>
  <c r="P23" i="8"/>
  <c r="BA23" i="8"/>
  <c r="Q23" i="8"/>
  <c r="B23" i="8"/>
  <c r="E229" i="8"/>
  <c r="AP229" i="8"/>
  <c r="F229" i="8"/>
  <c r="AR229" i="8"/>
  <c r="H229" i="8"/>
  <c r="AT229" i="8"/>
  <c r="J229" i="8"/>
  <c r="AV229" i="8"/>
  <c r="L229" i="8"/>
  <c r="AX229" i="8"/>
  <c r="N229" i="8"/>
  <c r="AY229" i="8"/>
  <c r="O229" i="8"/>
  <c r="AZ229" i="8"/>
  <c r="P229" i="8"/>
  <c r="BA229" i="8"/>
  <c r="Q229" i="8"/>
  <c r="B229" i="8"/>
  <c r="E230" i="8"/>
  <c r="AP230" i="8"/>
  <c r="F230" i="8"/>
  <c r="AR230" i="8"/>
  <c r="H230" i="8"/>
  <c r="AT230" i="8"/>
  <c r="J230" i="8"/>
  <c r="AV230" i="8"/>
  <c r="L230" i="8"/>
  <c r="AX230" i="8"/>
  <c r="N230" i="8"/>
  <c r="AY230" i="8"/>
  <c r="O230" i="8"/>
  <c r="AZ230" i="8"/>
  <c r="P230" i="8"/>
  <c r="BA230" i="8"/>
  <c r="Q230" i="8"/>
  <c r="B230" i="8"/>
  <c r="E231" i="8"/>
  <c r="AP231" i="8"/>
  <c r="F231" i="8"/>
  <c r="AR231" i="8"/>
  <c r="H231" i="8"/>
  <c r="AT231" i="8"/>
  <c r="J231" i="8"/>
  <c r="AV231" i="8"/>
  <c r="L231" i="8"/>
  <c r="AX231" i="8"/>
  <c r="N231" i="8"/>
  <c r="AY231" i="8"/>
  <c r="O231" i="8"/>
  <c r="AZ231" i="8"/>
  <c r="P231" i="8"/>
  <c r="BA231" i="8"/>
  <c r="Q231" i="8"/>
  <c r="B231" i="8"/>
  <c r="E232" i="8"/>
  <c r="AP232" i="8"/>
  <c r="F232" i="8"/>
  <c r="AR232" i="8"/>
  <c r="H232" i="8"/>
  <c r="AT232" i="8"/>
  <c r="J232" i="8"/>
  <c r="AV232" i="8"/>
  <c r="L232" i="8"/>
  <c r="AX232" i="8"/>
  <c r="N232" i="8"/>
  <c r="AY232" i="8"/>
  <c r="O232" i="8"/>
  <c r="AZ232" i="8"/>
  <c r="P232" i="8"/>
  <c r="BA232" i="8"/>
  <c r="Q232" i="8"/>
  <c r="B232" i="8"/>
  <c r="E233" i="8"/>
  <c r="AP233" i="8"/>
  <c r="F233" i="8"/>
  <c r="AR233" i="8"/>
  <c r="H233" i="8"/>
  <c r="AT233" i="8"/>
  <c r="J233" i="8"/>
  <c r="AV233" i="8"/>
  <c r="L233" i="8"/>
  <c r="AX233" i="8"/>
  <c r="N233" i="8"/>
  <c r="AY233" i="8"/>
  <c r="O233" i="8"/>
  <c r="AZ233" i="8"/>
  <c r="P233" i="8"/>
  <c r="BA233" i="8"/>
  <c r="Q233" i="8"/>
  <c r="B233" i="8"/>
  <c r="E234" i="8"/>
  <c r="AP234" i="8"/>
  <c r="F234" i="8"/>
  <c r="AR234" i="8"/>
  <c r="H234" i="8"/>
  <c r="AT234" i="8"/>
  <c r="J234" i="8"/>
  <c r="AV234" i="8"/>
  <c r="L234" i="8"/>
  <c r="AX234" i="8"/>
  <c r="N234" i="8"/>
  <c r="AY234" i="8"/>
  <c r="O234" i="8"/>
  <c r="AZ234" i="8"/>
  <c r="P234" i="8"/>
  <c r="BA234" i="8"/>
  <c r="Q234" i="8"/>
  <c r="B234" i="8"/>
  <c r="E235" i="8"/>
  <c r="AP235" i="8"/>
  <c r="F235" i="8"/>
  <c r="AR235" i="8"/>
  <c r="H235" i="8"/>
  <c r="AT235" i="8"/>
  <c r="J235" i="8"/>
  <c r="AV235" i="8"/>
  <c r="L235" i="8"/>
  <c r="AX235" i="8"/>
  <c r="N235" i="8"/>
  <c r="AY235" i="8"/>
  <c r="O235" i="8"/>
  <c r="AZ235" i="8"/>
  <c r="P235" i="8"/>
  <c r="BA235" i="8"/>
  <c r="Q235" i="8"/>
  <c r="B235" i="8"/>
  <c r="E236" i="8"/>
  <c r="AP236" i="8"/>
  <c r="F236" i="8"/>
  <c r="AR236" i="8"/>
  <c r="H236" i="8"/>
  <c r="AT236" i="8"/>
  <c r="J236" i="8"/>
  <c r="AV236" i="8"/>
  <c r="L236" i="8"/>
  <c r="AX236" i="8"/>
  <c r="N236" i="8"/>
  <c r="AY236" i="8"/>
  <c r="O236" i="8"/>
  <c r="AZ236" i="8"/>
  <c r="P236" i="8"/>
  <c r="BA236" i="8"/>
  <c r="Q236" i="8"/>
  <c r="B236" i="8"/>
  <c r="E237" i="8"/>
  <c r="AP237" i="8"/>
  <c r="F237" i="8"/>
  <c r="AR237" i="8"/>
  <c r="H237" i="8"/>
  <c r="AT237" i="8"/>
  <c r="J237" i="8"/>
  <c r="AV237" i="8"/>
  <c r="L237" i="8"/>
  <c r="AX237" i="8"/>
  <c r="N237" i="8"/>
  <c r="E238" i="8"/>
  <c r="AP238" i="8"/>
  <c r="F238" i="8"/>
  <c r="AR238" i="8"/>
  <c r="H238" i="8"/>
  <c r="AT238" i="8"/>
  <c r="J238" i="8"/>
  <c r="AV238" i="8"/>
  <c r="L238" i="8"/>
  <c r="AX238" i="8"/>
  <c r="N238" i="8"/>
  <c r="E239" i="8"/>
  <c r="AP239" i="8"/>
  <c r="F239" i="8"/>
  <c r="AR239" i="8"/>
  <c r="H239" i="8"/>
  <c r="AT239" i="8"/>
  <c r="J239" i="8"/>
  <c r="AV239" i="8"/>
  <c r="L239" i="8"/>
  <c r="AX239" i="8"/>
  <c r="N239" i="8"/>
  <c r="E240" i="8"/>
  <c r="AP240" i="8"/>
  <c r="F240" i="8"/>
  <c r="AR240" i="8"/>
  <c r="H240" i="8"/>
  <c r="AT240" i="8"/>
  <c r="J240" i="8"/>
  <c r="AV240" i="8"/>
  <c r="L240" i="8"/>
  <c r="AX240" i="8"/>
  <c r="N240" i="8"/>
  <c r="E24" i="8"/>
  <c r="AP24" i="8"/>
  <c r="F24" i="8"/>
  <c r="AR24" i="8"/>
  <c r="H24" i="8"/>
  <c r="AT24" i="8"/>
  <c r="J24" i="8"/>
  <c r="AV24" i="8"/>
  <c r="L24" i="8"/>
  <c r="AX24" i="8"/>
  <c r="N24" i="8"/>
  <c r="E241" i="8"/>
  <c r="AP241" i="8"/>
  <c r="F241" i="8"/>
  <c r="AR241" i="8"/>
  <c r="H241" i="8"/>
  <c r="AT241" i="8"/>
  <c r="J241" i="8"/>
  <c r="AV241" i="8"/>
  <c r="L241" i="8"/>
  <c r="AX241" i="8"/>
  <c r="N241" i="8"/>
  <c r="E242" i="8"/>
  <c r="AP242" i="8"/>
  <c r="F242" i="8"/>
  <c r="AR242" i="8"/>
  <c r="H242" i="8"/>
  <c r="AT242" i="8"/>
  <c r="J242" i="8"/>
  <c r="AV242" i="8"/>
  <c r="L242" i="8"/>
  <c r="AX242" i="8"/>
  <c r="N242" i="8"/>
  <c r="E243" i="8"/>
  <c r="AP243" i="8"/>
  <c r="F243" i="8"/>
  <c r="AR243" i="8"/>
  <c r="H243" i="8"/>
  <c r="AT243" i="8"/>
  <c r="J243" i="8"/>
  <c r="AV243" i="8"/>
  <c r="L243" i="8"/>
  <c r="AX243" i="8"/>
  <c r="N243" i="8"/>
  <c r="E244" i="8"/>
  <c r="AP244" i="8"/>
  <c r="F244" i="8"/>
  <c r="AR244" i="8"/>
  <c r="H244" i="8"/>
  <c r="AT244" i="8"/>
  <c r="J244" i="8"/>
  <c r="AV244" i="8"/>
  <c r="L244" i="8"/>
  <c r="AX244" i="8"/>
  <c r="N244" i="8"/>
  <c r="E245" i="8"/>
  <c r="AP245" i="8"/>
  <c r="F245" i="8"/>
  <c r="AR245" i="8"/>
  <c r="H245" i="8"/>
  <c r="AT245" i="8"/>
  <c r="J245" i="8"/>
  <c r="AV245" i="8"/>
  <c r="L245" i="8"/>
  <c r="AX245" i="8"/>
  <c r="N245" i="8"/>
  <c r="E246" i="8"/>
  <c r="AP246" i="8"/>
  <c r="F246" i="8"/>
  <c r="AR246" i="8"/>
  <c r="H246" i="8"/>
  <c r="AT246" i="8"/>
  <c r="J246" i="8"/>
  <c r="AV246" i="8"/>
  <c r="L246" i="8"/>
  <c r="AX246" i="8"/>
  <c r="N246" i="8"/>
  <c r="E247" i="8"/>
  <c r="AP247" i="8"/>
  <c r="F247" i="8"/>
  <c r="AR247" i="8"/>
  <c r="H247" i="8"/>
  <c r="AT247" i="8"/>
  <c r="J247" i="8"/>
  <c r="AV247" i="8"/>
  <c r="L247" i="8"/>
  <c r="AX247" i="8"/>
  <c r="N247" i="8"/>
  <c r="E248" i="8"/>
  <c r="AP248" i="8"/>
  <c r="F248" i="8"/>
  <c r="AR248" i="8"/>
  <c r="H248" i="8"/>
  <c r="AT248" i="8"/>
  <c r="J248" i="8"/>
  <c r="AV248" i="8"/>
  <c r="L248" i="8"/>
  <c r="AX248" i="8"/>
  <c r="N248" i="8"/>
  <c r="E249" i="8"/>
  <c r="AP249" i="8"/>
  <c r="F249" i="8"/>
  <c r="AR249" i="8"/>
  <c r="H249" i="8"/>
  <c r="AT249" i="8"/>
  <c r="J249" i="8"/>
  <c r="AV249" i="8"/>
  <c r="L249" i="8"/>
  <c r="AX249" i="8"/>
  <c r="N249" i="8"/>
  <c r="E250" i="8"/>
  <c r="AP250" i="8"/>
  <c r="F250" i="8"/>
  <c r="AR250" i="8"/>
  <c r="H250" i="8"/>
  <c r="AT250" i="8"/>
  <c r="J250" i="8"/>
  <c r="AV250" i="8"/>
  <c r="L250" i="8"/>
  <c r="AX250" i="8"/>
  <c r="N250" i="8"/>
  <c r="E251" i="8"/>
  <c r="AP251" i="8"/>
  <c r="F251" i="8"/>
  <c r="AR251" i="8"/>
  <c r="H251" i="8"/>
  <c r="AT251" i="8"/>
  <c r="J251" i="8"/>
  <c r="AV251" i="8"/>
  <c r="L251" i="8"/>
  <c r="AX251" i="8"/>
  <c r="N251" i="8"/>
  <c r="E252" i="8"/>
  <c r="AP252" i="8"/>
  <c r="F252" i="8"/>
  <c r="AR252" i="8"/>
  <c r="H252" i="8"/>
  <c r="AT252" i="8"/>
  <c r="J252" i="8"/>
  <c r="AV252" i="8"/>
  <c r="L252" i="8"/>
  <c r="AX252" i="8"/>
  <c r="N252" i="8"/>
  <c r="E253" i="8"/>
  <c r="AP253" i="8"/>
  <c r="F253" i="8"/>
  <c r="AR253" i="8"/>
  <c r="H253" i="8"/>
  <c r="AT253" i="8"/>
  <c r="J253" i="8"/>
  <c r="AV253" i="8"/>
  <c r="L253" i="8"/>
  <c r="AX253" i="8"/>
  <c r="N253" i="8"/>
  <c r="E254" i="8"/>
  <c r="AP254" i="8"/>
  <c r="F254" i="8"/>
  <c r="AR254" i="8"/>
  <c r="H254" i="8"/>
  <c r="AT254" i="8"/>
  <c r="J254" i="8"/>
  <c r="AV254" i="8"/>
  <c r="L254" i="8"/>
  <c r="AX254" i="8"/>
  <c r="N254" i="8"/>
  <c r="E255" i="8"/>
  <c r="AP255" i="8"/>
  <c r="F255" i="8"/>
  <c r="AR255" i="8"/>
  <c r="H255" i="8"/>
  <c r="AT255" i="8"/>
  <c r="J255" i="8"/>
  <c r="AV255" i="8"/>
  <c r="L255" i="8"/>
  <c r="AX255" i="8"/>
  <c r="N255" i="8"/>
  <c r="E256" i="8"/>
  <c r="AP256" i="8"/>
  <c r="F256" i="8"/>
  <c r="AR256" i="8"/>
  <c r="H256" i="8"/>
  <c r="AT256" i="8"/>
  <c r="J256" i="8"/>
  <c r="AV256" i="8"/>
  <c r="L256" i="8"/>
  <c r="AX256" i="8"/>
  <c r="N256" i="8"/>
  <c r="E257" i="8"/>
  <c r="AP257" i="8"/>
  <c r="F257" i="8"/>
  <c r="AR257" i="8"/>
  <c r="H257" i="8"/>
  <c r="AT257" i="8"/>
  <c r="J257" i="8"/>
  <c r="AV257" i="8"/>
  <c r="L257" i="8"/>
  <c r="AX257" i="8"/>
  <c r="N257" i="8"/>
  <c r="E258" i="8"/>
  <c r="AP258" i="8"/>
  <c r="F258" i="8"/>
  <c r="AR258" i="8"/>
  <c r="H258" i="8"/>
  <c r="AT258" i="8"/>
  <c r="J258" i="8"/>
  <c r="AV258" i="8"/>
  <c r="L258" i="8"/>
  <c r="AX258" i="8"/>
  <c r="N258" i="8"/>
  <c r="E25" i="8"/>
  <c r="AP25" i="8"/>
  <c r="F25" i="8"/>
  <c r="AR25" i="8"/>
  <c r="H25" i="8"/>
  <c r="AT25" i="8"/>
  <c r="J25" i="8"/>
  <c r="AV25" i="8"/>
  <c r="L25" i="8"/>
  <c r="AX25" i="8"/>
  <c r="N25" i="8"/>
  <c r="E259" i="8"/>
  <c r="AP259" i="8"/>
  <c r="F259" i="8"/>
  <c r="AR259" i="8"/>
  <c r="H259" i="8"/>
  <c r="AT259" i="8"/>
  <c r="J259" i="8"/>
  <c r="AV259" i="8"/>
  <c r="L259" i="8"/>
  <c r="AX259" i="8"/>
  <c r="N259" i="8"/>
  <c r="E260" i="8"/>
  <c r="AP260" i="8"/>
  <c r="F260" i="8"/>
  <c r="AR260" i="8"/>
  <c r="H260" i="8"/>
  <c r="AT260" i="8"/>
  <c r="J260" i="8"/>
  <c r="AV260" i="8"/>
  <c r="L260" i="8"/>
  <c r="AX260" i="8"/>
  <c r="N260" i="8"/>
  <c r="E261" i="8"/>
  <c r="AP261" i="8"/>
  <c r="F261" i="8"/>
  <c r="AR261" i="8"/>
  <c r="H261" i="8"/>
  <c r="AT261" i="8"/>
  <c r="J261" i="8"/>
  <c r="AV261" i="8"/>
  <c r="L261" i="8"/>
  <c r="AX261" i="8"/>
  <c r="N261" i="8"/>
  <c r="E262" i="8"/>
  <c r="AP262" i="8"/>
  <c r="F262" i="8"/>
  <c r="AR262" i="8"/>
  <c r="H262" i="8"/>
  <c r="AT262" i="8"/>
  <c r="J262" i="8"/>
  <c r="AV262" i="8"/>
  <c r="L262" i="8"/>
  <c r="AX262" i="8"/>
  <c r="N262" i="8"/>
  <c r="E263" i="8"/>
  <c r="AP263" i="8"/>
  <c r="F263" i="8"/>
  <c r="AR263" i="8"/>
  <c r="H263" i="8"/>
  <c r="AT263" i="8"/>
  <c r="J263" i="8"/>
  <c r="AV263" i="8"/>
  <c r="L263" i="8"/>
  <c r="AX263" i="8"/>
  <c r="N263" i="8"/>
  <c r="E26" i="8"/>
  <c r="AP26" i="8"/>
  <c r="F26" i="8"/>
  <c r="AR26" i="8"/>
  <c r="H26" i="8"/>
  <c r="AT26" i="8"/>
  <c r="J26" i="8"/>
  <c r="AV26" i="8"/>
  <c r="L26" i="8"/>
  <c r="AX26" i="8"/>
  <c r="N26" i="8"/>
  <c r="E264" i="8"/>
  <c r="AP264" i="8"/>
  <c r="F264" i="8"/>
  <c r="AR264" i="8"/>
  <c r="H264" i="8"/>
  <c r="AT264" i="8"/>
  <c r="J264" i="8"/>
  <c r="AV264" i="8"/>
  <c r="L264" i="8"/>
  <c r="AX264" i="8"/>
  <c r="N264" i="8"/>
  <c r="E265" i="8"/>
  <c r="AP265" i="8"/>
  <c r="F265" i="8"/>
  <c r="AR265" i="8"/>
  <c r="H265" i="8"/>
  <c r="AT265" i="8"/>
  <c r="J265" i="8"/>
  <c r="AV265" i="8"/>
  <c r="L265" i="8"/>
  <c r="AX265" i="8"/>
  <c r="N265" i="8"/>
  <c r="E266" i="8"/>
  <c r="AP266" i="8"/>
  <c r="F266" i="8"/>
  <c r="AR266" i="8"/>
  <c r="H266" i="8"/>
  <c r="AT266" i="8"/>
  <c r="J266" i="8"/>
  <c r="AV266" i="8"/>
  <c r="L266" i="8"/>
  <c r="AX266" i="8"/>
  <c r="N266" i="8"/>
  <c r="E267" i="8"/>
  <c r="AP267" i="8"/>
  <c r="F267" i="8"/>
  <c r="AR267" i="8"/>
  <c r="H267" i="8"/>
  <c r="AT267" i="8"/>
  <c r="J267" i="8"/>
  <c r="AV267" i="8"/>
  <c r="L267" i="8"/>
  <c r="AX267" i="8"/>
  <c r="N267" i="8"/>
  <c r="E268" i="8"/>
  <c r="AP268" i="8"/>
  <c r="F268" i="8"/>
  <c r="AR268" i="8"/>
  <c r="H268" i="8"/>
  <c r="AT268" i="8"/>
  <c r="J268" i="8"/>
  <c r="AV268" i="8"/>
  <c r="L268" i="8"/>
  <c r="AX268" i="8"/>
  <c r="N268" i="8"/>
  <c r="AY268" i="8"/>
  <c r="O268" i="8"/>
  <c r="AZ268" i="8"/>
  <c r="P268" i="8"/>
  <c r="E269" i="8"/>
  <c r="AP269" i="8"/>
  <c r="F269" i="8"/>
  <c r="AR269" i="8"/>
  <c r="H269" i="8"/>
  <c r="AT269" i="8"/>
  <c r="J269" i="8"/>
  <c r="AV269" i="8"/>
  <c r="L269" i="8"/>
  <c r="AX269" i="8"/>
  <c r="N269" i="8"/>
  <c r="E270" i="8"/>
  <c r="AP270" i="8"/>
  <c r="F270" i="8"/>
  <c r="AR270" i="8"/>
  <c r="H270" i="8"/>
  <c r="AT270" i="8"/>
  <c r="J270" i="8"/>
  <c r="AV270" i="8"/>
  <c r="L270" i="8"/>
  <c r="AX270" i="8"/>
  <c r="N270" i="8"/>
  <c r="E271" i="8"/>
  <c r="AP271" i="8"/>
  <c r="F271" i="8"/>
  <c r="AR271" i="8"/>
  <c r="H271" i="8"/>
  <c r="AT271" i="8"/>
  <c r="J271" i="8"/>
  <c r="AV271" i="8"/>
  <c r="L271" i="8"/>
  <c r="AX271" i="8"/>
  <c r="N271" i="8"/>
  <c r="E272" i="8"/>
  <c r="AP272" i="8"/>
  <c r="F272" i="8"/>
  <c r="AR272" i="8"/>
  <c r="H272" i="8"/>
  <c r="AT272" i="8"/>
  <c r="J272" i="8"/>
  <c r="AV272" i="8"/>
  <c r="L272" i="8"/>
  <c r="AX272" i="8"/>
  <c r="N272" i="8"/>
  <c r="E273" i="8"/>
  <c r="AP273" i="8"/>
  <c r="F273" i="8"/>
  <c r="AR273" i="8"/>
  <c r="H273" i="8"/>
  <c r="AT273" i="8"/>
  <c r="J273" i="8"/>
  <c r="AV273" i="8"/>
  <c r="L273" i="8"/>
  <c r="AX273" i="8"/>
  <c r="N273" i="8"/>
  <c r="E27" i="8"/>
  <c r="AP27" i="8"/>
  <c r="F27" i="8"/>
  <c r="AR27" i="8"/>
  <c r="H27" i="8"/>
  <c r="AT27" i="8"/>
  <c r="J27" i="8"/>
  <c r="AV27" i="8"/>
  <c r="L27" i="8"/>
  <c r="AX27" i="8"/>
  <c r="N27" i="8"/>
  <c r="E274" i="8"/>
  <c r="AP274" i="8"/>
  <c r="F274" i="8"/>
  <c r="AR274" i="8"/>
  <c r="H274" i="8"/>
  <c r="AT274" i="8"/>
  <c r="J274" i="8"/>
  <c r="AV274" i="8"/>
  <c r="L274" i="8"/>
  <c r="AX274" i="8"/>
  <c r="N274" i="8"/>
  <c r="E275" i="8"/>
  <c r="AP275" i="8"/>
  <c r="F275" i="8"/>
  <c r="AR275" i="8"/>
  <c r="H275" i="8"/>
  <c r="AT275" i="8"/>
  <c r="J275" i="8"/>
  <c r="AV275" i="8"/>
  <c r="L275" i="8"/>
  <c r="AX275" i="8"/>
  <c r="N275" i="8"/>
  <c r="E276" i="8"/>
  <c r="AP276" i="8"/>
  <c r="F276" i="8"/>
  <c r="AR276" i="8"/>
  <c r="H276" i="8"/>
  <c r="AT276" i="8"/>
  <c r="J276" i="8"/>
  <c r="AV276" i="8"/>
  <c r="L276" i="8"/>
  <c r="AX276" i="8"/>
  <c r="N276" i="8"/>
  <c r="E277" i="8"/>
  <c r="AP277" i="8"/>
  <c r="F277" i="8"/>
  <c r="AR277" i="8"/>
  <c r="H277" i="8"/>
  <c r="AT277" i="8"/>
  <c r="J277" i="8"/>
  <c r="AV277" i="8"/>
  <c r="L277" i="8"/>
  <c r="AX277" i="8"/>
  <c r="N277" i="8"/>
  <c r="E278" i="8"/>
  <c r="AP278" i="8"/>
  <c r="F278" i="8"/>
  <c r="AR278" i="8"/>
  <c r="H278" i="8"/>
  <c r="AT278" i="8"/>
  <c r="J278" i="8"/>
  <c r="AV278" i="8"/>
  <c r="L278" i="8"/>
  <c r="AX278" i="8"/>
  <c r="N278" i="8"/>
  <c r="E279" i="8"/>
  <c r="AP279" i="8"/>
  <c r="F279" i="8"/>
  <c r="AR279" i="8"/>
  <c r="H279" i="8"/>
  <c r="AT279" i="8"/>
  <c r="J279" i="8"/>
  <c r="AV279" i="8"/>
  <c r="L279" i="8"/>
  <c r="AX279" i="8"/>
  <c r="N279" i="8"/>
  <c r="E280" i="8"/>
  <c r="AP280" i="8"/>
  <c r="F280" i="8"/>
  <c r="AR280" i="8"/>
  <c r="H280" i="8"/>
  <c r="AT280" i="8"/>
  <c r="J280" i="8"/>
  <c r="AV280" i="8"/>
  <c r="L280" i="8"/>
  <c r="AX280" i="8"/>
  <c r="N280" i="8"/>
  <c r="E281" i="8"/>
  <c r="AP281" i="8"/>
  <c r="F281" i="8"/>
  <c r="AR281" i="8"/>
  <c r="H281" i="8"/>
  <c r="AT281" i="8"/>
  <c r="J281" i="8"/>
  <c r="AV281" i="8"/>
  <c r="L281" i="8"/>
  <c r="AX281" i="8"/>
  <c r="N281" i="8"/>
  <c r="E282" i="8"/>
  <c r="AP282" i="8"/>
  <c r="F282" i="8"/>
  <c r="AR282" i="8"/>
  <c r="H282" i="8"/>
  <c r="AT282" i="8"/>
  <c r="J282" i="8"/>
  <c r="AV282" i="8"/>
  <c r="L282" i="8"/>
  <c r="AX282" i="8"/>
  <c r="N282" i="8"/>
  <c r="E283" i="8"/>
  <c r="AP283" i="8"/>
  <c r="F283" i="8"/>
  <c r="AR283" i="8"/>
  <c r="H283" i="8"/>
  <c r="AT283" i="8"/>
  <c r="J283" i="8"/>
  <c r="AV283" i="8"/>
  <c r="L283" i="8"/>
  <c r="AX283" i="8"/>
  <c r="N283" i="8"/>
  <c r="E284" i="8"/>
  <c r="AP284" i="8"/>
  <c r="F284" i="8"/>
  <c r="AR284" i="8"/>
  <c r="H284" i="8"/>
  <c r="AT284" i="8"/>
  <c r="J284" i="8"/>
  <c r="AV284" i="8"/>
  <c r="L284" i="8"/>
  <c r="AX284" i="8"/>
  <c r="N284" i="8"/>
  <c r="E285" i="8"/>
  <c r="AP285" i="8"/>
  <c r="F285" i="8"/>
  <c r="AR285" i="8"/>
  <c r="H285" i="8"/>
  <c r="AT285" i="8"/>
  <c r="J285" i="8"/>
  <c r="AV285" i="8"/>
  <c r="L285" i="8"/>
  <c r="AX285" i="8"/>
  <c r="N285" i="8"/>
  <c r="E286" i="8"/>
  <c r="AP286" i="8"/>
  <c r="F286" i="8"/>
  <c r="AR286" i="8"/>
  <c r="H286" i="8"/>
  <c r="AT286" i="8"/>
  <c r="J286" i="8"/>
  <c r="AV286" i="8"/>
  <c r="L286" i="8"/>
  <c r="AX286" i="8"/>
  <c r="N286" i="8"/>
  <c r="E28" i="8"/>
  <c r="AP28" i="8"/>
  <c r="F28" i="8"/>
  <c r="AR28" i="8"/>
  <c r="H28" i="8"/>
  <c r="AT28" i="8"/>
  <c r="J28" i="8"/>
  <c r="AV28" i="8"/>
  <c r="L28" i="8"/>
  <c r="AX28" i="8"/>
  <c r="N28" i="8"/>
  <c r="E287" i="8"/>
  <c r="AP287" i="8"/>
  <c r="F287" i="8"/>
  <c r="AR287" i="8"/>
  <c r="H287" i="8"/>
  <c r="AT287" i="8"/>
  <c r="J287" i="8"/>
  <c r="AV287" i="8"/>
  <c r="L287" i="8"/>
  <c r="AX287" i="8"/>
  <c r="N287" i="8"/>
  <c r="BA287" i="8"/>
  <c r="Q287" i="8"/>
  <c r="E288" i="8"/>
  <c r="AP288" i="8"/>
  <c r="F288" i="8"/>
  <c r="AR288" i="8"/>
  <c r="H288" i="8"/>
  <c r="AT288" i="8"/>
  <c r="J288" i="8"/>
  <c r="AV288" i="8"/>
  <c r="L288" i="8"/>
  <c r="AX288" i="8"/>
  <c r="N288" i="8"/>
  <c r="E289" i="8"/>
  <c r="AP289" i="8"/>
  <c r="F289" i="8"/>
  <c r="AR289" i="8"/>
  <c r="H289" i="8"/>
  <c r="AT289" i="8"/>
  <c r="J289" i="8"/>
  <c r="AV289" i="8"/>
  <c r="L289" i="8"/>
  <c r="AX289" i="8"/>
  <c r="N289" i="8"/>
  <c r="E290" i="8"/>
  <c r="AP290" i="8"/>
  <c r="F290" i="8"/>
  <c r="AR290" i="8"/>
  <c r="H290" i="8"/>
  <c r="AT290" i="8"/>
  <c r="J290" i="8"/>
  <c r="AV290" i="8"/>
  <c r="L290" i="8"/>
  <c r="AX290" i="8"/>
  <c r="N290" i="8"/>
  <c r="E291" i="8"/>
  <c r="AP291" i="8"/>
  <c r="F291" i="8"/>
  <c r="AR291" i="8"/>
  <c r="H291" i="8"/>
  <c r="AT291" i="8"/>
  <c r="J291" i="8"/>
  <c r="AV291" i="8"/>
  <c r="L291" i="8"/>
  <c r="AX291" i="8"/>
  <c r="N291" i="8"/>
  <c r="E292" i="8"/>
  <c r="AP292" i="8"/>
  <c r="F292" i="8"/>
  <c r="AR292" i="8"/>
  <c r="H292" i="8"/>
  <c r="AT292" i="8"/>
  <c r="J292" i="8"/>
  <c r="AV292" i="8"/>
  <c r="L292" i="8"/>
  <c r="AX292" i="8"/>
  <c r="N292" i="8"/>
  <c r="AY292" i="8"/>
  <c r="O292" i="8"/>
  <c r="AZ292" i="8"/>
  <c r="P292" i="8"/>
  <c r="E293" i="8"/>
  <c r="AP293" i="8"/>
  <c r="F293" i="8"/>
  <c r="AR293" i="8"/>
  <c r="H293" i="8"/>
  <c r="AT293" i="8"/>
  <c r="J293" i="8"/>
  <c r="AV293" i="8"/>
  <c r="L293" i="8"/>
  <c r="AX293" i="8"/>
  <c r="N293" i="8"/>
  <c r="E294" i="8"/>
  <c r="AP294" i="8"/>
  <c r="F294" i="8"/>
  <c r="AR294" i="8"/>
  <c r="H294" i="8"/>
  <c r="AT294" i="8"/>
  <c r="J294" i="8"/>
  <c r="AV294" i="8"/>
  <c r="L294" i="8"/>
  <c r="AX294" i="8"/>
  <c r="N294" i="8"/>
  <c r="E295" i="8"/>
  <c r="AP295" i="8"/>
  <c r="F295" i="8"/>
  <c r="AR295" i="8"/>
  <c r="H295" i="8"/>
  <c r="AT295" i="8"/>
  <c r="J295" i="8"/>
  <c r="AV295" i="8"/>
  <c r="L295" i="8"/>
  <c r="AX295" i="8"/>
  <c r="N295" i="8"/>
  <c r="E296" i="8"/>
  <c r="AP296" i="8"/>
  <c r="F296" i="8"/>
  <c r="AR296" i="8"/>
  <c r="H296" i="8"/>
  <c r="AT296" i="8"/>
  <c r="J296" i="8"/>
  <c r="AV296" i="8"/>
  <c r="L296" i="8"/>
  <c r="AX296" i="8"/>
  <c r="N296" i="8"/>
  <c r="E297" i="8"/>
  <c r="AP297" i="8"/>
  <c r="F297" i="8"/>
  <c r="AR297" i="8"/>
  <c r="H297" i="8"/>
  <c r="AT297" i="8"/>
  <c r="J297" i="8"/>
  <c r="AV297" i="8"/>
  <c r="L297" i="8"/>
  <c r="AX297" i="8"/>
  <c r="N297" i="8"/>
  <c r="E298" i="8"/>
  <c r="AP298" i="8"/>
  <c r="F298" i="8"/>
  <c r="AR298" i="8"/>
  <c r="H298" i="8"/>
  <c r="AT298" i="8"/>
  <c r="J298" i="8"/>
  <c r="AV298" i="8"/>
  <c r="L298" i="8"/>
  <c r="AX298" i="8"/>
  <c r="N298" i="8"/>
  <c r="E299" i="8"/>
  <c r="AP299" i="8"/>
  <c r="F299" i="8"/>
  <c r="AR299" i="8"/>
  <c r="H299" i="8"/>
  <c r="AT299" i="8"/>
  <c r="J299" i="8"/>
  <c r="AV299" i="8"/>
  <c r="L299" i="8"/>
  <c r="AX299" i="8"/>
  <c r="N299" i="8"/>
  <c r="E300" i="8"/>
  <c r="AP300" i="8"/>
  <c r="F300" i="8"/>
  <c r="AR300" i="8"/>
  <c r="H300" i="8"/>
  <c r="AT300" i="8"/>
  <c r="J300" i="8"/>
  <c r="AV300" i="8"/>
  <c r="L300" i="8"/>
  <c r="AX300" i="8"/>
  <c r="N300" i="8"/>
  <c r="E301" i="8"/>
  <c r="AP301" i="8"/>
  <c r="F301" i="8"/>
  <c r="AR301" i="8"/>
  <c r="H301" i="8"/>
  <c r="AT301" i="8"/>
  <c r="J301" i="8"/>
  <c r="AV301" i="8"/>
  <c r="L301" i="8"/>
  <c r="AX301" i="8"/>
  <c r="N301" i="8"/>
  <c r="E302" i="8"/>
  <c r="AP302" i="8"/>
  <c r="F302" i="8"/>
  <c r="AR302" i="8"/>
  <c r="H302" i="8"/>
  <c r="AT302" i="8"/>
  <c r="J302" i="8"/>
  <c r="AV302" i="8"/>
  <c r="L302" i="8"/>
  <c r="AX302" i="8"/>
  <c r="N302" i="8"/>
  <c r="E29" i="8"/>
  <c r="AP29" i="8"/>
  <c r="F29" i="8"/>
  <c r="AR29" i="8"/>
  <c r="H29" i="8"/>
  <c r="AT29" i="8"/>
  <c r="J29" i="8"/>
  <c r="AV29" i="8"/>
  <c r="L29" i="8"/>
  <c r="AX29" i="8"/>
  <c r="N29" i="8"/>
  <c r="E303" i="8"/>
  <c r="AP303" i="8"/>
  <c r="F303" i="8"/>
  <c r="AR303" i="8"/>
  <c r="H303" i="8"/>
  <c r="AT303" i="8"/>
  <c r="J303" i="8"/>
  <c r="AV303" i="8"/>
  <c r="L303" i="8"/>
  <c r="AX303" i="8"/>
  <c r="N303" i="8"/>
  <c r="E304" i="8"/>
  <c r="AP304" i="8"/>
  <c r="F304" i="8"/>
  <c r="AR304" i="8"/>
  <c r="H304" i="8"/>
  <c r="AT304" i="8"/>
  <c r="J304" i="8"/>
  <c r="AV304" i="8"/>
  <c r="L304" i="8"/>
  <c r="AX304" i="8"/>
  <c r="N304" i="8"/>
  <c r="E305" i="8"/>
  <c r="AP305" i="8"/>
  <c r="F305" i="8"/>
  <c r="AR305" i="8"/>
  <c r="H305" i="8"/>
  <c r="AT305" i="8"/>
  <c r="J305" i="8"/>
  <c r="AV305" i="8"/>
  <c r="L305" i="8"/>
  <c r="AX305" i="8"/>
  <c r="N305" i="8"/>
  <c r="E306" i="8"/>
  <c r="AP306" i="8"/>
  <c r="F306" i="8"/>
  <c r="AR306" i="8"/>
  <c r="H306" i="8"/>
  <c r="AT306" i="8"/>
  <c r="J306" i="8"/>
  <c r="AV306" i="8"/>
  <c r="L306" i="8"/>
  <c r="AX306" i="8"/>
  <c r="N306" i="8"/>
  <c r="E307" i="8"/>
  <c r="AP307" i="8"/>
  <c r="F307" i="8"/>
  <c r="AR307" i="8"/>
  <c r="H307" i="8"/>
  <c r="AT307" i="8"/>
  <c r="J307" i="8"/>
  <c r="AV307" i="8"/>
  <c r="L307" i="8"/>
  <c r="AX307" i="8"/>
  <c r="N307" i="8"/>
  <c r="E308" i="8"/>
  <c r="AP308" i="8"/>
  <c r="F308" i="8"/>
  <c r="AR308" i="8"/>
  <c r="H308" i="8"/>
  <c r="AT308" i="8"/>
  <c r="J308" i="8"/>
  <c r="AV308" i="8"/>
  <c r="L308" i="8"/>
  <c r="AX308" i="8"/>
  <c r="N308" i="8"/>
  <c r="E309" i="8"/>
  <c r="AP309" i="8"/>
  <c r="F309" i="8"/>
  <c r="AR309" i="8"/>
  <c r="H309" i="8"/>
  <c r="AT309" i="8"/>
  <c r="J309" i="8"/>
  <c r="AV309" i="8"/>
  <c r="L309" i="8"/>
  <c r="AX309" i="8"/>
  <c r="N309" i="8"/>
  <c r="AY309" i="8"/>
  <c r="O309" i="8"/>
  <c r="AZ309" i="8"/>
  <c r="P309" i="8"/>
  <c r="E310" i="8"/>
  <c r="AP310" i="8"/>
  <c r="F310" i="8"/>
  <c r="AR310" i="8"/>
  <c r="H310" i="8"/>
  <c r="AT310" i="8"/>
  <c r="J310" i="8"/>
  <c r="AV310" i="8"/>
  <c r="L310" i="8"/>
  <c r="AX310" i="8"/>
  <c r="N310" i="8"/>
  <c r="E311" i="8"/>
  <c r="AP311" i="8"/>
  <c r="F311" i="8"/>
  <c r="AR311" i="8"/>
  <c r="H311" i="8"/>
  <c r="AT311" i="8"/>
  <c r="J311" i="8"/>
  <c r="AV311" i="8"/>
  <c r="L311" i="8"/>
  <c r="AX311" i="8"/>
  <c r="N311" i="8"/>
  <c r="E312" i="8"/>
  <c r="AP312" i="8"/>
  <c r="F312" i="8"/>
  <c r="AR312" i="8"/>
  <c r="H312" i="8"/>
  <c r="AT312" i="8"/>
  <c r="J312" i="8"/>
  <c r="AV312" i="8"/>
  <c r="L312" i="8"/>
  <c r="AX312" i="8"/>
  <c r="N312" i="8"/>
  <c r="BA312" i="8"/>
  <c r="Q312" i="8"/>
  <c r="E313" i="8"/>
  <c r="AP313" i="8"/>
  <c r="F313" i="8"/>
  <c r="AR313" i="8"/>
  <c r="H313" i="8"/>
  <c r="AT313" i="8"/>
  <c r="J313" i="8"/>
  <c r="AV313" i="8"/>
  <c r="L313" i="8"/>
  <c r="AX313" i="8"/>
  <c r="N313" i="8"/>
  <c r="E314" i="8"/>
  <c r="AP314" i="8"/>
  <c r="F314" i="8"/>
  <c r="AR314" i="8"/>
  <c r="H314" i="8"/>
  <c r="AT314" i="8"/>
  <c r="J314" i="8"/>
  <c r="AV314" i="8"/>
  <c r="L314" i="8"/>
  <c r="AX314" i="8"/>
  <c r="N314" i="8"/>
  <c r="E315" i="8"/>
  <c r="AP315" i="8"/>
  <c r="F315" i="8"/>
  <c r="AR315" i="8"/>
  <c r="H315" i="8"/>
  <c r="AT315" i="8"/>
  <c r="J315" i="8"/>
  <c r="AV315" i="8"/>
  <c r="L315" i="8"/>
  <c r="AX315" i="8"/>
  <c r="N315" i="8"/>
  <c r="E316" i="8"/>
  <c r="AP316" i="8"/>
  <c r="F316" i="8"/>
  <c r="AR316" i="8"/>
  <c r="H316" i="8"/>
  <c r="AT316" i="8"/>
  <c r="J316" i="8"/>
  <c r="AV316" i="8"/>
  <c r="L316" i="8"/>
  <c r="AX316" i="8"/>
  <c r="N316" i="8"/>
  <c r="BA316" i="8"/>
  <c r="Q316" i="8"/>
  <c r="E317" i="8"/>
  <c r="AP317" i="8"/>
  <c r="F317" i="8"/>
  <c r="AR317" i="8"/>
  <c r="H317" i="8"/>
  <c r="AT317" i="8"/>
  <c r="J317" i="8"/>
  <c r="AV317" i="8"/>
  <c r="L317" i="8"/>
  <c r="AX317" i="8"/>
  <c r="N317" i="8"/>
  <c r="E318" i="8"/>
  <c r="AP318" i="8"/>
  <c r="F318" i="8"/>
  <c r="AR318" i="8"/>
  <c r="H318" i="8"/>
  <c r="AT318" i="8"/>
  <c r="J318" i="8"/>
  <c r="AV318" i="8"/>
  <c r="L318" i="8"/>
  <c r="AX318" i="8"/>
  <c r="N318" i="8"/>
  <c r="E319" i="8"/>
  <c r="AP319" i="8"/>
  <c r="F319" i="8"/>
  <c r="AR319" i="8"/>
  <c r="H319" i="8"/>
  <c r="AT319" i="8"/>
  <c r="J319" i="8"/>
  <c r="AV319" i="8"/>
  <c r="L319" i="8"/>
  <c r="AX319" i="8"/>
  <c r="N319" i="8"/>
  <c r="E320" i="8"/>
  <c r="AP320" i="8"/>
  <c r="F320" i="8"/>
  <c r="AR320" i="8"/>
  <c r="H320" i="8"/>
  <c r="AT320" i="8"/>
  <c r="J320" i="8"/>
  <c r="AV320" i="8"/>
  <c r="L320" i="8"/>
  <c r="AX320" i="8"/>
  <c r="N320" i="8"/>
  <c r="E321" i="8"/>
  <c r="AP321" i="8"/>
  <c r="F321" i="8"/>
  <c r="AR321" i="8"/>
  <c r="H321" i="8"/>
  <c r="AT321" i="8"/>
  <c r="J321" i="8"/>
  <c r="AV321" i="8"/>
  <c r="L321" i="8"/>
  <c r="AX321" i="8"/>
  <c r="N321" i="8"/>
  <c r="E322" i="8"/>
  <c r="AP322" i="8"/>
  <c r="F322" i="8"/>
  <c r="AR322" i="8"/>
  <c r="H322" i="8"/>
  <c r="AT322" i="8"/>
  <c r="J322" i="8"/>
  <c r="AV322" i="8"/>
  <c r="L322" i="8"/>
  <c r="AX322" i="8"/>
  <c r="N322" i="8"/>
  <c r="E323" i="8"/>
  <c r="AP323" i="8"/>
  <c r="F323" i="8"/>
  <c r="AR323" i="8"/>
  <c r="H323" i="8"/>
  <c r="AT323" i="8"/>
  <c r="J323" i="8"/>
  <c r="AV323" i="8"/>
  <c r="L323" i="8"/>
  <c r="AX323" i="8"/>
  <c r="N323" i="8"/>
  <c r="E324" i="8"/>
  <c r="AP324" i="8"/>
  <c r="F324" i="8"/>
  <c r="AR324" i="8"/>
  <c r="H324" i="8"/>
  <c r="AT324" i="8"/>
  <c r="J324" i="8"/>
  <c r="AV324" i="8"/>
  <c r="L324" i="8"/>
  <c r="AX324" i="8"/>
  <c r="N324" i="8"/>
  <c r="E325" i="8"/>
  <c r="AP325" i="8"/>
  <c r="F325" i="8"/>
  <c r="AR325" i="8"/>
  <c r="H325" i="8"/>
  <c r="AT325" i="8"/>
  <c r="J325" i="8"/>
  <c r="AV325" i="8"/>
  <c r="L325" i="8"/>
  <c r="AX325" i="8"/>
  <c r="N325" i="8"/>
  <c r="E326" i="8"/>
  <c r="AP326" i="8"/>
  <c r="F326" i="8"/>
  <c r="AR326" i="8"/>
  <c r="H326" i="8"/>
  <c r="AT326" i="8"/>
  <c r="J326" i="8"/>
  <c r="AV326" i="8"/>
  <c r="L326" i="8"/>
  <c r="AX326" i="8"/>
  <c r="N326" i="8"/>
  <c r="E30" i="8"/>
  <c r="AP30" i="8"/>
  <c r="F30" i="8"/>
  <c r="AR30" i="8"/>
  <c r="H30" i="8"/>
  <c r="AT30" i="8"/>
  <c r="J30" i="8"/>
  <c r="AV30" i="8"/>
  <c r="L30" i="8"/>
  <c r="AX30" i="8"/>
  <c r="N30" i="8"/>
  <c r="E327" i="8"/>
  <c r="AP327" i="8"/>
  <c r="F327" i="8"/>
  <c r="AR327" i="8"/>
  <c r="H327" i="8"/>
  <c r="AT327" i="8"/>
  <c r="J327" i="8"/>
  <c r="AV327" i="8"/>
  <c r="L327" i="8"/>
  <c r="AX327" i="8"/>
  <c r="N327" i="8"/>
  <c r="E328" i="8"/>
  <c r="AP328" i="8"/>
  <c r="F328" i="8"/>
  <c r="AR328" i="8"/>
  <c r="H328" i="8"/>
  <c r="AT328" i="8"/>
  <c r="J328" i="8"/>
  <c r="AV328" i="8"/>
  <c r="L328" i="8"/>
  <c r="AX328" i="8"/>
  <c r="N328" i="8"/>
  <c r="E329" i="8"/>
  <c r="AP329" i="8"/>
  <c r="F329" i="8"/>
  <c r="AR329" i="8"/>
  <c r="H329" i="8"/>
  <c r="AT329" i="8"/>
  <c r="J329" i="8"/>
  <c r="AV329" i="8"/>
  <c r="L329" i="8"/>
  <c r="AX329" i="8"/>
  <c r="N329" i="8"/>
  <c r="E330" i="8"/>
  <c r="AP330" i="8"/>
  <c r="F330" i="8"/>
  <c r="AR330" i="8"/>
  <c r="H330" i="8"/>
  <c r="AT330" i="8"/>
  <c r="J330" i="8"/>
  <c r="AV330" i="8"/>
  <c r="L330" i="8"/>
  <c r="AX330" i="8"/>
  <c r="N330" i="8"/>
  <c r="E331" i="8"/>
  <c r="AP331" i="8"/>
  <c r="F331" i="8"/>
  <c r="AR331" i="8"/>
  <c r="H331" i="8"/>
  <c r="AT331" i="8"/>
  <c r="J331" i="8"/>
  <c r="AV331" i="8"/>
  <c r="L331" i="8"/>
  <c r="AX331" i="8"/>
  <c r="N331" i="8"/>
  <c r="E31" i="8"/>
  <c r="AP31" i="8"/>
  <c r="F31" i="8"/>
  <c r="AR31" i="8"/>
  <c r="H31" i="8"/>
  <c r="AT31" i="8"/>
  <c r="J31" i="8"/>
  <c r="AV31" i="8"/>
  <c r="L31" i="8"/>
  <c r="AX31" i="8"/>
  <c r="N31" i="8"/>
  <c r="E332" i="8"/>
  <c r="AP332" i="8"/>
  <c r="F332" i="8"/>
  <c r="AR332" i="8"/>
  <c r="H332" i="8"/>
  <c r="AT332" i="8"/>
  <c r="J332" i="8"/>
  <c r="AV332" i="8"/>
  <c r="L332" i="8"/>
  <c r="AX332" i="8"/>
  <c r="N332" i="8"/>
  <c r="E333" i="8"/>
  <c r="AP333" i="8"/>
  <c r="F333" i="8"/>
  <c r="AR333" i="8"/>
  <c r="H333" i="8"/>
  <c r="AT333" i="8"/>
  <c r="J333" i="8"/>
  <c r="AV333" i="8"/>
  <c r="L333" i="8"/>
  <c r="AX333" i="8"/>
  <c r="N333" i="8"/>
  <c r="E334" i="8"/>
  <c r="AP334" i="8"/>
  <c r="F334" i="8"/>
  <c r="AR334" i="8"/>
  <c r="H334" i="8"/>
  <c r="AT334" i="8"/>
  <c r="J334" i="8"/>
  <c r="AV334" i="8"/>
  <c r="L334" i="8"/>
  <c r="AX334" i="8"/>
  <c r="N334" i="8"/>
  <c r="E335" i="8"/>
  <c r="AP335" i="8"/>
  <c r="F335" i="8"/>
  <c r="AR335" i="8"/>
  <c r="H335" i="8"/>
  <c r="AT335" i="8"/>
  <c r="J335" i="8"/>
  <c r="AV335" i="8"/>
  <c r="L335" i="8"/>
  <c r="AX335" i="8"/>
  <c r="N335" i="8"/>
  <c r="E336" i="8"/>
  <c r="AP336" i="8"/>
  <c r="F336" i="8"/>
  <c r="AR336" i="8"/>
  <c r="H336" i="8"/>
  <c r="AT336" i="8"/>
  <c r="J336" i="8"/>
  <c r="AV336" i="8"/>
  <c r="L336" i="8"/>
  <c r="AX336" i="8"/>
  <c r="N336" i="8"/>
  <c r="E337" i="8"/>
  <c r="AP337" i="8"/>
  <c r="F337" i="8"/>
  <c r="AR337" i="8"/>
  <c r="H337" i="8"/>
  <c r="AT337" i="8"/>
  <c r="J337" i="8"/>
  <c r="AV337" i="8"/>
  <c r="L337" i="8"/>
  <c r="AX337" i="8"/>
  <c r="N337" i="8"/>
  <c r="E338" i="8"/>
  <c r="AP338" i="8"/>
  <c r="F338" i="8"/>
  <c r="AR338" i="8"/>
  <c r="H338" i="8"/>
  <c r="AT338" i="8"/>
  <c r="J338" i="8"/>
  <c r="AV338" i="8"/>
  <c r="L338" i="8"/>
  <c r="AX338" i="8"/>
  <c r="N338" i="8"/>
  <c r="AY338" i="8"/>
  <c r="O338" i="8"/>
  <c r="AZ338" i="8"/>
  <c r="P338" i="8"/>
  <c r="E339" i="8"/>
  <c r="AP339" i="8"/>
  <c r="F339" i="8"/>
  <c r="AR339" i="8"/>
  <c r="H339" i="8"/>
  <c r="AT339" i="8"/>
  <c r="J339" i="8"/>
  <c r="AV339" i="8"/>
  <c r="L339" i="8"/>
  <c r="AX339" i="8"/>
  <c r="N339" i="8"/>
  <c r="E340" i="8"/>
  <c r="AP340" i="8"/>
  <c r="F340" i="8"/>
  <c r="AR340" i="8"/>
  <c r="H340" i="8"/>
  <c r="AT340" i="8"/>
  <c r="J340" i="8"/>
  <c r="AV340" i="8"/>
  <c r="L340" i="8"/>
  <c r="AX340" i="8"/>
  <c r="N340" i="8"/>
  <c r="E341" i="8"/>
  <c r="AP341" i="8"/>
  <c r="F341" i="8"/>
  <c r="AR341" i="8"/>
  <c r="H341" i="8"/>
  <c r="AT341" i="8"/>
  <c r="J341" i="8"/>
  <c r="AV341" i="8"/>
  <c r="L341" i="8"/>
  <c r="AX341" i="8"/>
  <c r="N341" i="8"/>
  <c r="E342" i="8"/>
  <c r="AP342" i="8"/>
  <c r="F342" i="8"/>
  <c r="AR342" i="8"/>
  <c r="H342" i="8"/>
  <c r="AT342" i="8"/>
  <c r="J342" i="8"/>
  <c r="AV342" i="8"/>
  <c r="L342" i="8"/>
  <c r="AX342" i="8"/>
  <c r="N342" i="8"/>
  <c r="E343" i="8"/>
  <c r="AP343" i="8"/>
  <c r="F343" i="8"/>
  <c r="AR343" i="8"/>
  <c r="H343" i="8"/>
  <c r="AT343" i="8"/>
  <c r="J343" i="8"/>
  <c r="AV343" i="8"/>
  <c r="L343" i="8"/>
  <c r="AX343" i="8"/>
  <c r="N343" i="8"/>
  <c r="E344" i="8"/>
  <c r="AP344" i="8"/>
  <c r="F344" i="8"/>
  <c r="AR344" i="8"/>
  <c r="H344" i="8"/>
  <c r="AT344" i="8"/>
  <c r="J344" i="8"/>
  <c r="AV344" i="8"/>
  <c r="L344" i="8"/>
  <c r="AX344" i="8"/>
  <c r="N344" i="8"/>
  <c r="E345" i="8"/>
  <c r="AP345" i="8"/>
  <c r="F345" i="8"/>
  <c r="AR345" i="8"/>
  <c r="H345" i="8"/>
  <c r="AT345" i="8"/>
  <c r="J345" i="8"/>
  <c r="AV345" i="8"/>
  <c r="L345" i="8"/>
  <c r="AX345" i="8"/>
  <c r="N345" i="8"/>
  <c r="E346" i="8"/>
  <c r="AP346" i="8"/>
  <c r="F346" i="8"/>
  <c r="AR346" i="8"/>
  <c r="H346" i="8"/>
  <c r="AT346" i="8"/>
  <c r="J346" i="8"/>
  <c r="AV346" i="8"/>
  <c r="L346" i="8"/>
  <c r="AX346" i="8"/>
  <c r="N346" i="8"/>
  <c r="E347" i="8"/>
  <c r="AP347" i="8"/>
  <c r="F347" i="8"/>
  <c r="AR347" i="8"/>
  <c r="H347" i="8"/>
  <c r="AT347" i="8"/>
  <c r="J347" i="8"/>
  <c r="AV347" i="8"/>
  <c r="L347" i="8"/>
  <c r="AX347" i="8"/>
  <c r="N347" i="8"/>
  <c r="E348" i="8"/>
  <c r="AP348" i="8"/>
  <c r="F348" i="8"/>
  <c r="AR348" i="8"/>
  <c r="H348" i="8"/>
  <c r="AT348" i="8"/>
  <c r="J348" i="8"/>
  <c r="AV348" i="8"/>
  <c r="L348" i="8"/>
  <c r="AX348" i="8"/>
  <c r="N348" i="8"/>
  <c r="E349" i="8"/>
  <c r="AP349" i="8"/>
  <c r="F349" i="8"/>
  <c r="AR349" i="8"/>
  <c r="H349" i="8"/>
  <c r="AT349" i="8"/>
  <c r="J349" i="8"/>
  <c r="AV349" i="8"/>
  <c r="L349" i="8"/>
  <c r="AX349" i="8"/>
  <c r="N349" i="8"/>
  <c r="E350" i="8"/>
  <c r="AP350" i="8"/>
  <c r="F350" i="8"/>
  <c r="AR350" i="8"/>
  <c r="H350" i="8"/>
  <c r="AT350" i="8"/>
  <c r="J350" i="8"/>
  <c r="AV350" i="8"/>
  <c r="L350" i="8"/>
  <c r="AX350" i="8"/>
  <c r="N350" i="8"/>
  <c r="E32" i="8"/>
  <c r="AP32" i="8"/>
  <c r="F32" i="8"/>
  <c r="AR32" i="8"/>
  <c r="H32" i="8"/>
  <c r="AT32" i="8"/>
  <c r="J32" i="8"/>
  <c r="AV32" i="8"/>
  <c r="L32" i="8"/>
  <c r="AX32" i="8"/>
  <c r="N32" i="8"/>
  <c r="E351" i="8"/>
  <c r="AP351" i="8"/>
  <c r="F351" i="8"/>
  <c r="AR351" i="8"/>
  <c r="H351" i="8"/>
  <c r="AT351" i="8"/>
  <c r="J351" i="8"/>
  <c r="AV351" i="8"/>
  <c r="L351" i="8"/>
  <c r="AX351" i="8"/>
  <c r="N351" i="8"/>
  <c r="E352" i="8"/>
  <c r="AP352" i="8"/>
  <c r="F352" i="8"/>
  <c r="AR352" i="8"/>
  <c r="H352" i="8"/>
  <c r="AT352" i="8"/>
  <c r="J352" i="8"/>
  <c r="AV352" i="8"/>
  <c r="L352" i="8"/>
  <c r="AX352" i="8"/>
  <c r="N352" i="8"/>
  <c r="E353" i="8"/>
  <c r="AP353" i="8"/>
  <c r="F353" i="8"/>
  <c r="AR353" i="8"/>
  <c r="H353" i="8"/>
  <c r="AT353" i="8"/>
  <c r="J353" i="8"/>
  <c r="AV353" i="8"/>
  <c r="L353" i="8"/>
  <c r="AX353" i="8"/>
  <c r="N353" i="8"/>
  <c r="E354" i="8"/>
  <c r="AP354" i="8"/>
  <c r="F354" i="8"/>
  <c r="AR354" i="8"/>
  <c r="H354" i="8"/>
  <c r="AT354" i="8"/>
  <c r="J354" i="8"/>
  <c r="AV354" i="8"/>
  <c r="L354" i="8"/>
  <c r="AX354" i="8"/>
  <c r="N354" i="8"/>
  <c r="E355" i="8"/>
  <c r="AP355" i="8"/>
  <c r="F355" i="8"/>
  <c r="AR355" i="8"/>
  <c r="H355" i="8"/>
  <c r="AT355" i="8"/>
  <c r="J355" i="8"/>
  <c r="AV355" i="8"/>
  <c r="L355" i="8"/>
  <c r="AX355" i="8"/>
  <c r="N355" i="8"/>
  <c r="E356" i="8"/>
  <c r="AP356" i="8"/>
  <c r="F356" i="8"/>
  <c r="AR356" i="8"/>
  <c r="H356" i="8"/>
  <c r="AT356" i="8"/>
  <c r="J356" i="8"/>
  <c r="AV356" i="8"/>
  <c r="L356" i="8"/>
  <c r="AX356" i="8"/>
  <c r="N356" i="8"/>
  <c r="E357" i="8"/>
  <c r="AP357" i="8"/>
  <c r="F357" i="8"/>
  <c r="AR357" i="8"/>
  <c r="H357" i="8"/>
  <c r="AT357" i="8"/>
  <c r="J357" i="8"/>
  <c r="AV357" i="8"/>
  <c r="L357" i="8"/>
  <c r="AX357" i="8"/>
  <c r="N357" i="8"/>
  <c r="E358" i="8"/>
  <c r="AP358" i="8"/>
  <c r="F358" i="8"/>
  <c r="AR358" i="8"/>
  <c r="H358" i="8"/>
  <c r="AT358" i="8"/>
  <c r="J358" i="8"/>
  <c r="AV358" i="8"/>
  <c r="L358" i="8"/>
  <c r="AX358" i="8"/>
  <c r="N358" i="8"/>
  <c r="E359" i="8"/>
  <c r="AP359" i="8"/>
  <c r="F359" i="8"/>
  <c r="AR359" i="8"/>
  <c r="H359" i="8"/>
  <c r="AT359" i="8"/>
  <c r="J359" i="8"/>
  <c r="AV359" i="8"/>
  <c r="L359" i="8"/>
  <c r="AX359" i="8"/>
  <c r="N359" i="8"/>
  <c r="E360" i="8"/>
  <c r="AP360" i="8"/>
  <c r="F360" i="8"/>
  <c r="AR360" i="8"/>
  <c r="H360" i="8"/>
  <c r="AT360" i="8"/>
  <c r="J360" i="8"/>
  <c r="AV360" i="8"/>
  <c r="L360" i="8"/>
  <c r="AX360" i="8"/>
  <c r="N360" i="8"/>
  <c r="E33" i="8"/>
  <c r="AP33" i="8"/>
  <c r="F33" i="8"/>
  <c r="AR33" i="8"/>
  <c r="H33" i="8"/>
  <c r="AT33" i="8"/>
  <c r="J33" i="8"/>
  <c r="AV33" i="8"/>
  <c r="L33" i="8"/>
  <c r="AX33" i="8"/>
  <c r="N33" i="8"/>
  <c r="E361" i="8"/>
  <c r="AP361" i="8"/>
  <c r="F361" i="8"/>
  <c r="AR361" i="8"/>
  <c r="H361" i="8"/>
  <c r="AT361" i="8"/>
  <c r="J361" i="8"/>
  <c r="AV361" i="8"/>
  <c r="L361" i="8"/>
  <c r="AX361" i="8"/>
  <c r="N361" i="8"/>
  <c r="E362" i="8"/>
  <c r="AP362" i="8"/>
  <c r="F362" i="8"/>
  <c r="AR362" i="8"/>
  <c r="H362" i="8"/>
  <c r="AT362" i="8"/>
  <c r="J362" i="8"/>
  <c r="AV362" i="8"/>
  <c r="L362" i="8"/>
  <c r="AX362" i="8"/>
  <c r="N362" i="8"/>
  <c r="AY362" i="8"/>
  <c r="O362" i="8"/>
  <c r="AZ362" i="8"/>
  <c r="P362" i="8"/>
  <c r="BA362" i="8"/>
  <c r="Q362" i="8"/>
  <c r="B362" i="8"/>
  <c r="E363" i="8"/>
  <c r="AP363" i="8"/>
  <c r="F363" i="8"/>
  <c r="AR363" i="8"/>
  <c r="H363" i="8"/>
  <c r="AT363" i="8"/>
  <c r="J363" i="8"/>
  <c r="AV363" i="8"/>
  <c r="L363" i="8"/>
  <c r="AX363" i="8"/>
  <c r="N363" i="8"/>
  <c r="E364" i="8"/>
  <c r="AP364" i="8"/>
  <c r="F364" i="8"/>
  <c r="AR364" i="8"/>
  <c r="H364" i="8"/>
  <c r="AT364" i="8"/>
  <c r="J364" i="8"/>
  <c r="AV364" i="8"/>
  <c r="L364" i="8"/>
  <c r="AX364" i="8"/>
  <c r="N364" i="8"/>
  <c r="E365" i="8"/>
  <c r="AP365" i="8"/>
  <c r="F365" i="8"/>
  <c r="AR365" i="8"/>
  <c r="H365" i="8"/>
  <c r="AT365" i="8"/>
  <c r="J365" i="8"/>
  <c r="AV365" i="8"/>
  <c r="L365" i="8"/>
  <c r="AX365" i="8"/>
  <c r="N365" i="8"/>
  <c r="E366" i="8"/>
  <c r="AP366" i="8"/>
  <c r="F366" i="8"/>
  <c r="AR366" i="8"/>
  <c r="H366" i="8"/>
  <c r="AT366" i="8"/>
  <c r="J366" i="8"/>
  <c r="AV366" i="8"/>
  <c r="L366" i="8"/>
  <c r="AX366" i="8"/>
  <c r="N366" i="8"/>
  <c r="E367" i="8"/>
  <c r="AP367" i="8"/>
  <c r="F367" i="8"/>
  <c r="AR367" i="8"/>
  <c r="H367" i="8"/>
  <c r="AT367" i="8"/>
  <c r="J367" i="8"/>
  <c r="AV367" i="8"/>
  <c r="L367" i="8"/>
  <c r="AX367" i="8"/>
  <c r="N367" i="8"/>
  <c r="E34" i="8"/>
  <c r="AP34" i="8"/>
  <c r="F34" i="8"/>
  <c r="AR34" i="8"/>
  <c r="H34" i="8"/>
  <c r="AT34" i="8"/>
  <c r="J34" i="8"/>
  <c r="AV34" i="8"/>
  <c r="L34" i="8"/>
  <c r="AX34" i="8"/>
  <c r="N34" i="8"/>
  <c r="E368" i="8"/>
  <c r="AP368" i="8"/>
  <c r="F368" i="8"/>
  <c r="AR368" i="8"/>
  <c r="H368" i="8"/>
  <c r="AT368" i="8"/>
  <c r="J368" i="8"/>
  <c r="AV368" i="8"/>
  <c r="L368" i="8"/>
  <c r="AX368" i="8"/>
  <c r="N368" i="8"/>
  <c r="E369" i="8"/>
  <c r="AP369" i="8"/>
  <c r="F369" i="8"/>
  <c r="AR369" i="8"/>
  <c r="H369" i="8"/>
  <c r="AT369" i="8"/>
  <c r="J369" i="8"/>
  <c r="AV369" i="8"/>
  <c r="L369" i="8"/>
  <c r="AX369" i="8"/>
  <c r="N369" i="8"/>
  <c r="E370" i="8"/>
  <c r="AP370" i="8"/>
  <c r="F370" i="8"/>
  <c r="AR370" i="8"/>
  <c r="H370" i="8"/>
  <c r="AT370" i="8"/>
  <c r="J370" i="8"/>
  <c r="AV370" i="8"/>
  <c r="L370" i="8"/>
  <c r="AX370" i="8"/>
  <c r="N370" i="8"/>
  <c r="E35" i="8"/>
  <c r="AP35" i="8"/>
  <c r="F35" i="8"/>
  <c r="AR35" i="8"/>
  <c r="H35" i="8"/>
  <c r="AT35" i="8"/>
  <c r="J35" i="8"/>
  <c r="AV35" i="8"/>
  <c r="L35" i="8"/>
  <c r="AX35" i="8"/>
  <c r="N35" i="8"/>
  <c r="E371" i="8"/>
  <c r="AP371" i="8"/>
  <c r="F371" i="8"/>
  <c r="AR371" i="8"/>
  <c r="H371" i="8"/>
  <c r="AT371" i="8"/>
  <c r="J371" i="8"/>
  <c r="AV371" i="8"/>
  <c r="L371" i="8"/>
  <c r="AX371" i="8"/>
  <c r="N371" i="8"/>
  <c r="E372" i="8"/>
  <c r="AP372" i="8"/>
  <c r="F372" i="8"/>
  <c r="AR372" i="8"/>
  <c r="H372" i="8"/>
  <c r="AT372" i="8"/>
  <c r="J372" i="8"/>
  <c r="AV372" i="8"/>
  <c r="L372" i="8"/>
  <c r="AX372" i="8"/>
  <c r="N372" i="8"/>
  <c r="E373" i="8"/>
  <c r="AP373" i="8"/>
  <c r="F373" i="8"/>
  <c r="AR373" i="8"/>
  <c r="H373" i="8"/>
  <c r="AT373" i="8"/>
  <c r="J373" i="8"/>
  <c r="AV373" i="8"/>
  <c r="L373" i="8"/>
  <c r="AX373" i="8"/>
  <c r="N373" i="8"/>
  <c r="BA373" i="8"/>
  <c r="Q373" i="8"/>
  <c r="E374" i="8"/>
  <c r="AP374" i="8"/>
  <c r="F374" i="8"/>
  <c r="AR374" i="8"/>
  <c r="H374" i="8"/>
  <c r="AT374" i="8"/>
  <c r="J374" i="8"/>
  <c r="AV374" i="8"/>
  <c r="L374" i="8"/>
  <c r="AX374" i="8"/>
  <c r="N374" i="8"/>
  <c r="E375" i="8"/>
  <c r="AP375" i="8"/>
  <c r="F375" i="8"/>
  <c r="AR375" i="8"/>
  <c r="H375" i="8"/>
  <c r="AT375" i="8"/>
  <c r="J375" i="8"/>
  <c r="AV375" i="8"/>
  <c r="L375" i="8"/>
  <c r="AX375" i="8"/>
  <c r="N375" i="8"/>
  <c r="E376" i="8"/>
  <c r="AP376" i="8"/>
  <c r="F376" i="8"/>
  <c r="AR376" i="8"/>
  <c r="H376" i="8"/>
  <c r="AT376" i="8"/>
  <c r="J376" i="8"/>
  <c r="AV376" i="8"/>
  <c r="L376" i="8"/>
  <c r="AX376" i="8"/>
  <c r="N376" i="8"/>
  <c r="E377" i="8"/>
  <c r="AP377" i="8"/>
  <c r="F377" i="8"/>
  <c r="AR377" i="8"/>
  <c r="H377" i="8"/>
  <c r="AT377" i="8"/>
  <c r="J377" i="8"/>
  <c r="AV377" i="8"/>
  <c r="L377" i="8"/>
  <c r="AX377" i="8"/>
  <c r="N377" i="8"/>
  <c r="E378" i="8"/>
  <c r="AP378" i="8"/>
  <c r="F378" i="8"/>
  <c r="AR378" i="8"/>
  <c r="H378" i="8"/>
  <c r="AT378" i="8"/>
  <c r="J378" i="8"/>
  <c r="AV378" i="8"/>
  <c r="L378" i="8"/>
  <c r="AX378" i="8"/>
  <c r="N378" i="8"/>
  <c r="E379" i="8"/>
  <c r="AP379" i="8"/>
  <c r="F379" i="8"/>
  <c r="AR379" i="8"/>
  <c r="H379" i="8"/>
  <c r="AT379" i="8"/>
  <c r="J379" i="8"/>
  <c r="AV379" i="8"/>
  <c r="L379" i="8"/>
  <c r="AX379" i="8"/>
  <c r="N379" i="8"/>
  <c r="E380" i="8"/>
  <c r="AP380" i="8"/>
  <c r="F380" i="8"/>
  <c r="AR380" i="8"/>
  <c r="H380" i="8"/>
  <c r="AT380" i="8"/>
  <c r="J380" i="8"/>
  <c r="AV380" i="8"/>
  <c r="L380" i="8"/>
  <c r="AX380" i="8"/>
  <c r="N380" i="8"/>
  <c r="E381" i="8"/>
  <c r="AP381" i="8"/>
  <c r="F381" i="8"/>
  <c r="AR381" i="8"/>
  <c r="H381" i="8"/>
  <c r="AT381" i="8"/>
  <c r="J381" i="8"/>
  <c r="AV381" i="8"/>
  <c r="L381" i="8"/>
  <c r="AX381" i="8"/>
  <c r="N381" i="8"/>
  <c r="E382" i="8"/>
  <c r="AP382" i="8"/>
  <c r="F382" i="8"/>
  <c r="AR382" i="8"/>
  <c r="H382" i="8"/>
  <c r="AT382" i="8"/>
  <c r="J382" i="8"/>
  <c r="AV382" i="8"/>
  <c r="L382" i="8"/>
  <c r="AX382" i="8"/>
  <c r="N382" i="8"/>
  <c r="E383" i="8"/>
  <c r="AP383" i="8"/>
  <c r="F383" i="8"/>
  <c r="AR383" i="8"/>
  <c r="H383" i="8"/>
  <c r="AT383" i="8"/>
  <c r="J383" i="8"/>
  <c r="AV383" i="8"/>
  <c r="L383" i="8"/>
  <c r="AX383" i="8"/>
  <c r="N383" i="8"/>
  <c r="E384" i="8"/>
  <c r="AP384" i="8"/>
  <c r="F384" i="8"/>
  <c r="AR384" i="8"/>
  <c r="H384" i="8"/>
  <c r="AT384" i="8"/>
  <c r="J384" i="8"/>
  <c r="AV384" i="8"/>
  <c r="L384" i="8"/>
  <c r="AX384" i="8"/>
  <c r="N384" i="8"/>
  <c r="E385" i="8"/>
  <c r="AP385" i="8"/>
  <c r="F385" i="8"/>
  <c r="AR385" i="8"/>
  <c r="H385" i="8"/>
  <c r="AT385" i="8"/>
  <c r="J385" i="8"/>
  <c r="AV385" i="8"/>
  <c r="L385" i="8"/>
  <c r="AX385" i="8"/>
  <c r="N385" i="8"/>
  <c r="E36" i="8"/>
  <c r="AP36" i="8"/>
  <c r="F36" i="8"/>
  <c r="AR36" i="8"/>
  <c r="H36" i="8"/>
  <c r="AT36" i="8"/>
  <c r="J36" i="8"/>
  <c r="AV36" i="8"/>
  <c r="L36" i="8"/>
  <c r="AX36" i="8"/>
  <c r="N36" i="8"/>
  <c r="E386" i="8"/>
  <c r="AP386" i="8"/>
  <c r="F386" i="8"/>
  <c r="AR386" i="8"/>
  <c r="H386" i="8"/>
  <c r="AT386" i="8"/>
  <c r="J386" i="8"/>
  <c r="AV386" i="8"/>
  <c r="L386" i="8"/>
  <c r="AX386" i="8"/>
  <c r="N386" i="8"/>
  <c r="E387" i="8"/>
  <c r="AP387" i="8"/>
  <c r="F387" i="8"/>
  <c r="AR387" i="8"/>
  <c r="H387" i="8"/>
  <c r="AT387" i="8"/>
  <c r="J387" i="8"/>
  <c r="AV387" i="8"/>
  <c r="L387" i="8"/>
  <c r="AX387" i="8"/>
  <c r="N387" i="8"/>
  <c r="E388" i="8"/>
  <c r="AP388" i="8"/>
  <c r="F388" i="8"/>
  <c r="AR388" i="8"/>
  <c r="H388" i="8"/>
  <c r="AT388" i="8"/>
  <c r="J388" i="8"/>
  <c r="AV388" i="8"/>
  <c r="L388" i="8"/>
  <c r="AX388" i="8"/>
  <c r="N388" i="8"/>
  <c r="E389" i="8"/>
  <c r="AP389" i="8"/>
  <c r="F389" i="8"/>
  <c r="AR389" i="8"/>
  <c r="H389" i="8"/>
  <c r="AT389" i="8"/>
  <c r="J389" i="8"/>
  <c r="AV389" i="8"/>
  <c r="L389" i="8"/>
  <c r="AX389" i="8"/>
  <c r="N389" i="8"/>
  <c r="E390" i="8"/>
  <c r="AP390" i="8"/>
  <c r="F390" i="8"/>
  <c r="AR390" i="8"/>
  <c r="H390" i="8"/>
  <c r="AT390" i="8"/>
  <c r="J390" i="8"/>
  <c r="AV390" i="8"/>
  <c r="L390" i="8"/>
  <c r="AX390" i="8"/>
  <c r="N390" i="8"/>
  <c r="E391" i="8"/>
  <c r="AP391" i="8"/>
  <c r="F391" i="8"/>
  <c r="AR391" i="8"/>
  <c r="H391" i="8"/>
  <c r="AT391" i="8"/>
  <c r="J391" i="8"/>
  <c r="AV391" i="8"/>
  <c r="L391" i="8"/>
  <c r="AX391" i="8"/>
  <c r="N391" i="8"/>
  <c r="E392" i="8"/>
  <c r="AP392" i="8"/>
  <c r="F392" i="8"/>
  <c r="AR392" i="8"/>
  <c r="H392" i="8"/>
  <c r="AT392" i="8"/>
  <c r="J392" i="8"/>
  <c r="AV392" i="8"/>
  <c r="L392" i="8"/>
  <c r="AX392" i="8"/>
  <c r="N392" i="8"/>
  <c r="E393" i="8"/>
  <c r="AP393" i="8"/>
  <c r="F393" i="8"/>
  <c r="AR393" i="8"/>
  <c r="H393" i="8"/>
  <c r="AT393" i="8"/>
  <c r="J393" i="8"/>
  <c r="AV393" i="8"/>
  <c r="L393" i="8"/>
  <c r="AX393" i="8"/>
  <c r="N393" i="8"/>
  <c r="E37" i="8"/>
  <c r="AP37" i="8"/>
  <c r="F37" i="8"/>
  <c r="AR37" i="8"/>
  <c r="H37" i="8"/>
  <c r="AT37" i="8"/>
  <c r="J37" i="8"/>
  <c r="AV37" i="8"/>
  <c r="L37" i="8"/>
  <c r="AX37" i="8"/>
  <c r="N37" i="8"/>
  <c r="AY37" i="8"/>
  <c r="O37" i="8"/>
  <c r="AZ37" i="8"/>
  <c r="P37" i="8"/>
  <c r="E394" i="8"/>
  <c r="AP394" i="8"/>
  <c r="F394" i="8"/>
  <c r="AR394" i="8"/>
  <c r="H394" i="8"/>
  <c r="AT394" i="8"/>
  <c r="J394" i="8"/>
  <c r="AV394" i="8"/>
  <c r="L394" i="8"/>
  <c r="AX394" i="8"/>
  <c r="N394" i="8"/>
  <c r="AY394" i="8"/>
  <c r="O394" i="8"/>
  <c r="AZ394" i="8"/>
  <c r="P394" i="8"/>
  <c r="BA394" i="8"/>
  <c r="Q394" i="8"/>
  <c r="B394" i="8"/>
  <c r="E395" i="8"/>
  <c r="AP395" i="8"/>
  <c r="F395" i="8"/>
  <c r="AR395" i="8"/>
  <c r="H395" i="8"/>
  <c r="AT395" i="8"/>
  <c r="J395" i="8"/>
  <c r="AV395" i="8"/>
  <c r="L395" i="8"/>
  <c r="AX395" i="8"/>
  <c r="N395" i="8"/>
  <c r="AY395" i="8"/>
  <c r="O395" i="8"/>
  <c r="AZ395" i="8"/>
  <c r="P395" i="8"/>
  <c r="BA395" i="8"/>
  <c r="Q395" i="8"/>
  <c r="B395" i="8"/>
  <c r="E396" i="8"/>
  <c r="AP396" i="8"/>
  <c r="F396" i="8"/>
  <c r="AR396" i="8"/>
  <c r="H396" i="8"/>
  <c r="AT396" i="8"/>
  <c r="J396" i="8"/>
  <c r="AV396" i="8"/>
  <c r="L396" i="8"/>
  <c r="AX396" i="8"/>
  <c r="N396" i="8"/>
  <c r="AY396" i="8"/>
  <c r="O396" i="8"/>
  <c r="AZ396" i="8"/>
  <c r="P396" i="8"/>
  <c r="BA396" i="8"/>
  <c r="Q396" i="8"/>
  <c r="B396" i="8"/>
  <c r="E397" i="8"/>
  <c r="AP397" i="8"/>
  <c r="F397" i="8"/>
  <c r="AR397" i="8"/>
  <c r="H397" i="8"/>
  <c r="AT397" i="8"/>
  <c r="J397" i="8"/>
  <c r="AV397" i="8"/>
  <c r="L397" i="8"/>
  <c r="AX397" i="8"/>
  <c r="N397" i="8"/>
  <c r="AY397" i="8"/>
  <c r="O397" i="8"/>
  <c r="AZ397" i="8"/>
  <c r="P397" i="8"/>
  <c r="BA397" i="8"/>
  <c r="Q397" i="8"/>
  <c r="B397" i="8"/>
  <c r="E398" i="8"/>
  <c r="AP398" i="8"/>
  <c r="F398" i="8"/>
  <c r="AR398" i="8"/>
  <c r="H398" i="8"/>
  <c r="AT398" i="8"/>
  <c r="J398" i="8"/>
  <c r="AV398" i="8"/>
  <c r="L398" i="8"/>
  <c r="AX398" i="8"/>
  <c r="N398" i="8"/>
  <c r="AY398" i="8"/>
  <c r="O398" i="8"/>
  <c r="AZ398" i="8"/>
  <c r="P398" i="8"/>
  <c r="BA398" i="8"/>
  <c r="Q398" i="8"/>
  <c r="B398" i="8"/>
  <c r="E38" i="8"/>
  <c r="AP38" i="8"/>
  <c r="F38" i="8"/>
  <c r="AR38" i="8"/>
  <c r="H38" i="8"/>
  <c r="AT38" i="8"/>
  <c r="J38" i="8"/>
  <c r="AV38" i="8"/>
  <c r="L38" i="8"/>
  <c r="AX38" i="8"/>
  <c r="N38" i="8"/>
  <c r="AY38" i="8"/>
  <c r="O38" i="8"/>
  <c r="AZ38" i="8"/>
  <c r="P38" i="8"/>
  <c r="BA38" i="8"/>
  <c r="Q38" i="8"/>
  <c r="B38" i="8"/>
  <c r="E399" i="8"/>
  <c r="AP399" i="8"/>
  <c r="F399" i="8"/>
  <c r="AR399" i="8"/>
  <c r="H399" i="8"/>
  <c r="AT399" i="8"/>
  <c r="J399" i="8"/>
  <c r="AV399" i="8"/>
  <c r="L399" i="8"/>
  <c r="AX399" i="8"/>
  <c r="N399" i="8"/>
  <c r="AY399" i="8"/>
  <c r="O399" i="8"/>
  <c r="AZ399" i="8"/>
  <c r="P399" i="8"/>
  <c r="BA399" i="8"/>
  <c r="Q399" i="8"/>
  <c r="B399" i="8"/>
  <c r="E400" i="8"/>
  <c r="AP400" i="8"/>
  <c r="F400" i="8"/>
  <c r="AR400" i="8"/>
  <c r="H400" i="8"/>
  <c r="AT400" i="8"/>
  <c r="J400" i="8"/>
  <c r="AV400" i="8"/>
  <c r="L400" i="8"/>
  <c r="AX400" i="8"/>
  <c r="N400" i="8"/>
  <c r="AY400" i="8"/>
  <c r="O400" i="8"/>
  <c r="AZ400" i="8"/>
  <c r="P400" i="8"/>
  <c r="BA400" i="8"/>
  <c r="Q400" i="8"/>
  <c r="B400" i="8"/>
  <c r="E401" i="8"/>
  <c r="AP401" i="8"/>
  <c r="F401" i="8"/>
  <c r="AR401" i="8"/>
  <c r="H401" i="8"/>
  <c r="AT401" i="8"/>
  <c r="J401" i="8"/>
  <c r="AV401" i="8"/>
  <c r="L401" i="8"/>
  <c r="AX401" i="8"/>
  <c r="N401" i="8"/>
  <c r="AY401" i="8"/>
  <c r="O401" i="8"/>
  <c r="AZ401" i="8"/>
  <c r="P401" i="8"/>
  <c r="BA401" i="8"/>
  <c r="Q401" i="8"/>
  <c r="B401" i="8"/>
  <c r="E402" i="8"/>
  <c r="AP402" i="8"/>
  <c r="F402" i="8"/>
  <c r="AR402" i="8"/>
  <c r="H402" i="8"/>
  <c r="AT402" i="8"/>
  <c r="J402" i="8"/>
  <c r="AV402" i="8"/>
  <c r="L402" i="8"/>
  <c r="AX402" i="8"/>
  <c r="N402" i="8"/>
  <c r="AY402" i="8"/>
  <c r="O402" i="8"/>
  <c r="AZ402" i="8"/>
  <c r="P402" i="8"/>
  <c r="BA402" i="8"/>
  <c r="Q402" i="8"/>
  <c r="B402" i="8"/>
  <c r="E403" i="8"/>
  <c r="AP403" i="8"/>
  <c r="F403" i="8"/>
  <c r="AR403" i="8"/>
  <c r="H403" i="8"/>
  <c r="AT403" i="8"/>
  <c r="J403" i="8"/>
  <c r="AV403" i="8"/>
  <c r="L403" i="8"/>
  <c r="AX403" i="8"/>
  <c r="N403" i="8"/>
  <c r="AY403" i="8"/>
  <c r="O403" i="8"/>
  <c r="AZ403" i="8"/>
  <c r="P403" i="8"/>
  <c r="BA403" i="8"/>
  <c r="Q403" i="8"/>
  <c r="B403" i="8"/>
  <c r="E404" i="8"/>
  <c r="AP404" i="8"/>
  <c r="F404" i="8"/>
  <c r="AR404" i="8"/>
  <c r="H404" i="8"/>
  <c r="AT404" i="8"/>
  <c r="J404" i="8"/>
  <c r="AV404" i="8"/>
  <c r="L404" i="8"/>
  <c r="AX404" i="8"/>
  <c r="N404" i="8"/>
  <c r="E405" i="8"/>
  <c r="AP405" i="8"/>
  <c r="F405" i="8"/>
  <c r="AR405" i="8"/>
  <c r="H405" i="8"/>
  <c r="AT405" i="8"/>
  <c r="J405" i="8"/>
  <c r="AV405" i="8"/>
  <c r="L405" i="8"/>
  <c r="AX405" i="8"/>
  <c r="N405" i="8"/>
  <c r="AY405" i="8"/>
  <c r="O405" i="8"/>
  <c r="AZ405" i="8"/>
  <c r="P405" i="8"/>
  <c r="E406" i="8"/>
  <c r="AP406" i="8"/>
  <c r="F406" i="8"/>
  <c r="AR406" i="8"/>
  <c r="H406" i="8"/>
  <c r="AT406" i="8"/>
  <c r="J406" i="8"/>
  <c r="AV406" i="8"/>
  <c r="L406" i="8"/>
  <c r="AX406" i="8"/>
  <c r="N406" i="8"/>
  <c r="AQ45" i="8"/>
  <c r="G45" i="8"/>
  <c r="AQ46" i="8"/>
  <c r="G46" i="8"/>
  <c r="AQ47" i="8"/>
  <c r="G47" i="8"/>
  <c r="AQ3" i="8"/>
  <c r="G3" i="8"/>
  <c r="AQ48" i="8"/>
  <c r="G48" i="8"/>
  <c r="AQ39" i="8"/>
  <c r="G39" i="8"/>
  <c r="AQ49" i="8"/>
  <c r="G49" i="8"/>
  <c r="AQ50" i="8"/>
  <c r="G50" i="8"/>
  <c r="AQ51" i="8"/>
  <c r="G51" i="8"/>
  <c r="AQ52" i="8"/>
  <c r="G52" i="8"/>
  <c r="AQ40" i="8"/>
  <c r="G40" i="8"/>
  <c r="AQ53" i="8"/>
  <c r="G53" i="8"/>
  <c r="AQ54" i="8"/>
  <c r="G54" i="8"/>
  <c r="AQ55" i="8"/>
  <c r="G55" i="8"/>
  <c r="AQ56" i="8"/>
  <c r="G56" i="8"/>
  <c r="AQ57" i="8"/>
  <c r="G57" i="8"/>
  <c r="AQ58" i="8"/>
  <c r="G58" i="8"/>
  <c r="AQ41" i="8"/>
  <c r="G41" i="8"/>
  <c r="AQ59" i="8"/>
  <c r="G59" i="8"/>
  <c r="AQ60" i="8"/>
  <c r="G60" i="8"/>
  <c r="AQ4" i="8"/>
  <c r="G4" i="8"/>
  <c r="AQ61" i="8"/>
  <c r="G61" i="8"/>
  <c r="AQ62" i="8"/>
  <c r="G62" i="8"/>
  <c r="AQ5" i="8"/>
  <c r="G5" i="8"/>
  <c r="AQ2" i="8"/>
  <c r="G2" i="8"/>
  <c r="AQ42" i="8"/>
  <c r="G42" i="8"/>
  <c r="AQ63" i="8"/>
  <c r="G63" i="8"/>
  <c r="AQ43" i="8"/>
  <c r="G43" i="8"/>
  <c r="AQ44" i="8"/>
  <c r="G44" i="8"/>
  <c r="AQ64" i="8"/>
  <c r="G64" i="8"/>
  <c r="AQ65" i="8"/>
  <c r="G65" i="8"/>
  <c r="AQ66" i="8"/>
  <c r="G66" i="8"/>
  <c r="AQ67" i="8"/>
  <c r="G67" i="8"/>
  <c r="AQ68" i="8"/>
  <c r="G68" i="8"/>
  <c r="AQ69" i="8"/>
  <c r="G69" i="8"/>
  <c r="AQ70" i="8"/>
  <c r="G70" i="8"/>
  <c r="AQ71" i="8"/>
  <c r="G71" i="8"/>
  <c r="AQ100" i="8"/>
  <c r="G100" i="8"/>
  <c r="AQ72" i="8"/>
  <c r="G72" i="8"/>
  <c r="AQ73" i="8"/>
  <c r="G73" i="8"/>
  <c r="AQ101" i="8"/>
  <c r="G101" i="8"/>
  <c r="AQ74" i="8"/>
  <c r="G74" i="8"/>
  <c r="AQ102" i="8"/>
  <c r="G102" i="8"/>
  <c r="AQ103" i="8"/>
  <c r="G103" i="8"/>
  <c r="AQ104" i="8"/>
  <c r="G104" i="8"/>
  <c r="AQ105" i="8"/>
  <c r="G105" i="8"/>
  <c r="AQ106" i="8"/>
  <c r="G106" i="8"/>
  <c r="AQ107" i="8"/>
  <c r="G107" i="8"/>
  <c r="AQ108" i="8"/>
  <c r="G108" i="8"/>
  <c r="AQ109" i="8"/>
  <c r="G109" i="8"/>
  <c r="AQ110" i="8"/>
  <c r="G110" i="8"/>
  <c r="AQ111" i="8"/>
  <c r="G111" i="8"/>
  <c r="AQ112" i="8"/>
  <c r="G112" i="8"/>
  <c r="AQ113" i="8"/>
  <c r="G113" i="8"/>
  <c r="AQ114" i="8"/>
  <c r="G114" i="8"/>
  <c r="AQ115" i="8"/>
  <c r="G115" i="8"/>
  <c r="AQ75" i="8"/>
  <c r="G75" i="8"/>
  <c r="AQ116" i="8"/>
  <c r="G116" i="8"/>
  <c r="AQ117" i="8"/>
  <c r="G117" i="8"/>
  <c r="AQ118" i="8"/>
  <c r="G118" i="8"/>
  <c r="AQ119" i="8"/>
  <c r="G119" i="8"/>
  <c r="AQ120" i="8"/>
  <c r="G120" i="8"/>
  <c r="AQ121" i="8"/>
  <c r="G121" i="8"/>
  <c r="AQ122" i="8"/>
  <c r="G122" i="8"/>
  <c r="AQ123" i="8"/>
  <c r="G123" i="8"/>
  <c r="AQ124" i="8"/>
  <c r="G124" i="8"/>
  <c r="AQ125" i="8"/>
  <c r="G125" i="8"/>
  <c r="AQ126" i="8"/>
  <c r="G126" i="8"/>
  <c r="AQ127" i="8"/>
  <c r="G127" i="8"/>
  <c r="AQ128" i="8"/>
  <c r="G128" i="8"/>
  <c r="AQ129" i="8"/>
  <c r="G129" i="8"/>
  <c r="AQ76" i="8"/>
  <c r="G76" i="8"/>
  <c r="AQ130" i="8"/>
  <c r="G130" i="8"/>
  <c r="AQ131" i="8"/>
  <c r="G131" i="8"/>
  <c r="AQ132" i="8"/>
  <c r="G132" i="8"/>
  <c r="AQ133" i="8"/>
  <c r="G133" i="8"/>
  <c r="AQ77" i="8"/>
  <c r="G77" i="8"/>
  <c r="AQ134" i="8"/>
  <c r="G134" i="8"/>
  <c r="AQ135" i="8"/>
  <c r="G135" i="8"/>
  <c r="AQ136" i="8"/>
  <c r="G136" i="8"/>
  <c r="AQ137" i="8"/>
  <c r="G137" i="8"/>
  <c r="AQ138" i="8"/>
  <c r="G138" i="8"/>
  <c r="AQ78" i="8"/>
  <c r="G78" i="8"/>
  <c r="AQ139" i="8"/>
  <c r="G139" i="8"/>
  <c r="AQ140" i="8"/>
  <c r="G140" i="8"/>
  <c r="AQ141" i="8"/>
  <c r="G141" i="8"/>
  <c r="AQ8" i="8"/>
  <c r="G8" i="8"/>
  <c r="AQ142" i="8"/>
  <c r="G142" i="8"/>
  <c r="AQ143" i="8"/>
  <c r="G143" i="8"/>
  <c r="AQ144" i="8"/>
  <c r="G144" i="8"/>
  <c r="AQ145" i="8"/>
  <c r="G145" i="8"/>
  <c r="AQ146" i="8"/>
  <c r="G146" i="8"/>
  <c r="AQ147" i="8"/>
  <c r="G147" i="8"/>
  <c r="AQ148" i="8"/>
  <c r="G148" i="8"/>
  <c r="AQ149" i="8"/>
  <c r="G149" i="8"/>
  <c r="AQ150" i="8"/>
  <c r="G150" i="8"/>
  <c r="AQ9" i="8"/>
  <c r="G9" i="8"/>
  <c r="AQ10" i="8"/>
  <c r="G10" i="8"/>
  <c r="AQ11" i="8"/>
  <c r="G11" i="8"/>
  <c r="AQ151" i="8"/>
  <c r="G151" i="8"/>
  <c r="AQ152" i="8"/>
  <c r="G152" i="8"/>
  <c r="AQ153" i="8"/>
  <c r="G153" i="8"/>
  <c r="AQ154" i="8"/>
  <c r="G154" i="8"/>
  <c r="AQ155" i="8"/>
  <c r="G155" i="8"/>
  <c r="AQ156" i="8"/>
  <c r="G156" i="8"/>
  <c r="AQ157" i="8"/>
  <c r="G157" i="8"/>
  <c r="AQ158" i="8"/>
  <c r="G158" i="8"/>
  <c r="AQ159" i="8"/>
  <c r="G159" i="8"/>
  <c r="AQ160" i="8"/>
  <c r="G160" i="8"/>
  <c r="AQ161" i="8"/>
  <c r="G161" i="8"/>
  <c r="AQ162" i="8"/>
  <c r="G162" i="8"/>
  <c r="AQ163" i="8"/>
  <c r="G163" i="8"/>
  <c r="AQ164" i="8"/>
  <c r="G164" i="8"/>
  <c r="AQ165" i="8"/>
  <c r="G165" i="8"/>
  <c r="AQ166" i="8"/>
  <c r="G166" i="8"/>
  <c r="AQ167" i="8"/>
  <c r="G167" i="8"/>
  <c r="AQ168" i="8"/>
  <c r="G168" i="8"/>
  <c r="AQ169" i="8"/>
  <c r="G169" i="8"/>
  <c r="AQ170" i="8"/>
  <c r="G170" i="8"/>
  <c r="AQ171" i="8"/>
  <c r="G171" i="8"/>
  <c r="AQ172" i="8"/>
  <c r="G172" i="8"/>
  <c r="AQ12" i="8"/>
  <c r="G12" i="8"/>
  <c r="AQ173" i="8"/>
  <c r="G173" i="8"/>
  <c r="AQ174" i="8"/>
  <c r="G174" i="8"/>
  <c r="AQ175" i="8"/>
  <c r="G175" i="8"/>
  <c r="AQ176" i="8"/>
  <c r="G176" i="8"/>
  <c r="AQ177" i="8"/>
  <c r="G177" i="8"/>
  <c r="AQ178" i="8"/>
  <c r="G178" i="8"/>
  <c r="AQ179" i="8"/>
  <c r="G179" i="8"/>
  <c r="AQ180" i="8"/>
  <c r="G180" i="8"/>
  <c r="AQ181" i="8"/>
  <c r="G181" i="8"/>
  <c r="AQ182" i="8"/>
  <c r="G182" i="8"/>
  <c r="AQ13" i="8"/>
  <c r="G13" i="8"/>
  <c r="AQ183" i="8"/>
  <c r="G183" i="8"/>
  <c r="AQ184" i="8"/>
  <c r="G184" i="8"/>
  <c r="AQ185" i="8"/>
  <c r="G185" i="8"/>
  <c r="AQ186" i="8"/>
  <c r="G186" i="8"/>
  <c r="AQ187" i="8"/>
  <c r="G187" i="8"/>
  <c r="AQ188" i="8"/>
  <c r="G188" i="8"/>
  <c r="AQ189" i="8"/>
  <c r="G189" i="8"/>
  <c r="AQ190" i="8"/>
  <c r="G190" i="8"/>
  <c r="AQ191" i="8"/>
  <c r="G191" i="8"/>
  <c r="AQ192" i="8"/>
  <c r="G192" i="8"/>
  <c r="AQ193" i="8"/>
  <c r="G193" i="8"/>
  <c r="AQ194" i="8"/>
  <c r="G194" i="8"/>
  <c r="AQ14" i="8"/>
  <c r="G14" i="8"/>
  <c r="AQ195" i="8"/>
  <c r="G195" i="8"/>
  <c r="AQ196" i="8"/>
  <c r="G196" i="8"/>
  <c r="AQ197" i="8"/>
  <c r="G197" i="8"/>
  <c r="AQ198" i="8"/>
  <c r="G198" i="8"/>
  <c r="AQ199" i="8"/>
  <c r="G199" i="8"/>
  <c r="AQ200" i="8"/>
  <c r="G200" i="8"/>
  <c r="AQ201" i="8"/>
  <c r="G201" i="8"/>
  <c r="AQ15" i="8"/>
  <c r="G15" i="8"/>
  <c r="AQ202" i="8"/>
  <c r="G202" i="8"/>
  <c r="AQ203" i="8"/>
  <c r="G203" i="8"/>
  <c r="AQ16" i="8"/>
  <c r="G16" i="8"/>
  <c r="AQ204" i="8"/>
  <c r="G204" i="8"/>
  <c r="AQ205" i="8"/>
  <c r="G205" i="8"/>
  <c r="AQ206" i="8"/>
  <c r="G206" i="8"/>
  <c r="AQ207" i="8"/>
  <c r="G207" i="8"/>
  <c r="AQ6" i="8"/>
  <c r="G6" i="8"/>
  <c r="AQ208" i="8"/>
  <c r="G208" i="8"/>
  <c r="AQ209" i="8"/>
  <c r="G209" i="8"/>
  <c r="AQ17" i="8"/>
  <c r="G17" i="8"/>
  <c r="AQ210" i="8"/>
  <c r="G210" i="8"/>
  <c r="AQ211" i="8"/>
  <c r="G211" i="8"/>
  <c r="AQ212" i="8"/>
  <c r="G212" i="8"/>
  <c r="AQ213" i="8"/>
  <c r="G213" i="8"/>
  <c r="AQ7" i="8"/>
  <c r="G7" i="8"/>
  <c r="AQ214" i="8"/>
  <c r="G214" i="8"/>
  <c r="AQ215" i="8"/>
  <c r="G215" i="8"/>
  <c r="AQ216" i="8"/>
  <c r="G216" i="8"/>
  <c r="AQ217" i="8"/>
  <c r="G217" i="8"/>
  <c r="AQ218" i="8"/>
  <c r="G218" i="8"/>
  <c r="AQ18" i="8"/>
  <c r="G18" i="8"/>
  <c r="AQ219" i="8"/>
  <c r="G219" i="8"/>
  <c r="AQ220" i="8"/>
  <c r="G220" i="8"/>
  <c r="AQ19" i="8"/>
  <c r="G19" i="8"/>
  <c r="AQ20" i="8"/>
  <c r="G20" i="8"/>
  <c r="AQ21" i="8"/>
  <c r="G21" i="8"/>
  <c r="AQ221" i="8"/>
  <c r="G221" i="8"/>
  <c r="AQ222" i="8"/>
  <c r="G222" i="8"/>
  <c r="AQ223" i="8"/>
  <c r="G223" i="8"/>
  <c r="AQ224" i="8"/>
  <c r="G224" i="8"/>
  <c r="AQ225" i="8"/>
  <c r="G225" i="8"/>
  <c r="AQ226" i="8"/>
  <c r="G226" i="8"/>
  <c r="AQ227" i="8"/>
  <c r="G227" i="8"/>
  <c r="AQ228" i="8"/>
  <c r="G228" i="8"/>
  <c r="AQ22" i="8"/>
  <c r="G22" i="8"/>
  <c r="AQ23" i="8"/>
  <c r="G23" i="8"/>
  <c r="AQ229" i="8"/>
  <c r="G229" i="8"/>
  <c r="AQ230" i="8"/>
  <c r="G230" i="8"/>
  <c r="AQ231" i="8"/>
  <c r="G231" i="8"/>
  <c r="AQ232" i="8"/>
  <c r="G232" i="8"/>
  <c r="AQ233" i="8"/>
  <c r="G233" i="8"/>
  <c r="AQ234" i="8"/>
  <c r="G234" i="8"/>
  <c r="AQ235" i="8"/>
  <c r="G235" i="8"/>
  <c r="AQ236" i="8"/>
  <c r="G236" i="8"/>
  <c r="AQ237" i="8"/>
  <c r="G237" i="8"/>
  <c r="AQ238" i="8"/>
  <c r="G238" i="8"/>
  <c r="AQ239" i="8"/>
  <c r="G239" i="8"/>
  <c r="AQ240" i="8"/>
  <c r="G240" i="8"/>
  <c r="AQ24" i="8"/>
  <c r="G24" i="8"/>
  <c r="AQ241" i="8"/>
  <c r="G241" i="8"/>
  <c r="AQ242" i="8"/>
  <c r="G242" i="8"/>
  <c r="AQ243" i="8"/>
  <c r="G243" i="8"/>
  <c r="AQ244" i="8"/>
  <c r="G244" i="8"/>
  <c r="AQ245" i="8"/>
  <c r="G245" i="8"/>
  <c r="AQ246" i="8"/>
  <c r="G246" i="8"/>
  <c r="AQ247" i="8"/>
  <c r="G247" i="8"/>
  <c r="AQ248" i="8"/>
  <c r="G248" i="8"/>
  <c r="AQ249" i="8"/>
  <c r="G249" i="8"/>
  <c r="AQ250" i="8"/>
  <c r="G250" i="8"/>
  <c r="AQ79" i="8"/>
  <c r="G79" i="8"/>
  <c r="AQ251" i="8"/>
  <c r="G251" i="8"/>
  <c r="AQ252" i="8"/>
  <c r="G252" i="8"/>
  <c r="AQ253" i="8"/>
  <c r="G253" i="8"/>
  <c r="AQ254" i="8"/>
  <c r="G254" i="8"/>
  <c r="AQ255" i="8"/>
  <c r="G255" i="8"/>
  <c r="AQ80" i="8"/>
  <c r="G80" i="8"/>
  <c r="AQ81" i="8"/>
  <c r="G81" i="8"/>
  <c r="AQ82" i="8"/>
  <c r="G82" i="8"/>
  <c r="AQ256" i="8"/>
  <c r="G256" i="8"/>
  <c r="AQ83" i="8"/>
  <c r="G83" i="8"/>
  <c r="AQ84" i="8"/>
  <c r="G84" i="8"/>
  <c r="AQ257" i="8"/>
  <c r="G257" i="8"/>
  <c r="AQ85" i="8"/>
  <c r="G85" i="8"/>
  <c r="AQ86" i="8"/>
  <c r="G86" i="8"/>
  <c r="AQ87" i="8"/>
  <c r="G87" i="8"/>
  <c r="AQ258" i="8"/>
  <c r="G258" i="8"/>
  <c r="AQ25" i="8"/>
  <c r="G25" i="8"/>
  <c r="AQ88" i="8"/>
  <c r="G88" i="8"/>
  <c r="AQ89" i="8"/>
  <c r="G89" i="8"/>
  <c r="AQ259" i="8"/>
  <c r="G259" i="8"/>
  <c r="AQ260" i="8"/>
  <c r="G260" i="8"/>
  <c r="AQ261" i="8"/>
  <c r="G261" i="8"/>
  <c r="AQ90" i="8"/>
  <c r="G90" i="8"/>
  <c r="AQ262" i="8"/>
  <c r="G262" i="8"/>
  <c r="AQ263" i="8"/>
  <c r="G263" i="8"/>
  <c r="AQ26" i="8"/>
  <c r="G26" i="8"/>
  <c r="AQ264" i="8"/>
  <c r="G264" i="8"/>
  <c r="AQ265" i="8"/>
  <c r="G265" i="8"/>
  <c r="AQ266" i="8"/>
  <c r="G266" i="8"/>
  <c r="AQ91" i="8"/>
  <c r="G91" i="8"/>
  <c r="AQ267" i="8"/>
  <c r="G267" i="8"/>
  <c r="AQ268" i="8"/>
  <c r="G268" i="8"/>
  <c r="AQ92" i="8"/>
  <c r="G92" i="8"/>
  <c r="AQ269" i="8"/>
  <c r="G269" i="8"/>
  <c r="AQ270" i="8"/>
  <c r="G270" i="8"/>
  <c r="AQ271" i="8"/>
  <c r="G271" i="8"/>
  <c r="AQ272" i="8"/>
  <c r="G272" i="8"/>
  <c r="AQ273" i="8"/>
  <c r="G273" i="8"/>
  <c r="AQ27" i="8"/>
  <c r="G27" i="8"/>
  <c r="AQ274" i="8"/>
  <c r="G274" i="8"/>
  <c r="AQ275" i="8"/>
  <c r="G275" i="8"/>
  <c r="AQ276" i="8"/>
  <c r="G276" i="8"/>
  <c r="AQ277" i="8"/>
  <c r="G277" i="8"/>
  <c r="AQ278" i="8"/>
  <c r="G278" i="8"/>
  <c r="AQ279" i="8"/>
  <c r="G279" i="8"/>
  <c r="AQ280" i="8"/>
  <c r="G280" i="8"/>
  <c r="AQ281" i="8"/>
  <c r="G281" i="8"/>
  <c r="AQ282" i="8"/>
  <c r="G282" i="8"/>
  <c r="AQ283" i="8"/>
  <c r="G283" i="8"/>
  <c r="AQ284" i="8"/>
  <c r="G284" i="8"/>
  <c r="AQ285" i="8"/>
  <c r="G285" i="8"/>
  <c r="AQ286" i="8"/>
  <c r="G286" i="8"/>
  <c r="AQ28" i="8"/>
  <c r="G28" i="8"/>
  <c r="AQ287" i="8"/>
  <c r="G287" i="8"/>
  <c r="AQ288" i="8"/>
  <c r="G288" i="8"/>
  <c r="AQ93" i="8"/>
  <c r="G93" i="8"/>
  <c r="AQ289" i="8"/>
  <c r="G289" i="8"/>
  <c r="AQ290" i="8"/>
  <c r="G290" i="8"/>
  <c r="AQ291" i="8"/>
  <c r="G291" i="8"/>
  <c r="AQ292" i="8"/>
  <c r="G292" i="8"/>
  <c r="AQ293" i="8"/>
  <c r="G293" i="8"/>
  <c r="AQ294" i="8"/>
  <c r="G294" i="8"/>
  <c r="AQ295" i="8"/>
  <c r="G295" i="8"/>
  <c r="AQ296" i="8"/>
  <c r="G296" i="8"/>
  <c r="AQ297" i="8"/>
  <c r="G297" i="8"/>
  <c r="AQ298" i="8"/>
  <c r="G298" i="8"/>
  <c r="AQ299" i="8"/>
  <c r="G299" i="8"/>
  <c r="AQ300" i="8"/>
  <c r="G300" i="8"/>
  <c r="AQ301" i="8"/>
  <c r="G301" i="8"/>
  <c r="AQ302" i="8"/>
  <c r="G302" i="8"/>
  <c r="AQ29" i="8"/>
  <c r="G29" i="8"/>
  <c r="AQ303" i="8"/>
  <c r="G303" i="8"/>
  <c r="AQ304" i="8"/>
  <c r="G304" i="8"/>
  <c r="AQ305" i="8"/>
  <c r="G305" i="8"/>
  <c r="AQ306" i="8"/>
  <c r="G306" i="8"/>
  <c r="AQ307" i="8"/>
  <c r="G307" i="8"/>
  <c r="AQ94" i="8"/>
  <c r="G94" i="8"/>
  <c r="AQ308" i="8"/>
  <c r="G308" i="8"/>
  <c r="AQ309" i="8"/>
  <c r="G309" i="8"/>
  <c r="AQ310" i="8"/>
  <c r="G310" i="8"/>
  <c r="AQ311" i="8"/>
  <c r="G311" i="8"/>
  <c r="AQ312" i="8"/>
  <c r="G312" i="8"/>
  <c r="AQ313" i="8"/>
  <c r="G313" i="8"/>
  <c r="AQ95" i="8"/>
  <c r="G95" i="8"/>
  <c r="AQ314" i="8"/>
  <c r="G314" i="8"/>
  <c r="AQ315" i="8"/>
  <c r="G315" i="8"/>
  <c r="AQ316" i="8"/>
  <c r="G316" i="8"/>
  <c r="AQ317" i="8"/>
  <c r="G317" i="8"/>
  <c r="AQ318" i="8"/>
  <c r="G318" i="8"/>
  <c r="AQ96" i="8"/>
  <c r="G96" i="8"/>
  <c r="AQ319" i="8"/>
  <c r="G319" i="8"/>
  <c r="AQ320" i="8"/>
  <c r="G320" i="8"/>
  <c r="AQ321" i="8"/>
  <c r="G321" i="8"/>
  <c r="AQ322" i="8"/>
  <c r="G322" i="8"/>
  <c r="AQ323" i="8"/>
  <c r="G323" i="8"/>
  <c r="AQ324" i="8"/>
  <c r="G324" i="8"/>
  <c r="AQ325" i="8"/>
  <c r="G325" i="8"/>
  <c r="AQ326" i="8"/>
  <c r="G326" i="8"/>
  <c r="AQ30" i="8"/>
  <c r="G30" i="8"/>
  <c r="AQ327" i="8"/>
  <c r="G327" i="8"/>
  <c r="AQ328" i="8"/>
  <c r="G328" i="8"/>
  <c r="AQ329" i="8"/>
  <c r="G329" i="8"/>
  <c r="AQ330" i="8"/>
  <c r="G330" i="8"/>
  <c r="AQ331" i="8"/>
  <c r="G331" i="8"/>
  <c r="AQ31" i="8"/>
  <c r="G31" i="8"/>
  <c r="AQ332" i="8"/>
  <c r="G332" i="8"/>
  <c r="AQ333" i="8"/>
  <c r="G333" i="8"/>
  <c r="AQ334" i="8"/>
  <c r="G334" i="8"/>
  <c r="AQ335" i="8"/>
  <c r="G335" i="8"/>
  <c r="AQ336" i="8"/>
  <c r="G336" i="8"/>
  <c r="AQ337" i="8"/>
  <c r="G337" i="8"/>
  <c r="AQ338" i="8"/>
  <c r="G338" i="8"/>
  <c r="AQ339" i="8"/>
  <c r="G339" i="8"/>
  <c r="AQ340" i="8"/>
  <c r="G340" i="8"/>
  <c r="AQ341" i="8"/>
  <c r="G341" i="8"/>
  <c r="AQ342" i="8"/>
  <c r="G342" i="8"/>
  <c r="AQ343" i="8"/>
  <c r="G343" i="8"/>
  <c r="AQ344" i="8"/>
  <c r="G344" i="8"/>
  <c r="AQ345" i="8"/>
  <c r="G345" i="8"/>
  <c r="AQ346" i="8"/>
  <c r="G346" i="8"/>
  <c r="AQ347" i="8"/>
  <c r="G347" i="8"/>
  <c r="AQ348" i="8"/>
  <c r="G348" i="8"/>
  <c r="AQ349" i="8"/>
  <c r="G349" i="8"/>
  <c r="AQ350" i="8"/>
  <c r="G350" i="8"/>
  <c r="AQ32" i="8"/>
  <c r="G32" i="8"/>
  <c r="AQ351" i="8"/>
  <c r="G351" i="8"/>
  <c r="AQ352" i="8"/>
  <c r="G352" i="8"/>
  <c r="AQ353" i="8"/>
  <c r="G353" i="8"/>
  <c r="AQ354" i="8"/>
  <c r="G354" i="8"/>
  <c r="AQ355" i="8"/>
  <c r="G355" i="8"/>
  <c r="AQ356" i="8"/>
  <c r="G356" i="8"/>
  <c r="AQ357" i="8"/>
  <c r="G357" i="8"/>
  <c r="AQ358" i="8"/>
  <c r="G358" i="8"/>
  <c r="AQ359" i="8"/>
  <c r="G359" i="8"/>
  <c r="AQ360" i="8"/>
  <c r="G360" i="8"/>
  <c r="AQ33" i="8"/>
  <c r="G33" i="8"/>
  <c r="AQ361" i="8"/>
  <c r="G361" i="8"/>
  <c r="AQ362" i="8"/>
  <c r="G362" i="8"/>
  <c r="AQ97" i="8"/>
  <c r="G97" i="8"/>
  <c r="AQ363" i="8"/>
  <c r="G363" i="8"/>
  <c r="AQ364" i="8"/>
  <c r="G364" i="8"/>
  <c r="AQ365" i="8"/>
  <c r="G365" i="8"/>
  <c r="AQ98" i="8"/>
  <c r="G98" i="8"/>
  <c r="AQ366" i="8"/>
  <c r="G366" i="8"/>
  <c r="AQ367" i="8"/>
  <c r="G367" i="8"/>
  <c r="AQ34" i="8"/>
  <c r="G34" i="8"/>
  <c r="AQ368" i="8"/>
  <c r="G368" i="8"/>
  <c r="AQ369" i="8"/>
  <c r="G369" i="8"/>
  <c r="AQ370" i="8"/>
  <c r="G370" i="8"/>
  <c r="AQ35" i="8"/>
  <c r="G35" i="8"/>
  <c r="AQ371" i="8"/>
  <c r="G371" i="8"/>
  <c r="AQ372" i="8"/>
  <c r="G372" i="8"/>
  <c r="AQ373" i="8"/>
  <c r="G373" i="8"/>
  <c r="AQ374" i="8"/>
  <c r="G374" i="8"/>
  <c r="AQ375" i="8"/>
  <c r="G375" i="8"/>
  <c r="AQ376" i="8"/>
  <c r="G376" i="8"/>
  <c r="AQ377" i="8"/>
  <c r="G377" i="8"/>
  <c r="AQ378" i="8"/>
  <c r="G378" i="8"/>
  <c r="AQ379" i="8"/>
  <c r="G379" i="8"/>
  <c r="AQ380" i="8"/>
  <c r="G380" i="8"/>
  <c r="AQ99" i="8"/>
  <c r="G99" i="8"/>
  <c r="AQ381" i="8"/>
  <c r="G381" i="8"/>
  <c r="AQ382" i="8"/>
  <c r="G382" i="8"/>
  <c r="AQ383" i="8"/>
  <c r="G383" i="8"/>
  <c r="AQ384" i="8"/>
  <c r="G384" i="8"/>
  <c r="AQ385" i="8"/>
  <c r="G385" i="8"/>
  <c r="AQ36" i="8"/>
  <c r="G36" i="8"/>
  <c r="AQ386" i="8"/>
  <c r="G386" i="8"/>
  <c r="AQ387" i="8"/>
  <c r="G387" i="8"/>
  <c r="AQ388" i="8"/>
  <c r="G388" i="8"/>
  <c r="AQ389" i="8"/>
  <c r="G389" i="8"/>
  <c r="AQ390" i="8"/>
  <c r="G390" i="8"/>
  <c r="AQ391" i="8"/>
  <c r="G391" i="8"/>
  <c r="AQ392" i="8"/>
  <c r="G392" i="8"/>
  <c r="AQ393" i="8"/>
  <c r="G393" i="8"/>
  <c r="AQ37" i="8"/>
  <c r="G37" i="8"/>
  <c r="AQ394" i="8"/>
  <c r="G394" i="8"/>
  <c r="AQ395" i="8"/>
  <c r="G395" i="8"/>
  <c r="AQ396" i="8"/>
  <c r="G396" i="8"/>
  <c r="AQ397" i="8"/>
  <c r="G397" i="8"/>
  <c r="AQ398" i="8"/>
  <c r="G398" i="8"/>
  <c r="AQ38" i="8"/>
  <c r="G38" i="8"/>
  <c r="AQ399" i="8"/>
  <c r="G399" i="8"/>
  <c r="AQ400" i="8"/>
  <c r="G400" i="8"/>
  <c r="AQ401" i="8"/>
  <c r="G401" i="8"/>
  <c r="AQ402" i="8"/>
  <c r="G402" i="8"/>
  <c r="AQ403" i="8"/>
  <c r="G403" i="8"/>
  <c r="AQ404" i="8"/>
  <c r="G404" i="8"/>
  <c r="AQ405" i="8"/>
  <c r="G405" i="8"/>
  <c r="AQ406" i="8"/>
  <c r="G406" i="8"/>
  <c r="AS45" i="8"/>
  <c r="I45" i="8"/>
  <c r="AS46" i="8"/>
  <c r="I46" i="8"/>
  <c r="AS47" i="8"/>
  <c r="I47" i="8"/>
  <c r="AS3" i="8"/>
  <c r="I3" i="8"/>
  <c r="AS48" i="8"/>
  <c r="I48" i="8"/>
  <c r="AS39" i="8"/>
  <c r="I39" i="8"/>
  <c r="AS49" i="8"/>
  <c r="I49" i="8"/>
  <c r="AS50" i="8"/>
  <c r="I50" i="8"/>
  <c r="AS51" i="8"/>
  <c r="I51" i="8"/>
  <c r="AS52" i="8"/>
  <c r="I52" i="8"/>
  <c r="AS40" i="8"/>
  <c r="I40" i="8"/>
  <c r="AS53" i="8"/>
  <c r="I53" i="8"/>
  <c r="AS54" i="8"/>
  <c r="I54" i="8"/>
  <c r="AS55" i="8"/>
  <c r="I55" i="8"/>
  <c r="AS56" i="8"/>
  <c r="I56" i="8"/>
  <c r="AS57" i="8"/>
  <c r="I57" i="8"/>
  <c r="AS58" i="8"/>
  <c r="I58" i="8"/>
  <c r="AS41" i="8"/>
  <c r="I41" i="8"/>
  <c r="AS59" i="8"/>
  <c r="I59" i="8"/>
  <c r="AS60" i="8"/>
  <c r="I60" i="8"/>
  <c r="AS4" i="8"/>
  <c r="I4" i="8"/>
  <c r="AS61" i="8"/>
  <c r="I61" i="8"/>
  <c r="AS62" i="8"/>
  <c r="I62" i="8"/>
  <c r="AS5" i="8"/>
  <c r="I5" i="8"/>
  <c r="AS2" i="8"/>
  <c r="I2" i="8"/>
  <c r="AS42" i="8"/>
  <c r="I42" i="8"/>
  <c r="AS63" i="8"/>
  <c r="I63" i="8"/>
  <c r="AS43" i="8"/>
  <c r="I43" i="8"/>
  <c r="AS44" i="8"/>
  <c r="I44" i="8"/>
  <c r="AS64" i="8"/>
  <c r="I64" i="8"/>
  <c r="AS65" i="8"/>
  <c r="I65" i="8"/>
  <c r="AS66" i="8"/>
  <c r="I66" i="8"/>
  <c r="AS67" i="8"/>
  <c r="I67" i="8"/>
  <c r="AS68" i="8"/>
  <c r="I68" i="8"/>
  <c r="AS69" i="8"/>
  <c r="I69" i="8"/>
  <c r="AS70" i="8"/>
  <c r="I70" i="8"/>
  <c r="AS71" i="8"/>
  <c r="I71" i="8"/>
  <c r="AS100" i="8"/>
  <c r="I100" i="8"/>
  <c r="AS72" i="8"/>
  <c r="I72" i="8"/>
  <c r="AS73" i="8"/>
  <c r="I73" i="8"/>
  <c r="AS101" i="8"/>
  <c r="I101" i="8"/>
  <c r="AS74" i="8"/>
  <c r="I74" i="8"/>
  <c r="AS102" i="8"/>
  <c r="I102" i="8"/>
  <c r="AS103" i="8"/>
  <c r="I103" i="8"/>
  <c r="AS104" i="8"/>
  <c r="I104" i="8"/>
  <c r="AS105" i="8"/>
  <c r="I105" i="8"/>
  <c r="AS106" i="8"/>
  <c r="I106" i="8"/>
  <c r="AS107" i="8"/>
  <c r="I107" i="8"/>
  <c r="AS108" i="8"/>
  <c r="I108" i="8"/>
  <c r="AS109" i="8"/>
  <c r="I109" i="8"/>
  <c r="AS110" i="8"/>
  <c r="I110" i="8"/>
  <c r="AS111" i="8"/>
  <c r="I111" i="8"/>
  <c r="AS112" i="8"/>
  <c r="I112" i="8"/>
  <c r="AS113" i="8"/>
  <c r="I113" i="8"/>
  <c r="AS114" i="8"/>
  <c r="I114" i="8"/>
  <c r="AS115" i="8"/>
  <c r="I115" i="8"/>
  <c r="AS75" i="8"/>
  <c r="I75" i="8"/>
  <c r="AS116" i="8"/>
  <c r="I116" i="8"/>
  <c r="AS117" i="8"/>
  <c r="I117" i="8"/>
  <c r="AS118" i="8"/>
  <c r="I118" i="8"/>
  <c r="AS119" i="8"/>
  <c r="I119" i="8"/>
  <c r="AS120" i="8"/>
  <c r="I120" i="8"/>
  <c r="AS121" i="8"/>
  <c r="I121" i="8"/>
  <c r="AS122" i="8"/>
  <c r="I122" i="8"/>
  <c r="AS123" i="8"/>
  <c r="I123" i="8"/>
  <c r="AS124" i="8"/>
  <c r="I124" i="8"/>
  <c r="AS125" i="8"/>
  <c r="I125" i="8"/>
  <c r="AS126" i="8"/>
  <c r="I126" i="8"/>
  <c r="AS127" i="8"/>
  <c r="I127" i="8"/>
  <c r="AS128" i="8"/>
  <c r="I128" i="8"/>
  <c r="AS129" i="8"/>
  <c r="I129" i="8"/>
  <c r="AS76" i="8"/>
  <c r="I76" i="8"/>
  <c r="AS130" i="8"/>
  <c r="I130" i="8"/>
  <c r="AS131" i="8"/>
  <c r="I131" i="8"/>
  <c r="AS132" i="8"/>
  <c r="I132" i="8"/>
  <c r="AS133" i="8"/>
  <c r="I133" i="8"/>
  <c r="AS77" i="8"/>
  <c r="I77" i="8"/>
  <c r="AS134" i="8"/>
  <c r="I134" i="8"/>
  <c r="AS135" i="8"/>
  <c r="I135" i="8"/>
  <c r="AS136" i="8"/>
  <c r="I136" i="8"/>
  <c r="AS137" i="8"/>
  <c r="I137" i="8"/>
  <c r="AS138" i="8"/>
  <c r="I138" i="8"/>
  <c r="AS78" i="8"/>
  <c r="I78" i="8"/>
  <c r="AS139" i="8"/>
  <c r="I139" i="8"/>
  <c r="AS140" i="8"/>
  <c r="I140" i="8"/>
  <c r="AS141" i="8"/>
  <c r="I141" i="8"/>
  <c r="AS8" i="8"/>
  <c r="I8" i="8"/>
  <c r="AS142" i="8"/>
  <c r="I142" i="8"/>
  <c r="AS143" i="8"/>
  <c r="I143" i="8"/>
  <c r="AS144" i="8"/>
  <c r="I144" i="8"/>
  <c r="AS145" i="8"/>
  <c r="I145" i="8"/>
  <c r="AS146" i="8"/>
  <c r="I146" i="8"/>
  <c r="AS147" i="8"/>
  <c r="I147" i="8"/>
  <c r="AS148" i="8"/>
  <c r="I148" i="8"/>
  <c r="AS149" i="8"/>
  <c r="I149" i="8"/>
  <c r="AS150" i="8"/>
  <c r="I150" i="8"/>
  <c r="AS9" i="8"/>
  <c r="I9" i="8"/>
  <c r="AS10" i="8"/>
  <c r="I10" i="8"/>
  <c r="AS11" i="8"/>
  <c r="I11" i="8"/>
  <c r="AS151" i="8"/>
  <c r="I151" i="8"/>
  <c r="AS152" i="8"/>
  <c r="I152" i="8"/>
  <c r="AS153" i="8"/>
  <c r="I153" i="8"/>
  <c r="AS154" i="8"/>
  <c r="I154" i="8"/>
  <c r="AS155" i="8"/>
  <c r="I155" i="8"/>
  <c r="AS156" i="8"/>
  <c r="I156" i="8"/>
  <c r="AS157" i="8"/>
  <c r="I157" i="8"/>
  <c r="AS158" i="8"/>
  <c r="I158" i="8"/>
  <c r="AS159" i="8"/>
  <c r="I159" i="8"/>
  <c r="AS160" i="8"/>
  <c r="I160" i="8"/>
  <c r="AS161" i="8"/>
  <c r="I161" i="8"/>
  <c r="AS162" i="8"/>
  <c r="I162" i="8"/>
  <c r="AS163" i="8"/>
  <c r="I163" i="8"/>
  <c r="AS164" i="8"/>
  <c r="I164" i="8"/>
  <c r="AS165" i="8"/>
  <c r="I165" i="8"/>
  <c r="AS166" i="8"/>
  <c r="I166" i="8"/>
  <c r="AS167" i="8"/>
  <c r="I167" i="8"/>
  <c r="AS168" i="8"/>
  <c r="I168" i="8"/>
  <c r="AS169" i="8"/>
  <c r="I169" i="8"/>
  <c r="AS170" i="8"/>
  <c r="I170" i="8"/>
  <c r="AS171" i="8"/>
  <c r="I171" i="8"/>
  <c r="AS172" i="8"/>
  <c r="I172" i="8"/>
  <c r="AS12" i="8"/>
  <c r="I12" i="8"/>
  <c r="AS173" i="8"/>
  <c r="I173" i="8"/>
  <c r="AS174" i="8"/>
  <c r="I174" i="8"/>
  <c r="AS175" i="8"/>
  <c r="I175" i="8"/>
  <c r="AS176" i="8"/>
  <c r="I176" i="8"/>
  <c r="AS177" i="8"/>
  <c r="I177" i="8"/>
  <c r="AS178" i="8"/>
  <c r="I178" i="8"/>
  <c r="AS179" i="8"/>
  <c r="I179" i="8"/>
  <c r="AS180" i="8"/>
  <c r="I180" i="8"/>
  <c r="AS181" i="8"/>
  <c r="I181" i="8"/>
  <c r="AS182" i="8"/>
  <c r="I182" i="8"/>
  <c r="AS13" i="8"/>
  <c r="I13" i="8"/>
  <c r="AS183" i="8"/>
  <c r="I183" i="8"/>
  <c r="AS184" i="8"/>
  <c r="I184" i="8"/>
  <c r="AS185" i="8"/>
  <c r="I185" i="8"/>
  <c r="AS186" i="8"/>
  <c r="I186" i="8"/>
  <c r="AS187" i="8"/>
  <c r="I187" i="8"/>
  <c r="AS188" i="8"/>
  <c r="I188" i="8"/>
  <c r="AS189" i="8"/>
  <c r="I189" i="8"/>
  <c r="AS190" i="8"/>
  <c r="I190" i="8"/>
  <c r="AS191" i="8"/>
  <c r="I191" i="8"/>
  <c r="AS192" i="8"/>
  <c r="I192" i="8"/>
  <c r="AS193" i="8"/>
  <c r="I193" i="8"/>
  <c r="AS194" i="8"/>
  <c r="I194" i="8"/>
  <c r="AS14" i="8"/>
  <c r="I14" i="8"/>
  <c r="AS195" i="8"/>
  <c r="I195" i="8"/>
  <c r="AS196" i="8"/>
  <c r="I196" i="8"/>
  <c r="AS197" i="8"/>
  <c r="I197" i="8"/>
  <c r="AS198" i="8"/>
  <c r="I198" i="8"/>
  <c r="AS199" i="8"/>
  <c r="I199" i="8"/>
  <c r="AS200" i="8"/>
  <c r="I200" i="8"/>
  <c r="AS201" i="8"/>
  <c r="I201" i="8"/>
  <c r="AS15" i="8"/>
  <c r="I15" i="8"/>
  <c r="AS202" i="8"/>
  <c r="I202" i="8"/>
  <c r="AS203" i="8"/>
  <c r="I203" i="8"/>
  <c r="AS16" i="8"/>
  <c r="I16" i="8"/>
  <c r="AS204" i="8"/>
  <c r="I204" i="8"/>
  <c r="AS205" i="8"/>
  <c r="I205" i="8"/>
  <c r="AS206" i="8"/>
  <c r="I206" i="8"/>
  <c r="AS207" i="8"/>
  <c r="I207" i="8"/>
  <c r="AS6" i="8"/>
  <c r="I6" i="8"/>
  <c r="AS208" i="8"/>
  <c r="I208" i="8"/>
  <c r="AS209" i="8"/>
  <c r="I209" i="8"/>
  <c r="AS17" i="8"/>
  <c r="I17" i="8"/>
  <c r="AS210" i="8"/>
  <c r="I210" i="8"/>
  <c r="AS211" i="8"/>
  <c r="I211" i="8"/>
  <c r="AS212" i="8"/>
  <c r="I212" i="8"/>
  <c r="AS213" i="8"/>
  <c r="I213" i="8"/>
  <c r="AS7" i="8"/>
  <c r="I7" i="8"/>
  <c r="AS214" i="8"/>
  <c r="I214" i="8"/>
  <c r="AS215" i="8"/>
  <c r="I215" i="8"/>
  <c r="AS216" i="8"/>
  <c r="I216" i="8"/>
  <c r="AS217" i="8"/>
  <c r="I217" i="8"/>
  <c r="AS218" i="8"/>
  <c r="I218" i="8"/>
  <c r="AS18" i="8"/>
  <c r="I18" i="8"/>
  <c r="AS219" i="8"/>
  <c r="I219" i="8"/>
  <c r="AS220" i="8"/>
  <c r="I220" i="8"/>
  <c r="AS19" i="8"/>
  <c r="I19" i="8"/>
  <c r="AS20" i="8"/>
  <c r="I20" i="8"/>
  <c r="AS21" i="8"/>
  <c r="I21" i="8"/>
  <c r="AS221" i="8"/>
  <c r="I221" i="8"/>
  <c r="AS222" i="8"/>
  <c r="I222" i="8"/>
  <c r="AS223" i="8"/>
  <c r="I223" i="8"/>
  <c r="AS224" i="8"/>
  <c r="I224" i="8"/>
  <c r="AS225" i="8"/>
  <c r="I225" i="8"/>
  <c r="AS226" i="8"/>
  <c r="I226" i="8"/>
  <c r="AS227" i="8"/>
  <c r="I227" i="8"/>
  <c r="AS228" i="8"/>
  <c r="I228" i="8"/>
  <c r="AS22" i="8"/>
  <c r="I22" i="8"/>
  <c r="AS23" i="8"/>
  <c r="I23" i="8"/>
  <c r="AS229" i="8"/>
  <c r="I229" i="8"/>
  <c r="AS230" i="8"/>
  <c r="I230" i="8"/>
  <c r="AS231" i="8"/>
  <c r="I231" i="8"/>
  <c r="AS232" i="8"/>
  <c r="I232" i="8"/>
  <c r="AS233" i="8"/>
  <c r="I233" i="8"/>
  <c r="AS234" i="8"/>
  <c r="I234" i="8"/>
  <c r="AS235" i="8"/>
  <c r="I235" i="8"/>
  <c r="AS236" i="8"/>
  <c r="I236" i="8"/>
  <c r="AS237" i="8"/>
  <c r="I237" i="8"/>
  <c r="AS238" i="8"/>
  <c r="I238" i="8"/>
  <c r="AS239" i="8"/>
  <c r="I239" i="8"/>
  <c r="AS240" i="8"/>
  <c r="I240" i="8"/>
  <c r="AS24" i="8"/>
  <c r="I24" i="8"/>
  <c r="AS241" i="8"/>
  <c r="I241" i="8"/>
  <c r="AS242" i="8"/>
  <c r="I242" i="8"/>
  <c r="AS243" i="8"/>
  <c r="I243" i="8"/>
  <c r="AS244" i="8"/>
  <c r="I244" i="8"/>
  <c r="AS245" i="8"/>
  <c r="I245" i="8"/>
  <c r="AS246" i="8"/>
  <c r="I246" i="8"/>
  <c r="AS247" i="8"/>
  <c r="I247" i="8"/>
  <c r="AS248" i="8"/>
  <c r="I248" i="8"/>
  <c r="AS249" i="8"/>
  <c r="I249" i="8"/>
  <c r="AS250" i="8"/>
  <c r="I250" i="8"/>
  <c r="AS79" i="8"/>
  <c r="I79" i="8"/>
  <c r="AS251" i="8"/>
  <c r="I251" i="8"/>
  <c r="AS252" i="8"/>
  <c r="I252" i="8"/>
  <c r="AS253" i="8"/>
  <c r="I253" i="8"/>
  <c r="AS254" i="8"/>
  <c r="I254" i="8"/>
  <c r="AS255" i="8"/>
  <c r="I255" i="8"/>
  <c r="AS80" i="8"/>
  <c r="I80" i="8"/>
  <c r="AS81" i="8"/>
  <c r="I81" i="8"/>
  <c r="AS82" i="8"/>
  <c r="I82" i="8"/>
  <c r="AS256" i="8"/>
  <c r="I256" i="8"/>
  <c r="AS83" i="8"/>
  <c r="I83" i="8"/>
  <c r="AS84" i="8"/>
  <c r="I84" i="8"/>
  <c r="AS257" i="8"/>
  <c r="I257" i="8"/>
  <c r="AS85" i="8"/>
  <c r="I85" i="8"/>
  <c r="AS86" i="8"/>
  <c r="I86" i="8"/>
  <c r="AS87" i="8"/>
  <c r="I87" i="8"/>
  <c r="AS258" i="8"/>
  <c r="I258" i="8"/>
  <c r="AS25" i="8"/>
  <c r="I25" i="8"/>
  <c r="AS88" i="8"/>
  <c r="I88" i="8"/>
  <c r="AS89" i="8"/>
  <c r="I89" i="8"/>
  <c r="AS259" i="8"/>
  <c r="I259" i="8"/>
  <c r="AS260" i="8"/>
  <c r="I260" i="8"/>
  <c r="AS261" i="8"/>
  <c r="I261" i="8"/>
  <c r="AS90" i="8"/>
  <c r="I90" i="8"/>
  <c r="AS262" i="8"/>
  <c r="I262" i="8"/>
  <c r="AS263" i="8"/>
  <c r="I263" i="8"/>
  <c r="AS26" i="8"/>
  <c r="I26" i="8"/>
  <c r="AS264" i="8"/>
  <c r="I264" i="8"/>
  <c r="AS265" i="8"/>
  <c r="I265" i="8"/>
  <c r="AS266" i="8"/>
  <c r="I266" i="8"/>
  <c r="AS91" i="8"/>
  <c r="I91" i="8"/>
  <c r="AS267" i="8"/>
  <c r="I267" i="8"/>
  <c r="AS268" i="8"/>
  <c r="I268" i="8"/>
  <c r="AS92" i="8"/>
  <c r="I92" i="8"/>
  <c r="AS269" i="8"/>
  <c r="I269" i="8"/>
  <c r="AS270" i="8"/>
  <c r="I270" i="8"/>
  <c r="AS271" i="8"/>
  <c r="I271" i="8"/>
  <c r="AS272" i="8"/>
  <c r="I272" i="8"/>
  <c r="AS273" i="8"/>
  <c r="I273" i="8"/>
  <c r="AS27" i="8"/>
  <c r="I27" i="8"/>
  <c r="AS274" i="8"/>
  <c r="I274" i="8"/>
  <c r="AS275" i="8"/>
  <c r="I275" i="8"/>
  <c r="AS276" i="8"/>
  <c r="I276" i="8"/>
  <c r="AS277" i="8"/>
  <c r="I277" i="8"/>
  <c r="AS278" i="8"/>
  <c r="I278" i="8"/>
  <c r="AS279" i="8"/>
  <c r="I279" i="8"/>
  <c r="AS280" i="8"/>
  <c r="I280" i="8"/>
  <c r="AS281" i="8"/>
  <c r="I281" i="8"/>
  <c r="AS282" i="8"/>
  <c r="I282" i="8"/>
  <c r="AS283" i="8"/>
  <c r="I283" i="8"/>
  <c r="AS284" i="8"/>
  <c r="I284" i="8"/>
  <c r="AS285" i="8"/>
  <c r="I285" i="8"/>
  <c r="AS286" i="8"/>
  <c r="I286" i="8"/>
  <c r="AS28" i="8"/>
  <c r="I28" i="8"/>
  <c r="AS287" i="8"/>
  <c r="I287" i="8"/>
  <c r="AS288" i="8"/>
  <c r="I288" i="8"/>
  <c r="AS93" i="8"/>
  <c r="I93" i="8"/>
  <c r="AS289" i="8"/>
  <c r="I289" i="8"/>
  <c r="AS290" i="8"/>
  <c r="I290" i="8"/>
  <c r="AS291" i="8"/>
  <c r="I291" i="8"/>
  <c r="AS292" i="8"/>
  <c r="I292" i="8"/>
  <c r="AS293" i="8"/>
  <c r="I293" i="8"/>
  <c r="AS294" i="8"/>
  <c r="I294" i="8"/>
  <c r="AS295" i="8"/>
  <c r="I295" i="8"/>
  <c r="AS296" i="8"/>
  <c r="I296" i="8"/>
  <c r="AS297" i="8"/>
  <c r="I297" i="8"/>
  <c r="AS298" i="8"/>
  <c r="I298" i="8"/>
  <c r="AS299" i="8"/>
  <c r="I299" i="8"/>
  <c r="AS300" i="8"/>
  <c r="I300" i="8"/>
  <c r="AS301" i="8"/>
  <c r="I301" i="8"/>
  <c r="AS302" i="8"/>
  <c r="I302" i="8"/>
  <c r="AS29" i="8"/>
  <c r="I29" i="8"/>
  <c r="AS303" i="8"/>
  <c r="I303" i="8"/>
  <c r="AS304" i="8"/>
  <c r="I304" i="8"/>
  <c r="AS305" i="8"/>
  <c r="I305" i="8"/>
  <c r="AS306" i="8"/>
  <c r="I306" i="8"/>
  <c r="AS307" i="8"/>
  <c r="I307" i="8"/>
  <c r="AS94" i="8"/>
  <c r="I94" i="8"/>
  <c r="AS308" i="8"/>
  <c r="I308" i="8"/>
  <c r="AS309" i="8"/>
  <c r="I309" i="8"/>
  <c r="AS310" i="8"/>
  <c r="I310" i="8"/>
  <c r="AS311" i="8"/>
  <c r="I311" i="8"/>
  <c r="AS312" i="8"/>
  <c r="I312" i="8"/>
  <c r="AS313" i="8"/>
  <c r="I313" i="8"/>
  <c r="AS95" i="8"/>
  <c r="I95" i="8"/>
  <c r="AS314" i="8"/>
  <c r="I314" i="8"/>
  <c r="AS315" i="8"/>
  <c r="I315" i="8"/>
  <c r="AS316" i="8"/>
  <c r="I316" i="8"/>
  <c r="AS317" i="8"/>
  <c r="I317" i="8"/>
  <c r="AS318" i="8"/>
  <c r="I318" i="8"/>
  <c r="AS96" i="8"/>
  <c r="I96" i="8"/>
  <c r="AS319" i="8"/>
  <c r="I319" i="8"/>
  <c r="AS320" i="8"/>
  <c r="I320" i="8"/>
  <c r="AS321" i="8"/>
  <c r="I321" i="8"/>
  <c r="AS322" i="8"/>
  <c r="I322" i="8"/>
  <c r="AS323" i="8"/>
  <c r="I323" i="8"/>
  <c r="AS324" i="8"/>
  <c r="I324" i="8"/>
  <c r="AS325" i="8"/>
  <c r="I325" i="8"/>
  <c r="AS326" i="8"/>
  <c r="I326" i="8"/>
  <c r="AS30" i="8"/>
  <c r="I30" i="8"/>
  <c r="AS327" i="8"/>
  <c r="I327" i="8"/>
  <c r="AS328" i="8"/>
  <c r="I328" i="8"/>
  <c r="AS329" i="8"/>
  <c r="I329" i="8"/>
  <c r="AS330" i="8"/>
  <c r="I330" i="8"/>
  <c r="AS331" i="8"/>
  <c r="I331" i="8"/>
  <c r="AS31" i="8"/>
  <c r="I31" i="8"/>
  <c r="AS332" i="8"/>
  <c r="I332" i="8"/>
  <c r="AS333" i="8"/>
  <c r="I333" i="8"/>
  <c r="AS334" i="8"/>
  <c r="I334" i="8"/>
  <c r="AS335" i="8"/>
  <c r="I335" i="8"/>
  <c r="AS336" i="8"/>
  <c r="I336" i="8"/>
  <c r="AS337" i="8"/>
  <c r="I337" i="8"/>
  <c r="AS338" i="8"/>
  <c r="I338" i="8"/>
  <c r="AS339" i="8"/>
  <c r="I339" i="8"/>
  <c r="AS340" i="8"/>
  <c r="I340" i="8"/>
  <c r="AS341" i="8"/>
  <c r="I341" i="8"/>
  <c r="AS342" i="8"/>
  <c r="I342" i="8"/>
  <c r="AS343" i="8"/>
  <c r="I343" i="8"/>
  <c r="AS344" i="8"/>
  <c r="I344" i="8"/>
  <c r="AS345" i="8"/>
  <c r="I345" i="8"/>
  <c r="AS346" i="8"/>
  <c r="I346" i="8"/>
  <c r="AS347" i="8"/>
  <c r="I347" i="8"/>
  <c r="AS348" i="8"/>
  <c r="I348" i="8"/>
  <c r="AS349" i="8"/>
  <c r="I349" i="8"/>
  <c r="AS350" i="8"/>
  <c r="I350" i="8"/>
  <c r="AS32" i="8"/>
  <c r="I32" i="8"/>
  <c r="AS351" i="8"/>
  <c r="I351" i="8"/>
  <c r="AS352" i="8"/>
  <c r="I352" i="8"/>
  <c r="AS353" i="8"/>
  <c r="I353" i="8"/>
  <c r="AS354" i="8"/>
  <c r="I354" i="8"/>
  <c r="AS355" i="8"/>
  <c r="I355" i="8"/>
  <c r="AS356" i="8"/>
  <c r="I356" i="8"/>
  <c r="AS357" i="8"/>
  <c r="I357" i="8"/>
  <c r="AS358" i="8"/>
  <c r="I358" i="8"/>
  <c r="AS359" i="8"/>
  <c r="I359" i="8"/>
  <c r="AS360" i="8"/>
  <c r="I360" i="8"/>
  <c r="AS33" i="8"/>
  <c r="I33" i="8"/>
  <c r="AS361" i="8"/>
  <c r="I361" i="8"/>
  <c r="AS362" i="8"/>
  <c r="I362" i="8"/>
  <c r="AS97" i="8"/>
  <c r="I97" i="8"/>
  <c r="AS363" i="8"/>
  <c r="I363" i="8"/>
  <c r="AS364" i="8"/>
  <c r="I364" i="8"/>
  <c r="AS365" i="8"/>
  <c r="I365" i="8"/>
  <c r="AS98" i="8"/>
  <c r="I98" i="8"/>
  <c r="AS366" i="8"/>
  <c r="I366" i="8"/>
  <c r="AS367" i="8"/>
  <c r="I367" i="8"/>
  <c r="AS34" i="8"/>
  <c r="I34" i="8"/>
  <c r="AS368" i="8"/>
  <c r="I368" i="8"/>
  <c r="AS369" i="8"/>
  <c r="I369" i="8"/>
  <c r="AS370" i="8"/>
  <c r="I370" i="8"/>
  <c r="AS35" i="8"/>
  <c r="I35" i="8"/>
  <c r="AS371" i="8"/>
  <c r="I371" i="8"/>
  <c r="AS372" i="8"/>
  <c r="I372" i="8"/>
  <c r="AS373" i="8"/>
  <c r="I373" i="8"/>
  <c r="AS374" i="8"/>
  <c r="I374" i="8"/>
  <c r="AS375" i="8"/>
  <c r="I375" i="8"/>
  <c r="AS376" i="8"/>
  <c r="I376" i="8"/>
  <c r="AS377" i="8"/>
  <c r="I377" i="8"/>
  <c r="AS378" i="8"/>
  <c r="I378" i="8"/>
  <c r="AS379" i="8"/>
  <c r="I379" i="8"/>
  <c r="AS380" i="8"/>
  <c r="I380" i="8"/>
  <c r="AS99" i="8"/>
  <c r="I99" i="8"/>
  <c r="AS381" i="8"/>
  <c r="I381" i="8"/>
  <c r="AS382" i="8"/>
  <c r="I382" i="8"/>
  <c r="AS383" i="8"/>
  <c r="I383" i="8"/>
  <c r="AS384" i="8"/>
  <c r="I384" i="8"/>
  <c r="AS385" i="8"/>
  <c r="I385" i="8"/>
  <c r="AS36" i="8"/>
  <c r="I36" i="8"/>
  <c r="AS386" i="8"/>
  <c r="I386" i="8"/>
  <c r="AS387" i="8"/>
  <c r="I387" i="8"/>
  <c r="AS388" i="8"/>
  <c r="I388" i="8"/>
  <c r="AS389" i="8"/>
  <c r="I389" i="8"/>
  <c r="AS390" i="8"/>
  <c r="I390" i="8"/>
  <c r="AS391" i="8"/>
  <c r="I391" i="8"/>
  <c r="AS392" i="8"/>
  <c r="I392" i="8"/>
  <c r="AS393" i="8"/>
  <c r="I393" i="8"/>
  <c r="AS37" i="8"/>
  <c r="I37" i="8"/>
  <c r="AS394" i="8"/>
  <c r="I394" i="8"/>
  <c r="AS395" i="8"/>
  <c r="I395" i="8"/>
  <c r="AS396" i="8"/>
  <c r="I396" i="8"/>
  <c r="AS397" i="8"/>
  <c r="I397" i="8"/>
  <c r="AS398" i="8"/>
  <c r="I398" i="8"/>
  <c r="AS38" i="8"/>
  <c r="I38" i="8"/>
  <c r="AS399" i="8"/>
  <c r="I399" i="8"/>
  <c r="AS400" i="8"/>
  <c r="I400" i="8"/>
  <c r="AS401" i="8"/>
  <c r="I401" i="8"/>
  <c r="AS402" i="8"/>
  <c r="I402" i="8"/>
  <c r="AS403" i="8"/>
  <c r="I403" i="8"/>
  <c r="AS404" i="8"/>
  <c r="I404" i="8"/>
  <c r="AS405" i="8"/>
  <c r="I405" i="8"/>
  <c r="AS406" i="8"/>
  <c r="I406" i="8"/>
  <c r="AU45" i="8"/>
  <c r="K45" i="8"/>
  <c r="AU46" i="8"/>
  <c r="K46" i="8"/>
  <c r="AU47" i="8"/>
  <c r="K47" i="8"/>
  <c r="AU3" i="8"/>
  <c r="K3" i="8"/>
  <c r="AU48" i="8"/>
  <c r="K48" i="8"/>
  <c r="AU39" i="8"/>
  <c r="K39" i="8"/>
  <c r="AU49" i="8"/>
  <c r="K49" i="8"/>
  <c r="AU50" i="8"/>
  <c r="K50" i="8"/>
  <c r="AU51" i="8"/>
  <c r="K51" i="8"/>
  <c r="AU52" i="8"/>
  <c r="K52" i="8"/>
  <c r="AU40" i="8"/>
  <c r="K40" i="8"/>
  <c r="AU53" i="8"/>
  <c r="K53" i="8"/>
  <c r="AU54" i="8"/>
  <c r="K54" i="8"/>
  <c r="AU55" i="8"/>
  <c r="K55" i="8"/>
  <c r="AU56" i="8"/>
  <c r="K56" i="8"/>
  <c r="AU57" i="8"/>
  <c r="K57" i="8"/>
  <c r="AU58" i="8"/>
  <c r="K58" i="8"/>
  <c r="AU41" i="8"/>
  <c r="K41" i="8"/>
  <c r="AU59" i="8"/>
  <c r="K59" i="8"/>
  <c r="AU60" i="8"/>
  <c r="K60" i="8"/>
  <c r="AU4" i="8"/>
  <c r="K4" i="8"/>
  <c r="AU61" i="8"/>
  <c r="K61" i="8"/>
  <c r="AU62" i="8"/>
  <c r="K62" i="8"/>
  <c r="AU5" i="8"/>
  <c r="K5" i="8"/>
  <c r="AU2" i="8"/>
  <c r="K2" i="8"/>
  <c r="AU42" i="8"/>
  <c r="K42" i="8"/>
  <c r="AU63" i="8"/>
  <c r="K63" i="8"/>
  <c r="AU43" i="8"/>
  <c r="K43" i="8"/>
  <c r="AU44" i="8"/>
  <c r="K44" i="8"/>
  <c r="AU64" i="8"/>
  <c r="K64" i="8"/>
  <c r="AU65" i="8"/>
  <c r="K65" i="8"/>
  <c r="AU66" i="8"/>
  <c r="K66" i="8"/>
  <c r="AU67" i="8"/>
  <c r="K67" i="8"/>
  <c r="AU68" i="8"/>
  <c r="K68" i="8"/>
  <c r="AU69" i="8"/>
  <c r="K69" i="8"/>
  <c r="AU70" i="8"/>
  <c r="K70" i="8"/>
  <c r="AU71" i="8"/>
  <c r="K71" i="8"/>
  <c r="AU100" i="8"/>
  <c r="K100" i="8"/>
  <c r="AU72" i="8"/>
  <c r="K72" i="8"/>
  <c r="AU73" i="8"/>
  <c r="K73" i="8"/>
  <c r="AU101" i="8"/>
  <c r="K101" i="8"/>
  <c r="AU74" i="8"/>
  <c r="K74" i="8"/>
  <c r="AU102" i="8"/>
  <c r="K102" i="8"/>
  <c r="AU103" i="8"/>
  <c r="K103" i="8"/>
  <c r="AU104" i="8"/>
  <c r="K104" i="8"/>
  <c r="AU105" i="8"/>
  <c r="K105" i="8"/>
  <c r="AU106" i="8"/>
  <c r="K106" i="8"/>
  <c r="AU107" i="8"/>
  <c r="K107" i="8"/>
  <c r="AU108" i="8"/>
  <c r="K108" i="8"/>
  <c r="AU109" i="8"/>
  <c r="K109" i="8"/>
  <c r="AU110" i="8"/>
  <c r="K110" i="8"/>
  <c r="AU111" i="8"/>
  <c r="K111" i="8"/>
  <c r="AU112" i="8"/>
  <c r="K112" i="8"/>
  <c r="AU113" i="8"/>
  <c r="K113" i="8"/>
  <c r="AU114" i="8"/>
  <c r="K114" i="8"/>
  <c r="AU115" i="8"/>
  <c r="K115" i="8"/>
  <c r="AU75" i="8"/>
  <c r="K75" i="8"/>
  <c r="AU116" i="8"/>
  <c r="K116" i="8"/>
  <c r="AU117" i="8"/>
  <c r="K117" i="8"/>
  <c r="AU118" i="8"/>
  <c r="K118" i="8"/>
  <c r="AU119" i="8"/>
  <c r="K119" i="8"/>
  <c r="AU120" i="8"/>
  <c r="K120" i="8"/>
  <c r="AU121" i="8"/>
  <c r="K121" i="8"/>
  <c r="AU122" i="8"/>
  <c r="K122" i="8"/>
  <c r="AU123" i="8"/>
  <c r="K123" i="8"/>
  <c r="AU124" i="8"/>
  <c r="K124" i="8"/>
  <c r="AU125" i="8"/>
  <c r="K125" i="8"/>
  <c r="AU126" i="8"/>
  <c r="K126" i="8"/>
  <c r="AU127" i="8"/>
  <c r="K127" i="8"/>
  <c r="AU128" i="8"/>
  <c r="K128" i="8"/>
  <c r="AU129" i="8"/>
  <c r="K129" i="8"/>
  <c r="AU76" i="8"/>
  <c r="K76" i="8"/>
  <c r="AU130" i="8"/>
  <c r="K130" i="8"/>
  <c r="AU131" i="8"/>
  <c r="K131" i="8"/>
  <c r="AU132" i="8"/>
  <c r="K132" i="8"/>
  <c r="AU133" i="8"/>
  <c r="K133" i="8"/>
  <c r="AU77" i="8"/>
  <c r="K77" i="8"/>
  <c r="AU134" i="8"/>
  <c r="K134" i="8"/>
  <c r="AU135" i="8"/>
  <c r="K135" i="8"/>
  <c r="AU136" i="8"/>
  <c r="K136" i="8"/>
  <c r="AU137" i="8"/>
  <c r="K137" i="8"/>
  <c r="AU138" i="8"/>
  <c r="K138" i="8"/>
  <c r="AU78" i="8"/>
  <c r="K78" i="8"/>
  <c r="AU139" i="8"/>
  <c r="K139" i="8"/>
  <c r="AU140" i="8"/>
  <c r="K140" i="8"/>
  <c r="AU141" i="8"/>
  <c r="K141" i="8"/>
  <c r="AU8" i="8"/>
  <c r="K8" i="8"/>
  <c r="AU142" i="8"/>
  <c r="K142" i="8"/>
  <c r="AU143" i="8"/>
  <c r="K143" i="8"/>
  <c r="AU144" i="8"/>
  <c r="K144" i="8"/>
  <c r="AU145" i="8"/>
  <c r="K145" i="8"/>
  <c r="AU146" i="8"/>
  <c r="K146" i="8"/>
  <c r="AU147" i="8"/>
  <c r="K147" i="8"/>
  <c r="AU148" i="8"/>
  <c r="K148" i="8"/>
  <c r="AU149" i="8"/>
  <c r="K149" i="8"/>
  <c r="AU150" i="8"/>
  <c r="K150" i="8"/>
  <c r="AU9" i="8"/>
  <c r="K9" i="8"/>
  <c r="AU10" i="8"/>
  <c r="K10" i="8"/>
  <c r="AU11" i="8"/>
  <c r="K11" i="8"/>
  <c r="AU151" i="8"/>
  <c r="K151" i="8"/>
  <c r="AU152" i="8"/>
  <c r="K152" i="8"/>
  <c r="AU153" i="8"/>
  <c r="K153" i="8"/>
  <c r="AU154" i="8"/>
  <c r="K154" i="8"/>
  <c r="AU155" i="8"/>
  <c r="K155" i="8"/>
  <c r="AU156" i="8"/>
  <c r="K156" i="8"/>
  <c r="AU157" i="8"/>
  <c r="K157" i="8"/>
  <c r="AU158" i="8"/>
  <c r="K158" i="8"/>
  <c r="AU159" i="8"/>
  <c r="K159" i="8"/>
  <c r="AU160" i="8"/>
  <c r="K160" i="8"/>
  <c r="AU161" i="8"/>
  <c r="K161" i="8"/>
  <c r="AU162" i="8"/>
  <c r="K162" i="8"/>
  <c r="AU163" i="8"/>
  <c r="K163" i="8"/>
  <c r="AU164" i="8"/>
  <c r="K164" i="8"/>
  <c r="AU165" i="8"/>
  <c r="K165" i="8"/>
  <c r="AU166" i="8"/>
  <c r="K166" i="8"/>
  <c r="AU167" i="8"/>
  <c r="K167" i="8"/>
  <c r="AU168" i="8"/>
  <c r="K168" i="8"/>
  <c r="AU169" i="8"/>
  <c r="K169" i="8"/>
  <c r="AU170" i="8"/>
  <c r="K170" i="8"/>
  <c r="AU171" i="8"/>
  <c r="K171" i="8"/>
  <c r="AU172" i="8"/>
  <c r="K172" i="8"/>
  <c r="AU12" i="8"/>
  <c r="K12" i="8"/>
  <c r="AU173" i="8"/>
  <c r="K173" i="8"/>
  <c r="AU174" i="8"/>
  <c r="K174" i="8"/>
  <c r="AU175" i="8"/>
  <c r="K175" i="8"/>
  <c r="AU176" i="8"/>
  <c r="K176" i="8"/>
  <c r="AU177" i="8"/>
  <c r="K177" i="8"/>
  <c r="AU178" i="8"/>
  <c r="K178" i="8"/>
  <c r="AU179" i="8"/>
  <c r="K179" i="8"/>
  <c r="AU180" i="8"/>
  <c r="K180" i="8"/>
  <c r="AU181" i="8"/>
  <c r="K181" i="8"/>
  <c r="AU182" i="8"/>
  <c r="K182" i="8"/>
  <c r="AU13" i="8"/>
  <c r="K13" i="8"/>
  <c r="AU183" i="8"/>
  <c r="K183" i="8"/>
  <c r="AU184" i="8"/>
  <c r="K184" i="8"/>
  <c r="AU185" i="8"/>
  <c r="K185" i="8"/>
  <c r="AU186" i="8"/>
  <c r="K186" i="8"/>
  <c r="AU187" i="8"/>
  <c r="K187" i="8"/>
  <c r="AU188" i="8"/>
  <c r="K188" i="8"/>
  <c r="AU189" i="8"/>
  <c r="K189" i="8"/>
  <c r="AU190" i="8"/>
  <c r="K190" i="8"/>
  <c r="AU191" i="8"/>
  <c r="K191" i="8"/>
  <c r="AU192" i="8"/>
  <c r="K192" i="8"/>
  <c r="AU193" i="8"/>
  <c r="K193" i="8"/>
  <c r="AU194" i="8"/>
  <c r="K194" i="8"/>
  <c r="AU14" i="8"/>
  <c r="K14" i="8"/>
  <c r="AU195" i="8"/>
  <c r="K195" i="8"/>
  <c r="AU196" i="8"/>
  <c r="K196" i="8"/>
  <c r="AU197" i="8"/>
  <c r="K197" i="8"/>
  <c r="AU198" i="8"/>
  <c r="K198" i="8"/>
  <c r="AU199" i="8"/>
  <c r="K199" i="8"/>
  <c r="AU200" i="8"/>
  <c r="K200" i="8"/>
  <c r="AU201" i="8"/>
  <c r="K201" i="8"/>
  <c r="AU15" i="8"/>
  <c r="K15" i="8"/>
  <c r="AU202" i="8"/>
  <c r="K202" i="8"/>
  <c r="AU203" i="8"/>
  <c r="K203" i="8"/>
  <c r="AU16" i="8"/>
  <c r="K16" i="8"/>
  <c r="AU204" i="8"/>
  <c r="K204" i="8"/>
  <c r="AU205" i="8"/>
  <c r="K205" i="8"/>
  <c r="AU206" i="8"/>
  <c r="K206" i="8"/>
  <c r="AU207" i="8"/>
  <c r="K207" i="8"/>
  <c r="AU6" i="8"/>
  <c r="K6" i="8"/>
  <c r="AU208" i="8"/>
  <c r="K208" i="8"/>
  <c r="AU209" i="8"/>
  <c r="K209" i="8"/>
  <c r="AU17" i="8"/>
  <c r="K17" i="8"/>
  <c r="AU210" i="8"/>
  <c r="K210" i="8"/>
  <c r="AU211" i="8"/>
  <c r="K211" i="8"/>
  <c r="AU212" i="8"/>
  <c r="K212" i="8"/>
  <c r="AU213" i="8"/>
  <c r="K213" i="8"/>
  <c r="AU7" i="8"/>
  <c r="K7" i="8"/>
  <c r="AU214" i="8"/>
  <c r="K214" i="8"/>
  <c r="AU215" i="8"/>
  <c r="K215" i="8"/>
  <c r="AU216" i="8"/>
  <c r="K216" i="8"/>
  <c r="AU217" i="8"/>
  <c r="K217" i="8"/>
  <c r="AU218" i="8"/>
  <c r="K218" i="8"/>
  <c r="AU18" i="8"/>
  <c r="K18" i="8"/>
  <c r="AU219" i="8"/>
  <c r="K219" i="8"/>
  <c r="AU220" i="8"/>
  <c r="K220" i="8"/>
  <c r="AU19" i="8"/>
  <c r="K19" i="8"/>
  <c r="AU20" i="8"/>
  <c r="K20" i="8"/>
  <c r="AU21" i="8"/>
  <c r="K21" i="8"/>
  <c r="AU221" i="8"/>
  <c r="K221" i="8"/>
  <c r="AU222" i="8"/>
  <c r="K222" i="8"/>
  <c r="AU223" i="8"/>
  <c r="K223" i="8"/>
  <c r="AU224" i="8"/>
  <c r="K224" i="8"/>
  <c r="AU225" i="8"/>
  <c r="K225" i="8"/>
  <c r="AU226" i="8"/>
  <c r="K226" i="8"/>
  <c r="AU227" i="8"/>
  <c r="K227" i="8"/>
  <c r="AU228" i="8"/>
  <c r="K228" i="8"/>
  <c r="AU22" i="8"/>
  <c r="K22" i="8"/>
  <c r="AU23" i="8"/>
  <c r="K23" i="8"/>
  <c r="AU229" i="8"/>
  <c r="K229" i="8"/>
  <c r="AU230" i="8"/>
  <c r="K230" i="8"/>
  <c r="AU231" i="8"/>
  <c r="K231" i="8"/>
  <c r="AU232" i="8"/>
  <c r="K232" i="8"/>
  <c r="AU233" i="8"/>
  <c r="K233" i="8"/>
  <c r="AU234" i="8"/>
  <c r="K234" i="8"/>
  <c r="AU235" i="8"/>
  <c r="K235" i="8"/>
  <c r="AU236" i="8"/>
  <c r="K236" i="8"/>
  <c r="AU237" i="8"/>
  <c r="K237" i="8"/>
  <c r="AU238" i="8"/>
  <c r="K238" i="8"/>
  <c r="AU239" i="8"/>
  <c r="K239" i="8"/>
  <c r="AU240" i="8"/>
  <c r="K240" i="8"/>
  <c r="AU24" i="8"/>
  <c r="K24" i="8"/>
  <c r="AU241" i="8"/>
  <c r="K241" i="8"/>
  <c r="AU242" i="8"/>
  <c r="K242" i="8"/>
  <c r="AU243" i="8"/>
  <c r="K243" i="8"/>
  <c r="AU244" i="8"/>
  <c r="K244" i="8"/>
  <c r="AU245" i="8"/>
  <c r="K245" i="8"/>
  <c r="AU246" i="8"/>
  <c r="K246" i="8"/>
  <c r="AU247" i="8"/>
  <c r="K247" i="8"/>
  <c r="AU248" i="8"/>
  <c r="K248" i="8"/>
  <c r="AU249" i="8"/>
  <c r="K249" i="8"/>
  <c r="AU250" i="8"/>
  <c r="K250" i="8"/>
  <c r="AU79" i="8"/>
  <c r="K79" i="8"/>
  <c r="AU251" i="8"/>
  <c r="K251" i="8"/>
  <c r="AU252" i="8"/>
  <c r="K252" i="8"/>
  <c r="AU253" i="8"/>
  <c r="K253" i="8"/>
  <c r="AU254" i="8"/>
  <c r="K254" i="8"/>
  <c r="AU255" i="8"/>
  <c r="K255" i="8"/>
  <c r="AU80" i="8"/>
  <c r="K80" i="8"/>
  <c r="AU81" i="8"/>
  <c r="K81" i="8"/>
  <c r="AU82" i="8"/>
  <c r="K82" i="8"/>
  <c r="AU256" i="8"/>
  <c r="K256" i="8"/>
  <c r="AU83" i="8"/>
  <c r="K83" i="8"/>
  <c r="AU84" i="8"/>
  <c r="K84" i="8"/>
  <c r="AU257" i="8"/>
  <c r="K257" i="8"/>
  <c r="AU85" i="8"/>
  <c r="K85" i="8"/>
  <c r="AU86" i="8"/>
  <c r="K86" i="8"/>
  <c r="AU87" i="8"/>
  <c r="K87" i="8"/>
  <c r="AU258" i="8"/>
  <c r="K258" i="8"/>
  <c r="AU25" i="8"/>
  <c r="K25" i="8"/>
  <c r="AU88" i="8"/>
  <c r="K88" i="8"/>
  <c r="AU89" i="8"/>
  <c r="K89" i="8"/>
  <c r="AU259" i="8"/>
  <c r="K259" i="8"/>
  <c r="AU260" i="8"/>
  <c r="K260" i="8"/>
  <c r="AU261" i="8"/>
  <c r="K261" i="8"/>
  <c r="AU90" i="8"/>
  <c r="K90" i="8"/>
  <c r="AU262" i="8"/>
  <c r="K262" i="8"/>
  <c r="AU263" i="8"/>
  <c r="K263" i="8"/>
  <c r="AU26" i="8"/>
  <c r="K26" i="8"/>
  <c r="AU264" i="8"/>
  <c r="K264" i="8"/>
  <c r="AU265" i="8"/>
  <c r="K265" i="8"/>
  <c r="AU266" i="8"/>
  <c r="K266" i="8"/>
  <c r="AU91" i="8"/>
  <c r="K91" i="8"/>
  <c r="AU267" i="8"/>
  <c r="K267" i="8"/>
  <c r="AU268" i="8"/>
  <c r="K268" i="8"/>
  <c r="AU92" i="8"/>
  <c r="K92" i="8"/>
  <c r="AU269" i="8"/>
  <c r="K269" i="8"/>
  <c r="AU270" i="8"/>
  <c r="K270" i="8"/>
  <c r="AU271" i="8"/>
  <c r="K271" i="8"/>
  <c r="AU272" i="8"/>
  <c r="K272" i="8"/>
  <c r="AU273" i="8"/>
  <c r="K273" i="8"/>
  <c r="AU27" i="8"/>
  <c r="K27" i="8"/>
  <c r="AU274" i="8"/>
  <c r="K274" i="8"/>
  <c r="AU275" i="8"/>
  <c r="K275" i="8"/>
  <c r="AU276" i="8"/>
  <c r="K276" i="8"/>
  <c r="AU277" i="8"/>
  <c r="K277" i="8"/>
  <c r="AU278" i="8"/>
  <c r="K278" i="8"/>
  <c r="AU279" i="8"/>
  <c r="K279" i="8"/>
  <c r="AU280" i="8"/>
  <c r="K280" i="8"/>
  <c r="AU281" i="8"/>
  <c r="K281" i="8"/>
  <c r="AU282" i="8"/>
  <c r="K282" i="8"/>
  <c r="AU283" i="8"/>
  <c r="K283" i="8"/>
  <c r="AU284" i="8"/>
  <c r="K284" i="8"/>
  <c r="AU285" i="8"/>
  <c r="K285" i="8"/>
  <c r="AU286" i="8"/>
  <c r="K286" i="8"/>
  <c r="AU28" i="8"/>
  <c r="K28" i="8"/>
  <c r="AU287" i="8"/>
  <c r="K287" i="8"/>
  <c r="AU288" i="8"/>
  <c r="K288" i="8"/>
  <c r="AU93" i="8"/>
  <c r="K93" i="8"/>
  <c r="AU289" i="8"/>
  <c r="K289" i="8"/>
  <c r="AU290" i="8"/>
  <c r="K290" i="8"/>
  <c r="AU291" i="8"/>
  <c r="K291" i="8"/>
  <c r="AU292" i="8"/>
  <c r="K292" i="8"/>
  <c r="AU293" i="8"/>
  <c r="K293" i="8"/>
  <c r="AU294" i="8"/>
  <c r="K294" i="8"/>
  <c r="AU295" i="8"/>
  <c r="K295" i="8"/>
  <c r="AU296" i="8"/>
  <c r="K296" i="8"/>
  <c r="AU297" i="8"/>
  <c r="K297" i="8"/>
  <c r="AU298" i="8"/>
  <c r="K298" i="8"/>
  <c r="AU299" i="8"/>
  <c r="K299" i="8"/>
  <c r="AU300" i="8"/>
  <c r="K300" i="8"/>
  <c r="AU301" i="8"/>
  <c r="K301" i="8"/>
  <c r="AU302" i="8"/>
  <c r="K302" i="8"/>
  <c r="AU29" i="8"/>
  <c r="K29" i="8"/>
  <c r="AU303" i="8"/>
  <c r="K303" i="8"/>
  <c r="AU304" i="8"/>
  <c r="K304" i="8"/>
  <c r="AU305" i="8"/>
  <c r="K305" i="8"/>
  <c r="AU306" i="8"/>
  <c r="K306" i="8"/>
  <c r="AU307" i="8"/>
  <c r="K307" i="8"/>
  <c r="AU94" i="8"/>
  <c r="K94" i="8"/>
  <c r="AU308" i="8"/>
  <c r="K308" i="8"/>
  <c r="AU309" i="8"/>
  <c r="K309" i="8"/>
  <c r="AU310" i="8"/>
  <c r="K310" i="8"/>
  <c r="AU311" i="8"/>
  <c r="K311" i="8"/>
  <c r="AU312" i="8"/>
  <c r="K312" i="8"/>
  <c r="AU313" i="8"/>
  <c r="K313" i="8"/>
  <c r="AU95" i="8"/>
  <c r="K95" i="8"/>
  <c r="AU314" i="8"/>
  <c r="K314" i="8"/>
  <c r="AU315" i="8"/>
  <c r="K315" i="8"/>
  <c r="AU316" i="8"/>
  <c r="K316" i="8"/>
  <c r="AU317" i="8"/>
  <c r="K317" i="8"/>
  <c r="AU318" i="8"/>
  <c r="K318" i="8"/>
  <c r="AU96" i="8"/>
  <c r="K96" i="8"/>
  <c r="AU319" i="8"/>
  <c r="K319" i="8"/>
  <c r="AU320" i="8"/>
  <c r="K320" i="8"/>
  <c r="AU321" i="8"/>
  <c r="K321" i="8"/>
  <c r="AU322" i="8"/>
  <c r="K322" i="8"/>
  <c r="AU323" i="8"/>
  <c r="K323" i="8"/>
  <c r="AU324" i="8"/>
  <c r="K324" i="8"/>
  <c r="AU325" i="8"/>
  <c r="K325" i="8"/>
  <c r="AU326" i="8"/>
  <c r="K326" i="8"/>
  <c r="AU30" i="8"/>
  <c r="K30" i="8"/>
  <c r="AU327" i="8"/>
  <c r="K327" i="8"/>
  <c r="AU328" i="8"/>
  <c r="K328" i="8"/>
  <c r="AU329" i="8"/>
  <c r="K329" i="8"/>
  <c r="AU330" i="8"/>
  <c r="K330" i="8"/>
  <c r="AU331" i="8"/>
  <c r="K331" i="8"/>
  <c r="AU31" i="8"/>
  <c r="K31" i="8"/>
  <c r="AU332" i="8"/>
  <c r="K332" i="8"/>
  <c r="AU333" i="8"/>
  <c r="K333" i="8"/>
  <c r="AU334" i="8"/>
  <c r="K334" i="8"/>
  <c r="AU335" i="8"/>
  <c r="K335" i="8"/>
  <c r="AU336" i="8"/>
  <c r="K336" i="8"/>
  <c r="AU337" i="8"/>
  <c r="K337" i="8"/>
  <c r="AU338" i="8"/>
  <c r="K338" i="8"/>
  <c r="AU339" i="8"/>
  <c r="K339" i="8"/>
  <c r="AU340" i="8"/>
  <c r="K340" i="8"/>
  <c r="AU341" i="8"/>
  <c r="K341" i="8"/>
  <c r="AU342" i="8"/>
  <c r="K342" i="8"/>
  <c r="AU343" i="8"/>
  <c r="K343" i="8"/>
  <c r="AU344" i="8"/>
  <c r="K344" i="8"/>
  <c r="AU345" i="8"/>
  <c r="K345" i="8"/>
  <c r="AU346" i="8"/>
  <c r="K346" i="8"/>
  <c r="AU347" i="8"/>
  <c r="K347" i="8"/>
  <c r="AU348" i="8"/>
  <c r="K348" i="8"/>
  <c r="AU349" i="8"/>
  <c r="K349" i="8"/>
  <c r="AU350" i="8"/>
  <c r="K350" i="8"/>
  <c r="AU32" i="8"/>
  <c r="K32" i="8"/>
  <c r="AU351" i="8"/>
  <c r="K351" i="8"/>
  <c r="AU352" i="8"/>
  <c r="K352" i="8"/>
  <c r="AU353" i="8"/>
  <c r="K353" i="8"/>
  <c r="AU354" i="8"/>
  <c r="K354" i="8"/>
  <c r="AU355" i="8"/>
  <c r="K355" i="8"/>
  <c r="AU356" i="8"/>
  <c r="K356" i="8"/>
  <c r="AU357" i="8"/>
  <c r="K357" i="8"/>
  <c r="AU358" i="8"/>
  <c r="K358" i="8"/>
  <c r="AU359" i="8"/>
  <c r="K359" i="8"/>
  <c r="AU360" i="8"/>
  <c r="K360" i="8"/>
  <c r="AU33" i="8"/>
  <c r="K33" i="8"/>
  <c r="AU361" i="8"/>
  <c r="K361" i="8"/>
  <c r="AU362" i="8"/>
  <c r="K362" i="8"/>
  <c r="AU97" i="8"/>
  <c r="K97" i="8"/>
  <c r="AU363" i="8"/>
  <c r="K363" i="8"/>
  <c r="AU364" i="8"/>
  <c r="K364" i="8"/>
  <c r="AU365" i="8"/>
  <c r="K365" i="8"/>
  <c r="AU98" i="8"/>
  <c r="K98" i="8"/>
  <c r="AU366" i="8"/>
  <c r="K366" i="8"/>
  <c r="AU367" i="8"/>
  <c r="K367" i="8"/>
  <c r="AU34" i="8"/>
  <c r="K34" i="8"/>
  <c r="AU368" i="8"/>
  <c r="K368" i="8"/>
  <c r="AU369" i="8"/>
  <c r="K369" i="8"/>
  <c r="AU370" i="8"/>
  <c r="K370" i="8"/>
  <c r="AU35" i="8"/>
  <c r="K35" i="8"/>
  <c r="AU371" i="8"/>
  <c r="K371" i="8"/>
  <c r="AU372" i="8"/>
  <c r="K372" i="8"/>
  <c r="AU373" i="8"/>
  <c r="K373" i="8"/>
  <c r="AU374" i="8"/>
  <c r="K374" i="8"/>
  <c r="AU375" i="8"/>
  <c r="K375" i="8"/>
  <c r="AU376" i="8"/>
  <c r="K376" i="8"/>
  <c r="AU377" i="8"/>
  <c r="K377" i="8"/>
  <c r="AU378" i="8"/>
  <c r="K378" i="8"/>
  <c r="AU379" i="8"/>
  <c r="K379" i="8"/>
  <c r="AU380" i="8"/>
  <c r="K380" i="8"/>
  <c r="AU99" i="8"/>
  <c r="K99" i="8"/>
  <c r="AU381" i="8"/>
  <c r="K381" i="8"/>
  <c r="AU382" i="8"/>
  <c r="K382" i="8"/>
  <c r="AU383" i="8"/>
  <c r="K383" i="8"/>
  <c r="AU384" i="8"/>
  <c r="K384" i="8"/>
  <c r="AU385" i="8"/>
  <c r="K385" i="8"/>
  <c r="AU36" i="8"/>
  <c r="K36" i="8"/>
  <c r="AU386" i="8"/>
  <c r="K386" i="8"/>
  <c r="AU387" i="8"/>
  <c r="K387" i="8"/>
  <c r="AU388" i="8"/>
  <c r="K388" i="8"/>
  <c r="AU389" i="8"/>
  <c r="K389" i="8"/>
  <c r="AU390" i="8"/>
  <c r="K390" i="8"/>
  <c r="AU391" i="8"/>
  <c r="K391" i="8"/>
  <c r="AU392" i="8"/>
  <c r="K392" i="8"/>
  <c r="AU393" i="8"/>
  <c r="K393" i="8"/>
  <c r="AU37" i="8"/>
  <c r="K37" i="8"/>
  <c r="AU394" i="8"/>
  <c r="K394" i="8"/>
  <c r="AU395" i="8"/>
  <c r="K395" i="8"/>
  <c r="AU396" i="8"/>
  <c r="K396" i="8"/>
  <c r="AU397" i="8"/>
  <c r="K397" i="8"/>
  <c r="AU398" i="8"/>
  <c r="K398" i="8"/>
  <c r="AU38" i="8"/>
  <c r="K38" i="8"/>
  <c r="AU399" i="8"/>
  <c r="K399" i="8"/>
  <c r="AU400" i="8"/>
  <c r="K400" i="8"/>
  <c r="AU401" i="8"/>
  <c r="K401" i="8"/>
  <c r="AU402" i="8"/>
  <c r="K402" i="8"/>
  <c r="AU403" i="8"/>
  <c r="K403" i="8"/>
  <c r="AU404" i="8"/>
  <c r="K404" i="8"/>
  <c r="AU405" i="8"/>
  <c r="K405" i="8"/>
  <c r="AU406" i="8"/>
  <c r="K406" i="8"/>
  <c r="AW45" i="8"/>
  <c r="M45" i="8"/>
  <c r="AW46" i="8"/>
  <c r="M46" i="8"/>
  <c r="AW47" i="8"/>
  <c r="M47" i="8"/>
  <c r="AW3" i="8"/>
  <c r="M3" i="8"/>
  <c r="AW48" i="8"/>
  <c r="M48" i="8"/>
  <c r="AW39" i="8"/>
  <c r="M39" i="8"/>
  <c r="AW49" i="8"/>
  <c r="M49" i="8"/>
  <c r="AW50" i="8"/>
  <c r="M50" i="8"/>
  <c r="AW51" i="8"/>
  <c r="M51" i="8"/>
  <c r="AW52" i="8"/>
  <c r="M52" i="8"/>
  <c r="AW40" i="8"/>
  <c r="M40" i="8"/>
  <c r="AW53" i="8"/>
  <c r="M53" i="8"/>
  <c r="AW54" i="8"/>
  <c r="M54" i="8"/>
  <c r="AW55" i="8"/>
  <c r="M55" i="8"/>
  <c r="AW56" i="8"/>
  <c r="M56" i="8"/>
  <c r="AW57" i="8"/>
  <c r="M57" i="8"/>
  <c r="AW58" i="8"/>
  <c r="M58" i="8"/>
  <c r="AW41" i="8"/>
  <c r="M41" i="8"/>
  <c r="AW59" i="8"/>
  <c r="M59" i="8"/>
  <c r="AW60" i="8"/>
  <c r="M60" i="8"/>
  <c r="AW4" i="8"/>
  <c r="M4" i="8"/>
  <c r="AW61" i="8"/>
  <c r="M61" i="8"/>
  <c r="AW62" i="8"/>
  <c r="M62" i="8"/>
  <c r="AW5" i="8"/>
  <c r="M5" i="8"/>
  <c r="AW2" i="8"/>
  <c r="M2" i="8"/>
  <c r="AW42" i="8"/>
  <c r="M42" i="8"/>
  <c r="AW63" i="8"/>
  <c r="M63" i="8"/>
  <c r="AW43" i="8"/>
  <c r="M43" i="8"/>
  <c r="AW44" i="8"/>
  <c r="M44" i="8"/>
  <c r="AW64" i="8"/>
  <c r="M64" i="8"/>
  <c r="AW65" i="8"/>
  <c r="M65" i="8"/>
  <c r="AW66" i="8"/>
  <c r="M66" i="8"/>
  <c r="AW67" i="8"/>
  <c r="M67" i="8"/>
  <c r="AW68" i="8"/>
  <c r="M68" i="8"/>
  <c r="AW69" i="8"/>
  <c r="M69" i="8"/>
  <c r="AW70" i="8"/>
  <c r="M70" i="8"/>
  <c r="AW71" i="8"/>
  <c r="M71" i="8"/>
  <c r="AW100" i="8"/>
  <c r="M100" i="8"/>
  <c r="AW72" i="8"/>
  <c r="M72" i="8"/>
  <c r="AW73" i="8"/>
  <c r="M73" i="8"/>
  <c r="AW101" i="8"/>
  <c r="M101" i="8"/>
  <c r="AW74" i="8"/>
  <c r="M74" i="8"/>
  <c r="AW102" i="8"/>
  <c r="M102" i="8"/>
  <c r="AW103" i="8"/>
  <c r="M103" i="8"/>
  <c r="AW104" i="8"/>
  <c r="M104" i="8"/>
  <c r="AW105" i="8"/>
  <c r="M105" i="8"/>
  <c r="AW106" i="8"/>
  <c r="M106" i="8"/>
  <c r="AW107" i="8"/>
  <c r="M107" i="8"/>
  <c r="AW108" i="8"/>
  <c r="M108" i="8"/>
  <c r="AW109" i="8"/>
  <c r="M109" i="8"/>
  <c r="AW110" i="8"/>
  <c r="M110" i="8"/>
  <c r="AW111" i="8"/>
  <c r="M111" i="8"/>
  <c r="AW112" i="8"/>
  <c r="M112" i="8"/>
  <c r="AW113" i="8"/>
  <c r="M113" i="8"/>
  <c r="AW114" i="8"/>
  <c r="M114" i="8"/>
  <c r="AW115" i="8"/>
  <c r="M115" i="8"/>
  <c r="AW75" i="8"/>
  <c r="M75" i="8"/>
  <c r="AW116" i="8"/>
  <c r="M116" i="8"/>
  <c r="AW117" i="8"/>
  <c r="M117" i="8"/>
  <c r="AW118" i="8"/>
  <c r="M118" i="8"/>
  <c r="AW119" i="8"/>
  <c r="M119" i="8"/>
  <c r="AW120" i="8"/>
  <c r="M120" i="8"/>
  <c r="AW121" i="8"/>
  <c r="M121" i="8"/>
  <c r="AW122" i="8"/>
  <c r="M122" i="8"/>
  <c r="AW123" i="8"/>
  <c r="M123" i="8"/>
  <c r="AW124" i="8"/>
  <c r="M124" i="8"/>
  <c r="AW125" i="8"/>
  <c r="M125" i="8"/>
  <c r="AW126" i="8"/>
  <c r="M126" i="8"/>
  <c r="AW127" i="8"/>
  <c r="M127" i="8"/>
  <c r="AW128" i="8"/>
  <c r="M128" i="8"/>
  <c r="AW129" i="8"/>
  <c r="M129" i="8"/>
  <c r="AW76" i="8"/>
  <c r="M76" i="8"/>
  <c r="AW130" i="8"/>
  <c r="M130" i="8"/>
  <c r="AW131" i="8"/>
  <c r="M131" i="8"/>
  <c r="AW132" i="8"/>
  <c r="M132" i="8"/>
  <c r="AW133" i="8"/>
  <c r="M133" i="8"/>
  <c r="AW77" i="8"/>
  <c r="M77" i="8"/>
  <c r="AW134" i="8"/>
  <c r="M134" i="8"/>
  <c r="AW135" i="8"/>
  <c r="M135" i="8"/>
  <c r="AW136" i="8"/>
  <c r="M136" i="8"/>
  <c r="AW137" i="8"/>
  <c r="M137" i="8"/>
  <c r="AW138" i="8"/>
  <c r="M138" i="8"/>
  <c r="AW78" i="8"/>
  <c r="M78" i="8"/>
  <c r="AW139" i="8"/>
  <c r="M139" i="8"/>
  <c r="AW140" i="8"/>
  <c r="M140" i="8"/>
  <c r="AW141" i="8"/>
  <c r="M141" i="8"/>
  <c r="AW8" i="8"/>
  <c r="M8" i="8"/>
  <c r="AW142" i="8"/>
  <c r="M142" i="8"/>
  <c r="AW143" i="8"/>
  <c r="M143" i="8"/>
  <c r="AW144" i="8"/>
  <c r="M144" i="8"/>
  <c r="AW145" i="8"/>
  <c r="M145" i="8"/>
  <c r="AW146" i="8"/>
  <c r="M146" i="8"/>
  <c r="AW147" i="8"/>
  <c r="M147" i="8"/>
  <c r="AW148" i="8"/>
  <c r="M148" i="8"/>
  <c r="AW149" i="8"/>
  <c r="M149" i="8"/>
  <c r="AW150" i="8"/>
  <c r="M150" i="8"/>
  <c r="AW9" i="8"/>
  <c r="M9" i="8"/>
  <c r="AW10" i="8"/>
  <c r="M10" i="8"/>
  <c r="AW11" i="8"/>
  <c r="M11" i="8"/>
  <c r="AW151" i="8"/>
  <c r="M151" i="8"/>
  <c r="AW152" i="8"/>
  <c r="M152" i="8"/>
  <c r="AW153" i="8"/>
  <c r="M153" i="8"/>
  <c r="AW154" i="8"/>
  <c r="M154" i="8"/>
  <c r="AW155" i="8"/>
  <c r="M155" i="8"/>
  <c r="AW156" i="8"/>
  <c r="M156" i="8"/>
  <c r="AW157" i="8"/>
  <c r="M157" i="8"/>
  <c r="AW158" i="8"/>
  <c r="M158" i="8"/>
  <c r="AW159" i="8"/>
  <c r="M159" i="8"/>
  <c r="AW160" i="8"/>
  <c r="M160" i="8"/>
  <c r="AW161" i="8"/>
  <c r="M161" i="8"/>
  <c r="AW162" i="8"/>
  <c r="M162" i="8"/>
  <c r="AW163" i="8"/>
  <c r="M163" i="8"/>
  <c r="AW164" i="8"/>
  <c r="M164" i="8"/>
  <c r="AW165" i="8"/>
  <c r="M165" i="8"/>
  <c r="AW166" i="8"/>
  <c r="M166" i="8"/>
  <c r="AW167" i="8"/>
  <c r="M167" i="8"/>
  <c r="AW168" i="8"/>
  <c r="M168" i="8"/>
  <c r="AW169" i="8"/>
  <c r="M169" i="8"/>
  <c r="AW170" i="8"/>
  <c r="M170" i="8"/>
  <c r="AW171" i="8"/>
  <c r="M171" i="8"/>
  <c r="AW172" i="8"/>
  <c r="M172" i="8"/>
  <c r="AW12" i="8"/>
  <c r="M12" i="8"/>
  <c r="AW173" i="8"/>
  <c r="M173" i="8"/>
  <c r="AW174" i="8"/>
  <c r="M174" i="8"/>
  <c r="AW175" i="8"/>
  <c r="M175" i="8"/>
  <c r="AW176" i="8"/>
  <c r="M176" i="8"/>
  <c r="AW177" i="8"/>
  <c r="M177" i="8"/>
  <c r="AW178" i="8"/>
  <c r="M178" i="8"/>
  <c r="AW179" i="8"/>
  <c r="M179" i="8"/>
  <c r="AW180" i="8"/>
  <c r="M180" i="8"/>
  <c r="AW181" i="8"/>
  <c r="M181" i="8"/>
  <c r="AW182" i="8"/>
  <c r="M182" i="8"/>
  <c r="AW13" i="8"/>
  <c r="M13" i="8"/>
  <c r="AW183" i="8"/>
  <c r="M183" i="8"/>
  <c r="AW184" i="8"/>
  <c r="M184" i="8"/>
  <c r="AW185" i="8"/>
  <c r="M185" i="8"/>
  <c r="AW186" i="8"/>
  <c r="M186" i="8"/>
  <c r="AW187" i="8"/>
  <c r="M187" i="8"/>
  <c r="AW188" i="8"/>
  <c r="M188" i="8"/>
  <c r="AW189" i="8"/>
  <c r="M189" i="8"/>
  <c r="AW190" i="8"/>
  <c r="M190" i="8"/>
  <c r="AW191" i="8"/>
  <c r="M191" i="8"/>
  <c r="AW192" i="8"/>
  <c r="M192" i="8"/>
  <c r="AW193" i="8"/>
  <c r="M193" i="8"/>
  <c r="AW194" i="8"/>
  <c r="M194" i="8"/>
  <c r="AW14" i="8"/>
  <c r="M14" i="8"/>
  <c r="AW195" i="8"/>
  <c r="M195" i="8"/>
  <c r="AW196" i="8"/>
  <c r="M196" i="8"/>
  <c r="AW197" i="8"/>
  <c r="M197" i="8"/>
  <c r="AW198" i="8"/>
  <c r="M198" i="8"/>
  <c r="AW199" i="8"/>
  <c r="M199" i="8"/>
  <c r="AW200" i="8"/>
  <c r="M200" i="8"/>
  <c r="AW201" i="8"/>
  <c r="M201" i="8"/>
  <c r="AW15" i="8"/>
  <c r="M15" i="8"/>
  <c r="AW202" i="8"/>
  <c r="M202" i="8"/>
  <c r="AW203" i="8"/>
  <c r="M203" i="8"/>
  <c r="AW16" i="8"/>
  <c r="M16" i="8"/>
  <c r="AW204" i="8"/>
  <c r="M204" i="8"/>
  <c r="AW205" i="8"/>
  <c r="M205" i="8"/>
  <c r="AW206" i="8"/>
  <c r="M206" i="8"/>
  <c r="AW207" i="8"/>
  <c r="M207" i="8"/>
  <c r="AW6" i="8"/>
  <c r="M6" i="8"/>
  <c r="AW208" i="8"/>
  <c r="M208" i="8"/>
  <c r="AW209" i="8"/>
  <c r="M209" i="8"/>
  <c r="AW17" i="8"/>
  <c r="M17" i="8"/>
  <c r="AW210" i="8"/>
  <c r="M210" i="8"/>
  <c r="AW211" i="8"/>
  <c r="M211" i="8"/>
  <c r="AW212" i="8"/>
  <c r="M212" i="8"/>
  <c r="AW213" i="8"/>
  <c r="M213" i="8"/>
  <c r="AW7" i="8"/>
  <c r="M7" i="8"/>
  <c r="AW214" i="8"/>
  <c r="M214" i="8"/>
  <c r="AW215" i="8"/>
  <c r="M215" i="8"/>
  <c r="AW216" i="8"/>
  <c r="M216" i="8"/>
  <c r="AW217" i="8"/>
  <c r="M217" i="8"/>
  <c r="AW218" i="8"/>
  <c r="M218" i="8"/>
  <c r="AW18" i="8"/>
  <c r="M18" i="8"/>
  <c r="AW219" i="8"/>
  <c r="M219" i="8"/>
  <c r="AW220" i="8"/>
  <c r="M220" i="8"/>
  <c r="AW19" i="8"/>
  <c r="M19" i="8"/>
  <c r="AW20" i="8"/>
  <c r="M20" i="8"/>
  <c r="AW21" i="8"/>
  <c r="M21" i="8"/>
  <c r="AW221" i="8"/>
  <c r="M221" i="8"/>
  <c r="AW222" i="8"/>
  <c r="M222" i="8"/>
  <c r="AW223" i="8"/>
  <c r="M223" i="8"/>
  <c r="AW224" i="8"/>
  <c r="M224" i="8"/>
  <c r="AW225" i="8"/>
  <c r="M225" i="8"/>
  <c r="AW226" i="8"/>
  <c r="M226" i="8"/>
  <c r="AW227" i="8"/>
  <c r="M227" i="8"/>
  <c r="AW228" i="8"/>
  <c r="M228" i="8"/>
  <c r="AW22" i="8"/>
  <c r="M22" i="8"/>
  <c r="AW23" i="8"/>
  <c r="M23" i="8"/>
  <c r="AW229" i="8"/>
  <c r="M229" i="8"/>
  <c r="AW230" i="8"/>
  <c r="M230" i="8"/>
  <c r="AW231" i="8"/>
  <c r="M231" i="8"/>
  <c r="AW232" i="8"/>
  <c r="M232" i="8"/>
  <c r="AW233" i="8"/>
  <c r="M233" i="8"/>
  <c r="AW234" i="8"/>
  <c r="M234" i="8"/>
  <c r="AW235" i="8"/>
  <c r="M235" i="8"/>
  <c r="AW236" i="8"/>
  <c r="M236" i="8"/>
  <c r="AW237" i="8"/>
  <c r="M237" i="8"/>
  <c r="AW238" i="8"/>
  <c r="M238" i="8"/>
  <c r="AW239" i="8"/>
  <c r="M239" i="8"/>
  <c r="AW240" i="8"/>
  <c r="M240" i="8"/>
  <c r="AW24" i="8"/>
  <c r="M24" i="8"/>
  <c r="AW241" i="8"/>
  <c r="M241" i="8"/>
  <c r="AW242" i="8"/>
  <c r="M242" i="8"/>
  <c r="AW243" i="8"/>
  <c r="M243" i="8"/>
  <c r="AW244" i="8"/>
  <c r="M244" i="8"/>
  <c r="AW245" i="8"/>
  <c r="M245" i="8"/>
  <c r="AW246" i="8"/>
  <c r="M246" i="8"/>
  <c r="AW247" i="8"/>
  <c r="M247" i="8"/>
  <c r="AW248" i="8"/>
  <c r="M248" i="8"/>
  <c r="AW249" i="8"/>
  <c r="M249" i="8"/>
  <c r="AW250" i="8"/>
  <c r="M250" i="8"/>
  <c r="AW79" i="8"/>
  <c r="M79" i="8"/>
  <c r="AW251" i="8"/>
  <c r="M251" i="8"/>
  <c r="AW252" i="8"/>
  <c r="M252" i="8"/>
  <c r="AW253" i="8"/>
  <c r="M253" i="8"/>
  <c r="AW254" i="8"/>
  <c r="M254" i="8"/>
  <c r="AW255" i="8"/>
  <c r="M255" i="8"/>
  <c r="AW80" i="8"/>
  <c r="M80" i="8"/>
  <c r="AW81" i="8"/>
  <c r="M81" i="8"/>
  <c r="AW82" i="8"/>
  <c r="M82" i="8"/>
  <c r="AW256" i="8"/>
  <c r="M256" i="8"/>
  <c r="AW83" i="8"/>
  <c r="M83" i="8"/>
  <c r="AW84" i="8"/>
  <c r="M84" i="8"/>
  <c r="AW257" i="8"/>
  <c r="M257" i="8"/>
  <c r="AW85" i="8"/>
  <c r="M85" i="8"/>
  <c r="AW86" i="8"/>
  <c r="M86" i="8"/>
  <c r="AW87" i="8"/>
  <c r="M87" i="8"/>
  <c r="AW258" i="8"/>
  <c r="M258" i="8"/>
  <c r="AW25" i="8"/>
  <c r="M25" i="8"/>
  <c r="AW88" i="8"/>
  <c r="M88" i="8"/>
  <c r="AW89" i="8"/>
  <c r="M89" i="8"/>
  <c r="AW259" i="8"/>
  <c r="M259" i="8"/>
  <c r="AW260" i="8"/>
  <c r="M260" i="8"/>
  <c r="AW261" i="8"/>
  <c r="M261" i="8"/>
  <c r="AW90" i="8"/>
  <c r="M90" i="8"/>
  <c r="AW262" i="8"/>
  <c r="M262" i="8"/>
  <c r="AW263" i="8"/>
  <c r="M263" i="8"/>
  <c r="AW26" i="8"/>
  <c r="M26" i="8"/>
  <c r="AW264" i="8"/>
  <c r="M264" i="8"/>
  <c r="AW265" i="8"/>
  <c r="M265" i="8"/>
  <c r="AW266" i="8"/>
  <c r="M266" i="8"/>
  <c r="AW91" i="8"/>
  <c r="M91" i="8"/>
  <c r="AW267" i="8"/>
  <c r="M267" i="8"/>
  <c r="AW268" i="8"/>
  <c r="M268" i="8"/>
  <c r="AW92" i="8"/>
  <c r="M92" i="8"/>
  <c r="AW269" i="8"/>
  <c r="M269" i="8"/>
  <c r="AW270" i="8"/>
  <c r="M270" i="8"/>
  <c r="AW271" i="8"/>
  <c r="M271" i="8"/>
  <c r="AW272" i="8"/>
  <c r="M272" i="8"/>
  <c r="AW273" i="8"/>
  <c r="M273" i="8"/>
  <c r="AW27" i="8"/>
  <c r="M27" i="8"/>
  <c r="AW274" i="8"/>
  <c r="M274" i="8"/>
  <c r="AW275" i="8"/>
  <c r="M275" i="8"/>
  <c r="AW276" i="8"/>
  <c r="M276" i="8"/>
  <c r="AW277" i="8"/>
  <c r="M277" i="8"/>
  <c r="AW278" i="8"/>
  <c r="M278" i="8"/>
  <c r="AW279" i="8"/>
  <c r="M279" i="8"/>
  <c r="AW280" i="8"/>
  <c r="M280" i="8"/>
  <c r="AW281" i="8"/>
  <c r="M281" i="8"/>
  <c r="AW282" i="8"/>
  <c r="M282" i="8"/>
  <c r="AW283" i="8"/>
  <c r="M283" i="8"/>
  <c r="AW284" i="8"/>
  <c r="M284" i="8"/>
  <c r="AW285" i="8"/>
  <c r="M285" i="8"/>
  <c r="AW286" i="8"/>
  <c r="M286" i="8"/>
  <c r="AW28" i="8"/>
  <c r="M28" i="8"/>
  <c r="AW287" i="8"/>
  <c r="M287" i="8"/>
  <c r="AW288" i="8"/>
  <c r="M288" i="8"/>
  <c r="AW93" i="8"/>
  <c r="M93" i="8"/>
  <c r="AW289" i="8"/>
  <c r="M289" i="8"/>
  <c r="AW290" i="8"/>
  <c r="M290" i="8"/>
  <c r="AW291" i="8"/>
  <c r="M291" i="8"/>
  <c r="AW292" i="8"/>
  <c r="M292" i="8"/>
  <c r="AW293" i="8"/>
  <c r="M293" i="8"/>
  <c r="AW294" i="8"/>
  <c r="M294" i="8"/>
  <c r="AW295" i="8"/>
  <c r="M295" i="8"/>
  <c r="AW296" i="8"/>
  <c r="M296" i="8"/>
  <c r="AW297" i="8"/>
  <c r="M297" i="8"/>
  <c r="AW298" i="8"/>
  <c r="M298" i="8"/>
  <c r="AW299" i="8"/>
  <c r="M299" i="8"/>
  <c r="AW300" i="8"/>
  <c r="M300" i="8"/>
  <c r="AW301" i="8"/>
  <c r="M301" i="8"/>
  <c r="AW302" i="8"/>
  <c r="M302" i="8"/>
  <c r="AW29" i="8"/>
  <c r="M29" i="8"/>
  <c r="AW303" i="8"/>
  <c r="M303" i="8"/>
  <c r="AW304" i="8"/>
  <c r="M304" i="8"/>
  <c r="AW305" i="8"/>
  <c r="M305" i="8"/>
  <c r="AW306" i="8"/>
  <c r="M306" i="8"/>
  <c r="AW307" i="8"/>
  <c r="M307" i="8"/>
  <c r="AW94" i="8"/>
  <c r="M94" i="8"/>
  <c r="AW308" i="8"/>
  <c r="M308" i="8"/>
  <c r="AW309" i="8"/>
  <c r="M309" i="8"/>
  <c r="AW310" i="8"/>
  <c r="M310" i="8"/>
  <c r="AW311" i="8"/>
  <c r="M311" i="8"/>
  <c r="AW312" i="8"/>
  <c r="M312" i="8"/>
  <c r="AW313" i="8"/>
  <c r="M313" i="8"/>
  <c r="AW95" i="8"/>
  <c r="M95" i="8"/>
  <c r="AW314" i="8"/>
  <c r="M314" i="8"/>
  <c r="AW315" i="8"/>
  <c r="M315" i="8"/>
  <c r="AW316" i="8"/>
  <c r="M316" i="8"/>
  <c r="AW317" i="8"/>
  <c r="M317" i="8"/>
  <c r="AW318" i="8"/>
  <c r="M318" i="8"/>
  <c r="AW96" i="8"/>
  <c r="M96" i="8"/>
  <c r="AW319" i="8"/>
  <c r="M319" i="8"/>
  <c r="AW320" i="8"/>
  <c r="M320" i="8"/>
  <c r="AW321" i="8"/>
  <c r="M321" i="8"/>
  <c r="AW322" i="8"/>
  <c r="M322" i="8"/>
  <c r="AW323" i="8"/>
  <c r="M323" i="8"/>
  <c r="AW324" i="8"/>
  <c r="M324" i="8"/>
  <c r="AW325" i="8"/>
  <c r="M325" i="8"/>
  <c r="AW326" i="8"/>
  <c r="M326" i="8"/>
  <c r="AW30" i="8"/>
  <c r="M30" i="8"/>
  <c r="AW327" i="8"/>
  <c r="M327" i="8"/>
  <c r="AW328" i="8"/>
  <c r="M328" i="8"/>
  <c r="AW329" i="8"/>
  <c r="M329" i="8"/>
  <c r="AW330" i="8"/>
  <c r="M330" i="8"/>
  <c r="AW331" i="8"/>
  <c r="M331" i="8"/>
  <c r="AW31" i="8"/>
  <c r="M31" i="8"/>
  <c r="AW332" i="8"/>
  <c r="M332" i="8"/>
  <c r="AW333" i="8"/>
  <c r="M333" i="8"/>
  <c r="AW334" i="8"/>
  <c r="M334" i="8"/>
  <c r="AW335" i="8"/>
  <c r="M335" i="8"/>
  <c r="AW336" i="8"/>
  <c r="M336" i="8"/>
  <c r="AW337" i="8"/>
  <c r="M337" i="8"/>
  <c r="AW338" i="8"/>
  <c r="M338" i="8"/>
  <c r="AW339" i="8"/>
  <c r="M339" i="8"/>
  <c r="AW340" i="8"/>
  <c r="M340" i="8"/>
  <c r="AW341" i="8"/>
  <c r="M341" i="8"/>
  <c r="AW342" i="8"/>
  <c r="M342" i="8"/>
  <c r="AW343" i="8"/>
  <c r="M343" i="8"/>
  <c r="AW344" i="8"/>
  <c r="M344" i="8"/>
  <c r="AW345" i="8"/>
  <c r="M345" i="8"/>
  <c r="AW346" i="8"/>
  <c r="M346" i="8"/>
  <c r="AW347" i="8"/>
  <c r="M347" i="8"/>
  <c r="AW348" i="8"/>
  <c r="M348" i="8"/>
  <c r="AW349" i="8"/>
  <c r="M349" i="8"/>
  <c r="AW350" i="8"/>
  <c r="M350" i="8"/>
  <c r="AW32" i="8"/>
  <c r="M32" i="8"/>
  <c r="AW351" i="8"/>
  <c r="M351" i="8"/>
  <c r="AW352" i="8"/>
  <c r="M352" i="8"/>
  <c r="AW353" i="8"/>
  <c r="M353" i="8"/>
  <c r="AW354" i="8"/>
  <c r="M354" i="8"/>
  <c r="AW355" i="8"/>
  <c r="M355" i="8"/>
  <c r="AW356" i="8"/>
  <c r="M356" i="8"/>
  <c r="AW357" i="8"/>
  <c r="M357" i="8"/>
  <c r="AW358" i="8"/>
  <c r="M358" i="8"/>
  <c r="AW359" i="8"/>
  <c r="M359" i="8"/>
  <c r="AW360" i="8"/>
  <c r="M360" i="8"/>
  <c r="AW33" i="8"/>
  <c r="M33" i="8"/>
  <c r="AW361" i="8"/>
  <c r="M361" i="8"/>
  <c r="AW362" i="8"/>
  <c r="M362" i="8"/>
  <c r="AW97" i="8"/>
  <c r="M97" i="8"/>
  <c r="AW363" i="8"/>
  <c r="M363" i="8"/>
  <c r="AW364" i="8"/>
  <c r="M364" i="8"/>
  <c r="AW365" i="8"/>
  <c r="M365" i="8"/>
  <c r="AW98" i="8"/>
  <c r="M98" i="8"/>
  <c r="AW366" i="8"/>
  <c r="M366" i="8"/>
  <c r="AW367" i="8"/>
  <c r="M367" i="8"/>
  <c r="AW34" i="8"/>
  <c r="M34" i="8"/>
  <c r="AW368" i="8"/>
  <c r="M368" i="8"/>
  <c r="AW369" i="8"/>
  <c r="M369" i="8"/>
  <c r="AW370" i="8"/>
  <c r="M370" i="8"/>
  <c r="AW35" i="8"/>
  <c r="M35" i="8"/>
  <c r="AW371" i="8"/>
  <c r="M371" i="8"/>
  <c r="AW372" i="8"/>
  <c r="M372" i="8"/>
  <c r="AW373" i="8"/>
  <c r="M373" i="8"/>
  <c r="AW374" i="8"/>
  <c r="M374" i="8"/>
  <c r="AW375" i="8"/>
  <c r="M375" i="8"/>
  <c r="AW376" i="8"/>
  <c r="M376" i="8"/>
  <c r="AW377" i="8"/>
  <c r="M377" i="8"/>
  <c r="AW378" i="8"/>
  <c r="M378" i="8"/>
  <c r="AW379" i="8"/>
  <c r="M379" i="8"/>
  <c r="AW380" i="8"/>
  <c r="M380" i="8"/>
  <c r="AW99" i="8"/>
  <c r="M99" i="8"/>
  <c r="AW381" i="8"/>
  <c r="M381" i="8"/>
  <c r="AW382" i="8"/>
  <c r="M382" i="8"/>
  <c r="AW383" i="8"/>
  <c r="M383" i="8"/>
  <c r="AW384" i="8"/>
  <c r="M384" i="8"/>
  <c r="AW385" i="8"/>
  <c r="M385" i="8"/>
  <c r="AW36" i="8"/>
  <c r="M36" i="8"/>
  <c r="AW386" i="8"/>
  <c r="M386" i="8"/>
  <c r="AW387" i="8"/>
  <c r="M387" i="8"/>
  <c r="AW388" i="8"/>
  <c r="M388" i="8"/>
  <c r="AW389" i="8"/>
  <c r="M389" i="8"/>
  <c r="AW390" i="8"/>
  <c r="M390" i="8"/>
  <c r="AW391" i="8"/>
  <c r="M391" i="8"/>
  <c r="AW392" i="8"/>
  <c r="M392" i="8"/>
  <c r="AW393" i="8"/>
  <c r="M393" i="8"/>
  <c r="AW37" i="8"/>
  <c r="M37" i="8"/>
  <c r="AW394" i="8"/>
  <c r="M394" i="8"/>
  <c r="AW395" i="8"/>
  <c r="M395" i="8"/>
  <c r="AW396" i="8"/>
  <c r="M396" i="8"/>
  <c r="AW397" i="8"/>
  <c r="M397" i="8"/>
  <c r="AW398" i="8"/>
  <c r="M398" i="8"/>
  <c r="AW38" i="8"/>
  <c r="M38" i="8"/>
  <c r="AW399" i="8"/>
  <c r="M399" i="8"/>
  <c r="AW400" i="8"/>
  <c r="M400" i="8"/>
  <c r="AW401" i="8"/>
  <c r="M401" i="8"/>
  <c r="AW402" i="8"/>
  <c r="M402" i="8"/>
  <c r="AW403" i="8"/>
  <c r="M403" i="8"/>
  <c r="AW404" i="8"/>
  <c r="M404" i="8"/>
  <c r="AW405" i="8"/>
  <c r="M405" i="8"/>
  <c r="AW406" i="8"/>
  <c r="M406" i="8"/>
  <c r="C46" i="8"/>
  <c r="C47" i="8"/>
  <c r="C3" i="8"/>
  <c r="C48" i="8"/>
  <c r="C49" i="8"/>
  <c r="C50" i="8"/>
  <c r="C100" i="8"/>
  <c r="C51" i="8"/>
  <c r="C72" i="8"/>
  <c r="C73" i="8"/>
  <c r="C101" i="8"/>
  <c r="C74" i="8"/>
  <c r="C52" i="8"/>
  <c r="C102" i="8"/>
  <c r="C103" i="8"/>
  <c r="C104" i="8"/>
  <c r="C105" i="8"/>
  <c r="C106" i="8"/>
  <c r="C107" i="8"/>
  <c r="C40" i="8"/>
  <c r="C108" i="8"/>
  <c r="C109" i="8"/>
  <c r="C110" i="8"/>
  <c r="C111" i="8"/>
  <c r="C112" i="8"/>
  <c r="C113" i="8"/>
  <c r="C53" i="8"/>
  <c r="C54" i="8"/>
  <c r="C114" i="8"/>
  <c r="C55" i="8"/>
  <c r="C115" i="8"/>
  <c r="C75" i="8"/>
  <c r="C116" i="8"/>
  <c r="C117" i="8"/>
  <c r="C118" i="8"/>
  <c r="C119" i="8"/>
  <c r="C120" i="8"/>
  <c r="C121" i="8"/>
  <c r="C122" i="8"/>
  <c r="C56" i="8"/>
  <c r="C123" i="8"/>
  <c r="C57" i="8"/>
  <c r="C124" i="8"/>
  <c r="C125" i="8"/>
  <c r="C126" i="8"/>
  <c r="C127" i="8"/>
  <c r="C128" i="8"/>
  <c r="C129" i="8"/>
  <c r="C76" i="8"/>
  <c r="C130" i="8"/>
  <c r="C131" i="8"/>
  <c r="C132" i="8"/>
  <c r="C133" i="8"/>
  <c r="C77" i="8"/>
  <c r="C134" i="8"/>
  <c r="C135" i="8"/>
  <c r="C58" i="8"/>
  <c r="C136" i="8"/>
  <c r="C137" i="8"/>
  <c r="C138" i="8"/>
  <c r="C78" i="8"/>
  <c r="C139" i="8"/>
  <c r="C140" i="8"/>
  <c r="C141" i="8"/>
  <c r="C8" i="8"/>
  <c r="C142" i="8"/>
  <c r="C143" i="8"/>
  <c r="C144" i="8"/>
  <c r="C145" i="8"/>
  <c r="C146" i="8"/>
  <c r="C147" i="8"/>
  <c r="C41" i="8"/>
  <c r="C148" i="8"/>
  <c r="C149" i="8"/>
  <c r="C150" i="8"/>
  <c r="C9" i="8"/>
  <c r="C59" i="8"/>
  <c r="C10" i="8"/>
  <c r="C11" i="8"/>
  <c r="C151" i="8"/>
  <c r="C152" i="8"/>
  <c r="C153" i="8"/>
  <c r="C60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2" i="8"/>
  <c r="C12" i="8"/>
  <c r="C173" i="8"/>
  <c r="C174" i="8"/>
  <c r="C175" i="8"/>
  <c r="C176" i="8"/>
  <c r="C177" i="8"/>
  <c r="C178" i="8"/>
  <c r="C179" i="8"/>
  <c r="C180" i="8"/>
  <c r="C181" i="8"/>
  <c r="C182" i="8"/>
  <c r="C13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4" i="8"/>
  <c r="C195" i="8"/>
  <c r="C196" i="8"/>
  <c r="C197" i="8"/>
  <c r="C198" i="8"/>
  <c r="C199" i="8"/>
  <c r="C200" i="8"/>
  <c r="C201" i="8"/>
  <c r="C15" i="8"/>
  <c r="C202" i="8"/>
  <c r="C203" i="8"/>
  <c r="C16" i="8"/>
  <c r="C204" i="8"/>
  <c r="C205" i="8"/>
  <c r="C206" i="8"/>
  <c r="C207" i="8"/>
  <c r="C6" i="8"/>
  <c r="C208" i="8"/>
  <c r="C209" i="8"/>
  <c r="C17" i="8"/>
  <c r="C210" i="8"/>
  <c r="C211" i="8"/>
  <c r="C212" i="8"/>
  <c r="C213" i="8"/>
  <c r="C7" i="8"/>
  <c r="C214" i="8"/>
  <c r="C215" i="8"/>
  <c r="C216" i="8"/>
  <c r="C217" i="8"/>
  <c r="C218" i="8"/>
  <c r="C18" i="8"/>
  <c r="C219" i="8"/>
  <c r="C220" i="8"/>
  <c r="C19" i="8"/>
  <c r="C20" i="8"/>
  <c r="C21" i="8"/>
  <c r="C221" i="8"/>
  <c r="C4" i="8"/>
  <c r="C222" i="8"/>
  <c r="C223" i="8"/>
  <c r="C224" i="8"/>
  <c r="C225" i="8"/>
  <c r="C226" i="8"/>
  <c r="C227" i="8"/>
  <c r="C228" i="8"/>
  <c r="C61" i="8"/>
  <c r="C22" i="8"/>
  <c r="C23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" i="8"/>
  <c r="C241" i="8"/>
  <c r="C242" i="8"/>
  <c r="C243" i="8"/>
  <c r="C244" i="8"/>
  <c r="C245" i="8"/>
  <c r="C246" i="8"/>
  <c r="C247" i="8"/>
  <c r="C248" i="8"/>
  <c r="C249" i="8"/>
  <c r="C250" i="8"/>
  <c r="C79" i="8"/>
  <c r="C251" i="8"/>
  <c r="C252" i="8"/>
  <c r="C253" i="8"/>
  <c r="C254" i="8"/>
  <c r="C255" i="8"/>
  <c r="C80" i="8"/>
  <c r="C81" i="8"/>
  <c r="C82" i="8"/>
  <c r="C256" i="8"/>
  <c r="C83" i="8"/>
  <c r="C84" i="8"/>
  <c r="C257" i="8"/>
  <c r="C85" i="8"/>
  <c r="C86" i="8"/>
  <c r="C87" i="8"/>
  <c r="C258" i="8"/>
  <c r="C25" i="8"/>
  <c r="C88" i="8"/>
  <c r="C89" i="8"/>
  <c r="C259" i="8"/>
  <c r="C260" i="8"/>
  <c r="C261" i="8"/>
  <c r="C90" i="8"/>
  <c r="C262" i="8"/>
  <c r="C62" i="8"/>
  <c r="C5" i="8"/>
  <c r="C263" i="8"/>
  <c r="C2" i="8"/>
  <c r="C26" i="8"/>
  <c r="C42" i="8"/>
  <c r="C264" i="8"/>
  <c r="C265" i="8"/>
  <c r="C63" i="8"/>
  <c r="C43" i="8"/>
  <c r="C266" i="8"/>
  <c r="C91" i="8"/>
  <c r="C267" i="8"/>
  <c r="C44" i="8"/>
  <c r="C268" i="8"/>
  <c r="C92" i="8"/>
  <c r="C269" i="8"/>
  <c r="C270" i="8"/>
  <c r="C271" i="8"/>
  <c r="C272" i="8"/>
  <c r="C64" i="8"/>
  <c r="C273" i="8"/>
  <c r="C27" i="8"/>
  <c r="C65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" i="8"/>
  <c r="C287" i="8"/>
  <c r="C288" i="8"/>
  <c r="C93" i="8"/>
  <c r="C289" i="8"/>
  <c r="C290" i="8"/>
  <c r="C291" i="8"/>
  <c r="C292" i="8"/>
  <c r="C66" i="8"/>
  <c r="C293" i="8"/>
  <c r="C294" i="8"/>
  <c r="C295" i="8"/>
  <c r="C296" i="8"/>
  <c r="C297" i="8"/>
  <c r="C298" i="8"/>
  <c r="C299" i="8"/>
  <c r="C300" i="8"/>
  <c r="C301" i="8"/>
  <c r="C302" i="8"/>
  <c r="C29" i="8"/>
  <c r="C303" i="8"/>
  <c r="C304" i="8"/>
  <c r="C305" i="8"/>
  <c r="C306" i="8"/>
  <c r="C307" i="8"/>
  <c r="C94" i="8"/>
  <c r="C308" i="8"/>
  <c r="C309" i="8"/>
  <c r="C310" i="8"/>
  <c r="C311" i="8"/>
  <c r="C312" i="8"/>
  <c r="C313" i="8"/>
  <c r="C95" i="8"/>
  <c r="C314" i="8"/>
  <c r="C315" i="8"/>
  <c r="C316" i="8"/>
  <c r="C67" i="8"/>
  <c r="C317" i="8"/>
  <c r="C318" i="8"/>
  <c r="C96" i="8"/>
  <c r="C319" i="8"/>
  <c r="C320" i="8"/>
  <c r="C68" i="8"/>
  <c r="C321" i="8"/>
  <c r="C322" i="8"/>
  <c r="C323" i="8"/>
  <c r="C324" i="8"/>
  <c r="C325" i="8"/>
  <c r="C326" i="8"/>
  <c r="C30" i="8"/>
  <c r="C327" i="8"/>
  <c r="C328" i="8"/>
  <c r="C329" i="8"/>
  <c r="C330" i="8"/>
  <c r="C331" i="8"/>
  <c r="C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2" i="8"/>
  <c r="C351" i="8"/>
  <c r="C352" i="8"/>
  <c r="C353" i="8"/>
  <c r="C354" i="8"/>
  <c r="C355" i="8"/>
  <c r="C356" i="8"/>
  <c r="C357" i="8"/>
  <c r="C358" i="8"/>
  <c r="C359" i="8"/>
  <c r="C360" i="8"/>
  <c r="C33" i="8"/>
  <c r="C361" i="8"/>
  <c r="C362" i="8"/>
  <c r="C97" i="8"/>
  <c r="C363" i="8"/>
  <c r="C364" i="8"/>
  <c r="C69" i="8"/>
  <c r="C365" i="8"/>
  <c r="C98" i="8"/>
  <c r="C366" i="8"/>
  <c r="C70" i="8"/>
  <c r="C367" i="8"/>
  <c r="C34" i="8"/>
  <c r="C368" i="8"/>
  <c r="C369" i="8"/>
  <c r="C370" i="8"/>
  <c r="C35" i="8"/>
  <c r="C371" i="8"/>
  <c r="C372" i="8"/>
  <c r="C373" i="8"/>
  <c r="C374" i="8"/>
  <c r="C375" i="8"/>
  <c r="C376" i="8"/>
  <c r="C377" i="8"/>
  <c r="C378" i="8"/>
  <c r="C379" i="8"/>
  <c r="C380" i="8"/>
  <c r="C99" i="8"/>
  <c r="C71" i="8"/>
  <c r="C381" i="8"/>
  <c r="C382" i="8"/>
  <c r="C383" i="8"/>
  <c r="C384" i="8"/>
  <c r="C385" i="8"/>
  <c r="C36" i="8"/>
  <c r="C386" i="8"/>
  <c r="C387" i="8"/>
  <c r="C388" i="8"/>
  <c r="C389" i="8"/>
  <c r="C390" i="8"/>
  <c r="C391" i="8"/>
  <c r="C392" i="8"/>
  <c r="C393" i="8"/>
  <c r="C37" i="8"/>
  <c r="C394" i="8"/>
  <c r="C395" i="8"/>
  <c r="C396" i="8"/>
  <c r="C397" i="8"/>
  <c r="C398" i="8"/>
  <c r="C38" i="8"/>
  <c r="C399" i="8"/>
  <c r="C400" i="8"/>
  <c r="C401" i="8"/>
  <c r="C402" i="8"/>
  <c r="C403" i="8"/>
  <c r="C404" i="8"/>
  <c r="C405" i="8"/>
  <c r="C406" i="8"/>
  <c r="C45" i="8"/>
  <c r="B6" i="3"/>
  <c r="B10" i="3"/>
  <c r="B11" i="3"/>
  <c r="B12" i="3"/>
  <c r="B13" i="3"/>
  <c r="B15" i="3"/>
  <c r="B16" i="3"/>
  <c r="B17" i="3"/>
  <c r="B18" i="3"/>
  <c r="B19" i="3"/>
  <c r="B20" i="3"/>
  <c r="B21" i="3"/>
  <c r="B22" i="3"/>
  <c r="B23" i="3"/>
  <c r="B25" i="3"/>
  <c r="B26" i="3"/>
  <c r="B27" i="3"/>
  <c r="B38" i="3"/>
  <c r="B28" i="3"/>
  <c r="B29" i="3"/>
  <c r="B39" i="3"/>
  <c r="B40" i="3"/>
  <c r="B41" i="3"/>
  <c r="B30" i="3"/>
  <c r="B31" i="3"/>
  <c r="B32" i="3"/>
  <c r="B33" i="3"/>
  <c r="B34" i="3"/>
  <c r="B35" i="3"/>
  <c r="B36" i="3"/>
  <c r="B37" i="3"/>
  <c r="C6" i="3"/>
  <c r="C10" i="3"/>
  <c r="C11" i="3"/>
  <c r="C12" i="3"/>
  <c r="C13" i="3"/>
  <c r="C15" i="3"/>
  <c r="C16" i="3"/>
  <c r="C17" i="3"/>
  <c r="C18" i="3"/>
  <c r="C19" i="3"/>
  <c r="C20" i="3"/>
  <c r="C21" i="3"/>
  <c r="C22" i="3"/>
  <c r="C23" i="3"/>
  <c r="C25" i="3"/>
  <c r="C26" i="3"/>
  <c r="C27" i="3"/>
  <c r="C38" i="3"/>
  <c r="C28" i="3"/>
  <c r="C29" i="3"/>
  <c r="C39" i="3"/>
  <c r="C40" i="3"/>
  <c r="C41" i="3"/>
  <c r="C30" i="3"/>
  <c r="C31" i="3"/>
  <c r="C32" i="3"/>
  <c r="C33" i="3"/>
  <c r="C34" i="3"/>
  <c r="C35" i="3"/>
  <c r="C36" i="3"/>
  <c r="C37" i="3"/>
  <c r="C117" i="7"/>
  <c r="C118" i="7"/>
  <c r="C119" i="7"/>
  <c r="C120" i="7"/>
  <c r="C121" i="7"/>
  <c r="C122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00" i="7"/>
  <c r="C101" i="7"/>
  <c r="C45" i="7"/>
  <c r="C46" i="7"/>
  <c r="C33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3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4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34" i="7"/>
  <c r="C35" i="7"/>
  <c r="C36" i="7"/>
  <c r="C37" i="7"/>
  <c r="C38" i="7"/>
  <c r="C39" i="7"/>
  <c r="C40" i="7"/>
  <c r="C41" i="7"/>
  <c r="C42" i="7"/>
  <c r="C43" i="7"/>
  <c r="C27" i="7"/>
  <c r="C28" i="7"/>
  <c r="C29" i="7"/>
  <c r="C30" i="7"/>
  <c r="C31" i="7"/>
  <c r="C32" i="7"/>
  <c r="C116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00" i="7"/>
  <c r="D101" i="7"/>
  <c r="D45" i="7"/>
  <c r="D46" i="7"/>
  <c r="D33" i="7"/>
  <c r="D119" i="7"/>
  <c r="D116" i="7"/>
  <c r="D120" i="7"/>
  <c r="D117" i="7"/>
  <c r="D118" i="7"/>
  <c r="D122" i="7"/>
  <c r="D121" i="7"/>
  <c r="D126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3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4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34" i="7"/>
  <c r="D35" i="7"/>
  <c r="D36" i="7"/>
  <c r="D37" i="7"/>
  <c r="D38" i="7"/>
  <c r="D39" i="7"/>
  <c r="D40" i="7"/>
  <c r="D41" i="7"/>
  <c r="D42" i="7"/>
  <c r="D43" i="7"/>
  <c r="D27" i="7"/>
  <c r="D28" i="7"/>
  <c r="D29" i="7"/>
  <c r="D30" i="7"/>
  <c r="D31" i="7"/>
  <c r="D32" i="7"/>
  <c r="D127" i="7"/>
  <c r="AA36" i="2"/>
  <c r="AM54" i="5"/>
  <c r="AM61" i="5"/>
  <c r="AM65" i="5"/>
  <c r="AM66" i="5"/>
  <c r="AM67" i="5"/>
  <c r="AM320" i="5"/>
  <c r="AM321" i="5"/>
  <c r="AM331" i="5"/>
  <c r="AM333" i="5"/>
  <c r="AM335" i="5"/>
  <c r="AM341" i="5"/>
  <c r="AM79" i="5"/>
  <c r="AM344" i="5"/>
  <c r="AM345" i="5"/>
  <c r="AM346" i="5"/>
  <c r="AM88" i="5"/>
  <c r="AM89" i="5"/>
  <c r="AM10" i="5"/>
  <c r="AM11" i="5"/>
  <c r="AM96" i="5"/>
  <c r="AM97" i="5"/>
  <c r="AM98" i="5"/>
  <c r="AM103" i="5"/>
  <c r="AM109" i="5"/>
  <c r="AM374" i="5"/>
  <c r="AM382" i="5"/>
  <c r="AM112" i="5"/>
  <c r="AM2" i="5"/>
  <c r="AM383" i="5"/>
  <c r="AM12" i="5"/>
  <c r="AM117" i="5"/>
  <c r="AM13" i="5"/>
  <c r="AM269" i="5"/>
  <c r="AM14" i="5"/>
  <c r="AM351" i="5"/>
  <c r="AM352" i="5"/>
  <c r="AM272" i="5"/>
  <c r="AM15" i="5"/>
  <c r="AM274" i="5"/>
  <c r="AM354" i="5"/>
  <c r="AM127" i="5"/>
  <c r="AM129" i="5"/>
  <c r="AM130" i="5"/>
  <c r="AM132" i="5"/>
  <c r="AM133" i="5"/>
  <c r="AM4" i="5"/>
  <c r="AM136" i="5"/>
  <c r="AM254" i="5"/>
  <c r="AM137" i="5"/>
  <c r="AM139" i="5"/>
  <c r="AM140" i="5"/>
  <c r="AM275" i="5"/>
  <c r="AM149" i="5"/>
  <c r="AM150" i="5"/>
  <c r="AM276" i="5"/>
  <c r="AM277" i="5"/>
  <c r="AM278" i="5"/>
  <c r="AM151" i="5"/>
  <c r="AM153" i="5"/>
  <c r="AM158" i="5"/>
  <c r="AM164" i="5"/>
  <c r="AM165" i="5"/>
  <c r="AM166" i="5"/>
  <c r="AM170" i="5"/>
  <c r="AM173" i="5"/>
  <c r="AM174" i="5"/>
  <c r="AM180" i="5"/>
  <c r="AM181" i="5"/>
  <c r="AM182" i="5"/>
  <c r="AM183" i="5"/>
  <c r="AM184" i="5"/>
  <c r="AM185" i="5"/>
  <c r="AM186" i="5"/>
  <c r="AM187" i="5"/>
  <c r="AM194" i="5"/>
  <c r="AM195" i="5"/>
  <c r="AM196" i="5"/>
  <c r="AM198" i="5"/>
  <c r="AM293" i="5"/>
  <c r="AM27" i="5"/>
  <c r="AM223" i="5"/>
  <c r="AM227" i="5"/>
  <c r="AM228" i="5"/>
  <c r="AM389" i="5"/>
  <c r="AM390" i="5"/>
  <c r="AM391" i="5"/>
  <c r="AM392" i="5"/>
  <c r="AM393" i="5"/>
  <c r="AM394" i="5"/>
  <c r="AM395" i="5"/>
  <c r="AM397" i="5"/>
  <c r="AM398" i="5"/>
  <c r="AM399" i="5"/>
  <c r="AM400" i="5"/>
  <c r="AM401" i="5"/>
  <c r="AM402" i="5"/>
  <c r="AM403" i="5"/>
  <c r="AM404" i="5"/>
  <c r="AM240" i="5"/>
  <c r="AM406" i="5"/>
  <c r="AM407" i="5"/>
  <c r="AM409" i="5"/>
  <c r="AM410" i="5"/>
  <c r="AM411" i="5"/>
  <c r="AM249" i="5"/>
  <c r="AM36" i="5"/>
  <c r="AM37" i="5"/>
  <c r="AM250" i="5"/>
  <c r="AM38" i="5"/>
  <c r="AM39" i="5"/>
  <c r="AM40" i="5"/>
  <c r="AM41" i="5"/>
  <c r="AM42" i="5"/>
  <c r="AM43" i="5"/>
  <c r="AM44" i="5"/>
  <c r="AM45" i="5"/>
  <c r="AM46" i="5"/>
  <c r="AM47" i="5"/>
  <c r="AM48" i="5"/>
  <c r="AM49" i="5"/>
  <c r="AM50" i="5"/>
  <c r="AM51" i="5"/>
  <c r="AM52" i="5"/>
  <c r="AM53" i="5"/>
  <c r="AM264" i="5"/>
  <c r="AM265" i="5"/>
  <c r="AM55" i="5"/>
  <c r="AM56" i="5"/>
  <c r="AM57" i="5"/>
  <c r="AM59" i="5"/>
  <c r="AM60" i="5"/>
  <c r="AM62" i="5"/>
  <c r="AM63" i="5"/>
  <c r="AM64" i="5"/>
  <c r="AM68" i="5"/>
  <c r="AM70" i="5"/>
  <c r="AM71" i="5"/>
  <c r="AM315" i="5"/>
  <c r="AM316" i="5"/>
  <c r="AM317" i="5"/>
  <c r="AM318" i="5"/>
  <c r="AM319" i="5"/>
  <c r="AM322" i="5"/>
  <c r="AM323" i="5"/>
  <c r="AM324" i="5"/>
  <c r="AM325" i="5"/>
  <c r="AM326" i="5"/>
  <c r="AM327" i="5"/>
  <c r="AM328" i="5"/>
  <c r="AM329" i="5"/>
  <c r="AM330" i="5"/>
  <c r="AM332" i="5"/>
  <c r="AM334" i="5"/>
  <c r="AM337" i="5"/>
  <c r="AM338" i="5"/>
  <c r="AM339" i="5"/>
  <c r="AM340" i="5"/>
  <c r="AM72" i="5"/>
  <c r="AM9" i="5"/>
  <c r="AM73" i="5"/>
  <c r="AM342" i="5"/>
  <c r="AM74" i="5"/>
  <c r="AM75" i="5"/>
  <c r="AM76" i="5"/>
  <c r="AM77" i="5"/>
  <c r="AM78" i="5"/>
  <c r="AM299" i="5"/>
  <c r="AM300" i="5"/>
  <c r="AM348" i="5"/>
  <c r="AM80" i="5"/>
  <c r="AM81" i="5"/>
  <c r="AM266" i="5"/>
  <c r="AM82" i="5"/>
  <c r="AM83" i="5"/>
  <c r="AM84" i="5"/>
  <c r="AM85" i="5"/>
  <c r="AM258" i="5"/>
  <c r="AM259" i="5"/>
  <c r="AM86" i="5"/>
  <c r="AM260" i="5"/>
  <c r="AM252" i="5"/>
  <c r="AM343" i="5"/>
  <c r="AM87" i="5"/>
  <c r="AM90" i="5"/>
  <c r="AM91" i="5"/>
  <c r="AM301" i="5"/>
  <c r="AM302" i="5"/>
  <c r="AM92" i="5"/>
  <c r="AM93" i="5"/>
  <c r="AM94" i="5"/>
  <c r="AM95" i="5"/>
  <c r="AM261" i="5"/>
  <c r="AM253" i="5"/>
  <c r="AM262" i="5"/>
  <c r="AM99" i="5"/>
  <c r="AM100" i="5"/>
  <c r="AM101" i="5"/>
  <c r="AM102" i="5"/>
  <c r="AM104" i="5"/>
  <c r="AM105" i="5"/>
  <c r="AM106" i="5"/>
  <c r="AM107" i="5"/>
  <c r="AM108" i="5"/>
  <c r="AM370" i="5"/>
  <c r="AM371" i="5"/>
  <c r="AM372" i="5"/>
  <c r="AM373" i="5"/>
  <c r="AM375" i="5"/>
  <c r="AM376" i="5"/>
  <c r="AM377" i="5"/>
  <c r="AM378" i="5"/>
  <c r="AM379" i="5"/>
  <c r="AM349" i="5"/>
  <c r="AM350" i="5"/>
  <c r="AM110" i="5"/>
  <c r="AM111" i="5"/>
  <c r="AM113" i="5"/>
  <c r="AM304" i="5"/>
  <c r="AM114" i="5"/>
  <c r="AM305" i="5"/>
  <c r="AM306" i="5"/>
  <c r="AM307" i="5"/>
  <c r="AM308" i="5"/>
  <c r="AM115" i="5"/>
  <c r="AM116" i="5"/>
  <c r="AM336" i="5"/>
  <c r="AM267" i="5"/>
  <c r="AM268" i="5"/>
  <c r="AM384" i="5"/>
  <c r="AM270" i="5"/>
  <c r="AM271" i="5"/>
  <c r="AM119" i="5"/>
  <c r="AM120" i="5"/>
  <c r="AM385" i="5"/>
  <c r="AM121" i="5"/>
  <c r="AM122" i="5"/>
  <c r="AM123" i="5"/>
  <c r="AM124" i="5"/>
  <c r="AM273" i="5"/>
  <c r="AM353" i="5"/>
  <c r="AM125" i="5"/>
  <c r="AM126" i="5"/>
  <c r="AM355" i="5"/>
  <c r="AM356" i="5"/>
  <c r="AM357" i="5"/>
  <c r="AM128" i="5"/>
  <c r="AM131" i="5"/>
  <c r="AM3" i="5"/>
  <c r="AM134" i="5"/>
  <c r="AM135" i="5"/>
  <c r="AM138" i="5"/>
  <c r="AM141" i="5"/>
  <c r="AM142" i="5"/>
  <c r="AM143" i="5"/>
  <c r="AM144" i="5"/>
  <c r="AM145" i="5"/>
  <c r="AM146" i="5"/>
  <c r="AM147" i="5"/>
  <c r="AM148" i="5"/>
  <c r="AM152" i="5"/>
  <c r="AM279" i="5"/>
  <c r="AM154" i="5"/>
  <c r="AM155" i="5"/>
  <c r="AM156" i="5"/>
  <c r="AM347" i="5"/>
  <c r="AM358" i="5"/>
  <c r="AM359" i="5"/>
  <c r="AM360" i="5"/>
  <c r="AM361" i="5"/>
  <c r="AM362" i="5"/>
  <c r="AM363" i="5"/>
  <c r="AM364" i="5"/>
  <c r="AM365" i="5"/>
  <c r="AM157" i="5"/>
  <c r="AM159" i="5"/>
  <c r="AM160" i="5"/>
  <c r="AM161" i="5"/>
  <c r="AM162" i="5"/>
  <c r="AM255" i="5"/>
  <c r="AM256" i="5"/>
  <c r="AM163" i="5"/>
  <c r="AM16" i="5"/>
  <c r="AM17" i="5"/>
  <c r="AM18" i="5"/>
  <c r="AM167" i="5"/>
  <c r="AM168" i="5"/>
  <c r="AM169" i="5"/>
  <c r="AM171" i="5"/>
  <c r="AM172" i="5"/>
  <c r="AM175" i="5"/>
  <c r="AM176" i="5"/>
  <c r="AM177" i="5"/>
  <c r="AM178" i="5"/>
  <c r="AM179" i="5"/>
  <c r="AM188" i="5"/>
  <c r="AM189" i="5"/>
  <c r="AM190" i="5"/>
  <c r="AM191" i="5"/>
  <c r="AM192" i="5"/>
  <c r="AM280" i="5"/>
  <c r="AM281" i="5"/>
  <c r="AM282" i="5"/>
  <c r="AM193" i="5"/>
  <c r="AM283" i="5"/>
  <c r="AM284" i="5"/>
  <c r="AM285" i="5"/>
  <c r="AM286" i="5"/>
  <c r="AM5" i="5"/>
  <c r="AM287" i="5"/>
  <c r="AM288" i="5"/>
  <c r="AM289" i="5"/>
  <c r="AM290" i="5"/>
  <c r="AM199" i="5"/>
  <c r="AM292" i="5"/>
  <c r="AM200" i="5"/>
  <c r="AM21" i="5"/>
  <c r="AM201" i="5"/>
  <c r="AM203" i="5"/>
  <c r="AM204" i="5"/>
  <c r="AM206" i="5"/>
  <c r="AM22" i="5"/>
  <c r="AM24" i="5"/>
  <c r="AM25" i="5"/>
  <c r="AM26" i="5"/>
  <c r="AM6" i="5"/>
  <c r="AM7" i="5"/>
  <c r="AM208" i="5"/>
  <c r="AM209" i="5"/>
  <c r="AM210" i="5"/>
  <c r="AM211" i="5"/>
  <c r="AM212" i="5"/>
  <c r="AM257" i="5"/>
  <c r="AM213" i="5"/>
  <c r="AM214" i="5"/>
  <c r="AM215" i="5"/>
  <c r="AM216" i="5"/>
  <c r="AM217" i="5"/>
  <c r="AM309" i="5"/>
  <c r="AM218" i="5"/>
  <c r="AM28" i="5"/>
  <c r="AM219" i="5"/>
  <c r="AM220" i="5"/>
  <c r="AM221" i="5"/>
  <c r="AM222" i="5"/>
  <c r="AM224" i="5"/>
  <c r="AM225" i="5"/>
  <c r="AM226" i="5"/>
  <c r="AM294" i="5"/>
  <c r="AM295" i="5"/>
  <c r="AM8" i="5"/>
  <c r="AM229" i="5"/>
  <c r="AM230" i="5"/>
  <c r="AM310" i="5"/>
  <c r="AM311" i="5"/>
  <c r="AM231" i="5"/>
  <c r="AM366" i="5"/>
  <c r="AM296" i="5"/>
  <c r="AM232" i="5"/>
  <c r="AM29" i="5"/>
  <c r="AM30" i="5"/>
  <c r="AM31" i="5"/>
  <c r="AM32" i="5"/>
  <c r="AM33" i="5"/>
  <c r="AM233" i="5"/>
  <c r="AM34" i="5"/>
  <c r="AM312" i="5"/>
  <c r="AM380" i="5"/>
  <c r="AM234" i="5"/>
  <c r="AM235" i="5"/>
  <c r="AM236" i="5"/>
  <c r="AM237" i="5"/>
  <c r="AM238" i="5"/>
  <c r="AM239" i="5"/>
  <c r="AM387" i="5"/>
  <c r="AM388" i="5"/>
  <c r="AM396" i="5"/>
  <c r="AM405" i="5"/>
  <c r="AM408" i="5"/>
  <c r="AM241" i="5"/>
  <c r="AM242" i="5"/>
  <c r="AM243" i="5"/>
  <c r="AM244" i="5"/>
  <c r="AM245" i="5"/>
  <c r="AM246" i="5"/>
  <c r="AM247" i="5"/>
  <c r="AM386" i="5"/>
  <c r="AM248" i="5"/>
  <c r="AM367" i="5"/>
  <c r="AM368" i="5"/>
  <c r="AM369" i="5"/>
  <c r="AM35" i="5"/>
  <c r="AM313" i="5"/>
  <c r="AM314" i="5"/>
  <c r="AM251" i="5"/>
  <c r="AA11" i="2"/>
  <c r="AA13" i="2"/>
  <c r="AA12" i="2"/>
  <c r="AA10" i="2"/>
  <c r="AA26" i="2"/>
  <c r="AA31" i="2"/>
  <c r="AA32" i="2"/>
  <c r="AA22" i="2"/>
  <c r="AA5" i="2"/>
  <c r="AA47" i="2"/>
  <c r="AA51" i="2"/>
  <c r="AA50" i="2"/>
  <c r="AA27" i="2"/>
  <c r="AA28" i="2"/>
  <c r="AA30" i="2"/>
  <c r="AA35" i="2"/>
  <c r="AA34" i="2"/>
  <c r="AA33" i="2"/>
  <c r="AA7" i="2"/>
  <c r="AA38" i="2"/>
  <c r="AA37" i="2"/>
  <c r="AA40" i="2"/>
  <c r="AA39" i="2"/>
  <c r="AA41" i="2"/>
  <c r="AA43" i="2"/>
  <c r="AA17" i="2"/>
  <c r="AA16" i="2"/>
  <c r="AA29" i="2"/>
  <c r="AA52" i="2"/>
  <c r="AA23" i="2"/>
  <c r="AA8" i="2"/>
  <c r="AA15" i="2"/>
  <c r="AA18" i="2"/>
  <c r="AA24" i="2"/>
  <c r="AA46" i="2"/>
  <c r="B2" i="11"/>
  <c r="B13" i="11"/>
  <c r="S2" i="11"/>
  <c r="B4" i="11"/>
  <c r="B8" i="11"/>
  <c r="B9" i="11"/>
  <c r="B20" i="11"/>
  <c r="V20" i="11"/>
  <c r="B10" i="11"/>
  <c r="V10" i="11"/>
  <c r="B11" i="11"/>
  <c r="V11" i="11"/>
  <c r="B21" i="11"/>
  <c r="V21" i="11"/>
  <c r="B22" i="11"/>
  <c r="V22" i="11"/>
  <c r="B23" i="11"/>
  <c r="V23" i="11"/>
  <c r="B24" i="11"/>
  <c r="V24" i="11"/>
  <c r="B12" i="11"/>
  <c r="V12" i="11"/>
  <c r="B25" i="11"/>
  <c r="B26" i="11"/>
  <c r="V26" i="11"/>
  <c r="B3" i="11"/>
  <c r="B5" i="11"/>
  <c r="B15" i="11"/>
  <c r="B19" i="11"/>
  <c r="B6" i="11"/>
  <c r="B16" i="11"/>
  <c r="B17" i="11"/>
  <c r="V17" i="11"/>
  <c r="B18" i="11"/>
  <c r="V18" i="11"/>
  <c r="B7" i="11"/>
  <c r="S19" i="11"/>
  <c r="S6" i="11"/>
  <c r="S16" i="11"/>
  <c r="S17" i="11"/>
  <c r="S18" i="11"/>
  <c r="S7" i="11"/>
  <c r="S8" i="11"/>
  <c r="S9" i="11"/>
  <c r="S20" i="11"/>
  <c r="S10" i="11"/>
  <c r="S11" i="11"/>
  <c r="S21" i="11"/>
  <c r="S22" i="11"/>
  <c r="S23" i="11"/>
  <c r="S24" i="11"/>
  <c r="S12" i="11"/>
  <c r="S25" i="11"/>
  <c r="S26" i="11"/>
  <c r="S3" i="11"/>
  <c r="S4" i="11"/>
  <c r="S5" i="11"/>
  <c r="S15" i="11"/>
  <c r="S13" i="11"/>
  <c r="U5" i="11"/>
  <c r="U15" i="11"/>
  <c r="U19" i="11"/>
  <c r="U6" i="11"/>
  <c r="J17" i="11"/>
  <c r="J18" i="11"/>
  <c r="J20" i="11"/>
  <c r="J10" i="11"/>
  <c r="J11" i="11"/>
  <c r="J21" i="11"/>
  <c r="J22" i="11"/>
  <c r="J23" i="11"/>
  <c r="J24" i="11"/>
  <c r="J12" i="11"/>
  <c r="J26" i="11"/>
  <c r="W17" i="11"/>
  <c r="W18" i="11"/>
  <c r="W20" i="11"/>
  <c r="W10" i="11"/>
  <c r="W11" i="11"/>
  <c r="W21" i="11"/>
  <c r="W22" i="11"/>
  <c r="W23" i="11"/>
  <c r="W24" i="11"/>
  <c r="W12" i="11"/>
  <c r="W26" i="11"/>
  <c r="U3" i="11"/>
  <c r="U4" i="11"/>
  <c r="U13" i="11"/>
  <c r="U16" i="11"/>
  <c r="U17" i="11"/>
  <c r="U18" i="11"/>
  <c r="U7" i="11"/>
  <c r="U8" i="11"/>
  <c r="U9" i="11"/>
  <c r="U20" i="11"/>
  <c r="U10" i="11"/>
  <c r="U11" i="11"/>
  <c r="U21" i="11"/>
  <c r="U22" i="11"/>
  <c r="U23" i="11"/>
  <c r="U24" i="11"/>
  <c r="U12" i="11"/>
  <c r="U25" i="11"/>
  <c r="U26" i="11"/>
  <c r="R13" i="11"/>
  <c r="R15" i="11"/>
  <c r="R6" i="11"/>
  <c r="R16" i="11"/>
  <c r="R17" i="11"/>
  <c r="R18" i="11"/>
  <c r="R7" i="11"/>
  <c r="R8" i="11"/>
  <c r="R9" i="11"/>
  <c r="R20" i="11"/>
  <c r="R10" i="11"/>
  <c r="R11" i="11"/>
  <c r="R21" i="11"/>
  <c r="R22" i="11"/>
  <c r="R23" i="11"/>
  <c r="R24" i="11"/>
  <c r="R12" i="11"/>
  <c r="R25" i="11"/>
  <c r="R26" i="11"/>
  <c r="R3" i="11"/>
  <c r="R4" i="11"/>
  <c r="R5" i="11"/>
  <c r="R2" i="11"/>
  <c r="U2" i="11"/>
  <c r="K15" i="11"/>
  <c r="L15" i="11"/>
  <c r="M15" i="11"/>
  <c r="K16" i="11"/>
  <c r="L16" i="11"/>
  <c r="M16" i="11"/>
  <c r="K3" i="11"/>
  <c r="K4" i="11"/>
  <c r="K5" i="11"/>
  <c r="K6" i="11"/>
  <c r="K2" i="11"/>
  <c r="L6" i="11"/>
  <c r="L5" i="11"/>
  <c r="L4" i="11"/>
  <c r="L3" i="11"/>
  <c r="L2" i="11"/>
  <c r="M3" i="11"/>
  <c r="M4" i="11"/>
  <c r="M5" i="11"/>
  <c r="M6" i="11"/>
  <c r="K17" i="11"/>
  <c r="M17" i="11"/>
  <c r="K18" i="11"/>
  <c r="M18" i="11"/>
  <c r="K7" i="11"/>
  <c r="M7" i="11"/>
  <c r="K8" i="11"/>
  <c r="M8" i="11"/>
  <c r="K9" i="11"/>
  <c r="M9" i="11"/>
  <c r="K20" i="11"/>
  <c r="M20" i="11"/>
  <c r="K10" i="11"/>
  <c r="M10" i="11"/>
  <c r="K11" i="11"/>
  <c r="M11" i="11"/>
  <c r="K21" i="11"/>
  <c r="M21" i="11"/>
  <c r="K22" i="11"/>
  <c r="M22" i="11"/>
  <c r="K23" i="11"/>
  <c r="M23" i="11"/>
  <c r="K24" i="11"/>
  <c r="M24" i="11"/>
  <c r="K12" i="11"/>
  <c r="M12" i="11"/>
  <c r="K25" i="11"/>
  <c r="M25" i="11"/>
  <c r="K26" i="11"/>
  <c r="M26" i="11"/>
  <c r="M2" i="11"/>
  <c r="AS89" i="5"/>
  <c r="AQ403" i="5"/>
  <c r="AP403" i="5"/>
  <c r="AQ402" i="5"/>
  <c r="AP402" i="5"/>
  <c r="AQ387" i="5"/>
  <c r="AP387" i="5"/>
  <c r="AQ388" i="5"/>
  <c r="AP388" i="5"/>
  <c r="AQ380" i="5"/>
  <c r="AQ379" i="5"/>
  <c r="AQ378" i="5"/>
  <c r="AQ377" i="5"/>
  <c r="AQ376" i="5"/>
  <c r="AQ375" i="5"/>
  <c r="AQ373" i="5"/>
  <c r="AQ372" i="5"/>
  <c r="AQ371" i="5"/>
  <c r="AQ370" i="5"/>
  <c r="AQ365" i="5"/>
  <c r="AQ364" i="5"/>
  <c r="AQ363" i="5"/>
  <c r="AQ362" i="5"/>
  <c r="AQ361" i="5"/>
  <c r="AQ360" i="5"/>
  <c r="AQ359" i="5"/>
  <c r="AQ350" i="5"/>
  <c r="AQ348" i="5"/>
  <c r="AQ369" i="5"/>
  <c r="AQ368" i="5"/>
  <c r="AQ367" i="5"/>
  <c r="AQ366" i="5"/>
  <c r="AQ358" i="5"/>
  <c r="AQ357" i="5"/>
  <c r="AQ356" i="5"/>
  <c r="AQ355" i="5"/>
  <c r="AQ354" i="5"/>
  <c r="AQ353" i="5"/>
  <c r="AQ352" i="5"/>
  <c r="AQ351" i="5"/>
  <c r="AQ349" i="5"/>
  <c r="AQ347" i="5"/>
  <c r="AQ336" i="5"/>
  <c r="AQ346" i="5"/>
  <c r="AQ345" i="5"/>
  <c r="AQ344" i="5"/>
  <c r="AQ343" i="5"/>
  <c r="AQ342" i="5"/>
  <c r="AQ341" i="5"/>
  <c r="AQ340" i="5"/>
  <c r="AQ339" i="5"/>
  <c r="AQ338" i="5"/>
  <c r="AQ337" i="5"/>
  <c r="AQ335" i="5"/>
  <c r="AQ334" i="5"/>
  <c r="AQ333" i="5"/>
  <c r="AQ332" i="5"/>
  <c r="AQ330" i="5"/>
  <c r="AQ329" i="5"/>
  <c r="AQ328" i="5"/>
  <c r="AQ327" i="5"/>
  <c r="AQ326" i="5"/>
  <c r="AQ325" i="5"/>
  <c r="AQ324" i="5"/>
  <c r="AQ323" i="5"/>
  <c r="AQ322" i="5"/>
  <c r="AQ321" i="5"/>
  <c r="AQ320" i="5"/>
  <c r="AQ319" i="5"/>
  <c r="AQ318" i="5"/>
  <c r="AQ317" i="5"/>
  <c r="AQ316" i="5"/>
  <c r="AQ315" i="5"/>
  <c r="AQ314" i="5"/>
  <c r="AQ313" i="5"/>
  <c r="AQ312" i="5"/>
  <c r="AQ311" i="5"/>
  <c r="AQ310" i="5"/>
  <c r="AQ309" i="5"/>
  <c r="AQ308" i="5"/>
  <c r="AQ307" i="5"/>
  <c r="AQ306" i="5"/>
  <c r="AQ305" i="5"/>
  <c r="AQ304" i="5"/>
  <c r="AQ302" i="5"/>
  <c r="AQ301" i="5"/>
  <c r="AQ300" i="5"/>
  <c r="AQ299" i="5"/>
  <c r="AS34" i="5"/>
  <c r="AQ34" i="5"/>
  <c r="AS233" i="5"/>
  <c r="AQ233" i="5"/>
  <c r="AS33" i="5"/>
  <c r="AQ33" i="5"/>
  <c r="AS32" i="5"/>
  <c r="AQ32" i="5"/>
  <c r="AS31" i="5"/>
  <c r="AQ31" i="5"/>
  <c r="AQ175" i="5"/>
  <c r="AQ90" i="5"/>
  <c r="AS220" i="5"/>
  <c r="AS219" i="5"/>
  <c r="AS28" i="5"/>
  <c r="AQ28" i="5"/>
  <c r="AS218" i="5"/>
  <c r="AQ218" i="5"/>
  <c r="AS213" i="5"/>
  <c r="AS169" i="5"/>
  <c r="AQ169" i="5"/>
  <c r="AS168" i="5"/>
  <c r="AQ168" i="5"/>
  <c r="AQ133" i="5"/>
  <c r="AS126" i="5"/>
  <c r="AQ126" i="5"/>
  <c r="AS104" i="5"/>
  <c r="AS103" i="5"/>
  <c r="AS155" i="5"/>
  <c r="AS141" i="5"/>
  <c r="AS239" i="5"/>
  <c r="AS230" i="5"/>
  <c r="AS229" i="5"/>
  <c r="AS214" i="5"/>
  <c r="AS257" i="5"/>
  <c r="AQ257" i="5"/>
  <c r="AS212" i="5"/>
  <c r="AS211" i="5"/>
  <c r="AS210" i="5"/>
  <c r="AS209" i="5"/>
  <c r="AS208" i="5"/>
  <c r="AQ208" i="5"/>
  <c r="AS160" i="5"/>
  <c r="AS159" i="5"/>
  <c r="AS145" i="5"/>
  <c r="AQ142" i="5"/>
  <c r="AS138" i="5"/>
  <c r="AQ138" i="5"/>
  <c r="AS131" i="5"/>
  <c r="AS267" i="5"/>
  <c r="AS87" i="5"/>
  <c r="AS248" i="5"/>
  <c r="AQ248" i="5"/>
  <c r="AS231" i="5"/>
  <c r="AQ231" i="5"/>
  <c r="AS8" i="5"/>
  <c r="AQ8" i="5"/>
  <c r="AS295" i="5"/>
  <c r="AQ295" i="5"/>
  <c r="AS294" i="5"/>
  <c r="AQ294" i="5"/>
  <c r="AS7" i="5"/>
  <c r="AQ7" i="5"/>
  <c r="AS290" i="5"/>
  <c r="AQ290" i="5"/>
  <c r="AS289" i="5"/>
  <c r="AQ289" i="5"/>
  <c r="AS288" i="5"/>
  <c r="AQ288" i="5"/>
  <c r="AS287" i="5"/>
  <c r="AQ287" i="5"/>
  <c r="AS5" i="5"/>
  <c r="AS286" i="5"/>
  <c r="AQ286" i="5"/>
  <c r="AS285" i="5"/>
  <c r="AQ285" i="5"/>
  <c r="AS193" i="5"/>
  <c r="AQ193" i="5"/>
  <c r="AS282" i="5"/>
  <c r="AQ282" i="5"/>
  <c r="AS281" i="5"/>
  <c r="AQ281" i="5"/>
  <c r="AS280" i="5"/>
  <c r="AQ280" i="5"/>
  <c r="AS192" i="5"/>
  <c r="AQ192" i="5"/>
  <c r="AS157" i="5"/>
  <c r="AQ157" i="5"/>
  <c r="AS279" i="5"/>
  <c r="AQ279" i="5"/>
  <c r="AQ147" i="5"/>
  <c r="AS143" i="5"/>
  <c r="AQ143" i="5"/>
  <c r="AQ134" i="5"/>
  <c r="AS3" i="5"/>
  <c r="AQ3" i="5"/>
  <c r="AS273" i="5"/>
  <c r="AQ273" i="5"/>
  <c r="AQ268" i="5"/>
  <c r="AS2" i="5"/>
  <c r="AQ2" i="5"/>
  <c r="AS113" i="5"/>
  <c r="AQ113" i="5"/>
  <c r="AS111" i="5"/>
  <c r="AQ111" i="5"/>
  <c r="AS110" i="5"/>
  <c r="AS105" i="5"/>
  <c r="AQ101" i="5"/>
  <c r="AS100" i="5"/>
  <c r="AQ100" i="5"/>
  <c r="AS99" i="5"/>
  <c r="AQ99" i="5"/>
  <c r="AS80" i="5"/>
  <c r="AQ80" i="5"/>
  <c r="AS76" i="5"/>
  <c r="AQ76" i="5"/>
  <c r="AS6" i="5"/>
  <c r="AQ6" i="5"/>
  <c r="AS200" i="5"/>
  <c r="AQ200" i="5"/>
  <c r="AS24" i="5"/>
  <c r="AQ24" i="5"/>
  <c r="AS26" i="5"/>
  <c r="AQ26" i="5"/>
  <c r="AS25" i="5"/>
  <c r="AQ25" i="5"/>
  <c r="AS22" i="5"/>
  <c r="AQ22" i="5"/>
  <c r="AS292" i="5"/>
  <c r="AQ292" i="5"/>
  <c r="AS37" i="5"/>
  <c r="AQ37" i="5"/>
  <c r="AS35" i="5"/>
  <c r="AQ35" i="5"/>
  <c r="AS237" i="5"/>
  <c r="AQ237" i="5"/>
  <c r="AS206" i="5"/>
  <c r="AQ206" i="5"/>
  <c r="AS178" i="5"/>
  <c r="AQ178" i="5"/>
  <c r="AS163" i="5"/>
  <c r="AQ163" i="5"/>
  <c r="AS36" i="5"/>
  <c r="AQ36" i="5"/>
  <c r="AS238" i="5"/>
  <c r="AQ238" i="5"/>
  <c r="AS236" i="5"/>
  <c r="AQ236" i="5"/>
  <c r="AS235" i="5"/>
  <c r="AQ235" i="5"/>
  <c r="AS234" i="5"/>
  <c r="AQ234" i="5"/>
  <c r="AS204" i="5"/>
  <c r="AQ204" i="5"/>
  <c r="AS284" i="5"/>
  <c r="AQ284" i="5"/>
  <c r="AS283" i="5"/>
  <c r="AQ283" i="5"/>
  <c r="AS203" i="5"/>
  <c r="AQ203" i="5"/>
  <c r="AS179" i="5"/>
  <c r="AS201" i="5"/>
  <c r="AQ201" i="5"/>
  <c r="AS198" i="5"/>
  <c r="AS196" i="5"/>
  <c r="AQ196" i="5"/>
  <c r="AS18" i="5"/>
  <c r="AQ18" i="5"/>
  <c r="AS17" i="5"/>
  <c r="AQ17" i="5"/>
  <c r="AS16" i="5"/>
  <c r="AQ16" i="5"/>
  <c r="AS256" i="5"/>
  <c r="AQ256" i="5"/>
  <c r="AS161" i="5"/>
  <c r="AQ161" i="5"/>
  <c r="AS146" i="5"/>
  <c r="AS102" i="5"/>
  <c r="AS262" i="5"/>
  <c r="AQ262" i="5"/>
  <c r="AS253" i="5"/>
  <c r="AQ253" i="5"/>
  <c r="AS172" i="5"/>
  <c r="AQ172" i="5"/>
  <c r="AS119" i="5"/>
  <c r="AS108" i="5"/>
  <c r="AS107" i="5"/>
  <c r="AS106" i="5"/>
  <c r="AS95" i="5"/>
  <c r="AQ95" i="5"/>
  <c r="AS94" i="5"/>
  <c r="AQ94" i="5"/>
  <c r="AS93" i="5"/>
  <c r="AQ93" i="5"/>
  <c r="AS260" i="5"/>
  <c r="AQ260" i="5"/>
  <c r="AS259" i="5"/>
  <c r="AQ259" i="5"/>
  <c r="AS266" i="5"/>
  <c r="AQ266" i="5"/>
  <c r="AQ265" i="5"/>
  <c r="AS251" i="5"/>
  <c r="AQ251" i="5"/>
  <c r="AS261" i="5"/>
  <c r="AQ261" i="5"/>
  <c r="AQ92" i="5"/>
  <c r="AQ252" i="5"/>
  <c r="AS86" i="5"/>
  <c r="AQ86" i="5"/>
  <c r="AS258" i="5"/>
  <c r="AQ258" i="5"/>
  <c r="AS85" i="5"/>
  <c r="AQ85" i="5"/>
  <c r="AS84" i="5"/>
  <c r="AQ84" i="5"/>
  <c r="AS83" i="5"/>
  <c r="AQ83" i="5"/>
  <c r="AS82" i="5"/>
  <c r="AQ82" i="5"/>
  <c r="AS81" i="5"/>
  <c r="AQ81" i="5"/>
  <c r="AS232" i="5"/>
  <c r="AQ232" i="5"/>
  <c r="AS296" i="5"/>
  <c r="AQ296" i="5"/>
  <c r="AS222" i="5"/>
  <c r="AS199" i="5"/>
  <c r="AS171" i="5"/>
  <c r="AQ171" i="5"/>
  <c r="AS167" i="5"/>
  <c r="AQ167" i="5"/>
  <c r="AS152" i="5"/>
  <c r="AS135" i="5"/>
  <c r="AQ135" i="5"/>
  <c r="AS128" i="5"/>
  <c r="AS125" i="5"/>
  <c r="AQ125" i="5"/>
  <c r="AS78" i="5"/>
  <c r="AS75" i="5"/>
  <c r="AQ75" i="5"/>
  <c r="AS74" i="5"/>
  <c r="AQ74" i="5"/>
  <c r="AS73" i="5"/>
  <c r="AS9" i="5"/>
  <c r="AS72" i="5"/>
  <c r="AQ72" i="5"/>
  <c r="AQ264" i="5"/>
  <c r="AS243" i="5"/>
  <c r="AQ243" i="5"/>
  <c r="AQ29" i="5"/>
  <c r="AS115" i="5"/>
  <c r="AQ115" i="5"/>
  <c r="AS70" i="5"/>
  <c r="AQ70" i="5"/>
  <c r="AS241" i="5"/>
  <c r="AQ241" i="5"/>
  <c r="AQ224" i="5"/>
  <c r="AS270" i="5"/>
  <c r="AQ91" i="5"/>
  <c r="AS71" i="5"/>
  <c r="AQ71" i="5"/>
  <c r="AS68" i="5"/>
  <c r="AQ68" i="5"/>
  <c r="AS64" i="5"/>
  <c r="AQ64" i="5"/>
  <c r="AS48" i="5"/>
  <c r="AQ48" i="5"/>
  <c r="AS46" i="5"/>
  <c r="AQ46" i="5"/>
  <c r="AS122" i="5"/>
  <c r="AQ122" i="5"/>
  <c r="AS59" i="5"/>
  <c r="AQ59" i="5"/>
  <c r="AS57" i="5"/>
  <c r="AQ57" i="5"/>
  <c r="AS56" i="5"/>
  <c r="AQ56" i="5"/>
  <c r="AS255" i="5"/>
  <c r="AQ255" i="5"/>
  <c r="AS60" i="5"/>
  <c r="AQ60" i="5"/>
  <c r="AS55" i="5"/>
  <c r="AQ55" i="5"/>
  <c r="AS225" i="5"/>
  <c r="AQ177" i="5"/>
  <c r="AQ176" i="5"/>
  <c r="AS53" i="5"/>
  <c r="AQ53" i="5"/>
  <c r="AS52" i="5"/>
  <c r="AQ52" i="5"/>
  <c r="AS51" i="5"/>
  <c r="AQ51" i="5"/>
  <c r="AS50" i="5"/>
  <c r="AQ50" i="5"/>
  <c r="AS154" i="5"/>
  <c r="AQ154" i="5"/>
  <c r="AS45" i="5"/>
  <c r="AQ45" i="5"/>
  <c r="AS44" i="5"/>
  <c r="AQ44" i="5"/>
  <c r="AS43" i="5"/>
  <c r="AQ43" i="5"/>
  <c r="AS247" i="5"/>
  <c r="AQ247" i="5"/>
  <c r="AS246" i="5"/>
  <c r="AQ246" i="5"/>
  <c r="AS245" i="5"/>
  <c r="AQ245" i="5"/>
  <c r="AS242" i="5"/>
  <c r="AQ242" i="5"/>
  <c r="AS227" i="5"/>
  <c r="AQ227" i="5"/>
  <c r="AQ188" i="5"/>
  <c r="AQ156" i="5"/>
  <c r="AS121" i="5"/>
  <c r="AQ121" i="5"/>
  <c r="AS120" i="5"/>
  <c r="AQ120" i="5"/>
  <c r="AS63" i="5"/>
  <c r="AQ63" i="5"/>
  <c r="AS62" i="5"/>
  <c r="AQ62" i="5"/>
  <c r="AS49" i="5"/>
  <c r="AQ49" i="5"/>
  <c r="AS47" i="5"/>
  <c r="AQ47" i="5"/>
  <c r="AS42" i="5"/>
  <c r="AQ42" i="5"/>
  <c r="AS41" i="5"/>
  <c r="AQ41" i="5"/>
  <c r="AS40" i="5"/>
  <c r="AQ40" i="5"/>
  <c r="AS39" i="5"/>
  <c r="AQ39" i="5"/>
  <c r="AS38" i="5"/>
  <c r="AQ38" i="5"/>
  <c r="AQ391" i="5"/>
  <c r="AP391" i="5"/>
  <c r="AQ411" i="5"/>
  <c r="AP411" i="5"/>
  <c r="AQ406" i="5"/>
  <c r="AP406" i="5"/>
  <c r="AQ405" i="5"/>
  <c r="AP405" i="5"/>
  <c r="AQ404" i="5"/>
  <c r="AP404" i="5"/>
  <c r="AQ401" i="5"/>
  <c r="AP401" i="5"/>
  <c r="AQ400" i="5"/>
  <c r="AP400" i="5"/>
  <c r="AQ398" i="5"/>
  <c r="AP398" i="5"/>
  <c r="AQ397" i="5"/>
  <c r="AP397" i="5"/>
  <c r="AQ396" i="5"/>
  <c r="AP396" i="5"/>
  <c r="AQ394" i="5"/>
  <c r="AP394" i="5"/>
  <c r="AQ393" i="5"/>
  <c r="AP393" i="5"/>
  <c r="AQ390" i="5"/>
  <c r="AP390" i="5"/>
  <c r="AQ395" i="5"/>
  <c r="AP395" i="5"/>
  <c r="AQ389" i="5"/>
  <c r="AP389" i="5"/>
  <c r="AQ410" i="5"/>
  <c r="AP410" i="5"/>
  <c r="AQ409" i="5"/>
  <c r="AP409" i="5"/>
  <c r="AQ408" i="5"/>
  <c r="AP408" i="5"/>
  <c r="AQ407" i="5"/>
  <c r="AP407" i="5"/>
  <c r="AQ399" i="5"/>
  <c r="AP399" i="5"/>
  <c r="AQ392" i="5"/>
  <c r="AP392" i="5"/>
  <c r="AQ374" i="5"/>
  <c r="AQ331" i="5"/>
  <c r="AS149" i="5"/>
  <c r="AQ149" i="5"/>
  <c r="AS129" i="5"/>
  <c r="AS27" i="5"/>
  <c r="AS15" i="5"/>
  <c r="AS250" i="5"/>
  <c r="AQ250" i="5"/>
  <c r="AS291" i="5"/>
  <c r="AQ291" i="5"/>
  <c r="AS293" i="5"/>
  <c r="AQ293" i="5"/>
  <c r="AS21" i="5"/>
  <c r="AQ21" i="5"/>
  <c r="AS14" i="5"/>
  <c r="AS117" i="5"/>
  <c r="AQ117" i="5"/>
  <c r="AS139" i="5"/>
  <c r="AS77" i="5"/>
  <c r="AS195" i="5"/>
  <c r="AQ195" i="5"/>
  <c r="AS194" i="5"/>
  <c r="AQ194" i="5"/>
  <c r="AS189" i="5"/>
  <c r="AQ189" i="5"/>
  <c r="AS114" i="5"/>
  <c r="AQ114" i="5"/>
  <c r="AS137" i="5"/>
  <c r="AQ137" i="5"/>
  <c r="AQ4" i="5"/>
  <c r="AQ153" i="5"/>
  <c r="AQ151" i="5"/>
  <c r="AQ278" i="5"/>
  <c r="AS150" i="5"/>
  <c r="AQ136" i="5"/>
  <c r="AS124" i="5"/>
  <c r="AQ124" i="5"/>
  <c r="AS97" i="5"/>
  <c r="AQ97" i="5"/>
  <c r="AS67" i="5"/>
  <c r="AQ67" i="5"/>
  <c r="AS66" i="5"/>
  <c r="AQ66" i="5"/>
  <c r="AS65" i="5"/>
  <c r="AQ65" i="5"/>
  <c r="AS11" i="5"/>
  <c r="AQ11" i="5"/>
  <c r="AS10" i="5"/>
  <c r="AQ10" i="5"/>
  <c r="AS79" i="5"/>
  <c r="AQ54" i="5"/>
  <c r="AS130" i="5"/>
  <c r="AS127" i="5"/>
  <c r="AQ127" i="5"/>
  <c r="AS269" i="5"/>
  <c r="AS275" i="5"/>
  <c r="AQ275" i="5"/>
  <c r="AQ274" i="5"/>
  <c r="AS244" i="5"/>
  <c r="AQ244" i="5"/>
  <c r="AS30" i="5"/>
  <c r="AQ30" i="5"/>
  <c r="AS191" i="5"/>
  <c r="AQ191" i="5"/>
  <c r="AS190" i="5"/>
  <c r="AQ190" i="5"/>
  <c r="AS162" i="5"/>
  <c r="AQ162" i="5"/>
  <c r="AS277" i="5"/>
  <c r="AQ277" i="5"/>
  <c r="AS98" i="5"/>
  <c r="AQ98" i="5"/>
  <c r="AS96" i="5"/>
  <c r="AQ96" i="5"/>
  <c r="AS249" i="5"/>
  <c r="AQ249" i="5"/>
  <c r="AS240" i="5"/>
  <c r="AS223" i="5"/>
  <c r="AQ223" i="5"/>
  <c r="AS170" i="5"/>
  <c r="AQ170" i="5"/>
  <c r="AS109" i="5"/>
  <c r="AQ109" i="5"/>
  <c r="AQ61" i="5"/>
  <c r="AQ254" i="5"/>
  <c r="AS118" i="5"/>
  <c r="AQ118" i="5"/>
  <c r="AS158" i="5"/>
  <c r="AS132" i="5"/>
  <c r="AS88" i="5"/>
  <c r="AS140" i="5"/>
  <c r="AS112" i="5"/>
  <c r="AQ112" i="5"/>
  <c r="AT32" i="5"/>
  <c r="AV32" i="5"/>
  <c r="AT61" i="5"/>
  <c r="AV61" i="5"/>
  <c r="AT33" i="5"/>
  <c r="AV33" i="5"/>
  <c r="AT233" i="5"/>
  <c r="AV233" i="5"/>
  <c r="AT176" i="5"/>
  <c r="AV176" i="5"/>
  <c r="AT129" i="5"/>
  <c r="AV129" i="5"/>
  <c r="AT149" i="5"/>
  <c r="AV149" i="5"/>
  <c r="AT188" i="5"/>
  <c r="AV188" i="5"/>
  <c r="AT175" i="5"/>
  <c r="AV175" i="5"/>
  <c r="AT31" i="5"/>
  <c r="AV31" i="5"/>
  <c r="AT34" i="5"/>
  <c r="AV34" i="5"/>
  <c r="AL29" i="2"/>
  <c r="BE71" i="2"/>
  <c r="BE72" i="2"/>
  <c r="BE73" i="2"/>
  <c r="BE83" i="2"/>
  <c r="BF71" i="2"/>
  <c r="BF72" i="2"/>
  <c r="BF73" i="2"/>
  <c r="BF83" i="2"/>
  <c r="AW34" i="5"/>
  <c r="AW31" i="5"/>
  <c r="AW175" i="5"/>
  <c r="AW188" i="5"/>
  <c r="AW149" i="5"/>
  <c r="AW129" i="5"/>
  <c r="AW176" i="5"/>
  <c r="AW233" i="5"/>
  <c r="AW33" i="5"/>
  <c r="AW61" i="5"/>
  <c r="AW32" i="5"/>
  <c r="AX32" i="5"/>
  <c r="AX61" i="5"/>
  <c r="AX33" i="5"/>
  <c r="AX233" i="5"/>
  <c r="AX176" i="5"/>
  <c r="AX129" i="5"/>
  <c r="AX149" i="5"/>
  <c r="AX188" i="5"/>
  <c r="AX175" i="5"/>
  <c r="AX31" i="5"/>
  <c r="AX34" i="5"/>
  <c r="AZ34" i="5"/>
  <c r="AZ31" i="5"/>
  <c r="AZ175" i="5"/>
  <c r="AZ188" i="5"/>
  <c r="AZ149" i="5"/>
  <c r="AZ129" i="5"/>
  <c r="AZ176" i="5"/>
  <c r="AZ233" i="5"/>
  <c r="AZ33" i="5"/>
  <c r="AZ61" i="5"/>
  <c r="AZ32" i="5"/>
  <c r="J2" i="11"/>
  <c r="N2" i="11"/>
  <c r="J6" i="11"/>
  <c r="N6" i="11"/>
  <c r="J5" i="11"/>
  <c r="N5" i="11"/>
  <c r="J4" i="11"/>
  <c r="N4" i="11"/>
  <c r="J3" i="11"/>
  <c r="N3" i="11"/>
  <c r="J16" i="11"/>
  <c r="N16" i="11"/>
  <c r="J15" i="11"/>
  <c r="N15" i="11"/>
  <c r="W2" i="11"/>
  <c r="W25" i="11"/>
  <c r="W9" i="11"/>
  <c r="W8" i="11"/>
  <c r="W7" i="11"/>
  <c r="W16" i="11"/>
  <c r="W6" i="11"/>
  <c r="W15" i="11"/>
  <c r="W5" i="11"/>
  <c r="W4" i="11"/>
  <c r="W3" i="11"/>
  <c r="W13" i="11"/>
  <c r="J25" i="11"/>
  <c r="J9" i="11"/>
  <c r="J8" i="11"/>
  <c r="J7" i="11"/>
  <c r="J19" i="11"/>
  <c r="J13" i="11"/>
  <c r="V7" i="11"/>
  <c r="V16" i="11"/>
  <c r="V6" i="11"/>
  <c r="V19" i="11"/>
  <c r="V15" i="11"/>
  <c r="V5" i="11"/>
  <c r="V4" i="11"/>
  <c r="V3" i="11"/>
  <c r="V25" i="11"/>
  <c r="V9" i="11"/>
  <c r="V8" i="11"/>
  <c r="V2" i="11"/>
  <c r="V13" i="11"/>
  <c r="AM406" i="8"/>
  <c r="AY406" i="8"/>
  <c r="O406" i="8"/>
  <c r="AN406" i="8"/>
  <c r="AZ406" i="8"/>
  <c r="P406" i="8"/>
  <c r="AO406" i="8"/>
  <c r="BA406" i="8"/>
  <c r="Q406" i="8"/>
  <c r="B406" i="8"/>
  <c r="AO405" i="8"/>
  <c r="BA405" i="8"/>
  <c r="Q405" i="8"/>
  <c r="B405" i="8"/>
  <c r="AM404" i="8"/>
  <c r="AY404" i="8"/>
  <c r="O404" i="8"/>
  <c r="AN404" i="8"/>
  <c r="AZ404" i="8"/>
  <c r="P404" i="8"/>
  <c r="AO404" i="8"/>
  <c r="BA404" i="8"/>
  <c r="Q404" i="8"/>
  <c r="B404" i="8"/>
  <c r="AO37" i="8"/>
  <c r="BA37" i="8"/>
  <c r="Q37" i="8"/>
  <c r="B37" i="8"/>
  <c r="AM393" i="8"/>
  <c r="AY393" i="8"/>
  <c r="O393" i="8"/>
  <c r="AN393" i="8"/>
  <c r="AZ393" i="8"/>
  <c r="P393" i="8"/>
  <c r="AO393" i="8"/>
  <c r="BA393" i="8"/>
  <c r="Q393" i="8"/>
  <c r="B393" i="8"/>
  <c r="AM392" i="8"/>
  <c r="AY392" i="8"/>
  <c r="O392" i="8"/>
  <c r="AN392" i="8"/>
  <c r="AZ392" i="8"/>
  <c r="P392" i="8"/>
  <c r="AO392" i="8"/>
  <c r="BA392" i="8"/>
  <c r="Q392" i="8"/>
  <c r="B392" i="8"/>
  <c r="AM391" i="8"/>
  <c r="AY391" i="8"/>
  <c r="O391" i="8"/>
  <c r="AN391" i="8"/>
  <c r="AZ391" i="8"/>
  <c r="P391" i="8"/>
  <c r="AO391" i="8"/>
  <c r="BA391" i="8"/>
  <c r="Q391" i="8"/>
  <c r="B391" i="8"/>
  <c r="AM390" i="8"/>
  <c r="AY390" i="8"/>
  <c r="O390" i="8"/>
  <c r="AN390" i="8"/>
  <c r="AZ390" i="8"/>
  <c r="P390" i="8"/>
  <c r="AO390" i="8"/>
  <c r="BA390" i="8"/>
  <c r="Q390" i="8"/>
  <c r="B390" i="8"/>
  <c r="AM389" i="8"/>
  <c r="AY389" i="8"/>
  <c r="O389" i="8"/>
  <c r="AN389" i="8"/>
  <c r="AZ389" i="8"/>
  <c r="P389" i="8"/>
  <c r="AO389" i="8"/>
  <c r="BA389" i="8"/>
  <c r="Q389" i="8"/>
  <c r="B389" i="8"/>
  <c r="AM388" i="8"/>
  <c r="AY388" i="8"/>
  <c r="O388" i="8"/>
  <c r="AN388" i="8"/>
  <c r="AZ388" i="8"/>
  <c r="P388" i="8"/>
  <c r="AO388" i="8"/>
  <c r="BA388" i="8"/>
  <c r="Q388" i="8"/>
  <c r="B388" i="8"/>
  <c r="AM387" i="8"/>
  <c r="AY387" i="8"/>
  <c r="O387" i="8"/>
  <c r="AN387" i="8"/>
  <c r="AZ387" i="8"/>
  <c r="P387" i="8"/>
  <c r="AO387" i="8"/>
  <c r="BA387" i="8"/>
  <c r="Q387" i="8"/>
  <c r="B387" i="8"/>
  <c r="AM386" i="8"/>
  <c r="AY386" i="8"/>
  <c r="O386" i="8"/>
  <c r="AN386" i="8"/>
  <c r="AZ386" i="8"/>
  <c r="P386" i="8"/>
  <c r="AO386" i="8"/>
  <c r="BA386" i="8"/>
  <c r="Q386" i="8"/>
  <c r="B386" i="8"/>
  <c r="AM36" i="8"/>
  <c r="AY36" i="8"/>
  <c r="O36" i="8"/>
  <c r="AN36" i="8"/>
  <c r="AZ36" i="8"/>
  <c r="P36" i="8"/>
  <c r="AO36" i="8"/>
  <c r="BA36" i="8"/>
  <c r="Q36" i="8"/>
  <c r="B36" i="8"/>
  <c r="AM385" i="8"/>
  <c r="AY385" i="8"/>
  <c r="O385" i="8"/>
  <c r="AN385" i="8"/>
  <c r="AZ385" i="8"/>
  <c r="P385" i="8"/>
  <c r="AO385" i="8"/>
  <c r="BA385" i="8"/>
  <c r="Q385" i="8"/>
  <c r="B385" i="8"/>
  <c r="AM384" i="8"/>
  <c r="AY384" i="8"/>
  <c r="O384" i="8"/>
  <c r="AN384" i="8"/>
  <c r="AZ384" i="8"/>
  <c r="P384" i="8"/>
  <c r="AO384" i="8"/>
  <c r="BA384" i="8"/>
  <c r="Q384" i="8"/>
  <c r="B384" i="8"/>
  <c r="AM383" i="8"/>
  <c r="AY383" i="8"/>
  <c r="O383" i="8"/>
  <c r="AN383" i="8"/>
  <c r="AZ383" i="8"/>
  <c r="P383" i="8"/>
  <c r="AO383" i="8"/>
  <c r="BA383" i="8"/>
  <c r="Q383" i="8"/>
  <c r="B383" i="8"/>
  <c r="AM382" i="8"/>
  <c r="AY382" i="8"/>
  <c r="O382" i="8"/>
  <c r="AN382" i="8"/>
  <c r="AZ382" i="8"/>
  <c r="P382" i="8"/>
  <c r="AO382" i="8"/>
  <c r="BA382" i="8"/>
  <c r="Q382" i="8"/>
  <c r="B382" i="8"/>
  <c r="AM381" i="8"/>
  <c r="AY381" i="8"/>
  <c r="O381" i="8"/>
  <c r="AN381" i="8"/>
  <c r="AZ381" i="8"/>
  <c r="P381" i="8"/>
  <c r="AO381" i="8"/>
  <c r="BA381" i="8"/>
  <c r="Q381" i="8"/>
  <c r="B381" i="8"/>
  <c r="AM380" i="8"/>
  <c r="AY380" i="8"/>
  <c r="O380" i="8"/>
  <c r="AN380" i="8"/>
  <c r="AZ380" i="8"/>
  <c r="P380" i="8"/>
  <c r="AO380" i="8"/>
  <c r="BA380" i="8"/>
  <c r="Q380" i="8"/>
  <c r="B380" i="8"/>
  <c r="AM379" i="8"/>
  <c r="AY379" i="8"/>
  <c r="O379" i="8"/>
  <c r="AN379" i="8"/>
  <c r="AZ379" i="8"/>
  <c r="P379" i="8"/>
  <c r="AO379" i="8"/>
  <c r="BA379" i="8"/>
  <c r="Q379" i="8"/>
  <c r="B379" i="8"/>
  <c r="AM378" i="8"/>
  <c r="AY378" i="8"/>
  <c r="O378" i="8"/>
  <c r="AN378" i="8"/>
  <c r="AZ378" i="8"/>
  <c r="P378" i="8"/>
  <c r="AO378" i="8"/>
  <c r="BA378" i="8"/>
  <c r="Q378" i="8"/>
  <c r="B378" i="8"/>
  <c r="AM377" i="8"/>
  <c r="AY377" i="8"/>
  <c r="O377" i="8"/>
  <c r="AN377" i="8"/>
  <c r="AZ377" i="8"/>
  <c r="P377" i="8"/>
  <c r="AO377" i="8"/>
  <c r="BA377" i="8"/>
  <c r="Q377" i="8"/>
  <c r="B377" i="8"/>
  <c r="AM376" i="8"/>
  <c r="AY376" i="8"/>
  <c r="O376" i="8"/>
  <c r="AN376" i="8"/>
  <c r="AZ376" i="8"/>
  <c r="P376" i="8"/>
  <c r="AO376" i="8"/>
  <c r="BA376" i="8"/>
  <c r="Q376" i="8"/>
  <c r="B376" i="8"/>
  <c r="AM375" i="8"/>
  <c r="AY375" i="8"/>
  <c r="O375" i="8"/>
  <c r="AN375" i="8"/>
  <c r="AZ375" i="8"/>
  <c r="P375" i="8"/>
  <c r="AO375" i="8"/>
  <c r="BA375" i="8"/>
  <c r="Q375" i="8"/>
  <c r="B375" i="8"/>
  <c r="AM374" i="8"/>
  <c r="AY374" i="8"/>
  <c r="O374" i="8"/>
  <c r="AN374" i="8"/>
  <c r="AZ374" i="8"/>
  <c r="P374" i="8"/>
  <c r="AO374" i="8"/>
  <c r="BA374" i="8"/>
  <c r="Q374" i="8"/>
  <c r="B374" i="8"/>
  <c r="AM373" i="8"/>
  <c r="AY373" i="8"/>
  <c r="O373" i="8"/>
  <c r="AN373" i="8"/>
  <c r="AZ373" i="8"/>
  <c r="P373" i="8"/>
  <c r="B373" i="8"/>
  <c r="AM372" i="8"/>
  <c r="AY372" i="8"/>
  <c r="O372" i="8"/>
  <c r="AN372" i="8"/>
  <c r="AZ372" i="8"/>
  <c r="P372" i="8"/>
  <c r="AO372" i="8"/>
  <c r="BA372" i="8"/>
  <c r="Q372" i="8"/>
  <c r="B372" i="8"/>
  <c r="AM371" i="8"/>
  <c r="AY371" i="8"/>
  <c r="O371" i="8"/>
  <c r="AN371" i="8"/>
  <c r="AZ371" i="8"/>
  <c r="P371" i="8"/>
  <c r="AO371" i="8"/>
  <c r="BA371" i="8"/>
  <c r="Q371" i="8"/>
  <c r="B371" i="8"/>
  <c r="AM35" i="8"/>
  <c r="AY35" i="8"/>
  <c r="O35" i="8"/>
  <c r="AN35" i="8"/>
  <c r="AZ35" i="8"/>
  <c r="P35" i="8"/>
  <c r="AO35" i="8"/>
  <c r="BA35" i="8"/>
  <c r="Q35" i="8"/>
  <c r="B35" i="8"/>
  <c r="AM370" i="8"/>
  <c r="AY370" i="8"/>
  <c r="O370" i="8"/>
  <c r="AN370" i="8"/>
  <c r="AZ370" i="8"/>
  <c r="P370" i="8"/>
  <c r="AO370" i="8"/>
  <c r="BA370" i="8"/>
  <c r="Q370" i="8"/>
  <c r="B370" i="8"/>
  <c r="AM369" i="8"/>
  <c r="AY369" i="8"/>
  <c r="O369" i="8"/>
  <c r="AN369" i="8"/>
  <c r="AZ369" i="8"/>
  <c r="P369" i="8"/>
  <c r="AO369" i="8"/>
  <c r="BA369" i="8"/>
  <c r="Q369" i="8"/>
  <c r="B369" i="8"/>
  <c r="AM368" i="8"/>
  <c r="AY368" i="8"/>
  <c r="O368" i="8"/>
  <c r="AN368" i="8"/>
  <c r="AZ368" i="8"/>
  <c r="P368" i="8"/>
  <c r="AO368" i="8"/>
  <c r="BA368" i="8"/>
  <c r="Q368" i="8"/>
  <c r="B368" i="8"/>
  <c r="AM34" i="8"/>
  <c r="AY34" i="8"/>
  <c r="O34" i="8"/>
  <c r="AN34" i="8"/>
  <c r="AZ34" i="8"/>
  <c r="P34" i="8"/>
  <c r="AO34" i="8"/>
  <c r="BA34" i="8"/>
  <c r="Q34" i="8"/>
  <c r="B34" i="8"/>
  <c r="AM367" i="8"/>
  <c r="AY367" i="8"/>
  <c r="O367" i="8"/>
  <c r="AN367" i="8"/>
  <c r="AZ367" i="8"/>
  <c r="P367" i="8"/>
  <c r="AO367" i="8"/>
  <c r="BA367" i="8"/>
  <c r="Q367" i="8"/>
  <c r="B367" i="8"/>
  <c r="AM366" i="8"/>
  <c r="AY366" i="8"/>
  <c r="O366" i="8"/>
  <c r="AN366" i="8"/>
  <c r="AZ366" i="8"/>
  <c r="P366" i="8"/>
  <c r="AO366" i="8"/>
  <c r="BA366" i="8"/>
  <c r="Q366" i="8"/>
  <c r="B366" i="8"/>
  <c r="AM365" i="8"/>
  <c r="AY365" i="8"/>
  <c r="O365" i="8"/>
  <c r="AN365" i="8"/>
  <c r="AZ365" i="8"/>
  <c r="P365" i="8"/>
  <c r="AO365" i="8"/>
  <c r="BA365" i="8"/>
  <c r="Q365" i="8"/>
  <c r="B365" i="8"/>
  <c r="AM364" i="8"/>
  <c r="AY364" i="8"/>
  <c r="O364" i="8"/>
  <c r="AN364" i="8"/>
  <c r="AZ364" i="8"/>
  <c r="P364" i="8"/>
  <c r="AO364" i="8"/>
  <c r="BA364" i="8"/>
  <c r="Q364" i="8"/>
  <c r="B364" i="8"/>
  <c r="AM363" i="8"/>
  <c r="AY363" i="8"/>
  <c r="O363" i="8"/>
  <c r="AN363" i="8"/>
  <c r="AZ363" i="8"/>
  <c r="P363" i="8"/>
  <c r="AO363" i="8"/>
  <c r="BA363" i="8"/>
  <c r="Q363" i="8"/>
  <c r="B363" i="8"/>
  <c r="AM361" i="8"/>
  <c r="AY361" i="8"/>
  <c r="O361" i="8"/>
  <c r="AN361" i="8"/>
  <c r="AZ361" i="8"/>
  <c r="P361" i="8"/>
  <c r="AO361" i="8"/>
  <c r="BA361" i="8"/>
  <c r="Q361" i="8"/>
  <c r="B361" i="8"/>
  <c r="AM33" i="8"/>
  <c r="AY33" i="8"/>
  <c r="O33" i="8"/>
  <c r="AN33" i="8"/>
  <c r="AZ33" i="8"/>
  <c r="P33" i="8"/>
  <c r="AO33" i="8"/>
  <c r="BA33" i="8"/>
  <c r="Q33" i="8"/>
  <c r="B33" i="8"/>
  <c r="AM360" i="8"/>
  <c r="AY360" i="8"/>
  <c r="O360" i="8"/>
  <c r="AN360" i="8"/>
  <c r="AZ360" i="8"/>
  <c r="P360" i="8"/>
  <c r="AO360" i="8"/>
  <c r="BA360" i="8"/>
  <c r="Q360" i="8"/>
  <c r="B360" i="8"/>
  <c r="AM359" i="8"/>
  <c r="AY359" i="8"/>
  <c r="O359" i="8"/>
  <c r="AN359" i="8"/>
  <c r="AZ359" i="8"/>
  <c r="P359" i="8"/>
  <c r="AO359" i="8"/>
  <c r="BA359" i="8"/>
  <c r="Q359" i="8"/>
  <c r="B359" i="8"/>
  <c r="AM358" i="8"/>
  <c r="AY358" i="8"/>
  <c r="O358" i="8"/>
  <c r="AN358" i="8"/>
  <c r="AZ358" i="8"/>
  <c r="P358" i="8"/>
  <c r="AO358" i="8"/>
  <c r="BA358" i="8"/>
  <c r="Q358" i="8"/>
  <c r="B358" i="8"/>
  <c r="AM357" i="8"/>
  <c r="AY357" i="8"/>
  <c r="O357" i="8"/>
  <c r="AN357" i="8"/>
  <c r="AZ357" i="8"/>
  <c r="P357" i="8"/>
  <c r="AO357" i="8"/>
  <c r="BA357" i="8"/>
  <c r="Q357" i="8"/>
  <c r="B357" i="8"/>
  <c r="AM356" i="8"/>
  <c r="AY356" i="8"/>
  <c r="O356" i="8"/>
  <c r="AN356" i="8"/>
  <c r="AZ356" i="8"/>
  <c r="P356" i="8"/>
  <c r="AO356" i="8"/>
  <c r="BA356" i="8"/>
  <c r="Q356" i="8"/>
  <c r="B356" i="8"/>
  <c r="AM355" i="8"/>
  <c r="AY355" i="8"/>
  <c r="O355" i="8"/>
  <c r="AN355" i="8"/>
  <c r="AZ355" i="8"/>
  <c r="P355" i="8"/>
  <c r="AO355" i="8"/>
  <c r="BA355" i="8"/>
  <c r="Q355" i="8"/>
  <c r="B355" i="8"/>
  <c r="AM354" i="8"/>
  <c r="AY354" i="8"/>
  <c r="O354" i="8"/>
  <c r="AN354" i="8"/>
  <c r="AZ354" i="8"/>
  <c r="P354" i="8"/>
  <c r="AO354" i="8"/>
  <c r="BA354" i="8"/>
  <c r="Q354" i="8"/>
  <c r="B354" i="8"/>
  <c r="AM353" i="8"/>
  <c r="AY353" i="8"/>
  <c r="O353" i="8"/>
  <c r="AN353" i="8"/>
  <c r="AZ353" i="8"/>
  <c r="P353" i="8"/>
  <c r="AO353" i="8"/>
  <c r="BA353" i="8"/>
  <c r="Q353" i="8"/>
  <c r="B353" i="8"/>
  <c r="AM352" i="8"/>
  <c r="AY352" i="8"/>
  <c r="O352" i="8"/>
  <c r="AN352" i="8"/>
  <c r="AZ352" i="8"/>
  <c r="P352" i="8"/>
  <c r="AO352" i="8"/>
  <c r="BA352" i="8"/>
  <c r="Q352" i="8"/>
  <c r="B352" i="8"/>
  <c r="AM351" i="8"/>
  <c r="AY351" i="8"/>
  <c r="O351" i="8"/>
  <c r="AN351" i="8"/>
  <c r="AZ351" i="8"/>
  <c r="P351" i="8"/>
  <c r="AO351" i="8"/>
  <c r="BA351" i="8"/>
  <c r="Q351" i="8"/>
  <c r="B351" i="8"/>
  <c r="AM32" i="8"/>
  <c r="AY32" i="8"/>
  <c r="O32" i="8"/>
  <c r="AN32" i="8"/>
  <c r="AZ32" i="8"/>
  <c r="P32" i="8"/>
  <c r="AO32" i="8"/>
  <c r="BA32" i="8"/>
  <c r="Q32" i="8"/>
  <c r="B32" i="8"/>
  <c r="AM350" i="8"/>
  <c r="AY350" i="8"/>
  <c r="O350" i="8"/>
  <c r="AN350" i="8"/>
  <c r="AZ350" i="8"/>
  <c r="P350" i="8"/>
  <c r="AO350" i="8"/>
  <c r="BA350" i="8"/>
  <c r="Q350" i="8"/>
  <c r="B350" i="8"/>
  <c r="AM349" i="8"/>
  <c r="AY349" i="8"/>
  <c r="O349" i="8"/>
  <c r="AN349" i="8"/>
  <c r="AZ349" i="8"/>
  <c r="P349" i="8"/>
  <c r="AO349" i="8"/>
  <c r="BA349" i="8"/>
  <c r="Q349" i="8"/>
  <c r="B349" i="8"/>
  <c r="AM348" i="8"/>
  <c r="AY348" i="8"/>
  <c r="O348" i="8"/>
  <c r="AN348" i="8"/>
  <c r="AZ348" i="8"/>
  <c r="P348" i="8"/>
  <c r="AO348" i="8"/>
  <c r="BA348" i="8"/>
  <c r="Q348" i="8"/>
  <c r="B348" i="8"/>
  <c r="AM347" i="8"/>
  <c r="AY347" i="8"/>
  <c r="O347" i="8"/>
  <c r="AN347" i="8"/>
  <c r="AZ347" i="8"/>
  <c r="P347" i="8"/>
  <c r="AO347" i="8"/>
  <c r="BA347" i="8"/>
  <c r="Q347" i="8"/>
  <c r="B347" i="8"/>
  <c r="AM346" i="8"/>
  <c r="AY346" i="8"/>
  <c r="O346" i="8"/>
  <c r="AN346" i="8"/>
  <c r="AZ346" i="8"/>
  <c r="P346" i="8"/>
  <c r="AO346" i="8"/>
  <c r="BA346" i="8"/>
  <c r="Q346" i="8"/>
  <c r="B346" i="8"/>
  <c r="AM345" i="8"/>
  <c r="AY345" i="8"/>
  <c r="O345" i="8"/>
  <c r="AN345" i="8"/>
  <c r="AZ345" i="8"/>
  <c r="P345" i="8"/>
  <c r="AO345" i="8"/>
  <c r="BA345" i="8"/>
  <c r="Q345" i="8"/>
  <c r="B345" i="8"/>
  <c r="AM344" i="8"/>
  <c r="AY344" i="8"/>
  <c r="O344" i="8"/>
  <c r="AN344" i="8"/>
  <c r="AZ344" i="8"/>
  <c r="P344" i="8"/>
  <c r="AO344" i="8"/>
  <c r="BA344" i="8"/>
  <c r="Q344" i="8"/>
  <c r="B344" i="8"/>
  <c r="AM343" i="8"/>
  <c r="AY343" i="8"/>
  <c r="O343" i="8"/>
  <c r="AN343" i="8"/>
  <c r="AZ343" i="8"/>
  <c r="P343" i="8"/>
  <c r="AO343" i="8"/>
  <c r="BA343" i="8"/>
  <c r="Q343" i="8"/>
  <c r="B343" i="8"/>
  <c r="AM342" i="8"/>
  <c r="AY342" i="8"/>
  <c r="O342" i="8"/>
  <c r="AN342" i="8"/>
  <c r="AZ342" i="8"/>
  <c r="P342" i="8"/>
  <c r="AO342" i="8"/>
  <c r="BA342" i="8"/>
  <c r="Q342" i="8"/>
  <c r="B342" i="8"/>
  <c r="AM341" i="8"/>
  <c r="AY341" i="8"/>
  <c r="O341" i="8"/>
  <c r="AN341" i="8"/>
  <c r="AZ341" i="8"/>
  <c r="P341" i="8"/>
  <c r="AO341" i="8"/>
  <c r="BA341" i="8"/>
  <c r="Q341" i="8"/>
  <c r="B341" i="8"/>
  <c r="AM340" i="8"/>
  <c r="AY340" i="8"/>
  <c r="O340" i="8"/>
  <c r="AN340" i="8"/>
  <c r="AZ340" i="8"/>
  <c r="P340" i="8"/>
  <c r="AO340" i="8"/>
  <c r="BA340" i="8"/>
  <c r="Q340" i="8"/>
  <c r="B340" i="8"/>
  <c r="AM339" i="8"/>
  <c r="AY339" i="8"/>
  <c r="O339" i="8"/>
  <c r="AN339" i="8"/>
  <c r="AZ339" i="8"/>
  <c r="P339" i="8"/>
  <c r="AO339" i="8"/>
  <c r="BA339" i="8"/>
  <c r="Q339" i="8"/>
  <c r="B339" i="8"/>
  <c r="AO338" i="8"/>
  <c r="BA338" i="8"/>
  <c r="Q338" i="8"/>
  <c r="B338" i="8"/>
  <c r="AM337" i="8"/>
  <c r="AY337" i="8"/>
  <c r="O337" i="8"/>
  <c r="AN337" i="8"/>
  <c r="AZ337" i="8"/>
  <c r="P337" i="8"/>
  <c r="AO337" i="8"/>
  <c r="BA337" i="8"/>
  <c r="Q337" i="8"/>
  <c r="B337" i="8"/>
  <c r="AM336" i="8"/>
  <c r="AY336" i="8"/>
  <c r="O336" i="8"/>
  <c r="AN336" i="8"/>
  <c r="AZ336" i="8"/>
  <c r="P336" i="8"/>
  <c r="AO336" i="8"/>
  <c r="BA336" i="8"/>
  <c r="Q336" i="8"/>
  <c r="B336" i="8"/>
  <c r="AM335" i="8"/>
  <c r="AY335" i="8"/>
  <c r="O335" i="8"/>
  <c r="AN335" i="8"/>
  <c r="AZ335" i="8"/>
  <c r="P335" i="8"/>
  <c r="AO335" i="8"/>
  <c r="BA335" i="8"/>
  <c r="Q335" i="8"/>
  <c r="B335" i="8"/>
  <c r="AM334" i="8"/>
  <c r="AY334" i="8"/>
  <c r="O334" i="8"/>
  <c r="AN334" i="8"/>
  <c r="AZ334" i="8"/>
  <c r="P334" i="8"/>
  <c r="AO334" i="8"/>
  <c r="BA334" i="8"/>
  <c r="Q334" i="8"/>
  <c r="B334" i="8"/>
  <c r="AM333" i="8"/>
  <c r="AY333" i="8"/>
  <c r="O333" i="8"/>
  <c r="AN333" i="8"/>
  <c r="AZ333" i="8"/>
  <c r="P333" i="8"/>
  <c r="AO333" i="8"/>
  <c r="BA333" i="8"/>
  <c r="Q333" i="8"/>
  <c r="B333" i="8"/>
  <c r="AM332" i="8"/>
  <c r="AY332" i="8"/>
  <c r="O332" i="8"/>
  <c r="AN332" i="8"/>
  <c r="AZ332" i="8"/>
  <c r="P332" i="8"/>
  <c r="AO332" i="8"/>
  <c r="BA332" i="8"/>
  <c r="Q332" i="8"/>
  <c r="B332" i="8"/>
  <c r="AM31" i="8"/>
  <c r="AY31" i="8"/>
  <c r="O31" i="8"/>
  <c r="AN31" i="8"/>
  <c r="AZ31" i="8"/>
  <c r="P31" i="8"/>
  <c r="AO31" i="8"/>
  <c r="BA31" i="8"/>
  <c r="Q31" i="8"/>
  <c r="B31" i="8"/>
  <c r="AM331" i="8"/>
  <c r="AY331" i="8"/>
  <c r="O331" i="8"/>
  <c r="AN331" i="8"/>
  <c r="AZ331" i="8"/>
  <c r="P331" i="8"/>
  <c r="AO331" i="8"/>
  <c r="BA331" i="8"/>
  <c r="Q331" i="8"/>
  <c r="B331" i="8"/>
  <c r="AM330" i="8"/>
  <c r="AY330" i="8"/>
  <c r="O330" i="8"/>
  <c r="AN330" i="8"/>
  <c r="AZ330" i="8"/>
  <c r="P330" i="8"/>
  <c r="AO330" i="8"/>
  <c r="BA330" i="8"/>
  <c r="Q330" i="8"/>
  <c r="B330" i="8"/>
  <c r="AM329" i="8"/>
  <c r="AY329" i="8"/>
  <c r="O329" i="8"/>
  <c r="AN329" i="8"/>
  <c r="AZ329" i="8"/>
  <c r="P329" i="8"/>
  <c r="AO329" i="8"/>
  <c r="BA329" i="8"/>
  <c r="Q329" i="8"/>
  <c r="B329" i="8"/>
  <c r="AM328" i="8"/>
  <c r="AY328" i="8"/>
  <c r="O328" i="8"/>
  <c r="AN328" i="8"/>
  <c r="AZ328" i="8"/>
  <c r="P328" i="8"/>
  <c r="AO328" i="8"/>
  <c r="BA328" i="8"/>
  <c r="Q328" i="8"/>
  <c r="B328" i="8"/>
  <c r="AM327" i="8"/>
  <c r="AY327" i="8"/>
  <c r="O327" i="8"/>
  <c r="AN327" i="8"/>
  <c r="AZ327" i="8"/>
  <c r="P327" i="8"/>
  <c r="AO327" i="8"/>
  <c r="BA327" i="8"/>
  <c r="Q327" i="8"/>
  <c r="B327" i="8"/>
  <c r="AM30" i="8"/>
  <c r="AY30" i="8"/>
  <c r="O30" i="8"/>
  <c r="AN30" i="8"/>
  <c r="AZ30" i="8"/>
  <c r="P30" i="8"/>
  <c r="AO30" i="8"/>
  <c r="BA30" i="8"/>
  <c r="Q30" i="8"/>
  <c r="B30" i="8"/>
  <c r="AM326" i="8"/>
  <c r="AY326" i="8"/>
  <c r="O326" i="8"/>
  <c r="AN326" i="8"/>
  <c r="AZ326" i="8"/>
  <c r="P326" i="8"/>
  <c r="AO326" i="8"/>
  <c r="BA326" i="8"/>
  <c r="Q326" i="8"/>
  <c r="B326" i="8"/>
  <c r="AM325" i="8"/>
  <c r="AY325" i="8"/>
  <c r="O325" i="8"/>
  <c r="AN325" i="8"/>
  <c r="AZ325" i="8"/>
  <c r="P325" i="8"/>
  <c r="AO325" i="8"/>
  <c r="BA325" i="8"/>
  <c r="Q325" i="8"/>
  <c r="B325" i="8"/>
  <c r="AM324" i="8"/>
  <c r="AY324" i="8"/>
  <c r="O324" i="8"/>
  <c r="AN324" i="8"/>
  <c r="AZ324" i="8"/>
  <c r="P324" i="8"/>
  <c r="AO324" i="8"/>
  <c r="BA324" i="8"/>
  <c r="Q324" i="8"/>
  <c r="B324" i="8"/>
  <c r="AM323" i="8"/>
  <c r="AY323" i="8"/>
  <c r="O323" i="8"/>
  <c r="AN323" i="8"/>
  <c r="AZ323" i="8"/>
  <c r="P323" i="8"/>
  <c r="AO323" i="8"/>
  <c r="BA323" i="8"/>
  <c r="Q323" i="8"/>
  <c r="B323" i="8"/>
  <c r="AM322" i="8"/>
  <c r="AY322" i="8"/>
  <c r="O322" i="8"/>
  <c r="AN322" i="8"/>
  <c r="AZ322" i="8"/>
  <c r="P322" i="8"/>
  <c r="AO322" i="8"/>
  <c r="BA322" i="8"/>
  <c r="Q322" i="8"/>
  <c r="B322" i="8"/>
  <c r="AM321" i="8"/>
  <c r="AY321" i="8"/>
  <c r="O321" i="8"/>
  <c r="AN321" i="8"/>
  <c r="AZ321" i="8"/>
  <c r="P321" i="8"/>
  <c r="AO321" i="8"/>
  <c r="BA321" i="8"/>
  <c r="Q321" i="8"/>
  <c r="B321" i="8"/>
  <c r="AM320" i="8"/>
  <c r="AY320" i="8"/>
  <c r="O320" i="8"/>
  <c r="AN320" i="8"/>
  <c r="AZ320" i="8"/>
  <c r="P320" i="8"/>
  <c r="AO320" i="8"/>
  <c r="BA320" i="8"/>
  <c r="Q320" i="8"/>
  <c r="B320" i="8"/>
  <c r="AM319" i="8"/>
  <c r="AY319" i="8"/>
  <c r="O319" i="8"/>
  <c r="AN319" i="8"/>
  <c r="AZ319" i="8"/>
  <c r="P319" i="8"/>
  <c r="AO319" i="8"/>
  <c r="BA319" i="8"/>
  <c r="Q319" i="8"/>
  <c r="B319" i="8"/>
  <c r="AM318" i="8"/>
  <c r="AY318" i="8"/>
  <c r="O318" i="8"/>
  <c r="AN318" i="8"/>
  <c r="AZ318" i="8"/>
  <c r="P318" i="8"/>
  <c r="AO318" i="8"/>
  <c r="BA318" i="8"/>
  <c r="Q318" i="8"/>
  <c r="B318" i="8"/>
  <c r="AM317" i="8"/>
  <c r="AY317" i="8"/>
  <c r="O317" i="8"/>
  <c r="AN317" i="8"/>
  <c r="AZ317" i="8"/>
  <c r="P317" i="8"/>
  <c r="AO317" i="8"/>
  <c r="BA317" i="8"/>
  <c r="Q317" i="8"/>
  <c r="B317" i="8"/>
  <c r="AM316" i="8"/>
  <c r="AY316" i="8"/>
  <c r="O316" i="8"/>
  <c r="AN316" i="8"/>
  <c r="AZ316" i="8"/>
  <c r="P316" i="8"/>
  <c r="B316" i="8"/>
  <c r="AM315" i="8"/>
  <c r="AY315" i="8"/>
  <c r="O315" i="8"/>
  <c r="AN315" i="8"/>
  <c r="AZ315" i="8"/>
  <c r="P315" i="8"/>
  <c r="AO315" i="8"/>
  <c r="BA315" i="8"/>
  <c r="Q315" i="8"/>
  <c r="B315" i="8"/>
  <c r="AM314" i="8"/>
  <c r="AY314" i="8"/>
  <c r="O314" i="8"/>
  <c r="AN314" i="8"/>
  <c r="AZ314" i="8"/>
  <c r="P314" i="8"/>
  <c r="AO314" i="8"/>
  <c r="BA314" i="8"/>
  <c r="Q314" i="8"/>
  <c r="B314" i="8"/>
  <c r="AM313" i="8"/>
  <c r="AY313" i="8"/>
  <c r="O313" i="8"/>
  <c r="AN313" i="8"/>
  <c r="AZ313" i="8"/>
  <c r="P313" i="8"/>
  <c r="AO313" i="8"/>
  <c r="BA313" i="8"/>
  <c r="Q313" i="8"/>
  <c r="B313" i="8"/>
  <c r="AM312" i="8"/>
  <c r="AY312" i="8"/>
  <c r="O312" i="8"/>
  <c r="AN312" i="8"/>
  <c r="AZ312" i="8"/>
  <c r="P312" i="8"/>
  <c r="B312" i="8"/>
  <c r="AM311" i="8"/>
  <c r="AY311" i="8"/>
  <c r="O311" i="8"/>
  <c r="AN311" i="8"/>
  <c r="AZ311" i="8"/>
  <c r="P311" i="8"/>
  <c r="AO311" i="8"/>
  <c r="BA311" i="8"/>
  <c r="Q311" i="8"/>
  <c r="B311" i="8"/>
  <c r="AM310" i="8"/>
  <c r="AY310" i="8"/>
  <c r="O310" i="8"/>
  <c r="AN310" i="8"/>
  <c r="AZ310" i="8"/>
  <c r="P310" i="8"/>
  <c r="AO310" i="8"/>
  <c r="BA310" i="8"/>
  <c r="Q310" i="8"/>
  <c r="B310" i="8"/>
  <c r="AO309" i="8"/>
  <c r="BA309" i="8"/>
  <c r="Q309" i="8"/>
  <c r="B309" i="8"/>
  <c r="AM308" i="8"/>
  <c r="AY308" i="8"/>
  <c r="O308" i="8"/>
  <c r="AN308" i="8"/>
  <c r="AZ308" i="8"/>
  <c r="P308" i="8"/>
  <c r="AO308" i="8"/>
  <c r="BA308" i="8"/>
  <c r="Q308" i="8"/>
  <c r="B308" i="8"/>
  <c r="AM307" i="8"/>
  <c r="AY307" i="8"/>
  <c r="O307" i="8"/>
  <c r="AN307" i="8"/>
  <c r="AZ307" i="8"/>
  <c r="P307" i="8"/>
  <c r="AO307" i="8"/>
  <c r="BA307" i="8"/>
  <c r="Q307" i="8"/>
  <c r="B307" i="8"/>
  <c r="AM306" i="8"/>
  <c r="AY306" i="8"/>
  <c r="O306" i="8"/>
  <c r="AN306" i="8"/>
  <c r="AZ306" i="8"/>
  <c r="P306" i="8"/>
  <c r="AO306" i="8"/>
  <c r="BA306" i="8"/>
  <c r="Q306" i="8"/>
  <c r="B306" i="8"/>
  <c r="AM305" i="8"/>
  <c r="AY305" i="8"/>
  <c r="O305" i="8"/>
  <c r="AN305" i="8"/>
  <c r="AZ305" i="8"/>
  <c r="P305" i="8"/>
  <c r="AO305" i="8"/>
  <c r="BA305" i="8"/>
  <c r="Q305" i="8"/>
  <c r="B305" i="8"/>
  <c r="AM304" i="8"/>
  <c r="AY304" i="8"/>
  <c r="O304" i="8"/>
  <c r="AN304" i="8"/>
  <c r="AZ304" i="8"/>
  <c r="P304" i="8"/>
  <c r="AO304" i="8"/>
  <c r="BA304" i="8"/>
  <c r="Q304" i="8"/>
  <c r="B304" i="8"/>
  <c r="AM303" i="8"/>
  <c r="AY303" i="8"/>
  <c r="O303" i="8"/>
  <c r="AN303" i="8"/>
  <c r="AZ303" i="8"/>
  <c r="P303" i="8"/>
  <c r="AO303" i="8"/>
  <c r="BA303" i="8"/>
  <c r="Q303" i="8"/>
  <c r="B303" i="8"/>
  <c r="AM29" i="8"/>
  <c r="AY29" i="8"/>
  <c r="O29" i="8"/>
  <c r="AN29" i="8"/>
  <c r="AZ29" i="8"/>
  <c r="P29" i="8"/>
  <c r="AO29" i="8"/>
  <c r="BA29" i="8"/>
  <c r="Q29" i="8"/>
  <c r="B29" i="8"/>
  <c r="AM302" i="8"/>
  <c r="AY302" i="8"/>
  <c r="O302" i="8"/>
  <c r="AN302" i="8"/>
  <c r="AZ302" i="8"/>
  <c r="P302" i="8"/>
  <c r="AO302" i="8"/>
  <c r="BA302" i="8"/>
  <c r="Q302" i="8"/>
  <c r="B302" i="8"/>
  <c r="AM301" i="8"/>
  <c r="AY301" i="8"/>
  <c r="O301" i="8"/>
  <c r="AN301" i="8"/>
  <c r="AZ301" i="8"/>
  <c r="P301" i="8"/>
  <c r="AO301" i="8"/>
  <c r="BA301" i="8"/>
  <c r="Q301" i="8"/>
  <c r="B301" i="8"/>
  <c r="AM300" i="8"/>
  <c r="AY300" i="8"/>
  <c r="O300" i="8"/>
  <c r="AN300" i="8"/>
  <c r="AZ300" i="8"/>
  <c r="P300" i="8"/>
  <c r="AO300" i="8"/>
  <c r="BA300" i="8"/>
  <c r="Q300" i="8"/>
  <c r="B300" i="8"/>
  <c r="AM299" i="8"/>
  <c r="AY299" i="8"/>
  <c r="O299" i="8"/>
  <c r="AN299" i="8"/>
  <c r="AZ299" i="8"/>
  <c r="P299" i="8"/>
  <c r="AO299" i="8"/>
  <c r="BA299" i="8"/>
  <c r="Q299" i="8"/>
  <c r="B299" i="8"/>
  <c r="AM298" i="8"/>
  <c r="AY298" i="8"/>
  <c r="O298" i="8"/>
  <c r="AN298" i="8"/>
  <c r="AZ298" i="8"/>
  <c r="P298" i="8"/>
  <c r="AO298" i="8"/>
  <c r="BA298" i="8"/>
  <c r="Q298" i="8"/>
  <c r="B298" i="8"/>
  <c r="AM297" i="8"/>
  <c r="AY297" i="8"/>
  <c r="O297" i="8"/>
  <c r="AN297" i="8"/>
  <c r="AZ297" i="8"/>
  <c r="P297" i="8"/>
  <c r="AO297" i="8"/>
  <c r="BA297" i="8"/>
  <c r="Q297" i="8"/>
  <c r="B297" i="8"/>
  <c r="AM296" i="8"/>
  <c r="AY296" i="8"/>
  <c r="O296" i="8"/>
  <c r="AN296" i="8"/>
  <c r="AZ296" i="8"/>
  <c r="P296" i="8"/>
  <c r="AO296" i="8"/>
  <c r="BA296" i="8"/>
  <c r="Q296" i="8"/>
  <c r="B296" i="8"/>
  <c r="AM295" i="8"/>
  <c r="AY295" i="8"/>
  <c r="O295" i="8"/>
  <c r="AN295" i="8"/>
  <c r="AZ295" i="8"/>
  <c r="P295" i="8"/>
  <c r="AO295" i="8"/>
  <c r="BA295" i="8"/>
  <c r="Q295" i="8"/>
  <c r="B295" i="8"/>
  <c r="AM294" i="8"/>
  <c r="AY294" i="8"/>
  <c r="O294" i="8"/>
  <c r="AN294" i="8"/>
  <c r="AZ294" i="8"/>
  <c r="P294" i="8"/>
  <c r="AO294" i="8"/>
  <c r="BA294" i="8"/>
  <c r="Q294" i="8"/>
  <c r="B294" i="8"/>
  <c r="AM293" i="8"/>
  <c r="AY293" i="8"/>
  <c r="O293" i="8"/>
  <c r="AN293" i="8"/>
  <c r="AZ293" i="8"/>
  <c r="P293" i="8"/>
  <c r="AO293" i="8"/>
  <c r="BA293" i="8"/>
  <c r="Q293" i="8"/>
  <c r="B293" i="8"/>
  <c r="AO292" i="8"/>
  <c r="BA292" i="8"/>
  <c r="Q292" i="8"/>
  <c r="B292" i="8"/>
  <c r="AM291" i="8"/>
  <c r="AY291" i="8"/>
  <c r="O291" i="8"/>
  <c r="AN291" i="8"/>
  <c r="AZ291" i="8"/>
  <c r="P291" i="8"/>
  <c r="AO291" i="8"/>
  <c r="BA291" i="8"/>
  <c r="Q291" i="8"/>
  <c r="B291" i="8"/>
  <c r="AM290" i="8"/>
  <c r="AY290" i="8"/>
  <c r="O290" i="8"/>
  <c r="AN290" i="8"/>
  <c r="AZ290" i="8"/>
  <c r="P290" i="8"/>
  <c r="AO290" i="8"/>
  <c r="BA290" i="8"/>
  <c r="Q290" i="8"/>
  <c r="B290" i="8"/>
  <c r="AM289" i="8"/>
  <c r="AY289" i="8"/>
  <c r="O289" i="8"/>
  <c r="AN289" i="8"/>
  <c r="AZ289" i="8"/>
  <c r="P289" i="8"/>
  <c r="AO289" i="8"/>
  <c r="BA289" i="8"/>
  <c r="Q289" i="8"/>
  <c r="B289" i="8"/>
  <c r="AM288" i="8"/>
  <c r="AY288" i="8"/>
  <c r="O288" i="8"/>
  <c r="AN288" i="8"/>
  <c r="AZ288" i="8"/>
  <c r="P288" i="8"/>
  <c r="AO288" i="8"/>
  <c r="BA288" i="8"/>
  <c r="Q288" i="8"/>
  <c r="B288" i="8"/>
  <c r="AM287" i="8"/>
  <c r="AY287" i="8"/>
  <c r="O287" i="8"/>
  <c r="AN287" i="8"/>
  <c r="AZ287" i="8"/>
  <c r="P287" i="8"/>
  <c r="B287" i="8"/>
  <c r="AM28" i="8"/>
  <c r="AY28" i="8"/>
  <c r="O28" i="8"/>
  <c r="AN28" i="8"/>
  <c r="AZ28" i="8"/>
  <c r="P28" i="8"/>
  <c r="AO28" i="8"/>
  <c r="BA28" i="8"/>
  <c r="Q28" i="8"/>
  <c r="B28" i="8"/>
  <c r="AM286" i="8"/>
  <c r="AY286" i="8"/>
  <c r="O286" i="8"/>
  <c r="AN286" i="8"/>
  <c r="AZ286" i="8"/>
  <c r="P286" i="8"/>
  <c r="AO286" i="8"/>
  <c r="BA286" i="8"/>
  <c r="Q286" i="8"/>
  <c r="B286" i="8"/>
  <c r="AM285" i="8"/>
  <c r="AY285" i="8"/>
  <c r="O285" i="8"/>
  <c r="AN285" i="8"/>
  <c r="AZ285" i="8"/>
  <c r="P285" i="8"/>
  <c r="AO285" i="8"/>
  <c r="BA285" i="8"/>
  <c r="Q285" i="8"/>
  <c r="B285" i="8"/>
  <c r="AM284" i="8"/>
  <c r="AY284" i="8"/>
  <c r="O284" i="8"/>
  <c r="AN284" i="8"/>
  <c r="AZ284" i="8"/>
  <c r="P284" i="8"/>
  <c r="AO284" i="8"/>
  <c r="BA284" i="8"/>
  <c r="Q284" i="8"/>
  <c r="B284" i="8"/>
  <c r="AM283" i="8"/>
  <c r="AY283" i="8"/>
  <c r="O283" i="8"/>
  <c r="AN283" i="8"/>
  <c r="AZ283" i="8"/>
  <c r="P283" i="8"/>
  <c r="AO283" i="8"/>
  <c r="BA283" i="8"/>
  <c r="Q283" i="8"/>
  <c r="B283" i="8"/>
  <c r="AM282" i="8"/>
  <c r="AY282" i="8"/>
  <c r="O282" i="8"/>
  <c r="AN282" i="8"/>
  <c r="AZ282" i="8"/>
  <c r="P282" i="8"/>
  <c r="AO282" i="8"/>
  <c r="BA282" i="8"/>
  <c r="Q282" i="8"/>
  <c r="B282" i="8"/>
  <c r="AM281" i="8"/>
  <c r="AY281" i="8"/>
  <c r="O281" i="8"/>
  <c r="AN281" i="8"/>
  <c r="AZ281" i="8"/>
  <c r="P281" i="8"/>
  <c r="AO281" i="8"/>
  <c r="BA281" i="8"/>
  <c r="Q281" i="8"/>
  <c r="B281" i="8"/>
  <c r="AM280" i="8"/>
  <c r="AY280" i="8"/>
  <c r="O280" i="8"/>
  <c r="AN280" i="8"/>
  <c r="AZ280" i="8"/>
  <c r="P280" i="8"/>
  <c r="AO280" i="8"/>
  <c r="BA280" i="8"/>
  <c r="Q280" i="8"/>
  <c r="B280" i="8"/>
  <c r="AM279" i="8"/>
  <c r="AY279" i="8"/>
  <c r="O279" i="8"/>
  <c r="AN279" i="8"/>
  <c r="AZ279" i="8"/>
  <c r="P279" i="8"/>
  <c r="AO279" i="8"/>
  <c r="BA279" i="8"/>
  <c r="Q279" i="8"/>
  <c r="B279" i="8"/>
  <c r="AM278" i="8"/>
  <c r="AY278" i="8"/>
  <c r="O278" i="8"/>
  <c r="AN278" i="8"/>
  <c r="AZ278" i="8"/>
  <c r="P278" i="8"/>
  <c r="AO278" i="8"/>
  <c r="BA278" i="8"/>
  <c r="Q278" i="8"/>
  <c r="B278" i="8"/>
  <c r="AM277" i="8"/>
  <c r="AY277" i="8"/>
  <c r="O277" i="8"/>
  <c r="AN277" i="8"/>
  <c r="AZ277" i="8"/>
  <c r="P277" i="8"/>
  <c r="AO277" i="8"/>
  <c r="BA277" i="8"/>
  <c r="Q277" i="8"/>
  <c r="B277" i="8"/>
  <c r="AM276" i="8"/>
  <c r="AY276" i="8"/>
  <c r="O276" i="8"/>
  <c r="AN276" i="8"/>
  <c r="AZ276" i="8"/>
  <c r="P276" i="8"/>
  <c r="AO276" i="8"/>
  <c r="BA276" i="8"/>
  <c r="Q276" i="8"/>
  <c r="B276" i="8"/>
  <c r="AM275" i="8"/>
  <c r="AY275" i="8"/>
  <c r="O275" i="8"/>
  <c r="AN275" i="8"/>
  <c r="AZ275" i="8"/>
  <c r="P275" i="8"/>
  <c r="AO275" i="8"/>
  <c r="BA275" i="8"/>
  <c r="Q275" i="8"/>
  <c r="B275" i="8"/>
  <c r="AM274" i="8"/>
  <c r="AY274" i="8"/>
  <c r="O274" i="8"/>
  <c r="AN274" i="8"/>
  <c r="AZ274" i="8"/>
  <c r="P274" i="8"/>
  <c r="AO274" i="8"/>
  <c r="BA274" i="8"/>
  <c r="Q274" i="8"/>
  <c r="B274" i="8"/>
  <c r="AM27" i="8"/>
  <c r="AY27" i="8"/>
  <c r="O27" i="8"/>
  <c r="AN27" i="8"/>
  <c r="AZ27" i="8"/>
  <c r="P27" i="8"/>
  <c r="AO27" i="8"/>
  <c r="BA27" i="8"/>
  <c r="Q27" i="8"/>
  <c r="B27" i="8"/>
  <c r="AM273" i="8"/>
  <c r="AY273" i="8"/>
  <c r="O273" i="8"/>
  <c r="AN273" i="8"/>
  <c r="AZ273" i="8"/>
  <c r="P273" i="8"/>
  <c r="AO273" i="8"/>
  <c r="BA273" i="8"/>
  <c r="Q273" i="8"/>
  <c r="B273" i="8"/>
  <c r="AM272" i="8"/>
  <c r="AY272" i="8"/>
  <c r="O272" i="8"/>
  <c r="AN272" i="8"/>
  <c r="AZ272" i="8"/>
  <c r="P272" i="8"/>
  <c r="AO272" i="8"/>
  <c r="BA272" i="8"/>
  <c r="Q272" i="8"/>
  <c r="B272" i="8"/>
  <c r="AM271" i="8"/>
  <c r="AY271" i="8"/>
  <c r="O271" i="8"/>
  <c r="AN271" i="8"/>
  <c r="AZ271" i="8"/>
  <c r="P271" i="8"/>
  <c r="AO271" i="8"/>
  <c r="BA271" i="8"/>
  <c r="Q271" i="8"/>
  <c r="B271" i="8"/>
  <c r="AM270" i="8"/>
  <c r="AY270" i="8"/>
  <c r="O270" i="8"/>
  <c r="AN270" i="8"/>
  <c r="AZ270" i="8"/>
  <c r="P270" i="8"/>
  <c r="AO270" i="8"/>
  <c r="BA270" i="8"/>
  <c r="Q270" i="8"/>
  <c r="B270" i="8"/>
  <c r="AM269" i="8"/>
  <c r="AY269" i="8"/>
  <c r="O269" i="8"/>
  <c r="AN269" i="8"/>
  <c r="AZ269" i="8"/>
  <c r="P269" i="8"/>
  <c r="AO269" i="8"/>
  <c r="BA269" i="8"/>
  <c r="Q269" i="8"/>
  <c r="B269" i="8"/>
  <c r="AO268" i="8"/>
  <c r="BA268" i="8"/>
  <c r="Q268" i="8"/>
  <c r="B268" i="8"/>
  <c r="AM267" i="8"/>
  <c r="AY267" i="8"/>
  <c r="O267" i="8"/>
  <c r="AN267" i="8"/>
  <c r="AZ267" i="8"/>
  <c r="P267" i="8"/>
  <c r="AO267" i="8"/>
  <c r="BA267" i="8"/>
  <c r="Q267" i="8"/>
  <c r="B267" i="8"/>
  <c r="AM266" i="8"/>
  <c r="AY266" i="8"/>
  <c r="O266" i="8"/>
  <c r="AN266" i="8"/>
  <c r="AZ266" i="8"/>
  <c r="P266" i="8"/>
  <c r="AO266" i="8"/>
  <c r="BA266" i="8"/>
  <c r="Q266" i="8"/>
  <c r="B266" i="8"/>
  <c r="AM265" i="8"/>
  <c r="AY265" i="8"/>
  <c r="O265" i="8"/>
  <c r="AN265" i="8"/>
  <c r="AZ265" i="8"/>
  <c r="P265" i="8"/>
  <c r="AO265" i="8"/>
  <c r="BA265" i="8"/>
  <c r="Q265" i="8"/>
  <c r="B265" i="8"/>
  <c r="AM264" i="8"/>
  <c r="AY264" i="8"/>
  <c r="O264" i="8"/>
  <c r="AN264" i="8"/>
  <c r="AZ264" i="8"/>
  <c r="P264" i="8"/>
  <c r="AO264" i="8"/>
  <c r="BA264" i="8"/>
  <c r="Q264" i="8"/>
  <c r="B264" i="8"/>
  <c r="AM26" i="8"/>
  <c r="AY26" i="8"/>
  <c r="O26" i="8"/>
  <c r="AN26" i="8"/>
  <c r="AZ26" i="8"/>
  <c r="P26" i="8"/>
  <c r="AO26" i="8"/>
  <c r="BA26" i="8"/>
  <c r="Q26" i="8"/>
  <c r="B26" i="8"/>
  <c r="AM263" i="8"/>
  <c r="AY263" i="8"/>
  <c r="O263" i="8"/>
  <c r="AN263" i="8"/>
  <c r="AZ263" i="8"/>
  <c r="P263" i="8"/>
  <c r="AO263" i="8"/>
  <c r="BA263" i="8"/>
  <c r="Q263" i="8"/>
  <c r="B263" i="8"/>
  <c r="AM262" i="8"/>
  <c r="AY262" i="8"/>
  <c r="O262" i="8"/>
  <c r="AN262" i="8"/>
  <c r="AZ262" i="8"/>
  <c r="P262" i="8"/>
  <c r="AO262" i="8"/>
  <c r="BA262" i="8"/>
  <c r="Q262" i="8"/>
  <c r="B262" i="8"/>
  <c r="AM261" i="8"/>
  <c r="AY261" i="8"/>
  <c r="O261" i="8"/>
  <c r="AN261" i="8"/>
  <c r="AZ261" i="8"/>
  <c r="P261" i="8"/>
  <c r="AO261" i="8"/>
  <c r="BA261" i="8"/>
  <c r="Q261" i="8"/>
  <c r="B261" i="8"/>
  <c r="AM260" i="8"/>
  <c r="AY260" i="8"/>
  <c r="O260" i="8"/>
  <c r="AN260" i="8"/>
  <c r="AZ260" i="8"/>
  <c r="P260" i="8"/>
  <c r="AO260" i="8"/>
  <c r="BA260" i="8"/>
  <c r="Q260" i="8"/>
  <c r="B260" i="8"/>
  <c r="AM259" i="8"/>
  <c r="AY259" i="8"/>
  <c r="O259" i="8"/>
  <c r="AN259" i="8"/>
  <c r="AZ259" i="8"/>
  <c r="P259" i="8"/>
  <c r="AO259" i="8"/>
  <c r="BA259" i="8"/>
  <c r="Q259" i="8"/>
  <c r="B259" i="8"/>
  <c r="AM25" i="8"/>
  <c r="AY25" i="8"/>
  <c r="O25" i="8"/>
  <c r="AN25" i="8"/>
  <c r="AZ25" i="8"/>
  <c r="P25" i="8"/>
  <c r="AO25" i="8"/>
  <c r="BA25" i="8"/>
  <c r="Q25" i="8"/>
  <c r="B25" i="8"/>
  <c r="AM258" i="8"/>
  <c r="AY258" i="8"/>
  <c r="O258" i="8"/>
  <c r="AN258" i="8"/>
  <c r="AZ258" i="8"/>
  <c r="P258" i="8"/>
  <c r="AO258" i="8"/>
  <c r="BA258" i="8"/>
  <c r="Q258" i="8"/>
  <c r="B258" i="8"/>
  <c r="AM257" i="8"/>
  <c r="AY257" i="8"/>
  <c r="O257" i="8"/>
  <c r="AN257" i="8"/>
  <c r="AZ257" i="8"/>
  <c r="P257" i="8"/>
  <c r="AO257" i="8"/>
  <c r="BA257" i="8"/>
  <c r="Q257" i="8"/>
  <c r="B257" i="8"/>
  <c r="AM256" i="8"/>
  <c r="AY256" i="8"/>
  <c r="O256" i="8"/>
  <c r="AN256" i="8"/>
  <c r="AZ256" i="8"/>
  <c r="P256" i="8"/>
  <c r="AO256" i="8"/>
  <c r="BA256" i="8"/>
  <c r="Q256" i="8"/>
  <c r="B256" i="8"/>
  <c r="AM255" i="8"/>
  <c r="AY255" i="8"/>
  <c r="O255" i="8"/>
  <c r="AN255" i="8"/>
  <c r="AZ255" i="8"/>
  <c r="P255" i="8"/>
  <c r="AO255" i="8"/>
  <c r="BA255" i="8"/>
  <c r="Q255" i="8"/>
  <c r="B255" i="8"/>
  <c r="AM254" i="8"/>
  <c r="AY254" i="8"/>
  <c r="O254" i="8"/>
  <c r="AN254" i="8"/>
  <c r="AZ254" i="8"/>
  <c r="P254" i="8"/>
  <c r="AO254" i="8"/>
  <c r="BA254" i="8"/>
  <c r="Q254" i="8"/>
  <c r="B254" i="8"/>
  <c r="AM253" i="8"/>
  <c r="AY253" i="8"/>
  <c r="O253" i="8"/>
  <c r="AN253" i="8"/>
  <c r="AZ253" i="8"/>
  <c r="P253" i="8"/>
  <c r="AO253" i="8"/>
  <c r="BA253" i="8"/>
  <c r="Q253" i="8"/>
  <c r="B253" i="8"/>
  <c r="AM252" i="8"/>
  <c r="AY252" i="8"/>
  <c r="O252" i="8"/>
  <c r="AN252" i="8"/>
  <c r="AZ252" i="8"/>
  <c r="P252" i="8"/>
  <c r="AO252" i="8"/>
  <c r="BA252" i="8"/>
  <c r="Q252" i="8"/>
  <c r="B252" i="8"/>
  <c r="AM251" i="8"/>
  <c r="AY251" i="8"/>
  <c r="O251" i="8"/>
  <c r="AN251" i="8"/>
  <c r="AZ251" i="8"/>
  <c r="P251" i="8"/>
  <c r="AO251" i="8"/>
  <c r="BA251" i="8"/>
  <c r="Q251" i="8"/>
  <c r="B251" i="8"/>
  <c r="AM250" i="8"/>
  <c r="AY250" i="8"/>
  <c r="O250" i="8"/>
  <c r="AN250" i="8"/>
  <c r="AZ250" i="8"/>
  <c r="P250" i="8"/>
  <c r="AO250" i="8"/>
  <c r="BA250" i="8"/>
  <c r="Q250" i="8"/>
  <c r="B250" i="8"/>
  <c r="AM249" i="8"/>
  <c r="AY249" i="8"/>
  <c r="O249" i="8"/>
  <c r="AN249" i="8"/>
  <c r="AZ249" i="8"/>
  <c r="P249" i="8"/>
  <c r="AO249" i="8"/>
  <c r="BA249" i="8"/>
  <c r="Q249" i="8"/>
  <c r="B249" i="8"/>
  <c r="AM248" i="8"/>
  <c r="AY248" i="8"/>
  <c r="O248" i="8"/>
  <c r="AN248" i="8"/>
  <c r="AZ248" i="8"/>
  <c r="P248" i="8"/>
  <c r="AO248" i="8"/>
  <c r="BA248" i="8"/>
  <c r="Q248" i="8"/>
  <c r="B248" i="8"/>
  <c r="AM247" i="8"/>
  <c r="AY247" i="8"/>
  <c r="O247" i="8"/>
  <c r="AN247" i="8"/>
  <c r="AZ247" i="8"/>
  <c r="P247" i="8"/>
  <c r="AO247" i="8"/>
  <c r="BA247" i="8"/>
  <c r="Q247" i="8"/>
  <c r="B247" i="8"/>
  <c r="AM246" i="8"/>
  <c r="AY246" i="8"/>
  <c r="O246" i="8"/>
  <c r="AN246" i="8"/>
  <c r="AZ246" i="8"/>
  <c r="P246" i="8"/>
  <c r="AO246" i="8"/>
  <c r="BA246" i="8"/>
  <c r="Q246" i="8"/>
  <c r="B246" i="8"/>
  <c r="AM245" i="8"/>
  <c r="AY245" i="8"/>
  <c r="O245" i="8"/>
  <c r="AN245" i="8"/>
  <c r="AZ245" i="8"/>
  <c r="P245" i="8"/>
  <c r="AO245" i="8"/>
  <c r="BA245" i="8"/>
  <c r="Q245" i="8"/>
  <c r="B245" i="8"/>
  <c r="AM244" i="8"/>
  <c r="AY244" i="8"/>
  <c r="O244" i="8"/>
  <c r="AN244" i="8"/>
  <c r="AZ244" i="8"/>
  <c r="P244" i="8"/>
  <c r="AO244" i="8"/>
  <c r="BA244" i="8"/>
  <c r="Q244" i="8"/>
  <c r="B244" i="8"/>
  <c r="AM243" i="8"/>
  <c r="AY243" i="8"/>
  <c r="O243" i="8"/>
  <c r="AN243" i="8"/>
  <c r="AZ243" i="8"/>
  <c r="P243" i="8"/>
  <c r="AO243" i="8"/>
  <c r="BA243" i="8"/>
  <c r="Q243" i="8"/>
  <c r="B243" i="8"/>
  <c r="AM242" i="8"/>
  <c r="AY242" i="8"/>
  <c r="O242" i="8"/>
  <c r="AN242" i="8"/>
  <c r="AZ242" i="8"/>
  <c r="P242" i="8"/>
  <c r="AO242" i="8"/>
  <c r="BA242" i="8"/>
  <c r="Q242" i="8"/>
  <c r="B242" i="8"/>
  <c r="AM241" i="8"/>
  <c r="AY241" i="8"/>
  <c r="O241" i="8"/>
  <c r="AN241" i="8"/>
  <c r="AZ241" i="8"/>
  <c r="P241" i="8"/>
  <c r="AO241" i="8"/>
  <c r="BA241" i="8"/>
  <c r="Q241" i="8"/>
  <c r="B241" i="8"/>
  <c r="AM24" i="8"/>
  <c r="AY24" i="8"/>
  <c r="O24" i="8"/>
  <c r="AN24" i="8"/>
  <c r="AZ24" i="8"/>
  <c r="P24" i="8"/>
  <c r="AO24" i="8"/>
  <c r="BA24" i="8"/>
  <c r="Q24" i="8"/>
  <c r="B24" i="8"/>
  <c r="AM240" i="8"/>
  <c r="AY240" i="8"/>
  <c r="O240" i="8"/>
  <c r="AN240" i="8"/>
  <c r="AZ240" i="8"/>
  <c r="P240" i="8"/>
  <c r="AO240" i="8"/>
  <c r="BA240" i="8"/>
  <c r="Q240" i="8"/>
  <c r="B240" i="8"/>
  <c r="AM239" i="8"/>
  <c r="AY239" i="8"/>
  <c r="O239" i="8"/>
  <c r="AN239" i="8"/>
  <c r="AZ239" i="8"/>
  <c r="P239" i="8"/>
  <c r="AO239" i="8"/>
  <c r="BA239" i="8"/>
  <c r="Q239" i="8"/>
  <c r="B239" i="8"/>
  <c r="AM238" i="8"/>
  <c r="AY238" i="8"/>
  <c r="O238" i="8"/>
  <c r="AN238" i="8"/>
  <c r="AZ238" i="8"/>
  <c r="P238" i="8"/>
  <c r="AO238" i="8"/>
  <c r="BA238" i="8"/>
  <c r="Q238" i="8"/>
  <c r="B238" i="8"/>
  <c r="AM237" i="8"/>
  <c r="AY237" i="8"/>
  <c r="O237" i="8"/>
  <c r="AN237" i="8"/>
  <c r="AZ237" i="8"/>
  <c r="P237" i="8"/>
  <c r="AO237" i="8"/>
  <c r="BA237" i="8"/>
  <c r="Q237" i="8"/>
  <c r="B237" i="8"/>
  <c r="AM207" i="8"/>
  <c r="AY207" i="8"/>
  <c r="O207" i="8"/>
  <c r="AN207" i="8"/>
  <c r="AZ207" i="8"/>
  <c r="P207" i="8"/>
  <c r="AO207" i="8"/>
  <c r="BA207" i="8"/>
  <c r="Q207" i="8"/>
  <c r="B207" i="8"/>
  <c r="AM206" i="8"/>
  <c r="AY206" i="8"/>
  <c r="O206" i="8"/>
  <c r="AN206" i="8"/>
  <c r="AZ206" i="8"/>
  <c r="P206" i="8"/>
  <c r="AO206" i="8"/>
  <c r="BA206" i="8"/>
  <c r="Q206" i="8"/>
  <c r="B206" i="8"/>
  <c r="AM205" i="8"/>
  <c r="AY205" i="8"/>
  <c r="O205" i="8"/>
  <c r="AN205" i="8"/>
  <c r="AZ205" i="8"/>
  <c r="P205" i="8"/>
  <c r="AO205" i="8"/>
  <c r="BA205" i="8"/>
  <c r="Q205" i="8"/>
  <c r="B205" i="8"/>
  <c r="AM204" i="8"/>
  <c r="AY204" i="8"/>
  <c r="O204" i="8"/>
  <c r="AN204" i="8"/>
  <c r="AZ204" i="8"/>
  <c r="P204" i="8"/>
  <c r="AO204" i="8"/>
  <c r="BA204" i="8"/>
  <c r="Q204" i="8"/>
  <c r="B204" i="8"/>
  <c r="AM16" i="8"/>
  <c r="AY16" i="8"/>
  <c r="O16" i="8"/>
  <c r="AN16" i="8"/>
  <c r="AZ16" i="8"/>
  <c r="P16" i="8"/>
  <c r="AO16" i="8"/>
  <c r="BA16" i="8"/>
  <c r="Q16" i="8"/>
  <c r="B16" i="8"/>
  <c r="AM203" i="8"/>
  <c r="AY203" i="8"/>
  <c r="O203" i="8"/>
  <c r="AN203" i="8"/>
  <c r="AZ203" i="8"/>
  <c r="P203" i="8"/>
  <c r="AO203" i="8"/>
  <c r="BA203" i="8"/>
  <c r="Q203" i="8"/>
  <c r="B203" i="8"/>
  <c r="AM202" i="8"/>
  <c r="AY202" i="8"/>
  <c r="O202" i="8"/>
  <c r="AN202" i="8"/>
  <c r="AZ202" i="8"/>
  <c r="P202" i="8"/>
  <c r="AO202" i="8"/>
  <c r="BA202" i="8"/>
  <c r="Q202" i="8"/>
  <c r="B202" i="8"/>
  <c r="AM15" i="8"/>
  <c r="AY15" i="8"/>
  <c r="O15" i="8"/>
  <c r="AN15" i="8"/>
  <c r="AZ15" i="8"/>
  <c r="P15" i="8"/>
  <c r="AO15" i="8"/>
  <c r="BA15" i="8"/>
  <c r="Q15" i="8"/>
  <c r="B15" i="8"/>
  <c r="AM201" i="8"/>
  <c r="AY201" i="8"/>
  <c r="O201" i="8"/>
  <c r="AN201" i="8"/>
  <c r="AZ201" i="8"/>
  <c r="P201" i="8"/>
  <c r="AO201" i="8"/>
  <c r="BA201" i="8"/>
  <c r="Q201" i="8"/>
  <c r="B201" i="8"/>
  <c r="AM200" i="8"/>
  <c r="AY200" i="8"/>
  <c r="O200" i="8"/>
  <c r="AN200" i="8"/>
  <c r="AZ200" i="8"/>
  <c r="P200" i="8"/>
  <c r="AO200" i="8"/>
  <c r="BA200" i="8"/>
  <c r="Q200" i="8"/>
  <c r="B200" i="8"/>
  <c r="AM199" i="8"/>
  <c r="AY199" i="8"/>
  <c r="O199" i="8"/>
  <c r="AN199" i="8"/>
  <c r="AZ199" i="8"/>
  <c r="P199" i="8"/>
  <c r="AO199" i="8"/>
  <c r="BA199" i="8"/>
  <c r="Q199" i="8"/>
  <c r="B199" i="8"/>
  <c r="AM198" i="8"/>
  <c r="AY198" i="8"/>
  <c r="O198" i="8"/>
  <c r="AN198" i="8"/>
  <c r="AZ198" i="8"/>
  <c r="P198" i="8"/>
  <c r="AO198" i="8"/>
  <c r="BA198" i="8"/>
  <c r="Q198" i="8"/>
  <c r="B198" i="8"/>
  <c r="AM197" i="8"/>
  <c r="AY197" i="8"/>
  <c r="O197" i="8"/>
  <c r="AN197" i="8"/>
  <c r="AZ197" i="8"/>
  <c r="P197" i="8"/>
  <c r="AO197" i="8"/>
  <c r="BA197" i="8"/>
  <c r="Q197" i="8"/>
  <c r="B197" i="8"/>
  <c r="AM196" i="8"/>
  <c r="AY196" i="8"/>
  <c r="O196" i="8"/>
  <c r="AN196" i="8"/>
  <c r="AZ196" i="8"/>
  <c r="P196" i="8"/>
  <c r="AO196" i="8"/>
  <c r="BA196" i="8"/>
  <c r="Q196" i="8"/>
  <c r="B196" i="8"/>
  <c r="AM195" i="8"/>
  <c r="AY195" i="8"/>
  <c r="O195" i="8"/>
  <c r="AN195" i="8"/>
  <c r="AZ195" i="8"/>
  <c r="P195" i="8"/>
  <c r="AO195" i="8"/>
  <c r="BA195" i="8"/>
  <c r="Q195" i="8"/>
  <c r="B195" i="8"/>
  <c r="AM14" i="8"/>
  <c r="AY14" i="8"/>
  <c r="O14" i="8"/>
  <c r="AN14" i="8"/>
  <c r="AZ14" i="8"/>
  <c r="P14" i="8"/>
  <c r="AO14" i="8"/>
  <c r="BA14" i="8"/>
  <c r="Q14" i="8"/>
  <c r="B14" i="8"/>
  <c r="AM194" i="8"/>
  <c r="AY194" i="8"/>
  <c r="O194" i="8"/>
  <c r="AN194" i="8"/>
  <c r="AZ194" i="8"/>
  <c r="P194" i="8"/>
  <c r="AO194" i="8"/>
  <c r="BA194" i="8"/>
  <c r="Q194" i="8"/>
  <c r="B194" i="8"/>
  <c r="AM193" i="8"/>
  <c r="AY193" i="8"/>
  <c r="O193" i="8"/>
  <c r="AN193" i="8"/>
  <c r="AZ193" i="8"/>
  <c r="P193" i="8"/>
  <c r="AO193" i="8"/>
  <c r="BA193" i="8"/>
  <c r="Q193" i="8"/>
  <c r="B193" i="8"/>
  <c r="AM192" i="8"/>
  <c r="AY192" i="8"/>
  <c r="O192" i="8"/>
  <c r="AN192" i="8"/>
  <c r="AZ192" i="8"/>
  <c r="P192" i="8"/>
  <c r="AO192" i="8"/>
  <c r="BA192" i="8"/>
  <c r="Q192" i="8"/>
  <c r="B192" i="8"/>
  <c r="AM191" i="8"/>
  <c r="AY191" i="8"/>
  <c r="O191" i="8"/>
  <c r="AN191" i="8"/>
  <c r="AZ191" i="8"/>
  <c r="P191" i="8"/>
  <c r="AO191" i="8"/>
  <c r="BA191" i="8"/>
  <c r="Q191" i="8"/>
  <c r="B191" i="8"/>
  <c r="AM190" i="8"/>
  <c r="AY190" i="8"/>
  <c r="O190" i="8"/>
  <c r="AN190" i="8"/>
  <c r="AZ190" i="8"/>
  <c r="P190" i="8"/>
  <c r="AO190" i="8"/>
  <c r="BA190" i="8"/>
  <c r="Q190" i="8"/>
  <c r="B190" i="8"/>
  <c r="AM189" i="8"/>
  <c r="AY189" i="8"/>
  <c r="O189" i="8"/>
  <c r="AN189" i="8"/>
  <c r="AZ189" i="8"/>
  <c r="P189" i="8"/>
  <c r="AO189" i="8"/>
  <c r="BA189" i="8"/>
  <c r="Q189" i="8"/>
  <c r="B189" i="8"/>
  <c r="AM188" i="8"/>
  <c r="AY188" i="8"/>
  <c r="O188" i="8"/>
  <c r="AN188" i="8"/>
  <c r="AZ188" i="8"/>
  <c r="P188" i="8"/>
  <c r="AO188" i="8"/>
  <c r="BA188" i="8"/>
  <c r="Q188" i="8"/>
  <c r="B188" i="8"/>
  <c r="AM187" i="8"/>
  <c r="AY187" i="8"/>
  <c r="O187" i="8"/>
  <c r="AN187" i="8"/>
  <c r="AZ187" i="8"/>
  <c r="P187" i="8"/>
  <c r="AO187" i="8"/>
  <c r="BA187" i="8"/>
  <c r="Q187" i="8"/>
  <c r="B187" i="8"/>
  <c r="AM186" i="8"/>
  <c r="AY186" i="8"/>
  <c r="O186" i="8"/>
  <c r="AN186" i="8"/>
  <c r="AZ186" i="8"/>
  <c r="P186" i="8"/>
  <c r="AO186" i="8"/>
  <c r="BA186" i="8"/>
  <c r="Q186" i="8"/>
  <c r="B186" i="8"/>
  <c r="AM11" i="8"/>
  <c r="AY11" i="8"/>
  <c r="O11" i="8"/>
  <c r="AN11" i="8"/>
  <c r="AZ11" i="8"/>
  <c r="P11" i="8"/>
  <c r="AO11" i="8"/>
  <c r="BA11" i="8"/>
  <c r="Q11" i="8"/>
  <c r="B11" i="8"/>
  <c r="AM10" i="8"/>
  <c r="AY10" i="8"/>
  <c r="O10" i="8"/>
  <c r="AN10" i="8"/>
  <c r="AZ10" i="8"/>
  <c r="P10" i="8"/>
  <c r="AO10" i="8"/>
  <c r="BA10" i="8"/>
  <c r="Q10" i="8"/>
  <c r="B10" i="8"/>
  <c r="AM9" i="8"/>
  <c r="AY9" i="8"/>
  <c r="O9" i="8"/>
  <c r="AN9" i="8"/>
  <c r="AZ9" i="8"/>
  <c r="P9" i="8"/>
  <c r="AO9" i="8"/>
  <c r="BA9" i="8"/>
  <c r="Q9" i="8"/>
  <c r="B9" i="8"/>
  <c r="AM150" i="8"/>
  <c r="AY150" i="8"/>
  <c r="O150" i="8"/>
  <c r="AN150" i="8"/>
  <c r="AZ150" i="8"/>
  <c r="P150" i="8"/>
  <c r="AO150" i="8"/>
  <c r="BA150" i="8"/>
  <c r="Q150" i="8"/>
  <c r="B150" i="8"/>
  <c r="AM149" i="8"/>
  <c r="AY149" i="8"/>
  <c r="O149" i="8"/>
  <c r="AN149" i="8"/>
  <c r="AZ149" i="8"/>
  <c r="P149" i="8"/>
  <c r="AO149" i="8"/>
  <c r="BA149" i="8"/>
  <c r="Q149" i="8"/>
  <c r="B149" i="8"/>
  <c r="AM148" i="8"/>
  <c r="AY148" i="8"/>
  <c r="O148" i="8"/>
  <c r="AN148" i="8"/>
  <c r="AZ148" i="8"/>
  <c r="P148" i="8"/>
  <c r="AO148" i="8"/>
  <c r="BA148" i="8"/>
  <c r="Q148" i="8"/>
  <c r="B148" i="8"/>
  <c r="AM147" i="8"/>
  <c r="AY147" i="8"/>
  <c r="O147" i="8"/>
  <c r="AN147" i="8"/>
  <c r="AZ147" i="8"/>
  <c r="P147" i="8"/>
  <c r="AO147" i="8"/>
  <c r="BA147" i="8"/>
  <c r="Q147" i="8"/>
  <c r="B147" i="8"/>
  <c r="AM146" i="8"/>
  <c r="AY146" i="8"/>
  <c r="O146" i="8"/>
  <c r="AN146" i="8"/>
  <c r="AZ146" i="8"/>
  <c r="P146" i="8"/>
  <c r="AO146" i="8"/>
  <c r="BA146" i="8"/>
  <c r="Q146" i="8"/>
  <c r="B146" i="8"/>
  <c r="AM145" i="8"/>
  <c r="AY145" i="8"/>
  <c r="O145" i="8"/>
  <c r="AN145" i="8"/>
  <c r="AZ145" i="8"/>
  <c r="P145" i="8"/>
  <c r="AO145" i="8"/>
  <c r="BA145" i="8"/>
  <c r="Q145" i="8"/>
  <c r="B145" i="8"/>
  <c r="AM144" i="8"/>
  <c r="AY144" i="8"/>
  <c r="O144" i="8"/>
  <c r="AN144" i="8"/>
  <c r="AZ144" i="8"/>
  <c r="P144" i="8"/>
  <c r="AO144" i="8"/>
  <c r="BA144" i="8"/>
  <c r="Q144" i="8"/>
  <c r="B144" i="8"/>
  <c r="AM143" i="8"/>
  <c r="AY143" i="8"/>
  <c r="O143" i="8"/>
  <c r="AN143" i="8"/>
  <c r="AZ143" i="8"/>
  <c r="P143" i="8"/>
  <c r="AO143" i="8"/>
  <c r="BA143" i="8"/>
  <c r="Q143" i="8"/>
  <c r="B143" i="8"/>
  <c r="AM142" i="8"/>
  <c r="AY142" i="8"/>
  <c r="O142" i="8"/>
  <c r="AN142" i="8"/>
  <c r="AZ142" i="8"/>
  <c r="P142" i="8"/>
  <c r="AO142" i="8"/>
  <c r="BA142" i="8"/>
  <c r="Q142" i="8"/>
  <c r="B142" i="8"/>
  <c r="AM8" i="8"/>
  <c r="AY8" i="8"/>
  <c r="O8" i="8"/>
  <c r="AN8" i="8"/>
  <c r="AZ8" i="8"/>
  <c r="P8" i="8"/>
  <c r="AO8" i="8"/>
  <c r="BA8" i="8"/>
  <c r="Q8" i="8"/>
  <c r="B8" i="8"/>
  <c r="AM141" i="8"/>
  <c r="AY141" i="8"/>
  <c r="O141" i="8"/>
  <c r="AN141" i="8"/>
  <c r="AZ141" i="8"/>
  <c r="P141" i="8"/>
  <c r="AO141" i="8"/>
  <c r="BA141" i="8"/>
  <c r="Q141" i="8"/>
  <c r="B141" i="8"/>
  <c r="AM140" i="8"/>
  <c r="AY140" i="8"/>
  <c r="O140" i="8"/>
  <c r="AN140" i="8"/>
  <c r="AZ140" i="8"/>
  <c r="P140" i="8"/>
  <c r="AO140" i="8"/>
  <c r="BA140" i="8"/>
  <c r="Q140" i="8"/>
  <c r="B140" i="8"/>
  <c r="AM139" i="8"/>
  <c r="AY139" i="8"/>
  <c r="O139" i="8"/>
  <c r="AN139" i="8"/>
  <c r="AZ139" i="8"/>
  <c r="P139" i="8"/>
  <c r="AO139" i="8"/>
  <c r="BA139" i="8"/>
  <c r="Q139" i="8"/>
  <c r="B139" i="8"/>
  <c r="AM138" i="8"/>
  <c r="AY138" i="8"/>
  <c r="O138" i="8"/>
  <c r="AN138" i="8"/>
  <c r="AZ138" i="8"/>
  <c r="P138" i="8"/>
  <c r="AO138" i="8"/>
  <c r="BA138" i="8"/>
  <c r="Q138" i="8"/>
  <c r="B138" i="8"/>
  <c r="AM137" i="8"/>
  <c r="AY137" i="8"/>
  <c r="O137" i="8"/>
  <c r="AN137" i="8"/>
  <c r="AZ137" i="8"/>
  <c r="P137" i="8"/>
  <c r="AO137" i="8"/>
  <c r="BA137" i="8"/>
  <c r="Q137" i="8"/>
  <c r="B137" i="8"/>
  <c r="AM136" i="8"/>
  <c r="AY136" i="8"/>
  <c r="O136" i="8"/>
  <c r="AN136" i="8"/>
  <c r="AZ136" i="8"/>
  <c r="P136" i="8"/>
  <c r="AO136" i="8"/>
  <c r="BA136" i="8"/>
  <c r="Q136" i="8"/>
  <c r="B136" i="8"/>
  <c r="AM135" i="8"/>
  <c r="AY135" i="8"/>
  <c r="O135" i="8"/>
  <c r="AN135" i="8"/>
  <c r="AZ135" i="8"/>
  <c r="P135" i="8"/>
  <c r="AO135" i="8"/>
  <c r="BA135" i="8"/>
  <c r="Q135" i="8"/>
  <c r="B135" i="8"/>
  <c r="AM134" i="8"/>
  <c r="AY134" i="8"/>
  <c r="O134" i="8"/>
  <c r="AN134" i="8"/>
  <c r="AZ134" i="8"/>
  <c r="P134" i="8"/>
  <c r="AO134" i="8"/>
  <c r="BA134" i="8"/>
  <c r="Q134" i="8"/>
  <c r="B134" i="8"/>
  <c r="AM133" i="8"/>
  <c r="AY133" i="8"/>
  <c r="O133" i="8"/>
  <c r="AN133" i="8"/>
  <c r="AZ133" i="8"/>
  <c r="P133" i="8"/>
  <c r="AO133" i="8"/>
  <c r="BA133" i="8"/>
  <c r="Q133" i="8"/>
  <c r="B133" i="8"/>
  <c r="AM132" i="8"/>
  <c r="AY132" i="8"/>
  <c r="O132" i="8"/>
  <c r="AN132" i="8"/>
  <c r="AZ132" i="8"/>
  <c r="P132" i="8"/>
  <c r="AO132" i="8"/>
  <c r="BA132" i="8"/>
  <c r="Q132" i="8"/>
  <c r="B132" i="8"/>
  <c r="AM131" i="8"/>
  <c r="AY131" i="8"/>
  <c r="O131" i="8"/>
  <c r="AN131" i="8"/>
  <c r="AZ131" i="8"/>
  <c r="P131" i="8"/>
  <c r="AO131" i="8"/>
  <c r="BA131" i="8"/>
  <c r="Q131" i="8"/>
  <c r="B131" i="8"/>
  <c r="AM130" i="8"/>
  <c r="AY130" i="8"/>
  <c r="O130" i="8"/>
  <c r="AN130" i="8"/>
  <c r="AZ130" i="8"/>
  <c r="P130" i="8"/>
  <c r="AO130" i="8"/>
  <c r="BA130" i="8"/>
  <c r="Q130" i="8"/>
  <c r="B130" i="8"/>
  <c r="AM129" i="8"/>
  <c r="AY129" i="8"/>
  <c r="O129" i="8"/>
  <c r="AN129" i="8"/>
  <c r="AZ129" i="8"/>
  <c r="P129" i="8"/>
  <c r="AO129" i="8"/>
  <c r="BA129" i="8"/>
  <c r="Q129" i="8"/>
  <c r="B129" i="8"/>
  <c r="AM128" i="8"/>
  <c r="AY128" i="8"/>
  <c r="O128" i="8"/>
  <c r="AN128" i="8"/>
  <c r="AZ128" i="8"/>
  <c r="P128" i="8"/>
  <c r="AO128" i="8"/>
  <c r="BA128" i="8"/>
  <c r="Q128" i="8"/>
  <c r="B128" i="8"/>
  <c r="AM127" i="8"/>
  <c r="AY127" i="8"/>
  <c r="O127" i="8"/>
  <c r="AN127" i="8"/>
  <c r="AZ127" i="8"/>
  <c r="P127" i="8"/>
  <c r="AO127" i="8"/>
  <c r="BA127" i="8"/>
  <c r="Q127" i="8"/>
  <c r="B127" i="8"/>
  <c r="AM126" i="8"/>
  <c r="AY126" i="8"/>
  <c r="O126" i="8"/>
  <c r="AN126" i="8"/>
  <c r="AZ126" i="8"/>
  <c r="P126" i="8"/>
  <c r="AO126" i="8"/>
  <c r="BA126" i="8"/>
  <c r="Q126" i="8"/>
  <c r="B126" i="8"/>
  <c r="AM125" i="8"/>
  <c r="AY125" i="8"/>
  <c r="O125" i="8"/>
  <c r="AN125" i="8"/>
  <c r="AZ125" i="8"/>
  <c r="P125" i="8"/>
  <c r="AO125" i="8"/>
  <c r="BA125" i="8"/>
  <c r="Q125" i="8"/>
  <c r="B125" i="8"/>
  <c r="AM124" i="8"/>
  <c r="AY124" i="8"/>
  <c r="O124" i="8"/>
  <c r="AN124" i="8"/>
  <c r="AZ124" i="8"/>
  <c r="P124" i="8"/>
  <c r="AO124" i="8"/>
  <c r="BA124" i="8"/>
  <c r="Q124" i="8"/>
  <c r="B124" i="8"/>
  <c r="AM123" i="8"/>
  <c r="AY123" i="8"/>
  <c r="O123" i="8"/>
  <c r="AN123" i="8"/>
  <c r="AZ123" i="8"/>
  <c r="P123" i="8"/>
  <c r="AO123" i="8"/>
  <c r="BA123" i="8"/>
  <c r="Q123" i="8"/>
  <c r="B123" i="8"/>
  <c r="AM122" i="8"/>
  <c r="AY122" i="8"/>
  <c r="O122" i="8"/>
  <c r="AN122" i="8"/>
  <c r="AZ122" i="8"/>
  <c r="P122" i="8"/>
  <c r="AO122" i="8"/>
  <c r="BA122" i="8"/>
  <c r="Q122" i="8"/>
  <c r="B122" i="8"/>
  <c r="AM121" i="8"/>
  <c r="AY121" i="8"/>
  <c r="O121" i="8"/>
  <c r="AN121" i="8"/>
  <c r="AZ121" i="8"/>
  <c r="P121" i="8"/>
  <c r="AO121" i="8"/>
  <c r="BA121" i="8"/>
  <c r="Q121" i="8"/>
  <c r="B121" i="8"/>
  <c r="AM120" i="8"/>
  <c r="AY120" i="8"/>
  <c r="O120" i="8"/>
  <c r="AN120" i="8"/>
  <c r="AZ120" i="8"/>
  <c r="P120" i="8"/>
  <c r="AO120" i="8"/>
  <c r="BA120" i="8"/>
  <c r="Q120" i="8"/>
  <c r="B120" i="8"/>
  <c r="AM119" i="8"/>
  <c r="AY119" i="8"/>
  <c r="O119" i="8"/>
  <c r="AN119" i="8"/>
  <c r="AZ119" i="8"/>
  <c r="P119" i="8"/>
  <c r="AO119" i="8"/>
  <c r="BA119" i="8"/>
  <c r="Q119" i="8"/>
  <c r="B119" i="8"/>
  <c r="AM118" i="8"/>
  <c r="AY118" i="8"/>
  <c r="O118" i="8"/>
  <c r="AN118" i="8"/>
  <c r="AZ118" i="8"/>
  <c r="P118" i="8"/>
  <c r="AO118" i="8"/>
  <c r="BA118" i="8"/>
  <c r="Q118" i="8"/>
  <c r="B118" i="8"/>
  <c r="AM117" i="8"/>
  <c r="AY117" i="8"/>
  <c r="O117" i="8"/>
  <c r="AN117" i="8"/>
  <c r="AZ117" i="8"/>
  <c r="P117" i="8"/>
  <c r="AO117" i="8"/>
  <c r="BA117" i="8"/>
  <c r="Q117" i="8"/>
  <c r="B117" i="8"/>
  <c r="AO116" i="8"/>
  <c r="BA116" i="8"/>
  <c r="Q116" i="8"/>
  <c r="B116" i="8"/>
  <c r="AO115" i="8"/>
  <c r="BA115" i="8"/>
  <c r="Q115" i="8"/>
  <c r="B115" i="8"/>
  <c r="AO114" i="8"/>
  <c r="BA114" i="8"/>
  <c r="Q114" i="8"/>
  <c r="B114" i="8"/>
  <c r="AO113" i="8"/>
  <c r="BA113" i="8"/>
  <c r="Q113" i="8"/>
  <c r="B113" i="8"/>
  <c r="AO112" i="8"/>
  <c r="BA112" i="8"/>
  <c r="Q112" i="8"/>
  <c r="B112" i="8"/>
  <c r="AO111" i="8"/>
  <c r="BA111" i="8"/>
  <c r="Q111" i="8"/>
  <c r="B111" i="8"/>
  <c r="AO110" i="8"/>
  <c r="BA110" i="8"/>
  <c r="Q110" i="8"/>
  <c r="B110" i="8"/>
  <c r="AO109" i="8"/>
  <c r="BA109" i="8"/>
  <c r="Q109" i="8"/>
  <c r="B109" i="8"/>
  <c r="AO108" i="8"/>
  <c r="BA108" i="8"/>
  <c r="Q108" i="8"/>
  <c r="B108" i="8"/>
  <c r="AO107" i="8"/>
  <c r="BA107" i="8"/>
  <c r="Q107" i="8"/>
  <c r="B107" i="8"/>
  <c r="AO106" i="8"/>
  <c r="BA106" i="8"/>
  <c r="Q106" i="8"/>
  <c r="B106" i="8"/>
  <c r="AO105" i="8"/>
  <c r="BA105" i="8"/>
  <c r="Q105" i="8"/>
  <c r="B105" i="8"/>
  <c r="AO104" i="8"/>
  <c r="BA104" i="8"/>
  <c r="Q104" i="8"/>
  <c r="B104" i="8"/>
  <c r="AO103" i="8"/>
  <c r="BA103" i="8"/>
  <c r="Q103" i="8"/>
  <c r="B103" i="8"/>
  <c r="AO102" i="8"/>
  <c r="BA102" i="8"/>
  <c r="Q102" i="8"/>
  <c r="B102" i="8"/>
  <c r="AM100" i="8"/>
  <c r="AY100" i="8"/>
  <c r="O100" i="8"/>
  <c r="AN100" i="8"/>
  <c r="AZ100" i="8"/>
  <c r="P100" i="8"/>
  <c r="AO100" i="8"/>
  <c r="BA100" i="8"/>
  <c r="Q100" i="8"/>
  <c r="B100" i="8"/>
  <c r="AM71" i="8"/>
  <c r="AY71" i="8"/>
  <c r="O71" i="8"/>
  <c r="AN71" i="8"/>
  <c r="AZ71" i="8"/>
  <c r="P71" i="8"/>
  <c r="AO71" i="8"/>
  <c r="BA71" i="8"/>
  <c r="Q71" i="8"/>
  <c r="B71" i="8"/>
  <c r="AM70" i="8"/>
  <c r="AY70" i="8"/>
  <c r="O70" i="8"/>
  <c r="AN70" i="8"/>
  <c r="AZ70" i="8"/>
  <c r="P70" i="8"/>
  <c r="AO70" i="8"/>
  <c r="BA70" i="8"/>
  <c r="Q70" i="8"/>
  <c r="B70" i="8"/>
  <c r="AM69" i="8"/>
  <c r="AY69" i="8"/>
  <c r="O69" i="8"/>
  <c r="AN69" i="8"/>
  <c r="AZ69" i="8"/>
  <c r="P69" i="8"/>
  <c r="AO69" i="8"/>
  <c r="BA69" i="8"/>
  <c r="Q69" i="8"/>
  <c r="B69" i="8"/>
  <c r="AM68" i="8"/>
  <c r="AY68" i="8"/>
  <c r="O68" i="8"/>
  <c r="AN68" i="8"/>
  <c r="AZ68" i="8"/>
  <c r="P68" i="8"/>
  <c r="AO68" i="8"/>
  <c r="BA68" i="8"/>
  <c r="Q68" i="8"/>
  <c r="B68" i="8"/>
  <c r="AM67" i="8"/>
  <c r="AY67" i="8"/>
  <c r="O67" i="8"/>
  <c r="AN67" i="8"/>
  <c r="AZ67" i="8"/>
  <c r="P67" i="8"/>
  <c r="AO67" i="8"/>
  <c r="BA67" i="8"/>
  <c r="Q67" i="8"/>
  <c r="B67" i="8"/>
  <c r="AM66" i="8"/>
  <c r="AY66" i="8"/>
  <c r="O66" i="8"/>
  <c r="AN66" i="8"/>
  <c r="AZ66" i="8"/>
  <c r="P66" i="8"/>
  <c r="AO66" i="8"/>
  <c r="BA66" i="8"/>
  <c r="Q66" i="8"/>
  <c r="B66" i="8"/>
  <c r="AM65" i="8"/>
  <c r="AY65" i="8"/>
  <c r="O65" i="8"/>
  <c r="AN65" i="8"/>
  <c r="AZ65" i="8"/>
  <c r="P65" i="8"/>
  <c r="AO65" i="8"/>
  <c r="BA65" i="8"/>
  <c r="Q65" i="8"/>
  <c r="B65" i="8"/>
  <c r="AM64" i="8"/>
  <c r="AY64" i="8"/>
  <c r="O64" i="8"/>
  <c r="AN64" i="8"/>
  <c r="AZ64" i="8"/>
  <c r="P64" i="8"/>
  <c r="AO64" i="8"/>
  <c r="BA64" i="8"/>
  <c r="Q64" i="8"/>
  <c r="B64" i="8"/>
  <c r="AM63" i="8"/>
  <c r="AY63" i="8"/>
  <c r="O63" i="8"/>
  <c r="AN63" i="8"/>
  <c r="AZ63" i="8"/>
  <c r="P63" i="8"/>
  <c r="AO63" i="8"/>
  <c r="BA63" i="8"/>
  <c r="Q63" i="8"/>
  <c r="B63" i="8"/>
  <c r="AM5" i="8"/>
  <c r="AY5" i="8"/>
  <c r="O5" i="8"/>
  <c r="AN5" i="8"/>
  <c r="AZ5" i="8"/>
  <c r="P5" i="8"/>
  <c r="AO5" i="8"/>
  <c r="BA5" i="8"/>
  <c r="Q5" i="8"/>
  <c r="B5" i="8"/>
  <c r="AM62" i="8"/>
  <c r="AY62" i="8"/>
  <c r="O62" i="8"/>
  <c r="AN62" i="8"/>
  <c r="AZ62" i="8"/>
  <c r="P62" i="8"/>
  <c r="AO62" i="8"/>
  <c r="BA62" i="8"/>
  <c r="Q62" i="8"/>
  <c r="B62" i="8"/>
  <c r="AM61" i="8"/>
  <c r="AY61" i="8"/>
  <c r="O61" i="8"/>
  <c r="AN61" i="8"/>
  <c r="AZ61" i="8"/>
  <c r="P61" i="8"/>
  <c r="AO61" i="8"/>
  <c r="BA61" i="8"/>
  <c r="Q61" i="8"/>
  <c r="B61" i="8"/>
  <c r="AM4" i="8"/>
  <c r="AY4" i="8"/>
  <c r="O4" i="8"/>
  <c r="AN4" i="8"/>
  <c r="AZ4" i="8"/>
  <c r="P4" i="8"/>
  <c r="AO4" i="8"/>
  <c r="BA4" i="8"/>
  <c r="Q4" i="8"/>
  <c r="B4" i="8"/>
  <c r="AM60" i="8"/>
  <c r="AY60" i="8"/>
  <c r="O60" i="8"/>
  <c r="AN60" i="8"/>
  <c r="AZ60" i="8"/>
  <c r="P60" i="8"/>
  <c r="AO60" i="8"/>
  <c r="BA60" i="8"/>
  <c r="Q60" i="8"/>
  <c r="B60" i="8"/>
  <c r="AM59" i="8"/>
  <c r="AY59" i="8"/>
  <c r="O59" i="8"/>
  <c r="AN59" i="8"/>
  <c r="AZ59" i="8"/>
  <c r="P59" i="8"/>
  <c r="AO59" i="8"/>
  <c r="BA59" i="8"/>
  <c r="Q59" i="8"/>
  <c r="B59" i="8"/>
  <c r="AM58" i="8"/>
  <c r="AY58" i="8"/>
  <c r="O58" i="8"/>
  <c r="AN58" i="8"/>
  <c r="AZ58" i="8"/>
  <c r="P58" i="8"/>
  <c r="AO58" i="8"/>
  <c r="BA58" i="8"/>
  <c r="Q58" i="8"/>
  <c r="B58" i="8"/>
  <c r="AO57" i="8"/>
  <c r="BA57" i="8"/>
  <c r="Q57" i="8"/>
  <c r="B57" i="8"/>
  <c r="AM56" i="8"/>
  <c r="AY56" i="8"/>
  <c r="O56" i="8"/>
  <c r="AN56" i="8"/>
  <c r="AZ56" i="8"/>
  <c r="P56" i="8"/>
  <c r="AO56" i="8"/>
  <c r="BA56" i="8"/>
  <c r="Q56" i="8"/>
  <c r="B56" i="8"/>
  <c r="AM55" i="8"/>
  <c r="AY55" i="8"/>
  <c r="O55" i="8"/>
  <c r="AN55" i="8"/>
  <c r="AZ55" i="8"/>
  <c r="P55" i="8"/>
  <c r="AO55" i="8"/>
  <c r="BA55" i="8"/>
  <c r="Q55" i="8"/>
  <c r="B55" i="8"/>
  <c r="AM54" i="8"/>
  <c r="AY54" i="8"/>
  <c r="O54" i="8"/>
  <c r="AN54" i="8"/>
  <c r="AZ54" i="8"/>
  <c r="P54" i="8"/>
  <c r="AO54" i="8"/>
  <c r="BA54" i="8"/>
  <c r="Q54" i="8"/>
  <c r="B54" i="8"/>
  <c r="AM53" i="8"/>
  <c r="AY53" i="8"/>
  <c r="O53" i="8"/>
  <c r="AN53" i="8"/>
  <c r="AZ53" i="8"/>
  <c r="P53" i="8"/>
  <c r="AO53" i="8"/>
  <c r="BA53" i="8"/>
  <c r="Q53" i="8"/>
  <c r="B53" i="8"/>
  <c r="AM52" i="8"/>
  <c r="AY52" i="8"/>
  <c r="O52" i="8"/>
  <c r="AN52" i="8"/>
  <c r="AZ52" i="8"/>
  <c r="P52" i="8"/>
  <c r="AO52" i="8"/>
  <c r="BA52" i="8"/>
  <c r="Q52" i="8"/>
  <c r="B52" i="8"/>
  <c r="AM51" i="8"/>
  <c r="AY51" i="8"/>
  <c r="O51" i="8"/>
  <c r="AN51" i="8"/>
  <c r="AZ51" i="8"/>
  <c r="P51" i="8"/>
  <c r="AO51" i="8"/>
  <c r="BA51" i="8"/>
  <c r="Q51" i="8"/>
  <c r="B51" i="8"/>
  <c r="AM50" i="8"/>
  <c r="AY50" i="8"/>
  <c r="O50" i="8"/>
  <c r="AN50" i="8"/>
  <c r="AZ50" i="8"/>
  <c r="P50" i="8"/>
  <c r="AO50" i="8"/>
  <c r="BA50" i="8"/>
  <c r="Q50" i="8"/>
  <c r="B50" i="8"/>
  <c r="AM49" i="8"/>
  <c r="AY49" i="8"/>
  <c r="O49" i="8"/>
  <c r="AN49" i="8"/>
  <c r="AZ49" i="8"/>
  <c r="P49" i="8"/>
  <c r="AO49" i="8"/>
  <c r="BA49" i="8"/>
  <c r="Q49" i="8"/>
  <c r="B49" i="8"/>
  <c r="AM48" i="8"/>
  <c r="AY48" i="8"/>
  <c r="O48" i="8"/>
  <c r="AN48" i="8"/>
  <c r="AZ48" i="8"/>
  <c r="P48" i="8"/>
  <c r="AO48" i="8"/>
  <c r="BA48" i="8"/>
  <c r="Q48" i="8"/>
  <c r="B48" i="8"/>
  <c r="AM3" i="8"/>
  <c r="AY3" i="8"/>
  <c r="O3" i="8"/>
  <c r="AN3" i="8"/>
  <c r="AZ3" i="8"/>
  <c r="P3" i="8"/>
  <c r="AO3" i="8"/>
  <c r="BA3" i="8"/>
  <c r="Q3" i="8"/>
  <c r="B3" i="8"/>
  <c r="AM47" i="8"/>
  <c r="AY47" i="8"/>
  <c r="O47" i="8"/>
  <c r="AN47" i="8"/>
  <c r="AZ47" i="8"/>
  <c r="P47" i="8"/>
  <c r="AO47" i="8"/>
  <c r="BA47" i="8"/>
  <c r="Q47" i="8"/>
  <c r="B47" i="8"/>
  <c r="AM46" i="8"/>
  <c r="AY46" i="8"/>
  <c r="O46" i="8"/>
  <c r="AN46" i="8"/>
  <c r="AZ46" i="8"/>
  <c r="P46" i="8"/>
  <c r="AO46" i="8"/>
  <c r="BA46" i="8"/>
  <c r="Q46" i="8"/>
  <c r="B46" i="8"/>
  <c r="AM45" i="8"/>
  <c r="AY45" i="8"/>
  <c r="O45" i="8"/>
  <c r="AN45" i="8"/>
  <c r="AZ45" i="8"/>
  <c r="P45" i="8"/>
  <c r="AO45" i="8"/>
  <c r="BA45" i="8"/>
  <c r="Q45" i="8"/>
  <c r="B45" i="8"/>
  <c r="AM99" i="8"/>
  <c r="AY99" i="8"/>
  <c r="O99" i="8"/>
  <c r="AN99" i="8"/>
  <c r="AZ99" i="8"/>
  <c r="P99" i="8"/>
  <c r="AO99" i="8"/>
  <c r="BA99" i="8"/>
  <c r="Q99" i="8"/>
  <c r="B99" i="8"/>
  <c r="AM98" i="8"/>
  <c r="AY98" i="8"/>
  <c r="O98" i="8"/>
  <c r="AN98" i="8"/>
  <c r="AZ98" i="8"/>
  <c r="P98" i="8"/>
  <c r="B98" i="8"/>
  <c r="AM97" i="8"/>
  <c r="AY97" i="8"/>
  <c r="O97" i="8"/>
  <c r="AN97" i="8"/>
  <c r="AZ97" i="8"/>
  <c r="P97" i="8"/>
  <c r="B97" i="8"/>
  <c r="AM96" i="8"/>
  <c r="AY96" i="8"/>
  <c r="O96" i="8"/>
  <c r="AN96" i="8"/>
  <c r="AZ96" i="8"/>
  <c r="P96" i="8"/>
  <c r="AO96" i="8"/>
  <c r="BA96" i="8"/>
  <c r="Q96" i="8"/>
  <c r="B96" i="8"/>
  <c r="AM95" i="8"/>
  <c r="AY95" i="8"/>
  <c r="O95" i="8"/>
  <c r="AN95" i="8"/>
  <c r="AZ95" i="8"/>
  <c r="P95" i="8"/>
  <c r="AO95" i="8"/>
  <c r="BA95" i="8"/>
  <c r="Q95" i="8"/>
  <c r="B95" i="8"/>
  <c r="AM94" i="8"/>
  <c r="AY94" i="8"/>
  <c r="O94" i="8"/>
  <c r="AN94" i="8"/>
  <c r="AZ94" i="8"/>
  <c r="P94" i="8"/>
  <c r="AO94" i="8"/>
  <c r="BA94" i="8"/>
  <c r="Q94" i="8"/>
  <c r="B94" i="8"/>
  <c r="AM93" i="8"/>
  <c r="AY93" i="8"/>
  <c r="O93" i="8"/>
  <c r="AN93" i="8"/>
  <c r="AZ93" i="8"/>
  <c r="P93" i="8"/>
  <c r="AO93" i="8"/>
  <c r="BA93" i="8"/>
  <c r="Q93" i="8"/>
  <c r="B93" i="8"/>
  <c r="AM92" i="8"/>
  <c r="AY92" i="8"/>
  <c r="O92" i="8"/>
  <c r="AN92" i="8"/>
  <c r="AZ92" i="8"/>
  <c r="P92" i="8"/>
  <c r="AO92" i="8"/>
  <c r="BA92" i="8"/>
  <c r="Q92" i="8"/>
  <c r="B92" i="8"/>
  <c r="AM91" i="8"/>
  <c r="AY91" i="8"/>
  <c r="O91" i="8"/>
  <c r="AN91" i="8"/>
  <c r="AZ91" i="8"/>
  <c r="P91" i="8"/>
  <c r="AO91" i="8"/>
  <c r="BA91" i="8"/>
  <c r="Q91" i="8"/>
  <c r="B91" i="8"/>
  <c r="AM90" i="8"/>
  <c r="AY90" i="8"/>
  <c r="O90" i="8"/>
  <c r="AN90" i="8"/>
  <c r="AZ90" i="8"/>
  <c r="P90" i="8"/>
  <c r="AO90" i="8"/>
  <c r="BA90" i="8"/>
  <c r="Q90" i="8"/>
  <c r="B90" i="8"/>
  <c r="AM89" i="8"/>
  <c r="AY89" i="8"/>
  <c r="O89" i="8"/>
  <c r="AN89" i="8"/>
  <c r="AZ89" i="8"/>
  <c r="P89" i="8"/>
  <c r="AO89" i="8"/>
  <c r="BA89" i="8"/>
  <c r="Q89" i="8"/>
  <c r="B89" i="8"/>
  <c r="AM88" i="8"/>
  <c r="AY88" i="8"/>
  <c r="O88" i="8"/>
  <c r="AN88" i="8"/>
  <c r="AZ88" i="8"/>
  <c r="P88" i="8"/>
  <c r="AO88" i="8"/>
  <c r="BA88" i="8"/>
  <c r="Q88" i="8"/>
  <c r="B88" i="8"/>
  <c r="AM87" i="8"/>
  <c r="AY87" i="8"/>
  <c r="O87" i="8"/>
  <c r="AN87" i="8"/>
  <c r="AZ87" i="8"/>
  <c r="P87" i="8"/>
  <c r="AO87" i="8"/>
  <c r="BA87" i="8"/>
  <c r="Q87" i="8"/>
  <c r="B87" i="8"/>
  <c r="AM86" i="8"/>
  <c r="AY86" i="8"/>
  <c r="O86" i="8"/>
  <c r="AN86" i="8"/>
  <c r="AZ86" i="8"/>
  <c r="P86" i="8"/>
  <c r="AO86" i="8"/>
  <c r="BA86" i="8"/>
  <c r="Q86" i="8"/>
  <c r="B86" i="8"/>
  <c r="AM85" i="8"/>
  <c r="AY85" i="8"/>
  <c r="O85" i="8"/>
  <c r="AN85" i="8"/>
  <c r="AZ85" i="8"/>
  <c r="P85" i="8"/>
  <c r="AO85" i="8"/>
  <c r="BA85" i="8"/>
  <c r="Q85" i="8"/>
  <c r="B85" i="8"/>
  <c r="AM84" i="8"/>
  <c r="AY84" i="8"/>
  <c r="O84" i="8"/>
  <c r="AN84" i="8"/>
  <c r="AZ84" i="8"/>
  <c r="P84" i="8"/>
  <c r="AO84" i="8"/>
  <c r="BA84" i="8"/>
  <c r="Q84" i="8"/>
  <c r="B84" i="8"/>
  <c r="AM83" i="8"/>
  <c r="AY83" i="8"/>
  <c r="O83" i="8"/>
  <c r="AN83" i="8"/>
  <c r="AZ83" i="8"/>
  <c r="P83" i="8"/>
  <c r="AO83" i="8"/>
  <c r="BA83" i="8"/>
  <c r="Q83" i="8"/>
  <c r="B83" i="8"/>
  <c r="AM82" i="8"/>
  <c r="AY82" i="8"/>
  <c r="O82" i="8"/>
  <c r="AN82" i="8"/>
  <c r="AZ82" i="8"/>
  <c r="P82" i="8"/>
  <c r="AO82" i="8"/>
  <c r="BA82" i="8"/>
  <c r="Q82" i="8"/>
  <c r="B82" i="8"/>
  <c r="AM81" i="8"/>
  <c r="AY81" i="8"/>
  <c r="O81" i="8"/>
  <c r="AN81" i="8"/>
  <c r="AZ81" i="8"/>
  <c r="P81" i="8"/>
  <c r="AO81" i="8"/>
  <c r="BA81" i="8"/>
  <c r="Q81" i="8"/>
  <c r="B81" i="8"/>
  <c r="AM80" i="8"/>
  <c r="AY80" i="8"/>
  <c r="O80" i="8"/>
  <c r="AN80" i="8"/>
  <c r="AZ80" i="8"/>
  <c r="P80" i="8"/>
  <c r="AO80" i="8"/>
  <c r="BA80" i="8"/>
  <c r="Q80" i="8"/>
  <c r="B80" i="8"/>
  <c r="AM79" i="8"/>
  <c r="AY79" i="8"/>
  <c r="O79" i="8"/>
  <c r="AN79" i="8"/>
  <c r="AZ79" i="8"/>
  <c r="P79" i="8"/>
  <c r="AO79" i="8"/>
  <c r="BA79" i="8"/>
  <c r="Q79" i="8"/>
  <c r="B79" i="8"/>
  <c r="AM7" i="8"/>
  <c r="AY7" i="8"/>
  <c r="O7" i="8"/>
  <c r="AN7" i="8"/>
  <c r="AZ7" i="8"/>
  <c r="P7" i="8"/>
  <c r="AO7" i="8"/>
  <c r="BA7" i="8"/>
  <c r="Q7" i="8"/>
  <c r="B7" i="8"/>
  <c r="AM6" i="8"/>
  <c r="AY6" i="8"/>
  <c r="O6" i="8"/>
  <c r="AN6" i="8"/>
  <c r="AZ6" i="8"/>
  <c r="P6" i="8"/>
  <c r="AO6" i="8"/>
  <c r="BA6" i="8"/>
  <c r="Q6" i="8"/>
  <c r="B6" i="8"/>
  <c r="AM78" i="8"/>
  <c r="AY78" i="8"/>
  <c r="O78" i="8"/>
  <c r="AN78" i="8"/>
  <c r="AZ78" i="8"/>
  <c r="P78" i="8"/>
  <c r="AO78" i="8"/>
  <c r="BA78" i="8"/>
  <c r="Q78" i="8"/>
  <c r="B78" i="8"/>
  <c r="AO77" i="8"/>
  <c r="BA77" i="8"/>
  <c r="Q77" i="8"/>
  <c r="B77" i="8"/>
  <c r="AM76" i="8"/>
  <c r="AY76" i="8"/>
  <c r="O76" i="8"/>
  <c r="AN76" i="8"/>
  <c r="AZ76" i="8"/>
  <c r="P76" i="8"/>
  <c r="AO76" i="8"/>
  <c r="BA76" i="8"/>
  <c r="Q76" i="8"/>
  <c r="B76" i="8"/>
  <c r="AO75" i="8"/>
  <c r="BA75" i="8"/>
  <c r="Q75" i="8"/>
  <c r="B75" i="8"/>
  <c r="AM74" i="8"/>
  <c r="AY74" i="8"/>
  <c r="O74" i="8"/>
  <c r="AN74" i="8"/>
  <c r="AZ74" i="8"/>
  <c r="P74" i="8"/>
  <c r="AO74" i="8"/>
  <c r="BA74" i="8"/>
  <c r="Q74" i="8"/>
  <c r="B74" i="8"/>
  <c r="AM73" i="8"/>
  <c r="AY73" i="8"/>
  <c r="O73" i="8"/>
  <c r="AN73" i="8"/>
  <c r="AZ73" i="8"/>
  <c r="P73" i="8"/>
  <c r="AO73" i="8"/>
  <c r="BA73" i="8"/>
  <c r="Q73" i="8"/>
  <c r="B73" i="8"/>
  <c r="AM72" i="8"/>
  <c r="AY72" i="8"/>
  <c r="O72" i="8"/>
  <c r="AN72" i="8"/>
  <c r="AZ72" i="8"/>
  <c r="P72" i="8"/>
  <c r="AO72" i="8"/>
  <c r="BA72" i="8"/>
  <c r="Q72" i="8"/>
  <c r="B72" i="8"/>
  <c r="AM44" i="8"/>
  <c r="AY44" i="8"/>
  <c r="O44" i="8"/>
  <c r="AN44" i="8"/>
  <c r="AZ44" i="8"/>
  <c r="P44" i="8"/>
  <c r="AO44" i="8"/>
  <c r="BA44" i="8"/>
  <c r="Q44" i="8"/>
  <c r="B44" i="8"/>
  <c r="AM43" i="8"/>
  <c r="AY43" i="8"/>
  <c r="O43" i="8"/>
  <c r="AN43" i="8"/>
  <c r="AZ43" i="8"/>
  <c r="P43" i="8"/>
  <c r="AO43" i="8"/>
  <c r="BA43" i="8"/>
  <c r="Q43" i="8"/>
  <c r="B43" i="8"/>
  <c r="AM42" i="8"/>
  <c r="AY42" i="8"/>
  <c r="O42" i="8"/>
  <c r="AN42" i="8"/>
  <c r="AZ42" i="8"/>
  <c r="P42" i="8"/>
  <c r="AO42" i="8"/>
  <c r="BA42" i="8"/>
  <c r="Q42" i="8"/>
  <c r="B42" i="8"/>
  <c r="AM2" i="8"/>
  <c r="AY2" i="8"/>
  <c r="O2" i="8"/>
  <c r="AN2" i="8"/>
  <c r="AZ2" i="8"/>
  <c r="P2" i="8"/>
  <c r="AO2" i="8"/>
  <c r="BA2" i="8"/>
  <c r="Q2" i="8"/>
  <c r="B2" i="8"/>
  <c r="AM41" i="8"/>
  <c r="AY41" i="8"/>
  <c r="O41" i="8"/>
  <c r="AN41" i="8"/>
  <c r="AZ41" i="8"/>
  <c r="P41" i="8"/>
  <c r="AO41" i="8"/>
  <c r="BA41" i="8"/>
  <c r="Q41" i="8"/>
  <c r="B41" i="8"/>
  <c r="AO40" i="8"/>
  <c r="BA40" i="8"/>
  <c r="Q40" i="8"/>
  <c r="B40" i="8"/>
  <c r="AM39" i="8"/>
  <c r="AY39" i="8"/>
  <c r="O39" i="8"/>
  <c r="AN39" i="8"/>
  <c r="AZ39" i="8"/>
  <c r="P39" i="8"/>
  <c r="AO39" i="8"/>
  <c r="BA39" i="8"/>
  <c r="Q39" i="8"/>
  <c r="B39" i="8"/>
  <c r="BL71" i="2"/>
  <c r="BL72" i="2"/>
  <c r="BL73" i="2"/>
  <c r="BL83" i="2"/>
  <c r="BK71" i="2"/>
  <c r="BK72" i="2"/>
  <c r="BK73" i="2"/>
  <c r="BK83" i="2"/>
  <c r="BJ71" i="2"/>
  <c r="BJ72" i="2"/>
  <c r="BJ73" i="2"/>
  <c r="BJ83" i="2"/>
  <c r="W42" i="2"/>
  <c r="W12" i="2"/>
  <c r="W17" i="2"/>
  <c r="W10" i="2"/>
  <c r="W13" i="2"/>
  <c r="W11" i="2"/>
  <c r="W36" i="2"/>
  <c r="W26" i="2"/>
  <c r="BI71" i="2"/>
  <c r="BI72" i="2"/>
  <c r="BI73" i="2"/>
  <c r="BI83" i="2"/>
  <c r="V42" i="2"/>
  <c r="V12" i="2"/>
  <c r="V28" i="2"/>
  <c r="V33" i="2"/>
  <c r="V34" i="2"/>
  <c r="V17" i="2"/>
  <c r="V10" i="2"/>
  <c r="V13" i="2"/>
  <c r="V11" i="2"/>
  <c r="V36" i="2"/>
  <c r="V35" i="2"/>
  <c r="V31" i="2"/>
  <c r="V26" i="2"/>
  <c r="BH71" i="2"/>
  <c r="BH72" i="2"/>
  <c r="BH73" i="2"/>
  <c r="BH83" i="2"/>
  <c r="U42" i="2"/>
  <c r="U12" i="2"/>
  <c r="U7" i="2"/>
  <c r="U39" i="2"/>
  <c r="U40" i="2"/>
  <c r="U8" i="2"/>
  <c r="U28" i="2"/>
  <c r="U33" i="2"/>
  <c r="U34" i="2"/>
  <c r="U32" i="2"/>
  <c r="U17" i="2"/>
  <c r="U16" i="2"/>
  <c r="U10" i="2"/>
  <c r="U13" i="2"/>
  <c r="U11" i="2"/>
  <c r="U36" i="2"/>
  <c r="U35" i="2"/>
  <c r="U31" i="2"/>
  <c r="U26" i="2"/>
  <c r="U15" i="2"/>
  <c r="BG71" i="2"/>
  <c r="BG72" i="2"/>
  <c r="BG73" i="2"/>
  <c r="BG83" i="2"/>
  <c r="AM29" i="2"/>
  <c r="AM28" i="2"/>
  <c r="AM17" i="2"/>
  <c r="AM12" i="2"/>
  <c r="AM10" i="2"/>
  <c r="AM13" i="2"/>
  <c r="AM11" i="2"/>
  <c r="AM8" i="2"/>
  <c r="AM27" i="2"/>
  <c r="AM7" i="2"/>
  <c r="AM16" i="2"/>
  <c r="AM5" i="2"/>
  <c r="AM36" i="2"/>
  <c r="AM38" i="2"/>
  <c r="AM18" i="2"/>
  <c r="AM15" i="2"/>
  <c r="AM23" i="2"/>
  <c r="AM37" i="2"/>
  <c r="AM30" i="2"/>
  <c r="AM43" i="2"/>
  <c r="AM41" i="2"/>
  <c r="AM22" i="2"/>
  <c r="AM39" i="2"/>
  <c r="AM40" i="2"/>
  <c r="AM34" i="2"/>
  <c r="AM31" i="2"/>
  <c r="AM24" i="2"/>
  <c r="AM32" i="2"/>
  <c r="AM33" i="2"/>
  <c r="AM35" i="2"/>
  <c r="AM42" i="2"/>
  <c r="AJ16" i="4"/>
  <c r="AJ285" i="4"/>
  <c r="AJ294" i="4"/>
  <c r="AJ48" i="4"/>
  <c r="AJ297" i="4"/>
  <c r="AJ258" i="4"/>
  <c r="AJ257" i="4"/>
  <c r="AJ230" i="4"/>
  <c r="AJ229" i="4"/>
  <c r="AJ292" i="4"/>
  <c r="AJ228" i="4"/>
  <c r="AJ25" i="4"/>
  <c r="AJ7" i="4"/>
  <c r="AJ280" i="4"/>
  <c r="AJ279" i="4"/>
  <c r="AJ194" i="4"/>
  <c r="AJ252" i="4"/>
  <c r="AJ212" i="4"/>
  <c r="AJ73" i="4"/>
  <c r="AJ251" i="4"/>
  <c r="AJ249" i="4"/>
  <c r="AJ296" i="4"/>
  <c r="AJ189" i="4"/>
  <c r="AJ246" i="4"/>
  <c r="AJ287" i="4"/>
  <c r="AJ109" i="4"/>
  <c r="AJ17" i="4"/>
  <c r="AJ291" i="4"/>
  <c r="AJ221" i="4"/>
  <c r="AJ220" i="4"/>
  <c r="AJ210" i="4"/>
  <c r="AJ273" i="4"/>
  <c r="AJ272" i="4"/>
  <c r="AJ271" i="4"/>
  <c r="AJ188" i="4"/>
  <c r="AJ284" i="4"/>
  <c r="AJ283" i="4"/>
  <c r="AJ196" i="4"/>
  <c r="AJ131" i="4"/>
  <c r="AJ26" i="4"/>
  <c r="AJ113" i="4"/>
  <c r="AJ82" i="4"/>
  <c r="AJ77" i="4"/>
  <c r="AJ278" i="4"/>
  <c r="AJ222" i="4"/>
  <c r="AJ192" i="4"/>
  <c r="AJ250" i="4"/>
  <c r="AJ121" i="4"/>
  <c r="AJ187" i="4"/>
  <c r="AJ237" i="4"/>
  <c r="AJ236" i="4"/>
  <c r="AJ219" i="4"/>
  <c r="AJ235" i="4"/>
  <c r="AJ234" i="4"/>
  <c r="AJ264" i="4"/>
  <c r="AJ263" i="4"/>
  <c r="AJ156" i="4"/>
  <c r="AJ108" i="4"/>
  <c r="AJ151" i="4"/>
  <c r="AJ270" i="4"/>
  <c r="AJ269" i="4"/>
  <c r="AJ247" i="4"/>
  <c r="AJ245" i="4"/>
  <c r="AJ268" i="4"/>
  <c r="AJ244" i="4"/>
  <c r="AJ267" i="4"/>
  <c r="AJ243" i="4"/>
  <c r="AJ242" i="4"/>
  <c r="AJ241" i="4"/>
  <c r="AJ240" i="4"/>
  <c r="AJ239" i="4"/>
  <c r="AJ266" i="4"/>
  <c r="AJ238" i="4"/>
  <c r="AJ265" i="4"/>
  <c r="AJ233" i="4"/>
  <c r="AJ288" i="4"/>
  <c r="AJ286" i="4"/>
  <c r="AJ231" i="4"/>
  <c r="AJ181" i="4"/>
  <c r="AJ261" i="4"/>
  <c r="AJ260" i="4"/>
  <c r="AJ259" i="4"/>
  <c r="AJ254" i="4"/>
  <c r="AJ214" i="4"/>
  <c r="AJ223" i="4"/>
  <c r="AJ248" i="4"/>
  <c r="AJ295" i="4"/>
  <c r="AJ12" i="4"/>
  <c r="AJ198" i="4"/>
  <c r="AJ227" i="4"/>
  <c r="AJ226" i="4"/>
  <c r="AJ225" i="4"/>
  <c r="AJ206" i="4"/>
  <c r="AJ205" i="4"/>
  <c r="AJ165" i="4"/>
  <c r="AJ224" i="4"/>
  <c r="AJ191" i="4"/>
  <c r="AJ127" i="4"/>
  <c r="AJ211" i="4"/>
  <c r="AJ209" i="4"/>
  <c r="AJ182" i="4"/>
  <c r="AJ201" i="4"/>
  <c r="AJ200" i="4"/>
  <c r="AJ97" i="4"/>
  <c r="AJ217" i="4"/>
  <c r="AJ216" i="4"/>
  <c r="AJ298" i="4"/>
  <c r="AJ175" i="4"/>
  <c r="AJ174" i="4"/>
  <c r="AJ173" i="4"/>
  <c r="AJ172" i="4"/>
  <c r="AJ136" i="4"/>
  <c r="AJ208" i="4"/>
  <c r="AJ207" i="4"/>
  <c r="AJ195" i="4"/>
  <c r="AJ171" i="4"/>
  <c r="AJ170" i="4"/>
  <c r="AJ169" i="4"/>
  <c r="AJ168" i="4"/>
  <c r="AJ167" i="4"/>
  <c r="AJ193" i="4"/>
  <c r="AJ11" i="4"/>
  <c r="AJ45" i="4"/>
  <c r="AJ44" i="4"/>
  <c r="AJ21" i="4"/>
  <c r="AJ158" i="4"/>
  <c r="AJ20" i="4"/>
  <c r="AJ74" i="4"/>
  <c r="AJ72" i="4"/>
  <c r="AJ157" i="4"/>
  <c r="AJ126" i="4"/>
  <c r="AJ154" i="4"/>
  <c r="AJ152" i="4"/>
  <c r="AJ150" i="4"/>
  <c r="AJ202" i="4"/>
  <c r="AJ180" i="4"/>
  <c r="AJ179" i="4"/>
  <c r="AJ178" i="4"/>
  <c r="AJ197" i="4"/>
  <c r="AJ141" i="4"/>
  <c r="AJ24" i="4"/>
  <c r="AJ256" i="4"/>
  <c r="AJ281" i="4"/>
  <c r="AJ255" i="4"/>
  <c r="AJ253" i="4"/>
  <c r="AJ10" i="4"/>
  <c r="AJ204" i="4"/>
  <c r="AJ129" i="4"/>
  <c r="AJ289" i="4"/>
  <c r="AJ9" i="4"/>
  <c r="AJ8" i="4"/>
  <c r="AJ28" i="4"/>
  <c r="AJ98" i="4"/>
  <c r="AJ199" i="4"/>
  <c r="AJ177" i="4"/>
  <c r="AJ176" i="4"/>
  <c r="AJ135" i="4"/>
  <c r="AJ112" i="4"/>
  <c r="AJ185" i="4"/>
  <c r="AJ184" i="4"/>
  <c r="AJ143" i="4"/>
  <c r="AJ27" i="4"/>
  <c r="AJ139" i="4"/>
  <c r="AJ138" i="4"/>
  <c r="AJ125" i="4"/>
  <c r="AJ186" i="4"/>
  <c r="AJ218" i="4"/>
  <c r="AJ137" i="4"/>
  <c r="AJ166" i="4"/>
  <c r="AJ133" i="4"/>
  <c r="AJ132" i="4"/>
  <c r="AJ130" i="4"/>
  <c r="AJ23" i="4"/>
  <c r="AJ290" i="4"/>
  <c r="AJ213" i="4"/>
  <c r="AJ155" i="4"/>
  <c r="AJ122" i="4"/>
  <c r="AJ153" i="4"/>
  <c r="AJ276" i="4"/>
  <c r="AJ275" i="4"/>
  <c r="AJ101" i="4"/>
  <c r="AJ183" i="4"/>
  <c r="AJ99" i="4"/>
  <c r="AJ145" i="4"/>
  <c r="AJ144" i="4"/>
  <c r="AJ140" i="4"/>
  <c r="AJ134" i="4"/>
  <c r="AJ111" i="4"/>
  <c r="AJ215" i="4"/>
  <c r="AJ277" i="4"/>
  <c r="AJ190" i="4"/>
  <c r="AJ124" i="4"/>
  <c r="AJ123" i="4"/>
  <c r="AJ84" i="4"/>
  <c r="AJ79" i="4"/>
  <c r="AJ76" i="4"/>
  <c r="AJ71" i="4"/>
  <c r="AJ147" i="4"/>
  <c r="AJ119" i="4"/>
  <c r="AJ146" i="4"/>
  <c r="AJ100" i="4"/>
  <c r="AJ293" i="4"/>
  <c r="AJ163" i="4"/>
  <c r="AJ87" i="4"/>
  <c r="AJ83" i="4"/>
  <c r="AJ68" i="4"/>
  <c r="AJ14" i="4"/>
  <c r="AJ120" i="4"/>
  <c r="AJ105" i="4"/>
  <c r="AJ59" i="4"/>
  <c r="AJ164" i="4"/>
  <c r="AJ162" i="4"/>
  <c r="AJ161" i="4"/>
  <c r="AJ149" i="4"/>
  <c r="AJ118" i="4"/>
  <c r="AJ142" i="4"/>
  <c r="AJ117" i="4"/>
  <c r="AJ116" i="4"/>
  <c r="AJ115" i="4"/>
  <c r="AJ6" i="4"/>
  <c r="AJ4" i="4"/>
  <c r="AJ57" i="4"/>
  <c r="AJ56" i="4"/>
  <c r="AJ55" i="4"/>
  <c r="AJ54" i="4"/>
  <c r="AJ53" i="4"/>
  <c r="AJ52" i="4"/>
  <c r="AJ114" i="4"/>
  <c r="AJ19" i="4"/>
  <c r="AJ2" i="4"/>
  <c r="AJ15" i="4"/>
  <c r="AJ60" i="4"/>
  <c r="AJ148" i="4"/>
  <c r="AJ13" i="4"/>
  <c r="AJ31" i="4"/>
  <c r="AJ58" i="4"/>
  <c r="AJ29" i="4"/>
  <c r="AJ104" i="4"/>
  <c r="AJ103" i="4"/>
  <c r="AJ92" i="4"/>
  <c r="AJ89" i="4"/>
  <c r="AJ88" i="4"/>
  <c r="AJ96" i="4"/>
  <c r="AJ95" i="4"/>
  <c r="AJ94" i="4"/>
  <c r="AJ93" i="4"/>
  <c r="AJ91" i="4"/>
  <c r="AJ90" i="4"/>
  <c r="AJ22" i="4"/>
  <c r="AJ160" i="4"/>
  <c r="AJ3" i="4"/>
  <c r="AJ78" i="4"/>
  <c r="AJ43" i="4"/>
  <c r="AJ41" i="4"/>
  <c r="AJ107" i="4"/>
  <c r="AJ106" i="4"/>
  <c r="AJ66" i="4"/>
  <c r="AJ110" i="4"/>
  <c r="AJ81" i="4"/>
  <c r="AJ37" i="4"/>
  <c r="AJ35" i="4"/>
  <c r="AJ34" i="4"/>
  <c r="AJ86" i="4"/>
  <c r="AJ85" i="4"/>
  <c r="AJ47" i="4"/>
  <c r="AJ5" i="4"/>
  <c r="AJ128" i="4"/>
  <c r="AJ65" i="4"/>
  <c r="AJ64" i="4"/>
  <c r="AJ42" i="4"/>
  <c r="AJ18" i="4"/>
  <c r="AJ75" i="4"/>
  <c r="AJ70" i="4"/>
  <c r="AJ46" i="4"/>
  <c r="AJ36" i="4"/>
  <c r="AJ33" i="4"/>
  <c r="AJ32" i="4"/>
  <c r="AJ51" i="4"/>
  <c r="AJ50" i="4"/>
  <c r="AJ49" i="4"/>
  <c r="AJ80" i="4"/>
  <c r="AJ159" i="4"/>
  <c r="AJ69" i="4"/>
  <c r="AJ274" i="4"/>
  <c r="AJ203" i="4"/>
  <c r="AJ63" i="4"/>
  <c r="AJ40" i="4"/>
  <c r="AJ39" i="4"/>
  <c r="AJ38" i="4"/>
  <c r="AJ62" i="4"/>
  <c r="AJ61" i="4"/>
  <c r="AJ30" i="4"/>
  <c r="AM26" i="2"/>
  <c r="AZ401" i="5"/>
  <c r="AZ411" i="5"/>
  <c r="AZ410" i="5"/>
  <c r="AZ409" i="5"/>
  <c r="AZ408" i="5"/>
  <c r="AZ407" i="5"/>
  <c r="AZ406" i="5"/>
  <c r="AZ405" i="5"/>
  <c r="AZ404" i="5"/>
  <c r="AZ403" i="5"/>
  <c r="AZ402" i="5"/>
  <c r="AZ400" i="5"/>
  <c r="AZ399" i="5"/>
  <c r="AZ398" i="5"/>
  <c r="AZ397" i="5"/>
  <c r="AZ396" i="5"/>
  <c r="AZ395" i="5"/>
  <c r="AZ394" i="5"/>
  <c r="AZ393" i="5"/>
  <c r="AZ392" i="5"/>
  <c r="AZ391" i="5"/>
  <c r="AZ388" i="5"/>
  <c r="AZ387" i="5"/>
  <c r="AZ389" i="5"/>
  <c r="AZ390" i="5"/>
  <c r="AZ58" i="5"/>
  <c r="AY58" i="5"/>
  <c r="AX58" i="5"/>
  <c r="AZ57" i="5"/>
  <c r="AY57" i="5"/>
  <c r="AX57" i="5"/>
  <c r="AZ60" i="5"/>
  <c r="AY60" i="5"/>
  <c r="AX60" i="5"/>
  <c r="AZ161" i="5"/>
  <c r="AY161" i="5"/>
  <c r="AX161" i="5"/>
  <c r="AZ115" i="5"/>
  <c r="AY115" i="5"/>
  <c r="AX115" i="5"/>
  <c r="AZ59" i="5"/>
  <c r="AY59" i="5"/>
  <c r="AX59" i="5"/>
  <c r="AZ97" i="5"/>
  <c r="AY97" i="5"/>
  <c r="AX97" i="5"/>
  <c r="AZ56" i="5"/>
  <c r="AY56" i="5"/>
  <c r="AX56" i="5"/>
  <c r="AZ66" i="5"/>
  <c r="AY66" i="5"/>
  <c r="AX66" i="5"/>
  <c r="AZ253" i="5"/>
  <c r="AY253" i="5"/>
  <c r="AX253" i="5"/>
  <c r="AZ65" i="5"/>
  <c r="AY65" i="5"/>
  <c r="AX65" i="5"/>
  <c r="AZ55" i="5"/>
  <c r="AY55" i="5"/>
  <c r="AX55" i="5"/>
  <c r="AZ67" i="5"/>
  <c r="AY67" i="5"/>
  <c r="AX67" i="5"/>
  <c r="AZ290" i="5"/>
  <c r="AY290" i="5"/>
  <c r="AX290" i="5"/>
  <c r="AZ255" i="5"/>
  <c r="AY255" i="5"/>
  <c r="AX255" i="5"/>
  <c r="AZ38" i="5"/>
  <c r="AY38" i="5"/>
  <c r="AX38" i="5"/>
  <c r="AZ262" i="5"/>
  <c r="AY262" i="5"/>
  <c r="AX262" i="5"/>
  <c r="AZ278" i="5"/>
  <c r="AY278" i="5"/>
  <c r="AX278" i="5"/>
  <c r="AZ256" i="5"/>
  <c r="AY256" i="5"/>
  <c r="AX256" i="5"/>
  <c r="AZ270" i="5"/>
  <c r="AY270" i="5"/>
  <c r="AX270" i="5"/>
  <c r="AZ113" i="5"/>
  <c r="AY113" i="5"/>
  <c r="AX113" i="5"/>
  <c r="AZ42" i="5"/>
  <c r="AY42" i="5"/>
  <c r="AX42" i="5"/>
  <c r="AZ41" i="5"/>
  <c r="AY41" i="5"/>
  <c r="AX41" i="5"/>
  <c r="AZ80" i="5"/>
  <c r="AY80" i="5"/>
  <c r="AX80" i="5"/>
  <c r="AZ39" i="5"/>
  <c r="AY39" i="5"/>
  <c r="AX39" i="5"/>
  <c r="AZ254" i="5"/>
  <c r="AY254" i="5"/>
  <c r="AX254" i="5"/>
  <c r="AZ44" i="5"/>
  <c r="AY44" i="5"/>
  <c r="AX44" i="5"/>
  <c r="AZ40" i="5"/>
  <c r="AY40" i="5"/>
  <c r="AX40" i="5"/>
  <c r="AZ68" i="5"/>
  <c r="AY68" i="5"/>
  <c r="AX68" i="5"/>
  <c r="AZ153" i="5"/>
  <c r="AY153" i="5"/>
  <c r="AX153" i="5"/>
  <c r="AZ223" i="5"/>
  <c r="AY223" i="5"/>
  <c r="AX223" i="5"/>
  <c r="AZ4" i="5"/>
  <c r="AY4" i="5"/>
  <c r="AX4" i="5"/>
  <c r="AZ198" i="5"/>
  <c r="AY198" i="5"/>
  <c r="AX198" i="5"/>
  <c r="AZ64" i="5"/>
  <c r="AY64" i="5"/>
  <c r="AX64" i="5"/>
  <c r="AZ45" i="5"/>
  <c r="AY45" i="5"/>
  <c r="AX45" i="5"/>
  <c r="AZ226" i="5"/>
  <c r="AY226" i="5"/>
  <c r="AX226" i="5"/>
  <c r="AZ122" i="5"/>
  <c r="AY122" i="5"/>
  <c r="AX122" i="5"/>
  <c r="AZ63" i="5"/>
  <c r="AY63" i="5"/>
  <c r="AX63" i="5"/>
  <c r="AZ71" i="5"/>
  <c r="AY71" i="5"/>
  <c r="AX71" i="5"/>
  <c r="AZ62" i="5"/>
  <c r="AY62" i="5"/>
  <c r="AX62" i="5"/>
  <c r="AZ49" i="5"/>
  <c r="AY49" i="5"/>
  <c r="AX49" i="5"/>
  <c r="AZ37" i="5"/>
  <c r="AY37" i="5"/>
  <c r="AX37" i="5"/>
  <c r="AZ6" i="5"/>
  <c r="AY6" i="5"/>
  <c r="AX6" i="5"/>
  <c r="AZ43" i="5"/>
  <c r="AY43" i="5"/>
  <c r="AX43" i="5"/>
  <c r="AZ7" i="5"/>
  <c r="AY7" i="5"/>
  <c r="AX7" i="5"/>
  <c r="AZ47" i="5"/>
  <c r="AY47" i="5"/>
  <c r="AX47" i="5"/>
  <c r="AZ69" i="5"/>
  <c r="AY69" i="5"/>
  <c r="AX69" i="5"/>
  <c r="AZ121" i="5"/>
  <c r="AY121" i="5"/>
  <c r="AX121" i="5"/>
  <c r="AZ36" i="5"/>
  <c r="AY36" i="5"/>
  <c r="AX36" i="5"/>
  <c r="AZ248" i="5"/>
  <c r="AY248" i="5"/>
  <c r="AX248" i="5"/>
  <c r="AZ48" i="5"/>
  <c r="AY48" i="5"/>
  <c r="AX48" i="5"/>
  <c r="AZ293" i="5"/>
  <c r="AY293" i="5"/>
  <c r="AX293" i="5"/>
  <c r="AZ96" i="5"/>
  <c r="AY96" i="5"/>
  <c r="AX96" i="5"/>
  <c r="AZ105" i="5"/>
  <c r="AY105" i="5"/>
  <c r="AX105" i="5"/>
  <c r="AZ150" i="5"/>
  <c r="AY150" i="5"/>
  <c r="AX150" i="5"/>
  <c r="AZ197" i="5"/>
  <c r="AY197" i="5"/>
  <c r="AX197" i="5"/>
  <c r="AY70" i="5"/>
  <c r="AX70" i="5"/>
  <c r="AZ151" i="5"/>
  <c r="AY151" i="5"/>
  <c r="AX151" i="5"/>
  <c r="AZ275" i="5"/>
  <c r="AY275" i="5"/>
  <c r="AX275" i="5"/>
  <c r="AZ90" i="5"/>
  <c r="AY90" i="5"/>
  <c r="AX90" i="5"/>
  <c r="AZ120" i="5"/>
  <c r="AY120" i="5"/>
  <c r="AX120" i="5"/>
  <c r="AZ98" i="5"/>
  <c r="AY98" i="5"/>
  <c r="AX98" i="5"/>
  <c r="AZ250" i="5"/>
  <c r="AY250" i="5"/>
  <c r="AX250" i="5"/>
  <c r="AZ224" i="5"/>
  <c r="AY224" i="5"/>
  <c r="AX224" i="5"/>
  <c r="AZ196" i="5"/>
  <c r="AY196" i="5"/>
  <c r="AX196" i="5"/>
  <c r="AZ194" i="5"/>
  <c r="AY194" i="5"/>
  <c r="AX194" i="5"/>
  <c r="AZ277" i="5"/>
  <c r="AY277" i="5"/>
  <c r="AX277" i="5"/>
  <c r="AZ296" i="5"/>
  <c r="AY296" i="5"/>
  <c r="AX296" i="5"/>
  <c r="AZ221" i="5"/>
  <c r="AY221" i="5"/>
  <c r="AX221" i="5"/>
  <c r="AZ5" i="5"/>
  <c r="AY5" i="5"/>
  <c r="AX5" i="5"/>
  <c r="AZ144" i="5"/>
  <c r="AY144" i="5"/>
  <c r="AX144" i="5"/>
  <c r="AZ46" i="5"/>
  <c r="AY46" i="5"/>
  <c r="AX46" i="5"/>
  <c r="AZ276" i="5"/>
  <c r="AY276" i="5"/>
  <c r="AX276" i="5"/>
  <c r="AZ147" i="5"/>
  <c r="AY147" i="5"/>
  <c r="AX147" i="5"/>
  <c r="AZ136" i="5"/>
  <c r="AY136" i="5"/>
  <c r="AX136" i="5"/>
  <c r="AZ271" i="5"/>
  <c r="AY271" i="5"/>
  <c r="AX271" i="5"/>
  <c r="AZ134" i="5"/>
  <c r="AY134" i="5"/>
  <c r="AX134" i="5"/>
  <c r="AY34" i="5"/>
  <c r="AZ273" i="5"/>
  <c r="AY273" i="5"/>
  <c r="AX273" i="5"/>
  <c r="AZ118" i="5"/>
  <c r="AY118" i="5"/>
  <c r="AX118" i="5"/>
  <c r="AZ228" i="5"/>
  <c r="AY228" i="5"/>
  <c r="AX228" i="5"/>
  <c r="AZ163" i="5"/>
  <c r="AY163" i="5"/>
  <c r="AX163" i="5"/>
  <c r="AZ274" i="5"/>
  <c r="AY274" i="5"/>
  <c r="AX274" i="5"/>
  <c r="AZ231" i="5"/>
  <c r="AY231" i="5"/>
  <c r="AX231" i="5"/>
  <c r="AZ207" i="5"/>
  <c r="AY207" i="5"/>
  <c r="AX207" i="5"/>
  <c r="AZ200" i="5"/>
  <c r="AY200" i="5"/>
  <c r="AX200" i="5"/>
  <c r="AZ241" i="5"/>
  <c r="AY241" i="5"/>
  <c r="AX241" i="5"/>
  <c r="AZ154" i="5"/>
  <c r="AY154" i="5"/>
  <c r="AX154" i="5"/>
  <c r="AZ116" i="5"/>
  <c r="AY116" i="5"/>
  <c r="AX116" i="5"/>
  <c r="AZ247" i="5"/>
  <c r="AY247" i="5"/>
  <c r="AX247" i="5"/>
  <c r="AZ246" i="5"/>
  <c r="AY246" i="5"/>
  <c r="AX246" i="5"/>
  <c r="AZ245" i="5"/>
  <c r="AY245" i="5"/>
  <c r="AX245" i="5"/>
  <c r="AY31" i="5"/>
  <c r="AY175" i="5"/>
  <c r="AZ124" i="5"/>
  <c r="AY124" i="5"/>
  <c r="AX124" i="5"/>
  <c r="AZ2" i="5"/>
  <c r="AY2" i="5"/>
  <c r="AX2" i="5"/>
  <c r="AY188" i="5"/>
  <c r="AY149" i="5"/>
  <c r="AY129" i="5"/>
  <c r="AZ91" i="5"/>
  <c r="AY91" i="5"/>
  <c r="AX91" i="5"/>
  <c r="AZ243" i="5"/>
  <c r="AY243" i="5"/>
  <c r="AX243" i="5"/>
  <c r="AZ286" i="5"/>
  <c r="AY286" i="5"/>
  <c r="AX286" i="5"/>
  <c r="AZ179" i="5"/>
  <c r="AY179" i="5"/>
  <c r="AX179" i="5"/>
  <c r="AY176" i="5"/>
  <c r="AZ285" i="5"/>
  <c r="AY285" i="5"/>
  <c r="AX285" i="5"/>
  <c r="AZ193" i="5"/>
  <c r="AY193" i="5"/>
  <c r="AX193" i="5"/>
  <c r="AZ157" i="5"/>
  <c r="AY157" i="5"/>
  <c r="AX157" i="5"/>
  <c r="AZ137" i="5"/>
  <c r="AY137" i="5"/>
  <c r="AX137" i="5"/>
  <c r="AZ127" i="5"/>
  <c r="AY127" i="5"/>
  <c r="AX127" i="5"/>
  <c r="AZ126" i="5"/>
  <c r="AY126" i="5"/>
  <c r="AX126" i="5"/>
  <c r="AZ268" i="5"/>
  <c r="AY268" i="5"/>
  <c r="AX268" i="5"/>
  <c r="AZ76" i="5"/>
  <c r="AY76" i="5"/>
  <c r="AX76" i="5"/>
  <c r="AZ74" i="5"/>
  <c r="AY74" i="5"/>
  <c r="AX74" i="5"/>
  <c r="AZ8" i="5"/>
  <c r="AY8" i="5"/>
  <c r="AX8" i="5"/>
  <c r="AZ257" i="5"/>
  <c r="AY257" i="5"/>
  <c r="AX257" i="5"/>
  <c r="AZ211" i="5"/>
  <c r="AY211" i="5"/>
  <c r="AX211" i="5"/>
  <c r="AZ281" i="5"/>
  <c r="AY281" i="5"/>
  <c r="AX281" i="5"/>
  <c r="AZ18" i="5"/>
  <c r="AY18" i="5"/>
  <c r="AX18" i="5"/>
  <c r="AZ17" i="5"/>
  <c r="AY17" i="5"/>
  <c r="AX17" i="5"/>
  <c r="AZ16" i="5"/>
  <c r="AY16" i="5"/>
  <c r="AX16" i="5"/>
  <c r="AZ279" i="5"/>
  <c r="AY279" i="5"/>
  <c r="AX279" i="5"/>
  <c r="AZ3" i="5"/>
  <c r="AY3" i="5"/>
  <c r="AX3" i="5"/>
  <c r="AZ13" i="5"/>
  <c r="AY13" i="5"/>
  <c r="AX13" i="5"/>
  <c r="AZ73" i="5"/>
  <c r="AY73" i="5"/>
  <c r="AX73" i="5"/>
  <c r="AZ236" i="5"/>
  <c r="AY236" i="5"/>
  <c r="AX236" i="5"/>
  <c r="AZ295" i="5"/>
  <c r="AY295" i="5"/>
  <c r="AX295" i="5"/>
  <c r="AZ294" i="5"/>
  <c r="AY294" i="5"/>
  <c r="AX294" i="5"/>
  <c r="AZ291" i="5"/>
  <c r="AY291" i="5"/>
  <c r="AX291" i="5"/>
  <c r="AZ287" i="5"/>
  <c r="AY287" i="5"/>
  <c r="AX287" i="5"/>
  <c r="AZ195" i="5"/>
  <c r="AY195" i="5"/>
  <c r="AX195" i="5"/>
  <c r="AZ282" i="5"/>
  <c r="AY282" i="5"/>
  <c r="AX282" i="5"/>
  <c r="AZ280" i="5"/>
  <c r="AY280" i="5"/>
  <c r="AX280" i="5"/>
  <c r="AZ190" i="5"/>
  <c r="AY190" i="5"/>
  <c r="AX190" i="5"/>
  <c r="AZ172" i="5"/>
  <c r="AY172" i="5"/>
  <c r="AX172" i="5"/>
  <c r="AZ156" i="5"/>
  <c r="AY156" i="5"/>
  <c r="AX156" i="5"/>
  <c r="AZ142" i="5"/>
  <c r="AY142" i="5"/>
  <c r="AX142" i="5"/>
  <c r="AZ130" i="5"/>
  <c r="AY130" i="5"/>
  <c r="AX130" i="5"/>
  <c r="AZ112" i="5"/>
  <c r="AY112" i="5"/>
  <c r="AX112" i="5"/>
  <c r="AZ99" i="5"/>
  <c r="AY99" i="5"/>
  <c r="AX99" i="5"/>
  <c r="AZ88" i="5"/>
  <c r="AY88" i="5"/>
  <c r="AX88" i="5"/>
  <c r="AZ75" i="5"/>
  <c r="AY75" i="5"/>
  <c r="AX75" i="5"/>
  <c r="AZ239" i="5"/>
  <c r="AY239" i="5"/>
  <c r="AX239" i="5"/>
  <c r="AZ28" i="5"/>
  <c r="AY28" i="5"/>
  <c r="AX28" i="5"/>
  <c r="AZ27" i="5"/>
  <c r="AY27" i="5"/>
  <c r="AX27" i="5"/>
  <c r="AZ212" i="5"/>
  <c r="AY212" i="5"/>
  <c r="AX212" i="5"/>
  <c r="AZ21" i="5"/>
  <c r="AY21" i="5"/>
  <c r="AX21" i="5"/>
  <c r="AZ292" i="5"/>
  <c r="AY292" i="5"/>
  <c r="AX292" i="5"/>
  <c r="AZ289" i="5"/>
  <c r="AY289" i="5"/>
  <c r="AX289" i="5"/>
  <c r="AZ191" i="5"/>
  <c r="AY191" i="5"/>
  <c r="AX191" i="5"/>
  <c r="AZ189" i="5"/>
  <c r="AY189" i="5"/>
  <c r="AX189" i="5"/>
  <c r="AZ169" i="5"/>
  <c r="AY169" i="5"/>
  <c r="AX169" i="5"/>
  <c r="AZ167" i="5"/>
  <c r="AY167" i="5"/>
  <c r="AX167" i="5"/>
  <c r="AZ152" i="5"/>
  <c r="AY152" i="5"/>
  <c r="AX152" i="5"/>
  <c r="AZ148" i="5"/>
  <c r="AY148" i="5"/>
  <c r="AX148" i="5"/>
  <c r="AZ141" i="5"/>
  <c r="AY141" i="5"/>
  <c r="AX141" i="5"/>
  <c r="AZ138" i="5"/>
  <c r="AY138" i="5"/>
  <c r="AX138" i="5"/>
  <c r="AZ133" i="5"/>
  <c r="AY133" i="5"/>
  <c r="AX133" i="5"/>
  <c r="AZ132" i="5"/>
  <c r="AY132" i="5"/>
  <c r="AX132" i="5"/>
  <c r="AZ15" i="5"/>
  <c r="AY15" i="5"/>
  <c r="AX15" i="5"/>
  <c r="AZ114" i="5"/>
  <c r="AY114" i="5"/>
  <c r="AX114" i="5"/>
  <c r="AZ100" i="5"/>
  <c r="AY100" i="5"/>
  <c r="AX100" i="5"/>
  <c r="AZ9" i="5"/>
  <c r="AY9" i="5"/>
  <c r="AX9" i="5"/>
  <c r="AZ72" i="5"/>
  <c r="AY72" i="5"/>
  <c r="AX72" i="5"/>
  <c r="AY233" i="5"/>
  <c r="AY33" i="5"/>
  <c r="AZ217" i="5"/>
  <c r="AY217" i="5"/>
  <c r="AX217" i="5"/>
  <c r="AZ216" i="5"/>
  <c r="AY216" i="5"/>
  <c r="AX216" i="5"/>
  <c r="AZ215" i="5"/>
  <c r="AY215" i="5"/>
  <c r="AX215" i="5"/>
  <c r="AZ213" i="5"/>
  <c r="AY213" i="5"/>
  <c r="AX213" i="5"/>
  <c r="AZ158" i="5"/>
  <c r="AY158" i="5"/>
  <c r="AX158" i="5"/>
  <c r="AZ143" i="5"/>
  <c r="AY143" i="5"/>
  <c r="AX143" i="5"/>
  <c r="AZ111" i="5"/>
  <c r="AY111" i="5"/>
  <c r="AX111" i="5"/>
  <c r="AZ101" i="5"/>
  <c r="AY101" i="5"/>
  <c r="AX101" i="5"/>
  <c r="AZ95" i="5"/>
  <c r="AY95" i="5"/>
  <c r="AX95" i="5"/>
  <c r="AZ87" i="5"/>
  <c r="AY87" i="5"/>
  <c r="AX87" i="5"/>
  <c r="AZ85" i="5"/>
  <c r="AY85" i="5"/>
  <c r="AX85" i="5"/>
  <c r="AZ82" i="5"/>
  <c r="AY82" i="5"/>
  <c r="AX82" i="5"/>
  <c r="AZ251" i="5"/>
  <c r="AY251" i="5"/>
  <c r="AX251" i="5"/>
  <c r="AZ244" i="5"/>
  <c r="AY244" i="5"/>
  <c r="AX244" i="5"/>
  <c r="AZ242" i="5"/>
  <c r="AY242" i="5"/>
  <c r="AX242" i="5"/>
  <c r="AZ237" i="5"/>
  <c r="AY237" i="5"/>
  <c r="AX237" i="5"/>
  <c r="AZ235" i="5"/>
  <c r="AY235" i="5"/>
  <c r="AX235" i="5"/>
  <c r="AZ234" i="5"/>
  <c r="AY234" i="5"/>
  <c r="AX234" i="5"/>
  <c r="AZ230" i="5"/>
  <c r="AY230" i="5"/>
  <c r="AX230" i="5"/>
  <c r="AZ229" i="5"/>
  <c r="AY229" i="5"/>
  <c r="AX229" i="5"/>
  <c r="AZ218" i="5"/>
  <c r="AY218" i="5"/>
  <c r="AX218" i="5"/>
  <c r="AZ214" i="5"/>
  <c r="AY214" i="5"/>
  <c r="AX214" i="5"/>
  <c r="AZ210" i="5"/>
  <c r="AY210" i="5"/>
  <c r="AX210" i="5"/>
  <c r="AZ209" i="5"/>
  <c r="AY209" i="5"/>
  <c r="AX209" i="5"/>
  <c r="AZ206" i="5"/>
  <c r="AY206" i="5"/>
  <c r="AX206" i="5"/>
  <c r="AZ205" i="5"/>
  <c r="AY205" i="5"/>
  <c r="AX205" i="5"/>
  <c r="AZ204" i="5"/>
  <c r="AY204" i="5"/>
  <c r="AX204" i="5"/>
  <c r="AZ203" i="5"/>
  <c r="AY203" i="5"/>
  <c r="AX203" i="5"/>
  <c r="AZ202" i="5"/>
  <c r="AY202" i="5"/>
  <c r="AX202" i="5"/>
  <c r="AZ201" i="5"/>
  <c r="AY201" i="5"/>
  <c r="AX201" i="5"/>
  <c r="AZ199" i="5"/>
  <c r="AY199" i="5"/>
  <c r="AX199" i="5"/>
  <c r="AZ288" i="5"/>
  <c r="AY288" i="5"/>
  <c r="AX288" i="5"/>
  <c r="AZ284" i="5"/>
  <c r="AY284" i="5"/>
  <c r="AX284" i="5"/>
  <c r="AZ283" i="5"/>
  <c r="AY283" i="5"/>
  <c r="AX283" i="5"/>
  <c r="AZ192" i="5"/>
  <c r="AY192" i="5"/>
  <c r="AX192" i="5"/>
  <c r="AZ178" i="5"/>
  <c r="AY178" i="5"/>
  <c r="AX178" i="5"/>
  <c r="AZ168" i="5"/>
  <c r="AY168" i="5"/>
  <c r="AX168" i="5"/>
  <c r="AZ162" i="5"/>
  <c r="AY162" i="5"/>
  <c r="AX162" i="5"/>
  <c r="AZ160" i="5"/>
  <c r="AY160" i="5"/>
  <c r="AX160" i="5"/>
  <c r="AZ159" i="5"/>
  <c r="AY159" i="5"/>
  <c r="AX159" i="5"/>
  <c r="AZ155" i="5"/>
  <c r="AY155" i="5"/>
  <c r="AX155" i="5"/>
  <c r="AZ145" i="5"/>
  <c r="AY145" i="5"/>
  <c r="AX145" i="5"/>
  <c r="AZ131" i="5"/>
  <c r="AY131" i="5"/>
  <c r="AX131" i="5"/>
  <c r="AZ267" i="5"/>
  <c r="AY267" i="5"/>
  <c r="AX267" i="5"/>
  <c r="AZ108" i="5"/>
  <c r="AY108" i="5"/>
  <c r="AX108" i="5"/>
  <c r="AZ107" i="5"/>
  <c r="AY107" i="5"/>
  <c r="AX107" i="5"/>
  <c r="AZ106" i="5"/>
  <c r="AY106" i="5"/>
  <c r="AX106" i="5"/>
  <c r="AZ103" i="5"/>
  <c r="AY103" i="5"/>
  <c r="AX103" i="5"/>
  <c r="AZ102" i="5"/>
  <c r="AY102" i="5"/>
  <c r="AX102" i="5"/>
  <c r="AZ261" i="5"/>
  <c r="AY261" i="5"/>
  <c r="AX261" i="5"/>
  <c r="AZ94" i="5"/>
  <c r="AY94" i="5"/>
  <c r="AX94" i="5"/>
  <c r="AZ93" i="5"/>
  <c r="AY93" i="5"/>
  <c r="AX93" i="5"/>
  <c r="AZ11" i="5"/>
  <c r="AY11" i="5"/>
  <c r="AX11" i="5"/>
  <c r="AZ10" i="5"/>
  <c r="AY10" i="5"/>
  <c r="AX10" i="5"/>
  <c r="AZ92" i="5"/>
  <c r="AY92" i="5"/>
  <c r="AX92" i="5"/>
  <c r="AZ260" i="5"/>
  <c r="AY260" i="5"/>
  <c r="AX260" i="5"/>
  <c r="AZ86" i="5"/>
  <c r="AY86" i="5"/>
  <c r="AX86" i="5"/>
  <c r="AZ259" i="5"/>
  <c r="AY259" i="5"/>
  <c r="AX259" i="5"/>
  <c r="AZ258" i="5"/>
  <c r="AY258" i="5"/>
  <c r="AX258" i="5"/>
  <c r="AZ84" i="5"/>
  <c r="AY84" i="5"/>
  <c r="AX84" i="5"/>
  <c r="AZ83" i="5"/>
  <c r="AY83" i="5"/>
  <c r="AX83" i="5"/>
  <c r="AZ266" i="5"/>
  <c r="AY266" i="5"/>
  <c r="AX266" i="5"/>
  <c r="AZ81" i="5"/>
  <c r="AY81" i="5"/>
  <c r="AX81" i="5"/>
  <c r="AZ265" i="5"/>
  <c r="AY265" i="5"/>
  <c r="AX265" i="5"/>
  <c r="AZ54" i="5"/>
  <c r="AY54" i="5"/>
  <c r="AX54" i="5"/>
  <c r="AZ51" i="5"/>
  <c r="AY51" i="5"/>
  <c r="AX51" i="5"/>
  <c r="AZ35" i="5"/>
  <c r="AY35" i="5"/>
  <c r="AX35" i="5"/>
  <c r="AZ238" i="5"/>
  <c r="AY238" i="5"/>
  <c r="AX238" i="5"/>
  <c r="AZ232" i="5"/>
  <c r="AY232" i="5"/>
  <c r="AX232" i="5"/>
  <c r="AZ164" i="5"/>
  <c r="AY164" i="5"/>
  <c r="AX164" i="5"/>
  <c r="AZ135" i="5"/>
  <c r="AY135" i="5"/>
  <c r="AX135" i="5"/>
  <c r="AZ14" i="5"/>
  <c r="AY14" i="5"/>
  <c r="AX14" i="5"/>
  <c r="AZ110" i="5"/>
  <c r="AY110" i="5"/>
  <c r="AX110" i="5"/>
  <c r="AY61" i="5"/>
  <c r="AZ297" i="5"/>
  <c r="AY297" i="5"/>
  <c r="AX297" i="5"/>
  <c r="AZ26" i="5"/>
  <c r="AY26" i="5"/>
  <c r="AX26" i="5"/>
  <c r="AZ25" i="5"/>
  <c r="AY25" i="5"/>
  <c r="AX25" i="5"/>
  <c r="AZ24" i="5"/>
  <c r="AY24" i="5"/>
  <c r="AX24" i="5"/>
  <c r="AZ23" i="5"/>
  <c r="AY23" i="5"/>
  <c r="AX23" i="5"/>
  <c r="AZ22" i="5"/>
  <c r="AY22" i="5"/>
  <c r="AX22" i="5"/>
  <c r="AZ180" i="5"/>
  <c r="AY180" i="5"/>
  <c r="AX180" i="5"/>
  <c r="AZ146" i="5"/>
  <c r="AY146" i="5"/>
  <c r="AX146" i="5"/>
  <c r="AZ123" i="5"/>
  <c r="AY123" i="5"/>
  <c r="AX123" i="5"/>
  <c r="AZ269" i="5"/>
  <c r="AY269" i="5"/>
  <c r="AX269" i="5"/>
  <c r="AZ104" i="5"/>
  <c r="AY104" i="5"/>
  <c r="AX104" i="5"/>
  <c r="AZ252" i="5"/>
  <c r="AY252" i="5"/>
  <c r="AX252" i="5"/>
  <c r="AZ50" i="5"/>
  <c r="AY50" i="5"/>
  <c r="AX50" i="5"/>
  <c r="AY32" i="5"/>
  <c r="AZ30" i="5"/>
  <c r="AY30" i="5"/>
  <c r="AX30" i="5"/>
  <c r="AY29" i="5"/>
  <c r="AX29" i="5"/>
  <c r="AZ182" i="5"/>
  <c r="AY182" i="5"/>
  <c r="AX182" i="5"/>
  <c r="AZ177" i="5"/>
  <c r="AY177" i="5"/>
  <c r="AX177" i="5"/>
  <c r="AZ140" i="5"/>
  <c r="AY140" i="5"/>
  <c r="AX140" i="5"/>
  <c r="AZ128" i="5"/>
  <c r="AY128" i="5"/>
  <c r="AX128" i="5"/>
  <c r="AZ125" i="5"/>
  <c r="AY125" i="5"/>
  <c r="AX125" i="5"/>
  <c r="AZ272" i="5"/>
  <c r="AY272" i="5"/>
  <c r="AX272" i="5"/>
  <c r="AZ12" i="5"/>
  <c r="AY12" i="5"/>
  <c r="AX12" i="5"/>
  <c r="AZ89" i="5"/>
  <c r="AY89" i="5"/>
  <c r="AX89" i="5"/>
  <c r="AZ78" i="5"/>
  <c r="AY78" i="5"/>
  <c r="AX78" i="5"/>
  <c r="AZ264" i="5"/>
  <c r="AY264" i="5"/>
  <c r="AX264" i="5"/>
  <c r="AZ53" i="5"/>
  <c r="AY53" i="5"/>
  <c r="AX53" i="5"/>
  <c r="AZ220" i="5"/>
  <c r="AY220" i="5"/>
  <c r="AX220" i="5"/>
  <c r="AZ219" i="5"/>
  <c r="AY219" i="5"/>
  <c r="AX219" i="5"/>
  <c r="AZ185" i="5"/>
  <c r="AY185" i="5"/>
  <c r="AX185" i="5"/>
  <c r="AZ181" i="5"/>
  <c r="AY181" i="5"/>
  <c r="AX181" i="5"/>
  <c r="AZ174" i="5"/>
  <c r="AY174" i="5"/>
  <c r="AX174" i="5"/>
  <c r="AZ119" i="5"/>
  <c r="AY119" i="5"/>
  <c r="AX119" i="5"/>
  <c r="AZ52" i="5"/>
  <c r="AY52" i="5"/>
  <c r="AX52" i="5"/>
  <c r="AZ225" i="5"/>
  <c r="AY225" i="5"/>
  <c r="AX225" i="5"/>
  <c r="AZ208" i="5"/>
  <c r="AY208" i="5"/>
  <c r="AX208" i="5"/>
  <c r="AZ183" i="5"/>
  <c r="AY183" i="5"/>
  <c r="AX183" i="5"/>
  <c r="AZ227" i="5"/>
  <c r="AY227" i="5"/>
  <c r="AX227" i="5"/>
  <c r="AZ263" i="5"/>
  <c r="AY263" i="5"/>
  <c r="AX263" i="5"/>
  <c r="AZ240" i="5"/>
  <c r="AY240" i="5"/>
  <c r="AX240" i="5"/>
  <c r="AZ117" i="5"/>
  <c r="AY117" i="5"/>
  <c r="AX117" i="5"/>
  <c r="AZ79" i="5"/>
  <c r="AY79" i="5"/>
  <c r="AX79" i="5"/>
  <c r="AZ77" i="5"/>
  <c r="AY77" i="5"/>
  <c r="AX77" i="5"/>
  <c r="AZ222" i="5"/>
  <c r="AY222" i="5"/>
  <c r="AX222" i="5"/>
  <c r="AZ171" i="5"/>
  <c r="AY171" i="5"/>
  <c r="AX171" i="5"/>
  <c r="AZ139" i="5"/>
  <c r="AY139" i="5"/>
  <c r="AX139" i="5"/>
  <c r="AZ187" i="5"/>
  <c r="AY187" i="5"/>
  <c r="AX187" i="5"/>
  <c r="AZ186" i="5"/>
  <c r="AY186" i="5"/>
  <c r="AX186" i="5"/>
  <c r="AZ184" i="5"/>
  <c r="AY184" i="5"/>
  <c r="AX184" i="5"/>
  <c r="AZ173" i="5"/>
  <c r="AY173" i="5"/>
  <c r="AX173" i="5"/>
  <c r="AZ249" i="5"/>
  <c r="AY249" i="5"/>
  <c r="AX249" i="5"/>
  <c r="AZ170" i="5"/>
  <c r="AY170" i="5"/>
  <c r="AX170" i="5"/>
  <c r="AZ166" i="5"/>
  <c r="AY166" i="5"/>
  <c r="AX166" i="5"/>
  <c r="AZ109" i="5"/>
  <c r="AY109" i="5"/>
  <c r="AX109" i="5"/>
  <c r="AZ165" i="5"/>
  <c r="AY165" i="5"/>
  <c r="AX165" i="5"/>
  <c r="AJ102" i="4"/>
  <c r="J27" i="3"/>
  <c r="J20" i="3"/>
  <c r="J34" i="3"/>
  <c r="J41" i="3"/>
  <c r="BA2" i="5"/>
  <c r="BA291" i="5"/>
  <c r="BA270" i="5"/>
  <c r="BA192" i="5"/>
  <c r="BA120" i="5"/>
  <c r="BA122" i="5"/>
  <c r="BA121" i="5"/>
  <c r="BA273" i="5"/>
  <c r="BA119" i="5"/>
  <c r="BA63" i="5"/>
  <c r="BA64" i="5"/>
  <c r="BA278" i="5"/>
  <c r="BA226" i="5"/>
  <c r="BA164" i="5"/>
  <c r="BA166" i="5"/>
  <c r="BA69" i="5"/>
  <c r="BA62" i="5"/>
  <c r="BA207" i="5"/>
  <c r="BA200" i="5"/>
  <c r="BA48" i="5"/>
  <c r="BA98" i="5"/>
  <c r="BA96" i="5"/>
  <c r="BA14" i="5"/>
  <c r="BA51" i="5"/>
  <c r="BA282" i="5"/>
  <c r="BA150" i="5"/>
  <c r="BA144" i="5"/>
  <c r="BA268" i="5"/>
  <c r="BA236" i="5"/>
  <c r="BA280" i="5"/>
  <c r="BA44" i="5"/>
  <c r="BA285" i="5"/>
  <c r="BA68" i="5"/>
  <c r="BA231" i="5"/>
  <c r="BA49" i="5"/>
  <c r="BA111" i="5"/>
  <c r="BA228" i="5"/>
  <c r="BA292" i="5"/>
  <c r="BA160" i="5"/>
  <c r="BA43" i="5"/>
  <c r="BA34" i="5"/>
  <c r="BA281" i="5"/>
  <c r="BA45" i="5"/>
  <c r="BA222" i="5"/>
  <c r="BA195" i="5"/>
  <c r="BA286" i="5"/>
  <c r="BA3" i="5"/>
  <c r="BA37" i="5"/>
  <c r="BA271" i="5"/>
  <c r="BA125" i="5"/>
  <c r="BA7" i="5"/>
  <c r="BA33" i="5"/>
  <c r="BA279" i="5"/>
  <c r="BA296" i="5"/>
  <c r="BA248" i="5"/>
  <c r="BA276" i="5"/>
  <c r="BA165" i="5"/>
  <c r="BA233" i="5"/>
  <c r="BA199" i="5"/>
  <c r="BA112" i="5"/>
  <c r="BA249" i="5"/>
  <c r="BA237" i="5"/>
  <c r="BA46" i="5"/>
  <c r="BA145" i="5"/>
  <c r="BA90" i="5"/>
  <c r="BA163" i="5"/>
  <c r="BA35" i="5"/>
  <c r="BA168" i="5"/>
  <c r="BA54" i="5"/>
  <c r="BA267" i="5"/>
  <c r="BA194" i="5"/>
  <c r="BA31" i="5"/>
  <c r="BA211" i="5"/>
  <c r="BA162" i="5"/>
  <c r="BA36" i="5"/>
  <c r="BA172" i="5"/>
  <c r="BA76" i="5"/>
  <c r="BA151" i="5"/>
  <c r="BA82" i="5"/>
  <c r="BA73" i="5"/>
  <c r="BA159" i="5"/>
  <c r="BA208" i="5"/>
  <c r="BA234" i="5"/>
  <c r="BA6" i="5"/>
  <c r="BA12" i="5"/>
  <c r="BA158" i="5"/>
  <c r="BA146" i="5"/>
  <c r="BA104" i="5"/>
  <c r="BA193" i="5"/>
  <c r="BA171" i="5"/>
  <c r="BA170" i="5"/>
  <c r="BA101" i="5"/>
  <c r="BA4" i="5"/>
  <c r="BA143" i="5"/>
  <c r="BA287" i="5"/>
  <c r="BA32" i="5"/>
  <c r="BA174" i="5"/>
  <c r="BA213" i="5"/>
  <c r="BA30" i="5"/>
  <c r="BA232" i="5"/>
  <c r="BA157" i="5"/>
  <c r="BA71" i="5"/>
  <c r="BA204" i="5"/>
  <c r="BA205" i="5"/>
  <c r="BA92" i="5"/>
  <c r="BA293" i="5"/>
  <c r="BA91" i="5"/>
  <c r="BA238" i="5"/>
  <c r="BA297" i="5"/>
  <c r="BA18" i="5"/>
  <c r="BA109" i="5"/>
  <c r="BA133" i="5"/>
  <c r="BA80" i="5"/>
  <c r="BA212" i="5"/>
  <c r="BA99" i="5"/>
  <c r="BA113" i="5"/>
  <c r="BA258" i="5"/>
  <c r="BA189" i="5"/>
  <c r="BA75" i="5"/>
  <c r="BA288" i="5"/>
  <c r="BA235" i="5"/>
  <c r="BA167" i="5"/>
  <c r="BA100" i="5"/>
  <c r="BA197" i="5"/>
  <c r="BA141" i="5"/>
  <c r="BA84" i="5"/>
  <c r="BA130" i="5"/>
  <c r="BA17" i="5"/>
  <c r="BA227" i="5"/>
  <c r="BA116" i="5"/>
  <c r="BA196" i="5"/>
  <c r="BA191" i="5"/>
  <c r="BA89" i="5"/>
  <c r="BA86" i="5"/>
  <c r="BA85" i="5"/>
  <c r="BA72" i="5"/>
  <c r="BA190" i="5"/>
  <c r="BA103" i="5"/>
  <c r="BA289" i="5"/>
  <c r="BA83" i="5"/>
  <c r="BA81" i="5"/>
  <c r="BA115" i="5"/>
  <c r="BA261" i="5"/>
  <c r="BA202" i="5"/>
  <c r="BA201" i="5"/>
  <c r="BA16" i="5"/>
  <c r="BA198" i="5"/>
  <c r="BA214" i="5"/>
  <c r="BA218" i="5"/>
  <c r="BA259" i="5"/>
  <c r="BA260" i="5"/>
  <c r="BA182" i="5"/>
  <c r="BA266" i="5"/>
  <c r="BA135" i="5"/>
  <c r="BA28" i="5"/>
  <c r="BA127" i="5"/>
  <c r="BA206" i="5"/>
  <c r="BA126" i="5"/>
  <c r="BA108" i="5"/>
  <c r="BA230" i="5"/>
  <c r="BA169" i="5"/>
  <c r="BA203" i="5"/>
  <c r="BA93" i="5"/>
  <c r="BA95" i="5"/>
  <c r="BA94" i="5"/>
  <c r="BA223" i="5"/>
  <c r="BA187" i="5"/>
  <c r="BA186" i="5"/>
  <c r="BA184" i="5"/>
  <c r="BA274" i="5"/>
  <c r="BA210" i="5"/>
  <c r="BA128" i="5"/>
  <c r="BA185" i="5"/>
  <c r="BA107" i="5"/>
  <c r="BA106" i="5"/>
  <c r="BA13" i="5"/>
  <c r="BA277" i="5"/>
  <c r="BA78" i="5"/>
  <c r="BA21" i="5"/>
  <c r="BA275" i="5"/>
  <c r="BA156" i="5"/>
  <c r="BA57" i="5"/>
  <c r="BA58" i="5"/>
  <c r="BA265" i="5"/>
  <c r="BA77" i="5"/>
  <c r="BA229" i="5"/>
  <c r="BA11" i="5"/>
  <c r="BA155" i="5"/>
  <c r="BA250" i="5"/>
  <c r="BA110" i="5"/>
  <c r="BA79" i="5"/>
  <c r="BA251" i="5"/>
  <c r="BA134" i="5"/>
  <c r="BA215" i="5"/>
  <c r="BA272" i="5"/>
  <c r="BA264" i="5"/>
  <c r="BA147" i="5"/>
  <c r="BA10" i="5"/>
  <c r="BA22" i="5"/>
  <c r="BA173" i="5"/>
  <c r="BA132" i="5"/>
  <c r="BA217" i="5"/>
  <c r="BA114" i="5"/>
  <c r="BA252" i="5"/>
  <c r="BA224" i="5"/>
  <c r="BA220" i="5"/>
  <c r="BA9" i="5"/>
  <c r="BA180" i="5"/>
  <c r="BA136" i="5"/>
  <c r="BA178" i="5"/>
  <c r="BA131" i="5"/>
  <c r="BA26" i="5"/>
  <c r="BA25" i="5"/>
  <c r="BA5" i="5"/>
  <c r="BA24" i="5"/>
  <c r="BA23" i="5"/>
  <c r="BA55" i="5"/>
  <c r="BA87" i="5"/>
  <c r="BA88" i="5"/>
  <c r="BA181" i="5"/>
  <c r="BA15" i="5"/>
  <c r="BA139" i="5"/>
  <c r="BA105" i="5"/>
  <c r="BA216" i="5"/>
  <c r="BA74" i="5"/>
  <c r="BA239" i="5"/>
  <c r="BA393" i="5"/>
  <c r="BA247" i="5"/>
  <c r="BA60" i="5"/>
  <c r="BA254" i="5"/>
  <c r="BA242" i="5"/>
  <c r="BA269" i="5"/>
  <c r="BA240" i="5"/>
  <c r="BA221" i="5"/>
  <c r="BA138" i="5"/>
  <c r="BA183" i="5"/>
  <c r="BA8" i="5"/>
  <c r="BA123" i="5"/>
  <c r="BA389" i="5"/>
  <c r="BA118" i="5"/>
  <c r="BA209" i="5"/>
  <c r="BA245" i="5"/>
  <c r="BA243" i="5"/>
  <c r="BA241" i="5"/>
  <c r="BA395" i="5"/>
  <c r="BA225" i="5"/>
  <c r="BA27" i="5"/>
  <c r="BA255" i="5"/>
  <c r="BA124" i="5"/>
  <c r="BA149" i="5"/>
  <c r="BA129" i="5"/>
  <c r="BA137" i="5"/>
  <c r="BA244" i="5"/>
  <c r="BA179" i="5"/>
  <c r="BA246" i="5"/>
  <c r="BA256" i="5"/>
  <c r="BA263" i="5"/>
  <c r="BA140" i="5"/>
  <c r="BA154" i="5"/>
  <c r="BA409" i="5"/>
  <c r="BA52" i="5"/>
  <c r="BA142" i="5"/>
  <c r="BA406" i="5"/>
  <c r="BA176" i="5"/>
  <c r="BA148" i="5"/>
  <c r="BA152" i="5"/>
  <c r="BA411" i="5"/>
  <c r="BA402" i="5"/>
  <c r="BA400" i="5"/>
  <c r="BA399" i="5"/>
  <c r="BA394" i="5"/>
  <c r="BA392" i="5"/>
  <c r="BA387" i="5"/>
  <c r="BA50" i="5"/>
  <c r="BA257" i="5"/>
  <c r="BA153" i="5"/>
  <c r="BA396" i="5"/>
  <c r="BA59" i="5"/>
  <c r="BA56" i="5"/>
  <c r="BA397" i="5"/>
  <c r="BA53" i="5"/>
  <c r="BA408" i="5"/>
  <c r="BA67" i="5"/>
  <c r="BA65" i="5"/>
  <c r="BA175" i="5"/>
  <c r="BA66" i="5"/>
  <c r="BA38" i="5"/>
  <c r="BA410" i="5"/>
  <c r="BA398" i="5"/>
  <c r="BA39" i="5"/>
  <c r="BA40" i="5"/>
  <c r="BA41" i="5"/>
  <c r="BA102" i="5"/>
  <c r="BA290" i="5"/>
  <c r="BA283" i="5"/>
  <c r="BA61" i="5"/>
  <c r="BA404" i="5"/>
  <c r="BA405" i="5"/>
  <c r="BA388" i="5"/>
  <c r="BA47" i="5"/>
  <c r="BA177" i="5"/>
  <c r="BA42" i="5"/>
  <c r="BA188" i="5"/>
  <c r="BA97" i="5"/>
  <c r="BA161" i="5"/>
  <c r="BA403" i="5"/>
  <c r="BA401" i="5"/>
  <c r="BA391" i="5"/>
  <c r="BA407" i="5"/>
  <c r="BA253" i="5"/>
  <c r="BA262" i="5"/>
  <c r="BA284" i="5"/>
  <c r="Y179" i="4"/>
  <c r="Y190" i="4"/>
  <c r="Y200" i="4"/>
  <c r="Y201" i="4"/>
  <c r="X2" i="12"/>
  <c r="S2" i="12"/>
  <c r="T2" i="12"/>
  <c r="X49" i="4"/>
  <c r="X50" i="4"/>
  <c r="X69" i="4"/>
  <c r="X51" i="4"/>
  <c r="X2" i="4"/>
  <c r="X159" i="4"/>
  <c r="X40" i="4"/>
  <c r="X203" i="4"/>
  <c r="X63" i="4"/>
  <c r="X61" i="4"/>
  <c r="X38" i="4"/>
  <c r="W2" i="12"/>
  <c r="Z179" i="4"/>
  <c r="Z190" i="4"/>
  <c r="Z200" i="4"/>
  <c r="Z201" i="4"/>
  <c r="Y2" i="12"/>
  <c r="AM25" i="2"/>
</calcChain>
</file>

<file path=xl/connections.xml><?xml version="1.0" encoding="utf-8"?>
<connections xmlns="http://schemas.openxmlformats.org/spreadsheetml/2006/main">
  <connection id="1" name="GPCRdb_alignment" type="6" refreshedVersion="0" background="1" saveData="1">
    <textPr fileType="mac" sourceFile="/Users/David/Downloads/GPCRdb_alignment.csv" decimal="," thousands="." tab="0" comma="1">
      <textFields count="2">
        <textField/>
        <textField/>
      </textFields>
    </textPr>
  </connection>
  <connection id="2" name="human_GPCR_fasta.fas" type="6" refreshedVersion="0" background="1" saveData="1">
    <textPr fileType="mac" sourceFile="/Users/David/Dropbox (GloriamGroup)/Projects/GPCRDB/GPCRdb_Proj_Seq_Alignments/1.Annotation_of_structures--Kasper/Future_Format_Planning/human_GPCR_fasta.fas.txt" decimal="," thousands=".">
      <textFields count="2">
        <textField/>
        <textField/>
      </textFields>
    </textPr>
  </connection>
  <connection id="3" name="xtal_templates1" type="6" refreshedVersion="0" background="1" saveData="1">
    <textPr fileType="mac" sourceFile="/Users/ntv489/protwis_vagrant/shared/data/protwis/gpcr/structure_data/annotation/xtal_templates.csv" decimal="," thousands="." comma="1">
      <textFields count="2">
        <textField/>
        <textField/>
      </textFields>
    </textPr>
  </connection>
  <connection id="4" name="xtal_templates2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  <connection id="5" name="xtal_templates3" type="6" refreshedVersion="0" background="1" saveData="1">
    <textPr fileType="mac" sourceFile="/Users/ntv489/protwis_vagrant/shared/data/protwis/gpcr/structure_data/annotation/xtal_templates.csv" decimal="," thousands="." tab="0" comma="1">
      <textFields count="2">
        <textField/>
        <textField/>
      </textFields>
    </textPr>
  </connection>
</connections>
</file>

<file path=xl/sharedStrings.xml><?xml version="1.0" encoding="utf-8"?>
<sst xmlns="http://schemas.openxmlformats.org/spreadsheetml/2006/main" count="14595" uniqueCount="1591">
  <si>
    <t>LigType</t>
  </si>
  <si>
    <t>A</t>
  </si>
  <si>
    <t>Aminergic</t>
  </si>
  <si>
    <t>TM1</t>
  </si>
  <si>
    <t>TM2</t>
  </si>
  <si>
    <t>2x551</t>
  </si>
  <si>
    <t>TM3</t>
  </si>
  <si>
    <t>TM4</t>
  </si>
  <si>
    <t>TM5</t>
  </si>
  <si>
    <t>5x461</t>
  </si>
  <si>
    <t>TM6</t>
  </si>
  <si>
    <t>TM7</t>
  </si>
  <si>
    <t>7x44</t>
  </si>
  <si>
    <t>1x411</t>
  </si>
  <si>
    <t>4x58</t>
  </si>
  <si>
    <t>Adenosine</t>
  </si>
  <si>
    <t>Gs</t>
  </si>
  <si>
    <t>Peptide</t>
  </si>
  <si>
    <t>4x57</t>
  </si>
  <si>
    <t>Lipid</t>
  </si>
  <si>
    <t>4x56</t>
  </si>
  <si>
    <t>23x501</t>
  </si>
  <si>
    <t>Other</t>
  </si>
  <si>
    <t>-</t>
  </si>
  <si>
    <t>GalphaCT</t>
  </si>
  <si>
    <t>4x491</t>
  </si>
  <si>
    <t>4x52</t>
  </si>
  <si>
    <t>C</t>
  </si>
  <si>
    <t>F</t>
  </si>
  <si>
    <t>Protein</t>
  </si>
  <si>
    <t>PDB</t>
  </si>
  <si>
    <t>UniProt</t>
  </si>
  <si>
    <t>glr_human</t>
  </si>
  <si>
    <t>smo_human</t>
  </si>
  <si>
    <t>5ht1b_human</t>
  </si>
  <si>
    <t>5ht2b_human</t>
  </si>
  <si>
    <t>AA2AR_human</t>
  </si>
  <si>
    <t>ADRB2_human</t>
  </si>
  <si>
    <t>crfr1_human</t>
  </si>
  <si>
    <t>ACM2_human</t>
  </si>
  <si>
    <t>grm1_human</t>
  </si>
  <si>
    <t>grm5_human</t>
  </si>
  <si>
    <t>US28_hcmva</t>
  </si>
  <si>
    <t>OPSD_bovin</t>
  </si>
  <si>
    <t>OPRM_mouse</t>
  </si>
  <si>
    <t>OPRD_mouse</t>
  </si>
  <si>
    <t>NTR1_rat</t>
  </si>
  <si>
    <t>ADRB1_melga</t>
  </si>
  <si>
    <t>ACM3_rat</t>
  </si>
  <si>
    <t>5EE7</t>
  </si>
  <si>
    <t>4GRV</t>
  </si>
  <si>
    <t>4L6R</t>
  </si>
  <si>
    <t>4PHU</t>
  </si>
  <si>
    <t>1U19</t>
  </si>
  <si>
    <t>3DQB</t>
  </si>
  <si>
    <t>4ZWJ</t>
  </si>
  <si>
    <t>4QIN</t>
  </si>
  <si>
    <t>4OO9</t>
  </si>
  <si>
    <t>5CGC</t>
  </si>
  <si>
    <t>5CGD</t>
  </si>
  <si>
    <t>4IAR</t>
  </si>
  <si>
    <t>5DSG</t>
  </si>
  <si>
    <t>5CXV</t>
  </si>
  <si>
    <t>3ODU</t>
  </si>
  <si>
    <t>4EJ4</t>
  </si>
  <si>
    <t>4DKL</t>
  </si>
  <si>
    <t>3P0G</t>
  </si>
  <si>
    <t>4EA3</t>
  </si>
  <si>
    <t>4MQS</t>
  </si>
  <si>
    <t>4YAY</t>
  </si>
  <si>
    <t>4IB4</t>
  </si>
  <si>
    <t>4U15</t>
  </si>
  <si>
    <t>3PBL</t>
  </si>
  <si>
    <t>3RZE</t>
  </si>
  <si>
    <t>4MBS</t>
  </si>
  <si>
    <t>2RH1</t>
  </si>
  <si>
    <t>3D4S</t>
  </si>
  <si>
    <t>4LDE</t>
  </si>
  <si>
    <t>4QKX</t>
  </si>
  <si>
    <t>3UON</t>
  </si>
  <si>
    <t>2YDV</t>
  </si>
  <si>
    <t>4EIY</t>
  </si>
  <si>
    <t>4BVN</t>
  </si>
  <si>
    <t>3REY</t>
  </si>
  <si>
    <t>5C1M</t>
  </si>
  <si>
    <t>3SN6</t>
  </si>
  <si>
    <t>4JKV</t>
  </si>
  <si>
    <t>4N6H</t>
  </si>
  <si>
    <t>4DJH</t>
  </si>
  <si>
    <t>4Z35</t>
  </si>
  <si>
    <t>4ZJ8</t>
  </si>
  <si>
    <t>4ZJC</t>
  </si>
  <si>
    <t>4S0V</t>
  </si>
  <si>
    <t>3VW7</t>
  </si>
  <si>
    <t>3V2Y</t>
  </si>
  <si>
    <t>4K5Y</t>
  </si>
  <si>
    <t>4OR2</t>
  </si>
  <si>
    <t>2Z73</t>
  </si>
  <si>
    <t>OPSD_todpa</t>
  </si>
  <si>
    <t>Cl</t>
  </si>
  <si>
    <t>_wt</t>
  </si>
  <si>
    <t>GPCR</t>
  </si>
  <si>
    <t>adrb3_human</t>
  </si>
  <si>
    <t>lpar1_human</t>
  </si>
  <si>
    <t>s1pr1_human</t>
  </si>
  <si>
    <t>casr_human</t>
  </si>
  <si>
    <t>gabr1_human</t>
  </si>
  <si>
    <t>gabr2_human</t>
  </si>
  <si>
    <t>gp156_human</t>
  </si>
  <si>
    <t>gp158_human</t>
  </si>
  <si>
    <t>gp179_human</t>
  </si>
  <si>
    <t>gpc5b_human</t>
  </si>
  <si>
    <t>gpc5c_human</t>
  </si>
  <si>
    <t>gpc5d_human</t>
  </si>
  <si>
    <t>gpc6a_human</t>
  </si>
  <si>
    <t>grm2_human</t>
  </si>
  <si>
    <t>grm3_human</t>
  </si>
  <si>
    <t>grm4_human</t>
  </si>
  <si>
    <t>grm6_human</t>
  </si>
  <si>
    <t>grm7_human</t>
  </si>
  <si>
    <t>grm8_human</t>
  </si>
  <si>
    <t>rai3_human</t>
  </si>
  <si>
    <t>ts1r1_human</t>
  </si>
  <si>
    <t>ts1r2_human</t>
  </si>
  <si>
    <t>ts1r3_human</t>
  </si>
  <si>
    <t>adrb1_human</t>
  </si>
  <si>
    <t>adrb2_human</t>
  </si>
  <si>
    <t>ntr1_human</t>
  </si>
  <si>
    <t>5ht1a_human</t>
  </si>
  <si>
    <t>5ht1d_human</t>
  </si>
  <si>
    <t>5ht1e_human</t>
  </si>
  <si>
    <t>5ht1f_human</t>
  </si>
  <si>
    <t>5ht2a_human</t>
  </si>
  <si>
    <t>5ht2c_human</t>
  </si>
  <si>
    <t>5ht4r_human</t>
  </si>
  <si>
    <t>5ht5a_human</t>
  </si>
  <si>
    <t>5ht6r_human</t>
  </si>
  <si>
    <t>5ht7r_human</t>
  </si>
  <si>
    <t>aa1r_human</t>
  </si>
  <si>
    <t>aa2ar_human</t>
  </si>
  <si>
    <t>aa2br_human</t>
  </si>
  <si>
    <t>aa3r_human</t>
  </si>
  <si>
    <t>ackr1_human</t>
  </si>
  <si>
    <t>ackr2_human</t>
  </si>
  <si>
    <t>ackr3_human</t>
  </si>
  <si>
    <t>ackr4_human</t>
  </si>
  <si>
    <t>acm1_human</t>
  </si>
  <si>
    <t>acm2_human</t>
  </si>
  <si>
    <t>acm3_human</t>
  </si>
  <si>
    <t>acm4_human</t>
  </si>
  <si>
    <t>acm5_human</t>
  </si>
  <si>
    <t>acthr_human</t>
  </si>
  <si>
    <t>ada1a_human</t>
  </si>
  <si>
    <t>ada1b_human</t>
  </si>
  <si>
    <t>ada1d_human</t>
  </si>
  <si>
    <t>ada2a_human</t>
  </si>
  <si>
    <t>ada2b_human</t>
  </si>
  <si>
    <t>ada2c_human</t>
  </si>
  <si>
    <t>agtr1_human</t>
  </si>
  <si>
    <t>agtr2_human</t>
  </si>
  <si>
    <t>apj_human</t>
  </si>
  <si>
    <t>bkrb1_human</t>
  </si>
  <si>
    <t>bkrb2_human</t>
  </si>
  <si>
    <t>brs3_human</t>
  </si>
  <si>
    <t>c3ar_human</t>
  </si>
  <si>
    <t>c5ar1_human</t>
  </si>
  <si>
    <t>c5ar2_human</t>
  </si>
  <si>
    <t>cckar_human</t>
  </si>
  <si>
    <t>ccr1_human</t>
  </si>
  <si>
    <t>ccr10_human</t>
  </si>
  <si>
    <t>ccr2_human</t>
  </si>
  <si>
    <t>ccr3_human</t>
  </si>
  <si>
    <t>ccr4_human</t>
  </si>
  <si>
    <t>ccr5_human</t>
  </si>
  <si>
    <t>ccr6_human</t>
  </si>
  <si>
    <t>ccr7_human</t>
  </si>
  <si>
    <t>ccr8_human</t>
  </si>
  <si>
    <t>ccr9_human</t>
  </si>
  <si>
    <t>ccrl2_human</t>
  </si>
  <si>
    <t>cltr1_human</t>
  </si>
  <si>
    <t>cltr2_human</t>
  </si>
  <si>
    <t>cml1_human</t>
  </si>
  <si>
    <t>cnr1_human</t>
  </si>
  <si>
    <t>cnr2_human</t>
  </si>
  <si>
    <t>cx3c1_human</t>
  </si>
  <si>
    <t>cxcr1_human</t>
  </si>
  <si>
    <t>cxcr2_human</t>
  </si>
  <si>
    <t>cxcr3_human</t>
  </si>
  <si>
    <t>cxcr5_human</t>
  </si>
  <si>
    <t>cxcr6_human</t>
  </si>
  <si>
    <t>drd1_human</t>
  </si>
  <si>
    <t>drd2_human</t>
  </si>
  <si>
    <t>drd3_human</t>
  </si>
  <si>
    <t>drd4_human</t>
  </si>
  <si>
    <t>drd5_human</t>
  </si>
  <si>
    <t>ednra_human</t>
  </si>
  <si>
    <t>ednrb_human</t>
  </si>
  <si>
    <t>etbr2_human</t>
  </si>
  <si>
    <t>ffar2_human</t>
  </si>
  <si>
    <t>ffar3_human</t>
  </si>
  <si>
    <t>ffar4_human</t>
  </si>
  <si>
    <t>fpr1_human</t>
  </si>
  <si>
    <t>fpr2_human</t>
  </si>
  <si>
    <t>fpr3_human</t>
  </si>
  <si>
    <t>fshr_human</t>
  </si>
  <si>
    <t>galr1_human</t>
  </si>
  <si>
    <t>galr2_human</t>
  </si>
  <si>
    <t>galr3_human</t>
  </si>
  <si>
    <t>gasr_human</t>
  </si>
  <si>
    <t>ghsr_human</t>
  </si>
  <si>
    <t>gnrhr_human</t>
  </si>
  <si>
    <t>gnrr2_human</t>
  </si>
  <si>
    <t>gp101_human</t>
  </si>
  <si>
    <t>gp119_human</t>
  </si>
  <si>
    <t>gp132_human</t>
  </si>
  <si>
    <t>gp135_human</t>
  </si>
  <si>
    <t>gp139_human</t>
  </si>
  <si>
    <t>gp141_human</t>
  </si>
  <si>
    <t>gp142_human</t>
  </si>
  <si>
    <t>gp146_human</t>
  </si>
  <si>
    <t>gp148_human</t>
  </si>
  <si>
    <t>gp149_human</t>
  </si>
  <si>
    <t>gp150_human</t>
  </si>
  <si>
    <t>gp151_human</t>
  </si>
  <si>
    <t>gp152_human</t>
  </si>
  <si>
    <t>gp153_human</t>
  </si>
  <si>
    <t>gp160_human</t>
  </si>
  <si>
    <t>gp161_human</t>
  </si>
  <si>
    <t>gp162_human</t>
  </si>
  <si>
    <t>gp171_human</t>
  </si>
  <si>
    <t>gp173_human</t>
  </si>
  <si>
    <t>gp174_human</t>
  </si>
  <si>
    <t>gp176_human</t>
  </si>
  <si>
    <t>gp182_human</t>
  </si>
  <si>
    <t>gp183_human</t>
  </si>
  <si>
    <t>gpbar_human</t>
  </si>
  <si>
    <t>gper1_human</t>
  </si>
  <si>
    <t>gpr1_human</t>
  </si>
  <si>
    <t>gpr12_human</t>
  </si>
  <si>
    <t>gpr15_human</t>
  </si>
  <si>
    <t>gpr17_human</t>
  </si>
  <si>
    <t>gpr18_human</t>
  </si>
  <si>
    <t>gpr19_human</t>
  </si>
  <si>
    <t>gpr20_human</t>
  </si>
  <si>
    <t>gpr21_human</t>
  </si>
  <si>
    <t>gpr22_human</t>
  </si>
  <si>
    <t>gpr25_human</t>
  </si>
  <si>
    <t>gpr26_human</t>
  </si>
  <si>
    <t>gpr27_human</t>
  </si>
  <si>
    <t>gpr3_human</t>
  </si>
  <si>
    <t>gpr31_human</t>
  </si>
  <si>
    <t>gpr32_human</t>
  </si>
  <si>
    <t>gpr33_human</t>
  </si>
  <si>
    <t>gpr34_human</t>
  </si>
  <si>
    <t>gpr35_human</t>
  </si>
  <si>
    <t>gpr37_human</t>
  </si>
  <si>
    <t>gpr39_human</t>
  </si>
  <si>
    <t>gpr4_human</t>
  </si>
  <si>
    <t>gpr42_human</t>
  </si>
  <si>
    <t>gpr45_human</t>
  </si>
  <si>
    <t>gpr52_human</t>
  </si>
  <si>
    <t>gpr55_human</t>
  </si>
  <si>
    <t>gpr6_human</t>
  </si>
  <si>
    <t>gpr61_human</t>
  </si>
  <si>
    <t>gpr62_human</t>
  </si>
  <si>
    <t>gpr63_human</t>
  </si>
  <si>
    <t>gpr75_human</t>
  </si>
  <si>
    <t>gpr78_human</t>
  </si>
  <si>
    <t>gpr82_human</t>
  </si>
  <si>
    <t>gpr83_human</t>
  </si>
  <si>
    <t>gpr84_human</t>
  </si>
  <si>
    <t>gpr85_human</t>
  </si>
  <si>
    <t>gpr87_human</t>
  </si>
  <si>
    <t>gpr88_human</t>
  </si>
  <si>
    <t>grpr_human</t>
  </si>
  <si>
    <t>hcar1_human</t>
  </si>
  <si>
    <t>hcar2_human</t>
  </si>
  <si>
    <t>hcar3_human</t>
  </si>
  <si>
    <t>hrh1_human</t>
  </si>
  <si>
    <t>hrh2_human</t>
  </si>
  <si>
    <t>hrh3_human</t>
  </si>
  <si>
    <t>hrh4_human</t>
  </si>
  <si>
    <t>kissr_human</t>
  </si>
  <si>
    <t>lgr4_human</t>
  </si>
  <si>
    <t>lgr5_human</t>
  </si>
  <si>
    <t>lgr6_human</t>
  </si>
  <si>
    <t>lpar2_human</t>
  </si>
  <si>
    <t>lpar3_human</t>
  </si>
  <si>
    <t>lpar4_human</t>
  </si>
  <si>
    <t>lpar5_human</t>
  </si>
  <si>
    <t>lpar6_human</t>
  </si>
  <si>
    <t>lshr_human</t>
  </si>
  <si>
    <t>lt4r1_human</t>
  </si>
  <si>
    <t>lt4r2_human</t>
  </si>
  <si>
    <t>mas_human</t>
  </si>
  <si>
    <t>mas1l_human</t>
  </si>
  <si>
    <t>mc3r_human</t>
  </si>
  <si>
    <t>mc4r_human</t>
  </si>
  <si>
    <t>mc5r_human</t>
  </si>
  <si>
    <t>mchr1_human</t>
  </si>
  <si>
    <t>mchr2_human</t>
  </si>
  <si>
    <t>mrgrd_human</t>
  </si>
  <si>
    <t>mrgre_human</t>
  </si>
  <si>
    <t>mrgrf_human</t>
  </si>
  <si>
    <t>mrgrg_human</t>
  </si>
  <si>
    <t>mrgx1_human</t>
  </si>
  <si>
    <t>mrgx2_human</t>
  </si>
  <si>
    <t>mrgx3_human</t>
  </si>
  <si>
    <t>mrgx4_human</t>
  </si>
  <si>
    <t>mshr_human</t>
  </si>
  <si>
    <t>mtlr_human</t>
  </si>
  <si>
    <t>mtr1a_human</t>
  </si>
  <si>
    <t>mtr1b_human</t>
  </si>
  <si>
    <t>mtr1l_human</t>
  </si>
  <si>
    <t>nk1r_human</t>
  </si>
  <si>
    <t>nk2r_human</t>
  </si>
  <si>
    <t>nk3r_human</t>
  </si>
  <si>
    <t>nmbr_human</t>
  </si>
  <si>
    <t>nmur1_human</t>
  </si>
  <si>
    <t>nmur2_human</t>
  </si>
  <si>
    <t>npbw1_human</t>
  </si>
  <si>
    <t>npbw2_human</t>
  </si>
  <si>
    <t>npff1_human</t>
  </si>
  <si>
    <t>npff2_human</t>
  </si>
  <si>
    <t>npsr1_human</t>
  </si>
  <si>
    <t>npy1r_human</t>
  </si>
  <si>
    <t>npy2r_human</t>
  </si>
  <si>
    <t>npy4r_human</t>
  </si>
  <si>
    <t>npy5r_human</t>
  </si>
  <si>
    <t>npy6r_human</t>
  </si>
  <si>
    <t>ntr2_human</t>
  </si>
  <si>
    <t>ogr1_human</t>
  </si>
  <si>
    <t>opn3_human</t>
  </si>
  <si>
    <t>opn4_human</t>
  </si>
  <si>
    <t>opn5_human</t>
  </si>
  <si>
    <t>oprd_human</t>
  </si>
  <si>
    <t>oprk_human</t>
  </si>
  <si>
    <t>oprm_human</t>
  </si>
  <si>
    <t>opsb_human</t>
  </si>
  <si>
    <t>opsd_human</t>
  </si>
  <si>
    <t>opsg_human</t>
  </si>
  <si>
    <t>opsr_human</t>
  </si>
  <si>
    <t>oxer1_human</t>
  </si>
  <si>
    <t>oxgr1_human</t>
  </si>
  <si>
    <t>oxyr_human</t>
  </si>
  <si>
    <t>p2ry1_human</t>
  </si>
  <si>
    <t>p2ry2_human</t>
  </si>
  <si>
    <t>p2ry4_human</t>
  </si>
  <si>
    <t>p2ry6_human</t>
  </si>
  <si>
    <t>p2ry8_human</t>
  </si>
  <si>
    <t>p2y10_human</t>
  </si>
  <si>
    <t>p2y11_human</t>
  </si>
  <si>
    <t>p2y12_human</t>
  </si>
  <si>
    <t>p2y13_human</t>
  </si>
  <si>
    <t>p2y14_human</t>
  </si>
  <si>
    <t>par1_human</t>
  </si>
  <si>
    <t>par2_human</t>
  </si>
  <si>
    <t>par3_human</t>
  </si>
  <si>
    <t>par4_human</t>
  </si>
  <si>
    <t>pd2r_human</t>
  </si>
  <si>
    <t>pd2r2_human</t>
  </si>
  <si>
    <t>pe2r1_human</t>
  </si>
  <si>
    <t>pe2r2_human</t>
  </si>
  <si>
    <t>pe2r3_human</t>
  </si>
  <si>
    <t>pe2r4_human</t>
  </si>
  <si>
    <t>pf2r_human</t>
  </si>
  <si>
    <t>pi2r_human</t>
  </si>
  <si>
    <t>pkr1_human</t>
  </si>
  <si>
    <t>pkr2_human</t>
  </si>
  <si>
    <t>prlhr_human</t>
  </si>
  <si>
    <t>psyr_human</t>
  </si>
  <si>
    <t>ptafr_human</t>
  </si>
  <si>
    <t>qrfpr_human</t>
  </si>
  <si>
    <t>rl3r1_human</t>
  </si>
  <si>
    <t>rl3r2_human</t>
  </si>
  <si>
    <t>rxfp1_human</t>
  </si>
  <si>
    <t>rxfp2_human</t>
  </si>
  <si>
    <t>s1pr2_human</t>
  </si>
  <si>
    <t>s1pr3_human</t>
  </si>
  <si>
    <t>s1pr4_human</t>
  </si>
  <si>
    <t>s1pr5_human</t>
  </si>
  <si>
    <t>ssr1_human</t>
  </si>
  <si>
    <t>ssr2_human</t>
  </si>
  <si>
    <t>ssr3_human</t>
  </si>
  <si>
    <t>ssr4_human</t>
  </si>
  <si>
    <t>ssr5_human</t>
  </si>
  <si>
    <t>sucr1_human</t>
  </si>
  <si>
    <t>taar1_human</t>
  </si>
  <si>
    <t>taar2_human</t>
  </si>
  <si>
    <t>taar3_human</t>
  </si>
  <si>
    <t>taar5_human</t>
  </si>
  <si>
    <t>taar6_human</t>
  </si>
  <si>
    <t>taar8_human</t>
  </si>
  <si>
    <t>taar9_human</t>
  </si>
  <si>
    <t>trfr_human</t>
  </si>
  <si>
    <t>tshr_human</t>
  </si>
  <si>
    <t>ur2r_human</t>
  </si>
  <si>
    <t>v1ar_human</t>
  </si>
  <si>
    <t>v1br_human</t>
  </si>
  <si>
    <t>v2r_human</t>
  </si>
  <si>
    <t>xcr1_human</t>
  </si>
  <si>
    <t>calcr_human</t>
  </si>
  <si>
    <t>calrl_human</t>
  </si>
  <si>
    <t>crfr2_human</t>
  </si>
  <si>
    <t>ghrhr_human</t>
  </si>
  <si>
    <t>gipr_human</t>
  </si>
  <si>
    <t>glp1r_human</t>
  </si>
  <si>
    <t>glp2r_human</t>
  </si>
  <si>
    <t>pacr_human</t>
  </si>
  <si>
    <t>pth1r_human</t>
  </si>
  <si>
    <t>pth2r_human</t>
  </si>
  <si>
    <t>sctr_human</t>
  </si>
  <si>
    <t>vipr1_human</t>
  </si>
  <si>
    <t>vipr2_human</t>
  </si>
  <si>
    <t>bai1_human</t>
  </si>
  <si>
    <t>bai2_human</t>
  </si>
  <si>
    <t>bai3_human</t>
  </si>
  <si>
    <t>cd97_human</t>
  </si>
  <si>
    <t>celr1_human</t>
  </si>
  <si>
    <t>celr2_human</t>
  </si>
  <si>
    <t>celr3_human</t>
  </si>
  <si>
    <t>eltd1_human</t>
  </si>
  <si>
    <t>emr1_human</t>
  </si>
  <si>
    <t>emr2_human</t>
  </si>
  <si>
    <t>emr3_human</t>
  </si>
  <si>
    <t>emr4_human</t>
  </si>
  <si>
    <t>gp110_human</t>
  </si>
  <si>
    <t>gp111_human</t>
  </si>
  <si>
    <t>gp112_human</t>
  </si>
  <si>
    <t>gp113_human</t>
  </si>
  <si>
    <t>gp114_human</t>
  </si>
  <si>
    <t>gp115_human</t>
  </si>
  <si>
    <t>gp116_human</t>
  </si>
  <si>
    <t>gp123_human</t>
  </si>
  <si>
    <t>gp124_human</t>
  </si>
  <si>
    <t>gp125_human</t>
  </si>
  <si>
    <t>gp128_human</t>
  </si>
  <si>
    <t>gp133_human</t>
  </si>
  <si>
    <t>gp144_human</t>
  </si>
  <si>
    <t>gpr56_human</t>
  </si>
  <si>
    <t>gpr64_human</t>
  </si>
  <si>
    <t>gpr97_human</t>
  </si>
  <si>
    <t>gpr98_human</t>
  </si>
  <si>
    <t>lphn1_human</t>
  </si>
  <si>
    <t>lphn2_human</t>
  </si>
  <si>
    <t>lphn3_human</t>
  </si>
  <si>
    <t>fzd1_human</t>
  </si>
  <si>
    <t>fzd10_human</t>
  </si>
  <si>
    <t>fzd2_human</t>
  </si>
  <si>
    <t>fzd3_human</t>
  </si>
  <si>
    <t>fzd4_human</t>
  </si>
  <si>
    <t>fzd5_human</t>
  </si>
  <si>
    <t>fzd6_human</t>
  </si>
  <si>
    <t>fzd7_human</t>
  </si>
  <si>
    <t>fzd8_human</t>
  </si>
  <si>
    <t>fzd9_human</t>
  </si>
  <si>
    <t>t2r10_human</t>
  </si>
  <si>
    <t>t2r13_human</t>
  </si>
  <si>
    <t>t2r14_human</t>
  </si>
  <si>
    <t>t2r16_human</t>
  </si>
  <si>
    <t>t2r19_human</t>
  </si>
  <si>
    <t>t2r20_human</t>
  </si>
  <si>
    <t>t2r30_human</t>
  </si>
  <si>
    <t>t2r31_human</t>
  </si>
  <si>
    <t>t2r38_human</t>
  </si>
  <si>
    <t>t2r39_human</t>
  </si>
  <si>
    <t>t2r40_human</t>
  </si>
  <si>
    <t>t2r41_human</t>
  </si>
  <si>
    <t>t2r42_human</t>
  </si>
  <si>
    <t>t2r43_human</t>
  </si>
  <si>
    <t>t2r46_human</t>
  </si>
  <si>
    <t>t2r50_human</t>
  </si>
  <si>
    <t>t2r60_human</t>
  </si>
  <si>
    <t>ta2r_human</t>
  </si>
  <si>
    <t>ta2r1_human</t>
  </si>
  <si>
    <t>ta2r3_human</t>
  </si>
  <si>
    <t>ta2r4_human</t>
  </si>
  <si>
    <t>ta2r5_human</t>
  </si>
  <si>
    <t>ta2r7_human</t>
  </si>
  <si>
    <t>ta2r8_human</t>
  </si>
  <si>
    <t>ta2r9_human</t>
  </si>
  <si>
    <t>g137a_human</t>
  </si>
  <si>
    <t>gp107_human</t>
  </si>
  <si>
    <t>o51e1_human</t>
  </si>
  <si>
    <t>tpra1_human</t>
  </si>
  <si>
    <t>gp143_human</t>
  </si>
  <si>
    <t>gp157_human</t>
  </si>
  <si>
    <t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t>
  </si>
  <si>
    <t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t>
  </si>
  <si>
    <t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t>
  </si>
  <si>
    <t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t>
  </si>
  <si>
    <t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t>
  </si>
  <si>
    <t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t>
  </si>
  <si>
    <t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t>
  </si>
  <si>
    <t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t>
  </si>
  <si>
    <t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t>
  </si>
  <si>
    <t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t>
  </si>
  <si>
    <t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t>
  </si>
  <si>
    <t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t>
  </si>
  <si>
    <t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t>
  </si>
  <si>
    <t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t>
  </si>
  <si>
    <t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t>
  </si>
  <si>
    <t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t>
  </si>
  <si>
    <t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t>
  </si>
  <si>
    <t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t>
  </si>
  <si>
    <t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t>
  </si>
  <si>
    <t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t>
  </si>
  <si>
    <t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t>
  </si>
  <si>
    <t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t>
  </si>
  <si>
    <t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t>
  </si>
  <si>
    <t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t>
  </si>
  <si>
    <t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t>
  </si>
  <si>
    <t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t>
  </si>
  <si>
    <t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t>
  </si>
  <si>
    <t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t>
  </si>
  <si>
    <t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t>
  </si>
  <si>
    <t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t>
  </si>
  <si>
    <t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t>
  </si>
  <si>
    <t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t>
  </si>
  <si>
    <t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t>
  </si>
  <si>
    <t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t>
  </si>
  <si>
    <t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t>
  </si>
  <si>
    <t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t>
  </si>
  <si>
    <t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t>
  </si>
  <si>
    <t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t>
  </si>
  <si>
    <t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t>
  </si>
  <si>
    <t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t>
  </si>
  <si>
    <t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t>
  </si>
  <si>
    <t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t>
  </si>
  <si>
    <t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t>
  </si>
  <si>
    <t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t>
  </si>
  <si>
    <t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t>
  </si>
  <si>
    <t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t>
  </si>
  <si>
    <t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t>
  </si>
  <si>
    <t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t>
  </si>
  <si>
    <t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t>
  </si>
  <si>
    <t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t>
  </si>
  <si>
    <t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t>
  </si>
  <si>
    <t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t>
  </si>
  <si>
    <t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t>
  </si>
  <si>
    <t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t>
  </si>
  <si>
    <t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t>
  </si>
  <si>
    <t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t>
  </si>
  <si>
    <t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t>
  </si>
  <si>
    <t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t>
  </si>
  <si>
    <t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t>
  </si>
  <si>
    <t>MSAGNGTPWDATWNITVQWLAVDIACRTLMFLKLMATYSAAFLPVVIGLDRQAAVLNPLGSRSGVRKLLGAAWGLSFLLAFPQLFLFHTVHCAGPVPFTQCVTKGSFKAQWQETTYNLFTFCCLFLLPLTAMAICYSRIVLSVSRPQTRKGSHAPAGEFALPRSFDNCPRVRLRALRLALLILLTFILCWTPYYLLGMWYWFSPTMLTEVPPSLSHILFLLGLLNAPLDPLLYGAFTLGCRRGHQELSIDSSKEGSGRMLQEEIHAFRQLEVQKTVTSRRAGETKGISITSI</t>
  </si>
  <si>
    <t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t>
  </si>
  <si>
    <t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t>
  </si>
  <si>
    <t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t>
  </si>
  <si>
    <t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t>
  </si>
  <si>
    <t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t>
  </si>
  <si>
    <t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t>
  </si>
  <si>
    <t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t>
  </si>
  <si>
    <t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t>
  </si>
  <si>
    <t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t>
  </si>
  <si>
    <t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t>
  </si>
  <si>
    <t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t>
  </si>
  <si>
    <t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t>
  </si>
  <si>
    <t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t>
  </si>
  <si>
    <t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t>
  </si>
  <si>
    <t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t>
  </si>
  <si>
    <t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t>
  </si>
  <si>
    <t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t>
  </si>
  <si>
    <t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t>
  </si>
  <si>
    <t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t>
  </si>
  <si>
    <t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t>
  </si>
  <si>
    <t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t>
  </si>
  <si>
    <t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t>
  </si>
  <si>
    <t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t>
  </si>
  <si>
    <t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t>
  </si>
  <si>
    <t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t>
  </si>
  <si>
    <t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t>
  </si>
  <si>
    <t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t>
  </si>
  <si>
    <t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t>
  </si>
  <si>
    <t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t>
  </si>
  <si>
    <t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t>
  </si>
  <si>
    <t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t>
  </si>
  <si>
    <t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t>
  </si>
  <si>
    <t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t>
  </si>
  <si>
    <t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t>
  </si>
  <si>
    <t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t>
  </si>
  <si>
    <t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t>
  </si>
  <si>
    <t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t>
  </si>
  <si>
    <t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t>
  </si>
  <si>
    <t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t>
  </si>
  <si>
    <t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t>
  </si>
  <si>
    <t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t>
  </si>
  <si>
    <t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t>
  </si>
  <si>
    <t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t>
  </si>
  <si>
    <t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t>
  </si>
  <si>
    <t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t>
  </si>
  <si>
    <t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t>
  </si>
  <si>
    <t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t>
  </si>
  <si>
    <t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t>
  </si>
  <si>
    <t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t>
  </si>
  <si>
    <t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t>
  </si>
  <si>
    <t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t>
  </si>
  <si>
    <t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t>
  </si>
  <si>
    <t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t>
  </si>
  <si>
    <t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t>
  </si>
  <si>
    <t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t>
  </si>
  <si>
    <t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t>
  </si>
  <si>
    <t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t>
  </si>
  <si>
    <t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t>
  </si>
  <si>
    <t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t>
  </si>
  <si>
    <t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t>
  </si>
  <si>
    <t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t>
  </si>
  <si>
    <t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t>
  </si>
  <si>
    <t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t>
  </si>
  <si>
    <t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t>
  </si>
  <si>
    <t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t>
  </si>
  <si>
    <t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t>
  </si>
  <si>
    <t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t>
  </si>
  <si>
    <t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t>
  </si>
  <si>
    <t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t>
  </si>
  <si>
    <t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t>
  </si>
  <si>
    <t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t>
  </si>
  <si>
    <t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t>
  </si>
  <si>
    <t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t>
  </si>
  <si>
    <t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t>
  </si>
  <si>
    <t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t>
  </si>
  <si>
    <t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t>
  </si>
  <si>
    <t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t>
  </si>
  <si>
    <t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t>
  </si>
  <si>
    <t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t>
  </si>
  <si>
    <t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t>
  </si>
  <si>
    <t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t>
  </si>
  <si>
    <t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t>
  </si>
  <si>
    <t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t>
  </si>
  <si>
    <t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t>
  </si>
  <si>
    <t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t>
  </si>
  <si>
    <t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t>
  </si>
  <si>
    <t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t>
  </si>
  <si>
    <t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t>
  </si>
  <si>
    <t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t>
  </si>
  <si>
    <t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t>
  </si>
  <si>
    <t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t>
  </si>
  <si>
    <t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t>
  </si>
  <si>
    <t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t>
  </si>
  <si>
    <t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t>
  </si>
  <si>
    <t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t>
  </si>
  <si>
    <t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t>
  </si>
  <si>
    <t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t>
  </si>
  <si>
    <t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t>
  </si>
  <si>
    <t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t>
  </si>
  <si>
    <t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t>
  </si>
  <si>
    <t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t>
  </si>
  <si>
    <t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t>
  </si>
  <si>
    <t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t>
  </si>
  <si>
    <t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t>
  </si>
  <si>
    <t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t>
  </si>
  <si>
    <t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t>
  </si>
  <si>
    <t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t>
  </si>
  <si>
    <t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t>
  </si>
  <si>
    <t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t>
  </si>
  <si>
    <t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t>
  </si>
  <si>
    <t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t>
  </si>
  <si>
    <t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t>
  </si>
  <si>
    <t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t>
  </si>
  <si>
    <t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t>
  </si>
  <si>
    <t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t>
  </si>
  <si>
    <t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t>
  </si>
  <si>
    <t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t>
  </si>
  <si>
    <t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t>
  </si>
  <si>
    <t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t>
  </si>
  <si>
    <t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t>
  </si>
  <si>
    <t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t>
  </si>
  <si>
    <t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t>
  </si>
  <si>
    <t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t>
  </si>
  <si>
    <t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t>
  </si>
  <si>
    <t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t>
  </si>
  <si>
    <t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t>
  </si>
  <si>
    <t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t>
  </si>
  <si>
    <t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t>
  </si>
  <si>
    <t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t>
  </si>
  <si>
    <t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t>
  </si>
  <si>
    <t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t>
  </si>
  <si>
    <t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t>
  </si>
  <si>
    <t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t>
  </si>
  <si>
    <t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t>
  </si>
  <si>
    <t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t>
  </si>
  <si>
    <t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t>
  </si>
  <si>
    <t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t>
  </si>
  <si>
    <t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t>
  </si>
  <si>
    <t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t>
  </si>
  <si>
    <t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t>
  </si>
  <si>
    <t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t>
  </si>
  <si>
    <t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t>
  </si>
  <si>
    <t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t>
  </si>
  <si>
    <t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t>
  </si>
  <si>
    <t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t>
  </si>
  <si>
    <t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t>
  </si>
  <si>
    <t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t>
  </si>
  <si>
    <t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t>
  </si>
  <si>
    <t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t>
  </si>
  <si>
    <t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t>
  </si>
  <si>
    <t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t>
  </si>
  <si>
    <t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t>
  </si>
  <si>
    <t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t>
  </si>
  <si>
    <t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t>
  </si>
  <si>
    <t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t>
  </si>
  <si>
    <t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t>
  </si>
  <si>
    <t>MPSAIEAIYIILIAGELTIGIWGNGFIVLVNCIDWLKRRDISLIDIILISLAISRICLLCVISLDGFFMLLFPGTYGNSVLVSIVNVVWTFANNSSLWFTSCLSIFYLLKIANISHPFFFWLKLKINKVMLAILLGSFLISLIISVPKNDDMWYHLFKVSHEENITWKFKVSKIPGTFKQLTLNLGVMVPFILCLISFFLLLFSLVRHTKQIRLHATGFRDPSTEAHMRAIKAVIIFLLLLIVYYPVFLVMTSSALIPQGKLVLMIGDIVTVIFPSSHSFILIMGNSKLREAFLKMLRFVKCFLRRRKPFVP</t>
  </si>
  <si>
    <t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t>
  </si>
  <si>
    <t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t>
  </si>
  <si>
    <t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t>
  </si>
  <si>
    <t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t>
  </si>
  <si>
    <t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t>
  </si>
  <si>
    <t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t>
  </si>
  <si>
    <t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t>
  </si>
  <si>
    <t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t>
  </si>
  <si>
    <t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t>
  </si>
  <si>
    <t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t>
  </si>
  <si>
    <t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t>
  </si>
  <si>
    <t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t>
  </si>
  <si>
    <t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t>
  </si>
  <si>
    <t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t>
  </si>
  <si>
    <t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t>
  </si>
  <si>
    <t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t>
  </si>
  <si>
    <t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t>
  </si>
  <si>
    <t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t>
  </si>
  <si>
    <t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t>
  </si>
  <si>
    <t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t>
  </si>
  <si>
    <t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t>
  </si>
  <si>
    <t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t>
  </si>
  <si>
    <t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t>
  </si>
  <si>
    <t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t>
  </si>
  <si>
    <t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t>
  </si>
  <si>
    <t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t>
  </si>
  <si>
    <t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t>
  </si>
  <si>
    <t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t>
  </si>
  <si>
    <t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t>
  </si>
  <si>
    <t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t>
  </si>
  <si>
    <t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t>
  </si>
  <si>
    <t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t>
  </si>
  <si>
    <t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t>
  </si>
  <si>
    <t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t>
  </si>
  <si>
    <t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t>
  </si>
  <si>
    <t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t>
  </si>
  <si>
    <t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t>
  </si>
  <si>
    <t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t>
  </si>
  <si>
    <t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t>
  </si>
  <si>
    <t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t>
  </si>
  <si>
    <t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t>
  </si>
  <si>
    <t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t>
  </si>
  <si>
    <t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t>
  </si>
  <si>
    <t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t>
  </si>
  <si>
    <t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t>
  </si>
  <si>
    <t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t>
  </si>
  <si>
    <t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t>
  </si>
  <si>
    <t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t>
  </si>
  <si>
    <t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t>
  </si>
  <si>
    <t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t>
  </si>
  <si>
    <t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t>
  </si>
  <si>
    <t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t>
  </si>
  <si>
    <t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t>
  </si>
  <si>
    <t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t>
  </si>
  <si>
    <t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t>
  </si>
  <si>
    <t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t>
  </si>
  <si>
    <t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t>
  </si>
  <si>
    <t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t>
  </si>
  <si>
    <t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t>
  </si>
  <si>
    <t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t>
  </si>
  <si>
    <t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t>
  </si>
  <si>
    <t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t>
  </si>
  <si>
    <t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t>
  </si>
  <si>
    <t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t>
  </si>
  <si>
    <t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t>
  </si>
  <si>
    <t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t>
  </si>
  <si>
    <t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t>
  </si>
  <si>
    <t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t>
  </si>
  <si>
    <t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t>
  </si>
  <si>
    <t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t>
  </si>
  <si>
    <t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t>
  </si>
  <si>
    <t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t>
  </si>
  <si>
    <t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t>
  </si>
  <si>
    <t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t>
  </si>
  <si>
    <t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t>
  </si>
  <si>
    <t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t>
  </si>
  <si>
    <t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t>
  </si>
  <si>
    <t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t>
  </si>
  <si>
    <t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t>
  </si>
  <si>
    <t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t>
  </si>
  <si>
    <t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t>
  </si>
  <si>
    <t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t>
  </si>
  <si>
    <t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t>
  </si>
  <si>
    <t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t>
  </si>
  <si>
    <t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t>
  </si>
  <si>
    <t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t>
  </si>
  <si>
    <t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t>
  </si>
  <si>
    <t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t>
  </si>
  <si>
    <t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t>
  </si>
  <si>
    <t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t>
  </si>
  <si>
    <t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t>
  </si>
  <si>
    <t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t>
  </si>
  <si>
    <t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t>
  </si>
  <si>
    <t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t>
  </si>
  <si>
    <t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t>
  </si>
  <si>
    <t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t>
  </si>
  <si>
    <t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t>
  </si>
  <si>
    <t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t>
  </si>
  <si>
    <t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t>
  </si>
  <si>
    <t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t>
  </si>
  <si>
    <t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t>
  </si>
  <si>
    <t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t>
  </si>
  <si>
    <t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t>
  </si>
  <si>
    <t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t>
  </si>
  <si>
    <t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t>
  </si>
  <si>
    <t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t>
  </si>
  <si>
    <t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t>
  </si>
  <si>
    <t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t>
  </si>
  <si>
    <t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t>
  </si>
  <si>
    <t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t>
  </si>
  <si>
    <t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t>
  </si>
  <si>
    <t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t>
  </si>
  <si>
    <t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t>
  </si>
  <si>
    <t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t>
  </si>
  <si>
    <t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t>
  </si>
  <si>
    <t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t>
  </si>
  <si>
    <t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t>
  </si>
  <si>
    <t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t>
  </si>
  <si>
    <t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t>
  </si>
  <si>
    <t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t>
  </si>
  <si>
    <t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t>
  </si>
  <si>
    <t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t>
  </si>
  <si>
    <t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t>
  </si>
  <si>
    <t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t>
  </si>
  <si>
    <t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t>
  </si>
  <si>
    <t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t>
  </si>
  <si>
    <t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t>
  </si>
  <si>
    <t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t>
  </si>
  <si>
    <t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t>
  </si>
  <si>
    <t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t>
  </si>
  <si>
    <t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t>
  </si>
  <si>
    <t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t>
  </si>
  <si>
    <t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t>
  </si>
  <si>
    <t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t>
  </si>
  <si>
    <t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t>
  </si>
  <si>
    <t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t>
  </si>
  <si>
    <t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t>
  </si>
  <si>
    <t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t>
  </si>
  <si>
    <t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t>
  </si>
  <si>
    <t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t>
  </si>
  <si>
    <t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t>
  </si>
  <si>
    <t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t>
  </si>
  <si>
    <t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t>
  </si>
  <si>
    <t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t>
  </si>
  <si>
    <t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t>
  </si>
  <si>
    <t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t>
  </si>
  <si>
    <t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t>
  </si>
  <si>
    <t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t>
  </si>
  <si>
    <t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t>
  </si>
  <si>
    <t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t>
  </si>
  <si>
    <t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t>
  </si>
  <si>
    <t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t>
  </si>
  <si>
    <t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t>
  </si>
  <si>
    <t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t>
  </si>
  <si>
    <t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t>
  </si>
  <si>
    <t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t>
  </si>
  <si>
    <t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t>
  </si>
  <si>
    <t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t>
  </si>
  <si>
    <t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t>
  </si>
  <si>
    <t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t>
  </si>
  <si>
    <t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t>
  </si>
  <si>
    <t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t>
  </si>
  <si>
    <t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t>
  </si>
  <si>
    <t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t>
  </si>
  <si>
    <t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t>
  </si>
  <si>
    <t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t>
  </si>
  <si>
    <t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t>
  </si>
  <si>
    <t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t>
  </si>
  <si>
    <t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t>
  </si>
  <si>
    <t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t>
  </si>
  <si>
    <t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t>
  </si>
  <si>
    <t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t>
  </si>
  <si>
    <t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t>
  </si>
  <si>
    <t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t>
  </si>
  <si>
    <t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t>
  </si>
  <si>
    <t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t>
  </si>
  <si>
    <t>MVDPNGNESSATYFILIGLPGLEEAQFWLAFPLCSLYLIAVLGNLTIIYIVRTEHSLHEPMYIFLCMLSGIDILISTSSMPKMLAIFWFNSTTIQFDACLLQMFAIHSLSGMESTVLLAMAFDRYVAICHPLRHATVLTLPRVTKIGVAAVVRGAALMAPLPVFIKQLPFCRSNILSHSYCLHQDVMKLACDDIRVNVVYGLIVIISAIGLDSLLISFSYLLILKTVLGLTREAQAKAFGTCVSHVCAVFIFYVPFIGLSMVHRFSKRRDSPLPVILANIYLLVPPVLNPIVYGVKTKEIRQRILRLFHVATHASEP</t>
  </si>
  <si>
    <t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t>
  </si>
  <si>
    <t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t>
  </si>
  <si>
    <t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</si>
  <si>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</si>
  <si>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</si>
  <si>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</si>
  <si>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</si>
  <si>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</si>
  <si>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</si>
  <si>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</si>
  <si>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</si>
  <si>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</si>
  <si>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</si>
  <si>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</si>
  <si>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</si>
  <si>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</si>
  <si>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</si>
  <si>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</si>
  <si>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</si>
  <si>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</si>
  <si>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</si>
  <si>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</si>
  <si>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</si>
  <si>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</si>
  <si>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</si>
  <si>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</si>
  <si>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</si>
  <si>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</si>
  <si>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</si>
  <si>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acm3_rat</t>
  </si>
  <si>
    <t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t>
  </si>
  <si>
    <t>adrb1_melga</t>
  </si>
  <si>
    <t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t>
  </si>
  <si>
    <t>ntr1_rat</t>
  </si>
  <si>
    <t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t>
  </si>
  <si>
    <t>oprd_mouse</t>
  </si>
  <si>
    <t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t>
  </si>
  <si>
    <t>oprm_mouse</t>
  </si>
  <si>
    <t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t>
  </si>
  <si>
    <t>opsd_bovin</t>
  </si>
  <si>
    <t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t>
  </si>
  <si>
    <t>opsd_todpa</t>
  </si>
  <si>
    <t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t>
  </si>
  <si>
    <t>us28_hcmva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</si>
  <si>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t>
  </si>
  <si>
    <t>us28_human</t>
  </si>
  <si>
    <t>vipr_human</t>
  </si>
  <si>
    <t>tr114_human</t>
  </si>
  <si>
    <t>tr106_human</t>
  </si>
  <si>
    <t>t2r45_human</t>
  </si>
  <si>
    <t>O</t>
  </si>
  <si>
    <t>Class</t>
  </si>
  <si>
    <t>Chemokine</t>
  </si>
  <si>
    <t>Opioid</t>
  </si>
  <si>
    <t>Ligandtype</t>
  </si>
  <si>
    <t>Receptorfamily</t>
  </si>
  <si>
    <t>5-Hydroxytryptamine</t>
  </si>
  <si>
    <t>Nucleotide</t>
  </si>
  <si>
    <t>Acetylcholine(muscarinic)</t>
  </si>
  <si>
    <t>Melanocortin</t>
  </si>
  <si>
    <t>Adrenoceptors</t>
  </si>
  <si>
    <t>Angiotensin</t>
  </si>
  <si>
    <t>Apelin</t>
  </si>
  <si>
    <t>B2</t>
  </si>
  <si>
    <t>Orphan</t>
  </si>
  <si>
    <t>Adhesionclassorphans</t>
  </si>
  <si>
    <t>Bradykinin</t>
  </si>
  <si>
    <t>Bombesin</t>
  </si>
  <si>
    <t>Complementpeptide</t>
  </si>
  <si>
    <t>B1</t>
  </si>
  <si>
    <t>Calcitonin</t>
  </si>
  <si>
    <t>Ion</t>
  </si>
  <si>
    <t>Calcium-sensing</t>
  </si>
  <si>
    <t>Cholecystokinin</t>
  </si>
  <si>
    <t>Leukotriene</t>
  </si>
  <si>
    <t>Chemerinreceptor</t>
  </si>
  <si>
    <t>Cannabinoid</t>
  </si>
  <si>
    <t>Corticotropin-releasingfact</t>
  </si>
  <si>
    <t>Dopamine</t>
  </si>
  <si>
    <t>Endothelin</t>
  </si>
  <si>
    <t>ClassAorphans</t>
  </si>
  <si>
    <t>Freefattyacid</t>
  </si>
  <si>
    <t>Formylpeptide</t>
  </si>
  <si>
    <t>Glycoproteinhormone</t>
  </si>
  <si>
    <t>Frizzled</t>
  </si>
  <si>
    <t>OtherGPCRorphans</t>
  </si>
  <si>
    <t>Aminoacid</t>
  </si>
  <si>
    <t>GABA&lt;sub&gt;B&lt;/sub&gt;</t>
  </si>
  <si>
    <t>Galanin</t>
  </si>
  <si>
    <t>Glucagonreceptorfamily</t>
  </si>
  <si>
    <t>Ghrelin</t>
  </si>
  <si>
    <t>Gonadotrophin-releasinghorm</t>
  </si>
  <si>
    <t>GPR18</t>
  </si>
  <si>
    <t>ClassCOrphans</t>
  </si>
  <si>
    <t>Steroid</t>
  </si>
  <si>
    <t>Bileacid</t>
  </si>
  <si>
    <t>Estrogen(Gprotein-coupled)</t>
  </si>
  <si>
    <t>Metabotropicglutamate</t>
  </si>
  <si>
    <t>Alicarboxylicacid</t>
  </si>
  <si>
    <t>Hydroxycarboxylicacid</t>
  </si>
  <si>
    <t>Histamine</t>
  </si>
  <si>
    <t>Kisspeptin</t>
  </si>
  <si>
    <t>Lysophospholipid(LPA)</t>
  </si>
  <si>
    <t>Melanin-concentratinghormon</t>
  </si>
  <si>
    <t>Motilin</t>
  </si>
  <si>
    <t>Melatonin</t>
  </si>
  <si>
    <t>Tachykinin</t>
  </si>
  <si>
    <t>NeuromedinU</t>
  </si>
  <si>
    <t>NeuropeptideW/neuropeptide</t>
  </si>
  <si>
    <t>NeuropeptideFF/neuropeptide</t>
  </si>
  <si>
    <t>NeuropeptideS</t>
  </si>
  <si>
    <t>NeuropeptideY</t>
  </si>
  <si>
    <t>Neurotensin</t>
  </si>
  <si>
    <t>Sensory</t>
  </si>
  <si>
    <t>Opsins</t>
  </si>
  <si>
    <t>Orexin</t>
  </si>
  <si>
    <t>Oxoglutarate</t>
  </si>
  <si>
    <t>Vasopressinandoxytocin</t>
  </si>
  <si>
    <t>P2Y</t>
  </si>
  <si>
    <t>VIPandPACAP</t>
  </si>
  <si>
    <t>Proteinase-activated</t>
  </si>
  <si>
    <t>Prostanoid</t>
  </si>
  <si>
    <t>Prokineticin</t>
  </si>
  <si>
    <t>Prolactin-releasingpeptide</t>
  </si>
  <si>
    <t>Platelet-activatingfactor</t>
  </si>
  <si>
    <t>Parathyroidhormone</t>
  </si>
  <si>
    <t>PeptideP518</t>
  </si>
  <si>
    <t>Relaxinfamilypeptide</t>
  </si>
  <si>
    <t>Lysophospholipid(S1P)</t>
  </si>
  <si>
    <t>Somatostatin</t>
  </si>
  <si>
    <t>Succinate</t>
  </si>
  <si>
    <t>Taste2</t>
  </si>
  <si>
    <t>Traceamine</t>
  </si>
  <si>
    <t>Thyrotropin-releasinghormon</t>
  </si>
  <si>
    <t>Taste1</t>
  </si>
  <si>
    <t>Urotensin</t>
  </si>
  <si>
    <t>Unclassified</t>
  </si>
  <si>
    <t>V</t>
  </si>
  <si>
    <t>S</t>
  </si>
  <si>
    <t>Q</t>
  </si>
  <si>
    <t>AA</t>
  </si>
  <si>
    <t>E</t>
  </si>
  <si>
    <t>2Y00</t>
  </si>
  <si>
    <t>2Y02</t>
  </si>
  <si>
    <t>2Y03</t>
  </si>
  <si>
    <t>2Y04</t>
  </si>
  <si>
    <t>2YCW</t>
  </si>
  <si>
    <t>2YCZ</t>
  </si>
  <si>
    <t>2YDO</t>
  </si>
  <si>
    <t>3NY9</t>
  </si>
  <si>
    <t>CXCR4_human</t>
  </si>
  <si>
    <t>3OE0</t>
  </si>
  <si>
    <t>3PQR</t>
  </si>
  <si>
    <t>3QAK</t>
  </si>
  <si>
    <t>3RFM</t>
  </si>
  <si>
    <t>3UZA</t>
  </si>
  <si>
    <t>3UZC</t>
  </si>
  <si>
    <t>3ZPQ</t>
  </si>
  <si>
    <t>3ZPR</t>
  </si>
  <si>
    <t>4AMI</t>
  </si>
  <si>
    <t>4AMJ</t>
  </si>
  <si>
    <t>4GPO</t>
  </si>
  <si>
    <t>4IAQ</t>
  </si>
  <si>
    <t>4J4Q</t>
  </si>
  <si>
    <t>4LDL</t>
  </si>
  <si>
    <t>4LDO</t>
  </si>
  <si>
    <t>4MQT</t>
  </si>
  <si>
    <t>4N4W</t>
  </si>
  <si>
    <t>4NTJ</t>
  </si>
  <si>
    <t>4O9R</t>
  </si>
  <si>
    <t>4PY0</t>
  </si>
  <si>
    <t>4QIM</t>
  </si>
  <si>
    <t>4RWS</t>
  </si>
  <si>
    <t>4U16</t>
  </si>
  <si>
    <t>4UHR</t>
  </si>
  <si>
    <t>4XNW</t>
  </si>
  <si>
    <t>4Z34</t>
  </si>
  <si>
    <t>4Z36</t>
  </si>
  <si>
    <t>5A8E</t>
  </si>
  <si>
    <t>4Z9G</t>
  </si>
  <si>
    <t>1b</t>
  </si>
  <si>
    <t>1e</t>
  </si>
  <si>
    <t>2b</t>
  </si>
  <si>
    <t>2e</t>
  </si>
  <si>
    <t>3b</t>
  </si>
  <si>
    <t>3e</t>
  </si>
  <si>
    <t>4b</t>
  </si>
  <si>
    <t>4e</t>
  </si>
  <si>
    <t>5b</t>
  </si>
  <si>
    <t>5e</t>
  </si>
  <si>
    <t>6b</t>
  </si>
  <si>
    <t>6e</t>
  </si>
  <si>
    <t>7b</t>
  </si>
  <si>
    <t>7e</t>
  </si>
  <si>
    <t>8b</t>
  </si>
  <si>
    <t>8e</t>
  </si>
  <si>
    <t>Key</t>
  </si>
  <si>
    <t>i1b</t>
  </si>
  <si>
    <t>i1e</t>
  </si>
  <si>
    <t>e1b</t>
  </si>
  <si>
    <t>e1e</t>
  </si>
  <si>
    <t>1x</t>
  </si>
  <si>
    <t>i1x</t>
  </si>
  <si>
    <t>2x</t>
  </si>
  <si>
    <t>e1x</t>
  </si>
  <si>
    <t>3x</t>
  </si>
  <si>
    <t>4x</t>
  </si>
  <si>
    <t>5x</t>
  </si>
  <si>
    <t>6x</t>
  </si>
  <si>
    <t>7x</t>
  </si>
  <si>
    <t>8x</t>
  </si>
  <si>
    <t>i2x</t>
  </si>
  <si>
    <t>i2b</t>
  </si>
  <si>
    <t>i2e</t>
  </si>
  <si>
    <t>e2x</t>
  </si>
  <si>
    <t>e2b</t>
  </si>
  <si>
    <t>e2e</t>
  </si>
  <si>
    <t>OPRM_human</t>
  </si>
  <si>
    <t>AuxProt</t>
  </si>
  <si>
    <t>Repr</t>
  </si>
  <si>
    <t>Active</t>
  </si>
  <si>
    <t>(mut)</t>
  </si>
  <si>
    <t>5ePro</t>
  </si>
  <si>
    <t>3VG9</t>
  </si>
  <si>
    <t>inactive</t>
  </si>
  <si>
    <t>active</t>
  </si>
  <si>
    <t>4GBR</t>
  </si>
  <si>
    <t>Note</t>
  </si>
  <si>
    <t>4GBR has a longer TM5 and less ICL3-deletion than other inactive structure. With a complete ICL3, TM5 might be as long (5x76) in active and inactive states.</t>
  </si>
  <si>
    <t>Note long</t>
  </si>
  <si>
    <t>Inactive structures can have as long TM5 as the active state, if ICL3 is complete.</t>
  </si>
  <si>
    <t>nanobody</t>
  </si>
  <si>
    <t>Active state, but short TM5 and ICL3 (large deletion)</t>
  </si>
  <si>
    <t xml:space="preserve">4MQS </t>
  </si>
  <si>
    <t>repr</t>
  </si>
  <si>
    <t>Template</t>
  </si>
  <si>
    <t>long</t>
  </si>
  <si>
    <t>medium</t>
  </si>
  <si>
    <t>Short in construct, long in wt</t>
  </si>
  <si>
    <t>most</t>
  </si>
  <si>
    <t>3C9M</t>
  </si>
  <si>
    <t>2J4Y and 3C9M have a longer TM5 than other inactive structure, all have full ICL3s, and it is as long as in the active structure 3DQB.</t>
  </si>
  <si>
    <t>Wt ICL3 is so short that TM5 cannot be elongated, despite that this is an active state structure</t>
  </si>
  <si>
    <t>4XT1</t>
  </si>
  <si>
    <t>template</t>
  </si>
  <si>
    <t>5eGPCRdb</t>
  </si>
  <si>
    <t>5eBW</t>
  </si>
  <si>
    <t>short in wt</t>
  </si>
  <si>
    <t>KeyPDB</t>
  </si>
  <si>
    <t>5ePro_</t>
  </si>
  <si>
    <t>2J4Y</t>
  </si>
  <si>
    <t>6bBW</t>
  </si>
  <si>
    <t>6bGPCRdb</t>
  </si>
  <si>
    <t>6bPro</t>
  </si>
  <si>
    <t>ICL Length Xtal</t>
  </si>
  <si>
    <t>ILC3 Length Wt</t>
  </si>
  <si>
    <t>Diff</t>
  </si>
  <si>
    <t>5x50-6x50</t>
  </si>
  <si>
    <t>#H_AAs</t>
  </si>
  <si>
    <t>SQS</t>
  </si>
  <si>
    <t>QQES</t>
  </si>
  <si>
    <t>SGS</t>
  </si>
  <si>
    <t>complete</t>
  </si>
  <si>
    <t>partial_coordinates</t>
  </si>
  <si>
    <t>deletetion</t>
  </si>
  <si>
    <t>ICL3 (all have no fusions)</t>
  </si>
  <si>
    <t>no, is small outlier</t>
  </si>
  <si>
    <t>no, TM6 too short, use ADRB1_melga instead</t>
  </si>
  <si>
    <t>FFAR1_human</t>
  </si>
  <si>
    <t>no US28 is better, as it does not have too long TM6</t>
  </si>
  <si>
    <t>no, too short helices</t>
  </si>
  <si>
    <t>4XNV</t>
  </si>
  <si>
    <t>4PXZ</t>
  </si>
  <si>
    <t>OPRX_human</t>
  </si>
  <si>
    <t>OX1R_human</t>
  </si>
  <si>
    <t>OX2R_human</t>
  </si>
  <si>
    <t>Sequence</t>
  </si>
  <si>
    <t>Query</t>
  </si>
  <si>
    <t>T</t>
  </si>
  <si>
    <t>4YAY_dist</t>
  </si>
  <si>
    <t>4K5Y_dist</t>
  </si>
  <si>
    <t>4Z9G_dist</t>
  </si>
  <si>
    <t>Longer TM7 is due to Y392A mutation</t>
  </si>
  <si>
    <t>H8 start is same as in class A, if shifting TM7 alignmnent to match the 2 Pro residues</t>
  </si>
  <si>
    <t>4IB4_dist</t>
  </si>
  <si>
    <t>TM7 is 1 pos longer</t>
  </si>
  <si>
    <t>Valid</t>
  </si>
  <si>
    <t>#Res</t>
  </si>
  <si>
    <t>TM4 is too long, it is ICL2 helix in 4XNW</t>
  </si>
  <si>
    <t>TM4 and ICL3 are short</t>
  </si>
  <si>
    <t>3b starts early</t>
  </si>
  <si>
    <t>cxcr4_human</t>
  </si>
  <si>
    <t>ffar1_human</t>
  </si>
  <si>
    <t>oprx_human</t>
  </si>
  <si>
    <t>ox1r_human</t>
  </si>
  <si>
    <t>ox2r_human</t>
  </si>
  <si>
    <t>agra1_human</t>
  </si>
  <si>
    <t>agra2_human</t>
  </si>
  <si>
    <t>agra3_human</t>
  </si>
  <si>
    <t>agrb2_human</t>
  </si>
  <si>
    <t>agrb3_human</t>
  </si>
  <si>
    <t>agrd1_human</t>
  </si>
  <si>
    <t>agrd2_human</t>
  </si>
  <si>
    <t>agre1_human</t>
  </si>
  <si>
    <t>agre2_human</t>
  </si>
  <si>
    <t>agre3_human</t>
  </si>
  <si>
    <t>agre4_human</t>
  </si>
  <si>
    <t>agrf1_human</t>
  </si>
  <si>
    <t>agrf2_human</t>
  </si>
  <si>
    <t>agrf3_human</t>
  </si>
  <si>
    <t>agrf4_human</t>
  </si>
  <si>
    <t>agrf5_human</t>
  </si>
  <si>
    <t>agrg1_human</t>
  </si>
  <si>
    <t>agrg2_human</t>
  </si>
  <si>
    <t>agrg3_human</t>
  </si>
  <si>
    <t>agrg4_human</t>
  </si>
  <si>
    <t>agrg5_human</t>
  </si>
  <si>
    <t>agrg7_human</t>
  </si>
  <si>
    <t>agrl1_human</t>
  </si>
  <si>
    <t>agrl2_human</t>
  </si>
  <si>
    <t>agrl3_human</t>
  </si>
  <si>
    <t>agrl4_human</t>
  </si>
  <si>
    <t>Val #</t>
  </si>
  <si>
    <t>Xtal Templ</t>
  </si>
  <si>
    <t>Species</t>
  </si>
  <si>
    <t>Rec Fam</t>
  </si>
  <si>
    <t>XtalTempl</t>
  </si>
  <si>
    <t>TM8</t>
  </si>
  <si>
    <t>icl1</t>
  </si>
  <si>
    <t>icl2</t>
  </si>
  <si>
    <t>ecl1</t>
  </si>
  <si>
    <t>ecl2</t>
  </si>
  <si>
    <t>1len</t>
  </si>
  <si>
    <t>i1len</t>
  </si>
  <si>
    <t>2len</t>
  </si>
  <si>
    <t>e1len</t>
  </si>
  <si>
    <t>3len</t>
  </si>
  <si>
    <t>i2len</t>
  </si>
  <si>
    <t>4len</t>
  </si>
  <si>
    <t>e2len</t>
  </si>
  <si>
    <t>5len</t>
  </si>
  <si>
    <t>6len</t>
  </si>
  <si>
    <t>7len</t>
  </si>
  <si>
    <t>8len</t>
  </si>
  <si>
    <t>Wt</t>
  </si>
  <si>
    <t>Seq4BLAST</t>
  </si>
  <si>
    <t>Xtalised</t>
  </si>
  <si>
    <t>Cl Query</t>
  </si>
  <si>
    <t>1e-i1b</t>
  </si>
  <si>
    <t>i1e-2b</t>
  </si>
  <si>
    <t>2e-e1b</t>
  </si>
  <si>
    <t>e1e-3b</t>
  </si>
  <si>
    <t>3e-i2b</t>
  </si>
  <si>
    <t>i2e-4b</t>
  </si>
  <si>
    <t>4e-e2b</t>
  </si>
  <si>
    <t>e2e-5b</t>
  </si>
  <si>
    <t>5e-6b</t>
  </si>
  <si>
    <t>6e-7b</t>
  </si>
  <si>
    <t>7e-8b</t>
  </si>
  <si>
    <t>6x7x</t>
  </si>
  <si>
    <t>1x2x</t>
  </si>
  <si>
    <t>2x3x</t>
  </si>
  <si>
    <t>5x6x</t>
  </si>
  <si>
    <t>5ht1b_human__wt</t>
  </si>
  <si>
    <t>5ht2b_human__wt</t>
  </si>
  <si>
    <t>aa2ar_human__wt</t>
  </si>
  <si>
    <t>acm1_human__wt</t>
  </si>
  <si>
    <t>acm2_human__wt</t>
  </si>
  <si>
    <t>acm3_rat__wt</t>
  </si>
  <si>
    <t>acm4_human__wt</t>
  </si>
  <si>
    <t>adrb1_melga__wt</t>
  </si>
  <si>
    <t>adrb2_human__wt</t>
  </si>
  <si>
    <t>agtr1_human__wt</t>
  </si>
  <si>
    <t>ccr5_human__wt</t>
  </si>
  <si>
    <t>crfr1_human__wt</t>
  </si>
  <si>
    <t>cxcr4_human__wt</t>
  </si>
  <si>
    <t>drd3_human__wt</t>
  </si>
  <si>
    <t>ffar1_human__wt</t>
  </si>
  <si>
    <t>glr_human__wt</t>
  </si>
  <si>
    <t>grm1_human__wt</t>
  </si>
  <si>
    <t>grm5_human__wt</t>
  </si>
  <si>
    <t>hrh1_human__wt</t>
  </si>
  <si>
    <t>lpar1_human__wt</t>
  </si>
  <si>
    <t>ntr1_rat__wt</t>
  </si>
  <si>
    <t>oprd_human__wt</t>
  </si>
  <si>
    <t>oprd_mouse__wt</t>
  </si>
  <si>
    <t>oprk_human__wt</t>
  </si>
  <si>
    <t>oprm_mouse__wt</t>
  </si>
  <si>
    <t>oprx_human__wt</t>
  </si>
  <si>
    <t>opsd_bovin__wt</t>
  </si>
  <si>
    <t>opsd_human__wt</t>
  </si>
  <si>
    <t>opsd_todpa__wt</t>
  </si>
  <si>
    <t>ox1r_human__wt</t>
  </si>
  <si>
    <t>ox2r_human__wt</t>
  </si>
  <si>
    <t>p2ry1_human__wt</t>
  </si>
  <si>
    <t>p2y12_human__wt</t>
  </si>
  <si>
    <t>par1_human__wt</t>
  </si>
  <si>
    <t>s1pr1_human__wt</t>
  </si>
  <si>
    <t>smo_human__wt</t>
  </si>
  <si>
    <t>us28_hcmva__wt</t>
  </si>
  <si>
    <t>i2x4x</t>
  </si>
  <si>
    <t>4L6R_dist</t>
  </si>
  <si>
    <t>Could be 64, if including terminal bulge</t>
  </si>
  <si>
    <t>Could be one pos higher</t>
  </si>
  <si>
    <t>e2x5x</t>
  </si>
  <si>
    <t>GG</t>
  </si>
  <si>
    <t>B</t>
  </si>
  <si>
    <t>2xe1x</t>
  </si>
  <si>
    <t>2e-e1x</t>
  </si>
  <si>
    <t>e1e3b</t>
  </si>
  <si>
    <t>2e3b</t>
  </si>
  <si>
    <t>i1x2x</t>
  </si>
  <si>
    <t>a</t>
  </si>
  <si>
    <t>i1e2b</t>
  </si>
  <si>
    <t>1ei1b</t>
  </si>
  <si>
    <t>3ei2b</t>
  </si>
  <si>
    <t>Act</t>
  </si>
  <si>
    <t>5G53</t>
  </si>
  <si>
    <t>5e6b</t>
  </si>
  <si>
    <t>Set to P</t>
  </si>
  <si>
    <t>Set to G</t>
  </si>
  <si>
    <t>Note 5e</t>
  </si>
  <si>
    <t>Note 6b</t>
  </si>
  <si>
    <t>Set to S240</t>
  </si>
  <si>
    <t>Set to T236</t>
  </si>
  <si>
    <t>Extended due to hydrophobic residues</t>
  </si>
  <si>
    <t>Set to S</t>
  </si>
  <si>
    <t>Is long</t>
  </si>
  <si>
    <t>Manual (David)</t>
  </si>
  <si>
    <t>Manual</t>
  </si>
  <si>
    <t>8e-End</t>
  </si>
  <si>
    <t>Ps</t>
  </si>
  <si>
    <t>No H8</t>
  </si>
  <si>
    <t>4NC3</t>
  </si>
  <si>
    <t>2.50</t>
  </si>
  <si>
    <t>2.56</t>
  </si>
  <si>
    <t>2.57</t>
  </si>
  <si>
    <t>2.58</t>
  </si>
  <si>
    <t>2.59</t>
  </si>
  <si>
    <t>4.56</t>
  </si>
  <si>
    <t>4.57</t>
  </si>
  <si>
    <t>4.58</t>
  </si>
  <si>
    <t>4.59</t>
  </si>
  <si>
    <t>4.60</t>
  </si>
  <si>
    <t>5x411</t>
  </si>
  <si>
    <t>5.46</t>
  </si>
  <si>
    <t>5.50</t>
  </si>
  <si>
    <t>6x461</t>
  </si>
  <si>
    <t>5x421</t>
  </si>
  <si>
    <t>7x521</t>
  </si>
  <si>
    <t>Max</t>
  </si>
  <si>
    <t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t>
  </si>
  <si>
    <t>5GLI</t>
  </si>
  <si>
    <t>5GLH</t>
  </si>
  <si>
    <t>ednrb_human__wt</t>
  </si>
  <si>
    <t>NonX</t>
  </si>
  <si>
    <t>NOT USED AS TEMPLATES!</t>
  </si>
  <si>
    <t>4BUO</t>
  </si>
  <si>
    <t>3NY8</t>
  </si>
  <si>
    <t>3NYA</t>
  </si>
  <si>
    <t>3PDS</t>
  </si>
  <si>
    <t>4ZUD</t>
  </si>
  <si>
    <t>1GZM</t>
  </si>
  <si>
    <t>4RWD</t>
  </si>
  <si>
    <t>5K2A</t>
  </si>
  <si>
    <t>5K2B</t>
  </si>
  <si>
    <t>5K2C</t>
  </si>
  <si>
    <t>5K2D</t>
  </si>
  <si>
    <t>5D6L</t>
  </si>
  <si>
    <t>5JQH</t>
  </si>
  <si>
    <t>5IU4</t>
  </si>
  <si>
    <t>5IU7</t>
  </si>
  <si>
    <t>5IU8</t>
  </si>
  <si>
    <t>5IUA</t>
  </si>
  <si>
    <t>5IUB</t>
  </si>
  <si>
    <t>4XEE</t>
  </si>
  <si>
    <t>4XES</t>
  </si>
  <si>
    <t>5L7D</t>
  </si>
  <si>
    <t>5L7I</t>
  </si>
  <si>
    <t>5F8U</t>
  </si>
  <si>
    <t>5DHG</t>
  </si>
  <si>
    <t>5DHH</t>
  </si>
  <si>
    <t>5DYS</t>
  </si>
  <si>
    <t>5EN0</t>
  </si>
  <si>
    <t>5TGZ</t>
  </si>
  <si>
    <t>PDB validation says chain B is better, but A is more complete</t>
  </si>
  <si>
    <t>Chain B is longer than A</t>
  </si>
  <si>
    <t>cnr1_human__wt</t>
  </si>
  <si>
    <t>2x581</t>
  </si>
  <si>
    <t>5U09</t>
  </si>
  <si>
    <t>5LWE</t>
  </si>
  <si>
    <t>5x431</t>
  </si>
  <si>
    <t>ccr9_human__wt</t>
  </si>
  <si>
    <t>Validation (correct class of template)</t>
  </si>
  <si>
    <t>2X72</t>
  </si>
  <si>
    <t>4A4M</t>
  </si>
  <si>
    <t>4XT3</t>
  </si>
  <si>
    <t>NA</t>
  </si>
  <si>
    <t>State</t>
  </si>
  <si>
    <t>Inact</t>
  </si>
  <si>
    <t>Repr_Act</t>
  </si>
  <si>
    <t>Repr_Inact</t>
  </si>
  <si>
    <t>?</t>
  </si>
  <si>
    <t>5T1A</t>
  </si>
  <si>
    <t>ccr2_human__wt</t>
  </si>
  <si>
    <t>RF</t>
  </si>
  <si>
    <t>Chain</t>
  </si>
  <si>
    <t>PrefChain</t>
  </si>
  <si>
    <t>2.60</t>
  </si>
  <si>
    <t>5LWE_dist</t>
  </si>
  <si>
    <t>5T04</t>
  </si>
  <si>
    <t>5TVN</t>
  </si>
  <si>
    <t>5UIG</t>
  </si>
  <si>
    <t>Manual (Gaspar)</t>
  </si>
  <si>
    <t>5UEN</t>
  </si>
  <si>
    <t>aa1r_human__wt</t>
  </si>
  <si>
    <t>4x5x</t>
  </si>
  <si>
    <t>5UNF</t>
  </si>
  <si>
    <t>agtr2_human__wt</t>
  </si>
  <si>
    <t>5UNG</t>
  </si>
  <si>
    <t>5UNH</t>
  </si>
  <si>
    <t>5NDD</t>
  </si>
  <si>
    <t>5NDZ</t>
  </si>
  <si>
    <t>par2_human__wt</t>
  </si>
  <si>
    <t>5NJ6</t>
  </si>
  <si>
    <t>5TE3</t>
  </si>
  <si>
    <t>5TE5</t>
  </si>
  <si>
    <t>5UZ7</t>
  </si>
  <si>
    <t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t>
  </si>
  <si>
    <t>calcr_human__wt</t>
  </si>
  <si>
    <t>David templates</t>
  </si>
  <si>
    <t>Cl Template</t>
  </si>
  <si>
    <t>Cl David Template</t>
  </si>
  <si>
    <t>5VEX</t>
  </si>
  <si>
    <t>5VEW</t>
  </si>
  <si>
    <t>glp1r_human__wt</t>
  </si>
  <si>
    <t>Class B</t>
  </si>
  <si>
    <t>5XEZ</t>
  </si>
  <si>
    <t>5XF1</t>
  </si>
  <si>
    <t>5UVI</t>
  </si>
  <si>
    <t>5JTB</t>
  </si>
  <si>
    <t>agrg6_human</t>
  </si>
  <si>
    <t>5VBL</t>
  </si>
  <si>
    <t>apj_human__wt</t>
  </si>
  <si>
    <t>5TZR</t>
  </si>
  <si>
    <t>5TZY</t>
  </si>
  <si>
    <t>5NX2</t>
  </si>
  <si>
    <t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t>
  </si>
  <si>
    <t>g1sgd4_rabit</t>
  </si>
  <si>
    <t>g1sgd4_rabit__wt</t>
  </si>
  <si>
    <t>5VAI</t>
  </si>
  <si>
    <t>R</t>
  </si>
  <si>
    <t>5UIW</t>
  </si>
  <si>
    <t>5XR8</t>
  </si>
  <si>
    <t>5XRA</t>
  </si>
  <si>
    <t>Resolution</t>
  </si>
  <si>
    <t>5TUD</t>
  </si>
  <si>
    <t>Inter</t>
  </si>
  <si>
    <t>Repr_Inter</t>
  </si>
  <si>
    <t>5N2R</t>
  </si>
  <si>
    <t>5N2S</t>
  </si>
  <si>
    <t>5W0P</t>
  </si>
  <si>
    <t>D</t>
  </si>
  <si>
    <t>5DGY</t>
  </si>
  <si>
    <t>5MZJ</t>
  </si>
  <si>
    <t>5MZP</t>
  </si>
  <si>
    <t>5X7D</t>
  </si>
  <si>
    <t>5X93</t>
  </si>
  <si>
    <t>5XPR</t>
  </si>
  <si>
    <t>q08bg4_danre</t>
  </si>
  <si>
    <t>MYNTSLEMEMLNVSNVTHCPKNDNFKYPLYSMVFSIVFMVGLITNVAAMYIFMCSLKLRNETTTYMMNLVVSDLLFVLTLPLRVFYFVQQNWPFGSLLCKLSVSLFYTNMYGSILFLTCISVDRFLAIVYPFRSRGLRTKRNAKIVCAAVWVLVLSGSLPTGFMLNSTNKLENNSISCFENFSSKEWKSHLSKVVIFIETVGFLIPLMLNVVCSAMVLQTLRRPNTVSRGGKLNKKKILRMIIVHLFIFCFCFIPYNVNLVFYSLVRTNTLKGCAAESVVRTIYPIALCIAVSNCCFDPIVYYFTSETIQNSIKRKTQTGHSIDVKFSEALQSETSSTLQFSLRSIKNKMFHNESHV</t>
  </si>
  <si>
    <t>5XSZ</t>
  </si>
  <si>
    <t>q08bg4_danre__wt</t>
  </si>
  <si>
    <t>5NM2</t>
  </si>
  <si>
    <t>5WIU</t>
  </si>
  <si>
    <t>drd4_human__wt</t>
  </si>
  <si>
    <t>5WIV</t>
  </si>
  <si>
    <t>5WQC</t>
  </si>
  <si>
    <t>5WS3</t>
  </si>
  <si>
    <t>5VRA</t>
  </si>
  <si>
    <t>5WKT</t>
  </si>
  <si>
    <t>q9wtk1_cavpo</t>
  </si>
  <si>
    <t>5X33</t>
  </si>
  <si>
    <t>MDRNTTTRAASPSGSNTFIPLLAMILLSVSMVVGLPGNTFVVWSILKRMRKRSVTALMVLNLALADLAVLLTAPFFLHFLTWHTWSFKLAGCRLCHYICGVSMYASVLLITAMSLDRSLAVASPFLSQKVRTKTAARWLLVGIWGASFLLATPVLAFRKVVKLTNETDLCLAVYPSDRHKAFHLLFEAFTGFVVPFLIVVASYADISRRLRVRRFHRRRRTGRLVVIIILAFAAFWLPYHVVDLVEGSRVLAGTLDQSKQQLRNARKVCIALAFLSSSVNPLLYACAGGGLLRSAGVGFVAKLLEATGSEAFSTRRGGTLAQTVKGIPMAPEPGASGSLDGLKQSESD</t>
  </si>
  <si>
    <t>q9wtk1_cavpo__wt</t>
  </si>
  <si>
    <t>5OLG</t>
  </si>
  <si>
    <t>5OLH</t>
  </si>
  <si>
    <t>5OLO</t>
  </si>
  <si>
    <t>5OLV</t>
  </si>
  <si>
    <t>5OLZ</t>
  </si>
  <si>
    <t>5OM1</t>
  </si>
  <si>
    <t>5OM4</t>
  </si>
  <si>
    <t>6AQF</t>
  </si>
  <si>
    <t>5YQZ</t>
  </si>
  <si>
    <t>6B73</t>
  </si>
  <si>
    <t>drd2_human__wt</t>
  </si>
  <si>
    <t>6BQG</t>
  </si>
  <si>
    <t>6BQH</t>
  </si>
  <si>
    <t>5V54</t>
  </si>
  <si>
    <t>5ht2c_human__wt</t>
  </si>
  <si>
    <t>1x36</t>
  </si>
  <si>
    <t>5WF5</t>
  </si>
  <si>
    <t>Intermediate</t>
  </si>
  <si>
    <t>5WF6</t>
  </si>
  <si>
    <t>6B3J</t>
  </si>
  <si>
    <t>6FFH</t>
  </si>
  <si>
    <t>6FFI</t>
  </si>
  <si>
    <t>6CM4</t>
  </si>
  <si>
    <t>5V56</t>
  </si>
  <si>
    <t>5V57</t>
  </si>
  <si>
    <t>5O9H</t>
  </si>
  <si>
    <t>c5ar1_human__wt</t>
  </si>
  <si>
    <t>7x8x</t>
  </si>
  <si>
    <t>6FK6</t>
  </si>
  <si>
    <t>6FK7</t>
  </si>
  <si>
    <t>6FK8</t>
  </si>
  <si>
    <t>6FK9</t>
  </si>
  <si>
    <t>6FKA</t>
  </si>
  <si>
    <t>6FKB</t>
  </si>
  <si>
    <t>6FKC</t>
  </si>
  <si>
    <t>6FKD</t>
  </si>
  <si>
    <t>5ZBQ</t>
  </si>
  <si>
    <t>5ZBH</t>
  </si>
  <si>
    <t>npy1r_human__wt</t>
  </si>
  <si>
    <t>5KW2</t>
  </si>
  <si>
    <t>6GDG</t>
  </si>
  <si>
    <t>Xtal</t>
  </si>
  <si>
    <t>6D32</t>
  </si>
  <si>
    <t>q98sw5_xenla</t>
  </si>
  <si>
    <t>q98sw5_xenla__wt</t>
  </si>
  <si>
    <t>MSSMVPWICWIGGFGFLLFICTSGGVQINETFYMDKCKKTTTCEPLKYNICLGSVLPYALTSTVLAEDSSSQDEVHDKLSLWSGLRNAPRCWDAIRPLLCAVYMPKCEGGKVELPSQGLCQTTRVPCAIVARERGWPDFLKCTTDYFPEGCPNEVQNIKFNSSGQCEAPLVRTDNPKSWYEDVEGCGIQCQNPLFTNKEHREMHIYIAIFSSVTIFCTFFTLATFLADWKNSNRYPAVILFYVNACFFVGSIGWLAQFMDGARDEIVCRGDGTMRLGEPTSNETLSCVIIFIIVYYSMMSGVIWFVMLTYAWHTSFKALGTTHQPLSGKTSYFHLITWSIPFVLTVAILAVAQVDGDSVSGICFVGYKNYHYRAGFVLAPIGLVLIGGGYFLIRGVMTLFSIKSNHPGLLSEKAASKINETMLRLGIFGFLAFGFVLITFGCHFYDFFNQAEWERSFREYVLCEANVTIAEQTNKPIPECYIKNRPSLLVEKINLFAMFGTGISMSTWVWTKATIIIWKRAWCRILGRSDDEPKRIKKSKMIAKAFSKRKELLNNPEKELSFSLHSVSHEGPVAGLNFDMNEPSADMSSAWAQHVTKMVARRGAILPQDVSVTPVATPVPPEERDQWFIEGDIPQGMVKKMSKKKKRRKKKEIQPLEAKTVKEHFHSRANTAVPRLPKLPLKTGLVTRSKPQEVDETLPGSYREFRRLPNIQEKLYPVEGVNNNLGYTRYPQSNMISHPFAADKMPLTDESRVAYVPVPKHDGVFQYSSANSYSNPMDLTSYRGRTQPRWTENPPMHSRANLMDAELMDTDSDF</t>
  </si>
  <si>
    <t>6D35</t>
  </si>
  <si>
    <t>6C1Q</t>
  </si>
  <si>
    <t>6C1R</t>
  </si>
  <si>
    <t>6DDE</t>
  </si>
  <si>
    <t>6DDF</t>
  </si>
  <si>
    <t>6CMO</t>
  </si>
  <si>
    <t>6D9H</t>
  </si>
  <si>
    <t>6G79</t>
  </si>
  <si>
    <t>5ZKP</t>
  </si>
  <si>
    <t>ptafr_human__wt</t>
  </si>
  <si>
    <t>5ZKQ</t>
  </si>
  <si>
    <t>q80km9_hcmv</t>
  </si>
  <si>
    <t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GSPSRRETSSDTLSDEVCRVSQIIP</t>
  </si>
  <si>
    <t>5WB1</t>
  </si>
  <si>
    <t>5WB2</t>
  </si>
  <si>
    <t>q80km9_hcmv__wt</t>
  </si>
  <si>
    <t>5XJM</t>
  </si>
  <si>
    <t>6DRX</t>
  </si>
  <si>
    <t>6DRY</t>
  </si>
  <si>
    <t>6DRZ</t>
  </si>
  <si>
    <t>6DS0</t>
  </si>
  <si>
    <t>6E3Y</t>
  </si>
  <si>
    <t>calrl_human__wt</t>
  </si>
  <si>
    <t>6D26</t>
  </si>
  <si>
    <t>pd2r2_human__wt</t>
  </si>
  <si>
    <t>6FUF</t>
  </si>
  <si>
    <t>6H7J</t>
  </si>
  <si>
    <t>6H7L</t>
  </si>
  <si>
    <t>6H7M</t>
  </si>
  <si>
    <t>6H7N</t>
  </si>
  <si>
    <t>6H7O</t>
  </si>
  <si>
    <t>6AKX</t>
  </si>
  <si>
    <t>6AKY</t>
  </si>
  <si>
    <t>6MXT</t>
  </si>
  <si>
    <t>6FJ3</t>
  </si>
  <si>
    <t>pth1r_human__wt</t>
  </si>
  <si>
    <t>6IGL</t>
  </si>
  <si>
    <t>6IGK</t>
  </si>
  <si>
    <t>5ZKC</t>
  </si>
  <si>
    <t>5ZKB</t>
  </si>
  <si>
    <t>5ZK8</t>
  </si>
  <si>
    <t>5ZK3</t>
  </si>
  <si>
    <t>5YC8</t>
  </si>
  <si>
    <t>6E59</t>
  </si>
  <si>
    <t>nk1r_human__wt</t>
  </si>
  <si>
    <t>5YWY</t>
  </si>
  <si>
    <t>pe2r4_human__wt</t>
  </si>
  <si>
    <t>5YHL</t>
  </si>
  <si>
    <t>6M9T</t>
  </si>
  <si>
    <t>6AK3</t>
  </si>
  <si>
    <t>6MET</t>
  </si>
  <si>
    <t>6MEO</t>
  </si>
  <si>
    <t>pe2r3_human__wt</t>
  </si>
  <si>
    <t>6D27</t>
  </si>
  <si>
    <t>6HLL</t>
  </si>
  <si>
    <t>6HLO</t>
  </si>
  <si>
    <t>6HLP</t>
  </si>
  <si>
    <t>6GPS</t>
  </si>
  <si>
    <t>6GPX</t>
  </si>
  <si>
    <t>6IIU</t>
  </si>
  <si>
    <t>ta2r_human__wt</t>
  </si>
  <si>
    <t>6IIV</t>
  </si>
  <si>
    <t>6IBL</t>
  </si>
  <si>
    <t>6NIY</t>
  </si>
  <si>
    <t>6N51</t>
  </si>
  <si>
    <t>6N52</t>
  </si>
  <si>
    <t>6BD4</t>
  </si>
  <si>
    <t>fzd4_human__wt</t>
  </si>
  <si>
    <t>6DO1</t>
  </si>
  <si>
    <t>6N4B</t>
  </si>
  <si>
    <t>5ZTY</t>
  </si>
  <si>
    <t>cnr2_human__wt</t>
  </si>
  <si>
    <t>6A94</t>
  </si>
  <si>
    <t>6A93</t>
  </si>
  <si>
    <t>5ht2a_human__wt</t>
  </si>
  <si>
    <t>5NM4</t>
  </si>
  <si>
    <t>5NLX</t>
  </si>
  <si>
    <t>6J20</t>
  </si>
  <si>
    <t>6J21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</si>
</sst>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2"/>
      <color rgb="FFFF0000"/>
      <name val="Calibri"/>
      <family val="2"/>
      <scheme val="minor"/>
    </font>
    <font>
      <sz val="12"/>
      <color theme="1"/>
      <name val="Cambria"/>
      <family val="1"/>
    </font>
    <font>
      <sz val="8"/>
      <name val="Calibri"/>
      <family val="2"/>
      <scheme val="minor"/>
    </font>
    <font>
      <sz val="12"/>
      <color rgb="FF00B050"/>
      <name val="Calibri"/>
      <family val="2"/>
      <scheme val="minor"/>
    </font>
    <font>
      <b/>
      <sz val="12"/>
      <color rgb="FF00B050"/>
      <name val="Calibri"/>
      <family val="2"/>
      <scheme val="minor"/>
    </font>
    <font>
      <sz val="12"/>
      <color rgb="FF808080"/>
      <name val="Calibri"/>
      <family val="2"/>
    </font>
    <font>
      <b/>
      <sz val="12"/>
      <color rgb="FF000000"/>
      <name val="Calibri"/>
      <family val="2"/>
      <charset val="1"/>
    </font>
    <font>
      <b/>
      <sz val="12"/>
      <color rgb="FF808080"/>
      <name val="Calibri"/>
      <family val="2"/>
      <charset val="1"/>
    </font>
    <font>
      <sz val="12"/>
      <color rgb="FF00B050"/>
      <name val="Calibri"/>
      <family val="2"/>
      <charset val="1"/>
    </font>
    <font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double">
        <color auto="1"/>
      </bottom>
      <diagonal/>
    </border>
    <border>
      <left style="thin">
        <color auto="1"/>
      </left>
      <right/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</borders>
  <cellStyleXfs count="8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34">
    <xf numFmtId="0" fontId="0" fillId="0" borderId="0" xfId="0"/>
    <xf numFmtId="0" fontId="0" fillId="0" borderId="0" xfId="0" applyFill="1"/>
    <xf numFmtId="0" fontId="0" fillId="0" borderId="0" xfId="0" applyFont="1" applyFill="1" applyBorder="1"/>
    <xf numFmtId="0" fontId="0" fillId="0" borderId="0" xfId="0" applyFont="1" applyFill="1"/>
    <xf numFmtId="0" fontId="0" fillId="0" borderId="0" xfId="0" applyFill="1" applyBorder="1"/>
    <xf numFmtId="0" fontId="0" fillId="0" borderId="1" xfId="0" applyFill="1" applyBorder="1"/>
    <xf numFmtId="0" fontId="4" fillId="0" borderId="0" xfId="0" applyFont="1" applyFill="1"/>
    <xf numFmtId="0" fontId="0" fillId="0" borderId="0" xfId="0" applyFill="1" applyAlignment="1">
      <alignment horizontal="center"/>
    </xf>
    <xf numFmtId="0" fontId="1" fillId="0" borderId="0" xfId="0" applyFont="1" applyFill="1" applyAlignment="1">
      <alignment horizontal="center"/>
    </xf>
    <xf numFmtId="0" fontId="0" fillId="2" borderId="0" xfId="0" applyFont="1" applyFill="1"/>
    <xf numFmtId="0" fontId="1" fillId="0" borderId="0" xfId="0" applyFont="1" applyFill="1"/>
    <xf numFmtId="0" fontId="0" fillId="2" borderId="0" xfId="0" applyFill="1" applyBorder="1"/>
    <xf numFmtId="0" fontId="0" fillId="2" borderId="0" xfId="0" applyFill="1"/>
    <xf numFmtId="0" fontId="0" fillId="2" borderId="1" xfId="0" applyFill="1" applyBorder="1"/>
    <xf numFmtId="0" fontId="5" fillId="0" borderId="0" xfId="0" applyFont="1" applyFill="1"/>
    <xf numFmtId="0" fontId="0" fillId="0" borderId="0" xfId="0" applyFont="1" applyFill="1" applyAlignment="1">
      <alignment horizontal="center"/>
    </xf>
    <xf numFmtId="0" fontId="0" fillId="0" borderId="1" xfId="0" applyFont="1" applyFill="1" applyBorder="1"/>
    <xf numFmtId="0" fontId="1" fillId="0" borderId="2" xfId="0" applyFont="1" applyFill="1" applyBorder="1" applyAlignment="1">
      <alignment horizontal="center"/>
    </xf>
    <xf numFmtId="0" fontId="5" fillId="0" borderId="0" xfId="0" applyFont="1" applyFill="1" applyBorder="1"/>
    <xf numFmtId="0" fontId="1" fillId="0" borderId="2" xfId="0" applyFont="1" applyFill="1" applyBorder="1" applyAlignment="1">
      <alignment horizontal="left"/>
    </xf>
    <xf numFmtId="0" fontId="1" fillId="0" borderId="0" xfId="0" applyFont="1" applyFill="1" applyBorder="1"/>
    <xf numFmtId="0" fontId="1" fillId="0" borderId="0" xfId="0" applyFont="1"/>
    <xf numFmtId="1" fontId="1" fillId="0" borderId="2" xfId="0" applyNumberFormat="1" applyFont="1" applyFill="1" applyBorder="1" applyAlignment="1">
      <alignment horizontal="center"/>
    </xf>
    <xf numFmtId="1" fontId="0" fillId="0" borderId="0" xfId="0" applyNumberFormat="1" applyFont="1" applyFill="1"/>
    <xf numFmtId="0" fontId="1" fillId="0" borderId="0" xfId="0" applyFont="1" applyAlignment="1">
      <alignment horizontal="center"/>
    </xf>
    <xf numFmtId="0" fontId="0" fillId="0" borderId="0" xfId="0" applyFill="1" applyAlignment="1">
      <alignment horizontal="left"/>
    </xf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0" fillId="0" borderId="1" xfId="0" applyBorder="1"/>
    <xf numFmtId="0" fontId="1" fillId="0" borderId="0" xfId="0" applyFont="1" applyFill="1" applyBorder="1" applyAlignment="1">
      <alignment horizontal="center"/>
    </xf>
    <xf numFmtId="0" fontId="1" fillId="0" borderId="1" xfId="0" applyFont="1" applyBorder="1"/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" fontId="0" fillId="0" borderId="1" xfId="0" applyNumberFormat="1" applyFont="1" applyFill="1" applyBorder="1"/>
    <xf numFmtId="0" fontId="1" fillId="0" borderId="0" xfId="0" applyFont="1" applyFill="1" applyAlignment="1">
      <alignment horizontal="left"/>
    </xf>
    <xf numFmtId="0" fontId="0" fillId="2" borderId="1" xfId="0" applyFill="1" applyBorder="1" applyAlignment="1">
      <alignment horizontal="center"/>
    </xf>
    <xf numFmtId="0" fontId="0" fillId="0" borderId="0" xfId="0" applyFont="1" applyFill="1" applyBorder="1" applyAlignment="1">
      <alignment horizontal="right"/>
    </xf>
    <xf numFmtId="0" fontId="1" fillId="0" borderId="0" xfId="0" applyFont="1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0" fillId="2" borderId="0" xfId="0" applyFont="1" applyFill="1" applyBorder="1"/>
    <xf numFmtId="0" fontId="8" fillId="0" borderId="0" xfId="0" applyFont="1" applyFill="1" applyAlignment="1">
      <alignment horizontal="center"/>
    </xf>
    <xf numFmtId="0" fontId="0" fillId="0" borderId="7" xfId="0" applyFill="1" applyBorder="1"/>
    <xf numFmtId="0" fontId="0" fillId="0" borderId="8" xfId="0" applyFill="1" applyBorder="1"/>
    <xf numFmtId="0" fontId="0" fillId="0" borderId="8" xfId="0" applyFill="1" applyBorder="1" applyAlignment="1">
      <alignment horizontal="center"/>
    </xf>
    <xf numFmtId="0" fontId="0" fillId="0" borderId="5" xfId="0" applyFill="1" applyBorder="1"/>
    <xf numFmtId="0" fontId="0" fillId="0" borderId="6" xfId="0" applyFill="1" applyBorder="1"/>
    <xf numFmtId="0" fontId="0" fillId="0" borderId="6" xfId="0" applyFill="1" applyBorder="1" applyAlignment="1">
      <alignment horizontal="center"/>
    </xf>
    <xf numFmtId="0" fontId="0" fillId="3" borderId="0" xfId="0" applyFont="1" applyFill="1"/>
    <xf numFmtId="0" fontId="0" fillId="0" borderId="0" xfId="0" applyFon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7" fillId="0" borderId="0" xfId="0" applyFont="1" applyFill="1" applyBorder="1"/>
    <xf numFmtId="0" fontId="8" fillId="0" borderId="0" xfId="0" applyFont="1" applyFill="1" applyBorder="1"/>
    <xf numFmtId="0" fontId="1" fillId="0" borderId="0" xfId="0" applyFont="1" applyFill="1" applyBorder="1" applyAlignment="1">
      <alignment horizontal="left"/>
    </xf>
    <xf numFmtId="0" fontId="8" fillId="0" borderId="0" xfId="0" applyFont="1" applyFill="1" applyBorder="1" applyAlignment="1">
      <alignment horizontal="center"/>
    </xf>
    <xf numFmtId="1" fontId="0" fillId="0" borderId="0" xfId="0" applyNumberFormat="1" applyFont="1" applyFill="1" applyBorder="1"/>
    <xf numFmtId="0" fontId="9" fillId="0" borderId="0" xfId="0" applyFont="1" applyFill="1" applyBorder="1"/>
    <xf numFmtId="0" fontId="0" fillId="2" borderId="1" xfId="0" applyFont="1" applyFill="1" applyBorder="1" applyAlignment="1">
      <alignment horizontal="center"/>
    </xf>
    <xf numFmtId="0" fontId="0" fillId="0" borderId="7" xfId="0" applyFont="1" applyFill="1" applyBorder="1"/>
    <xf numFmtId="0" fontId="0" fillId="0" borderId="7" xfId="0" applyBorder="1"/>
    <xf numFmtId="0" fontId="10" fillId="0" borderId="0" xfId="0" applyFont="1" applyFill="1" applyAlignment="1">
      <alignment horizontal="center"/>
    </xf>
    <xf numFmtId="1" fontId="10" fillId="0" borderId="0" xfId="0" applyNumberFormat="1" applyFont="1" applyFill="1" applyAlignment="1">
      <alignment horizontal="center"/>
    </xf>
    <xf numFmtId="0" fontId="10" fillId="0" borderId="4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11" fillId="0" borderId="1" xfId="0" applyFont="1" applyFill="1" applyBorder="1" applyAlignment="1">
      <alignment horizontal="center"/>
    </xf>
    <xf numFmtId="1" fontId="11" fillId="0" borderId="0" xfId="0" applyNumberFormat="1" applyFont="1" applyFill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1" fillId="0" borderId="0" xfId="0" applyFont="1" applyFill="1" applyAlignment="1">
      <alignment horizontal="center"/>
    </xf>
    <xf numFmtId="1" fontId="11" fillId="0" borderId="0" xfId="0" applyNumberFormat="1" applyFont="1" applyFill="1" applyAlignment="1">
      <alignment horizontal="center"/>
    </xf>
    <xf numFmtId="0" fontId="9" fillId="0" borderId="1" xfId="0" applyFont="1" applyFill="1" applyBorder="1"/>
    <xf numFmtId="1" fontId="9" fillId="0" borderId="0" xfId="0" applyNumberFormat="1" applyFont="1" applyFill="1"/>
    <xf numFmtId="0" fontId="9" fillId="0" borderId="0" xfId="0" applyFont="1" applyFill="1"/>
    <xf numFmtId="0" fontId="12" fillId="0" borderId="0" xfId="0" applyFont="1" applyFill="1"/>
    <xf numFmtId="0" fontId="0" fillId="0" borderId="9" xfId="0" applyFont="1" applyFill="1" applyBorder="1"/>
    <xf numFmtId="0" fontId="9" fillId="0" borderId="9" xfId="0" applyFont="1" applyFill="1" applyBorder="1"/>
    <xf numFmtId="0" fontId="10" fillId="0" borderId="0" xfId="0" applyFont="1" applyFill="1" applyBorder="1" applyAlignment="1">
      <alignment horizontal="center" wrapText="1"/>
    </xf>
    <xf numFmtId="0" fontId="0" fillId="0" borderId="4" xfId="0" applyFont="1" applyFill="1" applyBorder="1" applyAlignment="1">
      <alignment horizontal="center"/>
    </xf>
    <xf numFmtId="0" fontId="0" fillId="0" borderId="10" xfId="0" applyFont="1" applyFill="1" applyBorder="1" applyAlignment="1">
      <alignment horizontal="center"/>
    </xf>
    <xf numFmtId="0" fontId="4" fillId="0" borderId="7" xfId="0" applyFont="1" applyFill="1" applyBorder="1"/>
    <xf numFmtId="0" fontId="0" fillId="0" borderId="11" xfId="0" applyFill="1" applyBorder="1"/>
    <xf numFmtId="0" fontId="0" fillId="0" borderId="12" xfId="0" applyFont="1" applyFill="1" applyBorder="1"/>
    <xf numFmtId="0" fontId="0" fillId="0" borderId="13" xfId="0" applyFont="1" applyFill="1" applyBorder="1"/>
    <xf numFmtId="0" fontId="1" fillId="0" borderId="3" xfId="0" applyFont="1" applyFill="1" applyBorder="1" applyAlignment="1">
      <alignment horizontal="left"/>
    </xf>
    <xf numFmtId="0" fontId="5" fillId="0" borderId="1" xfId="0" applyFont="1" applyFill="1" applyBorder="1"/>
    <xf numFmtId="0" fontId="1" fillId="0" borderId="5" xfId="0" applyFont="1" applyFill="1" applyBorder="1" applyAlignment="1">
      <alignment horizontal="left"/>
    </xf>
    <xf numFmtId="0" fontId="1" fillId="4" borderId="0" xfId="0" applyFont="1" applyFill="1" applyAlignment="1">
      <alignment horizontal="center"/>
    </xf>
    <xf numFmtId="0" fontId="0" fillId="4" borderId="0" xfId="0" applyFill="1"/>
    <xf numFmtId="0" fontId="0" fillId="4" borderId="0" xfId="0" applyFill="1" applyBorder="1"/>
    <xf numFmtId="0" fontId="0" fillId="4" borderId="7" xfId="0" applyFill="1" applyBorder="1"/>
    <xf numFmtId="0" fontId="0" fillId="4" borderId="5" xfId="0" applyFill="1" applyBorder="1"/>
    <xf numFmtId="1" fontId="0" fillId="0" borderId="9" xfId="0" applyNumberFormat="1" applyFont="1" applyFill="1" applyBorder="1"/>
    <xf numFmtId="0" fontId="0" fillId="0" borderId="9" xfId="0" applyFill="1" applyBorder="1" applyAlignment="1">
      <alignment horizontal="center"/>
    </xf>
    <xf numFmtId="0" fontId="0" fillId="0" borderId="9" xfId="0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0" fontId="10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0" fillId="2" borderId="1" xfId="0" applyFont="1" applyFill="1" applyBorder="1" applyAlignment="1">
      <alignment horizontal="left"/>
    </xf>
    <xf numFmtId="0" fontId="1" fillId="2" borderId="0" xfId="0" applyFont="1" applyFill="1" applyAlignment="1">
      <alignment horizontal="center"/>
    </xf>
    <xf numFmtId="0" fontId="0" fillId="4" borderId="0" xfId="0" applyFont="1" applyFill="1"/>
    <xf numFmtId="0" fontId="0" fillId="2" borderId="7" xfId="0" applyFill="1" applyBorder="1"/>
    <xf numFmtId="0" fontId="0" fillId="2" borderId="5" xfId="0" applyFill="1" applyBorder="1"/>
    <xf numFmtId="49" fontId="1" fillId="0" borderId="0" xfId="0" applyNumberFormat="1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0" fillId="5" borderId="0" xfId="0" applyFont="1" applyFill="1"/>
    <xf numFmtId="0" fontId="0" fillId="5" borderId="0" xfId="0" applyFont="1" applyFill="1" applyBorder="1"/>
    <xf numFmtId="0" fontId="7" fillId="5" borderId="0" xfId="0" applyFont="1" applyFill="1" applyBorder="1"/>
    <xf numFmtId="0" fontId="0" fillId="5" borderId="0" xfId="0" applyFill="1"/>
    <xf numFmtId="1" fontId="0" fillId="2" borderId="0" xfId="0" applyNumberFormat="1" applyFont="1" applyFill="1"/>
    <xf numFmtId="0" fontId="0" fillId="2" borderId="4" xfId="0" applyFont="1" applyFill="1" applyBorder="1" applyAlignment="1">
      <alignment horizontal="center"/>
    </xf>
    <xf numFmtId="0" fontId="9" fillId="2" borderId="1" xfId="0" applyFont="1" applyFill="1" applyBorder="1"/>
    <xf numFmtId="0" fontId="9" fillId="2" borderId="0" xfId="0" applyFont="1" applyFill="1" applyBorder="1"/>
    <xf numFmtId="1" fontId="9" fillId="2" borderId="0" xfId="0" applyNumberFormat="1" applyFont="1" applyFill="1"/>
    <xf numFmtId="0" fontId="9" fillId="2" borderId="0" xfId="0" applyFont="1" applyFill="1"/>
    <xf numFmtId="0" fontId="0" fillId="5" borderId="0" xfId="0" applyFill="1" applyBorder="1"/>
    <xf numFmtId="0" fontId="0" fillId="5" borderId="7" xfId="0" applyFill="1" applyBorder="1"/>
    <xf numFmtId="0" fontId="0" fillId="5" borderId="5" xfId="0" applyFill="1" applyBorder="1"/>
    <xf numFmtId="2" fontId="10" fillId="0" borderId="0" xfId="0" applyNumberFormat="1" applyFont="1" applyFill="1" applyAlignment="1">
      <alignment horizontal="center"/>
    </xf>
    <xf numFmtId="2" fontId="0" fillId="0" borderId="0" xfId="0" applyNumberFormat="1" applyFont="1" applyFill="1"/>
    <xf numFmtId="2" fontId="0" fillId="2" borderId="0" xfId="0" applyNumberFormat="1" applyFont="1" applyFill="1"/>
    <xf numFmtId="0" fontId="13" fillId="0" borderId="0" xfId="0" applyFont="1"/>
    <xf numFmtId="0" fontId="14" fillId="0" borderId="0" xfId="0" applyFont="1"/>
    <xf numFmtId="0" fontId="14" fillId="0" borderId="0" xfId="0" applyFont="1" applyFill="1"/>
    <xf numFmtId="0" fontId="0" fillId="2" borderId="9" xfId="0" applyFont="1" applyFill="1" applyBorder="1"/>
    <xf numFmtId="0" fontId="15" fillId="0" borderId="0" xfId="0" applyFont="1" applyFill="1"/>
    <xf numFmtId="0" fontId="15" fillId="5" borderId="0" xfId="0" applyFont="1" applyFill="1"/>
    <xf numFmtId="0" fontId="0" fillId="2" borderId="1" xfId="0" applyFont="1" applyFill="1" applyBorder="1"/>
    <xf numFmtId="0" fontId="14" fillId="2" borderId="0" xfId="0" applyFont="1" applyFill="1"/>
    <xf numFmtId="0" fontId="4" fillId="2" borderId="0" xfId="0" applyFont="1" applyFill="1"/>
    <xf numFmtId="1" fontId="0" fillId="2" borderId="0" xfId="0" applyNumberFormat="1" applyFont="1" applyFill="1" applyBorder="1"/>
    <xf numFmtId="11" fontId="0" fillId="2" borderId="0" xfId="0" applyNumberFormat="1" applyFont="1" applyFill="1"/>
    <xf numFmtId="49" fontId="0" fillId="2" borderId="0" xfId="0" applyNumberFormat="1" applyFont="1" applyFill="1"/>
    <xf numFmtId="0" fontId="0" fillId="6" borderId="0" xfId="0" applyFill="1"/>
  </cellXfs>
  <cellStyles count="821">
    <cellStyle name="Followed Hyperlink" xfId="464" builtinId="9" hidden="1"/>
    <cellStyle name="Followed Hyperlink" xfId="480" builtinId="9" hidden="1"/>
    <cellStyle name="Followed Hyperlink" xfId="496" builtinId="9" hidden="1"/>
    <cellStyle name="Followed Hyperlink" xfId="512" builtinId="9" hidden="1"/>
    <cellStyle name="Followed Hyperlink" xfId="528" builtinId="9" hidden="1"/>
    <cellStyle name="Followed Hyperlink" xfId="544" builtinId="9" hidden="1"/>
    <cellStyle name="Followed Hyperlink" xfId="560" builtinId="9" hidden="1"/>
    <cellStyle name="Followed Hyperlink" xfId="576" builtinId="9" hidden="1"/>
    <cellStyle name="Followed Hyperlink" xfId="592" builtinId="9" hidden="1"/>
    <cellStyle name="Followed Hyperlink" xfId="608" builtinId="9" hidden="1"/>
    <cellStyle name="Followed Hyperlink" xfId="624" builtinId="9" hidden="1"/>
    <cellStyle name="Followed Hyperlink" xfId="640" builtinId="9" hidden="1"/>
    <cellStyle name="Followed Hyperlink" xfId="656" builtinId="9" hidden="1"/>
    <cellStyle name="Followed Hyperlink" xfId="672" builtinId="9" hidden="1"/>
    <cellStyle name="Followed Hyperlink" xfId="688" builtinId="9" hidden="1"/>
    <cellStyle name="Followed Hyperlink" xfId="704" builtinId="9" hidden="1"/>
    <cellStyle name="Followed Hyperlink" xfId="720" builtinId="9" hidden="1"/>
    <cellStyle name="Followed Hyperlink" xfId="736" builtinId="9" hidden="1"/>
    <cellStyle name="Followed Hyperlink" xfId="752" builtinId="9" hidden="1"/>
    <cellStyle name="Followed Hyperlink" xfId="768" builtinId="9" hidden="1"/>
    <cellStyle name="Followed Hyperlink" xfId="758" builtinId="9" hidden="1"/>
    <cellStyle name="Followed Hyperlink" xfId="742" builtinId="9" hidden="1"/>
    <cellStyle name="Followed Hyperlink" xfId="726" builtinId="9" hidden="1"/>
    <cellStyle name="Followed Hyperlink" xfId="710" builtinId="9" hidden="1"/>
    <cellStyle name="Followed Hyperlink" xfId="694" builtinId="9" hidden="1"/>
    <cellStyle name="Followed Hyperlink" xfId="678" builtinId="9" hidden="1"/>
    <cellStyle name="Followed Hyperlink" xfId="662" builtinId="9" hidden="1"/>
    <cellStyle name="Followed Hyperlink" xfId="646" builtinId="9" hidden="1"/>
    <cellStyle name="Followed Hyperlink" xfId="630" builtinId="9" hidden="1"/>
    <cellStyle name="Followed Hyperlink" xfId="614" builtinId="9" hidden="1"/>
    <cellStyle name="Followed Hyperlink" xfId="598" builtinId="9" hidden="1"/>
    <cellStyle name="Followed Hyperlink" xfId="582" builtinId="9" hidden="1"/>
    <cellStyle name="Followed Hyperlink" xfId="566" builtinId="9" hidden="1"/>
    <cellStyle name="Followed Hyperlink" xfId="550" builtinId="9" hidden="1"/>
    <cellStyle name="Followed Hyperlink" xfId="534" builtinId="9" hidden="1"/>
    <cellStyle name="Followed Hyperlink" xfId="518" builtinId="9" hidden="1"/>
    <cellStyle name="Followed Hyperlink" xfId="502" builtinId="9" hidden="1"/>
    <cellStyle name="Followed Hyperlink" xfId="486" builtinId="9" hidden="1"/>
    <cellStyle name="Followed Hyperlink" xfId="470" builtinId="9" hidden="1"/>
    <cellStyle name="Followed Hyperlink" xfId="454" builtinId="9" hidden="1"/>
    <cellStyle name="Followed Hyperlink" xfId="438" builtinId="9" hidden="1"/>
    <cellStyle name="Followed Hyperlink" xfId="422" builtinId="9" hidden="1"/>
    <cellStyle name="Followed Hyperlink" xfId="406" builtinId="9" hidden="1"/>
    <cellStyle name="Followed Hyperlink" xfId="390" builtinId="9" hidden="1"/>
    <cellStyle name="Followed Hyperlink" xfId="374" builtinId="9" hidden="1"/>
    <cellStyle name="Followed Hyperlink" xfId="358" builtinId="9" hidden="1"/>
    <cellStyle name="Followed Hyperlink" xfId="342" builtinId="9" hidden="1"/>
    <cellStyle name="Followed Hyperlink" xfId="326" builtinId="9" hidden="1"/>
    <cellStyle name="Followed Hyperlink" xfId="310" builtinId="9" hidden="1"/>
    <cellStyle name="Followed Hyperlink" xfId="294" builtinId="9" hidden="1"/>
    <cellStyle name="Followed Hyperlink" xfId="278" builtinId="9" hidden="1"/>
    <cellStyle name="Followed Hyperlink" xfId="262" builtinId="9" hidden="1"/>
    <cellStyle name="Followed Hyperlink" xfId="246" builtinId="9" hidden="1"/>
    <cellStyle name="Followed Hyperlink" xfId="230" builtinId="9" hidden="1"/>
    <cellStyle name="Followed Hyperlink" xfId="214" builtinId="9" hidden="1"/>
    <cellStyle name="Followed Hyperlink" xfId="198" builtinId="9" hidden="1"/>
    <cellStyle name="Followed Hyperlink" xfId="182" builtinId="9" hidden="1"/>
    <cellStyle name="Followed Hyperlink" xfId="166" builtinId="9" hidden="1"/>
    <cellStyle name="Followed Hyperlink" xfId="150" builtinId="9" hidden="1"/>
    <cellStyle name="Followed Hyperlink" xfId="134" builtinId="9" hidden="1"/>
    <cellStyle name="Followed Hyperlink" xfId="118" builtinId="9" hidden="1"/>
    <cellStyle name="Followed Hyperlink" xfId="102" builtinId="9" hidden="1"/>
    <cellStyle name="Followed Hyperlink" xfId="86" builtinId="9" hidden="1"/>
    <cellStyle name="Followed Hyperlink" xfId="70" builtinId="9" hidden="1"/>
    <cellStyle name="Followed Hyperlink" xfId="28" builtinId="9" hidden="1"/>
    <cellStyle name="Followed Hyperlink" xfId="40" builtinId="9" hidden="1"/>
    <cellStyle name="Followed Hyperlink" xfId="50" builtinId="9" hidden="1"/>
    <cellStyle name="Followed Hyperlink" xfId="60" builtinId="9" hidden="1"/>
    <cellStyle name="Followed Hyperlink" xfId="46" builtinId="9" hidden="1"/>
    <cellStyle name="Followed Hyperlink" xfId="10" builtinId="9" hidden="1"/>
    <cellStyle name="Followed Hyperlink" xfId="20" builtinId="9" hidden="1"/>
    <cellStyle name="Followed Hyperlink" xfId="4" builtinId="9" hidden="1"/>
    <cellStyle name="Followed Hyperlink" xfId="8" builtinId="9" hidden="1"/>
    <cellStyle name="Followed Hyperlink" xfId="18" builtinId="9" hidden="1"/>
    <cellStyle name="Followed Hyperlink" xfId="22" builtinId="9" hidden="1"/>
    <cellStyle name="Followed Hyperlink" xfId="54" builtinId="9" hidden="1"/>
    <cellStyle name="Followed Hyperlink" xfId="58" builtinId="9" hidden="1"/>
    <cellStyle name="Followed Hyperlink" xfId="48" builtinId="9" hidden="1"/>
    <cellStyle name="Followed Hyperlink" xfId="36" builtinId="9" hidden="1"/>
    <cellStyle name="Followed Hyperlink" xfId="26" builtinId="9" hidden="1"/>
    <cellStyle name="Followed Hyperlink" xfId="74" builtinId="9" hidden="1"/>
    <cellStyle name="Followed Hyperlink" xfId="90" builtinId="9" hidden="1"/>
    <cellStyle name="Followed Hyperlink" xfId="106" builtinId="9" hidden="1"/>
    <cellStyle name="Followed Hyperlink" xfId="122" builtinId="9" hidden="1"/>
    <cellStyle name="Followed Hyperlink" xfId="138" builtinId="9" hidden="1"/>
    <cellStyle name="Followed Hyperlink" xfId="154" builtinId="9" hidden="1"/>
    <cellStyle name="Followed Hyperlink" xfId="170" builtinId="9" hidden="1"/>
    <cellStyle name="Followed Hyperlink" xfId="186" builtinId="9" hidden="1"/>
    <cellStyle name="Followed Hyperlink" xfId="202" builtinId="9" hidden="1"/>
    <cellStyle name="Followed Hyperlink" xfId="218" builtinId="9" hidden="1"/>
    <cellStyle name="Followed Hyperlink" xfId="234" builtinId="9" hidden="1"/>
    <cellStyle name="Followed Hyperlink" xfId="250" builtinId="9" hidden="1"/>
    <cellStyle name="Followed Hyperlink" xfId="266" builtinId="9" hidden="1"/>
    <cellStyle name="Followed Hyperlink" xfId="282" builtinId="9" hidden="1"/>
    <cellStyle name="Followed Hyperlink" xfId="298" builtinId="9" hidden="1"/>
    <cellStyle name="Followed Hyperlink" xfId="314" builtinId="9" hidden="1"/>
    <cellStyle name="Followed Hyperlink" xfId="330" builtinId="9" hidden="1"/>
    <cellStyle name="Followed Hyperlink" xfId="346" builtinId="9" hidden="1"/>
    <cellStyle name="Followed Hyperlink" xfId="362" builtinId="9" hidden="1"/>
    <cellStyle name="Followed Hyperlink" xfId="378" builtinId="9" hidden="1"/>
    <cellStyle name="Followed Hyperlink" xfId="394" builtinId="9" hidden="1"/>
    <cellStyle name="Followed Hyperlink" xfId="410" builtinId="9" hidden="1"/>
    <cellStyle name="Followed Hyperlink" xfId="426" builtinId="9" hidden="1"/>
    <cellStyle name="Followed Hyperlink" xfId="442" builtinId="9" hidden="1"/>
    <cellStyle name="Followed Hyperlink" xfId="458" builtinId="9" hidden="1"/>
    <cellStyle name="Followed Hyperlink" xfId="474" builtinId="9" hidden="1"/>
    <cellStyle name="Followed Hyperlink" xfId="490" builtinId="9" hidden="1"/>
    <cellStyle name="Followed Hyperlink" xfId="506" builtinId="9" hidden="1"/>
    <cellStyle name="Followed Hyperlink" xfId="522" builtinId="9" hidden="1"/>
    <cellStyle name="Followed Hyperlink" xfId="538" builtinId="9" hidden="1"/>
    <cellStyle name="Followed Hyperlink" xfId="554" builtinId="9" hidden="1"/>
    <cellStyle name="Followed Hyperlink" xfId="570" builtinId="9" hidden="1"/>
    <cellStyle name="Followed Hyperlink" xfId="586" builtinId="9" hidden="1"/>
    <cellStyle name="Followed Hyperlink" xfId="602" builtinId="9" hidden="1"/>
    <cellStyle name="Followed Hyperlink" xfId="618" builtinId="9" hidden="1"/>
    <cellStyle name="Followed Hyperlink" xfId="634" builtinId="9" hidden="1"/>
    <cellStyle name="Followed Hyperlink" xfId="650" builtinId="9" hidden="1"/>
    <cellStyle name="Followed Hyperlink" xfId="666" builtinId="9" hidden="1"/>
    <cellStyle name="Followed Hyperlink" xfId="682" builtinId="9" hidden="1"/>
    <cellStyle name="Followed Hyperlink" xfId="698" builtinId="9" hidden="1"/>
    <cellStyle name="Followed Hyperlink" xfId="714" builtinId="9" hidden="1"/>
    <cellStyle name="Followed Hyperlink" xfId="730" builtinId="9" hidden="1"/>
    <cellStyle name="Followed Hyperlink" xfId="746" builtinId="9" hidden="1"/>
    <cellStyle name="Followed Hyperlink" xfId="762" builtinId="9" hidden="1"/>
    <cellStyle name="Followed Hyperlink" xfId="764" builtinId="9" hidden="1"/>
    <cellStyle name="Followed Hyperlink" xfId="748" builtinId="9" hidden="1"/>
    <cellStyle name="Followed Hyperlink" xfId="732" builtinId="9" hidden="1"/>
    <cellStyle name="Followed Hyperlink" xfId="716" builtinId="9" hidden="1"/>
    <cellStyle name="Followed Hyperlink" xfId="700" builtinId="9" hidden="1"/>
    <cellStyle name="Followed Hyperlink" xfId="684" builtinId="9" hidden="1"/>
    <cellStyle name="Followed Hyperlink" xfId="668" builtinId="9" hidden="1"/>
    <cellStyle name="Followed Hyperlink" xfId="652" builtinId="9" hidden="1"/>
    <cellStyle name="Followed Hyperlink" xfId="636" builtinId="9" hidden="1"/>
    <cellStyle name="Followed Hyperlink" xfId="620" builtinId="9" hidden="1"/>
    <cellStyle name="Followed Hyperlink" xfId="604" builtinId="9" hidden="1"/>
    <cellStyle name="Followed Hyperlink" xfId="588" builtinId="9" hidden="1"/>
    <cellStyle name="Followed Hyperlink" xfId="572" builtinId="9" hidden="1"/>
    <cellStyle name="Followed Hyperlink" xfId="556" builtinId="9" hidden="1"/>
    <cellStyle name="Followed Hyperlink" xfId="540" builtinId="9" hidden="1"/>
    <cellStyle name="Followed Hyperlink" xfId="524" builtinId="9" hidden="1"/>
    <cellStyle name="Followed Hyperlink" xfId="508" builtinId="9" hidden="1"/>
    <cellStyle name="Followed Hyperlink" xfId="492" builtinId="9" hidden="1"/>
    <cellStyle name="Followed Hyperlink" xfId="476" builtinId="9" hidden="1"/>
    <cellStyle name="Followed Hyperlink" xfId="460" builtinId="9" hidden="1"/>
    <cellStyle name="Followed Hyperlink" xfId="444" builtinId="9" hidden="1"/>
    <cellStyle name="Followed Hyperlink" xfId="428" builtinId="9" hidden="1"/>
    <cellStyle name="Followed Hyperlink" xfId="412" builtinId="9" hidden="1"/>
    <cellStyle name="Followed Hyperlink" xfId="396" builtinId="9" hidden="1"/>
    <cellStyle name="Followed Hyperlink" xfId="380" builtinId="9" hidden="1"/>
    <cellStyle name="Followed Hyperlink" xfId="364" builtinId="9" hidden="1"/>
    <cellStyle name="Followed Hyperlink" xfId="348" builtinId="9" hidden="1"/>
    <cellStyle name="Followed Hyperlink" xfId="332" builtinId="9" hidden="1"/>
    <cellStyle name="Followed Hyperlink" xfId="316" builtinId="9" hidden="1"/>
    <cellStyle name="Followed Hyperlink" xfId="300" builtinId="9" hidden="1"/>
    <cellStyle name="Followed Hyperlink" xfId="284" builtinId="9" hidden="1"/>
    <cellStyle name="Followed Hyperlink" xfId="268" builtinId="9" hidden="1"/>
    <cellStyle name="Followed Hyperlink" xfId="252" builtinId="9" hidden="1"/>
    <cellStyle name="Followed Hyperlink" xfId="236" builtinId="9" hidden="1"/>
    <cellStyle name="Followed Hyperlink" xfId="220" builtinId="9" hidden="1"/>
    <cellStyle name="Followed Hyperlink" xfId="204" builtinId="9" hidden="1"/>
    <cellStyle name="Followed Hyperlink" xfId="112" builtinId="9" hidden="1"/>
    <cellStyle name="Followed Hyperlink" xfId="120" builtinId="9" hidden="1"/>
    <cellStyle name="Followed Hyperlink" xfId="132" builtinId="9" hidden="1"/>
    <cellStyle name="Followed Hyperlink" xfId="144" builtinId="9" hidden="1"/>
    <cellStyle name="Followed Hyperlink" xfId="152" builtinId="9" hidden="1"/>
    <cellStyle name="Followed Hyperlink" xfId="164" builtinId="9" hidden="1"/>
    <cellStyle name="Followed Hyperlink" xfId="176" builtinId="9" hidden="1"/>
    <cellStyle name="Followed Hyperlink" xfId="184" builtinId="9" hidden="1"/>
    <cellStyle name="Followed Hyperlink" xfId="188" builtinId="9" hidden="1"/>
    <cellStyle name="Followed Hyperlink" xfId="156" builtinId="9" hidden="1"/>
    <cellStyle name="Followed Hyperlink" xfId="124" builtinId="9" hidden="1"/>
    <cellStyle name="Followed Hyperlink" xfId="84" builtinId="9" hidden="1"/>
    <cellStyle name="Followed Hyperlink" xfId="96" builtinId="9" hidden="1"/>
    <cellStyle name="Followed Hyperlink" xfId="104" builtinId="9" hidden="1"/>
    <cellStyle name="Followed Hyperlink" xfId="76" builtinId="9" hidden="1"/>
    <cellStyle name="Followed Hyperlink" xfId="72" builtinId="9" hidden="1"/>
    <cellStyle name="Followed Hyperlink" xfId="68" builtinId="9" hidden="1"/>
    <cellStyle name="Followed Hyperlink" xfId="80" builtinId="9" hidden="1"/>
    <cellStyle name="Followed Hyperlink" xfId="92" builtinId="9" hidden="1"/>
    <cellStyle name="Followed Hyperlink" xfId="100" builtinId="9" hidden="1"/>
    <cellStyle name="Followed Hyperlink" xfId="88" builtinId="9" hidden="1"/>
    <cellStyle name="Followed Hyperlink" xfId="108" builtinId="9" hidden="1"/>
    <cellStyle name="Followed Hyperlink" xfId="140" builtinId="9" hidden="1"/>
    <cellStyle name="Followed Hyperlink" xfId="172" builtinId="9" hidden="1"/>
    <cellStyle name="Followed Hyperlink" xfId="192" builtinId="9" hidden="1"/>
    <cellStyle name="Followed Hyperlink" xfId="180" builtinId="9" hidden="1"/>
    <cellStyle name="Followed Hyperlink" xfId="168" builtinId="9" hidden="1"/>
    <cellStyle name="Followed Hyperlink" xfId="160" builtinId="9" hidden="1"/>
    <cellStyle name="Followed Hyperlink" xfId="148" builtinId="9" hidden="1"/>
    <cellStyle name="Followed Hyperlink" xfId="136" builtinId="9" hidden="1"/>
    <cellStyle name="Followed Hyperlink" xfId="128" builtinId="9" hidden="1"/>
    <cellStyle name="Followed Hyperlink" xfId="116" builtinId="9" hidden="1"/>
    <cellStyle name="Followed Hyperlink" xfId="196" builtinId="9" hidden="1"/>
    <cellStyle name="Followed Hyperlink" xfId="212" builtinId="9" hidden="1"/>
    <cellStyle name="Followed Hyperlink" xfId="228" builtinId="9" hidden="1"/>
    <cellStyle name="Followed Hyperlink" xfId="244" builtinId="9" hidden="1"/>
    <cellStyle name="Followed Hyperlink" xfId="260" builtinId="9" hidden="1"/>
    <cellStyle name="Followed Hyperlink" xfId="276" builtinId="9" hidden="1"/>
    <cellStyle name="Followed Hyperlink" xfId="292" builtinId="9" hidden="1"/>
    <cellStyle name="Followed Hyperlink" xfId="308" builtinId="9" hidden="1"/>
    <cellStyle name="Followed Hyperlink" xfId="324" builtinId="9" hidden="1"/>
    <cellStyle name="Followed Hyperlink" xfId="340" builtinId="9" hidden="1"/>
    <cellStyle name="Followed Hyperlink" xfId="356" builtinId="9" hidden="1"/>
    <cellStyle name="Followed Hyperlink" xfId="372" builtinId="9" hidden="1"/>
    <cellStyle name="Followed Hyperlink" xfId="388" builtinId="9" hidden="1"/>
    <cellStyle name="Followed Hyperlink" xfId="404" builtinId="9" hidden="1"/>
    <cellStyle name="Followed Hyperlink" xfId="420" builtinId="9" hidden="1"/>
    <cellStyle name="Followed Hyperlink" xfId="436" builtinId="9" hidden="1"/>
    <cellStyle name="Followed Hyperlink" xfId="452" builtinId="9" hidden="1"/>
    <cellStyle name="Followed Hyperlink" xfId="468" builtinId="9" hidden="1"/>
    <cellStyle name="Followed Hyperlink" xfId="484" builtinId="9" hidden="1"/>
    <cellStyle name="Followed Hyperlink" xfId="500" builtinId="9" hidden="1"/>
    <cellStyle name="Followed Hyperlink" xfId="516" builtinId="9" hidden="1"/>
    <cellStyle name="Followed Hyperlink" xfId="532" builtinId="9" hidden="1"/>
    <cellStyle name="Followed Hyperlink" xfId="548" builtinId="9" hidden="1"/>
    <cellStyle name="Followed Hyperlink" xfId="564" builtinId="9" hidden="1"/>
    <cellStyle name="Followed Hyperlink" xfId="580" builtinId="9" hidden="1"/>
    <cellStyle name="Followed Hyperlink" xfId="596" builtinId="9" hidden="1"/>
    <cellStyle name="Followed Hyperlink" xfId="612" builtinId="9" hidden="1"/>
    <cellStyle name="Followed Hyperlink" xfId="628" builtinId="9" hidden="1"/>
    <cellStyle name="Followed Hyperlink" xfId="644" builtinId="9" hidden="1"/>
    <cellStyle name="Followed Hyperlink" xfId="660" builtinId="9" hidden="1"/>
    <cellStyle name="Followed Hyperlink" xfId="676" builtinId="9" hidden="1"/>
    <cellStyle name="Followed Hyperlink" xfId="692" builtinId="9" hidden="1"/>
    <cellStyle name="Followed Hyperlink" xfId="708" builtinId="9" hidden="1"/>
    <cellStyle name="Followed Hyperlink" xfId="724" builtinId="9" hidden="1"/>
    <cellStyle name="Followed Hyperlink" xfId="740" builtinId="9" hidden="1"/>
    <cellStyle name="Followed Hyperlink" xfId="756" builtinId="9" hidden="1"/>
    <cellStyle name="Followed Hyperlink" xfId="770" builtinId="9" hidden="1"/>
    <cellStyle name="Followed Hyperlink" xfId="754" builtinId="9" hidden="1"/>
    <cellStyle name="Followed Hyperlink" xfId="738" builtinId="9" hidden="1"/>
    <cellStyle name="Followed Hyperlink" xfId="722" builtinId="9" hidden="1"/>
    <cellStyle name="Followed Hyperlink" xfId="706" builtinId="9" hidden="1"/>
    <cellStyle name="Followed Hyperlink" xfId="690" builtinId="9" hidden="1"/>
    <cellStyle name="Followed Hyperlink" xfId="674" builtinId="9" hidden="1"/>
    <cellStyle name="Followed Hyperlink" xfId="658" builtinId="9" hidden="1"/>
    <cellStyle name="Followed Hyperlink" xfId="642" builtinId="9" hidden="1"/>
    <cellStyle name="Followed Hyperlink" xfId="626" builtinId="9" hidden="1"/>
    <cellStyle name="Followed Hyperlink" xfId="610" builtinId="9" hidden="1"/>
    <cellStyle name="Followed Hyperlink" xfId="594" builtinId="9" hidden="1"/>
    <cellStyle name="Followed Hyperlink" xfId="578" builtinId="9" hidden="1"/>
    <cellStyle name="Followed Hyperlink" xfId="562" builtinId="9" hidden="1"/>
    <cellStyle name="Followed Hyperlink" xfId="546" builtinId="9" hidden="1"/>
    <cellStyle name="Followed Hyperlink" xfId="530" builtinId="9" hidden="1"/>
    <cellStyle name="Followed Hyperlink" xfId="514" builtinId="9" hidden="1"/>
    <cellStyle name="Followed Hyperlink" xfId="498" builtinId="9" hidden="1"/>
    <cellStyle name="Followed Hyperlink" xfId="482" builtinId="9" hidden="1"/>
    <cellStyle name="Followed Hyperlink" xfId="466" builtinId="9" hidden="1"/>
    <cellStyle name="Followed Hyperlink" xfId="450" builtinId="9" hidden="1"/>
    <cellStyle name="Followed Hyperlink" xfId="434" builtinId="9" hidden="1"/>
    <cellStyle name="Followed Hyperlink" xfId="418" builtinId="9" hidden="1"/>
    <cellStyle name="Followed Hyperlink" xfId="402" builtinId="9" hidden="1"/>
    <cellStyle name="Followed Hyperlink" xfId="386" builtinId="9" hidden="1"/>
    <cellStyle name="Followed Hyperlink" xfId="370" builtinId="9" hidden="1"/>
    <cellStyle name="Followed Hyperlink" xfId="354" builtinId="9" hidden="1"/>
    <cellStyle name="Followed Hyperlink" xfId="338" builtinId="9" hidden="1"/>
    <cellStyle name="Followed Hyperlink" xfId="322" builtinId="9" hidden="1"/>
    <cellStyle name="Followed Hyperlink" xfId="306" builtinId="9" hidden="1"/>
    <cellStyle name="Followed Hyperlink" xfId="290" builtinId="9" hidden="1"/>
    <cellStyle name="Followed Hyperlink" xfId="274" builtinId="9" hidden="1"/>
    <cellStyle name="Followed Hyperlink" xfId="258" builtinId="9" hidden="1"/>
    <cellStyle name="Followed Hyperlink" xfId="242" builtinId="9" hidden="1"/>
    <cellStyle name="Followed Hyperlink" xfId="226" builtinId="9" hidden="1"/>
    <cellStyle name="Followed Hyperlink" xfId="210" builtinId="9" hidden="1"/>
    <cellStyle name="Followed Hyperlink" xfId="194" builtinId="9" hidden="1"/>
    <cellStyle name="Followed Hyperlink" xfId="178" builtinId="9" hidden="1"/>
    <cellStyle name="Followed Hyperlink" xfId="162" builtinId="9" hidden="1"/>
    <cellStyle name="Followed Hyperlink" xfId="146" builtinId="9" hidden="1"/>
    <cellStyle name="Followed Hyperlink" xfId="130" builtinId="9" hidden="1"/>
    <cellStyle name="Followed Hyperlink" xfId="114" builtinId="9" hidden="1"/>
    <cellStyle name="Followed Hyperlink" xfId="98" builtinId="9" hidden="1"/>
    <cellStyle name="Followed Hyperlink" xfId="82" builtinId="9" hidden="1"/>
    <cellStyle name="Followed Hyperlink" xfId="66" builtinId="9" hidden="1"/>
    <cellStyle name="Followed Hyperlink" xfId="32" builtinId="9" hidden="1"/>
    <cellStyle name="Followed Hyperlink" xfId="42" builtinId="9" hidden="1"/>
    <cellStyle name="Followed Hyperlink" xfId="52" builtinId="9" hidden="1"/>
    <cellStyle name="Followed Hyperlink" xfId="64" builtinId="9" hidden="1"/>
    <cellStyle name="Followed Hyperlink" xfId="38" builtinId="9" hidden="1"/>
    <cellStyle name="Followed Hyperlink" xfId="12" builtinId="9" hidden="1"/>
    <cellStyle name="Followed Hyperlink" xfId="14" builtinId="9" hidden="1"/>
    <cellStyle name="Followed Hyperlink" xfId="2" builtinId="9" hidden="1"/>
    <cellStyle name="Followed Hyperlink" xfId="6" builtinId="9" hidden="1"/>
    <cellStyle name="Followed Hyperlink" xfId="16" builtinId="9" hidden="1"/>
    <cellStyle name="Followed Hyperlink" xfId="30" builtinId="9" hidden="1"/>
    <cellStyle name="Followed Hyperlink" xfId="62" builtinId="9" hidden="1"/>
    <cellStyle name="Followed Hyperlink" xfId="56" builtinId="9" hidden="1"/>
    <cellStyle name="Followed Hyperlink" xfId="44" builtinId="9" hidden="1"/>
    <cellStyle name="Followed Hyperlink" xfId="34" builtinId="9" hidden="1"/>
    <cellStyle name="Followed Hyperlink" xfId="24" builtinId="9" hidden="1"/>
    <cellStyle name="Followed Hyperlink" xfId="78" builtinId="9" hidden="1"/>
    <cellStyle name="Followed Hyperlink" xfId="94" builtinId="9" hidden="1"/>
    <cellStyle name="Followed Hyperlink" xfId="110" builtinId="9" hidden="1"/>
    <cellStyle name="Followed Hyperlink" xfId="126" builtinId="9" hidden="1"/>
    <cellStyle name="Followed Hyperlink" xfId="142" builtinId="9" hidden="1"/>
    <cellStyle name="Followed Hyperlink" xfId="158" builtinId="9" hidden="1"/>
    <cellStyle name="Followed Hyperlink" xfId="174" builtinId="9" hidden="1"/>
    <cellStyle name="Followed Hyperlink" xfId="190" builtinId="9" hidden="1"/>
    <cellStyle name="Followed Hyperlink" xfId="206" builtinId="9" hidden="1"/>
    <cellStyle name="Followed Hyperlink" xfId="222" builtinId="9" hidden="1"/>
    <cellStyle name="Followed Hyperlink" xfId="238" builtinId="9" hidden="1"/>
    <cellStyle name="Followed Hyperlink" xfId="254" builtinId="9" hidden="1"/>
    <cellStyle name="Followed Hyperlink" xfId="270" builtinId="9" hidden="1"/>
    <cellStyle name="Followed Hyperlink" xfId="286" builtinId="9" hidden="1"/>
    <cellStyle name="Followed Hyperlink" xfId="302" builtinId="9" hidden="1"/>
    <cellStyle name="Followed Hyperlink" xfId="318" builtinId="9" hidden="1"/>
    <cellStyle name="Followed Hyperlink" xfId="334" builtinId="9" hidden="1"/>
    <cellStyle name="Followed Hyperlink" xfId="350" builtinId="9" hidden="1"/>
    <cellStyle name="Followed Hyperlink" xfId="366" builtinId="9" hidden="1"/>
    <cellStyle name="Followed Hyperlink" xfId="382" builtinId="9" hidden="1"/>
    <cellStyle name="Followed Hyperlink" xfId="398" builtinId="9" hidden="1"/>
    <cellStyle name="Followed Hyperlink" xfId="414" builtinId="9" hidden="1"/>
    <cellStyle name="Followed Hyperlink" xfId="430" builtinId="9" hidden="1"/>
    <cellStyle name="Followed Hyperlink" xfId="446" builtinId="9" hidden="1"/>
    <cellStyle name="Followed Hyperlink" xfId="462" builtinId="9" hidden="1"/>
    <cellStyle name="Followed Hyperlink" xfId="478" builtinId="9" hidden="1"/>
    <cellStyle name="Followed Hyperlink" xfId="494" builtinId="9" hidden="1"/>
    <cellStyle name="Followed Hyperlink" xfId="510" builtinId="9" hidden="1"/>
    <cellStyle name="Followed Hyperlink" xfId="526" builtinId="9" hidden="1"/>
    <cellStyle name="Followed Hyperlink" xfId="542" builtinId="9" hidden="1"/>
    <cellStyle name="Followed Hyperlink" xfId="558" builtinId="9" hidden="1"/>
    <cellStyle name="Followed Hyperlink" xfId="574" builtinId="9" hidden="1"/>
    <cellStyle name="Followed Hyperlink" xfId="590" builtinId="9" hidden="1"/>
    <cellStyle name="Followed Hyperlink" xfId="606" builtinId="9" hidden="1"/>
    <cellStyle name="Followed Hyperlink" xfId="622" builtinId="9" hidden="1"/>
    <cellStyle name="Followed Hyperlink" xfId="638" builtinId="9" hidden="1"/>
    <cellStyle name="Followed Hyperlink" xfId="654" builtinId="9" hidden="1"/>
    <cellStyle name="Followed Hyperlink" xfId="670" builtinId="9" hidden="1"/>
    <cellStyle name="Followed Hyperlink" xfId="686" builtinId="9" hidden="1"/>
    <cellStyle name="Followed Hyperlink" xfId="702" builtinId="9" hidden="1"/>
    <cellStyle name="Followed Hyperlink" xfId="718" builtinId="9" hidden="1"/>
    <cellStyle name="Followed Hyperlink" xfId="734" builtinId="9" hidden="1"/>
    <cellStyle name="Followed Hyperlink" xfId="750" builtinId="9" hidden="1"/>
    <cellStyle name="Followed Hyperlink" xfId="766" builtinId="9" hidden="1"/>
    <cellStyle name="Followed Hyperlink" xfId="760" builtinId="9" hidden="1"/>
    <cellStyle name="Followed Hyperlink" xfId="744" builtinId="9" hidden="1"/>
    <cellStyle name="Followed Hyperlink" xfId="728" builtinId="9" hidden="1"/>
    <cellStyle name="Followed Hyperlink" xfId="712" builtinId="9" hidden="1"/>
    <cellStyle name="Followed Hyperlink" xfId="696" builtinId="9" hidden="1"/>
    <cellStyle name="Followed Hyperlink" xfId="680" builtinId="9" hidden="1"/>
    <cellStyle name="Followed Hyperlink" xfId="664" builtinId="9" hidden="1"/>
    <cellStyle name="Followed Hyperlink" xfId="648" builtinId="9" hidden="1"/>
    <cellStyle name="Followed Hyperlink" xfId="632" builtinId="9" hidden="1"/>
    <cellStyle name="Followed Hyperlink" xfId="616" builtinId="9" hidden="1"/>
    <cellStyle name="Followed Hyperlink" xfId="600" builtinId="9" hidden="1"/>
    <cellStyle name="Followed Hyperlink" xfId="584" builtinId="9" hidden="1"/>
    <cellStyle name="Followed Hyperlink" xfId="568" builtinId="9" hidden="1"/>
    <cellStyle name="Followed Hyperlink" xfId="552" builtinId="9" hidden="1"/>
    <cellStyle name="Followed Hyperlink" xfId="536" builtinId="9" hidden="1"/>
    <cellStyle name="Followed Hyperlink" xfId="520" builtinId="9" hidden="1"/>
    <cellStyle name="Followed Hyperlink" xfId="504" builtinId="9" hidden="1"/>
    <cellStyle name="Followed Hyperlink" xfId="488" builtinId="9" hidden="1"/>
    <cellStyle name="Followed Hyperlink" xfId="472" builtinId="9" hidden="1"/>
    <cellStyle name="Followed Hyperlink" xfId="456" builtinId="9" hidden="1"/>
    <cellStyle name="Followed Hyperlink" xfId="288" builtinId="9" hidden="1"/>
    <cellStyle name="Followed Hyperlink" xfId="296" builtinId="9" hidden="1"/>
    <cellStyle name="Followed Hyperlink" xfId="304" builtinId="9" hidden="1"/>
    <cellStyle name="Followed Hyperlink" xfId="320" builtinId="9" hidden="1"/>
    <cellStyle name="Followed Hyperlink" xfId="328" builtinId="9" hidden="1"/>
    <cellStyle name="Followed Hyperlink" xfId="336" builtinId="9" hidden="1"/>
    <cellStyle name="Followed Hyperlink" xfId="352" builtinId="9" hidden="1"/>
    <cellStyle name="Followed Hyperlink" xfId="360" builtinId="9" hidden="1"/>
    <cellStyle name="Followed Hyperlink" xfId="368" builtinId="9" hidden="1"/>
    <cellStyle name="Followed Hyperlink" xfId="384" builtinId="9" hidden="1"/>
    <cellStyle name="Followed Hyperlink" xfId="392" builtinId="9" hidden="1"/>
    <cellStyle name="Followed Hyperlink" xfId="400" builtinId="9" hidden="1"/>
    <cellStyle name="Followed Hyperlink" xfId="416" builtinId="9" hidden="1"/>
    <cellStyle name="Followed Hyperlink" xfId="424" builtinId="9" hidden="1"/>
    <cellStyle name="Followed Hyperlink" xfId="432" builtinId="9" hidden="1"/>
    <cellStyle name="Followed Hyperlink" xfId="448" builtinId="9" hidden="1"/>
    <cellStyle name="Followed Hyperlink" xfId="440" builtinId="9" hidden="1"/>
    <cellStyle name="Followed Hyperlink" xfId="408" builtinId="9" hidden="1"/>
    <cellStyle name="Followed Hyperlink" xfId="376" builtinId="9" hidden="1"/>
    <cellStyle name="Followed Hyperlink" xfId="344" builtinId="9" hidden="1"/>
    <cellStyle name="Followed Hyperlink" xfId="312" builtinId="9" hidden="1"/>
    <cellStyle name="Followed Hyperlink" xfId="280" builtinId="9" hidden="1"/>
    <cellStyle name="Followed Hyperlink" xfId="232" builtinId="9" hidden="1"/>
    <cellStyle name="Followed Hyperlink" xfId="240" builtinId="9" hidden="1"/>
    <cellStyle name="Followed Hyperlink" xfId="256" builtinId="9" hidden="1"/>
    <cellStyle name="Followed Hyperlink" xfId="264" builtinId="9" hidden="1"/>
    <cellStyle name="Followed Hyperlink" xfId="272" builtinId="9" hidden="1"/>
    <cellStyle name="Followed Hyperlink" xfId="248" builtinId="9" hidden="1"/>
    <cellStyle name="Followed Hyperlink" xfId="216" builtinId="9" hidden="1"/>
    <cellStyle name="Followed Hyperlink" xfId="224" builtinId="9" hidden="1"/>
    <cellStyle name="Followed Hyperlink" xfId="208" builtinId="9" hidden="1"/>
    <cellStyle name="Followed Hyperlink" xfId="200" builtinId="9" hidden="1"/>
    <cellStyle name="Followed Hyperlink" xfId="772" builtinId="9" hidden="1"/>
    <cellStyle name="Followed Hyperlink" xfId="774" builtinId="9" hidden="1"/>
    <cellStyle name="Followed Hyperlink" xfId="776" builtinId="9" hidden="1"/>
    <cellStyle name="Followed Hyperlink" xfId="778" builtinId="9" hidden="1"/>
    <cellStyle name="Followed Hyperlink" xfId="780" builtinId="9" hidden="1"/>
    <cellStyle name="Followed Hyperlink" xfId="782" builtinId="9" hidden="1"/>
    <cellStyle name="Followed Hyperlink" xfId="784" builtinId="9" hidden="1"/>
    <cellStyle name="Followed Hyperlink" xfId="786" builtinId="9" hidden="1"/>
    <cellStyle name="Followed Hyperlink" xfId="788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Hyperlink" xfId="65" builtinId="8" hidden="1"/>
    <cellStyle name="Hyperlink" xfId="67" builtinId="8" hidden="1"/>
    <cellStyle name="Hyperlink" xfId="73" builtinId="8" hidden="1"/>
    <cellStyle name="Hyperlink" xfId="75" builtinId="8" hidden="1"/>
    <cellStyle name="Hyperlink" xfId="81" builtinId="8" hidden="1"/>
    <cellStyle name="Hyperlink" xfId="85" builtinId="8" hidden="1"/>
    <cellStyle name="Hyperlink" xfId="89" builtinId="8" hidden="1"/>
    <cellStyle name="Hyperlink" xfId="91" builtinId="8" hidden="1"/>
    <cellStyle name="Hyperlink" xfId="97" builtinId="8" hidden="1"/>
    <cellStyle name="Hyperlink" xfId="99" builtinId="8" hidden="1"/>
    <cellStyle name="Hyperlink" xfId="101" builtinId="8" hidden="1"/>
    <cellStyle name="Hyperlink" xfId="107" builtinId="8" hidden="1"/>
    <cellStyle name="Hyperlink" xfId="109" builtinId="8" hidden="1"/>
    <cellStyle name="Hyperlink" xfId="115" builtinId="8" hidden="1"/>
    <cellStyle name="Hyperlink" xfId="119" builtinId="8" hidden="1"/>
    <cellStyle name="Hyperlink" xfId="79" builtinId="8" hidden="1"/>
    <cellStyle name="Hyperlink" xfId="27" builtinId="8" hidden="1"/>
    <cellStyle name="Hyperlink" xfId="33" builtinId="8" hidden="1"/>
    <cellStyle name="Hyperlink" xfId="35" builtinId="8" hidden="1"/>
    <cellStyle name="Hyperlink" xfId="37" builtinId="8" hidden="1"/>
    <cellStyle name="Hyperlink" xfId="43" builtinId="8" hidden="1"/>
    <cellStyle name="Hyperlink" xfId="45" builtinId="8" hidden="1"/>
    <cellStyle name="Hyperlink" xfId="51" builtinId="8" hidden="1"/>
    <cellStyle name="Hyperlink" xfId="55" builtinId="8" hidden="1"/>
    <cellStyle name="Hyperlink" xfId="13" builtinId="8" hidden="1"/>
    <cellStyle name="Hyperlink" xfId="15" builtinId="8" hidden="1"/>
    <cellStyle name="Hyperlink" xfId="21" builtinId="8" hidden="1"/>
    <cellStyle name="Hyperlink" xfId="23" builtinId="8" hidden="1"/>
    <cellStyle name="Hyperlink" xfId="25" builtinId="8" hidden="1"/>
    <cellStyle name="Hyperlink" xfId="11" builtinId="8" hidden="1"/>
    <cellStyle name="Hyperlink" xfId="3" builtinId="8" hidden="1"/>
    <cellStyle name="Hyperlink" xfId="1" builtinId="8" hidden="1"/>
    <cellStyle name="Hyperlink" xfId="7" builtinId="8" hidden="1"/>
    <cellStyle name="Hyperlink" xfId="19" builtinId="8" hidden="1"/>
    <cellStyle name="Hyperlink" xfId="47" builtinId="8" hidden="1"/>
    <cellStyle name="Hyperlink" xfId="39" builtinId="8" hidden="1"/>
    <cellStyle name="Hyperlink" xfId="31" builtinId="8" hidden="1"/>
    <cellStyle name="Hyperlink" xfId="111" builtinId="8" hidden="1"/>
    <cellStyle name="Hyperlink" xfId="103" builtinId="8" hidden="1"/>
    <cellStyle name="Hyperlink" xfId="95" builtinId="8" hidden="1"/>
    <cellStyle name="Hyperlink" xfId="87" builtinId="8" hidden="1"/>
    <cellStyle name="Hyperlink" xfId="69" builtinId="8" hidden="1"/>
    <cellStyle name="Hyperlink" xfId="61" builtinId="8" hidden="1"/>
    <cellStyle name="Hyperlink" xfId="143" builtinId="8" hidden="1"/>
    <cellStyle name="Hyperlink" xfId="271" builtinId="8" hidden="1"/>
    <cellStyle name="Hyperlink" xfId="275" builtinId="8" hidden="1"/>
    <cellStyle name="Hyperlink" xfId="265" builtinId="8" hidden="1"/>
    <cellStyle name="Hyperlink" xfId="247" builtinId="8" hidden="1"/>
    <cellStyle name="Hyperlink" xfId="237" builtinId="8" hidden="1"/>
    <cellStyle name="Hyperlink" xfId="229" builtinId="8" hidden="1"/>
    <cellStyle name="Hyperlink" xfId="211" builtinId="8" hidden="1"/>
    <cellStyle name="Hyperlink" xfId="201" builtinId="8" hidden="1"/>
    <cellStyle name="Hyperlink" xfId="193" builtinId="8" hidden="1"/>
    <cellStyle name="Hyperlink" xfId="173" builtinId="8" hidden="1"/>
    <cellStyle name="Hyperlink" xfId="165" builtinId="8" hidden="1"/>
    <cellStyle name="Hyperlink" xfId="155" builtinId="8" hidden="1"/>
    <cellStyle name="Hyperlink" xfId="137" builtinId="8" hidden="1"/>
    <cellStyle name="Hyperlink" xfId="129" builtinId="8" hidden="1"/>
    <cellStyle name="Hyperlink" xfId="287" builtinId="8" hidden="1"/>
    <cellStyle name="Hyperlink" xfId="351" builtinId="8" hidden="1"/>
    <cellStyle name="Hyperlink" xfId="383" builtinId="8" hidden="1"/>
    <cellStyle name="Hyperlink" xfId="415" builtinId="8" hidden="1"/>
    <cellStyle name="Hyperlink" xfId="479" builtinId="8" hidden="1"/>
    <cellStyle name="Hyperlink" xfId="511" builtinId="8" hidden="1"/>
    <cellStyle name="Hyperlink" xfId="543" builtinId="8" hidden="1"/>
    <cellStyle name="Hyperlink" xfId="607" builtinId="8" hidden="1"/>
    <cellStyle name="Hyperlink" xfId="639" builtinId="8" hidden="1"/>
    <cellStyle name="Hyperlink" xfId="671" builtinId="8" hidden="1"/>
    <cellStyle name="Hyperlink" xfId="735" builtinId="8" hidden="1"/>
    <cellStyle name="Hyperlink" xfId="767" builtinId="8" hidden="1"/>
    <cellStyle name="Hyperlink" xfId="761" builtinId="8" hidden="1"/>
    <cellStyle name="Hyperlink" xfId="739" builtinId="8" hidden="1"/>
    <cellStyle name="Hyperlink" xfId="729" builtinId="8" hidden="1"/>
    <cellStyle name="Hyperlink" xfId="717" builtinId="8" hidden="1"/>
    <cellStyle name="Hyperlink" xfId="697" builtinId="8" hidden="1"/>
    <cellStyle name="Hyperlink" xfId="685" builtinId="8" hidden="1"/>
    <cellStyle name="Hyperlink" xfId="675" builtinId="8" hidden="1"/>
    <cellStyle name="Hyperlink" xfId="443" builtinId="8" hidden="1"/>
    <cellStyle name="Hyperlink" xfId="445" builtinId="8" hidden="1"/>
    <cellStyle name="Hyperlink" xfId="449" builtinId="8" hidden="1"/>
    <cellStyle name="Hyperlink" xfId="457" builtinId="8" hidden="1"/>
    <cellStyle name="Hyperlink" xfId="459" builtinId="8" hidden="1"/>
    <cellStyle name="Hyperlink" xfId="461" builtinId="8" hidden="1"/>
    <cellStyle name="Hyperlink" xfId="467" builtinId="8" hidden="1"/>
    <cellStyle name="Hyperlink" xfId="469" builtinId="8" hidden="1"/>
    <cellStyle name="Hyperlink" xfId="475" builtinId="8" hidden="1"/>
    <cellStyle name="Hyperlink" xfId="481" builtinId="8" hidden="1"/>
    <cellStyle name="Hyperlink" xfId="483" builtinId="8" hidden="1"/>
    <cellStyle name="Hyperlink" xfId="485" builtinId="8" hidden="1"/>
    <cellStyle name="Hyperlink" xfId="491" builtinId="8" hidden="1"/>
    <cellStyle name="Hyperlink" xfId="497" builtinId="8" hidden="1"/>
    <cellStyle name="Hyperlink" xfId="499" builtinId="8" hidden="1"/>
    <cellStyle name="Hyperlink" xfId="505" builtinId="8" hidden="1"/>
    <cellStyle name="Hyperlink" xfId="507" builtinId="8" hidden="1"/>
    <cellStyle name="Hyperlink" xfId="509" builtinId="8" hidden="1"/>
    <cellStyle name="Hyperlink" xfId="517" builtinId="8" hidden="1"/>
    <cellStyle name="Hyperlink" xfId="521" builtinId="8" hidden="1"/>
    <cellStyle name="Hyperlink" xfId="523" builtinId="8" hidden="1"/>
    <cellStyle name="Hyperlink" xfId="529" builtinId="8" hidden="1"/>
    <cellStyle name="Hyperlink" xfId="531" builtinId="8" hidden="1"/>
    <cellStyle name="Hyperlink" xfId="533" builtinId="8" hidden="1"/>
    <cellStyle name="Hyperlink" xfId="541" builtinId="8" hidden="1"/>
    <cellStyle name="Hyperlink" xfId="545" builtinId="8" hidden="1"/>
    <cellStyle name="Hyperlink" xfId="547" builtinId="8" hidden="1"/>
    <cellStyle name="Hyperlink" xfId="553" builtinId="8" hidden="1"/>
    <cellStyle name="Hyperlink" xfId="555" builtinId="8" hidden="1"/>
    <cellStyle name="Hyperlink" xfId="561" builtinId="8" hidden="1"/>
    <cellStyle name="Hyperlink" xfId="565" builtinId="8" hidden="1"/>
    <cellStyle name="Hyperlink" xfId="569" builtinId="8" hidden="1"/>
    <cellStyle name="Hyperlink" xfId="571" builtinId="8" hidden="1"/>
    <cellStyle name="Hyperlink" xfId="577" builtinId="8" hidden="1"/>
    <cellStyle name="Hyperlink" xfId="581" builtinId="8" hidden="1"/>
    <cellStyle name="Hyperlink" xfId="585" builtinId="8" hidden="1"/>
    <cellStyle name="Hyperlink" xfId="589" builtinId="8" hidden="1"/>
    <cellStyle name="Hyperlink" xfId="593" builtinId="8" hidden="1"/>
    <cellStyle name="Hyperlink" xfId="595" builtinId="8" hidden="1"/>
    <cellStyle name="Hyperlink" xfId="603" builtinId="8" hidden="1"/>
    <cellStyle name="Hyperlink" xfId="605" builtinId="8" hidden="1"/>
    <cellStyle name="Hyperlink" xfId="609" builtinId="8" hidden="1"/>
    <cellStyle name="Hyperlink" xfId="613" builtinId="8" hidden="1"/>
    <cellStyle name="Hyperlink" xfId="617" builtinId="8" hidden="1"/>
    <cellStyle name="Hyperlink" xfId="619" builtinId="8" hidden="1"/>
    <cellStyle name="Hyperlink" xfId="627" builtinId="8" hidden="1"/>
    <cellStyle name="Hyperlink" xfId="629" builtinId="8" hidden="1"/>
    <cellStyle name="Hyperlink" xfId="633" builtinId="8" hidden="1"/>
    <cellStyle name="Hyperlink" xfId="637" builtinId="8" hidden="1"/>
    <cellStyle name="Hyperlink" xfId="641" builtinId="8" hidden="1"/>
    <cellStyle name="Hyperlink" xfId="645" builtinId="8" hidden="1"/>
    <cellStyle name="Hyperlink" xfId="651" builtinId="8" hidden="1"/>
    <cellStyle name="Hyperlink" xfId="653" builtinId="8" hidden="1"/>
    <cellStyle name="Hyperlink" xfId="657" builtinId="8" hidden="1"/>
    <cellStyle name="Hyperlink" xfId="621" builtinId="8" hidden="1"/>
    <cellStyle name="Hyperlink" xfId="601" builtinId="8" hidden="1"/>
    <cellStyle name="Hyperlink" xfId="579" builtinId="8" hidden="1"/>
    <cellStyle name="Hyperlink" xfId="537" builtinId="8" hidden="1"/>
    <cellStyle name="Hyperlink" xfId="515" builtinId="8" hidden="1"/>
    <cellStyle name="Hyperlink" xfId="493" builtinId="8" hidden="1"/>
    <cellStyle name="Hyperlink" xfId="451" builtinId="8" hidden="1"/>
    <cellStyle name="Hyperlink" xfId="357" builtinId="8" hidden="1"/>
    <cellStyle name="Hyperlink" xfId="361" builtinId="8" hidden="1"/>
    <cellStyle name="Hyperlink" xfId="365" builtinId="8" hidden="1"/>
    <cellStyle name="Hyperlink" xfId="369" builtinId="8" hidden="1"/>
    <cellStyle name="Hyperlink" xfId="371" builtinId="8" hidden="1"/>
    <cellStyle name="Hyperlink" xfId="377" builtinId="8" hidden="1"/>
    <cellStyle name="Hyperlink" xfId="379" builtinId="8" hidden="1"/>
    <cellStyle name="Hyperlink" xfId="381" builtinId="8" hidden="1"/>
    <cellStyle name="Hyperlink" xfId="389" builtinId="8" hidden="1"/>
    <cellStyle name="Hyperlink" xfId="393" builtinId="8" hidden="1"/>
    <cellStyle name="Hyperlink" xfId="395" builtinId="8" hidden="1"/>
    <cellStyle name="Hyperlink" xfId="401" builtinId="8" hidden="1"/>
    <cellStyle name="Hyperlink" xfId="403" builtinId="8" hidden="1"/>
    <cellStyle name="Hyperlink" xfId="405" builtinId="8" hidden="1"/>
    <cellStyle name="Hyperlink" xfId="411" builtinId="8" hidden="1"/>
    <cellStyle name="Hyperlink" xfId="413" builtinId="8" hidden="1"/>
    <cellStyle name="Hyperlink" xfId="417" builtinId="8" hidden="1"/>
    <cellStyle name="Hyperlink" xfId="421" builtinId="8" hidden="1"/>
    <cellStyle name="Hyperlink" xfId="425" builtinId="8" hidden="1"/>
    <cellStyle name="Hyperlink" xfId="427" builtinId="8" hidden="1"/>
    <cellStyle name="Hyperlink" xfId="435" builtinId="8" hidden="1"/>
    <cellStyle name="Hyperlink" xfId="437" builtinId="8" hidden="1"/>
    <cellStyle name="Hyperlink" xfId="441" builtinId="8" hidden="1"/>
    <cellStyle name="Hyperlink" xfId="387" builtinId="8" hidden="1"/>
    <cellStyle name="Hyperlink" xfId="317" builtinId="8" hidden="1"/>
    <cellStyle name="Hyperlink" xfId="321" builtinId="8" hidden="1"/>
    <cellStyle name="Hyperlink" xfId="325" builtinId="8" hidden="1"/>
    <cellStyle name="Hyperlink" xfId="329" builtinId="8" hidden="1"/>
    <cellStyle name="Hyperlink" xfId="331" builtinId="8" hidden="1"/>
    <cellStyle name="Hyperlink" xfId="337" builtinId="8" hidden="1"/>
    <cellStyle name="Hyperlink" xfId="339" builtinId="8" hidden="1"/>
    <cellStyle name="Hyperlink" xfId="341" builtinId="8" hidden="1"/>
    <cellStyle name="Hyperlink" xfId="349" builtinId="8" hidden="1"/>
    <cellStyle name="Hyperlink" xfId="353" builtinId="8" hidden="1"/>
    <cellStyle name="Hyperlink" xfId="355" builtinId="8" hidden="1"/>
    <cellStyle name="Hyperlink" xfId="299" builtinId="8" hidden="1"/>
    <cellStyle name="Hyperlink" xfId="301" builtinId="8" hidden="1"/>
    <cellStyle name="Hyperlink" xfId="305" builtinId="8" hidden="1"/>
    <cellStyle name="Hyperlink" xfId="309" builtinId="8" hidden="1"/>
    <cellStyle name="Hyperlink" xfId="313" builtinId="8" hidden="1"/>
    <cellStyle name="Hyperlink" xfId="315" builtinId="8" hidden="1"/>
    <cellStyle name="Hyperlink" xfId="293" builtinId="8" hidden="1"/>
    <cellStyle name="Hyperlink" xfId="297" builtinId="8" hidden="1"/>
    <cellStyle name="Hyperlink" xfId="285" builtinId="8" hidden="1"/>
    <cellStyle name="Hyperlink" xfId="283" builtinId="8" hidden="1"/>
    <cellStyle name="Hyperlink" xfId="289" builtinId="8" hidden="1"/>
    <cellStyle name="Hyperlink" xfId="291" builtinId="8" hidden="1"/>
    <cellStyle name="Hyperlink" xfId="307" builtinId="8" hidden="1"/>
    <cellStyle name="Hyperlink" xfId="345" builtinId="8" hidden="1"/>
    <cellStyle name="Hyperlink" xfId="347" builtinId="8" hidden="1"/>
    <cellStyle name="Hyperlink" xfId="333" builtinId="8" hidden="1"/>
    <cellStyle name="Hyperlink" xfId="323" builtinId="8" hidden="1"/>
    <cellStyle name="Hyperlink" xfId="429" builtinId="8" hidden="1"/>
    <cellStyle name="Hyperlink" xfId="433" builtinId="8" hidden="1"/>
    <cellStyle name="Hyperlink" xfId="419" builtinId="8" hidden="1"/>
    <cellStyle name="Hyperlink" xfId="409" builtinId="8" hidden="1"/>
    <cellStyle name="Hyperlink" xfId="397" builtinId="8" hidden="1"/>
    <cellStyle name="Hyperlink" xfId="385" builtinId="8" hidden="1"/>
    <cellStyle name="Hyperlink" xfId="373" builtinId="8" hidden="1"/>
    <cellStyle name="Hyperlink" xfId="363" builtinId="8" hidden="1"/>
    <cellStyle name="Hyperlink" xfId="473" builtinId="8" hidden="1"/>
    <cellStyle name="Hyperlink" xfId="557" builtinId="8" hidden="1"/>
    <cellStyle name="Hyperlink" xfId="643" builtinId="8" hidden="1"/>
    <cellStyle name="Hyperlink" xfId="649" builtinId="8" hidden="1"/>
    <cellStyle name="Hyperlink" xfId="635" builtinId="8" hidden="1"/>
    <cellStyle name="Hyperlink" xfId="625" builtinId="8" hidden="1"/>
    <cellStyle name="Hyperlink" xfId="611" builtinId="8" hidden="1"/>
    <cellStyle name="Hyperlink" xfId="597" builtinId="8" hidden="1"/>
    <cellStyle name="Hyperlink" xfId="587" builtinId="8" hidden="1"/>
    <cellStyle name="Hyperlink" xfId="573" builtinId="8" hidden="1"/>
    <cellStyle name="Hyperlink" xfId="563" builtinId="8" hidden="1"/>
    <cellStyle name="Hyperlink" xfId="549" builtinId="8" hidden="1"/>
    <cellStyle name="Hyperlink" xfId="539" builtinId="8" hidden="1"/>
    <cellStyle name="Hyperlink" xfId="525" builtinId="8" hidden="1"/>
    <cellStyle name="Hyperlink" xfId="513" builtinId="8" hidden="1"/>
    <cellStyle name="Hyperlink" xfId="501" builtinId="8" hidden="1"/>
    <cellStyle name="Hyperlink" xfId="489" builtinId="8" hidden="1"/>
    <cellStyle name="Hyperlink" xfId="477" builtinId="8" hidden="1"/>
    <cellStyle name="Hyperlink" xfId="465" builtinId="8" hidden="1"/>
    <cellStyle name="Hyperlink" xfId="453" builtinId="8" hidden="1"/>
    <cellStyle name="Hyperlink" xfId="665" builtinId="8" hidden="1"/>
    <cellStyle name="Hyperlink" xfId="707" builtinId="8" hidden="1"/>
    <cellStyle name="Hyperlink" xfId="749" builtinId="8" hidden="1"/>
    <cellStyle name="Hyperlink" xfId="703" builtinId="8" hidden="1"/>
    <cellStyle name="Hyperlink" xfId="575" builtinId="8" hidden="1"/>
    <cellStyle name="Hyperlink" xfId="447" builtinId="8" hidden="1"/>
    <cellStyle name="Hyperlink" xfId="319" builtinId="8" hidden="1"/>
    <cellStyle name="Hyperlink" xfId="147" builtinId="8" hidden="1"/>
    <cellStyle name="Hyperlink" xfId="183" builtinId="8" hidden="1"/>
    <cellStyle name="Hyperlink" xfId="219" builtinId="8" hidden="1"/>
    <cellStyle name="Hyperlink" xfId="257" builtinId="8" hidden="1"/>
    <cellStyle name="Hyperlink" xfId="207" builtinId="8" hidden="1"/>
    <cellStyle name="Hyperlink" xfId="77" builtinId="8" hidden="1"/>
    <cellStyle name="Hyperlink" xfId="113" builtinId="8" hidden="1"/>
    <cellStyle name="Hyperlink" xfId="49" builtinId="8" hidden="1"/>
    <cellStyle name="Hyperlink" xfId="5" builtinId="8" hidden="1"/>
    <cellStyle name="Hyperlink" xfId="9" builtinId="8" hidden="1"/>
    <cellStyle name="Hyperlink" xfId="17" builtinId="8" hidden="1"/>
    <cellStyle name="Hyperlink" xfId="53" builtinId="8" hidden="1"/>
    <cellStyle name="Hyperlink" xfId="41" builtinId="8" hidden="1"/>
    <cellStyle name="Hyperlink" xfId="29" builtinId="8" hidden="1"/>
    <cellStyle name="Hyperlink" xfId="117" builtinId="8" hidden="1"/>
    <cellStyle name="Hyperlink" xfId="105" builtinId="8" hidden="1"/>
    <cellStyle name="Hyperlink" xfId="93" builtinId="8" hidden="1"/>
    <cellStyle name="Hyperlink" xfId="83" builtinId="8" hidden="1"/>
    <cellStyle name="Hyperlink" xfId="71" builtinId="8" hidden="1"/>
    <cellStyle name="Hyperlink" xfId="463" builtinId="8" hidden="1"/>
    <cellStyle name="Hyperlink" xfId="455" builtinId="8" hidden="1"/>
    <cellStyle name="Hyperlink" xfId="439" builtinId="8" hidden="1"/>
    <cellStyle name="Hyperlink" xfId="423" builtinId="8" hidden="1"/>
    <cellStyle name="Hyperlink" xfId="407" builtinId="8" hidden="1"/>
    <cellStyle name="Hyperlink" xfId="399" builtinId="8" hidden="1"/>
    <cellStyle name="Hyperlink" xfId="391" builtinId="8" hidden="1"/>
    <cellStyle name="Hyperlink" xfId="375" builtinId="8" hidden="1"/>
    <cellStyle name="Hyperlink" xfId="367" builtinId="8" hidden="1"/>
    <cellStyle name="Hyperlink" xfId="359" builtinId="8" hidden="1"/>
    <cellStyle name="Hyperlink" xfId="335" builtinId="8" hidden="1"/>
    <cellStyle name="Hyperlink" xfId="327" builtinId="8" hidden="1"/>
    <cellStyle name="Hyperlink" xfId="311" builtinId="8" hidden="1"/>
    <cellStyle name="Hyperlink" xfId="303" builtinId="8" hidden="1"/>
    <cellStyle name="Hyperlink" xfId="295" builtinId="8" hidden="1"/>
    <cellStyle name="Hyperlink" xfId="121" builtinId="8" hidden="1"/>
    <cellStyle name="Hyperlink" xfId="123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5" builtinId="8" hidden="1"/>
    <cellStyle name="Hyperlink" xfId="149" builtinId="8" hidden="1"/>
    <cellStyle name="Hyperlink" xfId="153" builtinId="8" hidden="1"/>
    <cellStyle name="Hyperlink" xfId="157" builtinId="8" hidden="1"/>
    <cellStyle name="Hyperlink" xfId="161" builtinId="8" hidden="1"/>
    <cellStyle name="Hyperlink" xfId="163" builtinId="8" hidden="1"/>
    <cellStyle name="Hyperlink" xfId="167" builtinId="8" hidden="1"/>
    <cellStyle name="Hyperlink" xfId="169" builtinId="8" hidden="1"/>
    <cellStyle name="Hyperlink" xfId="171" builtinId="8" hidden="1"/>
    <cellStyle name="Hyperlink" xfId="179" builtinId="8" hidden="1"/>
    <cellStyle name="Hyperlink" xfId="181" builtinId="8" hidden="1"/>
    <cellStyle name="Hyperlink" xfId="185" builtinId="8" hidden="1"/>
    <cellStyle name="Hyperlink" xfId="187" builtinId="8" hidden="1"/>
    <cellStyle name="Hyperlink" xfId="189" builtinId="8" hidden="1"/>
    <cellStyle name="Hyperlink" xfId="195" builtinId="8" hidden="1"/>
    <cellStyle name="Hyperlink" xfId="197" builtinId="8" hidden="1"/>
    <cellStyle name="Hyperlink" xfId="203" builtinId="8" hidden="1"/>
    <cellStyle name="Hyperlink" xfId="205" builtinId="8" hidden="1"/>
    <cellStyle name="Hyperlink" xfId="209" builtinId="8" hidden="1"/>
    <cellStyle name="Hyperlink" xfId="213" builtinId="8" hidden="1"/>
    <cellStyle name="Hyperlink" xfId="215" builtinId="8" hidden="1"/>
    <cellStyle name="Hyperlink" xfId="217" builtinId="8" hidden="1"/>
    <cellStyle name="Hyperlink" xfId="221" builtinId="8" hidden="1"/>
    <cellStyle name="Hyperlink" xfId="227" builtinId="8" hidden="1"/>
    <cellStyle name="Hyperlink" xfId="231" builtinId="8" hidden="1"/>
    <cellStyle name="Hyperlink" xfId="233" builtinId="8" hidden="1"/>
    <cellStyle name="Hyperlink" xfId="235" builtinId="8" hidden="1"/>
    <cellStyle name="Hyperlink" xfId="241" builtinId="8" hidden="1"/>
    <cellStyle name="Hyperlink" xfId="243" builtinId="8" hidden="1"/>
    <cellStyle name="Hyperlink" xfId="245" builtinId="8" hidden="1"/>
    <cellStyle name="Hyperlink" xfId="251" builtinId="8" hidden="1"/>
    <cellStyle name="Hyperlink" xfId="253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7" builtinId="8" hidden="1"/>
    <cellStyle name="Hyperlink" xfId="279" builtinId="8" hidden="1"/>
    <cellStyle name="Hyperlink" xfId="281" builtinId="8" hidden="1"/>
    <cellStyle name="Hyperlink" xfId="255" builtinId="8" hidden="1"/>
    <cellStyle name="Hyperlink" xfId="239" builtinId="8" hidden="1"/>
    <cellStyle name="Hyperlink" xfId="223" builtinId="8" hidden="1"/>
    <cellStyle name="Hyperlink" xfId="191" builtinId="8" hidden="1"/>
    <cellStyle name="Hyperlink" xfId="159" builtinId="8" hidden="1"/>
    <cellStyle name="Hyperlink" xfId="127" builtinId="8" hidden="1"/>
    <cellStyle name="Hyperlink" xfId="57" builtinId="8" hidden="1"/>
    <cellStyle name="Hyperlink" xfId="59" builtinId="8" hidden="1"/>
    <cellStyle name="Hyperlink" xfId="63" builtinId="8" hidden="1"/>
    <cellStyle name="Hyperlink" xfId="175" builtinId="8" hidden="1"/>
    <cellStyle name="Hyperlink" xfId="273" builtinId="8" hidden="1"/>
    <cellStyle name="Hyperlink" xfId="249" builtinId="8" hidden="1"/>
    <cellStyle name="Hyperlink" xfId="225" builtinId="8" hidden="1"/>
    <cellStyle name="Hyperlink" xfId="199" builtinId="8" hidden="1"/>
    <cellStyle name="Hyperlink" xfId="177" builtinId="8" hidden="1"/>
    <cellStyle name="Hyperlink" xfId="151" builtinId="8" hidden="1"/>
    <cellStyle name="Hyperlink" xfId="125" builtinId="8" hidden="1"/>
    <cellStyle name="Hyperlink" xfId="343" builtinId="8" hidden="1"/>
    <cellStyle name="Hyperlink" xfId="431" builtinId="8" hidden="1"/>
    <cellStyle name="Hyperlink" xfId="757" builtinId="8" hidden="1"/>
    <cellStyle name="Hyperlink" xfId="763" builtinId="8" hidden="1"/>
    <cellStyle name="Hyperlink" xfId="765" builtinId="8" hidden="1"/>
    <cellStyle name="Hyperlink" xfId="769" builtinId="8" hidden="1"/>
    <cellStyle name="Hyperlink" xfId="759" builtinId="8" hidden="1"/>
    <cellStyle name="Hyperlink" xfId="751" builtinId="8" hidden="1"/>
    <cellStyle name="Hyperlink" xfId="743" builtinId="8" hidden="1"/>
    <cellStyle name="Hyperlink" xfId="727" builtinId="8" hidden="1"/>
    <cellStyle name="Hyperlink" xfId="719" builtinId="8" hidden="1"/>
    <cellStyle name="Hyperlink" xfId="711" builtinId="8" hidden="1"/>
    <cellStyle name="Hyperlink" xfId="695" builtinId="8" hidden="1"/>
    <cellStyle name="Hyperlink" xfId="679" builtinId="8" hidden="1"/>
    <cellStyle name="Hyperlink" xfId="663" builtinId="8" hidden="1"/>
    <cellStyle name="Hyperlink" xfId="655" builtinId="8" hidden="1"/>
    <cellStyle name="Hyperlink" xfId="647" builtinId="8" hidden="1"/>
    <cellStyle name="Hyperlink" xfId="631" builtinId="8" hidden="1"/>
    <cellStyle name="Hyperlink" xfId="623" builtinId="8" hidden="1"/>
    <cellStyle name="Hyperlink" xfId="615" builtinId="8" hidden="1"/>
    <cellStyle name="Hyperlink" xfId="599" builtinId="8" hidden="1"/>
    <cellStyle name="Hyperlink" xfId="591" builtinId="8" hidden="1"/>
    <cellStyle name="Hyperlink" xfId="583" builtinId="8" hidden="1"/>
    <cellStyle name="Hyperlink" xfId="567" builtinId="8" hidden="1"/>
    <cellStyle name="Hyperlink" xfId="559" builtinId="8" hidden="1"/>
    <cellStyle name="Hyperlink" xfId="551" builtinId="8" hidden="1"/>
    <cellStyle name="Hyperlink" xfId="535" builtinId="8" hidden="1"/>
    <cellStyle name="Hyperlink" xfId="527" builtinId="8" hidden="1"/>
    <cellStyle name="Hyperlink" xfId="503" builtinId="8" hidden="1"/>
    <cellStyle name="Hyperlink" xfId="495" builtinId="8" hidden="1"/>
    <cellStyle name="Hyperlink" xfId="487" builtinId="8" hidden="1"/>
    <cellStyle name="Hyperlink" xfId="471" builtinId="8" hidden="1"/>
    <cellStyle name="Hyperlink" xfId="519" builtinId="8" hidden="1"/>
    <cellStyle name="Hyperlink" xfId="687" builtinId="8" hidden="1"/>
    <cellStyle name="Hyperlink" xfId="705" builtinId="8" hidden="1"/>
    <cellStyle name="Hyperlink" xfId="709" builtinId="8" hidden="1"/>
    <cellStyle name="Hyperlink" xfId="713" builtinId="8" hidden="1"/>
    <cellStyle name="Hyperlink" xfId="715" builtinId="8" hidden="1"/>
    <cellStyle name="Hyperlink" xfId="721" builtinId="8" hidden="1"/>
    <cellStyle name="Hyperlink" xfId="723" builtinId="8" hidden="1"/>
    <cellStyle name="Hyperlink" xfId="725" builtinId="8" hidden="1"/>
    <cellStyle name="Hyperlink" xfId="731" builtinId="8" hidden="1"/>
    <cellStyle name="Hyperlink" xfId="733" builtinId="8" hidden="1"/>
    <cellStyle name="Hyperlink" xfId="737" builtinId="8" hidden="1"/>
    <cellStyle name="Hyperlink" xfId="745" builtinId="8" hidden="1"/>
    <cellStyle name="Hyperlink" xfId="747" builtinId="8" hidden="1"/>
    <cellStyle name="Hyperlink" xfId="753" builtinId="8" hidden="1"/>
    <cellStyle name="Hyperlink" xfId="755" builtinId="8" hidden="1"/>
    <cellStyle name="Hyperlink" xfId="741" builtinId="8" hidden="1"/>
    <cellStyle name="Hyperlink" xfId="681" builtinId="8" hidden="1"/>
    <cellStyle name="Hyperlink" xfId="683" builtinId="8" hidden="1"/>
    <cellStyle name="Hyperlink" xfId="689" builtinId="8" hidden="1"/>
    <cellStyle name="Hyperlink" xfId="691" builtinId="8" hidden="1"/>
    <cellStyle name="Hyperlink" xfId="693" builtinId="8" hidden="1"/>
    <cellStyle name="Hyperlink" xfId="699" builtinId="8" hidden="1"/>
    <cellStyle name="Hyperlink" xfId="701" builtinId="8" hidden="1"/>
    <cellStyle name="Hyperlink" xfId="669" builtinId="8" hidden="1"/>
    <cellStyle name="Hyperlink" xfId="673" builtinId="8" hidden="1"/>
    <cellStyle name="Hyperlink" xfId="677" builtinId="8" hidden="1"/>
    <cellStyle name="Hyperlink" xfId="661" builtinId="8" hidden="1"/>
    <cellStyle name="Hyperlink" xfId="667" builtinId="8" hidden="1"/>
    <cellStyle name="Hyperlink" xfId="659" builtinId="8" hidden="1"/>
    <cellStyle name="Hyperlink" xfId="771" builtinId="8" hidden="1"/>
    <cellStyle name="Hyperlink" xfId="773" builtinId="8" hidden="1"/>
    <cellStyle name="Hyperlink" xfId="775" builtinId="8" hidden="1"/>
    <cellStyle name="Hyperlink" xfId="777" builtinId="8" hidden="1"/>
    <cellStyle name="Hyperlink" xfId="779" builtinId="8" hidden="1"/>
    <cellStyle name="Hyperlink" xfId="781" builtinId="8" hidden="1"/>
    <cellStyle name="Hyperlink" xfId="783" builtinId="8" hidden="1"/>
    <cellStyle name="Hyperlink" xfId="785" builtinId="8" hidden="1"/>
    <cellStyle name="Hyperlink" xfId="787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Normal" xfId="0" builtinId="0"/>
  </cellStyles>
  <dxfs count="71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7030A0"/>
      </font>
      <fill>
        <patternFill patternType="none">
          <bgColor auto="1"/>
        </patternFill>
      </fill>
    </dxf>
    <dxf>
      <font>
        <color rgb="FF00B050"/>
      </font>
      <fill>
        <patternFill patternType="none">
          <bgColor auto="1"/>
        </patternFill>
      </fill>
    </dxf>
    <dxf>
      <font>
        <color rgb="FFC00000"/>
      </font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border>
        <left style="thin">
          <color rgb="FF9C0006"/>
        </left>
        <right style="thin">
          <color rgb="FF9C0006"/>
        </right>
        <top style="thin">
          <color rgb="FF9C0006"/>
        </top>
        <bottom style="thin">
          <color rgb="FF9C0006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</dxf>
    <dxf>
      <font>
        <color theme="1"/>
      </font>
      <fill>
        <patternFill patternType="none">
          <bgColor auto="1"/>
        </patternFill>
      </fill>
    </dxf>
    <dxf>
      <font>
        <color theme="1"/>
      </font>
      <fill>
        <patternFill>
          <bgColor theme="9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1"/>
      </font>
      <fill>
        <patternFill>
          <bgColor theme="4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006100"/>
        <name val="Calibri"/>
      </font>
      <fill>
        <patternFill>
          <bgColor rgb="FFC6EFCE"/>
        </patternFill>
      </fill>
    </dxf>
    <dxf>
      <font>
        <sz val="12"/>
        <color rgb="FF9C6500"/>
        <name val="Calibri"/>
      </font>
      <fill>
        <patternFill>
          <bgColor rgb="FFFFEB9C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  <dxf>
      <font>
        <sz val="12"/>
        <color rgb="FF9C0006"/>
        <name val="Calibri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connections" Target="connections.xml"/><Relationship Id="rId17" Type="http://schemas.openxmlformats.org/officeDocument/2006/relationships/styles" Target="styles.xml"/><Relationship Id="rId18" Type="http://schemas.openxmlformats.org/officeDocument/2006/relationships/sharedStrings" Target="sharedStrings.xml"/><Relationship Id="rId19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_rels/chart3.xml.rels><?xml version="1.0" encoding="UTF-8" standalone="yes"?>
<Relationships xmlns="http://schemas.openxmlformats.org/package/2006/relationships"><Relationship Id="rId1" Type="http://schemas.microsoft.com/office/2011/relationships/chartStyle" Target="style3.xml"/><Relationship Id="rId2" Type="http://schemas.microsoft.com/office/2011/relationships/chartColorStyle" Target="colors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ICL3_classA!$G$6:$G$37</c:f>
              <c:numCache>
                <c:formatCode>General</c:formatCode>
                <c:ptCount val="32"/>
                <c:pt idx="0">
                  <c:v>68.0</c:v>
                </c:pt>
                <c:pt idx="1">
                  <c:v>68.0</c:v>
                </c:pt>
                <c:pt idx="2">
                  <c:v>68.0</c:v>
                </c:pt>
                <c:pt idx="3">
                  <c:v>68.0</c:v>
                </c:pt>
                <c:pt idx="4">
                  <c:v>68.0</c:v>
                </c:pt>
                <c:pt idx="5">
                  <c:v>67.0</c:v>
                </c:pt>
                <c:pt idx="6">
                  <c:v>67.0</c:v>
                </c:pt>
                <c:pt idx="7">
                  <c:v>68.0</c:v>
                </c:pt>
                <c:pt idx="8">
                  <c:v>68.0</c:v>
                </c:pt>
                <c:pt idx="9">
                  <c:v>68.0</c:v>
                </c:pt>
                <c:pt idx="10">
                  <c:v>72.0</c:v>
                </c:pt>
                <c:pt idx="11">
                  <c:v>68.0</c:v>
                </c:pt>
                <c:pt idx="12">
                  <c:v>68.0</c:v>
                </c:pt>
                <c:pt idx="13">
                  <c:v>68.0</c:v>
                </c:pt>
                <c:pt idx="14">
                  <c:v>68.0</c:v>
                </c:pt>
                <c:pt idx="15">
                  <c:v>68.0</c:v>
                </c:pt>
                <c:pt idx="16">
                  <c:v>72.0</c:v>
                </c:pt>
                <c:pt idx="17">
                  <c:v>72.0</c:v>
                </c:pt>
                <c:pt idx="18">
                  <c:v>72.0</c:v>
                </c:pt>
                <c:pt idx="19">
                  <c:v>73.0</c:v>
                </c:pt>
                <c:pt idx="20">
                  <c:v>73.0</c:v>
                </c:pt>
                <c:pt idx="21">
                  <c:v>74.0</c:v>
                </c:pt>
                <c:pt idx="22">
                  <c:v>76.0</c:v>
                </c:pt>
                <c:pt idx="23">
                  <c:v>76.0</c:v>
                </c:pt>
                <c:pt idx="24">
                  <c:v>74.0</c:v>
                </c:pt>
                <c:pt idx="25">
                  <c:v>76.0</c:v>
                </c:pt>
                <c:pt idx="26">
                  <c:v>76.0</c:v>
                </c:pt>
                <c:pt idx="27">
                  <c:v>75.0</c:v>
                </c:pt>
                <c:pt idx="28">
                  <c:v>75.0</c:v>
                </c:pt>
                <c:pt idx="29">
                  <c:v>75.0</c:v>
                </c:pt>
                <c:pt idx="30">
                  <c:v>76.0</c:v>
                </c:pt>
                <c:pt idx="31">
                  <c:v>75.0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ICL3_classA!$F$6:$F$37</c:f>
              <c:numCache>
                <c:formatCode>General</c:formatCode>
                <c:ptCount val="32"/>
                <c:pt idx="0">
                  <c:v>43.0</c:v>
                </c:pt>
                <c:pt idx="1">
                  <c:v>43.0</c:v>
                </c:pt>
                <c:pt idx="2">
                  <c:v>43.0</c:v>
                </c:pt>
                <c:pt idx="3">
                  <c:v>43.0</c:v>
                </c:pt>
                <c:pt idx="4">
                  <c:v>44.0</c:v>
                </c:pt>
                <c:pt idx="5">
                  <c:v>45.0</c:v>
                </c:pt>
                <c:pt idx="6">
                  <c:v>46.0</c:v>
                </c:pt>
                <c:pt idx="7">
                  <c:v>46.0</c:v>
                </c:pt>
                <c:pt idx="8">
                  <c:v>48.0</c:v>
                </c:pt>
                <c:pt idx="9">
                  <c:v>48.0</c:v>
                </c:pt>
                <c:pt idx="10">
                  <c:v>50.0</c:v>
                </c:pt>
                <c:pt idx="11">
                  <c:v>51.0</c:v>
                </c:pt>
                <c:pt idx="12">
                  <c:v>51.0</c:v>
                </c:pt>
                <c:pt idx="13">
                  <c:v>51.0</c:v>
                </c:pt>
                <c:pt idx="14">
                  <c:v>51.0</c:v>
                </c:pt>
                <c:pt idx="15">
                  <c:v>51.0</c:v>
                </c:pt>
                <c:pt idx="16">
                  <c:v>52.0</c:v>
                </c:pt>
                <c:pt idx="17">
                  <c:v>52.0</c:v>
                </c:pt>
                <c:pt idx="18">
                  <c:v>53.0</c:v>
                </c:pt>
                <c:pt idx="19">
                  <c:v>56.0</c:v>
                </c:pt>
                <c:pt idx="20">
                  <c:v>58.0</c:v>
                </c:pt>
                <c:pt idx="21">
                  <c:v>59.0</c:v>
                </c:pt>
                <c:pt idx="22">
                  <c:v>74.0</c:v>
                </c:pt>
                <c:pt idx="23">
                  <c:v>77.0</c:v>
                </c:pt>
                <c:pt idx="24">
                  <c:v>109.0</c:v>
                </c:pt>
                <c:pt idx="25">
                  <c:v>110.0</c:v>
                </c:pt>
                <c:pt idx="26">
                  <c:v>144.0</c:v>
                </c:pt>
                <c:pt idx="27">
                  <c:v>180.0</c:v>
                </c:pt>
                <c:pt idx="28">
                  <c:v>204.0</c:v>
                </c:pt>
                <c:pt idx="29">
                  <c:v>208.0</c:v>
                </c:pt>
                <c:pt idx="30">
                  <c:v>228.0</c:v>
                </c:pt>
                <c:pt idx="31">
                  <c:v>263.0</c:v>
                </c:pt>
              </c:numCache>
            </c:numRef>
          </c:cat>
          <c:val>
            <c:numRef>
              <c:f>ICL3_classA!$H$6:$H$37</c:f>
              <c:numCache>
                <c:formatCode>General</c:formatCode>
                <c:ptCount val="32"/>
                <c:pt idx="0">
                  <c:v>30.0</c:v>
                </c:pt>
                <c:pt idx="1">
                  <c:v>31.0</c:v>
                </c:pt>
                <c:pt idx="2">
                  <c:v>28.0</c:v>
                </c:pt>
                <c:pt idx="3">
                  <c:v>29.0</c:v>
                </c:pt>
                <c:pt idx="4">
                  <c:v>28.0</c:v>
                </c:pt>
                <c:pt idx="5">
                  <c:v>28.0</c:v>
                </c:pt>
                <c:pt idx="6">
                  <c:v>26.0</c:v>
                </c:pt>
                <c:pt idx="7">
                  <c:v>28.0</c:v>
                </c:pt>
                <c:pt idx="8">
                  <c:v>24.0</c:v>
                </c:pt>
                <c:pt idx="9">
                  <c:v>28.0</c:v>
                </c:pt>
                <c:pt idx="10">
                  <c:v>29.0</c:v>
                </c:pt>
                <c:pt idx="11">
                  <c:v>23.0</c:v>
                </c:pt>
                <c:pt idx="12">
                  <c:v>23.0</c:v>
                </c:pt>
                <c:pt idx="13">
                  <c:v>23.0</c:v>
                </c:pt>
                <c:pt idx="14">
                  <c:v>23.0</c:v>
                </c:pt>
                <c:pt idx="15">
                  <c:v>23.0</c:v>
                </c:pt>
                <c:pt idx="16">
                  <c:v>24.0</c:v>
                </c:pt>
                <c:pt idx="17">
                  <c:v>24.0</c:v>
                </c:pt>
                <c:pt idx="18">
                  <c:v>24.0</c:v>
                </c:pt>
                <c:pt idx="19">
                  <c:v>22.0</c:v>
                </c:pt>
                <c:pt idx="20">
                  <c:v>24.0</c:v>
                </c:pt>
                <c:pt idx="21">
                  <c:v>21.0</c:v>
                </c:pt>
                <c:pt idx="22">
                  <c:v>24.0</c:v>
                </c:pt>
                <c:pt idx="23">
                  <c:v>24.0</c:v>
                </c:pt>
                <c:pt idx="24">
                  <c:v>24.0</c:v>
                </c:pt>
                <c:pt idx="25">
                  <c:v>24.0</c:v>
                </c:pt>
                <c:pt idx="26">
                  <c:v>24.0</c:v>
                </c:pt>
                <c:pt idx="27">
                  <c:v>24.0</c:v>
                </c:pt>
                <c:pt idx="28">
                  <c:v>24.0</c:v>
                </c:pt>
                <c:pt idx="29">
                  <c:v>24.0</c:v>
                </c:pt>
                <c:pt idx="30">
                  <c:v>24.0</c:v>
                </c:pt>
                <c:pt idx="31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97409632"/>
        <c:axId val="-197407760"/>
      </c:lineChart>
      <c:catAx>
        <c:axId val="-197409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407760"/>
        <c:crosses val="autoZero"/>
        <c:auto val="1"/>
        <c:lblAlgn val="ctr"/>
        <c:lblOffset val="100"/>
        <c:noMultiLvlLbl val="0"/>
      </c:catAx>
      <c:valAx>
        <c:axId val="-19740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97409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1062353997517"/>
          <c:y val="0.0272407578440925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ICL3_classB!$G$6:$G$8</c:f>
              <c:numCache>
                <c:formatCode>General</c:formatCode>
                <c:ptCount val="3"/>
                <c:pt idx="0">
                  <c:v>71.0</c:v>
                </c:pt>
                <c:pt idx="1">
                  <c:v>71.0</c:v>
                </c:pt>
                <c:pt idx="2">
                  <c:v>71.0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ICL3_classB!$F$6:$F$8</c:f>
              <c:numCache>
                <c:formatCode>General</c:formatCode>
                <c:ptCount val="3"/>
                <c:pt idx="0">
                  <c:v>50.0</c:v>
                </c:pt>
                <c:pt idx="1">
                  <c:v>50.0</c:v>
                </c:pt>
                <c:pt idx="2">
                  <c:v>50.0</c:v>
                </c:pt>
              </c:numCache>
            </c:numRef>
          </c:cat>
          <c:val>
            <c:numRef>
              <c:f>ICL3_classB!$H$6:$H$8</c:f>
              <c:numCache>
                <c:formatCode>General</c:formatCode>
                <c:ptCount val="3"/>
                <c:pt idx="0">
                  <c:v>28.0</c:v>
                </c:pt>
                <c:pt idx="1">
                  <c:v>28.0</c:v>
                </c:pt>
                <c:pt idx="2">
                  <c:v>30.0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173976144"/>
        <c:axId val="-173973152"/>
      </c:lineChart>
      <c:catAx>
        <c:axId val="-17397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3973152"/>
        <c:crosses val="autoZero"/>
        <c:auto val="1"/>
        <c:lblAlgn val="ctr"/>
        <c:lblOffset val="100"/>
        <c:noMultiLvlLbl val="0"/>
      </c:catAx>
      <c:valAx>
        <c:axId val="-17397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17397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5e (red)</a:t>
            </a:r>
            <a:r>
              <a:rPr lang="en-US" baseline="0"/>
              <a:t> and 6b (green) vs Length 5x50-6x50 (ICL3 length approximation)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0542950729414576"/>
          <c:y val="0.015495584352692"/>
          <c:w val="0.937382013432145"/>
          <c:h val="0.741397790343666"/>
        </c:manualLayout>
      </c:layout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3"/>
          <c:order val="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ser>
          <c:idx val="1"/>
          <c:order val="2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ICL3_classF!$G$6:$G$6</c:f>
              <c:numCache>
                <c:formatCode>General</c:formatCode>
                <c:ptCount val="1"/>
                <c:pt idx="0">
                  <c:v>72.0</c:v>
                </c:pt>
              </c:numCache>
            </c:numRef>
          </c:val>
          <c:smooth val="0"/>
        </c:ser>
        <c:ser>
          <c:idx val="2"/>
          <c:order val="3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ICL3_classF!$F$6:$F$6</c:f>
              <c:numCache>
                <c:formatCode>General</c:formatCode>
                <c:ptCount val="1"/>
                <c:pt idx="0">
                  <c:v>57.0</c:v>
                </c:pt>
              </c:numCache>
            </c:numRef>
          </c:cat>
          <c:val>
            <c:numRef>
              <c:f>ICL3_classF!$H$6:$H$6</c:f>
              <c:numCache>
                <c:formatCode>General</c:formatCode>
                <c:ptCount val="1"/>
                <c:pt idx="0">
                  <c:v>24.0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96424992"/>
        <c:axId val="-296624256"/>
      </c:lineChart>
      <c:catAx>
        <c:axId val="-296424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96624256"/>
        <c:crosses val="autoZero"/>
        <c:auto val="1"/>
        <c:lblAlgn val="ctr"/>
        <c:lblOffset val="100"/>
        <c:noMultiLvlLbl val="0"/>
      </c:catAx>
      <c:valAx>
        <c:axId val="-29662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9642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16</xdr:row>
      <xdr:rowOff>69227</xdr:rowOff>
    </xdr:from>
    <xdr:to>
      <xdr:col>24</xdr:col>
      <xdr:colOff>274744</xdr:colOff>
      <xdr:row>35</xdr:row>
      <xdr:rowOff>30582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138580</xdr:colOff>
      <xdr:row>1</xdr:row>
      <xdr:rowOff>13032</xdr:rowOff>
    </xdr:from>
    <xdr:to>
      <xdr:col>24</xdr:col>
      <xdr:colOff>308461</xdr:colOff>
      <xdr:row>8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104863</xdr:colOff>
      <xdr:row>5</xdr:row>
      <xdr:rowOff>0</xdr:rowOff>
    </xdr:from>
    <xdr:to>
      <xdr:col>24</xdr:col>
      <xdr:colOff>274744</xdr:colOff>
      <xdr:row>6</xdr:row>
      <xdr:rowOff>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human_GPCR_fasta.fas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GPCRdb_alignment" connectionId="1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xtal_templates_1" connectionId="3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xtal_templates_4" connectionId="5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xtal_templates_3" connectionId="4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Relationship Id="rId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Relationship Id="rId2" Type="http://schemas.openxmlformats.org/officeDocument/2006/relationships/queryTable" Target="../queryTables/queryTable4.xml"/><Relationship Id="rId3" Type="http://schemas.openxmlformats.org/officeDocument/2006/relationships/queryTable" Target="../queryTables/query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MP424"/>
  <sheetViews>
    <sheetView zoomScale="110" zoomScaleNormal="110" zoomScalePageLayoutView="110" workbookViewId="0">
      <pane xSplit="3" ySplit="1" topLeftCell="D322" activePane="bottomRight" state="frozenSplit"/>
      <selection pane="topRight" activeCell="D1" sqref="D1"/>
      <selection pane="bottomLeft" activeCell="A2" sqref="A2"/>
      <selection pane="bottomRight" activeCell="AY344" sqref="AY344"/>
    </sheetView>
  </sheetViews>
  <sheetFormatPr baseColWidth="10" defaultColWidth="8.83203125" defaultRowHeight="16" x14ac:dyDescent="0.2"/>
  <cols>
    <col min="1" max="1" width="19.1640625" style="3" customWidth="1"/>
    <col min="2" max="2" width="12.83203125" style="3" bestFit="1" customWidth="1"/>
    <col min="3" max="3" width="9.33203125" style="3" bestFit="1" customWidth="1"/>
    <col min="4" max="4" width="2.83203125" style="3" bestFit="1" customWidth="1"/>
    <col min="5" max="5" width="5.33203125" style="3" bestFit="1" customWidth="1"/>
    <col min="6" max="6" width="2.5" style="3" bestFit="1" customWidth="1"/>
    <col min="7" max="7" width="5.33203125" style="3" bestFit="1" customWidth="1"/>
    <col min="8" max="8" width="2.83203125" style="3" bestFit="1" customWidth="1"/>
    <col min="9" max="9" width="5.1640625" style="3" bestFit="1" customWidth="1"/>
    <col min="10" max="10" width="2.5" style="3" bestFit="1" customWidth="1"/>
    <col min="11" max="11" width="5.1640625" style="3" bestFit="1" customWidth="1"/>
    <col min="12" max="12" width="2.5" style="3" bestFit="1" customWidth="1"/>
    <col min="13" max="13" width="5.33203125" style="3" bestFit="1" customWidth="1"/>
    <col min="14" max="14" width="2.83203125" style="3" bestFit="1" customWidth="1"/>
    <col min="15" max="15" width="5.33203125" style="3" bestFit="1" customWidth="1"/>
    <col min="16" max="16" width="2.83203125" style="3" bestFit="1" customWidth="1"/>
    <col min="17" max="17" width="5.33203125" style="3" bestFit="1" customWidth="1"/>
    <col min="18" max="18" width="3.1640625" style="3" bestFit="1" customWidth="1"/>
    <col min="19" max="19" width="5.33203125" style="3" bestFit="1" customWidth="1"/>
    <col min="20" max="20" width="2.5" style="3" bestFit="1" customWidth="1"/>
    <col min="21" max="21" width="5.33203125" style="3" bestFit="1" customWidth="1"/>
    <col min="22" max="22" width="2.83203125" style="3" bestFit="1" customWidth="1"/>
    <col min="23" max="23" width="5.33203125" style="3" bestFit="1" customWidth="1"/>
    <col min="24" max="24" width="2.83203125" style="3" bestFit="1" customWidth="1"/>
    <col min="25" max="25" width="5.33203125" style="3" bestFit="1" customWidth="1"/>
    <col min="26" max="26" width="2.83203125" style="3" bestFit="1" customWidth="1"/>
    <col min="27" max="27" width="5.33203125" style="3" bestFit="1" customWidth="1"/>
    <col min="28" max="28" width="2.83203125" style="3" bestFit="1" customWidth="1"/>
    <col min="29" max="29" width="5.33203125" style="9" bestFit="1" customWidth="1"/>
    <col min="30" max="30" width="2.83203125" style="3" bestFit="1" customWidth="1"/>
    <col min="31" max="31" width="5.33203125" style="3" bestFit="1" customWidth="1"/>
    <col min="32" max="32" width="2.1640625" style="3" bestFit="1" customWidth="1"/>
    <col min="33" max="33" width="5.33203125" style="3" bestFit="1" customWidth="1"/>
    <col min="34" max="34" width="2.33203125" style="3" bestFit="1" customWidth="1"/>
    <col min="35" max="35" width="5.33203125" style="3" bestFit="1" customWidth="1"/>
    <col min="36" max="36" width="2.83203125" style="3" bestFit="1" customWidth="1"/>
    <col min="37" max="37" width="5.33203125" style="3" bestFit="1" customWidth="1"/>
    <col min="38" max="38" width="2.83203125" style="3" bestFit="1" customWidth="1"/>
    <col min="39" max="39" width="5.33203125" style="3" bestFit="1" customWidth="1"/>
    <col min="40" max="40" width="2.83203125" style="3" bestFit="1" customWidth="1"/>
    <col min="41" max="41" width="5.33203125" style="3" bestFit="1" customWidth="1"/>
    <col min="42" max="42" width="2.5" style="3" bestFit="1" customWidth="1"/>
    <col min="43" max="43" width="5.33203125" style="3" bestFit="1" customWidth="1"/>
    <col min="44" max="44" width="2.83203125" style="3" bestFit="1" customWidth="1"/>
    <col min="45" max="45" width="5.33203125" style="3" bestFit="1" customWidth="1"/>
    <col min="46" max="46" width="2.83203125" style="3" bestFit="1" customWidth="1"/>
    <col min="47" max="47" width="5.33203125" style="3" bestFit="1" customWidth="1"/>
    <col min="48" max="48" width="2.33203125" style="3" bestFit="1" customWidth="1"/>
    <col min="49" max="49" width="5.33203125" style="3" bestFit="1" customWidth="1"/>
    <col min="50" max="50" width="2.83203125" style="3" bestFit="1" customWidth="1"/>
    <col min="51" max="51" width="5.33203125" style="3" bestFit="1" customWidth="1"/>
    <col min="52" max="52" width="3.1640625" style="78" bestFit="1" customWidth="1"/>
    <col min="53" max="53" width="3.1640625" style="93" customWidth="1"/>
    <col min="54" max="54" width="6.6640625" style="74" customWidth="1"/>
    <col min="55" max="55" width="5" style="3" bestFit="1" customWidth="1"/>
    <col min="56" max="56" width="8.1640625" style="74" bestFit="1" customWidth="1"/>
    <col min="57" max="57" width="5.6640625" style="3" customWidth="1"/>
    <col min="58" max="58" width="5.6640625" style="119" customWidth="1"/>
    <col min="59" max="60" width="5.6640625" style="49" customWidth="1"/>
    <col min="61" max="61" width="8.5" style="3" customWidth="1"/>
    <col min="62" max="62" width="3.1640625" style="75" bestFit="1" customWidth="1"/>
    <col min="63" max="63" width="3.6640625" style="57" bestFit="1" customWidth="1"/>
    <col min="64" max="64" width="3.1640625" style="57" bestFit="1" customWidth="1"/>
    <col min="65" max="65" width="4.1640625" style="57" bestFit="1" customWidth="1"/>
    <col min="66" max="66" width="3.1640625" style="57" bestFit="1" customWidth="1"/>
    <col min="67" max="67" width="3.6640625" style="57" bestFit="1" customWidth="1"/>
    <col min="68" max="68" width="3.1640625" style="57" bestFit="1" customWidth="1"/>
    <col min="69" max="69" width="4.1640625" style="57" bestFit="1" customWidth="1"/>
    <col min="70" max="72" width="3.1640625" style="57" bestFit="1" customWidth="1"/>
    <col min="73" max="73" width="3.1640625" style="72" bestFit="1" customWidth="1"/>
    <col min="74" max="74" width="4.1640625" style="75" bestFit="1" customWidth="1"/>
    <col min="75" max="85" width="4.1640625" style="72" bestFit="1" customWidth="1"/>
    <col min="86" max="86" width="4.1640625" style="75" bestFit="1" customWidth="1"/>
    <col min="87" max="97" width="4.1640625" style="72" bestFit="1" customWidth="1"/>
    <col min="98" max="98" width="8.1640625" style="3" bestFit="1" customWidth="1"/>
    <col min="99" max="1029" width="8.83203125" style="3"/>
    <col min="1030" max="16384" width="8.83203125" style="1"/>
  </cols>
  <sheetData>
    <row r="1" spans="1:1029" s="61" customFormat="1" ht="16" customHeight="1" x14ac:dyDescent="0.2">
      <c r="A1" s="61" t="s">
        <v>1077</v>
      </c>
      <c r="B1" s="61" t="s">
        <v>31</v>
      </c>
      <c r="C1" s="61" t="s">
        <v>30</v>
      </c>
      <c r="E1" s="61" t="s">
        <v>1061</v>
      </c>
      <c r="G1" s="61" t="s">
        <v>1062</v>
      </c>
      <c r="I1" s="62" t="s">
        <v>1078</v>
      </c>
      <c r="K1" s="62" t="s">
        <v>1079</v>
      </c>
      <c r="M1" s="61" t="s">
        <v>1063</v>
      </c>
      <c r="O1" s="61" t="s">
        <v>1064</v>
      </c>
      <c r="Q1" s="61" t="s">
        <v>1080</v>
      </c>
      <c r="S1" s="61" t="s">
        <v>1081</v>
      </c>
      <c r="U1" s="61" t="s">
        <v>1065</v>
      </c>
      <c r="W1" s="61" t="s">
        <v>1066</v>
      </c>
      <c r="Y1" s="61" t="s">
        <v>1093</v>
      </c>
      <c r="AA1" s="61" t="s">
        <v>1094</v>
      </c>
      <c r="AC1" s="104" t="s">
        <v>1067</v>
      </c>
      <c r="AE1" s="61" t="s">
        <v>1068</v>
      </c>
      <c r="AG1" s="61" t="s">
        <v>1096</v>
      </c>
      <c r="AI1" s="61" t="s">
        <v>1097</v>
      </c>
      <c r="AK1" s="61" t="s">
        <v>1069</v>
      </c>
      <c r="AM1" s="61" t="s">
        <v>1070</v>
      </c>
      <c r="AO1" s="61" t="s">
        <v>1071</v>
      </c>
      <c r="AQ1" s="61" t="s">
        <v>1072</v>
      </c>
      <c r="AS1" s="61" t="s">
        <v>1073</v>
      </c>
      <c r="AU1" s="61" t="s">
        <v>1074</v>
      </c>
      <c r="AW1" s="61" t="s">
        <v>1075</v>
      </c>
      <c r="AY1" s="61" t="s">
        <v>1076</v>
      </c>
      <c r="AZ1" s="63" t="s">
        <v>99</v>
      </c>
      <c r="BA1" s="64" t="s">
        <v>1386</v>
      </c>
      <c r="BB1" s="64" t="s">
        <v>1203</v>
      </c>
      <c r="BC1" s="61" t="s">
        <v>1168</v>
      </c>
      <c r="BD1" s="64" t="s">
        <v>1100</v>
      </c>
      <c r="BE1" s="61" t="s">
        <v>1379</v>
      </c>
      <c r="BF1" s="118" t="s">
        <v>1436</v>
      </c>
      <c r="BG1" s="76" t="s">
        <v>1387</v>
      </c>
      <c r="BH1" s="76" t="s">
        <v>1388</v>
      </c>
      <c r="BI1" s="61" t="s">
        <v>1108</v>
      </c>
      <c r="BJ1" s="65" t="s">
        <v>1061</v>
      </c>
      <c r="BK1" s="66" t="s">
        <v>1078</v>
      </c>
      <c r="BL1" s="67" t="s">
        <v>1063</v>
      </c>
      <c r="BM1" s="67" t="s">
        <v>1080</v>
      </c>
      <c r="BN1" s="67" t="s">
        <v>1065</v>
      </c>
      <c r="BO1" s="67" t="s">
        <v>1093</v>
      </c>
      <c r="BP1" s="67" t="s">
        <v>1067</v>
      </c>
      <c r="BQ1" s="67" t="s">
        <v>1096</v>
      </c>
      <c r="BR1" s="67" t="s">
        <v>1069</v>
      </c>
      <c r="BS1" s="67" t="s">
        <v>1071</v>
      </c>
      <c r="BT1" s="67" t="s">
        <v>1073</v>
      </c>
      <c r="BU1" s="68" t="s">
        <v>1075</v>
      </c>
      <c r="BV1" s="65" t="s">
        <v>1061</v>
      </c>
      <c r="BW1" s="69" t="s">
        <v>1078</v>
      </c>
      <c r="BX1" s="68" t="s">
        <v>1063</v>
      </c>
      <c r="BY1" s="68" t="s">
        <v>1080</v>
      </c>
      <c r="BZ1" s="68" t="s">
        <v>1065</v>
      </c>
      <c r="CA1" s="68" t="s">
        <v>1093</v>
      </c>
      <c r="CB1" s="68" t="s">
        <v>1067</v>
      </c>
      <c r="CC1" s="68" t="s">
        <v>1096</v>
      </c>
      <c r="CD1" s="68" t="s">
        <v>1069</v>
      </c>
      <c r="CE1" s="68" t="s">
        <v>1071</v>
      </c>
      <c r="CF1" s="68" t="s">
        <v>1073</v>
      </c>
      <c r="CG1" s="68" t="s">
        <v>1075</v>
      </c>
      <c r="CH1" s="65" t="s">
        <v>1062</v>
      </c>
      <c r="CI1" s="69" t="s">
        <v>1079</v>
      </c>
      <c r="CJ1" s="68" t="s">
        <v>1064</v>
      </c>
      <c r="CK1" s="68" t="s">
        <v>1081</v>
      </c>
      <c r="CL1" s="68" t="s">
        <v>1066</v>
      </c>
      <c r="CM1" s="68" t="s">
        <v>1094</v>
      </c>
      <c r="CN1" s="68" t="s">
        <v>1068</v>
      </c>
      <c r="CO1" s="68" t="s">
        <v>1097</v>
      </c>
      <c r="CP1" s="68" t="s">
        <v>1070</v>
      </c>
      <c r="CQ1" s="68" t="s">
        <v>1072</v>
      </c>
      <c r="CR1" s="68" t="s">
        <v>1074</v>
      </c>
      <c r="CS1" s="68" t="s">
        <v>1076</v>
      </c>
      <c r="CT1" s="61" t="s">
        <v>1294</v>
      </c>
    </row>
    <row r="2" spans="1:1029" x14ac:dyDescent="0.2">
      <c r="A2" s="3" t="str">
        <f t="shared" ref="A2:A71" si="0">CONCATENATE(B2,"_",C2)</f>
        <v>5ht1b_human__wt</v>
      </c>
      <c r="B2" s="3" t="s">
        <v>34</v>
      </c>
      <c r="C2" s="3" t="s">
        <v>100</v>
      </c>
      <c r="D2" s="3" t="str">
        <f>IFERROR(MID(VLOOKUP($B2,Seqs!$A:$B,2,0),E2,1),"")</f>
        <v>S</v>
      </c>
      <c r="E2" s="105">
        <v>45</v>
      </c>
      <c r="F2" s="3" t="str">
        <f>IFERROR(MID(VLOOKUP($B2,Seqs!$A:$B,2,0),G2,1),"")</f>
        <v>T</v>
      </c>
      <c r="G2" s="3">
        <v>77</v>
      </c>
      <c r="H2" s="3" t="str">
        <f>IFERROR(MID(VLOOKUP($B2,Seqs!$A:$B,2,0),I2,1),"")</f>
        <v>R</v>
      </c>
      <c r="I2" s="23">
        <v>78</v>
      </c>
      <c r="J2" s="3" t="str">
        <f>IFERROR(MID(VLOOKUP($B2,Seqs!$A:$B,2,0),K2,1),"")</f>
        <v>H</v>
      </c>
      <c r="K2" s="23">
        <v>81</v>
      </c>
      <c r="L2" s="3" t="str">
        <f>IFERROR(MID(VLOOKUP($B2,Seqs!$A:$B,2,0),M2,1),"")</f>
        <v>T</v>
      </c>
      <c r="M2" s="3">
        <v>82</v>
      </c>
      <c r="N2" s="3" t="str">
        <f>IFERROR(MID(VLOOKUP($B2,Seqs!$A:$B,2,0),O2,1),"")</f>
        <v>G</v>
      </c>
      <c r="O2" s="3">
        <v>113</v>
      </c>
      <c r="P2" s="3" t="str">
        <f>IFERROR(MID(VLOOKUP($B2,Seqs!$A:$B,2,0),Q2,1),"")</f>
        <v>R</v>
      </c>
      <c r="Q2" s="3">
        <v>114</v>
      </c>
      <c r="R2" s="3" t="str">
        <f>IFERROR(MID(VLOOKUP($B2,Seqs!$A:$B,2,0),S2,1),"")</f>
        <v>L</v>
      </c>
      <c r="S2" s="3">
        <v>117</v>
      </c>
      <c r="T2" s="3" t="str">
        <f>IFERROR(MID(VLOOKUP($B2,Seqs!$A:$B,2,0),U2,1),"")</f>
        <v>G</v>
      </c>
      <c r="U2" s="3">
        <v>118</v>
      </c>
      <c r="V2" s="3" t="str">
        <f>IFERROR(MID(VLOOKUP($B2,Seqs!$A:$B,2,0),W2,1),"")</f>
        <v>D</v>
      </c>
      <c r="W2" s="3">
        <v>153</v>
      </c>
      <c r="X2" s="3" t="str">
        <f>IFERROR(MID(VLOOKUP($B2,Seqs!$A:$B,2,0),Y2,1),"")</f>
        <v>A</v>
      </c>
      <c r="Y2" s="3">
        <v>154</v>
      </c>
      <c r="Z2" s="3" t="str">
        <f>IFERROR(MID(VLOOKUP($B2,Seqs!$A:$B,2,0),AA2,1),"")</f>
        <v>R</v>
      </c>
      <c r="AA2" s="3">
        <v>161</v>
      </c>
      <c r="AB2" s="3" t="str">
        <f>IFERROR(MID(VLOOKUP($B2,Seqs!$A:$B,2,0),AC2,1),"")</f>
        <v>T</v>
      </c>
      <c r="AC2" s="9">
        <v>162</v>
      </c>
      <c r="AD2" s="3" t="str">
        <f>IFERROR(MID(VLOOKUP($B2,Seqs!$A:$B,2,0),AE2,1),"")</f>
        <v>W</v>
      </c>
      <c r="AE2" s="3">
        <v>187</v>
      </c>
      <c r="AF2" s="3" t="str">
        <f>IFERROR(MID(VLOOKUP($B2,Seqs!$A:$B,2,0),AG2,1),"")</f>
        <v>C</v>
      </c>
      <c r="AG2" s="3">
        <v>199</v>
      </c>
      <c r="AH2" s="3" t="str">
        <f>IFERROR(MID(VLOOKUP($B2,Seqs!$A:$B,2,0),AI2,1),"")</f>
        <v>V</v>
      </c>
      <c r="AI2" s="3">
        <v>201</v>
      </c>
      <c r="AJ2" s="3" t="str">
        <f>IFERROR(MID(VLOOKUP($B2,Seqs!$A:$B,2,0),AK2,1),"")</f>
        <v>H</v>
      </c>
      <c r="AK2" s="3">
        <v>205</v>
      </c>
      <c r="AL2" s="3" t="str">
        <f>IFERROR(MID(VLOOKUP($B2,Seqs!$A:$B,2,0),AM2,1),"")</f>
        <v>P</v>
      </c>
      <c r="AM2" s="3">
        <v>244</v>
      </c>
      <c r="AN2" s="3" t="str">
        <f>IFERROR(MID(VLOOKUP($B2,Seqs!$A:$B,2,0),AO2,1),"")</f>
        <v>K</v>
      </c>
      <c r="AO2" s="3">
        <v>303</v>
      </c>
      <c r="AP2" s="3" t="str">
        <f>IFERROR(MID(VLOOKUP($B2,Seqs!$A:$B,2,0),AQ2,1),"")</f>
        <v>I</v>
      </c>
      <c r="AQ2" s="3">
        <v>339</v>
      </c>
      <c r="AR2" s="3" t="str">
        <f>IFERROR(MID(VLOOKUP($B2,Seqs!$A:$B,2,0),AS2,1),"")</f>
        <v>H</v>
      </c>
      <c r="AS2" s="3">
        <v>347</v>
      </c>
      <c r="AT2" s="3" t="str">
        <f>IFERROR(MID(VLOOKUP($B2,Seqs!$A:$B,2,0),AU2,1),"")</f>
        <v>S</v>
      </c>
      <c r="AU2" s="3">
        <v>372</v>
      </c>
      <c r="AV2" s="3" t="str">
        <f>IFERROR(MID(VLOOKUP($B2,Seqs!$A:$B,2,0),AW2,1),"")</f>
        <v>N</v>
      </c>
      <c r="AW2" s="3">
        <v>373</v>
      </c>
      <c r="AX2" s="3" t="str">
        <f>IFERROR(MID(VLOOKUP($B2,Seqs!$A:$B,2,0),AY2,1),"")</f>
        <v>I</v>
      </c>
      <c r="AY2" s="3">
        <v>384</v>
      </c>
      <c r="AZ2" s="77" t="str">
        <f>VLOOKUP(B2,Classification!A:D,2,0)</f>
        <v>A</v>
      </c>
      <c r="BA2" s="94" t="str">
        <f>VLOOKUP(B2,Classification!A:D,4,0)</f>
        <v>5-Hydroxytryptamine</v>
      </c>
      <c r="BB2" s="27" t="b">
        <f t="shared" ref="BB2:BB71" si="1">AND(E2&lt;G2,OR(G2&lt;I2,I2="-"),OR(I2&lt;K2,I2="-"),OR(K2&lt;M2,K2="-"),M2&lt;O2,OR(O2&lt;Q2,Q2="-"),OR(Q2&lt;S2,Q2="-"),OR(S2&lt;U2,S2="-"),U2&lt;W2,OR(W2&lt;Y2,Y2="-"),OR(Y2&lt;AA2,Y2="-"),OR(AA2&lt;AC2,AA2="-"),AC2&lt;AE2,OR(AE2&lt;AG2,AG2="-"),OR(AG2&lt;AI2,AG2="-"),OR(AI2&lt;AK2,AI2="-"),AK2&lt;AM2,AM2&lt;AO2,AO2&lt;AQ2,AQ2&lt;AS2,AS2&lt;AU2,OR(AU2&lt;AW2,AW2="-"),OR(AW2&lt;AY2,AW2="-"))</f>
        <v>1</v>
      </c>
      <c r="BC2" s="23">
        <f t="shared" ref="BC2:BC13" si="2">_xlfn.AGGREGATE(9,6,CH2:CS2)-_xlfn.AGGREGATE(9,6,BV2:CG2)+12</f>
        <v>261</v>
      </c>
      <c r="BD2" s="34" t="s">
        <v>23</v>
      </c>
      <c r="BE2" s="3" t="s">
        <v>23</v>
      </c>
      <c r="BF2" s="119" t="s">
        <v>23</v>
      </c>
      <c r="BG2" s="49" t="s">
        <v>1378</v>
      </c>
      <c r="BH2" s="49" t="s">
        <v>1383</v>
      </c>
      <c r="BI2" s="1"/>
      <c r="BJ2" s="70" t="s">
        <v>1293</v>
      </c>
      <c r="BK2" s="57" t="s">
        <v>1293</v>
      </c>
      <c r="BL2" s="57" t="s">
        <v>1293</v>
      </c>
      <c r="BM2" s="57" t="s">
        <v>1293</v>
      </c>
      <c r="BN2" s="57" t="s">
        <v>1293</v>
      </c>
      <c r="BO2" s="57" t="s">
        <v>1293</v>
      </c>
      <c r="BP2" s="57" t="s">
        <v>1293</v>
      </c>
      <c r="BQ2" s="57" t="s">
        <v>1293</v>
      </c>
      <c r="BR2" s="57" t="s">
        <v>1293</v>
      </c>
      <c r="BS2" s="57" t="s">
        <v>1293</v>
      </c>
      <c r="BT2" s="57" t="s">
        <v>1293</v>
      </c>
      <c r="BU2" s="57" t="s">
        <v>1293</v>
      </c>
      <c r="BV2" s="70">
        <f t="shared" ref="BV2:BV37" si="3">E2</f>
        <v>45</v>
      </c>
      <c r="BW2" s="71">
        <f t="shared" ref="BW2:BW37" si="4">I2</f>
        <v>78</v>
      </c>
      <c r="BX2" s="72">
        <f t="shared" ref="BX2:BX37" si="5">M2</f>
        <v>82</v>
      </c>
      <c r="BY2" s="71">
        <f t="shared" ref="BY2:BY37" si="6">Q2</f>
        <v>114</v>
      </c>
      <c r="BZ2" s="72">
        <f t="shared" ref="BZ2:BZ37" si="7">U2</f>
        <v>118</v>
      </c>
      <c r="CA2" s="71">
        <f t="shared" ref="CA2:CA37" si="8">Y2</f>
        <v>154</v>
      </c>
      <c r="CB2" s="72">
        <f t="shared" ref="CB2:CB37" si="9">AC2</f>
        <v>162</v>
      </c>
      <c r="CC2" s="71">
        <f t="shared" ref="CC2:CC37" si="10">AG2</f>
        <v>199</v>
      </c>
      <c r="CD2" s="72">
        <f t="shared" ref="CD2:CD37" si="11">AK2</f>
        <v>205</v>
      </c>
      <c r="CE2" s="71">
        <f t="shared" ref="CE2:CE37" si="12">AO2</f>
        <v>303</v>
      </c>
      <c r="CF2" s="72">
        <f t="shared" ref="CF2:CF37" si="13">AS2</f>
        <v>347</v>
      </c>
      <c r="CG2" s="71">
        <f t="shared" ref="CG2:CG37" si="14">AW2</f>
        <v>373</v>
      </c>
      <c r="CH2" s="70">
        <f t="shared" ref="CH2:CH37" si="15">G2</f>
        <v>77</v>
      </c>
      <c r="CI2" s="71">
        <f t="shared" ref="CI2:CI37" si="16">K2</f>
        <v>81</v>
      </c>
      <c r="CJ2" s="72">
        <f t="shared" ref="CJ2:CJ37" si="17">O2</f>
        <v>113</v>
      </c>
      <c r="CK2" s="72">
        <f t="shared" ref="CK2:CK37" si="18">S2</f>
        <v>117</v>
      </c>
      <c r="CL2" s="72">
        <f t="shared" ref="CL2:CL37" si="19">W2</f>
        <v>153</v>
      </c>
      <c r="CM2" s="72">
        <f t="shared" ref="CM2:CM37" si="20">AA2</f>
        <v>161</v>
      </c>
      <c r="CN2" s="72">
        <f t="shared" ref="CN2:CN37" si="21">AE2</f>
        <v>187</v>
      </c>
      <c r="CO2" s="72">
        <f t="shared" ref="CO2:CO37" si="22">AI2</f>
        <v>201</v>
      </c>
      <c r="CP2" s="72">
        <f t="shared" ref="CP2:CP37" si="23">AM2</f>
        <v>244</v>
      </c>
      <c r="CQ2" s="72">
        <f t="shared" ref="CQ2:CQ37" si="24">AQ2</f>
        <v>339</v>
      </c>
      <c r="CR2" s="72">
        <f t="shared" ref="CR2:CR37" si="25">AU2</f>
        <v>372</v>
      </c>
      <c r="CS2" s="72">
        <f t="shared" ref="CS2:CS37" si="26">AY2</f>
        <v>384</v>
      </c>
      <c r="CT2" s="23">
        <f t="shared" ref="CT2:CT37" si="27">M2-K2</f>
        <v>1</v>
      </c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</row>
    <row r="3" spans="1:1029" x14ac:dyDescent="0.2">
      <c r="A3" s="3" t="str">
        <f t="shared" si="0"/>
        <v>5ht1b_human_4IAQ</v>
      </c>
      <c r="B3" s="3" t="s">
        <v>34</v>
      </c>
      <c r="C3" s="3" t="s">
        <v>1043</v>
      </c>
      <c r="D3" s="3" t="str">
        <f>IFERROR(MID(VLOOKUP($B3,Seqs!$A:$B,2,0),E3,1),"")</f>
        <v>S</v>
      </c>
      <c r="E3" s="3">
        <v>45</v>
      </c>
      <c r="F3" s="3" t="str">
        <f>IFERROR(MID(VLOOKUP($B3,Seqs!$A:$B,2,0),G3,1),"")</f>
        <v>T</v>
      </c>
      <c r="G3" s="3">
        <v>77</v>
      </c>
      <c r="H3" s="3" t="str">
        <f>IFERROR(MID(VLOOKUP($B3,Seqs!$A:$B,2,0),I3,1),"")</f>
        <v>R</v>
      </c>
      <c r="I3" s="23">
        <v>78</v>
      </c>
      <c r="J3" s="3" t="str">
        <f>IFERROR(MID(VLOOKUP($B3,Seqs!$A:$B,2,0),K3,1),"")</f>
        <v>H</v>
      </c>
      <c r="K3" s="23">
        <v>81</v>
      </c>
      <c r="L3" s="3" t="str">
        <f>IFERROR(MID(VLOOKUP($B3,Seqs!$A:$B,2,0),M3,1),"")</f>
        <v>T</v>
      </c>
      <c r="M3" s="3">
        <v>82</v>
      </c>
      <c r="N3" s="3" t="str">
        <f>IFERROR(MID(VLOOKUP($B3,Seqs!$A:$B,2,0),O3,1),"")</f>
        <v>G</v>
      </c>
      <c r="O3" s="3">
        <v>113</v>
      </c>
      <c r="P3" s="3" t="str">
        <f>IFERROR(MID(VLOOKUP($B3,Seqs!$A:$B,2,0),Q3,1),"")</f>
        <v>R</v>
      </c>
      <c r="Q3" s="3">
        <v>114</v>
      </c>
      <c r="R3" s="3" t="str">
        <f>IFERROR(MID(VLOOKUP($B3,Seqs!$A:$B,2,0),S3,1),"")</f>
        <v>L</v>
      </c>
      <c r="S3" s="3">
        <v>117</v>
      </c>
      <c r="T3" s="3" t="str">
        <f>IFERROR(MID(VLOOKUP($B3,Seqs!$A:$B,2,0),U3,1),"")</f>
        <v>G</v>
      </c>
      <c r="U3" s="3">
        <v>118</v>
      </c>
      <c r="V3" s="3" t="str">
        <f>IFERROR(MID(VLOOKUP($B3,Seqs!$A:$B,2,0),W3,1),"")</f>
        <v>D</v>
      </c>
      <c r="W3" s="3">
        <v>153</v>
      </c>
      <c r="X3" s="3" t="str">
        <f>IFERROR(MID(VLOOKUP($B3,Seqs!$A:$B,2,0),Y3,1),"")</f>
        <v>A</v>
      </c>
      <c r="Y3" s="3">
        <v>154</v>
      </c>
      <c r="Z3" s="3" t="str">
        <f>IFERROR(MID(VLOOKUP($B3,Seqs!$A:$B,2,0),AA3,1),"")</f>
        <v>R</v>
      </c>
      <c r="AA3" s="3">
        <v>161</v>
      </c>
      <c r="AB3" s="3" t="str">
        <f>IFERROR(MID(VLOOKUP($B3,Seqs!$A:$B,2,0),AC3,1),"")</f>
        <v>T</v>
      </c>
      <c r="AC3" s="9">
        <v>162</v>
      </c>
      <c r="AD3" s="3" t="str">
        <f>IFERROR(MID(VLOOKUP($B3,Seqs!$A:$B,2,0),AE3,1),"")</f>
        <v>P</v>
      </c>
      <c r="AE3" s="3">
        <v>184</v>
      </c>
      <c r="AF3" s="3" t="str">
        <f>IFERROR(MID(VLOOKUP($B3,Seqs!$A:$B,2,0),AG3,1),"")</f>
        <v>C</v>
      </c>
      <c r="AG3" s="3">
        <v>199</v>
      </c>
      <c r="AH3" s="3" t="str">
        <f>IFERROR(MID(VLOOKUP($B3,Seqs!$A:$B,2,0),AI3,1),"")</f>
        <v>V</v>
      </c>
      <c r="AI3" s="3">
        <v>201</v>
      </c>
      <c r="AJ3" s="3" t="str">
        <f>IFERROR(MID(VLOOKUP($B3,Seqs!$A:$B,2,0),AK3,1),"")</f>
        <v>H</v>
      </c>
      <c r="AK3" s="3">
        <v>205</v>
      </c>
      <c r="AL3" s="3" t="str">
        <f>IFERROR(MID(VLOOKUP($B3,Seqs!$A:$B,2,0),AM3,1),"")</f>
        <v>R</v>
      </c>
      <c r="AM3" s="3">
        <v>238</v>
      </c>
      <c r="AN3" s="3" t="str">
        <f>IFERROR(MID(VLOOKUP($B3,Seqs!$A:$B,2,0),AO3,1),"")</f>
        <v>L</v>
      </c>
      <c r="AO3" s="3">
        <v>304</v>
      </c>
      <c r="AP3" s="3" t="str">
        <f>IFERROR(MID(VLOOKUP($B3,Seqs!$A:$B,2,0),AQ3,1),"")</f>
        <v>I</v>
      </c>
      <c r="AQ3" s="3">
        <v>339</v>
      </c>
      <c r="AR3" s="3" t="str">
        <f>IFERROR(MID(VLOOKUP($B3,Seqs!$A:$B,2,0),AS3,1),"")</f>
        <v>H</v>
      </c>
      <c r="AS3" s="3">
        <v>347</v>
      </c>
      <c r="AT3" s="3" t="str">
        <f>IFERROR(MID(VLOOKUP($B3,Seqs!$A:$B,2,0),AU3,1),"")</f>
        <v>S</v>
      </c>
      <c r="AU3" s="3">
        <v>372</v>
      </c>
      <c r="AV3" s="3" t="str">
        <f>IFERROR(MID(VLOOKUP($B3,Seqs!$A:$B,2,0),AW3,1),"")</f>
        <v>N</v>
      </c>
      <c r="AW3" s="3">
        <v>373</v>
      </c>
      <c r="AX3" s="3" t="str">
        <f>IFERROR(MID(VLOOKUP($B3,Seqs!$A:$B,2,0),AY3,1),"")</f>
        <v>I</v>
      </c>
      <c r="AY3" s="3">
        <v>384</v>
      </c>
      <c r="AZ3" s="77" t="str">
        <f>VLOOKUP(B3,Classification!A:D,2,0)</f>
        <v>A</v>
      </c>
      <c r="BA3" s="94" t="str">
        <f>VLOOKUP(B3,Classification!A:D,4,0)</f>
        <v>5-Hydroxytryptamine</v>
      </c>
      <c r="BB3" s="27" t="b">
        <f t="shared" si="1"/>
        <v>1</v>
      </c>
      <c r="BC3" s="23">
        <f t="shared" si="2"/>
        <v>251</v>
      </c>
      <c r="BD3" s="16" t="s">
        <v>1439</v>
      </c>
      <c r="BE3" s="3" t="s">
        <v>1438</v>
      </c>
      <c r="BF3" s="119">
        <v>2.8</v>
      </c>
      <c r="BG3" s="49" t="s">
        <v>1383</v>
      </c>
      <c r="BH3" s="49" t="s">
        <v>1383</v>
      </c>
      <c r="BI3" s="1"/>
      <c r="BJ3" s="70" t="s">
        <v>1293</v>
      </c>
      <c r="BK3" s="57" t="s">
        <v>1293</v>
      </c>
      <c r="BL3" s="57" t="s">
        <v>1293</v>
      </c>
      <c r="BM3" s="57" t="s">
        <v>1293</v>
      </c>
      <c r="BN3" s="57" t="s">
        <v>1293</v>
      </c>
      <c r="BO3" s="57" t="s">
        <v>1293</v>
      </c>
      <c r="BP3" s="57" t="s">
        <v>1293</v>
      </c>
      <c r="BQ3" s="57" t="s">
        <v>1293</v>
      </c>
      <c r="BR3" s="57" t="s">
        <v>1293</v>
      </c>
      <c r="BS3" s="57" t="s">
        <v>1293</v>
      </c>
      <c r="BT3" s="57" t="s">
        <v>1293</v>
      </c>
      <c r="BU3" s="57" t="s">
        <v>1293</v>
      </c>
      <c r="BV3" s="70">
        <f t="shared" si="3"/>
        <v>45</v>
      </c>
      <c r="BW3" s="71">
        <f t="shared" si="4"/>
        <v>78</v>
      </c>
      <c r="BX3" s="72">
        <f t="shared" si="5"/>
        <v>82</v>
      </c>
      <c r="BY3" s="71">
        <f t="shared" si="6"/>
        <v>114</v>
      </c>
      <c r="BZ3" s="72">
        <f t="shared" si="7"/>
        <v>118</v>
      </c>
      <c r="CA3" s="71">
        <f t="shared" si="8"/>
        <v>154</v>
      </c>
      <c r="CB3" s="72">
        <f t="shared" si="9"/>
        <v>162</v>
      </c>
      <c r="CC3" s="71">
        <f t="shared" si="10"/>
        <v>199</v>
      </c>
      <c r="CD3" s="72">
        <f t="shared" si="11"/>
        <v>205</v>
      </c>
      <c r="CE3" s="71">
        <f t="shared" si="12"/>
        <v>304</v>
      </c>
      <c r="CF3" s="72">
        <f t="shared" si="13"/>
        <v>347</v>
      </c>
      <c r="CG3" s="71">
        <f t="shared" si="14"/>
        <v>373</v>
      </c>
      <c r="CH3" s="70">
        <f t="shared" si="15"/>
        <v>77</v>
      </c>
      <c r="CI3" s="71">
        <f t="shared" si="16"/>
        <v>81</v>
      </c>
      <c r="CJ3" s="72">
        <f t="shared" si="17"/>
        <v>113</v>
      </c>
      <c r="CK3" s="72">
        <f t="shared" si="18"/>
        <v>117</v>
      </c>
      <c r="CL3" s="72">
        <f t="shared" si="19"/>
        <v>153</v>
      </c>
      <c r="CM3" s="72">
        <f t="shared" si="20"/>
        <v>161</v>
      </c>
      <c r="CN3" s="72">
        <f t="shared" si="21"/>
        <v>184</v>
      </c>
      <c r="CO3" s="72">
        <f t="shared" si="22"/>
        <v>201</v>
      </c>
      <c r="CP3" s="72">
        <f t="shared" si="23"/>
        <v>238</v>
      </c>
      <c r="CQ3" s="72">
        <f t="shared" si="24"/>
        <v>339</v>
      </c>
      <c r="CR3" s="72">
        <f t="shared" si="25"/>
        <v>372</v>
      </c>
      <c r="CS3" s="72">
        <f t="shared" si="26"/>
        <v>384</v>
      </c>
      <c r="CT3" s="23">
        <f t="shared" si="27"/>
        <v>1</v>
      </c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</row>
    <row r="4" spans="1:1029" x14ac:dyDescent="0.2">
      <c r="A4" s="3" t="str">
        <f t="shared" si="0"/>
        <v>5ht1b_human_4IAR</v>
      </c>
      <c r="B4" s="3" t="s">
        <v>34</v>
      </c>
      <c r="C4" s="3" t="s">
        <v>60</v>
      </c>
      <c r="D4" s="3" t="str">
        <f>IFERROR(MID(VLOOKUP($B4,Seqs!$A:$B,2,0),E4,1),"")</f>
        <v>S</v>
      </c>
      <c r="E4" s="3">
        <v>45</v>
      </c>
      <c r="F4" s="3" t="str">
        <f>IFERROR(MID(VLOOKUP($B4,Seqs!$A:$B,2,0),G4,1),"")</f>
        <v>T</v>
      </c>
      <c r="G4" s="3">
        <v>77</v>
      </c>
      <c r="H4" s="3" t="str">
        <f>IFERROR(MID(VLOOKUP($B4,Seqs!$A:$B,2,0),I4,1),"")</f>
        <v>R</v>
      </c>
      <c r="I4" s="23">
        <v>78</v>
      </c>
      <c r="J4" s="3" t="str">
        <f>IFERROR(MID(VLOOKUP($B4,Seqs!$A:$B,2,0),K4,1),"")</f>
        <v>H</v>
      </c>
      <c r="K4" s="23">
        <v>81</v>
      </c>
      <c r="L4" s="3" t="str">
        <f>IFERROR(MID(VLOOKUP($B4,Seqs!$A:$B,2,0),M4,1),"")</f>
        <v>T</v>
      </c>
      <c r="M4" s="3">
        <v>82</v>
      </c>
      <c r="N4" s="3" t="str">
        <f>IFERROR(MID(VLOOKUP($B4,Seqs!$A:$B,2,0),O4,1),"")</f>
        <v>G</v>
      </c>
      <c r="O4" s="3">
        <v>113</v>
      </c>
      <c r="P4" s="3" t="str">
        <f>IFERROR(MID(VLOOKUP($B4,Seqs!$A:$B,2,0),Q4,1),"")</f>
        <v>R</v>
      </c>
      <c r="Q4" s="3">
        <v>114</v>
      </c>
      <c r="R4" s="3" t="str">
        <f>IFERROR(MID(VLOOKUP($B4,Seqs!$A:$B,2,0),S4,1),"")</f>
        <v>L</v>
      </c>
      <c r="S4" s="3">
        <v>117</v>
      </c>
      <c r="T4" s="3" t="str">
        <f>IFERROR(MID(VLOOKUP($B4,Seqs!$A:$B,2,0),U4,1),"")</f>
        <v>G</v>
      </c>
      <c r="U4" s="3">
        <v>118</v>
      </c>
      <c r="V4" s="3" t="str">
        <f>IFERROR(MID(VLOOKUP($B4,Seqs!$A:$B,2,0),W4,1),"")</f>
        <v>D</v>
      </c>
      <c r="W4" s="3">
        <v>153</v>
      </c>
      <c r="X4" s="3" t="str">
        <f>IFERROR(MID(VLOOKUP($B4,Seqs!$A:$B,2,0),Y4,1),"")</f>
        <v>A</v>
      </c>
      <c r="Y4" s="3">
        <v>154</v>
      </c>
      <c r="Z4" s="3" t="str">
        <f>IFERROR(MID(VLOOKUP($B4,Seqs!$A:$B,2,0),AA4,1),"")</f>
        <v>R</v>
      </c>
      <c r="AA4" s="3">
        <v>161</v>
      </c>
      <c r="AB4" s="3" t="str">
        <f>IFERROR(MID(VLOOKUP($B4,Seqs!$A:$B,2,0),AC4,1),"")</f>
        <v>T</v>
      </c>
      <c r="AC4" s="9">
        <v>162</v>
      </c>
      <c r="AD4" s="3" t="str">
        <f>IFERROR(MID(VLOOKUP($B4,Seqs!$A:$B,2,0),AE4,1),"")</f>
        <v>P</v>
      </c>
      <c r="AE4" s="3">
        <v>184</v>
      </c>
      <c r="AF4" s="3" t="str">
        <f>IFERROR(MID(VLOOKUP($B4,Seqs!$A:$B,2,0),AG4,1),"")</f>
        <v>C</v>
      </c>
      <c r="AG4" s="3">
        <v>199</v>
      </c>
      <c r="AH4" s="3" t="str">
        <f>IFERROR(MID(VLOOKUP($B4,Seqs!$A:$B,2,0),AI4,1),"")</f>
        <v>V</v>
      </c>
      <c r="AI4" s="3">
        <v>201</v>
      </c>
      <c r="AJ4" s="3" t="str">
        <f>IFERROR(MID(VLOOKUP($B4,Seqs!$A:$B,2,0),AK4,1),"")</f>
        <v>H</v>
      </c>
      <c r="AK4" s="3">
        <v>205</v>
      </c>
      <c r="AL4" s="3" t="str">
        <f>IFERROR(MID(VLOOKUP($B4,Seqs!$A:$B,2,0),AM4,1),"")</f>
        <v>I</v>
      </c>
      <c r="AM4" s="3">
        <v>239</v>
      </c>
      <c r="AN4" s="3" t="str">
        <f>IFERROR(MID(VLOOKUP($B4,Seqs!$A:$B,2,0),AO4,1),"")</f>
        <v>R</v>
      </c>
      <c r="AO4" s="3">
        <v>310</v>
      </c>
      <c r="AP4" s="3" t="str">
        <f>IFERROR(MID(VLOOKUP($B4,Seqs!$A:$B,2,0),AQ4,1),"")</f>
        <v>I</v>
      </c>
      <c r="AQ4" s="3">
        <v>339</v>
      </c>
      <c r="AR4" s="3" t="str">
        <f>IFERROR(MID(VLOOKUP($B4,Seqs!$A:$B,2,0),AS4,1),"")</f>
        <v>H</v>
      </c>
      <c r="AS4" s="3">
        <v>347</v>
      </c>
      <c r="AT4" s="3" t="str">
        <f>IFERROR(MID(VLOOKUP($B4,Seqs!$A:$B,2,0),AU4,1),"")</f>
        <v>M</v>
      </c>
      <c r="AU4" s="3">
        <v>371</v>
      </c>
      <c r="AV4" s="3" t="str">
        <f>IFERROR(MID(VLOOKUP($B4,Seqs!$A:$B,2,0),AW4,1),"")</f>
        <v>N</v>
      </c>
      <c r="AW4" s="3">
        <v>373</v>
      </c>
      <c r="AX4" s="3" t="str">
        <f>IFERROR(MID(VLOOKUP($B4,Seqs!$A:$B,2,0),AY4,1),"")</f>
        <v>I</v>
      </c>
      <c r="AY4" s="3">
        <v>384</v>
      </c>
      <c r="AZ4" s="77" t="str">
        <f>VLOOKUP(B4,Classification!A:D,2,0)</f>
        <v>A</v>
      </c>
      <c r="BA4" s="94" t="str">
        <f>VLOOKUP(B4,Classification!A:D,4,0)</f>
        <v>5-Hydroxytryptamine</v>
      </c>
      <c r="BB4" s="27" t="b">
        <f t="shared" si="1"/>
        <v>1</v>
      </c>
      <c r="BC4" s="23">
        <f t="shared" si="2"/>
        <v>245</v>
      </c>
      <c r="BD4" s="4" t="s">
        <v>23</v>
      </c>
      <c r="BE4" s="3" t="s">
        <v>1438</v>
      </c>
      <c r="BF4" s="119">
        <v>2.7</v>
      </c>
      <c r="BG4" s="49" t="s">
        <v>1383</v>
      </c>
      <c r="BH4" s="49" t="s">
        <v>1383</v>
      </c>
      <c r="BI4" s="1"/>
      <c r="BJ4" s="70" t="s">
        <v>1293</v>
      </c>
      <c r="BK4" s="57" t="s">
        <v>1293</v>
      </c>
      <c r="BL4" s="57" t="s">
        <v>1293</v>
      </c>
      <c r="BM4" s="57" t="s">
        <v>1293</v>
      </c>
      <c r="BN4" s="57" t="s">
        <v>1293</v>
      </c>
      <c r="BO4" s="57" t="s">
        <v>1293</v>
      </c>
      <c r="BP4" s="57" t="s">
        <v>1293</v>
      </c>
      <c r="BQ4" s="57" t="s">
        <v>1293</v>
      </c>
      <c r="BR4" s="57" t="s">
        <v>1293</v>
      </c>
      <c r="BS4" s="57" t="s">
        <v>1293</v>
      </c>
      <c r="BT4" s="57" t="s">
        <v>1293</v>
      </c>
      <c r="BU4" s="57" t="s">
        <v>1293</v>
      </c>
      <c r="BV4" s="70">
        <f t="shared" si="3"/>
        <v>45</v>
      </c>
      <c r="BW4" s="71">
        <f t="shared" si="4"/>
        <v>78</v>
      </c>
      <c r="BX4" s="72">
        <f t="shared" si="5"/>
        <v>82</v>
      </c>
      <c r="BY4" s="71">
        <f t="shared" si="6"/>
        <v>114</v>
      </c>
      <c r="BZ4" s="72">
        <f t="shared" si="7"/>
        <v>118</v>
      </c>
      <c r="CA4" s="71">
        <f t="shared" si="8"/>
        <v>154</v>
      </c>
      <c r="CB4" s="72">
        <f t="shared" si="9"/>
        <v>162</v>
      </c>
      <c r="CC4" s="71">
        <f t="shared" si="10"/>
        <v>199</v>
      </c>
      <c r="CD4" s="72">
        <f t="shared" si="11"/>
        <v>205</v>
      </c>
      <c r="CE4" s="71">
        <f t="shared" si="12"/>
        <v>310</v>
      </c>
      <c r="CF4" s="72">
        <f t="shared" si="13"/>
        <v>347</v>
      </c>
      <c r="CG4" s="71">
        <f t="shared" si="14"/>
        <v>373</v>
      </c>
      <c r="CH4" s="70">
        <f t="shared" si="15"/>
        <v>77</v>
      </c>
      <c r="CI4" s="71">
        <f t="shared" si="16"/>
        <v>81</v>
      </c>
      <c r="CJ4" s="72">
        <f t="shared" si="17"/>
        <v>113</v>
      </c>
      <c r="CK4" s="72">
        <f t="shared" si="18"/>
        <v>117</v>
      </c>
      <c r="CL4" s="72">
        <f t="shared" si="19"/>
        <v>153</v>
      </c>
      <c r="CM4" s="72">
        <f t="shared" si="20"/>
        <v>161</v>
      </c>
      <c r="CN4" s="72">
        <f t="shared" si="21"/>
        <v>184</v>
      </c>
      <c r="CO4" s="72">
        <f t="shared" si="22"/>
        <v>201</v>
      </c>
      <c r="CP4" s="72">
        <f t="shared" si="23"/>
        <v>239</v>
      </c>
      <c r="CQ4" s="72">
        <f t="shared" si="24"/>
        <v>339</v>
      </c>
      <c r="CR4" s="72">
        <f t="shared" si="25"/>
        <v>371</v>
      </c>
      <c r="CS4" s="72">
        <f t="shared" si="26"/>
        <v>384</v>
      </c>
      <c r="CT4" s="23">
        <f t="shared" si="27"/>
        <v>1</v>
      </c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</row>
    <row r="5" spans="1:1029" x14ac:dyDescent="0.2">
      <c r="A5" s="3" t="str">
        <f>CONCATENATE(B5,"_",C5)</f>
        <v>5ht1b_human_5V54</v>
      </c>
      <c r="B5" s="3" t="s">
        <v>34</v>
      </c>
      <c r="C5" s="3" t="s">
        <v>1479</v>
      </c>
      <c r="D5" s="3" t="str">
        <f>IFERROR(MID(VLOOKUP($B5,Seqs!$A:$B,2,0),E5,1),"")</f>
        <v>S</v>
      </c>
      <c r="E5" s="3">
        <v>45</v>
      </c>
      <c r="F5" s="3" t="str">
        <f>IFERROR(MID(VLOOKUP($B5,Seqs!$A:$B,2,0),G5,1),"")</f>
        <v>T</v>
      </c>
      <c r="G5" s="3">
        <v>77</v>
      </c>
      <c r="H5" s="3" t="str">
        <f>IFERROR(MID(VLOOKUP($B5,Seqs!$A:$B,2,0),I5,1),"")</f>
        <v>R</v>
      </c>
      <c r="I5" s="23">
        <v>78</v>
      </c>
      <c r="J5" s="3" t="str">
        <f>IFERROR(MID(VLOOKUP($B5,Seqs!$A:$B,2,0),K5,1),"")</f>
        <v>H</v>
      </c>
      <c r="K5" s="23">
        <v>81</v>
      </c>
      <c r="L5" s="3" t="str">
        <f>IFERROR(MID(VLOOKUP($B5,Seqs!$A:$B,2,0),M5,1),"")</f>
        <v>T</v>
      </c>
      <c r="M5" s="3">
        <v>82</v>
      </c>
      <c r="N5" s="3" t="str">
        <f>IFERROR(MID(VLOOKUP($B5,Seqs!$A:$B,2,0),O5,1),"")</f>
        <v>G</v>
      </c>
      <c r="O5" s="3">
        <v>113</v>
      </c>
      <c r="P5" s="3" t="str">
        <f>IFERROR(MID(VLOOKUP($B5,Seqs!$A:$B,2,0),Q5,1),"")</f>
        <v>R</v>
      </c>
      <c r="Q5" s="3">
        <v>114</v>
      </c>
      <c r="R5" s="3" t="str">
        <f>IFERROR(MID(VLOOKUP($B5,Seqs!$A:$B,2,0),S5,1),"")</f>
        <v>L</v>
      </c>
      <c r="S5" s="3">
        <v>117</v>
      </c>
      <c r="T5" s="3" t="str">
        <f>IFERROR(MID(VLOOKUP($B5,Seqs!$A:$B,2,0),U5,1),"")</f>
        <v>G</v>
      </c>
      <c r="U5" s="3">
        <v>118</v>
      </c>
      <c r="V5" s="3" t="str">
        <f>IFERROR(MID(VLOOKUP($B5,Seqs!$A:$B,2,0),W5,1),"")</f>
        <v>T</v>
      </c>
      <c r="W5" s="3">
        <v>152</v>
      </c>
      <c r="X5" s="3" t="str">
        <f>IFERROR(MID(VLOOKUP($B5,Seqs!$A:$B,2,0),Y5,1),"")</f>
        <v>A</v>
      </c>
      <c r="Y5" s="3">
        <v>154</v>
      </c>
      <c r="Z5" s="3" t="str">
        <f>IFERROR(MID(VLOOKUP($B5,Seqs!$A:$B,2,0),AA5,1),"")</f>
        <v>R</v>
      </c>
      <c r="AA5" s="3">
        <v>161</v>
      </c>
      <c r="AB5" s="3" t="str">
        <f>IFERROR(MID(VLOOKUP($B5,Seqs!$A:$B,2,0),AC5,1),"")</f>
        <v>T</v>
      </c>
      <c r="AC5" s="3">
        <v>162</v>
      </c>
      <c r="AD5" s="3" t="str">
        <f>IFERROR(MID(VLOOKUP($B5,Seqs!$A:$B,2,0),AE5,1),"")</f>
        <v>P</v>
      </c>
      <c r="AE5" s="3">
        <v>184</v>
      </c>
      <c r="AF5" s="3" t="str">
        <f>IFERROR(MID(VLOOKUP($B5,Seqs!$A:$B,2,0),AG5,1),"")</f>
        <v>C</v>
      </c>
      <c r="AG5" s="3">
        <v>199</v>
      </c>
      <c r="AH5" s="3" t="str">
        <f>IFERROR(MID(VLOOKUP($B5,Seqs!$A:$B,2,0),AI5,1),"")</f>
        <v>V</v>
      </c>
      <c r="AI5" s="3">
        <v>201</v>
      </c>
      <c r="AJ5" s="3" t="str">
        <f>IFERROR(MID(VLOOKUP($B5,Seqs!$A:$B,2,0),AK5,1),"")</f>
        <v>H</v>
      </c>
      <c r="AK5" s="3">
        <v>205</v>
      </c>
      <c r="AL5" s="3" t="str">
        <f>IFERROR(MID(VLOOKUP($B5,Seqs!$A:$B,2,0),AM5,1),"")</f>
        <v>I</v>
      </c>
      <c r="AM5" s="3">
        <v>239</v>
      </c>
      <c r="AN5" s="3" t="str">
        <f>IFERROR(MID(VLOOKUP($B5,Seqs!$A:$B,2,0),AO5,1),"")</f>
        <v>R</v>
      </c>
      <c r="AO5" s="3">
        <v>308</v>
      </c>
      <c r="AP5" s="3" t="str">
        <f>IFERROR(MID(VLOOKUP($B5,Seqs!$A:$B,2,0),AQ5,1),"")</f>
        <v>M</v>
      </c>
      <c r="AQ5" s="3">
        <v>337</v>
      </c>
      <c r="AR5" s="3" t="str">
        <f>IFERROR(MID(VLOOKUP($B5,Seqs!$A:$B,2,0),AS5,1),"")</f>
        <v>F</v>
      </c>
      <c r="AS5" s="3">
        <v>346</v>
      </c>
      <c r="AT5" s="3" t="str">
        <f>IFERROR(MID(VLOOKUP($B5,Seqs!$A:$B,2,0),AU5,1),"")</f>
        <v>S</v>
      </c>
      <c r="AU5" s="3">
        <v>372</v>
      </c>
      <c r="AV5" s="3" t="str">
        <f>IFERROR(MID(VLOOKUP($B5,Seqs!$A:$B,2,0),AW5,1),"")</f>
        <v>N</v>
      </c>
      <c r="AW5" s="3">
        <v>373</v>
      </c>
      <c r="AX5" s="3" t="str">
        <f>IFERROR(MID(VLOOKUP($B5,Seqs!$A:$B,2,0),AY5,1),"")</f>
        <v>I</v>
      </c>
      <c r="AY5" s="3">
        <v>384</v>
      </c>
      <c r="AZ5" s="77" t="str">
        <f>VLOOKUP(B5,Classification!A:D,2,0)</f>
        <v>A</v>
      </c>
      <c r="BA5" s="94" t="str">
        <f>VLOOKUP(B5,Classification!A:D,4,0)</f>
        <v>5-Hydroxytryptamine</v>
      </c>
      <c r="BB5" s="27" t="b">
        <f>AND(E5&lt;G5,OR(G5&lt;I5,I5="-"),OR(I5&lt;K5,I5="-"),OR(K5&lt;M5,K5="-"),M5&lt;O5,OR(O5&lt;Q5,Q5="-"),OR(Q5&lt;S5,Q5="-"),OR(S5&lt;U5,S5="-"),U5&lt;W5,OR(W5&lt;Y5,Y5="-"),OR(Y5&lt;AA5,Y5="-"),OR(AA5&lt;AC5,AA5="-"),AC5&lt;AE5,OR(AE5&lt;AG5,AG5="-"),OR(AG5&lt;AI5,AG5="-"),OR(AI5&lt;AK5,AI5="-"),AK5&lt;AM5,AM5&lt;AO5,AO5&lt;AQ5,AQ5&lt;AS5,AS5&lt;AU5,OR(AU5&lt;AW5,AW5="-"),OR(AW5&lt;AY5,AW5="-"))</f>
        <v>1</v>
      </c>
      <c r="BC5" s="23">
        <f>_xlfn.AGGREGATE(9,6,CH5:CS5)-_xlfn.AGGREGATE(9,6,BV5:CG5)+12</f>
        <v>246</v>
      </c>
      <c r="BD5" s="4" t="s">
        <v>23</v>
      </c>
      <c r="BE5" s="3" t="s">
        <v>1438</v>
      </c>
      <c r="BF5" s="119">
        <v>3.7</v>
      </c>
      <c r="BG5" s="49" t="s">
        <v>1383</v>
      </c>
      <c r="BH5" s="49" t="s">
        <v>1383</v>
      </c>
      <c r="BI5" s="1"/>
      <c r="BJ5" s="70" t="s">
        <v>1293</v>
      </c>
      <c r="BK5" s="57" t="s">
        <v>1293</v>
      </c>
      <c r="BL5" s="57" t="s">
        <v>1293</v>
      </c>
      <c r="BM5" s="57" t="s">
        <v>1293</v>
      </c>
      <c r="BN5" s="57" t="s">
        <v>1293</v>
      </c>
      <c r="BO5" s="57" t="s">
        <v>1293</v>
      </c>
      <c r="BP5" s="57" t="s">
        <v>1293</v>
      </c>
      <c r="BQ5" s="57" t="s">
        <v>1293</v>
      </c>
      <c r="BR5" s="57" t="s">
        <v>1293</v>
      </c>
      <c r="BS5" s="57" t="s">
        <v>1293</v>
      </c>
      <c r="BT5" s="57" t="s">
        <v>1293</v>
      </c>
      <c r="BU5" s="57" t="s">
        <v>1293</v>
      </c>
      <c r="BV5" s="70">
        <f>E5</f>
        <v>45</v>
      </c>
      <c r="BW5" s="71">
        <f>I5</f>
        <v>78</v>
      </c>
      <c r="BX5" s="72">
        <f>M5</f>
        <v>82</v>
      </c>
      <c r="BY5" s="71">
        <f>Q5</f>
        <v>114</v>
      </c>
      <c r="BZ5" s="72">
        <f>U5</f>
        <v>118</v>
      </c>
      <c r="CA5" s="71">
        <f>Y5</f>
        <v>154</v>
      </c>
      <c r="CB5" s="72">
        <f>AC5</f>
        <v>162</v>
      </c>
      <c r="CC5" s="71">
        <f>AG5</f>
        <v>199</v>
      </c>
      <c r="CD5" s="72">
        <f>AK5</f>
        <v>205</v>
      </c>
      <c r="CE5" s="71">
        <f>AO5</f>
        <v>308</v>
      </c>
      <c r="CF5" s="72">
        <f>AS5</f>
        <v>346</v>
      </c>
      <c r="CG5" s="71">
        <f>AW5</f>
        <v>373</v>
      </c>
      <c r="CH5" s="70">
        <f>G5</f>
        <v>77</v>
      </c>
      <c r="CI5" s="71">
        <f>K5</f>
        <v>81</v>
      </c>
      <c r="CJ5" s="72">
        <f>O5</f>
        <v>113</v>
      </c>
      <c r="CK5" s="72">
        <f>S5</f>
        <v>117</v>
      </c>
      <c r="CL5" s="72">
        <f>W5</f>
        <v>152</v>
      </c>
      <c r="CM5" s="72">
        <f>AA5</f>
        <v>161</v>
      </c>
      <c r="CN5" s="72">
        <f>AE5</f>
        <v>184</v>
      </c>
      <c r="CO5" s="72">
        <f>AI5</f>
        <v>201</v>
      </c>
      <c r="CP5" s="72">
        <f>AM5</f>
        <v>239</v>
      </c>
      <c r="CQ5" s="72">
        <f>AQ5</f>
        <v>337</v>
      </c>
      <c r="CR5" s="72">
        <f>AU5</f>
        <v>372</v>
      </c>
      <c r="CS5" s="72">
        <f>AY5</f>
        <v>384</v>
      </c>
      <c r="CT5" s="23">
        <f>M5-K5</f>
        <v>1</v>
      </c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</row>
    <row r="6" spans="1:1029" x14ac:dyDescent="0.2">
      <c r="A6" s="3" t="str">
        <f>CONCATENATE(B6,"_",C6)</f>
        <v>5ht1b_human_6G79</v>
      </c>
      <c r="B6" s="3" t="s">
        <v>34</v>
      </c>
      <c r="C6" s="3" t="s">
        <v>1519</v>
      </c>
      <c r="D6" s="3" t="str">
        <f>IFERROR(MID(VLOOKUP($B6,Seqs!$A:$B,2,0),E6,1),"")</f>
        <v>S</v>
      </c>
      <c r="E6" s="3">
        <v>45</v>
      </c>
      <c r="F6" s="3" t="str">
        <f>IFERROR(MID(VLOOKUP($B6,Seqs!$A:$B,2,0),G6,1),"")</f>
        <v>T</v>
      </c>
      <c r="G6" s="3">
        <v>77</v>
      </c>
      <c r="H6" s="3" t="str">
        <f>IFERROR(MID(VLOOKUP($B6,Seqs!$A:$B,2,0),I6,1),"")</f>
        <v>R</v>
      </c>
      <c r="I6" s="23">
        <v>78</v>
      </c>
      <c r="J6" s="3" t="str">
        <f>IFERROR(MID(VLOOKUP($B6,Seqs!$A:$B,2,0),K6,1),"")</f>
        <v>H</v>
      </c>
      <c r="K6" s="23">
        <v>81</v>
      </c>
      <c r="L6" s="3" t="str">
        <f>IFERROR(MID(VLOOKUP($B6,Seqs!$A:$B,2,0),M6,1),"")</f>
        <v>T</v>
      </c>
      <c r="M6" s="3">
        <v>82</v>
      </c>
      <c r="N6" s="3" t="str">
        <f>IFERROR(MID(VLOOKUP($B6,Seqs!$A:$B,2,0),O6,1),"")</f>
        <v>G</v>
      </c>
      <c r="O6" s="3">
        <v>113</v>
      </c>
      <c r="P6" s="3" t="str">
        <f>IFERROR(MID(VLOOKUP($B6,Seqs!$A:$B,2,0),Q6,1),"")</f>
        <v>R</v>
      </c>
      <c r="Q6" s="3">
        <v>114</v>
      </c>
      <c r="R6" s="3" t="str">
        <f>IFERROR(MID(VLOOKUP($B6,Seqs!$A:$B,2,0),S6,1),"")</f>
        <v>L</v>
      </c>
      <c r="S6" s="3">
        <v>117</v>
      </c>
      <c r="T6" s="3" t="str">
        <f>IFERROR(MID(VLOOKUP($B6,Seqs!$A:$B,2,0),U6,1),"")</f>
        <v>G</v>
      </c>
      <c r="U6" s="3">
        <v>118</v>
      </c>
      <c r="V6" s="3" t="str">
        <f>IFERROR(MID(VLOOKUP($B6,Seqs!$A:$B,2,0),W6,1),"")</f>
        <v>D</v>
      </c>
      <c r="W6" s="3">
        <v>153</v>
      </c>
      <c r="X6" s="3" t="str">
        <f>IFERROR(MID(VLOOKUP($B6,Seqs!$A:$B,2,0),Y6,1),"")</f>
        <v>A</v>
      </c>
      <c r="Y6" s="3">
        <v>154</v>
      </c>
      <c r="Z6" s="3" t="str">
        <f>IFERROR(MID(VLOOKUP($B6,Seqs!$A:$B,2,0),AA6,1),"")</f>
        <v>R</v>
      </c>
      <c r="AA6" s="3">
        <v>161</v>
      </c>
      <c r="AB6" s="3" t="str">
        <f>IFERROR(MID(VLOOKUP($B6,Seqs!$A:$B,2,0),AC6,1),"")</f>
        <v>T</v>
      </c>
      <c r="AC6" s="3">
        <v>162</v>
      </c>
      <c r="AD6" s="3" t="str">
        <f>IFERROR(MID(VLOOKUP($B6,Seqs!$A:$B,2,0),AE6,1),"")</f>
        <v>P</v>
      </c>
      <c r="AE6" s="3">
        <v>183</v>
      </c>
      <c r="AF6" s="3" t="str">
        <f>IFERROR(MID(VLOOKUP($B6,Seqs!$A:$B,2,0),AG6,1),"")</f>
        <v>C</v>
      </c>
      <c r="AG6" s="3">
        <v>199</v>
      </c>
      <c r="AH6" s="3" t="str">
        <f>IFERROR(MID(VLOOKUP($B6,Seqs!$A:$B,2,0),AI6,1),"")</f>
        <v>V</v>
      </c>
      <c r="AI6" s="3">
        <v>201</v>
      </c>
      <c r="AJ6" s="3" t="str">
        <f>IFERROR(MID(VLOOKUP($B6,Seqs!$A:$B,2,0),AK6,1),"")</f>
        <v>H</v>
      </c>
      <c r="AK6" s="3">
        <v>205</v>
      </c>
      <c r="AL6" s="3" t="str">
        <f>IFERROR(MID(VLOOKUP($B6,Seqs!$A:$B,2,0),AM6,1),"")</f>
        <v>L</v>
      </c>
      <c r="AM6" s="3">
        <v>240</v>
      </c>
      <c r="AN6" s="3" t="str">
        <f>IFERROR(MID(VLOOKUP($B6,Seqs!$A:$B,2,0),AO6,1),"")</f>
        <v>M</v>
      </c>
      <c r="AO6" s="3">
        <v>305</v>
      </c>
      <c r="AP6" s="3" t="str">
        <f>IFERROR(MID(VLOOKUP($B6,Seqs!$A:$B,2,0),AQ6,1),"")</f>
        <v>M</v>
      </c>
      <c r="AQ6" s="3">
        <v>337</v>
      </c>
      <c r="AR6" s="3" t="str">
        <f>IFERROR(MID(VLOOKUP($B6,Seqs!$A:$B,2,0),AS6,1),"")</f>
        <v>L</v>
      </c>
      <c r="AS6" s="3">
        <v>348</v>
      </c>
      <c r="AT6" s="3" t="str">
        <f>IFERROR(MID(VLOOKUP($B6,Seqs!$A:$B,2,0),AU6,1),"")</f>
        <v>S</v>
      </c>
      <c r="AU6" s="3">
        <v>372</v>
      </c>
      <c r="AV6" s="3" t="str">
        <f>IFERROR(MID(VLOOKUP($B6,Seqs!$A:$B,2,0),AW6,1),"")</f>
        <v>N</v>
      </c>
      <c r="AW6" s="3">
        <v>373</v>
      </c>
      <c r="AX6" s="3" t="str">
        <f>IFERROR(MID(VLOOKUP($B6,Seqs!$A:$B,2,0),AY6,1),"")</f>
        <v>I</v>
      </c>
      <c r="AY6" s="3">
        <v>384</v>
      </c>
      <c r="AZ6" s="77" t="str">
        <f>VLOOKUP(B6,Classification!A:D,2,0)</f>
        <v>A</v>
      </c>
      <c r="BA6" s="94" t="str">
        <f>VLOOKUP(B6,Classification!A:D,4,0)</f>
        <v>5-Hydroxytryptamine</v>
      </c>
      <c r="BB6" s="27" t="b">
        <f>AND(E6&lt;G6,OR(G6&lt;I6,I6="-"),OR(I6&lt;K6,I6="-"),OR(K6&lt;M6,K6="-"),M6&lt;O6,OR(O6&lt;Q6,Q6="-"),OR(Q6&lt;S6,Q6="-"),OR(S6&lt;U6,S6="-"),U6&lt;W6,OR(W6&lt;Y6,Y6="-"),OR(Y6&lt;AA6,Y6="-"),OR(AA6&lt;AC6,AA6="-"),AC6&lt;AE6,OR(AE6&lt;AG6,AG6="-"),OR(AG6&lt;AI6,AG6="-"),OR(AI6&lt;AK6,AI6="-"),AK6&lt;AM6,AM6&lt;AO6,AO6&lt;AQ6,AQ6&lt;AS6,AS6&lt;AU6,OR(AU6&lt;AW6,AW6="-"),OR(AW6&lt;AY6,AW6="-"))</f>
        <v>1</v>
      </c>
      <c r="BC6" s="23">
        <f>_xlfn.AGGREGATE(9,6,CH6:CS6)-_xlfn.AGGREGATE(9,6,BV6:CG6)+12</f>
        <v>248</v>
      </c>
      <c r="BD6" s="4" t="s">
        <v>1381</v>
      </c>
      <c r="BE6" s="3" t="s">
        <v>1297</v>
      </c>
      <c r="BF6" s="119">
        <v>3.78</v>
      </c>
      <c r="BG6" s="49" t="s">
        <v>1019</v>
      </c>
      <c r="BH6" s="49" t="s">
        <v>1019</v>
      </c>
      <c r="BI6" s="1"/>
      <c r="BJ6" s="70" t="s">
        <v>1293</v>
      </c>
      <c r="BK6" s="57" t="s">
        <v>1293</v>
      </c>
      <c r="BL6" s="57" t="s">
        <v>1293</v>
      </c>
      <c r="BM6" s="57" t="s">
        <v>1293</v>
      </c>
      <c r="BN6" s="57" t="s">
        <v>1293</v>
      </c>
      <c r="BO6" s="57" t="s">
        <v>1293</v>
      </c>
      <c r="BP6" s="57" t="s">
        <v>1293</v>
      </c>
      <c r="BQ6" s="57" t="s">
        <v>1293</v>
      </c>
      <c r="BR6" s="57" t="s">
        <v>1293</v>
      </c>
      <c r="BS6" s="57" t="s">
        <v>1293</v>
      </c>
      <c r="BT6" s="57" t="s">
        <v>1293</v>
      </c>
      <c r="BU6" s="57" t="s">
        <v>1293</v>
      </c>
      <c r="BV6" s="70">
        <f>E6</f>
        <v>45</v>
      </c>
      <c r="BW6" s="71">
        <f>I6</f>
        <v>78</v>
      </c>
      <c r="BX6" s="72">
        <f>M6</f>
        <v>82</v>
      </c>
      <c r="BY6" s="71">
        <f>Q6</f>
        <v>114</v>
      </c>
      <c r="BZ6" s="72">
        <f>U6</f>
        <v>118</v>
      </c>
      <c r="CA6" s="71">
        <f>Y6</f>
        <v>154</v>
      </c>
      <c r="CB6" s="72">
        <f>AC6</f>
        <v>162</v>
      </c>
      <c r="CC6" s="71">
        <f>AG6</f>
        <v>199</v>
      </c>
      <c r="CD6" s="72">
        <f>AK6</f>
        <v>205</v>
      </c>
      <c r="CE6" s="71">
        <f>AO6</f>
        <v>305</v>
      </c>
      <c r="CF6" s="72">
        <f>AS6</f>
        <v>348</v>
      </c>
      <c r="CG6" s="71">
        <f>AW6</f>
        <v>373</v>
      </c>
      <c r="CH6" s="70">
        <f>G6</f>
        <v>77</v>
      </c>
      <c r="CI6" s="71">
        <f>K6</f>
        <v>81</v>
      </c>
      <c r="CJ6" s="72">
        <f>O6</f>
        <v>113</v>
      </c>
      <c r="CK6" s="72">
        <f>S6</f>
        <v>117</v>
      </c>
      <c r="CL6" s="72">
        <f>W6</f>
        <v>153</v>
      </c>
      <c r="CM6" s="72">
        <f>AA6</f>
        <v>161</v>
      </c>
      <c r="CN6" s="72">
        <f>AE6</f>
        <v>183</v>
      </c>
      <c r="CO6" s="72">
        <f>AI6</f>
        <v>201</v>
      </c>
      <c r="CP6" s="72">
        <f>AM6</f>
        <v>240</v>
      </c>
      <c r="CQ6" s="72">
        <f>AQ6</f>
        <v>337</v>
      </c>
      <c r="CR6" s="72">
        <f>AU6</f>
        <v>372</v>
      </c>
      <c r="CS6" s="72">
        <f>AY6</f>
        <v>384</v>
      </c>
      <c r="CT6" s="23">
        <f>M6-K6</f>
        <v>1</v>
      </c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</row>
    <row r="7" spans="1:1029" s="12" customFormat="1" x14ac:dyDescent="0.2">
      <c r="A7" s="9" t="str">
        <f t="shared" ref="A7:A9" si="28">CONCATENATE(B7,"_",C7)</f>
        <v>5ht2a_human__wt</v>
      </c>
      <c r="B7" s="9" t="s">
        <v>132</v>
      </c>
      <c r="C7" s="9" t="s">
        <v>100</v>
      </c>
      <c r="D7" s="9" t="str">
        <f>IFERROR(MID(VLOOKUP($B7,Seqs!$A:$B,2,0),E7,1),"")</f>
        <v>L</v>
      </c>
      <c r="E7" s="9">
        <v>69</v>
      </c>
      <c r="F7" s="9" t="str">
        <f>IFERROR(MID(VLOOKUP($B7,Seqs!$A:$B,2,0),G7,1),"")</f>
        <v>E</v>
      </c>
      <c r="G7" s="9">
        <v>102</v>
      </c>
      <c r="H7" s="9" t="str">
        <f>IFERROR(MID(VLOOKUP($B7,Seqs!$A:$B,2,0),I7,1),"")</f>
        <v>K</v>
      </c>
      <c r="I7" s="109">
        <v>103</v>
      </c>
      <c r="J7" s="9" t="str">
        <f>IFERROR(MID(VLOOKUP($B7,Seqs!$A:$B,2,0),K7,1),"")</f>
        <v>Q</v>
      </c>
      <c r="K7" s="109">
        <v>106</v>
      </c>
      <c r="L7" s="9" t="str">
        <f>IFERROR(MID(VLOOKUP($B7,Seqs!$A:$B,2,0),M7,1),"")</f>
        <v>N</v>
      </c>
      <c r="M7" s="9">
        <v>107</v>
      </c>
      <c r="N7" s="9" t="str">
        <f>IFERROR(MID(VLOOKUP($B7,Seqs!$A:$B,2,0),O7,1),"")</f>
        <v>G</v>
      </c>
      <c r="O7" s="9">
        <v>138</v>
      </c>
      <c r="P7" s="9" t="str">
        <f>IFERROR(MID(VLOOKUP($B7,Seqs!$A:$B,2,0),Q7,1),"")</f>
        <v>R</v>
      </c>
      <c r="Q7" s="9">
        <v>140</v>
      </c>
      <c r="R7" s="9" t="str">
        <f>IFERROR(MID(VLOOKUP($B7,Seqs!$A:$B,2,0),S7,1),"")</f>
        <v>L</v>
      </c>
      <c r="S7" s="9">
        <v>143</v>
      </c>
      <c r="T7" s="9" t="str">
        <f>IFERROR(MID(VLOOKUP($B7,Seqs!$A:$B,2,0),U7,1),"")</f>
        <v>P</v>
      </c>
      <c r="U7" s="9">
        <v>144</v>
      </c>
      <c r="V7" s="9" t="str">
        <f>IFERROR(MID(VLOOKUP($B7,Seqs!$A:$B,2,0),W7,1),"")</f>
        <v>N</v>
      </c>
      <c r="W7" s="9">
        <v>179</v>
      </c>
      <c r="X7" s="9" t="str">
        <f>IFERROR(MID(VLOOKUP($B7,Seqs!$A:$B,2,0),Y7,1),"")</f>
        <v>P</v>
      </c>
      <c r="Y7" s="9">
        <v>180</v>
      </c>
      <c r="Z7" s="9" t="str">
        <f>IFERROR(MID(VLOOKUP($B7,Seqs!$A:$B,2,0),AA7,1),"")</f>
        <v>N</v>
      </c>
      <c r="AA7" s="9">
        <v>187</v>
      </c>
      <c r="AB7" s="9" t="str">
        <f>IFERROR(MID(VLOOKUP($B7,Seqs!$A:$B,2,0),AC7,1),"")</f>
        <v>S</v>
      </c>
      <c r="AC7" s="9">
        <v>188</v>
      </c>
      <c r="AD7" s="9" t="str">
        <f>IFERROR(MID(VLOOKUP($B7,Seqs!$A:$B,2,0),AE7,1),"")</f>
        <v>D</v>
      </c>
      <c r="AE7" s="9">
        <v>217</v>
      </c>
      <c r="AF7" s="9" t="str">
        <f>IFERROR(MID(VLOOKUP($B7,Seqs!$A:$B,2,0),AG7,1),"")</f>
        <v>C</v>
      </c>
      <c r="AG7" s="9">
        <v>227</v>
      </c>
      <c r="AH7" s="9" t="str">
        <f>IFERROR(MID(VLOOKUP($B7,Seqs!$A:$B,2,0),AI7,1),"")</f>
        <v>L</v>
      </c>
      <c r="AI7" s="9">
        <v>229</v>
      </c>
      <c r="AJ7" s="9" t="str">
        <f>IFERROR(MID(VLOOKUP($B7,Seqs!$A:$B,2,0),AK7,1),"")</f>
        <v>D</v>
      </c>
      <c r="AK7" s="9">
        <v>231</v>
      </c>
      <c r="AL7" s="9" t="str">
        <f>IFERROR(MID(VLOOKUP($B7,Seqs!$A:$B,2,0),AM7,1),"")</f>
        <v>L</v>
      </c>
      <c r="AM7" s="9">
        <v>272</v>
      </c>
      <c r="AN7" s="9" t="str">
        <f>IFERROR(MID(VLOOKUP($B7,Seqs!$A:$B,2,0),AO7,1),"")</f>
        <v>M</v>
      </c>
      <c r="AO7" s="9">
        <v>312</v>
      </c>
      <c r="AP7" s="9" t="str">
        <f>IFERROR(MID(VLOOKUP($B7,Seqs!$A:$B,2,0),AQ7,1),"")</f>
        <v>C</v>
      </c>
      <c r="AQ7" s="9">
        <v>349</v>
      </c>
      <c r="AR7" s="9" t="str">
        <f>IFERROR(MID(VLOOKUP($B7,Seqs!$A:$B,2,0),AS7,1),"")</f>
        <v>N</v>
      </c>
      <c r="AS7" s="9">
        <v>354</v>
      </c>
      <c r="AT7" s="9" t="str">
        <f>IFERROR(MID(VLOOKUP($B7,Seqs!$A:$B,2,0),AU7,1),"")</f>
        <v>F</v>
      </c>
      <c r="AU7" s="9">
        <v>383</v>
      </c>
      <c r="AV7" s="9" t="str">
        <f>IFERROR(MID(VLOOKUP($B7,Seqs!$A:$B,2,0),AW7,1),"")</f>
        <v>N</v>
      </c>
      <c r="AW7" s="9">
        <v>384</v>
      </c>
      <c r="AX7" s="9" t="str">
        <f>IFERROR(MID(VLOOKUP($B7,Seqs!$A:$B,2,0),AY7,1),"")</f>
        <v>C</v>
      </c>
      <c r="AY7" s="9">
        <v>397</v>
      </c>
      <c r="AZ7" s="110" t="str">
        <f>VLOOKUP(B7,Classification!A:D,2,0)</f>
        <v>A</v>
      </c>
      <c r="BA7" s="98" t="str">
        <f>VLOOKUP(B7,Classification!A:D,4,0)</f>
        <v>5-Hydroxytryptamine</v>
      </c>
      <c r="BB7" s="36" t="b">
        <f t="shared" ref="BB7:BB9" si="29">AND(E7&lt;G7,OR(G7&lt;I7,I7="-"),OR(I7&lt;K7,I7="-"),OR(K7&lt;M7,K7="-"),M7&lt;O7,OR(O7&lt;Q7,Q7="-"),OR(Q7&lt;S7,Q7="-"),OR(S7&lt;U7,S7="-"),U7&lt;W7,OR(W7&lt;Y7,Y7="-"),OR(Y7&lt;AA7,Y7="-"),OR(AA7&lt;AC7,AA7="-"),AC7&lt;AE7,OR(AE7&lt;AG7,AG7="-"),OR(AG7&lt;AI7,AG7="-"),OR(AI7&lt;AK7,AI7="-"),AK7&lt;AM7,AM7&lt;AO7,AO7&lt;AQ7,AQ7&lt;AS7,AS7&lt;AU7,OR(AU7&lt;AW7,AW7="-"),OR(AW7&lt;AY7,AW7="-"))</f>
        <v>1</v>
      </c>
      <c r="BC7" s="109">
        <f t="shared" ref="BC7:BC9" si="30">_xlfn.AGGREGATE(9,6,CH7:CS7)-_xlfn.AGGREGATE(9,6,BV7:CG7)+12</f>
        <v>275</v>
      </c>
      <c r="BD7" s="11" t="s">
        <v>23</v>
      </c>
      <c r="BE7" s="9" t="s">
        <v>23</v>
      </c>
      <c r="BF7" s="120" t="s">
        <v>23</v>
      </c>
      <c r="BG7" s="51" t="s">
        <v>23</v>
      </c>
      <c r="BH7" s="51" t="s">
        <v>23</v>
      </c>
      <c r="BJ7" s="111" t="s">
        <v>1293</v>
      </c>
      <c r="BK7" s="112" t="s">
        <v>1293</v>
      </c>
      <c r="BL7" s="112" t="s">
        <v>1293</v>
      </c>
      <c r="BM7" s="112" t="s">
        <v>1293</v>
      </c>
      <c r="BN7" s="112" t="s">
        <v>1293</v>
      </c>
      <c r="BO7" s="112" t="s">
        <v>1293</v>
      </c>
      <c r="BP7" s="112" t="s">
        <v>1293</v>
      </c>
      <c r="BQ7" s="112" t="s">
        <v>1293</v>
      </c>
      <c r="BR7" s="112" t="s">
        <v>1293</v>
      </c>
      <c r="BS7" s="112" t="s">
        <v>1293</v>
      </c>
      <c r="BT7" s="112" t="s">
        <v>1293</v>
      </c>
      <c r="BU7" s="112" t="s">
        <v>1293</v>
      </c>
      <c r="BV7" s="111">
        <f t="shared" ref="BV7:BV9" si="31">E7</f>
        <v>69</v>
      </c>
      <c r="BW7" s="113">
        <f t="shared" ref="BW7:BW9" si="32">I7</f>
        <v>103</v>
      </c>
      <c r="BX7" s="114">
        <f t="shared" ref="BX7:BX9" si="33">M7</f>
        <v>107</v>
      </c>
      <c r="BY7" s="113">
        <f t="shared" ref="BY7:BY9" si="34">Q7</f>
        <v>140</v>
      </c>
      <c r="BZ7" s="114">
        <f t="shared" ref="BZ7:BZ9" si="35">U7</f>
        <v>144</v>
      </c>
      <c r="CA7" s="113">
        <f t="shared" ref="CA7:CA9" si="36">Y7</f>
        <v>180</v>
      </c>
      <c r="CB7" s="114">
        <f t="shared" ref="CB7:CB9" si="37">AC7</f>
        <v>188</v>
      </c>
      <c r="CC7" s="113">
        <f t="shared" ref="CC7:CC9" si="38">AG7</f>
        <v>227</v>
      </c>
      <c r="CD7" s="114">
        <f t="shared" ref="CD7:CD9" si="39">AK7</f>
        <v>231</v>
      </c>
      <c r="CE7" s="113">
        <f t="shared" ref="CE7:CE9" si="40">AO7</f>
        <v>312</v>
      </c>
      <c r="CF7" s="114">
        <f t="shared" ref="CF7:CF9" si="41">AS7</f>
        <v>354</v>
      </c>
      <c r="CG7" s="113">
        <f t="shared" ref="CG7:CG9" si="42">AW7</f>
        <v>384</v>
      </c>
      <c r="CH7" s="111">
        <f t="shared" ref="CH7:CH9" si="43">G7</f>
        <v>102</v>
      </c>
      <c r="CI7" s="113">
        <f t="shared" ref="CI7:CI9" si="44">K7</f>
        <v>106</v>
      </c>
      <c r="CJ7" s="114">
        <f t="shared" ref="CJ7:CJ9" si="45">O7</f>
        <v>138</v>
      </c>
      <c r="CK7" s="114">
        <f t="shared" ref="CK7:CK9" si="46">S7</f>
        <v>143</v>
      </c>
      <c r="CL7" s="114">
        <f t="shared" ref="CL7:CL9" si="47">W7</f>
        <v>179</v>
      </c>
      <c r="CM7" s="114">
        <f t="shared" ref="CM7:CM9" si="48">AA7</f>
        <v>187</v>
      </c>
      <c r="CN7" s="114">
        <f t="shared" ref="CN7:CN9" si="49">AE7</f>
        <v>217</v>
      </c>
      <c r="CO7" s="114">
        <f t="shared" ref="CO7:CO9" si="50">AI7</f>
        <v>229</v>
      </c>
      <c r="CP7" s="114">
        <f t="shared" ref="CP7:CP9" si="51">AM7</f>
        <v>272</v>
      </c>
      <c r="CQ7" s="114">
        <f t="shared" ref="CQ7:CQ9" si="52">AQ7</f>
        <v>349</v>
      </c>
      <c r="CR7" s="114">
        <f t="shared" ref="CR7:CR9" si="53">AU7</f>
        <v>383</v>
      </c>
      <c r="CS7" s="114">
        <f t="shared" ref="CS7:CS9" si="54">AY7</f>
        <v>397</v>
      </c>
      <c r="CT7" s="109">
        <f t="shared" ref="CT7:CT9" si="55">M7-K7</f>
        <v>1</v>
      </c>
    </row>
    <row r="8" spans="1:1029" s="12" customFormat="1" x14ac:dyDescent="0.2">
      <c r="A8" s="9" t="str">
        <f t="shared" ref="A8" si="56">CONCATENATE(B8,"_",C8)</f>
        <v>5ht2a_human_6A93</v>
      </c>
      <c r="B8" s="9" t="s">
        <v>132</v>
      </c>
      <c r="C8" s="9" t="s">
        <v>1585</v>
      </c>
      <c r="D8" s="9" t="str">
        <f>IFERROR(MID(VLOOKUP($B8,Seqs!$A:$B,2,0),E8,1),"")</f>
        <v>L</v>
      </c>
      <c r="E8" s="9">
        <v>69</v>
      </c>
      <c r="F8" s="9" t="str">
        <f>IFERROR(MID(VLOOKUP($B8,Seqs!$A:$B,2,0),G8,1),"")</f>
        <v>E</v>
      </c>
      <c r="G8" s="9">
        <v>102</v>
      </c>
      <c r="H8" s="9" t="str">
        <f>IFERROR(MID(VLOOKUP($B8,Seqs!$A:$B,2,0),I8,1),"")</f>
        <v>K</v>
      </c>
      <c r="I8" s="109">
        <v>103</v>
      </c>
      <c r="J8" s="9" t="str">
        <f>IFERROR(MID(VLOOKUP($B8,Seqs!$A:$B,2,0),K8,1),"")</f>
        <v>Q</v>
      </c>
      <c r="K8" s="109">
        <v>106</v>
      </c>
      <c r="L8" s="9" t="str">
        <f>IFERROR(MID(VLOOKUP($B8,Seqs!$A:$B,2,0),M8,1),"")</f>
        <v>N</v>
      </c>
      <c r="M8" s="9">
        <v>107</v>
      </c>
      <c r="N8" s="9" t="str">
        <f>IFERROR(MID(VLOOKUP($B8,Seqs!$A:$B,2,0),O8,1),"")</f>
        <v>G</v>
      </c>
      <c r="O8" s="9">
        <v>138</v>
      </c>
      <c r="P8" s="9" t="str">
        <f>IFERROR(MID(VLOOKUP($B8,Seqs!$A:$B,2,0),Q8,1),"")</f>
        <v>R</v>
      </c>
      <c r="Q8" s="9">
        <v>140</v>
      </c>
      <c r="R8" s="9" t="str">
        <f>IFERROR(MID(VLOOKUP($B8,Seqs!$A:$B,2,0),S8,1),"")</f>
        <v>L</v>
      </c>
      <c r="S8" s="9">
        <v>143</v>
      </c>
      <c r="T8" s="9" t="str">
        <f>IFERROR(MID(VLOOKUP($B8,Seqs!$A:$B,2,0),U8,1),"")</f>
        <v>P</v>
      </c>
      <c r="U8" s="9">
        <v>144</v>
      </c>
      <c r="V8" s="9" t="str">
        <f>IFERROR(MID(VLOOKUP($B8,Seqs!$A:$B,2,0),W8,1),"")</f>
        <v>N</v>
      </c>
      <c r="W8" s="9">
        <v>179</v>
      </c>
      <c r="X8" s="9" t="str">
        <f>IFERROR(MID(VLOOKUP($B8,Seqs!$A:$B,2,0),Y8,1),"")</f>
        <v/>
      </c>
      <c r="Y8" s="9" t="s">
        <v>23</v>
      </c>
      <c r="Z8" s="9" t="str">
        <f>IFERROR(MID(VLOOKUP($B8,Seqs!$A:$B,2,0),AA8,1),"")</f>
        <v/>
      </c>
      <c r="AA8" s="9" t="s">
        <v>23</v>
      </c>
      <c r="AB8" s="9" t="str">
        <f>IFERROR(MID(VLOOKUP($B8,Seqs!$A:$B,2,0),AC8,1),"")</f>
        <v>R</v>
      </c>
      <c r="AC8" s="9">
        <v>189</v>
      </c>
      <c r="AD8" s="9" t="str">
        <f>IFERROR(MID(VLOOKUP($B8,Seqs!$A:$B,2,0),AE8,1),"")</f>
        <v>D</v>
      </c>
      <c r="AE8" s="9">
        <v>217</v>
      </c>
      <c r="AF8" s="9" t="str">
        <f>IFERROR(MID(VLOOKUP($B8,Seqs!$A:$B,2,0),AG8,1),"")</f>
        <v>C</v>
      </c>
      <c r="AG8" s="9">
        <v>227</v>
      </c>
      <c r="AH8" s="9" t="str">
        <f>IFERROR(MID(VLOOKUP($B8,Seqs!$A:$B,2,0),AI8,1),"")</f>
        <v>L</v>
      </c>
      <c r="AI8" s="9">
        <v>229</v>
      </c>
      <c r="AJ8" s="9" t="str">
        <f>IFERROR(MID(VLOOKUP($B8,Seqs!$A:$B,2,0),AK8,1),"")</f>
        <v>D</v>
      </c>
      <c r="AK8" s="9">
        <v>231</v>
      </c>
      <c r="AL8" s="9" t="str">
        <f>IFERROR(MID(VLOOKUP($B8,Seqs!$A:$B,2,0),AM8,1),"")</f>
        <v>A</v>
      </c>
      <c r="AM8" s="9">
        <v>265</v>
      </c>
      <c r="AN8" s="9" t="str">
        <f>IFERROR(MID(VLOOKUP($B8,Seqs!$A:$B,2,0),AO8,1),"")</f>
        <v>Q</v>
      </c>
      <c r="AO8" s="9">
        <v>313</v>
      </c>
      <c r="AP8" s="9" t="str">
        <f>IFERROR(MID(VLOOKUP($B8,Seqs!$A:$B,2,0),AQ8,1),"")</f>
        <v>C</v>
      </c>
      <c r="AQ8" s="9">
        <v>349</v>
      </c>
      <c r="AR8" s="9" t="str">
        <f>IFERROR(MID(VLOOKUP($B8,Seqs!$A:$B,2,0),AS8,1),"")</f>
        <v>N</v>
      </c>
      <c r="AS8" s="9">
        <v>354</v>
      </c>
      <c r="AT8" s="9" t="str">
        <f>IFERROR(MID(VLOOKUP($B8,Seqs!$A:$B,2,0),AU8,1),"")</f>
        <v>F</v>
      </c>
      <c r="AU8" s="9">
        <v>383</v>
      </c>
      <c r="AV8" s="9" t="str">
        <f>IFERROR(MID(VLOOKUP($B8,Seqs!$A:$B,2,0),AW8,1),"")</f>
        <v>N</v>
      </c>
      <c r="AW8" s="9">
        <v>384</v>
      </c>
      <c r="AX8" s="9" t="str">
        <f>IFERROR(MID(VLOOKUP($B8,Seqs!$A:$B,2,0),AY8,1),"")</f>
        <v>C</v>
      </c>
      <c r="AY8" s="9">
        <v>397</v>
      </c>
      <c r="AZ8" s="110" t="str">
        <f>VLOOKUP(B8,Classification!A:D,2,0)</f>
        <v>A</v>
      </c>
      <c r="BA8" s="98" t="str">
        <f>VLOOKUP(B8,Classification!A:D,4,0)</f>
        <v>5-Hydroxytryptamine</v>
      </c>
      <c r="BB8" s="36" t="b">
        <f t="shared" ref="BB8" si="57">AND(E8&lt;G8,OR(G8&lt;I8,I8="-"),OR(I8&lt;K8,I8="-"),OR(K8&lt;M8,K8="-"),M8&lt;O8,OR(O8&lt;Q8,Q8="-"),OR(Q8&lt;S8,Q8="-"),OR(S8&lt;U8,S8="-"),U8&lt;W8,OR(W8&lt;Y8,Y8="-"),OR(Y8&lt;AA8,Y8="-"),OR(AA8&lt;AC8,AA8="-"),AC8&lt;AE8,OR(AE8&lt;AG8,AG8="-"),OR(AG8&lt;AI8,AG8="-"),OR(AI8&lt;AK8,AI8="-"),AK8&lt;AM8,AM8&lt;AO8,AO8&lt;AQ8,AQ8&lt;AS8,AS8&lt;AU8,OR(AU8&lt;AW8,AW8="-"),OR(AW8&lt;AY8,AW8="-"))</f>
        <v>1</v>
      </c>
      <c r="BC8" s="109">
        <f t="shared" ref="BC8" si="58">_xlfn.AGGREGATE(9,6,CH8:CS8)-_xlfn.AGGREGATE(9,6,BV8:CG8)+12</f>
        <v>259</v>
      </c>
      <c r="BD8" s="11" t="s">
        <v>23</v>
      </c>
      <c r="BE8" s="9" t="s">
        <v>1380</v>
      </c>
      <c r="BF8" s="120">
        <v>3</v>
      </c>
      <c r="BG8" s="51" t="s">
        <v>1</v>
      </c>
      <c r="BH8" s="51" t="s">
        <v>1</v>
      </c>
      <c r="BJ8" s="111" t="s">
        <v>1293</v>
      </c>
      <c r="BK8" s="112" t="s">
        <v>1293</v>
      </c>
      <c r="BL8" s="112" t="s">
        <v>1293</v>
      </c>
      <c r="BM8" s="112" t="s">
        <v>1293</v>
      </c>
      <c r="BN8" s="112" t="s">
        <v>1293</v>
      </c>
      <c r="BO8" s="112" t="s">
        <v>1293</v>
      </c>
      <c r="BP8" s="112" t="s">
        <v>1293</v>
      </c>
      <c r="BQ8" s="112" t="s">
        <v>1293</v>
      </c>
      <c r="BR8" s="112" t="s">
        <v>1293</v>
      </c>
      <c r="BS8" s="112" t="s">
        <v>1293</v>
      </c>
      <c r="BT8" s="112" t="s">
        <v>1293</v>
      </c>
      <c r="BU8" s="112" t="s">
        <v>1293</v>
      </c>
      <c r="BV8" s="111">
        <f t="shared" ref="BV8" si="59">E8</f>
        <v>69</v>
      </c>
      <c r="BW8" s="113">
        <f t="shared" ref="BW8" si="60">I8</f>
        <v>103</v>
      </c>
      <c r="BX8" s="114">
        <f t="shared" ref="BX8" si="61">M8</f>
        <v>107</v>
      </c>
      <c r="BY8" s="113">
        <f t="shared" ref="BY8" si="62">Q8</f>
        <v>140</v>
      </c>
      <c r="BZ8" s="114">
        <f t="shared" ref="BZ8" si="63">U8</f>
        <v>144</v>
      </c>
      <c r="CA8" s="113" t="str">
        <f t="shared" ref="CA8" si="64">Y8</f>
        <v>-</v>
      </c>
      <c r="CB8" s="114">
        <f t="shared" ref="CB8" si="65">AC8</f>
        <v>189</v>
      </c>
      <c r="CC8" s="113">
        <f t="shared" ref="CC8" si="66">AG8</f>
        <v>227</v>
      </c>
      <c r="CD8" s="114">
        <f t="shared" ref="CD8" si="67">AK8</f>
        <v>231</v>
      </c>
      <c r="CE8" s="113">
        <f t="shared" ref="CE8" si="68">AO8</f>
        <v>313</v>
      </c>
      <c r="CF8" s="114">
        <f t="shared" ref="CF8" si="69">AS8</f>
        <v>354</v>
      </c>
      <c r="CG8" s="113">
        <f t="shared" ref="CG8" si="70">AW8</f>
        <v>384</v>
      </c>
      <c r="CH8" s="111">
        <f t="shared" ref="CH8" si="71">G8</f>
        <v>102</v>
      </c>
      <c r="CI8" s="113">
        <f t="shared" ref="CI8" si="72">K8</f>
        <v>106</v>
      </c>
      <c r="CJ8" s="114">
        <f t="shared" ref="CJ8" si="73">O8</f>
        <v>138</v>
      </c>
      <c r="CK8" s="114">
        <f t="shared" ref="CK8" si="74">S8</f>
        <v>143</v>
      </c>
      <c r="CL8" s="114">
        <f t="shared" ref="CL8" si="75">W8</f>
        <v>179</v>
      </c>
      <c r="CM8" s="114" t="str">
        <f t="shared" ref="CM8" si="76">AA8</f>
        <v>-</v>
      </c>
      <c r="CN8" s="114">
        <f t="shared" ref="CN8" si="77">AE8</f>
        <v>217</v>
      </c>
      <c r="CO8" s="114">
        <f t="shared" ref="CO8" si="78">AI8</f>
        <v>229</v>
      </c>
      <c r="CP8" s="114">
        <f t="shared" ref="CP8" si="79">AM8</f>
        <v>265</v>
      </c>
      <c r="CQ8" s="114">
        <f t="shared" ref="CQ8" si="80">AQ8</f>
        <v>349</v>
      </c>
      <c r="CR8" s="114">
        <f t="shared" ref="CR8" si="81">AU8</f>
        <v>383</v>
      </c>
      <c r="CS8" s="114">
        <f t="shared" ref="CS8" si="82">AY8</f>
        <v>397</v>
      </c>
      <c r="CT8" s="109">
        <f t="shared" ref="CT8" si="83">M8-K8</f>
        <v>1</v>
      </c>
    </row>
    <row r="9" spans="1:1029" s="12" customFormat="1" x14ac:dyDescent="0.2">
      <c r="A9" s="9" t="str">
        <f t="shared" si="28"/>
        <v>5ht2a_human_6A94</v>
      </c>
      <c r="B9" s="9" t="s">
        <v>132</v>
      </c>
      <c r="C9" s="9" t="s">
        <v>1584</v>
      </c>
      <c r="D9" s="9" t="str">
        <f>IFERROR(MID(VLOOKUP($B9,Seqs!$A:$B,2,0),E9,1),"")</f>
        <v>L</v>
      </c>
      <c r="E9" s="9">
        <v>69</v>
      </c>
      <c r="F9" s="9" t="str">
        <f>IFERROR(MID(VLOOKUP($B9,Seqs!$A:$B,2,0),G9,1),"")</f>
        <v>E</v>
      </c>
      <c r="G9" s="9">
        <v>102</v>
      </c>
      <c r="H9" s="9" t="str">
        <f>IFERROR(MID(VLOOKUP($B9,Seqs!$A:$B,2,0),I9,1),"")</f>
        <v>K</v>
      </c>
      <c r="I9" s="109">
        <v>103</v>
      </c>
      <c r="J9" s="9" t="str">
        <f>IFERROR(MID(VLOOKUP($B9,Seqs!$A:$B,2,0),K9,1),"")</f>
        <v>Q</v>
      </c>
      <c r="K9" s="109">
        <v>106</v>
      </c>
      <c r="L9" s="9" t="str">
        <f>IFERROR(MID(VLOOKUP($B9,Seqs!$A:$B,2,0),M9,1),"")</f>
        <v>N</v>
      </c>
      <c r="M9" s="9">
        <v>107</v>
      </c>
      <c r="N9" s="9" t="str">
        <f>IFERROR(MID(VLOOKUP($B9,Seqs!$A:$B,2,0),O9,1),"")</f>
        <v>G</v>
      </c>
      <c r="O9" s="9">
        <v>138</v>
      </c>
      <c r="P9" s="9" t="str">
        <f>IFERROR(MID(VLOOKUP($B9,Seqs!$A:$B,2,0),Q9,1),"")</f>
        <v>R</v>
      </c>
      <c r="Q9" s="9">
        <v>140</v>
      </c>
      <c r="R9" s="9" t="str">
        <f>IFERROR(MID(VLOOKUP($B9,Seqs!$A:$B,2,0),S9,1),"")</f>
        <v>L</v>
      </c>
      <c r="S9" s="9">
        <v>143</v>
      </c>
      <c r="T9" s="9" t="str">
        <f>IFERROR(MID(VLOOKUP($B9,Seqs!$A:$B,2,0),U9,1),"")</f>
        <v>P</v>
      </c>
      <c r="U9" s="9">
        <v>144</v>
      </c>
      <c r="V9" s="9" t="str">
        <f>IFERROR(MID(VLOOKUP($B9,Seqs!$A:$B,2,0),W9,1),"")</f>
        <v>N</v>
      </c>
      <c r="W9" s="9">
        <v>179</v>
      </c>
      <c r="X9" s="9" t="str">
        <f>IFERROR(MID(VLOOKUP($B9,Seqs!$A:$B,2,0),Y9,1),"")</f>
        <v/>
      </c>
      <c r="Y9" s="9" t="s">
        <v>23</v>
      </c>
      <c r="Z9" s="9" t="str">
        <f>IFERROR(MID(VLOOKUP($B9,Seqs!$A:$B,2,0),AA9,1),"")</f>
        <v/>
      </c>
      <c r="AA9" s="9" t="s">
        <v>23</v>
      </c>
      <c r="AB9" s="9" t="str">
        <f>IFERROR(MID(VLOOKUP($B9,Seqs!$A:$B,2,0),AC9,1),"")</f>
        <v>R</v>
      </c>
      <c r="AC9" s="9">
        <v>189</v>
      </c>
      <c r="AD9" s="9" t="str">
        <f>IFERROR(MID(VLOOKUP($B9,Seqs!$A:$B,2,0),AE9,1),"")</f>
        <v>D</v>
      </c>
      <c r="AE9" s="9">
        <v>217</v>
      </c>
      <c r="AF9" s="9" t="str">
        <f>IFERROR(MID(VLOOKUP($B9,Seqs!$A:$B,2,0),AG9,1),"")</f>
        <v>C</v>
      </c>
      <c r="AG9" s="9">
        <v>227</v>
      </c>
      <c r="AH9" s="9" t="str">
        <f>IFERROR(MID(VLOOKUP($B9,Seqs!$A:$B,2,0),AI9,1),"")</f>
        <v>L</v>
      </c>
      <c r="AI9" s="9">
        <v>229</v>
      </c>
      <c r="AJ9" s="9" t="str">
        <f>IFERROR(MID(VLOOKUP($B9,Seqs!$A:$B,2,0),AK9,1),"")</f>
        <v>D</v>
      </c>
      <c r="AK9" s="9">
        <v>231</v>
      </c>
      <c r="AL9" s="9" t="str">
        <f>IFERROR(MID(VLOOKUP($B9,Seqs!$A:$B,2,0),AM9,1),"")</f>
        <v>A</v>
      </c>
      <c r="AM9" s="9">
        <v>265</v>
      </c>
      <c r="AN9" s="9" t="str">
        <f>IFERROR(MID(VLOOKUP($B9,Seqs!$A:$B,2,0),AO9,1),"")</f>
        <v>Q</v>
      </c>
      <c r="AO9" s="9">
        <v>313</v>
      </c>
      <c r="AP9" s="9" t="str">
        <f>IFERROR(MID(VLOOKUP($B9,Seqs!$A:$B,2,0),AQ9,1),"")</f>
        <v>C</v>
      </c>
      <c r="AQ9" s="9">
        <v>349</v>
      </c>
      <c r="AR9" s="9" t="str">
        <f>IFERROR(MID(VLOOKUP($B9,Seqs!$A:$B,2,0),AS9,1),"")</f>
        <v>N</v>
      </c>
      <c r="AS9" s="9">
        <v>354</v>
      </c>
      <c r="AT9" s="9" t="str">
        <f>IFERROR(MID(VLOOKUP($B9,Seqs!$A:$B,2,0),AU9,1),"")</f>
        <v>F</v>
      </c>
      <c r="AU9" s="9">
        <v>383</v>
      </c>
      <c r="AV9" s="9" t="str">
        <f>IFERROR(MID(VLOOKUP($B9,Seqs!$A:$B,2,0),AW9,1),"")</f>
        <v>N</v>
      </c>
      <c r="AW9" s="9">
        <v>384</v>
      </c>
      <c r="AX9" s="9" t="str">
        <f>IFERROR(MID(VLOOKUP($B9,Seqs!$A:$B,2,0),AY9,1),"")</f>
        <v>C</v>
      </c>
      <c r="AY9" s="9">
        <v>397</v>
      </c>
      <c r="AZ9" s="110" t="str">
        <f>VLOOKUP(B9,Classification!A:D,2,0)</f>
        <v>A</v>
      </c>
      <c r="BA9" s="98" t="str">
        <f>VLOOKUP(B9,Classification!A:D,4,0)</f>
        <v>5-Hydroxytryptamine</v>
      </c>
      <c r="BB9" s="36" t="b">
        <f t="shared" si="29"/>
        <v>1</v>
      </c>
      <c r="BC9" s="109">
        <f t="shared" si="30"/>
        <v>259</v>
      </c>
      <c r="BD9" s="11" t="s">
        <v>1382</v>
      </c>
      <c r="BE9" s="9" t="s">
        <v>1380</v>
      </c>
      <c r="BF9" s="120">
        <v>2.9</v>
      </c>
      <c r="BG9" s="51" t="s">
        <v>1</v>
      </c>
      <c r="BH9" s="51" t="s">
        <v>1</v>
      </c>
      <c r="BJ9" s="111" t="s">
        <v>1293</v>
      </c>
      <c r="BK9" s="112" t="s">
        <v>1293</v>
      </c>
      <c r="BL9" s="112" t="s">
        <v>1293</v>
      </c>
      <c r="BM9" s="112" t="s">
        <v>1293</v>
      </c>
      <c r="BN9" s="112" t="s">
        <v>1293</v>
      </c>
      <c r="BO9" s="112" t="s">
        <v>1293</v>
      </c>
      <c r="BP9" s="112" t="s">
        <v>1293</v>
      </c>
      <c r="BQ9" s="112" t="s">
        <v>1293</v>
      </c>
      <c r="BR9" s="112" t="s">
        <v>1293</v>
      </c>
      <c r="BS9" s="112" t="s">
        <v>1293</v>
      </c>
      <c r="BT9" s="112" t="s">
        <v>1293</v>
      </c>
      <c r="BU9" s="112" t="s">
        <v>1293</v>
      </c>
      <c r="BV9" s="111">
        <f t="shared" si="31"/>
        <v>69</v>
      </c>
      <c r="BW9" s="113">
        <f t="shared" si="32"/>
        <v>103</v>
      </c>
      <c r="BX9" s="114">
        <f t="shared" si="33"/>
        <v>107</v>
      </c>
      <c r="BY9" s="113">
        <f t="shared" si="34"/>
        <v>140</v>
      </c>
      <c r="BZ9" s="114">
        <f t="shared" si="35"/>
        <v>144</v>
      </c>
      <c r="CA9" s="113" t="str">
        <f t="shared" si="36"/>
        <v>-</v>
      </c>
      <c r="CB9" s="114">
        <f t="shared" si="37"/>
        <v>189</v>
      </c>
      <c r="CC9" s="113">
        <f t="shared" si="38"/>
        <v>227</v>
      </c>
      <c r="CD9" s="114">
        <f t="shared" si="39"/>
        <v>231</v>
      </c>
      <c r="CE9" s="113">
        <f t="shared" si="40"/>
        <v>313</v>
      </c>
      <c r="CF9" s="114">
        <f t="shared" si="41"/>
        <v>354</v>
      </c>
      <c r="CG9" s="113">
        <f t="shared" si="42"/>
        <v>384</v>
      </c>
      <c r="CH9" s="111">
        <f t="shared" si="43"/>
        <v>102</v>
      </c>
      <c r="CI9" s="113">
        <f t="shared" si="44"/>
        <v>106</v>
      </c>
      <c r="CJ9" s="114">
        <f t="shared" si="45"/>
        <v>138</v>
      </c>
      <c r="CK9" s="114">
        <f t="shared" si="46"/>
        <v>143</v>
      </c>
      <c r="CL9" s="114">
        <f t="shared" si="47"/>
        <v>179</v>
      </c>
      <c r="CM9" s="114" t="str">
        <f t="shared" si="48"/>
        <v>-</v>
      </c>
      <c r="CN9" s="114">
        <f t="shared" si="49"/>
        <v>217</v>
      </c>
      <c r="CO9" s="114">
        <f t="shared" si="50"/>
        <v>229</v>
      </c>
      <c r="CP9" s="114">
        <f t="shared" si="51"/>
        <v>265</v>
      </c>
      <c r="CQ9" s="114">
        <f t="shared" si="52"/>
        <v>349</v>
      </c>
      <c r="CR9" s="114">
        <f t="shared" si="53"/>
        <v>383</v>
      </c>
      <c r="CS9" s="114">
        <f t="shared" si="54"/>
        <v>397</v>
      </c>
      <c r="CT9" s="109">
        <f t="shared" si="55"/>
        <v>1</v>
      </c>
    </row>
    <row r="10" spans="1:1029" x14ac:dyDescent="0.2">
      <c r="A10" s="3" t="str">
        <f t="shared" si="0"/>
        <v>5ht2b_human__wt</v>
      </c>
      <c r="B10" s="3" t="s">
        <v>35</v>
      </c>
      <c r="C10" s="3" t="s">
        <v>100</v>
      </c>
      <c r="D10" s="3" t="str">
        <f>IFERROR(MID(VLOOKUP($B10,Seqs!$A:$B,2,0),E10,1),"")</f>
        <v>K</v>
      </c>
      <c r="E10" s="105">
        <v>53</v>
      </c>
      <c r="F10" s="3" t="str">
        <f>IFERROR(MID(VLOOKUP($B10,Seqs!$A:$B,2,0),G10,1),"")</f>
        <v>E</v>
      </c>
      <c r="G10" s="3">
        <v>82</v>
      </c>
      <c r="H10" s="3" t="str">
        <f>IFERROR(MID(VLOOKUP($B10,Seqs!$A:$B,2,0),I10,1),"")</f>
        <v>K</v>
      </c>
      <c r="I10" s="23">
        <v>83</v>
      </c>
      <c r="J10" s="3" t="str">
        <f>IFERROR(MID(VLOOKUP($B10,Seqs!$A:$B,2,0),K10,1),"")</f>
        <v>Q</v>
      </c>
      <c r="K10" s="23">
        <v>86</v>
      </c>
      <c r="L10" s="3" t="str">
        <f>IFERROR(MID(VLOOKUP($B10,Seqs!$A:$B,2,0),M10,1),"")</f>
        <v>Y</v>
      </c>
      <c r="M10" s="3">
        <v>87</v>
      </c>
      <c r="N10" s="3" t="str">
        <f>IFERROR(MID(VLOOKUP($B10,Seqs!$A:$B,2,0),O10,1),"")</f>
        <v>F</v>
      </c>
      <c r="O10" s="3">
        <v>117</v>
      </c>
      <c r="P10" s="3" t="str">
        <f>IFERROR(MID(VLOOKUP($B10,Seqs!$A:$B,2,0),Q10,1),"")</f>
        <v>M</v>
      </c>
      <c r="Q10" s="3">
        <v>120</v>
      </c>
      <c r="R10" s="3" t="str">
        <f>IFERROR(MID(VLOOKUP($B10,Seqs!$A:$B,2,0),S10,1),"")</f>
        <v>L</v>
      </c>
      <c r="S10" s="3">
        <v>123</v>
      </c>
      <c r="T10" s="3" t="str">
        <f>IFERROR(MID(VLOOKUP($B10,Seqs!$A:$B,2,0),U10,1),"")</f>
        <v>P</v>
      </c>
      <c r="U10" s="3">
        <v>124</v>
      </c>
      <c r="V10" s="3" t="str">
        <f>IFERROR(MID(VLOOKUP($B10,Seqs!$A:$B,2,0),W10,1),"")</f>
        <v>K</v>
      </c>
      <c r="W10" s="3">
        <v>159</v>
      </c>
      <c r="X10" s="3" t="str">
        <f>IFERROR(MID(VLOOKUP($B10,Seqs!$A:$B,2,0),Y10,1),"")</f>
        <v>P</v>
      </c>
      <c r="Y10" s="3">
        <v>160</v>
      </c>
      <c r="Z10" s="3" t="str">
        <f>IFERROR(MID(VLOOKUP($B10,Seqs!$A:$B,2,0),AA10,1),"")</f>
        <v>N</v>
      </c>
      <c r="AA10" s="3">
        <v>167</v>
      </c>
      <c r="AB10" s="3" t="str">
        <f>IFERROR(MID(VLOOKUP($B10,Seqs!$A:$B,2,0),AC10,1),"")</f>
        <v>S</v>
      </c>
      <c r="AC10" s="9">
        <v>168</v>
      </c>
      <c r="AD10" s="3" t="str">
        <f>IFERROR(MID(VLOOKUP($B10,Seqs!$A:$B,2,0),AE10,1),"")</f>
        <v>G</v>
      </c>
      <c r="AE10" s="3">
        <v>194</v>
      </c>
      <c r="AF10" s="3" t="str">
        <f>IFERROR(MID(VLOOKUP($B10,Seqs!$A:$B,2,0),AG10,1),"")</f>
        <v>C</v>
      </c>
      <c r="AG10" s="3">
        <v>207</v>
      </c>
      <c r="AH10" s="3" t="str">
        <f>IFERROR(MID(VLOOKUP($B10,Seqs!$A:$B,2,0),AI10,1),"")</f>
        <v>L</v>
      </c>
      <c r="AI10" s="3">
        <v>209</v>
      </c>
      <c r="AJ10" s="3" t="str">
        <f>IFERROR(MID(VLOOKUP($B10,Seqs!$A:$B,2,0),AK10,1),"")</f>
        <v>F</v>
      </c>
      <c r="AK10" s="3">
        <v>214</v>
      </c>
      <c r="AL10" s="3" t="str">
        <f>IFERROR(MID(VLOOKUP($B10,Seqs!$A:$B,2,0),AM10,1),"")</f>
        <v>P</v>
      </c>
      <c r="AM10" s="3">
        <v>255</v>
      </c>
      <c r="AN10" s="3" t="str">
        <f>IFERROR(MID(VLOOKUP($B10,Seqs!$A:$B,2,0),AO10,1),"")</f>
        <v>V</v>
      </c>
      <c r="AO10" s="3">
        <v>313</v>
      </c>
      <c r="AP10" s="3" t="str">
        <f>IFERROR(MID(VLOOKUP($B10,Seqs!$A:$B,2,0),AQ10,1),"")</f>
        <v>C</v>
      </c>
      <c r="AQ10" s="3">
        <v>350</v>
      </c>
      <c r="AR10" s="3" t="str">
        <f>IFERROR(MID(VLOOKUP($B10,Seqs!$A:$B,2,0),AS10,1),"")</f>
        <v>N</v>
      </c>
      <c r="AS10" s="105">
        <v>354</v>
      </c>
      <c r="AT10" s="3" t="str">
        <f>IFERROR(MID(VLOOKUP($B10,Seqs!$A:$B,2,0),AU10,1),"")</f>
        <v>F</v>
      </c>
      <c r="AU10" s="3">
        <v>383</v>
      </c>
      <c r="AV10" s="3" t="str">
        <f>IFERROR(MID(VLOOKUP($B10,Seqs!$A:$B,2,0),AW10,1),"")</f>
        <v>N</v>
      </c>
      <c r="AW10" s="3">
        <v>384</v>
      </c>
      <c r="AX10" s="3" t="str">
        <f>IFERROR(MID(VLOOKUP($B10,Seqs!$A:$B,2,0),AY10,1),"")</f>
        <v>I</v>
      </c>
      <c r="AY10" s="3">
        <v>395</v>
      </c>
      <c r="AZ10" s="77" t="str">
        <f>VLOOKUP(B10,Classification!A:D,2,0)</f>
        <v>A</v>
      </c>
      <c r="BA10" s="94" t="str">
        <f>VLOOKUP(B10,Classification!A:D,4,0)</f>
        <v>5-Hydroxytryptamine</v>
      </c>
      <c r="BB10" s="27" t="b">
        <f t="shared" si="1"/>
        <v>1</v>
      </c>
      <c r="BC10" s="23">
        <f t="shared" si="2"/>
        <v>265</v>
      </c>
      <c r="BD10" s="91" t="s">
        <v>23</v>
      </c>
      <c r="BE10" s="3" t="s">
        <v>23</v>
      </c>
      <c r="BF10" s="119" t="s">
        <v>23</v>
      </c>
      <c r="BG10" s="49" t="s">
        <v>1378</v>
      </c>
      <c r="BH10" s="49" t="s">
        <v>1383</v>
      </c>
      <c r="BI10" s="1"/>
      <c r="BJ10" s="70" t="s">
        <v>1293</v>
      </c>
      <c r="BK10" s="57" t="s">
        <v>1293</v>
      </c>
      <c r="BL10" s="57" t="s">
        <v>1293</v>
      </c>
      <c r="BM10" s="57" t="s">
        <v>1293</v>
      </c>
      <c r="BN10" s="57" t="s">
        <v>1293</v>
      </c>
      <c r="BO10" s="57" t="s">
        <v>1293</v>
      </c>
      <c r="BP10" s="57" t="s">
        <v>1293</v>
      </c>
      <c r="BQ10" s="57" t="s">
        <v>1293</v>
      </c>
      <c r="BR10" s="57" t="s">
        <v>1293</v>
      </c>
      <c r="BS10" s="57" t="s">
        <v>1293</v>
      </c>
      <c r="BT10" s="57" t="s">
        <v>1293</v>
      </c>
      <c r="BU10" s="57" t="s">
        <v>1293</v>
      </c>
      <c r="BV10" s="70">
        <f t="shared" si="3"/>
        <v>53</v>
      </c>
      <c r="BW10" s="71">
        <f t="shared" si="4"/>
        <v>83</v>
      </c>
      <c r="BX10" s="72">
        <f t="shared" si="5"/>
        <v>87</v>
      </c>
      <c r="BY10" s="71">
        <f t="shared" si="6"/>
        <v>120</v>
      </c>
      <c r="BZ10" s="72">
        <f t="shared" si="7"/>
        <v>124</v>
      </c>
      <c r="CA10" s="71">
        <f t="shared" si="8"/>
        <v>160</v>
      </c>
      <c r="CB10" s="72">
        <f t="shared" si="9"/>
        <v>168</v>
      </c>
      <c r="CC10" s="71">
        <f t="shared" si="10"/>
        <v>207</v>
      </c>
      <c r="CD10" s="72">
        <f t="shared" si="11"/>
        <v>214</v>
      </c>
      <c r="CE10" s="71">
        <f t="shared" si="12"/>
        <v>313</v>
      </c>
      <c r="CF10" s="72">
        <f t="shared" si="13"/>
        <v>354</v>
      </c>
      <c r="CG10" s="71">
        <f t="shared" si="14"/>
        <v>384</v>
      </c>
      <c r="CH10" s="70">
        <f t="shared" si="15"/>
        <v>82</v>
      </c>
      <c r="CI10" s="71">
        <f t="shared" si="16"/>
        <v>86</v>
      </c>
      <c r="CJ10" s="72">
        <f t="shared" si="17"/>
        <v>117</v>
      </c>
      <c r="CK10" s="72">
        <f t="shared" si="18"/>
        <v>123</v>
      </c>
      <c r="CL10" s="72">
        <f t="shared" si="19"/>
        <v>159</v>
      </c>
      <c r="CM10" s="72">
        <f t="shared" si="20"/>
        <v>167</v>
      </c>
      <c r="CN10" s="72">
        <f t="shared" si="21"/>
        <v>194</v>
      </c>
      <c r="CO10" s="72">
        <f t="shared" si="22"/>
        <v>209</v>
      </c>
      <c r="CP10" s="72">
        <f t="shared" si="23"/>
        <v>255</v>
      </c>
      <c r="CQ10" s="72">
        <f t="shared" si="24"/>
        <v>350</v>
      </c>
      <c r="CR10" s="72">
        <f t="shared" si="25"/>
        <v>383</v>
      </c>
      <c r="CS10" s="72">
        <f t="shared" si="26"/>
        <v>395</v>
      </c>
      <c r="CT10" s="23">
        <f t="shared" si="27"/>
        <v>1</v>
      </c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</row>
    <row r="11" spans="1:1029" x14ac:dyDescent="0.2">
      <c r="A11" s="3" t="str">
        <f t="shared" si="0"/>
        <v>5ht2b_human_4IB4</v>
      </c>
      <c r="B11" s="3" t="s">
        <v>35</v>
      </c>
      <c r="C11" s="3" t="s">
        <v>70</v>
      </c>
      <c r="D11" s="3" t="str">
        <f>IFERROR(MID(VLOOKUP($B11,Seqs!$A:$B,2,0),E11,1),"")</f>
        <v>K</v>
      </c>
      <c r="E11" s="3">
        <v>53</v>
      </c>
      <c r="F11" s="3" t="str">
        <f>IFERROR(MID(VLOOKUP($B11,Seqs!$A:$B,2,0),G11,1),"")</f>
        <v>E</v>
      </c>
      <c r="G11" s="3">
        <v>82</v>
      </c>
      <c r="H11" s="3" t="str">
        <f>IFERROR(MID(VLOOKUP($B11,Seqs!$A:$B,2,0),I11,1),"")</f>
        <v>K</v>
      </c>
      <c r="I11" s="23">
        <v>83</v>
      </c>
      <c r="J11" s="3" t="str">
        <f>IFERROR(MID(VLOOKUP($B11,Seqs!$A:$B,2,0),K11,1),"")</f>
        <v>Q</v>
      </c>
      <c r="K11" s="23">
        <v>86</v>
      </c>
      <c r="L11" s="3" t="str">
        <f>IFERROR(MID(VLOOKUP($B11,Seqs!$A:$B,2,0),M11,1),"")</f>
        <v>Y</v>
      </c>
      <c r="M11" s="3">
        <v>87</v>
      </c>
      <c r="N11" s="3" t="str">
        <f>IFERROR(MID(VLOOKUP($B11,Seqs!$A:$B,2,0),O11,1),"")</f>
        <v>F</v>
      </c>
      <c r="O11" s="3">
        <v>117</v>
      </c>
      <c r="P11" s="3" t="str">
        <f>IFERROR(MID(VLOOKUP($B11,Seqs!$A:$B,2,0),Q11,1),"")</f>
        <v>M</v>
      </c>
      <c r="Q11" s="3">
        <v>120</v>
      </c>
      <c r="R11" s="3" t="str">
        <f>IFERROR(MID(VLOOKUP($B11,Seqs!$A:$B,2,0),S11,1),"")</f>
        <v>L</v>
      </c>
      <c r="S11" s="3">
        <v>123</v>
      </c>
      <c r="T11" s="3" t="str">
        <f>IFERROR(MID(VLOOKUP($B11,Seqs!$A:$B,2,0),U11,1),"")</f>
        <v>P</v>
      </c>
      <c r="U11" s="3">
        <v>124</v>
      </c>
      <c r="V11" s="3" t="str">
        <f>IFERROR(MID(VLOOKUP($B11,Seqs!$A:$B,2,0),W11,1),"")</f>
        <v>K</v>
      </c>
      <c r="W11" s="3">
        <v>159</v>
      </c>
      <c r="X11" s="3" t="str">
        <f>IFERROR(MID(VLOOKUP($B11,Seqs!$A:$B,2,0),Y11,1),"")</f>
        <v/>
      </c>
      <c r="Y11" s="3" t="s">
        <v>23</v>
      </c>
      <c r="Z11" s="3" t="str">
        <f>IFERROR(MID(VLOOKUP($B11,Seqs!$A:$B,2,0),AA11,1),"")</f>
        <v/>
      </c>
      <c r="AA11" s="3" t="s">
        <v>23</v>
      </c>
      <c r="AB11" s="3" t="str">
        <f>IFERROR(MID(VLOOKUP($B11,Seqs!$A:$B,2,0),AC11,1),"")</f>
        <v>N</v>
      </c>
      <c r="AC11" s="3">
        <v>164</v>
      </c>
      <c r="AD11" s="3" t="str">
        <f>IFERROR(MID(VLOOKUP($B11,Seqs!$A:$B,2,0),AE11,1),"")</f>
        <v>G</v>
      </c>
      <c r="AE11" s="3">
        <v>194</v>
      </c>
      <c r="AF11" s="3" t="str">
        <f>IFERROR(MID(VLOOKUP($B11,Seqs!$A:$B,2,0),AG11,1),"")</f>
        <v>C</v>
      </c>
      <c r="AG11" s="3">
        <v>207</v>
      </c>
      <c r="AH11" s="3" t="str">
        <f>IFERROR(MID(VLOOKUP($B11,Seqs!$A:$B,2,0),AI11,1),"")</f>
        <v>L</v>
      </c>
      <c r="AI11" s="3">
        <v>209</v>
      </c>
      <c r="AJ11" s="3" t="str">
        <f>IFERROR(MID(VLOOKUP($B11,Seqs!$A:$B,2,0),AK11,1),"")</f>
        <v>F</v>
      </c>
      <c r="AK11" s="3">
        <v>214</v>
      </c>
      <c r="AL11" s="3" t="str">
        <f>IFERROR(MID(VLOOKUP($B11,Seqs!$A:$B,2,0),AM11,1),"")</f>
        <v>A</v>
      </c>
      <c r="AM11" s="3">
        <v>248</v>
      </c>
      <c r="AN11" s="3" t="str">
        <f>IFERROR(MID(VLOOKUP($B11,Seqs!$A:$B,2,0),AO11,1),"")</f>
        <v>Q</v>
      </c>
      <c r="AO11" s="3">
        <v>314</v>
      </c>
      <c r="AP11" s="3" t="str">
        <f>IFERROR(MID(VLOOKUP($B11,Seqs!$A:$B,2,0),AQ11,1),"")</f>
        <v>C</v>
      </c>
      <c r="AQ11" s="3">
        <v>350</v>
      </c>
      <c r="AR11" s="3" t="str">
        <f>IFERROR(MID(VLOOKUP($B11,Seqs!$A:$B,2,0),AS11,1),"")</f>
        <v>N</v>
      </c>
      <c r="AS11" s="3">
        <v>354</v>
      </c>
      <c r="AT11" s="3" t="str">
        <f>IFERROR(MID(VLOOKUP($B11,Seqs!$A:$B,2,0),AU11,1),"")</f>
        <v>F</v>
      </c>
      <c r="AU11" s="3">
        <v>383</v>
      </c>
      <c r="AV11" s="3" t="str">
        <f>IFERROR(MID(VLOOKUP($B11,Seqs!$A:$B,2,0),AW11,1),"")</f>
        <v>N</v>
      </c>
      <c r="AW11" s="3">
        <v>384</v>
      </c>
      <c r="AX11" s="3" t="str">
        <f>IFERROR(MID(VLOOKUP($B11,Seqs!$A:$B,2,0),AY11,1),"")</f>
        <v>I</v>
      </c>
      <c r="AY11" s="3">
        <v>395</v>
      </c>
      <c r="AZ11" s="77" t="str">
        <f>VLOOKUP(B11,Classification!A:D,2,0)</f>
        <v>A</v>
      </c>
      <c r="BA11" s="94" t="str">
        <f>VLOOKUP(B11,Classification!A:D,4,0)</f>
        <v>5-Hydroxytryptamine</v>
      </c>
      <c r="BB11" s="27" t="b">
        <f t="shared" si="1"/>
        <v>1</v>
      </c>
      <c r="BC11" s="23">
        <f t="shared" si="2"/>
        <v>254</v>
      </c>
      <c r="BD11" s="16" t="s">
        <v>1439</v>
      </c>
      <c r="BE11" s="3" t="s">
        <v>1438</v>
      </c>
      <c r="BF11" s="119">
        <v>2.7</v>
      </c>
      <c r="BG11" s="49" t="s">
        <v>1383</v>
      </c>
      <c r="BH11" s="49" t="s">
        <v>1383</v>
      </c>
      <c r="BI11" s="1"/>
      <c r="BJ11" s="70" t="s">
        <v>1293</v>
      </c>
      <c r="BK11" s="57" t="s">
        <v>1293</v>
      </c>
      <c r="BL11" s="57" t="s">
        <v>1293</v>
      </c>
      <c r="BM11" s="57" t="s">
        <v>1293</v>
      </c>
      <c r="BN11" s="57" t="s">
        <v>1293</v>
      </c>
      <c r="BO11" s="57" t="s">
        <v>1293</v>
      </c>
      <c r="BP11" s="57" t="s">
        <v>1293</v>
      </c>
      <c r="BQ11" s="57" t="s">
        <v>1293</v>
      </c>
      <c r="BR11" s="57" t="s">
        <v>1293</v>
      </c>
      <c r="BS11" s="57" t="s">
        <v>1293</v>
      </c>
      <c r="BT11" s="57" t="s">
        <v>1293</v>
      </c>
      <c r="BU11" s="57" t="s">
        <v>1293</v>
      </c>
      <c r="BV11" s="70">
        <f t="shared" si="3"/>
        <v>53</v>
      </c>
      <c r="BW11" s="71">
        <f t="shared" si="4"/>
        <v>83</v>
      </c>
      <c r="BX11" s="72">
        <f t="shared" si="5"/>
        <v>87</v>
      </c>
      <c r="BY11" s="71">
        <f t="shared" si="6"/>
        <v>120</v>
      </c>
      <c r="BZ11" s="72">
        <f t="shared" si="7"/>
        <v>124</v>
      </c>
      <c r="CA11" s="71" t="str">
        <f t="shared" si="8"/>
        <v>-</v>
      </c>
      <c r="CB11" s="72">
        <f t="shared" si="9"/>
        <v>164</v>
      </c>
      <c r="CC11" s="71">
        <f t="shared" si="10"/>
        <v>207</v>
      </c>
      <c r="CD11" s="72">
        <f t="shared" si="11"/>
        <v>214</v>
      </c>
      <c r="CE11" s="71">
        <f t="shared" si="12"/>
        <v>314</v>
      </c>
      <c r="CF11" s="72">
        <f t="shared" si="13"/>
        <v>354</v>
      </c>
      <c r="CG11" s="71">
        <f t="shared" si="14"/>
        <v>384</v>
      </c>
      <c r="CH11" s="70">
        <f t="shared" si="15"/>
        <v>82</v>
      </c>
      <c r="CI11" s="71">
        <f t="shared" si="16"/>
        <v>86</v>
      </c>
      <c r="CJ11" s="72">
        <f t="shared" si="17"/>
        <v>117</v>
      </c>
      <c r="CK11" s="72">
        <f t="shared" si="18"/>
        <v>123</v>
      </c>
      <c r="CL11" s="72">
        <f t="shared" si="19"/>
        <v>159</v>
      </c>
      <c r="CM11" s="72" t="str">
        <f t="shared" si="20"/>
        <v>-</v>
      </c>
      <c r="CN11" s="72">
        <f t="shared" si="21"/>
        <v>194</v>
      </c>
      <c r="CO11" s="72">
        <f t="shared" si="22"/>
        <v>209</v>
      </c>
      <c r="CP11" s="72">
        <f t="shared" si="23"/>
        <v>248</v>
      </c>
      <c r="CQ11" s="72">
        <f t="shared" si="24"/>
        <v>350</v>
      </c>
      <c r="CR11" s="72">
        <f t="shared" si="25"/>
        <v>383</v>
      </c>
      <c r="CS11" s="72">
        <f t="shared" si="26"/>
        <v>395</v>
      </c>
      <c r="CT11" s="23">
        <f t="shared" si="27"/>
        <v>1</v>
      </c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  <c r="ADW11" s="1"/>
      <c r="ADX11" s="1"/>
      <c r="ADY11" s="1"/>
      <c r="ADZ11" s="1"/>
      <c r="AEA11" s="1"/>
      <c r="AEB11" s="1"/>
      <c r="AEC11" s="1"/>
      <c r="AED11" s="1"/>
      <c r="AEE11" s="1"/>
      <c r="AEF11" s="1"/>
      <c r="AEG11" s="1"/>
      <c r="AEH11" s="1"/>
      <c r="AEI11" s="1"/>
      <c r="AEJ11" s="1"/>
      <c r="AEK11" s="1"/>
      <c r="AEL11" s="1"/>
      <c r="AEM11" s="1"/>
      <c r="AEN11" s="1"/>
      <c r="AEO11" s="1"/>
      <c r="AEP11" s="1"/>
      <c r="AEQ11" s="1"/>
      <c r="AER11" s="1"/>
      <c r="AES11" s="1"/>
      <c r="AET11" s="1"/>
      <c r="AEU11" s="1"/>
      <c r="AEV11" s="1"/>
      <c r="AEW11" s="1"/>
      <c r="AEX11" s="1"/>
      <c r="AEY11" s="1"/>
      <c r="AEZ11" s="1"/>
      <c r="AFA11" s="1"/>
      <c r="AFB11" s="1"/>
      <c r="AFC11" s="1"/>
      <c r="AFD11" s="1"/>
      <c r="AFE11" s="1"/>
      <c r="AFF11" s="1"/>
      <c r="AFG11" s="1"/>
      <c r="AFH11" s="1"/>
      <c r="AFI11" s="1"/>
      <c r="AFJ11" s="1"/>
      <c r="AFK11" s="1"/>
      <c r="AFL11" s="1"/>
      <c r="AFM11" s="1"/>
      <c r="AFN11" s="1"/>
      <c r="AFO11" s="1"/>
      <c r="AFP11" s="1"/>
      <c r="AFQ11" s="1"/>
      <c r="AFR11" s="1"/>
      <c r="AFS11" s="1"/>
      <c r="AFT11" s="1"/>
      <c r="AFU11" s="1"/>
      <c r="AFV11" s="1"/>
      <c r="AFW11" s="1"/>
      <c r="AFX11" s="1"/>
      <c r="AFY11" s="1"/>
      <c r="AFZ11" s="1"/>
      <c r="AGA11" s="1"/>
      <c r="AGB11" s="1"/>
      <c r="AGC11" s="1"/>
      <c r="AGD11" s="1"/>
      <c r="AGE11" s="1"/>
      <c r="AGF11" s="1"/>
      <c r="AGG11" s="1"/>
      <c r="AGH11" s="1"/>
      <c r="AGI11" s="1"/>
      <c r="AGJ11" s="1"/>
      <c r="AGK11" s="1"/>
      <c r="AGL11" s="1"/>
      <c r="AGM11" s="1"/>
      <c r="AGN11" s="1"/>
      <c r="AGO11" s="1"/>
      <c r="AGP11" s="1"/>
      <c r="AGQ11" s="1"/>
      <c r="AGR11" s="1"/>
      <c r="AGS11" s="1"/>
      <c r="AGT11" s="1"/>
      <c r="AGU11" s="1"/>
      <c r="AGV11" s="1"/>
      <c r="AGW11" s="1"/>
      <c r="AGX11" s="1"/>
      <c r="AGY11" s="1"/>
      <c r="AGZ11" s="1"/>
      <c r="AHA11" s="1"/>
      <c r="AHB11" s="1"/>
      <c r="AHC11" s="1"/>
      <c r="AHD11" s="1"/>
      <c r="AHE11" s="1"/>
      <c r="AHF11" s="1"/>
      <c r="AHG11" s="1"/>
      <c r="AHH11" s="1"/>
      <c r="AHI11" s="1"/>
      <c r="AHJ11" s="1"/>
      <c r="AHK11" s="1"/>
      <c r="AHL11" s="1"/>
      <c r="AHM11" s="1"/>
      <c r="AHN11" s="1"/>
      <c r="AHO11" s="1"/>
      <c r="AHP11" s="1"/>
      <c r="AHQ11" s="1"/>
      <c r="AHR11" s="1"/>
      <c r="AHS11" s="1"/>
      <c r="AHT11" s="1"/>
      <c r="AHU11" s="1"/>
      <c r="AHV11" s="1"/>
      <c r="AHW11" s="1"/>
      <c r="AHX11" s="1"/>
      <c r="AHY11" s="1"/>
      <c r="AHZ11" s="1"/>
      <c r="AIA11" s="1"/>
      <c r="AIB11" s="1"/>
      <c r="AIC11" s="1"/>
      <c r="AID11" s="1"/>
      <c r="AIE11" s="1"/>
      <c r="AIF11" s="1"/>
      <c r="AIG11" s="1"/>
      <c r="AIH11" s="1"/>
      <c r="AII11" s="1"/>
      <c r="AIJ11" s="1"/>
      <c r="AIK11" s="1"/>
      <c r="AIL11" s="1"/>
      <c r="AIM11" s="1"/>
      <c r="AIN11" s="1"/>
      <c r="AIO11" s="1"/>
      <c r="AIP11" s="1"/>
      <c r="AIQ11" s="1"/>
      <c r="AIR11" s="1"/>
      <c r="AIS11" s="1"/>
      <c r="AIT11" s="1"/>
      <c r="AIU11" s="1"/>
      <c r="AIV11" s="1"/>
      <c r="AIW11" s="1"/>
      <c r="AIX11" s="1"/>
      <c r="AIY11" s="1"/>
      <c r="AIZ11" s="1"/>
      <c r="AJA11" s="1"/>
      <c r="AJB11" s="1"/>
      <c r="AJC11" s="1"/>
      <c r="AJD11" s="1"/>
      <c r="AJE11" s="1"/>
      <c r="AJF11" s="1"/>
      <c r="AJG11" s="1"/>
      <c r="AJH11" s="1"/>
      <c r="AJI11" s="1"/>
      <c r="AJJ11" s="1"/>
      <c r="AJK11" s="1"/>
      <c r="AJL11" s="1"/>
      <c r="AJM11" s="1"/>
      <c r="AJN11" s="1"/>
      <c r="AJO11" s="1"/>
      <c r="AJP11" s="1"/>
      <c r="AJQ11" s="1"/>
      <c r="AJR11" s="1"/>
      <c r="AJS11" s="1"/>
      <c r="AJT11" s="1"/>
      <c r="AJU11" s="1"/>
      <c r="AJV11" s="1"/>
      <c r="AJW11" s="1"/>
      <c r="AJX11" s="1"/>
      <c r="AJY11" s="1"/>
      <c r="AJZ11" s="1"/>
      <c r="AKA11" s="1"/>
      <c r="AKB11" s="1"/>
      <c r="AKC11" s="1"/>
      <c r="AKD11" s="1"/>
      <c r="AKE11" s="1"/>
      <c r="AKF11" s="1"/>
      <c r="AKG11" s="1"/>
      <c r="AKH11" s="1"/>
      <c r="AKI11" s="1"/>
      <c r="AKJ11" s="1"/>
      <c r="AKK11" s="1"/>
      <c r="AKL11" s="1"/>
      <c r="AKM11" s="1"/>
      <c r="AKN11" s="1"/>
      <c r="AKO11" s="1"/>
      <c r="AKP11" s="1"/>
      <c r="AKQ11" s="1"/>
      <c r="AKR11" s="1"/>
      <c r="AKS11" s="1"/>
      <c r="AKT11" s="1"/>
      <c r="AKU11" s="1"/>
      <c r="AKV11" s="1"/>
      <c r="AKW11" s="1"/>
      <c r="AKX11" s="1"/>
      <c r="AKY11" s="1"/>
      <c r="AKZ11" s="1"/>
      <c r="ALA11" s="1"/>
      <c r="ALB11" s="1"/>
      <c r="ALC11" s="1"/>
      <c r="ALD11" s="1"/>
      <c r="ALE11" s="1"/>
      <c r="ALF11" s="1"/>
      <c r="ALG11" s="1"/>
      <c r="ALH11" s="1"/>
      <c r="ALI11" s="1"/>
      <c r="ALJ11" s="1"/>
      <c r="ALK11" s="1"/>
      <c r="ALL11" s="1"/>
      <c r="ALM11" s="1"/>
      <c r="ALN11" s="1"/>
      <c r="ALO11" s="1"/>
      <c r="ALP11" s="1"/>
      <c r="ALQ11" s="1"/>
      <c r="ALR11" s="1"/>
      <c r="ALS11" s="1"/>
      <c r="ALT11" s="1"/>
      <c r="ALU11" s="1"/>
      <c r="ALV11" s="1"/>
      <c r="ALW11" s="1"/>
      <c r="ALX11" s="1"/>
      <c r="ALY11" s="1"/>
      <c r="ALZ11" s="1"/>
      <c r="AMA11" s="1"/>
      <c r="AMB11" s="1"/>
      <c r="AMC11" s="1"/>
      <c r="AMD11" s="1"/>
      <c r="AME11" s="1"/>
      <c r="AMF11" s="1"/>
      <c r="AMG11" s="1"/>
      <c r="AMH11" s="1"/>
      <c r="AMI11" s="1"/>
      <c r="AMJ11" s="1"/>
      <c r="AMK11" s="1"/>
      <c r="AML11" s="1"/>
      <c r="AMM11" s="1"/>
      <c r="AMN11" s="1"/>
      <c r="AMO11" s="1"/>
    </row>
    <row r="12" spans="1:1029" x14ac:dyDescent="0.2">
      <c r="A12" s="3" t="str">
        <f t="shared" si="0"/>
        <v>5ht2b_human_4IB4_dist</v>
      </c>
      <c r="B12" s="3" t="s">
        <v>35</v>
      </c>
      <c r="C12" s="3" t="s">
        <v>1165</v>
      </c>
      <c r="D12" s="3" t="str">
        <f>IFERROR(MID(VLOOKUP($B12,Seqs!$A:$B,2,0),E12,1),"")</f>
        <v>K</v>
      </c>
      <c r="E12" s="3">
        <v>53</v>
      </c>
      <c r="F12" s="3" t="str">
        <f>IFERROR(MID(VLOOKUP($B12,Seqs!$A:$B,2,0),G12,1),"")</f>
        <v>E</v>
      </c>
      <c r="G12" s="3">
        <v>82</v>
      </c>
      <c r="H12" s="3" t="str">
        <f>IFERROR(MID(VLOOKUP($B12,Seqs!$A:$B,2,0),I12,1),"")</f>
        <v>K</v>
      </c>
      <c r="I12" s="23">
        <v>83</v>
      </c>
      <c r="J12" s="3" t="str">
        <f>IFERROR(MID(VLOOKUP($B12,Seqs!$A:$B,2,0),K12,1),"")</f>
        <v>Q</v>
      </c>
      <c r="K12" s="23">
        <v>86</v>
      </c>
      <c r="L12" s="3" t="str">
        <f>IFERROR(MID(VLOOKUP($B12,Seqs!$A:$B,2,0),M12,1),"")</f>
        <v>Y</v>
      </c>
      <c r="M12" s="3">
        <v>87</v>
      </c>
      <c r="N12" s="3" t="str">
        <f>IFERROR(MID(VLOOKUP($B12,Seqs!$A:$B,2,0),O12,1),"")</f>
        <v>F</v>
      </c>
      <c r="O12" s="3">
        <v>117</v>
      </c>
      <c r="P12" s="3" t="str">
        <f>IFERROR(MID(VLOOKUP($B12,Seqs!$A:$B,2,0),Q12,1),"")</f>
        <v>M</v>
      </c>
      <c r="Q12" s="3">
        <v>120</v>
      </c>
      <c r="R12" s="3" t="str">
        <f>IFERROR(MID(VLOOKUP($B12,Seqs!$A:$B,2,0),S12,1),"")</f>
        <v>L</v>
      </c>
      <c r="S12" s="3">
        <v>123</v>
      </c>
      <c r="T12" s="3" t="str">
        <f>IFERROR(MID(VLOOKUP($B12,Seqs!$A:$B,2,0),U12,1),"")</f>
        <v>P</v>
      </c>
      <c r="U12" s="3">
        <v>124</v>
      </c>
      <c r="V12" s="3" t="str">
        <f>IFERROR(MID(VLOOKUP($B12,Seqs!$A:$B,2,0),W12,1),"")</f>
        <v>K</v>
      </c>
      <c r="W12" s="3">
        <v>159</v>
      </c>
      <c r="X12" s="3" t="str">
        <f>IFERROR(MID(VLOOKUP($B12,Seqs!$A:$B,2,0),Y12,1),"")</f>
        <v/>
      </c>
      <c r="Y12" s="3" t="s">
        <v>23</v>
      </c>
      <c r="Z12" s="3" t="str">
        <f>IFERROR(MID(VLOOKUP($B12,Seqs!$A:$B,2,0),AA12,1),"")</f>
        <v/>
      </c>
      <c r="AA12" s="3" t="s">
        <v>23</v>
      </c>
      <c r="AB12" s="3" t="str">
        <f>IFERROR(MID(VLOOKUP($B12,Seqs!$A:$B,2,0),AC12,1),"")</f>
        <v>Q</v>
      </c>
      <c r="AC12" s="3">
        <v>165</v>
      </c>
      <c r="AD12" s="3" t="str">
        <f>IFERROR(MID(VLOOKUP($B12,Seqs!$A:$B,2,0),AE12,1),"")</f>
        <v>G</v>
      </c>
      <c r="AE12" s="3">
        <v>194</v>
      </c>
      <c r="AF12" s="3" t="str">
        <f>IFERROR(MID(VLOOKUP($B12,Seqs!$A:$B,2,0),AG12,1),"")</f>
        <v>C</v>
      </c>
      <c r="AG12" s="3">
        <v>207</v>
      </c>
      <c r="AH12" s="3" t="str">
        <f>IFERROR(MID(VLOOKUP($B12,Seqs!$A:$B,2,0),AI12,1),"")</f>
        <v>L</v>
      </c>
      <c r="AI12" s="3">
        <v>209</v>
      </c>
      <c r="AJ12" s="3" t="str">
        <f>IFERROR(MID(VLOOKUP($B12,Seqs!$A:$B,2,0),AK12,1),"")</f>
        <v>F</v>
      </c>
      <c r="AK12" s="3">
        <v>214</v>
      </c>
      <c r="AL12" s="3" t="str">
        <f>IFERROR(MID(VLOOKUP($B12,Seqs!$A:$B,2,0),AM12,1),"")</f>
        <v>A</v>
      </c>
      <c r="AM12" s="3">
        <v>248</v>
      </c>
      <c r="AN12" s="3" t="str">
        <f>IFERROR(MID(VLOOKUP($B12,Seqs!$A:$B,2,0),AO12,1),"")</f>
        <v>Q</v>
      </c>
      <c r="AO12" s="3">
        <v>314</v>
      </c>
      <c r="AP12" s="3" t="str">
        <f>IFERROR(MID(VLOOKUP($B12,Seqs!$A:$B,2,0),AQ12,1),"")</f>
        <v>C</v>
      </c>
      <c r="AQ12" s="3">
        <v>350</v>
      </c>
      <c r="AR12" s="3" t="str">
        <f>IFERROR(MID(VLOOKUP($B12,Seqs!$A:$B,2,0),AS12,1),"")</f>
        <v>N</v>
      </c>
      <c r="AS12" s="3">
        <v>354</v>
      </c>
      <c r="AT12" s="3" t="str">
        <f>IFERROR(MID(VLOOKUP($B12,Seqs!$A:$B,2,0),AU12,1),"")</f>
        <v>F</v>
      </c>
      <c r="AU12" s="3">
        <v>383</v>
      </c>
      <c r="AV12" s="3" t="str">
        <f>IFERROR(MID(VLOOKUP($B12,Seqs!$A:$B,2,0),AW12,1),"")</f>
        <v>N</v>
      </c>
      <c r="AW12" s="3">
        <v>384</v>
      </c>
      <c r="AX12" s="3" t="str">
        <f>IFERROR(MID(VLOOKUP($B12,Seqs!$A:$B,2,0),AY12,1),"")</f>
        <v>I</v>
      </c>
      <c r="AY12" s="3">
        <v>395</v>
      </c>
      <c r="AZ12" s="77" t="str">
        <f>VLOOKUP(B12,Classification!A:D,2,0)</f>
        <v>A</v>
      </c>
      <c r="BA12" s="94" t="str">
        <f>VLOOKUP(B12,Classification!A:D,4,0)</f>
        <v>5-Hydroxytryptamine</v>
      </c>
      <c r="BB12" s="27" t="b">
        <f t="shared" si="1"/>
        <v>1</v>
      </c>
      <c r="BC12" s="23">
        <f t="shared" si="2"/>
        <v>253</v>
      </c>
      <c r="BD12" s="56" t="s">
        <v>23</v>
      </c>
      <c r="BE12" s="3" t="s">
        <v>1438</v>
      </c>
      <c r="BF12" s="119">
        <v>2.7</v>
      </c>
      <c r="BG12" s="49" t="s">
        <v>1383</v>
      </c>
      <c r="BH12" s="49" t="s">
        <v>1383</v>
      </c>
      <c r="BI12" s="1"/>
      <c r="BJ12" s="70" t="s">
        <v>1293</v>
      </c>
      <c r="BK12" s="57" t="s">
        <v>1293</v>
      </c>
      <c r="BL12" s="57" t="s">
        <v>1293</v>
      </c>
      <c r="BM12" s="57" t="s">
        <v>1293</v>
      </c>
      <c r="BN12" s="57" t="s">
        <v>1293</v>
      </c>
      <c r="BO12" s="57" t="s">
        <v>1293</v>
      </c>
      <c r="BP12" s="57" t="s">
        <v>1293</v>
      </c>
      <c r="BQ12" s="57" t="s">
        <v>1293</v>
      </c>
      <c r="BR12" s="57" t="s">
        <v>1293</v>
      </c>
      <c r="BS12" s="57" t="s">
        <v>1293</v>
      </c>
      <c r="BT12" s="57" t="s">
        <v>1293</v>
      </c>
      <c r="BU12" s="57" t="s">
        <v>1293</v>
      </c>
      <c r="BV12" s="70">
        <f t="shared" si="3"/>
        <v>53</v>
      </c>
      <c r="BW12" s="71">
        <f t="shared" si="4"/>
        <v>83</v>
      </c>
      <c r="BX12" s="72">
        <f t="shared" si="5"/>
        <v>87</v>
      </c>
      <c r="BY12" s="71">
        <f t="shared" si="6"/>
        <v>120</v>
      </c>
      <c r="BZ12" s="72">
        <f t="shared" si="7"/>
        <v>124</v>
      </c>
      <c r="CA12" s="71" t="str">
        <f t="shared" si="8"/>
        <v>-</v>
      </c>
      <c r="CB12" s="72">
        <f t="shared" si="9"/>
        <v>165</v>
      </c>
      <c r="CC12" s="71">
        <f t="shared" si="10"/>
        <v>207</v>
      </c>
      <c r="CD12" s="72">
        <f t="shared" si="11"/>
        <v>214</v>
      </c>
      <c r="CE12" s="71">
        <f t="shared" si="12"/>
        <v>314</v>
      </c>
      <c r="CF12" s="72">
        <f t="shared" si="13"/>
        <v>354</v>
      </c>
      <c r="CG12" s="71">
        <f t="shared" si="14"/>
        <v>384</v>
      </c>
      <c r="CH12" s="70">
        <f t="shared" si="15"/>
        <v>82</v>
      </c>
      <c r="CI12" s="71">
        <f t="shared" si="16"/>
        <v>86</v>
      </c>
      <c r="CJ12" s="72">
        <f t="shared" si="17"/>
        <v>117</v>
      </c>
      <c r="CK12" s="72">
        <f t="shared" si="18"/>
        <v>123</v>
      </c>
      <c r="CL12" s="72">
        <f t="shared" si="19"/>
        <v>159</v>
      </c>
      <c r="CM12" s="72" t="str">
        <f t="shared" si="20"/>
        <v>-</v>
      </c>
      <c r="CN12" s="72">
        <f t="shared" si="21"/>
        <v>194</v>
      </c>
      <c r="CO12" s="72">
        <f t="shared" si="22"/>
        <v>209</v>
      </c>
      <c r="CP12" s="72">
        <f t="shared" si="23"/>
        <v>248</v>
      </c>
      <c r="CQ12" s="72">
        <f t="shared" si="24"/>
        <v>350</v>
      </c>
      <c r="CR12" s="72">
        <f t="shared" si="25"/>
        <v>383</v>
      </c>
      <c r="CS12" s="72">
        <f t="shared" si="26"/>
        <v>395</v>
      </c>
      <c r="CT12" s="23">
        <f t="shared" si="27"/>
        <v>1</v>
      </c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  <c r="ADW12" s="1"/>
      <c r="ADX12" s="1"/>
      <c r="ADY12" s="1"/>
      <c r="ADZ12" s="1"/>
      <c r="AEA12" s="1"/>
      <c r="AEB12" s="1"/>
      <c r="AEC12" s="1"/>
      <c r="AED12" s="1"/>
      <c r="AEE12" s="1"/>
      <c r="AEF12" s="1"/>
      <c r="AEG12" s="1"/>
      <c r="AEH12" s="1"/>
      <c r="AEI12" s="1"/>
      <c r="AEJ12" s="1"/>
      <c r="AEK12" s="1"/>
      <c r="AEL12" s="1"/>
      <c r="AEM12" s="1"/>
      <c r="AEN12" s="1"/>
      <c r="AEO12" s="1"/>
      <c r="AEP12" s="1"/>
      <c r="AEQ12" s="1"/>
      <c r="AER12" s="1"/>
      <c r="AES12" s="1"/>
      <c r="AET12" s="1"/>
      <c r="AEU12" s="1"/>
      <c r="AEV12" s="1"/>
      <c r="AEW12" s="1"/>
      <c r="AEX12" s="1"/>
      <c r="AEY12" s="1"/>
      <c r="AEZ12" s="1"/>
      <c r="AFA12" s="1"/>
      <c r="AFB12" s="1"/>
      <c r="AFC12" s="1"/>
      <c r="AFD12" s="1"/>
      <c r="AFE12" s="1"/>
      <c r="AFF12" s="1"/>
      <c r="AFG12" s="1"/>
      <c r="AFH12" s="1"/>
      <c r="AFI12" s="1"/>
      <c r="AFJ12" s="1"/>
      <c r="AFK12" s="1"/>
      <c r="AFL12" s="1"/>
      <c r="AFM12" s="1"/>
      <c r="AFN12" s="1"/>
      <c r="AFO12" s="1"/>
      <c r="AFP12" s="1"/>
      <c r="AFQ12" s="1"/>
      <c r="AFR12" s="1"/>
      <c r="AFS12" s="1"/>
      <c r="AFT12" s="1"/>
      <c r="AFU12" s="1"/>
      <c r="AFV12" s="1"/>
      <c r="AFW12" s="1"/>
      <c r="AFX12" s="1"/>
      <c r="AFY12" s="1"/>
      <c r="AFZ12" s="1"/>
      <c r="AGA12" s="1"/>
      <c r="AGB12" s="1"/>
      <c r="AGC12" s="1"/>
      <c r="AGD12" s="1"/>
      <c r="AGE12" s="1"/>
      <c r="AGF12" s="1"/>
      <c r="AGG12" s="1"/>
      <c r="AGH12" s="1"/>
      <c r="AGI12" s="1"/>
      <c r="AGJ12" s="1"/>
      <c r="AGK12" s="1"/>
      <c r="AGL12" s="1"/>
      <c r="AGM12" s="1"/>
      <c r="AGN12" s="1"/>
      <c r="AGO12" s="1"/>
      <c r="AGP12" s="1"/>
      <c r="AGQ12" s="1"/>
      <c r="AGR12" s="1"/>
      <c r="AGS12" s="1"/>
      <c r="AGT12" s="1"/>
      <c r="AGU12" s="1"/>
      <c r="AGV12" s="1"/>
      <c r="AGW12" s="1"/>
      <c r="AGX12" s="1"/>
      <c r="AGY12" s="1"/>
      <c r="AGZ12" s="1"/>
      <c r="AHA12" s="1"/>
      <c r="AHB12" s="1"/>
      <c r="AHC12" s="1"/>
      <c r="AHD12" s="1"/>
      <c r="AHE12" s="1"/>
      <c r="AHF12" s="1"/>
      <c r="AHG12" s="1"/>
      <c r="AHH12" s="1"/>
      <c r="AHI12" s="1"/>
      <c r="AHJ12" s="1"/>
      <c r="AHK12" s="1"/>
      <c r="AHL12" s="1"/>
      <c r="AHM12" s="1"/>
      <c r="AHN12" s="1"/>
      <c r="AHO12" s="1"/>
      <c r="AHP12" s="1"/>
      <c r="AHQ12" s="1"/>
      <c r="AHR12" s="1"/>
      <c r="AHS12" s="1"/>
      <c r="AHT12" s="1"/>
      <c r="AHU12" s="1"/>
      <c r="AHV12" s="1"/>
      <c r="AHW12" s="1"/>
      <c r="AHX12" s="1"/>
      <c r="AHY12" s="1"/>
      <c r="AHZ12" s="1"/>
      <c r="AIA12" s="1"/>
      <c r="AIB12" s="1"/>
      <c r="AIC12" s="1"/>
      <c r="AID12" s="1"/>
      <c r="AIE12" s="1"/>
      <c r="AIF12" s="1"/>
      <c r="AIG12" s="1"/>
      <c r="AIH12" s="1"/>
      <c r="AII12" s="1"/>
      <c r="AIJ12" s="1"/>
      <c r="AIK12" s="1"/>
      <c r="AIL12" s="1"/>
      <c r="AIM12" s="1"/>
      <c r="AIN12" s="1"/>
      <c r="AIO12" s="1"/>
      <c r="AIP12" s="1"/>
      <c r="AIQ12" s="1"/>
      <c r="AIR12" s="1"/>
      <c r="AIS12" s="1"/>
      <c r="AIT12" s="1"/>
      <c r="AIU12" s="1"/>
      <c r="AIV12" s="1"/>
      <c r="AIW12" s="1"/>
      <c r="AIX12" s="1"/>
      <c r="AIY12" s="1"/>
      <c r="AIZ12" s="1"/>
      <c r="AJA12" s="1"/>
      <c r="AJB12" s="1"/>
      <c r="AJC12" s="1"/>
      <c r="AJD12" s="1"/>
      <c r="AJE12" s="1"/>
      <c r="AJF12" s="1"/>
      <c r="AJG12" s="1"/>
      <c r="AJH12" s="1"/>
      <c r="AJI12" s="1"/>
      <c r="AJJ12" s="1"/>
      <c r="AJK12" s="1"/>
      <c r="AJL12" s="1"/>
      <c r="AJM12" s="1"/>
      <c r="AJN12" s="1"/>
      <c r="AJO12" s="1"/>
      <c r="AJP12" s="1"/>
      <c r="AJQ12" s="1"/>
      <c r="AJR12" s="1"/>
      <c r="AJS12" s="1"/>
      <c r="AJT12" s="1"/>
      <c r="AJU12" s="1"/>
      <c r="AJV12" s="1"/>
      <c r="AJW12" s="1"/>
      <c r="AJX12" s="1"/>
      <c r="AJY12" s="1"/>
      <c r="AJZ12" s="1"/>
      <c r="AKA12" s="1"/>
      <c r="AKB12" s="1"/>
      <c r="AKC12" s="1"/>
      <c r="AKD12" s="1"/>
      <c r="AKE12" s="1"/>
      <c r="AKF12" s="1"/>
      <c r="AKG12" s="1"/>
      <c r="AKH12" s="1"/>
      <c r="AKI12" s="1"/>
      <c r="AKJ12" s="1"/>
      <c r="AKK12" s="1"/>
      <c r="AKL12" s="1"/>
      <c r="AKM12" s="1"/>
      <c r="AKN12" s="1"/>
      <c r="AKO12" s="1"/>
      <c r="AKP12" s="1"/>
      <c r="AKQ12" s="1"/>
      <c r="AKR12" s="1"/>
      <c r="AKS12" s="1"/>
      <c r="AKT12" s="1"/>
      <c r="AKU12" s="1"/>
      <c r="AKV12" s="1"/>
      <c r="AKW12" s="1"/>
      <c r="AKX12" s="1"/>
      <c r="AKY12" s="1"/>
      <c r="AKZ12" s="1"/>
      <c r="ALA12" s="1"/>
      <c r="ALB12" s="1"/>
      <c r="ALC12" s="1"/>
      <c r="ALD12" s="1"/>
      <c r="ALE12" s="1"/>
      <c r="ALF12" s="1"/>
      <c r="ALG12" s="1"/>
      <c r="ALH12" s="1"/>
      <c r="ALI12" s="1"/>
      <c r="ALJ12" s="1"/>
      <c r="ALK12" s="1"/>
      <c r="ALL12" s="1"/>
      <c r="ALM12" s="1"/>
      <c r="ALN12" s="1"/>
      <c r="ALO12" s="1"/>
      <c r="ALP12" s="1"/>
      <c r="ALQ12" s="1"/>
      <c r="ALR12" s="1"/>
      <c r="ALS12" s="1"/>
      <c r="ALT12" s="1"/>
      <c r="ALU12" s="1"/>
      <c r="ALV12" s="1"/>
      <c r="ALW12" s="1"/>
      <c r="ALX12" s="1"/>
      <c r="ALY12" s="1"/>
      <c r="ALZ12" s="1"/>
      <c r="AMA12" s="1"/>
      <c r="AMB12" s="1"/>
      <c r="AMC12" s="1"/>
      <c r="AMD12" s="1"/>
      <c r="AME12" s="1"/>
      <c r="AMF12" s="1"/>
      <c r="AMG12" s="1"/>
      <c r="AMH12" s="1"/>
      <c r="AMI12" s="1"/>
      <c r="AMJ12" s="1"/>
      <c r="AMK12" s="1"/>
      <c r="AML12" s="1"/>
      <c r="AMM12" s="1"/>
      <c r="AMN12" s="1"/>
      <c r="AMO12" s="1"/>
    </row>
    <row r="13" spans="1:1029" x14ac:dyDescent="0.2">
      <c r="A13" s="3" t="str">
        <f t="shared" si="0"/>
        <v>5ht2b_human_4NC3</v>
      </c>
      <c r="B13" s="3" t="s">
        <v>35</v>
      </c>
      <c r="C13" s="3" t="s">
        <v>1314</v>
      </c>
      <c r="D13" s="3" t="str">
        <f>IFERROR(MID(VLOOKUP($B13,Seqs!$A:$B,2,0),E13,1),"")</f>
        <v>K</v>
      </c>
      <c r="E13" s="3">
        <v>53</v>
      </c>
      <c r="F13" s="3" t="str">
        <f>IFERROR(MID(VLOOKUP($B13,Seqs!$A:$B,2,0),G13,1),"")</f>
        <v>E</v>
      </c>
      <c r="G13" s="3">
        <v>82</v>
      </c>
      <c r="H13" s="3" t="str">
        <f>IFERROR(MID(VLOOKUP($B13,Seqs!$A:$B,2,0),I13,1),"")</f>
        <v>K</v>
      </c>
      <c r="I13" s="23">
        <v>83</v>
      </c>
      <c r="J13" s="3" t="str">
        <f>IFERROR(MID(VLOOKUP($B13,Seqs!$A:$B,2,0),K13,1),"")</f>
        <v>Q</v>
      </c>
      <c r="K13" s="23">
        <v>86</v>
      </c>
      <c r="L13" s="3" t="str">
        <f>IFERROR(MID(VLOOKUP($B13,Seqs!$A:$B,2,0),M13,1),"")</f>
        <v>Y</v>
      </c>
      <c r="M13" s="3">
        <v>87</v>
      </c>
      <c r="N13" s="3" t="str">
        <f>IFERROR(MID(VLOOKUP($B13,Seqs!$A:$B,2,0),O13,1),"")</f>
        <v>F</v>
      </c>
      <c r="O13" s="3">
        <v>117</v>
      </c>
      <c r="P13" s="3" t="str">
        <f>IFERROR(MID(VLOOKUP($B13,Seqs!$A:$B,2,0),Q13,1),"")</f>
        <v>M</v>
      </c>
      <c r="Q13" s="3">
        <v>120</v>
      </c>
      <c r="R13" s="3" t="str">
        <f>IFERROR(MID(VLOOKUP($B13,Seqs!$A:$B,2,0),S13,1),"")</f>
        <v>L</v>
      </c>
      <c r="S13" s="3">
        <v>123</v>
      </c>
      <c r="T13" s="3" t="str">
        <f>IFERROR(MID(VLOOKUP($B13,Seqs!$A:$B,2,0),U13,1),"")</f>
        <v>P</v>
      </c>
      <c r="U13" s="3">
        <v>124</v>
      </c>
      <c r="V13" s="3" t="str">
        <f>IFERROR(MID(VLOOKUP($B13,Seqs!$A:$B,2,0),W13,1),"")</f>
        <v>K</v>
      </c>
      <c r="W13" s="3">
        <v>159</v>
      </c>
      <c r="X13" s="3" t="str">
        <f>IFERROR(MID(VLOOKUP($B13,Seqs!$A:$B,2,0),Y13,1),"")</f>
        <v/>
      </c>
      <c r="Y13" s="3" t="s">
        <v>23</v>
      </c>
      <c r="Z13" s="3" t="str">
        <f>IFERROR(MID(VLOOKUP($B13,Seqs!$A:$B,2,0),AA13,1),"")</f>
        <v/>
      </c>
      <c r="AA13" s="3" t="s">
        <v>23</v>
      </c>
      <c r="AB13" s="3" t="str">
        <f>IFERROR(MID(VLOOKUP($B13,Seqs!$A:$B,2,0),AC13,1),"")</f>
        <v>N</v>
      </c>
      <c r="AC13" s="3">
        <v>164</v>
      </c>
      <c r="AD13" s="3" t="str">
        <f>IFERROR(MID(VLOOKUP($B13,Seqs!$A:$B,2,0),AE13,1),"")</f>
        <v>G</v>
      </c>
      <c r="AE13" s="3">
        <v>194</v>
      </c>
      <c r="AF13" s="3" t="str">
        <f>IFERROR(MID(VLOOKUP($B13,Seqs!$A:$B,2,0),AG13,1),"")</f>
        <v>C</v>
      </c>
      <c r="AG13" s="3">
        <v>207</v>
      </c>
      <c r="AH13" s="3" t="str">
        <f>IFERROR(MID(VLOOKUP($B13,Seqs!$A:$B,2,0),AI13,1),"")</f>
        <v>L</v>
      </c>
      <c r="AI13" s="3">
        <v>209</v>
      </c>
      <c r="AJ13" s="3" t="str">
        <f>IFERROR(MID(VLOOKUP($B13,Seqs!$A:$B,2,0),AK13,1),"")</f>
        <v>F</v>
      </c>
      <c r="AK13" s="3">
        <v>214</v>
      </c>
      <c r="AL13" s="3" t="str">
        <f>IFERROR(MID(VLOOKUP($B13,Seqs!$A:$B,2,0),AM13,1),"")</f>
        <v>A</v>
      </c>
      <c r="AM13" s="3">
        <v>248</v>
      </c>
      <c r="AN13" s="3" t="str">
        <f>IFERROR(MID(VLOOKUP($B13,Seqs!$A:$B,2,0),AO13,1),"")</f>
        <v>Q</v>
      </c>
      <c r="AO13" s="3">
        <v>314</v>
      </c>
      <c r="AP13" s="3" t="str">
        <f>IFERROR(MID(VLOOKUP($B13,Seqs!$A:$B,2,0),AQ13,1),"")</f>
        <v>C</v>
      </c>
      <c r="AQ13" s="3">
        <v>350</v>
      </c>
      <c r="AR13" s="3" t="str">
        <f>IFERROR(MID(VLOOKUP($B13,Seqs!$A:$B,2,0),AS13,1),"")</f>
        <v>N</v>
      </c>
      <c r="AS13" s="3">
        <v>354</v>
      </c>
      <c r="AT13" s="3" t="str">
        <f>IFERROR(MID(VLOOKUP($B13,Seqs!$A:$B,2,0),AU13,1),"")</f>
        <v>F</v>
      </c>
      <c r="AU13" s="3">
        <v>383</v>
      </c>
      <c r="AV13" s="3" t="str">
        <f>IFERROR(MID(VLOOKUP($B13,Seqs!$A:$B,2,0),AW13,1),"")</f>
        <v>N</v>
      </c>
      <c r="AW13" s="3">
        <v>384</v>
      </c>
      <c r="AX13" s="3" t="str">
        <f>IFERROR(MID(VLOOKUP($B13,Seqs!$A:$B,2,0),AY13,1),"")</f>
        <v>I</v>
      </c>
      <c r="AY13" s="3">
        <v>395</v>
      </c>
      <c r="AZ13" s="77" t="str">
        <f>VLOOKUP(B13,Classification!A:D,2,0)</f>
        <v>A</v>
      </c>
      <c r="BA13" s="94" t="str">
        <f>VLOOKUP(B13,Classification!A:D,4,0)</f>
        <v>5-Hydroxytryptamine</v>
      </c>
      <c r="BB13" s="27" t="b">
        <f t="shared" si="1"/>
        <v>1</v>
      </c>
      <c r="BC13" s="23">
        <f t="shared" si="2"/>
        <v>254</v>
      </c>
      <c r="BD13" s="4" t="s">
        <v>23</v>
      </c>
      <c r="BE13" s="3" t="s">
        <v>1438</v>
      </c>
      <c r="BF13" s="119">
        <v>2.8</v>
      </c>
      <c r="BG13" s="49" t="s">
        <v>1383</v>
      </c>
      <c r="BH13" s="49" t="s">
        <v>1383</v>
      </c>
      <c r="BI13" s="1"/>
      <c r="BJ13" s="70" t="s">
        <v>1293</v>
      </c>
      <c r="BK13" s="57" t="s">
        <v>1293</v>
      </c>
      <c r="BL13" s="57" t="s">
        <v>1293</v>
      </c>
      <c r="BM13" s="57" t="s">
        <v>1293</v>
      </c>
      <c r="BN13" s="57" t="s">
        <v>1293</v>
      </c>
      <c r="BO13" s="57" t="s">
        <v>1293</v>
      </c>
      <c r="BP13" s="57" t="s">
        <v>1293</v>
      </c>
      <c r="BQ13" s="57" t="s">
        <v>1293</v>
      </c>
      <c r="BR13" s="57" t="s">
        <v>1293</v>
      </c>
      <c r="BS13" s="57" t="s">
        <v>1293</v>
      </c>
      <c r="BT13" s="57" t="s">
        <v>1293</v>
      </c>
      <c r="BU13" s="57" t="s">
        <v>1293</v>
      </c>
      <c r="BV13" s="70">
        <f t="shared" si="3"/>
        <v>53</v>
      </c>
      <c r="BW13" s="71">
        <f t="shared" si="4"/>
        <v>83</v>
      </c>
      <c r="BX13" s="72">
        <f t="shared" si="5"/>
        <v>87</v>
      </c>
      <c r="BY13" s="71">
        <f t="shared" si="6"/>
        <v>120</v>
      </c>
      <c r="BZ13" s="72">
        <f t="shared" si="7"/>
        <v>124</v>
      </c>
      <c r="CA13" s="71" t="str">
        <f t="shared" si="8"/>
        <v>-</v>
      </c>
      <c r="CB13" s="72">
        <f t="shared" si="9"/>
        <v>164</v>
      </c>
      <c r="CC13" s="71">
        <f t="shared" si="10"/>
        <v>207</v>
      </c>
      <c r="CD13" s="72">
        <f t="shared" si="11"/>
        <v>214</v>
      </c>
      <c r="CE13" s="71">
        <f t="shared" si="12"/>
        <v>314</v>
      </c>
      <c r="CF13" s="72">
        <f t="shared" si="13"/>
        <v>354</v>
      </c>
      <c r="CG13" s="71">
        <f t="shared" si="14"/>
        <v>384</v>
      </c>
      <c r="CH13" s="70">
        <f t="shared" si="15"/>
        <v>82</v>
      </c>
      <c r="CI13" s="71">
        <f t="shared" si="16"/>
        <v>86</v>
      </c>
      <c r="CJ13" s="72">
        <f t="shared" si="17"/>
        <v>117</v>
      </c>
      <c r="CK13" s="72">
        <f t="shared" si="18"/>
        <v>123</v>
      </c>
      <c r="CL13" s="72">
        <f t="shared" si="19"/>
        <v>159</v>
      </c>
      <c r="CM13" s="72" t="str">
        <f t="shared" si="20"/>
        <v>-</v>
      </c>
      <c r="CN13" s="72">
        <f t="shared" si="21"/>
        <v>194</v>
      </c>
      <c r="CO13" s="72">
        <f t="shared" si="22"/>
        <v>209</v>
      </c>
      <c r="CP13" s="72">
        <f t="shared" si="23"/>
        <v>248</v>
      </c>
      <c r="CQ13" s="72">
        <f t="shared" si="24"/>
        <v>350</v>
      </c>
      <c r="CR13" s="72">
        <f t="shared" si="25"/>
        <v>383</v>
      </c>
      <c r="CS13" s="72">
        <f t="shared" si="26"/>
        <v>395</v>
      </c>
      <c r="CT13" s="23">
        <f t="shared" si="27"/>
        <v>1</v>
      </c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</row>
    <row r="14" spans="1:1029" x14ac:dyDescent="0.2">
      <c r="A14" s="3" t="str">
        <f t="shared" ref="A14:A25" si="84">CONCATENATE(B14,"_",C14)</f>
        <v>5ht2b_human_5TUD</v>
      </c>
      <c r="B14" s="3" t="s">
        <v>35</v>
      </c>
      <c r="C14" s="3" t="s">
        <v>1437</v>
      </c>
      <c r="D14" s="3" t="str">
        <f>IFERROR(MID(VLOOKUP($B14,Seqs!$A:$B,2,0),E14,1),"")</f>
        <v>A</v>
      </c>
      <c r="E14" s="3">
        <v>57</v>
      </c>
      <c r="F14" s="3" t="str">
        <f>IFERROR(MID(VLOOKUP($B14,Seqs!$A:$B,2,0),G14,1),"")</f>
        <v>E</v>
      </c>
      <c r="G14" s="3">
        <v>82</v>
      </c>
      <c r="H14" s="3" t="str">
        <f>IFERROR(MID(VLOOKUP($B14,Seqs!$A:$B,2,0),I14,1),"")</f>
        <v>K</v>
      </c>
      <c r="I14" s="23">
        <v>83</v>
      </c>
      <c r="J14" s="3" t="str">
        <f>IFERROR(MID(VLOOKUP($B14,Seqs!$A:$B,2,0),K14,1),"")</f>
        <v>Q</v>
      </c>
      <c r="K14" s="23">
        <v>86</v>
      </c>
      <c r="L14" s="3" t="str">
        <f>IFERROR(MID(VLOOKUP($B14,Seqs!$A:$B,2,0),M14,1),"")</f>
        <v>Y</v>
      </c>
      <c r="M14" s="3">
        <v>87</v>
      </c>
      <c r="N14" s="3" t="str">
        <f>IFERROR(MID(VLOOKUP($B14,Seqs!$A:$B,2,0),O14,1),"")</f>
        <v>F</v>
      </c>
      <c r="O14" s="3">
        <v>117</v>
      </c>
      <c r="P14" s="3" t="str">
        <f>IFERROR(MID(VLOOKUP($B14,Seqs!$A:$B,2,0),Q14,1),"")</f>
        <v>M</v>
      </c>
      <c r="Q14" s="3">
        <v>120</v>
      </c>
      <c r="R14" s="3" t="str">
        <f>IFERROR(MID(VLOOKUP($B14,Seqs!$A:$B,2,0),S14,1),"")</f>
        <v>L</v>
      </c>
      <c r="S14" s="3">
        <v>123</v>
      </c>
      <c r="T14" s="3" t="str">
        <f>IFERROR(MID(VLOOKUP($B14,Seqs!$A:$B,2,0),U14,1),"")</f>
        <v>P</v>
      </c>
      <c r="U14" s="3">
        <v>124</v>
      </c>
      <c r="V14" s="3" t="str">
        <f>IFERROR(MID(VLOOKUP($B14,Seqs!$A:$B,2,0),W14,1),"")</f>
        <v>K</v>
      </c>
      <c r="W14" s="3">
        <v>159</v>
      </c>
      <c r="X14" s="3" t="str">
        <f>IFERROR(MID(VLOOKUP($B14,Seqs!$A:$B,2,0),Y14,1),"")</f>
        <v/>
      </c>
      <c r="Y14" s="3" t="s">
        <v>23</v>
      </c>
      <c r="Z14" s="3" t="str">
        <f>IFERROR(MID(VLOOKUP($B14,Seqs!$A:$B,2,0),AA14,1),"")</f>
        <v/>
      </c>
      <c r="AA14" s="3" t="s">
        <v>23</v>
      </c>
      <c r="AB14" s="3" t="str">
        <f>IFERROR(MID(VLOOKUP($B14,Seqs!$A:$B,2,0),AC14,1),"")</f>
        <v>N</v>
      </c>
      <c r="AC14" s="3">
        <v>164</v>
      </c>
      <c r="AD14" s="3" t="str">
        <f>IFERROR(MID(VLOOKUP($B14,Seqs!$A:$B,2,0),AE14,1),"")</f>
        <v>K</v>
      </c>
      <c r="AE14" s="3">
        <v>193</v>
      </c>
      <c r="AF14" s="3" t="str">
        <f>IFERROR(MID(VLOOKUP($B14,Seqs!$A:$B,2,0),AG14,1),"")</f>
        <v>C</v>
      </c>
      <c r="AG14" s="3">
        <v>207</v>
      </c>
      <c r="AH14" s="3" t="str">
        <f>IFERROR(MID(VLOOKUP($B14,Seqs!$A:$B,2,0),AI14,1),"")</f>
        <v>L</v>
      </c>
      <c r="AI14" s="3">
        <v>209</v>
      </c>
      <c r="AJ14" s="3" t="str">
        <f>IFERROR(MID(VLOOKUP($B14,Seqs!$A:$B,2,0),AK14,1),"")</f>
        <v>F</v>
      </c>
      <c r="AK14" s="3">
        <v>214</v>
      </c>
      <c r="AL14" s="3" t="str">
        <f>IFERROR(MID(VLOOKUP($B14,Seqs!$A:$B,2,0),AM14,1),"")</f>
        <v>A</v>
      </c>
      <c r="AM14" s="3">
        <v>248</v>
      </c>
      <c r="AN14" s="3" t="str">
        <f>IFERROR(MID(VLOOKUP($B14,Seqs!$A:$B,2,0),AO14,1),"")</f>
        <v>Q</v>
      </c>
      <c r="AO14" s="3">
        <v>314</v>
      </c>
      <c r="AP14" s="3" t="str">
        <f>IFERROR(MID(VLOOKUP($B14,Seqs!$A:$B,2,0),AQ14,1),"")</f>
        <v>C</v>
      </c>
      <c r="AQ14" s="3">
        <v>350</v>
      </c>
      <c r="AR14" s="3" t="str">
        <f>IFERROR(MID(VLOOKUP($B14,Seqs!$A:$B,2,0),AS14,1),"")</f>
        <v>N</v>
      </c>
      <c r="AS14" s="3">
        <v>354</v>
      </c>
      <c r="AT14" s="3" t="str">
        <f>IFERROR(MID(VLOOKUP($B14,Seqs!$A:$B,2,0),AU14,1),"")</f>
        <v>L</v>
      </c>
      <c r="AU14" s="3">
        <v>382</v>
      </c>
      <c r="AV14" s="3" t="str">
        <f>IFERROR(MID(VLOOKUP($B14,Seqs!$A:$B,2,0),AW14,1),"")</f>
        <v>N</v>
      </c>
      <c r="AW14" s="3">
        <v>384</v>
      </c>
      <c r="AX14" s="3" t="str">
        <f>IFERROR(MID(VLOOKUP($B14,Seqs!$A:$B,2,0),AY14,1),"")</f>
        <v>T</v>
      </c>
      <c r="AY14" s="3">
        <v>396</v>
      </c>
      <c r="AZ14" s="77" t="str">
        <f>VLOOKUP(B14,Classification!A:D,2,0)</f>
        <v>A</v>
      </c>
      <c r="BA14" s="94" t="str">
        <f>VLOOKUP(B14,Classification!A:D,4,0)</f>
        <v>5-Hydroxytryptamine</v>
      </c>
      <c r="BB14" s="27" t="b">
        <f t="shared" ref="BB14:BB25" si="85">AND(E14&lt;G14,OR(G14&lt;I14,I14="-"),OR(I14&lt;K14,I14="-"),OR(K14&lt;M14,K14="-"),M14&lt;O14,OR(O14&lt;Q14,Q14="-"),OR(Q14&lt;S14,Q14="-"),OR(S14&lt;U14,S14="-"),U14&lt;W14,OR(W14&lt;Y14,Y14="-"),OR(Y14&lt;AA14,Y14="-"),OR(AA14&lt;AC14,AA14="-"),AC14&lt;AE14,OR(AE14&lt;AG14,AG14="-"),OR(AG14&lt;AI14,AG14="-"),OR(AI14&lt;AK14,AI14="-"),AK14&lt;AM14,AM14&lt;AO14,AO14&lt;AQ14,AQ14&lt;AS14,AS14&lt;AU14,OR(AU14&lt;AW14,AW14="-"),OR(AW14&lt;AY14,AW14="-"))</f>
        <v>1</v>
      </c>
      <c r="BC14" s="23">
        <f t="shared" ref="BC14:BC25" si="86">_xlfn.AGGREGATE(9,6,CH14:CS14)-_xlfn.AGGREGATE(9,6,BV14:CG14)+12</f>
        <v>249</v>
      </c>
      <c r="BD14" s="4" t="s">
        <v>1381</v>
      </c>
      <c r="BE14" s="3" t="s">
        <v>1297</v>
      </c>
      <c r="BF14" s="119">
        <v>3</v>
      </c>
      <c r="BG14" s="49" t="s">
        <v>1383</v>
      </c>
      <c r="BH14" s="49" t="s">
        <v>1383</v>
      </c>
      <c r="BI14" s="1"/>
      <c r="BJ14" s="70" t="s">
        <v>1293</v>
      </c>
      <c r="BK14" s="57" t="s">
        <v>1293</v>
      </c>
      <c r="BL14" s="57" t="s">
        <v>1293</v>
      </c>
      <c r="BM14" s="57" t="s">
        <v>1293</v>
      </c>
      <c r="BN14" s="57" t="s">
        <v>1293</v>
      </c>
      <c r="BO14" s="57" t="s">
        <v>1293</v>
      </c>
      <c r="BP14" s="57" t="s">
        <v>1293</v>
      </c>
      <c r="BQ14" s="57" t="s">
        <v>1293</v>
      </c>
      <c r="BR14" s="57" t="s">
        <v>1293</v>
      </c>
      <c r="BS14" s="57" t="s">
        <v>1293</v>
      </c>
      <c r="BT14" s="57" t="s">
        <v>1293</v>
      </c>
      <c r="BU14" s="57" t="s">
        <v>1293</v>
      </c>
      <c r="BV14" s="70">
        <f t="shared" ref="BV14:BV25" si="87">E14</f>
        <v>57</v>
      </c>
      <c r="BW14" s="71">
        <f t="shared" ref="BW14:BW25" si="88">I14</f>
        <v>83</v>
      </c>
      <c r="BX14" s="72">
        <f t="shared" ref="BX14:BX25" si="89">M14</f>
        <v>87</v>
      </c>
      <c r="BY14" s="71">
        <f t="shared" ref="BY14:BY25" si="90">Q14</f>
        <v>120</v>
      </c>
      <c r="BZ14" s="72">
        <f t="shared" ref="BZ14:BZ25" si="91">U14</f>
        <v>124</v>
      </c>
      <c r="CA14" s="71" t="str">
        <f t="shared" ref="CA14:CA25" si="92">Y14</f>
        <v>-</v>
      </c>
      <c r="CB14" s="72">
        <f t="shared" ref="CB14:CB25" si="93">AC14</f>
        <v>164</v>
      </c>
      <c r="CC14" s="71">
        <f t="shared" ref="CC14:CC25" si="94">AG14</f>
        <v>207</v>
      </c>
      <c r="CD14" s="72">
        <f t="shared" ref="CD14:CD25" si="95">AK14</f>
        <v>214</v>
      </c>
      <c r="CE14" s="71">
        <f t="shared" ref="CE14:CE25" si="96">AO14</f>
        <v>314</v>
      </c>
      <c r="CF14" s="72">
        <f t="shared" ref="CF14:CF25" si="97">AS14</f>
        <v>354</v>
      </c>
      <c r="CG14" s="71">
        <f t="shared" ref="CG14:CG25" si="98">AW14</f>
        <v>384</v>
      </c>
      <c r="CH14" s="70">
        <f t="shared" ref="CH14:CH25" si="99">G14</f>
        <v>82</v>
      </c>
      <c r="CI14" s="71">
        <f t="shared" ref="CI14:CI25" si="100">K14</f>
        <v>86</v>
      </c>
      <c r="CJ14" s="72">
        <f t="shared" ref="CJ14:CJ25" si="101">O14</f>
        <v>117</v>
      </c>
      <c r="CK14" s="72">
        <f t="shared" ref="CK14:CK25" si="102">S14</f>
        <v>123</v>
      </c>
      <c r="CL14" s="72">
        <f t="shared" ref="CL14:CL25" si="103">W14</f>
        <v>159</v>
      </c>
      <c r="CM14" s="72" t="str">
        <f t="shared" ref="CM14:CM25" si="104">AA14</f>
        <v>-</v>
      </c>
      <c r="CN14" s="72">
        <f t="shared" ref="CN14:CN25" si="105">AE14</f>
        <v>193</v>
      </c>
      <c r="CO14" s="72">
        <f t="shared" ref="CO14:CO25" si="106">AI14</f>
        <v>209</v>
      </c>
      <c r="CP14" s="72">
        <f t="shared" ref="CP14:CP25" si="107">AM14</f>
        <v>248</v>
      </c>
      <c r="CQ14" s="72">
        <f t="shared" ref="CQ14:CQ25" si="108">AQ14</f>
        <v>350</v>
      </c>
      <c r="CR14" s="72">
        <f t="shared" ref="CR14:CR25" si="109">AU14</f>
        <v>382</v>
      </c>
      <c r="CS14" s="72">
        <f t="shared" ref="CS14:CS25" si="110">AY14</f>
        <v>396</v>
      </c>
      <c r="CT14" s="23">
        <f t="shared" ref="CT14:CT25" si="111">M14-K14</f>
        <v>1</v>
      </c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  <c r="ADW14" s="1"/>
      <c r="ADX14" s="1"/>
      <c r="ADY14" s="1"/>
      <c r="ADZ14" s="1"/>
      <c r="AEA14" s="1"/>
      <c r="AEB14" s="1"/>
      <c r="AEC14" s="1"/>
      <c r="AED14" s="1"/>
      <c r="AEE14" s="1"/>
      <c r="AEF14" s="1"/>
      <c r="AEG14" s="1"/>
      <c r="AEH14" s="1"/>
      <c r="AEI14" s="1"/>
      <c r="AEJ14" s="1"/>
      <c r="AEK14" s="1"/>
      <c r="AEL14" s="1"/>
      <c r="AEM14" s="1"/>
      <c r="AEN14" s="1"/>
      <c r="AEO14" s="1"/>
      <c r="AEP14" s="1"/>
      <c r="AEQ14" s="1"/>
      <c r="AER14" s="1"/>
      <c r="AES14" s="1"/>
      <c r="AET14" s="1"/>
      <c r="AEU14" s="1"/>
      <c r="AEV14" s="1"/>
      <c r="AEW14" s="1"/>
      <c r="AEX14" s="1"/>
      <c r="AEY14" s="1"/>
      <c r="AEZ14" s="1"/>
      <c r="AFA14" s="1"/>
      <c r="AFB14" s="1"/>
      <c r="AFC14" s="1"/>
      <c r="AFD14" s="1"/>
      <c r="AFE14" s="1"/>
      <c r="AFF14" s="1"/>
      <c r="AFG14" s="1"/>
      <c r="AFH14" s="1"/>
      <c r="AFI14" s="1"/>
      <c r="AFJ14" s="1"/>
      <c r="AFK14" s="1"/>
      <c r="AFL14" s="1"/>
      <c r="AFM14" s="1"/>
      <c r="AFN14" s="1"/>
      <c r="AFO14" s="1"/>
      <c r="AFP14" s="1"/>
      <c r="AFQ14" s="1"/>
      <c r="AFR14" s="1"/>
      <c r="AFS14" s="1"/>
      <c r="AFT14" s="1"/>
      <c r="AFU14" s="1"/>
      <c r="AFV14" s="1"/>
      <c r="AFW14" s="1"/>
      <c r="AFX14" s="1"/>
      <c r="AFY14" s="1"/>
      <c r="AFZ14" s="1"/>
      <c r="AGA14" s="1"/>
      <c r="AGB14" s="1"/>
      <c r="AGC14" s="1"/>
      <c r="AGD14" s="1"/>
      <c r="AGE14" s="1"/>
      <c r="AGF14" s="1"/>
      <c r="AGG14" s="1"/>
      <c r="AGH14" s="1"/>
      <c r="AGI14" s="1"/>
      <c r="AGJ14" s="1"/>
      <c r="AGK14" s="1"/>
      <c r="AGL14" s="1"/>
      <c r="AGM14" s="1"/>
      <c r="AGN14" s="1"/>
      <c r="AGO14" s="1"/>
      <c r="AGP14" s="1"/>
      <c r="AGQ14" s="1"/>
      <c r="AGR14" s="1"/>
      <c r="AGS14" s="1"/>
      <c r="AGT14" s="1"/>
      <c r="AGU14" s="1"/>
      <c r="AGV14" s="1"/>
      <c r="AGW14" s="1"/>
      <c r="AGX14" s="1"/>
      <c r="AGY14" s="1"/>
      <c r="AGZ14" s="1"/>
      <c r="AHA14" s="1"/>
      <c r="AHB14" s="1"/>
      <c r="AHC14" s="1"/>
      <c r="AHD14" s="1"/>
      <c r="AHE14" s="1"/>
      <c r="AHF14" s="1"/>
      <c r="AHG14" s="1"/>
      <c r="AHH14" s="1"/>
      <c r="AHI14" s="1"/>
      <c r="AHJ14" s="1"/>
      <c r="AHK14" s="1"/>
      <c r="AHL14" s="1"/>
      <c r="AHM14" s="1"/>
      <c r="AHN14" s="1"/>
      <c r="AHO14" s="1"/>
      <c r="AHP14" s="1"/>
      <c r="AHQ14" s="1"/>
      <c r="AHR14" s="1"/>
      <c r="AHS14" s="1"/>
      <c r="AHT14" s="1"/>
      <c r="AHU14" s="1"/>
      <c r="AHV14" s="1"/>
      <c r="AHW14" s="1"/>
      <c r="AHX14" s="1"/>
      <c r="AHY14" s="1"/>
      <c r="AHZ14" s="1"/>
      <c r="AIA14" s="1"/>
      <c r="AIB14" s="1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1"/>
      <c r="AIQ14" s="1"/>
      <c r="AIR14" s="1"/>
      <c r="AIS14" s="1"/>
      <c r="AIT14" s="1"/>
      <c r="AIU14" s="1"/>
      <c r="AIV14" s="1"/>
      <c r="AIW14" s="1"/>
      <c r="AIX14" s="1"/>
      <c r="AIY14" s="1"/>
      <c r="AIZ14" s="1"/>
      <c r="AJA14" s="1"/>
      <c r="AJB14" s="1"/>
      <c r="AJC14" s="1"/>
      <c r="AJD14" s="1"/>
      <c r="AJE14" s="1"/>
      <c r="AJF14" s="1"/>
      <c r="AJG14" s="1"/>
      <c r="AJH14" s="1"/>
      <c r="AJI14" s="1"/>
      <c r="AJJ14" s="1"/>
      <c r="AJK14" s="1"/>
      <c r="AJL14" s="1"/>
      <c r="AJM14" s="1"/>
      <c r="AJN14" s="1"/>
      <c r="AJO14" s="1"/>
      <c r="AJP14" s="1"/>
      <c r="AJQ14" s="1"/>
      <c r="AJR14" s="1"/>
      <c r="AJS14" s="1"/>
      <c r="AJT14" s="1"/>
      <c r="AJU14" s="1"/>
      <c r="AJV14" s="1"/>
      <c r="AJW14" s="1"/>
      <c r="AJX14" s="1"/>
      <c r="AJY14" s="1"/>
      <c r="AJZ14" s="1"/>
      <c r="AKA14" s="1"/>
      <c r="AKB14" s="1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1"/>
      <c r="AKN14" s="1"/>
      <c r="AKO14" s="1"/>
      <c r="AKP14" s="1"/>
      <c r="AKQ14" s="1"/>
      <c r="AKR14" s="1"/>
      <c r="AKS14" s="1"/>
      <c r="AKT14" s="1"/>
      <c r="AKU14" s="1"/>
      <c r="AKV14" s="1"/>
      <c r="AKW14" s="1"/>
      <c r="AKX14" s="1"/>
      <c r="AKY14" s="1"/>
      <c r="AKZ14" s="1"/>
      <c r="ALA14" s="1"/>
      <c r="ALB14" s="1"/>
      <c r="ALC14" s="1"/>
      <c r="ALD14" s="1"/>
      <c r="ALE14" s="1"/>
      <c r="ALF14" s="1"/>
      <c r="ALG14" s="1"/>
      <c r="ALH14" s="1"/>
      <c r="ALI14" s="1"/>
      <c r="ALJ14" s="1"/>
      <c r="ALK14" s="1"/>
      <c r="ALL14" s="1"/>
      <c r="ALM14" s="1"/>
      <c r="ALN14" s="1"/>
      <c r="ALO14" s="1"/>
      <c r="ALP14" s="1"/>
      <c r="ALQ14" s="1"/>
      <c r="ALR14" s="1"/>
      <c r="ALS14" s="1"/>
      <c r="ALT14" s="1"/>
      <c r="ALU14" s="1"/>
      <c r="ALV14" s="1"/>
      <c r="ALW14" s="1"/>
      <c r="ALX14" s="1"/>
      <c r="ALY14" s="1"/>
      <c r="ALZ14" s="1"/>
      <c r="AMA14" s="1"/>
      <c r="AMB14" s="1"/>
      <c r="AMC14" s="1"/>
      <c r="AMD14" s="1"/>
      <c r="AME14" s="1"/>
      <c r="AMF14" s="1"/>
      <c r="AMG14" s="1"/>
      <c r="AMH14" s="1"/>
      <c r="AMI14" s="1"/>
      <c r="AMJ14" s="1"/>
      <c r="AMK14" s="1"/>
      <c r="AML14" s="1"/>
      <c r="AMM14" s="1"/>
      <c r="AMN14" s="1"/>
      <c r="AMO14" s="1"/>
    </row>
    <row r="15" spans="1:1029" x14ac:dyDescent="0.2">
      <c r="A15" s="3" t="str">
        <f t="shared" si="84"/>
        <v>5ht2b_human_5TVN</v>
      </c>
      <c r="B15" s="3" t="s">
        <v>35</v>
      </c>
      <c r="C15" s="3" t="s">
        <v>1392</v>
      </c>
      <c r="D15" s="3" t="str">
        <f>IFERROR(MID(VLOOKUP($B15,Seqs!$A:$B,2,0),E15,1),"")</f>
        <v>K</v>
      </c>
      <c r="E15" s="3">
        <v>53</v>
      </c>
      <c r="F15" s="3" t="str">
        <f>IFERROR(MID(VLOOKUP($B15,Seqs!$A:$B,2,0),G15,1),"")</f>
        <v>E</v>
      </c>
      <c r="G15" s="3">
        <v>82</v>
      </c>
      <c r="H15" s="3" t="str">
        <f>IFERROR(MID(VLOOKUP($B15,Seqs!$A:$B,2,0),I15,1),"")</f>
        <v>K</v>
      </c>
      <c r="I15" s="23">
        <v>83</v>
      </c>
      <c r="J15" s="3" t="str">
        <f>IFERROR(MID(VLOOKUP($B15,Seqs!$A:$B,2,0),K15,1),"")</f>
        <v>Q</v>
      </c>
      <c r="K15" s="23">
        <v>86</v>
      </c>
      <c r="L15" s="3" t="str">
        <f>IFERROR(MID(VLOOKUP($B15,Seqs!$A:$B,2,0),M15,1),"")</f>
        <v>Y</v>
      </c>
      <c r="M15" s="3">
        <v>87</v>
      </c>
      <c r="N15" s="3" t="str">
        <f>IFERROR(MID(VLOOKUP($B15,Seqs!$A:$B,2,0),O15,1),"")</f>
        <v>F</v>
      </c>
      <c r="O15" s="3">
        <v>117</v>
      </c>
      <c r="P15" s="3" t="str">
        <f>IFERROR(MID(VLOOKUP($B15,Seqs!$A:$B,2,0),Q15,1),"")</f>
        <v>M</v>
      </c>
      <c r="Q15" s="3">
        <v>120</v>
      </c>
      <c r="R15" s="3" t="str">
        <f>IFERROR(MID(VLOOKUP($B15,Seqs!$A:$B,2,0),S15,1),"")</f>
        <v>L</v>
      </c>
      <c r="S15" s="3">
        <v>123</v>
      </c>
      <c r="T15" s="3" t="str">
        <f>IFERROR(MID(VLOOKUP($B15,Seqs!$A:$B,2,0),U15,1),"")</f>
        <v>P</v>
      </c>
      <c r="U15" s="3">
        <v>124</v>
      </c>
      <c r="V15" s="3" t="str">
        <f>IFERROR(MID(VLOOKUP($B15,Seqs!$A:$B,2,0),W15,1),"")</f>
        <v>K</v>
      </c>
      <c r="W15" s="3">
        <v>159</v>
      </c>
      <c r="X15" s="3" t="str">
        <f>IFERROR(MID(VLOOKUP($B15,Seqs!$A:$B,2,0),Y15,1),"")</f>
        <v/>
      </c>
      <c r="Y15" s="3" t="s">
        <v>23</v>
      </c>
      <c r="Z15" s="3" t="str">
        <f>IFERROR(MID(VLOOKUP($B15,Seqs!$A:$B,2,0),AA15,1),"")</f>
        <v/>
      </c>
      <c r="AA15" s="3" t="s">
        <v>23</v>
      </c>
      <c r="AB15" s="3" t="str">
        <f>IFERROR(MID(VLOOKUP($B15,Seqs!$A:$B,2,0),AC15,1),"")</f>
        <v>S</v>
      </c>
      <c r="AC15" s="3">
        <v>168</v>
      </c>
      <c r="AD15" s="3" t="str">
        <f>IFERROR(MID(VLOOKUP($B15,Seqs!$A:$B,2,0),AE15,1),"")</f>
        <v>G</v>
      </c>
      <c r="AE15" s="3">
        <v>194</v>
      </c>
      <c r="AF15" s="3" t="str">
        <f>IFERROR(MID(VLOOKUP($B15,Seqs!$A:$B,2,0),AG15,1),"")</f>
        <v>C</v>
      </c>
      <c r="AG15" s="3">
        <v>207</v>
      </c>
      <c r="AH15" s="3" t="str">
        <f>IFERROR(MID(VLOOKUP($B15,Seqs!$A:$B,2,0),AI15,1),"")</f>
        <v>L</v>
      </c>
      <c r="AI15" s="3">
        <v>209</v>
      </c>
      <c r="AJ15" s="3" t="str">
        <f>IFERROR(MID(VLOOKUP($B15,Seqs!$A:$B,2,0),AK15,1),"")</f>
        <v>F</v>
      </c>
      <c r="AK15" s="3">
        <v>214</v>
      </c>
      <c r="AL15" s="3" t="str">
        <f>IFERROR(MID(VLOOKUP($B15,Seqs!$A:$B,2,0),AM15,1),"")</f>
        <v>A</v>
      </c>
      <c r="AM15" s="3">
        <v>248</v>
      </c>
      <c r="AN15" s="3" t="str">
        <f>IFERROR(MID(VLOOKUP($B15,Seqs!$A:$B,2,0),AO15,1),"")</f>
        <v>V</v>
      </c>
      <c r="AO15" s="3">
        <v>313</v>
      </c>
      <c r="AP15" s="3" t="str">
        <f>IFERROR(MID(VLOOKUP($B15,Seqs!$A:$B,2,0),AQ15,1),"")</f>
        <v>C</v>
      </c>
      <c r="AQ15" s="3">
        <v>350</v>
      </c>
      <c r="AR15" s="3" t="str">
        <f>IFERROR(MID(VLOOKUP($B15,Seqs!$A:$B,2,0),AS15,1),"")</f>
        <v>N</v>
      </c>
      <c r="AS15" s="3">
        <v>354</v>
      </c>
      <c r="AT15" s="3" t="str">
        <f>IFERROR(MID(VLOOKUP($B15,Seqs!$A:$B,2,0),AU15,1),"")</f>
        <v>F</v>
      </c>
      <c r="AU15" s="3">
        <v>383</v>
      </c>
      <c r="AV15" s="3" t="str">
        <f>IFERROR(MID(VLOOKUP($B15,Seqs!$A:$B,2,0),AW15,1),"")</f>
        <v>N</v>
      </c>
      <c r="AW15" s="3">
        <v>384</v>
      </c>
      <c r="AX15" s="3" t="str">
        <f>IFERROR(MID(VLOOKUP($B15,Seqs!$A:$B,2,0),AY15,1),"")</f>
        <v>I</v>
      </c>
      <c r="AY15" s="3">
        <v>395</v>
      </c>
      <c r="AZ15" s="77" t="str">
        <f>VLOOKUP(B15,Classification!A:D,2,0)</f>
        <v>A</v>
      </c>
      <c r="BA15" s="94" t="str">
        <f>VLOOKUP(B15,Classification!A:D,4,0)</f>
        <v>5-Hydroxytryptamine</v>
      </c>
      <c r="BB15" s="27" t="b">
        <f t="shared" si="85"/>
        <v>1</v>
      </c>
      <c r="BC15" s="23">
        <f t="shared" si="86"/>
        <v>251</v>
      </c>
      <c r="BD15" s="4" t="s">
        <v>23</v>
      </c>
      <c r="BE15" s="3" t="s">
        <v>1438</v>
      </c>
      <c r="BF15" s="119">
        <v>2.9</v>
      </c>
      <c r="BG15" s="49" t="s">
        <v>1383</v>
      </c>
      <c r="BH15" s="49" t="s">
        <v>1383</v>
      </c>
      <c r="BI15" s="1"/>
      <c r="BJ15" s="70" t="s">
        <v>1293</v>
      </c>
      <c r="BK15" s="57" t="s">
        <v>1293</v>
      </c>
      <c r="BL15" s="57" t="s">
        <v>1293</v>
      </c>
      <c r="BM15" s="57" t="s">
        <v>1293</v>
      </c>
      <c r="BN15" s="57" t="s">
        <v>1293</v>
      </c>
      <c r="BO15" s="57" t="s">
        <v>1293</v>
      </c>
      <c r="BP15" s="57" t="s">
        <v>1293</v>
      </c>
      <c r="BQ15" s="57" t="s">
        <v>1293</v>
      </c>
      <c r="BR15" s="57" t="s">
        <v>1293</v>
      </c>
      <c r="BS15" s="57" t="s">
        <v>1293</v>
      </c>
      <c r="BT15" s="57" t="s">
        <v>1293</v>
      </c>
      <c r="BU15" s="57" t="s">
        <v>1293</v>
      </c>
      <c r="BV15" s="70">
        <f t="shared" si="87"/>
        <v>53</v>
      </c>
      <c r="BW15" s="71">
        <f t="shared" si="88"/>
        <v>83</v>
      </c>
      <c r="BX15" s="72">
        <f t="shared" si="89"/>
        <v>87</v>
      </c>
      <c r="BY15" s="71">
        <f t="shared" si="90"/>
        <v>120</v>
      </c>
      <c r="BZ15" s="72">
        <f t="shared" si="91"/>
        <v>124</v>
      </c>
      <c r="CA15" s="71" t="str">
        <f t="shared" si="92"/>
        <v>-</v>
      </c>
      <c r="CB15" s="72">
        <f t="shared" si="93"/>
        <v>168</v>
      </c>
      <c r="CC15" s="71">
        <f t="shared" si="94"/>
        <v>207</v>
      </c>
      <c r="CD15" s="72">
        <f t="shared" si="95"/>
        <v>214</v>
      </c>
      <c r="CE15" s="71">
        <f t="shared" si="96"/>
        <v>313</v>
      </c>
      <c r="CF15" s="72">
        <f t="shared" si="97"/>
        <v>354</v>
      </c>
      <c r="CG15" s="71">
        <f t="shared" si="98"/>
        <v>384</v>
      </c>
      <c r="CH15" s="70">
        <f t="shared" si="99"/>
        <v>82</v>
      </c>
      <c r="CI15" s="71">
        <f t="shared" si="100"/>
        <v>86</v>
      </c>
      <c r="CJ15" s="72">
        <f t="shared" si="101"/>
        <v>117</v>
      </c>
      <c r="CK15" s="72">
        <f t="shared" si="102"/>
        <v>123</v>
      </c>
      <c r="CL15" s="72">
        <f t="shared" si="103"/>
        <v>159</v>
      </c>
      <c r="CM15" s="72" t="str">
        <f t="shared" si="104"/>
        <v>-</v>
      </c>
      <c r="CN15" s="72">
        <f t="shared" si="105"/>
        <v>194</v>
      </c>
      <c r="CO15" s="72">
        <f t="shared" si="106"/>
        <v>209</v>
      </c>
      <c r="CP15" s="72">
        <f t="shared" si="107"/>
        <v>248</v>
      </c>
      <c r="CQ15" s="72">
        <f t="shared" si="108"/>
        <v>350</v>
      </c>
      <c r="CR15" s="72">
        <f t="shared" si="109"/>
        <v>383</v>
      </c>
      <c r="CS15" s="72">
        <f t="shared" si="110"/>
        <v>395</v>
      </c>
      <c r="CT15" s="23">
        <f t="shared" si="111"/>
        <v>1</v>
      </c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  <c r="ADW15" s="1"/>
      <c r="ADX15" s="1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1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1"/>
      <c r="AFE15" s="1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1"/>
      <c r="AFW15" s="1"/>
      <c r="AFX15" s="1"/>
      <c r="AFY15" s="1"/>
      <c r="AFZ15" s="1"/>
      <c r="AGA15" s="1"/>
      <c r="AGB15" s="1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1"/>
      <c r="AHD15" s="1"/>
      <c r="AHE15" s="1"/>
      <c r="AHF15" s="1"/>
      <c r="AHG15" s="1"/>
      <c r="AHH15" s="1"/>
      <c r="AHI15" s="1"/>
      <c r="AHJ15" s="1"/>
      <c r="AHK15" s="1"/>
      <c r="AHL15" s="1"/>
      <c r="AHM15" s="1"/>
      <c r="AHN15" s="1"/>
      <c r="AHO15" s="1"/>
      <c r="AHP15" s="1"/>
      <c r="AHQ15" s="1"/>
      <c r="AHR15" s="1"/>
      <c r="AHS15" s="1"/>
      <c r="AHT15" s="1"/>
      <c r="AHU15" s="1"/>
      <c r="AHV15" s="1"/>
      <c r="AHW15" s="1"/>
      <c r="AHX15" s="1"/>
      <c r="AHY15" s="1"/>
      <c r="AHZ15" s="1"/>
      <c r="AIA15" s="1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1"/>
      <c r="AIQ15" s="1"/>
      <c r="AIR15" s="1"/>
      <c r="AIS15" s="1"/>
      <c r="AIT15" s="1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1"/>
      <c r="AJH15" s="1"/>
      <c r="AJI15" s="1"/>
      <c r="AJJ15" s="1"/>
      <c r="AJK15" s="1"/>
      <c r="AJL15" s="1"/>
      <c r="AJM15" s="1"/>
      <c r="AJN15" s="1"/>
      <c r="AJO15" s="1"/>
      <c r="AJP15" s="1"/>
      <c r="AJQ15" s="1"/>
      <c r="AJR15" s="1"/>
      <c r="AJS15" s="1"/>
      <c r="AJT15" s="1"/>
      <c r="AJU15" s="1"/>
      <c r="AJV15" s="1"/>
      <c r="AJW15" s="1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1"/>
      <c r="AKR15" s="1"/>
      <c r="AKS15" s="1"/>
      <c r="AKT15" s="1"/>
      <c r="AKU15" s="1"/>
      <c r="AKV15" s="1"/>
      <c r="AKW15" s="1"/>
      <c r="AKX15" s="1"/>
      <c r="AKY15" s="1"/>
      <c r="AKZ15" s="1"/>
      <c r="ALA15" s="1"/>
      <c r="ALB15" s="1"/>
      <c r="ALC15" s="1"/>
      <c r="ALD15" s="1"/>
      <c r="ALE15" s="1"/>
      <c r="ALF15" s="1"/>
      <c r="ALG15" s="1"/>
      <c r="ALH15" s="1"/>
      <c r="ALI15" s="1"/>
      <c r="ALJ15" s="1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1"/>
      <c r="AMA15" s="1"/>
      <c r="AMB15" s="1"/>
      <c r="AMC15" s="1"/>
      <c r="AMD15" s="1"/>
      <c r="AME15" s="1"/>
      <c r="AMF15" s="1"/>
      <c r="AMG15" s="1"/>
      <c r="AMH15" s="1"/>
      <c r="AMI15" s="1"/>
      <c r="AMJ15" s="1"/>
      <c r="AMK15" s="1"/>
      <c r="AML15" s="1"/>
      <c r="AMM15" s="1"/>
      <c r="AMN15" s="1"/>
      <c r="AMO15" s="1"/>
    </row>
    <row r="16" spans="1:1029" s="12" customFormat="1" x14ac:dyDescent="0.2">
      <c r="A16" s="9" t="str">
        <f t="shared" ref="A16" si="112">CONCATENATE(B16,"_",C16)</f>
        <v>5ht2b_human_6DRX</v>
      </c>
      <c r="B16" s="9" t="s">
        <v>35</v>
      </c>
      <c r="C16" s="9" t="s">
        <v>1529</v>
      </c>
      <c r="D16" s="9" t="str">
        <f>IFERROR(MID(VLOOKUP($B16,Seqs!$A:$B,2,0),E16,1),"")</f>
        <v>K</v>
      </c>
      <c r="E16" s="9">
        <v>53</v>
      </c>
      <c r="F16" s="9" t="str">
        <f>IFERROR(MID(VLOOKUP($B16,Seqs!$A:$B,2,0),G16,1),"")</f>
        <v>E</v>
      </c>
      <c r="G16" s="9">
        <v>82</v>
      </c>
      <c r="H16" s="9" t="str">
        <f>IFERROR(MID(VLOOKUP($B16,Seqs!$A:$B,2,0),I16,1),"")</f>
        <v>K</v>
      </c>
      <c r="I16" s="109">
        <v>83</v>
      </c>
      <c r="J16" s="9" t="str">
        <f>IFERROR(MID(VLOOKUP($B16,Seqs!$A:$B,2,0),K16,1),"")</f>
        <v>Q</v>
      </c>
      <c r="K16" s="109">
        <v>86</v>
      </c>
      <c r="L16" s="9" t="str">
        <f>IFERROR(MID(VLOOKUP($B16,Seqs!$A:$B,2,0),M16,1),"")</f>
        <v>Y</v>
      </c>
      <c r="M16" s="9">
        <v>87</v>
      </c>
      <c r="N16" s="9" t="str">
        <f>IFERROR(MID(VLOOKUP($B16,Seqs!$A:$B,2,0),O16,1),"")</f>
        <v>F</v>
      </c>
      <c r="O16" s="9">
        <v>117</v>
      </c>
      <c r="P16" s="9" t="str">
        <f>IFERROR(MID(VLOOKUP($B16,Seqs!$A:$B,2,0),Q16,1),"")</f>
        <v>M</v>
      </c>
      <c r="Q16" s="9">
        <v>120</v>
      </c>
      <c r="R16" s="9" t="str">
        <f>IFERROR(MID(VLOOKUP($B16,Seqs!$A:$B,2,0),S16,1),"")</f>
        <v>L</v>
      </c>
      <c r="S16" s="9">
        <v>123</v>
      </c>
      <c r="T16" s="9" t="str">
        <f>IFERROR(MID(VLOOKUP($B16,Seqs!$A:$B,2,0),U16,1),"")</f>
        <v>P</v>
      </c>
      <c r="U16" s="9">
        <v>124</v>
      </c>
      <c r="V16" s="9" t="str">
        <f>IFERROR(MID(VLOOKUP($B16,Seqs!$A:$B,2,0),W16,1),"")</f>
        <v>K</v>
      </c>
      <c r="W16" s="9">
        <v>159</v>
      </c>
      <c r="X16" s="9" t="str">
        <f>IFERROR(MID(VLOOKUP($B16,Seqs!$A:$B,2,0),Y16,1),"")</f>
        <v/>
      </c>
      <c r="Y16" s="9" t="s">
        <v>23</v>
      </c>
      <c r="Z16" s="9" t="str">
        <f>IFERROR(MID(VLOOKUP($B16,Seqs!$A:$B,2,0),AA16,1),"")</f>
        <v/>
      </c>
      <c r="AA16" s="9" t="s">
        <v>23</v>
      </c>
      <c r="AB16" s="9" t="str">
        <f>IFERROR(MID(VLOOKUP($B16,Seqs!$A:$B,2,0),AC16,1),"")</f>
        <v>N</v>
      </c>
      <c r="AC16" s="9">
        <v>164</v>
      </c>
      <c r="AD16" s="9" t="str">
        <f>IFERROR(MID(VLOOKUP($B16,Seqs!$A:$B,2,0),AE16,1),"")</f>
        <v>G</v>
      </c>
      <c r="AE16" s="9">
        <v>194</v>
      </c>
      <c r="AF16" s="9" t="str">
        <f>IFERROR(MID(VLOOKUP($B16,Seqs!$A:$B,2,0),AG16,1),"")</f>
        <v>C</v>
      </c>
      <c r="AG16" s="9">
        <v>207</v>
      </c>
      <c r="AH16" s="9" t="str">
        <f>IFERROR(MID(VLOOKUP($B16,Seqs!$A:$B,2,0),AI16,1),"")</f>
        <v>L</v>
      </c>
      <c r="AI16" s="9">
        <v>209</v>
      </c>
      <c r="AJ16" s="9" t="str">
        <f>IFERROR(MID(VLOOKUP($B16,Seqs!$A:$B,2,0),AK16,1),"")</f>
        <v>F</v>
      </c>
      <c r="AK16" s="9">
        <v>214</v>
      </c>
      <c r="AL16" s="9" t="str">
        <f>IFERROR(MID(VLOOKUP($B16,Seqs!$A:$B,2,0),AM16,1),"")</f>
        <v>A</v>
      </c>
      <c r="AM16" s="9">
        <v>248</v>
      </c>
      <c r="AN16" s="9" t="str">
        <f>IFERROR(MID(VLOOKUP($B16,Seqs!$A:$B,2,0),AO16,1),"")</f>
        <v>Q</v>
      </c>
      <c r="AO16" s="9">
        <v>314</v>
      </c>
      <c r="AP16" s="9" t="str">
        <f>IFERROR(MID(VLOOKUP($B16,Seqs!$A:$B,2,0),AQ16,1),"")</f>
        <v>C</v>
      </c>
      <c r="AQ16" s="9">
        <v>350</v>
      </c>
      <c r="AR16" s="9" t="str">
        <f>IFERROR(MID(VLOOKUP($B16,Seqs!$A:$B,2,0),AS16,1),"")</f>
        <v>N</v>
      </c>
      <c r="AS16" s="9">
        <v>354</v>
      </c>
      <c r="AT16" s="9" t="str">
        <f>IFERROR(MID(VLOOKUP($B16,Seqs!$A:$B,2,0),AU16,1),"")</f>
        <v>F</v>
      </c>
      <c r="AU16" s="9">
        <v>383</v>
      </c>
      <c r="AV16" s="9" t="str">
        <f>IFERROR(MID(VLOOKUP($B16,Seqs!$A:$B,2,0),AW16,1),"")</f>
        <v>N</v>
      </c>
      <c r="AW16" s="9">
        <v>384</v>
      </c>
      <c r="AX16" s="9" t="str">
        <f>IFERROR(MID(VLOOKUP($B16,Seqs!$A:$B,2,0),AY16,1),"")</f>
        <v>I</v>
      </c>
      <c r="AY16" s="9">
        <v>395</v>
      </c>
      <c r="AZ16" s="110" t="str">
        <f>VLOOKUP(B16,Classification!A:D,2,0)</f>
        <v>A</v>
      </c>
      <c r="BA16" s="98" t="str">
        <f>VLOOKUP(B16,Classification!A:D,4,0)</f>
        <v>5-Hydroxytryptamine</v>
      </c>
      <c r="BB16" s="36" t="b">
        <f t="shared" ref="BB16" si="113">AND(E16&lt;G16,OR(G16&lt;I16,I16="-"),OR(I16&lt;K16,I16="-"),OR(K16&lt;M16,K16="-"),M16&lt;O16,OR(O16&lt;Q16,Q16="-"),OR(Q16&lt;S16,Q16="-"),OR(S16&lt;U16,S16="-"),U16&lt;W16,OR(W16&lt;Y16,Y16="-"),OR(Y16&lt;AA16,Y16="-"),OR(AA16&lt;AC16,AA16="-"),AC16&lt;AE16,OR(AE16&lt;AG16,AG16="-"),OR(AG16&lt;AI16,AG16="-"),OR(AI16&lt;AK16,AI16="-"),AK16&lt;AM16,AM16&lt;AO16,AO16&lt;AQ16,AQ16&lt;AS16,AS16&lt;AU16,OR(AU16&lt;AW16,AW16="-"),OR(AW16&lt;AY16,AW16="-"))</f>
        <v>1</v>
      </c>
      <c r="BC16" s="109">
        <f t="shared" ref="BC16" si="114">_xlfn.AGGREGATE(9,6,CH16:CS16)-_xlfn.AGGREGATE(9,6,BV16:CG16)+12</f>
        <v>254</v>
      </c>
      <c r="BD16" s="11" t="s">
        <v>23</v>
      </c>
      <c r="BE16" s="9" t="s">
        <v>1438</v>
      </c>
      <c r="BF16" s="120">
        <v>3.1</v>
      </c>
      <c r="BG16" s="51" t="s">
        <v>1</v>
      </c>
      <c r="BH16" s="51" t="s">
        <v>1</v>
      </c>
      <c r="BJ16" s="111" t="s">
        <v>1293</v>
      </c>
      <c r="BK16" s="112" t="s">
        <v>1293</v>
      </c>
      <c r="BL16" s="112" t="s">
        <v>1293</v>
      </c>
      <c r="BM16" s="112" t="s">
        <v>1293</v>
      </c>
      <c r="BN16" s="112" t="s">
        <v>1293</v>
      </c>
      <c r="BO16" s="112" t="s">
        <v>1293</v>
      </c>
      <c r="BP16" s="112" t="s">
        <v>1293</v>
      </c>
      <c r="BQ16" s="112" t="s">
        <v>1293</v>
      </c>
      <c r="BR16" s="112" t="s">
        <v>1293</v>
      </c>
      <c r="BS16" s="112" t="s">
        <v>1293</v>
      </c>
      <c r="BT16" s="112" t="s">
        <v>1293</v>
      </c>
      <c r="BU16" s="112" t="s">
        <v>1293</v>
      </c>
      <c r="BV16" s="111">
        <f t="shared" ref="BV16" si="115">E16</f>
        <v>53</v>
      </c>
      <c r="BW16" s="113">
        <f t="shared" ref="BW16" si="116">I16</f>
        <v>83</v>
      </c>
      <c r="BX16" s="114">
        <f t="shared" ref="BX16" si="117">M16</f>
        <v>87</v>
      </c>
      <c r="BY16" s="113">
        <f t="shared" ref="BY16" si="118">Q16</f>
        <v>120</v>
      </c>
      <c r="BZ16" s="114">
        <f t="shared" ref="BZ16" si="119">U16</f>
        <v>124</v>
      </c>
      <c r="CA16" s="113" t="str">
        <f t="shared" ref="CA16" si="120">Y16</f>
        <v>-</v>
      </c>
      <c r="CB16" s="114">
        <f t="shared" ref="CB16" si="121">AC16</f>
        <v>164</v>
      </c>
      <c r="CC16" s="113">
        <f t="shared" ref="CC16" si="122">AG16</f>
        <v>207</v>
      </c>
      <c r="CD16" s="114">
        <f t="shared" ref="CD16" si="123">AK16</f>
        <v>214</v>
      </c>
      <c r="CE16" s="113">
        <f t="shared" ref="CE16" si="124">AO16</f>
        <v>314</v>
      </c>
      <c r="CF16" s="114">
        <f t="shared" ref="CF16" si="125">AS16</f>
        <v>354</v>
      </c>
      <c r="CG16" s="113">
        <f t="shared" ref="CG16" si="126">AW16</f>
        <v>384</v>
      </c>
      <c r="CH16" s="111">
        <f t="shared" ref="CH16" si="127">G16</f>
        <v>82</v>
      </c>
      <c r="CI16" s="113">
        <f t="shared" ref="CI16" si="128">K16</f>
        <v>86</v>
      </c>
      <c r="CJ16" s="114">
        <f t="shared" ref="CJ16" si="129">O16</f>
        <v>117</v>
      </c>
      <c r="CK16" s="114">
        <f t="shared" ref="CK16" si="130">S16</f>
        <v>123</v>
      </c>
      <c r="CL16" s="114">
        <f t="shared" ref="CL16" si="131">W16</f>
        <v>159</v>
      </c>
      <c r="CM16" s="114" t="str">
        <f t="shared" ref="CM16" si="132">AA16</f>
        <v>-</v>
      </c>
      <c r="CN16" s="114">
        <f t="shared" ref="CN16" si="133">AE16</f>
        <v>194</v>
      </c>
      <c r="CO16" s="114">
        <f t="shared" ref="CO16" si="134">AI16</f>
        <v>209</v>
      </c>
      <c r="CP16" s="114">
        <f t="shared" ref="CP16" si="135">AM16</f>
        <v>248</v>
      </c>
      <c r="CQ16" s="114">
        <f t="shared" ref="CQ16" si="136">AQ16</f>
        <v>350</v>
      </c>
      <c r="CR16" s="114">
        <f t="shared" ref="CR16" si="137">AU16</f>
        <v>383</v>
      </c>
      <c r="CS16" s="114">
        <f t="shared" ref="CS16" si="138">AY16</f>
        <v>395</v>
      </c>
      <c r="CT16" s="109">
        <f t="shared" ref="CT16" si="139">M16-K16</f>
        <v>1</v>
      </c>
    </row>
    <row r="17" spans="1:1029" s="12" customFormat="1" x14ac:dyDescent="0.2">
      <c r="A17" s="9" t="str">
        <f t="shared" ref="A17" si="140">CONCATENATE(B17,"_",C17)</f>
        <v>5ht2b_human_6DRY</v>
      </c>
      <c r="B17" s="9" t="s">
        <v>35</v>
      </c>
      <c r="C17" s="9" t="s">
        <v>1530</v>
      </c>
      <c r="D17" s="9" t="str">
        <f>IFERROR(MID(VLOOKUP($B17,Seqs!$A:$B,2,0),E17,1),"")</f>
        <v>K</v>
      </c>
      <c r="E17" s="9">
        <v>53</v>
      </c>
      <c r="F17" s="9" t="str">
        <f>IFERROR(MID(VLOOKUP($B17,Seqs!$A:$B,2,0),G17,1),"")</f>
        <v>E</v>
      </c>
      <c r="G17" s="9">
        <v>82</v>
      </c>
      <c r="H17" s="9" t="str">
        <f>IFERROR(MID(VLOOKUP($B17,Seqs!$A:$B,2,0),I17,1),"")</f>
        <v>K</v>
      </c>
      <c r="I17" s="109">
        <v>83</v>
      </c>
      <c r="J17" s="9" t="str">
        <f>IFERROR(MID(VLOOKUP($B17,Seqs!$A:$B,2,0),K17,1),"")</f>
        <v>Q</v>
      </c>
      <c r="K17" s="109">
        <v>86</v>
      </c>
      <c r="L17" s="9" t="str">
        <f>IFERROR(MID(VLOOKUP($B17,Seqs!$A:$B,2,0),M17,1),"")</f>
        <v>Y</v>
      </c>
      <c r="M17" s="9">
        <v>87</v>
      </c>
      <c r="N17" s="9" t="str">
        <f>IFERROR(MID(VLOOKUP($B17,Seqs!$A:$B,2,0),O17,1),"")</f>
        <v>F</v>
      </c>
      <c r="O17" s="9">
        <v>117</v>
      </c>
      <c r="P17" s="9" t="str">
        <f>IFERROR(MID(VLOOKUP($B17,Seqs!$A:$B,2,0),Q17,1),"")</f>
        <v>M</v>
      </c>
      <c r="Q17" s="9">
        <v>120</v>
      </c>
      <c r="R17" s="9" t="str">
        <f>IFERROR(MID(VLOOKUP($B17,Seqs!$A:$B,2,0),S17,1),"")</f>
        <v>L</v>
      </c>
      <c r="S17" s="9">
        <v>123</v>
      </c>
      <c r="T17" s="9" t="str">
        <f>IFERROR(MID(VLOOKUP($B17,Seqs!$A:$B,2,0),U17,1),"")</f>
        <v>P</v>
      </c>
      <c r="U17" s="9">
        <v>124</v>
      </c>
      <c r="V17" s="9" t="str">
        <f>IFERROR(MID(VLOOKUP($B17,Seqs!$A:$B,2,0),W17,1),"")</f>
        <v>K</v>
      </c>
      <c r="W17" s="9">
        <v>159</v>
      </c>
      <c r="X17" s="9" t="str">
        <f>IFERROR(MID(VLOOKUP($B17,Seqs!$A:$B,2,0),Y17,1),"")</f>
        <v/>
      </c>
      <c r="Y17" s="9" t="s">
        <v>23</v>
      </c>
      <c r="Z17" s="9" t="str">
        <f>IFERROR(MID(VLOOKUP($B17,Seqs!$A:$B,2,0),AA17,1),"")</f>
        <v/>
      </c>
      <c r="AA17" s="9" t="s">
        <v>23</v>
      </c>
      <c r="AB17" s="9" t="str">
        <f>IFERROR(MID(VLOOKUP($B17,Seqs!$A:$B,2,0),AC17,1),"")</f>
        <v>S</v>
      </c>
      <c r="AC17" s="9">
        <v>168</v>
      </c>
      <c r="AD17" s="9" t="str">
        <f>IFERROR(MID(VLOOKUP($B17,Seqs!$A:$B,2,0),AE17,1),"")</f>
        <v>G</v>
      </c>
      <c r="AE17" s="9">
        <v>194</v>
      </c>
      <c r="AF17" s="9" t="str">
        <f>IFERROR(MID(VLOOKUP($B17,Seqs!$A:$B,2,0),AG17,1),"")</f>
        <v>C</v>
      </c>
      <c r="AG17" s="9">
        <v>207</v>
      </c>
      <c r="AH17" s="9" t="str">
        <f>IFERROR(MID(VLOOKUP($B17,Seqs!$A:$B,2,0),AI17,1),"")</f>
        <v>L</v>
      </c>
      <c r="AI17" s="9">
        <v>209</v>
      </c>
      <c r="AJ17" s="9" t="str">
        <f>IFERROR(MID(VLOOKUP($B17,Seqs!$A:$B,2,0),AK17,1),"")</f>
        <v>F</v>
      </c>
      <c r="AK17" s="9">
        <v>214</v>
      </c>
      <c r="AL17" s="9" t="str">
        <f>IFERROR(MID(VLOOKUP($B17,Seqs!$A:$B,2,0),AM17,1),"")</f>
        <v>A</v>
      </c>
      <c r="AM17" s="9">
        <v>248</v>
      </c>
      <c r="AN17" s="9" t="str">
        <f>IFERROR(MID(VLOOKUP($B17,Seqs!$A:$B,2,0),AO17,1),"")</f>
        <v>V</v>
      </c>
      <c r="AO17" s="9">
        <v>313</v>
      </c>
      <c r="AP17" s="9" t="str">
        <f>IFERROR(MID(VLOOKUP($B17,Seqs!$A:$B,2,0),AQ17,1),"")</f>
        <v>C</v>
      </c>
      <c r="AQ17" s="9">
        <v>350</v>
      </c>
      <c r="AR17" s="9" t="str">
        <f>IFERROR(MID(VLOOKUP($B17,Seqs!$A:$B,2,0),AS17,1),"")</f>
        <v>N</v>
      </c>
      <c r="AS17" s="9">
        <v>354</v>
      </c>
      <c r="AT17" s="9" t="str">
        <f>IFERROR(MID(VLOOKUP($B17,Seqs!$A:$B,2,0),AU17,1),"")</f>
        <v>F</v>
      </c>
      <c r="AU17" s="9">
        <v>383</v>
      </c>
      <c r="AV17" s="9" t="str">
        <f>IFERROR(MID(VLOOKUP($B17,Seqs!$A:$B,2,0),AW17,1),"")</f>
        <v>N</v>
      </c>
      <c r="AW17" s="9">
        <v>384</v>
      </c>
      <c r="AX17" s="9" t="str">
        <f>IFERROR(MID(VLOOKUP($B17,Seqs!$A:$B,2,0),AY17,1),"")</f>
        <v>I</v>
      </c>
      <c r="AY17" s="9">
        <v>395</v>
      </c>
      <c r="AZ17" s="110" t="str">
        <f>VLOOKUP(B17,Classification!A:D,2,0)</f>
        <v>A</v>
      </c>
      <c r="BA17" s="98" t="str">
        <f>VLOOKUP(B17,Classification!A:D,4,0)</f>
        <v>5-Hydroxytryptamine</v>
      </c>
      <c r="BB17" s="36" t="b">
        <f t="shared" ref="BB17" si="141">AND(E17&lt;G17,OR(G17&lt;I17,I17="-"),OR(I17&lt;K17,I17="-"),OR(K17&lt;M17,K17="-"),M17&lt;O17,OR(O17&lt;Q17,Q17="-"),OR(Q17&lt;S17,Q17="-"),OR(S17&lt;U17,S17="-"),U17&lt;W17,OR(W17&lt;Y17,Y17="-"),OR(Y17&lt;AA17,Y17="-"),OR(AA17&lt;AC17,AA17="-"),AC17&lt;AE17,OR(AE17&lt;AG17,AG17="-"),OR(AG17&lt;AI17,AG17="-"),OR(AI17&lt;AK17,AI17="-"),AK17&lt;AM17,AM17&lt;AO17,AO17&lt;AQ17,AQ17&lt;AS17,AS17&lt;AU17,OR(AU17&lt;AW17,AW17="-"),OR(AW17&lt;AY17,AW17="-"))</f>
        <v>1</v>
      </c>
      <c r="BC17" s="109">
        <f t="shared" ref="BC17" si="142">_xlfn.AGGREGATE(9,6,CH17:CS17)-_xlfn.AGGREGATE(9,6,BV17:CG17)+12</f>
        <v>251</v>
      </c>
      <c r="BD17" s="11" t="s">
        <v>23</v>
      </c>
      <c r="BE17" s="9" t="s">
        <v>1438</v>
      </c>
      <c r="BF17" s="120">
        <v>2.92</v>
      </c>
      <c r="BG17" s="51" t="s">
        <v>1</v>
      </c>
      <c r="BH17" s="51" t="s">
        <v>1</v>
      </c>
      <c r="BJ17" s="111" t="s">
        <v>1293</v>
      </c>
      <c r="BK17" s="112" t="s">
        <v>1293</v>
      </c>
      <c r="BL17" s="112" t="s">
        <v>1293</v>
      </c>
      <c r="BM17" s="112" t="s">
        <v>1293</v>
      </c>
      <c r="BN17" s="112" t="s">
        <v>1293</v>
      </c>
      <c r="BO17" s="112" t="s">
        <v>1293</v>
      </c>
      <c r="BP17" s="112" t="s">
        <v>1293</v>
      </c>
      <c r="BQ17" s="112" t="s">
        <v>1293</v>
      </c>
      <c r="BR17" s="112" t="s">
        <v>1293</v>
      </c>
      <c r="BS17" s="112" t="s">
        <v>1293</v>
      </c>
      <c r="BT17" s="112" t="s">
        <v>1293</v>
      </c>
      <c r="BU17" s="112" t="s">
        <v>1293</v>
      </c>
      <c r="BV17" s="111">
        <f t="shared" ref="BV17" si="143">E17</f>
        <v>53</v>
      </c>
      <c r="BW17" s="113">
        <f t="shared" ref="BW17" si="144">I17</f>
        <v>83</v>
      </c>
      <c r="BX17" s="114">
        <f t="shared" ref="BX17" si="145">M17</f>
        <v>87</v>
      </c>
      <c r="BY17" s="113">
        <f t="shared" ref="BY17" si="146">Q17</f>
        <v>120</v>
      </c>
      <c r="BZ17" s="114">
        <f t="shared" ref="BZ17" si="147">U17</f>
        <v>124</v>
      </c>
      <c r="CA17" s="113" t="str">
        <f t="shared" ref="CA17" si="148">Y17</f>
        <v>-</v>
      </c>
      <c r="CB17" s="114">
        <f t="shared" ref="CB17" si="149">AC17</f>
        <v>168</v>
      </c>
      <c r="CC17" s="113">
        <f t="shared" ref="CC17" si="150">AG17</f>
        <v>207</v>
      </c>
      <c r="CD17" s="114">
        <f t="shared" ref="CD17" si="151">AK17</f>
        <v>214</v>
      </c>
      <c r="CE17" s="113">
        <f t="shared" ref="CE17" si="152">AO17</f>
        <v>313</v>
      </c>
      <c r="CF17" s="114">
        <f t="shared" ref="CF17" si="153">AS17</f>
        <v>354</v>
      </c>
      <c r="CG17" s="113">
        <f t="shared" ref="CG17" si="154">AW17</f>
        <v>384</v>
      </c>
      <c r="CH17" s="111">
        <f t="shared" ref="CH17" si="155">G17</f>
        <v>82</v>
      </c>
      <c r="CI17" s="113">
        <f t="shared" ref="CI17" si="156">K17</f>
        <v>86</v>
      </c>
      <c r="CJ17" s="114">
        <f t="shared" ref="CJ17" si="157">O17</f>
        <v>117</v>
      </c>
      <c r="CK17" s="114">
        <f t="shared" ref="CK17" si="158">S17</f>
        <v>123</v>
      </c>
      <c r="CL17" s="114">
        <f t="shared" ref="CL17" si="159">W17</f>
        <v>159</v>
      </c>
      <c r="CM17" s="114" t="str">
        <f t="shared" ref="CM17" si="160">AA17</f>
        <v>-</v>
      </c>
      <c r="CN17" s="114">
        <f t="shared" ref="CN17" si="161">AE17</f>
        <v>194</v>
      </c>
      <c r="CO17" s="114">
        <f t="shared" ref="CO17" si="162">AI17</f>
        <v>209</v>
      </c>
      <c r="CP17" s="114">
        <f t="shared" ref="CP17" si="163">AM17</f>
        <v>248</v>
      </c>
      <c r="CQ17" s="114">
        <f t="shared" ref="CQ17" si="164">AQ17</f>
        <v>350</v>
      </c>
      <c r="CR17" s="114">
        <f t="shared" ref="CR17" si="165">AU17</f>
        <v>383</v>
      </c>
      <c r="CS17" s="114">
        <f t="shared" ref="CS17" si="166">AY17</f>
        <v>395</v>
      </c>
      <c r="CT17" s="109">
        <f t="shared" ref="CT17" si="167">M17-K17</f>
        <v>1</v>
      </c>
    </row>
    <row r="18" spans="1:1029" s="12" customFormat="1" x14ac:dyDescent="0.2">
      <c r="A18" s="9" t="str">
        <f t="shared" ref="A18" si="168">CONCATENATE(B18,"_",C18)</f>
        <v>5ht2b_human_6DRZ</v>
      </c>
      <c r="B18" s="9" t="s">
        <v>35</v>
      </c>
      <c r="C18" s="9" t="s">
        <v>1531</v>
      </c>
      <c r="D18" s="9" t="str">
        <f>IFERROR(MID(VLOOKUP($B18,Seqs!$A:$B,2,0),E18,1),"")</f>
        <v>K</v>
      </c>
      <c r="E18" s="9">
        <v>53</v>
      </c>
      <c r="F18" s="9" t="str">
        <f>IFERROR(MID(VLOOKUP($B18,Seqs!$A:$B,2,0),G18,1),"")</f>
        <v>E</v>
      </c>
      <c r="G18" s="9">
        <v>82</v>
      </c>
      <c r="H18" s="9" t="str">
        <f>IFERROR(MID(VLOOKUP($B18,Seqs!$A:$B,2,0),I18,1),"")</f>
        <v>K</v>
      </c>
      <c r="I18" s="109">
        <v>83</v>
      </c>
      <c r="J18" s="9" t="str">
        <f>IFERROR(MID(VLOOKUP($B18,Seqs!$A:$B,2,0),K18,1),"")</f>
        <v>Q</v>
      </c>
      <c r="K18" s="109">
        <v>86</v>
      </c>
      <c r="L18" s="9" t="str">
        <f>IFERROR(MID(VLOOKUP($B18,Seqs!$A:$B,2,0),M18,1),"")</f>
        <v>Y</v>
      </c>
      <c r="M18" s="9">
        <v>87</v>
      </c>
      <c r="N18" s="9" t="str">
        <f>IFERROR(MID(VLOOKUP($B18,Seqs!$A:$B,2,0),O18,1),"")</f>
        <v>F</v>
      </c>
      <c r="O18" s="9">
        <v>117</v>
      </c>
      <c r="P18" s="9" t="str">
        <f>IFERROR(MID(VLOOKUP($B18,Seqs!$A:$B,2,0),Q18,1),"")</f>
        <v>M</v>
      </c>
      <c r="Q18" s="9">
        <v>120</v>
      </c>
      <c r="R18" s="9" t="str">
        <f>IFERROR(MID(VLOOKUP($B18,Seqs!$A:$B,2,0),S18,1),"")</f>
        <v>L</v>
      </c>
      <c r="S18" s="9">
        <v>123</v>
      </c>
      <c r="T18" s="9" t="str">
        <f>IFERROR(MID(VLOOKUP($B18,Seqs!$A:$B,2,0),U18,1),"")</f>
        <v>P</v>
      </c>
      <c r="U18" s="9">
        <v>124</v>
      </c>
      <c r="V18" s="9" t="str">
        <f>IFERROR(MID(VLOOKUP($B18,Seqs!$A:$B,2,0),W18,1),"")</f>
        <v>K</v>
      </c>
      <c r="W18" s="9">
        <v>159</v>
      </c>
      <c r="X18" s="9" t="str">
        <f>IFERROR(MID(VLOOKUP($B18,Seqs!$A:$B,2,0),Y18,1),"")</f>
        <v/>
      </c>
      <c r="Y18" s="9" t="s">
        <v>23</v>
      </c>
      <c r="Z18" s="9" t="str">
        <f>IFERROR(MID(VLOOKUP($B18,Seqs!$A:$B,2,0),AA18,1),"")</f>
        <v/>
      </c>
      <c r="AA18" s="9" t="s">
        <v>23</v>
      </c>
      <c r="AB18" s="9" t="str">
        <f>IFERROR(MID(VLOOKUP($B18,Seqs!$A:$B,2,0),AC18,1),"")</f>
        <v>R</v>
      </c>
      <c r="AC18" s="9">
        <v>169</v>
      </c>
      <c r="AD18" s="9" t="str">
        <f>IFERROR(MID(VLOOKUP($B18,Seqs!$A:$B,2,0),AE18,1),"")</f>
        <v>G</v>
      </c>
      <c r="AE18" s="9">
        <v>194</v>
      </c>
      <c r="AF18" s="9" t="str">
        <f>IFERROR(MID(VLOOKUP($B18,Seqs!$A:$B,2,0),AG18,1),"")</f>
        <v>C</v>
      </c>
      <c r="AG18" s="9">
        <v>207</v>
      </c>
      <c r="AH18" s="9" t="str">
        <f>IFERROR(MID(VLOOKUP($B18,Seqs!$A:$B,2,0),AI18,1),"")</f>
        <v>L</v>
      </c>
      <c r="AI18" s="9">
        <v>209</v>
      </c>
      <c r="AJ18" s="9" t="str">
        <f>IFERROR(MID(VLOOKUP($B18,Seqs!$A:$B,2,0),AK18,1),"")</f>
        <v>F</v>
      </c>
      <c r="AK18" s="9">
        <v>214</v>
      </c>
      <c r="AL18" s="9" t="str">
        <f>IFERROR(MID(VLOOKUP($B18,Seqs!$A:$B,2,0),AM18,1),"")</f>
        <v>A</v>
      </c>
      <c r="AM18" s="9">
        <v>248</v>
      </c>
      <c r="AN18" s="9" t="str">
        <f>IFERROR(MID(VLOOKUP($B18,Seqs!$A:$B,2,0),AO18,1),"")</f>
        <v>V</v>
      </c>
      <c r="AO18" s="9">
        <v>313</v>
      </c>
      <c r="AP18" s="9" t="str">
        <f>IFERROR(MID(VLOOKUP($B18,Seqs!$A:$B,2,0),AQ18,1),"")</f>
        <v>C</v>
      </c>
      <c r="AQ18" s="9">
        <v>350</v>
      </c>
      <c r="AR18" s="9" t="str">
        <f>IFERROR(MID(VLOOKUP($B18,Seqs!$A:$B,2,0),AS18,1),"")</f>
        <v>N</v>
      </c>
      <c r="AS18" s="9">
        <v>354</v>
      </c>
      <c r="AT18" s="9" t="str">
        <f>IFERROR(MID(VLOOKUP($B18,Seqs!$A:$B,2,0),AU18,1),"")</f>
        <v>F</v>
      </c>
      <c r="AU18" s="9">
        <v>383</v>
      </c>
      <c r="AV18" s="9" t="str">
        <f>IFERROR(MID(VLOOKUP($B18,Seqs!$A:$B,2,0),AW18,1),"")</f>
        <v>N</v>
      </c>
      <c r="AW18" s="9">
        <v>384</v>
      </c>
      <c r="AX18" s="9" t="str">
        <f>IFERROR(MID(VLOOKUP($B18,Seqs!$A:$B,2,0),AY18,1),"")</f>
        <v>I</v>
      </c>
      <c r="AY18" s="9">
        <v>395</v>
      </c>
      <c r="AZ18" s="110" t="str">
        <f>VLOOKUP(B18,Classification!A:D,2,0)</f>
        <v>A</v>
      </c>
      <c r="BA18" s="98" t="str">
        <f>VLOOKUP(B18,Classification!A:D,4,0)</f>
        <v>5-Hydroxytryptamine</v>
      </c>
      <c r="BB18" s="36" t="b">
        <f t="shared" ref="BB18" si="169">AND(E18&lt;G18,OR(G18&lt;I18,I18="-"),OR(I18&lt;K18,I18="-"),OR(K18&lt;M18,K18="-"),M18&lt;O18,OR(O18&lt;Q18,Q18="-"),OR(Q18&lt;S18,Q18="-"),OR(S18&lt;U18,S18="-"),U18&lt;W18,OR(W18&lt;Y18,Y18="-"),OR(Y18&lt;AA18,Y18="-"),OR(AA18&lt;AC18,AA18="-"),AC18&lt;AE18,OR(AE18&lt;AG18,AG18="-"),OR(AG18&lt;AI18,AG18="-"),OR(AI18&lt;AK18,AI18="-"),AK18&lt;AM18,AM18&lt;AO18,AO18&lt;AQ18,AQ18&lt;AS18,AS18&lt;AU18,OR(AU18&lt;AW18,AW18="-"),OR(AW18&lt;AY18,AW18="-"))</f>
        <v>1</v>
      </c>
      <c r="BC18" s="109">
        <f t="shared" ref="BC18" si="170">_xlfn.AGGREGATE(9,6,CH18:CS18)-_xlfn.AGGREGATE(9,6,BV18:CG18)+12</f>
        <v>250</v>
      </c>
      <c r="BD18" s="11" t="s">
        <v>23</v>
      </c>
      <c r="BE18" s="9" t="s">
        <v>1438</v>
      </c>
      <c r="BF18" s="120">
        <v>3.1</v>
      </c>
      <c r="BG18" s="51" t="s">
        <v>1</v>
      </c>
      <c r="BH18" s="51" t="s">
        <v>1</v>
      </c>
      <c r="BJ18" s="111" t="s">
        <v>1293</v>
      </c>
      <c r="BK18" s="112" t="s">
        <v>1293</v>
      </c>
      <c r="BL18" s="112" t="s">
        <v>1293</v>
      </c>
      <c r="BM18" s="112" t="s">
        <v>1293</v>
      </c>
      <c r="BN18" s="112" t="s">
        <v>1293</v>
      </c>
      <c r="BO18" s="112" t="s">
        <v>1293</v>
      </c>
      <c r="BP18" s="112" t="s">
        <v>1293</v>
      </c>
      <c r="BQ18" s="112" t="s">
        <v>1293</v>
      </c>
      <c r="BR18" s="112" t="s">
        <v>1293</v>
      </c>
      <c r="BS18" s="112" t="s">
        <v>1293</v>
      </c>
      <c r="BT18" s="112" t="s">
        <v>1293</v>
      </c>
      <c r="BU18" s="112" t="s">
        <v>1293</v>
      </c>
      <c r="BV18" s="111">
        <f t="shared" ref="BV18" si="171">E18</f>
        <v>53</v>
      </c>
      <c r="BW18" s="113">
        <f t="shared" ref="BW18" si="172">I18</f>
        <v>83</v>
      </c>
      <c r="BX18" s="114">
        <f t="shared" ref="BX18" si="173">M18</f>
        <v>87</v>
      </c>
      <c r="BY18" s="113">
        <f t="shared" ref="BY18" si="174">Q18</f>
        <v>120</v>
      </c>
      <c r="BZ18" s="114">
        <f t="shared" ref="BZ18" si="175">U18</f>
        <v>124</v>
      </c>
      <c r="CA18" s="113" t="str">
        <f t="shared" ref="CA18" si="176">Y18</f>
        <v>-</v>
      </c>
      <c r="CB18" s="114">
        <f t="shared" ref="CB18" si="177">AC18</f>
        <v>169</v>
      </c>
      <c r="CC18" s="113">
        <f t="shared" ref="CC18" si="178">AG18</f>
        <v>207</v>
      </c>
      <c r="CD18" s="114">
        <f t="shared" ref="CD18" si="179">AK18</f>
        <v>214</v>
      </c>
      <c r="CE18" s="113">
        <f t="shared" ref="CE18" si="180">AO18</f>
        <v>313</v>
      </c>
      <c r="CF18" s="114">
        <f t="shared" ref="CF18" si="181">AS18</f>
        <v>354</v>
      </c>
      <c r="CG18" s="113">
        <f t="shared" ref="CG18" si="182">AW18</f>
        <v>384</v>
      </c>
      <c r="CH18" s="111">
        <f t="shared" ref="CH18" si="183">G18</f>
        <v>82</v>
      </c>
      <c r="CI18" s="113">
        <f t="shared" ref="CI18" si="184">K18</f>
        <v>86</v>
      </c>
      <c r="CJ18" s="114">
        <f t="shared" ref="CJ18" si="185">O18</f>
        <v>117</v>
      </c>
      <c r="CK18" s="114">
        <f t="shared" ref="CK18" si="186">S18</f>
        <v>123</v>
      </c>
      <c r="CL18" s="114">
        <f t="shared" ref="CL18" si="187">W18</f>
        <v>159</v>
      </c>
      <c r="CM18" s="114" t="str">
        <f t="shared" ref="CM18" si="188">AA18</f>
        <v>-</v>
      </c>
      <c r="CN18" s="114">
        <f t="shared" ref="CN18" si="189">AE18</f>
        <v>194</v>
      </c>
      <c r="CO18" s="114">
        <f t="shared" ref="CO18" si="190">AI18</f>
        <v>209</v>
      </c>
      <c r="CP18" s="114">
        <f t="shared" ref="CP18" si="191">AM18</f>
        <v>248</v>
      </c>
      <c r="CQ18" s="114">
        <f t="shared" ref="CQ18" si="192">AQ18</f>
        <v>350</v>
      </c>
      <c r="CR18" s="114">
        <f t="shared" ref="CR18" si="193">AU18</f>
        <v>383</v>
      </c>
      <c r="CS18" s="114">
        <f t="shared" ref="CS18" si="194">AY18</f>
        <v>395</v>
      </c>
      <c r="CT18" s="109">
        <f t="shared" ref="CT18" si="195">M18-K18</f>
        <v>1</v>
      </c>
    </row>
    <row r="19" spans="1:1029" s="12" customFormat="1" x14ac:dyDescent="0.2">
      <c r="A19" s="9" t="str">
        <f t="shared" ref="A19" si="196">CONCATENATE(B19,"_",C19)</f>
        <v>5ht2b_human_6DS0</v>
      </c>
      <c r="B19" s="9" t="s">
        <v>35</v>
      </c>
      <c r="C19" s="9" t="s">
        <v>1532</v>
      </c>
      <c r="D19" s="9" t="str">
        <f>IFERROR(MID(VLOOKUP($B19,Seqs!$A:$B,2,0),E19,1),"")</f>
        <v>K</v>
      </c>
      <c r="E19" s="9">
        <v>53</v>
      </c>
      <c r="F19" s="9" t="str">
        <f>IFERROR(MID(VLOOKUP($B19,Seqs!$A:$B,2,0),G19,1),"")</f>
        <v>E</v>
      </c>
      <c r="G19" s="9">
        <v>82</v>
      </c>
      <c r="H19" s="9" t="str">
        <f>IFERROR(MID(VLOOKUP($B19,Seqs!$A:$B,2,0),I19,1),"")</f>
        <v>K</v>
      </c>
      <c r="I19" s="109">
        <v>83</v>
      </c>
      <c r="J19" s="9" t="str">
        <f>IFERROR(MID(VLOOKUP($B19,Seqs!$A:$B,2,0),K19,1),"")</f>
        <v>Q</v>
      </c>
      <c r="K19" s="109">
        <v>86</v>
      </c>
      <c r="L19" s="9" t="str">
        <f>IFERROR(MID(VLOOKUP($B19,Seqs!$A:$B,2,0),M19,1),"")</f>
        <v>Y</v>
      </c>
      <c r="M19" s="9">
        <v>87</v>
      </c>
      <c r="N19" s="9" t="str">
        <f>IFERROR(MID(VLOOKUP($B19,Seqs!$A:$B,2,0),O19,1),"")</f>
        <v>F</v>
      </c>
      <c r="O19" s="9">
        <v>117</v>
      </c>
      <c r="P19" s="9" t="str">
        <f>IFERROR(MID(VLOOKUP($B19,Seqs!$A:$B,2,0),Q19,1),"")</f>
        <v>M</v>
      </c>
      <c r="Q19" s="9">
        <v>120</v>
      </c>
      <c r="R19" s="9" t="str">
        <f>IFERROR(MID(VLOOKUP($B19,Seqs!$A:$B,2,0),S19,1),"")</f>
        <v>L</v>
      </c>
      <c r="S19" s="9">
        <v>123</v>
      </c>
      <c r="T19" s="9" t="str">
        <f>IFERROR(MID(VLOOKUP($B19,Seqs!$A:$B,2,0),U19,1),"")</f>
        <v>P</v>
      </c>
      <c r="U19" s="9">
        <v>124</v>
      </c>
      <c r="V19" s="9" t="str">
        <f>IFERROR(MID(VLOOKUP($B19,Seqs!$A:$B,2,0),W19,1),"")</f>
        <v>K</v>
      </c>
      <c r="W19" s="9">
        <v>159</v>
      </c>
      <c r="X19" s="9" t="str">
        <f>IFERROR(MID(VLOOKUP($B19,Seqs!$A:$B,2,0),Y19,1),"")</f>
        <v/>
      </c>
      <c r="Y19" s="9" t="s">
        <v>23</v>
      </c>
      <c r="Z19" s="9" t="str">
        <f>IFERROR(MID(VLOOKUP($B19,Seqs!$A:$B,2,0),AA19,1),"")</f>
        <v/>
      </c>
      <c r="AA19" s="9" t="s">
        <v>23</v>
      </c>
      <c r="AB19" s="9" t="str">
        <f>IFERROR(MID(VLOOKUP($B19,Seqs!$A:$B,2,0),AC19,1),"")</f>
        <v>N</v>
      </c>
      <c r="AC19" s="9">
        <v>167</v>
      </c>
      <c r="AD19" s="9" t="str">
        <f>IFERROR(MID(VLOOKUP($B19,Seqs!$A:$B,2,0),AE19,1),"")</f>
        <v>G</v>
      </c>
      <c r="AE19" s="9">
        <v>194</v>
      </c>
      <c r="AF19" s="9" t="str">
        <f>IFERROR(MID(VLOOKUP($B19,Seqs!$A:$B,2,0),AG19,1),"")</f>
        <v>C</v>
      </c>
      <c r="AG19" s="9">
        <v>207</v>
      </c>
      <c r="AH19" s="9" t="str">
        <f>IFERROR(MID(VLOOKUP($B19,Seqs!$A:$B,2,0),AI19,1),"")</f>
        <v>L</v>
      </c>
      <c r="AI19" s="9">
        <v>209</v>
      </c>
      <c r="AJ19" s="9" t="str">
        <f>IFERROR(MID(VLOOKUP($B19,Seqs!$A:$B,2,0),AK19,1),"")</f>
        <v>F</v>
      </c>
      <c r="AK19" s="9">
        <v>214</v>
      </c>
      <c r="AL19" s="9" t="str">
        <f>IFERROR(MID(VLOOKUP($B19,Seqs!$A:$B,2,0),AM19,1),"")</f>
        <v>A</v>
      </c>
      <c r="AM19" s="9">
        <v>248</v>
      </c>
      <c r="AN19" s="9" t="str">
        <f>IFERROR(MID(VLOOKUP($B19,Seqs!$A:$B,2,0),AO19,1),"")</f>
        <v>Q</v>
      </c>
      <c r="AO19" s="9">
        <v>314</v>
      </c>
      <c r="AP19" s="9" t="str">
        <f>IFERROR(MID(VLOOKUP($B19,Seqs!$A:$B,2,0),AQ19,1),"")</f>
        <v>C</v>
      </c>
      <c r="AQ19" s="9">
        <v>350</v>
      </c>
      <c r="AR19" s="9" t="str">
        <f>IFERROR(MID(VLOOKUP($B19,Seqs!$A:$B,2,0),AS19,1),"")</f>
        <v>N</v>
      </c>
      <c r="AS19" s="9">
        <v>354</v>
      </c>
      <c r="AT19" s="9" t="str">
        <f>IFERROR(MID(VLOOKUP($B19,Seqs!$A:$B,2,0),AU19,1),"")</f>
        <v>F</v>
      </c>
      <c r="AU19" s="9">
        <v>383</v>
      </c>
      <c r="AV19" s="9" t="str">
        <f>IFERROR(MID(VLOOKUP($B19,Seqs!$A:$B,2,0),AW19,1),"")</f>
        <v>N</v>
      </c>
      <c r="AW19" s="9">
        <v>384</v>
      </c>
      <c r="AX19" s="9" t="str">
        <f>IFERROR(MID(VLOOKUP($B19,Seqs!$A:$B,2,0),AY19,1),"")</f>
        <v>I</v>
      </c>
      <c r="AY19" s="9">
        <v>395</v>
      </c>
      <c r="AZ19" s="110" t="str">
        <f>VLOOKUP(B19,Classification!A:D,2,0)</f>
        <v>A</v>
      </c>
      <c r="BA19" s="98" t="str">
        <f>VLOOKUP(B19,Classification!A:D,4,0)</f>
        <v>5-Hydroxytryptamine</v>
      </c>
      <c r="BB19" s="36" t="b">
        <f t="shared" ref="BB19" si="197">AND(E19&lt;G19,OR(G19&lt;I19,I19="-"),OR(I19&lt;K19,I19="-"),OR(K19&lt;M19,K19="-"),M19&lt;O19,OR(O19&lt;Q19,Q19="-"),OR(Q19&lt;S19,Q19="-"),OR(S19&lt;U19,S19="-"),U19&lt;W19,OR(W19&lt;Y19,Y19="-"),OR(Y19&lt;AA19,Y19="-"),OR(AA19&lt;AC19,AA19="-"),AC19&lt;AE19,OR(AE19&lt;AG19,AG19="-"),OR(AG19&lt;AI19,AG19="-"),OR(AI19&lt;AK19,AI19="-"),AK19&lt;AM19,AM19&lt;AO19,AO19&lt;AQ19,AQ19&lt;AS19,AS19&lt;AU19,OR(AU19&lt;AW19,AW19="-"),OR(AW19&lt;AY19,AW19="-"))</f>
        <v>1</v>
      </c>
      <c r="BC19" s="109">
        <f t="shared" ref="BC19" si="198">_xlfn.AGGREGATE(9,6,CH19:CS19)-_xlfn.AGGREGATE(9,6,BV19:CG19)+12</f>
        <v>251</v>
      </c>
      <c r="BD19" s="11" t="s">
        <v>23</v>
      </c>
      <c r="BE19" s="9" t="s">
        <v>1438</v>
      </c>
      <c r="BF19" s="120">
        <v>3.19</v>
      </c>
      <c r="BG19" s="51" t="s">
        <v>1</v>
      </c>
      <c r="BH19" s="51" t="s">
        <v>1</v>
      </c>
      <c r="BJ19" s="111" t="s">
        <v>1293</v>
      </c>
      <c r="BK19" s="112" t="s">
        <v>1293</v>
      </c>
      <c r="BL19" s="112" t="s">
        <v>1293</v>
      </c>
      <c r="BM19" s="112" t="s">
        <v>1293</v>
      </c>
      <c r="BN19" s="112" t="s">
        <v>1293</v>
      </c>
      <c r="BO19" s="112" t="s">
        <v>1293</v>
      </c>
      <c r="BP19" s="112" t="s">
        <v>1293</v>
      </c>
      <c r="BQ19" s="112" t="s">
        <v>1293</v>
      </c>
      <c r="BR19" s="112" t="s">
        <v>1293</v>
      </c>
      <c r="BS19" s="112" t="s">
        <v>1293</v>
      </c>
      <c r="BT19" s="112" t="s">
        <v>1293</v>
      </c>
      <c r="BU19" s="112" t="s">
        <v>1293</v>
      </c>
      <c r="BV19" s="111">
        <f t="shared" ref="BV19" si="199">E19</f>
        <v>53</v>
      </c>
      <c r="BW19" s="113">
        <f t="shared" ref="BW19" si="200">I19</f>
        <v>83</v>
      </c>
      <c r="BX19" s="114">
        <f t="shared" ref="BX19" si="201">M19</f>
        <v>87</v>
      </c>
      <c r="BY19" s="113">
        <f t="shared" ref="BY19" si="202">Q19</f>
        <v>120</v>
      </c>
      <c r="BZ19" s="114">
        <f t="shared" ref="BZ19" si="203">U19</f>
        <v>124</v>
      </c>
      <c r="CA19" s="113" t="str">
        <f t="shared" ref="CA19" si="204">Y19</f>
        <v>-</v>
      </c>
      <c r="CB19" s="114">
        <f t="shared" ref="CB19" si="205">AC19</f>
        <v>167</v>
      </c>
      <c r="CC19" s="113">
        <f t="shared" ref="CC19" si="206">AG19</f>
        <v>207</v>
      </c>
      <c r="CD19" s="114">
        <f t="shared" ref="CD19" si="207">AK19</f>
        <v>214</v>
      </c>
      <c r="CE19" s="113">
        <f t="shared" ref="CE19" si="208">AO19</f>
        <v>314</v>
      </c>
      <c r="CF19" s="114">
        <f t="shared" ref="CF19" si="209">AS19</f>
        <v>354</v>
      </c>
      <c r="CG19" s="113">
        <f t="shared" ref="CG19" si="210">AW19</f>
        <v>384</v>
      </c>
      <c r="CH19" s="111">
        <f t="shared" ref="CH19" si="211">G19</f>
        <v>82</v>
      </c>
      <c r="CI19" s="113">
        <f t="shared" ref="CI19" si="212">K19</f>
        <v>86</v>
      </c>
      <c r="CJ19" s="114">
        <f t="shared" ref="CJ19" si="213">O19</f>
        <v>117</v>
      </c>
      <c r="CK19" s="114">
        <f t="shared" ref="CK19" si="214">S19</f>
        <v>123</v>
      </c>
      <c r="CL19" s="114">
        <f t="shared" ref="CL19" si="215">W19</f>
        <v>159</v>
      </c>
      <c r="CM19" s="114" t="str">
        <f t="shared" ref="CM19" si="216">AA19</f>
        <v>-</v>
      </c>
      <c r="CN19" s="114">
        <f t="shared" ref="CN19" si="217">AE19</f>
        <v>194</v>
      </c>
      <c r="CO19" s="114">
        <f t="shared" ref="CO19" si="218">AI19</f>
        <v>209</v>
      </c>
      <c r="CP19" s="114">
        <f t="shared" ref="CP19" si="219">AM19</f>
        <v>248</v>
      </c>
      <c r="CQ19" s="114">
        <f t="shared" ref="CQ19" si="220">AQ19</f>
        <v>350</v>
      </c>
      <c r="CR19" s="114">
        <f t="shared" ref="CR19" si="221">AU19</f>
        <v>383</v>
      </c>
      <c r="CS19" s="114">
        <f t="shared" ref="CS19" si="222">AY19</f>
        <v>395</v>
      </c>
      <c r="CT19" s="109">
        <f t="shared" ref="CT19" si="223">M19-K19</f>
        <v>1</v>
      </c>
    </row>
    <row r="20" spans="1:1029" x14ac:dyDescent="0.2">
      <c r="A20" s="3" t="str">
        <f t="shared" si="84"/>
        <v>5ht2c_human__wt</v>
      </c>
      <c r="B20" s="3" t="s">
        <v>133</v>
      </c>
      <c r="C20" s="3" t="s">
        <v>100</v>
      </c>
      <c r="D20" s="3" t="str">
        <f>IFERROR(MID(VLOOKUP($B20,Seqs!$A:$B,2,0),E20,1),"")</f>
        <v>N</v>
      </c>
      <c r="E20" s="3">
        <v>54</v>
      </c>
      <c r="F20" s="3" t="str">
        <f>IFERROR(MID(VLOOKUP($B20,Seqs!$A:$B,2,0),G20,1),"")</f>
        <v>E</v>
      </c>
      <c r="G20" s="3">
        <v>81</v>
      </c>
      <c r="H20" s="3" t="str">
        <f>IFERROR(MID(VLOOKUP($B20,Seqs!$A:$B,2,0),I20,1),"")</f>
        <v>K</v>
      </c>
      <c r="I20" s="23">
        <v>82</v>
      </c>
      <c r="J20" s="3" t="str">
        <f>IFERROR(MID(VLOOKUP($B20,Seqs!$A:$B,2,0),K20,1),"")</f>
        <v>H</v>
      </c>
      <c r="K20" s="23">
        <v>85</v>
      </c>
      <c r="L20" s="3" t="str">
        <f>IFERROR(MID(VLOOKUP($B20,Seqs!$A:$B,2,0),M20,1),"")</f>
        <v>N</v>
      </c>
      <c r="M20" s="3">
        <v>86</v>
      </c>
      <c r="N20" s="3" t="str">
        <f>IFERROR(MID(VLOOKUP($B20,Seqs!$A:$B,2,0),O20,1),"")</f>
        <v>D</v>
      </c>
      <c r="O20" s="3">
        <v>117</v>
      </c>
      <c r="P20" s="3" t="str">
        <f>IFERROR(MID(VLOOKUP($B20,Seqs!$A:$B,2,0),Q20,1),"")</f>
        <v>V</v>
      </c>
      <c r="Q20" s="3">
        <v>119</v>
      </c>
      <c r="R20" s="3" t="str">
        <f>IFERROR(MID(VLOOKUP($B20,Seqs!$A:$B,2,0),S20,1),"")</f>
        <v>L</v>
      </c>
      <c r="S20" s="3">
        <v>122</v>
      </c>
      <c r="T20" s="3" t="str">
        <f>IFERROR(MID(VLOOKUP($B20,Seqs!$A:$B,2,0),U20,1),"")</f>
        <v>P</v>
      </c>
      <c r="U20" s="3">
        <v>123</v>
      </c>
      <c r="V20" s="3" t="str">
        <f>IFERROR(MID(VLOOKUP($B20,Seqs!$A:$B,2,0),W20,1),"")</f>
        <v>N</v>
      </c>
      <c r="W20" s="3">
        <v>158</v>
      </c>
      <c r="X20" s="3" t="str">
        <f>IFERROR(MID(VLOOKUP($B20,Seqs!$A:$B,2,0),Y20,1),"")</f>
        <v>P</v>
      </c>
      <c r="Y20" s="3">
        <v>159</v>
      </c>
      <c r="Z20" s="3" t="str">
        <f>IFERROR(MID(VLOOKUP($B20,Seqs!$A:$B,2,0),AA20,1),"")</f>
        <v>N</v>
      </c>
      <c r="AA20" s="3">
        <v>166</v>
      </c>
      <c r="AB20" s="3" t="str">
        <f>IFERROR(MID(VLOOKUP($B20,Seqs!$A:$B,2,0),AC20,1),"")</f>
        <v>S</v>
      </c>
      <c r="AC20" s="3">
        <v>167</v>
      </c>
      <c r="AD20" s="3" t="str">
        <f>IFERROR(MID(VLOOKUP($B20,Seqs!$A:$B,2,0),AE20,1),"")</f>
        <v>D</v>
      </c>
      <c r="AE20" s="3">
        <v>196</v>
      </c>
      <c r="AF20" s="3" t="str">
        <f>IFERROR(MID(VLOOKUP($B20,Seqs!$A:$B,2,0),AG20,1),"")</f>
        <v>C</v>
      </c>
      <c r="AG20" s="3">
        <v>207</v>
      </c>
      <c r="AH20" s="3" t="str">
        <f>IFERROR(MID(VLOOKUP($B20,Seqs!$A:$B,2,0),AI20,1),"")</f>
        <v>L</v>
      </c>
      <c r="AI20" s="3">
        <v>209</v>
      </c>
      <c r="AJ20" s="3" t="str">
        <f>IFERROR(MID(VLOOKUP($B20,Seqs!$A:$B,2,0),AK20,1),"")</f>
        <v>D</v>
      </c>
      <c r="AK20" s="3">
        <v>211</v>
      </c>
      <c r="AL20" s="3" t="str">
        <f>IFERROR(MID(VLOOKUP($B20,Seqs!$A:$B,2,0),AM20,1),"")</f>
        <v>H</v>
      </c>
      <c r="AM20" s="3">
        <v>250</v>
      </c>
      <c r="AN20" s="3" t="str">
        <f>IFERROR(MID(VLOOKUP($B20,Seqs!$A:$B,2,0),AO20,1),"")</f>
        <v>M</v>
      </c>
      <c r="AO20" s="3">
        <v>300</v>
      </c>
      <c r="AP20" s="3" t="str">
        <f>IFERROR(MID(VLOOKUP($B20,Seqs!$A:$B,2,0),AQ20,1),"")</f>
        <v>C</v>
      </c>
      <c r="AQ20" s="3">
        <v>337</v>
      </c>
      <c r="AR20" s="3" t="str">
        <f>IFERROR(MID(VLOOKUP($B20,Seqs!$A:$B,2,0),AS20,1),"")</f>
        <v>N</v>
      </c>
      <c r="AS20" s="3">
        <v>342</v>
      </c>
      <c r="AT20" s="3" t="str">
        <f>IFERROR(MID(VLOOKUP($B20,Seqs!$A:$B,2,0),AU20,1),"")</f>
        <v>F</v>
      </c>
      <c r="AU20" s="3">
        <v>371</v>
      </c>
      <c r="AV20" s="3" t="str">
        <f>IFERROR(MID(VLOOKUP($B20,Seqs!$A:$B,2,0),AW20,1),"")</f>
        <v>N</v>
      </c>
      <c r="AW20" s="3">
        <v>372</v>
      </c>
      <c r="AX20" s="3" t="str">
        <f>IFERROR(MID(VLOOKUP($B20,Seqs!$A:$B,2,0),AY20,1),"")</f>
        <v>C</v>
      </c>
      <c r="AY20" s="3">
        <v>385</v>
      </c>
      <c r="AZ20" s="77" t="str">
        <f>VLOOKUP(B20,Classification!A:D,2,0)</f>
        <v>A</v>
      </c>
      <c r="BA20" s="94" t="str">
        <f>VLOOKUP(B20,Classification!A:D,4,0)</f>
        <v>5-Hydroxytryptamine</v>
      </c>
      <c r="BB20" s="27" t="b">
        <f t="shared" si="85"/>
        <v>1</v>
      </c>
      <c r="BC20" s="23">
        <f t="shared" si="86"/>
        <v>267</v>
      </c>
      <c r="BD20" s="4" t="s">
        <v>23</v>
      </c>
      <c r="BE20" s="3" t="s">
        <v>23</v>
      </c>
      <c r="BF20" s="119" t="s">
        <v>23</v>
      </c>
      <c r="BG20" s="49" t="s">
        <v>1383</v>
      </c>
      <c r="BH20" s="49" t="s">
        <v>1383</v>
      </c>
      <c r="BI20" s="1"/>
      <c r="BJ20" s="70" t="s">
        <v>1293</v>
      </c>
      <c r="BK20" s="57" t="s">
        <v>1293</v>
      </c>
      <c r="BL20" s="57" t="s">
        <v>1293</v>
      </c>
      <c r="BM20" s="57" t="s">
        <v>1293</v>
      </c>
      <c r="BN20" s="57" t="s">
        <v>1293</v>
      </c>
      <c r="BO20" s="57" t="s">
        <v>1293</v>
      </c>
      <c r="BP20" s="57" t="s">
        <v>1293</v>
      </c>
      <c r="BQ20" s="57" t="s">
        <v>1293</v>
      </c>
      <c r="BR20" s="57" t="s">
        <v>1293</v>
      </c>
      <c r="BS20" s="57" t="s">
        <v>1293</v>
      </c>
      <c r="BT20" s="57" t="s">
        <v>1293</v>
      </c>
      <c r="BU20" s="57" t="s">
        <v>1293</v>
      </c>
      <c r="BV20" s="70">
        <f t="shared" si="87"/>
        <v>54</v>
      </c>
      <c r="BW20" s="71">
        <f t="shared" si="88"/>
        <v>82</v>
      </c>
      <c r="BX20" s="72">
        <f t="shared" si="89"/>
        <v>86</v>
      </c>
      <c r="BY20" s="71">
        <f t="shared" si="90"/>
        <v>119</v>
      </c>
      <c r="BZ20" s="72">
        <f t="shared" si="91"/>
        <v>123</v>
      </c>
      <c r="CA20" s="71">
        <f t="shared" si="92"/>
        <v>159</v>
      </c>
      <c r="CB20" s="72">
        <f t="shared" si="93"/>
        <v>167</v>
      </c>
      <c r="CC20" s="71">
        <f t="shared" si="94"/>
        <v>207</v>
      </c>
      <c r="CD20" s="72">
        <f t="shared" si="95"/>
        <v>211</v>
      </c>
      <c r="CE20" s="71">
        <f t="shared" si="96"/>
        <v>300</v>
      </c>
      <c r="CF20" s="72">
        <f t="shared" si="97"/>
        <v>342</v>
      </c>
      <c r="CG20" s="71">
        <f t="shared" si="98"/>
        <v>372</v>
      </c>
      <c r="CH20" s="70">
        <f t="shared" si="99"/>
        <v>81</v>
      </c>
      <c r="CI20" s="71">
        <f t="shared" si="100"/>
        <v>85</v>
      </c>
      <c r="CJ20" s="72">
        <f t="shared" si="101"/>
        <v>117</v>
      </c>
      <c r="CK20" s="72">
        <f t="shared" si="102"/>
        <v>122</v>
      </c>
      <c r="CL20" s="72">
        <f t="shared" si="103"/>
        <v>158</v>
      </c>
      <c r="CM20" s="72">
        <f t="shared" si="104"/>
        <v>166</v>
      </c>
      <c r="CN20" s="72">
        <f t="shared" si="105"/>
        <v>196</v>
      </c>
      <c r="CO20" s="72">
        <f t="shared" si="106"/>
        <v>209</v>
      </c>
      <c r="CP20" s="72">
        <f t="shared" si="107"/>
        <v>250</v>
      </c>
      <c r="CQ20" s="72">
        <f t="shared" si="108"/>
        <v>337</v>
      </c>
      <c r="CR20" s="72">
        <f t="shared" si="109"/>
        <v>371</v>
      </c>
      <c r="CS20" s="72">
        <f t="shared" si="110"/>
        <v>385</v>
      </c>
      <c r="CT20" s="23">
        <f t="shared" si="111"/>
        <v>1</v>
      </c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1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1"/>
      <c r="AFE20" s="1"/>
      <c r="AFF20" s="1"/>
      <c r="AFG20" s="1"/>
      <c r="AFH20" s="1"/>
      <c r="AFI20" s="1"/>
      <c r="AFJ20" s="1"/>
      <c r="AFK20" s="1"/>
      <c r="AFL20" s="1"/>
      <c r="AFM20" s="1"/>
      <c r="AFN20" s="1"/>
      <c r="AFO20" s="1"/>
      <c r="AFP20" s="1"/>
      <c r="AFQ20" s="1"/>
      <c r="AFR20" s="1"/>
      <c r="AFS20" s="1"/>
      <c r="AFT20" s="1"/>
      <c r="AFU20" s="1"/>
      <c r="AFV20" s="1"/>
      <c r="AFW20" s="1"/>
      <c r="AFX20" s="1"/>
      <c r="AFY20" s="1"/>
      <c r="AFZ20" s="1"/>
      <c r="AGA20" s="1"/>
      <c r="AGB20" s="1"/>
      <c r="AGC20" s="1"/>
      <c r="AGD20" s="1"/>
      <c r="AGE20" s="1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1"/>
      <c r="AHD20" s="1"/>
      <c r="AHE20" s="1"/>
      <c r="AHF20" s="1"/>
      <c r="AHG20" s="1"/>
      <c r="AHH20" s="1"/>
      <c r="AHI20" s="1"/>
      <c r="AHJ20" s="1"/>
      <c r="AHK20" s="1"/>
      <c r="AHL20" s="1"/>
      <c r="AHM20" s="1"/>
      <c r="AHN20" s="1"/>
      <c r="AHO20" s="1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1"/>
      <c r="AIB20" s="1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1"/>
      <c r="AIQ20" s="1"/>
      <c r="AIR20" s="1"/>
      <c r="AIS20" s="1"/>
      <c r="AIT20" s="1"/>
      <c r="AIU20" s="1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1"/>
      <c r="AJH20" s="1"/>
      <c r="AJI20" s="1"/>
      <c r="AJJ20" s="1"/>
      <c r="AJK20" s="1"/>
      <c r="AJL20" s="1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1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1"/>
      <c r="AKR20" s="1"/>
      <c r="AKS20" s="1"/>
      <c r="AKT20" s="1"/>
      <c r="AKU20" s="1"/>
      <c r="AKV20" s="1"/>
      <c r="AKW20" s="1"/>
      <c r="AKX20" s="1"/>
      <c r="AKY20" s="1"/>
      <c r="AKZ20" s="1"/>
      <c r="ALA20" s="1"/>
      <c r="ALB20" s="1"/>
      <c r="ALC20" s="1"/>
      <c r="ALD20" s="1"/>
      <c r="ALE20" s="1"/>
      <c r="ALF20" s="1"/>
      <c r="ALG20" s="1"/>
      <c r="ALH20" s="1"/>
      <c r="ALI20" s="1"/>
      <c r="ALJ20" s="1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1"/>
      <c r="AMB20" s="1"/>
      <c r="AMC20" s="1"/>
      <c r="AMD20" s="1"/>
      <c r="AME20" s="1"/>
      <c r="AMF20" s="1"/>
      <c r="AMG20" s="1"/>
      <c r="AMH20" s="1"/>
      <c r="AMI20" s="1"/>
      <c r="AMJ20" s="1"/>
      <c r="AMK20" s="1"/>
      <c r="AML20" s="1"/>
      <c r="AMM20" s="1"/>
      <c r="AMN20" s="1"/>
      <c r="AMO20" s="1"/>
    </row>
    <row r="21" spans="1:1029" x14ac:dyDescent="0.2">
      <c r="A21" s="3" t="str">
        <f t="shared" si="84"/>
        <v>5ht2c_human_6BQG</v>
      </c>
      <c r="B21" s="3" t="s">
        <v>133</v>
      </c>
      <c r="C21" s="3" t="s">
        <v>1477</v>
      </c>
      <c r="D21" s="3" t="str">
        <f>IFERROR(MID(VLOOKUP($B21,Seqs!$A:$B,2,0),E21,1),"")</f>
        <v>V</v>
      </c>
      <c r="E21" s="3">
        <v>61</v>
      </c>
      <c r="F21" s="3" t="str">
        <f>IFERROR(MID(VLOOKUP($B21,Seqs!$A:$B,2,0),G21,1),"")</f>
        <v>E</v>
      </c>
      <c r="G21" s="3">
        <v>81</v>
      </c>
      <c r="H21" s="3" t="str">
        <f>IFERROR(MID(VLOOKUP($B21,Seqs!$A:$B,2,0),I21,1),"")</f>
        <v>K</v>
      </c>
      <c r="I21" s="23">
        <v>82</v>
      </c>
      <c r="J21" s="3" t="str">
        <f>IFERROR(MID(VLOOKUP($B21,Seqs!$A:$B,2,0),K21,1),"")</f>
        <v>H</v>
      </c>
      <c r="K21" s="23">
        <v>85</v>
      </c>
      <c r="L21" s="3" t="str">
        <f>IFERROR(MID(VLOOKUP($B21,Seqs!$A:$B,2,0),M21,1),"")</f>
        <v>N</v>
      </c>
      <c r="M21" s="3">
        <v>86</v>
      </c>
      <c r="N21" s="3" t="str">
        <f>IFERROR(MID(VLOOKUP($B21,Seqs!$A:$B,2,0),O21,1),"")</f>
        <v>D</v>
      </c>
      <c r="O21" s="3">
        <v>117</v>
      </c>
      <c r="P21" s="3" t="str">
        <f>IFERROR(MID(VLOOKUP($B21,Seqs!$A:$B,2,0),Q21,1),"")</f>
        <v>V</v>
      </c>
      <c r="Q21" s="3">
        <v>119</v>
      </c>
      <c r="R21" s="3" t="str">
        <f>IFERROR(MID(VLOOKUP($B21,Seqs!$A:$B,2,0),S21,1),"")</f>
        <v>L</v>
      </c>
      <c r="S21" s="3">
        <v>122</v>
      </c>
      <c r="T21" s="3" t="str">
        <f>IFERROR(MID(VLOOKUP($B21,Seqs!$A:$B,2,0),U21,1),"")</f>
        <v>P</v>
      </c>
      <c r="U21" s="3">
        <v>123</v>
      </c>
      <c r="V21" s="3" t="str">
        <f>IFERROR(MID(VLOOKUP($B21,Seqs!$A:$B,2,0),W21,1),"")</f>
        <v>N</v>
      </c>
      <c r="W21" s="3">
        <v>158</v>
      </c>
      <c r="X21" s="3" t="str">
        <f>IFERROR(MID(VLOOKUP($B21,Seqs!$A:$B,2,0),Y21,1),"")</f>
        <v/>
      </c>
      <c r="Y21" s="3" t="s">
        <v>23</v>
      </c>
      <c r="Z21" s="3" t="str">
        <f>IFERROR(MID(VLOOKUP($B21,Seqs!$A:$B,2,0),AA21,1),"")</f>
        <v/>
      </c>
      <c r="AA21" s="3" t="s">
        <v>23</v>
      </c>
      <c r="AB21" s="3" t="str">
        <f>IFERROR(MID(VLOOKUP($B21,Seqs!$A:$B,2,0),AC21,1),"")</f>
        <v>S</v>
      </c>
      <c r="AC21" s="3">
        <v>167</v>
      </c>
      <c r="AD21" s="3" t="str">
        <f>IFERROR(MID(VLOOKUP($B21,Seqs!$A:$B,2,0),AE21,1),"")</f>
        <v>D</v>
      </c>
      <c r="AE21" s="3">
        <v>196</v>
      </c>
      <c r="AF21" s="3" t="str">
        <f>IFERROR(MID(VLOOKUP($B21,Seqs!$A:$B,2,0),AG21,1),"")</f>
        <v>C</v>
      </c>
      <c r="AG21" s="3">
        <v>207</v>
      </c>
      <c r="AH21" s="3" t="str">
        <f>IFERROR(MID(VLOOKUP($B21,Seqs!$A:$B,2,0),AI21,1),"")</f>
        <v>L</v>
      </c>
      <c r="AI21" s="3">
        <v>209</v>
      </c>
      <c r="AJ21" s="3" t="str">
        <f>IFERROR(MID(VLOOKUP($B21,Seqs!$A:$B,2,0),AK21,1),"")</f>
        <v>D</v>
      </c>
      <c r="AK21" s="3">
        <v>211</v>
      </c>
      <c r="AL21" s="3" t="str">
        <f>IFERROR(MID(VLOOKUP($B21,Seqs!$A:$B,2,0),AM21,1),"")</f>
        <v>A</v>
      </c>
      <c r="AM21" s="3">
        <v>245</v>
      </c>
      <c r="AN21" s="3" t="str">
        <f>IFERROR(MID(VLOOKUP($B21,Seqs!$A:$B,2,0),AO21,1),"")</f>
        <v>Q</v>
      </c>
      <c r="AO21" s="3">
        <v>301</v>
      </c>
      <c r="AP21" s="3" t="str">
        <f>IFERROR(MID(VLOOKUP($B21,Seqs!$A:$B,2,0),AQ21,1),"")</f>
        <v>C</v>
      </c>
      <c r="AQ21" s="3">
        <v>337</v>
      </c>
      <c r="AR21" s="3" t="str">
        <f>IFERROR(MID(VLOOKUP($B21,Seqs!$A:$B,2,0),AS21,1),"")</f>
        <v>N</v>
      </c>
      <c r="AS21" s="3">
        <v>342</v>
      </c>
      <c r="AT21" s="3" t="str">
        <f>IFERROR(MID(VLOOKUP($B21,Seqs!$A:$B,2,0),AU21,1),"")</f>
        <v>F</v>
      </c>
      <c r="AU21" s="3">
        <v>371</v>
      </c>
      <c r="AV21" s="3" t="str">
        <f>IFERROR(MID(VLOOKUP($B21,Seqs!$A:$B,2,0),AW21,1),"")</f>
        <v>N</v>
      </c>
      <c r="AW21" s="3">
        <v>372</v>
      </c>
      <c r="AX21" s="3" t="str">
        <f>IFERROR(MID(VLOOKUP($B21,Seqs!$A:$B,2,0),AY21,1),"")</f>
        <v>C</v>
      </c>
      <c r="AY21" s="3">
        <v>385</v>
      </c>
      <c r="AZ21" s="77" t="str">
        <f>VLOOKUP(B21,Classification!A:D,2,0)</f>
        <v>A</v>
      </c>
      <c r="BA21" s="94" t="str">
        <f>VLOOKUP(B21,Classification!A:D,4,0)</f>
        <v>5-Hydroxytryptamine</v>
      </c>
      <c r="BB21" s="27" t="b">
        <f t="shared" si="85"/>
        <v>1</v>
      </c>
      <c r="BC21" s="23">
        <f t="shared" si="86"/>
        <v>247</v>
      </c>
      <c r="BD21" s="4" t="s">
        <v>1381</v>
      </c>
      <c r="BE21" s="3" t="s">
        <v>1297</v>
      </c>
      <c r="BF21" s="119">
        <v>3</v>
      </c>
      <c r="BG21" s="49" t="s">
        <v>1</v>
      </c>
      <c r="BH21" s="49" t="s">
        <v>1</v>
      </c>
      <c r="BI21" s="1"/>
      <c r="BJ21" s="70" t="s">
        <v>1293</v>
      </c>
      <c r="BK21" s="57" t="s">
        <v>1293</v>
      </c>
      <c r="BL21" s="57" t="s">
        <v>1293</v>
      </c>
      <c r="BM21" s="57" t="s">
        <v>1293</v>
      </c>
      <c r="BN21" s="57" t="s">
        <v>1293</v>
      </c>
      <c r="BO21" s="57" t="s">
        <v>1293</v>
      </c>
      <c r="BP21" s="57" t="s">
        <v>1293</v>
      </c>
      <c r="BQ21" s="57" t="s">
        <v>1293</v>
      </c>
      <c r="BR21" s="57" t="s">
        <v>1293</v>
      </c>
      <c r="BS21" s="57" t="s">
        <v>1293</v>
      </c>
      <c r="BT21" s="57" t="s">
        <v>1293</v>
      </c>
      <c r="BU21" s="57" t="s">
        <v>1293</v>
      </c>
      <c r="BV21" s="70">
        <f t="shared" si="87"/>
        <v>61</v>
      </c>
      <c r="BW21" s="71">
        <f t="shared" si="88"/>
        <v>82</v>
      </c>
      <c r="BX21" s="72">
        <f t="shared" si="89"/>
        <v>86</v>
      </c>
      <c r="BY21" s="71">
        <f t="shared" si="90"/>
        <v>119</v>
      </c>
      <c r="BZ21" s="72">
        <f t="shared" si="91"/>
        <v>123</v>
      </c>
      <c r="CA21" s="71" t="str">
        <f t="shared" si="92"/>
        <v>-</v>
      </c>
      <c r="CB21" s="72">
        <f t="shared" si="93"/>
        <v>167</v>
      </c>
      <c r="CC21" s="71">
        <f t="shared" si="94"/>
        <v>207</v>
      </c>
      <c r="CD21" s="72">
        <f t="shared" si="95"/>
        <v>211</v>
      </c>
      <c r="CE21" s="71">
        <f t="shared" si="96"/>
        <v>301</v>
      </c>
      <c r="CF21" s="72">
        <f t="shared" si="97"/>
        <v>342</v>
      </c>
      <c r="CG21" s="71">
        <f t="shared" si="98"/>
        <v>372</v>
      </c>
      <c r="CH21" s="70">
        <f t="shared" si="99"/>
        <v>81</v>
      </c>
      <c r="CI21" s="71">
        <f t="shared" si="100"/>
        <v>85</v>
      </c>
      <c r="CJ21" s="72">
        <f t="shared" si="101"/>
        <v>117</v>
      </c>
      <c r="CK21" s="72">
        <f t="shared" si="102"/>
        <v>122</v>
      </c>
      <c r="CL21" s="72">
        <f t="shared" si="103"/>
        <v>158</v>
      </c>
      <c r="CM21" s="72" t="str">
        <f t="shared" si="104"/>
        <v>-</v>
      </c>
      <c r="CN21" s="72">
        <f t="shared" si="105"/>
        <v>196</v>
      </c>
      <c r="CO21" s="72">
        <f t="shared" si="106"/>
        <v>209</v>
      </c>
      <c r="CP21" s="72">
        <f t="shared" si="107"/>
        <v>245</v>
      </c>
      <c r="CQ21" s="72">
        <f t="shared" si="108"/>
        <v>337</v>
      </c>
      <c r="CR21" s="72">
        <f t="shared" si="109"/>
        <v>371</v>
      </c>
      <c r="CS21" s="72">
        <f t="shared" si="110"/>
        <v>385</v>
      </c>
      <c r="CT21" s="23">
        <f t="shared" si="111"/>
        <v>1</v>
      </c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  <c r="ADW21" s="1"/>
      <c r="ADX21" s="1"/>
      <c r="ADY21" s="1"/>
      <c r="ADZ21" s="1"/>
      <c r="AEA21" s="1"/>
      <c r="AEB21" s="1"/>
      <c r="AEC21" s="1"/>
      <c r="AED21" s="1"/>
      <c r="AEE21" s="1"/>
      <c r="AEF21" s="1"/>
      <c r="AEG21" s="1"/>
      <c r="AEH21" s="1"/>
      <c r="AEI21" s="1"/>
      <c r="AEJ21" s="1"/>
      <c r="AEK21" s="1"/>
      <c r="AEL21" s="1"/>
      <c r="AEM21" s="1"/>
      <c r="AEN21" s="1"/>
      <c r="AEO21" s="1"/>
      <c r="AEP21" s="1"/>
      <c r="AEQ21" s="1"/>
      <c r="AER21" s="1"/>
      <c r="AES21" s="1"/>
      <c r="AET21" s="1"/>
      <c r="AEU21" s="1"/>
      <c r="AEV21" s="1"/>
      <c r="AEW21" s="1"/>
      <c r="AEX21" s="1"/>
      <c r="AEY21" s="1"/>
      <c r="AEZ21" s="1"/>
      <c r="AFA21" s="1"/>
      <c r="AFB21" s="1"/>
      <c r="AFC21" s="1"/>
      <c r="AFD21" s="1"/>
      <c r="AFE21" s="1"/>
      <c r="AFF21" s="1"/>
      <c r="AFG21" s="1"/>
      <c r="AFH21" s="1"/>
      <c r="AFI21" s="1"/>
      <c r="AFJ21" s="1"/>
      <c r="AFK21" s="1"/>
      <c r="AFL21" s="1"/>
      <c r="AFM21" s="1"/>
      <c r="AFN21" s="1"/>
      <c r="AFO21" s="1"/>
      <c r="AFP21" s="1"/>
      <c r="AFQ21" s="1"/>
      <c r="AFR21" s="1"/>
      <c r="AFS21" s="1"/>
      <c r="AFT21" s="1"/>
      <c r="AFU21" s="1"/>
      <c r="AFV21" s="1"/>
      <c r="AFW21" s="1"/>
      <c r="AFX21" s="1"/>
      <c r="AFY21" s="1"/>
      <c r="AFZ21" s="1"/>
      <c r="AGA21" s="1"/>
      <c r="AGB21" s="1"/>
      <c r="AGC21" s="1"/>
      <c r="AGD21" s="1"/>
      <c r="AGE21" s="1"/>
      <c r="AGF21" s="1"/>
      <c r="AGG21" s="1"/>
      <c r="AGH21" s="1"/>
      <c r="AGI21" s="1"/>
      <c r="AGJ21" s="1"/>
      <c r="AGK21" s="1"/>
      <c r="AGL21" s="1"/>
      <c r="AGM21" s="1"/>
      <c r="AGN21" s="1"/>
      <c r="AGO21" s="1"/>
      <c r="AGP21" s="1"/>
      <c r="AGQ21" s="1"/>
      <c r="AGR21" s="1"/>
      <c r="AGS21" s="1"/>
      <c r="AGT21" s="1"/>
      <c r="AGU21" s="1"/>
      <c r="AGV21" s="1"/>
      <c r="AGW21" s="1"/>
      <c r="AGX21" s="1"/>
      <c r="AGY21" s="1"/>
      <c r="AGZ21" s="1"/>
      <c r="AHA21" s="1"/>
      <c r="AHB21" s="1"/>
      <c r="AHC21" s="1"/>
      <c r="AHD21" s="1"/>
      <c r="AHE21" s="1"/>
      <c r="AHF21" s="1"/>
      <c r="AHG21" s="1"/>
      <c r="AHH21" s="1"/>
      <c r="AHI21" s="1"/>
      <c r="AHJ21" s="1"/>
      <c r="AHK21" s="1"/>
      <c r="AHL21" s="1"/>
      <c r="AHM21" s="1"/>
      <c r="AHN21" s="1"/>
      <c r="AHO21" s="1"/>
      <c r="AHP21" s="1"/>
      <c r="AHQ21" s="1"/>
      <c r="AHR21" s="1"/>
      <c r="AHS21" s="1"/>
      <c r="AHT21" s="1"/>
      <c r="AHU21" s="1"/>
      <c r="AHV21" s="1"/>
      <c r="AHW21" s="1"/>
      <c r="AHX21" s="1"/>
      <c r="AHY21" s="1"/>
      <c r="AHZ21" s="1"/>
      <c r="AIA21" s="1"/>
      <c r="AIB21" s="1"/>
      <c r="AIC21" s="1"/>
      <c r="AID21" s="1"/>
      <c r="AIE21" s="1"/>
      <c r="AIF21" s="1"/>
      <c r="AIG21" s="1"/>
      <c r="AIH21" s="1"/>
      <c r="AII21" s="1"/>
      <c r="AIJ21" s="1"/>
      <c r="AIK21" s="1"/>
      <c r="AIL21" s="1"/>
      <c r="AIM21" s="1"/>
      <c r="AIN21" s="1"/>
      <c r="AIO21" s="1"/>
      <c r="AIP21" s="1"/>
      <c r="AIQ21" s="1"/>
      <c r="AIR21" s="1"/>
      <c r="AIS21" s="1"/>
      <c r="AIT21" s="1"/>
      <c r="AIU21" s="1"/>
      <c r="AIV21" s="1"/>
      <c r="AIW21" s="1"/>
      <c r="AIX21" s="1"/>
      <c r="AIY21" s="1"/>
      <c r="AIZ21" s="1"/>
      <c r="AJA21" s="1"/>
      <c r="AJB21" s="1"/>
      <c r="AJC21" s="1"/>
      <c r="AJD21" s="1"/>
      <c r="AJE21" s="1"/>
      <c r="AJF21" s="1"/>
      <c r="AJG21" s="1"/>
      <c r="AJH21" s="1"/>
      <c r="AJI21" s="1"/>
      <c r="AJJ21" s="1"/>
      <c r="AJK21" s="1"/>
      <c r="AJL21" s="1"/>
      <c r="AJM21" s="1"/>
      <c r="AJN21" s="1"/>
      <c r="AJO21" s="1"/>
      <c r="AJP21" s="1"/>
      <c r="AJQ21" s="1"/>
      <c r="AJR21" s="1"/>
      <c r="AJS21" s="1"/>
      <c r="AJT21" s="1"/>
      <c r="AJU21" s="1"/>
      <c r="AJV21" s="1"/>
      <c r="AJW21" s="1"/>
      <c r="AJX21" s="1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1"/>
      <c r="AKN21" s="1"/>
      <c r="AKO21" s="1"/>
      <c r="AKP21" s="1"/>
      <c r="AKQ21" s="1"/>
      <c r="AKR21" s="1"/>
      <c r="AKS21" s="1"/>
      <c r="AKT21" s="1"/>
      <c r="AKU21" s="1"/>
      <c r="AKV21" s="1"/>
      <c r="AKW21" s="1"/>
      <c r="AKX21" s="1"/>
      <c r="AKY21" s="1"/>
      <c r="AKZ21" s="1"/>
      <c r="ALA21" s="1"/>
      <c r="ALB21" s="1"/>
      <c r="ALC21" s="1"/>
      <c r="ALD21" s="1"/>
      <c r="ALE21" s="1"/>
      <c r="ALF21" s="1"/>
      <c r="ALG21" s="1"/>
      <c r="ALH21" s="1"/>
      <c r="ALI21" s="1"/>
      <c r="ALJ21" s="1"/>
      <c r="ALK21" s="1"/>
      <c r="ALL21" s="1"/>
      <c r="ALM21" s="1"/>
      <c r="ALN21" s="1"/>
      <c r="ALO21" s="1"/>
      <c r="ALP21" s="1"/>
      <c r="ALQ21" s="1"/>
      <c r="ALR21" s="1"/>
      <c r="ALS21" s="1"/>
      <c r="ALT21" s="1"/>
      <c r="ALU21" s="1"/>
      <c r="ALV21" s="1"/>
      <c r="ALW21" s="1"/>
      <c r="ALX21" s="1"/>
      <c r="ALY21" s="1"/>
      <c r="ALZ21" s="1"/>
      <c r="AMA21" s="1"/>
      <c r="AMB21" s="1"/>
      <c r="AMC21" s="1"/>
      <c r="AMD21" s="1"/>
      <c r="AME21" s="1"/>
      <c r="AMF21" s="1"/>
      <c r="AMG21" s="1"/>
      <c r="AMH21" s="1"/>
      <c r="AMI21" s="1"/>
      <c r="AMJ21" s="1"/>
      <c r="AMK21" s="1"/>
      <c r="AML21" s="1"/>
      <c r="AMM21" s="1"/>
      <c r="AMN21" s="1"/>
      <c r="AMO21" s="1"/>
    </row>
    <row r="22" spans="1:1029" x14ac:dyDescent="0.2">
      <c r="A22" s="3" t="str">
        <f t="shared" si="84"/>
        <v>5ht2c_human_6BQH</v>
      </c>
      <c r="B22" s="3" t="s">
        <v>133</v>
      </c>
      <c r="C22" s="3" t="s">
        <v>1478</v>
      </c>
      <c r="D22" s="3" t="str">
        <f>IFERROR(MID(VLOOKUP($B22,Seqs!$A:$B,2,0),E22,1),"")</f>
        <v>I</v>
      </c>
      <c r="E22" s="3">
        <v>60</v>
      </c>
      <c r="F22" s="3" t="str">
        <f>IFERROR(MID(VLOOKUP($B22,Seqs!$A:$B,2,0),G22,1),"")</f>
        <v>E</v>
      </c>
      <c r="G22" s="3">
        <v>81</v>
      </c>
      <c r="H22" s="3" t="str">
        <f>IFERROR(MID(VLOOKUP($B22,Seqs!$A:$B,2,0),I22,1),"")</f>
        <v>K</v>
      </c>
      <c r="I22" s="23">
        <v>82</v>
      </c>
      <c r="J22" s="3" t="str">
        <f>IFERROR(MID(VLOOKUP($B22,Seqs!$A:$B,2,0),K22,1),"")</f>
        <v>H</v>
      </c>
      <c r="K22" s="23">
        <v>85</v>
      </c>
      <c r="L22" s="3" t="str">
        <f>IFERROR(MID(VLOOKUP($B22,Seqs!$A:$B,2,0),M22,1),"")</f>
        <v>N</v>
      </c>
      <c r="M22" s="3">
        <v>86</v>
      </c>
      <c r="N22" s="3" t="str">
        <f>IFERROR(MID(VLOOKUP($B22,Seqs!$A:$B,2,0),O22,1),"")</f>
        <v>D</v>
      </c>
      <c r="O22" s="3">
        <v>117</v>
      </c>
      <c r="P22" s="3" t="str">
        <f>IFERROR(MID(VLOOKUP($B22,Seqs!$A:$B,2,0),Q22,1),"")</f>
        <v>V</v>
      </c>
      <c r="Q22" s="3">
        <v>119</v>
      </c>
      <c r="R22" s="3" t="str">
        <f>IFERROR(MID(VLOOKUP($B22,Seqs!$A:$B,2,0),S22,1),"")</f>
        <v>L</v>
      </c>
      <c r="S22" s="3">
        <v>122</v>
      </c>
      <c r="T22" s="3" t="str">
        <f>IFERROR(MID(VLOOKUP($B22,Seqs!$A:$B,2,0),U22,1),"")</f>
        <v>P</v>
      </c>
      <c r="U22" s="3">
        <v>123</v>
      </c>
      <c r="V22" s="3" t="str">
        <f>IFERROR(MID(VLOOKUP($B22,Seqs!$A:$B,2,0),W22,1),"")</f>
        <v>R</v>
      </c>
      <c r="W22" s="3">
        <v>157</v>
      </c>
      <c r="X22" s="3" t="str">
        <f>IFERROR(MID(VLOOKUP($B22,Seqs!$A:$B,2,0),Y22,1),"")</f>
        <v/>
      </c>
      <c r="Y22" s="3" t="s">
        <v>23</v>
      </c>
      <c r="Z22" s="3" t="str">
        <f>IFERROR(MID(VLOOKUP($B22,Seqs!$A:$B,2,0),AA22,1),"")</f>
        <v/>
      </c>
      <c r="AA22" s="3" t="s">
        <v>23</v>
      </c>
      <c r="AB22" s="3" t="str">
        <f>IFERROR(MID(VLOOKUP($B22,Seqs!$A:$B,2,0),AC22,1),"")</f>
        <v>N</v>
      </c>
      <c r="AC22" s="3">
        <v>166</v>
      </c>
      <c r="AD22" s="3" t="str">
        <f>IFERROR(MID(VLOOKUP($B22,Seqs!$A:$B,2,0),AE22,1),"")</f>
        <v>D</v>
      </c>
      <c r="AE22" s="3">
        <v>196</v>
      </c>
      <c r="AF22" s="3" t="str">
        <f>IFERROR(MID(VLOOKUP($B22,Seqs!$A:$B,2,0),AG22,1),"")</f>
        <v>C</v>
      </c>
      <c r="AG22" s="3">
        <v>207</v>
      </c>
      <c r="AH22" s="3" t="str">
        <f>IFERROR(MID(VLOOKUP($B22,Seqs!$A:$B,2,0),AI22,1),"")</f>
        <v>L</v>
      </c>
      <c r="AI22" s="3">
        <v>209</v>
      </c>
      <c r="AJ22" s="3" t="str">
        <f>IFERROR(MID(VLOOKUP($B22,Seqs!$A:$B,2,0),AK22,1),"")</f>
        <v>D</v>
      </c>
      <c r="AK22" s="3">
        <v>211</v>
      </c>
      <c r="AL22" s="3" t="str">
        <f>IFERROR(MID(VLOOKUP($B22,Seqs!$A:$B,2,0),AM22,1),"")</f>
        <v>A</v>
      </c>
      <c r="AM22" s="3">
        <v>245</v>
      </c>
      <c r="AN22" s="3" t="str">
        <f>IFERROR(MID(VLOOKUP($B22,Seqs!$A:$B,2,0),AO22,1),"")</f>
        <v>Q</v>
      </c>
      <c r="AO22" s="3">
        <v>301</v>
      </c>
      <c r="AP22" s="3" t="str">
        <f>IFERROR(MID(VLOOKUP($B22,Seqs!$A:$B,2,0),AQ22,1),"")</f>
        <v>L</v>
      </c>
      <c r="AQ22" s="3">
        <v>336</v>
      </c>
      <c r="AR22" s="3" t="str">
        <f>IFERROR(MID(VLOOKUP($B22,Seqs!$A:$B,2,0),AS22,1),"")</f>
        <v>N</v>
      </c>
      <c r="AS22" s="3">
        <v>342</v>
      </c>
      <c r="AT22" s="3" t="str">
        <f>IFERROR(MID(VLOOKUP($B22,Seqs!$A:$B,2,0),AU22,1),"")</f>
        <v>F</v>
      </c>
      <c r="AU22" s="3">
        <v>371</v>
      </c>
      <c r="AV22" s="3" t="str">
        <f>IFERROR(MID(VLOOKUP($B22,Seqs!$A:$B,2,0),AW22,1),"")</f>
        <v>N</v>
      </c>
      <c r="AW22" s="3">
        <v>372</v>
      </c>
      <c r="AX22" s="3" t="str">
        <f>IFERROR(MID(VLOOKUP($B22,Seqs!$A:$B,2,0),AY22,1),"")</f>
        <v>N</v>
      </c>
      <c r="AY22" s="3">
        <v>386</v>
      </c>
      <c r="AZ22" s="77" t="str">
        <f>VLOOKUP(B22,Classification!A:D,2,0)</f>
        <v>A</v>
      </c>
      <c r="BA22" s="94" t="str">
        <f>VLOOKUP(B22,Classification!A:D,4,0)</f>
        <v>5-Hydroxytryptamine</v>
      </c>
      <c r="BB22" s="27" t="b">
        <f t="shared" si="85"/>
        <v>1</v>
      </c>
      <c r="BC22" s="23">
        <f t="shared" si="86"/>
        <v>248</v>
      </c>
      <c r="BD22" s="4" t="s">
        <v>1439</v>
      </c>
      <c r="BE22" s="3" t="s">
        <v>1438</v>
      </c>
      <c r="BF22" s="119">
        <v>2.7</v>
      </c>
      <c r="BG22" s="49" t="s">
        <v>1</v>
      </c>
      <c r="BH22" s="49" t="s">
        <v>1</v>
      </c>
      <c r="BI22" s="1"/>
      <c r="BJ22" s="70" t="s">
        <v>1293</v>
      </c>
      <c r="BK22" s="57" t="s">
        <v>1293</v>
      </c>
      <c r="BL22" s="57" t="s">
        <v>1293</v>
      </c>
      <c r="BM22" s="57" t="s">
        <v>1293</v>
      </c>
      <c r="BN22" s="57" t="s">
        <v>1293</v>
      </c>
      <c r="BO22" s="57" t="s">
        <v>1293</v>
      </c>
      <c r="BP22" s="57" t="s">
        <v>1293</v>
      </c>
      <c r="BQ22" s="57" t="s">
        <v>1293</v>
      </c>
      <c r="BR22" s="57" t="s">
        <v>1293</v>
      </c>
      <c r="BS22" s="57" t="s">
        <v>1293</v>
      </c>
      <c r="BT22" s="57" t="s">
        <v>1293</v>
      </c>
      <c r="BU22" s="57" t="s">
        <v>1293</v>
      </c>
      <c r="BV22" s="70">
        <f t="shared" si="87"/>
        <v>60</v>
      </c>
      <c r="BW22" s="71">
        <f t="shared" si="88"/>
        <v>82</v>
      </c>
      <c r="BX22" s="72">
        <f t="shared" si="89"/>
        <v>86</v>
      </c>
      <c r="BY22" s="71">
        <f t="shared" si="90"/>
        <v>119</v>
      </c>
      <c r="BZ22" s="72">
        <f t="shared" si="91"/>
        <v>123</v>
      </c>
      <c r="CA22" s="71" t="str">
        <f t="shared" si="92"/>
        <v>-</v>
      </c>
      <c r="CB22" s="72">
        <f t="shared" si="93"/>
        <v>166</v>
      </c>
      <c r="CC22" s="71">
        <f t="shared" si="94"/>
        <v>207</v>
      </c>
      <c r="CD22" s="72">
        <f t="shared" si="95"/>
        <v>211</v>
      </c>
      <c r="CE22" s="71">
        <f t="shared" si="96"/>
        <v>301</v>
      </c>
      <c r="CF22" s="72">
        <f t="shared" si="97"/>
        <v>342</v>
      </c>
      <c r="CG22" s="71">
        <f t="shared" si="98"/>
        <v>372</v>
      </c>
      <c r="CH22" s="70">
        <f t="shared" si="99"/>
        <v>81</v>
      </c>
      <c r="CI22" s="71">
        <f t="shared" si="100"/>
        <v>85</v>
      </c>
      <c r="CJ22" s="72">
        <f t="shared" si="101"/>
        <v>117</v>
      </c>
      <c r="CK22" s="72">
        <f t="shared" si="102"/>
        <v>122</v>
      </c>
      <c r="CL22" s="72">
        <f t="shared" si="103"/>
        <v>157</v>
      </c>
      <c r="CM22" s="72" t="str">
        <f t="shared" si="104"/>
        <v>-</v>
      </c>
      <c r="CN22" s="72">
        <f t="shared" si="105"/>
        <v>196</v>
      </c>
      <c r="CO22" s="72">
        <f t="shared" si="106"/>
        <v>209</v>
      </c>
      <c r="CP22" s="72">
        <f t="shared" si="107"/>
        <v>245</v>
      </c>
      <c r="CQ22" s="72">
        <f t="shared" si="108"/>
        <v>336</v>
      </c>
      <c r="CR22" s="72">
        <f t="shared" si="109"/>
        <v>371</v>
      </c>
      <c r="CS22" s="72">
        <f t="shared" si="110"/>
        <v>386</v>
      </c>
      <c r="CT22" s="23">
        <f t="shared" si="111"/>
        <v>1</v>
      </c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</row>
    <row r="23" spans="1:1029" x14ac:dyDescent="0.2">
      <c r="A23" s="3" t="str">
        <f t="shared" si="84"/>
        <v>aa1r_human__wt</v>
      </c>
      <c r="B23" s="3" t="s">
        <v>138</v>
      </c>
      <c r="C23" s="3" t="s">
        <v>100</v>
      </c>
      <c r="D23" s="3" t="str">
        <f>IFERROR(MID(VLOOKUP($B23,Seqs!$A:$B,2,0),E23,1),"")</f>
        <v>S</v>
      </c>
      <c r="E23" s="3">
        <v>6</v>
      </c>
      <c r="F23" s="3" t="str">
        <f>IFERROR(MID(VLOOKUP($B23,Seqs!$A:$B,2,0),G23,1),"")</f>
        <v>N</v>
      </c>
      <c r="G23" s="3">
        <v>37</v>
      </c>
      <c r="H23" s="3" t="str">
        <f>IFERROR(MID(VLOOKUP($B23,Seqs!$A:$B,2,0),I23,1),"")</f>
        <v>Q</v>
      </c>
      <c r="I23" s="23">
        <v>38</v>
      </c>
      <c r="J23" s="3" t="str">
        <f>IFERROR(MID(VLOOKUP($B23,Seqs!$A:$B,2,0),K23,1),"")</f>
        <v>R</v>
      </c>
      <c r="K23" s="23">
        <v>41</v>
      </c>
      <c r="L23" s="3" t="str">
        <f>IFERROR(MID(VLOOKUP($B23,Seqs!$A:$B,2,0),M23,1),"")</f>
        <v>D</v>
      </c>
      <c r="M23" s="3">
        <v>42</v>
      </c>
      <c r="N23" s="3" t="str">
        <f>IFERROR(MID(VLOOKUP($B23,Seqs!$A:$B,2,0),O23,1),"")</f>
        <v>G</v>
      </c>
      <c r="O23" s="3">
        <v>72</v>
      </c>
      <c r="P23" s="3" t="str">
        <f>IFERROR(MID(VLOOKUP($B23,Seqs!$A:$B,2,0),Q23,1),"")</f>
        <v>P</v>
      </c>
      <c r="Q23" s="3">
        <v>73</v>
      </c>
      <c r="R23" s="3" t="str">
        <f>IFERROR(MID(VLOOKUP($B23,Seqs!$A:$B,2,0),S23,1),"")</f>
        <v>T</v>
      </c>
      <c r="S23" s="3">
        <v>75</v>
      </c>
      <c r="T23" s="3" t="str">
        <f>IFERROR(MID(VLOOKUP($B23,Seqs!$A:$B,2,0),U23,1),"")</f>
        <v>Y</v>
      </c>
      <c r="U23" s="3">
        <v>76</v>
      </c>
      <c r="V23" s="3" t="str">
        <f>IFERROR(MID(VLOOKUP($B23,Seqs!$A:$B,2,0),W23,1),"")</f>
        <v>I</v>
      </c>
      <c r="W23" s="3">
        <v>111</v>
      </c>
      <c r="X23" s="3" t="str">
        <f>IFERROR(MID(VLOOKUP($B23,Seqs!$A:$B,2,0),Y23,1),"")</f>
        <v>P</v>
      </c>
      <c r="Y23" s="3">
        <v>112</v>
      </c>
      <c r="Z23" s="3" t="str">
        <f>IFERROR(MID(VLOOKUP($B23,Seqs!$A:$B,2,0),AA23,1),"")</f>
        <v>V</v>
      </c>
      <c r="AA23" s="3">
        <v>119</v>
      </c>
      <c r="AB23" s="3" t="str">
        <f>IFERROR(MID(VLOOKUP($B23,Seqs!$A:$B,2,0),AC23,1),"")</f>
        <v>T</v>
      </c>
      <c r="AC23" s="3">
        <v>120</v>
      </c>
      <c r="AD23" s="3" t="str">
        <f>IFERROR(MID(VLOOKUP($B23,Seqs!$A:$B,2,0),AE23,1),"")</f>
        <v>G</v>
      </c>
      <c r="AE23" s="3">
        <v>145</v>
      </c>
      <c r="AF23" s="3" t="str">
        <f>IFERROR(MID(VLOOKUP($B23,Seqs!$A:$B,2,0),AG23,1),"")</f>
        <v>C</v>
      </c>
      <c r="AG23" s="3">
        <v>169</v>
      </c>
      <c r="AH23" s="3" t="str">
        <f>IFERROR(MID(VLOOKUP($B23,Seqs!$A:$B,2,0),AI23,1),"")</f>
        <v>F</v>
      </c>
      <c r="AI23" s="3">
        <v>171</v>
      </c>
      <c r="AJ23" s="3" t="str">
        <f>IFERROR(MID(VLOOKUP($B23,Seqs!$A:$B,2,0),AK23,1),"")</f>
        <v>S</v>
      </c>
      <c r="AK23" s="3">
        <v>176</v>
      </c>
      <c r="AL23" s="3" t="str">
        <f>IFERROR(MID(VLOOKUP($B23,Seqs!$A:$B,2,0),AM23,1),"")</f>
        <v>V</v>
      </c>
      <c r="AM23" s="3">
        <v>215</v>
      </c>
      <c r="AN23" s="3" t="str">
        <f>IFERROR(MID(VLOOKUP($B23,Seqs!$A:$B,2,0),AO23,1),"")</f>
        <v>D</v>
      </c>
      <c r="AO23" s="3">
        <v>221</v>
      </c>
      <c r="AP23" s="3" t="str">
        <f>IFERROR(MID(VLOOKUP($B23,Seqs!$A:$B,2,0),AQ23,1),"")</f>
        <v>C</v>
      </c>
      <c r="AQ23" s="3">
        <v>260</v>
      </c>
      <c r="AR23" s="3" t="str">
        <f>IFERROR(MID(VLOOKUP($B23,Seqs!$A:$B,2,0),AS23,1),"")</f>
        <v>P</v>
      </c>
      <c r="AS23" s="3">
        <v>266</v>
      </c>
      <c r="AT23" s="3" t="str">
        <f>IFERROR(MID(VLOOKUP($B23,Seqs!$A:$B,2,0),AU23,1),"")</f>
        <v>R</v>
      </c>
      <c r="AU23" s="3">
        <v>291</v>
      </c>
      <c r="AV23" s="3" t="str">
        <f>IFERROR(MID(VLOOKUP($B23,Seqs!$A:$B,2,0),AW23,1),"")</f>
        <v>I</v>
      </c>
      <c r="AW23" s="3">
        <v>292</v>
      </c>
      <c r="AX23" s="3" t="str">
        <f>IFERROR(MID(VLOOKUP($B23,Seqs!$A:$B,2,0),AY23,1),"")</f>
        <v>P</v>
      </c>
      <c r="AY23" s="3">
        <v>314</v>
      </c>
      <c r="AZ23" s="77" t="str">
        <f>VLOOKUP(B23,Classification!A:D,2,0)</f>
        <v>A</v>
      </c>
      <c r="BA23" s="94" t="str">
        <f>VLOOKUP(B23,Classification!A:D,4,0)</f>
        <v>Adenosine</v>
      </c>
      <c r="BB23" s="27" t="b">
        <f t="shared" si="85"/>
        <v>1</v>
      </c>
      <c r="BC23" s="23">
        <f t="shared" si="86"/>
        <v>272</v>
      </c>
      <c r="BD23" s="4" t="s">
        <v>23</v>
      </c>
      <c r="BE23" s="3" t="s">
        <v>23</v>
      </c>
      <c r="BF23" s="119" t="s">
        <v>23</v>
      </c>
      <c r="BG23" s="49" t="s">
        <v>1383</v>
      </c>
      <c r="BH23" s="49" t="s">
        <v>1383</v>
      </c>
      <c r="BI23" s="1"/>
      <c r="BJ23" s="70" t="s">
        <v>1293</v>
      </c>
      <c r="BK23" s="57" t="s">
        <v>1293</v>
      </c>
      <c r="BL23" s="57" t="s">
        <v>1293</v>
      </c>
      <c r="BM23" s="57" t="s">
        <v>1293</v>
      </c>
      <c r="BN23" s="57" t="s">
        <v>1293</v>
      </c>
      <c r="BO23" s="57" t="s">
        <v>1293</v>
      </c>
      <c r="BP23" s="57" t="s">
        <v>1293</v>
      </c>
      <c r="BQ23" s="57" t="s">
        <v>1293</v>
      </c>
      <c r="BR23" s="57" t="s">
        <v>1293</v>
      </c>
      <c r="BS23" s="57" t="s">
        <v>1293</v>
      </c>
      <c r="BT23" s="57" t="s">
        <v>1293</v>
      </c>
      <c r="BU23" s="57" t="s">
        <v>1293</v>
      </c>
      <c r="BV23" s="70">
        <f t="shared" si="87"/>
        <v>6</v>
      </c>
      <c r="BW23" s="71">
        <f t="shared" si="88"/>
        <v>38</v>
      </c>
      <c r="BX23" s="72">
        <f t="shared" si="89"/>
        <v>42</v>
      </c>
      <c r="BY23" s="71">
        <f t="shared" si="90"/>
        <v>73</v>
      </c>
      <c r="BZ23" s="72">
        <f t="shared" si="91"/>
        <v>76</v>
      </c>
      <c r="CA23" s="71">
        <f t="shared" si="92"/>
        <v>112</v>
      </c>
      <c r="CB23" s="72">
        <f t="shared" si="93"/>
        <v>120</v>
      </c>
      <c r="CC23" s="71">
        <f t="shared" si="94"/>
        <v>169</v>
      </c>
      <c r="CD23" s="72">
        <f t="shared" si="95"/>
        <v>176</v>
      </c>
      <c r="CE23" s="71">
        <f t="shared" si="96"/>
        <v>221</v>
      </c>
      <c r="CF23" s="72">
        <f t="shared" si="97"/>
        <v>266</v>
      </c>
      <c r="CG23" s="71">
        <f t="shared" si="98"/>
        <v>292</v>
      </c>
      <c r="CH23" s="70">
        <f t="shared" si="99"/>
        <v>37</v>
      </c>
      <c r="CI23" s="71">
        <f t="shared" si="100"/>
        <v>41</v>
      </c>
      <c r="CJ23" s="72">
        <f t="shared" si="101"/>
        <v>72</v>
      </c>
      <c r="CK23" s="72">
        <f t="shared" si="102"/>
        <v>75</v>
      </c>
      <c r="CL23" s="72">
        <f t="shared" si="103"/>
        <v>111</v>
      </c>
      <c r="CM23" s="72">
        <f t="shared" si="104"/>
        <v>119</v>
      </c>
      <c r="CN23" s="72">
        <f t="shared" si="105"/>
        <v>145</v>
      </c>
      <c r="CO23" s="72">
        <f t="shared" si="106"/>
        <v>171</v>
      </c>
      <c r="CP23" s="72">
        <f t="shared" si="107"/>
        <v>215</v>
      </c>
      <c r="CQ23" s="72">
        <f t="shared" si="108"/>
        <v>260</v>
      </c>
      <c r="CR23" s="72">
        <f t="shared" si="109"/>
        <v>291</v>
      </c>
      <c r="CS23" s="72">
        <f t="shared" si="110"/>
        <v>314</v>
      </c>
      <c r="CT23" s="23">
        <f t="shared" si="111"/>
        <v>1</v>
      </c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  <c r="ADW23" s="1"/>
      <c r="ADX23" s="1"/>
      <c r="ADY23" s="1"/>
      <c r="ADZ23" s="1"/>
      <c r="AEA23" s="1"/>
      <c r="AEB23" s="1"/>
      <c r="AEC23" s="1"/>
      <c r="AED23" s="1"/>
      <c r="AEE23" s="1"/>
      <c r="AEF23" s="1"/>
      <c r="AEG23" s="1"/>
      <c r="AEH23" s="1"/>
      <c r="AEI23" s="1"/>
      <c r="AEJ23" s="1"/>
      <c r="AEK23" s="1"/>
      <c r="AEL23" s="1"/>
      <c r="AEM23" s="1"/>
      <c r="AEN23" s="1"/>
      <c r="AEO23" s="1"/>
      <c r="AEP23" s="1"/>
      <c r="AEQ23" s="1"/>
      <c r="AER23" s="1"/>
      <c r="AES23" s="1"/>
      <c r="AET23" s="1"/>
      <c r="AEU23" s="1"/>
      <c r="AEV23" s="1"/>
      <c r="AEW23" s="1"/>
      <c r="AEX23" s="1"/>
      <c r="AEY23" s="1"/>
      <c r="AEZ23" s="1"/>
      <c r="AFA23" s="1"/>
      <c r="AFB23" s="1"/>
      <c r="AFC23" s="1"/>
      <c r="AFD23" s="1"/>
      <c r="AFE23" s="1"/>
      <c r="AFF23" s="1"/>
      <c r="AFG23" s="1"/>
      <c r="AFH23" s="1"/>
      <c r="AFI23" s="1"/>
      <c r="AFJ23" s="1"/>
      <c r="AFK23" s="1"/>
      <c r="AFL23" s="1"/>
      <c r="AFM23" s="1"/>
      <c r="AFN23" s="1"/>
      <c r="AFO23" s="1"/>
      <c r="AFP23" s="1"/>
      <c r="AFQ23" s="1"/>
      <c r="AFR23" s="1"/>
      <c r="AFS23" s="1"/>
      <c r="AFT23" s="1"/>
      <c r="AFU23" s="1"/>
      <c r="AFV23" s="1"/>
      <c r="AFW23" s="1"/>
      <c r="AFX23" s="1"/>
      <c r="AFY23" s="1"/>
      <c r="AFZ23" s="1"/>
      <c r="AGA23" s="1"/>
      <c r="AGB23" s="1"/>
      <c r="AGC23" s="1"/>
      <c r="AGD23" s="1"/>
      <c r="AGE23" s="1"/>
      <c r="AGF23" s="1"/>
      <c r="AGG23" s="1"/>
      <c r="AGH23" s="1"/>
      <c r="AGI23" s="1"/>
      <c r="AGJ23" s="1"/>
      <c r="AGK23" s="1"/>
      <c r="AGL23" s="1"/>
      <c r="AGM23" s="1"/>
      <c r="AGN23" s="1"/>
      <c r="AGO23" s="1"/>
      <c r="AGP23" s="1"/>
      <c r="AGQ23" s="1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1"/>
      <c r="AHD23" s="1"/>
      <c r="AHE23" s="1"/>
      <c r="AHF23" s="1"/>
      <c r="AHG23" s="1"/>
      <c r="AHH23" s="1"/>
      <c r="AHI23" s="1"/>
      <c r="AHJ23" s="1"/>
      <c r="AHK23" s="1"/>
      <c r="AHL23" s="1"/>
      <c r="AHM23" s="1"/>
      <c r="AHN23" s="1"/>
      <c r="AHO23" s="1"/>
      <c r="AHP23" s="1"/>
      <c r="AHQ23" s="1"/>
      <c r="AHR23" s="1"/>
      <c r="AHS23" s="1"/>
      <c r="AHT23" s="1"/>
      <c r="AHU23" s="1"/>
      <c r="AHV23" s="1"/>
      <c r="AHW23" s="1"/>
      <c r="AHX23" s="1"/>
      <c r="AHY23" s="1"/>
      <c r="AHZ23" s="1"/>
      <c r="AIA23" s="1"/>
      <c r="AIB23" s="1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1"/>
      <c r="AIQ23" s="1"/>
      <c r="AIR23" s="1"/>
      <c r="AIS23" s="1"/>
      <c r="AIT23" s="1"/>
      <c r="AIU23" s="1"/>
      <c r="AIV23" s="1"/>
      <c r="AIW23" s="1"/>
      <c r="AIX23" s="1"/>
      <c r="AIY23" s="1"/>
      <c r="AIZ23" s="1"/>
      <c r="AJA23" s="1"/>
      <c r="AJB23" s="1"/>
      <c r="AJC23" s="1"/>
      <c r="AJD23" s="1"/>
      <c r="AJE23" s="1"/>
      <c r="AJF23" s="1"/>
      <c r="AJG23" s="1"/>
      <c r="AJH23" s="1"/>
      <c r="AJI23" s="1"/>
      <c r="AJJ23" s="1"/>
      <c r="AJK23" s="1"/>
      <c r="AJL23" s="1"/>
      <c r="AJM23" s="1"/>
      <c r="AJN23" s="1"/>
      <c r="AJO23" s="1"/>
      <c r="AJP23" s="1"/>
      <c r="AJQ23" s="1"/>
      <c r="AJR23" s="1"/>
      <c r="AJS23" s="1"/>
      <c r="AJT23" s="1"/>
      <c r="AJU23" s="1"/>
      <c r="AJV23" s="1"/>
      <c r="AJW23" s="1"/>
      <c r="AJX23" s="1"/>
      <c r="AJY23" s="1"/>
      <c r="AJZ23" s="1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1"/>
      <c r="AKN23" s="1"/>
      <c r="AKO23" s="1"/>
      <c r="AKP23" s="1"/>
      <c r="AKQ23" s="1"/>
      <c r="AKR23" s="1"/>
      <c r="AKS23" s="1"/>
      <c r="AKT23" s="1"/>
      <c r="AKU23" s="1"/>
      <c r="AKV23" s="1"/>
      <c r="AKW23" s="1"/>
      <c r="AKX23" s="1"/>
      <c r="AKY23" s="1"/>
      <c r="AKZ23" s="1"/>
      <c r="ALA23" s="1"/>
      <c r="ALB23" s="1"/>
      <c r="ALC23" s="1"/>
      <c r="ALD23" s="1"/>
      <c r="ALE23" s="1"/>
      <c r="ALF23" s="1"/>
      <c r="ALG23" s="1"/>
      <c r="ALH23" s="1"/>
      <c r="ALI23" s="1"/>
      <c r="ALJ23" s="1"/>
      <c r="ALK23" s="1"/>
      <c r="ALL23" s="1"/>
      <c r="ALM23" s="1"/>
      <c r="ALN23" s="1"/>
      <c r="ALO23" s="1"/>
      <c r="ALP23" s="1"/>
      <c r="ALQ23" s="1"/>
      <c r="ALR23" s="1"/>
      <c r="ALS23" s="1"/>
      <c r="ALT23" s="1"/>
      <c r="ALU23" s="1"/>
      <c r="ALV23" s="1"/>
      <c r="ALW23" s="1"/>
      <c r="ALX23" s="1"/>
      <c r="ALY23" s="1"/>
      <c r="ALZ23" s="1"/>
      <c r="AMA23" s="1"/>
      <c r="AMB23" s="1"/>
      <c r="AMC23" s="1"/>
      <c r="AMD23" s="1"/>
      <c r="AME23" s="1"/>
      <c r="AMF23" s="1"/>
      <c r="AMG23" s="1"/>
      <c r="AMH23" s="1"/>
      <c r="AMI23" s="1"/>
      <c r="AMJ23" s="1"/>
      <c r="AMK23" s="1"/>
      <c r="AML23" s="1"/>
      <c r="AMM23" s="1"/>
      <c r="AMN23" s="1"/>
      <c r="AMO23" s="1"/>
    </row>
    <row r="24" spans="1:1029" x14ac:dyDescent="0.2">
      <c r="A24" s="3" t="str">
        <f t="shared" si="84"/>
        <v>aa1r_human_5N2S</v>
      </c>
      <c r="B24" s="3" t="s">
        <v>138</v>
      </c>
      <c r="C24" s="3" t="s">
        <v>1441</v>
      </c>
      <c r="D24" s="3" t="str">
        <f>IFERROR(MID(VLOOKUP($B24,Seqs!$A:$B,2,0),E24,1),"")</f>
        <v/>
      </c>
      <c r="E24" s="3">
        <v>1111</v>
      </c>
      <c r="F24" s="3" t="str">
        <f>IFERROR(MID(VLOOKUP($B24,Seqs!$A:$B,2,0),G24,1),"")</f>
        <v/>
      </c>
      <c r="G24" s="3">
        <v>1141</v>
      </c>
      <c r="H24" s="3" t="str">
        <f>IFERROR(MID(VLOOKUP($B24,Seqs!$A:$B,2,0),I24,1),"")</f>
        <v/>
      </c>
      <c r="I24" s="23" t="s">
        <v>23</v>
      </c>
      <c r="J24" s="3" t="str">
        <f>IFERROR(MID(VLOOKUP($B24,Seqs!$A:$B,2,0),K24,1),"")</f>
        <v/>
      </c>
      <c r="K24" s="23" t="s">
        <v>23</v>
      </c>
      <c r="L24" s="3" t="str">
        <f>IFERROR(MID(VLOOKUP($B24,Seqs!$A:$B,2,0),M24,1),"")</f>
        <v/>
      </c>
      <c r="M24" s="3">
        <v>1147</v>
      </c>
      <c r="N24" s="3" t="str">
        <f>IFERROR(MID(VLOOKUP($B24,Seqs!$A:$B,2,0),O24,1),"")</f>
        <v/>
      </c>
      <c r="O24" s="3">
        <v>1177</v>
      </c>
      <c r="P24" s="3" t="str">
        <f>IFERROR(MID(VLOOKUP($B24,Seqs!$A:$B,2,0),Q24,1),"")</f>
        <v/>
      </c>
      <c r="Q24" s="3">
        <v>1178</v>
      </c>
      <c r="R24" s="3" t="str">
        <f>IFERROR(MID(VLOOKUP($B24,Seqs!$A:$B,2,0),S24,1),"")</f>
        <v/>
      </c>
      <c r="S24" s="3">
        <v>1180</v>
      </c>
      <c r="T24" s="3" t="str">
        <f>IFERROR(MID(VLOOKUP($B24,Seqs!$A:$B,2,0),U24,1),"")</f>
        <v/>
      </c>
      <c r="U24" s="3">
        <v>1181</v>
      </c>
      <c r="V24" s="3" t="str">
        <f>IFERROR(MID(VLOOKUP($B24,Seqs!$A:$B,2,0),W24,1),"")</f>
        <v/>
      </c>
      <c r="W24" s="3">
        <v>1216</v>
      </c>
      <c r="X24" s="3" t="str">
        <f>IFERROR(MID(VLOOKUP($B24,Seqs!$A:$B,2,0),Y24,1),"")</f>
        <v/>
      </c>
      <c r="Y24" s="3">
        <v>1217</v>
      </c>
      <c r="Z24" s="3" t="str">
        <f>IFERROR(MID(VLOOKUP($B24,Seqs!$A:$B,2,0),AA24,1),"")</f>
        <v/>
      </c>
      <c r="AA24" s="3">
        <v>1224</v>
      </c>
      <c r="AB24" s="3" t="str">
        <f>IFERROR(MID(VLOOKUP($B24,Seqs!$A:$B,2,0),AC24,1),"")</f>
        <v/>
      </c>
      <c r="AC24" s="3">
        <v>1225</v>
      </c>
      <c r="AD24" s="3" t="str">
        <f>IFERROR(MID(VLOOKUP($B24,Seqs!$A:$B,2,0),AE24,1),"")</f>
        <v/>
      </c>
      <c r="AE24" s="3">
        <v>1250</v>
      </c>
      <c r="AF24" s="3" t="str">
        <f>IFERROR(MID(VLOOKUP($B24,Seqs!$A:$B,2,0),AG24,1),"")</f>
        <v/>
      </c>
      <c r="AG24" s="3">
        <v>1274</v>
      </c>
      <c r="AH24" s="3" t="str">
        <f>IFERROR(MID(VLOOKUP($B24,Seqs!$A:$B,2,0),AI24,1),"")</f>
        <v/>
      </c>
      <c r="AI24" s="3">
        <v>1276</v>
      </c>
      <c r="AJ24" s="3" t="str">
        <f>IFERROR(MID(VLOOKUP($B24,Seqs!$A:$B,2,0),AK24,1),"")</f>
        <v/>
      </c>
      <c r="AK24" s="3">
        <v>1281</v>
      </c>
      <c r="AL24" s="3" t="str">
        <f>IFERROR(MID(VLOOKUP($B24,Seqs!$A:$B,2,0),AM24,1),"")</f>
        <v/>
      </c>
      <c r="AM24" s="3">
        <v>1316</v>
      </c>
      <c r="AN24" s="3" t="str">
        <f>IFERROR(MID(VLOOKUP($B24,Seqs!$A:$B,2,0),AO24,1),"")</f>
        <v/>
      </c>
      <c r="AO24" s="3">
        <v>1328</v>
      </c>
      <c r="AP24" s="3" t="str">
        <f>IFERROR(MID(VLOOKUP($B24,Seqs!$A:$B,2,0),AQ24,1),"")</f>
        <v/>
      </c>
      <c r="AQ24" s="3">
        <v>1365</v>
      </c>
      <c r="AR24" s="3" t="str">
        <f>IFERROR(MID(VLOOKUP($B24,Seqs!$A:$B,2,0),AS24,1),"")</f>
        <v/>
      </c>
      <c r="AS24" s="3">
        <v>1371</v>
      </c>
      <c r="AT24" s="3" t="str">
        <f>IFERROR(MID(VLOOKUP($B24,Seqs!$A:$B,2,0),AU24,1),"")</f>
        <v/>
      </c>
      <c r="AU24" s="3">
        <v>1400</v>
      </c>
      <c r="AV24" s="3" t="str">
        <f>IFERROR(MID(VLOOKUP($B24,Seqs!$A:$B,2,0),AW24,1),"")</f>
        <v/>
      </c>
      <c r="AW24" s="3" t="s">
        <v>23</v>
      </c>
      <c r="AX24" s="3" t="str">
        <f>IFERROR(MID(VLOOKUP($B24,Seqs!$A:$B,2,0),AY24,1),"")</f>
        <v/>
      </c>
      <c r="AY24" s="3" t="s">
        <v>23</v>
      </c>
      <c r="AZ24" s="77" t="str">
        <f>VLOOKUP(B24,Classification!A:D,2,0)</f>
        <v>A</v>
      </c>
      <c r="BA24" s="94" t="str">
        <f>VLOOKUP(B24,Classification!A:D,4,0)</f>
        <v>Adenosine</v>
      </c>
      <c r="BB24" s="27" t="b">
        <f t="shared" si="85"/>
        <v>1</v>
      </c>
      <c r="BC24" s="23">
        <f t="shared" si="86"/>
        <v>244</v>
      </c>
      <c r="BD24" s="5" t="s">
        <v>23</v>
      </c>
      <c r="BE24" s="3" t="s">
        <v>1380</v>
      </c>
      <c r="BF24" s="119">
        <v>3.3</v>
      </c>
      <c r="BG24" s="49" t="s">
        <v>1</v>
      </c>
      <c r="BH24" s="49" t="s">
        <v>1</v>
      </c>
      <c r="BI24" s="1"/>
      <c r="BJ24" s="70" t="s">
        <v>1293</v>
      </c>
      <c r="BK24" s="57" t="s">
        <v>1293</v>
      </c>
      <c r="BL24" s="57" t="s">
        <v>1293</v>
      </c>
      <c r="BM24" s="57" t="s">
        <v>1293</v>
      </c>
      <c r="BN24" s="57" t="s">
        <v>1293</v>
      </c>
      <c r="BO24" s="57" t="s">
        <v>1293</v>
      </c>
      <c r="BP24" s="57" t="s">
        <v>1293</v>
      </c>
      <c r="BQ24" s="57" t="s">
        <v>1293</v>
      </c>
      <c r="BR24" s="57" t="s">
        <v>1293</v>
      </c>
      <c r="BS24" s="57" t="s">
        <v>1293</v>
      </c>
      <c r="BT24" s="57" t="s">
        <v>1293</v>
      </c>
      <c r="BU24" s="57" t="s">
        <v>1293</v>
      </c>
      <c r="BV24" s="70">
        <f t="shared" si="87"/>
        <v>1111</v>
      </c>
      <c r="BW24" s="71" t="str">
        <f t="shared" si="88"/>
        <v>-</v>
      </c>
      <c r="BX24" s="72">
        <f t="shared" si="89"/>
        <v>1147</v>
      </c>
      <c r="BY24" s="71">
        <f t="shared" si="90"/>
        <v>1178</v>
      </c>
      <c r="BZ24" s="72">
        <f t="shared" si="91"/>
        <v>1181</v>
      </c>
      <c r="CA24" s="71">
        <f t="shared" si="92"/>
        <v>1217</v>
      </c>
      <c r="CB24" s="72">
        <f t="shared" si="93"/>
        <v>1225</v>
      </c>
      <c r="CC24" s="71">
        <f t="shared" si="94"/>
        <v>1274</v>
      </c>
      <c r="CD24" s="72">
        <f t="shared" si="95"/>
        <v>1281</v>
      </c>
      <c r="CE24" s="71">
        <f t="shared" si="96"/>
        <v>1328</v>
      </c>
      <c r="CF24" s="72">
        <f t="shared" si="97"/>
        <v>1371</v>
      </c>
      <c r="CG24" s="71" t="str">
        <f t="shared" si="98"/>
        <v>-</v>
      </c>
      <c r="CH24" s="70">
        <f t="shared" si="99"/>
        <v>1141</v>
      </c>
      <c r="CI24" s="71" t="str">
        <f t="shared" si="100"/>
        <v>-</v>
      </c>
      <c r="CJ24" s="72">
        <f t="shared" si="101"/>
        <v>1177</v>
      </c>
      <c r="CK24" s="72">
        <f t="shared" si="102"/>
        <v>1180</v>
      </c>
      <c r="CL24" s="72">
        <f t="shared" si="103"/>
        <v>1216</v>
      </c>
      <c r="CM24" s="72">
        <f t="shared" si="104"/>
        <v>1224</v>
      </c>
      <c r="CN24" s="72">
        <f t="shared" si="105"/>
        <v>1250</v>
      </c>
      <c r="CO24" s="72">
        <f t="shared" si="106"/>
        <v>1276</v>
      </c>
      <c r="CP24" s="72">
        <f t="shared" si="107"/>
        <v>1316</v>
      </c>
      <c r="CQ24" s="72">
        <f t="shared" si="108"/>
        <v>1365</v>
      </c>
      <c r="CR24" s="72">
        <f t="shared" si="109"/>
        <v>1400</v>
      </c>
      <c r="CS24" s="72" t="str">
        <f t="shared" si="110"/>
        <v>-</v>
      </c>
      <c r="CT24" s="23" t="e">
        <f t="shared" si="111"/>
        <v>#VALUE!</v>
      </c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  <c r="ADW24" s="1"/>
      <c r="ADX24" s="1"/>
      <c r="ADY24" s="1"/>
      <c r="ADZ24" s="1"/>
      <c r="AEA24" s="1"/>
      <c r="AEB24" s="1"/>
      <c r="AEC24" s="1"/>
      <c r="AED24" s="1"/>
      <c r="AEE24" s="1"/>
      <c r="AEF24" s="1"/>
      <c r="AEG24" s="1"/>
      <c r="AEH24" s="1"/>
      <c r="AEI24" s="1"/>
      <c r="AEJ24" s="1"/>
      <c r="AEK24" s="1"/>
      <c r="AEL24" s="1"/>
      <c r="AEM24" s="1"/>
      <c r="AEN24" s="1"/>
      <c r="AEO24" s="1"/>
      <c r="AEP24" s="1"/>
      <c r="AEQ24" s="1"/>
      <c r="AER24" s="1"/>
      <c r="AES24" s="1"/>
      <c r="AET24" s="1"/>
      <c r="AEU24" s="1"/>
      <c r="AEV24" s="1"/>
      <c r="AEW24" s="1"/>
      <c r="AEX24" s="1"/>
      <c r="AEY24" s="1"/>
      <c r="AEZ24" s="1"/>
      <c r="AFA24" s="1"/>
      <c r="AFB24" s="1"/>
      <c r="AFC24" s="1"/>
      <c r="AFD24" s="1"/>
      <c r="AFE24" s="1"/>
      <c r="AFF24" s="1"/>
      <c r="AFG24" s="1"/>
      <c r="AFH24" s="1"/>
      <c r="AFI24" s="1"/>
      <c r="AFJ24" s="1"/>
      <c r="AFK24" s="1"/>
      <c r="AFL24" s="1"/>
      <c r="AFM24" s="1"/>
      <c r="AFN24" s="1"/>
      <c r="AFO24" s="1"/>
      <c r="AFP24" s="1"/>
      <c r="AFQ24" s="1"/>
      <c r="AFR24" s="1"/>
      <c r="AFS24" s="1"/>
      <c r="AFT24" s="1"/>
      <c r="AFU24" s="1"/>
      <c r="AFV24" s="1"/>
      <c r="AFW24" s="1"/>
      <c r="AFX24" s="1"/>
      <c r="AFY24" s="1"/>
      <c r="AFZ24" s="1"/>
      <c r="AGA24" s="1"/>
      <c r="AGB24" s="1"/>
      <c r="AGC24" s="1"/>
      <c r="AGD24" s="1"/>
      <c r="AGE24" s="1"/>
      <c r="AGF24" s="1"/>
      <c r="AGG24" s="1"/>
      <c r="AGH24" s="1"/>
      <c r="AGI24" s="1"/>
      <c r="AGJ24" s="1"/>
      <c r="AGK24" s="1"/>
      <c r="AGL24" s="1"/>
      <c r="AGM24" s="1"/>
      <c r="AGN24" s="1"/>
      <c r="AGO24" s="1"/>
      <c r="AGP24" s="1"/>
      <c r="AGQ24" s="1"/>
      <c r="AGR24" s="1"/>
      <c r="AGS24" s="1"/>
      <c r="AGT24" s="1"/>
      <c r="AGU24" s="1"/>
      <c r="AGV24" s="1"/>
      <c r="AGW24" s="1"/>
      <c r="AGX24" s="1"/>
      <c r="AGY24" s="1"/>
      <c r="AGZ24" s="1"/>
      <c r="AHA24" s="1"/>
      <c r="AHB24" s="1"/>
      <c r="AHC24" s="1"/>
      <c r="AHD24" s="1"/>
      <c r="AHE24" s="1"/>
      <c r="AHF24" s="1"/>
      <c r="AHG24" s="1"/>
      <c r="AHH24" s="1"/>
      <c r="AHI24" s="1"/>
      <c r="AHJ24" s="1"/>
      <c r="AHK24" s="1"/>
      <c r="AHL24" s="1"/>
      <c r="AHM24" s="1"/>
      <c r="AHN24" s="1"/>
      <c r="AHO24" s="1"/>
      <c r="AHP24" s="1"/>
      <c r="AHQ24" s="1"/>
      <c r="AHR24" s="1"/>
      <c r="AHS24" s="1"/>
      <c r="AHT24" s="1"/>
      <c r="AHU24" s="1"/>
      <c r="AHV24" s="1"/>
      <c r="AHW24" s="1"/>
      <c r="AHX24" s="1"/>
      <c r="AHY24" s="1"/>
      <c r="AHZ24" s="1"/>
      <c r="AIA24" s="1"/>
      <c r="AIB24" s="1"/>
      <c r="AIC24" s="1"/>
      <c r="AID24" s="1"/>
      <c r="AIE24" s="1"/>
      <c r="AIF24" s="1"/>
      <c r="AIG24" s="1"/>
      <c r="AIH24" s="1"/>
      <c r="AII24" s="1"/>
      <c r="AIJ24" s="1"/>
      <c r="AIK24" s="1"/>
      <c r="AIL24" s="1"/>
      <c r="AIM24" s="1"/>
      <c r="AIN24" s="1"/>
      <c r="AIO24" s="1"/>
      <c r="AIP24" s="1"/>
      <c r="AIQ24" s="1"/>
      <c r="AIR24" s="1"/>
      <c r="AIS24" s="1"/>
      <c r="AIT24" s="1"/>
      <c r="AIU24" s="1"/>
      <c r="AIV24" s="1"/>
      <c r="AIW24" s="1"/>
      <c r="AIX24" s="1"/>
      <c r="AIY24" s="1"/>
      <c r="AIZ24" s="1"/>
      <c r="AJA24" s="1"/>
      <c r="AJB24" s="1"/>
      <c r="AJC24" s="1"/>
      <c r="AJD24" s="1"/>
      <c r="AJE24" s="1"/>
      <c r="AJF24" s="1"/>
      <c r="AJG24" s="1"/>
      <c r="AJH24" s="1"/>
      <c r="AJI24" s="1"/>
      <c r="AJJ24" s="1"/>
      <c r="AJK24" s="1"/>
      <c r="AJL24" s="1"/>
      <c r="AJM24" s="1"/>
      <c r="AJN24" s="1"/>
      <c r="AJO24" s="1"/>
      <c r="AJP24" s="1"/>
      <c r="AJQ24" s="1"/>
      <c r="AJR24" s="1"/>
      <c r="AJS24" s="1"/>
      <c r="AJT24" s="1"/>
      <c r="AJU24" s="1"/>
      <c r="AJV24" s="1"/>
      <c r="AJW24" s="1"/>
      <c r="AJX24" s="1"/>
      <c r="AJY24" s="1"/>
      <c r="AJZ24" s="1"/>
      <c r="AKA24" s="1"/>
      <c r="AKB24" s="1"/>
      <c r="AKC24" s="1"/>
      <c r="AKD24" s="1"/>
      <c r="AKE24" s="1"/>
      <c r="AKF24" s="1"/>
      <c r="AKG24" s="1"/>
      <c r="AKH24" s="1"/>
      <c r="AKI24" s="1"/>
      <c r="AKJ24" s="1"/>
      <c r="AKK24" s="1"/>
      <c r="AKL24" s="1"/>
      <c r="AKM24" s="1"/>
      <c r="AKN24" s="1"/>
      <c r="AKO24" s="1"/>
      <c r="AKP24" s="1"/>
      <c r="AKQ24" s="1"/>
      <c r="AKR24" s="1"/>
      <c r="AKS24" s="1"/>
      <c r="AKT24" s="1"/>
      <c r="AKU24" s="1"/>
      <c r="AKV24" s="1"/>
      <c r="AKW24" s="1"/>
      <c r="AKX24" s="1"/>
      <c r="AKY24" s="1"/>
      <c r="AKZ24" s="1"/>
      <c r="ALA24" s="1"/>
      <c r="ALB24" s="1"/>
      <c r="ALC24" s="1"/>
      <c r="ALD24" s="1"/>
      <c r="ALE24" s="1"/>
      <c r="ALF24" s="1"/>
      <c r="ALG24" s="1"/>
      <c r="ALH24" s="1"/>
      <c r="ALI24" s="1"/>
      <c r="ALJ24" s="1"/>
      <c r="ALK24" s="1"/>
      <c r="ALL24" s="1"/>
      <c r="ALM24" s="1"/>
      <c r="ALN24" s="1"/>
      <c r="ALO24" s="1"/>
      <c r="ALP24" s="1"/>
      <c r="ALQ24" s="1"/>
      <c r="ALR24" s="1"/>
      <c r="ALS24" s="1"/>
      <c r="ALT24" s="1"/>
      <c r="ALU24" s="1"/>
      <c r="ALV24" s="1"/>
      <c r="ALW24" s="1"/>
      <c r="ALX24" s="1"/>
      <c r="ALY24" s="1"/>
      <c r="ALZ24" s="1"/>
      <c r="AMA24" s="1"/>
      <c r="AMB24" s="1"/>
      <c r="AMC24" s="1"/>
      <c r="AMD24" s="1"/>
      <c r="AME24" s="1"/>
      <c r="AMF24" s="1"/>
      <c r="AMG24" s="1"/>
      <c r="AMH24" s="1"/>
      <c r="AMI24" s="1"/>
      <c r="AMJ24" s="1"/>
      <c r="AMK24" s="1"/>
      <c r="AML24" s="1"/>
      <c r="AMM24" s="1"/>
      <c r="AMN24" s="1"/>
      <c r="AMO24" s="1"/>
    </row>
    <row r="25" spans="1:1029" x14ac:dyDescent="0.2">
      <c r="A25" s="3" t="str">
        <f t="shared" si="84"/>
        <v>aa1r_human_5UEN</v>
      </c>
      <c r="B25" s="3" t="s">
        <v>138</v>
      </c>
      <c r="C25" s="3" t="s">
        <v>1395</v>
      </c>
      <c r="D25" s="3" t="str">
        <f>IFERROR(MID(VLOOKUP($B25,Seqs!$A:$B,2,0),E25,1),"")</f>
        <v>S</v>
      </c>
      <c r="E25" s="3">
        <v>6</v>
      </c>
      <c r="F25" s="3" t="str">
        <f>IFERROR(MID(VLOOKUP($B25,Seqs!$A:$B,2,0),G25,1),"")</f>
        <v>N</v>
      </c>
      <c r="G25" s="3">
        <v>37</v>
      </c>
      <c r="H25" s="3" t="str">
        <f>IFERROR(MID(VLOOKUP($B25,Seqs!$A:$B,2,0),I25,1),"")</f>
        <v>Q</v>
      </c>
      <c r="I25" s="23">
        <v>38</v>
      </c>
      <c r="J25" s="3" t="str">
        <f>IFERROR(MID(VLOOKUP($B25,Seqs!$A:$B,2,0),K25,1),"")</f>
        <v>R</v>
      </c>
      <c r="K25" s="23">
        <v>41</v>
      </c>
      <c r="L25" s="3" t="str">
        <f>IFERROR(MID(VLOOKUP($B25,Seqs!$A:$B,2,0),M25,1),"")</f>
        <v>D</v>
      </c>
      <c r="M25" s="3">
        <v>42</v>
      </c>
      <c r="N25" s="3" t="str">
        <f>IFERROR(MID(VLOOKUP($B25,Seqs!$A:$B,2,0),O25,1),"")</f>
        <v>G</v>
      </c>
      <c r="O25" s="3">
        <v>72</v>
      </c>
      <c r="P25" s="3" t="str">
        <f>IFERROR(MID(VLOOKUP($B25,Seqs!$A:$B,2,0),Q25,1),"")</f>
        <v>P</v>
      </c>
      <c r="Q25" s="3">
        <v>73</v>
      </c>
      <c r="R25" s="3" t="str">
        <f>IFERROR(MID(VLOOKUP($B25,Seqs!$A:$B,2,0),S25,1),"")</f>
        <v>T</v>
      </c>
      <c r="S25" s="3">
        <v>75</v>
      </c>
      <c r="T25" s="3" t="str">
        <f>IFERROR(MID(VLOOKUP($B25,Seqs!$A:$B,2,0),U25,1),"")</f>
        <v>Y</v>
      </c>
      <c r="U25" s="3">
        <v>76</v>
      </c>
      <c r="V25" s="3" t="str">
        <f>IFERROR(MID(VLOOKUP($B25,Seqs!$A:$B,2,0),W25,1),"")</f>
        <v>I</v>
      </c>
      <c r="W25" s="3">
        <v>111</v>
      </c>
      <c r="X25" s="3" t="str">
        <f>IFERROR(MID(VLOOKUP($B25,Seqs!$A:$B,2,0),Y25,1),"")</f>
        <v>P</v>
      </c>
      <c r="Y25" s="3">
        <v>112</v>
      </c>
      <c r="Z25" s="3" t="str">
        <f>IFERROR(MID(VLOOKUP($B25,Seqs!$A:$B,2,0),AA25,1),"")</f>
        <v>V</v>
      </c>
      <c r="AA25" s="3">
        <v>119</v>
      </c>
      <c r="AB25" s="3" t="str">
        <f>IFERROR(MID(VLOOKUP($B25,Seqs!$A:$B,2,0),AC25,1),"")</f>
        <v>T</v>
      </c>
      <c r="AC25" s="3">
        <v>120</v>
      </c>
      <c r="AD25" s="3" t="str">
        <f>IFERROR(MID(VLOOKUP($B25,Seqs!$A:$B,2,0),AE25,1),"")</f>
        <v>G</v>
      </c>
      <c r="AE25" s="3">
        <v>145</v>
      </c>
      <c r="AF25" s="3" t="str">
        <f>IFERROR(MID(VLOOKUP($B25,Seqs!$A:$B,2,0),AG25,1),"")</f>
        <v>C</v>
      </c>
      <c r="AG25" s="3">
        <v>169</v>
      </c>
      <c r="AH25" s="3" t="str">
        <f>IFERROR(MID(VLOOKUP($B25,Seqs!$A:$B,2,0),AI25,1),"")</f>
        <v>F</v>
      </c>
      <c r="AI25" s="3">
        <v>171</v>
      </c>
      <c r="AJ25" s="3" t="str">
        <f>IFERROR(MID(VLOOKUP($B25,Seqs!$A:$B,2,0),AK25,1),"")</f>
        <v>S</v>
      </c>
      <c r="AK25" s="3">
        <v>176</v>
      </c>
      <c r="AL25" s="3" t="str">
        <f>IFERROR(MID(VLOOKUP($B25,Seqs!$A:$B,2,0),AM25,1),"")</f>
        <v>L</v>
      </c>
      <c r="AM25" s="3">
        <v>211</v>
      </c>
      <c r="AN25" s="3" t="str">
        <f>IFERROR(MID(VLOOKUP($B25,Seqs!$A:$B,2,0),AO25,1),"")</f>
        <v>G</v>
      </c>
      <c r="AO25" s="3">
        <v>220</v>
      </c>
      <c r="AP25" s="3" t="str">
        <f>IFERROR(MID(VLOOKUP($B25,Seqs!$A:$B,2,0),AQ25,1),"")</f>
        <v>C</v>
      </c>
      <c r="AQ25" s="3">
        <v>260</v>
      </c>
      <c r="AR25" s="3" t="str">
        <f>IFERROR(MID(VLOOKUP($B25,Seqs!$A:$B,2,0),AS25,1),"")</f>
        <v>P</v>
      </c>
      <c r="AS25" s="3">
        <v>266</v>
      </c>
      <c r="AT25" s="3" t="str">
        <f>IFERROR(MID(VLOOKUP($B25,Seqs!$A:$B,2,0),AU25,1),"")</f>
        <v>R</v>
      </c>
      <c r="AU25" s="3">
        <v>291</v>
      </c>
      <c r="AV25" s="3" t="str">
        <f>IFERROR(MID(VLOOKUP($B25,Seqs!$A:$B,2,0),AW25,1),"")</f>
        <v>I</v>
      </c>
      <c r="AW25" s="3">
        <v>292</v>
      </c>
      <c r="AX25" s="3" t="str">
        <f>IFERROR(MID(VLOOKUP($B25,Seqs!$A:$B,2,0),AY25,1),"")</f>
        <v>F</v>
      </c>
      <c r="AY25" s="3">
        <v>307</v>
      </c>
      <c r="AZ25" s="77" t="str">
        <f>VLOOKUP(B25,Classification!A:D,2,0)</f>
        <v>A</v>
      </c>
      <c r="BA25" s="94" t="str">
        <f>VLOOKUP(B25,Classification!A:D,4,0)</f>
        <v>Adenosine</v>
      </c>
      <c r="BB25" s="27" t="b">
        <f t="shared" si="85"/>
        <v>1</v>
      </c>
      <c r="BC25" s="23">
        <f t="shared" si="86"/>
        <v>262</v>
      </c>
      <c r="BD25" s="4" t="s">
        <v>1382</v>
      </c>
      <c r="BE25" s="3" t="s">
        <v>1380</v>
      </c>
      <c r="BF25" s="119">
        <v>3.2</v>
      </c>
      <c r="BG25" s="49" t="s">
        <v>1383</v>
      </c>
      <c r="BH25" s="49" t="s">
        <v>1383</v>
      </c>
      <c r="BI25" s="1"/>
      <c r="BJ25" s="70" t="s">
        <v>1293</v>
      </c>
      <c r="BK25" s="57" t="s">
        <v>1293</v>
      </c>
      <c r="BL25" s="57" t="s">
        <v>1293</v>
      </c>
      <c r="BM25" s="57" t="s">
        <v>1293</v>
      </c>
      <c r="BN25" s="57" t="s">
        <v>1293</v>
      </c>
      <c r="BO25" s="57" t="s">
        <v>1293</v>
      </c>
      <c r="BP25" s="57" t="s">
        <v>1293</v>
      </c>
      <c r="BQ25" s="57" t="s">
        <v>1293</v>
      </c>
      <c r="BR25" s="57" t="s">
        <v>1293</v>
      </c>
      <c r="BS25" s="57" t="s">
        <v>1293</v>
      </c>
      <c r="BT25" s="57" t="s">
        <v>1293</v>
      </c>
      <c r="BU25" s="57" t="s">
        <v>1293</v>
      </c>
      <c r="BV25" s="70">
        <f t="shared" si="87"/>
        <v>6</v>
      </c>
      <c r="BW25" s="71">
        <f t="shared" si="88"/>
        <v>38</v>
      </c>
      <c r="BX25" s="72">
        <f t="shared" si="89"/>
        <v>42</v>
      </c>
      <c r="BY25" s="71">
        <f t="shared" si="90"/>
        <v>73</v>
      </c>
      <c r="BZ25" s="72">
        <f t="shared" si="91"/>
        <v>76</v>
      </c>
      <c r="CA25" s="71">
        <f t="shared" si="92"/>
        <v>112</v>
      </c>
      <c r="CB25" s="72">
        <f t="shared" si="93"/>
        <v>120</v>
      </c>
      <c r="CC25" s="71">
        <f t="shared" si="94"/>
        <v>169</v>
      </c>
      <c r="CD25" s="72">
        <f t="shared" si="95"/>
        <v>176</v>
      </c>
      <c r="CE25" s="71">
        <f t="shared" si="96"/>
        <v>220</v>
      </c>
      <c r="CF25" s="72">
        <f t="shared" si="97"/>
        <v>266</v>
      </c>
      <c r="CG25" s="71">
        <f t="shared" si="98"/>
        <v>292</v>
      </c>
      <c r="CH25" s="70">
        <f t="shared" si="99"/>
        <v>37</v>
      </c>
      <c r="CI25" s="71">
        <f t="shared" si="100"/>
        <v>41</v>
      </c>
      <c r="CJ25" s="72">
        <f t="shared" si="101"/>
        <v>72</v>
      </c>
      <c r="CK25" s="72">
        <f t="shared" si="102"/>
        <v>75</v>
      </c>
      <c r="CL25" s="72">
        <f t="shared" si="103"/>
        <v>111</v>
      </c>
      <c r="CM25" s="72">
        <f t="shared" si="104"/>
        <v>119</v>
      </c>
      <c r="CN25" s="72">
        <f t="shared" si="105"/>
        <v>145</v>
      </c>
      <c r="CO25" s="72">
        <f t="shared" si="106"/>
        <v>171</v>
      </c>
      <c r="CP25" s="72">
        <f t="shared" si="107"/>
        <v>211</v>
      </c>
      <c r="CQ25" s="72">
        <f t="shared" si="108"/>
        <v>260</v>
      </c>
      <c r="CR25" s="72">
        <f t="shared" si="109"/>
        <v>291</v>
      </c>
      <c r="CS25" s="72">
        <f t="shared" si="110"/>
        <v>307</v>
      </c>
      <c r="CT25" s="23">
        <f t="shared" si="111"/>
        <v>1</v>
      </c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  <c r="ADW25" s="1"/>
      <c r="ADX25" s="1"/>
      <c r="ADY25" s="1"/>
      <c r="ADZ25" s="1"/>
      <c r="AEA25" s="1"/>
      <c r="AEB25" s="1"/>
      <c r="AEC25" s="1"/>
      <c r="AED25" s="1"/>
      <c r="AEE25" s="1"/>
      <c r="AEF25" s="1"/>
      <c r="AEG25" s="1"/>
      <c r="AEH25" s="1"/>
      <c r="AEI25" s="1"/>
      <c r="AEJ25" s="1"/>
      <c r="AEK25" s="1"/>
      <c r="AEL25" s="1"/>
      <c r="AEM25" s="1"/>
      <c r="AEN25" s="1"/>
      <c r="AEO25" s="1"/>
      <c r="AEP25" s="1"/>
      <c r="AEQ25" s="1"/>
      <c r="AER25" s="1"/>
      <c r="AES25" s="1"/>
      <c r="AET25" s="1"/>
      <c r="AEU25" s="1"/>
      <c r="AEV25" s="1"/>
      <c r="AEW25" s="1"/>
      <c r="AEX25" s="1"/>
      <c r="AEY25" s="1"/>
      <c r="AEZ25" s="1"/>
      <c r="AFA25" s="1"/>
      <c r="AFB25" s="1"/>
      <c r="AFC25" s="1"/>
      <c r="AFD25" s="1"/>
      <c r="AFE25" s="1"/>
      <c r="AFF25" s="1"/>
      <c r="AFG25" s="1"/>
      <c r="AFH25" s="1"/>
      <c r="AFI25" s="1"/>
      <c r="AFJ25" s="1"/>
      <c r="AFK25" s="1"/>
      <c r="AFL25" s="1"/>
      <c r="AFM25" s="1"/>
      <c r="AFN25" s="1"/>
      <c r="AFO25" s="1"/>
      <c r="AFP25" s="1"/>
      <c r="AFQ25" s="1"/>
      <c r="AFR25" s="1"/>
      <c r="AFS25" s="1"/>
      <c r="AFT25" s="1"/>
      <c r="AFU25" s="1"/>
      <c r="AFV25" s="1"/>
      <c r="AFW25" s="1"/>
      <c r="AFX25" s="1"/>
      <c r="AFY25" s="1"/>
      <c r="AFZ25" s="1"/>
      <c r="AGA25" s="1"/>
      <c r="AGB25" s="1"/>
      <c r="AGC25" s="1"/>
      <c r="AGD25" s="1"/>
      <c r="AGE25" s="1"/>
      <c r="AGF25" s="1"/>
      <c r="AGG25" s="1"/>
      <c r="AGH25" s="1"/>
      <c r="AGI25" s="1"/>
      <c r="AGJ25" s="1"/>
      <c r="AGK25" s="1"/>
      <c r="AGL25" s="1"/>
      <c r="AGM25" s="1"/>
      <c r="AGN25" s="1"/>
      <c r="AGO25" s="1"/>
      <c r="AGP25" s="1"/>
      <c r="AGQ25" s="1"/>
      <c r="AGR25" s="1"/>
      <c r="AGS25" s="1"/>
      <c r="AGT25" s="1"/>
      <c r="AGU25" s="1"/>
      <c r="AGV25" s="1"/>
      <c r="AGW25" s="1"/>
      <c r="AGX25" s="1"/>
      <c r="AGY25" s="1"/>
      <c r="AGZ25" s="1"/>
      <c r="AHA25" s="1"/>
      <c r="AHB25" s="1"/>
      <c r="AHC25" s="1"/>
      <c r="AHD25" s="1"/>
      <c r="AHE25" s="1"/>
      <c r="AHF25" s="1"/>
      <c r="AHG25" s="1"/>
      <c r="AHH25" s="1"/>
      <c r="AHI25" s="1"/>
      <c r="AHJ25" s="1"/>
      <c r="AHK25" s="1"/>
      <c r="AHL25" s="1"/>
      <c r="AHM25" s="1"/>
      <c r="AHN25" s="1"/>
      <c r="AHO25" s="1"/>
      <c r="AHP25" s="1"/>
      <c r="AHQ25" s="1"/>
      <c r="AHR25" s="1"/>
      <c r="AHS25" s="1"/>
      <c r="AHT25" s="1"/>
      <c r="AHU25" s="1"/>
      <c r="AHV25" s="1"/>
      <c r="AHW25" s="1"/>
      <c r="AHX25" s="1"/>
      <c r="AHY25" s="1"/>
      <c r="AHZ25" s="1"/>
      <c r="AIA25" s="1"/>
      <c r="AIB25" s="1"/>
      <c r="AIC25" s="1"/>
      <c r="AID25" s="1"/>
      <c r="AIE25" s="1"/>
      <c r="AIF25" s="1"/>
      <c r="AIG25" s="1"/>
      <c r="AIH25" s="1"/>
      <c r="AII25" s="1"/>
      <c r="AIJ25" s="1"/>
      <c r="AIK25" s="1"/>
      <c r="AIL25" s="1"/>
      <c r="AIM25" s="1"/>
      <c r="AIN25" s="1"/>
      <c r="AIO25" s="1"/>
      <c r="AIP25" s="1"/>
      <c r="AIQ25" s="1"/>
      <c r="AIR25" s="1"/>
      <c r="AIS25" s="1"/>
      <c r="AIT25" s="1"/>
      <c r="AIU25" s="1"/>
      <c r="AIV25" s="1"/>
      <c r="AIW25" s="1"/>
      <c r="AIX25" s="1"/>
      <c r="AIY25" s="1"/>
      <c r="AIZ25" s="1"/>
      <c r="AJA25" s="1"/>
      <c r="AJB25" s="1"/>
      <c r="AJC25" s="1"/>
      <c r="AJD25" s="1"/>
      <c r="AJE25" s="1"/>
      <c r="AJF25" s="1"/>
      <c r="AJG25" s="1"/>
      <c r="AJH25" s="1"/>
      <c r="AJI25" s="1"/>
      <c r="AJJ25" s="1"/>
      <c r="AJK25" s="1"/>
      <c r="AJL25" s="1"/>
      <c r="AJM25" s="1"/>
      <c r="AJN25" s="1"/>
      <c r="AJO25" s="1"/>
      <c r="AJP25" s="1"/>
      <c r="AJQ25" s="1"/>
      <c r="AJR25" s="1"/>
      <c r="AJS25" s="1"/>
      <c r="AJT25" s="1"/>
      <c r="AJU25" s="1"/>
      <c r="AJV25" s="1"/>
      <c r="AJW25" s="1"/>
      <c r="AJX25" s="1"/>
      <c r="AJY25" s="1"/>
      <c r="AJZ25" s="1"/>
      <c r="AKA25" s="1"/>
      <c r="AKB25" s="1"/>
      <c r="AKC25" s="1"/>
      <c r="AKD25" s="1"/>
      <c r="AKE25" s="1"/>
      <c r="AKF25" s="1"/>
      <c r="AKG25" s="1"/>
      <c r="AKH25" s="1"/>
      <c r="AKI25" s="1"/>
      <c r="AKJ25" s="1"/>
      <c r="AKK25" s="1"/>
      <c r="AKL25" s="1"/>
      <c r="AKM25" s="1"/>
      <c r="AKN25" s="1"/>
      <c r="AKO25" s="1"/>
      <c r="AKP25" s="1"/>
      <c r="AKQ25" s="1"/>
      <c r="AKR25" s="1"/>
      <c r="AKS25" s="1"/>
      <c r="AKT25" s="1"/>
      <c r="AKU25" s="1"/>
      <c r="AKV25" s="1"/>
      <c r="AKW25" s="1"/>
      <c r="AKX25" s="1"/>
      <c r="AKY25" s="1"/>
      <c r="AKZ25" s="1"/>
      <c r="ALA25" s="1"/>
      <c r="ALB25" s="1"/>
      <c r="ALC25" s="1"/>
      <c r="ALD25" s="1"/>
      <c r="ALE25" s="1"/>
      <c r="ALF25" s="1"/>
      <c r="ALG25" s="1"/>
      <c r="ALH25" s="1"/>
      <c r="ALI25" s="1"/>
      <c r="ALJ25" s="1"/>
      <c r="ALK25" s="1"/>
      <c r="ALL25" s="1"/>
      <c r="ALM25" s="1"/>
      <c r="ALN25" s="1"/>
      <c r="ALO25" s="1"/>
      <c r="ALP25" s="1"/>
      <c r="ALQ25" s="1"/>
      <c r="ALR25" s="1"/>
      <c r="ALS25" s="1"/>
      <c r="ALT25" s="1"/>
      <c r="ALU25" s="1"/>
      <c r="ALV25" s="1"/>
      <c r="ALW25" s="1"/>
      <c r="ALX25" s="1"/>
      <c r="ALY25" s="1"/>
      <c r="ALZ25" s="1"/>
      <c r="AMA25" s="1"/>
      <c r="AMB25" s="1"/>
      <c r="AMC25" s="1"/>
      <c r="AMD25" s="1"/>
      <c r="AME25" s="1"/>
      <c r="AMF25" s="1"/>
      <c r="AMG25" s="1"/>
      <c r="AMH25" s="1"/>
      <c r="AMI25" s="1"/>
      <c r="AMJ25" s="1"/>
      <c r="AMK25" s="1"/>
      <c r="AML25" s="1"/>
      <c r="AMM25" s="1"/>
      <c r="AMN25" s="1"/>
      <c r="AMO25" s="1"/>
    </row>
    <row r="26" spans="1:1029" x14ac:dyDescent="0.2">
      <c r="A26" s="3" t="str">
        <f>CONCATENATE(B26,"_",C26)</f>
        <v>aa1r_human_6D9H</v>
      </c>
      <c r="B26" s="3" t="s">
        <v>138</v>
      </c>
      <c r="C26" s="3" t="s">
        <v>1518</v>
      </c>
      <c r="D26" s="3" t="str">
        <f>IFERROR(MID(VLOOKUP($B26,Seqs!$A:$B,2,0),E26,1),"")</f>
        <v>S</v>
      </c>
      <c r="E26" s="3">
        <v>6</v>
      </c>
      <c r="F26" s="3" t="str">
        <f>IFERROR(MID(VLOOKUP($B26,Seqs!$A:$B,2,0),G26,1),"")</f>
        <v>N</v>
      </c>
      <c r="G26" s="3">
        <v>37</v>
      </c>
      <c r="H26" s="3" t="str">
        <f>IFERROR(MID(VLOOKUP($B26,Seqs!$A:$B,2,0),I26,1),"")</f>
        <v/>
      </c>
      <c r="I26" s="23" t="s">
        <v>23</v>
      </c>
      <c r="J26" s="3" t="str">
        <f>IFERROR(MID(VLOOKUP($B26,Seqs!$A:$B,2,0),K26,1),"")</f>
        <v/>
      </c>
      <c r="K26" s="23" t="s">
        <v>23</v>
      </c>
      <c r="L26" s="3" t="str">
        <f>IFERROR(MID(VLOOKUP($B26,Seqs!$A:$B,2,0),M26,1),"")</f>
        <v>D</v>
      </c>
      <c r="M26" s="3">
        <v>42</v>
      </c>
      <c r="N26" s="3" t="str">
        <f>IFERROR(MID(VLOOKUP($B26,Seqs!$A:$B,2,0),O26,1),"")</f>
        <v>G</v>
      </c>
      <c r="O26" s="3">
        <v>72</v>
      </c>
      <c r="P26" s="3" t="str">
        <f>IFERROR(MID(VLOOKUP($B26,Seqs!$A:$B,2,0),Q26,1),"")</f>
        <v>P</v>
      </c>
      <c r="Q26" s="3">
        <v>73</v>
      </c>
      <c r="R26" s="3" t="str">
        <f>IFERROR(MID(VLOOKUP($B26,Seqs!$A:$B,2,0),S26,1),"")</f>
        <v>T</v>
      </c>
      <c r="S26" s="3">
        <v>75</v>
      </c>
      <c r="T26" s="3" t="str">
        <f>IFERROR(MID(VLOOKUP($B26,Seqs!$A:$B,2,0),U26,1),"")</f>
        <v>Y</v>
      </c>
      <c r="U26" s="3">
        <v>76</v>
      </c>
      <c r="V26" s="3" t="str">
        <f>IFERROR(MID(VLOOKUP($B26,Seqs!$A:$B,2,0),W26,1),"")</f>
        <v>I</v>
      </c>
      <c r="W26" s="3">
        <v>111</v>
      </c>
      <c r="X26" s="3" t="str">
        <f>IFERROR(MID(VLOOKUP($B26,Seqs!$A:$B,2,0),Y26,1),"")</f>
        <v>P</v>
      </c>
      <c r="Y26" s="3">
        <v>112</v>
      </c>
      <c r="Z26" s="3" t="str">
        <f>IFERROR(MID(VLOOKUP($B26,Seqs!$A:$B,2,0),AA26,1),"")</f>
        <v>V</v>
      </c>
      <c r="AA26" s="3">
        <v>119</v>
      </c>
      <c r="AB26" s="3" t="str">
        <f>IFERROR(MID(VLOOKUP($B26,Seqs!$A:$B,2,0),AC26,1),"")</f>
        <v>T</v>
      </c>
      <c r="AC26" s="3">
        <v>120</v>
      </c>
      <c r="AD26" s="3" t="str">
        <f>IFERROR(MID(VLOOKUP($B26,Seqs!$A:$B,2,0),AE26,1),"")</f>
        <v>G</v>
      </c>
      <c r="AE26" s="3">
        <v>145</v>
      </c>
      <c r="AF26" s="3" t="str">
        <f>IFERROR(MID(VLOOKUP($B26,Seqs!$A:$B,2,0),AG26,1),"")</f>
        <v>C</v>
      </c>
      <c r="AG26" s="3">
        <v>169</v>
      </c>
      <c r="AH26" s="3" t="str">
        <f>IFERROR(MID(VLOOKUP($B26,Seqs!$A:$B,2,0),AI26,1),"")</f>
        <v>F</v>
      </c>
      <c r="AI26" s="3">
        <v>171</v>
      </c>
      <c r="AJ26" s="3" t="str">
        <f>IFERROR(MID(VLOOKUP($B26,Seqs!$A:$B,2,0),AK26,1),"")</f>
        <v>S</v>
      </c>
      <c r="AK26" s="3">
        <v>176</v>
      </c>
      <c r="AL26" s="3" t="str">
        <f>IFERROR(MID(VLOOKUP($B26,Seqs!$A:$B,2,0),AM26,1),"")</f>
        <v>K</v>
      </c>
      <c r="AM26" s="3">
        <v>213</v>
      </c>
      <c r="AN26" s="3" t="str">
        <f>IFERROR(MID(VLOOKUP($B26,Seqs!$A:$B,2,0),AO26,1),"")</f>
        <v>Q</v>
      </c>
      <c r="AO26" s="3">
        <v>223</v>
      </c>
      <c r="AP26" s="3" t="str">
        <f>IFERROR(MID(VLOOKUP($B26,Seqs!$A:$B,2,0),AQ26,1),"")</f>
        <v>C</v>
      </c>
      <c r="AQ26" s="3">
        <v>260</v>
      </c>
      <c r="AR26" s="3" t="str">
        <f>IFERROR(MID(VLOOKUP($B26,Seqs!$A:$B,2,0),AS26,1),"")</f>
        <v>S</v>
      </c>
      <c r="AS26" s="3">
        <v>267</v>
      </c>
      <c r="AT26" s="3" t="str">
        <f>IFERROR(MID(VLOOKUP($B26,Seqs!$A:$B,2,0),AU26,1),"")</f>
        <v>R</v>
      </c>
      <c r="AU26" s="3">
        <v>291</v>
      </c>
      <c r="AV26" s="3" t="str">
        <f>IFERROR(MID(VLOOKUP($B26,Seqs!$A:$B,2,0),AW26,1),"")</f>
        <v>I</v>
      </c>
      <c r="AW26" s="3">
        <v>292</v>
      </c>
      <c r="AX26" s="3" t="str">
        <f>IFERROR(MID(VLOOKUP($B26,Seqs!$A:$B,2,0),AY26,1),"")</f>
        <v>K</v>
      </c>
      <c r="AY26" s="3">
        <v>301</v>
      </c>
      <c r="AZ26" s="77" t="str">
        <f>VLOOKUP(B26,Classification!A:D,2,0)</f>
        <v>A</v>
      </c>
      <c r="BA26" s="94" t="str">
        <f>VLOOKUP(B26,Classification!A:D,4,0)</f>
        <v>Adenosine</v>
      </c>
      <c r="BB26" s="27" t="b">
        <f>AND(E26&lt;G26,OR(G26&lt;I26,I26="-"),OR(I26&lt;K26,I26="-"),OR(K26&lt;M26,K26="-"),M26&lt;O26,OR(O26&lt;Q26,Q26="-"),OR(Q26&lt;S26,Q26="-"),OR(S26&lt;U26,S26="-"),U26&lt;W26,OR(W26&lt;Y26,Y26="-"),OR(Y26&lt;AA26,Y26="-"),OR(AA26&lt;AC26,AA26="-"),AC26&lt;AE26,OR(AE26&lt;AG26,AG26="-"),OR(AG26&lt;AI26,AG26="-"),OR(AI26&lt;AK26,AI26="-"),AK26&lt;AM26,AM26&lt;AO26,AO26&lt;AQ26,AQ26&lt;AS26,AS26&lt;AU26,OR(AU26&lt;AW26,AW26="-"),OR(AW26&lt;AY26,AW26="-"))</f>
        <v>1</v>
      </c>
      <c r="BC26" s="23">
        <f>_xlfn.AGGREGATE(9,6,CH26:CS26)-_xlfn.AGGREGATE(9,6,BV26:CG26)+12</f>
        <v>251</v>
      </c>
      <c r="BD26" s="4" t="s">
        <v>1381</v>
      </c>
      <c r="BE26" s="3" t="s">
        <v>1297</v>
      </c>
      <c r="BF26" s="119">
        <v>3.6</v>
      </c>
      <c r="BG26" s="49" t="s">
        <v>1432</v>
      </c>
      <c r="BH26" s="49" t="s">
        <v>1432</v>
      </c>
      <c r="BI26" s="1"/>
      <c r="BJ26" s="70" t="s">
        <v>1293</v>
      </c>
      <c r="BK26" s="57" t="s">
        <v>1293</v>
      </c>
      <c r="BL26" s="57" t="s">
        <v>1293</v>
      </c>
      <c r="BM26" s="57" t="s">
        <v>1293</v>
      </c>
      <c r="BN26" s="57" t="s">
        <v>1293</v>
      </c>
      <c r="BO26" s="57" t="s">
        <v>1293</v>
      </c>
      <c r="BP26" s="57" t="s">
        <v>1293</v>
      </c>
      <c r="BQ26" s="57" t="s">
        <v>1293</v>
      </c>
      <c r="BR26" s="57" t="s">
        <v>1293</v>
      </c>
      <c r="BS26" s="57" t="s">
        <v>1293</v>
      </c>
      <c r="BT26" s="57" t="s">
        <v>1293</v>
      </c>
      <c r="BU26" s="57" t="s">
        <v>1293</v>
      </c>
      <c r="BV26" s="70">
        <f>E26</f>
        <v>6</v>
      </c>
      <c r="BW26" s="71" t="str">
        <f>I26</f>
        <v>-</v>
      </c>
      <c r="BX26" s="72">
        <f>M26</f>
        <v>42</v>
      </c>
      <c r="BY26" s="71">
        <f>Q26</f>
        <v>73</v>
      </c>
      <c r="BZ26" s="72">
        <f>U26</f>
        <v>76</v>
      </c>
      <c r="CA26" s="71">
        <f>Y26</f>
        <v>112</v>
      </c>
      <c r="CB26" s="72">
        <f>AC26</f>
        <v>120</v>
      </c>
      <c r="CC26" s="71">
        <f>AG26</f>
        <v>169</v>
      </c>
      <c r="CD26" s="72">
        <f>AK26</f>
        <v>176</v>
      </c>
      <c r="CE26" s="71">
        <f>AO26</f>
        <v>223</v>
      </c>
      <c r="CF26" s="72">
        <f>AS26</f>
        <v>267</v>
      </c>
      <c r="CG26" s="71">
        <f>AW26</f>
        <v>292</v>
      </c>
      <c r="CH26" s="70">
        <f>G26</f>
        <v>37</v>
      </c>
      <c r="CI26" s="71" t="str">
        <f>K26</f>
        <v>-</v>
      </c>
      <c r="CJ26" s="72">
        <f>O26</f>
        <v>72</v>
      </c>
      <c r="CK26" s="72">
        <f>S26</f>
        <v>75</v>
      </c>
      <c r="CL26" s="72">
        <f>W26</f>
        <v>111</v>
      </c>
      <c r="CM26" s="72">
        <f>AA26</f>
        <v>119</v>
      </c>
      <c r="CN26" s="72">
        <f>AE26</f>
        <v>145</v>
      </c>
      <c r="CO26" s="72">
        <f>AI26</f>
        <v>171</v>
      </c>
      <c r="CP26" s="72">
        <f>AM26</f>
        <v>213</v>
      </c>
      <c r="CQ26" s="72">
        <f>AQ26</f>
        <v>260</v>
      </c>
      <c r="CR26" s="72">
        <f>AU26</f>
        <v>291</v>
      </c>
      <c r="CS26" s="72">
        <f>AY26</f>
        <v>301</v>
      </c>
      <c r="CT26" s="23" t="e">
        <f>M26-K26</f>
        <v>#VALUE!</v>
      </c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  <c r="ADW26" s="1"/>
      <c r="ADX26" s="1"/>
      <c r="ADY26" s="1"/>
      <c r="ADZ26" s="1"/>
      <c r="AEA26" s="1"/>
      <c r="AEB26" s="1"/>
      <c r="AEC26" s="1"/>
      <c r="AED26" s="1"/>
      <c r="AEE26" s="1"/>
      <c r="AEF26" s="1"/>
      <c r="AEG26" s="1"/>
      <c r="AEH26" s="1"/>
      <c r="AEI26" s="1"/>
      <c r="AEJ26" s="1"/>
      <c r="AEK26" s="1"/>
      <c r="AEL26" s="1"/>
      <c r="AEM26" s="1"/>
      <c r="AEN26" s="1"/>
      <c r="AEO26" s="1"/>
      <c r="AEP26" s="1"/>
      <c r="AEQ26" s="1"/>
      <c r="AER26" s="1"/>
      <c r="AES26" s="1"/>
      <c r="AET26" s="1"/>
      <c r="AEU26" s="1"/>
      <c r="AEV26" s="1"/>
      <c r="AEW26" s="1"/>
      <c r="AEX26" s="1"/>
      <c r="AEY26" s="1"/>
      <c r="AEZ26" s="1"/>
      <c r="AFA26" s="1"/>
      <c r="AFB26" s="1"/>
      <c r="AFC26" s="1"/>
      <c r="AFD26" s="1"/>
      <c r="AFE26" s="1"/>
      <c r="AFF26" s="1"/>
      <c r="AFG26" s="1"/>
      <c r="AFH26" s="1"/>
      <c r="AFI26" s="1"/>
      <c r="AFJ26" s="1"/>
      <c r="AFK26" s="1"/>
      <c r="AFL26" s="1"/>
      <c r="AFM26" s="1"/>
      <c r="AFN26" s="1"/>
      <c r="AFO26" s="1"/>
      <c r="AFP26" s="1"/>
      <c r="AFQ26" s="1"/>
      <c r="AFR26" s="1"/>
      <c r="AFS26" s="1"/>
      <c r="AFT26" s="1"/>
      <c r="AFU26" s="1"/>
      <c r="AFV26" s="1"/>
      <c r="AFW26" s="1"/>
      <c r="AFX26" s="1"/>
      <c r="AFY26" s="1"/>
      <c r="AFZ26" s="1"/>
      <c r="AGA26" s="1"/>
      <c r="AGB26" s="1"/>
      <c r="AGC26" s="1"/>
      <c r="AGD26" s="1"/>
      <c r="AGE26" s="1"/>
      <c r="AGF26" s="1"/>
      <c r="AGG26" s="1"/>
      <c r="AGH26" s="1"/>
      <c r="AGI26" s="1"/>
      <c r="AGJ26" s="1"/>
      <c r="AGK26" s="1"/>
      <c r="AGL26" s="1"/>
      <c r="AGM26" s="1"/>
      <c r="AGN26" s="1"/>
      <c r="AGO26" s="1"/>
      <c r="AGP26" s="1"/>
      <c r="AGQ26" s="1"/>
      <c r="AGR26" s="1"/>
      <c r="AGS26" s="1"/>
      <c r="AGT26" s="1"/>
      <c r="AGU26" s="1"/>
      <c r="AGV26" s="1"/>
      <c r="AGW26" s="1"/>
      <c r="AGX26" s="1"/>
      <c r="AGY26" s="1"/>
      <c r="AGZ26" s="1"/>
      <c r="AHA26" s="1"/>
      <c r="AHB26" s="1"/>
      <c r="AHC26" s="1"/>
      <c r="AHD26" s="1"/>
      <c r="AHE26" s="1"/>
      <c r="AHF26" s="1"/>
      <c r="AHG26" s="1"/>
      <c r="AHH26" s="1"/>
      <c r="AHI26" s="1"/>
      <c r="AHJ26" s="1"/>
      <c r="AHK26" s="1"/>
      <c r="AHL26" s="1"/>
      <c r="AHM26" s="1"/>
      <c r="AHN26" s="1"/>
      <c r="AHO26" s="1"/>
      <c r="AHP26" s="1"/>
      <c r="AHQ26" s="1"/>
      <c r="AHR26" s="1"/>
      <c r="AHS26" s="1"/>
      <c r="AHT26" s="1"/>
      <c r="AHU26" s="1"/>
      <c r="AHV26" s="1"/>
      <c r="AHW26" s="1"/>
      <c r="AHX26" s="1"/>
      <c r="AHY26" s="1"/>
      <c r="AHZ26" s="1"/>
      <c r="AIA26" s="1"/>
      <c r="AIB26" s="1"/>
      <c r="AIC26" s="1"/>
      <c r="AID26" s="1"/>
      <c r="AIE26" s="1"/>
      <c r="AIF26" s="1"/>
      <c r="AIG26" s="1"/>
      <c r="AIH26" s="1"/>
      <c r="AII26" s="1"/>
      <c r="AIJ26" s="1"/>
      <c r="AIK26" s="1"/>
      <c r="AIL26" s="1"/>
      <c r="AIM26" s="1"/>
      <c r="AIN26" s="1"/>
      <c r="AIO26" s="1"/>
      <c r="AIP26" s="1"/>
      <c r="AIQ26" s="1"/>
      <c r="AIR26" s="1"/>
      <c r="AIS26" s="1"/>
      <c r="AIT26" s="1"/>
      <c r="AIU26" s="1"/>
      <c r="AIV26" s="1"/>
      <c r="AIW26" s="1"/>
      <c r="AIX26" s="1"/>
      <c r="AIY26" s="1"/>
      <c r="AIZ26" s="1"/>
      <c r="AJA26" s="1"/>
      <c r="AJB26" s="1"/>
      <c r="AJC26" s="1"/>
      <c r="AJD26" s="1"/>
      <c r="AJE26" s="1"/>
      <c r="AJF26" s="1"/>
      <c r="AJG26" s="1"/>
      <c r="AJH26" s="1"/>
      <c r="AJI26" s="1"/>
      <c r="AJJ26" s="1"/>
      <c r="AJK26" s="1"/>
      <c r="AJL26" s="1"/>
      <c r="AJM26" s="1"/>
      <c r="AJN26" s="1"/>
      <c r="AJO26" s="1"/>
      <c r="AJP26" s="1"/>
      <c r="AJQ26" s="1"/>
      <c r="AJR26" s="1"/>
      <c r="AJS26" s="1"/>
      <c r="AJT26" s="1"/>
      <c r="AJU26" s="1"/>
      <c r="AJV26" s="1"/>
      <c r="AJW26" s="1"/>
      <c r="AJX26" s="1"/>
      <c r="AJY26" s="1"/>
      <c r="AJZ26" s="1"/>
      <c r="AKA26" s="1"/>
      <c r="AKB26" s="1"/>
      <c r="AKC26" s="1"/>
      <c r="AKD26" s="1"/>
      <c r="AKE26" s="1"/>
      <c r="AKF26" s="1"/>
      <c r="AKG26" s="1"/>
      <c r="AKH26" s="1"/>
      <c r="AKI26" s="1"/>
      <c r="AKJ26" s="1"/>
      <c r="AKK26" s="1"/>
      <c r="AKL26" s="1"/>
      <c r="AKM26" s="1"/>
      <c r="AKN26" s="1"/>
      <c r="AKO26" s="1"/>
      <c r="AKP26" s="1"/>
      <c r="AKQ26" s="1"/>
      <c r="AKR26" s="1"/>
      <c r="AKS26" s="1"/>
      <c r="AKT26" s="1"/>
      <c r="AKU26" s="1"/>
      <c r="AKV26" s="1"/>
      <c r="AKW26" s="1"/>
      <c r="AKX26" s="1"/>
      <c r="AKY26" s="1"/>
      <c r="AKZ26" s="1"/>
      <c r="ALA26" s="1"/>
      <c r="ALB26" s="1"/>
      <c r="ALC26" s="1"/>
      <c r="ALD26" s="1"/>
      <c r="ALE26" s="1"/>
      <c r="ALF26" s="1"/>
      <c r="ALG26" s="1"/>
      <c r="ALH26" s="1"/>
      <c r="ALI26" s="1"/>
      <c r="ALJ26" s="1"/>
      <c r="ALK26" s="1"/>
      <c r="ALL26" s="1"/>
      <c r="ALM26" s="1"/>
      <c r="ALN26" s="1"/>
      <c r="ALO26" s="1"/>
      <c r="ALP26" s="1"/>
      <c r="ALQ26" s="1"/>
      <c r="ALR26" s="1"/>
      <c r="ALS26" s="1"/>
      <c r="ALT26" s="1"/>
      <c r="ALU26" s="1"/>
      <c r="ALV26" s="1"/>
      <c r="ALW26" s="1"/>
      <c r="ALX26" s="1"/>
      <c r="ALY26" s="1"/>
      <c r="ALZ26" s="1"/>
      <c r="AMA26" s="1"/>
      <c r="AMB26" s="1"/>
      <c r="AMC26" s="1"/>
      <c r="AMD26" s="1"/>
      <c r="AME26" s="1"/>
      <c r="AMF26" s="1"/>
      <c r="AMG26" s="1"/>
      <c r="AMH26" s="1"/>
      <c r="AMI26" s="1"/>
      <c r="AMJ26" s="1"/>
      <c r="AMK26" s="1"/>
      <c r="AML26" s="1"/>
      <c r="AMM26" s="1"/>
      <c r="AMN26" s="1"/>
      <c r="AMO26" s="1"/>
    </row>
    <row r="27" spans="1:1029" x14ac:dyDescent="0.2">
      <c r="A27" s="3" t="str">
        <f t="shared" si="0"/>
        <v>aa2ar_human__wt</v>
      </c>
      <c r="B27" s="3" t="s">
        <v>139</v>
      </c>
      <c r="C27" s="3" t="s">
        <v>100</v>
      </c>
      <c r="D27" s="3" t="str">
        <f>IFERROR(MID(VLOOKUP($B27,Seqs!$A:$B,2,0),E27,1),"")</f>
        <v>M</v>
      </c>
      <c r="E27" s="3">
        <v>1</v>
      </c>
      <c r="F27" s="3" t="str">
        <f>IFERROR(MID(VLOOKUP($B27,Seqs!$A:$B,2,0),G27,1),"")</f>
        <v>N</v>
      </c>
      <c r="G27" s="3">
        <v>34</v>
      </c>
      <c r="H27" s="3" t="str">
        <f>IFERROR(MID(VLOOKUP($B27,Seqs!$A:$B,2,0),I27,1),"")</f>
        <v>S</v>
      </c>
      <c r="I27" s="23">
        <v>35</v>
      </c>
      <c r="J27" s="3" t="str">
        <f>IFERROR(MID(VLOOKUP($B27,Seqs!$A:$B,2,0),K27,1),"")</f>
        <v>Q</v>
      </c>
      <c r="K27" s="23">
        <v>38</v>
      </c>
      <c r="L27" s="3" t="str">
        <f>IFERROR(MID(VLOOKUP($B27,Seqs!$A:$B,2,0),M27,1),"")</f>
        <v>N</v>
      </c>
      <c r="M27" s="3">
        <v>39</v>
      </c>
      <c r="N27" s="3" t="str">
        <f>IFERROR(MID(VLOOKUP($B27,Seqs!$A:$B,2,0),O27,1),"")</f>
        <v>G</v>
      </c>
      <c r="O27" s="3">
        <v>69</v>
      </c>
      <c r="P27" s="3" t="str">
        <f>IFERROR(MID(VLOOKUP($B27,Seqs!$A:$B,2,0),Q27,1),"")</f>
        <v>F</v>
      </c>
      <c r="Q27" s="3">
        <v>70</v>
      </c>
      <c r="R27" s="3" t="str">
        <f>IFERROR(MID(VLOOKUP($B27,Seqs!$A:$B,2,0),S27,1),"")</f>
        <v>A</v>
      </c>
      <c r="S27" s="3">
        <v>72</v>
      </c>
      <c r="T27" s="3" t="str">
        <f>IFERROR(MID(VLOOKUP($B27,Seqs!$A:$B,2,0),U27,1),"")</f>
        <v>A</v>
      </c>
      <c r="U27" s="3">
        <v>73</v>
      </c>
      <c r="V27" s="3" t="str">
        <f>IFERROR(MID(VLOOKUP($B27,Seqs!$A:$B,2,0),W27,1),"")</f>
        <v>I</v>
      </c>
      <c r="W27" s="3">
        <v>108</v>
      </c>
      <c r="X27" s="3" t="str">
        <f>IFERROR(MID(VLOOKUP($B27,Seqs!$A:$B,2,0),Y27,1),"")</f>
        <v>P</v>
      </c>
      <c r="Y27" s="3">
        <v>109</v>
      </c>
      <c r="Z27" s="3" t="str">
        <f>IFERROR(MID(VLOOKUP($B27,Seqs!$A:$B,2,0),AA27,1),"")</f>
        <v>V</v>
      </c>
      <c r="AA27" s="3">
        <v>116</v>
      </c>
      <c r="AB27" s="3" t="str">
        <f>IFERROR(MID(VLOOKUP($B27,Seqs!$A:$B,2,0),AC27,1),"")</f>
        <v>T</v>
      </c>
      <c r="AC27" s="9">
        <v>117</v>
      </c>
      <c r="AD27" s="3" t="str">
        <f>IFERROR(MID(VLOOKUP($B27,Seqs!$A:$B,2,0),AE27,1),"")</f>
        <v>G</v>
      </c>
      <c r="AE27" s="3">
        <v>142</v>
      </c>
      <c r="AF27" s="3" t="str">
        <f>IFERROR(MID(VLOOKUP($B27,Seqs!$A:$B,2,0),AG27,1),"")</f>
        <v>C</v>
      </c>
      <c r="AG27" s="3">
        <v>166</v>
      </c>
      <c r="AH27" s="3" t="str">
        <f>IFERROR(MID(VLOOKUP($B27,Seqs!$A:$B,2,0),AI27,1),"")</f>
        <v>F</v>
      </c>
      <c r="AI27" s="3">
        <v>168</v>
      </c>
      <c r="AJ27" s="3" t="str">
        <f>IFERROR(MID(VLOOKUP($B27,Seqs!$A:$B,2,0),AK27,1),"")</f>
        <v>P</v>
      </c>
      <c r="AK27" s="3">
        <v>173</v>
      </c>
      <c r="AL27" s="3" t="str">
        <f>IFERROR(MID(VLOOKUP($B27,Seqs!$A:$B,2,0),AM27,1),"")</f>
        <v>S</v>
      </c>
      <c r="AM27" s="3">
        <v>213</v>
      </c>
      <c r="AN27" s="3" t="str">
        <f>IFERROR(MID(VLOOKUP($B27,Seqs!$A:$B,2,0),AO27,1),"")</f>
        <v>E</v>
      </c>
      <c r="AO27" s="3">
        <v>219</v>
      </c>
      <c r="AP27" s="3" t="str">
        <f>IFERROR(MID(VLOOKUP($B27,Seqs!$A:$B,2,0),AQ27,1),"")</f>
        <v>C</v>
      </c>
      <c r="AQ27" s="3">
        <v>259</v>
      </c>
      <c r="AR27" s="3" t="str">
        <f>IFERROR(MID(VLOOKUP($B27,Seqs!$A:$B,2,0),AS27,1),"")</f>
        <v>P</v>
      </c>
      <c r="AS27" s="3">
        <v>266</v>
      </c>
      <c r="AT27" s="3" t="str">
        <f>IFERROR(MID(VLOOKUP($B27,Seqs!$A:$B,2,0),AU27,1),"")</f>
        <v>R</v>
      </c>
      <c r="AU27" s="3">
        <v>291</v>
      </c>
      <c r="AV27" s="3" t="str">
        <f>IFERROR(MID(VLOOKUP($B27,Seqs!$A:$B,2,0),AW27,1),"")</f>
        <v>I</v>
      </c>
      <c r="AW27" s="3">
        <v>292</v>
      </c>
      <c r="AX27" s="3" t="str">
        <f>IFERROR(MID(VLOOKUP($B27,Seqs!$A:$B,2,0),AY27,1),"")</f>
        <v>F</v>
      </c>
      <c r="AY27" s="3">
        <v>314</v>
      </c>
      <c r="AZ27" s="77" t="str">
        <f>VLOOKUP(B27,Classification!A:D,2,0)</f>
        <v>A</v>
      </c>
      <c r="BA27" s="94" t="str">
        <f>VLOOKUP(B27,Classification!A:D,4,0)</f>
        <v>Adenosine</v>
      </c>
      <c r="BB27" s="27" t="b">
        <f t="shared" si="1"/>
        <v>1</v>
      </c>
      <c r="BC27" s="23">
        <f t="shared" ref="BC27:BC37" si="224">_xlfn.AGGREGATE(9,6,CH27:CS27)-_xlfn.AGGREGATE(9,6,BV27:CG27)+12</f>
        <v>276</v>
      </c>
      <c r="BD27" s="34" t="s">
        <v>23</v>
      </c>
      <c r="BE27" s="3" t="s">
        <v>23</v>
      </c>
      <c r="BF27" s="119" t="s">
        <v>23</v>
      </c>
      <c r="BG27" s="49" t="s">
        <v>1378</v>
      </c>
      <c r="BH27" s="49" t="s">
        <v>1383</v>
      </c>
      <c r="BI27" s="1"/>
      <c r="BJ27" s="70" t="s">
        <v>1293</v>
      </c>
      <c r="BK27" s="57" t="s">
        <v>1293</v>
      </c>
      <c r="BL27" s="57" t="s">
        <v>1293</v>
      </c>
      <c r="BM27" s="57" t="s">
        <v>1293</v>
      </c>
      <c r="BN27" s="57" t="s">
        <v>1293</v>
      </c>
      <c r="BO27" s="57" t="s">
        <v>1293</v>
      </c>
      <c r="BP27" s="57" t="s">
        <v>1293</v>
      </c>
      <c r="BQ27" s="57" t="s">
        <v>1293</v>
      </c>
      <c r="BR27" s="57" t="s">
        <v>1293</v>
      </c>
      <c r="BS27" s="57" t="s">
        <v>1293</v>
      </c>
      <c r="BT27" s="57" t="s">
        <v>1293</v>
      </c>
      <c r="BU27" s="57" t="s">
        <v>1293</v>
      </c>
      <c r="BV27" s="70">
        <f t="shared" si="3"/>
        <v>1</v>
      </c>
      <c r="BW27" s="71">
        <f t="shared" si="4"/>
        <v>35</v>
      </c>
      <c r="BX27" s="72">
        <f t="shared" si="5"/>
        <v>39</v>
      </c>
      <c r="BY27" s="71">
        <f t="shared" si="6"/>
        <v>70</v>
      </c>
      <c r="BZ27" s="72">
        <f t="shared" si="7"/>
        <v>73</v>
      </c>
      <c r="CA27" s="71">
        <f t="shared" si="8"/>
        <v>109</v>
      </c>
      <c r="CB27" s="72">
        <f t="shared" si="9"/>
        <v>117</v>
      </c>
      <c r="CC27" s="71">
        <f t="shared" si="10"/>
        <v>166</v>
      </c>
      <c r="CD27" s="72">
        <f t="shared" si="11"/>
        <v>173</v>
      </c>
      <c r="CE27" s="71">
        <f t="shared" si="12"/>
        <v>219</v>
      </c>
      <c r="CF27" s="72">
        <f t="shared" si="13"/>
        <v>266</v>
      </c>
      <c r="CG27" s="71">
        <f t="shared" si="14"/>
        <v>292</v>
      </c>
      <c r="CH27" s="70">
        <f t="shared" si="15"/>
        <v>34</v>
      </c>
      <c r="CI27" s="71">
        <f t="shared" si="16"/>
        <v>38</v>
      </c>
      <c r="CJ27" s="72">
        <f t="shared" si="17"/>
        <v>69</v>
      </c>
      <c r="CK27" s="72">
        <f t="shared" si="18"/>
        <v>72</v>
      </c>
      <c r="CL27" s="72">
        <f t="shared" si="19"/>
        <v>108</v>
      </c>
      <c r="CM27" s="72">
        <f t="shared" si="20"/>
        <v>116</v>
      </c>
      <c r="CN27" s="72">
        <f t="shared" si="21"/>
        <v>142</v>
      </c>
      <c r="CO27" s="72">
        <f t="shared" si="22"/>
        <v>168</v>
      </c>
      <c r="CP27" s="72">
        <f t="shared" si="23"/>
        <v>213</v>
      </c>
      <c r="CQ27" s="72">
        <f t="shared" si="24"/>
        <v>259</v>
      </c>
      <c r="CR27" s="72">
        <f t="shared" si="25"/>
        <v>291</v>
      </c>
      <c r="CS27" s="72">
        <f t="shared" si="26"/>
        <v>314</v>
      </c>
      <c r="CT27" s="23">
        <f t="shared" si="27"/>
        <v>1</v>
      </c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1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1"/>
      <c r="AFN27" s="1"/>
      <c r="AFO27" s="1"/>
      <c r="AFP27" s="1"/>
      <c r="AFQ27" s="1"/>
      <c r="AFR27" s="1"/>
      <c r="AFS27" s="1"/>
      <c r="AFT27" s="1"/>
      <c r="AFU27" s="1"/>
      <c r="AFV27" s="1"/>
      <c r="AFW27" s="1"/>
      <c r="AFX27" s="1"/>
      <c r="AFY27" s="1"/>
      <c r="AFZ27" s="1"/>
      <c r="AGA27" s="1"/>
      <c r="AGB27" s="1"/>
      <c r="AGC27" s="1"/>
      <c r="AGD27" s="1"/>
      <c r="AGE27" s="1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1"/>
      <c r="AHD27" s="1"/>
      <c r="AHE27" s="1"/>
      <c r="AHF27" s="1"/>
      <c r="AHG27" s="1"/>
      <c r="AHH27" s="1"/>
      <c r="AHI27" s="1"/>
      <c r="AHJ27" s="1"/>
      <c r="AHK27" s="1"/>
      <c r="AHL27" s="1"/>
      <c r="AHM27" s="1"/>
      <c r="AHN27" s="1"/>
      <c r="AHO27" s="1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1"/>
      <c r="AIB27" s="1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1"/>
      <c r="AIQ27" s="1"/>
      <c r="AIR27" s="1"/>
      <c r="AIS27" s="1"/>
      <c r="AIT27" s="1"/>
      <c r="AIU27" s="1"/>
      <c r="AIV27" s="1"/>
      <c r="AIW27" s="1"/>
      <c r="AIX27" s="1"/>
      <c r="AIY27" s="1"/>
      <c r="AIZ27" s="1"/>
      <c r="AJA27" s="1"/>
      <c r="AJB27" s="1"/>
      <c r="AJC27" s="1"/>
      <c r="AJD27" s="1"/>
      <c r="AJE27" s="1"/>
      <c r="AJF27" s="1"/>
      <c r="AJG27" s="1"/>
      <c r="AJH27" s="1"/>
      <c r="AJI27" s="1"/>
      <c r="AJJ27" s="1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1"/>
      <c r="AJX27" s="1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1"/>
      <c r="AKR27" s="1"/>
      <c r="AKS27" s="1"/>
      <c r="AKT27" s="1"/>
      <c r="AKU27" s="1"/>
      <c r="AKV27" s="1"/>
      <c r="AKW27" s="1"/>
      <c r="AKX27" s="1"/>
      <c r="AKY27" s="1"/>
      <c r="AKZ27" s="1"/>
      <c r="ALA27" s="1"/>
      <c r="ALB27" s="1"/>
      <c r="ALC27" s="1"/>
      <c r="ALD27" s="1"/>
      <c r="ALE27" s="1"/>
      <c r="ALF27" s="1"/>
      <c r="ALG27" s="1"/>
      <c r="ALH27" s="1"/>
      <c r="ALI27" s="1"/>
      <c r="ALJ27" s="1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1"/>
      <c r="AMB27" s="1"/>
      <c r="AMC27" s="1"/>
      <c r="AMD27" s="1"/>
      <c r="AME27" s="1"/>
      <c r="AMF27" s="1"/>
      <c r="AMG27" s="1"/>
      <c r="AMH27" s="1"/>
      <c r="AMI27" s="1"/>
      <c r="AMJ27" s="1"/>
      <c r="AMK27" s="1"/>
      <c r="AML27" s="1"/>
      <c r="AMM27" s="1"/>
      <c r="AMN27" s="1"/>
      <c r="AMO27" s="1"/>
    </row>
    <row r="28" spans="1:1029" x14ac:dyDescent="0.2">
      <c r="A28" s="3" t="str">
        <f t="shared" si="0"/>
        <v>aa2ar_human_2YDO</v>
      </c>
      <c r="B28" s="3" t="s">
        <v>139</v>
      </c>
      <c r="C28" s="3" t="s">
        <v>1029</v>
      </c>
      <c r="D28" s="3" t="str">
        <f>IFERROR(MID(VLOOKUP($B28,Seqs!$A:$B,2,0),E28,1),"")</f>
        <v>S</v>
      </c>
      <c r="E28" s="3">
        <v>7</v>
      </c>
      <c r="F28" s="3" t="str">
        <f>IFERROR(MID(VLOOKUP($B28,Seqs!$A:$B,2,0),G28,1),"")</f>
        <v>N</v>
      </c>
      <c r="G28" s="3">
        <v>34</v>
      </c>
      <c r="H28" s="3" t="str">
        <f>IFERROR(MID(VLOOKUP($B28,Seqs!$A:$B,2,0),I28,1),"")</f>
        <v>S</v>
      </c>
      <c r="I28" s="23">
        <v>35</v>
      </c>
      <c r="J28" s="3" t="str">
        <f>IFERROR(MID(VLOOKUP($B28,Seqs!$A:$B,2,0),K28,1),"")</f>
        <v>Q</v>
      </c>
      <c r="K28" s="23">
        <v>38</v>
      </c>
      <c r="L28" s="3" t="str">
        <f>IFERROR(MID(VLOOKUP($B28,Seqs!$A:$B,2,0),M28,1),"")</f>
        <v>N</v>
      </c>
      <c r="M28" s="3">
        <v>39</v>
      </c>
      <c r="N28" s="3" t="str">
        <f>IFERROR(MID(VLOOKUP($B28,Seqs!$A:$B,2,0),O28,1),"")</f>
        <v>G</v>
      </c>
      <c r="O28" s="3">
        <v>69</v>
      </c>
      <c r="P28" s="3" t="str">
        <f>IFERROR(MID(VLOOKUP($B28,Seqs!$A:$B,2,0),Q28,1),"")</f>
        <v>F</v>
      </c>
      <c r="Q28" s="3">
        <v>70</v>
      </c>
      <c r="R28" s="3" t="str">
        <f>IFERROR(MID(VLOOKUP($B28,Seqs!$A:$B,2,0),S28,1),"")</f>
        <v>A</v>
      </c>
      <c r="S28" s="3">
        <v>72</v>
      </c>
      <c r="T28" s="3" t="str">
        <f>IFERROR(MID(VLOOKUP($B28,Seqs!$A:$B,2,0),U28,1),"")</f>
        <v>A</v>
      </c>
      <c r="U28" s="3">
        <v>73</v>
      </c>
      <c r="V28" s="3" t="str">
        <f>IFERROR(MID(VLOOKUP($B28,Seqs!$A:$B,2,0),W28,1),"")</f>
        <v>I</v>
      </c>
      <c r="W28" s="3">
        <v>108</v>
      </c>
      <c r="X28" s="3" t="str">
        <f>IFERROR(MID(VLOOKUP($B28,Seqs!$A:$B,2,0),Y28,1),"")</f>
        <v>P</v>
      </c>
      <c r="Y28" s="3">
        <v>109</v>
      </c>
      <c r="Z28" s="3" t="str">
        <f>IFERROR(MID(VLOOKUP($B28,Seqs!$A:$B,2,0),AA28,1),"")</f>
        <v>V</v>
      </c>
      <c r="AA28" s="3">
        <v>116</v>
      </c>
      <c r="AB28" s="3" t="str">
        <f>IFERROR(MID(VLOOKUP($B28,Seqs!$A:$B,2,0),AC28,1),"")</f>
        <v>T</v>
      </c>
      <c r="AC28" s="9">
        <v>117</v>
      </c>
      <c r="AD28" s="3" t="str">
        <f>IFERROR(MID(VLOOKUP($B28,Seqs!$A:$B,2,0),AE28,1),"")</f>
        <v>G</v>
      </c>
      <c r="AE28" s="3">
        <v>142</v>
      </c>
      <c r="AF28" s="3" t="str">
        <f>IFERROR(MID(VLOOKUP($B28,Seqs!$A:$B,2,0),AG28,1),"")</f>
        <v>C</v>
      </c>
      <c r="AG28" s="3">
        <v>166</v>
      </c>
      <c r="AH28" s="3" t="str">
        <f>IFERROR(MID(VLOOKUP($B28,Seqs!$A:$B,2,0),AI28,1),"")</f>
        <v>F</v>
      </c>
      <c r="AI28" s="3">
        <v>168</v>
      </c>
      <c r="AJ28" s="3" t="str">
        <f>IFERROR(MID(VLOOKUP($B28,Seqs!$A:$B,2,0),AK28,1),"")</f>
        <v>P</v>
      </c>
      <c r="AK28" s="3">
        <v>173</v>
      </c>
      <c r="AL28" s="3" t="str">
        <f>IFERROR(MID(VLOOKUP($B28,Seqs!$A:$B,2,0),AM28,1),"")</f>
        <v>Q</v>
      </c>
      <c r="AM28" s="3">
        <v>210</v>
      </c>
      <c r="AN28" s="3" t="str">
        <f>IFERROR(MID(VLOOKUP($B28,Seqs!$A:$B,2,0),AO28,1),"")</f>
        <v>L</v>
      </c>
      <c r="AO28" s="3">
        <v>225</v>
      </c>
      <c r="AP28" s="3" t="str">
        <f>IFERROR(MID(VLOOKUP($B28,Seqs!$A:$B,2,0),AQ28,1),"")</f>
        <v>C</v>
      </c>
      <c r="AQ28" s="3">
        <v>259</v>
      </c>
      <c r="AR28" s="3" t="str">
        <f>IFERROR(MID(VLOOKUP($B28,Seqs!$A:$B,2,0),AS28,1),"")</f>
        <v>P</v>
      </c>
      <c r="AS28" s="3">
        <v>266</v>
      </c>
      <c r="AT28" s="3" t="str">
        <f>IFERROR(MID(VLOOKUP($B28,Seqs!$A:$B,2,0),AU28,1),"")</f>
        <v>R</v>
      </c>
      <c r="AU28" s="3">
        <v>291</v>
      </c>
      <c r="AV28" s="3" t="str">
        <f>IFERROR(MID(VLOOKUP($B28,Seqs!$A:$B,2,0),AW28,1),"")</f>
        <v>I</v>
      </c>
      <c r="AW28" s="3">
        <v>292</v>
      </c>
      <c r="AX28" s="3" t="str">
        <f>IFERROR(MID(VLOOKUP($B28,Seqs!$A:$B,2,0),AY28,1),"")</f>
        <v>A</v>
      </c>
      <c r="AY28" s="3">
        <v>317</v>
      </c>
      <c r="AZ28" s="77" t="str">
        <f>VLOOKUP(B28,Classification!A:D,2,0)</f>
        <v>A</v>
      </c>
      <c r="BA28" s="94" t="str">
        <f>VLOOKUP(B28,Classification!A:D,4,0)</f>
        <v>Adenosine</v>
      </c>
      <c r="BB28" s="27" t="b">
        <f t="shared" si="1"/>
        <v>1</v>
      </c>
      <c r="BC28" s="23">
        <f t="shared" si="224"/>
        <v>264</v>
      </c>
      <c r="BD28" s="4" t="s">
        <v>23</v>
      </c>
      <c r="BE28" s="3" t="s">
        <v>1438</v>
      </c>
      <c r="BF28" s="119">
        <v>3</v>
      </c>
      <c r="BG28" s="49" t="s">
        <v>1383</v>
      </c>
      <c r="BH28" s="49" t="s">
        <v>1383</v>
      </c>
      <c r="BI28" s="1"/>
      <c r="BJ28" s="70" t="s">
        <v>1293</v>
      </c>
      <c r="BK28" s="57" t="s">
        <v>1293</v>
      </c>
      <c r="BL28" s="57" t="s">
        <v>1293</v>
      </c>
      <c r="BM28" s="57" t="s">
        <v>1293</v>
      </c>
      <c r="BN28" s="57" t="s">
        <v>1293</v>
      </c>
      <c r="BO28" s="57" t="s">
        <v>1293</v>
      </c>
      <c r="BP28" s="57" t="s">
        <v>1293</v>
      </c>
      <c r="BQ28" s="57" t="s">
        <v>1293</v>
      </c>
      <c r="BR28" s="57" t="s">
        <v>1293</v>
      </c>
      <c r="BS28" s="57" t="s">
        <v>1293</v>
      </c>
      <c r="BT28" s="57" t="s">
        <v>1293</v>
      </c>
      <c r="BU28" s="57" t="s">
        <v>1293</v>
      </c>
      <c r="BV28" s="70">
        <f t="shared" si="3"/>
        <v>7</v>
      </c>
      <c r="BW28" s="71">
        <f t="shared" si="4"/>
        <v>35</v>
      </c>
      <c r="BX28" s="72">
        <f t="shared" si="5"/>
        <v>39</v>
      </c>
      <c r="BY28" s="71">
        <f t="shared" si="6"/>
        <v>70</v>
      </c>
      <c r="BZ28" s="72">
        <f t="shared" si="7"/>
        <v>73</v>
      </c>
      <c r="CA28" s="71">
        <f t="shared" si="8"/>
        <v>109</v>
      </c>
      <c r="CB28" s="72">
        <f t="shared" si="9"/>
        <v>117</v>
      </c>
      <c r="CC28" s="71">
        <f t="shared" si="10"/>
        <v>166</v>
      </c>
      <c r="CD28" s="72">
        <f t="shared" si="11"/>
        <v>173</v>
      </c>
      <c r="CE28" s="71">
        <f t="shared" si="12"/>
        <v>225</v>
      </c>
      <c r="CF28" s="72">
        <f t="shared" si="13"/>
        <v>266</v>
      </c>
      <c r="CG28" s="71">
        <f t="shared" si="14"/>
        <v>292</v>
      </c>
      <c r="CH28" s="70">
        <f t="shared" si="15"/>
        <v>34</v>
      </c>
      <c r="CI28" s="71">
        <f t="shared" si="16"/>
        <v>38</v>
      </c>
      <c r="CJ28" s="72">
        <f t="shared" si="17"/>
        <v>69</v>
      </c>
      <c r="CK28" s="72">
        <f t="shared" si="18"/>
        <v>72</v>
      </c>
      <c r="CL28" s="72">
        <f t="shared" si="19"/>
        <v>108</v>
      </c>
      <c r="CM28" s="72">
        <f t="shared" si="20"/>
        <v>116</v>
      </c>
      <c r="CN28" s="72">
        <f t="shared" si="21"/>
        <v>142</v>
      </c>
      <c r="CO28" s="72">
        <f t="shared" si="22"/>
        <v>168</v>
      </c>
      <c r="CP28" s="72">
        <f t="shared" si="23"/>
        <v>210</v>
      </c>
      <c r="CQ28" s="72">
        <f t="shared" si="24"/>
        <v>259</v>
      </c>
      <c r="CR28" s="72">
        <f t="shared" si="25"/>
        <v>291</v>
      </c>
      <c r="CS28" s="72">
        <f t="shared" si="26"/>
        <v>317</v>
      </c>
      <c r="CT28" s="23">
        <f t="shared" si="27"/>
        <v>1</v>
      </c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1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1"/>
      <c r="AFF28" s="1"/>
      <c r="AFG28" s="1"/>
      <c r="AFH28" s="1"/>
      <c r="AFI28" s="1"/>
      <c r="AFJ28" s="1"/>
      <c r="AFK28" s="1"/>
      <c r="AFL28" s="1"/>
      <c r="AFM28" s="1"/>
      <c r="AFN28" s="1"/>
      <c r="AFO28" s="1"/>
      <c r="AFP28" s="1"/>
      <c r="AFQ28" s="1"/>
      <c r="AFR28" s="1"/>
      <c r="AFS28" s="1"/>
      <c r="AFT28" s="1"/>
      <c r="AFU28" s="1"/>
      <c r="AFV28" s="1"/>
      <c r="AFW28" s="1"/>
      <c r="AFX28" s="1"/>
      <c r="AFY28" s="1"/>
      <c r="AFZ28" s="1"/>
      <c r="AGA28" s="1"/>
      <c r="AGB28" s="1"/>
      <c r="AGC28" s="1"/>
      <c r="AGD28" s="1"/>
      <c r="AGE28" s="1"/>
      <c r="AGF28" s="1"/>
      <c r="AGG28" s="1"/>
      <c r="AGH28" s="1"/>
      <c r="AGI28" s="1"/>
      <c r="AGJ28" s="1"/>
      <c r="AGK28" s="1"/>
      <c r="AGL28" s="1"/>
      <c r="AGM28" s="1"/>
      <c r="AGN28" s="1"/>
      <c r="AGO28" s="1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1"/>
      <c r="AHD28" s="1"/>
      <c r="AHE28" s="1"/>
      <c r="AHF28" s="1"/>
      <c r="AHG28" s="1"/>
      <c r="AHH28" s="1"/>
      <c r="AHI28" s="1"/>
      <c r="AHJ28" s="1"/>
      <c r="AHK28" s="1"/>
      <c r="AHL28" s="1"/>
      <c r="AHM28" s="1"/>
      <c r="AHN28" s="1"/>
      <c r="AHO28" s="1"/>
      <c r="AHP28" s="1"/>
      <c r="AHQ28" s="1"/>
      <c r="AHR28" s="1"/>
      <c r="AHS28" s="1"/>
      <c r="AHT28" s="1"/>
      <c r="AHU28" s="1"/>
      <c r="AHV28" s="1"/>
      <c r="AHW28" s="1"/>
      <c r="AHX28" s="1"/>
      <c r="AHY28" s="1"/>
      <c r="AHZ28" s="1"/>
      <c r="AIA28" s="1"/>
      <c r="AIB28" s="1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1"/>
      <c r="AIQ28" s="1"/>
      <c r="AIR28" s="1"/>
      <c r="AIS28" s="1"/>
      <c r="AIT28" s="1"/>
      <c r="AIU28" s="1"/>
      <c r="AIV28" s="1"/>
      <c r="AIW28" s="1"/>
      <c r="AIX28" s="1"/>
      <c r="AIY28" s="1"/>
      <c r="AIZ28" s="1"/>
      <c r="AJA28" s="1"/>
      <c r="AJB28" s="1"/>
      <c r="AJC28" s="1"/>
      <c r="AJD28" s="1"/>
      <c r="AJE28" s="1"/>
      <c r="AJF28" s="1"/>
      <c r="AJG28" s="1"/>
      <c r="AJH28" s="1"/>
      <c r="AJI28" s="1"/>
      <c r="AJJ28" s="1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1"/>
      <c r="AJX28" s="1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1"/>
      <c r="AKR28" s="1"/>
      <c r="AKS28" s="1"/>
      <c r="AKT28" s="1"/>
      <c r="AKU28" s="1"/>
      <c r="AKV28" s="1"/>
      <c r="AKW28" s="1"/>
      <c r="AKX28" s="1"/>
      <c r="AKY28" s="1"/>
      <c r="AKZ28" s="1"/>
      <c r="ALA28" s="1"/>
      <c r="ALB28" s="1"/>
      <c r="ALC28" s="1"/>
      <c r="ALD28" s="1"/>
      <c r="ALE28" s="1"/>
      <c r="ALF28" s="1"/>
      <c r="ALG28" s="1"/>
      <c r="ALH28" s="1"/>
      <c r="ALI28" s="1"/>
      <c r="ALJ28" s="1"/>
      <c r="ALK28" s="1"/>
      <c r="ALL28" s="1"/>
      <c r="ALM28" s="1"/>
      <c r="ALN28" s="1"/>
      <c r="ALO28" s="1"/>
      <c r="ALP28" s="1"/>
      <c r="ALQ28" s="1"/>
      <c r="ALR28" s="1"/>
      <c r="ALS28" s="1"/>
      <c r="ALT28" s="1"/>
      <c r="ALU28" s="1"/>
      <c r="ALV28" s="1"/>
      <c r="ALW28" s="1"/>
      <c r="ALX28" s="1"/>
      <c r="ALY28" s="1"/>
      <c r="ALZ28" s="1"/>
      <c r="AMA28" s="1"/>
      <c r="AMB28" s="1"/>
      <c r="AMC28" s="1"/>
      <c r="AMD28" s="1"/>
      <c r="AME28" s="1"/>
      <c r="AMF28" s="1"/>
      <c r="AMG28" s="1"/>
      <c r="AMH28" s="1"/>
      <c r="AMI28" s="1"/>
      <c r="AMJ28" s="1"/>
      <c r="AMK28" s="1"/>
      <c r="AML28" s="1"/>
      <c r="AMM28" s="1"/>
      <c r="AMN28" s="1"/>
      <c r="AMO28" s="1"/>
    </row>
    <row r="29" spans="1:1029" x14ac:dyDescent="0.2">
      <c r="A29" s="3" t="str">
        <f t="shared" si="0"/>
        <v>aa2ar_human_2YDV</v>
      </c>
      <c r="B29" s="3" t="s">
        <v>139</v>
      </c>
      <c r="C29" s="3" t="s">
        <v>80</v>
      </c>
      <c r="D29" s="3" t="str">
        <f>IFERROR(MID(VLOOKUP($B29,Seqs!$A:$B,2,0),E29,1),"")</f>
        <v>S</v>
      </c>
      <c r="E29" s="3">
        <v>7</v>
      </c>
      <c r="F29" s="3" t="str">
        <f>IFERROR(MID(VLOOKUP($B29,Seqs!$A:$B,2,0),G29,1),"")</f>
        <v>N</v>
      </c>
      <c r="G29" s="3">
        <v>34</v>
      </c>
      <c r="H29" s="3" t="str">
        <f>IFERROR(MID(VLOOKUP($B29,Seqs!$A:$B,2,0),I29,1),"")</f>
        <v>S</v>
      </c>
      <c r="I29" s="23">
        <v>35</v>
      </c>
      <c r="J29" s="3" t="str">
        <f>IFERROR(MID(VLOOKUP($B29,Seqs!$A:$B,2,0),K29,1),"")</f>
        <v>Q</v>
      </c>
      <c r="K29" s="23">
        <v>38</v>
      </c>
      <c r="L29" s="3" t="str">
        <f>IFERROR(MID(VLOOKUP($B29,Seqs!$A:$B,2,0),M29,1),"")</f>
        <v>N</v>
      </c>
      <c r="M29" s="3">
        <v>39</v>
      </c>
      <c r="N29" s="3" t="str">
        <f>IFERROR(MID(VLOOKUP($B29,Seqs!$A:$B,2,0),O29,1),"")</f>
        <v>G</v>
      </c>
      <c r="O29" s="3">
        <v>69</v>
      </c>
      <c r="P29" s="3" t="str">
        <f>IFERROR(MID(VLOOKUP($B29,Seqs!$A:$B,2,0),Q29,1),"")</f>
        <v>F</v>
      </c>
      <c r="Q29" s="3">
        <v>70</v>
      </c>
      <c r="R29" s="3" t="str">
        <f>IFERROR(MID(VLOOKUP($B29,Seqs!$A:$B,2,0),S29,1),"")</f>
        <v>A</v>
      </c>
      <c r="S29" s="3">
        <v>72</v>
      </c>
      <c r="T29" s="3" t="str">
        <f>IFERROR(MID(VLOOKUP($B29,Seqs!$A:$B,2,0),U29,1),"")</f>
        <v>A</v>
      </c>
      <c r="U29" s="3">
        <v>73</v>
      </c>
      <c r="V29" s="3" t="str">
        <f>IFERROR(MID(VLOOKUP($B29,Seqs!$A:$B,2,0),W29,1),"")</f>
        <v>I</v>
      </c>
      <c r="W29" s="3">
        <v>108</v>
      </c>
      <c r="X29" s="3" t="str">
        <f>IFERROR(MID(VLOOKUP($B29,Seqs!$A:$B,2,0),Y29,1),"")</f>
        <v>P</v>
      </c>
      <c r="Y29" s="3">
        <v>109</v>
      </c>
      <c r="Z29" s="3" t="str">
        <f>IFERROR(MID(VLOOKUP($B29,Seqs!$A:$B,2,0),AA29,1),"")</f>
        <v>V</v>
      </c>
      <c r="AA29" s="3">
        <v>116</v>
      </c>
      <c r="AB29" s="3" t="str">
        <f>IFERROR(MID(VLOOKUP($B29,Seqs!$A:$B,2,0),AC29,1),"")</f>
        <v>T</v>
      </c>
      <c r="AC29" s="9">
        <v>117</v>
      </c>
      <c r="AD29" s="3" t="str">
        <f>IFERROR(MID(VLOOKUP($B29,Seqs!$A:$B,2,0),AE29,1),"")</f>
        <v>G</v>
      </c>
      <c r="AE29" s="3">
        <v>142</v>
      </c>
      <c r="AF29" s="3" t="str">
        <f>IFERROR(MID(VLOOKUP($B29,Seqs!$A:$B,2,0),AG29,1),"")</f>
        <v>C</v>
      </c>
      <c r="AG29" s="3">
        <v>166</v>
      </c>
      <c r="AH29" s="3" t="str">
        <f>IFERROR(MID(VLOOKUP($B29,Seqs!$A:$B,2,0),AI29,1),"")</f>
        <v>F</v>
      </c>
      <c r="AI29" s="3">
        <v>168</v>
      </c>
      <c r="AJ29" s="3" t="str">
        <f>IFERROR(MID(VLOOKUP($B29,Seqs!$A:$B,2,0),AK29,1),"")</f>
        <v>P</v>
      </c>
      <c r="AK29" s="3">
        <v>173</v>
      </c>
      <c r="AL29" s="3" t="str">
        <f>IFERROR(MID(VLOOKUP($B29,Seqs!$A:$B,2,0),AM29,1),"")</f>
        <v>Q</v>
      </c>
      <c r="AM29" s="3">
        <v>210</v>
      </c>
      <c r="AN29" s="3" t="str">
        <f>IFERROR(MID(VLOOKUP($B29,Seqs!$A:$B,2,0),AO29,1),"")</f>
        <v>T</v>
      </c>
      <c r="AO29" s="3">
        <v>224</v>
      </c>
      <c r="AP29" s="3" t="str">
        <f>IFERROR(MID(VLOOKUP($B29,Seqs!$A:$B,2,0),AQ29,1),"")</f>
        <v>C</v>
      </c>
      <c r="AQ29" s="3">
        <v>259</v>
      </c>
      <c r="AR29" s="3" t="str">
        <f>IFERROR(MID(VLOOKUP($B29,Seqs!$A:$B,2,0),AS29,1),"")</f>
        <v>P</v>
      </c>
      <c r="AS29" s="3">
        <v>266</v>
      </c>
      <c r="AT29" s="3" t="str">
        <f>IFERROR(MID(VLOOKUP($B29,Seqs!$A:$B,2,0),AU29,1),"")</f>
        <v>R</v>
      </c>
      <c r="AU29" s="3">
        <v>291</v>
      </c>
      <c r="AV29" s="3" t="str">
        <f>IFERROR(MID(VLOOKUP($B29,Seqs!$A:$B,2,0),AW29,1),"")</f>
        <v>I</v>
      </c>
      <c r="AW29" s="3">
        <v>292</v>
      </c>
      <c r="AX29" s="3" t="str">
        <f>IFERROR(MID(VLOOKUP($B29,Seqs!$A:$B,2,0),AY29,1),"")</f>
        <v>A</v>
      </c>
      <c r="AY29" s="3">
        <v>317</v>
      </c>
      <c r="AZ29" s="77" t="str">
        <f>VLOOKUP(B29,Classification!A:D,2,0)</f>
        <v>A</v>
      </c>
      <c r="BA29" s="94" t="str">
        <f>VLOOKUP(B29,Classification!A:D,4,0)</f>
        <v>Adenosine</v>
      </c>
      <c r="BB29" s="27" t="b">
        <f t="shared" si="1"/>
        <v>1</v>
      </c>
      <c r="BC29" s="23">
        <f t="shared" si="224"/>
        <v>265</v>
      </c>
      <c r="BD29" s="4" t="s">
        <v>23</v>
      </c>
      <c r="BE29" s="3" t="s">
        <v>1438</v>
      </c>
      <c r="BF29" s="119">
        <v>2.6</v>
      </c>
      <c r="BG29" s="49" t="s">
        <v>1383</v>
      </c>
      <c r="BH29" s="49" t="s">
        <v>1383</v>
      </c>
      <c r="BI29" s="1"/>
      <c r="BJ29" s="70" t="s">
        <v>1293</v>
      </c>
      <c r="BK29" s="57" t="s">
        <v>1293</v>
      </c>
      <c r="BL29" s="57" t="s">
        <v>1293</v>
      </c>
      <c r="BM29" s="57" t="s">
        <v>1293</v>
      </c>
      <c r="BN29" s="57" t="s">
        <v>1293</v>
      </c>
      <c r="BO29" s="57" t="s">
        <v>1293</v>
      </c>
      <c r="BP29" s="57" t="s">
        <v>1293</v>
      </c>
      <c r="BQ29" s="57" t="s">
        <v>1293</v>
      </c>
      <c r="BR29" s="57" t="s">
        <v>1293</v>
      </c>
      <c r="BS29" s="57" t="s">
        <v>1293</v>
      </c>
      <c r="BT29" s="57" t="s">
        <v>1293</v>
      </c>
      <c r="BU29" s="57" t="s">
        <v>1293</v>
      </c>
      <c r="BV29" s="70">
        <f t="shared" si="3"/>
        <v>7</v>
      </c>
      <c r="BW29" s="71">
        <f t="shared" si="4"/>
        <v>35</v>
      </c>
      <c r="BX29" s="72">
        <f t="shared" si="5"/>
        <v>39</v>
      </c>
      <c r="BY29" s="71">
        <f t="shared" si="6"/>
        <v>70</v>
      </c>
      <c r="BZ29" s="72">
        <f t="shared" si="7"/>
        <v>73</v>
      </c>
      <c r="CA29" s="71">
        <f t="shared" si="8"/>
        <v>109</v>
      </c>
      <c r="CB29" s="72">
        <f t="shared" si="9"/>
        <v>117</v>
      </c>
      <c r="CC29" s="71">
        <f t="shared" si="10"/>
        <v>166</v>
      </c>
      <c r="CD29" s="72">
        <f t="shared" si="11"/>
        <v>173</v>
      </c>
      <c r="CE29" s="71">
        <f t="shared" si="12"/>
        <v>224</v>
      </c>
      <c r="CF29" s="72">
        <f t="shared" si="13"/>
        <v>266</v>
      </c>
      <c r="CG29" s="71">
        <f t="shared" si="14"/>
        <v>292</v>
      </c>
      <c r="CH29" s="70">
        <f t="shared" si="15"/>
        <v>34</v>
      </c>
      <c r="CI29" s="71">
        <f t="shared" si="16"/>
        <v>38</v>
      </c>
      <c r="CJ29" s="72">
        <f t="shared" si="17"/>
        <v>69</v>
      </c>
      <c r="CK29" s="72">
        <f t="shared" si="18"/>
        <v>72</v>
      </c>
      <c r="CL29" s="72">
        <f t="shared" si="19"/>
        <v>108</v>
      </c>
      <c r="CM29" s="72">
        <f t="shared" si="20"/>
        <v>116</v>
      </c>
      <c r="CN29" s="72">
        <f t="shared" si="21"/>
        <v>142</v>
      </c>
      <c r="CO29" s="72">
        <f t="shared" si="22"/>
        <v>168</v>
      </c>
      <c r="CP29" s="72">
        <f t="shared" si="23"/>
        <v>210</v>
      </c>
      <c r="CQ29" s="72">
        <f t="shared" si="24"/>
        <v>259</v>
      </c>
      <c r="CR29" s="72">
        <f t="shared" si="25"/>
        <v>291</v>
      </c>
      <c r="CS29" s="72">
        <f t="shared" si="26"/>
        <v>317</v>
      </c>
      <c r="CT29" s="23">
        <f t="shared" si="27"/>
        <v>1</v>
      </c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  <c r="ADW29" s="1"/>
      <c r="ADX29" s="1"/>
      <c r="ADY29" s="1"/>
      <c r="ADZ29" s="1"/>
      <c r="AEA29" s="1"/>
      <c r="AEB29" s="1"/>
      <c r="AEC29" s="1"/>
      <c r="AED29" s="1"/>
      <c r="AEE29" s="1"/>
      <c r="AEF29" s="1"/>
      <c r="AEG29" s="1"/>
      <c r="AEH29" s="1"/>
      <c r="AEI29" s="1"/>
      <c r="AEJ29" s="1"/>
      <c r="AEK29" s="1"/>
      <c r="AEL29" s="1"/>
      <c r="AEM29" s="1"/>
      <c r="AEN29" s="1"/>
      <c r="AEO29" s="1"/>
      <c r="AEP29" s="1"/>
      <c r="AEQ29" s="1"/>
      <c r="AER29" s="1"/>
      <c r="AES29" s="1"/>
      <c r="AET29" s="1"/>
      <c r="AEU29" s="1"/>
      <c r="AEV29" s="1"/>
      <c r="AEW29" s="1"/>
      <c r="AEX29" s="1"/>
      <c r="AEY29" s="1"/>
      <c r="AEZ29" s="1"/>
      <c r="AFA29" s="1"/>
      <c r="AFB29" s="1"/>
      <c r="AFC29" s="1"/>
      <c r="AFD29" s="1"/>
      <c r="AFE29" s="1"/>
      <c r="AFF29" s="1"/>
      <c r="AFG29" s="1"/>
      <c r="AFH29" s="1"/>
      <c r="AFI29" s="1"/>
      <c r="AFJ29" s="1"/>
      <c r="AFK29" s="1"/>
      <c r="AFL29" s="1"/>
      <c r="AFM29" s="1"/>
      <c r="AFN29" s="1"/>
      <c r="AFO29" s="1"/>
      <c r="AFP29" s="1"/>
      <c r="AFQ29" s="1"/>
      <c r="AFR29" s="1"/>
      <c r="AFS29" s="1"/>
      <c r="AFT29" s="1"/>
      <c r="AFU29" s="1"/>
      <c r="AFV29" s="1"/>
      <c r="AFW29" s="1"/>
      <c r="AFX29" s="1"/>
      <c r="AFY29" s="1"/>
      <c r="AFZ29" s="1"/>
      <c r="AGA29" s="1"/>
      <c r="AGB29" s="1"/>
      <c r="AGC29" s="1"/>
      <c r="AGD29" s="1"/>
      <c r="AGE29" s="1"/>
      <c r="AGF29" s="1"/>
      <c r="AGG29" s="1"/>
      <c r="AGH29" s="1"/>
      <c r="AGI29" s="1"/>
      <c r="AGJ29" s="1"/>
      <c r="AGK29" s="1"/>
      <c r="AGL29" s="1"/>
      <c r="AGM29" s="1"/>
      <c r="AGN29" s="1"/>
      <c r="AGO29" s="1"/>
      <c r="AGP29" s="1"/>
      <c r="AGQ29" s="1"/>
      <c r="AGR29" s="1"/>
      <c r="AGS29" s="1"/>
      <c r="AGT29" s="1"/>
      <c r="AGU29" s="1"/>
      <c r="AGV29" s="1"/>
      <c r="AGW29" s="1"/>
      <c r="AGX29" s="1"/>
      <c r="AGY29" s="1"/>
      <c r="AGZ29" s="1"/>
      <c r="AHA29" s="1"/>
      <c r="AHB29" s="1"/>
      <c r="AHC29" s="1"/>
      <c r="AHD29" s="1"/>
      <c r="AHE29" s="1"/>
      <c r="AHF29" s="1"/>
      <c r="AHG29" s="1"/>
      <c r="AHH29" s="1"/>
      <c r="AHI29" s="1"/>
      <c r="AHJ29" s="1"/>
      <c r="AHK29" s="1"/>
      <c r="AHL29" s="1"/>
      <c r="AHM29" s="1"/>
      <c r="AHN29" s="1"/>
      <c r="AHO29" s="1"/>
      <c r="AHP29" s="1"/>
      <c r="AHQ29" s="1"/>
      <c r="AHR29" s="1"/>
      <c r="AHS29" s="1"/>
      <c r="AHT29" s="1"/>
      <c r="AHU29" s="1"/>
      <c r="AHV29" s="1"/>
      <c r="AHW29" s="1"/>
      <c r="AHX29" s="1"/>
      <c r="AHY29" s="1"/>
      <c r="AHZ29" s="1"/>
      <c r="AIA29" s="1"/>
      <c r="AIB29" s="1"/>
      <c r="AIC29" s="1"/>
      <c r="AID29" s="1"/>
      <c r="AIE29" s="1"/>
      <c r="AIF29" s="1"/>
      <c r="AIG29" s="1"/>
      <c r="AIH29" s="1"/>
      <c r="AII29" s="1"/>
      <c r="AIJ29" s="1"/>
      <c r="AIK29" s="1"/>
      <c r="AIL29" s="1"/>
      <c r="AIM29" s="1"/>
      <c r="AIN29" s="1"/>
      <c r="AIO29" s="1"/>
      <c r="AIP29" s="1"/>
      <c r="AIQ29" s="1"/>
      <c r="AIR29" s="1"/>
      <c r="AIS29" s="1"/>
      <c r="AIT29" s="1"/>
      <c r="AIU29" s="1"/>
      <c r="AIV29" s="1"/>
      <c r="AIW29" s="1"/>
      <c r="AIX29" s="1"/>
      <c r="AIY29" s="1"/>
      <c r="AIZ29" s="1"/>
      <c r="AJA29" s="1"/>
      <c r="AJB29" s="1"/>
      <c r="AJC29" s="1"/>
      <c r="AJD29" s="1"/>
      <c r="AJE29" s="1"/>
      <c r="AJF29" s="1"/>
      <c r="AJG29" s="1"/>
      <c r="AJH29" s="1"/>
      <c r="AJI29" s="1"/>
      <c r="AJJ29" s="1"/>
      <c r="AJK29" s="1"/>
      <c r="AJL29" s="1"/>
      <c r="AJM29" s="1"/>
      <c r="AJN29" s="1"/>
      <c r="AJO29" s="1"/>
      <c r="AJP29" s="1"/>
      <c r="AJQ29" s="1"/>
      <c r="AJR29" s="1"/>
      <c r="AJS29" s="1"/>
      <c r="AJT29" s="1"/>
      <c r="AJU29" s="1"/>
      <c r="AJV29" s="1"/>
      <c r="AJW29" s="1"/>
      <c r="AJX29" s="1"/>
      <c r="AJY29" s="1"/>
      <c r="AJZ29" s="1"/>
      <c r="AKA29" s="1"/>
      <c r="AKB29" s="1"/>
      <c r="AKC29" s="1"/>
      <c r="AKD29" s="1"/>
      <c r="AKE29" s="1"/>
      <c r="AKF29" s="1"/>
      <c r="AKG29" s="1"/>
      <c r="AKH29" s="1"/>
      <c r="AKI29" s="1"/>
      <c r="AKJ29" s="1"/>
      <c r="AKK29" s="1"/>
      <c r="AKL29" s="1"/>
      <c r="AKM29" s="1"/>
      <c r="AKN29" s="1"/>
      <c r="AKO29" s="1"/>
      <c r="AKP29" s="1"/>
      <c r="AKQ29" s="1"/>
      <c r="AKR29" s="1"/>
      <c r="AKS29" s="1"/>
      <c r="AKT29" s="1"/>
      <c r="AKU29" s="1"/>
      <c r="AKV29" s="1"/>
      <c r="AKW29" s="1"/>
      <c r="AKX29" s="1"/>
      <c r="AKY29" s="1"/>
      <c r="AKZ29" s="1"/>
      <c r="ALA29" s="1"/>
      <c r="ALB29" s="1"/>
      <c r="ALC29" s="1"/>
      <c r="ALD29" s="1"/>
      <c r="ALE29" s="1"/>
      <c r="ALF29" s="1"/>
      <c r="ALG29" s="1"/>
      <c r="ALH29" s="1"/>
      <c r="ALI29" s="1"/>
      <c r="ALJ29" s="1"/>
      <c r="ALK29" s="1"/>
      <c r="ALL29" s="1"/>
      <c r="ALM29" s="1"/>
      <c r="ALN29" s="1"/>
      <c r="ALO29" s="1"/>
      <c r="ALP29" s="1"/>
      <c r="ALQ29" s="1"/>
      <c r="ALR29" s="1"/>
      <c r="ALS29" s="1"/>
      <c r="ALT29" s="1"/>
      <c r="ALU29" s="1"/>
      <c r="ALV29" s="1"/>
      <c r="ALW29" s="1"/>
      <c r="ALX29" s="1"/>
      <c r="ALY29" s="1"/>
      <c r="ALZ29" s="1"/>
      <c r="AMA29" s="1"/>
      <c r="AMB29" s="1"/>
      <c r="AMC29" s="1"/>
      <c r="AMD29" s="1"/>
      <c r="AME29" s="1"/>
      <c r="AMF29" s="1"/>
      <c r="AMG29" s="1"/>
      <c r="AMH29" s="1"/>
      <c r="AMI29" s="1"/>
      <c r="AMJ29" s="1"/>
      <c r="AMK29" s="1"/>
      <c r="AML29" s="1"/>
      <c r="AMM29" s="1"/>
      <c r="AMN29" s="1"/>
      <c r="AMO29" s="1"/>
    </row>
    <row r="30" spans="1:1029" x14ac:dyDescent="0.2">
      <c r="A30" s="3" t="str">
        <f t="shared" si="0"/>
        <v>aa2ar_human_3QAK</v>
      </c>
      <c r="B30" s="3" t="s">
        <v>139</v>
      </c>
      <c r="C30" s="3" t="s">
        <v>1034</v>
      </c>
      <c r="D30" s="3" t="str">
        <f>IFERROR(MID(VLOOKUP($B30,Seqs!$A:$B,2,0),E30,1),"")</f>
        <v>G</v>
      </c>
      <c r="E30" s="3">
        <v>5</v>
      </c>
      <c r="F30" s="3" t="str">
        <f>IFERROR(MID(VLOOKUP($B30,Seqs!$A:$B,2,0),G30,1),"")</f>
        <v>N</v>
      </c>
      <c r="G30" s="3">
        <v>34</v>
      </c>
      <c r="H30" s="3" t="str">
        <f>IFERROR(MID(VLOOKUP($B30,Seqs!$A:$B,2,0),I30,1),"")</f>
        <v>S</v>
      </c>
      <c r="I30" s="23">
        <v>35</v>
      </c>
      <c r="J30" s="3" t="str">
        <f>IFERROR(MID(VLOOKUP($B30,Seqs!$A:$B,2,0),K30,1),"")</f>
        <v>Q</v>
      </c>
      <c r="K30" s="23">
        <v>38</v>
      </c>
      <c r="L30" s="3" t="str">
        <f>IFERROR(MID(VLOOKUP($B30,Seqs!$A:$B,2,0),M30,1),"")</f>
        <v>N</v>
      </c>
      <c r="M30" s="3">
        <v>39</v>
      </c>
      <c r="N30" s="3" t="str">
        <f>IFERROR(MID(VLOOKUP($B30,Seqs!$A:$B,2,0),O30,1),"")</f>
        <v>G</v>
      </c>
      <c r="O30" s="3">
        <v>69</v>
      </c>
      <c r="P30" s="3" t="str">
        <f>IFERROR(MID(VLOOKUP($B30,Seqs!$A:$B,2,0),Q30,1),"")</f>
        <v>F</v>
      </c>
      <c r="Q30" s="3">
        <v>70</v>
      </c>
      <c r="R30" s="3" t="str">
        <f>IFERROR(MID(VLOOKUP($B30,Seqs!$A:$B,2,0),S30,1),"")</f>
        <v>A</v>
      </c>
      <c r="S30" s="3">
        <v>72</v>
      </c>
      <c r="T30" s="3" t="str">
        <f>IFERROR(MID(VLOOKUP($B30,Seqs!$A:$B,2,0),U30,1),"")</f>
        <v>A</v>
      </c>
      <c r="U30" s="3">
        <v>73</v>
      </c>
      <c r="V30" s="3" t="str">
        <f>IFERROR(MID(VLOOKUP($B30,Seqs!$A:$B,2,0),W30,1),"")</f>
        <v>I</v>
      </c>
      <c r="W30" s="3">
        <v>108</v>
      </c>
      <c r="X30" s="3" t="str">
        <f>IFERROR(MID(VLOOKUP($B30,Seqs!$A:$B,2,0),Y30,1),"")</f>
        <v>P</v>
      </c>
      <c r="Y30" s="3">
        <v>109</v>
      </c>
      <c r="Z30" s="3" t="str">
        <f>IFERROR(MID(VLOOKUP($B30,Seqs!$A:$B,2,0),AA30,1),"")</f>
        <v>V</v>
      </c>
      <c r="AA30" s="3">
        <v>116</v>
      </c>
      <c r="AB30" s="3" t="str">
        <f>IFERROR(MID(VLOOKUP($B30,Seqs!$A:$B,2,0),AC30,1),"")</f>
        <v>T</v>
      </c>
      <c r="AC30" s="9">
        <v>117</v>
      </c>
      <c r="AD30" s="3" t="str">
        <f>IFERROR(MID(VLOOKUP($B30,Seqs!$A:$B,2,0),AE30,1),"")</f>
        <v>G</v>
      </c>
      <c r="AE30" s="3">
        <v>142</v>
      </c>
      <c r="AF30" s="3" t="str">
        <f>IFERROR(MID(VLOOKUP($B30,Seqs!$A:$B,2,0),AG30,1),"")</f>
        <v>C</v>
      </c>
      <c r="AG30" s="3">
        <v>166</v>
      </c>
      <c r="AH30" s="3" t="str">
        <f>IFERROR(MID(VLOOKUP($B30,Seqs!$A:$B,2,0),AI30,1),"")</f>
        <v>F</v>
      </c>
      <c r="AI30" s="3">
        <v>168</v>
      </c>
      <c r="AJ30" s="3" t="str">
        <f>IFERROR(MID(VLOOKUP($B30,Seqs!$A:$B,2,0),AK30,1),"")</f>
        <v>P</v>
      </c>
      <c r="AK30" s="3">
        <v>173</v>
      </c>
      <c r="AL30" s="3" t="str">
        <f>IFERROR(MID(VLOOKUP($B30,Seqs!$A:$B,2,0),AM30,1),"")</f>
        <v>A</v>
      </c>
      <c r="AM30" s="3">
        <v>204</v>
      </c>
      <c r="AN30" s="3" t="str">
        <f>IFERROR(MID(VLOOKUP($B30,Seqs!$A:$B,2,0),AO30,1),"")</f>
        <v>Q</v>
      </c>
      <c r="AO30" s="3">
        <v>226</v>
      </c>
      <c r="AP30" s="3" t="str">
        <f>IFERROR(MID(VLOOKUP($B30,Seqs!$A:$B,2,0),AQ30,1),"")</f>
        <v>C</v>
      </c>
      <c r="AQ30" s="3">
        <v>259</v>
      </c>
      <c r="AR30" s="3" t="str">
        <f>IFERROR(MID(VLOOKUP($B30,Seqs!$A:$B,2,0),AS30,1),"")</f>
        <v>P</v>
      </c>
      <c r="AS30" s="3">
        <v>266</v>
      </c>
      <c r="AT30" s="3" t="str">
        <f>IFERROR(MID(VLOOKUP($B30,Seqs!$A:$B,2,0),AU30,1),"")</f>
        <v>R</v>
      </c>
      <c r="AU30" s="3">
        <v>291</v>
      </c>
      <c r="AV30" s="3" t="str">
        <f>IFERROR(MID(VLOOKUP($B30,Seqs!$A:$B,2,0),AW30,1),"")</f>
        <v>I</v>
      </c>
      <c r="AW30" s="3">
        <v>292</v>
      </c>
      <c r="AX30" s="3" t="str">
        <f>IFERROR(MID(VLOOKUP($B30,Seqs!$A:$B,2,0),AY30,1),"")</f>
        <v>L</v>
      </c>
      <c r="AY30" s="3">
        <v>308</v>
      </c>
      <c r="AZ30" s="77" t="str">
        <f>VLOOKUP(B30,Classification!A:D,2,0)</f>
        <v>A</v>
      </c>
      <c r="BA30" s="94" t="str">
        <f>VLOOKUP(B30,Classification!A:D,4,0)</f>
        <v>Adenosine</v>
      </c>
      <c r="BB30" s="27" t="b">
        <f t="shared" si="1"/>
        <v>1</v>
      </c>
      <c r="BC30" s="23">
        <f t="shared" si="224"/>
        <v>250</v>
      </c>
      <c r="BD30" s="4" t="s">
        <v>23</v>
      </c>
      <c r="BE30" s="3" t="s">
        <v>1438</v>
      </c>
      <c r="BF30" s="119">
        <v>2.71</v>
      </c>
      <c r="BG30" s="49" t="s">
        <v>1383</v>
      </c>
      <c r="BH30" s="49" t="s">
        <v>1383</v>
      </c>
      <c r="BI30" s="1"/>
      <c r="BJ30" s="70" t="s">
        <v>1293</v>
      </c>
      <c r="BK30" s="57" t="s">
        <v>1293</v>
      </c>
      <c r="BL30" s="57" t="s">
        <v>1293</v>
      </c>
      <c r="BM30" s="57" t="s">
        <v>1293</v>
      </c>
      <c r="BN30" s="57" t="s">
        <v>1293</v>
      </c>
      <c r="BO30" s="57" t="s">
        <v>1293</v>
      </c>
      <c r="BP30" s="57" t="s">
        <v>1293</v>
      </c>
      <c r="BQ30" s="57" t="s">
        <v>1293</v>
      </c>
      <c r="BR30" s="57" t="s">
        <v>1293</v>
      </c>
      <c r="BS30" s="57" t="s">
        <v>1293</v>
      </c>
      <c r="BT30" s="57" t="s">
        <v>1293</v>
      </c>
      <c r="BU30" s="57" t="s">
        <v>1293</v>
      </c>
      <c r="BV30" s="70">
        <f t="shared" si="3"/>
        <v>5</v>
      </c>
      <c r="BW30" s="71">
        <f t="shared" si="4"/>
        <v>35</v>
      </c>
      <c r="BX30" s="72">
        <f t="shared" si="5"/>
        <v>39</v>
      </c>
      <c r="BY30" s="71">
        <f t="shared" si="6"/>
        <v>70</v>
      </c>
      <c r="BZ30" s="72">
        <f t="shared" si="7"/>
        <v>73</v>
      </c>
      <c r="CA30" s="71">
        <f t="shared" si="8"/>
        <v>109</v>
      </c>
      <c r="CB30" s="72">
        <f t="shared" si="9"/>
        <v>117</v>
      </c>
      <c r="CC30" s="71">
        <f t="shared" si="10"/>
        <v>166</v>
      </c>
      <c r="CD30" s="72">
        <f t="shared" si="11"/>
        <v>173</v>
      </c>
      <c r="CE30" s="71">
        <f t="shared" si="12"/>
        <v>226</v>
      </c>
      <c r="CF30" s="72">
        <f t="shared" si="13"/>
        <v>266</v>
      </c>
      <c r="CG30" s="71">
        <f t="shared" si="14"/>
        <v>292</v>
      </c>
      <c r="CH30" s="70">
        <f t="shared" si="15"/>
        <v>34</v>
      </c>
      <c r="CI30" s="71">
        <f t="shared" si="16"/>
        <v>38</v>
      </c>
      <c r="CJ30" s="72">
        <f t="shared" si="17"/>
        <v>69</v>
      </c>
      <c r="CK30" s="72">
        <f t="shared" si="18"/>
        <v>72</v>
      </c>
      <c r="CL30" s="72">
        <f t="shared" si="19"/>
        <v>108</v>
      </c>
      <c r="CM30" s="72">
        <f t="shared" si="20"/>
        <v>116</v>
      </c>
      <c r="CN30" s="72">
        <f t="shared" si="21"/>
        <v>142</v>
      </c>
      <c r="CO30" s="72">
        <f t="shared" si="22"/>
        <v>168</v>
      </c>
      <c r="CP30" s="72">
        <f t="shared" si="23"/>
        <v>204</v>
      </c>
      <c r="CQ30" s="72">
        <f t="shared" si="24"/>
        <v>259</v>
      </c>
      <c r="CR30" s="72">
        <f t="shared" si="25"/>
        <v>291</v>
      </c>
      <c r="CS30" s="72">
        <f t="shared" si="26"/>
        <v>308</v>
      </c>
      <c r="CT30" s="23">
        <f t="shared" si="27"/>
        <v>1</v>
      </c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  <c r="ADW30" s="1"/>
      <c r="ADX30" s="1"/>
      <c r="ADY30" s="1"/>
      <c r="ADZ30" s="1"/>
      <c r="AEA30" s="1"/>
      <c r="AEB30" s="1"/>
      <c r="AEC30" s="1"/>
      <c r="AED30" s="1"/>
      <c r="AEE30" s="1"/>
      <c r="AEF30" s="1"/>
      <c r="AEG30" s="1"/>
      <c r="AEH30" s="1"/>
      <c r="AEI30" s="1"/>
      <c r="AEJ30" s="1"/>
      <c r="AEK30" s="1"/>
      <c r="AEL30" s="1"/>
      <c r="AEM30" s="1"/>
      <c r="AEN30" s="1"/>
      <c r="AEO30" s="1"/>
      <c r="AEP30" s="1"/>
      <c r="AEQ30" s="1"/>
      <c r="AER30" s="1"/>
      <c r="AES30" s="1"/>
      <c r="AET30" s="1"/>
      <c r="AEU30" s="1"/>
      <c r="AEV30" s="1"/>
      <c r="AEW30" s="1"/>
      <c r="AEX30" s="1"/>
      <c r="AEY30" s="1"/>
      <c r="AEZ30" s="1"/>
      <c r="AFA30" s="1"/>
      <c r="AFB30" s="1"/>
      <c r="AFC30" s="1"/>
      <c r="AFD30" s="1"/>
      <c r="AFE30" s="1"/>
      <c r="AFF30" s="1"/>
      <c r="AFG30" s="1"/>
      <c r="AFH30" s="1"/>
      <c r="AFI30" s="1"/>
      <c r="AFJ30" s="1"/>
      <c r="AFK30" s="1"/>
      <c r="AFL30" s="1"/>
      <c r="AFM30" s="1"/>
      <c r="AFN30" s="1"/>
      <c r="AFO30" s="1"/>
      <c r="AFP30" s="1"/>
      <c r="AFQ30" s="1"/>
      <c r="AFR30" s="1"/>
      <c r="AFS30" s="1"/>
      <c r="AFT30" s="1"/>
      <c r="AFU30" s="1"/>
      <c r="AFV30" s="1"/>
      <c r="AFW30" s="1"/>
      <c r="AFX30" s="1"/>
      <c r="AFY30" s="1"/>
      <c r="AFZ30" s="1"/>
      <c r="AGA30" s="1"/>
      <c r="AGB30" s="1"/>
      <c r="AGC30" s="1"/>
      <c r="AGD30" s="1"/>
      <c r="AGE30" s="1"/>
      <c r="AGF30" s="1"/>
      <c r="AGG30" s="1"/>
      <c r="AGH30" s="1"/>
      <c r="AGI30" s="1"/>
      <c r="AGJ30" s="1"/>
      <c r="AGK30" s="1"/>
      <c r="AGL30" s="1"/>
      <c r="AGM30" s="1"/>
      <c r="AGN30" s="1"/>
      <c r="AGO30" s="1"/>
      <c r="AGP30" s="1"/>
      <c r="AGQ30" s="1"/>
      <c r="AGR30" s="1"/>
      <c r="AGS30" s="1"/>
      <c r="AGT30" s="1"/>
      <c r="AGU30" s="1"/>
      <c r="AGV30" s="1"/>
      <c r="AGW30" s="1"/>
      <c r="AGX30" s="1"/>
      <c r="AGY30" s="1"/>
      <c r="AGZ30" s="1"/>
      <c r="AHA30" s="1"/>
      <c r="AHB30" s="1"/>
      <c r="AHC30" s="1"/>
      <c r="AHD30" s="1"/>
      <c r="AHE30" s="1"/>
      <c r="AHF30" s="1"/>
      <c r="AHG30" s="1"/>
      <c r="AHH30" s="1"/>
      <c r="AHI30" s="1"/>
      <c r="AHJ30" s="1"/>
      <c r="AHK30" s="1"/>
      <c r="AHL30" s="1"/>
      <c r="AHM30" s="1"/>
      <c r="AHN30" s="1"/>
      <c r="AHO30" s="1"/>
      <c r="AHP30" s="1"/>
      <c r="AHQ30" s="1"/>
      <c r="AHR30" s="1"/>
      <c r="AHS30" s="1"/>
      <c r="AHT30" s="1"/>
      <c r="AHU30" s="1"/>
      <c r="AHV30" s="1"/>
      <c r="AHW30" s="1"/>
      <c r="AHX30" s="1"/>
      <c r="AHY30" s="1"/>
      <c r="AHZ30" s="1"/>
      <c r="AIA30" s="1"/>
      <c r="AIB30" s="1"/>
      <c r="AIC30" s="1"/>
      <c r="AID30" s="1"/>
      <c r="AIE30" s="1"/>
      <c r="AIF30" s="1"/>
      <c r="AIG30" s="1"/>
      <c r="AIH30" s="1"/>
      <c r="AII30" s="1"/>
      <c r="AIJ30" s="1"/>
      <c r="AIK30" s="1"/>
      <c r="AIL30" s="1"/>
      <c r="AIM30" s="1"/>
      <c r="AIN30" s="1"/>
      <c r="AIO30" s="1"/>
      <c r="AIP30" s="1"/>
      <c r="AIQ30" s="1"/>
      <c r="AIR30" s="1"/>
      <c r="AIS30" s="1"/>
      <c r="AIT30" s="1"/>
      <c r="AIU30" s="1"/>
      <c r="AIV30" s="1"/>
      <c r="AIW30" s="1"/>
      <c r="AIX30" s="1"/>
      <c r="AIY30" s="1"/>
      <c r="AIZ30" s="1"/>
      <c r="AJA30" s="1"/>
      <c r="AJB30" s="1"/>
      <c r="AJC30" s="1"/>
      <c r="AJD30" s="1"/>
      <c r="AJE30" s="1"/>
      <c r="AJF30" s="1"/>
      <c r="AJG30" s="1"/>
      <c r="AJH30" s="1"/>
      <c r="AJI30" s="1"/>
      <c r="AJJ30" s="1"/>
      <c r="AJK30" s="1"/>
      <c r="AJL30" s="1"/>
      <c r="AJM30" s="1"/>
      <c r="AJN30" s="1"/>
      <c r="AJO30" s="1"/>
      <c r="AJP30" s="1"/>
      <c r="AJQ30" s="1"/>
      <c r="AJR30" s="1"/>
      <c r="AJS30" s="1"/>
      <c r="AJT30" s="1"/>
      <c r="AJU30" s="1"/>
      <c r="AJV30" s="1"/>
      <c r="AJW30" s="1"/>
      <c r="AJX30" s="1"/>
      <c r="AJY30" s="1"/>
      <c r="AJZ30" s="1"/>
      <c r="AKA30" s="1"/>
      <c r="AKB30" s="1"/>
      <c r="AKC30" s="1"/>
      <c r="AKD30" s="1"/>
      <c r="AKE30" s="1"/>
      <c r="AKF30" s="1"/>
      <c r="AKG30" s="1"/>
      <c r="AKH30" s="1"/>
      <c r="AKI30" s="1"/>
      <c r="AKJ30" s="1"/>
      <c r="AKK30" s="1"/>
      <c r="AKL30" s="1"/>
      <c r="AKM30" s="1"/>
      <c r="AKN30" s="1"/>
      <c r="AKO30" s="1"/>
      <c r="AKP30" s="1"/>
      <c r="AKQ30" s="1"/>
      <c r="AKR30" s="1"/>
      <c r="AKS30" s="1"/>
      <c r="AKT30" s="1"/>
      <c r="AKU30" s="1"/>
      <c r="AKV30" s="1"/>
      <c r="AKW30" s="1"/>
      <c r="AKX30" s="1"/>
      <c r="AKY30" s="1"/>
      <c r="AKZ30" s="1"/>
      <c r="ALA30" s="1"/>
      <c r="ALB30" s="1"/>
      <c r="ALC30" s="1"/>
      <c r="ALD30" s="1"/>
      <c r="ALE30" s="1"/>
      <c r="ALF30" s="1"/>
      <c r="ALG30" s="1"/>
      <c r="ALH30" s="1"/>
      <c r="ALI30" s="1"/>
      <c r="ALJ30" s="1"/>
      <c r="ALK30" s="1"/>
      <c r="ALL30" s="1"/>
      <c r="ALM30" s="1"/>
      <c r="ALN30" s="1"/>
      <c r="ALO30" s="1"/>
      <c r="ALP30" s="1"/>
      <c r="ALQ30" s="1"/>
      <c r="ALR30" s="1"/>
      <c r="ALS30" s="1"/>
      <c r="ALT30" s="1"/>
      <c r="ALU30" s="1"/>
      <c r="ALV30" s="1"/>
      <c r="ALW30" s="1"/>
      <c r="ALX30" s="1"/>
      <c r="ALY30" s="1"/>
      <c r="ALZ30" s="1"/>
      <c r="AMA30" s="1"/>
      <c r="AMB30" s="1"/>
      <c r="AMC30" s="1"/>
      <c r="AMD30" s="1"/>
      <c r="AME30" s="1"/>
      <c r="AMF30" s="1"/>
      <c r="AMG30" s="1"/>
      <c r="AMH30" s="1"/>
      <c r="AMI30" s="1"/>
      <c r="AMJ30" s="1"/>
      <c r="AMK30" s="1"/>
      <c r="AML30" s="1"/>
      <c r="AMM30" s="1"/>
      <c r="AMN30" s="1"/>
      <c r="AMO30" s="1"/>
    </row>
    <row r="31" spans="1:1029" x14ac:dyDescent="0.2">
      <c r="A31" s="3" t="str">
        <f t="shared" si="0"/>
        <v>aa2ar_human_3REY</v>
      </c>
      <c r="B31" s="3" t="s">
        <v>139</v>
      </c>
      <c r="C31" s="3" t="s">
        <v>83</v>
      </c>
      <c r="D31" s="3" t="str">
        <f>IFERROR(MID(VLOOKUP($B31,Seqs!$A:$B,2,0),E31,1),"")</f>
        <v>S</v>
      </c>
      <c r="E31" s="3">
        <v>7</v>
      </c>
      <c r="F31" s="3" t="str">
        <f>IFERROR(MID(VLOOKUP($B31,Seqs!$A:$B,2,0),G31,1),"")</f>
        <v>N</v>
      </c>
      <c r="G31" s="3">
        <v>34</v>
      </c>
      <c r="H31" s="3" t="str">
        <f>IFERROR(MID(VLOOKUP($B31,Seqs!$A:$B,2,0),I31,1),"")</f>
        <v>S</v>
      </c>
      <c r="I31" s="23">
        <v>35</v>
      </c>
      <c r="J31" s="3" t="str">
        <f>IFERROR(MID(VLOOKUP($B31,Seqs!$A:$B,2,0),K31,1),"")</f>
        <v>Q</v>
      </c>
      <c r="K31" s="23">
        <v>38</v>
      </c>
      <c r="L31" s="3" t="str">
        <f>IFERROR(MID(VLOOKUP($B31,Seqs!$A:$B,2,0),M31,1),"")</f>
        <v>N</v>
      </c>
      <c r="M31" s="3">
        <v>39</v>
      </c>
      <c r="N31" s="3" t="str">
        <f>IFERROR(MID(VLOOKUP($B31,Seqs!$A:$B,2,0),O31,1),"")</f>
        <v>G</v>
      </c>
      <c r="O31" s="3">
        <v>69</v>
      </c>
      <c r="P31" s="3" t="str">
        <f>IFERROR(MID(VLOOKUP($B31,Seqs!$A:$B,2,0),Q31,1),"")</f>
        <v>F</v>
      </c>
      <c r="Q31" s="3">
        <v>70</v>
      </c>
      <c r="R31" s="3" t="str">
        <f>IFERROR(MID(VLOOKUP($B31,Seqs!$A:$B,2,0),S31,1),"")</f>
        <v>A</v>
      </c>
      <c r="S31" s="3">
        <v>72</v>
      </c>
      <c r="T31" s="3" t="str">
        <f>IFERROR(MID(VLOOKUP($B31,Seqs!$A:$B,2,0),U31,1),"")</f>
        <v>A</v>
      </c>
      <c r="U31" s="3">
        <v>73</v>
      </c>
      <c r="V31" s="3" t="str">
        <f>IFERROR(MID(VLOOKUP($B31,Seqs!$A:$B,2,0),W31,1),"")</f>
        <v>I</v>
      </c>
      <c r="W31" s="3">
        <v>108</v>
      </c>
      <c r="X31" s="3" t="str">
        <f>IFERROR(MID(VLOOKUP($B31,Seqs!$A:$B,2,0),Y31,1),"")</f>
        <v>P</v>
      </c>
      <c r="Y31" s="3">
        <v>109</v>
      </c>
      <c r="Z31" s="3" t="str">
        <f>IFERROR(MID(VLOOKUP($B31,Seqs!$A:$B,2,0),AA31,1),"")</f>
        <v>V</v>
      </c>
      <c r="AA31" s="3">
        <v>116</v>
      </c>
      <c r="AB31" s="3" t="str">
        <f>IFERROR(MID(VLOOKUP($B31,Seqs!$A:$B,2,0),AC31,1),"")</f>
        <v>T</v>
      </c>
      <c r="AC31" s="9">
        <v>117</v>
      </c>
      <c r="AD31" s="3" t="str">
        <f>IFERROR(MID(VLOOKUP($B31,Seqs!$A:$B,2,0),AE31,1),"")</f>
        <v>G</v>
      </c>
      <c r="AE31" s="3">
        <v>142</v>
      </c>
      <c r="AF31" s="3" t="str">
        <f>IFERROR(MID(VLOOKUP($B31,Seqs!$A:$B,2,0),AG31,1),"")</f>
        <v>C</v>
      </c>
      <c r="AG31" s="3">
        <v>166</v>
      </c>
      <c r="AH31" s="3" t="str">
        <f>IFERROR(MID(VLOOKUP($B31,Seqs!$A:$B,2,0),AI31,1),"")</f>
        <v>F</v>
      </c>
      <c r="AI31" s="3">
        <v>168</v>
      </c>
      <c r="AJ31" s="3" t="str">
        <f>IFERROR(MID(VLOOKUP($B31,Seqs!$A:$B,2,0),AK31,1),"")</f>
        <v>P</v>
      </c>
      <c r="AK31" s="3">
        <v>173</v>
      </c>
      <c r="AL31" s="3" t="str">
        <f>IFERROR(MID(VLOOKUP($B31,Seqs!$A:$B,2,0),AM31,1),"")</f>
        <v>Q</v>
      </c>
      <c r="AM31" s="3">
        <v>210</v>
      </c>
      <c r="AN31" s="3" t="str">
        <f>IFERROR(MID(VLOOKUP($B31,Seqs!$A:$B,2,0),AO31,1),"")</f>
        <v>E</v>
      </c>
      <c r="AO31" s="3">
        <v>219</v>
      </c>
      <c r="AP31" s="3" t="str">
        <f>IFERROR(MID(VLOOKUP($B31,Seqs!$A:$B,2,0),AQ31,1),"")</f>
        <v>C</v>
      </c>
      <c r="AQ31" s="3">
        <v>259</v>
      </c>
      <c r="AR31" s="3" t="str">
        <f>IFERROR(MID(VLOOKUP($B31,Seqs!$A:$B,2,0),AS31,1),"")</f>
        <v>P</v>
      </c>
      <c r="AS31" s="3">
        <v>266</v>
      </c>
      <c r="AT31" s="3" t="str">
        <f>IFERROR(MID(VLOOKUP($B31,Seqs!$A:$B,2,0),AU31,1),"")</f>
        <v>R</v>
      </c>
      <c r="AU31" s="3">
        <v>291</v>
      </c>
      <c r="AV31" s="3" t="str">
        <f>IFERROR(MID(VLOOKUP($B31,Seqs!$A:$B,2,0),AW31,1),"")</f>
        <v>I</v>
      </c>
      <c r="AW31" s="3">
        <v>292</v>
      </c>
      <c r="AX31" s="3" t="str">
        <f>IFERROR(MID(VLOOKUP($B31,Seqs!$A:$B,2,0),AY31,1),"")</f>
        <v>S</v>
      </c>
      <c r="AY31" s="3">
        <v>305</v>
      </c>
      <c r="AZ31" s="77" t="str">
        <f>VLOOKUP(B31,Classification!A:D,2,0)</f>
        <v>A</v>
      </c>
      <c r="BA31" s="94" t="str">
        <f>VLOOKUP(B31,Classification!A:D,4,0)</f>
        <v>Adenosine</v>
      </c>
      <c r="BB31" s="27" t="b">
        <f t="shared" si="1"/>
        <v>1</v>
      </c>
      <c r="BC31" s="23">
        <f t="shared" si="224"/>
        <v>258</v>
      </c>
      <c r="BD31" s="4" t="s">
        <v>23</v>
      </c>
      <c r="BE31" s="3" t="s">
        <v>1438</v>
      </c>
      <c r="BF31" s="119">
        <v>3.31</v>
      </c>
      <c r="BG31" s="49" t="s">
        <v>1383</v>
      </c>
      <c r="BH31" s="49" t="s">
        <v>1383</v>
      </c>
      <c r="BI31" s="1"/>
      <c r="BJ31" s="70" t="s">
        <v>1293</v>
      </c>
      <c r="BK31" s="57" t="s">
        <v>1293</v>
      </c>
      <c r="BL31" s="57" t="s">
        <v>1293</v>
      </c>
      <c r="BM31" s="57" t="s">
        <v>1293</v>
      </c>
      <c r="BN31" s="57" t="s">
        <v>1293</v>
      </c>
      <c r="BO31" s="57" t="s">
        <v>1293</v>
      </c>
      <c r="BP31" s="57" t="s">
        <v>1293</v>
      </c>
      <c r="BQ31" s="57" t="s">
        <v>1293</v>
      </c>
      <c r="BR31" s="57" t="s">
        <v>1293</v>
      </c>
      <c r="BS31" s="57" t="s">
        <v>1293</v>
      </c>
      <c r="BT31" s="57" t="s">
        <v>1293</v>
      </c>
      <c r="BU31" s="57" t="s">
        <v>1293</v>
      </c>
      <c r="BV31" s="70">
        <f t="shared" si="3"/>
        <v>7</v>
      </c>
      <c r="BW31" s="71">
        <f t="shared" si="4"/>
        <v>35</v>
      </c>
      <c r="BX31" s="72">
        <f t="shared" si="5"/>
        <v>39</v>
      </c>
      <c r="BY31" s="71">
        <f t="shared" si="6"/>
        <v>70</v>
      </c>
      <c r="BZ31" s="72">
        <f t="shared" si="7"/>
        <v>73</v>
      </c>
      <c r="CA31" s="71">
        <f t="shared" si="8"/>
        <v>109</v>
      </c>
      <c r="CB31" s="72">
        <f t="shared" si="9"/>
        <v>117</v>
      </c>
      <c r="CC31" s="71">
        <f t="shared" si="10"/>
        <v>166</v>
      </c>
      <c r="CD31" s="72">
        <f t="shared" si="11"/>
        <v>173</v>
      </c>
      <c r="CE31" s="71">
        <f t="shared" si="12"/>
        <v>219</v>
      </c>
      <c r="CF31" s="72">
        <f t="shared" si="13"/>
        <v>266</v>
      </c>
      <c r="CG31" s="71">
        <f t="shared" si="14"/>
        <v>292</v>
      </c>
      <c r="CH31" s="70">
        <f t="shared" si="15"/>
        <v>34</v>
      </c>
      <c r="CI31" s="71">
        <f t="shared" si="16"/>
        <v>38</v>
      </c>
      <c r="CJ31" s="72">
        <f t="shared" si="17"/>
        <v>69</v>
      </c>
      <c r="CK31" s="72">
        <f t="shared" si="18"/>
        <v>72</v>
      </c>
      <c r="CL31" s="72">
        <f t="shared" si="19"/>
        <v>108</v>
      </c>
      <c r="CM31" s="72">
        <f t="shared" si="20"/>
        <v>116</v>
      </c>
      <c r="CN31" s="72">
        <f t="shared" si="21"/>
        <v>142</v>
      </c>
      <c r="CO31" s="72">
        <f t="shared" si="22"/>
        <v>168</v>
      </c>
      <c r="CP31" s="72">
        <f t="shared" si="23"/>
        <v>210</v>
      </c>
      <c r="CQ31" s="72">
        <f t="shared" si="24"/>
        <v>259</v>
      </c>
      <c r="CR31" s="72">
        <f t="shared" si="25"/>
        <v>291</v>
      </c>
      <c r="CS31" s="72">
        <f t="shared" si="26"/>
        <v>305</v>
      </c>
      <c r="CT31" s="23">
        <f t="shared" si="27"/>
        <v>1</v>
      </c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1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1"/>
      <c r="AFW31" s="1"/>
      <c r="AFX31" s="1"/>
      <c r="AFY31" s="1"/>
      <c r="AFZ31" s="1"/>
      <c r="AGA31" s="1"/>
      <c r="AGB31" s="1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1"/>
      <c r="AHD31" s="1"/>
      <c r="AHE31" s="1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1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1"/>
      <c r="AIQ31" s="1"/>
      <c r="AIR31" s="1"/>
      <c r="AIS31" s="1"/>
      <c r="AIT31" s="1"/>
      <c r="AIU31" s="1"/>
      <c r="AIV31" s="1"/>
      <c r="AIW31" s="1"/>
      <c r="AIX31" s="1"/>
      <c r="AIY31" s="1"/>
      <c r="AIZ31" s="1"/>
      <c r="AJA31" s="1"/>
      <c r="AJB31" s="1"/>
      <c r="AJC31" s="1"/>
      <c r="AJD31" s="1"/>
      <c r="AJE31" s="1"/>
      <c r="AJF31" s="1"/>
      <c r="AJG31" s="1"/>
      <c r="AJH31" s="1"/>
      <c r="AJI31" s="1"/>
      <c r="AJJ31" s="1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1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1"/>
      <c r="AKR31" s="1"/>
      <c r="AKS31" s="1"/>
      <c r="AKT31" s="1"/>
      <c r="AKU31" s="1"/>
      <c r="AKV31" s="1"/>
      <c r="AKW31" s="1"/>
      <c r="AKX31" s="1"/>
      <c r="AKY31" s="1"/>
      <c r="AKZ31" s="1"/>
      <c r="ALA31" s="1"/>
      <c r="ALB31" s="1"/>
      <c r="ALC31" s="1"/>
      <c r="ALD31" s="1"/>
      <c r="ALE31" s="1"/>
      <c r="ALF31" s="1"/>
      <c r="ALG31" s="1"/>
      <c r="ALH31" s="1"/>
      <c r="ALI31" s="1"/>
      <c r="ALJ31" s="1"/>
      <c r="ALK31" s="1"/>
      <c r="ALL31" s="1"/>
      <c r="ALM31" s="1"/>
      <c r="ALN31" s="1"/>
      <c r="ALO31" s="1"/>
      <c r="ALP31" s="1"/>
      <c r="ALQ31" s="1"/>
      <c r="ALR31" s="1"/>
      <c r="ALS31" s="1"/>
      <c r="ALT31" s="1"/>
      <c r="ALU31" s="1"/>
      <c r="ALV31" s="1"/>
      <c r="ALW31" s="1"/>
      <c r="ALX31" s="1"/>
      <c r="ALY31" s="1"/>
      <c r="ALZ31" s="1"/>
      <c r="AMA31" s="1"/>
      <c r="AMB31" s="1"/>
      <c r="AMC31" s="1"/>
      <c r="AMD31" s="1"/>
      <c r="AME31" s="1"/>
      <c r="AMF31" s="1"/>
      <c r="AMG31" s="1"/>
      <c r="AMH31" s="1"/>
      <c r="AMI31" s="1"/>
      <c r="AMJ31" s="1"/>
      <c r="AMK31" s="1"/>
      <c r="AML31" s="1"/>
      <c r="AMM31" s="1"/>
      <c r="AMN31" s="1"/>
      <c r="AMO31" s="1"/>
    </row>
    <row r="32" spans="1:1029" x14ac:dyDescent="0.2">
      <c r="A32" s="3" t="str">
        <f t="shared" si="0"/>
        <v>aa2ar_human_3RFM</v>
      </c>
      <c r="B32" s="3" t="s">
        <v>139</v>
      </c>
      <c r="C32" s="3" t="s">
        <v>1035</v>
      </c>
      <c r="D32" s="3" t="str">
        <f>IFERROR(MID(VLOOKUP($B32,Seqs!$A:$B,2,0),E32,1),"")</f>
        <v>S</v>
      </c>
      <c r="E32" s="3">
        <v>7</v>
      </c>
      <c r="F32" s="3" t="str">
        <f>IFERROR(MID(VLOOKUP($B32,Seqs!$A:$B,2,0),G32,1),"")</f>
        <v>N</v>
      </c>
      <c r="G32" s="3">
        <v>34</v>
      </c>
      <c r="H32" s="3" t="str">
        <f>IFERROR(MID(VLOOKUP($B32,Seqs!$A:$B,2,0),I32,1),"")</f>
        <v>S</v>
      </c>
      <c r="I32" s="23">
        <v>35</v>
      </c>
      <c r="J32" s="3" t="str">
        <f>IFERROR(MID(VLOOKUP($B32,Seqs!$A:$B,2,0),K32,1),"")</f>
        <v>Q</v>
      </c>
      <c r="K32" s="23">
        <v>38</v>
      </c>
      <c r="L32" s="3" t="str">
        <f>IFERROR(MID(VLOOKUP($B32,Seqs!$A:$B,2,0),M32,1),"")</f>
        <v>N</v>
      </c>
      <c r="M32" s="3">
        <v>39</v>
      </c>
      <c r="N32" s="3" t="str">
        <f>IFERROR(MID(VLOOKUP($B32,Seqs!$A:$B,2,0),O32,1),"")</f>
        <v>G</v>
      </c>
      <c r="O32" s="3">
        <v>69</v>
      </c>
      <c r="P32" s="3" t="str">
        <f>IFERROR(MID(VLOOKUP($B32,Seqs!$A:$B,2,0),Q32,1),"")</f>
        <v>F</v>
      </c>
      <c r="Q32" s="3">
        <v>70</v>
      </c>
      <c r="R32" s="3" t="str">
        <f>IFERROR(MID(VLOOKUP($B32,Seqs!$A:$B,2,0),S32,1),"")</f>
        <v>A</v>
      </c>
      <c r="S32" s="3">
        <v>72</v>
      </c>
      <c r="T32" s="3" t="str">
        <f>IFERROR(MID(VLOOKUP($B32,Seqs!$A:$B,2,0),U32,1),"")</f>
        <v>A</v>
      </c>
      <c r="U32" s="3">
        <v>73</v>
      </c>
      <c r="V32" s="3" t="str">
        <f>IFERROR(MID(VLOOKUP($B32,Seqs!$A:$B,2,0),W32,1),"")</f>
        <v>I</v>
      </c>
      <c r="W32" s="3">
        <v>108</v>
      </c>
      <c r="X32" s="3" t="str">
        <f>IFERROR(MID(VLOOKUP($B32,Seqs!$A:$B,2,0),Y32,1),"")</f>
        <v>P</v>
      </c>
      <c r="Y32" s="3">
        <v>109</v>
      </c>
      <c r="Z32" s="3" t="str">
        <f>IFERROR(MID(VLOOKUP($B32,Seqs!$A:$B,2,0),AA32,1),"")</f>
        <v>V</v>
      </c>
      <c r="AA32" s="3">
        <v>116</v>
      </c>
      <c r="AB32" s="3" t="str">
        <f>IFERROR(MID(VLOOKUP($B32,Seqs!$A:$B,2,0),AC32,1),"")</f>
        <v>T</v>
      </c>
      <c r="AC32" s="9">
        <v>117</v>
      </c>
      <c r="AD32" s="3" t="str">
        <f>IFERROR(MID(VLOOKUP($B32,Seqs!$A:$B,2,0),AE32,1),"")</f>
        <v>G</v>
      </c>
      <c r="AE32" s="3">
        <v>142</v>
      </c>
      <c r="AF32" s="3" t="str">
        <f>IFERROR(MID(VLOOKUP($B32,Seqs!$A:$B,2,0),AG32,1),"")</f>
        <v>C</v>
      </c>
      <c r="AG32" s="3">
        <v>166</v>
      </c>
      <c r="AH32" s="3" t="str">
        <f>IFERROR(MID(VLOOKUP($B32,Seqs!$A:$B,2,0),AI32,1),"")</f>
        <v>F</v>
      </c>
      <c r="AI32" s="3">
        <v>168</v>
      </c>
      <c r="AJ32" s="3" t="str">
        <f>IFERROR(MID(VLOOKUP($B32,Seqs!$A:$B,2,0),AK32,1),"")</f>
        <v>P</v>
      </c>
      <c r="AK32" s="3">
        <v>173</v>
      </c>
      <c r="AL32" s="3" t="str">
        <f>IFERROR(MID(VLOOKUP($B32,Seqs!$A:$B,2,0),AM32,1),"")</f>
        <v>S</v>
      </c>
      <c r="AM32" s="3">
        <v>213</v>
      </c>
      <c r="AN32" s="3" t="str">
        <f>IFERROR(MID(VLOOKUP($B32,Seqs!$A:$B,2,0),AO32,1),"")</f>
        <v>E</v>
      </c>
      <c r="AO32" s="3">
        <v>219</v>
      </c>
      <c r="AP32" s="3" t="str">
        <f>IFERROR(MID(VLOOKUP($B32,Seqs!$A:$B,2,0),AQ32,1),"")</f>
        <v>C</v>
      </c>
      <c r="AQ32" s="3">
        <v>259</v>
      </c>
      <c r="AR32" s="3" t="str">
        <f>IFERROR(MID(VLOOKUP($B32,Seqs!$A:$B,2,0),AS32,1),"")</f>
        <v>P</v>
      </c>
      <c r="AS32" s="3">
        <v>266</v>
      </c>
      <c r="AT32" s="3" t="str">
        <f>IFERROR(MID(VLOOKUP($B32,Seqs!$A:$B,2,0),AU32,1),"")</f>
        <v>R</v>
      </c>
      <c r="AU32" s="3">
        <v>291</v>
      </c>
      <c r="AV32" s="3" t="str">
        <f>IFERROR(MID(VLOOKUP($B32,Seqs!$A:$B,2,0),AW32,1),"")</f>
        <v>I</v>
      </c>
      <c r="AW32" s="3">
        <v>292</v>
      </c>
      <c r="AX32" s="3" t="str">
        <f>IFERROR(MID(VLOOKUP($B32,Seqs!$A:$B,2,0),AY32,1),"")</f>
        <v>S</v>
      </c>
      <c r="AY32" s="3">
        <v>305</v>
      </c>
      <c r="AZ32" s="77" t="str">
        <f>VLOOKUP(B32,Classification!A:D,2,0)</f>
        <v>A</v>
      </c>
      <c r="BA32" s="94" t="str">
        <f>VLOOKUP(B32,Classification!A:D,4,0)</f>
        <v>Adenosine</v>
      </c>
      <c r="BB32" s="27" t="b">
        <f t="shared" si="1"/>
        <v>1</v>
      </c>
      <c r="BC32" s="23">
        <f t="shared" si="224"/>
        <v>261</v>
      </c>
      <c r="BD32" s="4" t="s">
        <v>23</v>
      </c>
      <c r="BE32" s="3" t="s">
        <v>1380</v>
      </c>
      <c r="BF32" s="119">
        <v>3.6</v>
      </c>
      <c r="BG32" s="49" t="s">
        <v>1383</v>
      </c>
      <c r="BH32" s="49" t="s">
        <v>1383</v>
      </c>
      <c r="BI32" s="1"/>
      <c r="BJ32" s="70" t="s">
        <v>1293</v>
      </c>
      <c r="BK32" s="57" t="s">
        <v>1293</v>
      </c>
      <c r="BL32" s="57" t="s">
        <v>1293</v>
      </c>
      <c r="BM32" s="57" t="s">
        <v>1293</v>
      </c>
      <c r="BN32" s="57" t="s">
        <v>1293</v>
      </c>
      <c r="BO32" s="57" t="s">
        <v>1293</v>
      </c>
      <c r="BP32" s="57" t="s">
        <v>1293</v>
      </c>
      <c r="BQ32" s="57" t="s">
        <v>1293</v>
      </c>
      <c r="BR32" s="57" t="s">
        <v>1293</v>
      </c>
      <c r="BS32" s="57" t="s">
        <v>1293</v>
      </c>
      <c r="BT32" s="57" t="s">
        <v>1293</v>
      </c>
      <c r="BU32" s="57" t="s">
        <v>1293</v>
      </c>
      <c r="BV32" s="70">
        <f t="shared" si="3"/>
        <v>7</v>
      </c>
      <c r="BW32" s="71">
        <f t="shared" si="4"/>
        <v>35</v>
      </c>
      <c r="BX32" s="72">
        <f t="shared" si="5"/>
        <v>39</v>
      </c>
      <c r="BY32" s="71">
        <f t="shared" si="6"/>
        <v>70</v>
      </c>
      <c r="BZ32" s="72">
        <f t="shared" si="7"/>
        <v>73</v>
      </c>
      <c r="CA32" s="71">
        <f t="shared" si="8"/>
        <v>109</v>
      </c>
      <c r="CB32" s="72">
        <f t="shared" si="9"/>
        <v>117</v>
      </c>
      <c r="CC32" s="71">
        <f t="shared" si="10"/>
        <v>166</v>
      </c>
      <c r="CD32" s="72">
        <f t="shared" si="11"/>
        <v>173</v>
      </c>
      <c r="CE32" s="71">
        <f t="shared" si="12"/>
        <v>219</v>
      </c>
      <c r="CF32" s="72">
        <f t="shared" si="13"/>
        <v>266</v>
      </c>
      <c r="CG32" s="71">
        <f t="shared" si="14"/>
        <v>292</v>
      </c>
      <c r="CH32" s="70">
        <f t="shared" si="15"/>
        <v>34</v>
      </c>
      <c r="CI32" s="71">
        <f t="shared" si="16"/>
        <v>38</v>
      </c>
      <c r="CJ32" s="72">
        <f t="shared" si="17"/>
        <v>69</v>
      </c>
      <c r="CK32" s="72">
        <f t="shared" si="18"/>
        <v>72</v>
      </c>
      <c r="CL32" s="72">
        <f t="shared" si="19"/>
        <v>108</v>
      </c>
      <c r="CM32" s="72">
        <f t="shared" si="20"/>
        <v>116</v>
      </c>
      <c r="CN32" s="72">
        <f t="shared" si="21"/>
        <v>142</v>
      </c>
      <c r="CO32" s="72">
        <f t="shared" si="22"/>
        <v>168</v>
      </c>
      <c r="CP32" s="72">
        <f t="shared" si="23"/>
        <v>213</v>
      </c>
      <c r="CQ32" s="72">
        <f t="shared" si="24"/>
        <v>259</v>
      </c>
      <c r="CR32" s="72">
        <f t="shared" si="25"/>
        <v>291</v>
      </c>
      <c r="CS32" s="72">
        <f t="shared" si="26"/>
        <v>305</v>
      </c>
      <c r="CT32" s="23">
        <f t="shared" si="27"/>
        <v>1</v>
      </c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  <c r="ADW32" s="1"/>
      <c r="ADX32" s="1"/>
      <c r="ADY32" s="1"/>
      <c r="ADZ32" s="1"/>
      <c r="AEA32" s="1"/>
      <c r="AEB32" s="1"/>
      <c r="AEC32" s="1"/>
      <c r="AED32" s="1"/>
      <c r="AEE32" s="1"/>
      <c r="AEF32" s="1"/>
      <c r="AEG32" s="1"/>
      <c r="AEH32" s="1"/>
      <c r="AEI32" s="1"/>
      <c r="AEJ32" s="1"/>
      <c r="AEK32" s="1"/>
      <c r="AEL32" s="1"/>
      <c r="AEM32" s="1"/>
      <c r="AEN32" s="1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1"/>
      <c r="AFB32" s="1"/>
      <c r="AFC32" s="1"/>
      <c r="AFD32" s="1"/>
      <c r="AFE32" s="1"/>
      <c r="AFF32" s="1"/>
      <c r="AFG32" s="1"/>
      <c r="AFH32" s="1"/>
      <c r="AFI32" s="1"/>
      <c r="AFJ32" s="1"/>
      <c r="AFK32" s="1"/>
      <c r="AFL32" s="1"/>
      <c r="AFM32" s="1"/>
      <c r="AFN32" s="1"/>
      <c r="AFO32" s="1"/>
      <c r="AFP32" s="1"/>
      <c r="AFQ32" s="1"/>
      <c r="AFR32" s="1"/>
      <c r="AFS32" s="1"/>
      <c r="AFT32" s="1"/>
      <c r="AFU32" s="1"/>
      <c r="AFV32" s="1"/>
      <c r="AFW32" s="1"/>
      <c r="AFX32" s="1"/>
      <c r="AFY32" s="1"/>
      <c r="AFZ32" s="1"/>
      <c r="AGA32" s="1"/>
      <c r="AGB32" s="1"/>
      <c r="AGC32" s="1"/>
      <c r="AGD32" s="1"/>
      <c r="AGE32" s="1"/>
      <c r="AGF32" s="1"/>
      <c r="AGG32" s="1"/>
      <c r="AGH32" s="1"/>
      <c r="AGI32" s="1"/>
      <c r="AGJ32" s="1"/>
      <c r="AGK32" s="1"/>
      <c r="AGL32" s="1"/>
      <c r="AGM32" s="1"/>
      <c r="AGN32" s="1"/>
      <c r="AGO32" s="1"/>
      <c r="AGP32" s="1"/>
      <c r="AGQ32" s="1"/>
      <c r="AGR32" s="1"/>
      <c r="AGS32" s="1"/>
      <c r="AGT32" s="1"/>
      <c r="AGU32" s="1"/>
      <c r="AGV32" s="1"/>
      <c r="AGW32" s="1"/>
      <c r="AGX32" s="1"/>
      <c r="AGY32" s="1"/>
      <c r="AGZ32" s="1"/>
      <c r="AHA32" s="1"/>
      <c r="AHB32" s="1"/>
      <c r="AHC32" s="1"/>
      <c r="AHD32" s="1"/>
      <c r="AHE32" s="1"/>
      <c r="AHF32" s="1"/>
      <c r="AHG32" s="1"/>
      <c r="AHH32" s="1"/>
      <c r="AHI32" s="1"/>
      <c r="AHJ32" s="1"/>
      <c r="AHK32" s="1"/>
      <c r="AHL32" s="1"/>
      <c r="AHM32" s="1"/>
      <c r="AHN32" s="1"/>
      <c r="AHO32" s="1"/>
      <c r="AHP32" s="1"/>
      <c r="AHQ32" s="1"/>
      <c r="AHR32" s="1"/>
      <c r="AHS32" s="1"/>
      <c r="AHT32" s="1"/>
      <c r="AHU32" s="1"/>
      <c r="AHV32" s="1"/>
      <c r="AHW32" s="1"/>
      <c r="AHX32" s="1"/>
      <c r="AHY32" s="1"/>
      <c r="AHZ32" s="1"/>
      <c r="AIA32" s="1"/>
      <c r="AIB32" s="1"/>
      <c r="AIC32" s="1"/>
      <c r="AID32" s="1"/>
      <c r="AIE32" s="1"/>
      <c r="AIF32" s="1"/>
      <c r="AIG32" s="1"/>
      <c r="AIH32" s="1"/>
      <c r="AII32" s="1"/>
      <c r="AIJ32" s="1"/>
      <c r="AIK32" s="1"/>
      <c r="AIL32" s="1"/>
      <c r="AIM32" s="1"/>
      <c r="AIN32" s="1"/>
      <c r="AIO32" s="1"/>
      <c r="AIP32" s="1"/>
      <c r="AIQ32" s="1"/>
      <c r="AIR32" s="1"/>
      <c r="AIS32" s="1"/>
      <c r="AIT32" s="1"/>
      <c r="AIU32" s="1"/>
      <c r="AIV32" s="1"/>
      <c r="AIW32" s="1"/>
      <c r="AIX32" s="1"/>
      <c r="AIY32" s="1"/>
      <c r="AIZ32" s="1"/>
      <c r="AJA32" s="1"/>
      <c r="AJB32" s="1"/>
      <c r="AJC32" s="1"/>
      <c r="AJD32" s="1"/>
      <c r="AJE32" s="1"/>
      <c r="AJF32" s="1"/>
      <c r="AJG32" s="1"/>
      <c r="AJH32" s="1"/>
      <c r="AJI32" s="1"/>
      <c r="AJJ32" s="1"/>
      <c r="AJK32" s="1"/>
      <c r="AJL32" s="1"/>
      <c r="AJM32" s="1"/>
      <c r="AJN32" s="1"/>
      <c r="AJO32" s="1"/>
      <c r="AJP32" s="1"/>
      <c r="AJQ32" s="1"/>
      <c r="AJR32" s="1"/>
      <c r="AJS32" s="1"/>
      <c r="AJT32" s="1"/>
      <c r="AJU32" s="1"/>
      <c r="AJV32" s="1"/>
      <c r="AJW32" s="1"/>
      <c r="AJX32" s="1"/>
      <c r="AJY32" s="1"/>
      <c r="AJZ32" s="1"/>
      <c r="AKA32" s="1"/>
      <c r="AKB32" s="1"/>
      <c r="AKC32" s="1"/>
      <c r="AKD32" s="1"/>
      <c r="AKE32" s="1"/>
      <c r="AKF32" s="1"/>
      <c r="AKG32" s="1"/>
      <c r="AKH32" s="1"/>
      <c r="AKI32" s="1"/>
      <c r="AKJ32" s="1"/>
      <c r="AKK32" s="1"/>
      <c r="AKL32" s="1"/>
      <c r="AKM32" s="1"/>
      <c r="AKN32" s="1"/>
      <c r="AKO32" s="1"/>
      <c r="AKP32" s="1"/>
      <c r="AKQ32" s="1"/>
      <c r="AKR32" s="1"/>
      <c r="AKS32" s="1"/>
      <c r="AKT32" s="1"/>
      <c r="AKU32" s="1"/>
      <c r="AKV32" s="1"/>
      <c r="AKW32" s="1"/>
      <c r="AKX32" s="1"/>
      <c r="AKY32" s="1"/>
      <c r="AKZ32" s="1"/>
      <c r="ALA32" s="1"/>
      <c r="ALB32" s="1"/>
      <c r="ALC32" s="1"/>
      <c r="ALD32" s="1"/>
      <c r="ALE32" s="1"/>
      <c r="ALF32" s="1"/>
      <c r="ALG32" s="1"/>
      <c r="ALH32" s="1"/>
      <c r="ALI32" s="1"/>
      <c r="ALJ32" s="1"/>
      <c r="ALK32" s="1"/>
      <c r="ALL32" s="1"/>
      <c r="ALM32" s="1"/>
      <c r="ALN32" s="1"/>
      <c r="ALO32" s="1"/>
      <c r="ALP32" s="1"/>
      <c r="ALQ32" s="1"/>
      <c r="ALR32" s="1"/>
      <c r="ALS32" s="1"/>
      <c r="ALT32" s="1"/>
      <c r="ALU32" s="1"/>
      <c r="ALV32" s="1"/>
      <c r="ALW32" s="1"/>
      <c r="ALX32" s="1"/>
      <c r="ALY32" s="1"/>
      <c r="ALZ32" s="1"/>
      <c r="AMA32" s="1"/>
      <c r="AMB32" s="1"/>
      <c r="AMC32" s="1"/>
      <c r="AMD32" s="1"/>
      <c r="AME32" s="1"/>
      <c r="AMF32" s="1"/>
      <c r="AMG32" s="1"/>
      <c r="AMH32" s="1"/>
      <c r="AMI32" s="1"/>
      <c r="AMJ32" s="1"/>
      <c r="AMK32" s="1"/>
      <c r="AML32" s="1"/>
      <c r="AMM32" s="1"/>
      <c r="AMN32" s="1"/>
      <c r="AMO32" s="1"/>
    </row>
    <row r="33" spans="1:1030" x14ac:dyDescent="0.2">
      <c r="A33" s="3" t="str">
        <f t="shared" si="0"/>
        <v>aa2ar_human_3UZA</v>
      </c>
      <c r="B33" s="3" t="s">
        <v>139</v>
      </c>
      <c r="C33" s="3" t="s">
        <v>1036</v>
      </c>
      <c r="D33" s="3" t="str">
        <f>IFERROR(MID(VLOOKUP($B33,Seqs!$A:$B,2,0),E33,1),"")</f>
        <v>S</v>
      </c>
      <c r="E33" s="3">
        <v>7</v>
      </c>
      <c r="F33" s="3" t="str">
        <f>IFERROR(MID(VLOOKUP($B33,Seqs!$A:$B,2,0),G33,1),"")</f>
        <v>N</v>
      </c>
      <c r="G33" s="3">
        <v>34</v>
      </c>
      <c r="H33" s="3" t="str">
        <f>IFERROR(MID(VLOOKUP($B33,Seqs!$A:$B,2,0),I33,1),"")</f>
        <v>S</v>
      </c>
      <c r="I33" s="23">
        <v>35</v>
      </c>
      <c r="J33" s="3" t="str">
        <f>IFERROR(MID(VLOOKUP($B33,Seqs!$A:$B,2,0),K33,1),"")</f>
        <v>Q</v>
      </c>
      <c r="K33" s="23">
        <v>38</v>
      </c>
      <c r="L33" s="3" t="str">
        <f>IFERROR(MID(VLOOKUP($B33,Seqs!$A:$B,2,0),M33,1),"")</f>
        <v>N</v>
      </c>
      <c r="M33" s="3">
        <v>39</v>
      </c>
      <c r="N33" s="3" t="str">
        <f>IFERROR(MID(VLOOKUP($B33,Seqs!$A:$B,2,0),O33,1),"")</f>
        <v>G</v>
      </c>
      <c r="O33" s="3">
        <v>69</v>
      </c>
      <c r="P33" s="3" t="str">
        <f>IFERROR(MID(VLOOKUP($B33,Seqs!$A:$B,2,0),Q33,1),"")</f>
        <v>F</v>
      </c>
      <c r="Q33" s="3">
        <v>70</v>
      </c>
      <c r="R33" s="3" t="str">
        <f>IFERROR(MID(VLOOKUP($B33,Seqs!$A:$B,2,0),S33,1),"")</f>
        <v>A</v>
      </c>
      <c r="S33" s="3">
        <v>72</v>
      </c>
      <c r="T33" s="3" t="str">
        <f>IFERROR(MID(VLOOKUP($B33,Seqs!$A:$B,2,0),U33,1),"")</f>
        <v>A</v>
      </c>
      <c r="U33" s="3">
        <v>73</v>
      </c>
      <c r="V33" s="3" t="str">
        <f>IFERROR(MID(VLOOKUP($B33,Seqs!$A:$B,2,0),W33,1),"")</f>
        <v>I</v>
      </c>
      <c r="W33" s="3">
        <v>108</v>
      </c>
      <c r="X33" s="3" t="str">
        <f>IFERROR(MID(VLOOKUP($B33,Seqs!$A:$B,2,0),Y33,1),"")</f>
        <v>P</v>
      </c>
      <c r="Y33" s="3">
        <v>109</v>
      </c>
      <c r="Z33" s="3" t="str">
        <f>IFERROR(MID(VLOOKUP($B33,Seqs!$A:$B,2,0),AA33,1),"")</f>
        <v>V</v>
      </c>
      <c r="AA33" s="3">
        <v>116</v>
      </c>
      <c r="AB33" s="3" t="str">
        <f>IFERROR(MID(VLOOKUP($B33,Seqs!$A:$B,2,0),AC33,1),"")</f>
        <v>T</v>
      </c>
      <c r="AC33" s="9">
        <v>117</v>
      </c>
      <c r="AD33" s="3" t="str">
        <f>IFERROR(MID(VLOOKUP($B33,Seqs!$A:$B,2,0),AE33,1),"")</f>
        <v>G</v>
      </c>
      <c r="AE33" s="3">
        <v>142</v>
      </c>
      <c r="AF33" s="3" t="str">
        <f>IFERROR(MID(VLOOKUP($B33,Seqs!$A:$B,2,0),AG33,1),"")</f>
        <v>C</v>
      </c>
      <c r="AG33" s="3">
        <v>166</v>
      </c>
      <c r="AH33" s="3" t="str">
        <f>IFERROR(MID(VLOOKUP($B33,Seqs!$A:$B,2,0),AI33,1),"")</f>
        <v>F</v>
      </c>
      <c r="AI33" s="3">
        <v>168</v>
      </c>
      <c r="AJ33" s="3" t="str">
        <f>IFERROR(MID(VLOOKUP($B33,Seqs!$A:$B,2,0),AK33,1),"")</f>
        <v>P</v>
      </c>
      <c r="AK33" s="3">
        <v>173</v>
      </c>
      <c r="AL33" s="3" t="str">
        <f>IFERROR(MID(VLOOKUP($B33,Seqs!$A:$B,2,0),AM33,1),"")</f>
        <v>S</v>
      </c>
      <c r="AM33" s="3">
        <v>213</v>
      </c>
      <c r="AN33" s="3" t="str">
        <f>IFERROR(MID(VLOOKUP($B33,Seqs!$A:$B,2,0),AO33,1),"")</f>
        <v>E</v>
      </c>
      <c r="AO33" s="3">
        <v>219</v>
      </c>
      <c r="AP33" s="3" t="str">
        <f>IFERROR(MID(VLOOKUP($B33,Seqs!$A:$B,2,0),AQ33,1),"")</f>
        <v>C</v>
      </c>
      <c r="AQ33" s="3">
        <v>259</v>
      </c>
      <c r="AR33" s="3" t="str">
        <f>IFERROR(MID(VLOOKUP($B33,Seqs!$A:$B,2,0),AS33,1),"")</f>
        <v>P</v>
      </c>
      <c r="AS33" s="3">
        <v>266</v>
      </c>
      <c r="AT33" s="3" t="str">
        <f>IFERROR(MID(VLOOKUP($B33,Seqs!$A:$B,2,0),AU33,1),"")</f>
        <v>R</v>
      </c>
      <c r="AU33" s="3">
        <v>291</v>
      </c>
      <c r="AV33" s="3" t="str">
        <f>IFERROR(MID(VLOOKUP($B33,Seqs!$A:$B,2,0),AW33,1),"")</f>
        <v>I</v>
      </c>
      <c r="AW33" s="3">
        <v>292</v>
      </c>
      <c r="AX33" s="3" t="str">
        <f>IFERROR(MID(VLOOKUP($B33,Seqs!$A:$B,2,0),AY33,1),"")</f>
        <v>S</v>
      </c>
      <c r="AY33" s="3">
        <v>305</v>
      </c>
      <c r="AZ33" s="77" t="str">
        <f>VLOOKUP(B33,Classification!A:D,2,0)</f>
        <v>A</v>
      </c>
      <c r="BA33" s="94" t="str">
        <f>VLOOKUP(B33,Classification!A:D,4,0)</f>
        <v>Adenosine</v>
      </c>
      <c r="BB33" s="27" t="b">
        <f t="shared" si="1"/>
        <v>1</v>
      </c>
      <c r="BC33" s="23">
        <f t="shared" si="224"/>
        <v>261</v>
      </c>
      <c r="BD33" s="4" t="s">
        <v>23</v>
      </c>
      <c r="BE33" s="3" t="s">
        <v>1380</v>
      </c>
      <c r="BF33" s="119">
        <v>3.27</v>
      </c>
      <c r="BG33" s="49" t="s">
        <v>1383</v>
      </c>
      <c r="BH33" s="49" t="s">
        <v>1383</v>
      </c>
      <c r="BI33" s="1"/>
      <c r="BJ33" s="70" t="s">
        <v>1293</v>
      </c>
      <c r="BK33" s="57" t="s">
        <v>1293</v>
      </c>
      <c r="BL33" s="57" t="s">
        <v>1293</v>
      </c>
      <c r="BM33" s="57" t="s">
        <v>1293</v>
      </c>
      <c r="BN33" s="57" t="s">
        <v>1293</v>
      </c>
      <c r="BO33" s="57" t="s">
        <v>1293</v>
      </c>
      <c r="BP33" s="57" t="s">
        <v>1293</v>
      </c>
      <c r="BQ33" s="57" t="s">
        <v>1293</v>
      </c>
      <c r="BR33" s="57" t="s">
        <v>1293</v>
      </c>
      <c r="BS33" s="57" t="s">
        <v>1293</v>
      </c>
      <c r="BT33" s="57" t="s">
        <v>1293</v>
      </c>
      <c r="BU33" s="57" t="s">
        <v>1293</v>
      </c>
      <c r="BV33" s="70">
        <f t="shared" si="3"/>
        <v>7</v>
      </c>
      <c r="BW33" s="71">
        <f t="shared" si="4"/>
        <v>35</v>
      </c>
      <c r="BX33" s="72">
        <f t="shared" si="5"/>
        <v>39</v>
      </c>
      <c r="BY33" s="71">
        <f t="shared" si="6"/>
        <v>70</v>
      </c>
      <c r="BZ33" s="72">
        <f t="shared" si="7"/>
        <v>73</v>
      </c>
      <c r="CA33" s="71">
        <f t="shared" si="8"/>
        <v>109</v>
      </c>
      <c r="CB33" s="72">
        <f t="shared" si="9"/>
        <v>117</v>
      </c>
      <c r="CC33" s="71">
        <f t="shared" si="10"/>
        <v>166</v>
      </c>
      <c r="CD33" s="72">
        <f t="shared" si="11"/>
        <v>173</v>
      </c>
      <c r="CE33" s="71">
        <f t="shared" si="12"/>
        <v>219</v>
      </c>
      <c r="CF33" s="72">
        <f t="shared" si="13"/>
        <v>266</v>
      </c>
      <c r="CG33" s="71">
        <f t="shared" si="14"/>
        <v>292</v>
      </c>
      <c r="CH33" s="70">
        <f t="shared" si="15"/>
        <v>34</v>
      </c>
      <c r="CI33" s="71">
        <f t="shared" si="16"/>
        <v>38</v>
      </c>
      <c r="CJ33" s="72">
        <f t="shared" si="17"/>
        <v>69</v>
      </c>
      <c r="CK33" s="72">
        <f t="shared" si="18"/>
        <v>72</v>
      </c>
      <c r="CL33" s="72">
        <f t="shared" si="19"/>
        <v>108</v>
      </c>
      <c r="CM33" s="72">
        <f t="shared" si="20"/>
        <v>116</v>
      </c>
      <c r="CN33" s="72">
        <f t="shared" si="21"/>
        <v>142</v>
      </c>
      <c r="CO33" s="72">
        <f t="shared" si="22"/>
        <v>168</v>
      </c>
      <c r="CP33" s="72">
        <f t="shared" si="23"/>
        <v>213</v>
      </c>
      <c r="CQ33" s="72">
        <f t="shared" si="24"/>
        <v>259</v>
      </c>
      <c r="CR33" s="72">
        <f t="shared" si="25"/>
        <v>291</v>
      </c>
      <c r="CS33" s="72">
        <f t="shared" si="26"/>
        <v>305</v>
      </c>
      <c r="CT33" s="23">
        <f t="shared" si="27"/>
        <v>1</v>
      </c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  <c r="ADW33" s="1"/>
      <c r="ADX33" s="1"/>
      <c r="ADY33" s="1"/>
      <c r="ADZ33" s="1"/>
      <c r="AEA33" s="1"/>
      <c r="AEB33" s="1"/>
      <c r="AEC33" s="1"/>
      <c r="AED33" s="1"/>
      <c r="AEE33" s="1"/>
      <c r="AEF33" s="1"/>
      <c r="AEG33" s="1"/>
      <c r="AEH33" s="1"/>
      <c r="AEI33" s="1"/>
      <c r="AEJ33" s="1"/>
      <c r="AEK33" s="1"/>
      <c r="AEL33" s="1"/>
      <c r="AEM33" s="1"/>
      <c r="AEN33" s="1"/>
      <c r="AEO33" s="1"/>
      <c r="AEP33" s="1"/>
      <c r="AEQ33" s="1"/>
      <c r="AER33" s="1"/>
      <c r="AES33" s="1"/>
      <c r="AET33" s="1"/>
      <c r="AEU33" s="1"/>
      <c r="AEV33" s="1"/>
      <c r="AEW33" s="1"/>
      <c r="AEX33" s="1"/>
      <c r="AEY33" s="1"/>
      <c r="AEZ33" s="1"/>
      <c r="AFA33" s="1"/>
      <c r="AFB33" s="1"/>
      <c r="AFC33" s="1"/>
      <c r="AFD33" s="1"/>
      <c r="AFE33" s="1"/>
      <c r="AFF33" s="1"/>
      <c r="AFG33" s="1"/>
      <c r="AFH33" s="1"/>
      <c r="AFI33" s="1"/>
      <c r="AFJ33" s="1"/>
      <c r="AFK33" s="1"/>
      <c r="AFL33" s="1"/>
      <c r="AFM33" s="1"/>
      <c r="AFN33" s="1"/>
      <c r="AFO33" s="1"/>
      <c r="AFP33" s="1"/>
      <c r="AFQ33" s="1"/>
      <c r="AFR33" s="1"/>
      <c r="AFS33" s="1"/>
      <c r="AFT33" s="1"/>
      <c r="AFU33" s="1"/>
      <c r="AFV33" s="1"/>
      <c r="AFW33" s="1"/>
      <c r="AFX33" s="1"/>
      <c r="AFY33" s="1"/>
      <c r="AFZ33" s="1"/>
      <c r="AGA33" s="1"/>
      <c r="AGB33" s="1"/>
      <c r="AGC33" s="1"/>
      <c r="AGD33" s="1"/>
      <c r="AGE33" s="1"/>
      <c r="AGF33" s="1"/>
      <c r="AGG33" s="1"/>
      <c r="AGH33" s="1"/>
      <c r="AGI33" s="1"/>
      <c r="AGJ33" s="1"/>
      <c r="AGK33" s="1"/>
      <c r="AGL33" s="1"/>
      <c r="AGM33" s="1"/>
      <c r="AGN33" s="1"/>
      <c r="AGO33" s="1"/>
      <c r="AGP33" s="1"/>
      <c r="AGQ33" s="1"/>
      <c r="AGR33" s="1"/>
      <c r="AGS33" s="1"/>
      <c r="AGT33" s="1"/>
      <c r="AGU33" s="1"/>
      <c r="AGV33" s="1"/>
      <c r="AGW33" s="1"/>
      <c r="AGX33" s="1"/>
      <c r="AGY33" s="1"/>
      <c r="AGZ33" s="1"/>
      <c r="AHA33" s="1"/>
      <c r="AHB33" s="1"/>
      <c r="AHC33" s="1"/>
      <c r="AHD33" s="1"/>
      <c r="AHE33" s="1"/>
      <c r="AHF33" s="1"/>
      <c r="AHG33" s="1"/>
      <c r="AHH33" s="1"/>
      <c r="AHI33" s="1"/>
      <c r="AHJ33" s="1"/>
      <c r="AHK33" s="1"/>
      <c r="AHL33" s="1"/>
      <c r="AHM33" s="1"/>
      <c r="AHN33" s="1"/>
      <c r="AHO33" s="1"/>
      <c r="AHP33" s="1"/>
      <c r="AHQ33" s="1"/>
      <c r="AHR33" s="1"/>
      <c r="AHS33" s="1"/>
      <c r="AHT33" s="1"/>
      <c r="AHU33" s="1"/>
      <c r="AHV33" s="1"/>
      <c r="AHW33" s="1"/>
      <c r="AHX33" s="1"/>
      <c r="AHY33" s="1"/>
      <c r="AHZ33" s="1"/>
      <c r="AIA33" s="1"/>
      <c r="AIB33" s="1"/>
      <c r="AIC33" s="1"/>
      <c r="AID33" s="1"/>
      <c r="AIE33" s="1"/>
      <c r="AIF33" s="1"/>
      <c r="AIG33" s="1"/>
      <c r="AIH33" s="1"/>
      <c r="AII33" s="1"/>
      <c r="AIJ33" s="1"/>
      <c r="AIK33" s="1"/>
      <c r="AIL33" s="1"/>
      <c r="AIM33" s="1"/>
      <c r="AIN33" s="1"/>
      <c r="AIO33" s="1"/>
      <c r="AIP33" s="1"/>
      <c r="AIQ33" s="1"/>
      <c r="AIR33" s="1"/>
      <c r="AIS33" s="1"/>
      <c r="AIT33" s="1"/>
      <c r="AIU33" s="1"/>
      <c r="AIV33" s="1"/>
      <c r="AIW33" s="1"/>
      <c r="AIX33" s="1"/>
      <c r="AIY33" s="1"/>
      <c r="AIZ33" s="1"/>
      <c r="AJA33" s="1"/>
      <c r="AJB33" s="1"/>
      <c r="AJC33" s="1"/>
      <c r="AJD33" s="1"/>
      <c r="AJE33" s="1"/>
      <c r="AJF33" s="1"/>
      <c r="AJG33" s="1"/>
      <c r="AJH33" s="1"/>
      <c r="AJI33" s="1"/>
      <c r="AJJ33" s="1"/>
      <c r="AJK33" s="1"/>
      <c r="AJL33" s="1"/>
      <c r="AJM33" s="1"/>
      <c r="AJN33" s="1"/>
      <c r="AJO33" s="1"/>
      <c r="AJP33" s="1"/>
      <c r="AJQ33" s="1"/>
      <c r="AJR33" s="1"/>
      <c r="AJS33" s="1"/>
      <c r="AJT33" s="1"/>
      <c r="AJU33" s="1"/>
      <c r="AJV33" s="1"/>
      <c r="AJW33" s="1"/>
      <c r="AJX33" s="1"/>
      <c r="AJY33" s="1"/>
      <c r="AJZ33" s="1"/>
      <c r="AKA33" s="1"/>
      <c r="AKB33" s="1"/>
      <c r="AKC33" s="1"/>
      <c r="AKD33" s="1"/>
      <c r="AKE33" s="1"/>
      <c r="AKF33" s="1"/>
      <c r="AKG33" s="1"/>
      <c r="AKH33" s="1"/>
      <c r="AKI33" s="1"/>
      <c r="AKJ33" s="1"/>
      <c r="AKK33" s="1"/>
      <c r="AKL33" s="1"/>
      <c r="AKM33" s="1"/>
      <c r="AKN33" s="1"/>
      <c r="AKO33" s="1"/>
      <c r="AKP33" s="1"/>
      <c r="AKQ33" s="1"/>
      <c r="AKR33" s="1"/>
      <c r="AKS33" s="1"/>
      <c r="AKT33" s="1"/>
      <c r="AKU33" s="1"/>
      <c r="AKV33" s="1"/>
      <c r="AKW33" s="1"/>
      <c r="AKX33" s="1"/>
      <c r="AKY33" s="1"/>
      <c r="AKZ33" s="1"/>
      <c r="ALA33" s="1"/>
      <c r="ALB33" s="1"/>
      <c r="ALC33" s="1"/>
      <c r="ALD33" s="1"/>
      <c r="ALE33" s="1"/>
      <c r="ALF33" s="1"/>
      <c r="ALG33" s="1"/>
      <c r="ALH33" s="1"/>
      <c r="ALI33" s="1"/>
      <c r="ALJ33" s="1"/>
      <c r="ALK33" s="1"/>
      <c r="ALL33" s="1"/>
      <c r="ALM33" s="1"/>
      <c r="ALN33" s="1"/>
      <c r="ALO33" s="1"/>
      <c r="ALP33" s="1"/>
      <c r="ALQ33" s="1"/>
      <c r="ALR33" s="1"/>
      <c r="ALS33" s="1"/>
      <c r="ALT33" s="1"/>
      <c r="ALU33" s="1"/>
      <c r="ALV33" s="1"/>
      <c r="ALW33" s="1"/>
      <c r="ALX33" s="1"/>
      <c r="ALY33" s="1"/>
      <c r="ALZ33" s="1"/>
      <c r="AMA33" s="1"/>
      <c r="AMB33" s="1"/>
      <c r="AMC33" s="1"/>
      <c r="AMD33" s="1"/>
      <c r="AME33" s="1"/>
      <c r="AMF33" s="1"/>
      <c r="AMG33" s="1"/>
      <c r="AMH33" s="1"/>
      <c r="AMI33" s="1"/>
      <c r="AMJ33" s="1"/>
      <c r="AMK33" s="1"/>
      <c r="AML33" s="1"/>
      <c r="AMM33" s="1"/>
      <c r="AMN33" s="1"/>
      <c r="AMO33" s="1"/>
    </row>
    <row r="34" spans="1:1030" s="6" customFormat="1" x14ac:dyDescent="0.2">
      <c r="A34" s="3" t="str">
        <f t="shared" si="0"/>
        <v>aa2ar_human_3UZC</v>
      </c>
      <c r="B34" s="3" t="s">
        <v>139</v>
      </c>
      <c r="C34" s="3" t="s">
        <v>1037</v>
      </c>
      <c r="D34" s="3" t="str">
        <f>IFERROR(MID(VLOOKUP($B34,Seqs!$A:$B,2,0),E34,1),"")</f>
        <v>S</v>
      </c>
      <c r="E34" s="3">
        <v>7</v>
      </c>
      <c r="F34" s="3" t="str">
        <f>IFERROR(MID(VLOOKUP($B34,Seqs!$A:$B,2,0),G34,1),"")</f>
        <v>N</v>
      </c>
      <c r="G34" s="3">
        <v>34</v>
      </c>
      <c r="H34" s="3" t="str">
        <f>IFERROR(MID(VLOOKUP($B34,Seqs!$A:$B,2,0),I34,1),"")</f>
        <v>S</v>
      </c>
      <c r="I34" s="23">
        <v>35</v>
      </c>
      <c r="J34" s="3" t="str">
        <f>IFERROR(MID(VLOOKUP($B34,Seqs!$A:$B,2,0),K34,1),"")</f>
        <v>Q</v>
      </c>
      <c r="K34" s="23">
        <v>38</v>
      </c>
      <c r="L34" s="3" t="str">
        <f>IFERROR(MID(VLOOKUP($B34,Seqs!$A:$B,2,0),M34,1),"")</f>
        <v>N</v>
      </c>
      <c r="M34" s="3">
        <v>39</v>
      </c>
      <c r="N34" s="3" t="str">
        <f>IFERROR(MID(VLOOKUP($B34,Seqs!$A:$B,2,0),O34,1),"")</f>
        <v>G</v>
      </c>
      <c r="O34" s="3">
        <v>69</v>
      </c>
      <c r="P34" s="3" t="str">
        <f>IFERROR(MID(VLOOKUP($B34,Seqs!$A:$B,2,0),Q34,1),"")</f>
        <v>F</v>
      </c>
      <c r="Q34" s="3">
        <v>70</v>
      </c>
      <c r="R34" s="3" t="str">
        <f>IFERROR(MID(VLOOKUP($B34,Seqs!$A:$B,2,0),S34,1),"")</f>
        <v>A</v>
      </c>
      <c r="S34" s="3">
        <v>72</v>
      </c>
      <c r="T34" s="3" t="str">
        <f>IFERROR(MID(VLOOKUP($B34,Seqs!$A:$B,2,0),U34,1),"")</f>
        <v>A</v>
      </c>
      <c r="U34" s="3">
        <v>73</v>
      </c>
      <c r="V34" s="3" t="str">
        <f>IFERROR(MID(VLOOKUP($B34,Seqs!$A:$B,2,0),W34,1),"")</f>
        <v>I</v>
      </c>
      <c r="W34" s="3">
        <v>108</v>
      </c>
      <c r="X34" s="3" t="str">
        <f>IFERROR(MID(VLOOKUP($B34,Seqs!$A:$B,2,0),Y34,1),"")</f>
        <v>P</v>
      </c>
      <c r="Y34" s="3">
        <v>109</v>
      </c>
      <c r="Z34" s="3" t="str">
        <f>IFERROR(MID(VLOOKUP($B34,Seqs!$A:$B,2,0),AA34,1),"")</f>
        <v>V</v>
      </c>
      <c r="AA34" s="3">
        <v>116</v>
      </c>
      <c r="AB34" s="3" t="str">
        <f>IFERROR(MID(VLOOKUP($B34,Seqs!$A:$B,2,0),AC34,1),"")</f>
        <v>T</v>
      </c>
      <c r="AC34" s="9">
        <v>117</v>
      </c>
      <c r="AD34" s="3" t="str">
        <f>IFERROR(MID(VLOOKUP($B34,Seqs!$A:$B,2,0),AE34,1),"")</f>
        <v>G</v>
      </c>
      <c r="AE34" s="3">
        <v>142</v>
      </c>
      <c r="AF34" s="3" t="str">
        <f>IFERROR(MID(VLOOKUP($B34,Seqs!$A:$B,2,0),AG34,1),"")</f>
        <v>C</v>
      </c>
      <c r="AG34" s="3">
        <v>166</v>
      </c>
      <c r="AH34" s="3" t="str">
        <f>IFERROR(MID(VLOOKUP($B34,Seqs!$A:$B,2,0),AI34,1),"")</f>
        <v>F</v>
      </c>
      <c r="AI34" s="3">
        <v>168</v>
      </c>
      <c r="AJ34" s="3" t="str">
        <f>IFERROR(MID(VLOOKUP($B34,Seqs!$A:$B,2,0),AK34,1),"")</f>
        <v>P</v>
      </c>
      <c r="AK34" s="3">
        <v>173</v>
      </c>
      <c r="AL34" s="3" t="str">
        <f>IFERROR(MID(VLOOKUP($B34,Seqs!$A:$B,2,0),AM34,1),"")</f>
        <v>S</v>
      </c>
      <c r="AM34" s="3">
        <v>213</v>
      </c>
      <c r="AN34" s="3" t="str">
        <f>IFERROR(MID(VLOOKUP($B34,Seqs!$A:$B,2,0),AO34,1),"")</f>
        <v>E</v>
      </c>
      <c r="AO34" s="3">
        <v>219</v>
      </c>
      <c r="AP34" s="3" t="str">
        <f>IFERROR(MID(VLOOKUP($B34,Seqs!$A:$B,2,0),AQ34,1),"")</f>
        <v>C</v>
      </c>
      <c r="AQ34" s="3">
        <v>259</v>
      </c>
      <c r="AR34" s="3" t="str">
        <f>IFERROR(MID(VLOOKUP($B34,Seqs!$A:$B,2,0),AS34,1),"")</f>
        <v>P</v>
      </c>
      <c r="AS34" s="3">
        <v>266</v>
      </c>
      <c r="AT34" s="3" t="str">
        <f>IFERROR(MID(VLOOKUP($B34,Seqs!$A:$B,2,0),AU34,1),"")</f>
        <v>R</v>
      </c>
      <c r="AU34" s="3">
        <v>291</v>
      </c>
      <c r="AV34" s="3" t="str">
        <f>IFERROR(MID(VLOOKUP($B34,Seqs!$A:$B,2,0),AW34,1),"")</f>
        <v>I</v>
      </c>
      <c r="AW34" s="3">
        <v>292</v>
      </c>
      <c r="AX34" s="3" t="str">
        <f>IFERROR(MID(VLOOKUP($B34,Seqs!$A:$B,2,0),AY34,1),"")</f>
        <v>S</v>
      </c>
      <c r="AY34" s="3">
        <v>305</v>
      </c>
      <c r="AZ34" s="77" t="str">
        <f>VLOOKUP(B34,Classification!A:D,2,0)</f>
        <v>A</v>
      </c>
      <c r="BA34" s="94" t="str">
        <f>VLOOKUP(B34,Classification!A:D,4,0)</f>
        <v>Adenosine</v>
      </c>
      <c r="BB34" s="27" t="b">
        <f t="shared" si="1"/>
        <v>1</v>
      </c>
      <c r="BC34" s="23">
        <f t="shared" si="224"/>
        <v>261</v>
      </c>
      <c r="BD34" s="4" t="s">
        <v>23</v>
      </c>
      <c r="BE34" s="3" t="s">
        <v>1380</v>
      </c>
      <c r="BF34" s="119">
        <v>3.34</v>
      </c>
      <c r="BG34" s="49" t="s">
        <v>1383</v>
      </c>
      <c r="BH34" s="49" t="s">
        <v>1383</v>
      </c>
      <c r="BI34" s="1"/>
      <c r="BJ34" s="70" t="s">
        <v>1293</v>
      </c>
      <c r="BK34" s="57" t="s">
        <v>1293</v>
      </c>
      <c r="BL34" s="57" t="s">
        <v>1293</v>
      </c>
      <c r="BM34" s="57" t="s">
        <v>1293</v>
      </c>
      <c r="BN34" s="57" t="s">
        <v>1293</v>
      </c>
      <c r="BO34" s="57" t="s">
        <v>1293</v>
      </c>
      <c r="BP34" s="57" t="s">
        <v>1293</v>
      </c>
      <c r="BQ34" s="57" t="s">
        <v>1293</v>
      </c>
      <c r="BR34" s="57" t="s">
        <v>1293</v>
      </c>
      <c r="BS34" s="57" t="s">
        <v>1293</v>
      </c>
      <c r="BT34" s="57" t="s">
        <v>1293</v>
      </c>
      <c r="BU34" s="57" t="s">
        <v>1293</v>
      </c>
      <c r="BV34" s="70">
        <f t="shared" si="3"/>
        <v>7</v>
      </c>
      <c r="BW34" s="71">
        <f t="shared" si="4"/>
        <v>35</v>
      </c>
      <c r="BX34" s="72">
        <f t="shared" si="5"/>
        <v>39</v>
      </c>
      <c r="BY34" s="71">
        <f t="shared" si="6"/>
        <v>70</v>
      </c>
      <c r="BZ34" s="72">
        <f t="shared" si="7"/>
        <v>73</v>
      </c>
      <c r="CA34" s="71">
        <f t="shared" si="8"/>
        <v>109</v>
      </c>
      <c r="CB34" s="72">
        <f t="shared" si="9"/>
        <v>117</v>
      </c>
      <c r="CC34" s="71">
        <f t="shared" si="10"/>
        <v>166</v>
      </c>
      <c r="CD34" s="72">
        <f t="shared" si="11"/>
        <v>173</v>
      </c>
      <c r="CE34" s="71">
        <f t="shared" si="12"/>
        <v>219</v>
      </c>
      <c r="CF34" s="72">
        <f t="shared" si="13"/>
        <v>266</v>
      </c>
      <c r="CG34" s="71">
        <f t="shared" si="14"/>
        <v>292</v>
      </c>
      <c r="CH34" s="70">
        <f t="shared" si="15"/>
        <v>34</v>
      </c>
      <c r="CI34" s="71">
        <f t="shared" si="16"/>
        <v>38</v>
      </c>
      <c r="CJ34" s="72">
        <f t="shared" si="17"/>
        <v>69</v>
      </c>
      <c r="CK34" s="72">
        <f t="shared" si="18"/>
        <v>72</v>
      </c>
      <c r="CL34" s="72">
        <f t="shared" si="19"/>
        <v>108</v>
      </c>
      <c r="CM34" s="72">
        <f t="shared" si="20"/>
        <v>116</v>
      </c>
      <c r="CN34" s="72">
        <f t="shared" si="21"/>
        <v>142</v>
      </c>
      <c r="CO34" s="72">
        <f t="shared" si="22"/>
        <v>168</v>
      </c>
      <c r="CP34" s="72">
        <f t="shared" si="23"/>
        <v>213</v>
      </c>
      <c r="CQ34" s="72">
        <f t="shared" si="24"/>
        <v>259</v>
      </c>
      <c r="CR34" s="72">
        <f t="shared" si="25"/>
        <v>291</v>
      </c>
      <c r="CS34" s="72">
        <f t="shared" si="26"/>
        <v>305</v>
      </c>
      <c r="CT34" s="23">
        <f t="shared" si="27"/>
        <v>1</v>
      </c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  <c r="ADW34" s="1"/>
      <c r="ADX34" s="1"/>
      <c r="ADY34" s="1"/>
      <c r="ADZ34" s="1"/>
      <c r="AEA34" s="1"/>
      <c r="AEB34" s="1"/>
      <c r="AEC34" s="1"/>
      <c r="AED34" s="1"/>
      <c r="AEE34" s="1"/>
      <c r="AEF34" s="1"/>
      <c r="AEG34" s="1"/>
      <c r="AEH34" s="1"/>
      <c r="AEI34" s="1"/>
      <c r="AEJ34" s="1"/>
      <c r="AEK34" s="1"/>
      <c r="AEL34" s="1"/>
      <c r="AEM34" s="1"/>
      <c r="AEN34" s="1"/>
      <c r="AEO34" s="1"/>
      <c r="AEP34" s="1"/>
      <c r="AEQ34" s="1"/>
      <c r="AER34" s="1"/>
      <c r="AES34" s="1"/>
      <c r="AET34" s="1"/>
      <c r="AEU34" s="1"/>
      <c r="AEV34" s="1"/>
      <c r="AEW34" s="1"/>
      <c r="AEX34" s="1"/>
      <c r="AEY34" s="1"/>
      <c r="AEZ34" s="1"/>
      <c r="AFA34" s="1"/>
      <c r="AFB34" s="1"/>
      <c r="AFC34" s="1"/>
      <c r="AFD34" s="1"/>
      <c r="AFE34" s="1"/>
      <c r="AFF34" s="1"/>
      <c r="AFG34" s="1"/>
      <c r="AFH34" s="1"/>
      <c r="AFI34" s="1"/>
      <c r="AFJ34" s="1"/>
      <c r="AFK34" s="1"/>
      <c r="AFL34" s="1"/>
      <c r="AFM34" s="1"/>
      <c r="AFN34" s="1"/>
      <c r="AFO34" s="1"/>
      <c r="AFP34" s="1"/>
      <c r="AFQ34" s="1"/>
      <c r="AFR34" s="1"/>
      <c r="AFS34" s="1"/>
      <c r="AFT34" s="1"/>
      <c r="AFU34" s="1"/>
      <c r="AFV34" s="1"/>
      <c r="AFW34" s="1"/>
      <c r="AFX34" s="1"/>
      <c r="AFY34" s="1"/>
      <c r="AFZ34" s="1"/>
      <c r="AGA34" s="1"/>
      <c r="AGB34" s="1"/>
      <c r="AGC34" s="1"/>
      <c r="AGD34" s="1"/>
      <c r="AGE34" s="1"/>
      <c r="AGF34" s="1"/>
      <c r="AGG34" s="1"/>
      <c r="AGH34" s="1"/>
      <c r="AGI34" s="1"/>
      <c r="AGJ34" s="1"/>
      <c r="AGK34" s="1"/>
      <c r="AGL34" s="1"/>
      <c r="AGM34" s="1"/>
      <c r="AGN34" s="1"/>
      <c r="AGO34" s="1"/>
      <c r="AGP34" s="1"/>
      <c r="AGQ34" s="1"/>
      <c r="AGR34" s="1"/>
      <c r="AGS34" s="1"/>
      <c r="AGT34" s="1"/>
      <c r="AGU34" s="1"/>
      <c r="AGV34" s="1"/>
      <c r="AGW34" s="1"/>
      <c r="AGX34" s="1"/>
      <c r="AGY34" s="1"/>
      <c r="AGZ34" s="1"/>
      <c r="AHA34" s="1"/>
      <c r="AHB34" s="1"/>
      <c r="AHC34" s="1"/>
      <c r="AHD34" s="1"/>
      <c r="AHE34" s="1"/>
      <c r="AHF34" s="1"/>
      <c r="AHG34" s="1"/>
      <c r="AHH34" s="1"/>
      <c r="AHI34" s="1"/>
      <c r="AHJ34" s="1"/>
      <c r="AHK34" s="1"/>
      <c r="AHL34" s="1"/>
      <c r="AHM34" s="1"/>
      <c r="AHN34" s="1"/>
      <c r="AHO34" s="1"/>
      <c r="AHP34" s="1"/>
      <c r="AHQ34" s="1"/>
      <c r="AHR34" s="1"/>
      <c r="AHS34" s="1"/>
      <c r="AHT34" s="1"/>
      <c r="AHU34" s="1"/>
      <c r="AHV34" s="1"/>
      <c r="AHW34" s="1"/>
      <c r="AHX34" s="1"/>
      <c r="AHY34" s="1"/>
      <c r="AHZ34" s="1"/>
      <c r="AIA34" s="1"/>
      <c r="AIB34" s="1"/>
      <c r="AIC34" s="1"/>
      <c r="AID34" s="1"/>
      <c r="AIE34" s="1"/>
      <c r="AIF34" s="1"/>
      <c r="AIG34" s="1"/>
      <c r="AIH34" s="1"/>
      <c r="AII34" s="1"/>
      <c r="AIJ34" s="1"/>
      <c r="AIK34" s="1"/>
      <c r="AIL34" s="1"/>
      <c r="AIM34" s="1"/>
      <c r="AIN34" s="1"/>
      <c r="AIO34" s="1"/>
      <c r="AIP34" s="1"/>
      <c r="AIQ34" s="1"/>
      <c r="AIR34" s="1"/>
      <c r="AIS34" s="1"/>
      <c r="AIT34" s="1"/>
      <c r="AIU34" s="1"/>
      <c r="AIV34" s="1"/>
      <c r="AIW34" s="1"/>
      <c r="AIX34" s="1"/>
      <c r="AIY34" s="1"/>
      <c r="AIZ34" s="1"/>
      <c r="AJA34" s="1"/>
      <c r="AJB34" s="1"/>
      <c r="AJC34" s="1"/>
      <c r="AJD34" s="1"/>
      <c r="AJE34" s="1"/>
      <c r="AJF34" s="1"/>
      <c r="AJG34" s="1"/>
      <c r="AJH34" s="1"/>
      <c r="AJI34" s="1"/>
      <c r="AJJ34" s="1"/>
      <c r="AJK34" s="1"/>
      <c r="AJL34" s="1"/>
      <c r="AJM34" s="1"/>
      <c r="AJN34" s="1"/>
      <c r="AJO34" s="1"/>
      <c r="AJP34" s="1"/>
      <c r="AJQ34" s="1"/>
      <c r="AJR34" s="1"/>
      <c r="AJS34" s="1"/>
      <c r="AJT34" s="1"/>
      <c r="AJU34" s="1"/>
      <c r="AJV34" s="1"/>
      <c r="AJW34" s="1"/>
      <c r="AJX34" s="1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1"/>
      <c r="AKN34" s="1"/>
      <c r="AKO34" s="1"/>
      <c r="AKP34" s="1"/>
      <c r="AKQ34" s="1"/>
      <c r="AKR34" s="1"/>
      <c r="AKS34" s="1"/>
      <c r="AKT34" s="1"/>
      <c r="AKU34" s="1"/>
      <c r="AKV34" s="1"/>
      <c r="AKW34" s="1"/>
      <c r="AKX34" s="1"/>
      <c r="AKY34" s="1"/>
      <c r="AKZ34" s="1"/>
      <c r="ALA34" s="1"/>
      <c r="ALB34" s="1"/>
      <c r="ALC34" s="1"/>
      <c r="ALD34" s="1"/>
      <c r="ALE34" s="1"/>
      <c r="ALF34" s="1"/>
      <c r="ALG34" s="1"/>
      <c r="ALH34" s="1"/>
      <c r="ALI34" s="1"/>
      <c r="ALJ34" s="1"/>
      <c r="ALK34" s="1"/>
      <c r="ALL34" s="1"/>
      <c r="ALM34" s="1"/>
      <c r="ALN34" s="1"/>
      <c r="ALO34" s="1"/>
      <c r="ALP34" s="1"/>
      <c r="ALQ34" s="1"/>
      <c r="ALR34" s="1"/>
      <c r="ALS34" s="1"/>
      <c r="ALT34" s="1"/>
      <c r="ALU34" s="1"/>
      <c r="ALV34" s="1"/>
      <c r="ALW34" s="1"/>
      <c r="ALX34" s="1"/>
      <c r="ALY34" s="1"/>
      <c r="ALZ34" s="1"/>
      <c r="AMA34" s="1"/>
      <c r="AMB34" s="1"/>
      <c r="AMC34" s="1"/>
      <c r="AMD34" s="1"/>
      <c r="AME34" s="1"/>
      <c r="AMF34" s="1"/>
      <c r="AMG34" s="1"/>
      <c r="AMH34" s="1"/>
      <c r="AMI34" s="1"/>
      <c r="AMJ34" s="1"/>
      <c r="AMK34" s="1"/>
      <c r="AML34" s="1"/>
      <c r="AMM34" s="1"/>
      <c r="AMN34" s="1"/>
      <c r="AMO34" s="1"/>
      <c r="AMP34" s="1"/>
    </row>
    <row r="35" spans="1:1030" s="6" customFormat="1" x14ac:dyDescent="0.2">
      <c r="A35" s="3" t="str">
        <f t="shared" si="0"/>
        <v>aa2ar_human_3VG9</v>
      </c>
      <c r="B35" s="3" t="s">
        <v>139</v>
      </c>
      <c r="C35" s="3" t="s">
        <v>1104</v>
      </c>
      <c r="D35" s="3" t="str">
        <f>IFERROR(MID(VLOOKUP($B35,Seqs!$A:$B,2,0),E35,1),"")</f>
        <v>S</v>
      </c>
      <c r="E35" s="3">
        <v>6</v>
      </c>
      <c r="F35" s="3" t="str">
        <f>IFERROR(MID(VLOOKUP($B35,Seqs!$A:$B,2,0),G35,1),"")</f>
        <v>N</v>
      </c>
      <c r="G35" s="3">
        <v>34</v>
      </c>
      <c r="H35" s="3" t="str">
        <f>IFERROR(MID(VLOOKUP($B35,Seqs!$A:$B,2,0),I35,1),"")</f>
        <v>S</v>
      </c>
      <c r="I35" s="23">
        <v>35</v>
      </c>
      <c r="J35" s="3" t="str">
        <f>IFERROR(MID(VLOOKUP($B35,Seqs!$A:$B,2,0),K35,1),"")</f>
        <v>Q</v>
      </c>
      <c r="K35" s="23">
        <v>38</v>
      </c>
      <c r="L35" s="3" t="str">
        <f>IFERROR(MID(VLOOKUP($B35,Seqs!$A:$B,2,0),M35,1),"")</f>
        <v>N</v>
      </c>
      <c r="M35" s="3">
        <v>39</v>
      </c>
      <c r="N35" s="3" t="str">
        <f>IFERROR(MID(VLOOKUP($B35,Seqs!$A:$B,2,0),O35,1),"")</f>
        <v>G</v>
      </c>
      <c r="O35" s="3">
        <v>69</v>
      </c>
      <c r="P35" s="3" t="str">
        <f>IFERROR(MID(VLOOKUP($B35,Seqs!$A:$B,2,0),Q35,1),"")</f>
        <v>F</v>
      </c>
      <c r="Q35" s="3">
        <v>70</v>
      </c>
      <c r="R35" s="3" t="str">
        <f>IFERROR(MID(VLOOKUP($B35,Seqs!$A:$B,2,0),S35,1),"")</f>
        <v>A</v>
      </c>
      <c r="S35" s="3">
        <v>72</v>
      </c>
      <c r="T35" s="3" t="str">
        <f>IFERROR(MID(VLOOKUP($B35,Seqs!$A:$B,2,0),U35,1),"")</f>
        <v>A</v>
      </c>
      <c r="U35" s="3">
        <v>73</v>
      </c>
      <c r="V35" s="3" t="str">
        <f>IFERROR(MID(VLOOKUP($B35,Seqs!$A:$B,2,0),W35,1),"")</f>
        <v>I</v>
      </c>
      <c r="W35" s="3">
        <v>108</v>
      </c>
      <c r="X35" s="3" t="str">
        <f>IFERROR(MID(VLOOKUP($B35,Seqs!$A:$B,2,0),Y35,1),"")</f>
        <v>P</v>
      </c>
      <c r="Y35" s="3">
        <v>109</v>
      </c>
      <c r="Z35" s="3" t="str">
        <f>IFERROR(MID(VLOOKUP($B35,Seqs!$A:$B,2,0),AA35,1),"")</f>
        <v>V</v>
      </c>
      <c r="AA35" s="3">
        <v>116</v>
      </c>
      <c r="AB35" s="3" t="str">
        <f>IFERROR(MID(VLOOKUP($B35,Seqs!$A:$B,2,0),AC35,1),"")</f>
        <v>T</v>
      </c>
      <c r="AC35" s="9">
        <v>117</v>
      </c>
      <c r="AD35" s="3" t="str">
        <f>IFERROR(MID(VLOOKUP($B35,Seqs!$A:$B,2,0),AE35,1),"")</f>
        <v>G</v>
      </c>
      <c r="AE35" s="3">
        <v>142</v>
      </c>
      <c r="AF35" s="3" t="str">
        <f>IFERROR(MID(VLOOKUP($B35,Seqs!$A:$B,2,0),AG35,1),"")</f>
        <v>C</v>
      </c>
      <c r="AG35" s="3">
        <v>166</v>
      </c>
      <c r="AH35" s="3" t="str">
        <f>IFERROR(MID(VLOOKUP($B35,Seqs!$A:$B,2,0),AI35,1),"")</f>
        <v>F</v>
      </c>
      <c r="AI35" s="3">
        <v>168</v>
      </c>
      <c r="AJ35" s="3" t="str">
        <f>IFERROR(MID(VLOOKUP($B35,Seqs!$A:$B,2,0),AK35,1),"")</f>
        <v>P</v>
      </c>
      <c r="AK35" s="3">
        <v>173</v>
      </c>
      <c r="AL35" s="3" t="str">
        <f>IFERROR(MID(VLOOKUP($B35,Seqs!$A:$B,2,0),AM35,1),"")</f>
        <v>Q</v>
      </c>
      <c r="AM35" s="3">
        <v>214</v>
      </c>
      <c r="AN35" s="3" t="str">
        <f>IFERROR(MID(VLOOKUP($B35,Seqs!$A:$B,2,0),AO35,1),"")</f>
        <v>A</v>
      </c>
      <c r="AO35" s="3">
        <v>221</v>
      </c>
      <c r="AP35" s="3" t="str">
        <f>IFERROR(MID(VLOOKUP($B35,Seqs!$A:$B,2,0),AQ35,1),"")</f>
        <v>C</v>
      </c>
      <c r="AQ35" s="3">
        <v>259</v>
      </c>
      <c r="AR35" s="3" t="str">
        <f>IFERROR(MID(VLOOKUP($B35,Seqs!$A:$B,2,0),AS35,1),"")</f>
        <v>P</v>
      </c>
      <c r="AS35" s="3">
        <v>266</v>
      </c>
      <c r="AT35" s="3" t="str">
        <f>IFERROR(MID(VLOOKUP($B35,Seqs!$A:$B,2,0),AU35,1),"")</f>
        <v>R</v>
      </c>
      <c r="AU35" s="3">
        <v>291</v>
      </c>
      <c r="AV35" s="3" t="str">
        <f>IFERROR(MID(VLOOKUP($B35,Seqs!$A:$B,2,0),AW35,1),"")</f>
        <v>I</v>
      </c>
      <c r="AW35" s="3">
        <v>292</v>
      </c>
      <c r="AX35" s="3" t="str">
        <f>IFERROR(MID(VLOOKUP($B35,Seqs!$A:$B,2,0),AY35,1),"")</f>
        <v>Q</v>
      </c>
      <c r="AY35" s="3">
        <v>311</v>
      </c>
      <c r="AZ35" s="77" t="str">
        <f>VLOOKUP(B35,Classification!A:D,2,0)</f>
        <v>A</v>
      </c>
      <c r="BA35" s="94" t="str">
        <f>VLOOKUP(B35,Classification!A:D,4,0)</f>
        <v>Adenosine</v>
      </c>
      <c r="BB35" s="27" t="b">
        <f t="shared" si="1"/>
        <v>1</v>
      </c>
      <c r="BC35" s="23">
        <f t="shared" si="224"/>
        <v>267</v>
      </c>
      <c r="BD35" s="4" t="s">
        <v>1382</v>
      </c>
      <c r="BE35" s="3" t="s">
        <v>1380</v>
      </c>
      <c r="BF35" s="119">
        <v>2.7</v>
      </c>
      <c r="BG35" s="49" t="s">
        <v>1383</v>
      </c>
      <c r="BH35" s="49" t="s">
        <v>1383</v>
      </c>
      <c r="BI35" s="1"/>
      <c r="BJ35" s="70" t="s">
        <v>1293</v>
      </c>
      <c r="BK35" s="57" t="s">
        <v>1293</v>
      </c>
      <c r="BL35" s="57" t="s">
        <v>1293</v>
      </c>
      <c r="BM35" s="57" t="s">
        <v>1293</v>
      </c>
      <c r="BN35" s="57" t="s">
        <v>1293</v>
      </c>
      <c r="BO35" s="57" t="s">
        <v>1293</v>
      </c>
      <c r="BP35" s="57" t="s">
        <v>1293</v>
      </c>
      <c r="BQ35" s="57" t="s">
        <v>1293</v>
      </c>
      <c r="BR35" s="57" t="s">
        <v>1293</v>
      </c>
      <c r="BS35" s="57" t="s">
        <v>1293</v>
      </c>
      <c r="BT35" s="57" t="s">
        <v>1293</v>
      </c>
      <c r="BU35" s="57" t="s">
        <v>1293</v>
      </c>
      <c r="BV35" s="70">
        <f t="shared" si="3"/>
        <v>6</v>
      </c>
      <c r="BW35" s="71">
        <f t="shared" si="4"/>
        <v>35</v>
      </c>
      <c r="BX35" s="72">
        <f t="shared" si="5"/>
        <v>39</v>
      </c>
      <c r="BY35" s="71">
        <f t="shared" si="6"/>
        <v>70</v>
      </c>
      <c r="BZ35" s="72">
        <f t="shared" si="7"/>
        <v>73</v>
      </c>
      <c r="CA35" s="71">
        <f t="shared" si="8"/>
        <v>109</v>
      </c>
      <c r="CB35" s="72">
        <f t="shared" si="9"/>
        <v>117</v>
      </c>
      <c r="CC35" s="71">
        <f t="shared" si="10"/>
        <v>166</v>
      </c>
      <c r="CD35" s="72">
        <f t="shared" si="11"/>
        <v>173</v>
      </c>
      <c r="CE35" s="71">
        <f t="shared" si="12"/>
        <v>221</v>
      </c>
      <c r="CF35" s="72">
        <f t="shared" si="13"/>
        <v>266</v>
      </c>
      <c r="CG35" s="71">
        <f t="shared" si="14"/>
        <v>292</v>
      </c>
      <c r="CH35" s="70">
        <f t="shared" si="15"/>
        <v>34</v>
      </c>
      <c r="CI35" s="71">
        <f t="shared" si="16"/>
        <v>38</v>
      </c>
      <c r="CJ35" s="72">
        <f t="shared" si="17"/>
        <v>69</v>
      </c>
      <c r="CK35" s="72">
        <f t="shared" si="18"/>
        <v>72</v>
      </c>
      <c r="CL35" s="72">
        <f t="shared" si="19"/>
        <v>108</v>
      </c>
      <c r="CM35" s="72">
        <f t="shared" si="20"/>
        <v>116</v>
      </c>
      <c r="CN35" s="72">
        <f t="shared" si="21"/>
        <v>142</v>
      </c>
      <c r="CO35" s="72">
        <f t="shared" si="22"/>
        <v>168</v>
      </c>
      <c r="CP35" s="72">
        <f t="shared" si="23"/>
        <v>214</v>
      </c>
      <c r="CQ35" s="72">
        <f t="shared" si="24"/>
        <v>259</v>
      </c>
      <c r="CR35" s="72">
        <f t="shared" si="25"/>
        <v>291</v>
      </c>
      <c r="CS35" s="72">
        <f t="shared" si="26"/>
        <v>311</v>
      </c>
      <c r="CT35" s="23">
        <f t="shared" si="27"/>
        <v>1</v>
      </c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  <c r="ADW35" s="1"/>
      <c r="ADX35" s="1"/>
      <c r="ADY35" s="1"/>
      <c r="ADZ35" s="1"/>
      <c r="AEA35" s="1"/>
      <c r="AEB35" s="1"/>
      <c r="AEC35" s="1"/>
      <c r="AED35" s="1"/>
      <c r="AEE35" s="1"/>
      <c r="AEF35" s="1"/>
      <c r="AEG35" s="1"/>
      <c r="AEH35" s="1"/>
      <c r="AEI35" s="1"/>
      <c r="AEJ35" s="1"/>
      <c r="AEK35" s="1"/>
      <c r="AEL35" s="1"/>
      <c r="AEM35" s="1"/>
      <c r="AEN35" s="1"/>
      <c r="AEO35" s="1"/>
      <c r="AEP35" s="1"/>
      <c r="AEQ35" s="1"/>
      <c r="AER35" s="1"/>
      <c r="AES35" s="1"/>
      <c r="AET35" s="1"/>
      <c r="AEU35" s="1"/>
      <c r="AEV35" s="1"/>
      <c r="AEW35" s="1"/>
      <c r="AEX35" s="1"/>
      <c r="AEY35" s="1"/>
      <c r="AEZ35" s="1"/>
      <c r="AFA35" s="1"/>
      <c r="AFB35" s="1"/>
      <c r="AFC35" s="1"/>
      <c r="AFD35" s="1"/>
      <c r="AFE35" s="1"/>
      <c r="AFF35" s="1"/>
      <c r="AFG35" s="1"/>
      <c r="AFH35" s="1"/>
      <c r="AFI35" s="1"/>
      <c r="AFJ35" s="1"/>
      <c r="AFK35" s="1"/>
      <c r="AFL35" s="1"/>
      <c r="AFM35" s="1"/>
      <c r="AFN35" s="1"/>
      <c r="AFO35" s="1"/>
      <c r="AFP35" s="1"/>
      <c r="AFQ35" s="1"/>
      <c r="AFR35" s="1"/>
      <c r="AFS35" s="1"/>
      <c r="AFT35" s="1"/>
      <c r="AFU35" s="1"/>
      <c r="AFV35" s="1"/>
      <c r="AFW35" s="1"/>
      <c r="AFX35" s="1"/>
      <c r="AFY35" s="1"/>
      <c r="AFZ35" s="1"/>
      <c r="AGA35" s="1"/>
      <c r="AGB35" s="1"/>
      <c r="AGC35" s="1"/>
      <c r="AGD35" s="1"/>
      <c r="AGE35" s="1"/>
      <c r="AGF35" s="1"/>
      <c r="AGG35" s="1"/>
      <c r="AGH35" s="1"/>
      <c r="AGI35" s="1"/>
      <c r="AGJ35" s="1"/>
      <c r="AGK35" s="1"/>
      <c r="AGL35" s="1"/>
      <c r="AGM35" s="1"/>
      <c r="AGN35" s="1"/>
      <c r="AGO35" s="1"/>
      <c r="AGP35" s="1"/>
      <c r="AGQ35" s="1"/>
      <c r="AGR35" s="1"/>
      <c r="AGS35" s="1"/>
      <c r="AGT35" s="1"/>
      <c r="AGU35" s="1"/>
      <c r="AGV35" s="1"/>
      <c r="AGW35" s="1"/>
      <c r="AGX35" s="1"/>
      <c r="AGY35" s="1"/>
      <c r="AGZ35" s="1"/>
      <c r="AHA35" s="1"/>
      <c r="AHB35" s="1"/>
      <c r="AHC35" s="1"/>
      <c r="AHD35" s="1"/>
      <c r="AHE35" s="1"/>
      <c r="AHF35" s="1"/>
      <c r="AHG35" s="1"/>
      <c r="AHH35" s="1"/>
      <c r="AHI35" s="1"/>
      <c r="AHJ35" s="1"/>
      <c r="AHK35" s="1"/>
      <c r="AHL35" s="1"/>
      <c r="AHM35" s="1"/>
      <c r="AHN35" s="1"/>
      <c r="AHO35" s="1"/>
      <c r="AHP35" s="1"/>
      <c r="AHQ35" s="1"/>
      <c r="AHR35" s="1"/>
      <c r="AHS35" s="1"/>
      <c r="AHT35" s="1"/>
      <c r="AHU35" s="1"/>
      <c r="AHV35" s="1"/>
      <c r="AHW35" s="1"/>
      <c r="AHX35" s="1"/>
      <c r="AHY35" s="1"/>
      <c r="AHZ35" s="1"/>
      <c r="AIA35" s="1"/>
      <c r="AIB35" s="1"/>
      <c r="AIC35" s="1"/>
      <c r="AID35" s="1"/>
      <c r="AIE35" s="1"/>
      <c r="AIF35" s="1"/>
      <c r="AIG35" s="1"/>
      <c r="AIH35" s="1"/>
      <c r="AII35" s="1"/>
      <c r="AIJ35" s="1"/>
      <c r="AIK35" s="1"/>
      <c r="AIL35" s="1"/>
      <c r="AIM35" s="1"/>
      <c r="AIN35" s="1"/>
      <c r="AIO35" s="1"/>
      <c r="AIP35" s="1"/>
      <c r="AIQ35" s="1"/>
      <c r="AIR35" s="1"/>
      <c r="AIS35" s="1"/>
      <c r="AIT35" s="1"/>
      <c r="AIU35" s="1"/>
      <c r="AIV35" s="1"/>
      <c r="AIW35" s="1"/>
      <c r="AIX35" s="1"/>
      <c r="AIY35" s="1"/>
      <c r="AIZ35" s="1"/>
      <c r="AJA35" s="1"/>
      <c r="AJB35" s="1"/>
      <c r="AJC35" s="1"/>
      <c r="AJD35" s="1"/>
      <c r="AJE35" s="1"/>
      <c r="AJF35" s="1"/>
      <c r="AJG35" s="1"/>
      <c r="AJH35" s="1"/>
      <c r="AJI35" s="1"/>
      <c r="AJJ35" s="1"/>
      <c r="AJK35" s="1"/>
      <c r="AJL35" s="1"/>
      <c r="AJM35" s="1"/>
      <c r="AJN35" s="1"/>
      <c r="AJO35" s="1"/>
      <c r="AJP35" s="1"/>
      <c r="AJQ35" s="1"/>
      <c r="AJR35" s="1"/>
      <c r="AJS35" s="1"/>
      <c r="AJT35" s="1"/>
      <c r="AJU35" s="1"/>
      <c r="AJV35" s="1"/>
      <c r="AJW35" s="1"/>
      <c r="AJX35" s="1"/>
      <c r="AJY35" s="1"/>
      <c r="AJZ35" s="1"/>
      <c r="AKA35" s="1"/>
      <c r="AKB35" s="1"/>
      <c r="AKC35" s="1"/>
      <c r="AKD35" s="1"/>
      <c r="AKE35" s="1"/>
      <c r="AKF35" s="1"/>
      <c r="AKG35" s="1"/>
      <c r="AKH35" s="1"/>
      <c r="AKI35" s="1"/>
      <c r="AKJ35" s="1"/>
      <c r="AKK35" s="1"/>
      <c r="AKL35" s="1"/>
      <c r="AKM35" s="1"/>
      <c r="AKN35" s="1"/>
      <c r="AKO35" s="1"/>
      <c r="AKP35" s="1"/>
      <c r="AKQ35" s="1"/>
      <c r="AKR35" s="1"/>
      <c r="AKS35" s="1"/>
      <c r="AKT35" s="1"/>
      <c r="AKU35" s="1"/>
      <c r="AKV35" s="1"/>
      <c r="AKW35" s="1"/>
      <c r="AKX35" s="1"/>
      <c r="AKY35" s="1"/>
      <c r="AKZ35" s="1"/>
      <c r="ALA35" s="1"/>
      <c r="ALB35" s="1"/>
      <c r="ALC35" s="1"/>
      <c r="ALD35" s="1"/>
      <c r="ALE35" s="1"/>
      <c r="ALF35" s="1"/>
      <c r="ALG35" s="1"/>
      <c r="ALH35" s="1"/>
      <c r="ALI35" s="1"/>
      <c r="ALJ35" s="1"/>
      <c r="ALK35" s="1"/>
      <c r="ALL35" s="1"/>
      <c r="ALM35" s="1"/>
      <c r="ALN35" s="1"/>
      <c r="ALO35" s="1"/>
      <c r="ALP35" s="1"/>
      <c r="ALQ35" s="1"/>
      <c r="ALR35" s="1"/>
      <c r="ALS35" s="1"/>
      <c r="ALT35" s="1"/>
      <c r="ALU35" s="1"/>
      <c r="ALV35" s="1"/>
      <c r="ALW35" s="1"/>
      <c r="ALX35" s="1"/>
      <c r="ALY35" s="1"/>
      <c r="ALZ35" s="1"/>
      <c r="AMA35" s="1"/>
      <c r="AMB35" s="1"/>
      <c r="AMC35" s="1"/>
      <c r="AMD35" s="1"/>
      <c r="AME35" s="1"/>
      <c r="AMF35" s="1"/>
      <c r="AMG35" s="1"/>
      <c r="AMH35" s="1"/>
      <c r="AMI35" s="1"/>
      <c r="AMJ35" s="1"/>
      <c r="AMK35" s="1"/>
      <c r="AML35" s="1"/>
      <c r="AMM35" s="1"/>
      <c r="AMN35" s="1"/>
      <c r="AMO35" s="1"/>
      <c r="AMP35" s="1"/>
    </row>
    <row r="36" spans="1:1030" x14ac:dyDescent="0.2">
      <c r="A36" s="3" t="str">
        <f t="shared" si="0"/>
        <v>aa2ar_human_4EIY</v>
      </c>
      <c r="B36" s="3" t="s">
        <v>139</v>
      </c>
      <c r="C36" s="3" t="s">
        <v>81</v>
      </c>
      <c r="D36" s="3" t="str">
        <f>IFERROR(MID(VLOOKUP($B36,Seqs!$A:$B,2,0),E36,1),"")</f>
        <v>P</v>
      </c>
      <c r="E36" s="3">
        <v>2</v>
      </c>
      <c r="F36" s="3" t="str">
        <f>IFERROR(MID(VLOOKUP($B36,Seqs!$A:$B,2,0),G36,1),"")</f>
        <v>N</v>
      </c>
      <c r="G36" s="3">
        <v>34</v>
      </c>
      <c r="H36" s="3" t="str">
        <f>IFERROR(MID(VLOOKUP($B36,Seqs!$A:$B,2,0),I36,1),"")</f>
        <v>S</v>
      </c>
      <c r="I36" s="23">
        <v>35</v>
      </c>
      <c r="J36" s="3" t="str">
        <f>IFERROR(MID(VLOOKUP($B36,Seqs!$A:$B,2,0),K36,1),"")</f>
        <v>Q</v>
      </c>
      <c r="K36" s="23">
        <v>38</v>
      </c>
      <c r="L36" s="3" t="str">
        <f>IFERROR(MID(VLOOKUP($B36,Seqs!$A:$B,2,0),M36,1),"")</f>
        <v>N</v>
      </c>
      <c r="M36" s="3">
        <v>39</v>
      </c>
      <c r="N36" s="3" t="str">
        <f>IFERROR(MID(VLOOKUP($B36,Seqs!$A:$B,2,0),O36,1),"")</f>
        <v>G</v>
      </c>
      <c r="O36" s="3">
        <v>69</v>
      </c>
      <c r="P36" s="3" t="str">
        <f>IFERROR(MID(VLOOKUP($B36,Seqs!$A:$B,2,0),Q36,1),"")</f>
        <v>F</v>
      </c>
      <c r="Q36" s="3">
        <v>70</v>
      </c>
      <c r="R36" s="3" t="str">
        <f>IFERROR(MID(VLOOKUP($B36,Seqs!$A:$B,2,0),S36,1),"")</f>
        <v>A</v>
      </c>
      <c r="S36" s="3">
        <v>72</v>
      </c>
      <c r="T36" s="3" t="str">
        <f>IFERROR(MID(VLOOKUP($B36,Seqs!$A:$B,2,0),U36,1),"")</f>
        <v>A</v>
      </c>
      <c r="U36" s="3">
        <v>73</v>
      </c>
      <c r="V36" s="3" t="str">
        <f>IFERROR(MID(VLOOKUP($B36,Seqs!$A:$B,2,0),W36,1),"")</f>
        <v>I</v>
      </c>
      <c r="W36" s="3">
        <v>108</v>
      </c>
      <c r="X36" s="3" t="str">
        <f>IFERROR(MID(VLOOKUP($B36,Seqs!$A:$B,2,0),Y36,1),"")</f>
        <v>P</v>
      </c>
      <c r="Y36" s="3">
        <v>109</v>
      </c>
      <c r="Z36" s="3" t="str">
        <f>IFERROR(MID(VLOOKUP($B36,Seqs!$A:$B,2,0),AA36,1),"")</f>
        <v>V</v>
      </c>
      <c r="AA36" s="3">
        <v>116</v>
      </c>
      <c r="AB36" s="3" t="str">
        <f>IFERROR(MID(VLOOKUP($B36,Seqs!$A:$B,2,0),AC36,1),"")</f>
        <v>T</v>
      </c>
      <c r="AC36" s="9">
        <v>117</v>
      </c>
      <c r="AD36" s="3" t="str">
        <f>IFERROR(MID(VLOOKUP($B36,Seqs!$A:$B,2,0),AE36,1),"")</f>
        <v>G</v>
      </c>
      <c r="AE36" s="3">
        <v>142</v>
      </c>
      <c r="AF36" s="3" t="str">
        <f>IFERROR(MID(VLOOKUP($B36,Seqs!$A:$B,2,0),AG36,1),"")</f>
        <v>C</v>
      </c>
      <c r="AG36" s="3">
        <v>166</v>
      </c>
      <c r="AH36" s="3" t="str">
        <f>IFERROR(MID(VLOOKUP($B36,Seqs!$A:$B,2,0),AI36,1),"")</f>
        <v>F</v>
      </c>
      <c r="AI36" s="3">
        <v>168</v>
      </c>
      <c r="AJ36" s="3" t="str">
        <f>IFERROR(MID(VLOOKUP($B36,Seqs!$A:$B,2,0),AK36,1),"")</f>
        <v>P</v>
      </c>
      <c r="AK36" s="3">
        <v>173</v>
      </c>
      <c r="AL36" s="3" t="str">
        <f>IFERROR(MID(VLOOKUP($B36,Seqs!$A:$B,2,0),AM36,1),"")</f>
        <v>Q</v>
      </c>
      <c r="AM36" s="3">
        <v>207</v>
      </c>
      <c r="AN36" s="3" t="str">
        <f>IFERROR(MID(VLOOKUP($B36,Seqs!$A:$B,2,0),AO36,1),"")</f>
        <v>E</v>
      </c>
      <c r="AO36" s="3">
        <v>219</v>
      </c>
      <c r="AP36" s="3" t="str">
        <f>IFERROR(MID(VLOOKUP($B36,Seqs!$A:$B,2,0),AQ36,1),"")</f>
        <v>C</v>
      </c>
      <c r="AQ36" s="3">
        <v>259</v>
      </c>
      <c r="AR36" s="3" t="str">
        <f>IFERROR(MID(VLOOKUP($B36,Seqs!$A:$B,2,0),AS36,1),"")</f>
        <v>P</v>
      </c>
      <c r="AS36" s="3">
        <v>266</v>
      </c>
      <c r="AT36" s="3" t="str">
        <f>IFERROR(MID(VLOOKUP($B36,Seqs!$A:$B,2,0),AU36,1),"")</f>
        <v>R</v>
      </c>
      <c r="AU36" s="3">
        <v>291</v>
      </c>
      <c r="AV36" s="3" t="str">
        <f>IFERROR(MID(VLOOKUP($B36,Seqs!$A:$B,2,0),AW36,1),"")</f>
        <v>I</v>
      </c>
      <c r="AW36" s="3">
        <v>292</v>
      </c>
      <c r="AX36" s="3" t="str">
        <f>IFERROR(MID(VLOOKUP($B36,Seqs!$A:$B,2,0),AY36,1),"")</f>
        <v>V</v>
      </c>
      <c r="AY36" s="3">
        <v>307</v>
      </c>
      <c r="AZ36" s="77" t="str">
        <f>VLOOKUP(B36,Classification!A:D,2,0)</f>
        <v>A</v>
      </c>
      <c r="BA36" s="94" t="str">
        <f>VLOOKUP(B36,Classification!A:D,4,0)</f>
        <v>Adenosine</v>
      </c>
      <c r="BB36" s="27" t="b">
        <f t="shared" si="1"/>
        <v>1</v>
      </c>
      <c r="BC36" s="23">
        <f t="shared" si="224"/>
        <v>262</v>
      </c>
      <c r="BD36" s="4" t="s">
        <v>23</v>
      </c>
      <c r="BE36" s="3" t="s">
        <v>1380</v>
      </c>
      <c r="BF36" s="119">
        <v>1.8</v>
      </c>
      <c r="BG36" s="49" t="s">
        <v>1383</v>
      </c>
      <c r="BH36" s="49" t="s">
        <v>1383</v>
      </c>
      <c r="BI36" s="1"/>
      <c r="BJ36" s="70" t="s">
        <v>1293</v>
      </c>
      <c r="BK36" s="57" t="s">
        <v>1293</v>
      </c>
      <c r="BL36" s="57" t="s">
        <v>1293</v>
      </c>
      <c r="BM36" s="57" t="s">
        <v>1293</v>
      </c>
      <c r="BN36" s="57" t="s">
        <v>1293</v>
      </c>
      <c r="BO36" s="57" t="s">
        <v>1293</v>
      </c>
      <c r="BP36" s="57" t="s">
        <v>1293</v>
      </c>
      <c r="BQ36" s="57" t="s">
        <v>1293</v>
      </c>
      <c r="BR36" s="57" t="s">
        <v>1293</v>
      </c>
      <c r="BS36" s="57" t="s">
        <v>1293</v>
      </c>
      <c r="BT36" s="57" t="s">
        <v>1293</v>
      </c>
      <c r="BU36" s="57" t="s">
        <v>1293</v>
      </c>
      <c r="BV36" s="70">
        <f t="shared" si="3"/>
        <v>2</v>
      </c>
      <c r="BW36" s="71">
        <f t="shared" si="4"/>
        <v>35</v>
      </c>
      <c r="BX36" s="72">
        <f t="shared" si="5"/>
        <v>39</v>
      </c>
      <c r="BY36" s="71">
        <f t="shared" si="6"/>
        <v>70</v>
      </c>
      <c r="BZ36" s="72">
        <f t="shared" si="7"/>
        <v>73</v>
      </c>
      <c r="CA36" s="71">
        <f t="shared" si="8"/>
        <v>109</v>
      </c>
      <c r="CB36" s="72">
        <f t="shared" si="9"/>
        <v>117</v>
      </c>
      <c r="CC36" s="71">
        <f t="shared" si="10"/>
        <v>166</v>
      </c>
      <c r="CD36" s="72">
        <f t="shared" si="11"/>
        <v>173</v>
      </c>
      <c r="CE36" s="71">
        <f t="shared" si="12"/>
        <v>219</v>
      </c>
      <c r="CF36" s="72">
        <f t="shared" si="13"/>
        <v>266</v>
      </c>
      <c r="CG36" s="71">
        <f t="shared" si="14"/>
        <v>292</v>
      </c>
      <c r="CH36" s="70">
        <f t="shared" si="15"/>
        <v>34</v>
      </c>
      <c r="CI36" s="71">
        <f t="shared" si="16"/>
        <v>38</v>
      </c>
      <c r="CJ36" s="72">
        <f t="shared" si="17"/>
        <v>69</v>
      </c>
      <c r="CK36" s="72">
        <f t="shared" si="18"/>
        <v>72</v>
      </c>
      <c r="CL36" s="72">
        <f t="shared" si="19"/>
        <v>108</v>
      </c>
      <c r="CM36" s="72">
        <f t="shared" si="20"/>
        <v>116</v>
      </c>
      <c r="CN36" s="72">
        <f t="shared" si="21"/>
        <v>142</v>
      </c>
      <c r="CO36" s="72">
        <f t="shared" si="22"/>
        <v>168</v>
      </c>
      <c r="CP36" s="72">
        <f t="shared" si="23"/>
        <v>207</v>
      </c>
      <c r="CQ36" s="72">
        <f t="shared" si="24"/>
        <v>259</v>
      </c>
      <c r="CR36" s="72">
        <f t="shared" si="25"/>
        <v>291</v>
      </c>
      <c r="CS36" s="72">
        <f t="shared" si="26"/>
        <v>307</v>
      </c>
      <c r="CT36" s="23">
        <f t="shared" si="27"/>
        <v>1</v>
      </c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  <c r="ADW36" s="1"/>
      <c r="ADX36" s="1"/>
      <c r="ADY36" s="1"/>
      <c r="ADZ36" s="1"/>
      <c r="AEA36" s="1"/>
      <c r="AEB36" s="1"/>
      <c r="AEC36" s="1"/>
      <c r="AED36" s="1"/>
      <c r="AEE36" s="1"/>
      <c r="AEF36" s="1"/>
      <c r="AEG36" s="1"/>
      <c r="AEH36" s="1"/>
      <c r="AEI36" s="1"/>
      <c r="AEJ36" s="1"/>
      <c r="AEK36" s="1"/>
      <c r="AEL36" s="1"/>
      <c r="AEM36" s="1"/>
      <c r="AEN36" s="1"/>
      <c r="AEO36" s="1"/>
      <c r="AEP36" s="1"/>
      <c r="AEQ36" s="1"/>
      <c r="AER36" s="1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1"/>
      <c r="AFE36" s="1"/>
      <c r="AFF36" s="1"/>
      <c r="AFG36" s="1"/>
      <c r="AFH36" s="1"/>
      <c r="AFI36" s="1"/>
      <c r="AFJ36" s="1"/>
      <c r="AFK36" s="1"/>
      <c r="AFL36" s="1"/>
      <c r="AFM36" s="1"/>
      <c r="AFN36" s="1"/>
      <c r="AFO36" s="1"/>
      <c r="AFP36" s="1"/>
      <c r="AFQ36" s="1"/>
      <c r="AFR36" s="1"/>
      <c r="AFS36" s="1"/>
      <c r="AFT36" s="1"/>
      <c r="AFU36" s="1"/>
      <c r="AFV36" s="1"/>
      <c r="AFW36" s="1"/>
      <c r="AFX36" s="1"/>
      <c r="AFY36" s="1"/>
      <c r="AFZ36" s="1"/>
      <c r="AGA36" s="1"/>
      <c r="AGB36" s="1"/>
      <c r="AGC36" s="1"/>
      <c r="AGD36" s="1"/>
      <c r="AGE36" s="1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1"/>
      <c r="AHD36" s="1"/>
      <c r="AHE36" s="1"/>
      <c r="AHF36" s="1"/>
      <c r="AHG36" s="1"/>
      <c r="AHH36" s="1"/>
      <c r="AHI36" s="1"/>
      <c r="AHJ36" s="1"/>
      <c r="AHK36" s="1"/>
      <c r="AHL36" s="1"/>
      <c r="AHM36" s="1"/>
      <c r="AHN36" s="1"/>
      <c r="AHO36" s="1"/>
      <c r="AHP36" s="1"/>
      <c r="AHQ36" s="1"/>
      <c r="AHR36" s="1"/>
      <c r="AHS36" s="1"/>
      <c r="AHT36" s="1"/>
      <c r="AHU36" s="1"/>
      <c r="AHV36" s="1"/>
      <c r="AHW36" s="1"/>
      <c r="AHX36" s="1"/>
      <c r="AHY36" s="1"/>
      <c r="AHZ36" s="1"/>
      <c r="AIA36" s="1"/>
      <c r="AIB36" s="1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1"/>
      <c r="AIQ36" s="1"/>
      <c r="AIR36" s="1"/>
      <c r="AIS36" s="1"/>
      <c r="AIT36" s="1"/>
      <c r="AIU36" s="1"/>
      <c r="AIV36" s="1"/>
      <c r="AIW36" s="1"/>
      <c r="AIX36" s="1"/>
      <c r="AIY36" s="1"/>
      <c r="AIZ36" s="1"/>
      <c r="AJA36" s="1"/>
      <c r="AJB36" s="1"/>
      <c r="AJC36" s="1"/>
      <c r="AJD36" s="1"/>
      <c r="AJE36" s="1"/>
      <c r="AJF36" s="1"/>
      <c r="AJG36" s="1"/>
      <c r="AJH36" s="1"/>
      <c r="AJI36" s="1"/>
      <c r="AJJ36" s="1"/>
      <c r="AJK36" s="1"/>
      <c r="AJL36" s="1"/>
      <c r="AJM36" s="1"/>
      <c r="AJN36" s="1"/>
      <c r="AJO36" s="1"/>
      <c r="AJP36" s="1"/>
      <c r="AJQ36" s="1"/>
      <c r="AJR36" s="1"/>
      <c r="AJS36" s="1"/>
      <c r="AJT36" s="1"/>
      <c r="AJU36" s="1"/>
      <c r="AJV36" s="1"/>
      <c r="AJW36" s="1"/>
      <c r="AJX36" s="1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1"/>
      <c r="AKN36" s="1"/>
      <c r="AKO36" s="1"/>
      <c r="AKP36" s="1"/>
      <c r="AKQ36" s="1"/>
      <c r="AKR36" s="1"/>
      <c r="AKS36" s="1"/>
      <c r="AKT36" s="1"/>
      <c r="AKU36" s="1"/>
      <c r="AKV36" s="1"/>
      <c r="AKW36" s="1"/>
      <c r="AKX36" s="1"/>
      <c r="AKY36" s="1"/>
      <c r="AKZ36" s="1"/>
      <c r="ALA36" s="1"/>
      <c r="ALB36" s="1"/>
      <c r="ALC36" s="1"/>
      <c r="ALD36" s="1"/>
      <c r="ALE36" s="1"/>
      <c r="ALF36" s="1"/>
      <c r="ALG36" s="1"/>
      <c r="ALH36" s="1"/>
      <c r="ALI36" s="1"/>
      <c r="ALJ36" s="1"/>
      <c r="ALK36" s="1"/>
      <c r="ALL36" s="1"/>
      <c r="ALM36" s="1"/>
      <c r="ALN36" s="1"/>
      <c r="ALO36" s="1"/>
      <c r="ALP36" s="1"/>
      <c r="ALQ36" s="1"/>
      <c r="ALR36" s="1"/>
      <c r="ALS36" s="1"/>
      <c r="ALT36" s="1"/>
      <c r="ALU36" s="1"/>
      <c r="ALV36" s="1"/>
      <c r="ALW36" s="1"/>
      <c r="ALX36" s="1"/>
      <c r="ALY36" s="1"/>
      <c r="ALZ36" s="1"/>
      <c r="AMA36" s="1"/>
      <c r="AMB36" s="1"/>
      <c r="AMC36" s="1"/>
      <c r="AMD36" s="1"/>
      <c r="AME36" s="1"/>
      <c r="AMF36" s="1"/>
      <c r="AMG36" s="1"/>
      <c r="AMH36" s="1"/>
      <c r="AMI36" s="1"/>
      <c r="AMJ36" s="1"/>
      <c r="AMK36" s="1"/>
      <c r="AML36" s="1"/>
      <c r="AMM36" s="1"/>
      <c r="AMN36" s="1"/>
      <c r="AMO36" s="1"/>
    </row>
    <row r="37" spans="1:1030" x14ac:dyDescent="0.2">
      <c r="A37" s="3" t="str">
        <f t="shared" si="0"/>
        <v>aa2ar_human_4UHR</v>
      </c>
      <c r="B37" s="3" t="s">
        <v>139</v>
      </c>
      <c r="C37" s="3" t="s">
        <v>1055</v>
      </c>
      <c r="D37" s="3" t="str">
        <f>IFERROR(MID(VLOOKUP($B37,Seqs!$A:$B,2,0),E37,1),"")</f>
        <v>S</v>
      </c>
      <c r="E37" s="3">
        <v>6</v>
      </c>
      <c r="F37" s="3" t="str">
        <f>IFERROR(MID(VLOOKUP($B37,Seqs!$A:$B,2,0),G37,1),"")</f>
        <v>N</v>
      </c>
      <c r="G37" s="3">
        <v>34</v>
      </c>
      <c r="H37" s="3" t="str">
        <f>IFERROR(MID(VLOOKUP($B37,Seqs!$A:$B,2,0),I37,1),"")</f>
        <v>S</v>
      </c>
      <c r="I37" s="23">
        <v>35</v>
      </c>
      <c r="J37" s="3" t="str">
        <f>IFERROR(MID(VLOOKUP($B37,Seqs!$A:$B,2,0),K37,1),"")</f>
        <v>Q</v>
      </c>
      <c r="K37" s="23">
        <v>38</v>
      </c>
      <c r="L37" s="3" t="str">
        <f>IFERROR(MID(VLOOKUP($B37,Seqs!$A:$B,2,0),M37,1),"")</f>
        <v>N</v>
      </c>
      <c r="M37" s="3">
        <v>39</v>
      </c>
      <c r="N37" s="3" t="str">
        <f>IFERROR(MID(VLOOKUP($B37,Seqs!$A:$B,2,0),O37,1),"")</f>
        <v>G</v>
      </c>
      <c r="O37" s="3">
        <v>69</v>
      </c>
      <c r="P37" s="3" t="str">
        <f>IFERROR(MID(VLOOKUP($B37,Seqs!$A:$B,2,0),Q37,1),"")</f>
        <v>F</v>
      </c>
      <c r="Q37" s="3">
        <v>70</v>
      </c>
      <c r="R37" s="3" t="str">
        <f>IFERROR(MID(VLOOKUP($B37,Seqs!$A:$B,2,0),S37,1),"")</f>
        <v>A</v>
      </c>
      <c r="S37" s="3">
        <v>72</v>
      </c>
      <c r="T37" s="3" t="str">
        <f>IFERROR(MID(VLOOKUP($B37,Seqs!$A:$B,2,0),U37,1),"")</f>
        <v>A</v>
      </c>
      <c r="U37" s="3">
        <v>73</v>
      </c>
      <c r="V37" s="3" t="str">
        <f>IFERROR(MID(VLOOKUP($B37,Seqs!$A:$B,2,0),W37,1),"")</f>
        <v>I</v>
      </c>
      <c r="W37" s="3">
        <v>108</v>
      </c>
      <c r="X37" s="3" t="str">
        <f>IFERROR(MID(VLOOKUP($B37,Seqs!$A:$B,2,0),Y37,1),"")</f>
        <v>P</v>
      </c>
      <c r="Y37" s="3">
        <v>109</v>
      </c>
      <c r="Z37" s="3" t="str">
        <f>IFERROR(MID(VLOOKUP($B37,Seqs!$A:$B,2,0),AA37,1),"")</f>
        <v>V</v>
      </c>
      <c r="AA37" s="3">
        <v>116</v>
      </c>
      <c r="AB37" s="3" t="str">
        <f>IFERROR(MID(VLOOKUP($B37,Seqs!$A:$B,2,0),AC37,1),"")</f>
        <v>T</v>
      </c>
      <c r="AC37" s="9">
        <v>117</v>
      </c>
      <c r="AD37" s="3" t="str">
        <f>IFERROR(MID(VLOOKUP($B37,Seqs!$A:$B,2,0),AE37,1),"")</f>
        <v>G</v>
      </c>
      <c r="AE37" s="3">
        <v>142</v>
      </c>
      <c r="AF37" s="3" t="str">
        <f>IFERROR(MID(VLOOKUP($B37,Seqs!$A:$B,2,0),AG37,1),"")</f>
        <v>C</v>
      </c>
      <c r="AG37" s="3">
        <v>166</v>
      </c>
      <c r="AH37" s="3" t="str">
        <f>IFERROR(MID(VLOOKUP($B37,Seqs!$A:$B,2,0),AI37,1),"")</f>
        <v>F</v>
      </c>
      <c r="AI37" s="3">
        <v>168</v>
      </c>
      <c r="AJ37" s="3" t="str">
        <f>IFERROR(MID(VLOOKUP($B37,Seqs!$A:$B,2,0),AK37,1),"")</f>
        <v>P</v>
      </c>
      <c r="AK37" s="3">
        <v>173</v>
      </c>
      <c r="AL37" s="3" t="str">
        <f>IFERROR(MID(VLOOKUP($B37,Seqs!$A:$B,2,0),AM37,1),"")</f>
        <v>S</v>
      </c>
      <c r="AM37" s="3">
        <v>213</v>
      </c>
      <c r="AN37" s="3" t="str">
        <f>IFERROR(MID(VLOOKUP($B37,Seqs!$A:$B,2,0),AO37,1),"")</f>
        <v>E</v>
      </c>
      <c r="AO37" s="3">
        <v>219</v>
      </c>
      <c r="AP37" s="3" t="str">
        <f>IFERROR(MID(VLOOKUP($B37,Seqs!$A:$B,2,0),AQ37,1),"")</f>
        <v>C</v>
      </c>
      <c r="AQ37" s="3">
        <v>259</v>
      </c>
      <c r="AR37" s="3" t="str">
        <f>IFERROR(MID(VLOOKUP($B37,Seqs!$A:$B,2,0),AS37,1),"")</f>
        <v>P</v>
      </c>
      <c r="AS37" s="3">
        <v>266</v>
      </c>
      <c r="AT37" s="3" t="str">
        <f>IFERROR(MID(VLOOKUP($B37,Seqs!$A:$B,2,0),AU37,1),"")</f>
        <v>R</v>
      </c>
      <c r="AU37" s="3">
        <v>291</v>
      </c>
      <c r="AV37" s="3" t="str">
        <f>IFERROR(MID(VLOOKUP($B37,Seqs!$A:$B,2,0),AW37,1),"")</f>
        <v>I</v>
      </c>
      <c r="AW37" s="3">
        <v>292</v>
      </c>
      <c r="AX37" s="3" t="str">
        <f>IFERROR(MID(VLOOKUP($B37,Seqs!$A:$B,2,0),AY37,1),"")</f>
        <v>Q</v>
      </c>
      <c r="AY37" s="3">
        <v>311</v>
      </c>
      <c r="AZ37" s="77" t="str">
        <f>VLOOKUP(B37,Classification!A:D,2,0)</f>
        <v>A</v>
      </c>
      <c r="BA37" s="94" t="str">
        <f>VLOOKUP(B37,Classification!A:D,4,0)</f>
        <v>Adenosine</v>
      </c>
      <c r="BB37" s="27" t="b">
        <f t="shared" si="1"/>
        <v>1</v>
      </c>
      <c r="BC37" s="23">
        <f t="shared" si="224"/>
        <v>268</v>
      </c>
      <c r="BD37" s="2" t="s">
        <v>1439</v>
      </c>
      <c r="BE37" s="3" t="s">
        <v>1438</v>
      </c>
      <c r="BF37" s="119">
        <v>2.6</v>
      </c>
      <c r="BG37" s="49" t="s">
        <v>1383</v>
      </c>
      <c r="BH37" s="49" t="s">
        <v>1383</v>
      </c>
      <c r="BI37" s="1"/>
      <c r="BJ37" s="70" t="s">
        <v>1293</v>
      </c>
      <c r="BK37" s="57" t="s">
        <v>1293</v>
      </c>
      <c r="BL37" s="57" t="s">
        <v>1293</v>
      </c>
      <c r="BM37" s="57" t="s">
        <v>1293</v>
      </c>
      <c r="BN37" s="57" t="s">
        <v>1293</v>
      </c>
      <c r="BO37" s="57" t="s">
        <v>1293</v>
      </c>
      <c r="BP37" s="57" t="s">
        <v>1293</v>
      </c>
      <c r="BQ37" s="57" t="s">
        <v>1293</v>
      </c>
      <c r="BR37" s="57" t="s">
        <v>1293</v>
      </c>
      <c r="BS37" s="57" t="s">
        <v>1293</v>
      </c>
      <c r="BT37" s="57" t="s">
        <v>1293</v>
      </c>
      <c r="BU37" s="57" t="s">
        <v>1293</v>
      </c>
      <c r="BV37" s="70">
        <f t="shared" si="3"/>
        <v>6</v>
      </c>
      <c r="BW37" s="71">
        <f t="shared" si="4"/>
        <v>35</v>
      </c>
      <c r="BX37" s="72">
        <f t="shared" si="5"/>
        <v>39</v>
      </c>
      <c r="BY37" s="71">
        <f t="shared" si="6"/>
        <v>70</v>
      </c>
      <c r="BZ37" s="72">
        <f t="shared" si="7"/>
        <v>73</v>
      </c>
      <c r="CA37" s="71">
        <f t="shared" si="8"/>
        <v>109</v>
      </c>
      <c r="CB37" s="72">
        <f t="shared" si="9"/>
        <v>117</v>
      </c>
      <c r="CC37" s="71">
        <f t="shared" si="10"/>
        <v>166</v>
      </c>
      <c r="CD37" s="72">
        <f t="shared" si="11"/>
        <v>173</v>
      </c>
      <c r="CE37" s="71">
        <f t="shared" si="12"/>
        <v>219</v>
      </c>
      <c r="CF37" s="72">
        <f t="shared" si="13"/>
        <v>266</v>
      </c>
      <c r="CG37" s="71">
        <f t="shared" si="14"/>
        <v>292</v>
      </c>
      <c r="CH37" s="70">
        <f t="shared" si="15"/>
        <v>34</v>
      </c>
      <c r="CI37" s="71">
        <f t="shared" si="16"/>
        <v>38</v>
      </c>
      <c r="CJ37" s="72">
        <f t="shared" si="17"/>
        <v>69</v>
      </c>
      <c r="CK37" s="72">
        <f t="shared" si="18"/>
        <v>72</v>
      </c>
      <c r="CL37" s="72">
        <f t="shared" si="19"/>
        <v>108</v>
      </c>
      <c r="CM37" s="72">
        <f t="shared" si="20"/>
        <v>116</v>
      </c>
      <c r="CN37" s="72">
        <f t="shared" si="21"/>
        <v>142</v>
      </c>
      <c r="CO37" s="72">
        <f t="shared" si="22"/>
        <v>168</v>
      </c>
      <c r="CP37" s="72">
        <f t="shared" si="23"/>
        <v>213</v>
      </c>
      <c r="CQ37" s="72">
        <f t="shared" si="24"/>
        <v>259</v>
      </c>
      <c r="CR37" s="72">
        <f t="shared" si="25"/>
        <v>291</v>
      </c>
      <c r="CS37" s="72">
        <f t="shared" si="26"/>
        <v>311</v>
      </c>
      <c r="CT37" s="23">
        <f t="shared" si="27"/>
        <v>1</v>
      </c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  <c r="ADW37" s="1"/>
      <c r="ADX37" s="1"/>
      <c r="ADY37" s="1"/>
      <c r="ADZ37" s="1"/>
      <c r="AEA37" s="1"/>
      <c r="AEB37" s="1"/>
      <c r="AEC37" s="1"/>
      <c r="AED37" s="1"/>
      <c r="AEE37" s="1"/>
      <c r="AEF37" s="1"/>
      <c r="AEG37" s="1"/>
      <c r="AEH37" s="1"/>
      <c r="AEI37" s="1"/>
      <c r="AEJ37" s="1"/>
      <c r="AEK37" s="1"/>
      <c r="AEL37" s="1"/>
      <c r="AEM37" s="1"/>
      <c r="AEN37" s="1"/>
      <c r="AEO37" s="1"/>
      <c r="AEP37" s="1"/>
      <c r="AEQ37" s="1"/>
      <c r="AER37" s="1"/>
      <c r="AES37" s="1"/>
      <c r="AET37" s="1"/>
      <c r="AEU37" s="1"/>
      <c r="AEV37" s="1"/>
      <c r="AEW37" s="1"/>
      <c r="AEX37" s="1"/>
      <c r="AEY37" s="1"/>
      <c r="AEZ37" s="1"/>
      <c r="AFA37" s="1"/>
      <c r="AFB37" s="1"/>
      <c r="AFC37" s="1"/>
      <c r="AFD37" s="1"/>
      <c r="AFE37" s="1"/>
      <c r="AFF37" s="1"/>
      <c r="AFG37" s="1"/>
      <c r="AFH37" s="1"/>
      <c r="AFI37" s="1"/>
      <c r="AFJ37" s="1"/>
      <c r="AFK37" s="1"/>
      <c r="AFL37" s="1"/>
      <c r="AFM37" s="1"/>
      <c r="AFN37" s="1"/>
      <c r="AFO37" s="1"/>
      <c r="AFP37" s="1"/>
      <c r="AFQ37" s="1"/>
      <c r="AFR37" s="1"/>
      <c r="AFS37" s="1"/>
      <c r="AFT37" s="1"/>
      <c r="AFU37" s="1"/>
      <c r="AFV37" s="1"/>
      <c r="AFW37" s="1"/>
      <c r="AFX37" s="1"/>
      <c r="AFY37" s="1"/>
      <c r="AFZ37" s="1"/>
      <c r="AGA37" s="1"/>
      <c r="AGB37" s="1"/>
      <c r="AGC37" s="1"/>
      <c r="AGD37" s="1"/>
      <c r="AGE37" s="1"/>
      <c r="AGF37" s="1"/>
      <c r="AGG37" s="1"/>
      <c r="AGH37" s="1"/>
      <c r="AGI37" s="1"/>
      <c r="AGJ37" s="1"/>
      <c r="AGK37" s="1"/>
      <c r="AGL37" s="1"/>
      <c r="AGM37" s="1"/>
      <c r="AGN37" s="1"/>
      <c r="AGO37" s="1"/>
      <c r="AGP37" s="1"/>
      <c r="AGQ37" s="1"/>
      <c r="AGR37" s="1"/>
      <c r="AGS37" s="1"/>
      <c r="AGT37" s="1"/>
      <c r="AGU37" s="1"/>
      <c r="AGV37" s="1"/>
      <c r="AGW37" s="1"/>
      <c r="AGX37" s="1"/>
      <c r="AGY37" s="1"/>
      <c r="AGZ37" s="1"/>
      <c r="AHA37" s="1"/>
      <c r="AHB37" s="1"/>
      <c r="AHC37" s="1"/>
      <c r="AHD37" s="1"/>
      <c r="AHE37" s="1"/>
      <c r="AHF37" s="1"/>
      <c r="AHG37" s="1"/>
      <c r="AHH37" s="1"/>
      <c r="AHI37" s="1"/>
      <c r="AHJ37" s="1"/>
      <c r="AHK37" s="1"/>
      <c r="AHL37" s="1"/>
      <c r="AHM37" s="1"/>
      <c r="AHN37" s="1"/>
      <c r="AHO37" s="1"/>
      <c r="AHP37" s="1"/>
      <c r="AHQ37" s="1"/>
      <c r="AHR37" s="1"/>
      <c r="AHS37" s="1"/>
      <c r="AHT37" s="1"/>
      <c r="AHU37" s="1"/>
      <c r="AHV37" s="1"/>
      <c r="AHW37" s="1"/>
      <c r="AHX37" s="1"/>
      <c r="AHY37" s="1"/>
      <c r="AHZ37" s="1"/>
      <c r="AIA37" s="1"/>
      <c r="AIB37" s="1"/>
      <c r="AIC37" s="1"/>
      <c r="AID37" s="1"/>
      <c r="AIE37" s="1"/>
      <c r="AIF37" s="1"/>
      <c r="AIG37" s="1"/>
      <c r="AIH37" s="1"/>
      <c r="AII37" s="1"/>
      <c r="AIJ37" s="1"/>
      <c r="AIK37" s="1"/>
      <c r="AIL37" s="1"/>
      <c r="AIM37" s="1"/>
      <c r="AIN37" s="1"/>
      <c r="AIO37" s="1"/>
      <c r="AIP37" s="1"/>
      <c r="AIQ37" s="1"/>
      <c r="AIR37" s="1"/>
      <c r="AIS37" s="1"/>
      <c r="AIT37" s="1"/>
      <c r="AIU37" s="1"/>
      <c r="AIV37" s="1"/>
      <c r="AIW37" s="1"/>
      <c r="AIX37" s="1"/>
      <c r="AIY37" s="1"/>
      <c r="AIZ37" s="1"/>
      <c r="AJA37" s="1"/>
      <c r="AJB37" s="1"/>
      <c r="AJC37" s="1"/>
      <c r="AJD37" s="1"/>
      <c r="AJE37" s="1"/>
      <c r="AJF37" s="1"/>
      <c r="AJG37" s="1"/>
      <c r="AJH37" s="1"/>
      <c r="AJI37" s="1"/>
      <c r="AJJ37" s="1"/>
      <c r="AJK37" s="1"/>
      <c r="AJL37" s="1"/>
      <c r="AJM37" s="1"/>
      <c r="AJN37" s="1"/>
      <c r="AJO37" s="1"/>
      <c r="AJP37" s="1"/>
      <c r="AJQ37" s="1"/>
      <c r="AJR37" s="1"/>
      <c r="AJS37" s="1"/>
      <c r="AJT37" s="1"/>
      <c r="AJU37" s="1"/>
      <c r="AJV37" s="1"/>
      <c r="AJW37" s="1"/>
      <c r="AJX37" s="1"/>
      <c r="AJY37" s="1"/>
      <c r="AJZ37" s="1"/>
      <c r="AKA37" s="1"/>
      <c r="AKB37" s="1"/>
      <c r="AKC37" s="1"/>
      <c r="AKD37" s="1"/>
      <c r="AKE37" s="1"/>
      <c r="AKF37" s="1"/>
      <c r="AKG37" s="1"/>
      <c r="AKH37" s="1"/>
      <c r="AKI37" s="1"/>
      <c r="AKJ37" s="1"/>
      <c r="AKK37" s="1"/>
      <c r="AKL37" s="1"/>
      <c r="AKM37" s="1"/>
      <c r="AKN37" s="1"/>
      <c r="AKO37" s="1"/>
      <c r="AKP37" s="1"/>
      <c r="AKQ37" s="1"/>
      <c r="AKR37" s="1"/>
      <c r="AKS37" s="1"/>
      <c r="AKT37" s="1"/>
      <c r="AKU37" s="1"/>
      <c r="AKV37" s="1"/>
      <c r="AKW37" s="1"/>
      <c r="AKX37" s="1"/>
      <c r="AKY37" s="1"/>
      <c r="AKZ37" s="1"/>
      <c r="ALA37" s="1"/>
      <c r="ALB37" s="1"/>
      <c r="ALC37" s="1"/>
      <c r="ALD37" s="1"/>
      <c r="ALE37" s="1"/>
      <c r="ALF37" s="1"/>
      <c r="ALG37" s="1"/>
      <c r="ALH37" s="1"/>
      <c r="ALI37" s="1"/>
      <c r="ALJ37" s="1"/>
      <c r="ALK37" s="1"/>
      <c r="ALL37" s="1"/>
      <c r="ALM37" s="1"/>
      <c r="ALN37" s="1"/>
      <c r="ALO37" s="1"/>
      <c r="ALP37" s="1"/>
      <c r="ALQ37" s="1"/>
      <c r="ALR37" s="1"/>
      <c r="ALS37" s="1"/>
      <c r="ALT37" s="1"/>
      <c r="ALU37" s="1"/>
      <c r="ALV37" s="1"/>
      <c r="ALW37" s="1"/>
      <c r="ALX37" s="1"/>
      <c r="ALY37" s="1"/>
      <c r="ALZ37" s="1"/>
      <c r="AMA37" s="1"/>
      <c r="AMB37" s="1"/>
      <c r="AMC37" s="1"/>
      <c r="AMD37" s="1"/>
      <c r="AME37" s="1"/>
      <c r="AMF37" s="1"/>
      <c r="AMG37" s="1"/>
      <c r="AMH37" s="1"/>
      <c r="AMI37" s="1"/>
      <c r="AMJ37" s="1"/>
      <c r="AMK37" s="1"/>
      <c r="AML37" s="1"/>
      <c r="AMM37" s="1"/>
      <c r="AMN37" s="1"/>
      <c r="AMO37" s="1"/>
    </row>
    <row r="38" spans="1:1030" x14ac:dyDescent="0.2">
      <c r="A38" s="3" t="str">
        <f t="shared" si="0"/>
        <v>aa2ar_human_5G53</v>
      </c>
      <c r="B38" s="3" t="s">
        <v>139</v>
      </c>
      <c r="C38" s="3" t="s">
        <v>1298</v>
      </c>
      <c r="D38" s="3" t="str">
        <f>IFERROR(MID(VLOOKUP($B38,Seqs!$A:$B,2,0),E38,1),"")</f>
        <v>S</v>
      </c>
      <c r="E38" s="3">
        <v>6</v>
      </c>
      <c r="F38" s="3" t="str">
        <f>IFERROR(MID(VLOOKUP($B38,Seqs!$A:$B,2,0),G38,1),"")</f>
        <v>N</v>
      </c>
      <c r="G38" s="3">
        <v>34</v>
      </c>
      <c r="H38" s="3" t="str">
        <f>IFERROR(MID(VLOOKUP($B38,Seqs!$A:$B,2,0),I38,1),"")</f>
        <v>S</v>
      </c>
      <c r="I38" s="23">
        <v>35</v>
      </c>
      <c r="J38" s="3" t="str">
        <f>IFERROR(MID(VLOOKUP($B38,Seqs!$A:$B,2,0),K38,1),"")</f>
        <v>Q</v>
      </c>
      <c r="K38" s="23">
        <v>38</v>
      </c>
      <c r="L38" s="3" t="str">
        <f>IFERROR(MID(VLOOKUP($B38,Seqs!$A:$B,2,0),M38,1),"")</f>
        <v>N</v>
      </c>
      <c r="M38" s="3">
        <v>39</v>
      </c>
      <c r="N38" s="3" t="str">
        <f>IFERROR(MID(VLOOKUP($B38,Seqs!$A:$B,2,0),O38,1),"")</f>
        <v>G</v>
      </c>
      <c r="O38" s="3">
        <v>69</v>
      </c>
      <c r="P38" s="3" t="str">
        <f>IFERROR(MID(VLOOKUP($B38,Seqs!$A:$B,2,0),Q38,1),"")</f>
        <v>F</v>
      </c>
      <c r="Q38" s="3">
        <v>70</v>
      </c>
      <c r="R38" s="3" t="str">
        <f>IFERROR(MID(VLOOKUP($B38,Seqs!$A:$B,2,0),S38,1),"")</f>
        <v>A</v>
      </c>
      <c r="S38" s="3">
        <v>72</v>
      </c>
      <c r="T38" s="3" t="str">
        <f>IFERROR(MID(VLOOKUP($B38,Seqs!$A:$B,2,0),U38,1),"")</f>
        <v>A</v>
      </c>
      <c r="U38" s="3">
        <v>73</v>
      </c>
      <c r="V38" s="3" t="str">
        <f>IFERROR(MID(VLOOKUP($B38,Seqs!$A:$B,2,0),W38,1),"")</f>
        <v>I</v>
      </c>
      <c r="W38" s="3">
        <v>108</v>
      </c>
      <c r="X38" s="3" t="str">
        <f>IFERROR(MID(VLOOKUP($B38,Seqs!$A:$B,2,0),Y38,1),"")</f>
        <v>P</v>
      </c>
      <c r="Y38" s="3">
        <v>109</v>
      </c>
      <c r="Z38" s="3" t="str">
        <f>IFERROR(MID(VLOOKUP($B38,Seqs!$A:$B,2,0),AA38,1),"")</f>
        <v>V</v>
      </c>
      <c r="AA38" s="3">
        <v>116</v>
      </c>
      <c r="AB38" s="3" t="str">
        <f>IFERROR(MID(VLOOKUP($B38,Seqs!$A:$B,2,0),AC38,1),"")</f>
        <v>T</v>
      </c>
      <c r="AC38" s="9">
        <v>117</v>
      </c>
      <c r="AD38" s="3" t="str">
        <f>IFERROR(MID(VLOOKUP($B38,Seqs!$A:$B,2,0),AE38,1),"")</f>
        <v>G</v>
      </c>
      <c r="AE38" s="3">
        <v>142</v>
      </c>
      <c r="AF38" s="3" t="str">
        <f>IFERROR(MID(VLOOKUP($B38,Seqs!$A:$B,2,0),AG38,1),"")</f>
        <v>C</v>
      </c>
      <c r="AG38" s="3">
        <v>166</v>
      </c>
      <c r="AH38" s="3" t="str">
        <f>IFERROR(MID(VLOOKUP($B38,Seqs!$A:$B,2,0),AI38,1),"")</f>
        <v>F</v>
      </c>
      <c r="AI38" s="3">
        <v>168</v>
      </c>
      <c r="AJ38" s="3" t="str">
        <f>IFERROR(MID(VLOOKUP($B38,Seqs!$A:$B,2,0),AK38,1),"")</f>
        <v>P</v>
      </c>
      <c r="AK38" s="3">
        <v>173</v>
      </c>
      <c r="AL38" s="3" t="str">
        <f>IFERROR(MID(VLOOKUP($B38,Seqs!$A:$B,2,0),AM38,1),"")</f>
        <v>Q</v>
      </c>
      <c r="AM38" s="3">
        <v>207</v>
      </c>
      <c r="AN38" s="3" t="str">
        <f>IFERROR(MID(VLOOKUP($B38,Seqs!$A:$B,2,0),AO38,1),"")</f>
        <v>T</v>
      </c>
      <c r="AO38" s="3">
        <v>224</v>
      </c>
      <c r="AP38" s="3" t="str">
        <f>IFERROR(MID(VLOOKUP($B38,Seqs!$A:$B,2,0),AQ38,1),"")</f>
        <v>C</v>
      </c>
      <c r="AQ38" s="3">
        <v>259</v>
      </c>
      <c r="AR38" s="3" t="str">
        <f>IFERROR(MID(VLOOKUP($B38,Seqs!$A:$B,2,0),AS38,1),"")</f>
        <v>P</v>
      </c>
      <c r="AS38" s="3">
        <v>266</v>
      </c>
      <c r="AT38" s="3" t="str">
        <f>IFERROR(MID(VLOOKUP($B38,Seqs!$A:$B,2,0),AU38,1),"")</f>
        <v>R</v>
      </c>
      <c r="AU38" s="3">
        <v>291</v>
      </c>
      <c r="AV38" s="3" t="str">
        <f>IFERROR(MID(VLOOKUP($B38,Seqs!$A:$B,2,0),AW38,1),"")</f>
        <v>I</v>
      </c>
      <c r="AW38" s="3">
        <v>292</v>
      </c>
      <c r="AX38" s="3" t="str">
        <f>IFERROR(MID(VLOOKUP($B38,Seqs!$A:$B,2,0),AY38,1),"")</f>
        <v>S</v>
      </c>
      <c r="AY38" s="3">
        <v>305</v>
      </c>
      <c r="AZ38" s="77" t="str">
        <f>VLOOKUP(B38,Classification!A:D,2,0)</f>
        <v>A</v>
      </c>
      <c r="BA38" s="94" t="str">
        <f>VLOOKUP(B38,Classification!A:D,4,0)</f>
        <v>Adenosine</v>
      </c>
      <c r="BB38" s="27" t="b">
        <f t="shared" si="1"/>
        <v>1</v>
      </c>
      <c r="BC38" s="23">
        <f t="shared" ref="BC38:BC95" si="225">_xlfn.AGGREGATE(9,6,CH38:CS38)-_xlfn.AGGREGATE(9,6,BV38:CG38)+12</f>
        <v>251</v>
      </c>
      <c r="BD38" s="4" t="s">
        <v>1381</v>
      </c>
      <c r="BE38" s="3" t="s">
        <v>1297</v>
      </c>
      <c r="BF38" s="119">
        <v>3.4</v>
      </c>
      <c r="BG38" s="49" t="s">
        <v>1287</v>
      </c>
      <c r="BH38" s="49" t="s">
        <v>1287</v>
      </c>
      <c r="BI38" s="1"/>
      <c r="BJ38" s="70" t="s">
        <v>1293</v>
      </c>
      <c r="BK38" s="57" t="s">
        <v>1293</v>
      </c>
      <c r="BL38" s="57" t="s">
        <v>1293</v>
      </c>
      <c r="BM38" s="57" t="s">
        <v>1293</v>
      </c>
      <c r="BN38" s="57" t="s">
        <v>1293</v>
      </c>
      <c r="BO38" s="57" t="s">
        <v>1293</v>
      </c>
      <c r="BP38" s="57" t="s">
        <v>1293</v>
      </c>
      <c r="BQ38" s="57" t="s">
        <v>1293</v>
      </c>
      <c r="BR38" s="57" t="s">
        <v>1293</v>
      </c>
      <c r="BS38" s="57" t="s">
        <v>1293</v>
      </c>
      <c r="BT38" s="57" t="s">
        <v>1293</v>
      </c>
      <c r="BU38" s="57" t="s">
        <v>1293</v>
      </c>
      <c r="BV38" s="70">
        <f t="shared" ref="BV38:BV95" si="226">E38</f>
        <v>6</v>
      </c>
      <c r="BW38" s="71">
        <f t="shared" ref="BW38:BW95" si="227">I38</f>
        <v>35</v>
      </c>
      <c r="BX38" s="72">
        <f t="shared" ref="BX38:BX95" si="228">M38</f>
        <v>39</v>
      </c>
      <c r="BY38" s="71">
        <f t="shared" ref="BY38:BY95" si="229">Q38</f>
        <v>70</v>
      </c>
      <c r="BZ38" s="72">
        <f t="shared" ref="BZ38:BZ95" si="230">U38</f>
        <v>73</v>
      </c>
      <c r="CA38" s="71">
        <f t="shared" ref="CA38:CA95" si="231">Y38</f>
        <v>109</v>
      </c>
      <c r="CB38" s="72">
        <f t="shared" ref="CB38:CB95" si="232">AC38</f>
        <v>117</v>
      </c>
      <c r="CC38" s="71">
        <f t="shared" ref="CC38:CC95" si="233">AG38</f>
        <v>166</v>
      </c>
      <c r="CD38" s="72">
        <f t="shared" ref="CD38:CD95" si="234">AK38</f>
        <v>173</v>
      </c>
      <c r="CE38" s="71">
        <f t="shared" ref="CE38:CE95" si="235">AO38</f>
        <v>224</v>
      </c>
      <c r="CF38" s="72">
        <f t="shared" ref="CF38:CF95" si="236">AS38</f>
        <v>266</v>
      </c>
      <c r="CG38" s="71">
        <f t="shared" ref="CG38:CG95" si="237">AW38</f>
        <v>292</v>
      </c>
      <c r="CH38" s="70">
        <f t="shared" ref="CH38:CH95" si="238">G38</f>
        <v>34</v>
      </c>
      <c r="CI38" s="71">
        <f t="shared" ref="CI38:CI95" si="239">K38</f>
        <v>38</v>
      </c>
      <c r="CJ38" s="72">
        <f t="shared" ref="CJ38:CJ95" si="240">O38</f>
        <v>69</v>
      </c>
      <c r="CK38" s="72">
        <f t="shared" ref="CK38:CK95" si="241">S38</f>
        <v>72</v>
      </c>
      <c r="CL38" s="72">
        <f t="shared" ref="CL38:CL95" si="242">W38</f>
        <v>108</v>
      </c>
      <c r="CM38" s="72">
        <f t="shared" ref="CM38:CM95" si="243">AA38</f>
        <v>116</v>
      </c>
      <c r="CN38" s="72">
        <f t="shared" ref="CN38:CN95" si="244">AE38</f>
        <v>142</v>
      </c>
      <c r="CO38" s="72">
        <f t="shared" ref="CO38:CO95" si="245">AI38</f>
        <v>168</v>
      </c>
      <c r="CP38" s="72">
        <f t="shared" ref="CP38:CP95" si="246">AM38</f>
        <v>207</v>
      </c>
      <c r="CQ38" s="72">
        <f t="shared" ref="CQ38:CQ95" si="247">AQ38</f>
        <v>259</v>
      </c>
      <c r="CR38" s="72">
        <f t="shared" ref="CR38:CR95" si="248">AU38</f>
        <v>291</v>
      </c>
      <c r="CS38" s="72">
        <f t="shared" ref="CS38:CS95" si="249">AY38</f>
        <v>305</v>
      </c>
      <c r="CT38" s="23">
        <f t="shared" ref="CT38:CT95" si="250">M38-K38</f>
        <v>1</v>
      </c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1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1"/>
      <c r="AFW38" s="1"/>
      <c r="AFX38" s="1"/>
      <c r="AFY38" s="1"/>
      <c r="AFZ38" s="1"/>
      <c r="AGA38" s="1"/>
      <c r="AGB38" s="1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1"/>
      <c r="AHD38" s="1"/>
      <c r="AHE38" s="1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1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1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1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1"/>
      <c r="AKR38" s="1"/>
      <c r="AKS38" s="1"/>
      <c r="AKT38" s="1"/>
      <c r="AKU38" s="1"/>
      <c r="AKV38" s="1"/>
      <c r="AKW38" s="1"/>
      <c r="AKX38" s="1"/>
      <c r="AKY38" s="1"/>
      <c r="AKZ38" s="1"/>
      <c r="ALA38" s="1"/>
      <c r="ALB38" s="1"/>
      <c r="ALC38" s="1"/>
      <c r="ALD38" s="1"/>
      <c r="ALE38" s="1"/>
      <c r="ALF38" s="1"/>
      <c r="ALG38" s="1"/>
      <c r="ALH38" s="1"/>
      <c r="ALI38" s="1"/>
      <c r="ALJ38" s="1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1"/>
      <c r="AMB38" s="1"/>
      <c r="AMC38" s="1"/>
      <c r="AMD38" s="1"/>
      <c r="AME38" s="1"/>
      <c r="AMF38" s="1"/>
      <c r="AMG38" s="1"/>
      <c r="AMH38" s="1"/>
      <c r="AMI38" s="1"/>
      <c r="AMJ38" s="1"/>
      <c r="AMK38" s="1"/>
      <c r="AML38" s="1"/>
      <c r="AMM38" s="1"/>
      <c r="AMN38" s="1"/>
      <c r="AMO38" s="1"/>
    </row>
    <row r="39" spans="1:1030" x14ac:dyDescent="0.2">
      <c r="A39" s="3" t="str">
        <f t="shared" si="0"/>
        <v>aa2ar_human_5IU4</v>
      </c>
      <c r="B39" s="3" t="s">
        <v>139</v>
      </c>
      <c r="C39" s="3" t="s">
        <v>1351</v>
      </c>
      <c r="D39" s="3" t="str">
        <f>IFERROR(MID(VLOOKUP($B39,Seqs!$A:$B,2,0),E39,1),"")</f>
        <v>P</v>
      </c>
      <c r="E39" s="3">
        <v>2</v>
      </c>
      <c r="F39" s="3" t="str">
        <f>IFERROR(MID(VLOOKUP($B39,Seqs!$A:$B,2,0),G39,1),"")</f>
        <v>N</v>
      </c>
      <c r="G39" s="3">
        <v>34</v>
      </c>
      <c r="H39" s="3" t="str">
        <f>IFERROR(MID(VLOOKUP($B39,Seqs!$A:$B,2,0),I39,1),"")</f>
        <v>S</v>
      </c>
      <c r="I39" s="23">
        <v>35</v>
      </c>
      <c r="J39" s="3" t="str">
        <f>IFERROR(MID(VLOOKUP($B39,Seqs!$A:$B,2,0),K39,1),"")</f>
        <v>Q</v>
      </c>
      <c r="K39" s="23">
        <v>38</v>
      </c>
      <c r="L39" s="3" t="str">
        <f>IFERROR(MID(VLOOKUP($B39,Seqs!$A:$B,2,0),M39,1),"")</f>
        <v>N</v>
      </c>
      <c r="M39" s="3">
        <v>39</v>
      </c>
      <c r="N39" s="3" t="str">
        <f>IFERROR(MID(VLOOKUP($B39,Seqs!$A:$B,2,0),O39,1),"")</f>
        <v>G</v>
      </c>
      <c r="O39" s="3">
        <v>69</v>
      </c>
      <c r="P39" s="3" t="str">
        <f>IFERROR(MID(VLOOKUP($B39,Seqs!$A:$B,2,0),Q39,1),"")</f>
        <v>F</v>
      </c>
      <c r="Q39" s="3">
        <v>70</v>
      </c>
      <c r="R39" s="3" t="str">
        <f>IFERROR(MID(VLOOKUP($B39,Seqs!$A:$B,2,0),S39,1),"")</f>
        <v>A</v>
      </c>
      <c r="S39" s="3">
        <v>72</v>
      </c>
      <c r="T39" s="3" t="str">
        <f>IFERROR(MID(VLOOKUP($B39,Seqs!$A:$B,2,0),U39,1),"")</f>
        <v>A</v>
      </c>
      <c r="U39" s="3">
        <v>73</v>
      </c>
      <c r="V39" s="3" t="str">
        <f>IFERROR(MID(VLOOKUP($B39,Seqs!$A:$B,2,0),W39,1),"")</f>
        <v>I</v>
      </c>
      <c r="W39" s="3">
        <v>108</v>
      </c>
      <c r="X39" s="3" t="str">
        <f>IFERROR(MID(VLOOKUP($B39,Seqs!$A:$B,2,0),Y39,1),"")</f>
        <v>P</v>
      </c>
      <c r="Y39" s="3">
        <v>109</v>
      </c>
      <c r="Z39" s="3" t="str">
        <f>IFERROR(MID(VLOOKUP($B39,Seqs!$A:$B,2,0),AA39,1),"")</f>
        <v>V</v>
      </c>
      <c r="AA39" s="3">
        <v>116</v>
      </c>
      <c r="AB39" s="3" t="str">
        <f>IFERROR(MID(VLOOKUP($B39,Seqs!$A:$B,2,0),AC39,1),"")</f>
        <v>T</v>
      </c>
      <c r="AC39" s="9">
        <v>117</v>
      </c>
      <c r="AD39" s="3" t="str">
        <f>IFERROR(MID(VLOOKUP($B39,Seqs!$A:$B,2,0),AE39,1),"")</f>
        <v>G</v>
      </c>
      <c r="AE39" s="3">
        <v>142</v>
      </c>
      <c r="AF39" s="3" t="str">
        <f>IFERROR(MID(VLOOKUP($B39,Seqs!$A:$B,2,0),AG39,1),"")</f>
        <v>C</v>
      </c>
      <c r="AG39" s="3">
        <v>166</v>
      </c>
      <c r="AH39" s="3" t="str">
        <f>IFERROR(MID(VLOOKUP($B39,Seqs!$A:$B,2,0),AI39,1),"")</f>
        <v>F</v>
      </c>
      <c r="AI39" s="3">
        <v>168</v>
      </c>
      <c r="AJ39" s="3" t="str">
        <f>IFERROR(MID(VLOOKUP($B39,Seqs!$A:$B,2,0),AK39,1),"")</f>
        <v>P</v>
      </c>
      <c r="AK39" s="3">
        <v>173</v>
      </c>
      <c r="AL39" s="3" t="str">
        <f>IFERROR(MID(VLOOKUP($B39,Seqs!$A:$B,2,0),AM39,1),"")</f>
        <v>L</v>
      </c>
      <c r="AM39" s="3">
        <v>208</v>
      </c>
      <c r="AN39" s="3" t="str">
        <f>IFERROR(MID(VLOOKUP($B39,Seqs!$A:$B,2,0),AO39,1),"")</f>
        <v>E</v>
      </c>
      <c r="AO39" s="3">
        <v>219</v>
      </c>
      <c r="AP39" s="3" t="str">
        <f>IFERROR(MID(VLOOKUP($B39,Seqs!$A:$B,2,0),AQ39,1),"")</f>
        <v>C</v>
      </c>
      <c r="AQ39" s="3">
        <v>259</v>
      </c>
      <c r="AR39" s="3" t="str">
        <f>IFERROR(MID(VLOOKUP($B39,Seqs!$A:$B,2,0),AS39,1),"")</f>
        <v>P</v>
      </c>
      <c r="AS39" s="3">
        <v>266</v>
      </c>
      <c r="AT39" s="3" t="str">
        <f>IFERROR(MID(VLOOKUP($B39,Seqs!$A:$B,2,0),AU39,1),"")</f>
        <v>R</v>
      </c>
      <c r="AU39" s="3">
        <v>291</v>
      </c>
      <c r="AV39" s="3" t="str">
        <f>IFERROR(MID(VLOOKUP($B39,Seqs!$A:$B,2,0),AW39,1),"")</f>
        <v>I</v>
      </c>
      <c r="AW39" s="3">
        <v>292</v>
      </c>
      <c r="AX39" s="3" t="str">
        <f>IFERROR(MID(VLOOKUP($B39,Seqs!$A:$B,2,0),AY39,1),"")</f>
        <v>S</v>
      </c>
      <c r="AY39" s="3">
        <v>305</v>
      </c>
      <c r="AZ39" s="77" t="str">
        <f>VLOOKUP(B39,Classification!A:D,2,0)</f>
        <v>A</v>
      </c>
      <c r="BA39" s="94" t="str">
        <f>VLOOKUP(B39,Classification!A:D,4,0)</f>
        <v>Adenosine</v>
      </c>
      <c r="BB39" s="27" t="b">
        <f t="shared" si="1"/>
        <v>1</v>
      </c>
      <c r="BC39" s="23">
        <f t="shared" si="225"/>
        <v>261</v>
      </c>
      <c r="BD39" s="4" t="s">
        <v>23</v>
      </c>
      <c r="BE39" s="3" t="s">
        <v>1380</v>
      </c>
      <c r="BF39" s="119">
        <v>1.72</v>
      </c>
      <c r="BG39" s="49" t="s">
        <v>1383</v>
      </c>
      <c r="BH39" s="49" t="s">
        <v>1383</v>
      </c>
      <c r="BI39" s="1"/>
      <c r="BJ39" s="70" t="s">
        <v>1293</v>
      </c>
      <c r="BK39" s="57" t="s">
        <v>1293</v>
      </c>
      <c r="BL39" s="57" t="s">
        <v>1293</v>
      </c>
      <c r="BM39" s="57" t="s">
        <v>1293</v>
      </c>
      <c r="BN39" s="57" t="s">
        <v>1293</v>
      </c>
      <c r="BO39" s="57" t="s">
        <v>1293</v>
      </c>
      <c r="BP39" s="57" t="s">
        <v>1293</v>
      </c>
      <c r="BQ39" s="57" t="s">
        <v>1293</v>
      </c>
      <c r="BR39" s="57" t="s">
        <v>1293</v>
      </c>
      <c r="BS39" s="57" t="s">
        <v>1293</v>
      </c>
      <c r="BT39" s="57" t="s">
        <v>1293</v>
      </c>
      <c r="BU39" s="57" t="s">
        <v>1293</v>
      </c>
      <c r="BV39" s="70">
        <f t="shared" si="226"/>
        <v>2</v>
      </c>
      <c r="BW39" s="71">
        <f t="shared" si="227"/>
        <v>35</v>
      </c>
      <c r="BX39" s="72">
        <f t="shared" si="228"/>
        <v>39</v>
      </c>
      <c r="BY39" s="71">
        <f t="shared" si="229"/>
        <v>70</v>
      </c>
      <c r="BZ39" s="72">
        <f t="shared" si="230"/>
        <v>73</v>
      </c>
      <c r="CA39" s="71">
        <f t="shared" si="231"/>
        <v>109</v>
      </c>
      <c r="CB39" s="72">
        <f t="shared" si="232"/>
        <v>117</v>
      </c>
      <c r="CC39" s="71">
        <f t="shared" si="233"/>
        <v>166</v>
      </c>
      <c r="CD39" s="72">
        <f t="shared" si="234"/>
        <v>173</v>
      </c>
      <c r="CE39" s="71">
        <f t="shared" si="235"/>
        <v>219</v>
      </c>
      <c r="CF39" s="72">
        <f t="shared" si="236"/>
        <v>266</v>
      </c>
      <c r="CG39" s="71">
        <f t="shared" si="237"/>
        <v>292</v>
      </c>
      <c r="CH39" s="70">
        <f t="shared" si="238"/>
        <v>34</v>
      </c>
      <c r="CI39" s="71">
        <f t="shared" si="239"/>
        <v>38</v>
      </c>
      <c r="CJ39" s="72">
        <f t="shared" si="240"/>
        <v>69</v>
      </c>
      <c r="CK39" s="72">
        <f t="shared" si="241"/>
        <v>72</v>
      </c>
      <c r="CL39" s="72">
        <f t="shared" si="242"/>
        <v>108</v>
      </c>
      <c r="CM39" s="72">
        <f t="shared" si="243"/>
        <v>116</v>
      </c>
      <c r="CN39" s="72">
        <f t="shared" si="244"/>
        <v>142</v>
      </c>
      <c r="CO39" s="72">
        <f t="shared" si="245"/>
        <v>168</v>
      </c>
      <c r="CP39" s="72">
        <f t="shared" si="246"/>
        <v>208</v>
      </c>
      <c r="CQ39" s="72">
        <f t="shared" si="247"/>
        <v>259</v>
      </c>
      <c r="CR39" s="72">
        <f t="shared" si="248"/>
        <v>291</v>
      </c>
      <c r="CS39" s="72">
        <f t="shared" si="249"/>
        <v>305</v>
      </c>
      <c r="CT39" s="23">
        <f t="shared" si="250"/>
        <v>1</v>
      </c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</row>
    <row r="40" spans="1:1030" x14ac:dyDescent="0.2">
      <c r="A40" s="3" t="str">
        <f t="shared" si="0"/>
        <v>aa2ar_human_5IU7</v>
      </c>
      <c r="B40" s="3" t="s">
        <v>139</v>
      </c>
      <c r="C40" s="3" t="s">
        <v>1352</v>
      </c>
      <c r="D40" s="3" t="str">
        <f>IFERROR(MID(VLOOKUP($B40,Seqs!$A:$B,2,0),E40,1),"")</f>
        <v>P</v>
      </c>
      <c r="E40" s="3">
        <v>2</v>
      </c>
      <c r="F40" s="3" t="str">
        <f>IFERROR(MID(VLOOKUP($B40,Seqs!$A:$B,2,0),G40,1),"")</f>
        <v>N</v>
      </c>
      <c r="G40" s="3">
        <v>34</v>
      </c>
      <c r="H40" s="3" t="str">
        <f>IFERROR(MID(VLOOKUP($B40,Seqs!$A:$B,2,0),I40,1),"")</f>
        <v>S</v>
      </c>
      <c r="I40" s="23">
        <v>35</v>
      </c>
      <c r="J40" s="3" t="str">
        <f>IFERROR(MID(VLOOKUP($B40,Seqs!$A:$B,2,0),K40,1),"")</f>
        <v>Q</v>
      </c>
      <c r="K40" s="23">
        <v>38</v>
      </c>
      <c r="L40" s="3" t="str">
        <f>IFERROR(MID(VLOOKUP($B40,Seqs!$A:$B,2,0),M40,1),"")</f>
        <v>N</v>
      </c>
      <c r="M40" s="3">
        <v>39</v>
      </c>
      <c r="N40" s="3" t="str">
        <f>IFERROR(MID(VLOOKUP($B40,Seqs!$A:$B,2,0),O40,1),"")</f>
        <v>G</v>
      </c>
      <c r="O40" s="3">
        <v>69</v>
      </c>
      <c r="P40" s="3" t="str">
        <f>IFERROR(MID(VLOOKUP($B40,Seqs!$A:$B,2,0),Q40,1),"")</f>
        <v>F</v>
      </c>
      <c r="Q40" s="3">
        <v>70</v>
      </c>
      <c r="R40" s="3" t="str">
        <f>IFERROR(MID(VLOOKUP($B40,Seqs!$A:$B,2,0),S40,1),"")</f>
        <v>A</v>
      </c>
      <c r="S40" s="3">
        <v>72</v>
      </c>
      <c r="T40" s="3" t="str">
        <f>IFERROR(MID(VLOOKUP($B40,Seqs!$A:$B,2,0),U40,1),"")</f>
        <v>A</v>
      </c>
      <c r="U40" s="3">
        <v>73</v>
      </c>
      <c r="V40" s="3" t="str">
        <f>IFERROR(MID(VLOOKUP($B40,Seqs!$A:$B,2,0),W40,1),"")</f>
        <v>I</v>
      </c>
      <c r="W40" s="3">
        <v>108</v>
      </c>
      <c r="X40" s="3" t="str">
        <f>IFERROR(MID(VLOOKUP($B40,Seqs!$A:$B,2,0),Y40,1),"")</f>
        <v>P</v>
      </c>
      <c r="Y40" s="3">
        <v>109</v>
      </c>
      <c r="Z40" s="3" t="str">
        <f>IFERROR(MID(VLOOKUP($B40,Seqs!$A:$B,2,0),AA40,1),"")</f>
        <v>V</v>
      </c>
      <c r="AA40" s="3">
        <v>116</v>
      </c>
      <c r="AB40" s="3" t="str">
        <f>IFERROR(MID(VLOOKUP($B40,Seqs!$A:$B,2,0),AC40,1),"")</f>
        <v>T</v>
      </c>
      <c r="AC40" s="9">
        <v>117</v>
      </c>
      <c r="AD40" s="3" t="str">
        <f>IFERROR(MID(VLOOKUP($B40,Seqs!$A:$B,2,0),AE40,1),"")</f>
        <v>G</v>
      </c>
      <c r="AE40" s="3">
        <v>142</v>
      </c>
      <c r="AF40" s="3" t="str">
        <f>IFERROR(MID(VLOOKUP($B40,Seqs!$A:$B,2,0),AG40,1),"")</f>
        <v>C</v>
      </c>
      <c r="AG40" s="3">
        <v>166</v>
      </c>
      <c r="AH40" s="3" t="str">
        <f>IFERROR(MID(VLOOKUP($B40,Seqs!$A:$B,2,0),AI40,1),"")</f>
        <v>F</v>
      </c>
      <c r="AI40" s="3">
        <v>168</v>
      </c>
      <c r="AJ40" s="3" t="str">
        <f>IFERROR(MID(VLOOKUP($B40,Seqs!$A:$B,2,0),AK40,1),"")</f>
        <v>P</v>
      </c>
      <c r="AK40" s="3">
        <v>173</v>
      </c>
      <c r="AL40" s="3" t="str">
        <f>IFERROR(MID(VLOOKUP($B40,Seqs!$A:$B,2,0),AM40,1),"")</f>
        <v>L</v>
      </c>
      <c r="AM40" s="3">
        <v>208</v>
      </c>
      <c r="AN40" s="3" t="str">
        <f>IFERROR(MID(VLOOKUP($B40,Seqs!$A:$B,2,0),AO40,1),"")</f>
        <v>E</v>
      </c>
      <c r="AO40" s="3">
        <v>219</v>
      </c>
      <c r="AP40" s="3" t="str">
        <f>IFERROR(MID(VLOOKUP($B40,Seqs!$A:$B,2,0),AQ40,1),"")</f>
        <v>C</v>
      </c>
      <c r="AQ40" s="3">
        <v>259</v>
      </c>
      <c r="AR40" s="3" t="str">
        <f>IFERROR(MID(VLOOKUP($B40,Seqs!$A:$B,2,0),AS40,1),"")</f>
        <v>P</v>
      </c>
      <c r="AS40" s="3">
        <v>266</v>
      </c>
      <c r="AT40" s="3" t="str">
        <f>IFERROR(MID(VLOOKUP($B40,Seqs!$A:$B,2,0),AU40,1),"")</f>
        <v>R</v>
      </c>
      <c r="AU40" s="3">
        <v>291</v>
      </c>
      <c r="AV40" s="3" t="str">
        <f>IFERROR(MID(VLOOKUP($B40,Seqs!$A:$B,2,0),AW40,1),"")</f>
        <v>I</v>
      </c>
      <c r="AW40" s="3">
        <v>292</v>
      </c>
      <c r="AX40" s="3" t="str">
        <f>IFERROR(MID(VLOOKUP($B40,Seqs!$A:$B,2,0),AY40,1),"")</f>
        <v>V</v>
      </c>
      <c r="AY40" s="3">
        <v>307</v>
      </c>
      <c r="AZ40" s="77" t="str">
        <f>VLOOKUP(B40,Classification!A:D,2,0)</f>
        <v>A</v>
      </c>
      <c r="BA40" s="94" t="str">
        <f>VLOOKUP(B40,Classification!A:D,4,0)</f>
        <v>Adenosine</v>
      </c>
      <c r="BB40" s="27" t="b">
        <f t="shared" si="1"/>
        <v>1</v>
      </c>
      <c r="BC40" s="23">
        <f t="shared" si="225"/>
        <v>263</v>
      </c>
      <c r="BD40" s="4" t="s">
        <v>23</v>
      </c>
      <c r="BE40" s="3" t="s">
        <v>1380</v>
      </c>
      <c r="BF40" s="119">
        <v>1.9</v>
      </c>
      <c r="BG40" s="49" t="s">
        <v>1383</v>
      </c>
      <c r="BH40" s="49" t="s">
        <v>1383</v>
      </c>
      <c r="BI40" s="1"/>
      <c r="BJ40" s="70" t="s">
        <v>1293</v>
      </c>
      <c r="BK40" s="57" t="s">
        <v>1293</v>
      </c>
      <c r="BL40" s="57" t="s">
        <v>1293</v>
      </c>
      <c r="BM40" s="57" t="s">
        <v>1293</v>
      </c>
      <c r="BN40" s="57" t="s">
        <v>1293</v>
      </c>
      <c r="BO40" s="57" t="s">
        <v>1293</v>
      </c>
      <c r="BP40" s="57" t="s">
        <v>1293</v>
      </c>
      <c r="BQ40" s="57" t="s">
        <v>1293</v>
      </c>
      <c r="BR40" s="57" t="s">
        <v>1293</v>
      </c>
      <c r="BS40" s="57" t="s">
        <v>1293</v>
      </c>
      <c r="BT40" s="57" t="s">
        <v>1293</v>
      </c>
      <c r="BU40" s="57" t="s">
        <v>1293</v>
      </c>
      <c r="BV40" s="70">
        <f t="shared" si="226"/>
        <v>2</v>
      </c>
      <c r="BW40" s="71">
        <f t="shared" si="227"/>
        <v>35</v>
      </c>
      <c r="BX40" s="72">
        <f t="shared" si="228"/>
        <v>39</v>
      </c>
      <c r="BY40" s="71">
        <f t="shared" si="229"/>
        <v>70</v>
      </c>
      <c r="BZ40" s="72">
        <f t="shared" si="230"/>
        <v>73</v>
      </c>
      <c r="CA40" s="71">
        <f t="shared" si="231"/>
        <v>109</v>
      </c>
      <c r="CB40" s="72">
        <f t="shared" si="232"/>
        <v>117</v>
      </c>
      <c r="CC40" s="71">
        <f t="shared" si="233"/>
        <v>166</v>
      </c>
      <c r="CD40" s="72">
        <f t="shared" si="234"/>
        <v>173</v>
      </c>
      <c r="CE40" s="71">
        <f t="shared" si="235"/>
        <v>219</v>
      </c>
      <c r="CF40" s="72">
        <f t="shared" si="236"/>
        <v>266</v>
      </c>
      <c r="CG40" s="71">
        <f t="shared" si="237"/>
        <v>292</v>
      </c>
      <c r="CH40" s="70">
        <f t="shared" si="238"/>
        <v>34</v>
      </c>
      <c r="CI40" s="71">
        <f t="shared" si="239"/>
        <v>38</v>
      </c>
      <c r="CJ40" s="72">
        <f t="shared" si="240"/>
        <v>69</v>
      </c>
      <c r="CK40" s="72">
        <f t="shared" si="241"/>
        <v>72</v>
      </c>
      <c r="CL40" s="72">
        <f t="shared" si="242"/>
        <v>108</v>
      </c>
      <c r="CM40" s="72">
        <f t="shared" si="243"/>
        <v>116</v>
      </c>
      <c r="CN40" s="72">
        <f t="shared" si="244"/>
        <v>142</v>
      </c>
      <c r="CO40" s="72">
        <f t="shared" si="245"/>
        <v>168</v>
      </c>
      <c r="CP40" s="72">
        <f t="shared" si="246"/>
        <v>208</v>
      </c>
      <c r="CQ40" s="72">
        <f t="shared" si="247"/>
        <v>259</v>
      </c>
      <c r="CR40" s="72">
        <f t="shared" si="248"/>
        <v>291</v>
      </c>
      <c r="CS40" s="72">
        <f t="shared" si="249"/>
        <v>307</v>
      </c>
      <c r="CT40" s="23">
        <f t="shared" si="250"/>
        <v>1</v>
      </c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</row>
    <row r="41" spans="1:1030" x14ac:dyDescent="0.2">
      <c r="A41" s="3" t="str">
        <f t="shared" si="0"/>
        <v>aa2ar_human_5IU8</v>
      </c>
      <c r="B41" s="3" t="s">
        <v>139</v>
      </c>
      <c r="C41" s="3" t="s">
        <v>1353</v>
      </c>
      <c r="D41" s="3" t="str">
        <f>IFERROR(MID(VLOOKUP($B41,Seqs!$A:$B,2,0),E41,1),"")</f>
        <v>P</v>
      </c>
      <c r="E41" s="3">
        <v>2</v>
      </c>
      <c r="F41" s="3" t="str">
        <f>IFERROR(MID(VLOOKUP($B41,Seqs!$A:$B,2,0),G41,1),"")</f>
        <v>N</v>
      </c>
      <c r="G41" s="3">
        <v>34</v>
      </c>
      <c r="H41" s="3" t="str">
        <f>IFERROR(MID(VLOOKUP($B41,Seqs!$A:$B,2,0),I41,1),"")</f>
        <v>S</v>
      </c>
      <c r="I41" s="23">
        <v>35</v>
      </c>
      <c r="J41" s="3" t="str">
        <f>IFERROR(MID(VLOOKUP($B41,Seqs!$A:$B,2,0),K41,1),"")</f>
        <v>Q</v>
      </c>
      <c r="K41" s="23">
        <v>38</v>
      </c>
      <c r="L41" s="3" t="str">
        <f>IFERROR(MID(VLOOKUP($B41,Seqs!$A:$B,2,0),M41,1),"")</f>
        <v>N</v>
      </c>
      <c r="M41" s="3">
        <v>39</v>
      </c>
      <c r="N41" s="3" t="str">
        <f>IFERROR(MID(VLOOKUP($B41,Seqs!$A:$B,2,0),O41,1),"")</f>
        <v>G</v>
      </c>
      <c r="O41" s="3">
        <v>69</v>
      </c>
      <c r="P41" s="3" t="str">
        <f>IFERROR(MID(VLOOKUP($B41,Seqs!$A:$B,2,0),Q41,1),"")</f>
        <v>F</v>
      </c>
      <c r="Q41" s="3">
        <v>70</v>
      </c>
      <c r="R41" s="3" t="str">
        <f>IFERROR(MID(VLOOKUP($B41,Seqs!$A:$B,2,0),S41,1),"")</f>
        <v>A</v>
      </c>
      <c r="S41" s="3">
        <v>72</v>
      </c>
      <c r="T41" s="3" t="str">
        <f>IFERROR(MID(VLOOKUP($B41,Seqs!$A:$B,2,0),U41,1),"")</f>
        <v>A</v>
      </c>
      <c r="U41" s="3">
        <v>73</v>
      </c>
      <c r="V41" s="3" t="str">
        <f>IFERROR(MID(VLOOKUP($B41,Seqs!$A:$B,2,0),W41,1),"")</f>
        <v>I</v>
      </c>
      <c r="W41" s="3">
        <v>108</v>
      </c>
      <c r="X41" s="3" t="str">
        <f>IFERROR(MID(VLOOKUP($B41,Seqs!$A:$B,2,0),Y41,1),"")</f>
        <v>P</v>
      </c>
      <c r="Y41" s="3">
        <v>109</v>
      </c>
      <c r="Z41" s="3" t="str">
        <f>IFERROR(MID(VLOOKUP($B41,Seqs!$A:$B,2,0),AA41,1),"")</f>
        <v>V</v>
      </c>
      <c r="AA41" s="3">
        <v>116</v>
      </c>
      <c r="AB41" s="3" t="str">
        <f>IFERROR(MID(VLOOKUP($B41,Seqs!$A:$B,2,0),AC41,1),"")</f>
        <v>T</v>
      </c>
      <c r="AC41" s="9">
        <v>117</v>
      </c>
      <c r="AD41" s="3" t="str">
        <f>IFERROR(MID(VLOOKUP($B41,Seqs!$A:$B,2,0),AE41,1),"")</f>
        <v>G</v>
      </c>
      <c r="AE41" s="3">
        <v>142</v>
      </c>
      <c r="AF41" s="3" t="str">
        <f>IFERROR(MID(VLOOKUP($B41,Seqs!$A:$B,2,0),AG41,1),"")</f>
        <v>C</v>
      </c>
      <c r="AG41" s="3">
        <v>166</v>
      </c>
      <c r="AH41" s="3" t="str">
        <f>IFERROR(MID(VLOOKUP($B41,Seqs!$A:$B,2,0),AI41,1),"")</f>
        <v>F</v>
      </c>
      <c r="AI41" s="3">
        <v>168</v>
      </c>
      <c r="AJ41" s="3" t="str">
        <f>IFERROR(MID(VLOOKUP($B41,Seqs!$A:$B,2,0),AK41,1),"")</f>
        <v>P</v>
      </c>
      <c r="AK41" s="3">
        <v>173</v>
      </c>
      <c r="AL41" s="3" t="str">
        <f>IFERROR(MID(VLOOKUP($B41,Seqs!$A:$B,2,0),AM41,1),"")</f>
        <v>L</v>
      </c>
      <c r="AM41" s="3">
        <v>208</v>
      </c>
      <c r="AN41" s="3" t="str">
        <f>IFERROR(MID(VLOOKUP($B41,Seqs!$A:$B,2,0),AO41,1),"")</f>
        <v>E</v>
      </c>
      <c r="AO41" s="3">
        <v>219</v>
      </c>
      <c r="AP41" s="3" t="str">
        <f>IFERROR(MID(VLOOKUP($B41,Seqs!$A:$B,2,0),AQ41,1),"")</f>
        <v>C</v>
      </c>
      <c r="AQ41" s="3">
        <v>259</v>
      </c>
      <c r="AR41" s="3" t="str">
        <f>IFERROR(MID(VLOOKUP($B41,Seqs!$A:$B,2,0),AS41,1),"")</f>
        <v>P</v>
      </c>
      <c r="AS41" s="3">
        <v>266</v>
      </c>
      <c r="AT41" s="3" t="str">
        <f>IFERROR(MID(VLOOKUP($B41,Seqs!$A:$B,2,0),AU41,1),"")</f>
        <v>R</v>
      </c>
      <c r="AU41" s="3">
        <v>291</v>
      </c>
      <c r="AV41" s="3" t="str">
        <f>IFERROR(MID(VLOOKUP($B41,Seqs!$A:$B,2,0),AW41,1),"")</f>
        <v>I</v>
      </c>
      <c r="AW41" s="3">
        <v>292</v>
      </c>
      <c r="AX41" s="3" t="str">
        <f>IFERROR(MID(VLOOKUP($B41,Seqs!$A:$B,2,0),AY41,1),"")</f>
        <v>S</v>
      </c>
      <c r="AY41" s="3">
        <v>305</v>
      </c>
      <c r="AZ41" s="77" t="str">
        <f>VLOOKUP(B41,Classification!A:D,2,0)</f>
        <v>A</v>
      </c>
      <c r="BA41" s="94" t="str">
        <f>VLOOKUP(B41,Classification!A:D,4,0)</f>
        <v>Adenosine</v>
      </c>
      <c r="BB41" s="27" t="b">
        <f t="shared" si="1"/>
        <v>1</v>
      </c>
      <c r="BC41" s="23">
        <f t="shared" si="225"/>
        <v>261</v>
      </c>
      <c r="BD41" s="4" t="s">
        <v>23</v>
      </c>
      <c r="BE41" s="3" t="s">
        <v>1380</v>
      </c>
      <c r="BF41" s="119">
        <v>2</v>
      </c>
      <c r="BG41" s="49" t="s">
        <v>1383</v>
      </c>
      <c r="BH41" s="49" t="s">
        <v>1383</v>
      </c>
      <c r="BI41" s="1"/>
      <c r="BJ41" s="70" t="s">
        <v>1293</v>
      </c>
      <c r="BK41" s="57" t="s">
        <v>1293</v>
      </c>
      <c r="BL41" s="57" t="s">
        <v>1293</v>
      </c>
      <c r="BM41" s="57" t="s">
        <v>1293</v>
      </c>
      <c r="BN41" s="57" t="s">
        <v>1293</v>
      </c>
      <c r="BO41" s="57" t="s">
        <v>1293</v>
      </c>
      <c r="BP41" s="57" t="s">
        <v>1293</v>
      </c>
      <c r="BQ41" s="57" t="s">
        <v>1293</v>
      </c>
      <c r="BR41" s="57" t="s">
        <v>1293</v>
      </c>
      <c r="BS41" s="57" t="s">
        <v>1293</v>
      </c>
      <c r="BT41" s="57" t="s">
        <v>1293</v>
      </c>
      <c r="BU41" s="57" t="s">
        <v>1293</v>
      </c>
      <c r="BV41" s="70">
        <f t="shared" si="226"/>
        <v>2</v>
      </c>
      <c r="BW41" s="71">
        <f t="shared" si="227"/>
        <v>35</v>
      </c>
      <c r="BX41" s="72">
        <f t="shared" si="228"/>
        <v>39</v>
      </c>
      <c r="BY41" s="71">
        <f t="shared" si="229"/>
        <v>70</v>
      </c>
      <c r="BZ41" s="72">
        <f t="shared" si="230"/>
        <v>73</v>
      </c>
      <c r="CA41" s="71">
        <f t="shared" si="231"/>
        <v>109</v>
      </c>
      <c r="CB41" s="72">
        <f t="shared" si="232"/>
        <v>117</v>
      </c>
      <c r="CC41" s="71">
        <f t="shared" si="233"/>
        <v>166</v>
      </c>
      <c r="CD41" s="72">
        <f t="shared" si="234"/>
        <v>173</v>
      </c>
      <c r="CE41" s="71">
        <f t="shared" si="235"/>
        <v>219</v>
      </c>
      <c r="CF41" s="72">
        <f t="shared" si="236"/>
        <v>266</v>
      </c>
      <c r="CG41" s="71">
        <f t="shared" si="237"/>
        <v>292</v>
      </c>
      <c r="CH41" s="70">
        <f t="shared" si="238"/>
        <v>34</v>
      </c>
      <c r="CI41" s="71">
        <f t="shared" si="239"/>
        <v>38</v>
      </c>
      <c r="CJ41" s="72">
        <f t="shared" si="240"/>
        <v>69</v>
      </c>
      <c r="CK41" s="72">
        <f t="shared" si="241"/>
        <v>72</v>
      </c>
      <c r="CL41" s="72">
        <f t="shared" si="242"/>
        <v>108</v>
      </c>
      <c r="CM41" s="72">
        <f t="shared" si="243"/>
        <v>116</v>
      </c>
      <c r="CN41" s="72">
        <f t="shared" si="244"/>
        <v>142</v>
      </c>
      <c r="CO41" s="72">
        <f t="shared" si="245"/>
        <v>168</v>
      </c>
      <c r="CP41" s="72">
        <f t="shared" si="246"/>
        <v>208</v>
      </c>
      <c r="CQ41" s="72">
        <f t="shared" si="247"/>
        <v>259</v>
      </c>
      <c r="CR41" s="72">
        <f t="shared" si="248"/>
        <v>291</v>
      </c>
      <c r="CS41" s="72">
        <f t="shared" si="249"/>
        <v>305</v>
      </c>
      <c r="CT41" s="23">
        <f t="shared" si="250"/>
        <v>1</v>
      </c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</row>
    <row r="42" spans="1:1030" x14ac:dyDescent="0.2">
      <c r="A42" s="3" t="str">
        <f t="shared" si="0"/>
        <v>aa2ar_human_5IUA</v>
      </c>
      <c r="B42" s="3" t="s">
        <v>139</v>
      </c>
      <c r="C42" s="3" t="s">
        <v>1354</v>
      </c>
      <c r="D42" s="3" t="str">
        <f>IFERROR(MID(VLOOKUP($B42,Seqs!$A:$B,2,0),E42,1),"")</f>
        <v>P</v>
      </c>
      <c r="E42" s="3">
        <v>2</v>
      </c>
      <c r="F42" s="3" t="str">
        <f>IFERROR(MID(VLOOKUP($B42,Seqs!$A:$B,2,0),G42,1),"")</f>
        <v>N</v>
      </c>
      <c r="G42" s="3">
        <v>34</v>
      </c>
      <c r="H42" s="3" t="str">
        <f>IFERROR(MID(VLOOKUP($B42,Seqs!$A:$B,2,0),I42,1),"")</f>
        <v>S</v>
      </c>
      <c r="I42" s="23">
        <v>35</v>
      </c>
      <c r="J42" s="3" t="str">
        <f>IFERROR(MID(VLOOKUP($B42,Seqs!$A:$B,2,0),K42,1),"")</f>
        <v>Q</v>
      </c>
      <c r="K42" s="23">
        <v>38</v>
      </c>
      <c r="L42" s="3" t="str">
        <f>IFERROR(MID(VLOOKUP($B42,Seqs!$A:$B,2,0),M42,1),"")</f>
        <v>N</v>
      </c>
      <c r="M42" s="3">
        <v>39</v>
      </c>
      <c r="N42" s="3" t="str">
        <f>IFERROR(MID(VLOOKUP($B42,Seqs!$A:$B,2,0),O42,1),"")</f>
        <v>G</v>
      </c>
      <c r="O42" s="3">
        <v>69</v>
      </c>
      <c r="P42" s="3" t="str">
        <f>IFERROR(MID(VLOOKUP($B42,Seqs!$A:$B,2,0),Q42,1),"")</f>
        <v>F</v>
      </c>
      <c r="Q42" s="3">
        <v>70</v>
      </c>
      <c r="R42" s="3" t="str">
        <f>IFERROR(MID(VLOOKUP($B42,Seqs!$A:$B,2,0),S42,1),"")</f>
        <v>A</v>
      </c>
      <c r="S42" s="3">
        <v>72</v>
      </c>
      <c r="T42" s="3" t="str">
        <f>IFERROR(MID(VLOOKUP($B42,Seqs!$A:$B,2,0),U42,1),"")</f>
        <v>A</v>
      </c>
      <c r="U42" s="3">
        <v>73</v>
      </c>
      <c r="V42" s="3" t="str">
        <f>IFERROR(MID(VLOOKUP($B42,Seqs!$A:$B,2,0),W42,1),"")</f>
        <v>I</v>
      </c>
      <c r="W42" s="3">
        <v>108</v>
      </c>
      <c r="X42" s="3" t="str">
        <f>IFERROR(MID(VLOOKUP($B42,Seqs!$A:$B,2,0),Y42,1),"")</f>
        <v>P</v>
      </c>
      <c r="Y42" s="3">
        <v>109</v>
      </c>
      <c r="Z42" s="3" t="str">
        <f>IFERROR(MID(VLOOKUP($B42,Seqs!$A:$B,2,0),AA42,1),"")</f>
        <v>V</v>
      </c>
      <c r="AA42" s="3">
        <v>116</v>
      </c>
      <c r="AB42" s="3" t="str">
        <f>IFERROR(MID(VLOOKUP($B42,Seqs!$A:$B,2,0),AC42,1),"")</f>
        <v>T</v>
      </c>
      <c r="AC42" s="9">
        <v>117</v>
      </c>
      <c r="AD42" s="3" t="str">
        <f>IFERROR(MID(VLOOKUP($B42,Seqs!$A:$B,2,0),AE42,1),"")</f>
        <v>G</v>
      </c>
      <c r="AE42" s="3">
        <v>142</v>
      </c>
      <c r="AF42" s="3" t="str">
        <f>IFERROR(MID(VLOOKUP($B42,Seqs!$A:$B,2,0),AG42,1),"")</f>
        <v>C</v>
      </c>
      <c r="AG42" s="3">
        <v>166</v>
      </c>
      <c r="AH42" s="3" t="str">
        <f>IFERROR(MID(VLOOKUP($B42,Seqs!$A:$B,2,0),AI42,1),"")</f>
        <v>F</v>
      </c>
      <c r="AI42" s="3">
        <v>168</v>
      </c>
      <c r="AJ42" s="3" t="str">
        <f>IFERROR(MID(VLOOKUP($B42,Seqs!$A:$B,2,0),AK42,1),"")</f>
        <v>P</v>
      </c>
      <c r="AK42" s="3">
        <v>173</v>
      </c>
      <c r="AL42" s="3" t="str">
        <f>IFERROR(MID(VLOOKUP($B42,Seqs!$A:$B,2,0),AM42,1),"")</f>
        <v>L</v>
      </c>
      <c r="AM42" s="3">
        <v>208</v>
      </c>
      <c r="AN42" s="3" t="str">
        <f>IFERROR(MID(VLOOKUP($B42,Seqs!$A:$B,2,0),AO42,1),"")</f>
        <v>E</v>
      </c>
      <c r="AO42" s="3">
        <v>219</v>
      </c>
      <c r="AP42" s="3" t="str">
        <f>IFERROR(MID(VLOOKUP($B42,Seqs!$A:$B,2,0),AQ42,1),"")</f>
        <v>C</v>
      </c>
      <c r="AQ42" s="3">
        <v>259</v>
      </c>
      <c r="AR42" s="3" t="str">
        <f>IFERROR(MID(VLOOKUP($B42,Seqs!$A:$B,2,0),AS42,1),"")</f>
        <v>P</v>
      </c>
      <c r="AS42" s="3">
        <v>266</v>
      </c>
      <c r="AT42" s="3" t="str">
        <f>IFERROR(MID(VLOOKUP($B42,Seqs!$A:$B,2,0),AU42,1),"")</f>
        <v>R</v>
      </c>
      <c r="AU42" s="3">
        <v>291</v>
      </c>
      <c r="AV42" s="3" t="str">
        <f>IFERROR(MID(VLOOKUP($B42,Seqs!$A:$B,2,0),AW42,1),"")</f>
        <v>I</v>
      </c>
      <c r="AW42" s="3">
        <v>292</v>
      </c>
      <c r="AX42" s="3" t="str">
        <f>IFERROR(MID(VLOOKUP($B42,Seqs!$A:$B,2,0),AY42,1),"")</f>
        <v>H</v>
      </c>
      <c r="AY42" s="3">
        <v>306</v>
      </c>
      <c r="AZ42" s="77" t="str">
        <f>VLOOKUP(B42,Classification!A:D,2,0)</f>
        <v>A</v>
      </c>
      <c r="BA42" s="94" t="str">
        <f>VLOOKUP(B42,Classification!A:D,4,0)</f>
        <v>Adenosine</v>
      </c>
      <c r="BB42" s="27" t="b">
        <f t="shared" si="1"/>
        <v>1</v>
      </c>
      <c r="BC42" s="23">
        <f t="shared" si="225"/>
        <v>262</v>
      </c>
      <c r="BD42" s="4" t="s">
        <v>23</v>
      </c>
      <c r="BE42" s="3" t="s">
        <v>1380</v>
      </c>
      <c r="BF42" s="119">
        <v>2.2000000000000002</v>
      </c>
      <c r="BG42" s="49" t="s">
        <v>1383</v>
      </c>
      <c r="BH42" s="49" t="s">
        <v>1383</v>
      </c>
      <c r="BI42" s="1"/>
      <c r="BJ42" s="70" t="s">
        <v>1293</v>
      </c>
      <c r="BK42" s="57" t="s">
        <v>1293</v>
      </c>
      <c r="BL42" s="57" t="s">
        <v>1293</v>
      </c>
      <c r="BM42" s="57" t="s">
        <v>1293</v>
      </c>
      <c r="BN42" s="57" t="s">
        <v>1293</v>
      </c>
      <c r="BO42" s="57" t="s">
        <v>1293</v>
      </c>
      <c r="BP42" s="57" t="s">
        <v>1293</v>
      </c>
      <c r="BQ42" s="57" t="s">
        <v>1293</v>
      </c>
      <c r="BR42" s="57" t="s">
        <v>1293</v>
      </c>
      <c r="BS42" s="57" t="s">
        <v>1293</v>
      </c>
      <c r="BT42" s="57" t="s">
        <v>1293</v>
      </c>
      <c r="BU42" s="57" t="s">
        <v>1293</v>
      </c>
      <c r="BV42" s="70">
        <f t="shared" si="226"/>
        <v>2</v>
      </c>
      <c r="BW42" s="71">
        <f t="shared" si="227"/>
        <v>35</v>
      </c>
      <c r="BX42" s="72">
        <f t="shared" si="228"/>
        <v>39</v>
      </c>
      <c r="BY42" s="71">
        <f t="shared" si="229"/>
        <v>70</v>
      </c>
      <c r="BZ42" s="72">
        <f t="shared" si="230"/>
        <v>73</v>
      </c>
      <c r="CA42" s="71">
        <f t="shared" si="231"/>
        <v>109</v>
      </c>
      <c r="CB42" s="72">
        <f t="shared" si="232"/>
        <v>117</v>
      </c>
      <c r="CC42" s="71">
        <f t="shared" si="233"/>
        <v>166</v>
      </c>
      <c r="CD42" s="72">
        <f t="shared" si="234"/>
        <v>173</v>
      </c>
      <c r="CE42" s="71">
        <f t="shared" si="235"/>
        <v>219</v>
      </c>
      <c r="CF42" s="72">
        <f t="shared" si="236"/>
        <v>266</v>
      </c>
      <c r="CG42" s="71">
        <f t="shared" si="237"/>
        <v>292</v>
      </c>
      <c r="CH42" s="70">
        <f t="shared" si="238"/>
        <v>34</v>
      </c>
      <c r="CI42" s="71">
        <f t="shared" si="239"/>
        <v>38</v>
      </c>
      <c r="CJ42" s="72">
        <f t="shared" si="240"/>
        <v>69</v>
      </c>
      <c r="CK42" s="72">
        <f t="shared" si="241"/>
        <v>72</v>
      </c>
      <c r="CL42" s="72">
        <f t="shared" si="242"/>
        <v>108</v>
      </c>
      <c r="CM42" s="72">
        <f t="shared" si="243"/>
        <v>116</v>
      </c>
      <c r="CN42" s="72">
        <f t="shared" si="244"/>
        <v>142</v>
      </c>
      <c r="CO42" s="72">
        <f t="shared" si="245"/>
        <v>168</v>
      </c>
      <c r="CP42" s="72">
        <f t="shared" si="246"/>
        <v>208</v>
      </c>
      <c r="CQ42" s="72">
        <f t="shared" si="247"/>
        <v>259</v>
      </c>
      <c r="CR42" s="72">
        <f t="shared" si="248"/>
        <v>291</v>
      </c>
      <c r="CS42" s="72">
        <f t="shared" si="249"/>
        <v>306</v>
      </c>
      <c r="CT42" s="23">
        <f t="shared" si="250"/>
        <v>1</v>
      </c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</row>
    <row r="43" spans="1:1030" x14ac:dyDescent="0.2">
      <c r="A43" s="3" t="str">
        <f t="shared" si="0"/>
        <v>aa2ar_human_5IUB</v>
      </c>
      <c r="B43" s="3" t="s">
        <v>139</v>
      </c>
      <c r="C43" s="3" t="s">
        <v>1355</v>
      </c>
      <c r="D43" s="3" t="str">
        <f>IFERROR(MID(VLOOKUP($B43,Seqs!$A:$B,2,0),E43,1),"")</f>
        <v>P</v>
      </c>
      <c r="E43" s="3">
        <v>2</v>
      </c>
      <c r="F43" s="3" t="str">
        <f>IFERROR(MID(VLOOKUP($B43,Seqs!$A:$B,2,0),G43,1),"")</f>
        <v>N</v>
      </c>
      <c r="G43" s="3">
        <v>34</v>
      </c>
      <c r="H43" s="3" t="str">
        <f>IFERROR(MID(VLOOKUP($B43,Seqs!$A:$B,2,0),I43,1),"")</f>
        <v>S</v>
      </c>
      <c r="I43" s="23">
        <v>35</v>
      </c>
      <c r="J43" s="3" t="str">
        <f>IFERROR(MID(VLOOKUP($B43,Seqs!$A:$B,2,0),K43,1),"")</f>
        <v>Q</v>
      </c>
      <c r="K43" s="23">
        <v>38</v>
      </c>
      <c r="L43" s="3" t="str">
        <f>IFERROR(MID(VLOOKUP($B43,Seqs!$A:$B,2,0),M43,1),"")</f>
        <v>N</v>
      </c>
      <c r="M43" s="3">
        <v>39</v>
      </c>
      <c r="N43" s="3" t="str">
        <f>IFERROR(MID(VLOOKUP($B43,Seqs!$A:$B,2,0),O43,1),"")</f>
        <v>G</v>
      </c>
      <c r="O43" s="3">
        <v>69</v>
      </c>
      <c r="P43" s="3" t="str">
        <f>IFERROR(MID(VLOOKUP($B43,Seqs!$A:$B,2,0),Q43,1),"")</f>
        <v>F</v>
      </c>
      <c r="Q43" s="3">
        <v>70</v>
      </c>
      <c r="R43" s="3" t="str">
        <f>IFERROR(MID(VLOOKUP($B43,Seqs!$A:$B,2,0),S43,1),"")</f>
        <v>A</v>
      </c>
      <c r="S43" s="3">
        <v>72</v>
      </c>
      <c r="T43" s="3" t="str">
        <f>IFERROR(MID(VLOOKUP($B43,Seqs!$A:$B,2,0),U43,1),"")</f>
        <v>A</v>
      </c>
      <c r="U43" s="3">
        <v>73</v>
      </c>
      <c r="V43" s="3" t="str">
        <f>IFERROR(MID(VLOOKUP($B43,Seqs!$A:$B,2,0),W43,1),"")</f>
        <v>I</v>
      </c>
      <c r="W43" s="3">
        <v>108</v>
      </c>
      <c r="X43" s="3" t="str">
        <f>IFERROR(MID(VLOOKUP($B43,Seqs!$A:$B,2,0),Y43,1),"")</f>
        <v>P</v>
      </c>
      <c r="Y43" s="3">
        <v>109</v>
      </c>
      <c r="Z43" s="3" t="str">
        <f>IFERROR(MID(VLOOKUP($B43,Seqs!$A:$B,2,0),AA43,1),"")</f>
        <v>V</v>
      </c>
      <c r="AA43" s="3">
        <v>116</v>
      </c>
      <c r="AB43" s="3" t="str">
        <f>IFERROR(MID(VLOOKUP($B43,Seqs!$A:$B,2,0),AC43,1),"")</f>
        <v>T</v>
      </c>
      <c r="AC43" s="9">
        <v>117</v>
      </c>
      <c r="AD43" s="3" t="str">
        <f>IFERROR(MID(VLOOKUP($B43,Seqs!$A:$B,2,0),AE43,1),"")</f>
        <v>G</v>
      </c>
      <c r="AE43" s="3">
        <v>142</v>
      </c>
      <c r="AF43" s="3" t="str">
        <f>IFERROR(MID(VLOOKUP($B43,Seqs!$A:$B,2,0),AG43,1),"")</f>
        <v>C</v>
      </c>
      <c r="AG43" s="3">
        <v>166</v>
      </c>
      <c r="AH43" s="3" t="str">
        <f>IFERROR(MID(VLOOKUP($B43,Seqs!$A:$B,2,0),AI43,1),"")</f>
        <v>F</v>
      </c>
      <c r="AI43" s="3">
        <v>168</v>
      </c>
      <c r="AJ43" s="3" t="str">
        <f>IFERROR(MID(VLOOKUP($B43,Seqs!$A:$B,2,0),AK43,1),"")</f>
        <v>P</v>
      </c>
      <c r="AK43" s="3">
        <v>173</v>
      </c>
      <c r="AL43" s="3" t="str">
        <f>IFERROR(MID(VLOOKUP($B43,Seqs!$A:$B,2,0),AM43,1),"")</f>
        <v>L</v>
      </c>
      <c r="AM43" s="3">
        <v>208</v>
      </c>
      <c r="AN43" s="3" t="str">
        <f>IFERROR(MID(VLOOKUP($B43,Seqs!$A:$B,2,0),AO43,1),"")</f>
        <v>E</v>
      </c>
      <c r="AO43" s="3">
        <v>219</v>
      </c>
      <c r="AP43" s="3" t="str">
        <f>IFERROR(MID(VLOOKUP($B43,Seqs!$A:$B,2,0),AQ43,1),"")</f>
        <v>C</v>
      </c>
      <c r="AQ43" s="3">
        <v>259</v>
      </c>
      <c r="AR43" s="3" t="str">
        <f>IFERROR(MID(VLOOKUP($B43,Seqs!$A:$B,2,0),AS43,1),"")</f>
        <v>P</v>
      </c>
      <c r="AS43" s="3">
        <v>266</v>
      </c>
      <c r="AT43" s="3" t="str">
        <f>IFERROR(MID(VLOOKUP($B43,Seqs!$A:$B,2,0),AU43,1),"")</f>
        <v>R</v>
      </c>
      <c r="AU43" s="3">
        <v>291</v>
      </c>
      <c r="AV43" s="3" t="str">
        <f>IFERROR(MID(VLOOKUP($B43,Seqs!$A:$B,2,0),AW43,1),"")</f>
        <v>I</v>
      </c>
      <c r="AW43" s="3">
        <v>292</v>
      </c>
      <c r="AX43" s="3" t="str">
        <f>IFERROR(MID(VLOOKUP($B43,Seqs!$A:$B,2,0),AY43,1),"")</f>
        <v>S</v>
      </c>
      <c r="AY43" s="3">
        <v>305</v>
      </c>
      <c r="AZ43" s="77" t="str">
        <f>VLOOKUP(B43,Classification!A:D,2,0)</f>
        <v>A</v>
      </c>
      <c r="BA43" s="94" t="str">
        <f>VLOOKUP(B43,Classification!A:D,4,0)</f>
        <v>Adenosine</v>
      </c>
      <c r="BB43" s="27" t="b">
        <f t="shared" si="1"/>
        <v>1</v>
      </c>
      <c r="BC43" s="23">
        <f t="shared" si="225"/>
        <v>261</v>
      </c>
      <c r="BD43" s="4" t="s">
        <v>23</v>
      </c>
      <c r="BE43" s="3" t="s">
        <v>1380</v>
      </c>
      <c r="BF43" s="119">
        <v>2.1</v>
      </c>
      <c r="BG43" s="49" t="s">
        <v>1383</v>
      </c>
      <c r="BH43" s="49" t="s">
        <v>1383</v>
      </c>
      <c r="BI43" s="1"/>
      <c r="BJ43" s="70" t="s">
        <v>1293</v>
      </c>
      <c r="BK43" s="57" t="s">
        <v>1293</v>
      </c>
      <c r="BL43" s="57" t="s">
        <v>1293</v>
      </c>
      <c r="BM43" s="57" t="s">
        <v>1293</v>
      </c>
      <c r="BN43" s="57" t="s">
        <v>1293</v>
      </c>
      <c r="BO43" s="57" t="s">
        <v>1293</v>
      </c>
      <c r="BP43" s="57" t="s">
        <v>1293</v>
      </c>
      <c r="BQ43" s="57" t="s">
        <v>1293</v>
      </c>
      <c r="BR43" s="57" t="s">
        <v>1293</v>
      </c>
      <c r="BS43" s="57" t="s">
        <v>1293</v>
      </c>
      <c r="BT43" s="57" t="s">
        <v>1293</v>
      </c>
      <c r="BU43" s="57" t="s">
        <v>1293</v>
      </c>
      <c r="BV43" s="70">
        <f t="shared" si="226"/>
        <v>2</v>
      </c>
      <c r="BW43" s="71">
        <f t="shared" si="227"/>
        <v>35</v>
      </c>
      <c r="BX43" s="72">
        <f t="shared" si="228"/>
        <v>39</v>
      </c>
      <c r="BY43" s="71">
        <f t="shared" si="229"/>
        <v>70</v>
      </c>
      <c r="BZ43" s="72">
        <f t="shared" si="230"/>
        <v>73</v>
      </c>
      <c r="CA43" s="71">
        <f t="shared" si="231"/>
        <v>109</v>
      </c>
      <c r="CB43" s="72">
        <f t="shared" si="232"/>
        <v>117</v>
      </c>
      <c r="CC43" s="71">
        <f t="shared" si="233"/>
        <v>166</v>
      </c>
      <c r="CD43" s="72">
        <f t="shared" si="234"/>
        <v>173</v>
      </c>
      <c r="CE43" s="71">
        <f t="shared" si="235"/>
        <v>219</v>
      </c>
      <c r="CF43" s="72">
        <f t="shared" si="236"/>
        <v>266</v>
      </c>
      <c r="CG43" s="71">
        <f t="shared" si="237"/>
        <v>292</v>
      </c>
      <c r="CH43" s="70">
        <f t="shared" si="238"/>
        <v>34</v>
      </c>
      <c r="CI43" s="71">
        <f t="shared" si="239"/>
        <v>38</v>
      </c>
      <c r="CJ43" s="72">
        <f t="shared" si="240"/>
        <v>69</v>
      </c>
      <c r="CK43" s="72">
        <f t="shared" si="241"/>
        <v>72</v>
      </c>
      <c r="CL43" s="72">
        <f t="shared" si="242"/>
        <v>108</v>
      </c>
      <c r="CM43" s="72">
        <f t="shared" si="243"/>
        <v>116</v>
      </c>
      <c r="CN43" s="72">
        <f t="shared" si="244"/>
        <v>142</v>
      </c>
      <c r="CO43" s="72">
        <f t="shared" si="245"/>
        <v>168</v>
      </c>
      <c r="CP43" s="72">
        <f t="shared" si="246"/>
        <v>208</v>
      </c>
      <c r="CQ43" s="72">
        <f t="shared" si="247"/>
        <v>259</v>
      </c>
      <c r="CR43" s="72">
        <f t="shared" si="248"/>
        <v>291</v>
      </c>
      <c r="CS43" s="72">
        <f t="shared" si="249"/>
        <v>305</v>
      </c>
      <c r="CT43" s="23">
        <f t="shared" si="250"/>
        <v>1</v>
      </c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</row>
    <row r="44" spans="1:1030" x14ac:dyDescent="0.2">
      <c r="A44" s="3" t="str">
        <f t="shared" si="0"/>
        <v>aa2ar_human_5K2A</v>
      </c>
      <c r="B44" s="3" t="s">
        <v>139</v>
      </c>
      <c r="C44" s="3" t="s">
        <v>1345</v>
      </c>
      <c r="D44" s="3" t="str">
        <f>IFERROR(MID(VLOOKUP($B44,Seqs!$A:$B,2,0),E44,1),"")</f>
        <v>P</v>
      </c>
      <c r="E44" s="3">
        <v>2</v>
      </c>
      <c r="F44" s="3" t="str">
        <f>IFERROR(MID(VLOOKUP($B44,Seqs!$A:$B,2,0),G44,1),"")</f>
        <v>N</v>
      </c>
      <c r="G44" s="3">
        <v>34</v>
      </c>
      <c r="H44" s="3" t="str">
        <f>IFERROR(MID(VLOOKUP($B44,Seqs!$A:$B,2,0),I44,1),"")</f>
        <v>S</v>
      </c>
      <c r="I44" s="23">
        <v>35</v>
      </c>
      <c r="J44" s="3" t="str">
        <f>IFERROR(MID(VLOOKUP($B44,Seqs!$A:$B,2,0),K44,1),"")</f>
        <v>Q</v>
      </c>
      <c r="K44" s="23">
        <v>38</v>
      </c>
      <c r="L44" s="3" t="str">
        <f>IFERROR(MID(VLOOKUP($B44,Seqs!$A:$B,2,0),M44,1),"")</f>
        <v>N</v>
      </c>
      <c r="M44" s="3">
        <v>39</v>
      </c>
      <c r="N44" s="3" t="str">
        <f>IFERROR(MID(VLOOKUP($B44,Seqs!$A:$B,2,0),O44,1),"")</f>
        <v>G</v>
      </c>
      <c r="O44" s="3">
        <v>69</v>
      </c>
      <c r="P44" s="3" t="str">
        <f>IFERROR(MID(VLOOKUP($B44,Seqs!$A:$B,2,0),Q44,1),"")</f>
        <v>F</v>
      </c>
      <c r="Q44" s="3">
        <v>70</v>
      </c>
      <c r="R44" s="3" t="str">
        <f>IFERROR(MID(VLOOKUP($B44,Seqs!$A:$B,2,0),S44,1),"")</f>
        <v>A</v>
      </c>
      <c r="S44" s="3">
        <v>72</v>
      </c>
      <c r="T44" s="3" t="str">
        <f>IFERROR(MID(VLOOKUP($B44,Seqs!$A:$B,2,0),U44,1),"")</f>
        <v>A</v>
      </c>
      <c r="U44" s="3">
        <v>73</v>
      </c>
      <c r="V44" s="3" t="str">
        <f>IFERROR(MID(VLOOKUP($B44,Seqs!$A:$B,2,0),W44,1),"")</f>
        <v>I</v>
      </c>
      <c r="W44" s="3">
        <v>108</v>
      </c>
      <c r="X44" s="3" t="str">
        <f>IFERROR(MID(VLOOKUP($B44,Seqs!$A:$B,2,0),Y44,1),"")</f>
        <v>P</v>
      </c>
      <c r="Y44" s="3">
        <v>109</v>
      </c>
      <c r="Z44" s="3" t="str">
        <f>IFERROR(MID(VLOOKUP($B44,Seqs!$A:$B,2,0),AA44,1),"")</f>
        <v>V</v>
      </c>
      <c r="AA44" s="3">
        <v>116</v>
      </c>
      <c r="AB44" s="3" t="str">
        <f>IFERROR(MID(VLOOKUP($B44,Seqs!$A:$B,2,0),AC44,1),"")</f>
        <v>T</v>
      </c>
      <c r="AC44" s="9">
        <v>117</v>
      </c>
      <c r="AD44" s="3" t="str">
        <f>IFERROR(MID(VLOOKUP($B44,Seqs!$A:$B,2,0),AE44,1),"")</f>
        <v>G</v>
      </c>
      <c r="AE44" s="3">
        <v>142</v>
      </c>
      <c r="AF44" s="3" t="str">
        <f>IFERROR(MID(VLOOKUP($B44,Seqs!$A:$B,2,0),AG44,1),"")</f>
        <v>C</v>
      </c>
      <c r="AG44" s="3">
        <v>166</v>
      </c>
      <c r="AH44" s="3" t="str">
        <f>IFERROR(MID(VLOOKUP($B44,Seqs!$A:$B,2,0),AI44,1),"")</f>
        <v>F</v>
      </c>
      <c r="AI44" s="3">
        <v>168</v>
      </c>
      <c r="AJ44" s="3" t="str">
        <f>IFERROR(MID(VLOOKUP($B44,Seqs!$A:$B,2,0),AK44,1),"")</f>
        <v>P</v>
      </c>
      <c r="AK44" s="3">
        <v>173</v>
      </c>
      <c r="AL44" s="3" t="str">
        <f>IFERROR(MID(VLOOKUP($B44,Seqs!$A:$B,2,0),AM44,1),"")</f>
        <v>L</v>
      </c>
      <c r="AM44" s="3">
        <v>208</v>
      </c>
      <c r="AN44" s="3" t="str">
        <f>IFERROR(MID(VLOOKUP($B44,Seqs!$A:$B,2,0),AO44,1),"")</f>
        <v>E</v>
      </c>
      <c r="AO44" s="3">
        <v>219</v>
      </c>
      <c r="AP44" s="3" t="str">
        <f>IFERROR(MID(VLOOKUP($B44,Seqs!$A:$B,2,0),AQ44,1),"")</f>
        <v>C</v>
      </c>
      <c r="AQ44" s="3">
        <v>259</v>
      </c>
      <c r="AR44" s="3" t="str">
        <f>IFERROR(MID(VLOOKUP($B44,Seqs!$A:$B,2,0),AS44,1),"")</f>
        <v>P</v>
      </c>
      <c r="AS44" s="3">
        <v>266</v>
      </c>
      <c r="AT44" s="3" t="str">
        <f>IFERROR(MID(VLOOKUP($B44,Seqs!$A:$B,2,0),AU44,1),"")</f>
        <v>R</v>
      </c>
      <c r="AU44" s="3">
        <v>291</v>
      </c>
      <c r="AV44" s="3" t="str">
        <f>IFERROR(MID(VLOOKUP($B44,Seqs!$A:$B,2,0),AW44,1),"")</f>
        <v>I</v>
      </c>
      <c r="AW44" s="3">
        <v>292</v>
      </c>
      <c r="AX44" s="3" t="str">
        <f>IFERROR(MID(VLOOKUP($B44,Seqs!$A:$B,2,0),AY44,1),"")</f>
        <v>V</v>
      </c>
      <c r="AY44" s="3">
        <v>307</v>
      </c>
      <c r="AZ44" s="77" t="str">
        <f>VLOOKUP(B44,Classification!A:D,2,0)</f>
        <v>A</v>
      </c>
      <c r="BA44" s="94" t="str">
        <f>VLOOKUP(B44,Classification!A:D,4,0)</f>
        <v>Adenosine</v>
      </c>
      <c r="BB44" s="27" t="b">
        <f t="shared" si="1"/>
        <v>1</v>
      </c>
      <c r="BC44" s="23">
        <f t="shared" si="225"/>
        <v>263</v>
      </c>
      <c r="BD44" s="1" t="s">
        <v>23</v>
      </c>
      <c r="BE44" s="3" t="s">
        <v>1380</v>
      </c>
      <c r="BF44" s="119">
        <v>2.5</v>
      </c>
      <c r="BG44" s="49" t="s">
        <v>1383</v>
      </c>
      <c r="BH44" s="49" t="s">
        <v>1383</v>
      </c>
      <c r="BI44" s="1"/>
      <c r="BJ44" s="70" t="s">
        <v>1293</v>
      </c>
      <c r="BK44" s="57" t="s">
        <v>1293</v>
      </c>
      <c r="BL44" s="57" t="s">
        <v>1293</v>
      </c>
      <c r="BM44" s="57" t="s">
        <v>1293</v>
      </c>
      <c r="BN44" s="57" t="s">
        <v>1293</v>
      </c>
      <c r="BO44" s="57" t="s">
        <v>1293</v>
      </c>
      <c r="BP44" s="57" t="s">
        <v>1293</v>
      </c>
      <c r="BQ44" s="57" t="s">
        <v>1293</v>
      </c>
      <c r="BR44" s="57" t="s">
        <v>1293</v>
      </c>
      <c r="BS44" s="57" t="s">
        <v>1293</v>
      </c>
      <c r="BT44" s="57" t="s">
        <v>1293</v>
      </c>
      <c r="BU44" s="57" t="s">
        <v>1293</v>
      </c>
      <c r="BV44" s="70">
        <f t="shared" si="226"/>
        <v>2</v>
      </c>
      <c r="BW44" s="71">
        <f t="shared" si="227"/>
        <v>35</v>
      </c>
      <c r="BX44" s="72">
        <f t="shared" si="228"/>
        <v>39</v>
      </c>
      <c r="BY44" s="71">
        <f t="shared" si="229"/>
        <v>70</v>
      </c>
      <c r="BZ44" s="72">
        <f t="shared" si="230"/>
        <v>73</v>
      </c>
      <c r="CA44" s="71">
        <f t="shared" si="231"/>
        <v>109</v>
      </c>
      <c r="CB44" s="72">
        <f t="shared" si="232"/>
        <v>117</v>
      </c>
      <c r="CC44" s="71">
        <f t="shared" si="233"/>
        <v>166</v>
      </c>
      <c r="CD44" s="72">
        <f t="shared" si="234"/>
        <v>173</v>
      </c>
      <c r="CE44" s="71">
        <f t="shared" si="235"/>
        <v>219</v>
      </c>
      <c r="CF44" s="72">
        <f t="shared" si="236"/>
        <v>266</v>
      </c>
      <c r="CG44" s="71">
        <f t="shared" si="237"/>
        <v>292</v>
      </c>
      <c r="CH44" s="70">
        <f t="shared" si="238"/>
        <v>34</v>
      </c>
      <c r="CI44" s="71">
        <f t="shared" si="239"/>
        <v>38</v>
      </c>
      <c r="CJ44" s="72">
        <f t="shared" si="240"/>
        <v>69</v>
      </c>
      <c r="CK44" s="72">
        <f t="shared" si="241"/>
        <v>72</v>
      </c>
      <c r="CL44" s="72">
        <f t="shared" si="242"/>
        <v>108</v>
      </c>
      <c r="CM44" s="72">
        <f t="shared" si="243"/>
        <v>116</v>
      </c>
      <c r="CN44" s="72">
        <f t="shared" si="244"/>
        <v>142</v>
      </c>
      <c r="CO44" s="72">
        <f t="shared" si="245"/>
        <v>168</v>
      </c>
      <c r="CP44" s="72">
        <f t="shared" si="246"/>
        <v>208</v>
      </c>
      <c r="CQ44" s="72">
        <f t="shared" si="247"/>
        <v>259</v>
      </c>
      <c r="CR44" s="72">
        <f t="shared" si="248"/>
        <v>291</v>
      </c>
      <c r="CS44" s="72">
        <f t="shared" si="249"/>
        <v>307</v>
      </c>
      <c r="CT44" s="23">
        <f t="shared" si="250"/>
        <v>1</v>
      </c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</row>
    <row r="45" spans="1:1030" x14ac:dyDescent="0.2">
      <c r="A45" s="3" t="str">
        <f t="shared" si="0"/>
        <v>aa2ar_human_5K2B</v>
      </c>
      <c r="B45" s="3" t="s">
        <v>139</v>
      </c>
      <c r="C45" s="3" t="s">
        <v>1346</v>
      </c>
      <c r="D45" s="3" t="str">
        <f>IFERROR(MID(VLOOKUP($B45,Seqs!$A:$B,2,0),E45,1),"")</f>
        <v>P</v>
      </c>
      <c r="E45" s="3">
        <v>2</v>
      </c>
      <c r="F45" s="3" t="str">
        <f>IFERROR(MID(VLOOKUP($B45,Seqs!$A:$B,2,0),G45,1),"")</f>
        <v>N</v>
      </c>
      <c r="G45" s="3">
        <v>34</v>
      </c>
      <c r="H45" s="3" t="str">
        <f>IFERROR(MID(VLOOKUP($B45,Seqs!$A:$B,2,0),I45,1),"")</f>
        <v>S</v>
      </c>
      <c r="I45" s="23">
        <v>35</v>
      </c>
      <c r="J45" s="3" t="str">
        <f>IFERROR(MID(VLOOKUP($B45,Seqs!$A:$B,2,0),K45,1),"")</f>
        <v>Q</v>
      </c>
      <c r="K45" s="23">
        <v>38</v>
      </c>
      <c r="L45" s="3" t="str">
        <f>IFERROR(MID(VLOOKUP($B45,Seqs!$A:$B,2,0),M45,1),"")</f>
        <v>N</v>
      </c>
      <c r="M45" s="3">
        <v>39</v>
      </c>
      <c r="N45" s="3" t="str">
        <f>IFERROR(MID(VLOOKUP($B45,Seqs!$A:$B,2,0),O45,1),"")</f>
        <v>G</v>
      </c>
      <c r="O45" s="3">
        <v>69</v>
      </c>
      <c r="P45" s="3" t="str">
        <f>IFERROR(MID(VLOOKUP($B45,Seqs!$A:$B,2,0),Q45,1),"")</f>
        <v>F</v>
      </c>
      <c r="Q45" s="3">
        <v>70</v>
      </c>
      <c r="R45" s="3" t="str">
        <f>IFERROR(MID(VLOOKUP($B45,Seqs!$A:$B,2,0),S45,1),"")</f>
        <v>A</v>
      </c>
      <c r="S45" s="3">
        <v>72</v>
      </c>
      <c r="T45" s="3" t="str">
        <f>IFERROR(MID(VLOOKUP($B45,Seqs!$A:$B,2,0),U45,1),"")</f>
        <v>A</v>
      </c>
      <c r="U45" s="3">
        <v>73</v>
      </c>
      <c r="V45" s="3" t="str">
        <f>IFERROR(MID(VLOOKUP($B45,Seqs!$A:$B,2,0),W45,1),"")</f>
        <v>I</v>
      </c>
      <c r="W45" s="3">
        <v>108</v>
      </c>
      <c r="X45" s="3" t="str">
        <f>IFERROR(MID(VLOOKUP($B45,Seqs!$A:$B,2,0),Y45,1),"")</f>
        <v>P</v>
      </c>
      <c r="Y45" s="3">
        <v>109</v>
      </c>
      <c r="Z45" s="3" t="str">
        <f>IFERROR(MID(VLOOKUP($B45,Seqs!$A:$B,2,0),AA45,1),"")</f>
        <v>V</v>
      </c>
      <c r="AA45" s="3">
        <v>116</v>
      </c>
      <c r="AB45" s="3" t="str">
        <f>IFERROR(MID(VLOOKUP($B45,Seqs!$A:$B,2,0),AC45,1),"")</f>
        <v>T</v>
      </c>
      <c r="AC45" s="9">
        <v>117</v>
      </c>
      <c r="AD45" s="3" t="str">
        <f>IFERROR(MID(VLOOKUP($B45,Seqs!$A:$B,2,0),AE45,1),"")</f>
        <v>G</v>
      </c>
      <c r="AE45" s="3">
        <v>142</v>
      </c>
      <c r="AF45" s="3" t="str">
        <f>IFERROR(MID(VLOOKUP($B45,Seqs!$A:$B,2,0),AG45,1),"")</f>
        <v>C</v>
      </c>
      <c r="AG45" s="3">
        <v>166</v>
      </c>
      <c r="AH45" s="3" t="str">
        <f>IFERROR(MID(VLOOKUP($B45,Seqs!$A:$B,2,0),AI45,1),"")</f>
        <v>F</v>
      </c>
      <c r="AI45" s="3">
        <v>168</v>
      </c>
      <c r="AJ45" s="3" t="str">
        <f>IFERROR(MID(VLOOKUP($B45,Seqs!$A:$B,2,0),AK45,1),"")</f>
        <v>P</v>
      </c>
      <c r="AK45" s="3">
        <v>173</v>
      </c>
      <c r="AL45" s="3" t="str">
        <f>IFERROR(MID(VLOOKUP($B45,Seqs!$A:$B,2,0),AM45,1),"")</f>
        <v>L</v>
      </c>
      <c r="AM45" s="3">
        <v>208</v>
      </c>
      <c r="AN45" s="3" t="str">
        <f>IFERROR(MID(VLOOKUP($B45,Seqs!$A:$B,2,0),AO45,1),"")</f>
        <v>E</v>
      </c>
      <c r="AO45" s="3">
        <v>219</v>
      </c>
      <c r="AP45" s="3" t="str">
        <f>IFERROR(MID(VLOOKUP($B45,Seqs!$A:$B,2,0),AQ45,1),"")</f>
        <v>C</v>
      </c>
      <c r="AQ45" s="3">
        <v>259</v>
      </c>
      <c r="AR45" s="3" t="str">
        <f>IFERROR(MID(VLOOKUP($B45,Seqs!$A:$B,2,0),AS45,1),"")</f>
        <v>P</v>
      </c>
      <c r="AS45" s="3">
        <v>266</v>
      </c>
      <c r="AT45" s="3" t="str">
        <f>IFERROR(MID(VLOOKUP($B45,Seqs!$A:$B,2,0),AU45,1),"")</f>
        <v>R</v>
      </c>
      <c r="AU45" s="3">
        <v>291</v>
      </c>
      <c r="AV45" s="3" t="str">
        <f>IFERROR(MID(VLOOKUP($B45,Seqs!$A:$B,2,0),AW45,1),"")</f>
        <v>I</v>
      </c>
      <c r="AW45" s="3">
        <v>292</v>
      </c>
      <c r="AX45" s="3" t="str">
        <f>IFERROR(MID(VLOOKUP($B45,Seqs!$A:$B,2,0),AY45,1),"")</f>
        <v>V</v>
      </c>
      <c r="AY45" s="3">
        <v>307</v>
      </c>
      <c r="AZ45" s="77" t="str">
        <f>VLOOKUP(B45,Classification!A:D,2,0)</f>
        <v>A</v>
      </c>
      <c r="BA45" s="94" t="str">
        <f>VLOOKUP(B45,Classification!A:D,4,0)</f>
        <v>Adenosine</v>
      </c>
      <c r="BB45" s="27" t="b">
        <f t="shared" si="1"/>
        <v>1</v>
      </c>
      <c r="BC45" s="23">
        <f t="shared" si="225"/>
        <v>263</v>
      </c>
      <c r="BD45" s="4" t="s">
        <v>23</v>
      </c>
      <c r="BE45" s="3" t="s">
        <v>1380</v>
      </c>
      <c r="BF45" s="119">
        <v>2.5</v>
      </c>
      <c r="BG45" s="49" t="s">
        <v>1383</v>
      </c>
      <c r="BH45" s="49" t="s">
        <v>1383</v>
      </c>
      <c r="BI45" s="1"/>
      <c r="BJ45" s="70" t="s">
        <v>1293</v>
      </c>
      <c r="BK45" s="57" t="s">
        <v>1293</v>
      </c>
      <c r="BL45" s="57" t="s">
        <v>1293</v>
      </c>
      <c r="BM45" s="57" t="s">
        <v>1293</v>
      </c>
      <c r="BN45" s="57" t="s">
        <v>1293</v>
      </c>
      <c r="BO45" s="57" t="s">
        <v>1293</v>
      </c>
      <c r="BP45" s="57" t="s">
        <v>1293</v>
      </c>
      <c r="BQ45" s="57" t="s">
        <v>1293</v>
      </c>
      <c r="BR45" s="57" t="s">
        <v>1293</v>
      </c>
      <c r="BS45" s="57" t="s">
        <v>1293</v>
      </c>
      <c r="BT45" s="57" t="s">
        <v>1293</v>
      </c>
      <c r="BU45" s="57" t="s">
        <v>1293</v>
      </c>
      <c r="BV45" s="70">
        <f t="shared" si="226"/>
        <v>2</v>
      </c>
      <c r="BW45" s="71">
        <f t="shared" si="227"/>
        <v>35</v>
      </c>
      <c r="BX45" s="72">
        <f t="shared" si="228"/>
        <v>39</v>
      </c>
      <c r="BY45" s="71">
        <f t="shared" si="229"/>
        <v>70</v>
      </c>
      <c r="BZ45" s="72">
        <f t="shared" si="230"/>
        <v>73</v>
      </c>
      <c r="CA45" s="71">
        <f t="shared" si="231"/>
        <v>109</v>
      </c>
      <c r="CB45" s="72">
        <f t="shared" si="232"/>
        <v>117</v>
      </c>
      <c r="CC45" s="71">
        <f t="shared" si="233"/>
        <v>166</v>
      </c>
      <c r="CD45" s="72">
        <f t="shared" si="234"/>
        <v>173</v>
      </c>
      <c r="CE45" s="71">
        <f t="shared" si="235"/>
        <v>219</v>
      </c>
      <c r="CF45" s="72">
        <f t="shared" si="236"/>
        <v>266</v>
      </c>
      <c r="CG45" s="71">
        <f t="shared" si="237"/>
        <v>292</v>
      </c>
      <c r="CH45" s="70">
        <f t="shared" si="238"/>
        <v>34</v>
      </c>
      <c r="CI45" s="71">
        <f t="shared" si="239"/>
        <v>38</v>
      </c>
      <c r="CJ45" s="72">
        <f t="shared" si="240"/>
        <v>69</v>
      </c>
      <c r="CK45" s="72">
        <f t="shared" si="241"/>
        <v>72</v>
      </c>
      <c r="CL45" s="72">
        <f t="shared" si="242"/>
        <v>108</v>
      </c>
      <c r="CM45" s="72">
        <f t="shared" si="243"/>
        <v>116</v>
      </c>
      <c r="CN45" s="72">
        <f t="shared" si="244"/>
        <v>142</v>
      </c>
      <c r="CO45" s="72">
        <f t="shared" si="245"/>
        <v>168</v>
      </c>
      <c r="CP45" s="72">
        <f t="shared" si="246"/>
        <v>208</v>
      </c>
      <c r="CQ45" s="72">
        <f t="shared" si="247"/>
        <v>259</v>
      </c>
      <c r="CR45" s="72">
        <f t="shared" si="248"/>
        <v>291</v>
      </c>
      <c r="CS45" s="72">
        <f t="shared" si="249"/>
        <v>307</v>
      </c>
      <c r="CT45" s="23">
        <f t="shared" si="250"/>
        <v>1</v>
      </c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</row>
    <row r="46" spans="1:1030" x14ac:dyDescent="0.2">
      <c r="A46" s="3" t="str">
        <f t="shared" si="0"/>
        <v>aa2ar_human_5K2C</v>
      </c>
      <c r="B46" s="3" t="s">
        <v>139</v>
      </c>
      <c r="C46" s="3" t="s">
        <v>1347</v>
      </c>
      <c r="D46" s="3" t="str">
        <f>IFERROR(MID(VLOOKUP($B46,Seqs!$A:$B,2,0),E46,1),"")</f>
        <v>P</v>
      </c>
      <c r="E46" s="3">
        <v>2</v>
      </c>
      <c r="F46" s="3" t="str">
        <f>IFERROR(MID(VLOOKUP($B46,Seqs!$A:$B,2,0),G46,1),"")</f>
        <v>N</v>
      </c>
      <c r="G46" s="3">
        <v>34</v>
      </c>
      <c r="H46" s="3" t="str">
        <f>IFERROR(MID(VLOOKUP($B46,Seqs!$A:$B,2,0),I46,1),"")</f>
        <v>S</v>
      </c>
      <c r="I46" s="23">
        <v>35</v>
      </c>
      <c r="J46" s="3" t="str">
        <f>IFERROR(MID(VLOOKUP($B46,Seqs!$A:$B,2,0),K46,1),"")</f>
        <v>Q</v>
      </c>
      <c r="K46" s="23">
        <v>38</v>
      </c>
      <c r="L46" s="3" t="str">
        <f>IFERROR(MID(VLOOKUP($B46,Seqs!$A:$B,2,0),M46,1),"")</f>
        <v>N</v>
      </c>
      <c r="M46" s="3">
        <v>39</v>
      </c>
      <c r="N46" s="3" t="str">
        <f>IFERROR(MID(VLOOKUP($B46,Seqs!$A:$B,2,0),O46,1),"")</f>
        <v>G</v>
      </c>
      <c r="O46" s="3">
        <v>69</v>
      </c>
      <c r="P46" s="3" t="str">
        <f>IFERROR(MID(VLOOKUP($B46,Seqs!$A:$B,2,0),Q46,1),"")</f>
        <v>F</v>
      </c>
      <c r="Q46" s="3">
        <v>70</v>
      </c>
      <c r="R46" s="3" t="str">
        <f>IFERROR(MID(VLOOKUP($B46,Seqs!$A:$B,2,0),S46,1),"")</f>
        <v>A</v>
      </c>
      <c r="S46" s="3">
        <v>72</v>
      </c>
      <c r="T46" s="3" t="str">
        <f>IFERROR(MID(VLOOKUP($B46,Seqs!$A:$B,2,0),U46,1),"")</f>
        <v>A</v>
      </c>
      <c r="U46" s="3">
        <v>73</v>
      </c>
      <c r="V46" s="3" t="str">
        <f>IFERROR(MID(VLOOKUP($B46,Seqs!$A:$B,2,0),W46,1),"")</f>
        <v>I</v>
      </c>
      <c r="W46" s="3">
        <v>108</v>
      </c>
      <c r="X46" s="3" t="str">
        <f>IFERROR(MID(VLOOKUP($B46,Seqs!$A:$B,2,0),Y46,1),"")</f>
        <v>P</v>
      </c>
      <c r="Y46" s="3">
        <v>109</v>
      </c>
      <c r="Z46" s="3" t="str">
        <f>IFERROR(MID(VLOOKUP($B46,Seqs!$A:$B,2,0),AA46,1),"")</f>
        <v>V</v>
      </c>
      <c r="AA46" s="3">
        <v>116</v>
      </c>
      <c r="AB46" s="3" t="str">
        <f>IFERROR(MID(VLOOKUP($B46,Seqs!$A:$B,2,0),AC46,1),"")</f>
        <v>T</v>
      </c>
      <c r="AC46" s="9">
        <v>117</v>
      </c>
      <c r="AD46" s="3" t="str">
        <f>IFERROR(MID(VLOOKUP($B46,Seqs!$A:$B,2,0),AE46,1),"")</f>
        <v>G</v>
      </c>
      <c r="AE46" s="3">
        <v>142</v>
      </c>
      <c r="AF46" s="3" t="str">
        <f>IFERROR(MID(VLOOKUP($B46,Seqs!$A:$B,2,0),AG46,1),"")</f>
        <v>C</v>
      </c>
      <c r="AG46" s="3">
        <v>166</v>
      </c>
      <c r="AH46" s="3" t="str">
        <f>IFERROR(MID(VLOOKUP($B46,Seqs!$A:$B,2,0),AI46,1),"")</f>
        <v>F</v>
      </c>
      <c r="AI46" s="3">
        <v>168</v>
      </c>
      <c r="AJ46" s="3" t="str">
        <f>IFERROR(MID(VLOOKUP($B46,Seqs!$A:$B,2,0),AK46,1),"")</f>
        <v>P</v>
      </c>
      <c r="AK46" s="3">
        <v>173</v>
      </c>
      <c r="AL46" s="3" t="str">
        <f>IFERROR(MID(VLOOKUP($B46,Seqs!$A:$B,2,0),AM46,1),"")</f>
        <v>L</v>
      </c>
      <c r="AM46" s="3">
        <v>208</v>
      </c>
      <c r="AN46" s="3" t="str">
        <f>IFERROR(MID(VLOOKUP($B46,Seqs!$A:$B,2,0),AO46,1),"")</f>
        <v>E</v>
      </c>
      <c r="AO46" s="3">
        <v>219</v>
      </c>
      <c r="AP46" s="3" t="str">
        <f>IFERROR(MID(VLOOKUP($B46,Seqs!$A:$B,2,0),AQ46,1),"")</f>
        <v>C</v>
      </c>
      <c r="AQ46" s="3">
        <v>259</v>
      </c>
      <c r="AR46" s="3" t="str">
        <f>IFERROR(MID(VLOOKUP($B46,Seqs!$A:$B,2,0),AS46,1),"")</f>
        <v>P</v>
      </c>
      <c r="AS46" s="3">
        <v>266</v>
      </c>
      <c r="AT46" s="3" t="str">
        <f>IFERROR(MID(VLOOKUP($B46,Seqs!$A:$B,2,0),AU46,1),"")</f>
        <v>R</v>
      </c>
      <c r="AU46" s="3">
        <v>291</v>
      </c>
      <c r="AV46" s="3" t="str">
        <f>IFERROR(MID(VLOOKUP($B46,Seqs!$A:$B,2,0),AW46,1),"")</f>
        <v>I</v>
      </c>
      <c r="AW46" s="3">
        <v>292</v>
      </c>
      <c r="AX46" s="3" t="str">
        <f>IFERROR(MID(VLOOKUP($B46,Seqs!$A:$B,2,0),AY46,1),"")</f>
        <v>V</v>
      </c>
      <c r="AY46" s="3">
        <v>307</v>
      </c>
      <c r="AZ46" s="77" t="str">
        <f>VLOOKUP(B46,Classification!A:D,2,0)</f>
        <v>A</v>
      </c>
      <c r="BA46" s="94" t="str">
        <f>VLOOKUP(B46,Classification!A:D,4,0)</f>
        <v>Adenosine</v>
      </c>
      <c r="BB46" s="27" t="b">
        <f t="shared" si="1"/>
        <v>1</v>
      </c>
      <c r="BC46" s="23">
        <f t="shared" si="225"/>
        <v>263</v>
      </c>
      <c r="BD46" s="4" t="s">
        <v>23</v>
      </c>
      <c r="BE46" s="3" t="s">
        <v>1380</v>
      </c>
      <c r="BF46" s="119">
        <v>1.9</v>
      </c>
      <c r="BG46" s="49" t="s">
        <v>1383</v>
      </c>
      <c r="BH46" s="49" t="s">
        <v>1383</v>
      </c>
      <c r="BI46" s="1"/>
      <c r="BJ46" s="70" t="s">
        <v>1293</v>
      </c>
      <c r="BK46" s="57" t="s">
        <v>1293</v>
      </c>
      <c r="BL46" s="57" t="s">
        <v>1293</v>
      </c>
      <c r="BM46" s="57" t="s">
        <v>1293</v>
      </c>
      <c r="BN46" s="57" t="s">
        <v>1293</v>
      </c>
      <c r="BO46" s="57" t="s">
        <v>1293</v>
      </c>
      <c r="BP46" s="57" t="s">
        <v>1293</v>
      </c>
      <c r="BQ46" s="57" t="s">
        <v>1293</v>
      </c>
      <c r="BR46" s="57" t="s">
        <v>1293</v>
      </c>
      <c r="BS46" s="57" t="s">
        <v>1293</v>
      </c>
      <c r="BT46" s="57" t="s">
        <v>1293</v>
      </c>
      <c r="BU46" s="57" t="s">
        <v>1293</v>
      </c>
      <c r="BV46" s="70">
        <f t="shared" si="226"/>
        <v>2</v>
      </c>
      <c r="BW46" s="71">
        <f t="shared" si="227"/>
        <v>35</v>
      </c>
      <c r="BX46" s="72">
        <f t="shared" si="228"/>
        <v>39</v>
      </c>
      <c r="BY46" s="71">
        <f t="shared" si="229"/>
        <v>70</v>
      </c>
      <c r="BZ46" s="72">
        <f t="shared" si="230"/>
        <v>73</v>
      </c>
      <c r="CA46" s="71">
        <f t="shared" si="231"/>
        <v>109</v>
      </c>
      <c r="CB46" s="72">
        <f t="shared" si="232"/>
        <v>117</v>
      </c>
      <c r="CC46" s="71">
        <f t="shared" si="233"/>
        <v>166</v>
      </c>
      <c r="CD46" s="72">
        <f t="shared" si="234"/>
        <v>173</v>
      </c>
      <c r="CE46" s="71">
        <f t="shared" si="235"/>
        <v>219</v>
      </c>
      <c r="CF46" s="72">
        <f t="shared" si="236"/>
        <v>266</v>
      </c>
      <c r="CG46" s="71">
        <f t="shared" si="237"/>
        <v>292</v>
      </c>
      <c r="CH46" s="70">
        <f t="shared" si="238"/>
        <v>34</v>
      </c>
      <c r="CI46" s="71">
        <f t="shared" si="239"/>
        <v>38</v>
      </c>
      <c r="CJ46" s="72">
        <f t="shared" si="240"/>
        <v>69</v>
      </c>
      <c r="CK46" s="72">
        <f t="shared" si="241"/>
        <v>72</v>
      </c>
      <c r="CL46" s="72">
        <f t="shared" si="242"/>
        <v>108</v>
      </c>
      <c r="CM46" s="72">
        <f t="shared" si="243"/>
        <v>116</v>
      </c>
      <c r="CN46" s="72">
        <f t="shared" si="244"/>
        <v>142</v>
      </c>
      <c r="CO46" s="72">
        <f t="shared" si="245"/>
        <v>168</v>
      </c>
      <c r="CP46" s="72">
        <f t="shared" si="246"/>
        <v>208</v>
      </c>
      <c r="CQ46" s="72">
        <f t="shared" si="247"/>
        <v>259</v>
      </c>
      <c r="CR46" s="72">
        <f t="shared" si="248"/>
        <v>291</v>
      </c>
      <c r="CS46" s="72">
        <f t="shared" si="249"/>
        <v>307</v>
      </c>
      <c r="CT46" s="23">
        <f t="shared" si="250"/>
        <v>1</v>
      </c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</row>
    <row r="47" spans="1:1030" x14ac:dyDescent="0.2">
      <c r="A47" s="3" t="str">
        <f t="shared" si="0"/>
        <v>aa2ar_human_5K2D</v>
      </c>
      <c r="B47" s="3" t="s">
        <v>139</v>
      </c>
      <c r="C47" s="3" t="s">
        <v>1348</v>
      </c>
      <c r="D47" s="3" t="str">
        <f>IFERROR(MID(VLOOKUP($B47,Seqs!$A:$B,2,0),E47,1),"")</f>
        <v>P</v>
      </c>
      <c r="E47" s="3">
        <v>2</v>
      </c>
      <c r="F47" s="3" t="str">
        <f>IFERROR(MID(VLOOKUP($B47,Seqs!$A:$B,2,0),G47,1),"")</f>
        <v>N</v>
      </c>
      <c r="G47" s="3">
        <v>34</v>
      </c>
      <c r="H47" s="3" t="str">
        <f>IFERROR(MID(VLOOKUP($B47,Seqs!$A:$B,2,0),I47,1),"")</f>
        <v>S</v>
      </c>
      <c r="I47" s="23">
        <v>35</v>
      </c>
      <c r="J47" s="3" t="str">
        <f>IFERROR(MID(VLOOKUP($B47,Seqs!$A:$B,2,0),K47,1),"")</f>
        <v>Q</v>
      </c>
      <c r="K47" s="23">
        <v>38</v>
      </c>
      <c r="L47" s="3" t="str">
        <f>IFERROR(MID(VLOOKUP($B47,Seqs!$A:$B,2,0),M47,1),"")</f>
        <v>N</v>
      </c>
      <c r="M47" s="3">
        <v>39</v>
      </c>
      <c r="N47" s="3" t="str">
        <f>IFERROR(MID(VLOOKUP($B47,Seqs!$A:$B,2,0),O47,1),"")</f>
        <v>G</v>
      </c>
      <c r="O47" s="3">
        <v>69</v>
      </c>
      <c r="P47" s="3" t="str">
        <f>IFERROR(MID(VLOOKUP($B47,Seqs!$A:$B,2,0),Q47,1),"")</f>
        <v>F</v>
      </c>
      <c r="Q47" s="3">
        <v>70</v>
      </c>
      <c r="R47" s="3" t="str">
        <f>IFERROR(MID(VLOOKUP($B47,Seqs!$A:$B,2,0),S47,1),"")</f>
        <v>A</v>
      </c>
      <c r="S47" s="3">
        <v>72</v>
      </c>
      <c r="T47" s="3" t="str">
        <f>IFERROR(MID(VLOOKUP($B47,Seqs!$A:$B,2,0),U47,1),"")</f>
        <v>A</v>
      </c>
      <c r="U47" s="3">
        <v>73</v>
      </c>
      <c r="V47" s="3" t="str">
        <f>IFERROR(MID(VLOOKUP($B47,Seqs!$A:$B,2,0),W47,1),"")</f>
        <v>I</v>
      </c>
      <c r="W47" s="3">
        <v>108</v>
      </c>
      <c r="X47" s="3" t="str">
        <f>IFERROR(MID(VLOOKUP($B47,Seqs!$A:$B,2,0),Y47,1),"")</f>
        <v>P</v>
      </c>
      <c r="Y47" s="3">
        <v>109</v>
      </c>
      <c r="Z47" s="3" t="str">
        <f>IFERROR(MID(VLOOKUP($B47,Seqs!$A:$B,2,0),AA47,1),"")</f>
        <v>V</v>
      </c>
      <c r="AA47" s="3">
        <v>116</v>
      </c>
      <c r="AB47" s="3" t="str">
        <f>IFERROR(MID(VLOOKUP($B47,Seqs!$A:$B,2,0),AC47,1),"")</f>
        <v>T</v>
      </c>
      <c r="AC47" s="9">
        <v>117</v>
      </c>
      <c r="AD47" s="3" t="str">
        <f>IFERROR(MID(VLOOKUP($B47,Seqs!$A:$B,2,0),AE47,1),"")</f>
        <v>G</v>
      </c>
      <c r="AE47" s="3">
        <v>142</v>
      </c>
      <c r="AF47" s="3" t="str">
        <f>IFERROR(MID(VLOOKUP($B47,Seqs!$A:$B,2,0),AG47,1),"")</f>
        <v>C</v>
      </c>
      <c r="AG47" s="3">
        <v>166</v>
      </c>
      <c r="AH47" s="3" t="str">
        <f>IFERROR(MID(VLOOKUP($B47,Seqs!$A:$B,2,0),AI47,1),"")</f>
        <v>F</v>
      </c>
      <c r="AI47" s="3">
        <v>168</v>
      </c>
      <c r="AJ47" s="3" t="str">
        <f>IFERROR(MID(VLOOKUP($B47,Seqs!$A:$B,2,0),AK47,1),"")</f>
        <v>P</v>
      </c>
      <c r="AK47" s="3">
        <v>173</v>
      </c>
      <c r="AL47" s="3" t="str">
        <f>IFERROR(MID(VLOOKUP($B47,Seqs!$A:$B,2,0),AM47,1),"")</f>
        <v>L</v>
      </c>
      <c r="AM47" s="3">
        <v>208</v>
      </c>
      <c r="AN47" s="3" t="str">
        <f>IFERROR(MID(VLOOKUP($B47,Seqs!$A:$B,2,0),AO47,1),"")</f>
        <v>E</v>
      </c>
      <c r="AO47" s="3">
        <v>219</v>
      </c>
      <c r="AP47" s="3" t="str">
        <f>IFERROR(MID(VLOOKUP($B47,Seqs!$A:$B,2,0),AQ47,1),"")</f>
        <v>C</v>
      </c>
      <c r="AQ47" s="3">
        <v>259</v>
      </c>
      <c r="AR47" s="3" t="str">
        <f>IFERROR(MID(VLOOKUP($B47,Seqs!$A:$B,2,0),AS47,1),"")</f>
        <v>P</v>
      </c>
      <c r="AS47" s="3">
        <v>266</v>
      </c>
      <c r="AT47" s="3" t="str">
        <f>IFERROR(MID(VLOOKUP($B47,Seqs!$A:$B,2,0),AU47,1),"")</f>
        <v>R</v>
      </c>
      <c r="AU47" s="3">
        <v>291</v>
      </c>
      <c r="AV47" s="3" t="str">
        <f>IFERROR(MID(VLOOKUP($B47,Seqs!$A:$B,2,0),AW47,1),"")</f>
        <v>I</v>
      </c>
      <c r="AW47" s="3">
        <v>292</v>
      </c>
      <c r="AX47" s="3" t="str">
        <f>IFERROR(MID(VLOOKUP($B47,Seqs!$A:$B,2,0),AY47,1),"")</f>
        <v>V</v>
      </c>
      <c r="AY47" s="3">
        <v>307</v>
      </c>
      <c r="AZ47" s="77" t="str">
        <f>VLOOKUP(B47,Classification!A:D,2,0)</f>
        <v>A</v>
      </c>
      <c r="BA47" s="94" t="str">
        <f>VLOOKUP(B47,Classification!A:D,4,0)</f>
        <v>Adenosine</v>
      </c>
      <c r="BB47" s="27" t="b">
        <f t="shared" si="1"/>
        <v>1</v>
      </c>
      <c r="BC47" s="23">
        <f t="shared" si="225"/>
        <v>263</v>
      </c>
      <c r="BD47" s="5" t="s">
        <v>23</v>
      </c>
      <c r="BE47" s="3" t="s">
        <v>1380</v>
      </c>
      <c r="BF47" s="119">
        <v>1.9</v>
      </c>
      <c r="BG47" s="49" t="s">
        <v>1383</v>
      </c>
      <c r="BH47" s="49" t="s">
        <v>1383</v>
      </c>
      <c r="BI47" s="1"/>
      <c r="BJ47" s="70" t="s">
        <v>1293</v>
      </c>
      <c r="BK47" s="57" t="s">
        <v>1293</v>
      </c>
      <c r="BL47" s="57" t="s">
        <v>1293</v>
      </c>
      <c r="BM47" s="57" t="s">
        <v>1293</v>
      </c>
      <c r="BN47" s="57" t="s">
        <v>1293</v>
      </c>
      <c r="BO47" s="57" t="s">
        <v>1293</v>
      </c>
      <c r="BP47" s="57" t="s">
        <v>1293</v>
      </c>
      <c r="BQ47" s="57" t="s">
        <v>1293</v>
      </c>
      <c r="BR47" s="57" t="s">
        <v>1293</v>
      </c>
      <c r="BS47" s="57" t="s">
        <v>1293</v>
      </c>
      <c r="BT47" s="57" t="s">
        <v>1293</v>
      </c>
      <c r="BU47" s="57" t="s">
        <v>1293</v>
      </c>
      <c r="BV47" s="70">
        <f t="shared" si="226"/>
        <v>2</v>
      </c>
      <c r="BW47" s="71">
        <f t="shared" si="227"/>
        <v>35</v>
      </c>
      <c r="BX47" s="72">
        <f t="shared" si="228"/>
        <v>39</v>
      </c>
      <c r="BY47" s="71">
        <f t="shared" si="229"/>
        <v>70</v>
      </c>
      <c r="BZ47" s="72">
        <f t="shared" si="230"/>
        <v>73</v>
      </c>
      <c r="CA47" s="71">
        <f t="shared" si="231"/>
        <v>109</v>
      </c>
      <c r="CB47" s="72">
        <f t="shared" si="232"/>
        <v>117</v>
      </c>
      <c r="CC47" s="71">
        <f t="shared" si="233"/>
        <v>166</v>
      </c>
      <c r="CD47" s="72">
        <f t="shared" si="234"/>
        <v>173</v>
      </c>
      <c r="CE47" s="71">
        <f t="shared" si="235"/>
        <v>219</v>
      </c>
      <c r="CF47" s="72">
        <f t="shared" si="236"/>
        <v>266</v>
      </c>
      <c r="CG47" s="71">
        <f t="shared" si="237"/>
        <v>292</v>
      </c>
      <c r="CH47" s="70">
        <f t="shared" si="238"/>
        <v>34</v>
      </c>
      <c r="CI47" s="71">
        <f t="shared" si="239"/>
        <v>38</v>
      </c>
      <c r="CJ47" s="72">
        <f t="shared" si="240"/>
        <v>69</v>
      </c>
      <c r="CK47" s="72">
        <f t="shared" si="241"/>
        <v>72</v>
      </c>
      <c r="CL47" s="72">
        <f t="shared" si="242"/>
        <v>108</v>
      </c>
      <c r="CM47" s="72">
        <f t="shared" si="243"/>
        <v>116</v>
      </c>
      <c r="CN47" s="72">
        <f t="shared" si="244"/>
        <v>142</v>
      </c>
      <c r="CO47" s="72">
        <f t="shared" si="245"/>
        <v>168</v>
      </c>
      <c r="CP47" s="72">
        <f t="shared" si="246"/>
        <v>208</v>
      </c>
      <c r="CQ47" s="72">
        <f t="shared" si="247"/>
        <v>259</v>
      </c>
      <c r="CR47" s="72">
        <f t="shared" si="248"/>
        <v>291</v>
      </c>
      <c r="CS47" s="72">
        <f t="shared" si="249"/>
        <v>307</v>
      </c>
      <c r="CT47" s="23">
        <f t="shared" si="250"/>
        <v>1</v>
      </c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</row>
    <row r="48" spans="1:1030" x14ac:dyDescent="0.2">
      <c r="A48" s="3" t="str">
        <f t="shared" ref="A48:A68" si="251">CONCATENATE(B48,"_",C48)</f>
        <v>aa2ar_human_5MZJ</v>
      </c>
      <c r="B48" s="3" t="s">
        <v>139</v>
      </c>
      <c r="C48" s="3" t="s">
        <v>1445</v>
      </c>
      <c r="D48" s="3" t="str">
        <f>IFERROR(MID(VLOOKUP($B48,Seqs!$A:$B,2,0),E48,1),"")</f>
        <v>P</v>
      </c>
      <c r="E48" s="3">
        <v>2</v>
      </c>
      <c r="F48" s="3" t="str">
        <f>IFERROR(MID(VLOOKUP($B48,Seqs!$A:$B,2,0),G48,1),"")</f>
        <v>N</v>
      </c>
      <c r="G48" s="3">
        <v>34</v>
      </c>
      <c r="H48" s="3" t="str">
        <f>IFERROR(MID(VLOOKUP($B48,Seqs!$A:$B,2,0),I48,1),"")</f>
        <v>S</v>
      </c>
      <c r="I48" s="23">
        <v>35</v>
      </c>
      <c r="J48" s="3" t="str">
        <f>IFERROR(MID(VLOOKUP($B48,Seqs!$A:$B,2,0),K48,1),"")</f>
        <v>Q</v>
      </c>
      <c r="K48" s="23">
        <v>38</v>
      </c>
      <c r="L48" s="3" t="str">
        <f>IFERROR(MID(VLOOKUP($B48,Seqs!$A:$B,2,0),M48,1),"")</f>
        <v>N</v>
      </c>
      <c r="M48" s="3">
        <v>39</v>
      </c>
      <c r="N48" s="3" t="str">
        <f>IFERROR(MID(VLOOKUP($B48,Seqs!$A:$B,2,0),O48,1),"")</f>
        <v>G</v>
      </c>
      <c r="O48" s="3">
        <v>69</v>
      </c>
      <c r="P48" s="3" t="str">
        <f>IFERROR(MID(VLOOKUP($B48,Seqs!$A:$B,2,0),Q48,1),"")</f>
        <v>F</v>
      </c>
      <c r="Q48" s="3">
        <v>70</v>
      </c>
      <c r="R48" s="3" t="str">
        <f>IFERROR(MID(VLOOKUP($B48,Seqs!$A:$B,2,0),S48,1),"")</f>
        <v>A</v>
      </c>
      <c r="S48" s="3">
        <v>72</v>
      </c>
      <c r="T48" s="3" t="str">
        <f>IFERROR(MID(VLOOKUP($B48,Seqs!$A:$B,2,0),U48,1),"")</f>
        <v>A</v>
      </c>
      <c r="U48" s="3">
        <v>73</v>
      </c>
      <c r="V48" s="3" t="str">
        <f>IFERROR(MID(VLOOKUP($B48,Seqs!$A:$B,2,0),W48,1),"")</f>
        <v>I</v>
      </c>
      <c r="W48" s="3">
        <v>108</v>
      </c>
      <c r="X48" s="3" t="str">
        <f>IFERROR(MID(VLOOKUP($B48,Seqs!$A:$B,2,0),Y48,1),"")</f>
        <v>P</v>
      </c>
      <c r="Y48" s="3">
        <v>109</v>
      </c>
      <c r="Z48" s="3" t="str">
        <f>IFERROR(MID(VLOOKUP($B48,Seqs!$A:$B,2,0),AA48,1),"")</f>
        <v>V</v>
      </c>
      <c r="AA48" s="3">
        <v>116</v>
      </c>
      <c r="AB48" s="3" t="str">
        <f>IFERROR(MID(VLOOKUP($B48,Seqs!$A:$B,2,0),AC48,1),"")</f>
        <v>T</v>
      </c>
      <c r="AC48" s="3">
        <v>117</v>
      </c>
      <c r="AD48" s="3" t="str">
        <f>IFERROR(MID(VLOOKUP($B48,Seqs!$A:$B,2,0),AE48,1),"")</f>
        <v>G</v>
      </c>
      <c r="AE48" s="3">
        <v>142</v>
      </c>
      <c r="AF48" s="3" t="str">
        <f>IFERROR(MID(VLOOKUP($B48,Seqs!$A:$B,2,0),AG48,1),"")</f>
        <v>C</v>
      </c>
      <c r="AG48" s="3">
        <v>166</v>
      </c>
      <c r="AH48" s="3" t="str">
        <f>IFERROR(MID(VLOOKUP($B48,Seqs!$A:$B,2,0),AI48,1),"")</f>
        <v>F</v>
      </c>
      <c r="AI48" s="3">
        <v>168</v>
      </c>
      <c r="AJ48" s="3" t="str">
        <f>IFERROR(MID(VLOOKUP($B48,Seqs!$A:$B,2,0),AK48,1),"")</f>
        <v>P</v>
      </c>
      <c r="AK48" s="3">
        <v>173</v>
      </c>
      <c r="AL48" s="3" t="str">
        <f>IFERROR(MID(VLOOKUP($B48,Seqs!$A:$B,2,0),AM48,1),"")</f>
        <v>L</v>
      </c>
      <c r="AM48" s="3">
        <v>208</v>
      </c>
      <c r="AN48" s="3" t="str">
        <f>IFERROR(MID(VLOOKUP($B48,Seqs!$A:$B,2,0),AO48,1),"")</f>
        <v>E</v>
      </c>
      <c r="AO48" s="3">
        <v>219</v>
      </c>
      <c r="AP48" s="3" t="str">
        <f>IFERROR(MID(VLOOKUP($B48,Seqs!$A:$B,2,0),AQ48,1),"")</f>
        <v>C</v>
      </c>
      <c r="AQ48" s="3">
        <v>259</v>
      </c>
      <c r="AR48" s="3" t="str">
        <f>IFERROR(MID(VLOOKUP($B48,Seqs!$A:$B,2,0),AS48,1),"")</f>
        <v>P</v>
      </c>
      <c r="AS48" s="3">
        <v>266</v>
      </c>
      <c r="AT48" s="3" t="str">
        <f>IFERROR(MID(VLOOKUP($B48,Seqs!$A:$B,2,0),AU48,1),"")</f>
        <v>R</v>
      </c>
      <c r="AU48" s="3">
        <v>291</v>
      </c>
      <c r="AV48" s="3" t="str">
        <f>IFERROR(MID(VLOOKUP($B48,Seqs!$A:$B,2,0),AW48,1),"")</f>
        <v>I</v>
      </c>
      <c r="AW48" s="3">
        <v>292</v>
      </c>
      <c r="AX48" s="3" t="str">
        <f>IFERROR(MID(VLOOKUP($B48,Seqs!$A:$B,2,0),AY48,1),"")</f>
        <v>S</v>
      </c>
      <c r="AY48" s="3">
        <v>305</v>
      </c>
      <c r="AZ48" s="77" t="str">
        <f>VLOOKUP(B48,Classification!A:D,2,0)</f>
        <v>A</v>
      </c>
      <c r="BA48" s="94" t="str">
        <f>VLOOKUP(B48,Classification!A:D,4,0)</f>
        <v>Adenosine</v>
      </c>
      <c r="BB48" s="27" t="b">
        <f t="shared" ref="BB48:BB68" si="252">AND(E48&lt;G48,OR(G48&lt;I48,I48="-"),OR(I48&lt;K48,I48="-"),OR(K48&lt;M48,K48="-"),M48&lt;O48,OR(O48&lt;Q48,Q48="-"),OR(Q48&lt;S48,Q48="-"),OR(S48&lt;U48,S48="-"),U48&lt;W48,OR(W48&lt;Y48,Y48="-"),OR(Y48&lt;AA48,Y48="-"),OR(AA48&lt;AC48,AA48="-"),AC48&lt;AE48,OR(AE48&lt;AG48,AG48="-"),OR(AG48&lt;AI48,AG48="-"),OR(AI48&lt;AK48,AI48="-"),AK48&lt;AM48,AM48&lt;AO48,AO48&lt;AQ48,AQ48&lt;AS48,AS48&lt;AU48,OR(AU48&lt;AW48,AW48="-"),OR(AW48&lt;AY48,AW48="-"))</f>
        <v>1</v>
      </c>
      <c r="BC48" s="23">
        <f t="shared" ref="BC48:BC68" si="253">_xlfn.AGGREGATE(9,6,CH48:CS48)-_xlfn.AGGREGATE(9,6,BV48:CG48)+12</f>
        <v>261</v>
      </c>
      <c r="BD48" s="5" t="s">
        <v>23</v>
      </c>
      <c r="BE48" s="3" t="s">
        <v>1380</v>
      </c>
      <c r="BF48" s="119">
        <v>2</v>
      </c>
      <c r="BG48" s="49" t="s">
        <v>1</v>
      </c>
      <c r="BH48" s="49" t="s">
        <v>1</v>
      </c>
      <c r="BI48" s="1"/>
      <c r="BJ48" s="70" t="s">
        <v>1293</v>
      </c>
      <c r="BK48" s="57" t="s">
        <v>1293</v>
      </c>
      <c r="BL48" s="57" t="s">
        <v>1293</v>
      </c>
      <c r="BM48" s="57" t="s">
        <v>1293</v>
      </c>
      <c r="BN48" s="57" t="s">
        <v>1293</v>
      </c>
      <c r="BO48" s="57" t="s">
        <v>1293</v>
      </c>
      <c r="BP48" s="57" t="s">
        <v>1293</v>
      </c>
      <c r="BQ48" s="57" t="s">
        <v>1293</v>
      </c>
      <c r="BR48" s="57" t="s">
        <v>1293</v>
      </c>
      <c r="BS48" s="57" t="s">
        <v>1293</v>
      </c>
      <c r="BT48" s="57" t="s">
        <v>1293</v>
      </c>
      <c r="BU48" s="57" t="s">
        <v>1293</v>
      </c>
      <c r="BV48" s="70">
        <f t="shared" ref="BV48:BV68" si="254">E48</f>
        <v>2</v>
      </c>
      <c r="BW48" s="71">
        <f t="shared" ref="BW48:BW68" si="255">I48</f>
        <v>35</v>
      </c>
      <c r="BX48" s="72">
        <f t="shared" ref="BX48:BX68" si="256">M48</f>
        <v>39</v>
      </c>
      <c r="BY48" s="71">
        <f t="shared" ref="BY48:BY68" si="257">Q48</f>
        <v>70</v>
      </c>
      <c r="BZ48" s="72">
        <f t="shared" ref="BZ48:BZ68" si="258">U48</f>
        <v>73</v>
      </c>
      <c r="CA48" s="71">
        <f t="shared" ref="CA48:CA68" si="259">Y48</f>
        <v>109</v>
      </c>
      <c r="CB48" s="72">
        <f t="shared" ref="CB48:CB68" si="260">AC48</f>
        <v>117</v>
      </c>
      <c r="CC48" s="71">
        <f t="shared" ref="CC48:CC68" si="261">AG48</f>
        <v>166</v>
      </c>
      <c r="CD48" s="72">
        <f t="shared" ref="CD48:CD68" si="262">AK48</f>
        <v>173</v>
      </c>
      <c r="CE48" s="71">
        <f t="shared" ref="CE48:CE68" si="263">AO48</f>
        <v>219</v>
      </c>
      <c r="CF48" s="72">
        <f t="shared" ref="CF48:CF68" si="264">AS48</f>
        <v>266</v>
      </c>
      <c r="CG48" s="71">
        <f t="shared" ref="CG48:CG68" si="265">AW48</f>
        <v>292</v>
      </c>
      <c r="CH48" s="70">
        <f t="shared" ref="CH48:CH68" si="266">G48</f>
        <v>34</v>
      </c>
      <c r="CI48" s="71">
        <f t="shared" ref="CI48:CI68" si="267">K48</f>
        <v>38</v>
      </c>
      <c r="CJ48" s="72">
        <f t="shared" ref="CJ48:CJ68" si="268">O48</f>
        <v>69</v>
      </c>
      <c r="CK48" s="72">
        <f t="shared" ref="CK48:CK68" si="269">S48</f>
        <v>72</v>
      </c>
      <c r="CL48" s="72">
        <f t="shared" ref="CL48:CL68" si="270">W48</f>
        <v>108</v>
      </c>
      <c r="CM48" s="72">
        <f t="shared" ref="CM48:CM68" si="271">AA48</f>
        <v>116</v>
      </c>
      <c r="CN48" s="72">
        <f t="shared" ref="CN48:CN68" si="272">AE48</f>
        <v>142</v>
      </c>
      <c r="CO48" s="72">
        <f t="shared" ref="CO48:CO68" si="273">AI48</f>
        <v>168</v>
      </c>
      <c r="CP48" s="72">
        <f t="shared" ref="CP48:CP68" si="274">AM48</f>
        <v>208</v>
      </c>
      <c r="CQ48" s="72">
        <f t="shared" ref="CQ48:CQ68" si="275">AQ48</f>
        <v>259</v>
      </c>
      <c r="CR48" s="72">
        <f t="shared" ref="CR48:CR68" si="276">AU48</f>
        <v>291</v>
      </c>
      <c r="CS48" s="72">
        <f t="shared" ref="CS48:CS68" si="277">AY48</f>
        <v>305</v>
      </c>
      <c r="CT48" s="23">
        <f t="shared" ref="CT48:CT68" si="278">M48-K48</f>
        <v>1</v>
      </c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</row>
    <row r="49" spans="1:1029" x14ac:dyDescent="0.2">
      <c r="A49" s="3" t="str">
        <f t="shared" si="251"/>
        <v>aa2ar_human_5MZP</v>
      </c>
      <c r="B49" s="3" t="s">
        <v>139</v>
      </c>
      <c r="C49" s="3" t="s">
        <v>1446</v>
      </c>
      <c r="D49" s="3" t="str">
        <f>IFERROR(MID(VLOOKUP($B49,Seqs!$A:$B,2,0),E49,1),"")</f>
        <v>P</v>
      </c>
      <c r="E49" s="3">
        <v>2</v>
      </c>
      <c r="F49" s="3" t="str">
        <f>IFERROR(MID(VLOOKUP($B49,Seqs!$A:$B,2,0),G49,1),"")</f>
        <v>N</v>
      </c>
      <c r="G49" s="3">
        <v>34</v>
      </c>
      <c r="H49" s="3" t="str">
        <f>IFERROR(MID(VLOOKUP($B49,Seqs!$A:$B,2,0),I49,1),"")</f>
        <v>S</v>
      </c>
      <c r="I49" s="23">
        <v>35</v>
      </c>
      <c r="J49" s="3" t="str">
        <f>IFERROR(MID(VLOOKUP($B49,Seqs!$A:$B,2,0),K49,1),"")</f>
        <v>Q</v>
      </c>
      <c r="K49" s="23">
        <v>38</v>
      </c>
      <c r="L49" s="3" t="str">
        <f>IFERROR(MID(VLOOKUP($B49,Seqs!$A:$B,2,0),M49,1),"")</f>
        <v>N</v>
      </c>
      <c r="M49" s="3">
        <v>39</v>
      </c>
      <c r="N49" s="3" t="str">
        <f>IFERROR(MID(VLOOKUP($B49,Seqs!$A:$B,2,0),O49,1),"")</f>
        <v>G</v>
      </c>
      <c r="O49" s="3">
        <v>69</v>
      </c>
      <c r="P49" s="3" t="str">
        <f>IFERROR(MID(VLOOKUP($B49,Seqs!$A:$B,2,0),Q49,1),"")</f>
        <v>F</v>
      </c>
      <c r="Q49" s="3">
        <v>70</v>
      </c>
      <c r="R49" s="3" t="str">
        <f>IFERROR(MID(VLOOKUP($B49,Seqs!$A:$B,2,0),S49,1),"")</f>
        <v>A</v>
      </c>
      <c r="S49" s="3">
        <v>72</v>
      </c>
      <c r="T49" s="3" t="str">
        <f>IFERROR(MID(VLOOKUP($B49,Seqs!$A:$B,2,0),U49,1),"")</f>
        <v>A</v>
      </c>
      <c r="U49" s="3">
        <v>73</v>
      </c>
      <c r="V49" s="3" t="str">
        <f>IFERROR(MID(VLOOKUP($B49,Seqs!$A:$B,2,0),W49,1),"")</f>
        <v>I</v>
      </c>
      <c r="W49" s="3">
        <v>108</v>
      </c>
      <c r="X49" s="3" t="str">
        <f>IFERROR(MID(VLOOKUP($B49,Seqs!$A:$B,2,0),Y49,1),"")</f>
        <v>P</v>
      </c>
      <c r="Y49" s="3">
        <v>109</v>
      </c>
      <c r="Z49" s="3" t="str">
        <f>IFERROR(MID(VLOOKUP($B49,Seqs!$A:$B,2,0),AA49,1),"")</f>
        <v>V</v>
      </c>
      <c r="AA49" s="3">
        <v>116</v>
      </c>
      <c r="AB49" s="3" t="str">
        <f>IFERROR(MID(VLOOKUP($B49,Seqs!$A:$B,2,0),AC49,1),"")</f>
        <v>T</v>
      </c>
      <c r="AC49" s="3">
        <v>117</v>
      </c>
      <c r="AD49" s="3" t="str">
        <f>IFERROR(MID(VLOOKUP($B49,Seqs!$A:$B,2,0),AE49,1),"")</f>
        <v>G</v>
      </c>
      <c r="AE49" s="3">
        <v>142</v>
      </c>
      <c r="AF49" s="3" t="str">
        <f>IFERROR(MID(VLOOKUP($B49,Seqs!$A:$B,2,0),AG49,1),"")</f>
        <v>C</v>
      </c>
      <c r="AG49" s="3">
        <v>166</v>
      </c>
      <c r="AH49" s="3" t="str">
        <f>IFERROR(MID(VLOOKUP($B49,Seqs!$A:$B,2,0),AI49,1),"")</f>
        <v>F</v>
      </c>
      <c r="AI49" s="3">
        <v>168</v>
      </c>
      <c r="AJ49" s="3" t="str">
        <f>IFERROR(MID(VLOOKUP($B49,Seqs!$A:$B,2,0),AK49,1),"")</f>
        <v>P</v>
      </c>
      <c r="AK49" s="3">
        <v>173</v>
      </c>
      <c r="AL49" s="3" t="str">
        <f>IFERROR(MID(VLOOKUP($B49,Seqs!$A:$B,2,0),AM49,1),"")</f>
        <v>L</v>
      </c>
      <c r="AM49" s="3">
        <v>208</v>
      </c>
      <c r="AN49" s="3" t="str">
        <f>IFERROR(MID(VLOOKUP($B49,Seqs!$A:$B,2,0),AO49,1),"")</f>
        <v>E</v>
      </c>
      <c r="AO49" s="3">
        <v>219</v>
      </c>
      <c r="AP49" s="3" t="str">
        <f>IFERROR(MID(VLOOKUP($B49,Seqs!$A:$B,2,0),AQ49,1),"")</f>
        <v>C</v>
      </c>
      <c r="AQ49" s="3">
        <v>259</v>
      </c>
      <c r="AR49" s="3" t="str">
        <f>IFERROR(MID(VLOOKUP($B49,Seqs!$A:$B,2,0),AS49,1),"")</f>
        <v>P</v>
      </c>
      <c r="AS49" s="3">
        <v>266</v>
      </c>
      <c r="AT49" s="3" t="str">
        <f>IFERROR(MID(VLOOKUP($B49,Seqs!$A:$B,2,0),AU49,1),"")</f>
        <v>R</v>
      </c>
      <c r="AU49" s="3">
        <v>291</v>
      </c>
      <c r="AV49" s="3" t="str">
        <f>IFERROR(MID(VLOOKUP($B49,Seqs!$A:$B,2,0),AW49,1),"")</f>
        <v>I</v>
      </c>
      <c r="AW49" s="3">
        <v>292</v>
      </c>
      <c r="AX49" s="3" t="str">
        <f>IFERROR(MID(VLOOKUP($B49,Seqs!$A:$B,2,0),AY49,1),"")</f>
        <v>S</v>
      </c>
      <c r="AY49" s="3">
        <v>305</v>
      </c>
      <c r="AZ49" s="77" t="str">
        <f>VLOOKUP(B49,Classification!A:D,2,0)</f>
        <v>A</v>
      </c>
      <c r="BA49" s="94" t="str">
        <f>VLOOKUP(B49,Classification!A:D,4,0)</f>
        <v>Adenosine</v>
      </c>
      <c r="BB49" s="27" t="b">
        <f t="shared" si="252"/>
        <v>1</v>
      </c>
      <c r="BC49" s="23">
        <f t="shared" si="253"/>
        <v>261</v>
      </c>
      <c r="BD49" s="5" t="s">
        <v>23</v>
      </c>
      <c r="BE49" s="3" t="s">
        <v>1380</v>
      </c>
      <c r="BF49" s="119">
        <v>3</v>
      </c>
      <c r="BG49" s="49" t="s">
        <v>1</v>
      </c>
      <c r="BH49" s="49" t="s">
        <v>1</v>
      </c>
      <c r="BI49" s="1"/>
      <c r="BJ49" s="70" t="s">
        <v>1293</v>
      </c>
      <c r="BK49" s="57" t="s">
        <v>1293</v>
      </c>
      <c r="BL49" s="57" t="s">
        <v>1293</v>
      </c>
      <c r="BM49" s="57" t="s">
        <v>1293</v>
      </c>
      <c r="BN49" s="57" t="s">
        <v>1293</v>
      </c>
      <c r="BO49" s="57" t="s">
        <v>1293</v>
      </c>
      <c r="BP49" s="57" t="s">
        <v>1293</v>
      </c>
      <c r="BQ49" s="57" t="s">
        <v>1293</v>
      </c>
      <c r="BR49" s="57" t="s">
        <v>1293</v>
      </c>
      <c r="BS49" s="57" t="s">
        <v>1293</v>
      </c>
      <c r="BT49" s="57" t="s">
        <v>1293</v>
      </c>
      <c r="BU49" s="57" t="s">
        <v>1293</v>
      </c>
      <c r="BV49" s="70">
        <f t="shared" si="254"/>
        <v>2</v>
      </c>
      <c r="BW49" s="71">
        <f t="shared" si="255"/>
        <v>35</v>
      </c>
      <c r="BX49" s="72">
        <f t="shared" si="256"/>
        <v>39</v>
      </c>
      <c r="BY49" s="71">
        <f t="shared" si="257"/>
        <v>70</v>
      </c>
      <c r="BZ49" s="72">
        <f t="shared" si="258"/>
        <v>73</v>
      </c>
      <c r="CA49" s="71">
        <f t="shared" si="259"/>
        <v>109</v>
      </c>
      <c r="CB49" s="72">
        <f t="shared" si="260"/>
        <v>117</v>
      </c>
      <c r="CC49" s="71">
        <f t="shared" si="261"/>
        <v>166</v>
      </c>
      <c r="CD49" s="72">
        <f t="shared" si="262"/>
        <v>173</v>
      </c>
      <c r="CE49" s="71">
        <f t="shared" si="263"/>
        <v>219</v>
      </c>
      <c r="CF49" s="72">
        <f t="shared" si="264"/>
        <v>266</v>
      </c>
      <c r="CG49" s="71">
        <f t="shared" si="265"/>
        <v>292</v>
      </c>
      <c r="CH49" s="70">
        <f t="shared" si="266"/>
        <v>34</v>
      </c>
      <c r="CI49" s="71">
        <f t="shared" si="267"/>
        <v>38</v>
      </c>
      <c r="CJ49" s="72">
        <f t="shared" si="268"/>
        <v>69</v>
      </c>
      <c r="CK49" s="72">
        <f t="shared" si="269"/>
        <v>72</v>
      </c>
      <c r="CL49" s="72">
        <f t="shared" si="270"/>
        <v>108</v>
      </c>
      <c r="CM49" s="72">
        <f t="shared" si="271"/>
        <v>116</v>
      </c>
      <c r="CN49" s="72">
        <f t="shared" si="272"/>
        <v>142</v>
      </c>
      <c r="CO49" s="72">
        <f t="shared" si="273"/>
        <v>168</v>
      </c>
      <c r="CP49" s="72">
        <f t="shared" si="274"/>
        <v>208</v>
      </c>
      <c r="CQ49" s="72">
        <f t="shared" si="275"/>
        <v>259</v>
      </c>
      <c r="CR49" s="72">
        <f t="shared" si="276"/>
        <v>291</v>
      </c>
      <c r="CS49" s="72">
        <f t="shared" si="277"/>
        <v>305</v>
      </c>
      <c r="CT49" s="23">
        <f t="shared" si="278"/>
        <v>1</v>
      </c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</row>
    <row r="50" spans="1:1029" x14ac:dyDescent="0.2">
      <c r="A50" s="3" t="str">
        <f t="shared" si="251"/>
        <v>aa2ar_human_5N2R</v>
      </c>
      <c r="B50" s="3" t="s">
        <v>139</v>
      </c>
      <c r="C50" s="3" t="s">
        <v>1440</v>
      </c>
      <c r="D50" s="3" t="str">
        <f>IFERROR(MID(VLOOKUP($B50,Seqs!$A:$B,2,0),E50,1),"")</f>
        <v>P</v>
      </c>
      <c r="E50" s="3">
        <v>2</v>
      </c>
      <c r="F50" s="3" t="str">
        <f>IFERROR(MID(VLOOKUP($B50,Seqs!$A:$B,2,0),G50,1),"")</f>
        <v>N</v>
      </c>
      <c r="G50" s="3">
        <v>34</v>
      </c>
      <c r="H50" s="3" t="str">
        <f>IFERROR(MID(VLOOKUP($B50,Seqs!$A:$B,2,0),I50,1),"")</f>
        <v>S</v>
      </c>
      <c r="I50" s="23">
        <v>35</v>
      </c>
      <c r="J50" s="3" t="str">
        <f>IFERROR(MID(VLOOKUP($B50,Seqs!$A:$B,2,0),K50,1),"")</f>
        <v>Q</v>
      </c>
      <c r="K50" s="23">
        <v>38</v>
      </c>
      <c r="L50" s="3" t="str">
        <f>IFERROR(MID(VLOOKUP($B50,Seqs!$A:$B,2,0),M50,1),"")</f>
        <v>N</v>
      </c>
      <c r="M50" s="3">
        <v>39</v>
      </c>
      <c r="N50" s="3" t="str">
        <f>IFERROR(MID(VLOOKUP($B50,Seqs!$A:$B,2,0),O50,1),"")</f>
        <v>G</v>
      </c>
      <c r="O50" s="3">
        <v>69</v>
      </c>
      <c r="P50" s="3" t="str">
        <f>IFERROR(MID(VLOOKUP($B50,Seqs!$A:$B,2,0),Q50,1),"")</f>
        <v>F</v>
      </c>
      <c r="Q50" s="3">
        <v>70</v>
      </c>
      <c r="R50" s="3" t="str">
        <f>IFERROR(MID(VLOOKUP($B50,Seqs!$A:$B,2,0),S50,1),"")</f>
        <v>A</v>
      </c>
      <c r="S50" s="3">
        <v>72</v>
      </c>
      <c r="T50" s="3" t="str">
        <f>IFERROR(MID(VLOOKUP($B50,Seqs!$A:$B,2,0),U50,1),"")</f>
        <v>A</v>
      </c>
      <c r="U50" s="3">
        <v>73</v>
      </c>
      <c r="V50" s="3" t="str">
        <f>IFERROR(MID(VLOOKUP($B50,Seqs!$A:$B,2,0),W50,1),"")</f>
        <v>I</v>
      </c>
      <c r="W50" s="3">
        <v>108</v>
      </c>
      <c r="X50" s="3" t="str">
        <f>IFERROR(MID(VLOOKUP($B50,Seqs!$A:$B,2,0),Y50,1),"")</f>
        <v>P</v>
      </c>
      <c r="Y50" s="3">
        <v>109</v>
      </c>
      <c r="Z50" s="3" t="str">
        <f>IFERROR(MID(VLOOKUP($B50,Seqs!$A:$B,2,0),AA50,1),"")</f>
        <v>V</v>
      </c>
      <c r="AA50" s="3">
        <v>116</v>
      </c>
      <c r="AB50" s="3" t="str">
        <f>IFERROR(MID(VLOOKUP($B50,Seqs!$A:$B,2,0),AC50,1),"")</f>
        <v>T</v>
      </c>
      <c r="AC50" s="3">
        <v>117</v>
      </c>
      <c r="AD50" s="3" t="str">
        <f>IFERROR(MID(VLOOKUP($B50,Seqs!$A:$B,2,0),AE50,1),"")</f>
        <v>G</v>
      </c>
      <c r="AE50" s="3">
        <v>142</v>
      </c>
      <c r="AF50" s="3" t="str">
        <f>IFERROR(MID(VLOOKUP($B50,Seqs!$A:$B,2,0),AG50,1),"")</f>
        <v>C</v>
      </c>
      <c r="AG50" s="3">
        <v>166</v>
      </c>
      <c r="AH50" s="3" t="str">
        <f>IFERROR(MID(VLOOKUP($B50,Seqs!$A:$B,2,0),AI50,1),"")</f>
        <v>F</v>
      </c>
      <c r="AI50" s="3">
        <v>168</v>
      </c>
      <c r="AJ50" s="3" t="str">
        <f>IFERROR(MID(VLOOKUP($B50,Seqs!$A:$B,2,0),AK50,1),"")</f>
        <v>P</v>
      </c>
      <c r="AK50" s="3">
        <v>173</v>
      </c>
      <c r="AL50" s="3" t="str">
        <f>IFERROR(MID(VLOOKUP($B50,Seqs!$A:$B,2,0),AM50,1),"")</f>
        <v>L</v>
      </c>
      <c r="AM50" s="3">
        <v>208</v>
      </c>
      <c r="AN50" s="3" t="str">
        <f>IFERROR(MID(VLOOKUP($B50,Seqs!$A:$B,2,0),AO50,1),"")</f>
        <v>E</v>
      </c>
      <c r="AO50" s="3">
        <v>219</v>
      </c>
      <c r="AP50" s="3" t="str">
        <f>IFERROR(MID(VLOOKUP($B50,Seqs!$A:$B,2,0),AQ50,1),"")</f>
        <v>C</v>
      </c>
      <c r="AQ50" s="3">
        <v>259</v>
      </c>
      <c r="AR50" s="3" t="str">
        <f>IFERROR(MID(VLOOKUP($B50,Seqs!$A:$B,2,0),AS50,1),"")</f>
        <v>P</v>
      </c>
      <c r="AS50" s="3">
        <v>266</v>
      </c>
      <c r="AT50" s="3" t="str">
        <f>IFERROR(MID(VLOOKUP($B50,Seqs!$A:$B,2,0),AU50,1),"")</f>
        <v>R</v>
      </c>
      <c r="AU50" s="3">
        <v>291</v>
      </c>
      <c r="AV50" s="3" t="str">
        <f>IFERROR(MID(VLOOKUP($B50,Seqs!$A:$B,2,0),AW50,1),"")</f>
        <v>I</v>
      </c>
      <c r="AW50" s="3">
        <v>292</v>
      </c>
      <c r="AX50" s="3" t="str">
        <f>IFERROR(MID(VLOOKUP($B50,Seqs!$A:$B,2,0),AY50,1),"")</f>
        <v>S</v>
      </c>
      <c r="AY50" s="3">
        <v>305</v>
      </c>
      <c r="AZ50" s="77" t="str">
        <f>VLOOKUP(B50,Classification!A:D,2,0)</f>
        <v>A</v>
      </c>
      <c r="BA50" s="94" t="str">
        <f>VLOOKUP(B50,Classification!A:D,4,0)</f>
        <v>Adenosine</v>
      </c>
      <c r="BB50" s="27" t="b">
        <f t="shared" si="252"/>
        <v>1</v>
      </c>
      <c r="BC50" s="23">
        <f t="shared" si="253"/>
        <v>261</v>
      </c>
      <c r="BD50" s="5" t="s">
        <v>23</v>
      </c>
      <c r="BE50" s="3" t="s">
        <v>1380</v>
      </c>
      <c r="BF50" s="119">
        <v>2.9</v>
      </c>
      <c r="BG50" s="49" t="s">
        <v>1</v>
      </c>
      <c r="BH50" s="49" t="s">
        <v>1</v>
      </c>
      <c r="BI50" s="1"/>
      <c r="BJ50" s="70" t="s">
        <v>1293</v>
      </c>
      <c r="BK50" s="57" t="s">
        <v>1293</v>
      </c>
      <c r="BL50" s="57" t="s">
        <v>1293</v>
      </c>
      <c r="BM50" s="57" t="s">
        <v>1293</v>
      </c>
      <c r="BN50" s="57" t="s">
        <v>1293</v>
      </c>
      <c r="BO50" s="57" t="s">
        <v>1293</v>
      </c>
      <c r="BP50" s="57" t="s">
        <v>1293</v>
      </c>
      <c r="BQ50" s="57" t="s">
        <v>1293</v>
      </c>
      <c r="BR50" s="57" t="s">
        <v>1293</v>
      </c>
      <c r="BS50" s="57" t="s">
        <v>1293</v>
      </c>
      <c r="BT50" s="57" t="s">
        <v>1293</v>
      </c>
      <c r="BU50" s="57" t="s">
        <v>1293</v>
      </c>
      <c r="BV50" s="70">
        <f t="shared" si="254"/>
        <v>2</v>
      </c>
      <c r="BW50" s="71">
        <f t="shared" si="255"/>
        <v>35</v>
      </c>
      <c r="BX50" s="72">
        <f t="shared" si="256"/>
        <v>39</v>
      </c>
      <c r="BY50" s="71">
        <f t="shared" si="257"/>
        <v>70</v>
      </c>
      <c r="BZ50" s="72">
        <f t="shared" si="258"/>
        <v>73</v>
      </c>
      <c r="CA50" s="71">
        <f t="shared" si="259"/>
        <v>109</v>
      </c>
      <c r="CB50" s="72">
        <f t="shared" si="260"/>
        <v>117</v>
      </c>
      <c r="CC50" s="71">
        <f t="shared" si="261"/>
        <v>166</v>
      </c>
      <c r="CD50" s="72">
        <f t="shared" si="262"/>
        <v>173</v>
      </c>
      <c r="CE50" s="71">
        <f t="shared" si="263"/>
        <v>219</v>
      </c>
      <c r="CF50" s="72">
        <f t="shared" si="264"/>
        <v>266</v>
      </c>
      <c r="CG50" s="71">
        <f t="shared" si="265"/>
        <v>292</v>
      </c>
      <c r="CH50" s="70">
        <f t="shared" si="266"/>
        <v>34</v>
      </c>
      <c r="CI50" s="71">
        <f t="shared" si="267"/>
        <v>38</v>
      </c>
      <c r="CJ50" s="72">
        <f t="shared" si="268"/>
        <v>69</v>
      </c>
      <c r="CK50" s="72">
        <f t="shared" si="269"/>
        <v>72</v>
      </c>
      <c r="CL50" s="72">
        <f t="shared" si="270"/>
        <v>108</v>
      </c>
      <c r="CM50" s="72">
        <f t="shared" si="271"/>
        <v>116</v>
      </c>
      <c r="CN50" s="72">
        <f t="shared" si="272"/>
        <v>142</v>
      </c>
      <c r="CO50" s="72">
        <f t="shared" si="273"/>
        <v>168</v>
      </c>
      <c r="CP50" s="72">
        <f t="shared" si="274"/>
        <v>208</v>
      </c>
      <c r="CQ50" s="72">
        <f t="shared" si="275"/>
        <v>259</v>
      </c>
      <c r="CR50" s="72">
        <f t="shared" si="276"/>
        <v>291</v>
      </c>
      <c r="CS50" s="72">
        <f t="shared" si="277"/>
        <v>305</v>
      </c>
      <c r="CT50" s="23">
        <f t="shared" si="278"/>
        <v>1</v>
      </c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</row>
    <row r="51" spans="1:1029" x14ac:dyDescent="0.2">
      <c r="A51" s="3" t="str">
        <f t="shared" si="251"/>
        <v>aa2ar_human_5UIG</v>
      </c>
      <c r="B51" s="3" t="s">
        <v>139</v>
      </c>
      <c r="C51" s="3" t="s">
        <v>1393</v>
      </c>
      <c r="D51" s="3" t="str">
        <f>IFERROR(MID(VLOOKUP($B51,Seqs!$A:$B,2,0),E51,1),"")</f>
        <v>M</v>
      </c>
      <c r="E51" s="3">
        <v>4</v>
      </c>
      <c r="F51" s="3" t="str">
        <f>IFERROR(MID(VLOOKUP($B51,Seqs!$A:$B,2,0),G51,1),"")</f>
        <v>N</v>
      </c>
      <c r="G51" s="3">
        <v>34</v>
      </c>
      <c r="H51" s="3" t="str">
        <f>IFERROR(MID(VLOOKUP($B51,Seqs!$A:$B,2,0),I51,1),"")</f>
        <v>S</v>
      </c>
      <c r="I51" s="23">
        <v>35</v>
      </c>
      <c r="J51" s="3" t="str">
        <f>IFERROR(MID(VLOOKUP($B51,Seqs!$A:$B,2,0),K51,1),"")</f>
        <v>Q</v>
      </c>
      <c r="K51" s="23">
        <v>38</v>
      </c>
      <c r="L51" s="3" t="str">
        <f>IFERROR(MID(VLOOKUP($B51,Seqs!$A:$B,2,0),M51,1),"")</f>
        <v>N</v>
      </c>
      <c r="M51" s="3">
        <v>39</v>
      </c>
      <c r="N51" s="3" t="str">
        <f>IFERROR(MID(VLOOKUP($B51,Seqs!$A:$B,2,0),O51,1),"")</f>
        <v>G</v>
      </c>
      <c r="O51" s="3">
        <v>69</v>
      </c>
      <c r="P51" s="3" t="str">
        <f>IFERROR(MID(VLOOKUP($B51,Seqs!$A:$B,2,0),Q51,1),"")</f>
        <v>F</v>
      </c>
      <c r="Q51" s="3">
        <v>70</v>
      </c>
      <c r="R51" s="3" t="str">
        <f>IFERROR(MID(VLOOKUP($B51,Seqs!$A:$B,2,0),S51,1),"")</f>
        <v>A</v>
      </c>
      <c r="S51" s="3">
        <v>72</v>
      </c>
      <c r="T51" s="3" t="str">
        <f>IFERROR(MID(VLOOKUP($B51,Seqs!$A:$B,2,0),U51,1),"")</f>
        <v>A</v>
      </c>
      <c r="U51" s="3">
        <v>73</v>
      </c>
      <c r="V51" s="3" t="str">
        <f>IFERROR(MID(VLOOKUP($B51,Seqs!$A:$B,2,0),W51,1),"")</f>
        <v>I</v>
      </c>
      <c r="W51" s="3">
        <v>108</v>
      </c>
      <c r="X51" s="3" t="str">
        <f>IFERROR(MID(VLOOKUP($B51,Seqs!$A:$B,2,0),Y51,1),"")</f>
        <v>P</v>
      </c>
      <c r="Y51" s="3">
        <v>109</v>
      </c>
      <c r="Z51" s="3" t="str">
        <f>IFERROR(MID(VLOOKUP($B51,Seqs!$A:$B,2,0),AA51,1),"")</f>
        <v>V</v>
      </c>
      <c r="AA51" s="3">
        <v>116</v>
      </c>
      <c r="AB51" s="3" t="str">
        <f>IFERROR(MID(VLOOKUP($B51,Seqs!$A:$B,2,0),AC51,1),"")</f>
        <v>T</v>
      </c>
      <c r="AC51" s="3">
        <v>117</v>
      </c>
      <c r="AD51" s="3" t="str">
        <f>IFERROR(MID(VLOOKUP($B51,Seqs!$A:$B,2,0),AE51,1),"")</f>
        <v>G</v>
      </c>
      <c r="AE51" s="3">
        <v>142</v>
      </c>
      <c r="AF51" s="3" t="str">
        <f>IFERROR(MID(VLOOKUP($B51,Seqs!$A:$B,2,0),AG51,1),"")</f>
        <v>C</v>
      </c>
      <c r="AG51" s="3">
        <v>166</v>
      </c>
      <c r="AH51" s="3" t="str">
        <f>IFERROR(MID(VLOOKUP($B51,Seqs!$A:$B,2,0),AI51,1),"")</f>
        <v>F</v>
      </c>
      <c r="AI51" s="3">
        <v>168</v>
      </c>
      <c r="AJ51" s="3" t="str">
        <f>IFERROR(MID(VLOOKUP($B51,Seqs!$A:$B,2,0),AK51,1),"")</f>
        <v>P</v>
      </c>
      <c r="AK51" s="3">
        <v>173</v>
      </c>
      <c r="AL51" s="3" t="str">
        <f>IFERROR(MID(VLOOKUP($B51,Seqs!$A:$B,2,0),AM51,1),"")</f>
        <v>L</v>
      </c>
      <c r="AM51" s="3">
        <v>208</v>
      </c>
      <c r="AN51" s="3" t="str">
        <f>IFERROR(MID(VLOOKUP($B51,Seqs!$A:$B,2,0),AO51,1),"")</f>
        <v>E</v>
      </c>
      <c r="AO51" s="3">
        <v>219</v>
      </c>
      <c r="AP51" s="3" t="str">
        <f>IFERROR(MID(VLOOKUP($B51,Seqs!$A:$B,2,0),AQ51,1),"")</f>
        <v>C</v>
      </c>
      <c r="AQ51" s="3">
        <v>259</v>
      </c>
      <c r="AR51" s="3" t="str">
        <f>IFERROR(MID(VLOOKUP($B51,Seqs!$A:$B,2,0),AS51,1),"")</f>
        <v>P</v>
      </c>
      <c r="AS51" s="3">
        <v>266</v>
      </c>
      <c r="AT51" s="3" t="str">
        <f>IFERROR(MID(VLOOKUP($B51,Seqs!$A:$B,2,0),AU51,1),"")</f>
        <v>R</v>
      </c>
      <c r="AU51" s="3">
        <v>291</v>
      </c>
      <c r="AV51" s="3" t="str">
        <f>IFERROR(MID(VLOOKUP($B51,Seqs!$A:$B,2,0),AW51,1),"")</f>
        <v>I</v>
      </c>
      <c r="AW51" s="3">
        <v>292</v>
      </c>
      <c r="AX51" s="3" t="str">
        <f>IFERROR(MID(VLOOKUP($B51,Seqs!$A:$B,2,0),AY51,1),"")</f>
        <v>Q</v>
      </c>
      <c r="AY51" s="3">
        <v>297</v>
      </c>
      <c r="AZ51" s="77" t="str">
        <f>VLOOKUP(B51,Classification!A:D,2,0)</f>
        <v>A</v>
      </c>
      <c r="BA51" s="94" t="str">
        <f>VLOOKUP(B51,Classification!A:D,4,0)</f>
        <v>Adenosine</v>
      </c>
      <c r="BB51" s="27" t="b">
        <f t="shared" si="252"/>
        <v>1</v>
      </c>
      <c r="BC51" s="23">
        <f t="shared" si="253"/>
        <v>251</v>
      </c>
      <c r="BD51" s="5" t="s">
        <v>23</v>
      </c>
      <c r="BE51" s="3" t="s">
        <v>1380</v>
      </c>
      <c r="BF51" s="119">
        <v>3.5</v>
      </c>
      <c r="BG51" s="49" t="s">
        <v>1383</v>
      </c>
      <c r="BH51" s="49" t="s">
        <v>1383</v>
      </c>
      <c r="BI51" s="1"/>
      <c r="BJ51" s="70" t="s">
        <v>1293</v>
      </c>
      <c r="BK51" s="57" t="s">
        <v>1293</v>
      </c>
      <c r="BL51" s="57" t="s">
        <v>1293</v>
      </c>
      <c r="BM51" s="57" t="s">
        <v>1293</v>
      </c>
      <c r="BN51" s="57" t="s">
        <v>1293</v>
      </c>
      <c r="BO51" s="57" t="s">
        <v>1293</v>
      </c>
      <c r="BP51" s="57" t="s">
        <v>1293</v>
      </c>
      <c r="BQ51" s="57" t="s">
        <v>1293</v>
      </c>
      <c r="BR51" s="57" t="s">
        <v>1293</v>
      </c>
      <c r="BS51" s="57" t="s">
        <v>1293</v>
      </c>
      <c r="BT51" s="57" t="s">
        <v>1293</v>
      </c>
      <c r="BU51" s="57" t="s">
        <v>1293</v>
      </c>
      <c r="BV51" s="70">
        <f t="shared" si="254"/>
        <v>4</v>
      </c>
      <c r="BW51" s="71">
        <f t="shared" si="255"/>
        <v>35</v>
      </c>
      <c r="BX51" s="72">
        <f t="shared" si="256"/>
        <v>39</v>
      </c>
      <c r="BY51" s="71">
        <f t="shared" si="257"/>
        <v>70</v>
      </c>
      <c r="BZ51" s="72">
        <f t="shared" si="258"/>
        <v>73</v>
      </c>
      <c r="CA51" s="71">
        <f t="shared" si="259"/>
        <v>109</v>
      </c>
      <c r="CB51" s="72">
        <f t="shared" si="260"/>
        <v>117</v>
      </c>
      <c r="CC51" s="71">
        <f t="shared" si="261"/>
        <v>166</v>
      </c>
      <c r="CD51" s="72">
        <f t="shared" si="262"/>
        <v>173</v>
      </c>
      <c r="CE51" s="71">
        <f t="shared" si="263"/>
        <v>219</v>
      </c>
      <c r="CF51" s="72">
        <f t="shared" si="264"/>
        <v>266</v>
      </c>
      <c r="CG51" s="71">
        <f t="shared" si="265"/>
        <v>292</v>
      </c>
      <c r="CH51" s="70">
        <f t="shared" si="266"/>
        <v>34</v>
      </c>
      <c r="CI51" s="71">
        <f t="shared" si="267"/>
        <v>38</v>
      </c>
      <c r="CJ51" s="72">
        <f t="shared" si="268"/>
        <v>69</v>
      </c>
      <c r="CK51" s="72">
        <f t="shared" si="269"/>
        <v>72</v>
      </c>
      <c r="CL51" s="72">
        <f t="shared" si="270"/>
        <v>108</v>
      </c>
      <c r="CM51" s="72">
        <f t="shared" si="271"/>
        <v>116</v>
      </c>
      <c r="CN51" s="72">
        <f t="shared" si="272"/>
        <v>142</v>
      </c>
      <c r="CO51" s="72">
        <f t="shared" si="273"/>
        <v>168</v>
      </c>
      <c r="CP51" s="72">
        <f t="shared" si="274"/>
        <v>208</v>
      </c>
      <c r="CQ51" s="72">
        <f t="shared" si="275"/>
        <v>259</v>
      </c>
      <c r="CR51" s="72">
        <f t="shared" si="276"/>
        <v>291</v>
      </c>
      <c r="CS51" s="72">
        <f t="shared" si="277"/>
        <v>297</v>
      </c>
      <c r="CT51" s="23">
        <f t="shared" si="278"/>
        <v>1</v>
      </c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</row>
    <row r="52" spans="1:1029" x14ac:dyDescent="0.2">
      <c r="A52" s="3" t="str">
        <f t="shared" si="251"/>
        <v>aa2ar_human_5UVI</v>
      </c>
      <c r="B52" s="3" t="s">
        <v>139</v>
      </c>
      <c r="C52" s="3" t="s">
        <v>1420</v>
      </c>
      <c r="D52" s="3" t="str">
        <f>IFERROR(MID(VLOOKUP($B52,Seqs!$A:$B,2,0),E52,1),"")</f>
        <v>M</v>
      </c>
      <c r="E52" s="3">
        <v>1</v>
      </c>
      <c r="F52" s="3" t="str">
        <f>IFERROR(MID(VLOOKUP($B52,Seqs!$A:$B,2,0),G52,1),"")</f>
        <v>N</v>
      </c>
      <c r="G52" s="3">
        <v>34</v>
      </c>
      <c r="H52" s="3" t="str">
        <f>IFERROR(MID(VLOOKUP($B52,Seqs!$A:$B,2,0),I52,1),"")</f>
        <v>S</v>
      </c>
      <c r="I52" s="23">
        <v>35</v>
      </c>
      <c r="J52" s="3" t="str">
        <f>IFERROR(MID(VLOOKUP($B52,Seqs!$A:$B,2,0),K52,1),"")</f>
        <v>Q</v>
      </c>
      <c r="K52" s="23">
        <v>38</v>
      </c>
      <c r="L52" s="3" t="str">
        <f>IFERROR(MID(VLOOKUP($B52,Seqs!$A:$B,2,0),M52,1),"")</f>
        <v>N</v>
      </c>
      <c r="M52" s="3">
        <v>39</v>
      </c>
      <c r="N52" s="3" t="str">
        <f>IFERROR(MID(VLOOKUP($B52,Seqs!$A:$B,2,0),O52,1),"")</f>
        <v>G</v>
      </c>
      <c r="O52" s="3">
        <v>69</v>
      </c>
      <c r="P52" s="3" t="str">
        <f>IFERROR(MID(VLOOKUP($B52,Seqs!$A:$B,2,0),Q52,1),"")</f>
        <v>F</v>
      </c>
      <c r="Q52" s="3">
        <v>70</v>
      </c>
      <c r="R52" s="3" t="str">
        <f>IFERROR(MID(VLOOKUP($B52,Seqs!$A:$B,2,0),S52,1),"")</f>
        <v>A</v>
      </c>
      <c r="S52" s="3">
        <v>72</v>
      </c>
      <c r="T52" s="3" t="str">
        <f>IFERROR(MID(VLOOKUP($B52,Seqs!$A:$B,2,0),U52,1),"")</f>
        <v>A</v>
      </c>
      <c r="U52" s="3">
        <v>73</v>
      </c>
      <c r="V52" s="3" t="str">
        <f>IFERROR(MID(VLOOKUP($B52,Seqs!$A:$B,2,0),W52,1),"")</f>
        <v>I</v>
      </c>
      <c r="W52" s="3">
        <v>108</v>
      </c>
      <c r="X52" s="3" t="str">
        <f>IFERROR(MID(VLOOKUP($B52,Seqs!$A:$B,2,0),Y52,1),"")</f>
        <v>P</v>
      </c>
      <c r="Y52" s="3">
        <v>109</v>
      </c>
      <c r="Z52" s="3" t="str">
        <f>IFERROR(MID(VLOOKUP($B52,Seqs!$A:$B,2,0),AA52,1),"")</f>
        <v>V</v>
      </c>
      <c r="AA52" s="3">
        <v>116</v>
      </c>
      <c r="AB52" s="3" t="str">
        <f>IFERROR(MID(VLOOKUP($B52,Seqs!$A:$B,2,0),AC52,1),"")</f>
        <v>T</v>
      </c>
      <c r="AC52" s="3">
        <v>117</v>
      </c>
      <c r="AD52" s="3" t="str">
        <f>IFERROR(MID(VLOOKUP($B52,Seqs!$A:$B,2,0),AE52,1),"")</f>
        <v>G</v>
      </c>
      <c r="AE52" s="3">
        <v>142</v>
      </c>
      <c r="AF52" s="3" t="str">
        <f>IFERROR(MID(VLOOKUP($B52,Seqs!$A:$B,2,0),AG52,1),"")</f>
        <v>C</v>
      </c>
      <c r="AG52" s="3">
        <v>166</v>
      </c>
      <c r="AH52" s="3" t="str">
        <f>IFERROR(MID(VLOOKUP($B52,Seqs!$A:$B,2,0),AI52,1),"")</f>
        <v>F</v>
      </c>
      <c r="AI52" s="3">
        <v>168</v>
      </c>
      <c r="AJ52" s="3" t="str">
        <f>IFERROR(MID(VLOOKUP($B52,Seqs!$A:$B,2,0),AK52,1),"")</f>
        <v>P</v>
      </c>
      <c r="AK52" s="3">
        <v>173</v>
      </c>
      <c r="AL52" s="3" t="str">
        <f>IFERROR(MID(VLOOKUP($B52,Seqs!$A:$B,2,0),AM52,1),"")</f>
        <v>L</v>
      </c>
      <c r="AM52" s="3">
        <v>208</v>
      </c>
      <c r="AN52" s="3" t="str">
        <f>IFERROR(MID(VLOOKUP($B52,Seqs!$A:$B,2,0),AO52,1),"")</f>
        <v>E</v>
      </c>
      <c r="AO52" s="3">
        <v>219</v>
      </c>
      <c r="AP52" s="3" t="str">
        <f>IFERROR(MID(VLOOKUP($B52,Seqs!$A:$B,2,0),AQ52,1),"")</f>
        <v>C</v>
      </c>
      <c r="AQ52" s="3">
        <v>259</v>
      </c>
      <c r="AR52" s="3" t="str">
        <f>IFERROR(MID(VLOOKUP($B52,Seqs!$A:$B,2,0),AS52,1),"")</f>
        <v>P</v>
      </c>
      <c r="AS52" s="3">
        <v>266</v>
      </c>
      <c r="AT52" s="3" t="str">
        <f>IFERROR(MID(VLOOKUP($B52,Seqs!$A:$B,2,0),AU52,1),"")</f>
        <v>R</v>
      </c>
      <c r="AU52" s="3">
        <v>291</v>
      </c>
      <c r="AV52" s="3" t="str">
        <f>IFERROR(MID(VLOOKUP($B52,Seqs!$A:$B,2,0),AW52,1),"")</f>
        <v>I</v>
      </c>
      <c r="AW52" s="3">
        <v>292</v>
      </c>
      <c r="AX52" s="3" t="str">
        <f>IFERROR(MID(VLOOKUP($B52,Seqs!$A:$B,2,0),AY52,1),"")</f>
        <v>H</v>
      </c>
      <c r="AY52" s="3">
        <v>306</v>
      </c>
      <c r="AZ52" s="77" t="str">
        <f>VLOOKUP(B52,Classification!A:D,2,0)</f>
        <v>A</v>
      </c>
      <c r="BA52" s="94" t="str">
        <f>VLOOKUP(B52,Classification!A:D,4,0)</f>
        <v>Adenosine</v>
      </c>
      <c r="BB52" s="27" t="b">
        <f t="shared" si="252"/>
        <v>1</v>
      </c>
      <c r="BC52" s="23">
        <f t="shared" si="253"/>
        <v>263</v>
      </c>
      <c r="BD52" s="5" t="s">
        <v>23</v>
      </c>
      <c r="BE52" s="3" t="s">
        <v>1380</v>
      </c>
      <c r="BF52" s="119">
        <v>3.2</v>
      </c>
      <c r="BG52" s="49" t="s">
        <v>1</v>
      </c>
      <c r="BH52" s="49" t="s">
        <v>1</v>
      </c>
      <c r="BI52" s="1"/>
      <c r="BJ52" s="70" t="s">
        <v>1293</v>
      </c>
      <c r="BK52" s="57" t="s">
        <v>1293</v>
      </c>
      <c r="BL52" s="57" t="s">
        <v>1293</v>
      </c>
      <c r="BM52" s="57" t="s">
        <v>1293</v>
      </c>
      <c r="BN52" s="57" t="s">
        <v>1293</v>
      </c>
      <c r="BO52" s="57" t="s">
        <v>1293</v>
      </c>
      <c r="BP52" s="57" t="s">
        <v>1293</v>
      </c>
      <c r="BQ52" s="57" t="s">
        <v>1293</v>
      </c>
      <c r="BR52" s="57" t="s">
        <v>1293</v>
      </c>
      <c r="BS52" s="57" t="s">
        <v>1293</v>
      </c>
      <c r="BT52" s="57" t="s">
        <v>1293</v>
      </c>
      <c r="BU52" s="57" t="s">
        <v>1293</v>
      </c>
      <c r="BV52" s="70">
        <f t="shared" si="254"/>
        <v>1</v>
      </c>
      <c r="BW52" s="71">
        <f t="shared" si="255"/>
        <v>35</v>
      </c>
      <c r="BX52" s="72">
        <f t="shared" si="256"/>
        <v>39</v>
      </c>
      <c r="BY52" s="71">
        <f t="shared" si="257"/>
        <v>70</v>
      </c>
      <c r="BZ52" s="72">
        <f t="shared" si="258"/>
        <v>73</v>
      </c>
      <c r="CA52" s="71">
        <f t="shared" si="259"/>
        <v>109</v>
      </c>
      <c r="CB52" s="72">
        <f t="shared" si="260"/>
        <v>117</v>
      </c>
      <c r="CC52" s="71">
        <f t="shared" si="261"/>
        <v>166</v>
      </c>
      <c r="CD52" s="72">
        <f t="shared" si="262"/>
        <v>173</v>
      </c>
      <c r="CE52" s="71">
        <f t="shared" si="263"/>
        <v>219</v>
      </c>
      <c r="CF52" s="72">
        <f t="shared" si="264"/>
        <v>266</v>
      </c>
      <c r="CG52" s="71">
        <f t="shared" si="265"/>
        <v>292</v>
      </c>
      <c r="CH52" s="70">
        <f t="shared" si="266"/>
        <v>34</v>
      </c>
      <c r="CI52" s="71">
        <f t="shared" si="267"/>
        <v>38</v>
      </c>
      <c r="CJ52" s="72">
        <f t="shared" si="268"/>
        <v>69</v>
      </c>
      <c r="CK52" s="72">
        <f t="shared" si="269"/>
        <v>72</v>
      </c>
      <c r="CL52" s="72">
        <f t="shared" si="270"/>
        <v>108</v>
      </c>
      <c r="CM52" s="72">
        <f t="shared" si="271"/>
        <v>116</v>
      </c>
      <c r="CN52" s="72">
        <f t="shared" si="272"/>
        <v>142</v>
      </c>
      <c r="CO52" s="72">
        <f t="shared" si="273"/>
        <v>168</v>
      </c>
      <c r="CP52" s="72">
        <f t="shared" si="274"/>
        <v>208</v>
      </c>
      <c r="CQ52" s="72">
        <f t="shared" si="275"/>
        <v>259</v>
      </c>
      <c r="CR52" s="72">
        <f t="shared" si="276"/>
        <v>291</v>
      </c>
      <c r="CS52" s="72">
        <f t="shared" si="277"/>
        <v>306</v>
      </c>
      <c r="CT52" s="23">
        <f t="shared" si="278"/>
        <v>1</v>
      </c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</row>
    <row r="53" spans="1:1029" x14ac:dyDescent="0.2">
      <c r="A53" s="3" t="str">
        <f t="shared" si="251"/>
        <v>aa2ar_human_5JTB</v>
      </c>
      <c r="B53" s="3" t="s">
        <v>139</v>
      </c>
      <c r="C53" s="3" t="s">
        <v>1421</v>
      </c>
      <c r="D53" s="3" t="str">
        <f>IFERROR(MID(VLOOKUP($B53,Seqs!$A:$B,2,0),E53,1),"")</f>
        <v>M</v>
      </c>
      <c r="E53" s="3">
        <v>1</v>
      </c>
      <c r="F53" s="3" t="str">
        <f>IFERROR(MID(VLOOKUP($B53,Seqs!$A:$B,2,0),G53,1),"")</f>
        <v>N</v>
      </c>
      <c r="G53" s="3">
        <v>34</v>
      </c>
      <c r="H53" s="3" t="str">
        <f>IFERROR(MID(VLOOKUP($B53,Seqs!$A:$B,2,0),I53,1),"")</f>
        <v>S</v>
      </c>
      <c r="I53" s="23">
        <v>35</v>
      </c>
      <c r="J53" s="3" t="str">
        <f>IFERROR(MID(VLOOKUP($B53,Seqs!$A:$B,2,0),K53,1),"")</f>
        <v>Q</v>
      </c>
      <c r="K53" s="23">
        <v>38</v>
      </c>
      <c r="L53" s="3" t="str">
        <f>IFERROR(MID(VLOOKUP($B53,Seqs!$A:$B,2,0),M53,1),"")</f>
        <v>N</v>
      </c>
      <c r="M53" s="3">
        <v>39</v>
      </c>
      <c r="N53" s="3" t="str">
        <f>IFERROR(MID(VLOOKUP($B53,Seqs!$A:$B,2,0),O53,1),"")</f>
        <v>G</v>
      </c>
      <c r="O53" s="3">
        <v>69</v>
      </c>
      <c r="P53" s="3" t="str">
        <f>IFERROR(MID(VLOOKUP($B53,Seqs!$A:$B,2,0),Q53,1),"")</f>
        <v>F</v>
      </c>
      <c r="Q53" s="3">
        <v>70</v>
      </c>
      <c r="R53" s="3" t="str">
        <f>IFERROR(MID(VLOOKUP($B53,Seqs!$A:$B,2,0),S53,1),"")</f>
        <v>A</v>
      </c>
      <c r="S53" s="3">
        <v>72</v>
      </c>
      <c r="T53" s="3" t="str">
        <f>IFERROR(MID(VLOOKUP($B53,Seqs!$A:$B,2,0),U53,1),"")</f>
        <v>A</v>
      </c>
      <c r="U53" s="3">
        <v>73</v>
      </c>
      <c r="V53" s="3" t="str">
        <f>IFERROR(MID(VLOOKUP($B53,Seqs!$A:$B,2,0),W53,1),"")</f>
        <v>I</v>
      </c>
      <c r="W53" s="3">
        <v>108</v>
      </c>
      <c r="X53" s="3" t="str">
        <f>IFERROR(MID(VLOOKUP($B53,Seqs!$A:$B,2,0),Y53,1),"")</f>
        <v>P</v>
      </c>
      <c r="Y53" s="3">
        <v>109</v>
      </c>
      <c r="Z53" s="3" t="str">
        <f>IFERROR(MID(VLOOKUP($B53,Seqs!$A:$B,2,0),AA53,1),"")</f>
        <v>V</v>
      </c>
      <c r="AA53" s="3">
        <v>116</v>
      </c>
      <c r="AB53" s="3" t="str">
        <f>IFERROR(MID(VLOOKUP($B53,Seqs!$A:$B,2,0),AC53,1),"")</f>
        <v>T</v>
      </c>
      <c r="AC53" s="3">
        <v>117</v>
      </c>
      <c r="AD53" s="3" t="str">
        <f>IFERROR(MID(VLOOKUP($B53,Seqs!$A:$B,2,0),AE53,1),"")</f>
        <v>G</v>
      </c>
      <c r="AE53" s="3">
        <v>142</v>
      </c>
      <c r="AF53" s="3" t="str">
        <f>IFERROR(MID(VLOOKUP($B53,Seqs!$A:$B,2,0),AG53,1),"")</f>
        <v>C</v>
      </c>
      <c r="AG53" s="3">
        <v>166</v>
      </c>
      <c r="AH53" s="3" t="str">
        <f>IFERROR(MID(VLOOKUP($B53,Seqs!$A:$B,2,0),AI53,1),"")</f>
        <v>F</v>
      </c>
      <c r="AI53" s="3">
        <v>168</v>
      </c>
      <c r="AJ53" s="3" t="str">
        <f>IFERROR(MID(VLOOKUP($B53,Seqs!$A:$B,2,0),AK53,1),"")</f>
        <v>P</v>
      </c>
      <c r="AK53" s="3">
        <v>173</v>
      </c>
      <c r="AL53" s="3" t="str">
        <f>IFERROR(MID(VLOOKUP($B53,Seqs!$A:$B,2,0),AM53,1),"")</f>
        <v>L</v>
      </c>
      <c r="AM53" s="3">
        <v>208</v>
      </c>
      <c r="AN53" s="3" t="str">
        <f>IFERROR(MID(VLOOKUP($B53,Seqs!$A:$B,2,0),AO53,1),"")</f>
        <v>E</v>
      </c>
      <c r="AO53" s="3">
        <v>219</v>
      </c>
      <c r="AP53" s="3" t="str">
        <f>IFERROR(MID(VLOOKUP($B53,Seqs!$A:$B,2,0),AQ53,1),"")</f>
        <v>C</v>
      </c>
      <c r="AQ53" s="3">
        <v>259</v>
      </c>
      <c r="AR53" s="3" t="str">
        <f>IFERROR(MID(VLOOKUP($B53,Seqs!$A:$B,2,0),AS53,1),"")</f>
        <v>P</v>
      </c>
      <c r="AS53" s="3">
        <v>266</v>
      </c>
      <c r="AT53" s="3" t="str">
        <f>IFERROR(MID(VLOOKUP($B53,Seqs!$A:$B,2,0),AU53,1),"")</f>
        <v>R</v>
      </c>
      <c r="AU53" s="3">
        <v>291</v>
      </c>
      <c r="AV53" s="3" t="str">
        <f>IFERROR(MID(VLOOKUP($B53,Seqs!$A:$B,2,0),AW53,1),"")</f>
        <v>I</v>
      </c>
      <c r="AW53" s="3">
        <v>292</v>
      </c>
      <c r="AX53" s="3" t="str">
        <f>IFERROR(MID(VLOOKUP($B53,Seqs!$A:$B,2,0),AY53,1),"")</f>
        <v>V</v>
      </c>
      <c r="AY53" s="3">
        <v>307</v>
      </c>
      <c r="AZ53" s="77" t="str">
        <f>VLOOKUP(B53,Classification!A:D,2,0)</f>
        <v>A</v>
      </c>
      <c r="BA53" s="94" t="str">
        <f>VLOOKUP(B53,Classification!A:D,4,0)</f>
        <v>Adenosine</v>
      </c>
      <c r="BB53" s="27" t="b">
        <f t="shared" si="252"/>
        <v>1</v>
      </c>
      <c r="BC53" s="23">
        <f t="shared" si="253"/>
        <v>264</v>
      </c>
      <c r="BD53" s="5" t="s">
        <v>23</v>
      </c>
      <c r="BE53" s="3" t="s">
        <v>1380</v>
      </c>
      <c r="BF53" s="119">
        <v>2.8</v>
      </c>
      <c r="BG53" s="49" t="s">
        <v>1</v>
      </c>
      <c r="BH53" s="49" t="s">
        <v>1</v>
      </c>
      <c r="BI53" s="1"/>
      <c r="BJ53" s="70" t="s">
        <v>1293</v>
      </c>
      <c r="BK53" s="57" t="s">
        <v>1293</v>
      </c>
      <c r="BL53" s="57" t="s">
        <v>1293</v>
      </c>
      <c r="BM53" s="57" t="s">
        <v>1293</v>
      </c>
      <c r="BN53" s="57" t="s">
        <v>1293</v>
      </c>
      <c r="BO53" s="57" t="s">
        <v>1293</v>
      </c>
      <c r="BP53" s="57" t="s">
        <v>1293</v>
      </c>
      <c r="BQ53" s="57" t="s">
        <v>1293</v>
      </c>
      <c r="BR53" s="57" t="s">
        <v>1293</v>
      </c>
      <c r="BS53" s="57" t="s">
        <v>1293</v>
      </c>
      <c r="BT53" s="57" t="s">
        <v>1293</v>
      </c>
      <c r="BU53" s="57" t="s">
        <v>1293</v>
      </c>
      <c r="BV53" s="70">
        <f t="shared" si="254"/>
        <v>1</v>
      </c>
      <c r="BW53" s="71">
        <f t="shared" si="255"/>
        <v>35</v>
      </c>
      <c r="BX53" s="72">
        <f t="shared" si="256"/>
        <v>39</v>
      </c>
      <c r="BY53" s="71">
        <f t="shared" si="257"/>
        <v>70</v>
      </c>
      <c r="BZ53" s="72">
        <f t="shared" si="258"/>
        <v>73</v>
      </c>
      <c r="CA53" s="71">
        <f t="shared" si="259"/>
        <v>109</v>
      </c>
      <c r="CB53" s="72">
        <f t="shared" si="260"/>
        <v>117</v>
      </c>
      <c r="CC53" s="71">
        <f t="shared" si="261"/>
        <v>166</v>
      </c>
      <c r="CD53" s="72">
        <f t="shared" si="262"/>
        <v>173</v>
      </c>
      <c r="CE53" s="71">
        <f t="shared" si="263"/>
        <v>219</v>
      </c>
      <c r="CF53" s="72">
        <f t="shared" si="264"/>
        <v>266</v>
      </c>
      <c r="CG53" s="71">
        <f t="shared" si="265"/>
        <v>292</v>
      </c>
      <c r="CH53" s="70">
        <f t="shared" si="266"/>
        <v>34</v>
      </c>
      <c r="CI53" s="71">
        <f t="shared" si="267"/>
        <v>38</v>
      </c>
      <c r="CJ53" s="72">
        <f t="shared" si="268"/>
        <v>69</v>
      </c>
      <c r="CK53" s="72">
        <f t="shared" si="269"/>
        <v>72</v>
      </c>
      <c r="CL53" s="72">
        <f t="shared" si="270"/>
        <v>108</v>
      </c>
      <c r="CM53" s="72">
        <f t="shared" si="271"/>
        <v>116</v>
      </c>
      <c r="CN53" s="72">
        <f t="shared" si="272"/>
        <v>142</v>
      </c>
      <c r="CO53" s="72">
        <f t="shared" si="273"/>
        <v>168</v>
      </c>
      <c r="CP53" s="72">
        <f t="shared" si="274"/>
        <v>208</v>
      </c>
      <c r="CQ53" s="72">
        <f t="shared" si="275"/>
        <v>259</v>
      </c>
      <c r="CR53" s="72">
        <f t="shared" si="276"/>
        <v>291</v>
      </c>
      <c r="CS53" s="72">
        <f t="shared" si="277"/>
        <v>307</v>
      </c>
      <c r="CT53" s="23">
        <f t="shared" si="278"/>
        <v>1</v>
      </c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</row>
    <row r="54" spans="1:1029" x14ac:dyDescent="0.2">
      <c r="A54" s="3" t="str">
        <f t="shared" si="251"/>
        <v>aa2ar_human_5NM2</v>
      </c>
      <c r="B54" s="3" t="s">
        <v>139</v>
      </c>
      <c r="C54" s="3" t="s">
        <v>1454</v>
      </c>
      <c r="D54" s="3" t="str">
        <f>IFERROR(MID(VLOOKUP($B54,Seqs!$A:$B,2,0),E54,1),"")</f>
        <v>M</v>
      </c>
      <c r="E54" s="3">
        <v>1</v>
      </c>
      <c r="F54" s="3" t="str">
        <f>IFERROR(MID(VLOOKUP($B54,Seqs!$A:$B,2,0),G54,1),"")</f>
        <v>N</v>
      </c>
      <c r="G54" s="3">
        <v>34</v>
      </c>
      <c r="H54" s="3" t="str">
        <f>IFERROR(MID(VLOOKUP($B54,Seqs!$A:$B,2,0),I54,1),"")</f>
        <v>S</v>
      </c>
      <c r="I54" s="23">
        <v>35</v>
      </c>
      <c r="J54" s="3" t="str">
        <f>IFERROR(MID(VLOOKUP($B54,Seqs!$A:$B,2,0),K54,1),"")</f>
        <v>Q</v>
      </c>
      <c r="K54" s="23">
        <v>38</v>
      </c>
      <c r="L54" s="3" t="str">
        <f>IFERROR(MID(VLOOKUP($B54,Seqs!$A:$B,2,0),M54,1),"")</f>
        <v>N</v>
      </c>
      <c r="M54" s="3">
        <v>39</v>
      </c>
      <c r="N54" s="3" t="str">
        <f>IFERROR(MID(VLOOKUP($B54,Seqs!$A:$B,2,0),O54,1),"")</f>
        <v>G</v>
      </c>
      <c r="O54" s="3">
        <v>69</v>
      </c>
      <c r="P54" s="3" t="str">
        <f>IFERROR(MID(VLOOKUP($B54,Seqs!$A:$B,2,0),Q54,1),"")</f>
        <v>F</v>
      </c>
      <c r="Q54" s="3">
        <v>70</v>
      </c>
      <c r="R54" s="3" t="str">
        <f>IFERROR(MID(VLOOKUP($B54,Seqs!$A:$B,2,0),S54,1),"")</f>
        <v>A</v>
      </c>
      <c r="S54" s="3">
        <v>72</v>
      </c>
      <c r="T54" s="3" t="str">
        <f>IFERROR(MID(VLOOKUP($B54,Seqs!$A:$B,2,0),U54,1),"")</f>
        <v>A</v>
      </c>
      <c r="U54" s="3">
        <v>73</v>
      </c>
      <c r="V54" s="3" t="str">
        <f>IFERROR(MID(VLOOKUP($B54,Seqs!$A:$B,2,0),W54,1),"")</f>
        <v>I</v>
      </c>
      <c r="W54" s="3">
        <v>108</v>
      </c>
      <c r="X54" s="3" t="str">
        <f>IFERROR(MID(VLOOKUP($B54,Seqs!$A:$B,2,0),Y54,1),"")</f>
        <v>P</v>
      </c>
      <c r="Y54" s="3">
        <v>109</v>
      </c>
      <c r="Z54" s="3" t="str">
        <f>IFERROR(MID(VLOOKUP($B54,Seqs!$A:$B,2,0),AA54,1),"")</f>
        <v>V</v>
      </c>
      <c r="AA54" s="3">
        <v>116</v>
      </c>
      <c r="AB54" s="3" t="str">
        <f>IFERROR(MID(VLOOKUP($B54,Seqs!$A:$B,2,0),AC54,1),"")</f>
        <v>T</v>
      </c>
      <c r="AC54" s="3">
        <v>117</v>
      </c>
      <c r="AD54" s="3" t="str">
        <f>IFERROR(MID(VLOOKUP($B54,Seqs!$A:$B,2,0),AE54,1),"")</f>
        <v>G</v>
      </c>
      <c r="AE54" s="3">
        <v>142</v>
      </c>
      <c r="AF54" s="3" t="str">
        <f>IFERROR(MID(VLOOKUP($B54,Seqs!$A:$B,2,0),AG54,1),"")</f>
        <v>C</v>
      </c>
      <c r="AG54" s="3">
        <v>166</v>
      </c>
      <c r="AH54" s="3" t="str">
        <f>IFERROR(MID(VLOOKUP($B54,Seqs!$A:$B,2,0),AI54,1),"")</f>
        <v>F</v>
      </c>
      <c r="AI54" s="3">
        <v>168</v>
      </c>
      <c r="AJ54" s="3" t="str">
        <f>IFERROR(MID(VLOOKUP($B54,Seqs!$A:$B,2,0),AK54,1),"")</f>
        <v>P</v>
      </c>
      <c r="AK54" s="3">
        <v>173</v>
      </c>
      <c r="AL54" s="3" t="str">
        <f>IFERROR(MID(VLOOKUP($B54,Seqs!$A:$B,2,0),AM54,1),"")</f>
        <v>L</v>
      </c>
      <c r="AM54" s="3">
        <v>208</v>
      </c>
      <c r="AN54" s="3" t="str">
        <f>IFERROR(MID(VLOOKUP($B54,Seqs!$A:$B,2,0),AO54,1),"")</f>
        <v>E</v>
      </c>
      <c r="AO54" s="3">
        <v>219</v>
      </c>
      <c r="AP54" s="3" t="str">
        <f>IFERROR(MID(VLOOKUP($B54,Seqs!$A:$B,2,0),AQ54,1),"")</f>
        <v>C</v>
      </c>
      <c r="AQ54" s="3">
        <v>259</v>
      </c>
      <c r="AR54" s="3" t="str">
        <f>IFERROR(MID(VLOOKUP($B54,Seqs!$A:$B,2,0),AS54,1),"")</f>
        <v>P</v>
      </c>
      <c r="AS54" s="3">
        <v>266</v>
      </c>
      <c r="AT54" s="3" t="str">
        <f>IFERROR(MID(VLOOKUP($B54,Seqs!$A:$B,2,0),AU54,1),"")</f>
        <v>R</v>
      </c>
      <c r="AU54" s="3">
        <v>291</v>
      </c>
      <c r="AV54" s="3" t="str">
        <f>IFERROR(MID(VLOOKUP($B54,Seqs!$A:$B,2,0),AW54,1),"")</f>
        <v>I</v>
      </c>
      <c r="AW54" s="3">
        <v>292</v>
      </c>
      <c r="AX54" s="3" t="str">
        <f>IFERROR(MID(VLOOKUP($B54,Seqs!$A:$B,2,0),AY54,1),"")</f>
        <v>S</v>
      </c>
      <c r="AY54" s="3">
        <v>305</v>
      </c>
      <c r="AZ54" s="77" t="str">
        <f>VLOOKUP(B54,Classification!A:D,2,0)</f>
        <v>A</v>
      </c>
      <c r="BA54" s="94" t="str">
        <f>VLOOKUP(B54,Classification!A:D,4,0)</f>
        <v>Adenosine</v>
      </c>
      <c r="BB54" s="27" t="b">
        <f t="shared" si="252"/>
        <v>1</v>
      </c>
      <c r="BC54" s="23">
        <f t="shared" si="253"/>
        <v>262</v>
      </c>
      <c r="BD54" s="5" t="s">
        <v>23</v>
      </c>
      <c r="BE54" s="3" t="s">
        <v>1380</v>
      </c>
      <c r="BF54" s="119">
        <v>1.95</v>
      </c>
      <c r="BG54" s="49" t="s">
        <v>1</v>
      </c>
      <c r="BH54" s="49" t="s">
        <v>1</v>
      </c>
      <c r="BI54" s="1"/>
      <c r="BJ54" s="70" t="s">
        <v>1293</v>
      </c>
      <c r="BK54" s="57" t="s">
        <v>1293</v>
      </c>
      <c r="BL54" s="57" t="s">
        <v>1293</v>
      </c>
      <c r="BM54" s="57" t="s">
        <v>1293</v>
      </c>
      <c r="BN54" s="57" t="s">
        <v>1293</v>
      </c>
      <c r="BO54" s="57" t="s">
        <v>1293</v>
      </c>
      <c r="BP54" s="57" t="s">
        <v>1293</v>
      </c>
      <c r="BQ54" s="57" t="s">
        <v>1293</v>
      </c>
      <c r="BR54" s="57" t="s">
        <v>1293</v>
      </c>
      <c r="BS54" s="57" t="s">
        <v>1293</v>
      </c>
      <c r="BT54" s="57" t="s">
        <v>1293</v>
      </c>
      <c r="BU54" s="57" t="s">
        <v>1293</v>
      </c>
      <c r="BV54" s="70">
        <f t="shared" si="254"/>
        <v>1</v>
      </c>
      <c r="BW54" s="71">
        <f t="shared" si="255"/>
        <v>35</v>
      </c>
      <c r="BX54" s="72">
        <f t="shared" si="256"/>
        <v>39</v>
      </c>
      <c r="BY54" s="71">
        <f t="shared" si="257"/>
        <v>70</v>
      </c>
      <c r="BZ54" s="72">
        <f t="shared" si="258"/>
        <v>73</v>
      </c>
      <c r="CA54" s="71">
        <f t="shared" si="259"/>
        <v>109</v>
      </c>
      <c r="CB54" s="72">
        <f t="shared" si="260"/>
        <v>117</v>
      </c>
      <c r="CC54" s="71">
        <f t="shared" si="261"/>
        <v>166</v>
      </c>
      <c r="CD54" s="72">
        <f t="shared" si="262"/>
        <v>173</v>
      </c>
      <c r="CE54" s="71">
        <f t="shared" si="263"/>
        <v>219</v>
      </c>
      <c r="CF54" s="72">
        <f t="shared" si="264"/>
        <v>266</v>
      </c>
      <c r="CG54" s="71">
        <f t="shared" si="265"/>
        <v>292</v>
      </c>
      <c r="CH54" s="70">
        <f t="shared" si="266"/>
        <v>34</v>
      </c>
      <c r="CI54" s="71">
        <f t="shared" si="267"/>
        <v>38</v>
      </c>
      <c r="CJ54" s="72">
        <f t="shared" si="268"/>
        <v>69</v>
      </c>
      <c r="CK54" s="72">
        <f t="shared" si="269"/>
        <v>72</v>
      </c>
      <c r="CL54" s="72">
        <f t="shared" si="270"/>
        <v>108</v>
      </c>
      <c r="CM54" s="72">
        <f t="shared" si="271"/>
        <v>116</v>
      </c>
      <c r="CN54" s="72">
        <f t="shared" si="272"/>
        <v>142</v>
      </c>
      <c r="CO54" s="72">
        <f t="shared" si="273"/>
        <v>168</v>
      </c>
      <c r="CP54" s="72">
        <f t="shared" si="274"/>
        <v>208</v>
      </c>
      <c r="CQ54" s="72">
        <f t="shared" si="275"/>
        <v>259</v>
      </c>
      <c r="CR54" s="72">
        <f t="shared" si="276"/>
        <v>291</v>
      </c>
      <c r="CS54" s="72">
        <f t="shared" si="277"/>
        <v>305</v>
      </c>
      <c r="CT54" s="23">
        <f t="shared" si="278"/>
        <v>1</v>
      </c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</row>
    <row r="55" spans="1:1029" s="12" customFormat="1" x14ac:dyDescent="0.2">
      <c r="A55" s="9" t="str">
        <f t="shared" ref="A55" si="279">CONCATENATE(B55,"_",C55)</f>
        <v>aa2ar_human_5NM4</v>
      </c>
      <c r="B55" s="9" t="s">
        <v>139</v>
      </c>
      <c r="C55" s="9" t="s">
        <v>1587</v>
      </c>
      <c r="D55" s="9" t="str">
        <f>IFERROR(MID(VLOOKUP($B55,Seqs!$A:$B,2,0),E55,1),"")</f>
        <v>I</v>
      </c>
      <c r="E55" s="9">
        <v>10</v>
      </c>
      <c r="F55" s="9" t="str">
        <f>IFERROR(MID(VLOOKUP($B55,Seqs!$A:$B,2,0),G55,1),"")</f>
        <v>Y</v>
      </c>
      <c r="G55" s="9">
        <v>43</v>
      </c>
      <c r="H55" s="9" t="str">
        <f>IFERROR(MID(VLOOKUP($B55,Seqs!$A:$B,2,0),I55,1),"")</f>
        <v>F</v>
      </c>
      <c r="I55" s="109">
        <v>44</v>
      </c>
      <c r="J55" s="9" t="str">
        <f>IFERROR(MID(VLOOKUP($B55,Seqs!$A:$B,2,0),K55,1),"")</f>
        <v>S</v>
      </c>
      <c r="K55" s="109">
        <v>47</v>
      </c>
      <c r="L55" s="9" t="str">
        <f>IFERROR(MID(VLOOKUP($B55,Seqs!$A:$B,2,0),M55,1),"")</f>
        <v>L</v>
      </c>
      <c r="M55" s="9">
        <v>48</v>
      </c>
      <c r="N55" s="9" t="str">
        <f>IFERROR(MID(VLOOKUP($B55,Seqs!$A:$B,2,0),O55,1),"")</f>
        <v>L</v>
      </c>
      <c r="O55" s="9">
        <v>78</v>
      </c>
      <c r="P55" s="9" t="str">
        <f>IFERROR(MID(VLOOKUP($B55,Seqs!$A:$B,2,0),Q55,1),"")</f>
        <v>F</v>
      </c>
      <c r="Q55" s="9">
        <v>79</v>
      </c>
      <c r="R55" s="9" t="str">
        <f>IFERROR(MID(VLOOKUP($B55,Seqs!$A:$B,2,0),S55,1),"")</f>
        <v>A</v>
      </c>
      <c r="S55" s="9">
        <v>81</v>
      </c>
      <c r="T55" s="9" t="str">
        <f>IFERROR(MID(VLOOKUP($B55,Seqs!$A:$B,2,0),U55,1),"")</f>
        <v>C</v>
      </c>
      <c r="U55" s="9">
        <v>82</v>
      </c>
      <c r="V55" s="9" t="str">
        <f>IFERROR(MID(VLOOKUP($B55,Seqs!$A:$B,2,0),W55,1),"")</f>
        <v>T</v>
      </c>
      <c r="W55" s="9">
        <v>117</v>
      </c>
      <c r="X55" s="9" t="str">
        <f>IFERROR(MID(VLOOKUP($B55,Seqs!$A:$B,2,0),Y55,1),"")</f>
        <v>G</v>
      </c>
      <c r="Y55" s="9">
        <v>118</v>
      </c>
      <c r="Z55" s="9" t="str">
        <f>IFERROR(MID(VLOOKUP($B55,Seqs!$A:$B,2,0),AA55,1),"")</f>
        <v>I</v>
      </c>
      <c r="AA55" s="9">
        <v>125</v>
      </c>
      <c r="AB55" s="9" t="str">
        <f>IFERROR(MID(VLOOKUP($B55,Seqs!$A:$B,2,0),AC55,1),"")</f>
        <v>A</v>
      </c>
      <c r="AC55" s="9">
        <v>126</v>
      </c>
      <c r="AD55" s="9" t="str">
        <f>IFERROR(MID(VLOOKUP($B55,Seqs!$A:$B,2,0),AE55,1),"")</f>
        <v>E</v>
      </c>
      <c r="AE55" s="9">
        <v>151</v>
      </c>
      <c r="AF55" s="9" t="str">
        <f>IFERROR(MID(VLOOKUP($B55,Seqs!$A:$B,2,0),AG55,1),"")</f>
        <v>N</v>
      </c>
      <c r="AG55" s="9">
        <v>175</v>
      </c>
      <c r="AH55" s="9" t="str">
        <f>IFERROR(MID(VLOOKUP($B55,Seqs!$A:$B,2,0),AI55,1),"")</f>
        <v>M</v>
      </c>
      <c r="AI55" s="9">
        <v>177</v>
      </c>
      <c r="AJ55" s="9" t="str">
        <f>IFERROR(MID(VLOOKUP($B55,Seqs!$A:$B,2,0),AK55,1),"")</f>
        <v>F</v>
      </c>
      <c r="AK55" s="9">
        <v>182</v>
      </c>
      <c r="AL55" s="9" t="str">
        <f>IFERROR(MID(VLOOKUP($B55,Seqs!$A:$B,2,0),AM55,1),"")</f>
        <v>R</v>
      </c>
      <c r="AM55" s="9">
        <v>222</v>
      </c>
      <c r="AN55" s="9" t="str">
        <f>IFERROR(MID(VLOOKUP($B55,Seqs!$A:$B,2,0),AO55,1),"")</f>
        <v>L</v>
      </c>
      <c r="AO55" s="9">
        <v>324</v>
      </c>
      <c r="AP55" s="9" t="str">
        <f>IFERROR(MID(VLOOKUP($B55,Seqs!$A:$B,2,0),AQ55,1),"")</f>
        <v>G</v>
      </c>
      <c r="AQ55" s="9">
        <v>364</v>
      </c>
      <c r="AR55" s="9" t="str">
        <f>IFERROR(MID(VLOOKUP($B55,Seqs!$A:$B,2,0),AS55,1),"")</f>
        <v>A</v>
      </c>
      <c r="AS55" s="9">
        <v>371</v>
      </c>
      <c r="AT55" s="9" t="str">
        <f>IFERROR(MID(VLOOKUP($B55,Seqs!$A:$B,2,0),AU55,1),"")</f>
        <v>E</v>
      </c>
      <c r="AU55" s="9">
        <v>396</v>
      </c>
      <c r="AV55" s="9" t="str">
        <f>IFERROR(MID(VLOOKUP($B55,Seqs!$A:$B,2,0),AW55,1),"")</f>
        <v>P</v>
      </c>
      <c r="AW55" s="9">
        <v>397</v>
      </c>
      <c r="AX55" s="9" t="str">
        <f>IFERROR(MID(VLOOKUP($B55,Seqs!$A:$B,2,0),AY55,1),"")</f>
        <v>A</v>
      </c>
      <c r="AY55" s="9">
        <v>409</v>
      </c>
      <c r="AZ55" s="110" t="str">
        <f>VLOOKUP(B55,Classification!A:D,2,0)</f>
        <v>A</v>
      </c>
      <c r="BA55" s="98" t="str">
        <f>VLOOKUP(B55,Classification!A:D,4,0)</f>
        <v>Adenosine</v>
      </c>
      <c r="BB55" s="36" t="b">
        <f t="shared" ref="BB55" si="280">AND(E55&lt;G55,OR(G55&lt;I55,I55="-"),OR(I55&lt;K55,I55="-"),OR(K55&lt;M55,K55="-"),M55&lt;O55,OR(O55&lt;Q55,Q55="-"),OR(Q55&lt;S55,Q55="-"),OR(S55&lt;U55,S55="-"),U55&lt;W55,OR(W55&lt;Y55,Y55="-"),OR(Y55&lt;AA55,Y55="-"),OR(AA55&lt;AC55,AA55="-"),AC55&lt;AE55,OR(AE55&lt;AG55,AG55="-"),OR(AG55&lt;AI55,AG55="-"),OR(AI55&lt;AK55,AI55="-"),AK55&lt;AM55,AM55&lt;AO55,AO55&lt;AQ55,AQ55&lt;AS55,AS55&lt;AU55,OR(AU55&lt;AW55,AW55="-"),OR(AW55&lt;AY55,AW55="-"))</f>
        <v>1</v>
      </c>
      <c r="BC55" s="109">
        <f t="shared" ref="BC55" si="281">_xlfn.AGGREGATE(9,6,CH55:CS55)-_xlfn.AGGREGATE(9,6,BV55:CG55)+12</f>
        <v>266</v>
      </c>
      <c r="BD55" s="13" t="s">
        <v>23</v>
      </c>
      <c r="BE55" s="9" t="s">
        <v>1380</v>
      </c>
      <c r="BF55" s="120">
        <v>1.7</v>
      </c>
      <c r="BG55" s="51" t="s">
        <v>1</v>
      </c>
      <c r="BH55" s="51" t="s">
        <v>1</v>
      </c>
      <c r="BJ55" s="111" t="s">
        <v>1293</v>
      </c>
      <c r="BK55" s="112" t="s">
        <v>1293</v>
      </c>
      <c r="BL55" s="112" t="s">
        <v>1293</v>
      </c>
      <c r="BM55" s="112" t="s">
        <v>1293</v>
      </c>
      <c r="BN55" s="112" t="s">
        <v>1293</v>
      </c>
      <c r="BO55" s="112" t="s">
        <v>1293</v>
      </c>
      <c r="BP55" s="112" t="s">
        <v>1293</v>
      </c>
      <c r="BQ55" s="112" t="s">
        <v>1293</v>
      </c>
      <c r="BR55" s="112" t="s">
        <v>1293</v>
      </c>
      <c r="BS55" s="112" t="s">
        <v>1293</v>
      </c>
      <c r="BT55" s="112" t="s">
        <v>1293</v>
      </c>
      <c r="BU55" s="112" t="s">
        <v>1293</v>
      </c>
      <c r="BV55" s="111">
        <f t="shared" ref="BV55" si="282">E55</f>
        <v>10</v>
      </c>
      <c r="BW55" s="113">
        <f t="shared" ref="BW55" si="283">I55</f>
        <v>44</v>
      </c>
      <c r="BX55" s="114">
        <f t="shared" ref="BX55" si="284">M55</f>
        <v>48</v>
      </c>
      <c r="BY55" s="113">
        <f t="shared" ref="BY55" si="285">Q55</f>
        <v>79</v>
      </c>
      <c r="BZ55" s="114">
        <f t="shared" ref="BZ55" si="286">U55</f>
        <v>82</v>
      </c>
      <c r="CA55" s="113">
        <f t="shared" ref="CA55" si="287">Y55</f>
        <v>118</v>
      </c>
      <c r="CB55" s="114">
        <f t="shared" ref="CB55" si="288">AC55</f>
        <v>126</v>
      </c>
      <c r="CC55" s="113">
        <f t="shared" ref="CC55" si="289">AG55</f>
        <v>175</v>
      </c>
      <c r="CD55" s="114">
        <f t="shared" ref="CD55" si="290">AK55</f>
        <v>182</v>
      </c>
      <c r="CE55" s="113">
        <f t="shared" ref="CE55" si="291">AO55</f>
        <v>324</v>
      </c>
      <c r="CF55" s="114">
        <f t="shared" ref="CF55" si="292">AS55</f>
        <v>371</v>
      </c>
      <c r="CG55" s="113">
        <f t="shared" ref="CG55" si="293">AW55</f>
        <v>397</v>
      </c>
      <c r="CH55" s="111">
        <f t="shared" ref="CH55" si="294">G55</f>
        <v>43</v>
      </c>
      <c r="CI55" s="113">
        <f t="shared" ref="CI55" si="295">K55</f>
        <v>47</v>
      </c>
      <c r="CJ55" s="114">
        <f t="shared" ref="CJ55" si="296">O55</f>
        <v>78</v>
      </c>
      <c r="CK55" s="114">
        <f t="shared" ref="CK55" si="297">S55</f>
        <v>81</v>
      </c>
      <c r="CL55" s="114">
        <f t="shared" ref="CL55" si="298">W55</f>
        <v>117</v>
      </c>
      <c r="CM55" s="114">
        <f t="shared" ref="CM55" si="299">AA55</f>
        <v>125</v>
      </c>
      <c r="CN55" s="114">
        <f t="shared" ref="CN55" si="300">AE55</f>
        <v>151</v>
      </c>
      <c r="CO55" s="114">
        <f t="shared" ref="CO55" si="301">AI55</f>
        <v>177</v>
      </c>
      <c r="CP55" s="114">
        <f t="shared" ref="CP55" si="302">AM55</f>
        <v>222</v>
      </c>
      <c r="CQ55" s="114">
        <f t="shared" ref="CQ55" si="303">AQ55</f>
        <v>364</v>
      </c>
      <c r="CR55" s="114">
        <f t="shared" ref="CR55" si="304">AU55</f>
        <v>396</v>
      </c>
      <c r="CS55" s="114">
        <f t="shared" ref="CS55" si="305">AY55</f>
        <v>409</v>
      </c>
      <c r="CT55" s="109">
        <f t="shared" ref="CT55" si="306">M55-K55</f>
        <v>1</v>
      </c>
    </row>
    <row r="56" spans="1:1029" s="12" customFormat="1" x14ac:dyDescent="0.2">
      <c r="A56" s="9" t="str">
        <f t="shared" ref="A56" si="307">CONCATENATE(B56,"_",C56)</f>
        <v>aa2ar_human_5NLX</v>
      </c>
      <c r="B56" s="9" t="s">
        <v>139</v>
      </c>
      <c r="C56" s="9" t="s">
        <v>1588</v>
      </c>
      <c r="D56" s="9" t="str">
        <f>IFERROR(MID(VLOOKUP($B56,Seqs!$A:$B,2,0),E56,1),"")</f>
        <v>I</v>
      </c>
      <c r="E56" s="9">
        <v>10</v>
      </c>
      <c r="F56" s="9" t="str">
        <f>IFERROR(MID(VLOOKUP($B56,Seqs!$A:$B,2,0),G56,1),"")</f>
        <v>Y</v>
      </c>
      <c r="G56" s="9">
        <v>43</v>
      </c>
      <c r="H56" s="9" t="str">
        <f>IFERROR(MID(VLOOKUP($B56,Seqs!$A:$B,2,0),I56,1),"")</f>
        <v>F</v>
      </c>
      <c r="I56" s="109">
        <v>44</v>
      </c>
      <c r="J56" s="9" t="str">
        <f>IFERROR(MID(VLOOKUP($B56,Seqs!$A:$B,2,0),K56,1),"")</f>
        <v>S</v>
      </c>
      <c r="K56" s="109">
        <v>47</v>
      </c>
      <c r="L56" s="9" t="str">
        <f>IFERROR(MID(VLOOKUP($B56,Seqs!$A:$B,2,0),M56,1),"")</f>
        <v>L</v>
      </c>
      <c r="M56" s="9">
        <v>48</v>
      </c>
      <c r="N56" s="9" t="str">
        <f>IFERROR(MID(VLOOKUP($B56,Seqs!$A:$B,2,0),O56,1),"")</f>
        <v>L</v>
      </c>
      <c r="O56" s="9">
        <v>78</v>
      </c>
      <c r="P56" s="9" t="str">
        <f>IFERROR(MID(VLOOKUP($B56,Seqs!$A:$B,2,0),Q56,1),"")</f>
        <v>F</v>
      </c>
      <c r="Q56" s="9">
        <v>79</v>
      </c>
      <c r="R56" s="9" t="str">
        <f>IFERROR(MID(VLOOKUP($B56,Seqs!$A:$B,2,0),S56,1),"")</f>
        <v>A</v>
      </c>
      <c r="S56" s="9">
        <v>81</v>
      </c>
      <c r="T56" s="9" t="str">
        <f>IFERROR(MID(VLOOKUP($B56,Seqs!$A:$B,2,0),U56,1),"")</f>
        <v>C</v>
      </c>
      <c r="U56" s="9">
        <v>82</v>
      </c>
      <c r="V56" s="9" t="str">
        <f>IFERROR(MID(VLOOKUP($B56,Seqs!$A:$B,2,0),W56,1),"")</f>
        <v>T</v>
      </c>
      <c r="W56" s="9">
        <v>117</v>
      </c>
      <c r="X56" s="9" t="str">
        <f>IFERROR(MID(VLOOKUP($B56,Seqs!$A:$B,2,0),Y56,1),"")</f>
        <v>G</v>
      </c>
      <c r="Y56" s="9">
        <v>118</v>
      </c>
      <c r="Z56" s="9" t="str">
        <f>IFERROR(MID(VLOOKUP($B56,Seqs!$A:$B,2,0),AA56,1),"")</f>
        <v>I</v>
      </c>
      <c r="AA56" s="9">
        <v>125</v>
      </c>
      <c r="AB56" s="9" t="str">
        <f>IFERROR(MID(VLOOKUP($B56,Seqs!$A:$B,2,0),AC56,1),"")</f>
        <v>A</v>
      </c>
      <c r="AC56" s="9">
        <v>126</v>
      </c>
      <c r="AD56" s="9" t="str">
        <f>IFERROR(MID(VLOOKUP($B56,Seqs!$A:$B,2,0),AE56,1),"")</f>
        <v>E</v>
      </c>
      <c r="AE56" s="9">
        <v>151</v>
      </c>
      <c r="AF56" s="9" t="str">
        <f>IFERROR(MID(VLOOKUP($B56,Seqs!$A:$B,2,0),AG56,1),"")</f>
        <v>N</v>
      </c>
      <c r="AG56" s="9">
        <v>175</v>
      </c>
      <c r="AH56" s="9" t="str">
        <f>IFERROR(MID(VLOOKUP($B56,Seqs!$A:$B,2,0),AI56,1),"")</f>
        <v>M</v>
      </c>
      <c r="AI56" s="9">
        <v>177</v>
      </c>
      <c r="AJ56" s="9" t="str">
        <f>IFERROR(MID(VLOOKUP($B56,Seqs!$A:$B,2,0),AK56,1),"")</f>
        <v>F</v>
      </c>
      <c r="AK56" s="9">
        <v>182</v>
      </c>
      <c r="AL56" s="9" t="str">
        <f>IFERROR(MID(VLOOKUP($B56,Seqs!$A:$B,2,0),AM56,1),"")</f>
        <v>R</v>
      </c>
      <c r="AM56" s="9">
        <v>222</v>
      </c>
      <c r="AN56" s="9" t="str">
        <f>IFERROR(MID(VLOOKUP($B56,Seqs!$A:$B,2,0),AO56,1),"")</f>
        <v>L</v>
      </c>
      <c r="AO56" s="9">
        <v>324</v>
      </c>
      <c r="AP56" s="9" t="str">
        <f>IFERROR(MID(VLOOKUP($B56,Seqs!$A:$B,2,0),AQ56,1),"")</f>
        <v>G</v>
      </c>
      <c r="AQ56" s="9">
        <v>364</v>
      </c>
      <c r="AR56" s="9" t="str">
        <f>IFERROR(MID(VLOOKUP($B56,Seqs!$A:$B,2,0),AS56,1),"")</f>
        <v>A</v>
      </c>
      <c r="AS56" s="9">
        <v>371</v>
      </c>
      <c r="AT56" s="9" t="str">
        <f>IFERROR(MID(VLOOKUP($B56,Seqs!$A:$B,2,0),AU56,1),"")</f>
        <v>E</v>
      </c>
      <c r="AU56" s="9">
        <v>396</v>
      </c>
      <c r="AV56" s="9" t="str">
        <f>IFERROR(MID(VLOOKUP($B56,Seqs!$A:$B,2,0),AW56,1),"")</f>
        <v>P</v>
      </c>
      <c r="AW56" s="9">
        <v>397</v>
      </c>
      <c r="AX56" s="9" t="str">
        <f>IFERROR(MID(VLOOKUP($B56,Seqs!$A:$B,2,0),AY56,1),"")</f>
        <v>A</v>
      </c>
      <c r="AY56" s="9">
        <v>409</v>
      </c>
      <c r="AZ56" s="110" t="str">
        <f>VLOOKUP(B56,Classification!A:D,2,0)</f>
        <v>A</v>
      </c>
      <c r="BA56" s="98" t="str">
        <f>VLOOKUP(B56,Classification!A:D,4,0)</f>
        <v>Adenosine</v>
      </c>
      <c r="BB56" s="36" t="b">
        <f t="shared" ref="BB56" si="308">AND(E56&lt;G56,OR(G56&lt;I56,I56="-"),OR(I56&lt;K56,I56="-"),OR(K56&lt;M56,K56="-"),M56&lt;O56,OR(O56&lt;Q56,Q56="-"),OR(Q56&lt;S56,Q56="-"),OR(S56&lt;U56,S56="-"),U56&lt;W56,OR(W56&lt;Y56,Y56="-"),OR(Y56&lt;AA56,Y56="-"),OR(AA56&lt;AC56,AA56="-"),AC56&lt;AE56,OR(AE56&lt;AG56,AG56="-"),OR(AG56&lt;AI56,AG56="-"),OR(AI56&lt;AK56,AI56="-"),AK56&lt;AM56,AM56&lt;AO56,AO56&lt;AQ56,AQ56&lt;AS56,AS56&lt;AU56,OR(AU56&lt;AW56,AW56="-"),OR(AW56&lt;AY56,AW56="-"))</f>
        <v>1</v>
      </c>
      <c r="BC56" s="109">
        <f t="shared" ref="BC56" si="309">_xlfn.AGGREGATE(9,6,CH56:CS56)-_xlfn.AGGREGATE(9,6,BV56:CG56)+12</f>
        <v>266</v>
      </c>
      <c r="BD56" s="13" t="s">
        <v>23</v>
      </c>
      <c r="BE56" s="9" t="s">
        <v>1380</v>
      </c>
      <c r="BF56" s="120">
        <v>2.14</v>
      </c>
      <c r="BG56" s="51" t="s">
        <v>1</v>
      </c>
      <c r="BH56" s="51" t="s">
        <v>1</v>
      </c>
      <c r="BJ56" s="111" t="s">
        <v>1293</v>
      </c>
      <c r="BK56" s="112" t="s">
        <v>1293</v>
      </c>
      <c r="BL56" s="112" t="s">
        <v>1293</v>
      </c>
      <c r="BM56" s="112" t="s">
        <v>1293</v>
      </c>
      <c r="BN56" s="112" t="s">
        <v>1293</v>
      </c>
      <c r="BO56" s="112" t="s">
        <v>1293</v>
      </c>
      <c r="BP56" s="112" t="s">
        <v>1293</v>
      </c>
      <c r="BQ56" s="112" t="s">
        <v>1293</v>
      </c>
      <c r="BR56" s="112" t="s">
        <v>1293</v>
      </c>
      <c r="BS56" s="112" t="s">
        <v>1293</v>
      </c>
      <c r="BT56" s="112" t="s">
        <v>1293</v>
      </c>
      <c r="BU56" s="112" t="s">
        <v>1293</v>
      </c>
      <c r="BV56" s="111">
        <f t="shared" ref="BV56" si="310">E56</f>
        <v>10</v>
      </c>
      <c r="BW56" s="113">
        <f t="shared" ref="BW56" si="311">I56</f>
        <v>44</v>
      </c>
      <c r="BX56" s="114">
        <f t="shared" ref="BX56" si="312">M56</f>
        <v>48</v>
      </c>
      <c r="BY56" s="113">
        <f t="shared" ref="BY56" si="313">Q56</f>
        <v>79</v>
      </c>
      <c r="BZ56" s="114">
        <f t="shared" ref="BZ56" si="314">U56</f>
        <v>82</v>
      </c>
      <c r="CA56" s="113">
        <f t="shared" ref="CA56" si="315">Y56</f>
        <v>118</v>
      </c>
      <c r="CB56" s="114">
        <f t="shared" ref="CB56" si="316">AC56</f>
        <v>126</v>
      </c>
      <c r="CC56" s="113">
        <f t="shared" ref="CC56" si="317">AG56</f>
        <v>175</v>
      </c>
      <c r="CD56" s="114">
        <f t="shared" ref="CD56" si="318">AK56</f>
        <v>182</v>
      </c>
      <c r="CE56" s="113">
        <f t="shared" ref="CE56" si="319">AO56</f>
        <v>324</v>
      </c>
      <c r="CF56" s="114">
        <f t="shared" ref="CF56" si="320">AS56</f>
        <v>371</v>
      </c>
      <c r="CG56" s="113">
        <f t="shared" ref="CG56" si="321">AW56</f>
        <v>397</v>
      </c>
      <c r="CH56" s="111">
        <f t="shared" ref="CH56" si="322">G56</f>
        <v>43</v>
      </c>
      <c r="CI56" s="113">
        <f t="shared" ref="CI56" si="323">K56</f>
        <v>47</v>
      </c>
      <c r="CJ56" s="114">
        <f t="shared" ref="CJ56" si="324">O56</f>
        <v>78</v>
      </c>
      <c r="CK56" s="114">
        <f t="shared" ref="CK56" si="325">S56</f>
        <v>81</v>
      </c>
      <c r="CL56" s="114">
        <f t="shared" ref="CL56" si="326">W56</f>
        <v>117</v>
      </c>
      <c r="CM56" s="114">
        <f t="shared" ref="CM56" si="327">AA56</f>
        <v>125</v>
      </c>
      <c r="CN56" s="114">
        <f t="shared" ref="CN56" si="328">AE56</f>
        <v>151</v>
      </c>
      <c r="CO56" s="114">
        <f t="shared" ref="CO56" si="329">AI56</f>
        <v>177</v>
      </c>
      <c r="CP56" s="114">
        <f t="shared" ref="CP56" si="330">AM56</f>
        <v>222</v>
      </c>
      <c r="CQ56" s="114">
        <f t="shared" ref="CQ56" si="331">AQ56</f>
        <v>364</v>
      </c>
      <c r="CR56" s="114">
        <f t="shared" ref="CR56" si="332">AU56</f>
        <v>396</v>
      </c>
      <c r="CS56" s="114">
        <f t="shared" ref="CS56" si="333">AY56</f>
        <v>409</v>
      </c>
      <c r="CT56" s="109">
        <f t="shared" ref="CT56" si="334">M56-K56</f>
        <v>1</v>
      </c>
    </row>
    <row r="57" spans="1:1029" x14ac:dyDescent="0.2">
      <c r="A57" s="3" t="str">
        <f t="shared" si="251"/>
        <v>aa2ar_human_5VRA</v>
      </c>
      <c r="B57" s="3" t="s">
        <v>139</v>
      </c>
      <c r="C57" s="3" t="s">
        <v>1460</v>
      </c>
      <c r="D57" s="3" t="str">
        <f>IFERROR(MID(VLOOKUP($B57,Seqs!$A:$B,2,0),E57,1),"")</f>
        <v>M</v>
      </c>
      <c r="E57" s="3">
        <v>1</v>
      </c>
      <c r="F57" s="3" t="str">
        <f>IFERROR(MID(VLOOKUP($B57,Seqs!$A:$B,2,0),G57,1),"")</f>
        <v>N</v>
      </c>
      <c r="G57" s="3">
        <v>34</v>
      </c>
      <c r="H57" s="3" t="str">
        <f>IFERROR(MID(VLOOKUP($B57,Seqs!$A:$B,2,0),I57,1),"")</f>
        <v>S</v>
      </c>
      <c r="I57" s="23">
        <v>35</v>
      </c>
      <c r="J57" s="3" t="str">
        <f>IFERROR(MID(VLOOKUP($B57,Seqs!$A:$B,2,0),K57,1),"")</f>
        <v>Q</v>
      </c>
      <c r="K57" s="23">
        <v>38</v>
      </c>
      <c r="L57" s="3" t="str">
        <f>IFERROR(MID(VLOOKUP($B57,Seqs!$A:$B,2,0),M57,1),"")</f>
        <v>N</v>
      </c>
      <c r="M57" s="3">
        <v>39</v>
      </c>
      <c r="N57" s="3" t="str">
        <f>IFERROR(MID(VLOOKUP($B57,Seqs!$A:$B,2,0),O57,1),"")</f>
        <v>G</v>
      </c>
      <c r="O57" s="3">
        <v>69</v>
      </c>
      <c r="P57" s="3" t="str">
        <f>IFERROR(MID(VLOOKUP($B57,Seqs!$A:$B,2,0),Q57,1),"")</f>
        <v>F</v>
      </c>
      <c r="Q57" s="3">
        <v>70</v>
      </c>
      <c r="R57" s="3" t="str">
        <f>IFERROR(MID(VLOOKUP($B57,Seqs!$A:$B,2,0),S57,1),"")</f>
        <v>A</v>
      </c>
      <c r="S57" s="3">
        <v>72</v>
      </c>
      <c r="T57" s="3" t="str">
        <f>IFERROR(MID(VLOOKUP($B57,Seqs!$A:$B,2,0),U57,1),"")</f>
        <v>A</v>
      </c>
      <c r="U57" s="3">
        <v>73</v>
      </c>
      <c r="V57" s="3" t="str">
        <f>IFERROR(MID(VLOOKUP($B57,Seqs!$A:$B,2,0),W57,1),"")</f>
        <v>I</v>
      </c>
      <c r="W57" s="3">
        <v>108</v>
      </c>
      <c r="X57" s="3" t="str">
        <f>IFERROR(MID(VLOOKUP($B57,Seqs!$A:$B,2,0),Y57,1),"")</f>
        <v>P</v>
      </c>
      <c r="Y57" s="3">
        <v>109</v>
      </c>
      <c r="Z57" s="3" t="str">
        <f>IFERROR(MID(VLOOKUP($B57,Seqs!$A:$B,2,0),AA57,1),"")</f>
        <v>V</v>
      </c>
      <c r="AA57" s="3">
        <v>116</v>
      </c>
      <c r="AB57" s="3" t="str">
        <f>IFERROR(MID(VLOOKUP($B57,Seqs!$A:$B,2,0),AC57,1),"")</f>
        <v>T</v>
      </c>
      <c r="AC57" s="3">
        <v>117</v>
      </c>
      <c r="AD57" s="3" t="str">
        <f>IFERROR(MID(VLOOKUP($B57,Seqs!$A:$B,2,0),AE57,1),"")</f>
        <v>G</v>
      </c>
      <c r="AE57" s="3">
        <v>142</v>
      </c>
      <c r="AF57" s="3" t="str">
        <f>IFERROR(MID(VLOOKUP($B57,Seqs!$A:$B,2,0),AG57,1),"")</f>
        <v>C</v>
      </c>
      <c r="AG57" s="3">
        <v>166</v>
      </c>
      <c r="AH57" s="3" t="str">
        <f>IFERROR(MID(VLOOKUP($B57,Seqs!$A:$B,2,0),AI57,1),"")</f>
        <v>F</v>
      </c>
      <c r="AI57" s="3">
        <v>168</v>
      </c>
      <c r="AJ57" s="3" t="str">
        <f>IFERROR(MID(VLOOKUP($B57,Seqs!$A:$B,2,0),AK57,1),"")</f>
        <v>P</v>
      </c>
      <c r="AK57" s="3">
        <v>173</v>
      </c>
      <c r="AL57" s="3" t="str">
        <f>IFERROR(MID(VLOOKUP($B57,Seqs!$A:$B,2,0),AM57,1),"")</f>
        <v>L</v>
      </c>
      <c r="AM57" s="3">
        <v>208</v>
      </c>
      <c r="AN57" s="3" t="str">
        <f>IFERROR(MID(VLOOKUP($B57,Seqs!$A:$B,2,0),AO57,1),"")</f>
        <v>E</v>
      </c>
      <c r="AO57" s="3">
        <v>219</v>
      </c>
      <c r="AP57" s="3" t="str">
        <f>IFERROR(MID(VLOOKUP($B57,Seqs!$A:$B,2,0),AQ57,1),"")</f>
        <v>C</v>
      </c>
      <c r="AQ57" s="3">
        <v>259</v>
      </c>
      <c r="AR57" s="3" t="str">
        <f>IFERROR(MID(VLOOKUP($B57,Seqs!$A:$B,2,0),AS57,1),"")</f>
        <v>P</v>
      </c>
      <c r="AS57" s="3">
        <v>266</v>
      </c>
      <c r="AT57" s="3" t="str">
        <f>IFERROR(MID(VLOOKUP($B57,Seqs!$A:$B,2,0),AU57,1),"")</f>
        <v>R</v>
      </c>
      <c r="AU57" s="3">
        <v>291</v>
      </c>
      <c r="AV57" s="3" t="str">
        <f>IFERROR(MID(VLOOKUP($B57,Seqs!$A:$B,2,0),AW57,1),"")</f>
        <v>I</v>
      </c>
      <c r="AW57" s="3">
        <v>292</v>
      </c>
      <c r="AX57" s="3" t="str">
        <f>IFERROR(MID(VLOOKUP($B57,Seqs!$A:$B,2,0),AY57,1),"")</f>
        <v>H</v>
      </c>
      <c r="AY57" s="3">
        <v>306</v>
      </c>
      <c r="AZ57" s="77" t="str">
        <f>VLOOKUP(B57,Classification!A:D,2,0)</f>
        <v>A</v>
      </c>
      <c r="BA57" s="94" t="str">
        <f>VLOOKUP(B57,Classification!A:D,4,0)</f>
        <v>Adenosine</v>
      </c>
      <c r="BB57" s="27" t="b">
        <f t="shared" si="252"/>
        <v>1</v>
      </c>
      <c r="BC57" s="23">
        <f t="shared" si="253"/>
        <v>263</v>
      </c>
      <c r="BD57" s="5" t="s">
        <v>23</v>
      </c>
      <c r="BE57" s="3" t="s">
        <v>1380</v>
      </c>
      <c r="BF57" s="119">
        <v>2.35</v>
      </c>
      <c r="BG57" s="49" t="s">
        <v>1</v>
      </c>
      <c r="BH57" s="49" t="s">
        <v>1</v>
      </c>
      <c r="BI57" s="1"/>
      <c r="BJ57" s="70" t="s">
        <v>1293</v>
      </c>
      <c r="BK57" s="57" t="s">
        <v>1293</v>
      </c>
      <c r="BL57" s="57" t="s">
        <v>1293</v>
      </c>
      <c r="BM57" s="57" t="s">
        <v>1293</v>
      </c>
      <c r="BN57" s="57" t="s">
        <v>1293</v>
      </c>
      <c r="BO57" s="57" t="s">
        <v>1293</v>
      </c>
      <c r="BP57" s="57" t="s">
        <v>1293</v>
      </c>
      <c r="BQ57" s="57" t="s">
        <v>1293</v>
      </c>
      <c r="BR57" s="57" t="s">
        <v>1293</v>
      </c>
      <c r="BS57" s="57" t="s">
        <v>1293</v>
      </c>
      <c r="BT57" s="57" t="s">
        <v>1293</v>
      </c>
      <c r="BU57" s="57" t="s">
        <v>1293</v>
      </c>
      <c r="BV57" s="70">
        <f t="shared" si="254"/>
        <v>1</v>
      </c>
      <c r="BW57" s="71">
        <f t="shared" si="255"/>
        <v>35</v>
      </c>
      <c r="BX57" s="72">
        <f t="shared" si="256"/>
        <v>39</v>
      </c>
      <c r="BY57" s="71">
        <f t="shared" si="257"/>
        <v>70</v>
      </c>
      <c r="BZ57" s="72">
        <f t="shared" si="258"/>
        <v>73</v>
      </c>
      <c r="CA57" s="71">
        <f t="shared" si="259"/>
        <v>109</v>
      </c>
      <c r="CB57" s="72">
        <f t="shared" si="260"/>
        <v>117</v>
      </c>
      <c r="CC57" s="71">
        <f t="shared" si="261"/>
        <v>166</v>
      </c>
      <c r="CD57" s="72">
        <f t="shared" si="262"/>
        <v>173</v>
      </c>
      <c r="CE57" s="71">
        <f t="shared" si="263"/>
        <v>219</v>
      </c>
      <c r="CF57" s="72">
        <f t="shared" si="264"/>
        <v>266</v>
      </c>
      <c r="CG57" s="71">
        <f t="shared" si="265"/>
        <v>292</v>
      </c>
      <c r="CH57" s="70">
        <f t="shared" si="266"/>
        <v>34</v>
      </c>
      <c r="CI57" s="71">
        <f t="shared" si="267"/>
        <v>38</v>
      </c>
      <c r="CJ57" s="72">
        <f t="shared" si="268"/>
        <v>69</v>
      </c>
      <c r="CK57" s="72">
        <f t="shared" si="269"/>
        <v>72</v>
      </c>
      <c r="CL57" s="72">
        <f t="shared" si="270"/>
        <v>108</v>
      </c>
      <c r="CM57" s="72">
        <f t="shared" si="271"/>
        <v>116</v>
      </c>
      <c r="CN57" s="72">
        <f t="shared" si="272"/>
        <v>142</v>
      </c>
      <c r="CO57" s="72">
        <f t="shared" si="273"/>
        <v>168</v>
      </c>
      <c r="CP57" s="72">
        <f t="shared" si="274"/>
        <v>208</v>
      </c>
      <c r="CQ57" s="72">
        <f t="shared" si="275"/>
        <v>259</v>
      </c>
      <c r="CR57" s="72">
        <f t="shared" si="276"/>
        <v>291</v>
      </c>
      <c r="CS57" s="72">
        <f t="shared" si="277"/>
        <v>306</v>
      </c>
      <c r="CT57" s="23">
        <f t="shared" si="278"/>
        <v>1</v>
      </c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</row>
    <row r="58" spans="1:1029" x14ac:dyDescent="0.2">
      <c r="A58" s="3" t="str">
        <f t="shared" si="251"/>
        <v>aa2ar_human_5OLG</v>
      </c>
      <c r="B58" s="3" t="s">
        <v>139</v>
      </c>
      <c r="C58" s="3" t="s">
        <v>1466</v>
      </c>
      <c r="D58" s="3" t="str">
        <f>IFERROR(MID(VLOOKUP($B58,Seqs!$A:$B,2,0),E58,1),"")</f>
        <v>M</v>
      </c>
      <c r="E58" s="3">
        <v>1</v>
      </c>
      <c r="F58" s="3" t="str">
        <f>IFERROR(MID(VLOOKUP($B58,Seqs!$A:$B,2,0),G58,1),"")</f>
        <v>N</v>
      </c>
      <c r="G58" s="3">
        <v>34</v>
      </c>
      <c r="H58" s="3" t="str">
        <f>IFERROR(MID(VLOOKUP($B58,Seqs!$A:$B,2,0),I58,1),"")</f>
        <v>S</v>
      </c>
      <c r="I58" s="23">
        <v>35</v>
      </c>
      <c r="J58" s="3" t="str">
        <f>IFERROR(MID(VLOOKUP($B58,Seqs!$A:$B,2,0),K58,1),"")</f>
        <v>Q</v>
      </c>
      <c r="K58" s="23">
        <v>38</v>
      </c>
      <c r="L58" s="3" t="str">
        <f>IFERROR(MID(VLOOKUP($B58,Seqs!$A:$B,2,0),M58,1),"")</f>
        <v>N</v>
      </c>
      <c r="M58" s="3">
        <v>39</v>
      </c>
      <c r="N58" s="3" t="str">
        <f>IFERROR(MID(VLOOKUP($B58,Seqs!$A:$B,2,0),O58,1),"")</f>
        <v>G</v>
      </c>
      <c r="O58" s="3">
        <v>69</v>
      </c>
      <c r="P58" s="3" t="str">
        <f>IFERROR(MID(VLOOKUP($B58,Seqs!$A:$B,2,0),Q58,1),"")</f>
        <v>F</v>
      </c>
      <c r="Q58" s="3">
        <v>70</v>
      </c>
      <c r="R58" s="3" t="str">
        <f>IFERROR(MID(VLOOKUP($B58,Seqs!$A:$B,2,0),S58,1),"")</f>
        <v>A</v>
      </c>
      <c r="S58" s="3">
        <v>72</v>
      </c>
      <c r="T58" s="3" t="str">
        <f>IFERROR(MID(VLOOKUP($B58,Seqs!$A:$B,2,0),U58,1),"")</f>
        <v>A</v>
      </c>
      <c r="U58" s="3">
        <v>73</v>
      </c>
      <c r="V58" s="3" t="str">
        <f>IFERROR(MID(VLOOKUP($B58,Seqs!$A:$B,2,0),W58,1),"")</f>
        <v>I</v>
      </c>
      <c r="W58" s="3">
        <v>108</v>
      </c>
      <c r="X58" s="3" t="str">
        <f>IFERROR(MID(VLOOKUP($B58,Seqs!$A:$B,2,0),Y58,1),"")</f>
        <v>P</v>
      </c>
      <c r="Y58" s="3">
        <v>109</v>
      </c>
      <c r="Z58" s="3" t="str">
        <f>IFERROR(MID(VLOOKUP($B58,Seqs!$A:$B,2,0),AA58,1),"")</f>
        <v>V</v>
      </c>
      <c r="AA58" s="3">
        <v>116</v>
      </c>
      <c r="AB58" s="3" t="str">
        <f>IFERROR(MID(VLOOKUP($B58,Seqs!$A:$B,2,0),AC58,1),"")</f>
        <v>T</v>
      </c>
      <c r="AC58" s="3">
        <v>117</v>
      </c>
      <c r="AD58" s="3" t="str">
        <f>IFERROR(MID(VLOOKUP($B58,Seqs!$A:$B,2,0),AE58,1),"")</f>
        <v>G</v>
      </c>
      <c r="AE58" s="3">
        <v>142</v>
      </c>
      <c r="AF58" s="3" t="str">
        <f>IFERROR(MID(VLOOKUP($B58,Seqs!$A:$B,2,0),AG58,1),"")</f>
        <v>C</v>
      </c>
      <c r="AG58" s="3">
        <v>166</v>
      </c>
      <c r="AH58" s="3" t="str">
        <f>IFERROR(MID(VLOOKUP($B58,Seqs!$A:$B,2,0),AI58,1),"")</f>
        <v>F</v>
      </c>
      <c r="AI58" s="3">
        <v>168</v>
      </c>
      <c r="AJ58" s="3" t="str">
        <f>IFERROR(MID(VLOOKUP($B58,Seqs!$A:$B,2,0),AK58,1),"")</f>
        <v>P</v>
      </c>
      <c r="AK58" s="3">
        <v>173</v>
      </c>
      <c r="AL58" s="3" t="str">
        <f>IFERROR(MID(VLOOKUP($B58,Seqs!$A:$B,2,0),AM58,1),"")</f>
        <v>L</v>
      </c>
      <c r="AM58" s="3">
        <v>208</v>
      </c>
      <c r="AN58" s="3" t="str">
        <f>IFERROR(MID(VLOOKUP($B58,Seqs!$A:$B,2,0),AO58,1),"")</f>
        <v>E</v>
      </c>
      <c r="AO58" s="3">
        <v>219</v>
      </c>
      <c r="AP58" s="3" t="str">
        <f>IFERROR(MID(VLOOKUP($B58,Seqs!$A:$B,2,0),AQ58,1),"")</f>
        <v>C</v>
      </c>
      <c r="AQ58" s="3">
        <v>259</v>
      </c>
      <c r="AR58" s="3" t="str">
        <f>IFERROR(MID(VLOOKUP($B58,Seqs!$A:$B,2,0),AS58,1),"")</f>
        <v>P</v>
      </c>
      <c r="AS58" s="3">
        <v>266</v>
      </c>
      <c r="AT58" s="3" t="str">
        <f>IFERROR(MID(VLOOKUP($B58,Seqs!$A:$B,2,0),AU58,1),"")</f>
        <v>R</v>
      </c>
      <c r="AU58" s="3">
        <v>291</v>
      </c>
      <c r="AV58" s="3" t="str">
        <f>IFERROR(MID(VLOOKUP($B58,Seqs!$A:$B,2,0),AW58,1),"")</f>
        <v>I</v>
      </c>
      <c r="AW58" s="3">
        <v>292</v>
      </c>
      <c r="AX58" s="3" t="str">
        <f>IFERROR(MID(VLOOKUP($B58,Seqs!$A:$B,2,0),AY58,1),"")</f>
        <v>S</v>
      </c>
      <c r="AY58" s="3">
        <v>305</v>
      </c>
      <c r="AZ58" s="77" t="str">
        <f>VLOOKUP(B58,Classification!A:D,2,0)</f>
        <v>A</v>
      </c>
      <c r="BA58" s="94" t="str">
        <f>VLOOKUP(B58,Classification!A:D,4,0)</f>
        <v>Adenosine</v>
      </c>
      <c r="BB58" s="27" t="b">
        <f t="shared" si="252"/>
        <v>1</v>
      </c>
      <c r="BC58" s="23">
        <f t="shared" si="253"/>
        <v>262</v>
      </c>
      <c r="BD58" s="5" t="s">
        <v>23</v>
      </c>
      <c r="BE58" s="3" t="s">
        <v>1380</v>
      </c>
      <c r="BF58" s="119">
        <v>1.87</v>
      </c>
      <c r="BG58" s="49" t="s">
        <v>1</v>
      </c>
      <c r="BH58" s="49" t="s">
        <v>1</v>
      </c>
      <c r="BI58" s="1"/>
      <c r="BJ58" s="70" t="s">
        <v>1293</v>
      </c>
      <c r="BK58" s="57" t="s">
        <v>1293</v>
      </c>
      <c r="BL58" s="57" t="s">
        <v>1293</v>
      </c>
      <c r="BM58" s="57" t="s">
        <v>1293</v>
      </c>
      <c r="BN58" s="57" t="s">
        <v>1293</v>
      </c>
      <c r="BO58" s="57" t="s">
        <v>1293</v>
      </c>
      <c r="BP58" s="57" t="s">
        <v>1293</v>
      </c>
      <c r="BQ58" s="57" t="s">
        <v>1293</v>
      </c>
      <c r="BR58" s="57" t="s">
        <v>1293</v>
      </c>
      <c r="BS58" s="57" t="s">
        <v>1293</v>
      </c>
      <c r="BT58" s="57" t="s">
        <v>1293</v>
      </c>
      <c r="BU58" s="57" t="s">
        <v>1293</v>
      </c>
      <c r="BV58" s="70">
        <f t="shared" si="254"/>
        <v>1</v>
      </c>
      <c r="BW58" s="71">
        <f t="shared" si="255"/>
        <v>35</v>
      </c>
      <c r="BX58" s="72">
        <f t="shared" si="256"/>
        <v>39</v>
      </c>
      <c r="BY58" s="71">
        <f t="shared" si="257"/>
        <v>70</v>
      </c>
      <c r="BZ58" s="72">
        <f t="shared" si="258"/>
        <v>73</v>
      </c>
      <c r="CA58" s="71">
        <f t="shared" si="259"/>
        <v>109</v>
      </c>
      <c r="CB58" s="72">
        <f t="shared" si="260"/>
        <v>117</v>
      </c>
      <c r="CC58" s="71">
        <f t="shared" si="261"/>
        <v>166</v>
      </c>
      <c r="CD58" s="72">
        <f t="shared" si="262"/>
        <v>173</v>
      </c>
      <c r="CE58" s="71">
        <f t="shared" si="263"/>
        <v>219</v>
      </c>
      <c r="CF58" s="72">
        <f t="shared" si="264"/>
        <v>266</v>
      </c>
      <c r="CG58" s="71">
        <f t="shared" si="265"/>
        <v>292</v>
      </c>
      <c r="CH58" s="70">
        <f t="shared" si="266"/>
        <v>34</v>
      </c>
      <c r="CI58" s="71">
        <f t="shared" si="267"/>
        <v>38</v>
      </c>
      <c r="CJ58" s="72">
        <f t="shared" si="268"/>
        <v>69</v>
      </c>
      <c r="CK58" s="72">
        <f t="shared" si="269"/>
        <v>72</v>
      </c>
      <c r="CL58" s="72">
        <f t="shared" si="270"/>
        <v>108</v>
      </c>
      <c r="CM58" s="72">
        <f t="shared" si="271"/>
        <v>116</v>
      </c>
      <c r="CN58" s="72">
        <f t="shared" si="272"/>
        <v>142</v>
      </c>
      <c r="CO58" s="72">
        <f t="shared" si="273"/>
        <v>168</v>
      </c>
      <c r="CP58" s="72">
        <f t="shared" si="274"/>
        <v>208</v>
      </c>
      <c r="CQ58" s="72">
        <f t="shared" si="275"/>
        <v>259</v>
      </c>
      <c r="CR58" s="72">
        <f t="shared" si="276"/>
        <v>291</v>
      </c>
      <c r="CS58" s="72">
        <f t="shared" si="277"/>
        <v>305</v>
      </c>
      <c r="CT58" s="23">
        <f t="shared" si="278"/>
        <v>1</v>
      </c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</row>
    <row r="59" spans="1:1029" x14ac:dyDescent="0.2">
      <c r="A59" s="3" t="str">
        <f t="shared" si="251"/>
        <v>aa2ar_human_5OLH</v>
      </c>
      <c r="B59" s="3" t="s">
        <v>139</v>
      </c>
      <c r="C59" s="3" t="s">
        <v>1467</v>
      </c>
      <c r="D59" s="3" t="str">
        <f>IFERROR(MID(VLOOKUP($B59,Seqs!$A:$B,2,0),E59,1),"")</f>
        <v>M</v>
      </c>
      <c r="E59" s="3">
        <v>1</v>
      </c>
      <c r="F59" s="3" t="str">
        <f>IFERROR(MID(VLOOKUP($B59,Seqs!$A:$B,2,0),G59,1),"")</f>
        <v>N</v>
      </c>
      <c r="G59" s="3">
        <v>34</v>
      </c>
      <c r="H59" s="3" t="str">
        <f>IFERROR(MID(VLOOKUP($B59,Seqs!$A:$B,2,0),I59,1),"")</f>
        <v>S</v>
      </c>
      <c r="I59" s="23">
        <v>35</v>
      </c>
      <c r="J59" s="3" t="str">
        <f>IFERROR(MID(VLOOKUP($B59,Seqs!$A:$B,2,0),K59,1),"")</f>
        <v>Q</v>
      </c>
      <c r="K59" s="23">
        <v>38</v>
      </c>
      <c r="L59" s="3" t="str">
        <f>IFERROR(MID(VLOOKUP($B59,Seqs!$A:$B,2,0),M59,1),"")</f>
        <v>N</v>
      </c>
      <c r="M59" s="3">
        <v>39</v>
      </c>
      <c r="N59" s="3" t="str">
        <f>IFERROR(MID(VLOOKUP($B59,Seqs!$A:$B,2,0),O59,1),"")</f>
        <v>G</v>
      </c>
      <c r="O59" s="3">
        <v>69</v>
      </c>
      <c r="P59" s="3" t="str">
        <f>IFERROR(MID(VLOOKUP($B59,Seqs!$A:$B,2,0),Q59,1),"")</f>
        <v>F</v>
      </c>
      <c r="Q59" s="3">
        <v>70</v>
      </c>
      <c r="R59" s="3" t="str">
        <f>IFERROR(MID(VLOOKUP($B59,Seqs!$A:$B,2,0),S59,1),"")</f>
        <v>A</v>
      </c>
      <c r="S59" s="3">
        <v>72</v>
      </c>
      <c r="T59" s="3" t="str">
        <f>IFERROR(MID(VLOOKUP($B59,Seqs!$A:$B,2,0),U59,1),"")</f>
        <v>A</v>
      </c>
      <c r="U59" s="3">
        <v>73</v>
      </c>
      <c r="V59" s="3" t="str">
        <f>IFERROR(MID(VLOOKUP($B59,Seqs!$A:$B,2,0),W59,1),"")</f>
        <v>I</v>
      </c>
      <c r="W59" s="3">
        <v>108</v>
      </c>
      <c r="X59" s="3" t="str">
        <f>IFERROR(MID(VLOOKUP($B59,Seqs!$A:$B,2,0),Y59,1),"")</f>
        <v>P</v>
      </c>
      <c r="Y59" s="3">
        <v>109</v>
      </c>
      <c r="Z59" s="3" t="str">
        <f>IFERROR(MID(VLOOKUP($B59,Seqs!$A:$B,2,0),AA59,1),"")</f>
        <v>V</v>
      </c>
      <c r="AA59" s="3">
        <v>116</v>
      </c>
      <c r="AB59" s="3" t="str">
        <f>IFERROR(MID(VLOOKUP($B59,Seqs!$A:$B,2,0),AC59,1),"")</f>
        <v>T</v>
      </c>
      <c r="AC59" s="3">
        <v>117</v>
      </c>
      <c r="AD59" s="3" t="str">
        <f>IFERROR(MID(VLOOKUP($B59,Seqs!$A:$B,2,0),AE59,1),"")</f>
        <v>G</v>
      </c>
      <c r="AE59" s="3">
        <v>142</v>
      </c>
      <c r="AF59" s="3" t="str">
        <f>IFERROR(MID(VLOOKUP($B59,Seqs!$A:$B,2,0),AG59,1),"")</f>
        <v>C</v>
      </c>
      <c r="AG59" s="3">
        <v>166</v>
      </c>
      <c r="AH59" s="3" t="str">
        <f>IFERROR(MID(VLOOKUP($B59,Seqs!$A:$B,2,0),AI59,1),"")</f>
        <v>F</v>
      </c>
      <c r="AI59" s="3">
        <v>168</v>
      </c>
      <c r="AJ59" s="3" t="str">
        <f>IFERROR(MID(VLOOKUP($B59,Seqs!$A:$B,2,0),AK59,1),"")</f>
        <v>P</v>
      </c>
      <c r="AK59" s="3">
        <v>173</v>
      </c>
      <c r="AL59" s="3" t="str">
        <f>IFERROR(MID(VLOOKUP($B59,Seqs!$A:$B,2,0),AM59,1),"")</f>
        <v>L</v>
      </c>
      <c r="AM59" s="3">
        <v>208</v>
      </c>
      <c r="AN59" s="3" t="str">
        <f>IFERROR(MID(VLOOKUP($B59,Seqs!$A:$B,2,0),AO59,1),"")</f>
        <v>E</v>
      </c>
      <c r="AO59" s="3">
        <v>219</v>
      </c>
      <c r="AP59" s="3" t="str">
        <f>IFERROR(MID(VLOOKUP($B59,Seqs!$A:$B,2,0),AQ59,1),"")</f>
        <v>C</v>
      </c>
      <c r="AQ59" s="3">
        <v>259</v>
      </c>
      <c r="AR59" s="3" t="str">
        <f>IFERROR(MID(VLOOKUP($B59,Seqs!$A:$B,2,0),AS59,1),"")</f>
        <v>P</v>
      </c>
      <c r="AS59" s="3">
        <v>266</v>
      </c>
      <c r="AT59" s="3" t="str">
        <f>IFERROR(MID(VLOOKUP($B59,Seqs!$A:$B,2,0),AU59,1),"")</f>
        <v>R</v>
      </c>
      <c r="AU59" s="3">
        <v>291</v>
      </c>
      <c r="AV59" s="3" t="str">
        <f>IFERROR(MID(VLOOKUP($B59,Seqs!$A:$B,2,0),AW59,1),"")</f>
        <v>I</v>
      </c>
      <c r="AW59" s="3">
        <v>292</v>
      </c>
      <c r="AX59" s="3" t="str">
        <f>IFERROR(MID(VLOOKUP($B59,Seqs!$A:$B,2,0),AY59,1),"")</f>
        <v>S</v>
      </c>
      <c r="AY59" s="3">
        <v>305</v>
      </c>
      <c r="AZ59" s="77" t="str">
        <f>VLOOKUP(B59,Classification!A:D,2,0)</f>
        <v>A</v>
      </c>
      <c r="BA59" s="94" t="str">
        <f>VLOOKUP(B59,Classification!A:D,4,0)</f>
        <v>Adenosine</v>
      </c>
      <c r="BB59" s="27" t="b">
        <f t="shared" si="252"/>
        <v>1</v>
      </c>
      <c r="BC59" s="23">
        <f t="shared" si="253"/>
        <v>262</v>
      </c>
      <c r="BD59" s="5" t="s">
        <v>23</v>
      </c>
      <c r="BE59" s="3" t="s">
        <v>1380</v>
      </c>
      <c r="BF59" s="119">
        <v>2.6</v>
      </c>
      <c r="BG59" s="49" t="s">
        <v>1</v>
      </c>
      <c r="BH59" s="49" t="s">
        <v>1</v>
      </c>
      <c r="BI59" s="1"/>
      <c r="BJ59" s="70" t="s">
        <v>1293</v>
      </c>
      <c r="BK59" s="57" t="s">
        <v>1293</v>
      </c>
      <c r="BL59" s="57" t="s">
        <v>1293</v>
      </c>
      <c r="BM59" s="57" t="s">
        <v>1293</v>
      </c>
      <c r="BN59" s="57" t="s">
        <v>1293</v>
      </c>
      <c r="BO59" s="57" t="s">
        <v>1293</v>
      </c>
      <c r="BP59" s="57" t="s">
        <v>1293</v>
      </c>
      <c r="BQ59" s="57" t="s">
        <v>1293</v>
      </c>
      <c r="BR59" s="57" t="s">
        <v>1293</v>
      </c>
      <c r="BS59" s="57" t="s">
        <v>1293</v>
      </c>
      <c r="BT59" s="57" t="s">
        <v>1293</v>
      </c>
      <c r="BU59" s="57" t="s">
        <v>1293</v>
      </c>
      <c r="BV59" s="70">
        <f t="shared" si="254"/>
        <v>1</v>
      </c>
      <c r="BW59" s="71">
        <f t="shared" si="255"/>
        <v>35</v>
      </c>
      <c r="BX59" s="72">
        <f t="shared" si="256"/>
        <v>39</v>
      </c>
      <c r="BY59" s="71">
        <f t="shared" si="257"/>
        <v>70</v>
      </c>
      <c r="BZ59" s="72">
        <f t="shared" si="258"/>
        <v>73</v>
      </c>
      <c r="CA59" s="71">
        <f t="shared" si="259"/>
        <v>109</v>
      </c>
      <c r="CB59" s="72">
        <f t="shared" si="260"/>
        <v>117</v>
      </c>
      <c r="CC59" s="71">
        <f t="shared" si="261"/>
        <v>166</v>
      </c>
      <c r="CD59" s="72">
        <f t="shared" si="262"/>
        <v>173</v>
      </c>
      <c r="CE59" s="71">
        <f t="shared" si="263"/>
        <v>219</v>
      </c>
      <c r="CF59" s="72">
        <f t="shared" si="264"/>
        <v>266</v>
      </c>
      <c r="CG59" s="71">
        <f t="shared" si="265"/>
        <v>292</v>
      </c>
      <c r="CH59" s="70">
        <f t="shared" si="266"/>
        <v>34</v>
      </c>
      <c r="CI59" s="71">
        <f t="shared" si="267"/>
        <v>38</v>
      </c>
      <c r="CJ59" s="72">
        <f t="shared" si="268"/>
        <v>69</v>
      </c>
      <c r="CK59" s="72">
        <f t="shared" si="269"/>
        <v>72</v>
      </c>
      <c r="CL59" s="72">
        <f t="shared" si="270"/>
        <v>108</v>
      </c>
      <c r="CM59" s="72">
        <f t="shared" si="271"/>
        <v>116</v>
      </c>
      <c r="CN59" s="72">
        <f t="shared" si="272"/>
        <v>142</v>
      </c>
      <c r="CO59" s="72">
        <f t="shared" si="273"/>
        <v>168</v>
      </c>
      <c r="CP59" s="72">
        <f t="shared" si="274"/>
        <v>208</v>
      </c>
      <c r="CQ59" s="72">
        <f t="shared" si="275"/>
        <v>259</v>
      </c>
      <c r="CR59" s="72">
        <f t="shared" si="276"/>
        <v>291</v>
      </c>
      <c r="CS59" s="72">
        <f t="shared" si="277"/>
        <v>305</v>
      </c>
      <c r="CT59" s="23">
        <f t="shared" si="278"/>
        <v>1</v>
      </c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</row>
    <row r="60" spans="1:1029" x14ac:dyDescent="0.2">
      <c r="A60" s="3" t="str">
        <f t="shared" si="251"/>
        <v>aa2ar_human_5OLO</v>
      </c>
      <c r="B60" s="3" t="s">
        <v>139</v>
      </c>
      <c r="C60" s="3" t="s">
        <v>1468</v>
      </c>
      <c r="D60" s="3" t="str">
        <f>IFERROR(MID(VLOOKUP($B60,Seqs!$A:$B,2,0),E60,1),"")</f>
        <v>M</v>
      </c>
      <c r="E60" s="3">
        <v>1</v>
      </c>
      <c r="F60" s="3" t="str">
        <f>IFERROR(MID(VLOOKUP($B60,Seqs!$A:$B,2,0),G60,1),"")</f>
        <v>N</v>
      </c>
      <c r="G60" s="3">
        <v>34</v>
      </c>
      <c r="H60" s="3" t="str">
        <f>IFERROR(MID(VLOOKUP($B60,Seqs!$A:$B,2,0),I60,1),"")</f>
        <v>S</v>
      </c>
      <c r="I60" s="23">
        <v>35</v>
      </c>
      <c r="J60" s="3" t="str">
        <f>IFERROR(MID(VLOOKUP($B60,Seqs!$A:$B,2,0),K60,1),"")</f>
        <v>Q</v>
      </c>
      <c r="K60" s="23">
        <v>38</v>
      </c>
      <c r="L60" s="3" t="str">
        <f>IFERROR(MID(VLOOKUP($B60,Seqs!$A:$B,2,0),M60,1),"")</f>
        <v>N</v>
      </c>
      <c r="M60" s="3">
        <v>39</v>
      </c>
      <c r="N60" s="3" t="str">
        <f>IFERROR(MID(VLOOKUP($B60,Seqs!$A:$B,2,0),O60,1),"")</f>
        <v>G</v>
      </c>
      <c r="O60" s="3">
        <v>69</v>
      </c>
      <c r="P60" s="3" t="str">
        <f>IFERROR(MID(VLOOKUP($B60,Seqs!$A:$B,2,0),Q60,1),"")</f>
        <v>F</v>
      </c>
      <c r="Q60" s="3">
        <v>70</v>
      </c>
      <c r="R60" s="3" t="str">
        <f>IFERROR(MID(VLOOKUP($B60,Seqs!$A:$B,2,0),S60,1),"")</f>
        <v>A</v>
      </c>
      <c r="S60" s="3">
        <v>72</v>
      </c>
      <c r="T60" s="3" t="str">
        <f>IFERROR(MID(VLOOKUP($B60,Seqs!$A:$B,2,0),U60,1),"")</f>
        <v>A</v>
      </c>
      <c r="U60" s="3">
        <v>73</v>
      </c>
      <c r="V60" s="3" t="str">
        <f>IFERROR(MID(VLOOKUP($B60,Seqs!$A:$B,2,0),W60,1),"")</f>
        <v>I</v>
      </c>
      <c r="W60" s="3">
        <v>108</v>
      </c>
      <c r="X60" s="3" t="str">
        <f>IFERROR(MID(VLOOKUP($B60,Seqs!$A:$B,2,0),Y60,1),"")</f>
        <v>P</v>
      </c>
      <c r="Y60" s="3">
        <v>109</v>
      </c>
      <c r="Z60" s="3" t="str">
        <f>IFERROR(MID(VLOOKUP($B60,Seqs!$A:$B,2,0),AA60,1),"")</f>
        <v>V</v>
      </c>
      <c r="AA60" s="3">
        <v>116</v>
      </c>
      <c r="AB60" s="3" t="str">
        <f>IFERROR(MID(VLOOKUP($B60,Seqs!$A:$B,2,0),AC60,1),"")</f>
        <v>T</v>
      </c>
      <c r="AC60" s="3">
        <v>117</v>
      </c>
      <c r="AD60" s="3" t="str">
        <f>IFERROR(MID(VLOOKUP($B60,Seqs!$A:$B,2,0),AE60,1),"")</f>
        <v>G</v>
      </c>
      <c r="AE60" s="3">
        <v>142</v>
      </c>
      <c r="AF60" s="3" t="str">
        <f>IFERROR(MID(VLOOKUP($B60,Seqs!$A:$B,2,0),AG60,1),"")</f>
        <v>C</v>
      </c>
      <c r="AG60" s="3">
        <v>166</v>
      </c>
      <c r="AH60" s="3" t="str">
        <f>IFERROR(MID(VLOOKUP($B60,Seqs!$A:$B,2,0),AI60,1),"")</f>
        <v>F</v>
      </c>
      <c r="AI60" s="3">
        <v>168</v>
      </c>
      <c r="AJ60" s="3" t="str">
        <f>IFERROR(MID(VLOOKUP($B60,Seqs!$A:$B,2,0),AK60,1),"")</f>
        <v>P</v>
      </c>
      <c r="AK60" s="3">
        <v>173</v>
      </c>
      <c r="AL60" s="3" t="str">
        <f>IFERROR(MID(VLOOKUP($B60,Seqs!$A:$B,2,0),AM60,1),"")</f>
        <v>L</v>
      </c>
      <c r="AM60" s="3">
        <v>208</v>
      </c>
      <c r="AN60" s="3" t="str">
        <f>IFERROR(MID(VLOOKUP($B60,Seqs!$A:$B,2,0),AO60,1),"")</f>
        <v>E</v>
      </c>
      <c r="AO60" s="3">
        <v>219</v>
      </c>
      <c r="AP60" s="3" t="str">
        <f>IFERROR(MID(VLOOKUP($B60,Seqs!$A:$B,2,0),AQ60,1),"")</f>
        <v>C</v>
      </c>
      <c r="AQ60" s="3">
        <v>259</v>
      </c>
      <c r="AR60" s="3" t="str">
        <f>IFERROR(MID(VLOOKUP($B60,Seqs!$A:$B,2,0),AS60,1),"")</f>
        <v>P</v>
      </c>
      <c r="AS60" s="3">
        <v>266</v>
      </c>
      <c r="AT60" s="3" t="str">
        <f>IFERROR(MID(VLOOKUP($B60,Seqs!$A:$B,2,0),AU60,1),"")</f>
        <v>R</v>
      </c>
      <c r="AU60" s="3">
        <v>291</v>
      </c>
      <c r="AV60" s="3" t="str">
        <f>IFERROR(MID(VLOOKUP($B60,Seqs!$A:$B,2,0),AW60,1),"")</f>
        <v>I</v>
      </c>
      <c r="AW60" s="3">
        <v>292</v>
      </c>
      <c r="AX60" s="3" t="str">
        <f>IFERROR(MID(VLOOKUP($B60,Seqs!$A:$B,2,0),AY60,1),"")</f>
        <v>S</v>
      </c>
      <c r="AY60" s="3">
        <v>305</v>
      </c>
      <c r="AZ60" s="77" t="str">
        <f>VLOOKUP(B60,Classification!A:D,2,0)</f>
        <v>A</v>
      </c>
      <c r="BA60" s="94" t="str">
        <f>VLOOKUP(B60,Classification!A:D,4,0)</f>
        <v>Adenosine</v>
      </c>
      <c r="BB60" s="27" t="b">
        <f t="shared" si="252"/>
        <v>1</v>
      </c>
      <c r="BC60" s="23">
        <f t="shared" si="253"/>
        <v>262</v>
      </c>
      <c r="BD60" s="5" t="s">
        <v>23</v>
      </c>
      <c r="BE60" s="3" t="s">
        <v>1380</v>
      </c>
      <c r="BF60" s="119">
        <v>3.1</v>
      </c>
      <c r="BG60" s="49" t="s">
        <v>1</v>
      </c>
      <c r="BH60" s="49" t="s">
        <v>1</v>
      </c>
      <c r="BI60" s="1"/>
      <c r="BJ60" s="70" t="s">
        <v>1293</v>
      </c>
      <c r="BK60" s="57" t="s">
        <v>1293</v>
      </c>
      <c r="BL60" s="57" t="s">
        <v>1293</v>
      </c>
      <c r="BM60" s="57" t="s">
        <v>1293</v>
      </c>
      <c r="BN60" s="57" t="s">
        <v>1293</v>
      </c>
      <c r="BO60" s="57" t="s">
        <v>1293</v>
      </c>
      <c r="BP60" s="57" t="s">
        <v>1293</v>
      </c>
      <c r="BQ60" s="57" t="s">
        <v>1293</v>
      </c>
      <c r="BR60" s="57" t="s">
        <v>1293</v>
      </c>
      <c r="BS60" s="57" t="s">
        <v>1293</v>
      </c>
      <c r="BT60" s="57" t="s">
        <v>1293</v>
      </c>
      <c r="BU60" s="57" t="s">
        <v>1293</v>
      </c>
      <c r="BV60" s="70">
        <f t="shared" si="254"/>
        <v>1</v>
      </c>
      <c r="BW60" s="71">
        <f t="shared" si="255"/>
        <v>35</v>
      </c>
      <c r="BX60" s="72">
        <f t="shared" si="256"/>
        <v>39</v>
      </c>
      <c r="BY60" s="71">
        <f t="shared" si="257"/>
        <v>70</v>
      </c>
      <c r="BZ60" s="72">
        <f t="shared" si="258"/>
        <v>73</v>
      </c>
      <c r="CA60" s="71">
        <f t="shared" si="259"/>
        <v>109</v>
      </c>
      <c r="CB60" s="72">
        <f t="shared" si="260"/>
        <v>117</v>
      </c>
      <c r="CC60" s="71">
        <f t="shared" si="261"/>
        <v>166</v>
      </c>
      <c r="CD60" s="72">
        <f t="shared" si="262"/>
        <v>173</v>
      </c>
      <c r="CE60" s="71">
        <f t="shared" si="263"/>
        <v>219</v>
      </c>
      <c r="CF60" s="72">
        <f t="shared" si="264"/>
        <v>266</v>
      </c>
      <c r="CG60" s="71">
        <f t="shared" si="265"/>
        <v>292</v>
      </c>
      <c r="CH60" s="70">
        <f t="shared" si="266"/>
        <v>34</v>
      </c>
      <c r="CI60" s="71">
        <f t="shared" si="267"/>
        <v>38</v>
      </c>
      <c r="CJ60" s="72">
        <f t="shared" si="268"/>
        <v>69</v>
      </c>
      <c r="CK60" s="72">
        <f t="shared" si="269"/>
        <v>72</v>
      </c>
      <c r="CL60" s="72">
        <f t="shared" si="270"/>
        <v>108</v>
      </c>
      <c r="CM60" s="72">
        <f t="shared" si="271"/>
        <v>116</v>
      </c>
      <c r="CN60" s="72">
        <f t="shared" si="272"/>
        <v>142</v>
      </c>
      <c r="CO60" s="72">
        <f t="shared" si="273"/>
        <v>168</v>
      </c>
      <c r="CP60" s="72">
        <f t="shared" si="274"/>
        <v>208</v>
      </c>
      <c r="CQ60" s="72">
        <f t="shared" si="275"/>
        <v>259</v>
      </c>
      <c r="CR60" s="72">
        <f t="shared" si="276"/>
        <v>291</v>
      </c>
      <c r="CS60" s="72">
        <f t="shared" si="277"/>
        <v>305</v>
      </c>
      <c r="CT60" s="23">
        <f t="shared" si="278"/>
        <v>1</v>
      </c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</row>
    <row r="61" spans="1:1029" x14ac:dyDescent="0.2">
      <c r="A61" s="3" t="str">
        <f t="shared" si="251"/>
        <v>aa2ar_human_5OLV</v>
      </c>
      <c r="B61" s="3" t="s">
        <v>139</v>
      </c>
      <c r="C61" s="3" t="s">
        <v>1469</v>
      </c>
      <c r="D61" s="3" t="str">
        <f>IFERROR(MID(VLOOKUP($B61,Seqs!$A:$B,2,0),E61,1),"")</f>
        <v>M</v>
      </c>
      <c r="E61" s="3">
        <v>1</v>
      </c>
      <c r="F61" s="3" t="str">
        <f>IFERROR(MID(VLOOKUP($B61,Seqs!$A:$B,2,0),G61,1),"")</f>
        <v>N</v>
      </c>
      <c r="G61" s="3">
        <v>34</v>
      </c>
      <c r="H61" s="3" t="str">
        <f>IFERROR(MID(VLOOKUP($B61,Seqs!$A:$B,2,0),I61,1),"")</f>
        <v>S</v>
      </c>
      <c r="I61" s="23">
        <v>35</v>
      </c>
      <c r="J61" s="3" t="str">
        <f>IFERROR(MID(VLOOKUP($B61,Seqs!$A:$B,2,0),K61,1),"")</f>
        <v>Q</v>
      </c>
      <c r="K61" s="23">
        <v>38</v>
      </c>
      <c r="L61" s="3" t="str">
        <f>IFERROR(MID(VLOOKUP($B61,Seqs!$A:$B,2,0),M61,1),"")</f>
        <v>N</v>
      </c>
      <c r="M61" s="3">
        <v>39</v>
      </c>
      <c r="N61" s="3" t="str">
        <f>IFERROR(MID(VLOOKUP($B61,Seqs!$A:$B,2,0),O61,1),"")</f>
        <v>G</v>
      </c>
      <c r="O61" s="3">
        <v>69</v>
      </c>
      <c r="P61" s="3" t="str">
        <f>IFERROR(MID(VLOOKUP($B61,Seqs!$A:$B,2,0),Q61,1),"")</f>
        <v>F</v>
      </c>
      <c r="Q61" s="3">
        <v>70</v>
      </c>
      <c r="R61" s="3" t="str">
        <f>IFERROR(MID(VLOOKUP($B61,Seqs!$A:$B,2,0),S61,1),"")</f>
        <v>A</v>
      </c>
      <c r="S61" s="3">
        <v>72</v>
      </c>
      <c r="T61" s="3" t="str">
        <f>IFERROR(MID(VLOOKUP($B61,Seqs!$A:$B,2,0),U61,1),"")</f>
        <v>A</v>
      </c>
      <c r="U61" s="3">
        <v>73</v>
      </c>
      <c r="V61" s="3" t="str">
        <f>IFERROR(MID(VLOOKUP($B61,Seqs!$A:$B,2,0),W61,1),"")</f>
        <v>I</v>
      </c>
      <c r="W61" s="3">
        <v>108</v>
      </c>
      <c r="X61" s="3" t="str">
        <f>IFERROR(MID(VLOOKUP($B61,Seqs!$A:$B,2,0),Y61,1),"")</f>
        <v>P</v>
      </c>
      <c r="Y61" s="3">
        <v>109</v>
      </c>
      <c r="Z61" s="3" t="str">
        <f>IFERROR(MID(VLOOKUP($B61,Seqs!$A:$B,2,0),AA61,1),"")</f>
        <v>V</v>
      </c>
      <c r="AA61" s="3">
        <v>116</v>
      </c>
      <c r="AB61" s="3" t="str">
        <f>IFERROR(MID(VLOOKUP($B61,Seqs!$A:$B,2,0),AC61,1),"")</f>
        <v>T</v>
      </c>
      <c r="AC61" s="3">
        <v>117</v>
      </c>
      <c r="AD61" s="3" t="str">
        <f>IFERROR(MID(VLOOKUP($B61,Seqs!$A:$B,2,0),AE61,1),"")</f>
        <v>G</v>
      </c>
      <c r="AE61" s="3">
        <v>142</v>
      </c>
      <c r="AF61" s="3" t="str">
        <f>IFERROR(MID(VLOOKUP($B61,Seqs!$A:$B,2,0),AG61,1),"")</f>
        <v>C</v>
      </c>
      <c r="AG61" s="3">
        <v>166</v>
      </c>
      <c r="AH61" s="3" t="str">
        <f>IFERROR(MID(VLOOKUP($B61,Seqs!$A:$B,2,0),AI61,1),"")</f>
        <v>F</v>
      </c>
      <c r="AI61" s="3">
        <v>168</v>
      </c>
      <c r="AJ61" s="3" t="str">
        <f>IFERROR(MID(VLOOKUP($B61,Seqs!$A:$B,2,0),AK61,1),"")</f>
        <v>P</v>
      </c>
      <c r="AK61" s="3">
        <v>173</v>
      </c>
      <c r="AL61" s="3" t="str">
        <f>IFERROR(MID(VLOOKUP($B61,Seqs!$A:$B,2,0),AM61,1),"")</f>
        <v>L</v>
      </c>
      <c r="AM61" s="3">
        <v>208</v>
      </c>
      <c r="AN61" s="3" t="str">
        <f>IFERROR(MID(VLOOKUP($B61,Seqs!$A:$B,2,0),AO61,1),"")</f>
        <v>E</v>
      </c>
      <c r="AO61" s="3">
        <v>219</v>
      </c>
      <c r="AP61" s="3" t="str">
        <f>IFERROR(MID(VLOOKUP($B61,Seqs!$A:$B,2,0),AQ61,1),"")</f>
        <v>C</v>
      </c>
      <c r="AQ61" s="3">
        <v>259</v>
      </c>
      <c r="AR61" s="3" t="str">
        <f>IFERROR(MID(VLOOKUP($B61,Seqs!$A:$B,2,0),AS61,1),"")</f>
        <v>P</v>
      </c>
      <c r="AS61" s="3">
        <v>266</v>
      </c>
      <c r="AT61" s="3" t="str">
        <f>IFERROR(MID(VLOOKUP($B61,Seqs!$A:$B,2,0),AU61,1),"")</f>
        <v>R</v>
      </c>
      <c r="AU61" s="3">
        <v>291</v>
      </c>
      <c r="AV61" s="3" t="str">
        <f>IFERROR(MID(VLOOKUP($B61,Seqs!$A:$B,2,0),AW61,1),"")</f>
        <v>I</v>
      </c>
      <c r="AW61" s="3">
        <v>292</v>
      </c>
      <c r="AX61" s="3" t="str">
        <f>IFERROR(MID(VLOOKUP($B61,Seqs!$A:$B,2,0),AY61,1),"")</f>
        <v>S</v>
      </c>
      <c r="AY61" s="3">
        <v>305</v>
      </c>
      <c r="AZ61" s="77" t="str">
        <f>VLOOKUP(B61,Classification!A:D,2,0)</f>
        <v>A</v>
      </c>
      <c r="BA61" s="94" t="str">
        <f>VLOOKUP(B61,Classification!A:D,4,0)</f>
        <v>Adenosine</v>
      </c>
      <c r="BB61" s="27" t="b">
        <f t="shared" si="252"/>
        <v>1</v>
      </c>
      <c r="BC61" s="23">
        <f t="shared" si="253"/>
        <v>262</v>
      </c>
      <c r="BD61" s="5" t="s">
        <v>23</v>
      </c>
      <c r="BE61" s="3" t="s">
        <v>1380</v>
      </c>
      <c r="BF61" s="119">
        <v>2</v>
      </c>
      <c r="BG61" s="49" t="s">
        <v>1</v>
      </c>
      <c r="BH61" s="49" t="s">
        <v>1</v>
      </c>
      <c r="BI61" s="1"/>
      <c r="BJ61" s="70" t="s">
        <v>1293</v>
      </c>
      <c r="BK61" s="57" t="s">
        <v>1293</v>
      </c>
      <c r="BL61" s="57" t="s">
        <v>1293</v>
      </c>
      <c r="BM61" s="57" t="s">
        <v>1293</v>
      </c>
      <c r="BN61" s="57" t="s">
        <v>1293</v>
      </c>
      <c r="BO61" s="57" t="s">
        <v>1293</v>
      </c>
      <c r="BP61" s="57" t="s">
        <v>1293</v>
      </c>
      <c r="BQ61" s="57" t="s">
        <v>1293</v>
      </c>
      <c r="BR61" s="57" t="s">
        <v>1293</v>
      </c>
      <c r="BS61" s="57" t="s">
        <v>1293</v>
      </c>
      <c r="BT61" s="57" t="s">
        <v>1293</v>
      </c>
      <c r="BU61" s="57" t="s">
        <v>1293</v>
      </c>
      <c r="BV61" s="70">
        <f t="shared" si="254"/>
        <v>1</v>
      </c>
      <c r="BW61" s="71">
        <f t="shared" si="255"/>
        <v>35</v>
      </c>
      <c r="BX61" s="72">
        <f t="shared" si="256"/>
        <v>39</v>
      </c>
      <c r="BY61" s="71">
        <f t="shared" si="257"/>
        <v>70</v>
      </c>
      <c r="BZ61" s="72">
        <f t="shared" si="258"/>
        <v>73</v>
      </c>
      <c r="CA61" s="71">
        <f t="shared" si="259"/>
        <v>109</v>
      </c>
      <c r="CB61" s="72">
        <f t="shared" si="260"/>
        <v>117</v>
      </c>
      <c r="CC61" s="71">
        <f t="shared" si="261"/>
        <v>166</v>
      </c>
      <c r="CD61" s="72">
        <f t="shared" si="262"/>
        <v>173</v>
      </c>
      <c r="CE61" s="71">
        <f t="shared" si="263"/>
        <v>219</v>
      </c>
      <c r="CF61" s="72">
        <f t="shared" si="264"/>
        <v>266</v>
      </c>
      <c r="CG61" s="71">
        <f t="shared" si="265"/>
        <v>292</v>
      </c>
      <c r="CH61" s="70">
        <f t="shared" si="266"/>
        <v>34</v>
      </c>
      <c r="CI61" s="71">
        <f t="shared" si="267"/>
        <v>38</v>
      </c>
      <c r="CJ61" s="72">
        <f t="shared" si="268"/>
        <v>69</v>
      </c>
      <c r="CK61" s="72">
        <f t="shared" si="269"/>
        <v>72</v>
      </c>
      <c r="CL61" s="72">
        <f t="shared" si="270"/>
        <v>108</v>
      </c>
      <c r="CM61" s="72">
        <f t="shared" si="271"/>
        <v>116</v>
      </c>
      <c r="CN61" s="72">
        <f t="shared" si="272"/>
        <v>142</v>
      </c>
      <c r="CO61" s="72">
        <f t="shared" si="273"/>
        <v>168</v>
      </c>
      <c r="CP61" s="72">
        <f t="shared" si="274"/>
        <v>208</v>
      </c>
      <c r="CQ61" s="72">
        <f t="shared" si="275"/>
        <v>259</v>
      </c>
      <c r="CR61" s="72">
        <f t="shared" si="276"/>
        <v>291</v>
      </c>
      <c r="CS61" s="72">
        <f t="shared" si="277"/>
        <v>305</v>
      </c>
      <c r="CT61" s="23">
        <f t="shared" si="278"/>
        <v>1</v>
      </c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</row>
    <row r="62" spans="1:1029" x14ac:dyDescent="0.2">
      <c r="A62" s="3" t="str">
        <f t="shared" si="251"/>
        <v>aa2ar_human_5OLZ</v>
      </c>
      <c r="B62" s="3" t="s">
        <v>139</v>
      </c>
      <c r="C62" s="3" t="s">
        <v>1470</v>
      </c>
      <c r="D62" s="3" t="str">
        <f>IFERROR(MID(VLOOKUP($B62,Seqs!$A:$B,2,0),E62,1),"")</f>
        <v>M</v>
      </c>
      <c r="E62" s="3">
        <v>1</v>
      </c>
      <c r="F62" s="3" t="str">
        <f>IFERROR(MID(VLOOKUP($B62,Seqs!$A:$B,2,0),G62,1),"")</f>
        <v>N</v>
      </c>
      <c r="G62" s="3">
        <v>34</v>
      </c>
      <c r="H62" s="3" t="str">
        <f>IFERROR(MID(VLOOKUP($B62,Seqs!$A:$B,2,0),I62,1),"")</f>
        <v>S</v>
      </c>
      <c r="I62" s="23">
        <v>35</v>
      </c>
      <c r="J62" s="3" t="str">
        <f>IFERROR(MID(VLOOKUP($B62,Seqs!$A:$B,2,0),K62,1),"")</f>
        <v>Q</v>
      </c>
      <c r="K62" s="23">
        <v>38</v>
      </c>
      <c r="L62" s="3" t="str">
        <f>IFERROR(MID(VLOOKUP($B62,Seqs!$A:$B,2,0),M62,1),"")</f>
        <v>N</v>
      </c>
      <c r="M62" s="3">
        <v>39</v>
      </c>
      <c r="N62" s="3" t="str">
        <f>IFERROR(MID(VLOOKUP($B62,Seqs!$A:$B,2,0),O62,1),"")</f>
        <v>G</v>
      </c>
      <c r="O62" s="3">
        <v>69</v>
      </c>
      <c r="P62" s="3" t="str">
        <f>IFERROR(MID(VLOOKUP($B62,Seqs!$A:$B,2,0),Q62,1),"")</f>
        <v>F</v>
      </c>
      <c r="Q62" s="3">
        <v>70</v>
      </c>
      <c r="R62" s="3" t="str">
        <f>IFERROR(MID(VLOOKUP($B62,Seqs!$A:$B,2,0),S62,1),"")</f>
        <v>A</v>
      </c>
      <c r="S62" s="3">
        <v>72</v>
      </c>
      <c r="T62" s="3" t="str">
        <f>IFERROR(MID(VLOOKUP($B62,Seqs!$A:$B,2,0),U62,1),"")</f>
        <v>A</v>
      </c>
      <c r="U62" s="3">
        <v>73</v>
      </c>
      <c r="V62" s="3" t="str">
        <f>IFERROR(MID(VLOOKUP($B62,Seqs!$A:$B,2,0),W62,1),"")</f>
        <v>I</v>
      </c>
      <c r="W62" s="3">
        <v>108</v>
      </c>
      <c r="X62" s="3" t="str">
        <f>IFERROR(MID(VLOOKUP($B62,Seqs!$A:$B,2,0),Y62,1),"")</f>
        <v>P</v>
      </c>
      <c r="Y62" s="3">
        <v>109</v>
      </c>
      <c r="Z62" s="3" t="str">
        <f>IFERROR(MID(VLOOKUP($B62,Seqs!$A:$B,2,0),AA62,1),"")</f>
        <v>V</v>
      </c>
      <c r="AA62" s="3">
        <v>116</v>
      </c>
      <c r="AB62" s="3" t="str">
        <f>IFERROR(MID(VLOOKUP($B62,Seqs!$A:$B,2,0),AC62,1),"")</f>
        <v>T</v>
      </c>
      <c r="AC62" s="3">
        <v>117</v>
      </c>
      <c r="AD62" s="3" t="str">
        <f>IFERROR(MID(VLOOKUP($B62,Seqs!$A:$B,2,0),AE62,1),"")</f>
        <v>G</v>
      </c>
      <c r="AE62" s="3">
        <v>142</v>
      </c>
      <c r="AF62" s="3" t="str">
        <f>IFERROR(MID(VLOOKUP($B62,Seqs!$A:$B,2,0),AG62,1),"")</f>
        <v>C</v>
      </c>
      <c r="AG62" s="3">
        <v>166</v>
      </c>
      <c r="AH62" s="3" t="str">
        <f>IFERROR(MID(VLOOKUP($B62,Seqs!$A:$B,2,0),AI62,1),"")</f>
        <v>F</v>
      </c>
      <c r="AI62" s="3">
        <v>168</v>
      </c>
      <c r="AJ62" s="3" t="str">
        <f>IFERROR(MID(VLOOKUP($B62,Seqs!$A:$B,2,0),AK62,1),"")</f>
        <v>P</v>
      </c>
      <c r="AK62" s="3">
        <v>173</v>
      </c>
      <c r="AL62" s="3" t="str">
        <f>IFERROR(MID(VLOOKUP($B62,Seqs!$A:$B,2,0),AM62,1),"")</f>
        <v>L</v>
      </c>
      <c r="AM62" s="3">
        <v>208</v>
      </c>
      <c r="AN62" s="3" t="str">
        <f>IFERROR(MID(VLOOKUP($B62,Seqs!$A:$B,2,0),AO62,1),"")</f>
        <v>E</v>
      </c>
      <c r="AO62" s="3">
        <v>219</v>
      </c>
      <c r="AP62" s="3" t="str">
        <f>IFERROR(MID(VLOOKUP($B62,Seqs!$A:$B,2,0),AQ62,1),"")</f>
        <v>C</v>
      </c>
      <c r="AQ62" s="3">
        <v>259</v>
      </c>
      <c r="AR62" s="3" t="str">
        <f>IFERROR(MID(VLOOKUP($B62,Seqs!$A:$B,2,0),AS62,1),"")</f>
        <v>P</v>
      </c>
      <c r="AS62" s="3">
        <v>266</v>
      </c>
      <c r="AT62" s="3" t="str">
        <f>IFERROR(MID(VLOOKUP($B62,Seqs!$A:$B,2,0),AU62,1),"")</f>
        <v>R</v>
      </c>
      <c r="AU62" s="3">
        <v>291</v>
      </c>
      <c r="AV62" s="3" t="str">
        <f>IFERROR(MID(VLOOKUP($B62,Seqs!$A:$B,2,0),AW62,1),"")</f>
        <v>I</v>
      </c>
      <c r="AW62" s="3">
        <v>292</v>
      </c>
      <c r="AX62" s="3" t="str">
        <f>IFERROR(MID(VLOOKUP($B62,Seqs!$A:$B,2,0),AY62,1),"")</f>
        <v>S</v>
      </c>
      <c r="AY62" s="3">
        <v>305</v>
      </c>
      <c r="AZ62" s="77" t="str">
        <f>VLOOKUP(B62,Classification!A:D,2,0)</f>
        <v>A</v>
      </c>
      <c r="BA62" s="94" t="str">
        <f>VLOOKUP(B62,Classification!A:D,4,0)</f>
        <v>Adenosine</v>
      </c>
      <c r="BB62" s="27" t="b">
        <f t="shared" si="252"/>
        <v>1</v>
      </c>
      <c r="BC62" s="23">
        <f t="shared" si="253"/>
        <v>262</v>
      </c>
      <c r="BD62" s="5" t="s">
        <v>23</v>
      </c>
      <c r="BE62" s="3" t="s">
        <v>1380</v>
      </c>
      <c r="BF62" s="119">
        <v>1.9</v>
      </c>
      <c r="BG62" s="49" t="s">
        <v>1</v>
      </c>
      <c r="BH62" s="49" t="s">
        <v>1</v>
      </c>
      <c r="BI62" s="1"/>
      <c r="BJ62" s="70" t="s">
        <v>1293</v>
      </c>
      <c r="BK62" s="57" t="s">
        <v>1293</v>
      </c>
      <c r="BL62" s="57" t="s">
        <v>1293</v>
      </c>
      <c r="BM62" s="57" t="s">
        <v>1293</v>
      </c>
      <c r="BN62" s="57" t="s">
        <v>1293</v>
      </c>
      <c r="BO62" s="57" t="s">
        <v>1293</v>
      </c>
      <c r="BP62" s="57" t="s">
        <v>1293</v>
      </c>
      <c r="BQ62" s="57" t="s">
        <v>1293</v>
      </c>
      <c r="BR62" s="57" t="s">
        <v>1293</v>
      </c>
      <c r="BS62" s="57" t="s">
        <v>1293</v>
      </c>
      <c r="BT62" s="57" t="s">
        <v>1293</v>
      </c>
      <c r="BU62" s="57" t="s">
        <v>1293</v>
      </c>
      <c r="BV62" s="70">
        <f t="shared" si="254"/>
        <v>1</v>
      </c>
      <c r="BW62" s="71">
        <f t="shared" si="255"/>
        <v>35</v>
      </c>
      <c r="BX62" s="72">
        <f t="shared" si="256"/>
        <v>39</v>
      </c>
      <c r="BY62" s="71">
        <f t="shared" si="257"/>
        <v>70</v>
      </c>
      <c r="BZ62" s="72">
        <f t="shared" si="258"/>
        <v>73</v>
      </c>
      <c r="CA62" s="71">
        <f t="shared" si="259"/>
        <v>109</v>
      </c>
      <c r="CB62" s="72">
        <f t="shared" si="260"/>
        <v>117</v>
      </c>
      <c r="CC62" s="71">
        <f t="shared" si="261"/>
        <v>166</v>
      </c>
      <c r="CD62" s="72">
        <f t="shared" si="262"/>
        <v>173</v>
      </c>
      <c r="CE62" s="71">
        <f t="shared" si="263"/>
        <v>219</v>
      </c>
      <c r="CF62" s="72">
        <f t="shared" si="264"/>
        <v>266</v>
      </c>
      <c r="CG62" s="71">
        <f t="shared" si="265"/>
        <v>292</v>
      </c>
      <c r="CH62" s="70">
        <f t="shared" si="266"/>
        <v>34</v>
      </c>
      <c r="CI62" s="71">
        <f t="shared" si="267"/>
        <v>38</v>
      </c>
      <c r="CJ62" s="72">
        <f t="shared" si="268"/>
        <v>69</v>
      </c>
      <c r="CK62" s="72">
        <f t="shared" si="269"/>
        <v>72</v>
      </c>
      <c r="CL62" s="72">
        <f t="shared" si="270"/>
        <v>108</v>
      </c>
      <c r="CM62" s="72">
        <f t="shared" si="271"/>
        <v>116</v>
      </c>
      <c r="CN62" s="72">
        <f t="shared" si="272"/>
        <v>142</v>
      </c>
      <c r="CO62" s="72">
        <f t="shared" si="273"/>
        <v>168</v>
      </c>
      <c r="CP62" s="72">
        <f t="shared" si="274"/>
        <v>208</v>
      </c>
      <c r="CQ62" s="72">
        <f t="shared" si="275"/>
        <v>259</v>
      </c>
      <c r="CR62" s="72">
        <f t="shared" si="276"/>
        <v>291</v>
      </c>
      <c r="CS62" s="72">
        <f t="shared" si="277"/>
        <v>305</v>
      </c>
      <c r="CT62" s="23">
        <f t="shared" si="278"/>
        <v>1</v>
      </c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</row>
    <row r="63" spans="1:1029" x14ac:dyDescent="0.2">
      <c r="A63" s="3" t="str">
        <f t="shared" si="251"/>
        <v>aa2ar_human_5OM1</v>
      </c>
      <c r="B63" s="3" t="s">
        <v>139</v>
      </c>
      <c r="C63" s="3" t="s">
        <v>1471</v>
      </c>
      <c r="D63" s="3" t="str">
        <f>IFERROR(MID(VLOOKUP($B63,Seqs!$A:$B,2,0),E63,1),"")</f>
        <v>M</v>
      </c>
      <c r="E63" s="3">
        <v>1</v>
      </c>
      <c r="F63" s="3" t="str">
        <f>IFERROR(MID(VLOOKUP($B63,Seqs!$A:$B,2,0),G63,1),"")</f>
        <v>N</v>
      </c>
      <c r="G63" s="3">
        <v>34</v>
      </c>
      <c r="H63" s="3" t="str">
        <f>IFERROR(MID(VLOOKUP($B63,Seqs!$A:$B,2,0),I63,1),"")</f>
        <v>S</v>
      </c>
      <c r="I63" s="23">
        <v>35</v>
      </c>
      <c r="J63" s="3" t="str">
        <f>IFERROR(MID(VLOOKUP($B63,Seqs!$A:$B,2,0),K63,1),"")</f>
        <v>Q</v>
      </c>
      <c r="K63" s="23">
        <v>38</v>
      </c>
      <c r="L63" s="3" t="str">
        <f>IFERROR(MID(VLOOKUP($B63,Seqs!$A:$B,2,0),M63,1),"")</f>
        <v>N</v>
      </c>
      <c r="M63" s="3">
        <v>39</v>
      </c>
      <c r="N63" s="3" t="str">
        <f>IFERROR(MID(VLOOKUP($B63,Seqs!$A:$B,2,0),O63,1),"")</f>
        <v>G</v>
      </c>
      <c r="O63" s="3">
        <v>69</v>
      </c>
      <c r="P63" s="3" t="str">
        <f>IFERROR(MID(VLOOKUP($B63,Seqs!$A:$B,2,0),Q63,1),"")</f>
        <v>F</v>
      </c>
      <c r="Q63" s="3">
        <v>70</v>
      </c>
      <c r="R63" s="3" t="str">
        <f>IFERROR(MID(VLOOKUP($B63,Seqs!$A:$B,2,0),S63,1),"")</f>
        <v>A</v>
      </c>
      <c r="S63" s="3">
        <v>72</v>
      </c>
      <c r="T63" s="3" t="str">
        <f>IFERROR(MID(VLOOKUP($B63,Seqs!$A:$B,2,0),U63,1),"")</f>
        <v>A</v>
      </c>
      <c r="U63" s="3">
        <v>73</v>
      </c>
      <c r="V63" s="3" t="str">
        <f>IFERROR(MID(VLOOKUP($B63,Seqs!$A:$B,2,0),W63,1),"")</f>
        <v>I</v>
      </c>
      <c r="W63" s="3">
        <v>108</v>
      </c>
      <c r="X63" s="3" t="str">
        <f>IFERROR(MID(VLOOKUP($B63,Seqs!$A:$B,2,0),Y63,1),"")</f>
        <v>P</v>
      </c>
      <c r="Y63" s="3">
        <v>109</v>
      </c>
      <c r="Z63" s="3" t="str">
        <f>IFERROR(MID(VLOOKUP($B63,Seqs!$A:$B,2,0),AA63,1),"")</f>
        <v>V</v>
      </c>
      <c r="AA63" s="3">
        <v>116</v>
      </c>
      <c r="AB63" s="3" t="str">
        <f>IFERROR(MID(VLOOKUP($B63,Seqs!$A:$B,2,0),AC63,1),"")</f>
        <v>T</v>
      </c>
      <c r="AC63" s="3">
        <v>117</v>
      </c>
      <c r="AD63" s="3" t="str">
        <f>IFERROR(MID(VLOOKUP($B63,Seqs!$A:$B,2,0),AE63,1),"")</f>
        <v>G</v>
      </c>
      <c r="AE63" s="3">
        <v>142</v>
      </c>
      <c r="AF63" s="3" t="str">
        <f>IFERROR(MID(VLOOKUP($B63,Seqs!$A:$B,2,0),AG63,1),"")</f>
        <v>C</v>
      </c>
      <c r="AG63" s="3">
        <v>166</v>
      </c>
      <c r="AH63" s="3" t="str">
        <f>IFERROR(MID(VLOOKUP($B63,Seqs!$A:$B,2,0),AI63,1),"")</f>
        <v>F</v>
      </c>
      <c r="AI63" s="3">
        <v>168</v>
      </c>
      <c r="AJ63" s="3" t="str">
        <f>IFERROR(MID(VLOOKUP($B63,Seqs!$A:$B,2,0),AK63,1),"")</f>
        <v>P</v>
      </c>
      <c r="AK63" s="3">
        <v>173</v>
      </c>
      <c r="AL63" s="3" t="str">
        <f>IFERROR(MID(VLOOKUP($B63,Seqs!$A:$B,2,0),AM63,1),"")</f>
        <v>L</v>
      </c>
      <c r="AM63" s="3">
        <v>208</v>
      </c>
      <c r="AN63" s="3" t="str">
        <f>IFERROR(MID(VLOOKUP($B63,Seqs!$A:$B,2,0),AO63,1),"")</f>
        <v>E</v>
      </c>
      <c r="AO63" s="3">
        <v>219</v>
      </c>
      <c r="AP63" s="3" t="str">
        <f>IFERROR(MID(VLOOKUP($B63,Seqs!$A:$B,2,0),AQ63,1),"")</f>
        <v>C</v>
      </c>
      <c r="AQ63" s="3">
        <v>259</v>
      </c>
      <c r="AR63" s="3" t="str">
        <f>IFERROR(MID(VLOOKUP($B63,Seqs!$A:$B,2,0),AS63,1),"")</f>
        <v>P</v>
      </c>
      <c r="AS63" s="3">
        <v>266</v>
      </c>
      <c r="AT63" s="3" t="str">
        <f>IFERROR(MID(VLOOKUP($B63,Seqs!$A:$B,2,0),AU63,1),"")</f>
        <v>R</v>
      </c>
      <c r="AU63" s="3">
        <v>291</v>
      </c>
      <c r="AV63" s="3" t="str">
        <f>IFERROR(MID(VLOOKUP($B63,Seqs!$A:$B,2,0),AW63,1),"")</f>
        <v>I</v>
      </c>
      <c r="AW63" s="3">
        <v>292</v>
      </c>
      <c r="AX63" s="3" t="str">
        <f>IFERROR(MID(VLOOKUP($B63,Seqs!$A:$B,2,0),AY63,1),"")</f>
        <v>S</v>
      </c>
      <c r="AY63" s="3">
        <v>305</v>
      </c>
      <c r="AZ63" s="77" t="str">
        <f>VLOOKUP(B63,Classification!A:D,2,0)</f>
        <v>A</v>
      </c>
      <c r="BA63" s="94" t="str">
        <f>VLOOKUP(B63,Classification!A:D,4,0)</f>
        <v>Adenosine</v>
      </c>
      <c r="BB63" s="27" t="b">
        <f t="shared" si="252"/>
        <v>1</v>
      </c>
      <c r="BC63" s="23">
        <f t="shared" si="253"/>
        <v>262</v>
      </c>
      <c r="BD63" s="5" t="s">
        <v>23</v>
      </c>
      <c r="BE63" s="3" t="s">
        <v>1380</v>
      </c>
      <c r="BF63" s="119">
        <v>2.1</v>
      </c>
      <c r="BG63" s="49" t="s">
        <v>1</v>
      </c>
      <c r="BH63" s="49" t="s">
        <v>1</v>
      </c>
      <c r="BI63" s="1"/>
      <c r="BJ63" s="70" t="s">
        <v>1293</v>
      </c>
      <c r="BK63" s="57" t="s">
        <v>1293</v>
      </c>
      <c r="BL63" s="57" t="s">
        <v>1293</v>
      </c>
      <c r="BM63" s="57" t="s">
        <v>1293</v>
      </c>
      <c r="BN63" s="57" t="s">
        <v>1293</v>
      </c>
      <c r="BO63" s="57" t="s">
        <v>1293</v>
      </c>
      <c r="BP63" s="57" t="s">
        <v>1293</v>
      </c>
      <c r="BQ63" s="57" t="s">
        <v>1293</v>
      </c>
      <c r="BR63" s="57" t="s">
        <v>1293</v>
      </c>
      <c r="BS63" s="57" t="s">
        <v>1293</v>
      </c>
      <c r="BT63" s="57" t="s">
        <v>1293</v>
      </c>
      <c r="BU63" s="57" t="s">
        <v>1293</v>
      </c>
      <c r="BV63" s="70">
        <f t="shared" si="254"/>
        <v>1</v>
      </c>
      <c r="BW63" s="71">
        <f t="shared" si="255"/>
        <v>35</v>
      </c>
      <c r="BX63" s="72">
        <f t="shared" si="256"/>
        <v>39</v>
      </c>
      <c r="BY63" s="71">
        <f t="shared" si="257"/>
        <v>70</v>
      </c>
      <c r="BZ63" s="72">
        <f t="shared" si="258"/>
        <v>73</v>
      </c>
      <c r="CA63" s="71">
        <f t="shared" si="259"/>
        <v>109</v>
      </c>
      <c r="CB63" s="72">
        <f t="shared" si="260"/>
        <v>117</v>
      </c>
      <c r="CC63" s="71">
        <f t="shared" si="261"/>
        <v>166</v>
      </c>
      <c r="CD63" s="72">
        <f t="shared" si="262"/>
        <v>173</v>
      </c>
      <c r="CE63" s="71">
        <f t="shared" si="263"/>
        <v>219</v>
      </c>
      <c r="CF63" s="72">
        <f t="shared" si="264"/>
        <v>266</v>
      </c>
      <c r="CG63" s="71">
        <f t="shared" si="265"/>
        <v>292</v>
      </c>
      <c r="CH63" s="70">
        <f t="shared" si="266"/>
        <v>34</v>
      </c>
      <c r="CI63" s="71">
        <f t="shared" si="267"/>
        <v>38</v>
      </c>
      <c r="CJ63" s="72">
        <f t="shared" si="268"/>
        <v>69</v>
      </c>
      <c r="CK63" s="72">
        <f t="shared" si="269"/>
        <v>72</v>
      </c>
      <c r="CL63" s="72">
        <f t="shared" si="270"/>
        <v>108</v>
      </c>
      <c r="CM63" s="72">
        <f t="shared" si="271"/>
        <v>116</v>
      </c>
      <c r="CN63" s="72">
        <f t="shared" si="272"/>
        <v>142</v>
      </c>
      <c r="CO63" s="72">
        <f t="shared" si="273"/>
        <v>168</v>
      </c>
      <c r="CP63" s="72">
        <f t="shared" si="274"/>
        <v>208</v>
      </c>
      <c r="CQ63" s="72">
        <f t="shared" si="275"/>
        <v>259</v>
      </c>
      <c r="CR63" s="72">
        <f t="shared" si="276"/>
        <v>291</v>
      </c>
      <c r="CS63" s="72">
        <f t="shared" si="277"/>
        <v>305</v>
      </c>
      <c r="CT63" s="23">
        <f t="shared" si="278"/>
        <v>1</v>
      </c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</row>
    <row r="64" spans="1:1029" x14ac:dyDescent="0.2">
      <c r="A64" s="3" t="str">
        <f t="shared" si="251"/>
        <v>aa2ar_human_5OM4</v>
      </c>
      <c r="B64" s="3" t="s">
        <v>139</v>
      </c>
      <c r="C64" s="3" t="s">
        <v>1472</v>
      </c>
      <c r="D64" s="3" t="str">
        <f>IFERROR(MID(VLOOKUP($B64,Seqs!$A:$B,2,0),E64,1),"")</f>
        <v>M</v>
      </c>
      <c r="E64" s="3">
        <v>1</v>
      </c>
      <c r="F64" s="3" t="str">
        <f>IFERROR(MID(VLOOKUP($B64,Seqs!$A:$B,2,0),G64,1),"")</f>
        <v>N</v>
      </c>
      <c r="G64" s="3">
        <v>34</v>
      </c>
      <c r="H64" s="3" t="str">
        <f>IFERROR(MID(VLOOKUP($B64,Seqs!$A:$B,2,0),I64,1),"")</f>
        <v>S</v>
      </c>
      <c r="I64" s="23">
        <v>35</v>
      </c>
      <c r="J64" s="3" t="str">
        <f>IFERROR(MID(VLOOKUP($B64,Seqs!$A:$B,2,0),K64,1),"")</f>
        <v>Q</v>
      </c>
      <c r="K64" s="23">
        <v>38</v>
      </c>
      <c r="L64" s="3" t="str">
        <f>IFERROR(MID(VLOOKUP($B64,Seqs!$A:$B,2,0),M64,1),"")</f>
        <v>N</v>
      </c>
      <c r="M64" s="3">
        <v>39</v>
      </c>
      <c r="N64" s="3" t="str">
        <f>IFERROR(MID(VLOOKUP($B64,Seqs!$A:$B,2,0),O64,1),"")</f>
        <v>G</v>
      </c>
      <c r="O64" s="3">
        <v>69</v>
      </c>
      <c r="P64" s="3" t="str">
        <f>IFERROR(MID(VLOOKUP($B64,Seqs!$A:$B,2,0),Q64,1),"")</f>
        <v>F</v>
      </c>
      <c r="Q64" s="3">
        <v>70</v>
      </c>
      <c r="R64" s="3" t="str">
        <f>IFERROR(MID(VLOOKUP($B64,Seqs!$A:$B,2,0),S64,1),"")</f>
        <v>A</v>
      </c>
      <c r="S64" s="3">
        <v>72</v>
      </c>
      <c r="T64" s="3" t="str">
        <f>IFERROR(MID(VLOOKUP($B64,Seqs!$A:$B,2,0),U64,1),"")</f>
        <v>A</v>
      </c>
      <c r="U64" s="3">
        <v>73</v>
      </c>
      <c r="V64" s="3" t="str">
        <f>IFERROR(MID(VLOOKUP($B64,Seqs!$A:$B,2,0),W64,1),"")</f>
        <v>I</v>
      </c>
      <c r="W64" s="3">
        <v>108</v>
      </c>
      <c r="X64" s="3" t="str">
        <f>IFERROR(MID(VLOOKUP($B64,Seqs!$A:$B,2,0),Y64,1),"")</f>
        <v>P</v>
      </c>
      <c r="Y64" s="3">
        <v>109</v>
      </c>
      <c r="Z64" s="3" t="str">
        <f>IFERROR(MID(VLOOKUP($B64,Seqs!$A:$B,2,0),AA64,1),"")</f>
        <v>V</v>
      </c>
      <c r="AA64" s="3">
        <v>116</v>
      </c>
      <c r="AB64" s="3" t="str">
        <f>IFERROR(MID(VLOOKUP($B64,Seqs!$A:$B,2,0),AC64,1),"")</f>
        <v>T</v>
      </c>
      <c r="AC64" s="3">
        <v>117</v>
      </c>
      <c r="AD64" s="3" t="str">
        <f>IFERROR(MID(VLOOKUP($B64,Seqs!$A:$B,2,0),AE64,1),"")</f>
        <v>G</v>
      </c>
      <c r="AE64" s="3">
        <v>142</v>
      </c>
      <c r="AF64" s="3" t="str">
        <f>IFERROR(MID(VLOOKUP($B64,Seqs!$A:$B,2,0),AG64,1),"")</f>
        <v>C</v>
      </c>
      <c r="AG64" s="3">
        <v>166</v>
      </c>
      <c r="AH64" s="3" t="str">
        <f>IFERROR(MID(VLOOKUP($B64,Seqs!$A:$B,2,0),AI64,1),"")</f>
        <v>F</v>
      </c>
      <c r="AI64" s="3">
        <v>168</v>
      </c>
      <c r="AJ64" s="3" t="str">
        <f>IFERROR(MID(VLOOKUP($B64,Seqs!$A:$B,2,0),AK64,1),"")</f>
        <v>P</v>
      </c>
      <c r="AK64" s="3">
        <v>173</v>
      </c>
      <c r="AL64" s="3" t="str">
        <f>IFERROR(MID(VLOOKUP($B64,Seqs!$A:$B,2,0),AM64,1),"")</f>
        <v>L</v>
      </c>
      <c r="AM64" s="3">
        <v>208</v>
      </c>
      <c r="AN64" s="3" t="str">
        <f>IFERROR(MID(VLOOKUP($B64,Seqs!$A:$B,2,0),AO64,1),"")</f>
        <v>E</v>
      </c>
      <c r="AO64" s="3">
        <v>219</v>
      </c>
      <c r="AP64" s="3" t="str">
        <f>IFERROR(MID(VLOOKUP($B64,Seqs!$A:$B,2,0),AQ64,1),"")</f>
        <v>C</v>
      </c>
      <c r="AQ64" s="3">
        <v>259</v>
      </c>
      <c r="AR64" s="3" t="str">
        <f>IFERROR(MID(VLOOKUP($B64,Seqs!$A:$B,2,0),AS64,1),"")</f>
        <v>P</v>
      </c>
      <c r="AS64" s="3">
        <v>266</v>
      </c>
      <c r="AT64" s="3" t="str">
        <f>IFERROR(MID(VLOOKUP($B64,Seqs!$A:$B,2,0),AU64,1),"")</f>
        <v>R</v>
      </c>
      <c r="AU64" s="3">
        <v>291</v>
      </c>
      <c r="AV64" s="3" t="str">
        <f>IFERROR(MID(VLOOKUP($B64,Seqs!$A:$B,2,0),AW64,1),"")</f>
        <v>I</v>
      </c>
      <c r="AW64" s="3">
        <v>292</v>
      </c>
      <c r="AX64" s="3" t="str">
        <f>IFERROR(MID(VLOOKUP($B64,Seqs!$A:$B,2,0),AY64,1),"")</f>
        <v>V</v>
      </c>
      <c r="AY64" s="3">
        <v>307</v>
      </c>
      <c r="AZ64" s="77" t="str">
        <f>VLOOKUP(B64,Classification!A:D,2,0)</f>
        <v>A</v>
      </c>
      <c r="BA64" s="94" t="str">
        <f>VLOOKUP(B64,Classification!A:D,4,0)</f>
        <v>Adenosine</v>
      </c>
      <c r="BB64" s="27" t="b">
        <f t="shared" si="252"/>
        <v>1</v>
      </c>
      <c r="BC64" s="23">
        <f t="shared" si="253"/>
        <v>264</v>
      </c>
      <c r="BD64" s="5" t="s">
        <v>23</v>
      </c>
      <c r="BE64" s="3" t="s">
        <v>1380</v>
      </c>
      <c r="BF64" s="119">
        <v>2</v>
      </c>
      <c r="BG64" s="49" t="s">
        <v>1</v>
      </c>
      <c r="BH64" s="49" t="s">
        <v>1</v>
      </c>
      <c r="BI64" s="1"/>
      <c r="BJ64" s="70" t="s">
        <v>1293</v>
      </c>
      <c r="BK64" s="57" t="s">
        <v>1293</v>
      </c>
      <c r="BL64" s="57" t="s">
        <v>1293</v>
      </c>
      <c r="BM64" s="57" t="s">
        <v>1293</v>
      </c>
      <c r="BN64" s="57" t="s">
        <v>1293</v>
      </c>
      <c r="BO64" s="57" t="s">
        <v>1293</v>
      </c>
      <c r="BP64" s="57" t="s">
        <v>1293</v>
      </c>
      <c r="BQ64" s="57" t="s">
        <v>1293</v>
      </c>
      <c r="BR64" s="57" t="s">
        <v>1293</v>
      </c>
      <c r="BS64" s="57" t="s">
        <v>1293</v>
      </c>
      <c r="BT64" s="57" t="s">
        <v>1293</v>
      </c>
      <c r="BU64" s="57" t="s">
        <v>1293</v>
      </c>
      <c r="BV64" s="70">
        <f t="shared" si="254"/>
        <v>1</v>
      </c>
      <c r="BW64" s="71">
        <f t="shared" si="255"/>
        <v>35</v>
      </c>
      <c r="BX64" s="72">
        <f t="shared" si="256"/>
        <v>39</v>
      </c>
      <c r="BY64" s="71">
        <f t="shared" si="257"/>
        <v>70</v>
      </c>
      <c r="BZ64" s="72">
        <f t="shared" si="258"/>
        <v>73</v>
      </c>
      <c r="CA64" s="71">
        <f t="shared" si="259"/>
        <v>109</v>
      </c>
      <c r="CB64" s="72">
        <f t="shared" si="260"/>
        <v>117</v>
      </c>
      <c r="CC64" s="71">
        <f t="shared" si="261"/>
        <v>166</v>
      </c>
      <c r="CD64" s="72">
        <f t="shared" si="262"/>
        <v>173</v>
      </c>
      <c r="CE64" s="71">
        <f t="shared" si="263"/>
        <v>219</v>
      </c>
      <c r="CF64" s="72">
        <f t="shared" si="264"/>
        <v>266</v>
      </c>
      <c r="CG64" s="71">
        <f t="shared" si="265"/>
        <v>292</v>
      </c>
      <c r="CH64" s="70">
        <f t="shared" si="266"/>
        <v>34</v>
      </c>
      <c r="CI64" s="71">
        <f t="shared" si="267"/>
        <v>38</v>
      </c>
      <c r="CJ64" s="72">
        <f t="shared" si="268"/>
        <v>69</v>
      </c>
      <c r="CK64" s="72">
        <f t="shared" si="269"/>
        <v>72</v>
      </c>
      <c r="CL64" s="72">
        <f t="shared" si="270"/>
        <v>108</v>
      </c>
      <c r="CM64" s="72">
        <f t="shared" si="271"/>
        <v>116</v>
      </c>
      <c r="CN64" s="72">
        <f t="shared" si="272"/>
        <v>142</v>
      </c>
      <c r="CO64" s="72">
        <f t="shared" si="273"/>
        <v>168</v>
      </c>
      <c r="CP64" s="72">
        <f t="shared" si="274"/>
        <v>208</v>
      </c>
      <c r="CQ64" s="72">
        <f t="shared" si="275"/>
        <v>259</v>
      </c>
      <c r="CR64" s="72">
        <f t="shared" si="276"/>
        <v>291</v>
      </c>
      <c r="CS64" s="72">
        <f t="shared" si="277"/>
        <v>307</v>
      </c>
      <c r="CT64" s="23">
        <f t="shared" si="278"/>
        <v>1</v>
      </c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</row>
    <row r="65" spans="1:1029" x14ac:dyDescent="0.2">
      <c r="A65" s="3" t="str">
        <f t="shared" si="251"/>
        <v>aa2ar_human_6AQF</v>
      </c>
      <c r="B65" s="3" t="s">
        <v>139</v>
      </c>
      <c r="C65" s="3" t="s">
        <v>1473</v>
      </c>
      <c r="D65" s="3" t="str">
        <f>IFERROR(MID(VLOOKUP($B65,Seqs!$A:$B,2,0),E65,1),"")</f>
        <v>M</v>
      </c>
      <c r="E65" s="3">
        <v>1</v>
      </c>
      <c r="F65" s="3" t="str">
        <f>IFERROR(MID(VLOOKUP($B65,Seqs!$A:$B,2,0),G65,1),"")</f>
        <v>N</v>
      </c>
      <c r="G65" s="3">
        <v>34</v>
      </c>
      <c r="H65" s="3" t="str">
        <f>IFERROR(MID(VLOOKUP($B65,Seqs!$A:$B,2,0),I65,1),"")</f>
        <v>S</v>
      </c>
      <c r="I65" s="23">
        <v>35</v>
      </c>
      <c r="J65" s="3" t="str">
        <f>IFERROR(MID(VLOOKUP($B65,Seqs!$A:$B,2,0),K65,1),"")</f>
        <v>Q</v>
      </c>
      <c r="K65" s="23">
        <v>38</v>
      </c>
      <c r="L65" s="3" t="str">
        <f>IFERROR(MID(VLOOKUP($B65,Seqs!$A:$B,2,0),M65,1),"")</f>
        <v>N</v>
      </c>
      <c r="M65" s="3">
        <v>39</v>
      </c>
      <c r="N65" s="3" t="str">
        <f>IFERROR(MID(VLOOKUP($B65,Seqs!$A:$B,2,0),O65,1),"")</f>
        <v>G</v>
      </c>
      <c r="O65" s="3">
        <v>69</v>
      </c>
      <c r="P65" s="3" t="str">
        <f>IFERROR(MID(VLOOKUP($B65,Seqs!$A:$B,2,0),Q65,1),"")</f>
        <v>F</v>
      </c>
      <c r="Q65" s="3">
        <v>70</v>
      </c>
      <c r="R65" s="3" t="str">
        <f>IFERROR(MID(VLOOKUP($B65,Seqs!$A:$B,2,0),S65,1),"")</f>
        <v>A</v>
      </c>
      <c r="S65" s="3">
        <v>72</v>
      </c>
      <c r="T65" s="3" t="str">
        <f>IFERROR(MID(VLOOKUP($B65,Seqs!$A:$B,2,0),U65,1),"")</f>
        <v>A</v>
      </c>
      <c r="U65" s="3">
        <v>73</v>
      </c>
      <c r="V65" s="3" t="str">
        <f>IFERROR(MID(VLOOKUP($B65,Seqs!$A:$B,2,0),W65,1),"")</f>
        <v>I</v>
      </c>
      <c r="W65" s="3">
        <v>108</v>
      </c>
      <c r="X65" s="3" t="str">
        <f>IFERROR(MID(VLOOKUP($B65,Seqs!$A:$B,2,0),Y65,1),"")</f>
        <v>P</v>
      </c>
      <c r="Y65" s="3">
        <v>109</v>
      </c>
      <c r="Z65" s="3" t="str">
        <f>IFERROR(MID(VLOOKUP($B65,Seqs!$A:$B,2,0),AA65,1),"")</f>
        <v>V</v>
      </c>
      <c r="AA65" s="3">
        <v>116</v>
      </c>
      <c r="AB65" s="3" t="str">
        <f>IFERROR(MID(VLOOKUP($B65,Seqs!$A:$B,2,0),AC65,1),"")</f>
        <v>T</v>
      </c>
      <c r="AC65" s="3">
        <v>117</v>
      </c>
      <c r="AD65" s="3" t="str">
        <f>IFERROR(MID(VLOOKUP($B65,Seqs!$A:$B,2,0),AE65,1),"")</f>
        <v>G</v>
      </c>
      <c r="AE65" s="3">
        <v>142</v>
      </c>
      <c r="AF65" s="3" t="str">
        <f>IFERROR(MID(VLOOKUP($B65,Seqs!$A:$B,2,0),AG65,1),"")</f>
        <v>C</v>
      </c>
      <c r="AG65" s="3">
        <v>166</v>
      </c>
      <c r="AH65" s="3" t="str">
        <f>IFERROR(MID(VLOOKUP($B65,Seqs!$A:$B,2,0),AI65,1),"")</f>
        <v>F</v>
      </c>
      <c r="AI65" s="3">
        <v>168</v>
      </c>
      <c r="AJ65" s="3" t="str">
        <f>IFERROR(MID(VLOOKUP($B65,Seqs!$A:$B,2,0),AK65,1),"")</f>
        <v>P</v>
      </c>
      <c r="AK65" s="3">
        <v>173</v>
      </c>
      <c r="AL65" s="3" t="str">
        <f>IFERROR(MID(VLOOKUP($B65,Seqs!$A:$B,2,0),AM65,1),"")</f>
        <v>L</v>
      </c>
      <c r="AM65" s="3">
        <v>208</v>
      </c>
      <c r="AN65" s="3" t="str">
        <f>IFERROR(MID(VLOOKUP($B65,Seqs!$A:$B,2,0),AO65,1),"")</f>
        <v>E</v>
      </c>
      <c r="AO65" s="3">
        <v>219</v>
      </c>
      <c r="AP65" s="3" t="str">
        <f>IFERROR(MID(VLOOKUP($B65,Seqs!$A:$B,2,0),AQ65,1),"")</f>
        <v>C</v>
      </c>
      <c r="AQ65" s="3">
        <v>259</v>
      </c>
      <c r="AR65" s="3" t="str">
        <f>IFERROR(MID(VLOOKUP($B65,Seqs!$A:$B,2,0),AS65,1),"")</f>
        <v>P</v>
      </c>
      <c r="AS65" s="3">
        <v>266</v>
      </c>
      <c r="AT65" s="3" t="str">
        <f>IFERROR(MID(VLOOKUP($B65,Seqs!$A:$B,2,0),AU65,1),"")</f>
        <v>R</v>
      </c>
      <c r="AU65" s="3">
        <v>291</v>
      </c>
      <c r="AV65" s="3" t="str">
        <f>IFERROR(MID(VLOOKUP($B65,Seqs!$A:$B,2,0),AW65,1),"")</f>
        <v>I</v>
      </c>
      <c r="AW65" s="3">
        <v>292</v>
      </c>
      <c r="AX65" s="3" t="str">
        <f>IFERROR(MID(VLOOKUP($B65,Seqs!$A:$B,2,0),AY65,1),"")</f>
        <v>H</v>
      </c>
      <c r="AY65" s="3">
        <v>306</v>
      </c>
      <c r="AZ65" s="77" t="str">
        <f>VLOOKUP(B65,Classification!A:D,2,0)</f>
        <v>A</v>
      </c>
      <c r="BA65" s="94" t="str">
        <f>VLOOKUP(B65,Classification!A:D,4,0)</f>
        <v>Adenosine</v>
      </c>
      <c r="BB65" s="27" t="b">
        <f t="shared" si="252"/>
        <v>1</v>
      </c>
      <c r="BC65" s="23">
        <f t="shared" si="253"/>
        <v>263</v>
      </c>
      <c r="BD65" s="5" t="s">
        <v>23</v>
      </c>
      <c r="BE65" s="3" t="s">
        <v>1380</v>
      </c>
      <c r="BF65" s="119">
        <v>2.5099999999999998</v>
      </c>
      <c r="BG65" s="49" t="s">
        <v>1</v>
      </c>
      <c r="BH65" s="49" t="s">
        <v>1</v>
      </c>
      <c r="BI65" s="1"/>
      <c r="BJ65" s="70" t="s">
        <v>1293</v>
      </c>
      <c r="BK65" s="57" t="s">
        <v>1293</v>
      </c>
      <c r="BL65" s="57" t="s">
        <v>1293</v>
      </c>
      <c r="BM65" s="57" t="s">
        <v>1293</v>
      </c>
      <c r="BN65" s="57" t="s">
        <v>1293</v>
      </c>
      <c r="BO65" s="57" t="s">
        <v>1293</v>
      </c>
      <c r="BP65" s="57" t="s">
        <v>1293</v>
      </c>
      <c r="BQ65" s="57" t="s">
        <v>1293</v>
      </c>
      <c r="BR65" s="57" t="s">
        <v>1293</v>
      </c>
      <c r="BS65" s="57" t="s">
        <v>1293</v>
      </c>
      <c r="BT65" s="57" t="s">
        <v>1293</v>
      </c>
      <c r="BU65" s="57" t="s">
        <v>1293</v>
      </c>
      <c r="BV65" s="70">
        <f t="shared" si="254"/>
        <v>1</v>
      </c>
      <c r="BW65" s="71">
        <f t="shared" si="255"/>
        <v>35</v>
      </c>
      <c r="BX65" s="72">
        <f t="shared" si="256"/>
        <v>39</v>
      </c>
      <c r="BY65" s="71">
        <f t="shared" si="257"/>
        <v>70</v>
      </c>
      <c r="BZ65" s="72">
        <f t="shared" si="258"/>
        <v>73</v>
      </c>
      <c r="CA65" s="71">
        <f t="shared" si="259"/>
        <v>109</v>
      </c>
      <c r="CB65" s="72">
        <f t="shared" si="260"/>
        <v>117</v>
      </c>
      <c r="CC65" s="71">
        <f t="shared" si="261"/>
        <v>166</v>
      </c>
      <c r="CD65" s="72">
        <f t="shared" si="262"/>
        <v>173</v>
      </c>
      <c r="CE65" s="71">
        <f t="shared" si="263"/>
        <v>219</v>
      </c>
      <c r="CF65" s="72">
        <f t="shared" si="264"/>
        <v>266</v>
      </c>
      <c r="CG65" s="71">
        <f t="shared" si="265"/>
        <v>292</v>
      </c>
      <c r="CH65" s="70">
        <f t="shared" si="266"/>
        <v>34</v>
      </c>
      <c r="CI65" s="71">
        <f t="shared" si="267"/>
        <v>38</v>
      </c>
      <c r="CJ65" s="72">
        <f t="shared" si="268"/>
        <v>69</v>
      </c>
      <c r="CK65" s="72">
        <f t="shared" si="269"/>
        <v>72</v>
      </c>
      <c r="CL65" s="72">
        <f t="shared" si="270"/>
        <v>108</v>
      </c>
      <c r="CM65" s="72">
        <f t="shared" si="271"/>
        <v>116</v>
      </c>
      <c r="CN65" s="72">
        <f t="shared" si="272"/>
        <v>142</v>
      </c>
      <c r="CO65" s="72">
        <f t="shared" si="273"/>
        <v>168</v>
      </c>
      <c r="CP65" s="72">
        <f t="shared" si="274"/>
        <v>208</v>
      </c>
      <c r="CQ65" s="72">
        <f t="shared" si="275"/>
        <v>259</v>
      </c>
      <c r="CR65" s="72">
        <f t="shared" si="276"/>
        <v>291</v>
      </c>
      <c r="CS65" s="72">
        <f t="shared" si="277"/>
        <v>306</v>
      </c>
      <c r="CT65" s="23">
        <f t="shared" si="278"/>
        <v>1</v>
      </c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</row>
    <row r="66" spans="1:1029" x14ac:dyDescent="0.2">
      <c r="A66" s="3" t="str">
        <f t="shared" si="251"/>
        <v>aa2ar_human_5WF5</v>
      </c>
      <c r="B66" s="3" t="s">
        <v>139</v>
      </c>
      <c r="C66" s="3" t="s">
        <v>1482</v>
      </c>
      <c r="D66" s="3" t="str">
        <f>IFERROR(MID(VLOOKUP($B66,Seqs!$A:$B,2,0),E66,1),"")</f>
        <v>M</v>
      </c>
      <c r="E66" s="3">
        <v>4</v>
      </c>
      <c r="F66" s="3" t="str">
        <f>IFERROR(MID(VLOOKUP($B66,Seqs!$A:$B,2,0),G66,1),"")</f>
        <v>N</v>
      </c>
      <c r="G66" s="3">
        <v>34</v>
      </c>
      <c r="H66" s="3" t="str">
        <f>IFERROR(MID(VLOOKUP($B66,Seqs!$A:$B,2,0),I66,1),"")</f>
        <v>S</v>
      </c>
      <c r="I66" s="23">
        <v>35</v>
      </c>
      <c r="J66" s="3" t="str">
        <f>IFERROR(MID(VLOOKUP($B66,Seqs!$A:$B,2,0),K66,1),"")</f>
        <v>Q</v>
      </c>
      <c r="K66" s="23">
        <v>38</v>
      </c>
      <c r="L66" s="3" t="str">
        <f>IFERROR(MID(VLOOKUP($B66,Seqs!$A:$B,2,0),M66,1),"")</f>
        <v>N</v>
      </c>
      <c r="M66" s="3">
        <v>39</v>
      </c>
      <c r="N66" s="3" t="str">
        <f>IFERROR(MID(VLOOKUP($B66,Seqs!$A:$B,2,0),O66,1),"")</f>
        <v>A</v>
      </c>
      <c r="O66" s="3">
        <v>63</v>
      </c>
      <c r="P66" s="3" t="str">
        <f>IFERROR(MID(VLOOKUP($B66,Seqs!$A:$B,2,0),Q66,1),"")</f>
        <v>F</v>
      </c>
      <c r="Q66" s="3">
        <v>70</v>
      </c>
      <c r="R66" s="3" t="str">
        <f>IFERROR(MID(VLOOKUP($B66,Seqs!$A:$B,2,0),S66,1),"")</f>
        <v>A</v>
      </c>
      <c r="S66" s="3">
        <v>72</v>
      </c>
      <c r="T66" s="3" t="str">
        <f>IFERROR(MID(VLOOKUP($B66,Seqs!$A:$B,2,0),U66,1),"")</f>
        <v>A</v>
      </c>
      <c r="U66" s="3">
        <v>73</v>
      </c>
      <c r="V66" s="3" t="str">
        <f>IFERROR(MID(VLOOKUP($B66,Seqs!$A:$B,2,0),W66,1),"")</f>
        <v>I</v>
      </c>
      <c r="W66" s="3">
        <v>108</v>
      </c>
      <c r="X66" s="3" t="str">
        <f>IFERROR(MID(VLOOKUP($B66,Seqs!$A:$B,2,0),Y66,1),"")</f>
        <v>P</v>
      </c>
      <c r="Y66" s="3">
        <v>109</v>
      </c>
      <c r="Z66" s="3" t="str">
        <f>IFERROR(MID(VLOOKUP($B66,Seqs!$A:$B,2,0),AA66,1),"")</f>
        <v>V</v>
      </c>
      <c r="AA66" s="3">
        <v>116</v>
      </c>
      <c r="AB66" s="3" t="str">
        <f>IFERROR(MID(VLOOKUP($B66,Seqs!$A:$B,2,0),AC66,1),"")</f>
        <v>T</v>
      </c>
      <c r="AC66" s="3">
        <v>117</v>
      </c>
      <c r="AD66" s="3" t="str">
        <f>IFERROR(MID(VLOOKUP($B66,Seqs!$A:$B,2,0),AE66,1),"")</f>
        <v>G</v>
      </c>
      <c r="AE66" s="3">
        <v>142</v>
      </c>
      <c r="AF66" s="3" t="str">
        <f>IFERROR(MID(VLOOKUP($B66,Seqs!$A:$B,2,0),AG66,1),"")</f>
        <v>C</v>
      </c>
      <c r="AG66" s="3">
        <v>166</v>
      </c>
      <c r="AH66" s="3" t="str">
        <f>IFERROR(MID(VLOOKUP($B66,Seqs!$A:$B,2,0),AI66,1),"")</f>
        <v>F</v>
      </c>
      <c r="AI66" s="3">
        <v>168</v>
      </c>
      <c r="AJ66" s="3" t="str">
        <f>IFERROR(MID(VLOOKUP($B66,Seqs!$A:$B,2,0),AK66,1),"")</f>
        <v>P</v>
      </c>
      <c r="AK66" s="3">
        <v>173</v>
      </c>
      <c r="AL66" s="3" t="str">
        <f>IFERROR(MID(VLOOKUP($B66,Seqs!$A:$B,2,0),AM66,1),"")</f>
        <v>R</v>
      </c>
      <c r="AM66" s="3">
        <v>205</v>
      </c>
      <c r="AN66" s="3" t="str">
        <f>IFERROR(MID(VLOOKUP($B66,Seqs!$A:$B,2,0),AO66,1),"")</f>
        <v>L</v>
      </c>
      <c r="AO66" s="3">
        <v>225</v>
      </c>
      <c r="AP66" s="3" t="str">
        <f>IFERROR(MID(VLOOKUP($B66,Seqs!$A:$B,2,0),AQ66,1),"")</f>
        <v>C</v>
      </c>
      <c r="AQ66" s="3">
        <v>259</v>
      </c>
      <c r="AR66" s="3" t="str">
        <f>IFERROR(MID(VLOOKUP($B66,Seqs!$A:$B,2,0),AS66,1),"")</f>
        <v>P</v>
      </c>
      <c r="AS66" s="3">
        <v>266</v>
      </c>
      <c r="AT66" s="3" t="str">
        <f>IFERROR(MID(VLOOKUP($B66,Seqs!$A:$B,2,0),AU66,1),"")</f>
        <v>R</v>
      </c>
      <c r="AU66" s="3">
        <v>291</v>
      </c>
      <c r="AV66" s="3" t="str">
        <f>IFERROR(MID(VLOOKUP($B66,Seqs!$A:$B,2,0),AW66,1),"")</f>
        <v>I</v>
      </c>
      <c r="AW66" s="3">
        <v>292</v>
      </c>
      <c r="AX66" s="3" t="str">
        <f>IFERROR(MID(VLOOKUP($B66,Seqs!$A:$B,2,0),AY66,1),"")</f>
        <v>V</v>
      </c>
      <c r="AY66" s="3">
        <v>307</v>
      </c>
      <c r="AZ66" s="77" t="str">
        <f>VLOOKUP(B66,Classification!A:D,2,0)</f>
        <v>A</v>
      </c>
      <c r="BA66" s="94" t="str">
        <f>VLOOKUP(B66,Classification!A:D,4,0)</f>
        <v>Adenosine</v>
      </c>
      <c r="BB66" s="27" t="b">
        <f t="shared" si="252"/>
        <v>1</v>
      </c>
      <c r="BC66" s="23">
        <f t="shared" si="253"/>
        <v>246</v>
      </c>
      <c r="BD66" s="5" t="s">
        <v>23</v>
      </c>
      <c r="BE66" s="3" t="s">
        <v>1483</v>
      </c>
      <c r="BF66" s="119">
        <v>2.6</v>
      </c>
      <c r="BG66" s="49" t="s">
        <v>1</v>
      </c>
      <c r="BH66" s="49" t="s">
        <v>1</v>
      </c>
      <c r="BI66" s="1"/>
      <c r="BJ66" s="70" t="s">
        <v>1293</v>
      </c>
      <c r="BK66" s="57" t="s">
        <v>1293</v>
      </c>
      <c r="BL66" s="57" t="s">
        <v>1293</v>
      </c>
      <c r="BM66" s="57" t="s">
        <v>1293</v>
      </c>
      <c r="BN66" s="57" t="s">
        <v>1293</v>
      </c>
      <c r="BO66" s="57" t="s">
        <v>1293</v>
      </c>
      <c r="BP66" s="57" t="s">
        <v>1293</v>
      </c>
      <c r="BQ66" s="57" t="s">
        <v>1293</v>
      </c>
      <c r="BR66" s="57" t="s">
        <v>1293</v>
      </c>
      <c r="BS66" s="57" t="s">
        <v>1293</v>
      </c>
      <c r="BT66" s="57" t="s">
        <v>1293</v>
      </c>
      <c r="BU66" s="57" t="s">
        <v>1293</v>
      </c>
      <c r="BV66" s="70">
        <f t="shared" si="254"/>
        <v>4</v>
      </c>
      <c r="BW66" s="71">
        <f t="shared" si="255"/>
        <v>35</v>
      </c>
      <c r="BX66" s="72">
        <f t="shared" si="256"/>
        <v>39</v>
      </c>
      <c r="BY66" s="71">
        <f t="shared" si="257"/>
        <v>70</v>
      </c>
      <c r="BZ66" s="72">
        <f t="shared" si="258"/>
        <v>73</v>
      </c>
      <c r="CA66" s="71">
        <f t="shared" si="259"/>
        <v>109</v>
      </c>
      <c r="CB66" s="72">
        <f t="shared" si="260"/>
        <v>117</v>
      </c>
      <c r="CC66" s="71">
        <f t="shared" si="261"/>
        <v>166</v>
      </c>
      <c r="CD66" s="72">
        <f t="shared" si="262"/>
        <v>173</v>
      </c>
      <c r="CE66" s="71">
        <f t="shared" si="263"/>
        <v>225</v>
      </c>
      <c r="CF66" s="72">
        <f t="shared" si="264"/>
        <v>266</v>
      </c>
      <c r="CG66" s="71">
        <f t="shared" si="265"/>
        <v>292</v>
      </c>
      <c r="CH66" s="70">
        <f t="shared" si="266"/>
        <v>34</v>
      </c>
      <c r="CI66" s="71">
        <f t="shared" si="267"/>
        <v>38</v>
      </c>
      <c r="CJ66" s="72">
        <f t="shared" si="268"/>
        <v>63</v>
      </c>
      <c r="CK66" s="72">
        <f t="shared" si="269"/>
        <v>72</v>
      </c>
      <c r="CL66" s="72">
        <f t="shared" si="270"/>
        <v>108</v>
      </c>
      <c r="CM66" s="72">
        <f t="shared" si="271"/>
        <v>116</v>
      </c>
      <c r="CN66" s="72">
        <f t="shared" si="272"/>
        <v>142</v>
      </c>
      <c r="CO66" s="72">
        <f t="shared" si="273"/>
        <v>168</v>
      </c>
      <c r="CP66" s="72">
        <f t="shared" si="274"/>
        <v>205</v>
      </c>
      <c r="CQ66" s="72">
        <f t="shared" si="275"/>
        <v>259</v>
      </c>
      <c r="CR66" s="72">
        <f t="shared" si="276"/>
        <v>291</v>
      </c>
      <c r="CS66" s="72">
        <f t="shared" si="277"/>
        <v>307</v>
      </c>
      <c r="CT66" s="23">
        <f t="shared" si="278"/>
        <v>1</v>
      </c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</row>
    <row r="67" spans="1:1029" x14ac:dyDescent="0.2">
      <c r="A67" s="3" t="str">
        <f t="shared" si="251"/>
        <v>aa2ar_human_5WF6</v>
      </c>
      <c r="B67" s="3" t="s">
        <v>139</v>
      </c>
      <c r="C67" s="3" t="s">
        <v>1484</v>
      </c>
      <c r="D67" s="3" t="str">
        <f>IFERROR(MID(VLOOKUP($B67,Seqs!$A:$B,2,0),E67,1),"")</f>
        <v>M</v>
      </c>
      <c r="E67" s="3">
        <v>4</v>
      </c>
      <c r="F67" s="3" t="str">
        <f>IFERROR(MID(VLOOKUP($B67,Seqs!$A:$B,2,0),G67,1),"")</f>
        <v>N</v>
      </c>
      <c r="G67" s="3">
        <v>34</v>
      </c>
      <c r="H67" s="3" t="str">
        <f>IFERROR(MID(VLOOKUP($B67,Seqs!$A:$B,2,0),I67,1),"")</f>
        <v>S</v>
      </c>
      <c r="I67" s="23">
        <v>35</v>
      </c>
      <c r="J67" s="3" t="str">
        <f>IFERROR(MID(VLOOKUP($B67,Seqs!$A:$B,2,0),K67,1),"")</f>
        <v>Q</v>
      </c>
      <c r="K67" s="23">
        <v>38</v>
      </c>
      <c r="L67" s="3" t="str">
        <f>IFERROR(MID(VLOOKUP($B67,Seqs!$A:$B,2,0),M67,1),"")</f>
        <v>N</v>
      </c>
      <c r="M67" s="3">
        <v>39</v>
      </c>
      <c r="N67" s="3" t="str">
        <f>IFERROR(MID(VLOOKUP($B67,Seqs!$A:$B,2,0),O67,1),"")</f>
        <v>A</v>
      </c>
      <c r="O67" s="3">
        <v>63</v>
      </c>
      <c r="P67" s="3" t="str">
        <f>IFERROR(MID(VLOOKUP($B67,Seqs!$A:$B,2,0),Q67,1),"")</f>
        <v>F</v>
      </c>
      <c r="Q67" s="3">
        <v>70</v>
      </c>
      <c r="R67" s="3" t="str">
        <f>IFERROR(MID(VLOOKUP($B67,Seqs!$A:$B,2,0),S67,1),"")</f>
        <v>A</v>
      </c>
      <c r="S67" s="3">
        <v>72</v>
      </c>
      <c r="T67" s="3" t="str">
        <f>IFERROR(MID(VLOOKUP($B67,Seqs!$A:$B,2,0),U67,1),"")</f>
        <v>A</v>
      </c>
      <c r="U67" s="3">
        <v>73</v>
      </c>
      <c r="V67" s="3" t="str">
        <f>IFERROR(MID(VLOOKUP($B67,Seqs!$A:$B,2,0),W67,1),"")</f>
        <v>I</v>
      </c>
      <c r="W67" s="3">
        <v>108</v>
      </c>
      <c r="X67" s="3" t="str">
        <f>IFERROR(MID(VLOOKUP($B67,Seqs!$A:$B,2,0),Y67,1),"")</f>
        <v>P</v>
      </c>
      <c r="Y67" s="3">
        <v>109</v>
      </c>
      <c r="Z67" s="3" t="str">
        <f>IFERROR(MID(VLOOKUP($B67,Seqs!$A:$B,2,0),AA67,1),"")</f>
        <v>V</v>
      </c>
      <c r="AA67" s="3">
        <v>116</v>
      </c>
      <c r="AB67" s="3" t="str">
        <f>IFERROR(MID(VLOOKUP($B67,Seqs!$A:$B,2,0),AC67,1),"")</f>
        <v>T</v>
      </c>
      <c r="AC67" s="3">
        <v>117</v>
      </c>
      <c r="AD67" s="3" t="str">
        <f>IFERROR(MID(VLOOKUP($B67,Seqs!$A:$B,2,0),AE67,1),"")</f>
        <v>G</v>
      </c>
      <c r="AE67" s="3">
        <v>142</v>
      </c>
      <c r="AF67" s="3" t="str">
        <f>IFERROR(MID(VLOOKUP($B67,Seqs!$A:$B,2,0),AG67,1),"")</f>
        <v>C</v>
      </c>
      <c r="AG67" s="3">
        <v>166</v>
      </c>
      <c r="AH67" s="3" t="str">
        <f>IFERROR(MID(VLOOKUP($B67,Seqs!$A:$B,2,0),AI67,1),"")</f>
        <v>F</v>
      </c>
      <c r="AI67" s="3">
        <v>168</v>
      </c>
      <c r="AJ67" s="3" t="str">
        <f>IFERROR(MID(VLOOKUP($B67,Seqs!$A:$B,2,0),AK67,1),"")</f>
        <v>P</v>
      </c>
      <c r="AK67" s="3">
        <v>173</v>
      </c>
      <c r="AL67" s="3" t="str">
        <f>IFERROR(MID(VLOOKUP($B67,Seqs!$A:$B,2,0),AM67,1),"")</f>
        <v>R</v>
      </c>
      <c r="AM67" s="3">
        <v>205</v>
      </c>
      <c r="AN67" s="3" t="str">
        <f>IFERROR(MID(VLOOKUP($B67,Seqs!$A:$B,2,0),AO67,1),"")</f>
        <v>L</v>
      </c>
      <c r="AO67" s="3">
        <v>225</v>
      </c>
      <c r="AP67" s="3" t="str">
        <f>IFERROR(MID(VLOOKUP($B67,Seqs!$A:$B,2,0),AQ67,1),"")</f>
        <v>C</v>
      </c>
      <c r="AQ67" s="3">
        <v>259</v>
      </c>
      <c r="AR67" s="3" t="str">
        <f>IFERROR(MID(VLOOKUP($B67,Seqs!$A:$B,2,0),AS67,1),"")</f>
        <v>P</v>
      </c>
      <c r="AS67" s="3">
        <v>266</v>
      </c>
      <c r="AT67" s="3" t="str">
        <f>IFERROR(MID(VLOOKUP($B67,Seqs!$A:$B,2,0),AU67,1),"")</f>
        <v>R</v>
      </c>
      <c r="AU67" s="3">
        <v>291</v>
      </c>
      <c r="AV67" s="3" t="str">
        <f>IFERROR(MID(VLOOKUP($B67,Seqs!$A:$B,2,0),AW67,1),"")</f>
        <v>I</v>
      </c>
      <c r="AW67" s="3">
        <v>292</v>
      </c>
      <c r="AX67" s="3" t="str">
        <f>IFERROR(MID(VLOOKUP($B67,Seqs!$A:$B,2,0),AY67,1),"")</f>
        <v>V</v>
      </c>
      <c r="AY67" s="3">
        <v>307</v>
      </c>
      <c r="AZ67" s="77" t="str">
        <f>VLOOKUP(B67,Classification!A:D,2,0)</f>
        <v>A</v>
      </c>
      <c r="BA67" s="94" t="str">
        <f>VLOOKUP(B67,Classification!A:D,4,0)</f>
        <v>Adenosine</v>
      </c>
      <c r="BB67" s="27" t="b">
        <f t="shared" si="252"/>
        <v>1</v>
      </c>
      <c r="BC67" s="23">
        <f t="shared" si="253"/>
        <v>246</v>
      </c>
      <c r="BD67" s="5" t="s">
        <v>23</v>
      </c>
      <c r="BE67" s="3" t="s">
        <v>1483</v>
      </c>
      <c r="BF67" s="119">
        <v>2.9</v>
      </c>
      <c r="BG67" s="49" t="s">
        <v>1</v>
      </c>
      <c r="BH67" s="49" t="s">
        <v>1</v>
      </c>
      <c r="BI67" s="1"/>
      <c r="BJ67" s="70" t="s">
        <v>1293</v>
      </c>
      <c r="BK67" s="57" t="s">
        <v>1293</v>
      </c>
      <c r="BL67" s="57" t="s">
        <v>1293</v>
      </c>
      <c r="BM67" s="57" t="s">
        <v>1293</v>
      </c>
      <c r="BN67" s="57" t="s">
        <v>1293</v>
      </c>
      <c r="BO67" s="57" t="s">
        <v>1293</v>
      </c>
      <c r="BP67" s="57" t="s">
        <v>1293</v>
      </c>
      <c r="BQ67" s="57" t="s">
        <v>1293</v>
      </c>
      <c r="BR67" s="57" t="s">
        <v>1293</v>
      </c>
      <c r="BS67" s="57" t="s">
        <v>1293</v>
      </c>
      <c r="BT67" s="57" t="s">
        <v>1293</v>
      </c>
      <c r="BU67" s="57" t="s">
        <v>1293</v>
      </c>
      <c r="BV67" s="70">
        <f t="shared" si="254"/>
        <v>4</v>
      </c>
      <c r="BW67" s="71">
        <f t="shared" si="255"/>
        <v>35</v>
      </c>
      <c r="BX67" s="72">
        <f t="shared" si="256"/>
        <v>39</v>
      </c>
      <c r="BY67" s="71">
        <f t="shared" si="257"/>
        <v>70</v>
      </c>
      <c r="BZ67" s="72">
        <f t="shared" si="258"/>
        <v>73</v>
      </c>
      <c r="CA67" s="71">
        <f t="shared" si="259"/>
        <v>109</v>
      </c>
      <c r="CB67" s="72">
        <f t="shared" si="260"/>
        <v>117</v>
      </c>
      <c r="CC67" s="71">
        <f t="shared" si="261"/>
        <v>166</v>
      </c>
      <c r="CD67" s="72">
        <f t="shared" si="262"/>
        <v>173</v>
      </c>
      <c r="CE67" s="71">
        <f t="shared" si="263"/>
        <v>225</v>
      </c>
      <c r="CF67" s="72">
        <f t="shared" si="264"/>
        <v>266</v>
      </c>
      <c r="CG67" s="71">
        <f t="shared" si="265"/>
        <v>292</v>
      </c>
      <c r="CH67" s="70">
        <f t="shared" si="266"/>
        <v>34</v>
      </c>
      <c r="CI67" s="71">
        <f t="shared" si="267"/>
        <v>38</v>
      </c>
      <c r="CJ67" s="72">
        <f t="shared" si="268"/>
        <v>63</v>
      </c>
      <c r="CK67" s="72">
        <f t="shared" si="269"/>
        <v>72</v>
      </c>
      <c r="CL67" s="72">
        <f t="shared" si="270"/>
        <v>108</v>
      </c>
      <c r="CM67" s="72">
        <f t="shared" si="271"/>
        <v>116</v>
      </c>
      <c r="CN67" s="72">
        <f t="shared" si="272"/>
        <v>142</v>
      </c>
      <c r="CO67" s="72">
        <f t="shared" si="273"/>
        <v>168</v>
      </c>
      <c r="CP67" s="72">
        <f t="shared" si="274"/>
        <v>205</v>
      </c>
      <c r="CQ67" s="72">
        <f t="shared" si="275"/>
        <v>259</v>
      </c>
      <c r="CR67" s="72">
        <f t="shared" si="276"/>
        <v>291</v>
      </c>
      <c r="CS67" s="72">
        <f t="shared" si="277"/>
        <v>307</v>
      </c>
      <c r="CT67" s="23">
        <f t="shared" si="278"/>
        <v>1</v>
      </c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</row>
    <row r="68" spans="1:1029" x14ac:dyDescent="0.2">
      <c r="A68" s="3" t="str">
        <f t="shared" si="251"/>
        <v>aa2ar_human_6GDG</v>
      </c>
      <c r="B68" s="3" t="s">
        <v>139</v>
      </c>
      <c r="C68" s="3" t="s">
        <v>1506</v>
      </c>
      <c r="D68" s="3" t="str">
        <f>IFERROR(MID(VLOOKUP($B68,Seqs!$A:$B,2,0),E68,1),"")</f>
        <v>V</v>
      </c>
      <c r="E68" s="3">
        <v>8</v>
      </c>
      <c r="F68" s="3" t="str">
        <f>IFERROR(MID(VLOOKUP($B68,Seqs!$A:$B,2,0),G68,1),"")</f>
        <v>N</v>
      </c>
      <c r="G68" s="3">
        <v>34</v>
      </c>
      <c r="H68" s="3" t="str">
        <f>IFERROR(MID(VLOOKUP($B68,Seqs!$A:$B,2,0),I68,1),"")</f>
        <v>S</v>
      </c>
      <c r="I68" s="23">
        <v>35</v>
      </c>
      <c r="J68" s="3" t="str">
        <f>IFERROR(MID(VLOOKUP($B68,Seqs!$A:$B,2,0),K68,1),"")</f>
        <v>Q</v>
      </c>
      <c r="K68" s="23">
        <v>38</v>
      </c>
      <c r="L68" s="3" t="str">
        <f>IFERROR(MID(VLOOKUP($B68,Seqs!$A:$B,2,0),M68,1),"")</f>
        <v>N</v>
      </c>
      <c r="M68" s="3">
        <v>39</v>
      </c>
      <c r="N68" s="3" t="str">
        <f>IFERROR(MID(VLOOKUP($B68,Seqs!$A:$B,2,0),O68,1),"")</f>
        <v>G</v>
      </c>
      <c r="O68" s="3">
        <v>69</v>
      </c>
      <c r="P68" s="3" t="str">
        <f>IFERROR(MID(VLOOKUP($B68,Seqs!$A:$B,2,0),Q68,1),"")</f>
        <v>F</v>
      </c>
      <c r="Q68" s="3">
        <v>70</v>
      </c>
      <c r="R68" s="3" t="str">
        <f>IFERROR(MID(VLOOKUP($B68,Seqs!$A:$B,2,0),S68,1),"")</f>
        <v>A</v>
      </c>
      <c r="S68" s="3">
        <v>72</v>
      </c>
      <c r="T68" s="3" t="str">
        <f>IFERROR(MID(VLOOKUP($B68,Seqs!$A:$B,2,0),U68,1),"")</f>
        <v>A</v>
      </c>
      <c r="U68" s="3">
        <v>73</v>
      </c>
      <c r="V68" s="3" t="str">
        <f>IFERROR(MID(VLOOKUP($B68,Seqs!$A:$B,2,0),W68,1),"")</f>
        <v>I</v>
      </c>
      <c r="W68" s="3">
        <v>108</v>
      </c>
      <c r="X68" s="3" t="str">
        <f>IFERROR(MID(VLOOKUP($B68,Seqs!$A:$B,2,0),Y68,1),"")</f>
        <v>P</v>
      </c>
      <c r="Y68" s="3">
        <v>109</v>
      </c>
      <c r="Z68" s="3" t="str">
        <f>IFERROR(MID(VLOOKUP($B68,Seqs!$A:$B,2,0),AA68,1),"")</f>
        <v>V</v>
      </c>
      <c r="AA68" s="3">
        <v>116</v>
      </c>
      <c r="AB68" s="3" t="str">
        <f>IFERROR(MID(VLOOKUP($B68,Seqs!$A:$B,2,0),AC68,1),"")</f>
        <v>T</v>
      </c>
      <c r="AC68" s="3">
        <v>117</v>
      </c>
      <c r="AD68" s="3" t="str">
        <f>IFERROR(MID(VLOOKUP($B68,Seqs!$A:$B,2,0),AE68,1),"")</f>
        <v>L</v>
      </c>
      <c r="AE68" s="3">
        <v>141</v>
      </c>
      <c r="AF68" s="3" t="str">
        <f>IFERROR(MID(VLOOKUP($B68,Seqs!$A:$B,2,0),AG68,1),"")</f>
        <v>C</v>
      </c>
      <c r="AG68" s="3">
        <v>166</v>
      </c>
      <c r="AH68" s="3" t="str">
        <f>IFERROR(MID(VLOOKUP($B68,Seqs!$A:$B,2,0),AI68,1),"")</f>
        <v>F</v>
      </c>
      <c r="AI68" s="3">
        <v>168</v>
      </c>
      <c r="AJ68" s="3" t="str">
        <f>IFERROR(MID(VLOOKUP($B68,Seqs!$A:$B,2,0),AK68,1),"")</f>
        <v>P</v>
      </c>
      <c r="AK68" s="3">
        <v>173</v>
      </c>
      <c r="AL68" s="3" t="str">
        <f>IFERROR(MID(VLOOKUP($B68,Seqs!$A:$B,2,0),AM68,1),"")</f>
        <v>L</v>
      </c>
      <c r="AM68" s="3">
        <v>208</v>
      </c>
      <c r="AN68" s="3" t="str">
        <f>IFERROR(MID(VLOOKUP($B68,Seqs!$A:$B,2,0),AO68,1),"")</f>
        <v>T</v>
      </c>
      <c r="AO68" s="3">
        <v>224</v>
      </c>
      <c r="AP68" s="3" t="str">
        <f>IFERROR(MID(VLOOKUP($B68,Seqs!$A:$B,2,0),AQ68,1),"")</f>
        <v>C</v>
      </c>
      <c r="AQ68" s="3">
        <v>259</v>
      </c>
      <c r="AR68" s="3" t="str">
        <f>IFERROR(MID(VLOOKUP($B68,Seqs!$A:$B,2,0),AS68,1),"")</f>
        <v>P</v>
      </c>
      <c r="AS68" s="3">
        <v>266</v>
      </c>
      <c r="AT68" s="3" t="str">
        <f>IFERROR(MID(VLOOKUP($B68,Seqs!$A:$B,2,0),AU68,1),"")</f>
        <v>R</v>
      </c>
      <c r="AU68" s="3">
        <v>291</v>
      </c>
      <c r="AV68" s="3" t="str">
        <f>IFERROR(MID(VLOOKUP($B68,Seqs!$A:$B,2,0),AW68,1),"")</f>
        <v>I</v>
      </c>
      <c r="AW68" s="3">
        <v>292</v>
      </c>
      <c r="AX68" s="3" t="str">
        <f>IFERROR(MID(VLOOKUP($B68,Seqs!$A:$B,2,0),AY68,1),"")</f>
        <v>F</v>
      </c>
      <c r="AY68" s="3">
        <v>299</v>
      </c>
      <c r="AZ68" s="77" t="str">
        <f>VLOOKUP(B68,Classification!A:D,2,0)</f>
        <v>A</v>
      </c>
      <c r="BA68" s="94" t="str">
        <f>VLOOKUP(B68,Classification!A:D,4,0)</f>
        <v>Adenosine</v>
      </c>
      <c r="BB68" s="27" t="b">
        <f t="shared" si="252"/>
        <v>1</v>
      </c>
      <c r="BC68" s="23">
        <f t="shared" si="253"/>
        <v>243</v>
      </c>
      <c r="BD68" s="5" t="s">
        <v>23</v>
      </c>
      <c r="BE68" s="3" t="s">
        <v>1297</v>
      </c>
      <c r="BF68" s="119">
        <v>4.1100000000000003</v>
      </c>
      <c r="BG68" s="49" t="s">
        <v>1</v>
      </c>
      <c r="BH68" s="49" t="s">
        <v>1</v>
      </c>
      <c r="BI68" s="1"/>
      <c r="BJ68" s="70" t="s">
        <v>1293</v>
      </c>
      <c r="BK68" s="57" t="s">
        <v>1293</v>
      </c>
      <c r="BL68" s="57" t="s">
        <v>1293</v>
      </c>
      <c r="BM68" s="57" t="s">
        <v>1293</v>
      </c>
      <c r="BN68" s="57" t="s">
        <v>1293</v>
      </c>
      <c r="BO68" s="57" t="s">
        <v>1293</v>
      </c>
      <c r="BP68" s="57" t="s">
        <v>1293</v>
      </c>
      <c r="BQ68" s="57" t="s">
        <v>1293</v>
      </c>
      <c r="BR68" s="57" t="s">
        <v>1293</v>
      </c>
      <c r="BS68" s="57" t="s">
        <v>1293</v>
      </c>
      <c r="BT68" s="57" t="s">
        <v>1293</v>
      </c>
      <c r="BU68" s="57" t="s">
        <v>1293</v>
      </c>
      <c r="BV68" s="70">
        <f t="shared" si="254"/>
        <v>8</v>
      </c>
      <c r="BW68" s="71">
        <f t="shared" si="255"/>
        <v>35</v>
      </c>
      <c r="BX68" s="72">
        <f t="shared" si="256"/>
        <v>39</v>
      </c>
      <c r="BY68" s="71">
        <f t="shared" si="257"/>
        <v>70</v>
      </c>
      <c r="BZ68" s="72">
        <f t="shared" si="258"/>
        <v>73</v>
      </c>
      <c r="CA68" s="71">
        <f t="shared" si="259"/>
        <v>109</v>
      </c>
      <c r="CB68" s="72">
        <f t="shared" si="260"/>
        <v>117</v>
      </c>
      <c r="CC68" s="71">
        <f t="shared" si="261"/>
        <v>166</v>
      </c>
      <c r="CD68" s="72">
        <f t="shared" si="262"/>
        <v>173</v>
      </c>
      <c r="CE68" s="71">
        <f t="shared" si="263"/>
        <v>224</v>
      </c>
      <c r="CF68" s="72">
        <f t="shared" si="264"/>
        <v>266</v>
      </c>
      <c r="CG68" s="71">
        <f t="shared" si="265"/>
        <v>292</v>
      </c>
      <c r="CH68" s="70">
        <f t="shared" si="266"/>
        <v>34</v>
      </c>
      <c r="CI68" s="71">
        <f t="shared" si="267"/>
        <v>38</v>
      </c>
      <c r="CJ68" s="72">
        <f t="shared" si="268"/>
        <v>69</v>
      </c>
      <c r="CK68" s="72">
        <f t="shared" si="269"/>
        <v>72</v>
      </c>
      <c r="CL68" s="72">
        <f t="shared" si="270"/>
        <v>108</v>
      </c>
      <c r="CM68" s="72">
        <f t="shared" si="271"/>
        <v>116</v>
      </c>
      <c r="CN68" s="72">
        <f t="shared" si="272"/>
        <v>141</v>
      </c>
      <c r="CO68" s="72">
        <f t="shared" si="273"/>
        <v>168</v>
      </c>
      <c r="CP68" s="72">
        <f t="shared" si="274"/>
        <v>208</v>
      </c>
      <c r="CQ68" s="72">
        <f t="shared" si="275"/>
        <v>259</v>
      </c>
      <c r="CR68" s="72">
        <f t="shared" si="276"/>
        <v>291</v>
      </c>
      <c r="CS68" s="72">
        <f t="shared" si="277"/>
        <v>299</v>
      </c>
      <c r="CT68" s="23">
        <f t="shared" si="278"/>
        <v>1</v>
      </c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</row>
    <row r="69" spans="1:1029" x14ac:dyDescent="0.2">
      <c r="A69" s="3" t="str">
        <f t="shared" si="0"/>
        <v>acm1_human__wt</v>
      </c>
      <c r="B69" s="3" t="s">
        <v>146</v>
      </c>
      <c r="C69" s="3" t="s">
        <v>100</v>
      </c>
      <c r="D69" s="3" t="str">
        <f>IFERROR(MID(VLOOKUP($B69,Seqs!$A:$B,2,0),E69,1),"")</f>
        <v>P</v>
      </c>
      <c r="E69" s="3">
        <v>22</v>
      </c>
      <c r="F69" s="3" t="str">
        <f>IFERROR(MID(VLOOKUP($B69,Seqs!$A:$B,2,0),G69,1),"")</f>
        <v>N</v>
      </c>
      <c r="G69" s="3">
        <v>53</v>
      </c>
      <c r="H69" s="3" t="str">
        <f>IFERROR(MID(VLOOKUP($B69,Seqs!$A:$B,2,0),I69,1),"")</f>
        <v>T</v>
      </c>
      <c r="I69" s="23">
        <v>54</v>
      </c>
      <c r="J69" s="3" t="str">
        <f>IFERROR(MID(VLOOKUP($B69,Seqs!$A:$B,2,0),K69,1),"")</f>
        <v>K</v>
      </c>
      <c r="K69" s="23">
        <v>57</v>
      </c>
      <c r="L69" s="3" t="str">
        <f>IFERROR(MID(VLOOKUP($B69,Seqs!$A:$B,2,0),M69,1),"")</f>
        <v>T</v>
      </c>
      <c r="M69" s="3">
        <v>58</v>
      </c>
      <c r="N69" s="3" t="str">
        <f>IFERROR(MID(VLOOKUP($B69,Seqs!$A:$B,2,0),O69,1),"")</f>
        <v>G</v>
      </c>
      <c r="O69" s="3">
        <v>89</v>
      </c>
      <c r="P69" s="3" t="str">
        <f>IFERROR(MID(VLOOKUP($B69,Seqs!$A:$B,2,0),Q69,1),"")</f>
        <v>H</v>
      </c>
      <c r="Q69" s="3">
        <v>90</v>
      </c>
      <c r="R69" s="3" t="str">
        <f>IFERROR(MID(VLOOKUP($B69,Seqs!$A:$B,2,0),S69,1),"")</f>
        <v>L</v>
      </c>
      <c r="S69" s="3">
        <v>93</v>
      </c>
      <c r="T69" s="3" t="str">
        <f>IFERROR(MID(VLOOKUP($B69,Seqs!$A:$B,2,0),U69,1),"")</f>
        <v>G</v>
      </c>
      <c r="U69" s="3">
        <v>94</v>
      </c>
      <c r="V69" s="3" t="str">
        <f>IFERROR(MID(VLOOKUP($B69,Seqs!$A:$B,2,0),W69,1),"")</f>
        <v>R</v>
      </c>
      <c r="W69" s="3">
        <v>129</v>
      </c>
      <c r="X69" s="3" t="str">
        <f>IFERROR(MID(VLOOKUP($B69,Seqs!$A:$B,2,0),Y69,1),"")</f>
        <v>P</v>
      </c>
      <c r="Y69" s="3">
        <v>130</v>
      </c>
      <c r="Z69" s="3" t="str">
        <f>IFERROR(MID(VLOOKUP($B69,Seqs!$A:$B,2,0),AA69,1),"")</f>
        <v>R</v>
      </c>
      <c r="AA69" s="3">
        <v>137</v>
      </c>
      <c r="AB69" s="3" t="str">
        <f>IFERROR(MID(VLOOKUP($B69,Seqs!$A:$B,2,0),AC69,1),"")</f>
        <v>T</v>
      </c>
      <c r="AC69" s="3">
        <v>138</v>
      </c>
      <c r="AD69" s="3" t="str">
        <f>IFERROR(MID(VLOOKUP($B69,Seqs!$A:$B,2,0),AE69,1),"")</f>
        <v>G</v>
      </c>
      <c r="AE69" s="3">
        <v>169</v>
      </c>
      <c r="AF69" s="3" t="str">
        <f>IFERROR(MID(VLOOKUP($B69,Seqs!$A:$B,2,0),AG69,1),"")</f>
        <v>C</v>
      </c>
      <c r="AG69" s="3">
        <v>178</v>
      </c>
      <c r="AH69" s="3" t="str">
        <f>IFERROR(MID(VLOOKUP($B69,Seqs!$A:$B,2,0),AI69,1),"")</f>
        <v>I</v>
      </c>
      <c r="AI69" s="3">
        <v>180</v>
      </c>
      <c r="AJ69" s="3" t="str">
        <f>IFERROR(MID(VLOOKUP($B69,Seqs!$A:$B,2,0),AK69,1),"")</f>
        <v>Q</v>
      </c>
      <c r="AK69" s="3">
        <v>185</v>
      </c>
      <c r="AL69" s="3" t="str">
        <f>IFERROR(MID(VLOOKUP($B69,Seqs!$A:$B,2,0),AM69,1),"")</f>
        <v>L</v>
      </c>
      <c r="AM69" s="3">
        <v>225</v>
      </c>
      <c r="AN69" s="3" t="str">
        <f>IFERROR(MID(VLOOKUP($B69,Seqs!$A:$B,2,0),AO69,1),"")</f>
        <v>T</v>
      </c>
      <c r="AO69" s="3">
        <v>354</v>
      </c>
      <c r="AP69" s="3" t="str">
        <f>IFERROR(MID(VLOOKUP($B69,Seqs!$A:$B,2,0),AQ69,1),"")</f>
        <v>C</v>
      </c>
      <c r="AQ69" s="3">
        <v>391</v>
      </c>
      <c r="AR69" s="3" t="str">
        <f>IFERROR(MID(VLOOKUP($B69,Seqs!$A:$B,2,0),AS69,1),"")</f>
        <v>P</v>
      </c>
      <c r="AS69" s="3">
        <v>396</v>
      </c>
      <c r="AT69" s="3" t="str">
        <f>IFERROR(MID(VLOOKUP($B69,Seqs!$A:$B,2,0),AU69,1),"")</f>
        <v>C</v>
      </c>
      <c r="AU69" s="3">
        <v>421</v>
      </c>
      <c r="AV69" s="3" t="str">
        <f>IFERROR(MID(VLOOKUP($B69,Seqs!$A:$B,2,0),AW69,1),"")</f>
        <v>N</v>
      </c>
      <c r="AW69" s="3">
        <v>422</v>
      </c>
      <c r="AX69" s="3" t="str">
        <f>IFERROR(MID(VLOOKUP($B69,Seqs!$A:$B,2,0),AY69,1),"")</f>
        <v>L</v>
      </c>
      <c r="AY69" s="3">
        <v>434</v>
      </c>
      <c r="AZ69" s="77" t="str">
        <f>VLOOKUP(B69,Classification!A:D,2,0)</f>
        <v>A</v>
      </c>
      <c r="BA69" s="94" t="str">
        <f>VLOOKUP(B69,Classification!A:D,4,0)</f>
        <v>Acetylcholine(muscarinic)</v>
      </c>
      <c r="BB69" s="27" t="b">
        <f t="shared" si="1"/>
        <v>1</v>
      </c>
      <c r="BC69" s="23">
        <f t="shared" si="225"/>
        <v>269</v>
      </c>
      <c r="BD69" s="56" t="s">
        <v>23</v>
      </c>
      <c r="BE69" s="3" t="s">
        <v>23</v>
      </c>
      <c r="BF69" s="119" t="s">
        <v>23</v>
      </c>
      <c r="BG69" s="49" t="s">
        <v>1378</v>
      </c>
      <c r="BH69" s="49" t="s">
        <v>1383</v>
      </c>
      <c r="BI69" s="1"/>
      <c r="BJ69" s="70" t="s">
        <v>1293</v>
      </c>
      <c r="BK69" s="57" t="s">
        <v>1293</v>
      </c>
      <c r="BL69" s="57" t="s">
        <v>1293</v>
      </c>
      <c r="BM69" s="57" t="s">
        <v>1293</v>
      </c>
      <c r="BN69" s="57" t="s">
        <v>1293</v>
      </c>
      <c r="BO69" s="57" t="s">
        <v>1293</v>
      </c>
      <c r="BP69" s="57" t="s">
        <v>1293</v>
      </c>
      <c r="BQ69" s="57" t="s">
        <v>1293</v>
      </c>
      <c r="BR69" s="57" t="s">
        <v>1293</v>
      </c>
      <c r="BS69" s="57" t="s">
        <v>1293</v>
      </c>
      <c r="BT69" s="57" t="s">
        <v>1293</v>
      </c>
      <c r="BU69" s="57" t="s">
        <v>1293</v>
      </c>
      <c r="BV69" s="70">
        <f t="shared" si="226"/>
        <v>22</v>
      </c>
      <c r="BW69" s="71">
        <f t="shared" si="227"/>
        <v>54</v>
      </c>
      <c r="BX69" s="72">
        <f t="shared" si="228"/>
        <v>58</v>
      </c>
      <c r="BY69" s="71">
        <f t="shared" si="229"/>
        <v>90</v>
      </c>
      <c r="BZ69" s="72">
        <f t="shared" si="230"/>
        <v>94</v>
      </c>
      <c r="CA69" s="71">
        <f t="shared" si="231"/>
        <v>130</v>
      </c>
      <c r="CB69" s="72">
        <f t="shared" si="232"/>
        <v>138</v>
      </c>
      <c r="CC69" s="71">
        <f t="shared" si="233"/>
        <v>178</v>
      </c>
      <c r="CD69" s="72">
        <f t="shared" si="234"/>
        <v>185</v>
      </c>
      <c r="CE69" s="71">
        <f t="shared" si="235"/>
        <v>354</v>
      </c>
      <c r="CF69" s="72">
        <f t="shared" si="236"/>
        <v>396</v>
      </c>
      <c r="CG69" s="71">
        <f t="shared" si="237"/>
        <v>422</v>
      </c>
      <c r="CH69" s="70">
        <f t="shared" si="238"/>
        <v>53</v>
      </c>
      <c r="CI69" s="71">
        <f t="shared" si="239"/>
        <v>57</v>
      </c>
      <c r="CJ69" s="72">
        <f t="shared" si="240"/>
        <v>89</v>
      </c>
      <c r="CK69" s="72">
        <f t="shared" si="241"/>
        <v>93</v>
      </c>
      <c r="CL69" s="72">
        <f t="shared" si="242"/>
        <v>129</v>
      </c>
      <c r="CM69" s="72">
        <f t="shared" si="243"/>
        <v>137</v>
      </c>
      <c r="CN69" s="72">
        <f t="shared" si="244"/>
        <v>169</v>
      </c>
      <c r="CO69" s="72">
        <f t="shared" si="245"/>
        <v>180</v>
      </c>
      <c r="CP69" s="72">
        <f t="shared" si="246"/>
        <v>225</v>
      </c>
      <c r="CQ69" s="72">
        <f t="shared" si="247"/>
        <v>391</v>
      </c>
      <c r="CR69" s="72">
        <f t="shared" si="248"/>
        <v>421</v>
      </c>
      <c r="CS69" s="72">
        <f t="shared" si="249"/>
        <v>434</v>
      </c>
      <c r="CT69" s="23">
        <f t="shared" si="250"/>
        <v>1</v>
      </c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  <c r="ADW69" s="1"/>
      <c r="ADX69" s="1"/>
      <c r="ADY69" s="1"/>
      <c r="ADZ69" s="1"/>
      <c r="AEA69" s="1"/>
      <c r="AEB69" s="1"/>
      <c r="AEC69" s="1"/>
      <c r="AED69" s="1"/>
      <c r="AEE69" s="1"/>
      <c r="AEF69" s="1"/>
      <c r="AEG69" s="1"/>
      <c r="AEH69" s="1"/>
      <c r="AEI69" s="1"/>
      <c r="AEJ69" s="1"/>
      <c r="AEK69" s="1"/>
      <c r="AEL69" s="1"/>
      <c r="AEM69" s="1"/>
      <c r="AEN69" s="1"/>
      <c r="AEO69" s="1"/>
      <c r="AEP69" s="1"/>
      <c r="AEQ69" s="1"/>
      <c r="AER69" s="1"/>
      <c r="AES69" s="1"/>
      <c r="AET69" s="1"/>
      <c r="AEU69" s="1"/>
      <c r="AEV69" s="1"/>
      <c r="AEW69" s="1"/>
      <c r="AEX69" s="1"/>
      <c r="AEY69" s="1"/>
      <c r="AEZ69" s="1"/>
      <c r="AFA69" s="1"/>
      <c r="AFB69" s="1"/>
      <c r="AFC69" s="1"/>
      <c r="AFD69" s="1"/>
      <c r="AFE69" s="1"/>
      <c r="AFF69" s="1"/>
      <c r="AFG69" s="1"/>
      <c r="AFH69" s="1"/>
      <c r="AFI69" s="1"/>
      <c r="AFJ69" s="1"/>
      <c r="AFK69" s="1"/>
      <c r="AFL69" s="1"/>
      <c r="AFM69" s="1"/>
      <c r="AFN69" s="1"/>
      <c r="AFO69" s="1"/>
      <c r="AFP69" s="1"/>
      <c r="AFQ69" s="1"/>
      <c r="AFR69" s="1"/>
      <c r="AFS69" s="1"/>
      <c r="AFT69" s="1"/>
      <c r="AFU69" s="1"/>
      <c r="AFV69" s="1"/>
      <c r="AFW69" s="1"/>
      <c r="AFX69" s="1"/>
      <c r="AFY69" s="1"/>
      <c r="AFZ69" s="1"/>
      <c r="AGA69" s="1"/>
      <c r="AGB69" s="1"/>
      <c r="AGC69" s="1"/>
      <c r="AGD69" s="1"/>
      <c r="AGE69" s="1"/>
      <c r="AGF69" s="1"/>
      <c r="AGG69" s="1"/>
      <c r="AGH69" s="1"/>
      <c r="AGI69" s="1"/>
      <c r="AGJ69" s="1"/>
      <c r="AGK69" s="1"/>
      <c r="AGL69" s="1"/>
      <c r="AGM69" s="1"/>
      <c r="AGN69" s="1"/>
      <c r="AGO69" s="1"/>
      <c r="AGP69" s="1"/>
      <c r="AGQ69" s="1"/>
      <c r="AGR69" s="1"/>
      <c r="AGS69" s="1"/>
      <c r="AGT69" s="1"/>
      <c r="AGU69" s="1"/>
      <c r="AGV69" s="1"/>
      <c r="AGW69" s="1"/>
      <c r="AGX69" s="1"/>
      <c r="AGY69" s="1"/>
      <c r="AGZ69" s="1"/>
      <c r="AHA69" s="1"/>
      <c r="AHB69" s="1"/>
      <c r="AHC69" s="1"/>
      <c r="AHD69" s="1"/>
      <c r="AHE69" s="1"/>
      <c r="AHF69" s="1"/>
      <c r="AHG69" s="1"/>
      <c r="AHH69" s="1"/>
      <c r="AHI69" s="1"/>
      <c r="AHJ69" s="1"/>
      <c r="AHK69" s="1"/>
      <c r="AHL69" s="1"/>
      <c r="AHM69" s="1"/>
      <c r="AHN69" s="1"/>
      <c r="AHO69" s="1"/>
      <c r="AHP69" s="1"/>
      <c r="AHQ69" s="1"/>
      <c r="AHR69" s="1"/>
      <c r="AHS69" s="1"/>
      <c r="AHT69" s="1"/>
      <c r="AHU69" s="1"/>
      <c r="AHV69" s="1"/>
      <c r="AHW69" s="1"/>
      <c r="AHX69" s="1"/>
      <c r="AHY69" s="1"/>
      <c r="AHZ69" s="1"/>
      <c r="AIA69" s="1"/>
      <c r="AIB69" s="1"/>
      <c r="AIC69" s="1"/>
      <c r="AID69" s="1"/>
      <c r="AIE69" s="1"/>
      <c r="AIF69" s="1"/>
      <c r="AIG69" s="1"/>
      <c r="AIH69" s="1"/>
      <c r="AII69" s="1"/>
      <c r="AIJ69" s="1"/>
      <c r="AIK69" s="1"/>
      <c r="AIL69" s="1"/>
      <c r="AIM69" s="1"/>
      <c r="AIN69" s="1"/>
      <c r="AIO69" s="1"/>
      <c r="AIP69" s="1"/>
      <c r="AIQ69" s="1"/>
      <c r="AIR69" s="1"/>
      <c r="AIS69" s="1"/>
      <c r="AIT69" s="1"/>
      <c r="AIU69" s="1"/>
      <c r="AIV69" s="1"/>
      <c r="AIW69" s="1"/>
      <c r="AIX69" s="1"/>
      <c r="AIY69" s="1"/>
      <c r="AIZ69" s="1"/>
      <c r="AJA69" s="1"/>
      <c r="AJB69" s="1"/>
      <c r="AJC69" s="1"/>
      <c r="AJD69" s="1"/>
      <c r="AJE69" s="1"/>
      <c r="AJF69" s="1"/>
      <c r="AJG69" s="1"/>
      <c r="AJH69" s="1"/>
      <c r="AJI69" s="1"/>
      <c r="AJJ69" s="1"/>
      <c r="AJK69" s="1"/>
      <c r="AJL69" s="1"/>
      <c r="AJM69" s="1"/>
      <c r="AJN69" s="1"/>
      <c r="AJO69" s="1"/>
      <c r="AJP69" s="1"/>
      <c r="AJQ69" s="1"/>
      <c r="AJR69" s="1"/>
      <c r="AJS69" s="1"/>
      <c r="AJT69" s="1"/>
      <c r="AJU69" s="1"/>
      <c r="AJV69" s="1"/>
      <c r="AJW69" s="1"/>
      <c r="AJX69" s="1"/>
      <c r="AJY69" s="1"/>
      <c r="AJZ69" s="1"/>
      <c r="AKA69" s="1"/>
      <c r="AKB69" s="1"/>
      <c r="AKC69" s="1"/>
      <c r="AKD69" s="1"/>
      <c r="AKE69" s="1"/>
      <c r="AKF69" s="1"/>
      <c r="AKG69" s="1"/>
      <c r="AKH69" s="1"/>
      <c r="AKI69" s="1"/>
      <c r="AKJ69" s="1"/>
      <c r="AKK69" s="1"/>
      <c r="AKL69" s="1"/>
      <c r="AKM69" s="1"/>
      <c r="AKN69" s="1"/>
      <c r="AKO69" s="1"/>
      <c r="AKP69" s="1"/>
      <c r="AKQ69" s="1"/>
      <c r="AKR69" s="1"/>
      <c r="AKS69" s="1"/>
      <c r="AKT69" s="1"/>
      <c r="AKU69" s="1"/>
      <c r="AKV69" s="1"/>
      <c r="AKW69" s="1"/>
      <c r="AKX69" s="1"/>
      <c r="AKY69" s="1"/>
      <c r="AKZ69" s="1"/>
      <c r="ALA69" s="1"/>
      <c r="ALB69" s="1"/>
      <c r="ALC69" s="1"/>
      <c r="ALD69" s="1"/>
      <c r="ALE69" s="1"/>
      <c r="ALF69" s="1"/>
      <c r="ALG69" s="1"/>
      <c r="ALH69" s="1"/>
      <c r="ALI69" s="1"/>
      <c r="ALJ69" s="1"/>
      <c r="ALK69" s="1"/>
      <c r="ALL69" s="1"/>
      <c r="ALM69" s="1"/>
      <c r="ALN69" s="1"/>
      <c r="ALO69" s="1"/>
      <c r="ALP69" s="1"/>
      <c r="ALQ69" s="1"/>
      <c r="ALR69" s="1"/>
      <c r="ALS69" s="1"/>
      <c r="ALT69" s="1"/>
      <c r="ALU69" s="1"/>
      <c r="ALV69" s="1"/>
      <c r="ALW69" s="1"/>
      <c r="ALX69" s="1"/>
      <c r="ALY69" s="1"/>
      <c r="ALZ69" s="1"/>
      <c r="AMA69" s="1"/>
      <c r="AMB69" s="1"/>
      <c r="AMC69" s="1"/>
      <c r="AMD69" s="1"/>
      <c r="AME69" s="1"/>
      <c r="AMF69" s="1"/>
      <c r="AMG69" s="1"/>
      <c r="AMH69" s="1"/>
      <c r="AMI69" s="1"/>
      <c r="AMJ69" s="1"/>
      <c r="AMK69" s="1"/>
      <c r="AML69" s="1"/>
      <c r="AMM69" s="1"/>
      <c r="AMN69" s="1"/>
      <c r="AMO69" s="1"/>
    </row>
    <row r="70" spans="1:1029" x14ac:dyDescent="0.2">
      <c r="A70" s="3" t="str">
        <f t="shared" si="0"/>
        <v>acm1_human_5CXV</v>
      </c>
      <c r="B70" s="3" t="s">
        <v>146</v>
      </c>
      <c r="C70" s="3" t="s">
        <v>62</v>
      </c>
      <c r="D70" s="3" t="str">
        <f>IFERROR(MID(VLOOKUP($B70,Seqs!$A:$B,2,0),E70,1),"")</f>
        <v>P</v>
      </c>
      <c r="E70" s="3">
        <v>22</v>
      </c>
      <c r="F70" s="3" t="str">
        <f>IFERROR(MID(VLOOKUP($B70,Seqs!$A:$B,2,0),G70,1),"")</f>
        <v>N</v>
      </c>
      <c r="G70" s="3">
        <v>53</v>
      </c>
      <c r="H70" s="3" t="str">
        <f>IFERROR(MID(VLOOKUP($B70,Seqs!$A:$B,2,0),I70,1),"")</f>
        <v>T</v>
      </c>
      <c r="I70" s="23">
        <v>54</v>
      </c>
      <c r="J70" s="3" t="str">
        <f>IFERROR(MID(VLOOKUP($B70,Seqs!$A:$B,2,0),K70,1),"")</f>
        <v>K</v>
      </c>
      <c r="K70" s="23">
        <v>57</v>
      </c>
      <c r="L70" s="3" t="str">
        <f>IFERROR(MID(VLOOKUP($B70,Seqs!$A:$B,2,0),M70,1),"")</f>
        <v>T</v>
      </c>
      <c r="M70" s="3">
        <v>58</v>
      </c>
      <c r="N70" s="3" t="str">
        <f>IFERROR(MID(VLOOKUP($B70,Seqs!$A:$B,2,0),O70,1),"")</f>
        <v>G</v>
      </c>
      <c r="O70" s="3">
        <v>89</v>
      </c>
      <c r="P70" s="3" t="str">
        <f>IFERROR(MID(VLOOKUP($B70,Seqs!$A:$B,2,0),Q70,1),"")</f>
        <v>H</v>
      </c>
      <c r="Q70" s="3">
        <v>90</v>
      </c>
      <c r="R70" s="3" t="str">
        <f>IFERROR(MID(VLOOKUP($B70,Seqs!$A:$B,2,0),S70,1),"")</f>
        <v>L</v>
      </c>
      <c r="S70" s="3">
        <v>93</v>
      </c>
      <c r="T70" s="3" t="str">
        <f>IFERROR(MID(VLOOKUP($B70,Seqs!$A:$B,2,0),U70,1),"")</f>
        <v>G</v>
      </c>
      <c r="U70" s="3">
        <v>94</v>
      </c>
      <c r="V70" s="3" t="str">
        <f>IFERROR(MID(VLOOKUP($B70,Seqs!$A:$B,2,0),W70,1),"")</f>
        <v>R</v>
      </c>
      <c r="W70" s="3">
        <v>129</v>
      </c>
      <c r="X70" s="3" t="str">
        <f>IFERROR(MID(VLOOKUP($B70,Seqs!$A:$B,2,0),Y70,1),"")</f>
        <v>P</v>
      </c>
      <c r="Y70" s="3">
        <v>130</v>
      </c>
      <c r="Z70" s="3" t="str">
        <f>IFERROR(MID(VLOOKUP($B70,Seqs!$A:$B,2,0),AA70,1),"")</f>
        <v>R</v>
      </c>
      <c r="AA70" s="3">
        <v>137</v>
      </c>
      <c r="AB70" s="3" t="str">
        <f>IFERROR(MID(VLOOKUP($B70,Seqs!$A:$B,2,0),AC70,1),"")</f>
        <v>T</v>
      </c>
      <c r="AC70" s="9">
        <v>138</v>
      </c>
      <c r="AD70" s="3" t="str">
        <f>IFERROR(MID(VLOOKUP($B70,Seqs!$A:$B,2,0),AE70,1),"")</f>
        <v>G</v>
      </c>
      <c r="AE70" s="3">
        <v>169</v>
      </c>
      <c r="AF70" s="3" t="str">
        <f>IFERROR(MID(VLOOKUP($B70,Seqs!$A:$B,2,0),AG70,1),"")</f>
        <v>C</v>
      </c>
      <c r="AG70" s="3">
        <v>178</v>
      </c>
      <c r="AH70" s="3" t="str">
        <f>IFERROR(MID(VLOOKUP($B70,Seqs!$A:$B,2,0),AI70,1),"")</f>
        <v>I</v>
      </c>
      <c r="AI70" s="3">
        <v>180</v>
      </c>
      <c r="AJ70" s="3" t="str">
        <f>IFERROR(MID(VLOOKUP($B70,Seqs!$A:$B,2,0),AK70,1),"")</f>
        <v>Q</v>
      </c>
      <c r="AK70" s="3">
        <v>185</v>
      </c>
      <c r="AL70" s="3" t="str">
        <f>IFERROR(MID(VLOOKUP($B70,Seqs!$A:$B,2,0),AM70,1),"")</f>
        <v>R</v>
      </c>
      <c r="AM70" s="3">
        <v>213</v>
      </c>
      <c r="AN70" s="3" t="str">
        <f>IFERROR(MID(VLOOKUP($B70,Seqs!$A:$B,2,0),AO70,1),"")</f>
        <v>L</v>
      </c>
      <c r="AO70" s="3">
        <v>357</v>
      </c>
      <c r="AP70" s="3" t="str">
        <f>IFERROR(MID(VLOOKUP($B70,Seqs!$A:$B,2,0),AQ70,1),"")</f>
        <v>C</v>
      </c>
      <c r="AQ70" s="3">
        <v>391</v>
      </c>
      <c r="AR70" s="3" t="str">
        <f>IFERROR(MID(VLOOKUP($B70,Seqs!$A:$B,2,0),AS70,1),"")</f>
        <v>P</v>
      </c>
      <c r="AS70" s="3">
        <v>396</v>
      </c>
      <c r="AT70" s="3" t="str">
        <f>IFERROR(MID(VLOOKUP($B70,Seqs!$A:$B,2,0),AU70,1),"")</f>
        <v>C</v>
      </c>
      <c r="AU70" s="3">
        <v>421</v>
      </c>
      <c r="AV70" s="3" t="str">
        <f>IFERROR(MID(VLOOKUP($B70,Seqs!$A:$B,2,0),AW70,1),"")</f>
        <v>N</v>
      </c>
      <c r="AW70" s="3">
        <v>422</v>
      </c>
      <c r="AX70" s="3" t="str">
        <f>IFERROR(MID(VLOOKUP($B70,Seqs!$A:$B,2,0),AY70,1),"")</f>
        <v>L</v>
      </c>
      <c r="AY70" s="3">
        <v>434</v>
      </c>
      <c r="AZ70" s="77" t="str">
        <f>VLOOKUP(B70,Classification!A:D,2,0)</f>
        <v>A</v>
      </c>
      <c r="BA70" s="94" t="str">
        <f>VLOOKUP(B70,Classification!A:D,4,0)</f>
        <v>Acetylcholine(muscarinic)</v>
      </c>
      <c r="BB70" s="27" t="b">
        <f t="shared" si="1"/>
        <v>1</v>
      </c>
      <c r="BC70" s="23">
        <f t="shared" si="225"/>
        <v>254</v>
      </c>
      <c r="BD70" s="16" t="s">
        <v>1382</v>
      </c>
      <c r="BE70" s="3" t="s">
        <v>1380</v>
      </c>
      <c r="BF70" s="119">
        <v>2.7</v>
      </c>
      <c r="BG70" s="49" t="s">
        <v>1383</v>
      </c>
      <c r="BH70" s="49" t="s">
        <v>1383</v>
      </c>
      <c r="BI70" s="1"/>
      <c r="BJ70" s="70" t="s">
        <v>1293</v>
      </c>
      <c r="BK70" s="57" t="s">
        <v>1293</v>
      </c>
      <c r="BL70" s="57" t="s">
        <v>1293</v>
      </c>
      <c r="BM70" s="57" t="s">
        <v>1293</v>
      </c>
      <c r="BN70" s="57" t="s">
        <v>1293</v>
      </c>
      <c r="BO70" s="57" t="s">
        <v>1293</v>
      </c>
      <c r="BP70" s="57" t="s">
        <v>1293</v>
      </c>
      <c r="BQ70" s="57" t="s">
        <v>1293</v>
      </c>
      <c r="BR70" s="57" t="s">
        <v>1293</v>
      </c>
      <c r="BS70" s="57" t="s">
        <v>1293</v>
      </c>
      <c r="BT70" s="57" t="s">
        <v>1293</v>
      </c>
      <c r="BU70" s="57" t="s">
        <v>1293</v>
      </c>
      <c r="BV70" s="70">
        <f t="shared" si="226"/>
        <v>22</v>
      </c>
      <c r="BW70" s="71">
        <f t="shared" si="227"/>
        <v>54</v>
      </c>
      <c r="BX70" s="72">
        <f t="shared" si="228"/>
        <v>58</v>
      </c>
      <c r="BY70" s="71">
        <f t="shared" si="229"/>
        <v>90</v>
      </c>
      <c r="BZ70" s="72">
        <f t="shared" si="230"/>
        <v>94</v>
      </c>
      <c r="CA70" s="71">
        <f t="shared" si="231"/>
        <v>130</v>
      </c>
      <c r="CB70" s="72">
        <f t="shared" si="232"/>
        <v>138</v>
      </c>
      <c r="CC70" s="71">
        <f t="shared" si="233"/>
        <v>178</v>
      </c>
      <c r="CD70" s="72">
        <f t="shared" si="234"/>
        <v>185</v>
      </c>
      <c r="CE70" s="71">
        <f t="shared" si="235"/>
        <v>357</v>
      </c>
      <c r="CF70" s="72">
        <f t="shared" si="236"/>
        <v>396</v>
      </c>
      <c r="CG70" s="71">
        <f t="shared" si="237"/>
        <v>422</v>
      </c>
      <c r="CH70" s="70">
        <f t="shared" si="238"/>
        <v>53</v>
      </c>
      <c r="CI70" s="71">
        <f t="shared" si="239"/>
        <v>57</v>
      </c>
      <c r="CJ70" s="72">
        <f t="shared" si="240"/>
        <v>89</v>
      </c>
      <c r="CK70" s="72">
        <f t="shared" si="241"/>
        <v>93</v>
      </c>
      <c r="CL70" s="72">
        <f t="shared" si="242"/>
        <v>129</v>
      </c>
      <c r="CM70" s="72">
        <f t="shared" si="243"/>
        <v>137</v>
      </c>
      <c r="CN70" s="72">
        <f t="shared" si="244"/>
        <v>169</v>
      </c>
      <c r="CO70" s="72">
        <f t="shared" si="245"/>
        <v>180</v>
      </c>
      <c r="CP70" s="72">
        <f t="shared" si="246"/>
        <v>213</v>
      </c>
      <c r="CQ70" s="72">
        <f t="shared" si="247"/>
        <v>391</v>
      </c>
      <c r="CR70" s="72">
        <f t="shared" si="248"/>
        <v>421</v>
      </c>
      <c r="CS70" s="72">
        <f t="shared" si="249"/>
        <v>434</v>
      </c>
      <c r="CT70" s="23">
        <f t="shared" si="250"/>
        <v>1</v>
      </c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  <c r="ADW70" s="1"/>
      <c r="ADX70" s="1"/>
      <c r="ADY70" s="1"/>
      <c r="ADZ70" s="1"/>
      <c r="AEA70" s="1"/>
      <c r="AEB70" s="1"/>
      <c r="AEC70" s="1"/>
      <c r="AED70" s="1"/>
      <c r="AEE70" s="1"/>
      <c r="AEF70" s="1"/>
      <c r="AEG70" s="1"/>
      <c r="AEH70" s="1"/>
      <c r="AEI70" s="1"/>
      <c r="AEJ70" s="1"/>
      <c r="AEK70" s="1"/>
      <c r="AEL70" s="1"/>
      <c r="AEM70" s="1"/>
      <c r="AEN70" s="1"/>
      <c r="AEO70" s="1"/>
      <c r="AEP70" s="1"/>
      <c r="AEQ70" s="1"/>
      <c r="AER70" s="1"/>
      <c r="AES70" s="1"/>
      <c r="AET70" s="1"/>
      <c r="AEU70" s="1"/>
      <c r="AEV70" s="1"/>
      <c r="AEW70" s="1"/>
      <c r="AEX70" s="1"/>
      <c r="AEY70" s="1"/>
      <c r="AEZ70" s="1"/>
      <c r="AFA70" s="1"/>
      <c r="AFB70" s="1"/>
      <c r="AFC70" s="1"/>
      <c r="AFD70" s="1"/>
      <c r="AFE70" s="1"/>
      <c r="AFF70" s="1"/>
      <c r="AFG70" s="1"/>
      <c r="AFH70" s="1"/>
      <c r="AFI70" s="1"/>
      <c r="AFJ70" s="1"/>
      <c r="AFK70" s="1"/>
      <c r="AFL70" s="1"/>
      <c r="AFM70" s="1"/>
      <c r="AFN70" s="1"/>
      <c r="AFO70" s="1"/>
      <c r="AFP70" s="1"/>
      <c r="AFQ70" s="1"/>
      <c r="AFR70" s="1"/>
      <c r="AFS70" s="1"/>
      <c r="AFT70" s="1"/>
      <c r="AFU70" s="1"/>
      <c r="AFV70" s="1"/>
      <c r="AFW70" s="1"/>
      <c r="AFX70" s="1"/>
      <c r="AFY70" s="1"/>
      <c r="AFZ70" s="1"/>
      <c r="AGA70" s="1"/>
      <c r="AGB70" s="1"/>
      <c r="AGC70" s="1"/>
      <c r="AGD70" s="1"/>
      <c r="AGE70" s="1"/>
      <c r="AGF70" s="1"/>
      <c r="AGG70" s="1"/>
      <c r="AGH70" s="1"/>
      <c r="AGI70" s="1"/>
      <c r="AGJ70" s="1"/>
      <c r="AGK70" s="1"/>
      <c r="AGL70" s="1"/>
      <c r="AGM70" s="1"/>
      <c r="AGN70" s="1"/>
      <c r="AGO70" s="1"/>
      <c r="AGP70" s="1"/>
      <c r="AGQ70" s="1"/>
      <c r="AGR70" s="1"/>
      <c r="AGS70" s="1"/>
      <c r="AGT70" s="1"/>
      <c r="AGU70" s="1"/>
      <c r="AGV70" s="1"/>
      <c r="AGW70" s="1"/>
      <c r="AGX70" s="1"/>
      <c r="AGY70" s="1"/>
      <c r="AGZ70" s="1"/>
      <c r="AHA70" s="1"/>
      <c r="AHB70" s="1"/>
      <c r="AHC70" s="1"/>
      <c r="AHD70" s="1"/>
      <c r="AHE70" s="1"/>
      <c r="AHF70" s="1"/>
      <c r="AHG70" s="1"/>
      <c r="AHH70" s="1"/>
      <c r="AHI70" s="1"/>
      <c r="AHJ70" s="1"/>
      <c r="AHK70" s="1"/>
      <c r="AHL70" s="1"/>
      <c r="AHM70" s="1"/>
      <c r="AHN70" s="1"/>
      <c r="AHO70" s="1"/>
      <c r="AHP70" s="1"/>
      <c r="AHQ70" s="1"/>
      <c r="AHR70" s="1"/>
      <c r="AHS70" s="1"/>
      <c r="AHT70" s="1"/>
      <c r="AHU70" s="1"/>
      <c r="AHV70" s="1"/>
      <c r="AHW70" s="1"/>
      <c r="AHX70" s="1"/>
      <c r="AHY70" s="1"/>
      <c r="AHZ70" s="1"/>
      <c r="AIA70" s="1"/>
      <c r="AIB70" s="1"/>
      <c r="AIC70" s="1"/>
      <c r="AID70" s="1"/>
      <c r="AIE70" s="1"/>
      <c r="AIF70" s="1"/>
      <c r="AIG70" s="1"/>
      <c r="AIH70" s="1"/>
      <c r="AII70" s="1"/>
      <c r="AIJ70" s="1"/>
      <c r="AIK70" s="1"/>
      <c r="AIL70" s="1"/>
      <c r="AIM70" s="1"/>
      <c r="AIN70" s="1"/>
      <c r="AIO70" s="1"/>
      <c r="AIP70" s="1"/>
      <c r="AIQ70" s="1"/>
      <c r="AIR70" s="1"/>
      <c r="AIS70" s="1"/>
      <c r="AIT70" s="1"/>
      <c r="AIU70" s="1"/>
      <c r="AIV70" s="1"/>
      <c r="AIW70" s="1"/>
      <c r="AIX70" s="1"/>
      <c r="AIY70" s="1"/>
      <c r="AIZ70" s="1"/>
      <c r="AJA70" s="1"/>
      <c r="AJB70" s="1"/>
      <c r="AJC70" s="1"/>
      <c r="AJD70" s="1"/>
      <c r="AJE70" s="1"/>
      <c r="AJF70" s="1"/>
      <c r="AJG70" s="1"/>
      <c r="AJH70" s="1"/>
      <c r="AJI70" s="1"/>
      <c r="AJJ70" s="1"/>
      <c r="AJK70" s="1"/>
      <c r="AJL70" s="1"/>
      <c r="AJM70" s="1"/>
      <c r="AJN70" s="1"/>
      <c r="AJO70" s="1"/>
      <c r="AJP70" s="1"/>
      <c r="AJQ70" s="1"/>
      <c r="AJR70" s="1"/>
      <c r="AJS70" s="1"/>
      <c r="AJT70" s="1"/>
      <c r="AJU70" s="1"/>
      <c r="AJV70" s="1"/>
      <c r="AJW70" s="1"/>
      <c r="AJX70" s="1"/>
      <c r="AJY70" s="1"/>
      <c r="AJZ70" s="1"/>
      <c r="AKA70" s="1"/>
      <c r="AKB70" s="1"/>
      <c r="AKC70" s="1"/>
      <c r="AKD70" s="1"/>
      <c r="AKE70" s="1"/>
      <c r="AKF70" s="1"/>
      <c r="AKG70" s="1"/>
      <c r="AKH70" s="1"/>
      <c r="AKI70" s="1"/>
      <c r="AKJ70" s="1"/>
      <c r="AKK70" s="1"/>
      <c r="AKL70" s="1"/>
      <c r="AKM70" s="1"/>
      <c r="AKN70" s="1"/>
      <c r="AKO70" s="1"/>
      <c r="AKP70" s="1"/>
      <c r="AKQ70" s="1"/>
      <c r="AKR70" s="1"/>
      <c r="AKS70" s="1"/>
      <c r="AKT70" s="1"/>
      <c r="AKU70" s="1"/>
      <c r="AKV70" s="1"/>
      <c r="AKW70" s="1"/>
      <c r="AKX70" s="1"/>
      <c r="AKY70" s="1"/>
      <c r="AKZ70" s="1"/>
      <c r="ALA70" s="1"/>
      <c r="ALB70" s="1"/>
      <c r="ALC70" s="1"/>
      <c r="ALD70" s="1"/>
      <c r="ALE70" s="1"/>
      <c r="ALF70" s="1"/>
      <c r="ALG70" s="1"/>
      <c r="ALH70" s="1"/>
      <c r="ALI70" s="1"/>
      <c r="ALJ70" s="1"/>
      <c r="ALK70" s="1"/>
      <c r="ALL70" s="1"/>
      <c r="ALM70" s="1"/>
      <c r="ALN70" s="1"/>
      <c r="ALO70" s="1"/>
      <c r="ALP70" s="1"/>
      <c r="ALQ70" s="1"/>
      <c r="ALR70" s="1"/>
      <c r="ALS70" s="1"/>
      <c r="ALT70" s="1"/>
      <c r="ALU70" s="1"/>
      <c r="ALV70" s="1"/>
      <c r="ALW70" s="1"/>
      <c r="ALX70" s="1"/>
      <c r="ALY70" s="1"/>
      <c r="ALZ70" s="1"/>
      <c r="AMA70" s="1"/>
      <c r="AMB70" s="1"/>
      <c r="AMC70" s="1"/>
      <c r="AMD70" s="1"/>
      <c r="AME70" s="1"/>
      <c r="AMF70" s="1"/>
      <c r="AMG70" s="1"/>
      <c r="AMH70" s="1"/>
      <c r="AMI70" s="1"/>
      <c r="AMJ70" s="1"/>
      <c r="AMK70" s="1"/>
      <c r="AML70" s="1"/>
      <c r="AMM70" s="1"/>
      <c r="AMN70" s="1"/>
      <c r="AMO70" s="1"/>
    </row>
    <row r="71" spans="1:1029" x14ac:dyDescent="0.2">
      <c r="A71" s="3" t="str">
        <f t="shared" si="0"/>
        <v>acm2_human__wt</v>
      </c>
      <c r="B71" s="3" t="s">
        <v>147</v>
      </c>
      <c r="C71" s="3" t="s">
        <v>100</v>
      </c>
      <c r="D71" s="3" t="str">
        <f>IFERROR(MID(VLOOKUP($B71,Seqs!$A:$B,2,0),E71,1),"")</f>
        <v>K</v>
      </c>
      <c r="E71" s="3">
        <v>19</v>
      </c>
      <c r="F71" s="3" t="str">
        <f>IFERROR(MID(VLOOKUP($B71,Seqs!$A:$B,2,0),G71,1),"")</f>
        <v>N</v>
      </c>
      <c r="G71" s="3">
        <v>51</v>
      </c>
      <c r="H71" s="3" t="str">
        <f>IFERROR(MID(VLOOKUP($B71,Seqs!$A:$B,2,0),I71,1),"")</f>
        <v>R</v>
      </c>
      <c r="I71" s="23">
        <v>52</v>
      </c>
      <c r="J71" s="3" t="str">
        <f>IFERROR(MID(VLOOKUP($B71,Seqs!$A:$B,2,0),K71,1),"")</f>
        <v>Q</v>
      </c>
      <c r="K71" s="23">
        <v>55</v>
      </c>
      <c r="L71" s="3" t="str">
        <f>IFERROR(MID(VLOOKUP($B71,Seqs!$A:$B,2,0),M71,1),"")</f>
        <v>T</v>
      </c>
      <c r="M71" s="3">
        <v>56</v>
      </c>
      <c r="N71" s="3" t="str">
        <f>IFERROR(MID(VLOOKUP($B71,Seqs!$A:$B,2,0),O71,1),"")</f>
        <v>G</v>
      </c>
      <c r="O71" s="105">
        <v>87</v>
      </c>
      <c r="P71" s="3" t="str">
        <f>IFERROR(MID(VLOOKUP($B71,Seqs!$A:$B,2,0),Q71,1),"")</f>
        <v>Y</v>
      </c>
      <c r="Q71" s="3">
        <v>88</v>
      </c>
      <c r="R71" s="3" t="str">
        <f>IFERROR(MID(VLOOKUP($B71,Seqs!$A:$B,2,0),S71,1),"")</f>
        <v>L</v>
      </c>
      <c r="S71" s="3">
        <v>91</v>
      </c>
      <c r="T71" s="3" t="str">
        <f>IFERROR(MID(VLOOKUP($B71,Seqs!$A:$B,2,0),U71,1),"")</f>
        <v>G</v>
      </c>
      <c r="U71" s="3">
        <v>92</v>
      </c>
      <c r="V71" s="3" t="str">
        <f>IFERROR(MID(VLOOKUP($B71,Seqs!$A:$B,2,0),W71,1),"")</f>
        <v>K</v>
      </c>
      <c r="W71" s="3">
        <v>127</v>
      </c>
      <c r="X71" s="3" t="str">
        <f>IFERROR(MID(VLOOKUP($B71,Seqs!$A:$B,2,0),Y71,1),"")</f>
        <v>P</v>
      </c>
      <c r="Y71" s="3">
        <v>128</v>
      </c>
      <c r="Z71" s="3" t="str">
        <f>IFERROR(MID(VLOOKUP($B71,Seqs!$A:$B,2,0),AA71,1),"")</f>
        <v>R</v>
      </c>
      <c r="AA71" s="3">
        <v>135</v>
      </c>
      <c r="AB71" s="3" t="str">
        <f>IFERROR(MID(VLOOKUP($B71,Seqs!$A:$B,2,0),AC71,1),"")</f>
        <v>T</v>
      </c>
      <c r="AC71" s="9">
        <v>136</v>
      </c>
      <c r="AD71" s="3" t="str">
        <f>IFERROR(MID(VLOOKUP($B71,Seqs!$A:$B,2,0),AE71,1),"")</f>
        <v>G</v>
      </c>
      <c r="AE71" s="3">
        <v>167</v>
      </c>
      <c r="AF71" s="3" t="str">
        <f>IFERROR(MID(VLOOKUP($B71,Seqs!$A:$B,2,0),AG71,1),"")</f>
        <v>C</v>
      </c>
      <c r="AG71" s="3">
        <v>176</v>
      </c>
      <c r="AH71" s="3" t="str">
        <f>IFERROR(MID(VLOOKUP($B71,Seqs!$A:$B,2,0),AI71,1),"")</f>
        <v>I</v>
      </c>
      <c r="AI71" s="3">
        <v>178</v>
      </c>
      <c r="AJ71" s="3" t="str">
        <f>IFERROR(MID(VLOOKUP($B71,Seqs!$A:$B,2,0),AK71,1),"")</f>
        <v>N</v>
      </c>
      <c r="AK71" s="3">
        <v>183</v>
      </c>
      <c r="AL71" s="3" t="str">
        <f>IFERROR(MID(VLOOKUP($B71,Seqs!$A:$B,2,0),AM71,1),"")</f>
        <v>E</v>
      </c>
      <c r="AM71" s="3">
        <v>223</v>
      </c>
      <c r="AN71" s="3" t="str">
        <f>IFERROR(MID(VLOOKUP($B71,Seqs!$A:$B,2,0),AO71,1),"")</f>
        <v>K</v>
      </c>
      <c r="AO71" s="3">
        <v>376</v>
      </c>
      <c r="AP71" s="3" t="str">
        <f>IFERROR(MID(VLOOKUP($B71,Seqs!$A:$B,2,0),AQ71,1),"")</f>
        <v>C</v>
      </c>
      <c r="AQ71" s="3">
        <v>413</v>
      </c>
      <c r="AR71" s="3" t="str">
        <f>IFERROR(MID(VLOOKUP($B71,Seqs!$A:$B,2,0),AS71,1),"")</f>
        <v>P</v>
      </c>
      <c r="AS71" s="3">
        <v>418</v>
      </c>
      <c r="AT71" s="3" t="str">
        <f>IFERROR(MID(VLOOKUP($B71,Seqs!$A:$B,2,0),AU71,1),"")</f>
        <v>C</v>
      </c>
      <c r="AU71" s="3">
        <v>443</v>
      </c>
      <c r="AV71" s="3" t="str">
        <f>IFERROR(MID(VLOOKUP($B71,Seqs!$A:$B,2,0),AW71,1),"")</f>
        <v>N</v>
      </c>
      <c r="AW71" s="3">
        <v>444</v>
      </c>
      <c r="AX71" s="3" t="str">
        <f>IFERROR(MID(VLOOKUP($B71,Seqs!$A:$B,2,0),AY71,1),"")</f>
        <v>M</v>
      </c>
      <c r="AY71" s="3">
        <v>456</v>
      </c>
      <c r="AZ71" s="77" t="str">
        <f>VLOOKUP(B71,Classification!A:D,2,0)</f>
        <v>A</v>
      </c>
      <c r="BA71" s="94" t="str">
        <f>VLOOKUP(B71,Classification!A:D,4,0)</f>
        <v>Acetylcholine(muscarinic)</v>
      </c>
      <c r="BB71" s="27" t="b">
        <f t="shared" si="1"/>
        <v>1</v>
      </c>
      <c r="BC71" s="23">
        <f t="shared" si="225"/>
        <v>270</v>
      </c>
      <c r="BD71" s="56" t="s">
        <v>23</v>
      </c>
      <c r="BE71" s="3" t="s">
        <v>23</v>
      </c>
      <c r="BF71" s="119" t="s">
        <v>23</v>
      </c>
      <c r="BG71" s="49" t="s">
        <v>1378</v>
      </c>
      <c r="BH71" s="49" t="s">
        <v>1383</v>
      </c>
      <c r="BI71" s="1"/>
      <c r="BJ71" s="70" t="s">
        <v>1293</v>
      </c>
      <c r="BK71" s="57" t="s">
        <v>1293</v>
      </c>
      <c r="BL71" s="57" t="s">
        <v>1293</v>
      </c>
      <c r="BM71" s="57" t="s">
        <v>1293</v>
      </c>
      <c r="BN71" s="57" t="s">
        <v>1293</v>
      </c>
      <c r="BO71" s="57" t="s">
        <v>1293</v>
      </c>
      <c r="BP71" s="57" t="s">
        <v>1293</v>
      </c>
      <c r="BQ71" s="57" t="s">
        <v>1293</v>
      </c>
      <c r="BR71" s="57" t="s">
        <v>1293</v>
      </c>
      <c r="BS71" s="57" t="s">
        <v>1293</v>
      </c>
      <c r="BT71" s="57" t="s">
        <v>1293</v>
      </c>
      <c r="BU71" s="57" t="s">
        <v>1293</v>
      </c>
      <c r="BV71" s="70">
        <f t="shared" si="226"/>
        <v>19</v>
      </c>
      <c r="BW71" s="71">
        <f t="shared" si="227"/>
        <v>52</v>
      </c>
      <c r="BX71" s="72">
        <f t="shared" si="228"/>
        <v>56</v>
      </c>
      <c r="BY71" s="71">
        <f t="shared" si="229"/>
        <v>88</v>
      </c>
      <c r="BZ71" s="72">
        <f t="shared" si="230"/>
        <v>92</v>
      </c>
      <c r="CA71" s="71">
        <f t="shared" si="231"/>
        <v>128</v>
      </c>
      <c r="CB71" s="72">
        <f t="shared" si="232"/>
        <v>136</v>
      </c>
      <c r="CC71" s="71">
        <f t="shared" si="233"/>
        <v>176</v>
      </c>
      <c r="CD71" s="72">
        <f t="shared" si="234"/>
        <v>183</v>
      </c>
      <c r="CE71" s="71">
        <f t="shared" si="235"/>
        <v>376</v>
      </c>
      <c r="CF71" s="72">
        <f t="shared" si="236"/>
        <v>418</v>
      </c>
      <c r="CG71" s="71">
        <f t="shared" si="237"/>
        <v>444</v>
      </c>
      <c r="CH71" s="70">
        <f t="shared" si="238"/>
        <v>51</v>
      </c>
      <c r="CI71" s="71">
        <f t="shared" si="239"/>
        <v>55</v>
      </c>
      <c r="CJ71" s="72">
        <f t="shared" si="240"/>
        <v>87</v>
      </c>
      <c r="CK71" s="72">
        <f t="shared" si="241"/>
        <v>91</v>
      </c>
      <c r="CL71" s="72">
        <f t="shared" si="242"/>
        <v>127</v>
      </c>
      <c r="CM71" s="72">
        <f t="shared" si="243"/>
        <v>135</v>
      </c>
      <c r="CN71" s="72">
        <f t="shared" si="244"/>
        <v>167</v>
      </c>
      <c r="CO71" s="72">
        <f t="shared" si="245"/>
        <v>178</v>
      </c>
      <c r="CP71" s="72">
        <f t="shared" si="246"/>
        <v>223</v>
      </c>
      <c r="CQ71" s="72">
        <f t="shared" si="247"/>
        <v>413</v>
      </c>
      <c r="CR71" s="72">
        <f t="shared" si="248"/>
        <v>443</v>
      </c>
      <c r="CS71" s="72">
        <f t="shared" si="249"/>
        <v>456</v>
      </c>
      <c r="CT71" s="23">
        <f t="shared" si="250"/>
        <v>1</v>
      </c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  <c r="ADW71" s="1"/>
      <c r="ADX71" s="1"/>
      <c r="ADY71" s="1"/>
      <c r="ADZ71" s="1"/>
      <c r="AEA71" s="1"/>
      <c r="AEB71" s="1"/>
      <c r="AEC71" s="1"/>
      <c r="AED71" s="1"/>
      <c r="AEE71" s="1"/>
      <c r="AEF71" s="1"/>
      <c r="AEG71" s="1"/>
      <c r="AEH71" s="1"/>
      <c r="AEI71" s="1"/>
      <c r="AEJ71" s="1"/>
      <c r="AEK71" s="1"/>
      <c r="AEL71" s="1"/>
      <c r="AEM71" s="1"/>
      <c r="AEN71" s="1"/>
      <c r="AEO71" s="1"/>
      <c r="AEP71" s="1"/>
      <c r="AEQ71" s="1"/>
      <c r="AER71" s="1"/>
      <c r="AES71" s="1"/>
      <c r="AET71" s="1"/>
      <c r="AEU71" s="1"/>
      <c r="AEV71" s="1"/>
      <c r="AEW71" s="1"/>
      <c r="AEX71" s="1"/>
      <c r="AEY71" s="1"/>
      <c r="AEZ71" s="1"/>
      <c r="AFA71" s="1"/>
      <c r="AFB71" s="1"/>
      <c r="AFC71" s="1"/>
      <c r="AFD71" s="1"/>
      <c r="AFE71" s="1"/>
      <c r="AFF71" s="1"/>
      <c r="AFG71" s="1"/>
      <c r="AFH71" s="1"/>
      <c r="AFI71" s="1"/>
      <c r="AFJ71" s="1"/>
      <c r="AFK71" s="1"/>
      <c r="AFL71" s="1"/>
      <c r="AFM71" s="1"/>
      <c r="AFN71" s="1"/>
      <c r="AFO71" s="1"/>
      <c r="AFP71" s="1"/>
      <c r="AFQ71" s="1"/>
      <c r="AFR71" s="1"/>
      <c r="AFS71" s="1"/>
      <c r="AFT71" s="1"/>
      <c r="AFU71" s="1"/>
      <c r="AFV71" s="1"/>
      <c r="AFW71" s="1"/>
      <c r="AFX71" s="1"/>
      <c r="AFY71" s="1"/>
      <c r="AFZ71" s="1"/>
      <c r="AGA71" s="1"/>
      <c r="AGB71" s="1"/>
      <c r="AGC71" s="1"/>
      <c r="AGD71" s="1"/>
      <c r="AGE71" s="1"/>
      <c r="AGF71" s="1"/>
      <c r="AGG71" s="1"/>
      <c r="AGH71" s="1"/>
      <c r="AGI71" s="1"/>
      <c r="AGJ71" s="1"/>
      <c r="AGK71" s="1"/>
      <c r="AGL71" s="1"/>
      <c r="AGM71" s="1"/>
      <c r="AGN71" s="1"/>
      <c r="AGO71" s="1"/>
      <c r="AGP71" s="1"/>
      <c r="AGQ71" s="1"/>
      <c r="AGR71" s="1"/>
      <c r="AGS71" s="1"/>
      <c r="AGT71" s="1"/>
      <c r="AGU71" s="1"/>
      <c r="AGV71" s="1"/>
      <c r="AGW71" s="1"/>
      <c r="AGX71" s="1"/>
      <c r="AGY71" s="1"/>
      <c r="AGZ71" s="1"/>
      <c r="AHA71" s="1"/>
      <c r="AHB71" s="1"/>
      <c r="AHC71" s="1"/>
      <c r="AHD71" s="1"/>
      <c r="AHE71" s="1"/>
      <c r="AHF71" s="1"/>
      <c r="AHG71" s="1"/>
      <c r="AHH71" s="1"/>
      <c r="AHI71" s="1"/>
      <c r="AHJ71" s="1"/>
      <c r="AHK71" s="1"/>
      <c r="AHL71" s="1"/>
      <c r="AHM71" s="1"/>
      <c r="AHN71" s="1"/>
      <c r="AHO71" s="1"/>
      <c r="AHP71" s="1"/>
      <c r="AHQ71" s="1"/>
      <c r="AHR71" s="1"/>
      <c r="AHS71" s="1"/>
      <c r="AHT71" s="1"/>
      <c r="AHU71" s="1"/>
      <c r="AHV71" s="1"/>
      <c r="AHW71" s="1"/>
      <c r="AHX71" s="1"/>
      <c r="AHY71" s="1"/>
      <c r="AHZ71" s="1"/>
      <c r="AIA71" s="1"/>
      <c r="AIB71" s="1"/>
      <c r="AIC71" s="1"/>
      <c r="AID71" s="1"/>
      <c r="AIE71" s="1"/>
      <c r="AIF71" s="1"/>
      <c r="AIG71" s="1"/>
      <c r="AIH71" s="1"/>
      <c r="AII71" s="1"/>
      <c r="AIJ71" s="1"/>
      <c r="AIK71" s="1"/>
      <c r="AIL71" s="1"/>
      <c r="AIM71" s="1"/>
      <c r="AIN71" s="1"/>
      <c r="AIO71" s="1"/>
      <c r="AIP71" s="1"/>
      <c r="AIQ71" s="1"/>
      <c r="AIR71" s="1"/>
      <c r="AIS71" s="1"/>
      <c r="AIT71" s="1"/>
      <c r="AIU71" s="1"/>
      <c r="AIV71" s="1"/>
      <c r="AIW71" s="1"/>
      <c r="AIX71" s="1"/>
      <c r="AIY71" s="1"/>
      <c r="AIZ71" s="1"/>
      <c r="AJA71" s="1"/>
      <c r="AJB71" s="1"/>
      <c r="AJC71" s="1"/>
      <c r="AJD71" s="1"/>
      <c r="AJE71" s="1"/>
      <c r="AJF71" s="1"/>
      <c r="AJG71" s="1"/>
      <c r="AJH71" s="1"/>
      <c r="AJI71" s="1"/>
      <c r="AJJ71" s="1"/>
      <c r="AJK71" s="1"/>
      <c r="AJL71" s="1"/>
      <c r="AJM71" s="1"/>
      <c r="AJN71" s="1"/>
      <c r="AJO71" s="1"/>
      <c r="AJP71" s="1"/>
      <c r="AJQ71" s="1"/>
      <c r="AJR71" s="1"/>
      <c r="AJS71" s="1"/>
      <c r="AJT71" s="1"/>
      <c r="AJU71" s="1"/>
      <c r="AJV71" s="1"/>
      <c r="AJW71" s="1"/>
      <c r="AJX71" s="1"/>
      <c r="AJY71" s="1"/>
      <c r="AJZ71" s="1"/>
      <c r="AKA71" s="1"/>
      <c r="AKB71" s="1"/>
      <c r="AKC71" s="1"/>
      <c r="AKD71" s="1"/>
      <c r="AKE71" s="1"/>
      <c r="AKF71" s="1"/>
      <c r="AKG71" s="1"/>
      <c r="AKH71" s="1"/>
      <c r="AKI71" s="1"/>
      <c r="AKJ71" s="1"/>
      <c r="AKK71" s="1"/>
      <c r="AKL71" s="1"/>
      <c r="AKM71" s="1"/>
      <c r="AKN71" s="1"/>
      <c r="AKO71" s="1"/>
      <c r="AKP71" s="1"/>
      <c r="AKQ71" s="1"/>
      <c r="AKR71" s="1"/>
      <c r="AKS71" s="1"/>
      <c r="AKT71" s="1"/>
      <c r="AKU71" s="1"/>
      <c r="AKV71" s="1"/>
      <c r="AKW71" s="1"/>
      <c r="AKX71" s="1"/>
      <c r="AKY71" s="1"/>
      <c r="AKZ71" s="1"/>
      <c r="ALA71" s="1"/>
      <c r="ALB71" s="1"/>
      <c r="ALC71" s="1"/>
      <c r="ALD71" s="1"/>
      <c r="ALE71" s="1"/>
      <c r="ALF71" s="1"/>
      <c r="ALG71" s="1"/>
      <c r="ALH71" s="1"/>
      <c r="ALI71" s="1"/>
      <c r="ALJ71" s="1"/>
      <c r="ALK71" s="1"/>
      <c r="ALL71" s="1"/>
      <c r="ALM71" s="1"/>
      <c r="ALN71" s="1"/>
      <c r="ALO71" s="1"/>
      <c r="ALP71" s="1"/>
      <c r="ALQ71" s="1"/>
      <c r="ALR71" s="1"/>
      <c r="ALS71" s="1"/>
      <c r="ALT71" s="1"/>
      <c r="ALU71" s="1"/>
      <c r="ALV71" s="1"/>
      <c r="ALW71" s="1"/>
      <c r="ALX71" s="1"/>
      <c r="ALY71" s="1"/>
      <c r="ALZ71" s="1"/>
      <c r="AMA71" s="1"/>
      <c r="AMB71" s="1"/>
      <c r="AMC71" s="1"/>
      <c r="AMD71" s="1"/>
      <c r="AME71" s="1"/>
      <c r="AMF71" s="1"/>
      <c r="AMG71" s="1"/>
      <c r="AMH71" s="1"/>
      <c r="AMI71" s="1"/>
      <c r="AMJ71" s="1"/>
      <c r="AMK71" s="1"/>
      <c r="AML71" s="1"/>
      <c r="AMM71" s="1"/>
      <c r="AMN71" s="1"/>
      <c r="AMO71" s="1"/>
    </row>
    <row r="72" spans="1:1029" x14ac:dyDescent="0.2">
      <c r="A72" s="3" t="str">
        <f t="shared" ref="A72:A114" si="335">CONCATENATE(B72,"_",C72)</f>
        <v>acm2_human_3UON</v>
      </c>
      <c r="B72" s="3" t="s">
        <v>147</v>
      </c>
      <c r="C72" s="3" t="s">
        <v>79</v>
      </c>
      <c r="D72" s="3" t="str">
        <f>IFERROR(MID(VLOOKUP($B72,Seqs!$A:$B,2,0),E72,1),"")</f>
        <v>V</v>
      </c>
      <c r="E72" s="3">
        <v>23</v>
      </c>
      <c r="F72" s="3" t="str">
        <f>IFERROR(MID(VLOOKUP($B72,Seqs!$A:$B,2,0),G72,1),"")</f>
        <v>N</v>
      </c>
      <c r="G72" s="3">
        <v>51</v>
      </c>
      <c r="H72" s="3" t="str">
        <f>IFERROR(MID(VLOOKUP($B72,Seqs!$A:$B,2,0),I72,1),"")</f>
        <v>R</v>
      </c>
      <c r="I72" s="23">
        <v>52</v>
      </c>
      <c r="J72" s="3" t="str">
        <f>IFERROR(MID(VLOOKUP($B72,Seqs!$A:$B,2,0),K72,1),"")</f>
        <v>Q</v>
      </c>
      <c r="K72" s="23">
        <v>55</v>
      </c>
      <c r="L72" s="3" t="str">
        <f>IFERROR(MID(VLOOKUP($B72,Seqs!$A:$B,2,0),M72,1),"")</f>
        <v>T</v>
      </c>
      <c r="M72" s="3">
        <v>56</v>
      </c>
      <c r="N72" s="3" t="str">
        <f>IFERROR(MID(VLOOKUP($B72,Seqs!$A:$B,2,0),O72,1),"")</f>
        <v>I</v>
      </c>
      <c r="O72" s="3">
        <v>86</v>
      </c>
      <c r="P72" s="3" t="str">
        <f>IFERROR(MID(VLOOKUP($B72,Seqs!$A:$B,2,0),Q72,1),"")</f>
        <v>Y</v>
      </c>
      <c r="Q72" s="3">
        <v>88</v>
      </c>
      <c r="R72" s="3" t="str">
        <f>IFERROR(MID(VLOOKUP($B72,Seqs!$A:$B,2,0),S72,1),"")</f>
        <v>L</v>
      </c>
      <c r="S72" s="3">
        <v>91</v>
      </c>
      <c r="T72" s="3" t="str">
        <f>IFERROR(MID(VLOOKUP($B72,Seqs!$A:$B,2,0),U72,1),"")</f>
        <v>G</v>
      </c>
      <c r="U72" s="3">
        <v>92</v>
      </c>
      <c r="V72" s="3" t="str">
        <f>IFERROR(MID(VLOOKUP($B72,Seqs!$A:$B,2,0),W72,1),"")</f>
        <v>K</v>
      </c>
      <c r="W72" s="3">
        <v>127</v>
      </c>
      <c r="X72" s="3" t="str">
        <f>IFERROR(MID(VLOOKUP($B72,Seqs!$A:$B,2,0),Y72,1),"")</f>
        <v>P</v>
      </c>
      <c r="Y72" s="3">
        <v>128</v>
      </c>
      <c r="Z72" s="3" t="str">
        <f>IFERROR(MID(VLOOKUP($B72,Seqs!$A:$B,2,0),AA72,1),"")</f>
        <v>R</v>
      </c>
      <c r="AA72" s="3">
        <v>135</v>
      </c>
      <c r="AB72" s="3" t="str">
        <f>IFERROR(MID(VLOOKUP($B72,Seqs!$A:$B,2,0),AC72,1),"")</f>
        <v>T</v>
      </c>
      <c r="AC72" s="9">
        <v>136</v>
      </c>
      <c r="AD72" s="3" t="str">
        <f>IFERROR(MID(VLOOKUP($B72,Seqs!$A:$B,2,0),AE72,1),"")</f>
        <v>G</v>
      </c>
      <c r="AE72" s="3">
        <v>167</v>
      </c>
      <c r="AF72" s="3" t="str">
        <f>IFERROR(MID(VLOOKUP($B72,Seqs!$A:$B,2,0),AG72,1),"")</f>
        <v>C</v>
      </c>
      <c r="AG72" s="3">
        <v>176</v>
      </c>
      <c r="AH72" s="3" t="str">
        <f>IFERROR(MID(VLOOKUP($B72,Seqs!$A:$B,2,0),AI72,1),"")</f>
        <v>I</v>
      </c>
      <c r="AI72" s="3">
        <v>178</v>
      </c>
      <c r="AJ72" s="3" t="str">
        <f>IFERROR(MID(VLOOKUP($B72,Seqs!$A:$B,2,0),AK72,1),"")</f>
        <v>N</v>
      </c>
      <c r="AK72" s="3">
        <v>183</v>
      </c>
      <c r="AL72" s="3" t="str">
        <f>IFERROR(MID(VLOOKUP($B72,Seqs!$A:$B,2,0),AM72,1),"")</f>
        <v>S</v>
      </c>
      <c r="AM72" s="3">
        <v>213</v>
      </c>
      <c r="AN72" s="3" t="str">
        <f>IFERROR(MID(VLOOKUP($B72,Seqs!$A:$B,2,0),AO72,1),"")</f>
        <v>K</v>
      </c>
      <c r="AO72" s="3">
        <v>384</v>
      </c>
      <c r="AP72" s="3" t="str">
        <f>IFERROR(MID(VLOOKUP($B72,Seqs!$A:$B,2,0),AQ72,1),"")</f>
        <v>C</v>
      </c>
      <c r="AQ72" s="3">
        <v>413</v>
      </c>
      <c r="AR72" s="3" t="str">
        <f>IFERROR(MID(VLOOKUP($B72,Seqs!$A:$B,2,0),AS72,1),"")</f>
        <v>P</v>
      </c>
      <c r="AS72" s="3">
        <v>418</v>
      </c>
      <c r="AT72" s="3" t="str">
        <f>IFERROR(MID(VLOOKUP($B72,Seqs!$A:$B,2,0),AU72,1),"")</f>
        <v>C</v>
      </c>
      <c r="AU72" s="3">
        <v>443</v>
      </c>
      <c r="AV72" s="3" t="str">
        <f>IFERROR(MID(VLOOKUP($B72,Seqs!$A:$B,2,0),AW72,1),"")</f>
        <v>N</v>
      </c>
      <c r="AW72" s="3">
        <v>444</v>
      </c>
      <c r="AX72" s="3" t="str">
        <f>IFERROR(MID(VLOOKUP($B72,Seqs!$A:$B,2,0),AY72,1),"")</f>
        <v>M</v>
      </c>
      <c r="AY72" s="3">
        <v>456</v>
      </c>
      <c r="AZ72" s="77" t="str">
        <f>VLOOKUP(B72,Classification!A:D,2,0)</f>
        <v>A</v>
      </c>
      <c r="BA72" s="94" t="str">
        <f>VLOOKUP(B72,Classification!A:D,4,0)</f>
        <v>Acetylcholine(muscarinic)</v>
      </c>
      <c r="BB72" s="27" t="b">
        <f t="shared" ref="BB72:BB114" si="336">AND(E72&lt;G72,OR(G72&lt;I72,I72="-"),OR(I72&lt;K72,I72="-"),OR(K72&lt;M72,K72="-"),M72&lt;O72,OR(O72&lt;Q72,Q72="-"),OR(Q72&lt;S72,Q72="-"),OR(S72&lt;U72,S72="-"),U72&lt;W72,OR(W72&lt;Y72,Y72="-"),OR(Y72&lt;AA72,Y72="-"),OR(AA72&lt;AC72,AA72="-"),AC72&lt;AE72,OR(AE72&lt;AG72,AG72="-"),OR(AG72&lt;AI72,AG72="-"),OR(AI72&lt;AK72,AI72="-"),AK72&lt;AM72,AM72&lt;AO72,AO72&lt;AQ72,AQ72&lt;AS72,AS72&lt;AU72,OR(AU72&lt;AW72,AW72="-"),OR(AW72&lt;AY72,AW72="-"))</f>
        <v>1</v>
      </c>
      <c r="BC72" s="23">
        <f t="shared" si="225"/>
        <v>247</v>
      </c>
      <c r="BD72" s="16" t="s">
        <v>23</v>
      </c>
      <c r="BE72" s="3" t="s">
        <v>1380</v>
      </c>
      <c r="BF72" s="119">
        <v>3</v>
      </c>
      <c r="BG72" s="49" t="s">
        <v>1383</v>
      </c>
      <c r="BH72" s="49" t="s">
        <v>1383</v>
      </c>
      <c r="BI72" s="1"/>
      <c r="BJ72" s="70" t="s">
        <v>1293</v>
      </c>
      <c r="BK72" s="57" t="s">
        <v>1293</v>
      </c>
      <c r="BL72" s="57" t="s">
        <v>1293</v>
      </c>
      <c r="BM72" s="57" t="s">
        <v>1293</v>
      </c>
      <c r="BN72" s="57" t="s">
        <v>1293</v>
      </c>
      <c r="BO72" s="57" t="s">
        <v>1293</v>
      </c>
      <c r="BP72" s="57" t="s">
        <v>1293</v>
      </c>
      <c r="BQ72" s="57" t="s">
        <v>1293</v>
      </c>
      <c r="BR72" s="57" t="s">
        <v>1293</v>
      </c>
      <c r="BS72" s="57" t="s">
        <v>1293</v>
      </c>
      <c r="BT72" s="57" t="s">
        <v>1293</v>
      </c>
      <c r="BU72" s="57" t="s">
        <v>1293</v>
      </c>
      <c r="BV72" s="70">
        <f t="shared" si="226"/>
        <v>23</v>
      </c>
      <c r="BW72" s="71">
        <f t="shared" si="227"/>
        <v>52</v>
      </c>
      <c r="BX72" s="72">
        <f t="shared" si="228"/>
        <v>56</v>
      </c>
      <c r="BY72" s="71">
        <f t="shared" si="229"/>
        <v>88</v>
      </c>
      <c r="BZ72" s="72">
        <f t="shared" si="230"/>
        <v>92</v>
      </c>
      <c r="CA72" s="71">
        <f t="shared" si="231"/>
        <v>128</v>
      </c>
      <c r="CB72" s="72">
        <f t="shared" si="232"/>
        <v>136</v>
      </c>
      <c r="CC72" s="71">
        <f t="shared" si="233"/>
        <v>176</v>
      </c>
      <c r="CD72" s="72">
        <f t="shared" si="234"/>
        <v>183</v>
      </c>
      <c r="CE72" s="71">
        <f t="shared" si="235"/>
        <v>384</v>
      </c>
      <c r="CF72" s="72">
        <f t="shared" si="236"/>
        <v>418</v>
      </c>
      <c r="CG72" s="71">
        <f t="shared" si="237"/>
        <v>444</v>
      </c>
      <c r="CH72" s="70">
        <f t="shared" si="238"/>
        <v>51</v>
      </c>
      <c r="CI72" s="71">
        <f t="shared" si="239"/>
        <v>55</v>
      </c>
      <c r="CJ72" s="72">
        <f t="shared" si="240"/>
        <v>86</v>
      </c>
      <c r="CK72" s="72">
        <f t="shared" si="241"/>
        <v>91</v>
      </c>
      <c r="CL72" s="72">
        <f t="shared" si="242"/>
        <v>127</v>
      </c>
      <c r="CM72" s="72">
        <f t="shared" si="243"/>
        <v>135</v>
      </c>
      <c r="CN72" s="72">
        <f t="shared" si="244"/>
        <v>167</v>
      </c>
      <c r="CO72" s="72">
        <f t="shared" si="245"/>
        <v>178</v>
      </c>
      <c r="CP72" s="72">
        <f t="shared" si="246"/>
        <v>213</v>
      </c>
      <c r="CQ72" s="72">
        <f t="shared" si="247"/>
        <v>413</v>
      </c>
      <c r="CR72" s="72">
        <f t="shared" si="248"/>
        <v>443</v>
      </c>
      <c r="CS72" s="72">
        <f t="shared" si="249"/>
        <v>456</v>
      </c>
      <c r="CT72" s="23">
        <f t="shared" si="250"/>
        <v>1</v>
      </c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  <c r="ADW72" s="1"/>
      <c r="ADX72" s="1"/>
      <c r="ADY72" s="1"/>
      <c r="ADZ72" s="1"/>
      <c r="AEA72" s="1"/>
      <c r="AEB72" s="1"/>
      <c r="AEC72" s="1"/>
      <c r="AED72" s="1"/>
      <c r="AEE72" s="1"/>
      <c r="AEF72" s="1"/>
      <c r="AEG72" s="1"/>
      <c r="AEH72" s="1"/>
      <c r="AEI72" s="1"/>
      <c r="AEJ72" s="1"/>
      <c r="AEK72" s="1"/>
      <c r="AEL72" s="1"/>
      <c r="AEM72" s="1"/>
      <c r="AEN72" s="1"/>
      <c r="AEO72" s="1"/>
      <c r="AEP72" s="1"/>
      <c r="AEQ72" s="1"/>
      <c r="AER72" s="1"/>
      <c r="AES72" s="1"/>
      <c r="AET72" s="1"/>
      <c r="AEU72" s="1"/>
      <c r="AEV72" s="1"/>
      <c r="AEW72" s="1"/>
      <c r="AEX72" s="1"/>
      <c r="AEY72" s="1"/>
      <c r="AEZ72" s="1"/>
      <c r="AFA72" s="1"/>
      <c r="AFB72" s="1"/>
      <c r="AFC72" s="1"/>
      <c r="AFD72" s="1"/>
      <c r="AFE72" s="1"/>
      <c r="AFF72" s="1"/>
      <c r="AFG72" s="1"/>
      <c r="AFH72" s="1"/>
      <c r="AFI72" s="1"/>
      <c r="AFJ72" s="1"/>
      <c r="AFK72" s="1"/>
      <c r="AFL72" s="1"/>
      <c r="AFM72" s="1"/>
      <c r="AFN72" s="1"/>
      <c r="AFO72" s="1"/>
      <c r="AFP72" s="1"/>
      <c r="AFQ72" s="1"/>
      <c r="AFR72" s="1"/>
      <c r="AFS72" s="1"/>
      <c r="AFT72" s="1"/>
      <c r="AFU72" s="1"/>
      <c r="AFV72" s="1"/>
      <c r="AFW72" s="1"/>
      <c r="AFX72" s="1"/>
      <c r="AFY72" s="1"/>
      <c r="AFZ72" s="1"/>
      <c r="AGA72" s="1"/>
      <c r="AGB72" s="1"/>
      <c r="AGC72" s="1"/>
      <c r="AGD72" s="1"/>
      <c r="AGE72" s="1"/>
      <c r="AGF72" s="1"/>
      <c r="AGG72" s="1"/>
      <c r="AGH72" s="1"/>
      <c r="AGI72" s="1"/>
      <c r="AGJ72" s="1"/>
      <c r="AGK72" s="1"/>
      <c r="AGL72" s="1"/>
      <c r="AGM72" s="1"/>
      <c r="AGN72" s="1"/>
      <c r="AGO72" s="1"/>
      <c r="AGP72" s="1"/>
      <c r="AGQ72" s="1"/>
      <c r="AGR72" s="1"/>
      <c r="AGS72" s="1"/>
      <c r="AGT72" s="1"/>
      <c r="AGU72" s="1"/>
      <c r="AGV72" s="1"/>
      <c r="AGW72" s="1"/>
      <c r="AGX72" s="1"/>
      <c r="AGY72" s="1"/>
      <c r="AGZ72" s="1"/>
      <c r="AHA72" s="1"/>
      <c r="AHB72" s="1"/>
      <c r="AHC72" s="1"/>
      <c r="AHD72" s="1"/>
      <c r="AHE72" s="1"/>
      <c r="AHF72" s="1"/>
      <c r="AHG72" s="1"/>
      <c r="AHH72" s="1"/>
      <c r="AHI72" s="1"/>
      <c r="AHJ72" s="1"/>
      <c r="AHK72" s="1"/>
      <c r="AHL72" s="1"/>
      <c r="AHM72" s="1"/>
      <c r="AHN72" s="1"/>
      <c r="AHO72" s="1"/>
      <c r="AHP72" s="1"/>
      <c r="AHQ72" s="1"/>
      <c r="AHR72" s="1"/>
      <c r="AHS72" s="1"/>
      <c r="AHT72" s="1"/>
      <c r="AHU72" s="1"/>
      <c r="AHV72" s="1"/>
      <c r="AHW72" s="1"/>
      <c r="AHX72" s="1"/>
      <c r="AHY72" s="1"/>
      <c r="AHZ72" s="1"/>
      <c r="AIA72" s="1"/>
      <c r="AIB72" s="1"/>
      <c r="AIC72" s="1"/>
      <c r="AID72" s="1"/>
      <c r="AIE72" s="1"/>
      <c r="AIF72" s="1"/>
      <c r="AIG72" s="1"/>
      <c r="AIH72" s="1"/>
      <c r="AII72" s="1"/>
      <c r="AIJ72" s="1"/>
      <c r="AIK72" s="1"/>
      <c r="AIL72" s="1"/>
      <c r="AIM72" s="1"/>
      <c r="AIN72" s="1"/>
      <c r="AIO72" s="1"/>
      <c r="AIP72" s="1"/>
      <c r="AIQ72" s="1"/>
      <c r="AIR72" s="1"/>
      <c r="AIS72" s="1"/>
      <c r="AIT72" s="1"/>
      <c r="AIU72" s="1"/>
      <c r="AIV72" s="1"/>
      <c r="AIW72" s="1"/>
      <c r="AIX72" s="1"/>
      <c r="AIY72" s="1"/>
      <c r="AIZ72" s="1"/>
      <c r="AJA72" s="1"/>
      <c r="AJB72" s="1"/>
      <c r="AJC72" s="1"/>
      <c r="AJD72" s="1"/>
      <c r="AJE72" s="1"/>
      <c r="AJF72" s="1"/>
      <c r="AJG72" s="1"/>
      <c r="AJH72" s="1"/>
      <c r="AJI72" s="1"/>
      <c r="AJJ72" s="1"/>
      <c r="AJK72" s="1"/>
      <c r="AJL72" s="1"/>
      <c r="AJM72" s="1"/>
      <c r="AJN72" s="1"/>
      <c r="AJO72" s="1"/>
      <c r="AJP72" s="1"/>
      <c r="AJQ72" s="1"/>
      <c r="AJR72" s="1"/>
      <c r="AJS72" s="1"/>
      <c r="AJT72" s="1"/>
      <c r="AJU72" s="1"/>
      <c r="AJV72" s="1"/>
      <c r="AJW72" s="1"/>
      <c r="AJX72" s="1"/>
      <c r="AJY72" s="1"/>
      <c r="AJZ72" s="1"/>
      <c r="AKA72" s="1"/>
      <c r="AKB72" s="1"/>
      <c r="AKC72" s="1"/>
      <c r="AKD72" s="1"/>
      <c r="AKE72" s="1"/>
      <c r="AKF72" s="1"/>
      <c r="AKG72" s="1"/>
      <c r="AKH72" s="1"/>
      <c r="AKI72" s="1"/>
      <c r="AKJ72" s="1"/>
      <c r="AKK72" s="1"/>
      <c r="AKL72" s="1"/>
      <c r="AKM72" s="1"/>
      <c r="AKN72" s="1"/>
      <c r="AKO72" s="1"/>
      <c r="AKP72" s="1"/>
      <c r="AKQ72" s="1"/>
      <c r="AKR72" s="1"/>
      <c r="AKS72" s="1"/>
      <c r="AKT72" s="1"/>
      <c r="AKU72" s="1"/>
      <c r="AKV72" s="1"/>
      <c r="AKW72" s="1"/>
      <c r="AKX72" s="1"/>
      <c r="AKY72" s="1"/>
      <c r="AKZ72" s="1"/>
      <c r="ALA72" s="1"/>
      <c r="ALB72" s="1"/>
      <c r="ALC72" s="1"/>
      <c r="ALD72" s="1"/>
      <c r="ALE72" s="1"/>
      <c r="ALF72" s="1"/>
      <c r="ALG72" s="1"/>
      <c r="ALH72" s="1"/>
      <c r="ALI72" s="1"/>
      <c r="ALJ72" s="1"/>
      <c r="ALK72" s="1"/>
      <c r="ALL72" s="1"/>
      <c r="ALM72" s="1"/>
      <c r="ALN72" s="1"/>
      <c r="ALO72" s="1"/>
      <c r="ALP72" s="1"/>
      <c r="ALQ72" s="1"/>
      <c r="ALR72" s="1"/>
      <c r="ALS72" s="1"/>
      <c r="ALT72" s="1"/>
      <c r="ALU72" s="1"/>
      <c r="ALV72" s="1"/>
      <c r="ALW72" s="1"/>
      <c r="ALX72" s="1"/>
      <c r="ALY72" s="1"/>
      <c r="ALZ72" s="1"/>
      <c r="AMA72" s="1"/>
      <c r="AMB72" s="1"/>
      <c r="AMC72" s="1"/>
      <c r="AMD72" s="1"/>
      <c r="AME72" s="1"/>
      <c r="AMF72" s="1"/>
      <c r="AMG72" s="1"/>
      <c r="AMH72" s="1"/>
      <c r="AMI72" s="1"/>
      <c r="AMJ72" s="1"/>
      <c r="AMK72" s="1"/>
      <c r="AML72" s="1"/>
      <c r="AMM72" s="1"/>
      <c r="AMN72" s="1"/>
      <c r="AMO72" s="1"/>
    </row>
    <row r="73" spans="1:1029" x14ac:dyDescent="0.2">
      <c r="A73" s="3" t="str">
        <f t="shared" si="335"/>
        <v>acm2_human_4MQS</v>
      </c>
      <c r="B73" s="3" t="s">
        <v>147</v>
      </c>
      <c r="C73" s="3" t="s">
        <v>68</v>
      </c>
      <c r="D73" s="3" t="str">
        <f>IFERROR(MID(VLOOKUP($B73,Seqs!$A:$B,2,0),E73,1),"")</f>
        <v>K</v>
      </c>
      <c r="E73" s="3">
        <v>19</v>
      </c>
      <c r="F73" s="3" t="str">
        <f>IFERROR(MID(VLOOKUP($B73,Seqs!$A:$B,2,0),G73,1),"")</f>
        <v>N</v>
      </c>
      <c r="G73" s="3">
        <v>51</v>
      </c>
      <c r="H73" s="3" t="str">
        <f>IFERROR(MID(VLOOKUP($B73,Seqs!$A:$B,2,0),I73,1),"")</f>
        <v>R</v>
      </c>
      <c r="I73" s="23">
        <v>52</v>
      </c>
      <c r="J73" s="3" t="str">
        <f>IFERROR(MID(VLOOKUP($B73,Seqs!$A:$B,2,0),K73,1),"")</f>
        <v>Q</v>
      </c>
      <c r="K73" s="23">
        <v>55</v>
      </c>
      <c r="L73" s="3" t="str">
        <f>IFERROR(MID(VLOOKUP($B73,Seqs!$A:$B,2,0),M73,1),"")</f>
        <v>T</v>
      </c>
      <c r="M73" s="3">
        <v>56</v>
      </c>
      <c r="N73" s="3" t="str">
        <f>IFERROR(MID(VLOOKUP($B73,Seqs!$A:$B,2,0),O73,1),"")</f>
        <v>G</v>
      </c>
      <c r="O73" s="3">
        <v>87</v>
      </c>
      <c r="P73" s="3" t="str">
        <f>IFERROR(MID(VLOOKUP($B73,Seqs!$A:$B,2,0),Q73,1),"")</f>
        <v>Y</v>
      </c>
      <c r="Q73" s="3">
        <v>88</v>
      </c>
      <c r="R73" s="3" t="str">
        <f>IFERROR(MID(VLOOKUP($B73,Seqs!$A:$B,2,0),S73,1),"")</f>
        <v>L</v>
      </c>
      <c r="S73" s="3">
        <v>91</v>
      </c>
      <c r="T73" s="3" t="str">
        <f>IFERROR(MID(VLOOKUP($B73,Seqs!$A:$B,2,0),U73,1),"")</f>
        <v>G</v>
      </c>
      <c r="U73" s="3">
        <v>92</v>
      </c>
      <c r="V73" s="3" t="str">
        <f>IFERROR(MID(VLOOKUP($B73,Seqs!$A:$B,2,0),W73,1),"")</f>
        <v>K</v>
      </c>
      <c r="W73" s="3">
        <v>127</v>
      </c>
      <c r="X73" s="3" t="str">
        <f>IFERROR(MID(VLOOKUP($B73,Seqs!$A:$B,2,0),Y73,1),"")</f>
        <v>P</v>
      </c>
      <c r="Y73" s="3">
        <v>128</v>
      </c>
      <c r="Z73" s="3" t="str">
        <f>IFERROR(MID(VLOOKUP($B73,Seqs!$A:$B,2,0),AA73,1),"")</f>
        <v>R</v>
      </c>
      <c r="AA73" s="3">
        <v>135</v>
      </c>
      <c r="AB73" s="3" t="str">
        <f>IFERROR(MID(VLOOKUP($B73,Seqs!$A:$B,2,0),AC73,1),"")</f>
        <v>T</v>
      </c>
      <c r="AC73" s="9">
        <v>136</v>
      </c>
      <c r="AD73" s="3" t="str">
        <f>IFERROR(MID(VLOOKUP($B73,Seqs!$A:$B,2,0),AE73,1),"")</f>
        <v>G</v>
      </c>
      <c r="AE73" s="3">
        <v>167</v>
      </c>
      <c r="AF73" s="3" t="str">
        <f>IFERROR(MID(VLOOKUP($B73,Seqs!$A:$B,2,0),AG73,1),"")</f>
        <v>C</v>
      </c>
      <c r="AG73" s="3">
        <v>176</v>
      </c>
      <c r="AH73" s="3" t="str">
        <f>IFERROR(MID(VLOOKUP($B73,Seqs!$A:$B,2,0),AI73,1),"")</f>
        <v>I</v>
      </c>
      <c r="AI73" s="3">
        <v>178</v>
      </c>
      <c r="AJ73" s="3" t="str">
        <f>IFERROR(MID(VLOOKUP($B73,Seqs!$A:$B,2,0),AK73,1),"")</f>
        <v>N</v>
      </c>
      <c r="AK73" s="3">
        <v>183</v>
      </c>
      <c r="AL73" s="3" t="str">
        <f>IFERROR(MID(VLOOKUP($B73,Seqs!$A:$B,2,0),AM73,1),"")</f>
        <v>K</v>
      </c>
      <c r="AM73" s="3">
        <v>214</v>
      </c>
      <c r="AN73" s="3" t="str">
        <f>IFERROR(MID(VLOOKUP($B73,Seqs!$A:$B,2,0),AO73,1),"")</f>
        <v>S</v>
      </c>
      <c r="AO73" s="3">
        <v>380</v>
      </c>
      <c r="AP73" s="3" t="str">
        <f>IFERROR(MID(VLOOKUP($B73,Seqs!$A:$B,2,0),AQ73,1),"")</f>
        <v>C</v>
      </c>
      <c r="AQ73" s="3">
        <v>413</v>
      </c>
      <c r="AR73" s="3" t="str">
        <f>IFERROR(MID(VLOOKUP($B73,Seqs!$A:$B,2,0),AS73,1),"")</f>
        <v>P</v>
      </c>
      <c r="AS73" s="3">
        <v>418</v>
      </c>
      <c r="AT73" s="3" t="str">
        <f>IFERROR(MID(VLOOKUP($B73,Seqs!$A:$B,2,0),AU73,1),"")</f>
        <v>C</v>
      </c>
      <c r="AU73" s="3">
        <v>443</v>
      </c>
      <c r="AV73" s="3" t="str">
        <f>IFERROR(MID(VLOOKUP($B73,Seqs!$A:$B,2,0),AW73,1),"")</f>
        <v>N</v>
      </c>
      <c r="AW73" s="3">
        <v>444</v>
      </c>
      <c r="AX73" s="3" t="str">
        <f>IFERROR(MID(VLOOKUP($B73,Seqs!$A:$B,2,0),AY73,1),"")</f>
        <v>M</v>
      </c>
      <c r="AY73" s="3">
        <v>456</v>
      </c>
      <c r="AZ73" s="77" t="str">
        <f>VLOOKUP(B73,Classification!A:D,2,0)</f>
        <v>A</v>
      </c>
      <c r="BA73" s="94" t="str">
        <f>VLOOKUP(B73,Classification!A:D,4,0)</f>
        <v>Acetylcholine(muscarinic)</v>
      </c>
      <c r="BB73" s="27" t="b">
        <f t="shared" si="336"/>
        <v>1</v>
      </c>
      <c r="BC73" s="23">
        <f t="shared" si="225"/>
        <v>257</v>
      </c>
      <c r="BD73" s="4" t="s">
        <v>23</v>
      </c>
      <c r="BE73" s="3" t="s">
        <v>1297</v>
      </c>
      <c r="BF73" s="119">
        <v>3.5</v>
      </c>
      <c r="BG73" s="49" t="s">
        <v>1383</v>
      </c>
      <c r="BH73" s="49" t="s">
        <v>1383</v>
      </c>
      <c r="BI73" s="1"/>
      <c r="BJ73" s="70" t="s">
        <v>1293</v>
      </c>
      <c r="BK73" s="57" t="s">
        <v>1293</v>
      </c>
      <c r="BL73" s="57" t="s">
        <v>1293</v>
      </c>
      <c r="BM73" s="57" t="s">
        <v>1293</v>
      </c>
      <c r="BN73" s="57" t="s">
        <v>1293</v>
      </c>
      <c r="BO73" s="57" t="s">
        <v>1293</v>
      </c>
      <c r="BP73" s="57" t="s">
        <v>1293</v>
      </c>
      <c r="BQ73" s="57" t="s">
        <v>1293</v>
      </c>
      <c r="BR73" s="57" t="s">
        <v>1293</v>
      </c>
      <c r="BS73" s="57" t="s">
        <v>1293</v>
      </c>
      <c r="BT73" s="57" t="s">
        <v>1293</v>
      </c>
      <c r="BU73" s="57" t="s">
        <v>1293</v>
      </c>
      <c r="BV73" s="70">
        <f t="shared" si="226"/>
        <v>19</v>
      </c>
      <c r="BW73" s="71">
        <f t="shared" si="227"/>
        <v>52</v>
      </c>
      <c r="BX73" s="72">
        <f t="shared" si="228"/>
        <v>56</v>
      </c>
      <c r="BY73" s="71">
        <f t="shared" si="229"/>
        <v>88</v>
      </c>
      <c r="BZ73" s="72">
        <f t="shared" si="230"/>
        <v>92</v>
      </c>
      <c r="CA73" s="71">
        <f t="shared" si="231"/>
        <v>128</v>
      </c>
      <c r="CB73" s="72">
        <f t="shared" si="232"/>
        <v>136</v>
      </c>
      <c r="CC73" s="71">
        <f t="shared" si="233"/>
        <v>176</v>
      </c>
      <c r="CD73" s="72">
        <f t="shared" si="234"/>
        <v>183</v>
      </c>
      <c r="CE73" s="71">
        <f t="shared" si="235"/>
        <v>380</v>
      </c>
      <c r="CF73" s="72">
        <f t="shared" si="236"/>
        <v>418</v>
      </c>
      <c r="CG73" s="71">
        <f t="shared" si="237"/>
        <v>444</v>
      </c>
      <c r="CH73" s="70">
        <f t="shared" si="238"/>
        <v>51</v>
      </c>
      <c r="CI73" s="71">
        <f t="shared" si="239"/>
        <v>55</v>
      </c>
      <c r="CJ73" s="72">
        <f t="shared" si="240"/>
        <v>87</v>
      </c>
      <c r="CK73" s="72">
        <f t="shared" si="241"/>
        <v>91</v>
      </c>
      <c r="CL73" s="72">
        <f t="shared" si="242"/>
        <v>127</v>
      </c>
      <c r="CM73" s="72">
        <f t="shared" si="243"/>
        <v>135</v>
      </c>
      <c r="CN73" s="72">
        <f t="shared" si="244"/>
        <v>167</v>
      </c>
      <c r="CO73" s="72">
        <f t="shared" si="245"/>
        <v>178</v>
      </c>
      <c r="CP73" s="72">
        <f t="shared" si="246"/>
        <v>214</v>
      </c>
      <c r="CQ73" s="72">
        <f t="shared" si="247"/>
        <v>413</v>
      </c>
      <c r="CR73" s="72">
        <f t="shared" si="248"/>
        <v>443</v>
      </c>
      <c r="CS73" s="72">
        <f t="shared" si="249"/>
        <v>456</v>
      </c>
      <c r="CT73" s="23">
        <f t="shared" si="250"/>
        <v>1</v>
      </c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  <c r="ADW73" s="1"/>
      <c r="ADX73" s="1"/>
      <c r="ADY73" s="1"/>
      <c r="ADZ73" s="1"/>
      <c r="AEA73" s="1"/>
      <c r="AEB73" s="1"/>
      <c r="AEC73" s="1"/>
      <c r="AED73" s="1"/>
      <c r="AEE73" s="1"/>
      <c r="AEF73" s="1"/>
      <c r="AEG73" s="1"/>
      <c r="AEH73" s="1"/>
      <c r="AEI73" s="1"/>
      <c r="AEJ73" s="1"/>
      <c r="AEK73" s="1"/>
      <c r="AEL73" s="1"/>
      <c r="AEM73" s="1"/>
      <c r="AEN73" s="1"/>
      <c r="AEO73" s="1"/>
      <c r="AEP73" s="1"/>
      <c r="AEQ73" s="1"/>
      <c r="AER73" s="1"/>
      <c r="AES73" s="1"/>
      <c r="AET73" s="1"/>
      <c r="AEU73" s="1"/>
      <c r="AEV73" s="1"/>
      <c r="AEW73" s="1"/>
      <c r="AEX73" s="1"/>
      <c r="AEY73" s="1"/>
      <c r="AEZ73" s="1"/>
      <c r="AFA73" s="1"/>
      <c r="AFB73" s="1"/>
      <c r="AFC73" s="1"/>
      <c r="AFD73" s="1"/>
      <c r="AFE73" s="1"/>
      <c r="AFF73" s="1"/>
      <c r="AFG73" s="1"/>
      <c r="AFH73" s="1"/>
      <c r="AFI73" s="1"/>
      <c r="AFJ73" s="1"/>
      <c r="AFK73" s="1"/>
      <c r="AFL73" s="1"/>
      <c r="AFM73" s="1"/>
      <c r="AFN73" s="1"/>
      <c r="AFO73" s="1"/>
      <c r="AFP73" s="1"/>
      <c r="AFQ73" s="1"/>
      <c r="AFR73" s="1"/>
      <c r="AFS73" s="1"/>
      <c r="AFT73" s="1"/>
      <c r="AFU73" s="1"/>
      <c r="AFV73" s="1"/>
      <c r="AFW73" s="1"/>
      <c r="AFX73" s="1"/>
      <c r="AFY73" s="1"/>
      <c r="AFZ73" s="1"/>
      <c r="AGA73" s="1"/>
      <c r="AGB73" s="1"/>
      <c r="AGC73" s="1"/>
      <c r="AGD73" s="1"/>
      <c r="AGE73" s="1"/>
      <c r="AGF73" s="1"/>
      <c r="AGG73" s="1"/>
      <c r="AGH73" s="1"/>
      <c r="AGI73" s="1"/>
      <c r="AGJ73" s="1"/>
      <c r="AGK73" s="1"/>
      <c r="AGL73" s="1"/>
      <c r="AGM73" s="1"/>
      <c r="AGN73" s="1"/>
      <c r="AGO73" s="1"/>
      <c r="AGP73" s="1"/>
      <c r="AGQ73" s="1"/>
      <c r="AGR73" s="1"/>
      <c r="AGS73" s="1"/>
      <c r="AGT73" s="1"/>
      <c r="AGU73" s="1"/>
      <c r="AGV73" s="1"/>
      <c r="AGW73" s="1"/>
      <c r="AGX73" s="1"/>
      <c r="AGY73" s="1"/>
      <c r="AGZ73" s="1"/>
      <c r="AHA73" s="1"/>
      <c r="AHB73" s="1"/>
      <c r="AHC73" s="1"/>
      <c r="AHD73" s="1"/>
      <c r="AHE73" s="1"/>
      <c r="AHF73" s="1"/>
      <c r="AHG73" s="1"/>
      <c r="AHH73" s="1"/>
      <c r="AHI73" s="1"/>
      <c r="AHJ73" s="1"/>
      <c r="AHK73" s="1"/>
      <c r="AHL73" s="1"/>
      <c r="AHM73" s="1"/>
      <c r="AHN73" s="1"/>
      <c r="AHO73" s="1"/>
      <c r="AHP73" s="1"/>
      <c r="AHQ73" s="1"/>
      <c r="AHR73" s="1"/>
      <c r="AHS73" s="1"/>
      <c r="AHT73" s="1"/>
      <c r="AHU73" s="1"/>
      <c r="AHV73" s="1"/>
      <c r="AHW73" s="1"/>
      <c r="AHX73" s="1"/>
      <c r="AHY73" s="1"/>
      <c r="AHZ73" s="1"/>
      <c r="AIA73" s="1"/>
      <c r="AIB73" s="1"/>
      <c r="AIC73" s="1"/>
      <c r="AID73" s="1"/>
      <c r="AIE73" s="1"/>
      <c r="AIF73" s="1"/>
      <c r="AIG73" s="1"/>
      <c r="AIH73" s="1"/>
      <c r="AII73" s="1"/>
      <c r="AIJ73" s="1"/>
      <c r="AIK73" s="1"/>
      <c r="AIL73" s="1"/>
      <c r="AIM73" s="1"/>
      <c r="AIN73" s="1"/>
      <c r="AIO73" s="1"/>
      <c r="AIP73" s="1"/>
      <c r="AIQ73" s="1"/>
      <c r="AIR73" s="1"/>
      <c r="AIS73" s="1"/>
      <c r="AIT73" s="1"/>
      <c r="AIU73" s="1"/>
      <c r="AIV73" s="1"/>
      <c r="AIW73" s="1"/>
      <c r="AIX73" s="1"/>
      <c r="AIY73" s="1"/>
      <c r="AIZ73" s="1"/>
      <c r="AJA73" s="1"/>
      <c r="AJB73" s="1"/>
      <c r="AJC73" s="1"/>
      <c r="AJD73" s="1"/>
      <c r="AJE73" s="1"/>
      <c r="AJF73" s="1"/>
      <c r="AJG73" s="1"/>
      <c r="AJH73" s="1"/>
      <c r="AJI73" s="1"/>
      <c r="AJJ73" s="1"/>
      <c r="AJK73" s="1"/>
      <c r="AJL73" s="1"/>
      <c r="AJM73" s="1"/>
      <c r="AJN73" s="1"/>
      <c r="AJO73" s="1"/>
      <c r="AJP73" s="1"/>
      <c r="AJQ73" s="1"/>
      <c r="AJR73" s="1"/>
      <c r="AJS73" s="1"/>
      <c r="AJT73" s="1"/>
      <c r="AJU73" s="1"/>
      <c r="AJV73" s="1"/>
      <c r="AJW73" s="1"/>
      <c r="AJX73" s="1"/>
      <c r="AJY73" s="1"/>
      <c r="AJZ73" s="1"/>
      <c r="AKA73" s="1"/>
      <c r="AKB73" s="1"/>
      <c r="AKC73" s="1"/>
      <c r="AKD73" s="1"/>
      <c r="AKE73" s="1"/>
      <c r="AKF73" s="1"/>
      <c r="AKG73" s="1"/>
      <c r="AKH73" s="1"/>
      <c r="AKI73" s="1"/>
      <c r="AKJ73" s="1"/>
      <c r="AKK73" s="1"/>
      <c r="AKL73" s="1"/>
      <c r="AKM73" s="1"/>
      <c r="AKN73" s="1"/>
      <c r="AKO73" s="1"/>
      <c r="AKP73" s="1"/>
      <c r="AKQ73" s="1"/>
      <c r="AKR73" s="1"/>
      <c r="AKS73" s="1"/>
      <c r="AKT73" s="1"/>
      <c r="AKU73" s="1"/>
      <c r="AKV73" s="1"/>
      <c r="AKW73" s="1"/>
      <c r="AKX73" s="1"/>
      <c r="AKY73" s="1"/>
      <c r="AKZ73" s="1"/>
      <c r="ALA73" s="1"/>
      <c r="ALB73" s="1"/>
      <c r="ALC73" s="1"/>
      <c r="ALD73" s="1"/>
      <c r="ALE73" s="1"/>
      <c r="ALF73" s="1"/>
      <c r="ALG73" s="1"/>
      <c r="ALH73" s="1"/>
      <c r="ALI73" s="1"/>
      <c r="ALJ73" s="1"/>
      <c r="ALK73" s="1"/>
      <c r="ALL73" s="1"/>
      <c r="ALM73" s="1"/>
      <c r="ALN73" s="1"/>
      <c r="ALO73" s="1"/>
      <c r="ALP73" s="1"/>
      <c r="ALQ73" s="1"/>
      <c r="ALR73" s="1"/>
      <c r="ALS73" s="1"/>
      <c r="ALT73" s="1"/>
      <c r="ALU73" s="1"/>
      <c r="ALV73" s="1"/>
      <c r="ALW73" s="1"/>
      <c r="ALX73" s="1"/>
      <c r="ALY73" s="1"/>
      <c r="ALZ73" s="1"/>
      <c r="AMA73" s="1"/>
      <c r="AMB73" s="1"/>
      <c r="AMC73" s="1"/>
      <c r="AMD73" s="1"/>
      <c r="AME73" s="1"/>
      <c r="AMF73" s="1"/>
      <c r="AMG73" s="1"/>
      <c r="AMH73" s="1"/>
      <c r="AMI73" s="1"/>
      <c r="AMJ73" s="1"/>
      <c r="AMK73" s="1"/>
      <c r="AML73" s="1"/>
      <c r="AMM73" s="1"/>
      <c r="AMN73" s="1"/>
      <c r="AMO73" s="1"/>
    </row>
    <row r="74" spans="1:1029" x14ac:dyDescent="0.2">
      <c r="A74" s="3" t="str">
        <f t="shared" si="335"/>
        <v>acm2_human_4MQT</v>
      </c>
      <c r="B74" s="3" t="s">
        <v>147</v>
      </c>
      <c r="C74" s="3" t="s">
        <v>1047</v>
      </c>
      <c r="D74" s="3" t="str">
        <f>IFERROR(MID(VLOOKUP($B74,Seqs!$A:$B,2,0),E74,1),"")</f>
        <v>K</v>
      </c>
      <c r="E74" s="3">
        <v>19</v>
      </c>
      <c r="F74" s="3" t="str">
        <f>IFERROR(MID(VLOOKUP($B74,Seqs!$A:$B,2,0),G74,1),"")</f>
        <v>N</v>
      </c>
      <c r="G74" s="3">
        <v>51</v>
      </c>
      <c r="H74" s="3" t="str">
        <f>IFERROR(MID(VLOOKUP($B74,Seqs!$A:$B,2,0),I74,1),"")</f>
        <v>R</v>
      </c>
      <c r="I74" s="23">
        <v>52</v>
      </c>
      <c r="J74" s="3" t="str">
        <f>IFERROR(MID(VLOOKUP($B74,Seqs!$A:$B,2,0),K74,1),"")</f>
        <v>Q</v>
      </c>
      <c r="K74" s="23">
        <v>55</v>
      </c>
      <c r="L74" s="3" t="str">
        <f>IFERROR(MID(VLOOKUP($B74,Seqs!$A:$B,2,0),M74,1),"")</f>
        <v>T</v>
      </c>
      <c r="M74" s="3">
        <v>56</v>
      </c>
      <c r="N74" s="3" t="str">
        <f>IFERROR(MID(VLOOKUP($B74,Seqs!$A:$B,2,0),O74,1),"")</f>
        <v>G</v>
      </c>
      <c r="O74" s="3">
        <v>87</v>
      </c>
      <c r="P74" s="3" t="str">
        <f>IFERROR(MID(VLOOKUP($B74,Seqs!$A:$B,2,0),Q74,1),"")</f>
        <v>Y</v>
      </c>
      <c r="Q74" s="3">
        <v>88</v>
      </c>
      <c r="R74" s="3" t="str">
        <f>IFERROR(MID(VLOOKUP($B74,Seqs!$A:$B,2,0),S74,1),"")</f>
        <v>L</v>
      </c>
      <c r="S74" s="3">
        <v>91</v>
      </c>
      <c r="T74" s="3" t="str">
        <f>IFERROR(MID(VLOOKUP($B74,Seqs!$A:$B,2,0),U74,1),"")</f>
        <v>G</v>
      </c>
      <c r="U74" s="3">
        <v>92</v>
      </c>
      <c r="V74" s="3" t="str">
        <f>IFERROR(MID(VLOOKUP($B74,Seqs!$A:$B,2,0),W74,1),"")</f>
        <v>K</v>
      </c>
      <c r="W74" s="3">
        <v>127</v>
      </c>
      <c r="X74" s="3" t="str">
        <f>IFERROR(MID(VLOOKUP($B74,Seqs!$A:$B,2,0),Y74,1),"")</f>
        <v>P</v>
      </c>
      <c r="Y74" s="3">
        <v>128</v>
      </c>
      <c r="Z74" s="3" t="str">
        <f>IFERROR(MID(VLOOKUP($B74,Seqs!$A:$B,2,0),AA74,1),"")</f>
        <v>R</v>
      </c>
      <c r="AA74" s="3">
        <v>135</v>
      </c>
      <c r="AB74" s="3" t="str">
        <f>IFERROR(MID(VLOOKUP($B74,Seqs!$A:$B,2,0),AC74,1),"")</f>
        <v>T</v>
      </c>
      <c r="AC74" s="9">
        <v>136</v>
      </c>
      <c r="AD74" s="3" t="str">
        <f>IFERROR(MID(VLOOKUP($B74,Seqs!$A:$B,2,0),AE74,1),"")</f>
        <v>G</v>
      </c>
      <c r="AE74" s="3">
        <v>167</v>
      </c>
      <c r="AF74" s="3" t="str">
        <f>IFERROR(MID(VLOOKUP($B74,Seqs!$A:$B,2,0),AG74,1),"")</f>
        <v>C</v>
      </c>
      <c r="AG74" s="3">
        <v>176</v>
      </c>
      <c r="AH74" s="3" t="str">
        <f>IFERROR(MID(VLOOKUP($B74,Seqs!$A:$B,2,0),AI74,1),"")</f>
        <v>I</v>
      </c>
      <c r="AI74" s="3">
        <v>178</v>
      </c>
      <c r="AJ74" s="3" t="str">
        <f>IFERROR(MID(VLOOKUP($B74,Seqs!$A:$B,2,0),AK74,1),"")</f>
        <v>N</v>
      </c>
      <c r="AK74" s="3">
        <v>183</v>
      </c>
      <c r="AL74" s="3" t="str">
        <f>IFERROR(MID(VLOOKUP($B74,Seqs!$A:$B,2,0),AM74,1),"")</f>
        <v>S</v>
      </c>
      <c r="AM74" s="3">
        <v>215</v>
      </c>
      <c r="AN74" s="3" t="str">
        <f>IFERROR(MID(VLOOKUP($B74,Seqs!$A:$B,2,0),AO74,1),"")</f>
        <v>P</v>
      </c>
      <c r="AO74" s="3">
        <v>379</v>
      </c>
      <c r="AP74" s="3" t="str">
        <f>IFERROR(MID(VLOOKUP($B74,Seqs!$A:$B,2,0),AQ74,1),"")</f>
        <v>C</v>
      </c>
      <c r="AQ74" s="3">
        <v>413</v>
      </c>
      <c r="AR74" s="3" t="str">
        <f>IFERROR(MID(VLOOKUP($B74,Seqs!$A:$B,2,0),AS74,1),"")</f>
        <v>P</v>
      </c>
      <c r="AS74" s="3">
        <v>418</v>
      </c>
      <c r="AT74" s="3" t="str">
        <f>IFERROR(MID(VLOOKUP($B74,Seqs!$A:$B,2,0),AU74,1),"")</f>
        <v>C</v>
      </c>
      <c r="AU74" s="3">
        <v>443</v>
      </c>
      <c r="AV74" s="3" t="str">
        <f>IFERROR(MID(VLOOKUP($B74,Seqs!$A:$B,2,0),AW74,1),"")</f>
        <v>N</v>
      </c>
      <c r="AW74" s="3">
        <v>444</v>
      </c>
      <c r="AX74" s="3" t="str">
        <f>IFERROR(MID(VLOOKUP($B74,Seqs!$A:$B,2,0),AY74,1),"")</f>
        <v>C</v>
      </c>
      <c r="AY74" s="3">
        <v>457</v>
      </c>
      <c r="AZ74" s="77" t="str">
        <f>VLOOKUP(B74,Classification!A:D,2,0)</f>
        <v>A</v>
      </c>
      <c r="BA74" s="94" t="str">
        <f>VLOOKUP(B74,Classification!A:D,4,0)</f>
        <v>Acetylcholine(muscarinic)</v>
      </c>
      <c r="BB74" s="27" t="b">
        <f t="shared" si="336"/>
        <v>1</v>
      </c>
      <c r="BC74" s="23">
        <f t="shared" si="225"/>
        <v>260</v>
      </c>
      <c r="BD74" s="4" t="s">
        <v>1381</v>
      </c>
      <c r="BE74" s="3" t="s">
        <v>1297</v>
      </c>
      <c r="BF74" s="119">
        <v>3.7</v>
      </c>
      <c r="BG74" s="49" t="s">
        <v>1383</v>
      </c>
      <c r="BH74" s="49" t="s">
        <v>1383</v>
      </c>
      <c r="BI74" s="1"/>
      <c r="BJ74" s="70" t="s">
        <v>1293</v>
      </c>
      <c r="BK74" s="57" t="s">
        <v>1293</v>
      </c>
      <c r="BL74" s="57" t="s">
        <v>1293</v>
      </c>
      <c r="BM74" s="57" t="s">
        <v>1293</v>
      </c>
      <c r="BN74" s="57" t="s">
        <v>1293</v>
      </c>
      <c r="BO74" s="57" t="s">
        <v>1293</v>
      </c>
      <c r="BP74" s="57" t="s">
        <v>1293</v>
      </c>
      <c r="BQ74" s="57" t="s">
        <v>1293</v>
      </c>
      <c r="BR74" s="57" t="s">
        <v>1293</v>
      </c>
      <c r="BS74" s="57" t="s">
        <v>1293</v>
      </c>
      <c r="BT74" s="57" t="s">
        <v>1293</v>
      </c>
      <c r="BU74" s="57" t="s">
        <v>1293</v>
      </c>
      <c r="BV74" s="70">
        <f t="shared" si="226"/>
        <v>19</v>
      </c>
      <c r="BW74" s="71">
        <f t="shared" si="227"/>
        <v>52</v>
      </c>
      <c r="BX74" s="72">
        <f t="shared" si="228"/>
        <v>56</v>
      </c>
      <c r="BY74" s="71">
        <f t="shared" si="229"/>
        <v>88</v>
      </c>
      <c r="BZ74" s="72">
        <f t="shared" si="230"/>
        <v>92</v>
      </c>
      <c r="CA74" s="71">
        <f t="shared" si="231"/>
        <v>128</v>
      </c>
      <c r="CB74" s="72">
        <f t="shared" si="232"/>
        <v>136</v>
      </c>
      <c r="CC74" s="71">
        <f t="shared" si="233"/>
        <v>176</v>
      </c>
      <c r="CD74" s="72">
        <f t="shared" si="234"/>
        <v>183</v>
      </c>
      <c r="CE74" s="71">
        <f t="shared" si="235"/>
        <v>379</v>
      </c>
      <c r="CF74" s="72">
        <f t="shared" si="236"/>
        <v>418</v>
      </c>
      <c r="CG74" s="71">
        <f t="shared" si="237"/>
        <v>444</v>
      </c>
      <c r="CH74" s="70">
        <f t="shared" si="238"/>
        <v>51</v>
      </c>
      <c r="CI74" s="71">
        <f t="shared" si="239"/>
        <v>55</v>
      </c>
      <c r="CJ74" s="72">
        <f t="shared" si="240"/>
        <v>87</v>
      </c>
      <c r="CK74" s="72">
        <f t="shared" si="241"/>
        <v>91</v>
      </c>
      <c r="CL74" s="72">
        <f t="shared" si="242"/>
        <v>127</v>
      </c>
      <c r="CM74" s="72">
        <f t="shared" si="243"/>
        <v>135</v>
      </c>
      <c r="CN74" s="72">
        <f t="shared" si="244"/>
        <v>167</v>
      </c>
      <c r="CO74" s="72">
        <f t="shared" si="245"/>
        <v>178</v>
      </c>
      <c r="CP74" s="72">
        <f t="shared" si="246"/>
        <v>215</v>
      </c>
      <c r="CQ74" s="72">
        <f t="shared" si="247"/>
        <v>413</v>
      </c>
      <c r="CR74" s="72">
        <f t="shared" si="248"/>
        <v>443</v>
      </c>
      <c r="CS74" s="72">
        <f t="shared" si="249"/>
        <v>457</v>
      </c>
      <c r="CT74" s="23">
        <f t="shared" si="250"/>
        <v>1</v>
      </c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  <c r="ADW74" s="1"/>
      <c r="ADX74" s="1"/>
      <c r="ADY74" s="1"/>
      <c r="ADZ74" s="1"/>
      <c r="AEA74" s="1"/>
      <c r="AEB74" s="1"/>
      <c r="AEC74" s="1"/>
      <c r="AED74" s="1"/>
      <c r="AEE74" s="1"/>
      <c r="AEF74" s="1"/>
      <c r="AEG74" s="1"/>
      <c r="AEH74" s="1"/>
      <c r="AEI74" s="1"/>
      <c r="AEJ74" s="1"/>
      <c r="AEK74" s="1"/>
      <c r="AEL74" s="1"/>
      <c r="AEM74" s="1"/>
      <c r="AEN74" s="1"/>
      <c r="AEO74" s="1"/>
      <c r="AEP74" s="1"/>
      <c r="AEQ74" s="1"/>
      <c r="AER74" s="1"/>
      <c r="AES74" s="1"/>
      <c r="AET74" s="1"/>
      <c r="AEU74" s="1"/>
      <c r="AEV74" s="1"/>
      <c r="AEW74" s="1"/>
      <c r="AEX74" s="1"/>
      <c r="AEY74" s="1"/>
      <c r="AEZ74" s="1"/>
      <c r="AFA74" s="1"/>
      <c r="AFB74" s="1"/>
      <c r="AFC74" s="1"/>
      <c r="AFD74" s="1"/>
      <c r="AFE74" s="1"/>
      <c r="AFF74" s="1"/>
      <c r="AFG74" s="1"/>
      <c r="AFH74" s="1"/>
      <c r="AFI74" s="1"/>
      <c r="AFJ74" s="1"/>
      <c r="AFK74" s="1"/>
      <c r="AFL74" s="1"/>
      <c r="AFM74" s="1"/>
      <c r="AFN74" s="1"/>
      <c r="AFO74" s="1"/>
      <c r="AFP74" s="1"/>
      <c r="AFQ74" s="1"/>
      <c r="AFR74" s="1"/>
      <c r="AFS74" s="1"/>
      <c r="AFT74" s="1"/>
      <c r="AFU74" s="1"/>
      <c r="AFV74" s="1"/>
      <c r="AFW74" s="1"/>
      <c r="AFX74" s="1"/>
      <c r="AFY74" s="1"/>
      <c r="AFZ74" s="1"/>
      <c r="AGA74" s="1"/>
      <c r="AGB74" s="1"/>
      <c r="AGC74" s="1"/>
      <c r="AGD74" s="1"/>
      <c r="AGE74" s="1"/>
      <c r="AGF74" s="1"/>
      <c r="AGG74" s="1"/>
      <c r="AGH74" s="1"/>
      <c r="AGI74" s="1"/>
      <c r="AGJ74" s="1"/>
      <c r="AGK74" s="1"/>
      <c r="AGL74" s="1"/>
      <c r="AGM74" s="1"/>
      <c r="AGN74" s="1"/>
      <c r="AGO74" s="1"/>
      <c r="AGP74" s="1"/>
      <c r="AGQ74" s="1"/>
      <c r="AGR74" s="1"/>
      <c r="AGS74" s="1"/>
      <c r="AGT74" s="1"/>
      <c r="AGU74" s="1"/>
      <c r="AGV74" s="1"/>
      <c r="AGW74" s="1"/>
      <c r="AGX74" s="1"/>
      <c r="AGY74" s="1"/>
      <c r="AGZ74" s="1"/>
      <c r="AHA74" s="1"/>
      <c r="AHB74" s="1"/>
      <c r="AHC74" s="1"/>
      <c r="AHD74" s="1"/>
      <c r="AHE74" s="1"/>
      <c r="AHF74" s="1"/>
      <c r="AHG74" s="1"/>
      <c r="AHH74" s="1"/>
      <c r="AHI74" s="1"/>
      <c r="AHJ74" s="1"/>
      <c r="AHK74" s="1"/>
      <c r="AHL74" s="1"/>
      <c r="AHM74" s="1"/>
      <c r="AHN74" s="1"/>
      <c r="AHO74" s="1"/>
      <c r="AHP74" s="1"/>
      <c r="AHQ74" s="1"/>
      <c r="AHR74" s="1"/>
      <c r="AHS74" s="1"/>
      <c r="AHT74" s="1"/>
      <c r="AHU74" s="1"/>
      <c r="AHV74" s="1"/>
      <c r="AHW74" s="1"/>
      <c r="AHX74" s="1"/>
      <c r="AHY74" s="1"/>
      <c r="AHZ74" s="1"/>
      <c r="AIA74" s="1"/>
      <c r="AIB74" s="1"/>
      <c r="AIC74" s="1"/>
      <c r="AID74" s="1"/>
      <c r="AIE74" s="1"/>
      <c r="AIF74" s="1"/>
      <c r="AIG74" s="1"/>
      <c r="AIH74" s="1"/>
      <c r="AII74" s="1"/>
      <c r="AIJ74" s="1"/>
      <c r="AIK74" s="1"/>
      <c r="AIL74" s="1"/>
      <c r="AIM74" s="1"/>
      <c r="AIN74" s="1"/>
      <c r="AIO74" s="1"/>
      <c r="AIP74" s="1"/>
      <c r="AIQ74" s="1"/>
      <c r="AIR74" s="1"/>
      <c r="AIS74" s="1"/>
      <c r="AIT74" s="1"/>
      <c r="AIU74" s="1"/>
      <c r="AIV74" s="1"/>
      <c r="AIW74" s="1"/>
      <c r="AIX74" s="1"/>
      <c r="AIY74" s="1"/>
      <c r="AIZ74" s="1"/>
      <c r="AJA74" s="1"/>
      <c r="AJB74" s="1"/>
      <c r="AJC74" s="1"/>
      <c r="AJD74" s="1"/>
      <c r="AJE74" s="1"/>
      <c r="AJF74" s="1"/>
      <c r="AJG74" s="1"/>
      <c r="AJH74" s="1"/>
      <c r="AJI74" s="1"/>
      <c r="AJJ74" s="1"/>
      <c r="AJK74" s="1"/>
      <c r="AJL74" s="1"/>
      <c r="AJM74" s="1"/>
      <c r="AJN74" s="1"/>
      <c r="AJO74" s="1"/>
      <c r="AJP74" s="1"/>
      <c r="AJQ74" s="1"/>
      <c r="AJR74" s="1"/>
      <c r="AJS74" s="1"/>
      <c r="AJT74" s="1"/>
      <c r="AJU74" s="1"/>
      <c r="AJV74" s="1"/>
      <c r="AJW74" s="1"/>
      <c r="AJX74" s="1"/>
      <c r="AJY74" s="1"/>
      <c r="AJZ74" s="1"/>
      <c r="AKA74" s="1"/>
      <c r="AKB74" s="1"/>
      <c r="AKC74" s="1"/>
      <c r="AKD74" s="1"/>
      <c r="AKE74" s="1"/>
      <c r="AKF74" s="1"/>
      <c r="AKG74" s="1"/>
      <c r="AKH74" s="1"/>
      <c r="AKI74" s="1"/>
      <c r="AKJ74" s="1"/>
      <c r="AKK74" s="1"/>
      <c r="AKL74" s="1"/>
      <c r="AKM74" s="1"/>
      <c r="AKN74" s="1"/>
      <c r="AKO74" s="1"/>
      <c r="AKP74" s="1"/>
      <c r="AKQ74" s="1"/>
      <c r="AKR74" s="1"/>
      <c r="AKS74" s="1"/>
      <c r="AKT74" s="1"/>
      <c r="AKU74" s="1"/>
      <c r="AKV74" s="1"/>
      <c r="AKW74" s="1"/>
      <c r="AKX74" s="1"/>
      <c r="AKY74" s="1"/>
      <c r="AKZ74" s="1"/>
      <c r="ALA74" s="1"/>
      <c r="ALB74" s="1"/>
      <c r="ALC74" s="1"/>
      <c r="ALD74" s="1"/>
      <c r="ALE74" s="1"/>
      <c r="ALF74" s="1"/>
      <c r="ALG74" s="1"/>
      <c r="ALH74" s="1"/>
      <c r="ALI74" s="1"/>
      <c r="ALJ74" s="1"/>
      <c r="ALK74" s="1"/>
      <c r="ALL74" s="1"/>
      <c r="ALM74" s="1"/>
      <c r="ALN74" s="1"/>
      <c r="ALO74" s="1"/>
      <c r="ALP74" s="1"/>
      <c r="ALQ74" s="1"/>
      <c r="ALR74" s="1"/>
      <c r="ALS74" s="1"/>
      <c r="ALT74" s="1"/>
      <c r="ALU74" s="1"/>
      <c r="ALV74" s="1"/>
      <c r="ALW74" s="1"/>
      <c r="ALX74" s="1"/>
      <c r="ALY74" s="1"/>
      <c r="ALZ74" s="1"/>
      <c r="AMA74" s="1"/>
      <c r="AMB74" s="1"/>
      <c r="AMC74" s="1"/>
      <c r="AMD74" s="1"/>
      <c r="AME74" s="1"/>
      <c r="AMF74" s="1"/>
      <c r="AMG74" s="1"/>
      <c r="AMH74" s="1"/>
      <c r="AMI74" s="1"/>
      <c r="AMJ74" s="1"/>
      <c r="AMK74" s="1"/>
      <c r="AML74" s="1"/>
      <c r="AMM74" s="1"/>
      <c r="AMN74" s="1"/>
      <c r="AMO74" s="1"/>
    </row>
    <row r="75" spans="1:1029" x14ac:dyDescent="0.2">
      <c r="A75" s="3" t="str">
        <f t="shared" ref="A75" si="337">CONCATENATE(B75,"_",C75)</f>
        <v>acm2_human_5ZKC</v>
      </c>
      <c r="B75" s="3" t="s">
        <v>147</v>
      </c>
      <c r="C75" s="3" t="s">
        <v>1550</v>
      </c>
      <c r="D75" s="3" t="str">
        <f>IFERROR(MID(VLOOKUP($B75,Seqs!$A:$B,2,0),E75,1),"")</f>
        <v>P</v>
      </c>
      <c r="E75" s="3">
        <v>17</v>
      </c>
      <c r="F75" s="3" t="str">
        <f>IFERROR(MID(VLOOKUP($B75,Seqs!$A:$B,2,0),G75,1),"")</f>
        <v>N</v>
      </c>
      <c r="G75" s="3">
        <v>51</v>
      </c>
      <c r="H75" s="3" t="str">
        <f>IFERROR(MID(VLOOKUP($B75,Seqs!$A:$B,2,0),I75,1),"")</f>
        <v>R</v>
      </c>
      <c r="I75" s="23">
        <v>52</v>
      </c>
      <c r="J75" s="3" t="str">
        <f>IFERROR(MID(VLOOKUP($B75,Seqs!$A:$B,2,0),K75,1),"")</f>
        <v>Q</v>
      </c>
      <c r="K75" s="23">
        <v>55</v>
      </c>
      <c r="L75" s="3" t="str">
        <f>IFERROR(MID(VLOOKUP($B75,Seqs!$A:$B,2,0),M75,1),"")</f>
        <v>T</v>
      </c>
      <c r="M75" s="3">
        <v>56</v>
      </c>
      <c r="N75" s="3" t="str">
        <f>IFERROR(MID(VLOOKUP($B75,Seqs!$A:$B,2,0),O75,1),"")</f>
        <v>G</v>
      </c>
      <c r="O75" s="3">
        <v>87</v>
      </c>
      <c r="P75" s="3" t="str">
        <f>IFERROR(MID(VLOOKUP($B75,Seqs!$A:$B,2,0),Q75,1),"")</f>
        <v>Y</v>
      </c>
      <c r="Q75" s="3">
        <v>88</v>
      </c>
      <c r="R75" s="3" t="str">
        <f>IFERROR(MID(VLOOKUP($B75,Seqs!$A:$B,2,0),S75,1),"")</f>
        <v>L</v>
      </c>
      <c r="S75" s="3">
        <v>91</v>
      </c>
      <c r="T75" s="3" t="str">
        <f>IFERROR(MID(VLOOKUP($B75,Seqs!$A:$B,2,0),U75,1),"")</f>
        <v>G</v>
      </c>
      <c r="U75" s="3">
        <v>92</v>
      </c>
      <c r="V75" s="3" t="str">
        <f>IFERROR(MID(VLOOKUP($B75,Seqs!$A:$B,2,0),W75,1),"")</f>
        <v>K</v>
      </c>
      <c r="W75" s="3">
        <v>127</v>
      </c>
      <c r="X75" s="3" t="str">
        <f>IFERROR(MID(VLOOKUP($B75,Seqs!$A:$B,2,0),Y75,1),"")</f>
        <v>P</v>
      </c>
      <c r="Y75" s="3">
        <v>128</v>
      </c>
      <c r="Z75" s="3" t="str">
        <f>IFERROR(MID(VLOOKUP($B75,Seqs!$A:$B,2,0),AA75,1),"")</f>
        <v>R</v>
      </c>
      <c r="AA75" s="3">
        <v>135</v>
      </c>
      <c r="AB75" s="3" t="str">
        <f>IFERROR(MID(VLOOKUP($B75,Seqs!$A:$B,2,0),AC75,1),"")</f>
        <v>T</v>
      </c>
      <c r="AC75" s="3">
        <v>136</v>
      </c>
      <c r="AD75" s="3" t="str">
        <f>IFERROR(MID(VLOOKUP($B75,Seqs!$A:$B,2,0),AE75,1),"")</f>
        <v>V</v>
      </c>
      <c r="AE75" s="3">
        <v>166</v>
      </c>
      <c r="AF75" s="3" t="str">
        <f>IFERROR(MID(VLOOKUP($B75,Seqs!$A:$B,2,0),AG75,1),"")</f>
        <v>C</v>
      </c>
      <c r="AG75" s="3">
        <v>176</v>
      </c>
      <c r="AH75" s="3" t="str">
        <f>IFERROR(MID(VLOOKUP($B75,Seqs!$A:$B,2,0),AI75,1),"")</f>
        <v>I</v>
      </c>
      <c r="AI75" s="3">
        <v>178</v>
      </c>
      <c r="AJ75" s="3" t="str">
        <f>IFERROR(MID(VLOOKUP($B75,Seqs!$A:$B,2,0),AK75,1),"")</f>
        <v>N</v>
      </c>
      <c r="AK75" s="3">
        <v>183</v>
      </c>
      <c r="AL75" s="3" t="str">
        <f>IFERROR(MID(VLOOKUP($B75,Seqs!$A:$B,2,0),AM75,1),"")</f>
        <v>K</v>
      </c>
      <c r="AM75" s="3">
        <v>214</v>
      </c>
      <c r="AN75" s="3" t="str">
        <f>IFERROR(MID(VLOOKUP($B75,Seqs!$A:$B,2,0),AO75,1),"")</f>
        <v>R</v>
      </c>
      <c r="AO75" s="3">
        <v>381</v>
      </c>
      <c r="AP75" s="3" t="str">
        <f>IFERROR(MID(VLOOKUP($B75,Seqs!$A:$B,2,0),AQ75,1),"")</f>
        <v>C</v>
      </c>
      <c r="AQ75" s="3">
        <v>413</v>
      </c>
      <c r="AR75" s="3" t="str">
        <f>IFERROR(MID(VLOOKUP($B75,Seqs!$A:$B,2,0),AS75,1),"")</f>
        <v>P</v>
      </c>
      <c r="AS75" s="3">
        <v>418</v>
      </c>
      <c r="AT75" s="3" t="str">
        <f>IFERROR(MID(VLOOKUP($B75,Seqs!$A:$B,2,0),AU75,1),"")</f>
        <v>C</v>
      </c>
      <c r="AU75" s="105">
        <v>443</v>
      </c>
      <c r="AV75" s="3" t="str">
        <f>IFERROR(MID(VLOOKUP($B75,Seqs!$A:$B,2,0),AW75,1),"")</f>
        <v>N</v>
      </c>
      <c r="AW75" s="3">
        <v>444</v>
      </c>
      <c r="AX75" s="3" t="str">
        <f>IFERROR(MID(VLOOKUP($B75,Seqs!$A:$B,2,0),AY75,1),"")</f>
        <v>M</v>
      </c>
      <c r="AY75" s="3">
        <v>456</v>
      </c>
      <c r="AZ75" s="77" t="str">
        <f>VLOOKUP(B75,Classification!A:D,2,0)</f>
        <v>A</v>
      </c>
      <c r="BA75" s="94" t="str">
        <f>VLOOKUP(B75,Classification!A:D,4,0)</f>
        <v>Acetylcholine(muscarinic)</v>
      </c>
      <c r="BB75" s="27" t="b">
        <f t="shared" ref="BB75" si="338">AND(E75&lt;G75,OR(G75&lt;I75,I75="-"),OR(I75&lt;K75,I75="-"),OR(K75&lt;M75,K75="-"),M75&lt;O75,OR(O75&lt;Q75,Q75="-"),OR(Q75&lt;S75,Q75="-"),OR(S75&lt;U75,S75="-"),U75&lt;W75,OR(W75&lt;Y75,Y75="-"),OR(Y75&lt;AA75,Y75="-"),OR(AA75&lt;AC75,AA75="-"),AC75&lt;AE75,OR(AE75&lt;AG75,AG75="-"),OR(AG75&lt;AI75,AG75="-"),OR(AI75&lt;AK75,AI75="-"),AK75&lt;AM75,AM75&lt;AO75,AO75&lt;AQ75,AQ75&lt;AS75,AS75&lt;AU75,OR(AU75&lt;AW75,AW75="-"),OR(AW75&lt;AY75,AW75="-"))</f>
        <v>1</v>
      </c>
      <c r="BC75" s="23">
        <f t="shared" ref="BC75" si="339">_xlfn.AGGREGATE(9,6,CH75:CS75)-_xlfn.AGGREGATE(9,6,BV75:CG75)+12</f>
        <v>257</v>
      </c>
      <c r="BD75" s="4" t="s">
        <v>1382</v>
      </c>
      <c r="BE75" s="3" t="s">
        <v>1380</v>
      </c>
      <c r="BF75" s="119">
        <v>2.2999999999999998</v>
      </c>
      <c r="BG75" s="49" t="s">
        <v>1</v>
      </c>
      <c r="BH75" s="49" t="s">
        <v>1</v>
      </c>
      <c r="BI75" s="1"/>
      <c r="BJ75" s="70" t="s">
        <v>1293</v>
      </c>
      <c r="BK75" s="57" t="s">
        <v>1293</v>
      </c>
      <c r="BL75" s="57" t="s">
        <v>1293</v>
      </c>
      <c r="BM75" s="57" t="s">
        <v>1293</v>
      </c>
      <c r="BN75" s="57" t="s">
        <v>1293</v>
      </c>
      <c r="BO75" s="57" t="s">
        <v>1293</v>
      </c>
      <c r="BP75" s="57" t="s">
        <v>1293</v>
      </c>
      <c r="BQ75" s="57" t="s">
        <v>1293</v>
      </c>
      <c r="BR75" s="57" t="s">
        <v>1293</v>
      </c>
      <c r="BS75" s="57" t="s">
        <v>1293</v>
      </c>
      <c r="BT75" s="57" t="s">
        <v>1293</v>
      </c>
      <c r="BU75" s="57" t="s">
        <v>1293</v>
      </c>
      <c r="BV75" s="70">
        <f t="shared" ref="BV75" si="340">E75</f>
        <v>17</v>
      </c>
      <c r="BW75" s="71">
        <f t="shared" ref="BW75" si="341">I75</f>
        <v>52</v>
      </c>
      <c r="BX75" s="72">
        <f t="shared" ref="BX75" si="342">M75</f>
        <v>56</v>
      </c>
      <c r="BY75" s="71">
        <f t="shared" ref="BY75" si="343">Q75</f>
        <v>88</v>
      </c>
      <c r="BZ75" s="72">
        <f t="shared" ref="BZ75" si="344">U75</f>
        <v>92</v>
      </c>
      <c r="CA75" s="71">
        <f t="shared" ref="CA75" si="345">Y75</f>
        <v>128</v>
      </c>
      <c r="CB75" s="72">
        <f t="shared" ref="CB75" si="346">AC75</f>
        <v>136</v>
      </c>
      <c r="CC75" s="71">
        <f t="shared" ref="CC75" si="347">AG75</f>
        <v>176</v>
      </c>
      <c r="CD75" s="72">
        <f t="shared" ref="CD75" si="348">AK75</f>
        <v>183</v>
      </c>
      <c r="CE75" s="71">
        <f t="shared" ref="CE75" si="349">AO75</f>
        <v>381</v>
      </c>
      <c r="CF75" s="72">
        <f t="shared" ref="CF75" si="350">AS75</f>
        <v>418</v>
      </c>
      <c r="CG75" s="71">
        <f t="shared" ref="CG75" si="351">AW75</f>
        <v>444</v>
      </c>
      <c r="CH75" s="70">
        <f t="shared" ref="CH75" si="352">G75</f>
        <v>51</v>
      </c>
      <c r="CI75" s="71">
        <f t="shared" ref="CI75" si="353">K75</f>
        <v>55</v>
      </c>
      <c r="CJ75" s="72">
        <f t="shared" ref="CJ75" si="354">O75</f>
        <v>87</v>
      </c>
      <c r="CK75" s="72">
        <f t="shared" ref="CK75" si="355">S75</f>
        <v>91</v>
      </c>
      <c r="CL75" s="72">
        <f t="shared" ref="CL75" si="356">W75</f>
        <v>127</v>
      </c>
      <c r="CM75" s="72">
        <f t="shared" ref="CM75" si="357">AA75</f>
        <v>135</v>
      </c>
      <c r="CN75" s="72">
        <f t="shared" ref="CN75" si="358">AE75</f>
        <v>166</v>
      </c>
      <c r="CO75" s="72">
        <f t="shared" ref="CO75" si="359">AI75</f>
        <v>178</v>
      </c>
      <c r="CP75" s="72">
        <f t="shared" ref="CP75" si="360">AM75</f>
        <v>214</v>
      </c>
      <c r="CQ75" s="72">
        <f t="shared" ref="CQ75" si="361">AQ75</f>
        <v>413</v>
      </c>
      <c r="CR75" s="72">
        <f t="shared" ref="CR75" si="362">AU75</f>
        <v>443</v>
      </c>
      <c r="CS75" s="72">
        <f t="shared" ref="CS75" si="363">AY75</f>
        <v>456</v>
      </c>
      <c r="CT75" s="23">
        <f t="shared" ref="CT75" si="364">M75-K75</f>
        <v>1</v>
      </c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1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1"/>
      <c r="AFW75" s="1"/>
      <c r="AFX75" s="1"/>
      <c r="AFY75" s="1"/>
      <c r="AFZ75" s="1"/>
      <c r="AGA75" s="1"/>
      <c r="AGB75" s="1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1"/>
      <c r="AHD75" s="1"/>
      <c r="AHE75" s="1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1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1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1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1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1"/>
      <c r="AKR75" s="1"/>
      <c r="AKS75" s="1"/>
      <c r="AKT75" s="1"/>
      <c r="AKU75" s="1"/>
      <c r="AKV75" s="1"/>
      <c r="AKW75" s="1"/>
      <c r="AKX75" s="1"/>
      <c r="AKY75" s="1"/>
      <c r="AKZ75" s="1"/>
      <c r="ALA75" s="1"/>
      <c r="ALB75" s="1"/>
      <c r="ALC75" s="1"/>
      <c r="ALD75" s="1"/>
      <c r="ALE75" s="1"/>
      <c r="ALF75" s="1"/>
      <c r="ALG75" s="1"/>
      <c r="ALH75" s="1"/>
      <c r="ALI75" s="1"/>
      <c r="ALJ75" s="1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1"/>
      <c r="AMB75" s="1"/>
      <c r="AMC75" s="1"/>
      <c r="AMD75" s="1"/>
      <c r="AME75" s="1"/>
      <c r="AMF75" s="1"/>
      <c r="AMG75" s="1"/>
      <c r="AMH75" s="1"/>
      <c r="AMI75" s="1"/>
      <c r="AMJ75" s="1"/>
      <c r="AMK75" s="1"/>
      <c r="AML75" s="1"/>
      <c r="AMM75" s="1"/>
      <c r="AMN75" s="1"/>
      <c r="AMO75" s="1"/>
    </row>
    <row r="76" spans="1:1029" x14ac:dyDescent="0.2">
      <c r="A76" s="3" t="str">
        <f t="shared" ref="A76" si="365">CONCATENATE(B76,"_",C76)</f>
        <v>acm2_human_5ZKB</v>
      </c>
      <c r="B76" s="3" t="s">
        <v>147</v>
      </c>
      <c r="C76" s="3" t="s">
        <v>1551</v>
      </c>
      <c r="D76" s="3" t="str">
        <f>IFERROR(MID(VLOOKUP($B76,Seqs!$A:$B,2,0),E76,1),"")</f>
        <v>Y</v>
      </c>
      <c r="E76" s="3">
        <v>18</v>
      </c>
      <c r="F76" s="3" t="str">
        <f>IFERROR(MID(VLOOKUP($B76,Seqs!$A:$B,2,0),G76,1),"")</f>
        <v>N</v>
      </c>
      <c r="G76" s="3">
        <v>51</v>
      </c>
      <c r="H76" s="3" t="str">
        <f>IFERROR(MID(VLOOKUP($B76,Seqs!$A:$B,2,0),I76,1),"")</f>
        <v>R</v>
      </c>
      <c r="I76" s="23">
        <v>52</v>
      </c>
      <c r="J76" s="3" t="str">
        <f>IFERROR(MID(VLOOKUP($B76,Seqs!$A:$B,2,0),K76,1),"")</f>
        <v>Q</v>
      </c>
      <c r="K76" s="23">
        <v>55</v>
      </c>
      <c r="L76" s="3" t="str">
        <f>IFERROR(MID(VLOOKUP($B76,Seqs!$A:$B,2,0),M76,1),"")</f>
        <v>T</v>
      </c>
      <c r="M76" s="3">
        <v>56</v>
      </c>
      <c r="N76" s="3" t="str">
        <f>IFERROR(MID(VLOOKUP($B76,Seqs!$A:$B,2,0),O76,1),"")</f>
        <v>G</v>
      </c>
      <c r="O76" s="3">
        <v>87</v>
      </c>
      <c r="P76" s="3" t="str">
        <f>IFERROR(MID(VLOOKUP($B76,Seqs!$A:$B,2,0),Q76,1),"")</f>
        <v>Y</v>
      </c>
      <c r="Q76" s="3">
        <v>88</v>
      </c>
      <c r="R76" s="3" t="str">
        <f>IFERROR(MID(VLOOKUP($B76,Seqs!$A:$B,2,0),S76,1),"")</f>
        <v>L</v>
      </c>
      <c r="S76" s="3">
        <v>91</v>
      </c>
      <c r="T76" s="3" t="str">
        <f>IFERROR(MID(VLOOKUP($B76,Seqs!$A:$B,2,0),U76,1),"")</f>
        <v>G</v>
      </c>
      <c r="U76" s="3">
        <v>92</v>
      </c>
      <c r="V76" s="3" t="str">
        <f>IFERROR(MID(VLOOKUP($B76,Seqs!$A:$B,2,0),W76,1),"")</f>
        <v>K</v>
      </c>
      <c r="W76" s="3">
        <v>127</v>
      </c>
      <c r="X76" s="3" t="str">
        <f>IFERROR(MID(VLOOKUP($B76,Seqs!$A:$B,2,0),Y76,1),"")</f>
        <v>P</v>
      </c>
      <c r="Y76" s="3">
        <v>128</v>
      </c>
      <c r="Z76" s="3" t="str">
        <f>IFERROR(MID(VLOOKUP($B76,Seqs!$A:$B,2,0),AA76,1),"")</f>
        <v>R</v>
      </c>
      <c r="AA76" s="3">
        <v>135</v>
      </c>
      <c r="AB76" s="3" t="str">
        <f>IFERROR(MID(VLOOKUP($B76,Seqs!$A:$B,2,0),AC76,1),"")</f>
        <v>T</v>
      </c>
      <c r="AC76" s="3">
        <v>136</v>
      </c>
      <c r="AD76" s="3" t="str">
        <f>IFERROR(MID(VLOOKUP($B76,Seqs!$A:$B,2,0),AE76,1),"")</f>
        <v>V</v>
      </c>
      <c r="AE76" s="3">
        <v>166</v>
      </c>
      <c r="AF76" s="3" t="str">
        <f>IFERROR(MID(VLOOKUP($B76,Seqs!$A:$B,2,0),AG76,1),"")</f>
        <v>C</v>
      </c>
      <c r="AG76" s="3">
        <v>176</v>
      </c>
      <c r="AH76" s="3" t="str">
        <f>IFERROR(MID(VLOOKUP($B76,Seqs!$A:$B,2,0),AI76,1),"")</f>
        <v>I</v>
      </c>
      <c r="AI76" s="3">
        <v>178</v>
      </c>
      <c r="AJ76" s="3" t="str">
        <f>IFERROR(MID(VLOOKUP($B76,Seqs!$A:$B,2,0),AK76,1),"")</f>
        <v>N</v>
      </c>
      <c r="AK76" s="3">
        <v>183</v>
      </c>
      <c r="AL76" s="3" t="str">
        <f>IFERROR(MID(VLOOKUP($B76,Seqs!$A:$B,2,0),AM76,1),"")</f>
        <v>K</v>
      </c>
      <c r="AM76" s="3">
        <v>214</v>
      </c>
      <c r="AN76" s="3" t="str">
        <f>IFERROR(MID(VLOOKUP($B76,Seqs!$A:$B,2,0),AO76,1),"")</f>
        <v>S</v>
      </c>
      <c r="AO76" s="3">
        <v>380</v>
      </c>
      <c r="AP76" s="3" t="str">
        <f>IFERROR(MID(VLOOKUP($B76,Seqs!$A:$B,2,0),AQ76,1),"")</f>
        <v>C</v>
      </c>
      <c r="AQ76" s="3">
        <v>413</v>
      </c>
      <c r="AR76" s="3" t="str">
        <f>IFERROR(MID(VLOOKUP($B76,Seqs!$A:$B,2,0),AS76,1),"")</f>
        <v>P</v>
      </c>
      <c r="AS76" s="3">
        <v>418</v>
      </c>
      <c r="AT76" s="3" t="str">
        <f>IFERROR(MID(VLOOKUP($B76,Seqs!$A:$B,2,0),AU76,1),"")</f>
        <v>C</v>
      </c>
      <c r="AU76" s="105">
        <v>443</v>
      </c>
      <c r="AV76" s="3" t="str">
        <f>IFERROR(MID(VLOOKUP($B76,Seqs!$A:$B,2,0),AW76,1),"")</f>
        <v>N</v>
      </c>
      <c r="AW76" s="3">
        <v>444</v>
      </c>
      <c r="AX76" s="3" t="str">
        <f>IFERROR(MID(VLOOKUP($B76,Seqs!$A:$B,2,0),AY76,1),"")</f>
        <v>M</v>
      </c>
      <c r="AY76" s="3">
        <v>456</v>
      </c>
      <c r="AZ76" s="77" t="str">
        <f>VLOOKUP(B76,Classification!A:D,2,0)</f>
        <v>A</v>
      </c>
      <c r="BA76" s="94" t="str">
        <f>VLOOKUP(B76,Classification!A:D,4,0)</f>
        <v>Acetylcholine(muscarinic)</v>
      </c>
      <c r="BB76" s="27" t="b">
        <f t="shared" ref="BB76" si="366">AND(E76&lt;G76,OR(G76&lt;I76,I76="-"),OR(I76&lt;K76,I76="-"),OR(K76&lt;M76,K76="-"),M76&lt;O76,OR(O76&lt;Q76,Q76="-"),OR(Q76&lt;S76,Q76="-"),OR(S76&lt;U76,S76="-"),U76&lt;W76,OR(W76&lt;Y76,Y76="-"),OR(Y76&lt;AA76,Y76="-"),OR(AA76&lt;AC76,AA76="-"),AC76&lt;AE76,OR(AE76&lt;AG76,AG76="-"),OR(AG76&lt;AI76,AG76="-"),OR(AI76&lt;AK76,AI76="-"),AK76&lt;AM76,AM76&lt;AO76,AO76&lt;AQ76,AQ76&lt;AS76,AS76&lt;AU76,OR(AU76&lt;AW76,AW76="-"),OR(AW76&lt;AY76,AW76="-"))</f>
        <v>1</v>
      </c>
      <c r="BC76" s="23">
        <f t="shared" ref="BC76" si="367">_xlfn.AGGREGATE(9,6,CH76:CS76)-_xlfn.AGGREGATE(9,6,BV76:CG76)+12</f>
        <v>257</v>
      </c>
      <c r="BD76" s="4" t="s">
        <v>23</v>
      </c>
      <c r="BE76" s="3" t="s">
        <v>1380</v>
      </c>
      <c r="BF76" s="119">
        <v>2.95</v>
      </c>
      <c r="BG76" s="49" t="s">
        <v>1</v>
      </c>
      <c r="BH76" s="49" t="s">
        <v>1</v>
      </c>
      <c r="BI76" s="1"/>
      <c r="BJ76" s="70" t="s">
        <v>1293</v>
      </c>
      <c r="BK76" s="57" t="s">
        <v>1293</v>
      </c>
      <c r="BL76" s="57" t="s">
        <v>1293</v>
      </c>
      <c r="BM76" s="57" t="s">
        <v>1293</v>
      </c>
      <c r="BN76" s="57" t="s">
        <v>1293</v>
      </c>
      <c r="BO76" s="57" t="s">
        <v>1293</v>
      </c>
      <c r="BP76" s="57" t="s">
        <v>1293</v>
      </c>
      <c r="BQ76" s="57" t="s">
        <v>1293</v>
      </c>
      <c r="BR76" s="57" t="s">
        <v>1293</v>
      </c>
      <c r="BS76" s="57" t="s">
        <v>1293</v>
      </c>
      <c r="BT76" s="57" t="s">
        <v>1293</v>
      </c>
      <c r="BU76" s="57" t="s">
        <v>1293</v>
      </c>
      <c r="BV76" s="70">
        <f t="shared" ref="BV76" si="368">E76</f>
        <v>18</v>
      </c>
      <c r="BW76" s="71">
        <f t="shared" ref="BW76" si="369">I76</f>
        <v>52</v>
      </c>
      <c r="BX76" s="72">
        <f t="shared" ref="BX76" si="370">M76</f>
        <v>56</v>
      </c>
      <c r="BY76" s="71">
        <f t="shared" ref="BY76" si="371">Q76</f>
        <v>88</v>
      </c>
      <c r="BZ76" s="72">
        <f t="shared" ref="BZ76" si="372">U76</f>
        <v>92</v>
      </c>
      <c r="CA76" s="71">
        <f t="shared" ref="CA76" si="373">Y76</f>
        <v>128</v>
      </c>
      <c r="CB76" s="72">
        <f t="shared" ref="CB76" si="374">AC76</f>
        <v>136</v>
      </c>
      <c r="CC76" s="71">
        <f t="shared" ref="CC76" si="375">AG76</f>
        <v>176</v>
      </c>
      <c r="CD76" s="72">
        <f t="shared" ref="CD76" si="376">AK76</f>
        <v>183</v>
      </c>
      <c r="CE76" s="71">
        <f t="shared" ref="CE76" si="377">AO76</f>
        <v>380</v>
      </c>
      <c r="CF76" s="72">
        <f t="shared" ref="CF76" si="378">AS76</f>
        <v>418</v>
      </c>
      <c r="CG76" s="71">
        <f t="shared" ref="CG76" si="379">AW76</f>
        <v>444</v>
      </c>
      <c r="CH76" s="70">
        <f t="shared" ref="CH76" si="380">G76</f>
        <v>51</v>
      </c>
      <c r="CI76" s="71">
        <f t="shared" ref="CI76" si="381">K76</f>
        <v>55</v>
      </c>
      <c r="CJ76" s="72">
        <f t="shared" ref="CJ76" si="382">O76</f>
        <v>87</v>
      </c>
      <c r="CK76" s="72">
        <f t="shared" ref="CK76" si="383">S76</f>
        <v>91</v>
      </c>
      <c r="CL76" s="72">
        <f t="shared" ref="CL76" si="384">W76</f>
        <v>127</v>
      </c>
      <c r="CM76" s="72">
        <f t="shared" ref="CM76" si="385">AA76</f>
        <v>135</v>
      </c>
      <c r="CN76" s="72">
        <f t="shared" ref="CN76" si="386">AE76</f>
        <v>166</v>
      </c>
      <c r="CO76" s="72">
        <f t="shared" ref="CO76" si="387">AI76</f>
        <v>178</v>
      </c>
      <c r="CP76" s="72">
        <f t="shared" ref="CP76" si="388">AM76</f>
        <v>214</v>
      </c>
      <c r="CQ76" s="72">
        <f t="shared" ref="CQ76" si="389">AQ76</f>
        <v>413</v>
      </c>
      <c r="CR76" s="72">
        <f t="shared" ref="CR76" si="390">AU76</f>
        <v>443</v>
      </c>
      <c r="CS76" s="72">
        <f t="shared" ref="CS76" si="391">AY76</f>
        <v>456</v>
      </c>
      <c r="CT76" s="23">
        <f t="shared" ref="CT76" si="392">M76-K76</f>
        <v>1</v>
      </c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</row>
    <row r="77" spans="1:1029" x14ac:dyDescent="0.2">
      <c r="A77" s="3" t="str">
        <f t="shared" ref="A77" si="393">CONCATENATE(B77,"_",C77)</f>
        <v>acm2_human_5ZK8</v>
      </c>
      <c r="B77" s="3" t="s">
        <v>147</v>
      </c>
      <c r="C77" s="3" t="s">
        <v>1552</v>
      </c>
      <c r="D77" s="3" t="str">
        <f>IFERROR(MID(VLOOKUP($B77,Seqs!$A:$B,2,0),E77,1),"")</f>
        <v>Y</v>
      </c>
      <c r="E77" s="3">
        <v>18</v>
      </c>
      <c r="F77" s="3" t="str">
        <f>IFERROR(MID(VLOOKUP($B77,Seqs!$A:$B,2,0),G77,1),"")</f>
        <v>N</v>
      </c>
      <c r="G77" s="3">
        <v>51</v>
      </c>
      <c r="H77" s="3" t="str">
        <f>IFERROR(MID(VLOOKUP($B77,Seqs!$A:$B,2,0),I77,1),"")</f>
        <v>R</v>
      </c>
      <c r="I77" s="23">
        <v>52</v>
      </c>
      <c r="J77" s="3" t="str">
        <f>IFERROR(MID(VLOOKUP($B77,Seqs!$A:$B,2,0),K77,1),"")</f>
        <v>Q</v>
      </c>
      <c r="K77" s="23">
        <v>55</v>
      </c>
      <c r="L77" s="3" t="str">
        <f>IFERROR(MID(VLOOKUP($B77,Seqs!$A:$B,2,0),M77,1),"")</f>
        <v>T</v>
      </c>
      <c r="M77" s="3">
        <v>56</v>
      </c>
      <c r="N77" s="3" t="str">
        <f>IFERROR(MID(VLOOKUP($B77,Seqs!$A:$B,2,0),O77,1),"")</f>
        <v>G</v>
      </c>
      <c r="O77" s="3">
        <v>87</v>
      </c>
      <c r="P77" s="3" t="str">
        <f>IFERROR(MID(VLOOKUP($B77,Seqs!$A:$B,2,0),Q77,1),"")</f>
        <v>Y</v>
      </c>
      <c r="Q77" s="3">
        <v>88</v>
      </c>
      <c r="R77" s="3" t="str">
        <f>IFERROR(MID(VLOOKUP($B77,Seqs!$A:$B,2,0),S77,1),"")</f>
        <v>L</v>
      </c>
      <c r="S77" s="3">
        <v>91</v>
      </c>
      <c r="T77" s="3" t="str">
        <f>IFERROR(MID(VLOOKUP($B77,Seqs!$A:$B,2,0),U77,1),"")</f>
        <v>G</v>
      </c>
      <c r="U77" s="3">
        <v>92</v>
      </c>
      <c r="V77" s="3" t="str">
        <f>IFERROR(MID(VLOOKUP($B77,Seqs!$A:$B,2,0),W77,1),"")</f>
        <v>K</v>
      </c>
      <c r="W77" s="3">
        <v>127</v>
      </c>
      <c r="X77" s="3" t="str">
        <f>IFERROR(MID(VLOOKUP($B77,Seqs!$A:$B,2,0),Y77,1),"")</f>
        <v>P</v>
      </c>
      <c r="Y77" s="3">
        <v>128</v>
      </c>
      <c r="Z77" s="3" t="str">
        <f>IFERROR(MID(VLOOKUP($B77,Seqs!$A:$B,2,0),AA77,1),"")</f>
        <v>R</v>
      </c>
      <c r="AA77" s="3">
        <v>135</v>
      </c>
      <c r="AB77" s="3" t="str">
        <f>IFERROR(MID(VLOOKUP($B77,Seqs!$A:$B,2,0),AC77,1),"")</f>
        <v>T</v>
      </c>
      <c r="AC77" s="3">
        <v>136</v>
      </c>
      <c r="AD77" s="3" t="str">
        <f>IFERROR(MID(VLOOKUP($B77,Seqs!$A:$B,2,0),AE77,1),"")</f>
        <v>V</v>
      </c>
      <c r="AE77" s="3">
        <v>166</v>
      </c>
      <c r="AF77" s="3" t="str">
        <f>IFERROR(MID(VLOOKUP($B77,Seqs!$A:$B,2,0),AG77,1),"")</f>
        <v>C</v>
      </c>
      <c r="AG77" s="3">
        <v>176</v>
      </c>
      <c r="AH77" s="3" t="str">
        <f>IFERROR(MID(VLOOKUP($B77,Seqs!$A:$B,2,0),AI77,1),"")</f>
        <v>I</v>
      </c>
      <c r="AI77" s="3">
        <v>178</v>
      </c>
      <c r="AJ77" s="3" t="str">
        <f>IFERROR(MID(VLOOKUP($B77,Seqs!$A:$B,2,0),AK77,1),"")</f>
        <v>N</v>
      </c>
      <c r="AK77" s="3">
        <v>183</v>
      </c>
      <c r="AL77" s="3" t="str">
        <f>IFERROR(MID(VLOOKUP($B77,Seqs!$A:$B,2,0),AM77,1),"")</f>
        <v>K</v>
      </c>
      <c r="AM77" s="3">
        <v>214</v>
      </c>
      <c r="AN77" s="3" t="str">
        <f>IFERROR(MID(VLOOKUP($B77,Seqs!$A:$B,2,0),AO77,1),"")</f>
        <v>K</v>
      </c>
      <c r="AO77" s="3">
        <v>383</v>
      </c>
      <c r="AP77" s="3" t="str">
        <f>IFERROR(MID(VLOOKUP($B77,Seqs!$A:$B,2,0),AQ77,1),"")</f>
        <v>C</v>
      </c>
      <c r="AQ77" s="3">
        <v>413</v>
      </c>
      <c r="AR77" s="3" t="str">
        <f>IFERROR(MID(VLOOKUP($B77,Seqs!$A:$B,2,0),AS77,1),"")</f>
        <v>P</v>
      </c>
      <c r="AS77" s="3">
        <v>418</v>
      </c>
      <c r="AT77" s="3" t="str">
        <f>IFERROR(MID(VLOOKUP($B77,Seqs!$A:$B,2,0),AU77,1),"")</f>
        <v>C</v>
      </c>
      <c r="AU77" s="105">
        <v>443</v>
      </c>
      <c r="AV77" s="3" t="str">
        <f>IFERROR(MID(VLOOKUP($B77,Seqs!$A:$B,2,0),AW77,1),"")</f>
        <v>N</v>
      </c>
      <c r="AW77" s="3">
        <v>444</v>
      </c>
      <c r="AX77" s="3" t="str">
        <f>IFERROR(MID(VLOOKUP($B77,Seqs!$A:$B,2,0),AY77,1),"")</f>
        <v>M</v>
      </c>
      <c r="AY77" s="3">
        <v>456</v>
      </c>
      <c r="AZ77" s="77" t="str">
        <f>VLOOKUP(B77,Classification!A:D,2,0)</f>
        <v>A</v>
      </c>
      <c r="BA77" s="94" t="str">
        <f>VLOOKUP(B77,Classification!A:D,4,0)</f>
        <v>Acetylcholine(muscarinic)</v>
      </c>
      <c r="BB77" s="27" t="b">
        <f t="shared" ref="BB77" si="394">AND(E77&lt;G77,OR(G77&lt;I77,I77="-"),OR(I77&lt;K77,I77="-"),OR(K77&lt;M77,K77="-"),M77&lt;O77,OR(O77&lt;Q77,Q77="-"),OR(Q77&lt;S77,Q77="-"),OR(S77&lt;U77,S77="-"),U77&lt;W77,OR(W77&lt;Y77,Y77="-"),OR(Y77&lt;AA77,Y77="-"),OR(AA77&lt;AC77,AA77="-"),AC77&lt;AE77,OR(AE77&lt;AG77,AG77="-"),OR(AG77&lt;AI77,AG77="-"),OR(AI77&lt;AK77,AI77="-"),AK77&lt;AM77,AM77&lt;AO77,AO77&lt;AQ77,AQ77&lt;AS77,AS77&lt;AU77,OR(AU77&lt;AW77,AW77="-"),OR(AW77&lt;AY77,AW77="-"))</f>
        <v>1</v>
      </c>
      <c r="BC77" s="23">
        <f t="shared" ref="BC77" si="395">_xlfn.AGGREGATE(9,6,CH77:CS77)-_xlfn.AGGREGATE(9,6,BV77:CG77)+12</f>
        <v>254</v>
      </c>
      <c r="BD77" s="4" t="s">
        <v>23</v>
      </c>
      <c r="BE77" s="3" t="s">
        <v>1380</v>
      </c>
      <c r="BF77" s="119">
        <v>3</v>
      </c>
      <c r="BG77" s="49" t="s">
        <v>1</v>
      </c>
      <c r="BH77" s="49" t="s">
        <v>1</v>
      </c>
      <c r="BI77" s="1"/>
      <c r="BJ77" s="70" t="s">
        <v>1293</v>
      </c>
      <c r="BK77" s="57" t="s">
        <v>1293</v>
      </c>
      <c r="BL77" s="57" t="s">
        <v>1293</v>
      </c>
      <c r="BM77" s="57" t="s">
        <v>1293</v>
      </c>
      <c r="BN77" s="57" t="s">
        <v>1293</v>
      </c>
      <c r="BO77" s="57" t="s">
        <v>1293</v>
      </c>
      <c r="BP77" s="57" t="s">
        <v>1293</v>
      </c>
      <c r="BQ77" s="57" t="s">
        <v>1293</v>
      </c>
      <c r="BR77" s="57" t="s">
        <v>1293</v>
      </c>
      <c r="BS77" s="57" t="s">
        <v>1293</v>
      </c>
      <c r="BT77" s="57" t="s">
        <v>1293</v>
      </c>
      <c r="BU77" s="57" t="s">
        <v>1293</v>
      </c>
      <c r="BV77" s="70">
        <f t="shared" ref="BV77" si="396">E77</f>
        <v>18</v>
      </c>
      <c r="BW77" s="71">
        <f t="shared" ref="BW77" si="397">I77</f>
        <v>52</v>
      </c>
      <c r="BX77" s="72">
        <f t="shared" ref="BX77" si="398">M77</f>
        <v>56</v>
      </c>
      <c r="BY77" s="71">
        <f t="shared" ref="BY77" si="399">Q77</f>
        <v>88</v>
      </c>
      <c r="BZ77" s="72">
        <f t="shared" ref="BZ77" si="400">U77</f>
        <v>92</v>
      </c>
      <c r="CA77" s="71">
        <f t="shared" ref="CA77" si="401">Y77</f>
        <v>128</v>
      </c>
      <c r="CB77" s="72">
        <f t="shared" ref="CB77" si="402">AC77</f>
        <v>136</v>
      </c>
      <c r="CC77" s="71">
        <f t="shared" ref="CC77" si="403">AG77</f>
        <v>176</v>
      </c>
      <c r="CD77" s="72">
        <f t="shared" ref="CD77" si="404">AK77</f>
        <v>183</v>
      </c>
      <c r="CE77" s="71">
        <f t="shared" ref="CE77" si="405">AO77</f>
        <v>383</v>
      </c>
      <c r="CF77" s="72">
        <f t="shared" ref="CF77" si="406">AS77</f>
        <v>418</v>
      </c>
      <c r="CG77" s="71">
        <f t="shared" ref="CG77" si="407">AW77</f>
        <v>444</v>
      </c>
      <c r="CH77" s="70">
        <f t="shared" ref="CH77" si="408">G77</f>
        <v>51</v>
      </c>
      <c r="CI77" s="71">
        <f t="shared" ref="CI77" si="409">K77</f>
        <v>55</v>
      </c>
      <c r="CJ77" s="72">
        <f t="shared" ref="CJ77" si="410">O77</f>
        <v>87</v>
      </c>
      <c r="CK77" s="72">
        <f t="shared" ref="CK77" si="411">S77</f>
        <v>91</v>
      </c>
      <c r="CL77" s="72">
        <f t="shared" ref="CL77" si="412">W77</f>
        <v>127</v>
      </c>
      <c r="CM77" s="72">
        <f t="shared" ref="CM77" si="413">AA77</f>
        <v>135</v>
      </c>
      <c r="CN77" s="72">
        <f t="shared" ref="CN77" si="414">AE77</f>
        <v>166</v>
      </c>
      <c r="CO77" s="72">
        <f t="shared" ref="CO77" si="415">AI77</f>
        <v>178</v>
      </c>
      <c r="CP77" s="72">
        <f t="shared" ref="CP77" si="416">AM77</f>
        <v>214</v>
      </c>
      <c r="CQ77" s="72">
        <f t="shared" ref="CQ77" si="417">AQ77</f>
        <v>413</v>
      </c>
      <c r="CR77" s="72">
        <f t="shared" ref="CR77" si="418">AU77</f>
        <v>443</v>
      </c>
      <c r="CS77" s="72">
        <f t="shared" ref="CS77" si="419">AY77</f>
        <v>456</v>
      </c>
      <c r="CT77" s="23">
        <f t="shared" ref="CT77" si="420">M77-K77</f>
        <v>1</v>
      </c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  <c r="ADW77" s="1"/>
      <c r="ADX77" s="1"/>
      <c r="ADY77" s="1"/>
      <c r="ADZ77" s="1"/>
      <c r="AEA77" s="1"/>
      <c r="AEB77" s="1"/>
      <c r="AEC77" s="1"/>
      <c r="AED77" s="1"/>
      <c r="AEE77" s="1"/>
      <c r="AEF77" s="1"/>
      <c r="AEG77" s="1"/>
      <c r="AEH77" s="1"/>
      <c r="AEI77" s="1"/>
      <c r="AEJ77" s="1"/>
      <c r="AEK77" s="1"/>
      <c r="AEL77" s="1"/>
      <c r="AEM77" s="1"/>
      <c r="AEN77" s="1"/>
      <c r="AEO77" s="1"/>
      <c r="AEP77" s="1"/>
      <c r="AEQ77" s="1"/>
      <c r="AER77" s="1"/>
      <c r="AES77" s="1"/>
      <c r="AET77" s="1"/>
      <c r="AEU77" s="1"/>
      <c r="AEV77" s="1"/>
      <c r="AEW77" s="1"/>
      <c r="AEX77" s="1"/>
      <c r="AEY77" s="1"/>
      <c r="AEZ77" s="1"/>
      <c r="AFA77" s="1"/>
      <c r="AFB77" s="1"/>
      <c r="AFC77" s="1"/>
      <c r="AFD77" s="1"/>
      <c r="AFE77" s="1"/>
      <c r="AFF77" s="1"/>
      <c r="AFG77" s="1"/>
      <c r="AFH77" s="1"/>
      <c r="AFI77" s="1"/>
      <c r="AFJ77" s="1"/>
      <c r="AFK77" s="1"/>
      <c r="AFL77" s="1"/>
      <c r="AFM77" s="1"/>
      <c r="AFN77" s="1"/>
      <c r="AFO77" s="1"/>
      <c r="AFP77" s="1"/>
      <c r="AFQ77" s="1"/>
      <c r="AFR77" s="1"/>
      <c r="AFS77" s="1"/>
      <c r="AFT77" s="1"/>
      <c r="AFU77" s="1"/>
      <c r="AFV77" s="1"/>
      <c r="AFW77" s="1"/>
      <c r="AFX77" s="1"/>
      <c r="AFY77" s="1"/>
      <c r="AFZ77" s="1"/>
      <c r="AGA77" s="1"/>
      <c r="AGB77" s="1"/>
      <c r="AGC77" s="1"/>
      <c r="AGD77" s="1"/>
      <c r="AGE77" s="1"/>
      <c r="AGF77" s="1"/>
      <c r="AGG77" s="1"/>
      <c r="AGH77" s="1"/>
      <c r="AGI77" s="1"/>
      <c r="AGJ77" s="1"/>
      <c r="AGK77" s="1"/>
      <c r="AGL77" s="1"/>
      <c r="AGM77" s="1"/>
      <c r="AGN77" s="1"/>
      <c r="AGO77" s="1"/>
      <c r="AGP77" s="1"/>
      <c r="AGQ77" s="1"/>
      <c r="AGR77" s="1"/>
      <c r="AGS77" s="1"/>
      <c r="AGT77" s="1"/>
      <c r="AGU77" s="1"/>
      <c r="AGV77" s="1"/>
      <c r="AGW77" s="1"/>
      <c r="AGX77" s="1"/>
      <c r="AGY77" s="1"/>
      <c r="AGZ77" s="1"/>
      <c r="AHA77" s="1"/>
      <c r="AHB77" s="1"/>
      <c r="AHC77" s="1"/>
      <c r="AHD77" s="1"/>
      <c r="AHE77" s="1"/>
      <c r="AHF77" s="1"/>
      <c r="AHG77" s="1"/>
      <c r="AHH77" s="1"/>
      <c r="AHI77" s="1"/>
      <c r="AHJ77" s="1"/>
      <c r="AHK77" s="1"/>
      <c r="AHL77" s="1"/>
      <c r="AHM77" s="1"/>
      <c r="AHN77" s="1"/>
      <c r="AHO77" s="1"/>
      <c r="AHP77" s="1"/>
      <c r="AHQ77" s="1"/>
      <c r="AHR77" s="1"/>
      <c r="AHS77" s="1"/>
      <c r="AHT77" s="1"/>
      <c r="AHU77" s="1"/>
      <c r="AHV77" s="1"/>
      <c r="AHW77" s="1"/>
      <c r="AHX77" s="1"/>
      <c r="AHY77" s="1"/>
      <c r="AHZ77" s="1"/>
      <c r="AIA77" s="1"/>
      <c r="AIB77" s="1"/>
      <c r="AIC77" s="1"/>
      <c r="AID77" s="1"/>
      <c r="AIE77" s="1"/>
      <c r="AIF77" s="1"/>
      <c r="AIG77" s="1"/>
      <c r="AIH77" s="1"/>
      <c r="AII77" s="1"/>
      <c r="AIJ77" s="1"/>
      <c r="AIK77" s="1"/>
      <c r="AIL77" s="1"/>
      <c r="AIM77" s="1"/>
      <c r="AIN77" s="1"/>
      <c r="AIO77" s="1"/>
      <c r="AIP77" s="1"/>
      <c r="AIQ77" s="1"/>
      <c r="AIR77" s="1"/>
      <c r="AIS77" s="1"/>
      <c r="AIT77" s="1"/>
      <c r="AIU77" s="1"/>
      <c r="AIV77" s="1"/>
      <c r="AIW77" s="1"/>
      <c r="AIX77" s="1"/>
      <c r="AIY77" s="1"/>
      <c r="AIZ77" s="1"/>
      <c r="AJA77" s="1"/>
      <c r="AJB77" s="1"/>
      <c r="AJC77" s="1"/>
      <c r="AJD77" s="1"/>
      <c r="AJE77" s="1"/>
      <c r="AJF77" s="1"/>
      <c r="AJG77" s="1"/>
      <c r="AJH77" s="1"/>
      <c r="AJI77" s="1"/>
      <c r="AJJ77" s="1"/>
      <c r="AJK77" s="1"/>
      <c r="AJL77" s="1"/>
      <c r="AJM77" s="1"/>
      <c r="AJN77" s="1"/>
      <c r="AJO77" s="1"/>
      <c r="AJP77" s="1"/>
      <c r="AJQ77" s="1"/>
      <c r="AJR77" s="1"/>
      <c r="AJS77" s="1"/>
      <c r="AJT77" s="1"/>
      <c r="AJU77" s="1"/>
      <c r="AJV77" s="1"/>
      <c r="AJW77" s="1"/>
      <c r="AJX77" s="1"/>
      <c r="AJY77" s="1"/>
      <c r="AJZ77" s="1"/>
      <c r="AKA77" s="1"/>
      <c r="AKB77" s="1"/>
      <c r="AKC77" s="1"/>
      <c r="AKD77" s="1"/>
      <c r="AKE77" s="1"/>
      <c r="AKF77" s="1"/>
      <c r="AKG77" s="1"/>
      <c r="AKH77" s="1"/>
      <c r="AKI77" s="1"/>
      <c r="AKJ77" s="1"/>
      <c r="AKK77" s="1"/>
      <c r="AKL77" s="1"/>
      <c r="AKM77" s="1"/>
      <c r="AKN77" s="1"/>
      <c r="AKO77" s="1"/>
      <c r="AKP77" s="1"/>
      <c r="AKQ77" s="1"/>
      <c r="AKR77" s="1"/>
      <c r="AKS77" s="1"/>
      <c r="AKT77" s="1"/>
      <c r="AKU77" s="1"/>
      <c r="AKV77" s="1"/>
      <c r="AKW77" s="1"/>
      <c r="AKX77" s="1"/>
      <c r="AKY77" s="1"/>
      <c r="AKZ77" s="1"/>
      <c r="ALA77" s="1"/>
      <c r="ALB77" s="1"/>
      <c r="ALC77" s="1"/>
      <c r="ALD77" s="1"/>
      <c r="ALE77" s="1"/>
      <c r="ALF77" s="1"/>
      <c r="ALG77" s="1"/>
      <c r="ALH77" s="1"/>
      <c r="ALI77" s="1"/>
      <c r="ALJ77" s="1"/>
      <c r="ALK77" s="1"/>
      <c r="ALL77" s="1"/>
      <c r="ALM77" s="1"/>
      <c r="ALN77" s="1"/>
      <c r="ALO77" s="1"/>
      <c r="ALP77" s="1"/>
      <c r="ALQ77" s="1"/>
      <c r="ALR77" s="1"/>
      <c r="ALS77" s="1"/>
      <c r="ALT77" s="1"/>
      <c r="ALU77" s="1"/>
      <c r="ALV77" s="1"/>
      <c r="ALW77" s="1"/>
      <c r="ALX77" s="1"/>
      <c r="ALY77" s="1"/>
      <c r="ALZ77" s="1"/>
      <c r="AMA77" s="1"/>
      <c r="AMB77" s="1"/>
      <c r="AMC77" s="1"/>
      <c r="AMD77" s="1"/>
      <c r="AME77" s="1"/>
      <c r="AMF77" s="1"/>
      <c r="AMG77" s="1"/>
      <c r="AMH77" s="1"/>
      <c r="AMI77" s="1"/>
      <c r="AMJ77" s="1"/>
      <c r="AMK77" s="1"/>
      <c r="AML77" s="1"/>
      <c r="AMM77" s="1"/>
      <c r="AMN77" s="1"/>
      <c r="AMO77" s="1"/>
    </row>
    <row r="78" spans="1:1029" x14ac:dyDescent="0.2">
      <c r="A78" s="3" t="str">
        <f t="shared" ref="A78" si="421">CONCATENATE(B78,"_",C78)</f>
        <v>acm2_human_5ZK3</v>
      </c>
      <c r="B78" s="3" t="s">
        <v>147</v>
      </c>
      <c r="C78" s="3" t="s">
        <v>1553</v>
      </c>
      <c r="D78" s="3" t="str">
        <f>IFERROR(MID(VLOOKUP($B78,Seqs!$A:$B,2,0),E78,1),"")</f>
        <v>Y</v>
      </c>
      <c r="E78" s="3">
        <v>18</v>
      </c>
      <c r="F78" s="3" t="str">
        <f>IFERROR(MID(VLOOKUP($B78,Seqs!$A:$B,2,0),G78,1),"")</f>
        <v>N</v>
      </c>
      <c r="G78" s="3">
        <v>51</v>
      </c>
      <c r="H78" s="3" t="str">
        <f>IFERROR(MID(VLOOKUP($B78,Seqs!$A:$B,2,0),I78,1),"")</f>
        <v>R</v>
      </c>
      <c r="I78" s="23">
        <v>52</v>
      </c>
      <c r="J78" s="3" t="str">
        <f>IFERROR(MID(VLOOKUP($B78,Seqs!$A:$B,2,0),K78,1),"")</f>
        <v>Q</v>
      </c>
      <c r="K78" s="23">
        <v>55</v>
      </c>
      <c r="L78" s="3" t="str">
        <f>IFERROR(MID(VLOOKUP($B78,Seqs!$A:$B,2,0),M78,1),"")</f>
        <v>T</v>
      </c>
      <c r="M78" s="3">
        <v>56</v>
      </c>
      <c r="N78" s="3" t="str">
        <f>IFERROR(MID(VLOOKUP($B78,Seqs!$A:$B,2,0),O78,1),"")</f>
        <v>G</v>
      </c>
      <c r="O78" s="3">
        <v>87</v>
      </c>
      <c r="P78" s="3" t="str">
        <f>IFERROR(MID(VLOOKUP($B78,Seqs!$A:$B,2,0),Q78,1),"")</f>
        <v>Y</v>
      </c>
      <c r="Q78" s="3">
        <v>88</v>
      </c>
      <c r="R78" s="3" t="str">
        <f>IFERROR(MID(VLOOKUP($B78,Seqs!$A:$B,2,0),S78,1),"")</f>
        <v>L</v>
      </c>
      <c r="S78" s="3">
        <v>91</v>
      </c>
      <c r="T78" s="3" t="str">
        <f>IFERROR(MID(VLOOKUP($B78,Seqs!$A:$B,2,0),U78,1),"")</f>
        <v>G</v>
      </c>
      <c r="U78" s="3">
        <v>92</v>
      </c>
      <c r="V78" s="3" t="str">
        <f>IFERROR(MID(VLOOKUP($B78,Seqs!$A:$B,2,0),W78,1),"")</f>
        <v>K</v>
      </c>
      <c r="W78" s="3">
        <v>127</v>
      </c>
      <c r="X78" s="3" t="str">
        <f>IFERROR(MID(VLOOKUP($B78,Seqs!$A:$B,2,0),Y78,1),"")</f>
        <v>P</v>
      </c>
      <c r="Y78" s="3">
        <v>128</v>
      </c>
      <c r="Z78" s="3" t="str">
        <f>IFERROR(MID(VLOOKUP($B78,Seqs!$A:$B,2,0),AA78,1),"")</f>
        <v>R</v>
      </c>
      <c r="AA78" s="3">
        <v>135</v>
      </c>
      <c r="AB78" s="3" t="str">
        <f>IFERROR(MID(VLOOKUP($B78,Seqs!$A:$B,2,0),AC78,1),"")</f>
        <v>T</v>
      </c>
      <c r="AC78" s="3">
        <v>136</v>
      </c>
      <c r="AD78" s="3" t="str">
        <f>IFERROR(MID(VLOOKUP($B78,Seqs!$A:$B,2,0),AE78,1),"")</f>
        <v>V</v>
      </c>
      <c r="AE78" s="3">
        <v>166</v>
      </c>
      <c r="AF78" s="3" t="str">
        <f>IFERROR(MID(VLOOKUP($B78,Seqs!$A:$B,2,0),AG78,1),"")</f>
        <v>C</v>
      </c>
      <c r="AG78" s="3">
        <v>176</v>
      </c>
      <c r="AH78" s="3" t="str">
        <f>IFERROR(MID(VLOOKUP($B78,Seqs!$A:$B,2,0),AI78,1),"")</f>
        <v>I</v>
      </c>
      <c r="AI78" s="3">
        <v>178</v>
      </c>
      <c r="AJ78" s="3" t="str">
        <f>IFERROR(MID(VLOOKUP($B78,Seqs!$A:$B,2,0),AK78,1),"")</f>
        <v>N</v>
      </c>
      <c r="AK78" s="3">
        <v>183</v>
      </c>
      <c r="AL78" s="3" t="str">
        <f>IFERROR(MID(VLOOKUP($B78,Seqs!$A:$B,2,0),AM78,1),"")</f>
        <v>K</v>
      </c>
      <c r="AM78" s="3">
        <v>214</v>
      </c>
      <c r="AN78" s="3" t="str">
        <f>IFERROR(MID(VLOOKUP($B78,Seqs!$A:$B,2,0),AO78,1),"")</f>
        <v>E</v>
      </c>
      <c r="AO78" s="3">
        <v>382</v>
      </c>
      <c r="AP78" s="3" t="str">
        <f>IFERROR(MID(VLOOKUP($B78,Seqs!$A:$B,2,0),AQ78,1),"")</f>
        <v>C</v>
      </c>
      <c r="AQ78" s="3">
        <v>413</v>
      </c>
      <c r="AR78" s="3" t="str">
        <f>IFERROR(MID(VLOOKUP($B78,Seqs!$A:$B,2,0),AS78,1),"")</f>
        <v>P</v>
      </c>
      <c r="AS78" s="3">
        <v>418</v>
      </c>
      <c r="AT78" s="3" t="str">
        <f>IFERROR(MID(VLOOKUP($B78,Seqs!$A:$B,2,0),AU78,1),"")</f>
        <v>C</v>
      </c>
      <c r="AU78" s="105">
        <v>443</v>
      </c>
      <c r="AV78" s="3" t="str">
        <f>IFERROR(MID(VLOOKUP($B78,Seqs!$A:$B,2,0),AW78,1),"")</f>
        <v>N</v>
      </c>
      <c r="AW78" s="3">
        <v>444</v>
      </c>
      <c r="AX78" s="3" t="str">
        <f>IFERROR(MID(VLOOKUP($B78,Seqs!$A:$B,2,0),AY78,1),"")</f>
        <v>M</v>
      </c>
      <c r="AY78" s="3">
        <v>456</v>
      </c>
      <c r="AZ78" s="77" t="str">
        <f>VLOOKUP(B78,Classification!A:D,2,0)</f>
        <v>A</v>
      </c>
      <c r="BA78" s="94" t="str">
        <f>VLOOKUP(B78,Classification!A:D,4,0)</f>
        <v>Acetylcholine(muscarinic)</v>
      </c>
      <c r="BB78" s="27" t="b">
        <f t="shared" ref="BB78" si="422">AND(E78&lt;G78,OR(G78&lt;I78,I78="-"),OR(I78&lt;K78,I78="-"),OR(K78&lt;M78,K78="-"),M78&lt;O78,OR(O78&lt;Q78,Q78="-"),OR(Q78&lt;S78,Q78="-"),OR(S78&lt;U78,S78="-"),U78&lt;W78,OR(W78&lt;Y78,Y78="-"),OR(Y78&lt;AA78,Y78="-"),OR(AA78&lt;AC78,AA78="-"),AC78&lt;AE78,OR(AE78&lt;AG78,AG78="-"),OR(AG78&lt;AI78,AG78="-"),OR(AI78&lt;AK78,AI78="-"),AK78&lt;AM78,AM78&lt;AO78,AO78&lt;AQ78,AQ78&lt;AS78,AS78&lt;AU78,OR(AU78&lt;AW78,AW78="-"),OR(AW78&lt;AY78,AW78="-"))</f>
        <v>1</v>
      </c>
      <c r="BC78" s="23">
        <f t="shared" ref="BC78" si="423">_xlfn.AGGREGATE(9,6,CH78:CS78)-_xlfn.AGGREGATE(9,6,BV78:CG78)+12</f>
        <v>255</v>
      </c>
      <c r="BD78" s="4" t="s">
        <v>23</v>
      </c>
      <c r="BE78" s="3" t="s">
        <v>1380</v>
      </c>
      <c r="BF78" s="119">
        <v>2.6</v>
      </c>
      <c r="BG78" s="49" t="s">
        <v>1</v>
      </c>
      <c r="BH78" s="49" t="s">
        <v>1</v>
      </c>
      <c r="BI78" s="1"/>
      <c r="BJ78" s="70" t="s">
        <v>1293</v>
      </c>
      <c r="BK78" s="57" t="s">
        <v>1293</v>
      </c>
      <c r="BL78" s="57" t="s">
        <v>1293</v>
      </c>
      <c r="BM78" s="57" t="s">
        <v>1293</v>
      </c>
      <c r="BN78" s="57" t="s">
        <v>1293</v>
      </c>
      <c r="BO78" s="57" t="s">
        <v>1293</v>
      </c>
      <c r="BP78" s="57" t="s">
        <v>1293</v>
      </c>
      <c r="BQ78" s="57" t="s">
        <v>1293</v>
      </c>
      <c r="BR78" s="57" t="s">
        <v>1293</v>
      </c>
      <c r="BS78" s="57" t="s">
        <v>1293</v>
      </c>
      <c r="BT78" s="57" t="s">
        <v>1293</v>
      </c>
      <c r="BU78" s="57" t="s">
        <v>1293</v>
      </c>
      <c r="BV78" s="70">
        <f t="shared" ref="BV78" si="424">E78</f>
        <v>18</v>
      </c>
      <c r="BW78" s="71">
        <f t="shared" ref="BW78" si="425">I78</f>
        <v>52</v>
      </c>
      <c r="BX78" s="72">
        <f t="shared" ref="BX78" si="426">M78</f>
        <v>56</v>
      </c>
      <c r="BY78" s="71">
        <f t="shared" ref="BY78" si="427">Q78</f>
        <v>88</v>
      </c>
      <c r="BZ78" s="72">
        <f t="shared" ref="BZ78" si="428">U78</f>
        <v>92</v>
      </c>
      <c r="CA78" s="71">
        <f t="shared" ref="CA78" si="429">Y78</f>
        <v>128</v>
      </c>
      <c r="CB78" s="72">
        <f t="shared" ref="CB78" si="430">AC78</f>
        <v>136</v>
      </c>
      <c r="CC78" s="71">
        <f t="shared" ref="CC78" si="431">AG78</f>
        <v>176</v>
      </c>
      <c r="CD78" s="72">
        <f t="shared" ref="CD78" si="432">AK78</f>
        <v>183</v>
      </c>
      <c r="CE78" s="71">
        <f t="shared" ref="CE78" si="433">AO78</f>
        <v>382</v>
      </c>
      <c r="CF78" s="72">
        <f t="shared" ref="CF78" si="434">AS78</f>
        <v>418</v>
      </c>
      <c r="CG78" s="71">
        <f t="shared" ref="CG78" si="435">AW78</f>
        <v>444</v>
      </c>
      <c r="CH78" s="70">
        <f t="shared" ref="CH78" si="436">G78</f>
        <v>51</v>
      </c>
      <c r="CI78" s="71">
        <f t="shared" ref="CI78" si="437">K78</f>
        <v>55</v>
      </c>
      <c r="CJ78" s="72">
        <f t="shared" ref="CJ78" si="438">O78</f>
        <v>87</v>
      </c>
      <c r="CK78" s="72">
        <f t="shared" ref="CK78" si="439">S78</f>
        <v>91</v>
      </c>
      <c r="CL78" s="72">
        <f t="shared" ref="CL78" si="440">W78</f>
        <v>127</v>
      </c>
      <c r="CM78" s="72">
        <f t="shared" ref="CM78" si="441">AA78</f>
        <v>135</v>
      </c>
      <c r="CN78" s="72">
        <f t="shared" ref="CN78" si="442">AE78</f>
        <v>166</v>
      </c>
      <c r="CO78" s="72">
        <f t="shared" ref="CO78" si="443">AI78</f>
        <v>178</v>
      </c>
      <c r="CP78" s="72">
        <f t="shared" ref="CP78" si="444">AM78</f>
        <v>214</v>
      </c>
      <c r="CQ78" s="72">
        <f t="shared" ref="CQ78" si="445">AQ78</f>
        <v>413</v>
      </c>
      <c r="CR78" s="72">
        <f t="shared" ref="CR78" si="446">AU78</f>
        <v>443</v>
      </c>
      <c r="CS78" s="72">
        <f t="shared" ref="CS78" si="447">AY78</f>
        <v>456</v>
      </c>
      <c r="CT78" s="23">
        <f t="shared" ref="CT78" si="448">M78-K78</f>
        <v>1</v>
      </c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  <c r="ADW78" s="1"/>
      <c r="ADX78" s="1"/>
      <c r="ADY78" s="1"/>
      <c r="ADZ78" s="1"/>
      <c r="AEA78" s="1"/>
      <c r="AEB78" s="1"/>
      <c r="AEC78" s="1"/>
      <c r="AED78" s="1"/>
      <c r="AEE78" s="1"/>
      <c r="AEF78" s="1"/>
      <c r="AEG78" s="1"/>
      <c r="AEH78" s="1"/>
      <c r="AEI78" s="1"/>
      <c r="AEJ78" s="1"/>
      <c r="AEK78" s="1"/>
      <c r="AEL78" s="1"/>
      <c r="AEM78" s="1"/>
      <c r="AEN78" s="1"/>
      <c r="AEO78" s="1"/>
      <c r="AEP78" s="1"/>
      <c r="AEQ78" s="1"/>
      <c r="AER78" s="1"/>
      <c r="AES78" s="1"/>
      <c r="AET78" s="1"/>
      <c r="AEU78" s="1"/>
      <c r="AEV78" s="1"/>
      <c r="AEW78" s="1"/>
      <c r="AEX78" s="1"/>
      <c r="AEY78" s="1"/>
      <c r="AEZ78" s="1"/>
      <c r="AFA78" s="1"/>
      <c r="AFB78" s="1"/>
      <c r="AFC78" s="1"/>
      <c r="AFD78" s="1"/>
      <c r="AFE78" s="1"/>
      <c r="AFF78" s="1"/>
      <c r="AFG78" s="1"/>
      <c r="AFH78" s="1"/>
      <c r="AFI78" s="1"/>
      <c r="AFJ78" s="1"/>
      <c r="AFK78" s="1"/>
      <c r="AFL78" s="1"/>
      <c r="AFM78" s="1"/>
      <c r="AFN78" s="1"/>
      <c r="AFO78" s="1"/>
      <c r="AFP78" s="1"/>
      <c r="AFQ78" s="1"/>
      <c r="AFR78" s="1"/>
      <c r="AFS78" s="1"/>
      <c r="AFT78" s="1"/>
      <c r="AFU78" s="1"/>
      <c r="AFV78" s="1"/>
      <c r="AFW78" s="1"/>
      <c r="AFX78" s="1"/>
      <c r="AFY78" s="1"/>
      <c r="AFZ78" s="1"/>
      <c r="AGA78" s="1"/>
      <c r="AGB78" s="1"/>
      <c r="AGC78" s="1"/>
      <c r="AGD78" s="1"/>
      <c r="AGE78" s="1"/>
      <c r="AGF78" s="1"/>
      <c r="AGG78" s="1"/>
      <c r="AGH78" s="1"/>
      <c r="AGI78" s="1"/>
      <c r="AGJ78" s="1"/>
      <c r="AGK78" s="1"/>
      <c r="AGL78" s="1"/>
      <c r="AGM78" s="1"/>
      <c r="AGN78" s="1"/>
      <c r="AGO78" s="1"/>
      <c r="AGP78" s="1"/>
      <c r="AGQ78" s="1"/>
      <c r="AGR78" s="1"/>
      <c r="AGS78" s="1"/>
      <c r="AGT78" s="1"/>
      <c r="AGU78" s="1"/>
      <c r="AGV78" s="1"/>
      <c r="AGW78" s="1"/>
      <c r="AGX78" s="1"/>
      <c r="AGY78" s="1"/>
      <c r="AGZ78" s="1"/>
      <c r="AHA78" s="1"/>
      <c r="AHB78" s="1"/>
      <c r="AHC78" s="1"/>
      <c r="AHD78" s="1"/>
      <c r="AHE78" s="1"/>
      <c r="AHF78" s="1"/>
      <c r="AHG78" s="1"/>
      <c r="AHH78" s="1"/>
      <c r="AHI78" s="1"/>
      <c r="AHJ78" s="1"/>
      <c r="AHK78" s="1"/>
      <c r="AHL78" s="1"/>
      <c r="AHM78" s="1"/>
      <c r="AHN78" s="1"/>
      <c r="AHO78" s="1"/>
      <c r="AHP78" s="1"/>
      <c r="AHQ78" s="1"/>
      <c r="AHR78" s="1"/>
      <c r="AHS78" s="1"/>
      <c r="AHT78" s="1"/>
      <c r="AHU78" s="1"/>
      <c r="AHV78" s="1"/>
      <c r="AHW78" s="1"/>
      <c r="AHX78" s="1"/>
      <c r="AHY78" s="1"/>
      <c r="AHZ78" s="1"/>
      <c r="AIA78" s="1"/>
      <c r="AIB78" s="1"/>
      <c r="AIC78" s="1"/>
      <c r="AID78" s="1"/>
      <c r="AIE78" s="1"/>
      <c r="AIF78" s="1"/>
      <c r="AIG78" s="1"/>
      <c r="AIH78" s="1"/>
      <c r="AII78" s="1"/>
      <c r="AIJ78" s="1"/>
      <c r="AIK78" s="1"/>
      <c r="AIL78" s="1"/>
      <c r="AIM78" s="1"/>
      <c r="AIN78" s="1"/>
      <c r="AIO78" s="1"/>
      <c r="AIP78" s="1"/>
      <c r="AIQ78" s="1"/>
      <c r="AIR78" s="1"/>
      <c r="AIS78" s="1"/>
      <c r="AIT78" s="1"/>
      <c r="AIU78" s="1"/>
      <c r="AIV78" s="1"/>
      <c r="AIW78" s="1"/>
      <c r="AIX78" s="1"/>
      <c r="AIY78" s="1"/>
      <c r="AIZ78" s="1"/>
      <c r="AJA78" s="1"/>
      <c r="AJB78" s="1"/>
      <c r="AJC78" s="1"/>
      <c r="AJD78" s="1"/>
      <c r="AJE78" s="1"/>
      <c r="AJF78" s="1"/>
      <c r="AJG78" s="1"/>
      <c r="AJH78" s="1"/>
      <c r="AJI78" s="1"/>
      <c r="AJJ78" s="1"/>
      <c r="AJK78" s="1"/>
      <c r="AJL78" s="1"/>
      <c r="AJM78" s="1"/>
      <c r="AJN78" s="1"/>
      <c r="AJO78" s="1"/>
      <c r="AJP78" s="1"/>
      <c r="AJQ78" s="1"/>
      <c r="AJR78" s="1"/>
      <c r="AJS78" s="1"/>
      <c r="AJT78" s="1"/>
      <c r="AJU78" s="1"/>
      <c r="AJV78" s="1"/>
      <c r="AJW78" s="1"/>
      <c r="AJX78" s="1"/>
      <c r="AJY78" s="1"/>
      <c r="AJZ78" s="1"/>
      <c r="AKA78" s="1"/>
      <c r="AKB78" s="1"/>
      <c r="AKC78" s="1"/>
      <c r="AKD78" s="1"/>
      <c r="AKE78" s="1"/>
      <c r="AKF78" s="1"/>
      <c r="AKG78" s="1"/>
      <c r="AKH78" s="1"/>
      <c r="AKI78" s="1"/>
      <c r="AKJ78" s="1"/>
      <c r="AKK78" s="1"/>
      <c r="AKL78" s="1"/>
      <c r="AKM78" s="1"/>
      <c r="AKN78" s="1"/>
      <c r="AKO78" s="1"/>
      <c r="AKP78" s="1"/>
      <c r="AKQ78" s="1"/>
      <c r="AKR78" s="1"/>
      <c r="AKS78" s="1"/>
      <c r="AKT78" s="1"/>
      <c r="AKU78" s="1"/>
      <c r="AKV78" s="1"/>
      <c r="AKW78" s="1"/>
      <c r="AKX78" s="1"/>
      <c r="AKY78" s="1"/>
      <c r="AKZ78" s="1"/>
      <c r="ALA78" s="1"/>
      <c r="ALB78" s="1"/>
      <c r="ALC78" s="1"/>
      <c r="ALD78" s="1"/>
      <c r="ALE78" s="1"/>
      <c r="ALF78" s="1"/>
      <c r="ALG78" s="1"/>
      <c r="ALH78" s="1"/>
      <c r="ALI78" s="1"/>
      <c r="ALJ78" s="1"/>
      <c r="ALK78" s="1"/>
      <c r="ALL78" s="1"/>
      <c r="ALM78" s="1"/>
      <c r="ALN78" s="1"/>
      <c r="ALO78" s="1"/>
      <c r="ALP78" s="1"/>
      <c r="ALQ78" s="1"/>
      <c r="ALR78" s="1"/>
      <c r="ALS78" s="1"/>
      <c r="ALT78" s="1"/>
      <c r="ALU78" s="1"/>
      <c r="ALV78" s="1"/>
      <c r="ALW78" s="1"/>
      <c r="ALX78" s="1"/>
      <c r="ALY78" s="1"/>
      <c r="ALZ78" s="1"/>
      <c r="AMA78" s="1"/>
      <c r="AMB78" s="1"/>
      <c r="AMC78" s="1"/>
      <c r="AMD78" s="1"/>
      <c r="AME78" s="1"/>
      <c r="AMF78" s="1"/>
      <c r="AMG78" s="1"/>
      <c r="AMH78" s="1"/>
      <c r="AMI78" s="1"/>
      <c r="AMJ78" s="1"/>
      <c r="AMK78" s="1"/>
      <c r="AML78" s="1"/>
      <c r="AMM78" s="1"/>
      <c r="AMN78" s="1"/>
      <c r="AMO78" s="1"/>
    </row>
    <row r="79" spans="1:1029" x14ac:dyDescent="0.2">
      <c r="A79" s="3" t="str">
        <f t="shared" ref="A79" si="449">CONCATENATE(B79,"_",C79)</f>
        <v>acm2_human_5YC8</v>
      </c>
      <c r="B79" s="3" t="s">
        <v>147</v>
      </c>
      <c r="C79" s="3" t="s">
        <v>1554</v>
      </c>
      <c r="D79" s="3" t="str">
        <f>IFERROR(MID(VLOOKUP($B79,Seqs!$A:$B,2,0),E79,1),"")</f>
        <v>Y</v>
      </c>
      <c r="E79" s="3">
        <v>18</v>
      </c>
      <c r="F79" s="3" t="str">
        <f>IFERROR(MID(VLOOKUP($B79,Seqs!$A:$B,2,0),G79,1),"")</f>
        <v>N</v>
      </c>
      <c r="G79" s="3">
        <v>51</v>
      </c>
      <c r="H79" s="3" t="str">
        <f>IFERROR(MID(VLOOKUP($B79,Seqs!$A:$B,2,0),I79,1),"")</f>
        <v>R</v>
      </c>
      <c r="I79" s="23">
        <v>52</v>
      </c>
      <c r="J79" s="3" t="str">
        <f>IFERROR(MID(VLOOKUP($B79,Seqs!$A:$B,2,0),K79,1),"")</f>
        <v>Q</v>
      </c>
      <c r="K79" s="23">
        <v>55</v>
      </c>
      <c r="L79" s="3" t="str">
        <f>IFERROR(MID(VLOOKUP($B79,Seqs!$A:$B,2,0),M79,1),"")</f>
        <v>T</v>
      </c>
      <c r="M79" s="3">
        <v>56</v>
      </c>
      <c r="N79" s="3" t="str">
        <f>IFERROR(MID(VLOOKUP($B79,Seqs!$A:$B,2,0),O79,1),"")</f>
        <v>G</v>
      </c>
      <c r="O79" s="3">
        <v>87</v>
      </c>
      <c r="P79" s="3" t="str">
        <f>IFERROR(MID(VLOOKUP($B79,Seqs!$A:$B,2,0),Q79,1),"")</f>
        <v>Y</v>
      </c>
      <c r="Q79" s="3">
        <v>88</v>
      </c>
      <c r="R79" s="3" t="str">
        <f>IFERROR(MID(VLOOKUP($B79,Seqs!$A:$B,2,0),S79,1),"")</f>
        <v>L</v>
      </c>
      <c r="S79" s="3">
        <v>91</v>
      </c>
      <c r="T79" s="3" t="str">
        <f>IFERROR(MID(VLOOKUP($B79,Seqs!$A:$B,2,0),U79,1),"")</f>
        <v>G</v>
      </c>
      <c r="U79" s="3">
        <v>92</v>
      </c>
      <c r="V79" s="3" t="str">
        <f>IFERROR(MID(VLOOKUP($B79,Seqs!$A:$B,2,0),W79,1),"")</f>
        <v>K</v>
      </c>
      <c r="W79" s="3">
        <v>127</v>
      </c>
      <c r="X79" s="3" t="str">
        <f>IFERROR(MID(VLOOKUP($B79,Seqs!$A:$B,2,0),Y79,1),"")</f>
        <v>P</v>
      </c>
      <c r="Y79" s="3">
        <v>128</v>
      </c>
      <c r="Z79" s="3" t="str">
        <f>IFERROR(MID(VLOOKUP($B79,Seqs!$A:$B,2,0),AA79,1),"")</f>
        <v>R</v>
      </c>
      <c r="AA79" s="3">
        <v>135</v>
      </c>
      <c r="AB79" s="3" t="str">
        <f>IFERROR(MID(VLOOKUP($B79,Seqs!$A:$B,2,0),AC79,1),"")</f>
        <v>T</v>
      </c>
      <c r="AC79" s="3">
        <v>136</v>
      </c>
      <c r="AD79" s="3" t="str">
        <f>IFERROR(MID(VLOOKUP($B79,Seqs!$A:$B,2,0),AE79,1),"")</f>
        <v>V</v>
      </c>
      <c r="AE79" s="3">
        <v>166</v>
      </c>
      <c r="AF79" s="3" t="str">
        <f>IFERROR(MID(VLOOKUP($B79,Seqs!$A:$B,2,0),AG79,1),"")</f>
        <v>C</v>
      </c>
      <c r="AG79" s="3">
        <v>176</v>
      </c>
      <c r="AH79" s="3" t="str">
        <f>IFERROR(MID(VLOOKUP($B79,Seqs!$A:$B,2,0),AI79,1),"")</f>
        <v>I</v>
      </c>
      <c r="AI79" s="3">
        <v>178</v>
      </c>
      <c r="AJ79" s="3" t="str">
        <f>IFERROR(MID(VLOOKUP($B79,Seqs!$A:$B,2,0),AK79,1),"")</f>
        <v>N</v>
      </c>
      <c r="AK79" s="3">
        <v>183</v>
      </c>
      <c r="AL79" s="3" t="str">
        <f>IFERROR(MID(VLOOKUP($B79,Seqs!$A:$B,2,0),AM79,1),"")</f>
        <v>K</v>
      </c>
      <c r="AM79" s="3">
        <v>214</v>
      </c>
      <c r="AN79" s="3" t="str">
        <f>IFERROR(MID(VLOOKUP($B79,Seqs!$A:$B,2,0),AO79,1),"")</f>
        <v>R</v>
      </c>
      <c r="AO79" s="3">
        <v>381</v>
      </c>
      <c r="AP79" s="3" t="str">
        <f>IFERROR(MID(VLOOKUP($B79,Seqs!$A:$B,2,0),AQ79,1),"")</f>
        <v>C</v>
      </c>
      <c r="AQ79" s="3">
        <v>413</v>
      </c>
      <c r="AR79" s="3" t="str">
        <f>IFERROR(MID(VLOOKUP($B79,Seqs!$A:$B,2,0),AS79,1),"")</f>
        <v>P</v>
      </c>
      <c r="AS79" s="3">
        <v>418</v>
      </c>
      <c r="AT79" s="3" t="str">
        <f>IFERROR(MID(VLOOKUP($B79,Seqs!$A:$B,2,0),AU79,1),"")</f>
        <v>C</v>
      </c>
      <c r="AU79" s="105">
        <v>443</v>
      </c>
      <c r="AV79" s="3" t="str">
        <f>IFERROR(MID(VLOOKUP($B79,Seqs!$A:$B,2,0),AW79,1),"")</f>
        <v>N</v>
      </c>
      <c r="AW79" s="3">
        <v>444</v>
      </c>
      <c r="AX79" s="3" t="str">
        <f>IFERROR(MID(VLOOKUP($B79,Seqs!$A:$B,2,0),AY79,1),"")</f>
        <v>M</v>
      </c>
      <c r="AY79" s="3">
        <v>456</v>
      </c>
      <c r="AZ79" s="77" t="str">
        <f>VLOOKUP(B79,Classification!A:D,2,0)</f>
        <v>A</v>
      </c>
      <c r="BA79" s="94" t="str">
        <f>VLOOKUP(B79,Classification!A:D,4,0)</f>
        <v>Acetylcholine(muscarinic)</v>
      </c>
      <c r="BB79" s="27" t="b">
        <f t="shared" ref="BB79" si="450">AND(E79&lt;G79,OR(G79&lt;I79,I79="-"),OR(I79&lt;K79,I79="-"),OR(K79&lt;M79,K79="-"),M79&lt;O79,OR(O79&lt;Q79,Q79="-"),OR(Q79&lt;S79,Q79="-"),OR(S79&lt;U79,S79="-"),U79&lt;W79,OR(W79&lt;Y79,Y79="-"),OR(Y79&lt;AA79,Y79="-"),OR(AA79&lt;AC79,AA79="-"),AC79&lt;AE79,OR(AE79&lt;AG79,AG79="-"),OR(AG79&lt;AI79,AG79="-"),OR(AI79&lt;AK79,AI79="-"),AK79&lt;AM79,AM79&lt;AO79,AO79&lt;AQ79,AQ79&lt;AS79,AS79&lt;AU79,OR(AU79&lt;AW79,AW79="-"),OR(AW79&lt;AY79,AW79="-"))</f>
        <v>1</v>
      </c>
      <c r="BC79" s="23">
        <f t="shared" ref="BC79" si="451">_xlfn.AGGREGATE(9,6,CH79:CS79)-_xlfn.AGGREGATE(9,6,BV79:CG79)+12</f>
        <v>256</v>
      </c>
      <c r="BD79" s="4" t="s">
        <v>23</v>
      </c>
      <c r="BE79" s="3" t="s">
        <v>1380</v>
      </c>
      <c r="BF79" s="119">
        <v>2.5</v>
      </c>
      <c r="BG79" s="49" t="s">
        <v>1</v>
      </c>
      <c r="BH79" s="49" t="s">
        <v>1</v>
      </c>
      <c r="BI79" s="1"/>
      <c r="BJ79" s="70" t="s">
        <v>1293</v>
      </c>
      <c r="BK79" s="57" t="s">
        <v>1293</v>
      </c>
      <c r="BL79" s="57" t="s">
        <v>1293</v>
      </c>
      <c r="BM79" s="57" t="s">
        <v>1293</v>
      </c>
      <c r="BN79" s="57" t="s">
        <v>1293</v>
      </c>
      <c r="BO79" s="57" t="s">
        <v>1293</v>
      </c>
      <c r="BP79" s="57" t="s">
        <v>1293</v>
      </c>
      <c r="BQ79" s="57" t="s">
        <v>1293</v>
      </c>
      <c r="BR79" s="57" t="s">
        <v>1293</v>
      </c>
      <c r="BS79" s="57" t="s">
        <v>1293</v>
      </c>
      <c r="BT79" s="57" t="s">
        <v>1293</v>
      </c>
      <c r="BU79" s="57" t="s">
        <v>1293</v>
      </c>
      <c r="BV79" s="70">
        <f t="shared" ref="BV79" si="452">E79</f>
        <v>18</v>
      </c>
      <c r="BW79" s="71">
        <f t="shared" ref="BW79" si="453">I79</f>
        <v>52</v>
      </c>
      <c r="BX79" s="72">
        <f t="shared" ref="BX79" si="454">M79</f>
        <v>56</v>
      </c>
      <c r="BY79" s="71">
        <f t="shared" ref="BY79" si="455">Q79</f>
        <v>88</v>
      </c>
      <c r="BZ79" s="72">
        <f t="shared" ref="BZ79" si="456">U79</f>
        <v>92</v>
      </c>
      <c r="CA79" s="71">
        <f t="shared" ref="CA79" si="457">Y79</f>
        <v>128</v>
      </c>
      <c r="CB79" s="72">
        <f t="shared" ref="CB79" si="458">AC79</f>
        <v>136</v>
      </c>
      <c r="CC79" s="71">
        <f t="shared" ref="CC79" si="459">AG79</f>
        <v>176</v>
      </c>
      <c r="CD79" s="72">
        <f t="shared" ref="CD79" si="460">AK79</f>
        <v>183</v>
      </c>
      <c r="CE79" s="71">
        <f t="shared" ref="CE79" si="461">AO79</f>
        <v>381</v>
      </c>
      <c r="CF79" s="72">
        <f t="shared" ref="CF79" si="462">AS79</f>
        <v>418</v>
      </c>
      <c r="CG79" s="71">
        <f t="shared" ref="CG79" si="463">AW79</f>
        <v>444</v>
      </c>
      <c r="CH79" s="70">
        <f t="shared" ref="CH79" si="464">G79</f>
        <v>51</v>
      </c>
      <c r="CI79" s="71">
        <f t="shared" ref="CI79" si="465">K79</f>
        <v>55</v>
      </c>
      <c r="CJ79" s="72">
        <f t="shared" ref="CJ79" si="466">O79</f>
        <v>87</v>
      </c>
      <c r="CK79" s="72">
        <f t="shared" ref="CK79" si="467">S79</f>
        <v>91</v>
      </c>
      <c r="CL79" s="72">
        <f t="shared" ref="CL79" si="468">W79</f>
        <v>127</v>
      </c>
      <c r="CM79" s="72">
        <f t="shared" ref="CM79" si="469">AA79</f>
        <v>135</v>
      </c>
      <c r="CN79" s="72">
        <f t="shared" ref="CN79" si="470">AE79</f>
        <v>166</v>
      </c>
      <c r="CO79" s="72">
        <f t="shared" ref="CO79" si="471">AI79</f>
        <v>178</v>
      </c>
      <c r="CP79" s="72">
        <f t="shared" ref="CP79" si="472">AM79</f>
        <v>214</v>
      </c>
      <c r="CQ79" s="72">
        <f t="shared" ref="CQ79" si="473">AQ79</f>
        <v>413</v>
      </c>
      <c r="CR79" s="72">
        <f t="shared" ref="CR79" si="474">AU79</f>
        <v>443</v>
      </c>
      <c r="CS79" s="72">
        <f t="shared" ref="CS79" si="475">AY79</f>
        <v>456</v>
      </c>
      <c r="CT79" s="23">
        <f t="shared" ref="CT79" si="476">M79-K79</f>
        <v>1</v>
      </c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</row>
    <row r="80" spans="1:1029" x14ac:dyDescent="0.2">
      <c r="A80" s="3" t="str">
        <f t="shared" si="335"/>
        <v>acm3_rat__wt</v>
      </c>
      <c r="B80" s="3" t="s">
        <v>910</v>
      </c>
      <c r="C80" s="3" t="s">
        <v>100</v>
      </c>
      <c r="D80" s="3" t="str">
        <f>IFERROR(MID(VLOOKUP($B80,Seqs!$A:$B,2,0),E80,1),"")</f>
        <v>I</v>
      </c>
      <c r="E80" s="3">
        <v>64</v>
      </c>
      <c r="F80" s="3" t="str">
        <f>IFERROR(MID(VLOOKUP($B80,Seqs!$A:$B,2,0),G80,1),"")</f>
        <v>N</v>
      </c>
      <c r="G80" s="3">
        <v>95</v>
      </c>
      <c r="H80" s="3" t="str">
        <f>IFERROR(MID(VLOOKUP($B80,Seqs!$A:$B,2,0),I80,1),"")</f>
        <v>K</v>
      </c>
      <c r="I80" s="23">
        <v>96</v>
      </c>
      <c r="J80" s="3" t="str">
        <f>IFERROR(MID(VLOOKUP($B80,Seqs!$A:$B,2,0),K80,1),"")</f>
        <v>K</v>
      </c>
      <c r="K80" s="23">
        <v>99</v>
      </c>
      <c r="L80" s="3" t="str">
        <f>IFERROR(MID(VLOOKUP($B80,Seqs!$A:$B,2,0),M80,1),"")</f>
        <v>T</v>
      </c>
      <c r="M80" s="3">
        <v>100</v>
      </c>
      <c r="N80" s="3" t="str">
        <f>IFERROR(MID(VLOOKUP($B80,Seqs!$A:$B,2,0),O80,1),"")</f>
        <v>M</v>
      </c>
      <c r="O80" s="3">
        <v>130</v>
      </c>
      <c r="P80" s="3" t="str">
        <f>IFERROR(MID(VLOOKUP($B80,Seqs!$A:$B,2,0),Q80,1),"")</f>
        <v>R</v>
      </c>
      <c r="Q80" s="3">
        <v>132</v>
      </c>
      <c r="R80" s="3" t="str">
        <f>IFERROR(MID(VLOOKUP($B80,Seqs!$A:$B,2,0),S80,1),"")</f>
        <v>L</v>
      </c>
      <c r="S80" s="3">
        <v>135</v>
      </c>
      <c r="T80" s="3" t="str">
        <f>IFERROR(MID(VLOOKUP($B80,Seqs!$A:$B,2,0),U80,1),"")</f>
        <v>G</v>
      </c>
      <c r="U80" s="3">
        <v>136</v>
      </c>
      <c r="V80" s="3" t="str">
        <f>IFERROR(MID(VLOOKUP($B80,Seqs!$A:$B,2,0),W80,1),"")</f>
        <v>R</v>
      </c>
      <c r="W80" s="3">
        <v>171</v>
      </c>
      <c r="X80" s="3" t="str">
        <f>IFERROR(MID(VLOOKUP($B80,Seqs!$A:$B,2,0),Y80,1),"")</f>
        <v>P</v>
      </c>
      <c r="Y80" s="3">
        <v>172</v>
      </c>
      <c r="Z80" s="3" t="str">
        <f>IFERROR(MID(VLOOKUP($B80,Seqs!$A:$B,2,0),AA80,1),"")</f>
        <v>R</v>
      </c>
      <c r="AA80" s="3">
        <v>179</v>
      </c>
      <c r="AB80" s="3" t="str">
        <f>IFERROR(MID(VLOOKUP($B80,Seqs!$A:$B,2,0),AC80,1),"")</f>
        <v>T</v>
      </c>
      <c r="AC80" s="3">
        <v>180</v>
      </c>
      <c r="AD80" s="3" t="str">
        <f>IFERROR(MID(VLOOKUP($B80,Seqs!$A:$B,2,0),AE80,1),"")</f>
        <v>G</v>
      </c>
      <c r="AE80" s="3">
        <v>211</v>
      </c>
      <c r="AF80" s="3" t="str">
        <f>IFERROR(MID(VLOOKUP($B80,Seqs!$A:$B,2,0),AG80,1),"")</f>
        <v>C</v>
      </c>
      <c r="AG80" s="3">
        <v>220</v>
      </c>
      <c r="AH80" s="3" t="str">
        <f>IFERROR(MID(VLOOKUP($B80,Seqs!$A:$B,2,0),AI80,1),"")</f>
        <v>I</v>
      </c>
      <c r="AI80" s="3">
        <v>222</v>
      </c>
      <c r="AJ80" s="3" t="str">
        <f>IFERROR(MID(VLOOKUP($B80,Seqs!$A:$B,2,0),AK80,1),"")</f>
        <v>E</v>
      </c>
      <c r="AK80" s="3">
        <v>227</v>
      </c>
      <c r="AL80" s="3" t="str">
        <f>IFERROR(MID(VLOOKUP($B80,Seqs!$A:$B,2,0),AM80,1),"")</f>
        <v>L</v>
      </c>
      <c r="AM80" s="3">
        <v>267</v>
      </c>
      <c r="AN80" s="3" t="str">
        <f>IFERROR(MID(VLOOKUP($B80,Seqs!$A:$B,2,0),AO80,1),"")</f>
        <v>R</v>
      </c>
      <c r="AO80" s="3">
        <v>479</v>
      </c>
      <c r="AP80" s="3" t="str">
        <f>IFERROR(MID(VLOOKUP($B80,Seqs!$A:$B,2,0),AQ80,1),"")</f>
        <v>C</v>
      </c>
      <c r="AQ80" s="3">
        <v>516</v>
      </c>
      <c r="AR80" s="3" t="str">
        <f>IFERROR(MID(VLOOKUP($B80,Seqs!$A:$B,2,0),AS80,1),"")</f>
        <v>P</v>
      </c>
      <c r="AS80" s="3">
        <v>521</v>
      </c>
      <c r="AT80" s="3" t="str">
        <f>IFERROR(MID(VLOOKUP($B80,Seqs!$A:$B,2,0),AU80,1),"")</f>
        <v>C</v>
      </c>
      <c r="AU80" s="3">
        <v>546</v>
      </c>
      <c r="AV80" s="3" t="str">
        <f>IFERROR(MID(VLOOKUP($B80,Seqs!$A:$B,2,0),AW80,1),"")</f>
        <v>N</v>
      </c>
      <c r="AW80" s="3">
        <v>547</v>
      </c>
      <c r="AX80" s="3" t="str">
        <f>IFERROR(MID(VLOOKUP($B80,Seqs!$A:$B,2,0),AY80,1),"")</f>
        <v>L</v>
      </c>
      <c r="AY80" s="3">
        <v>558</v>
      </c>
      <c r="AZ80" s="77" t="str">
        <f>VLOOKUP(B80,Classification!A:D,2,0)</f>
        <v>A</v>
      </c>
      <c r="BA80" s="94" t="str">
        <f>VLOOKUP(B80,Classification!A:D,4,0)</f>
        <v>Acetylcholine(muscarinic)</v>
      </c>
      <c r="BB80" s="27" t="b">
        <f t="shared" si="336"/>
        <v>1</v>
      </c>
      <c r="BC80" s="23">
        <f t="shared" si="225"/>
        <v>267</v>
      </c>
      <c r="BD80" s="56" t="s">
        <v>23</v>
      </c>
      <c r="BE80" s="3" t="s">
        <v>23</v>
      </c>
      <c r="BF80" s="119" t="s">
        <v>23</v>
      </c>
      <c r="BG80" s="49" t="s">
        <v>1378</v>
      </c>
      <c r="BH80" s="49" t="s">
        <v>1383</v>
      </c>
      <c r="BI80" s="1"/>
      <c r="BJ80" s="70" t="s">
        <v>1293</v>
      </c>
      <c r="BK80" s="57" t="s">
        <v>1293</v>
      </c>
      <c r="BL80" s="57" t="s">
        <v>1293</v>
      </c>
      <c r="BM80" s="57" t="s">
        <v>1293</v>
      </c>
      <c r="BN80" s="57" t="s">
        <v>1293</v>
      </c>
      <c r="BO80" s="57" t="s">
        <v>1293</v>
      </c>
      <c r="BP80" s="57" t="s">
        <v>1293</v>
      </c>
      <c r="BQ80" s="57" t="s">
        <v>1293</v>
      </c>
      <c r="BR80" s="57" t="s">
        <v>1293</v>
      </c>
      <c r="BS80" s="57" t="s">
        <v>1293</v>
      </c>
      <c r="BT80" s="57" t="s">
        <v>1293</v>
      </c>
      <c r="BU80" s="57" t="s">
        <v>1293</v>
      </c>
      <c r="BV80" s="70">
        <f t="shared" si="226"/>
        <v>64</v>
      </c>
      <c r="BW80" s="71">
        <f t="shared" si="227"/>
        <v>96</v>
      </c>
      <c r="BX80" s="72">
        <f t="shared" si="228"/>
        <v>100</v>
      </c>
      <c r="BY80" s="71">
        <f t="shared" si="229"/>
        <v>132</v>
      </c>
      <c r="BZ80" s="72">
        <f t="shared" si="230"/>
        <v>136</v>
      </c>
      <c r="CA80" s="71">
        <f t="shared" si="231"/>
        <v>172</v>
      </c>
      <c r="CB80" s="72">
        <f t="shared" si="232"/>
        <v>180</v>
      </c>
      <c r="CC80" s="71">
        <f t="shared" si="233"/>
        <v>220</v>
      </c>
      <c r="CD80" s="72">
        <f t="shared" si="234"/>
        <v>227</v>
      </c>
      <c r="CE80" s="71">
        <f t="shared" si="235"/>
        <v>479</v>
      </c>
      <c r="CF80" s="72">
        <f t="shared" si="236"/>
        <v>521</v>
      </c>
      <c r="CG80" s="71">
        <f t="shared" si="237"/>
        <v>547</v>
      </c>
      <c r="CH80" s="70">
        <f t="shared" si="238"/>
        <v>95</v>
      </c>
      <c r="CI80" s="71">
        <f t="shared" si="239"/>
        <v>99</v>
      </c>
      <c r="CJ80" s="72">
        <f t="shared" si="240"/>
        <v>130</v>
      </c>
      <c r="CK80" s="72">
        <f t="shared" si="241"/>
        <v>135</v>
      </c>
      <c r="CL80" s="72">
        <f t="shared" si="242"/>
        <v>171</v>
      </c>
      <c r="CM80" s="72">
        <f t="shared" si="243"/>
        <v>179</v>
      </c>
      <c r="CN80" s="72">
        <f t="shared" si="244"/>
        <v>211</v>
      </c>
      <c r="CO80" s="72">
        <f t="shared" si="245"/>
        <v>222</v>
      </c>
      <c r="CP80" s="72">
        <f t="shared" si="246"/>
        <v>267</v>
      </c>
      <c r="CQ80" s="72">
        <f t="shared" si="247"/>
        <v>516</v>
      </c>
      <c r="CR80" s="72">
        <f t="shared" si="248"/>
        <v>546</v>
      </c>
      <c r="CS80" s="72">
        <f t="shared" si="249"/>
        <v>558</v>
      </c>
      <c r="CT80" s="23">
        <f t="shared" si="250"/>
        <v>1</v>
      </c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</row>
    <row r="81" spans="1:1029" x14ac:dyDescent="0.2">
      <c r="A81" s="3" t="str">
        <f t="shared" si="335"/>
        <v>acm3_rat_4U15</v>
      </c>
      <c r="B81" s="3" t="s">
        <v>910</v>
      </c>
      <c r="C81" s="3" t="s">
        <v>71</v>
      </c>
      <c r="D81" s="3" t="str">
        <f>IFERROR(MID(VLOOKUP($B81,Seqs!$A:$B,2,0),E81,1),"")</f>
        <v>I</v>
      </c>
      <c r="E81" s="3">
        <v>64</v>
      </c>
      <c r="F81" s="3" t="str">
        <f>IFERROR(MID(VLOOKUP($B81,Seqs!$A:$B,2,0),G81,1),"")</f>
        <v>N</v>
      </c>
      <c r="G81" s="3">
        <v>95</v>
      </c>
      <c r="H81" s="3" t="str">
        <f>IFERROR(MID(VLOOKUP($B81,Seqs!$A:$B,2,0),I81,1),"")</f>
        <v>K</v>
      </c>
      <c r="I81" s="23">
        <v>96</v>
      </c>
      <c r="J81" s="3" t="str">
        <f>IFERROR(MID(VLOOKUP($B81,Seqs!$A:$B,2,0),K81,1),"")</f>
        <v>K</v>
      </c>
      <c r="K81" s="23">
        <v>99</v>
      </c>
      <c r="L81" s="3" t="str">
        <f>IFERROR(MID(VLOOKUP($B81,Seqs!$A:$B,2,0),M81,1),"")</f>
        <v>T</v>
      </c>
      <c r="M81" s="3">
        <v>100</v>
      </c>
      <c r="N81" s="3" t="str">
        <f>IFERROR(MID(VLOOKUP($B81,Seqs!$A:$B,2,0),O81,1),"")</f>
        <v>M</v>
      </c>
      <c r="O81" s="3">
        <v>130</v>
      </c>
      <c r="P81" s="3" t="str">
        <f>IFERROR(MID(VLOOKUP($B81,Seqs!$A:$B,2,0),Q81,1),"")</f>
        <v>R</v>
      </c>
      <c r="Q81" s="3">
        <v>132</v>
      </c>
      <c r="R81" s="3" t="str">
        <f>IFERROR(MID(VLOOKUP($B81,Seqs!$A:$B,2,0),S81,1),"")</f>
        <v>L</v>
      </c>
      <c r="S81" s="3">
        <v>135</v>
      </c>
      <c r="T81" s="3" t="str">
        <f>IFERROR(MID(VLOOKUP($B81,Seqs!$A:$B,2,0),U81,1),"")</f>
        <v>G</v>
      </c>
      <c r="U81" s="3">
        <v>136</v>
      </c>
      <c r="V81" s="3" t="str">
        <f>IFERROR(MID(VLOOKUP($B81,Seqs!$A:$B,2,0),W81,1),"")</f>
        <v>R</v>
      </c>
      <c r="W81" s="3">
        <v>171</v>
      </c>
      <c r="X81" s="3" t="str">
        <f>IFERROR(MID(VLOOKUP($B81,Seqs!$A:$B,2,0),Y81,1),"")</f>
        <v>P</v>
      </c>
      <c r="Y81" s="3">
        <v>172</v>
      </c>
      <c r="Z81" s="3" t="str">
        <f>IFERROR(MID(VLOOKUP($B81,Seqs!$A:$B,2,0),AA81,1),"")</f>
        <v>R</v>
      </c>
      <c r="AA81" s="3">
        <v>179</v>
      </c>
      <c r="AB81" s="3" t="str">
        <f>IFERROR(MID(VLOOKUP($B81,Seqs!$A:$B,2,0),AC81,1),"")</f>
        <v>T</v>
      </c>
      <c r="AC81" s="9">
        <v>180</v>
      </c>
      <c r="AD81" s="3" t="str">
        <f>IFERROR(MID(VLOOKUP($B81,Seqs!$A:$B,2,0),AE81,1),"")</f>
        <v>G</v>
      </c>
      <c r="AE81" s="3">
        <v>211</v>
      </c>
      <c r="AF81" s="3" t="str">
        <f>IFERROR(MID(VLOOKUP($B81,Seqs!$A:$B,2,0),AG81,1),"")</f>
        <v>C</v>
      </c>
      <c r="AG81" s="3">
        <v>220</v>
      </c>
      <c r="AH81" s="3" t="str">
        <f>IFERROR(MID(VLOOKUP($B81,Seqs!$A:$B,2,0),AI81,1),"")</f>
        <v>I</v>
      </c>
      <c r="AI81" s="3">
        <v>222</v>
      </c>
      <c r="AJ81" s="3" t="str">
        <f>IFERROR(MID(VLOOKUP($B81,Seqs!$A:$B,2,0),AK81,1),"")</f>
        <v>E</v>
      </c>
      <c r="AK81" s="3">
        <v>227</v>
      </c>
      <c r="AL81" s="3" t="str">
        <f>IFERROR(MID(VLOOKUP($B81,Seqs!$A:$B,2,0),AM81,1),"")</f>
        <v>K</v>
      </c>
      <c r="AM81" s="3">
        <v>259</v>
      </c>
      <c r="AN81" s="3" t="str">
        <f>IFERROR(MID(VLOOKUP($B81,Seqs!$A:$B,2,0),AO81,1),"")</f>
        <v>I</v>
      </c>
      <c r="AO81" s="3">
        <v>483</v>
      </c>
      <c r="AP81" s="3" t="str">
        <f>IFERROR(MID(VLOOKUP($B81,Seqs!$A:$B,2,0),AQ81,1),"")</f>
        <v>C</v>
      </c>
      <c r="AQ81" s="3">
        <v>516</v>
      </c>
      <c r="AR81" s="3" t="str">
        <f>IFERROR(MID(VLOOKUP($B81,Seqs!$A:$B,2,0),AS81,1),"")</f>
        <v>P</v>
      </c>
      <c r="AS81" s="3">
        <v>521</v>
      </c>
      <c r="AT81" s="3" t="str">
        <f>IFERROR(MID(VLOOKUP($B81,Seqs!$A:$B,2,0),AU81,1),"")</f>
        <v>C</v>
      </c>
      <c r="AU81" s="3">
        <v>546</v>
      </c>
      <c r="AV81" s="3" t="str">
        <f>IFERROR(MID(VLOOKUP($B81,Seqs!$A:$B,2,0),AW81,1),"")</f>
        <v>N</v>
      </c>
      <c r="AW81" s="3">
        <v>547</v>
      </c>
      <c r="AX81" s="3" t="str">
        <f>IFERROR(MID(VLOOKUP($B81,Seqs!$A:$B,2,0),AY81,1),"")</f>
        <v>L</v>
      </c>
      <c r="AY81" s="3">
        <v>558</v>
      </c>
      <c r="AZ81" s="77" t="str">
        <f>VLOOKUP(B81,Classification!A:D,2,0)</f>
        <v>A</v>
      </c>
      <c r="BA81" s="94" t="str">
        <f>VLOOKUP(B81,Classification!A:D,4,0)</f>
        <v>Acetylcholine(muscarinic)</v>
      </c>
      <c r="BB81" s="27" t="b">
        <f t="shared" si="336"/>
        <v>1</v>
      </c>
      <c r="BC81" s="23">
        <f t="shared" si="225"/>
        <v>255</v>
      </c>
      <c r="BD81" s="16" t="s">
        <v>1382</v>
      </c>
      <c r="BE81" s="3" t="s">
        <v>1380</v>
      </c>
      <c r="BF81" s="119">
        <v>2.8</v>
      </c>
      <c r="BG81" s="49" t="s">
        <v>1383</v>
      </c>
      <c r="BH81" s="49" t="s">
        <v>1383</v>
      </c>
      <c r="BI81" s="1"/>
      <c r="BJ81" s="70" t="s">
        <v>1293</v>
      </c>
      <c r="BK81" s="57" t="s">
        <v>1293</v>
      </c>
      <c r="BL81" s="57" t="s">
        <v>1293</v>
      </c>
      <c r="BM81" s="57" t="s">
        <v>1293</v>
      </c>
      <c r="BN81" s="57" t="s">
        <v>1293</v>
      </c>
      <c r="BO81" s="57" t="s">
        <v>1293</v>
      </c>
      <c r="BP81" s="57" t="s">
        <v>1293</v>
      </c>
      <c r="BQ81" s="57" t="s">
        <v>1293</v>
      </c>
      <c r="BR81" s="57" t="s">
        <v>1293</v>
      </c>
      <c r="BS81" s="57" t="s">
        <v>1293</v>
      </c>
      <c r="BT81" s="57" t="s">
        <v>1293</v>
      </c>
      <c r="BU81" s="57" t="s">
        <v>1293</v>
      </c>
      <c r="BV81" s="70">
        <f t="shared" si="226"/>
        <v>64</v>
      </c>
      <c r="BW81" s="71">
        <f t="shared" si="227"/>
        <v>96</v>
      </c>
      <c r="BX81" s="72">
        <f t="shared" si="228"/>
        <v>100</v>
      </c>
      <c r="BY81" s="71">
        <f t="shared" si="229"/>
        <v>132</v>
      </c>
      <c r="BZ81" s="72">
        <f t="shared" si="230"/>
        <v>136</v>
      </c>
      <c r="CA81" s="71">
        <f t="shared" si="231"/>
        <v>172</v>
      </c>
      <c r="CB81" s="72">
        <f t="shared" si="232"/>
        <v>180</v>
      </c>
      <c r="CC81" s="71">
        <f t="shared" si="233"/>
        <v>220</v>
      </c>
      <c r="CD81" s="72">
        <f t="shared" si="234"/>
        <v>227</v>
      </c>
      <c r="CE81" s="71">
        <f t="shared" si="235"/>
        <v>483</v>
      </c>
      <c r="CF81" s="72">
        <f t="shared" si="236"/>
        <v>521</v>
      </c>
      <c r="CG81" s="71">
        <f t="shared" si="237"/>
        <v>547</v>
      </c>
      <c r="CH81" s="70">
        <f t="shared" si="238"/>
        <v>95</v>
      </c>
      <c r="CI81" s="71">
        <f t="shared" si="239"/>
        <v>99</v>
      </c>
      <c r="CJ81" s="72">
        <f t="shared" si="240"/>
        <v>130</v>
      </c>
      <c r="CK81" s="72">
        <f t="shared" si="241"/>
        <v>135</v>
      </c>
      <c r="CL81" s="72">
        <f t="shared" si="242"/>
        <v>171</v>
      </c>
      <c r="CM81" s="72">
        <f t="shared" si="243"/>
        <v>179</v>
      </c>
      <c r="CN81" s="72">
        <f t="shared" si="244"/>
        <v>211</v>
      </c>
      <c r="CO81" s="72">
        <f t="shared" si="245"/>
        <v>222</v>
      </c>
      <c r="CP81" s="72">
        <f t="shared" si="246"/>
        <v>259</v>
      </c>
      <c r="CQ81" s="72">
        <f t="shared" si="247"/>
        <v>516</v>
      </c>
      <c r="CR81" s="72">
        <f t="shared" si="248"/>
        <v>546</v>
      </c>
      <c r="CS81" s="72">
        <f t="shared" si="249"/>
        <v>558</v>
      </c>
      <c r="CT81" s="23">
        <f t="shared" si="250"/>
        <v>1</v>
      </c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</row>
    <row r="82" spans="1:1029" x14ac:dyDescent="0.2">
      <c r="A82" s="3" t="str">
        <f t="shared" si="335"/>
        <v>acm3_rat_4U16</v>
      </c>
      <c r="B82" s="3" t="s">
        <v>910</v>
      </c>
      <c r="C82" s="3" t="s">
        <v>1054</v>
      </c>
      <c r="D82" s="3" t="str">
        <f>IFERROR(MID(VLOOKUP($B82,Seqs!$A:$B,2,0),E82,1),"")</f>
        <v>I</v>
      </c>
      <c r="E82" s="3">
        <v>64</v>
      </c>
      <c r="F82" s="3" t="str">
        <f>IFERROR(MID(VLOOKUP($B82,Seqs!$A:$B,2,0),G82,1),"")</f>
        <v>N</v>
      </c>
      <c r="G82" s="3">
        <v>95</v>
      </c>
      <c r="H82" s="3" t="str">
        <f>IFERROR(MID(VLOOKUP($B82,Seqs!$A:$B,2,0),I82,1),"")</f>
        <v>K</v>
      </c>
      <c r="I82" s="23">
        <v>96</v>
      </c>
      <c r="J82" s="3" t="str">
        <f>IFERROR(MID(VLOOKUP($B82,Seqs!$A:$B,2,0),K82,1),"")</f>
        <v>K</v>
      </c>
      <c r="K82" s="23">
        <v>99</v>
      </c>
      <c r="L82" s="3" t="str">
        <f>IFERROR(MID(VLOOKUP($B82,Seqs!$A:$B,2,0),M82,1),"")</f>
        <v>T</v>
      </c>
      <c r="M82" s="3">
        <v>100</v>
      </c>
      <c r="N82" s="3" t="str">
        <f>IFERROR(MID(VLOOKUP($B82,Seqs!$A:$B,2,0),O82,1),"")</f>
        <v>M</v>
      </c>
      <c r="O82" s="3">
        <v>130</v>
      </c>
      <c r="P82" s="3" t="str">
        <f>IFERROR(MID(VLOOKUP($B82,Seqs!$A:$B,2,0),Q82,1),"")</f>
        <v>R</v>
      </c>
      <c r="Q82" s="3">
        <v>132</v>
      </c>
      <c r="R82" s="3" t="str">
        <f>IFERROR(MID(VLOOKUP($B82,Seqs!$A:$B,2,0),S82,1),"")</f>
        <v>L</v>
      </c>
      <c r="S82" s="3">
        <v>135</v>
      </c>
      <c r="T82" s="3" t="str">
        <f>IFERROR(MID(VLOOKUP($B82,Seqs!$A:$B,2,0),U82,1),"")</f>
        <v>G</v>
      </c>
      <c r="U82" s="3">
        <v>136</v>
      </c>
      <c r="V82" s="3" t="str">
        <f>IFERROR(MID(VLOOKUP($B82,Seqs!$A:$B,2,0),W82,1),"")</f>
        <v>R</v>
      </c>
      <c r="W82" s="3">
        <v>171</v>
      </c>
      <c r="X82" s="3" t="str">
        <f>IFERROR(MID(VLOOKUP($B82,Seqs!$A:$B,2,0),Y82,1),"")</f>
        <v>P</v>
      </c>
      <c r="Y82" s="3">
        <v>172</v>
      </c>
      <c r="Z82" s="3" t="str">
        <f>IFERROR(MID(VLOOKUP($B82,Seqs!$A:$B,2,0),AA82,1),"")</f>
        <v>R</v>
      </c>
      <c r="AA82" s="3">
        <v>179</v>
      </c>
      <c r="AB82" s="3" t="str">
        <f>IFERROR(MID(VLOOKUP($B82,Seqs!$A:$B,2,0),AC82,1),"")</f>
        <v>T</v>
      </c>
      <c r="AC82" s="9">
        <v>180</v>
      </c>
      <c r="AD82" s="3" t="str">
        <f>IFERROR(MID(VLOOKUP($B82,Seqs!$A:$B,2,0),AE82,1),"")</f>
        <v>G</v>
      </c>
      <c r="AE82" s="3">
        <v>211</v>
      </c>
      <c r="AF82" s="3" t="str">
        <f>IFERROR(MID(VLOOKUP($B82,Seqs!$A:$B,2,0),AG82,1),"")</f>
        <v>C</v>
      </c>
      <c r="AG82" s="3">
        <v>220</v>
      </c>
      <c r="AH82" s="3" t="str">
        <f>IFERROR(MID(VLOOKUP($B82,Seqs!$A:$B,2,0),AI82,1),"")</f>
        <v>I</v>
      </c>
      <c r="AI82" s="3">
        <v>222</v>
      </c>
      <c r="AJ82" s="3" t="str">
        <f>IFERROR(MID(VLOOKUP($B82,Seqs!$A:$B,2,0),AK82,1),"")</f>
        <v>E</v>
      </c>
      <c r="AK82" s="3">
        <v>227</v>
      </c>
      <c r="AL82" s="3" t="str">
        <f>IFERROR(MID(VLOOKUP($B82,Seqs!$A:$B,2,0),AM82,1),"")</f>
        <v>K</v>
      </c>
      <c r="AM82" s="3">
        <v>259</v>
      </c>
      <c r="AN82" s="3" t="str">
        <f>IFERROR(MID(VLOOKUP($B82,Seqs!$A:$B,2,0),AO82,1),"")</f>
        <v>I</v>
      </c>
      <c r="AO82" s="3">
        <v>483</v>
      </c>
      <c r="AP82" s="3" t="str">
        <f>IFERROR(MID(VLOOKUP($B82,Seqs!$A:$B,2,0),AQ82,1),"")</f>
        <v>C</v>
      </c>
      <c r="AQ82" s="3">
        <v>516</v>
      </c>
      <c r="AR82" s="3" t="str">
        <f>IFERROR(MID(VLOOKUP($B82,Seqs!$A:$B,2,0),AS82,1),"")</f>
        <v>P</v>
      </c>
      <c r="AS82" s="3">
        <v>521</v>
      </c>
      <c r="AT82" s="3" t="str">
        <f>IFERROR(MID(VLOOKUP($B82,Seqs!$A:$B,2,0),AU82,1),"")</f>
        <v>C</v>
      </c>
      <c r="AU82" s="3">
        <v>546</v>
      </c>
      <c r="AV82" s="3" t="str">
        <f>IFERROR(MID(VLOOKUP($B82,Seqs!$A:$B,2,0),AW82,1),"")</f>
        <v/>
      </c>
      <c r="AW82" s="3" t="s">
        <v>23</v>
      </c>
      <c r="AX82" s="3" t="str">
        <f>IFERROR(MID(VLOOKUP($B82,Seqs!$A:$B,2,0),AY82,1),"")</f>
        <v/>
      </c>
      <c r="AY82" s="3" t="s">
        <v>23</v>
      </c>
      <c r="AZ82" s="77" t="str">
        <f>VLOOKUP(B82,Classification!A:D,2,0)</f>
        <v>A</v>
      </c>
      <c r="BA82" s="94" t="str">
        <f>VLOOKUP(B82,Classification!A:D,4,0)</f>
        <v>Acetylcholine(muscarinic)</v>
      </c>
      <c r="BB82" s="27" t="b">
        <f t="shared" si="336"/>
        <v>1</v>
      </c>
      <c r="BC82" s="23">
        <f t="shared" si="225"/>
        <v>244</v>
      </c>
      <c r="BD82" s="4" t="s">
        <v>23</v>
      </c>
      <c r="BE82" s="3" t="s">
        <v>1380</v>
      </c>
      <c r="BF82" s="119">
        <v>3.7</v>
      </c>
      <c r="BG82" s="49" t="s">
        <v>1383</v>
      </c>
      <c r="BH82" s="49" t="s">
        <v>1383</v>
      </c>
      <c r="BI82" s="1"/>
      <c r="BJ82" s="70" t="s">
        <v>1293</v>
      </c>
      <c r="BK82" s="57" t="s">
        <v>1293</v>
      </c>
      <c r="BL82" s="57" t="s">
        <v>1293</v>
      </c>
      <c r="BM82" s="57" t="s">
        <v>1293</v>
      </c>
      <c r="BN82" s="57" t="s">
        <v>1293</v>
      </c>
      <c r="BO82" s="57" t="s">
        <v>1293</v>
      </c>
      <c r="BP82" s="57" t="s">
        <v>1293</v>
      </c>
      <c r="BQ82" s="57" t="s">
        <v>1293</v>
      </c>
      <c r="BR82" s="57" t="s">
        <v>1293</v>
      </c>
      <c r="BS82" s="57" t="s">
        <v>1293</v>
      </c>
      <c r="BT82" s="57" t="s">
        <v>1293</v>
      </c>
      <c r="BU82" s="57" t="s">
        <v>1293</v>
      </c>
      <c r="BV82" s="70">
        <f t="shared" si="226"/>
        <v>64</v>
      </c>
      <c r="BW82" s="71">
        <f t="shared" si="227"/>
        <v>96</v>
      </c>
      <c r="BX82" s="72">
        <f t="shared" si="228"/>
        <v>100</v>
      </c>
      <c r="BY82" s="71">
        <f t="shared" si="229"/>
        <v>132</v>
      </c>
      <c r="BZ82" s="72">
        <f t="shared" si="230"/>
        <v>136</v>
      </c>
      <c r="CA82" s="71">
        <f t="shared" si="231"/>
        <v>172</v>
      </c>
      <c r="CB82" s="72">
        <f t="shared" si="232"/>
        <v>180</v>
      </c>
      <c r="CC82" s="71">
        <f t="shared" si="233"/>
        <v>220</v>
      </c>
      <c r="CD82" s="72">
        <f t="shared" si="234"/>
        <v>227</v>
      </c>
      <c r="CE82" s="71">
        <f t="shared" si="235"/>
        <v>483</v>
      </c>
      <c r="CF82" s="72">
        <f t="shared" si="236"/>
        <v>521</v>
      </c>
      <c r="CG82" s="71" t="str">
        <f t="shared" si="237"/>
        <v>-</v>
      </c>
      <c r="CH82" s="70">
        <f t="shared" si="238"/>
        <v>95</v>
      </c>
      <c r="CI82" s="71">
        <f t="shared" si="239"/>
        <v>99</v>
      </c>
      <c r="CJ82" s="72">
        <f t="shared" si="240"/>
        <v>130</v>
      </c>
      <c r="CK82" s="72">
        <f t="shared" si="241"/>
        <v>135</v>
      </c>
      <c r="CL82" s="72">
        <f t="shared" si="242"/>
        <v>171</v>
      </c>
      <c r="CM82" s="72">
        <f t="shared" si="243"/>
        <v>179</v>
      </c>
      <c r="CN82" s="72">
        <f t="shared" si="244"/>
        <v>211</v>
      </c>
      <c r="CO82" s="72">
        <f t="shared" si="245"/>
        <v>222</v>
      </c>
      <c r="CP82" s="72">
        <f t="shared" si="246"/>
        <v>259</v>
      </c>
      <c r="CQ82" s="72">
        <f t="shared" si="247"/>
        <v>516</v>
      </c>
      <c r="CR82" s="72">
        <f t="shared" si="248"/>
        <v>546</v>
      </c>
      <c r="CS82" s="72" t="str">
        <f t="shared" si="249"/>
        <v>-</v>
      </c>
      <c r="CT82" s="23">
        <f t="shared" si="250"/>
        <v>1</v>
      </c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</row>
    <row r="83" spans="1:1029" x14ac:dyDescent="0.2">
      <c r="A83" s="3" t="str">
        <f t="shared" si="335"/>
        <v>acm4_human__wt</v>
      </c>
      <c r="B83" s="3" t="s">
        <v>149</v>
      </c>
      <c r="C83" s="3" t="s">
        <v>100</v>
      </c>
      <c r="D83" s="3" t="str">
        <f>IFERROR(MID(VLOOKUP($B83,Seqs!$A:$B,2,0),E83,1),"")</f>
        <v>R</v>
      </c>
      <c r="E83" s="3">
        <v>26</v>
      </c>
      <c r="F83" s="3" t="str">
        <f>IFERROR(MID(VLOOKUP($B83,Seqs!$A:$B,2,0),G83,1),"")</f>
        <v>N</v>
      </c>
      <c r="G83" s="3">
        <v>60</v>
      </c>
      <c r="H83" s="3" t="str">
        <f>IFERROR(MID(VLOOKUP($B83,Seqs!$A:$B,2,0),I83,1),"")</f>
        <v>R</v>
      </c>
      <c r="I83" s="23">
        <v>61</v>
      </c>
      <c r="J83" s="3" t="str">
        <f>IFERROR(MID(VLOOKUP($B83,Seqs!$A:$B,2,0),K83,1),"")</f>
        <v>Q</v>
      </c>
      <c r="K83" s="23">
        <v>64</v>
      </c>
      <c r="L83" s="3" t="str">
        <f>IFERROR(MID(VLOOKUP($B83,Seqs!$A:$B,2,0),M83,1),"")</f>
        <v>T</v>
      </c>
      <c r="M83" s="3">
        <v>65</v>
      </c>
      <c r="N83" s="3" t="str">
        <f>IFERROR(MID(VLOOKUP($B83,Seqs!$A:$B,2,0),O83,1),"")</f>
        <v>K</v>
      </c>
      <c r="O83" s="3">
        <v>95</v>
      </c>
      <c r="P83" s="3" t="str">
        <f>IFERROR(MID(VLOOKUP($B83,Seqs!$A:$B,2,0),Q83,1),"")</f>
        <v>Y</v>
      </c>
      <c r="Q83" s="3">
        <v>97</v>
      </c>
      <c r="R83" s="3" t="str">
        <f>IFERROR(MID(VLOOKUP($B83,Seqs!$A:$B,2,0),S83,1),"")</f>
        <v>L</v>
      </c>
      <c r="S83" s="3">
        <v>100</v>
      </c>
      <c r="T83" s="3" t="str">
        <f>IFERROR(MID(VLOOKUP($B83,Seqs!$A:$B,2,0),U83,1),"")</f>
        <v>G</v>
      </c>
      <c r="U83" s="3">
        <v>101</v>
      </c>
      <c r="V83" s="3" t="str">
        <f>IFERROR(MID(VLOOKUP($B83,Seqs!$A:$B,2,0),W83,1),"")</f>
        <v>K</v>
      </c>
      <c r="W83" s="3">
        <v>136</v>
      </c>
      <c r="X83" s="3" t="str">
        <f>IFERROR(MID(VLOOKUP($B83,Seqs!$A:$B,2,0),Y83,1),"")</f>
        <v>P</v>
      </c>
      <c r="Y83" s="3">
        <v>137</v>
      </c>
      <c r="Z83" s="3" t="str">
        <f>IFERROR(MID(VLOOKUP($B83,Seqs!$A:$B,2,0),AA83,1),"")</f>
        <v>R</v>
      </c>
      <c r="AA83" s="3">
        <v>144</v>
      </c>
      <c r="AB83" s="3" t="str">
        <f>IFERROR(MID(VLOOKUP($B83,Seqs!$A:$B,2,0),AC83,1),"")</f>
        <v>T</v>
      </c>
      <c r="AC83" s="9">
        <v>145</v>
      </c>
      <c r="AD83" s="3" t="str">
        <f>IFERROR(MID(VLOOKUP($B83,Seqs!$A:$B,2,0),AE83,1),"")</f>
        <v>G</v>
      </c>
      <c r="AE83" s="3">
        <v>176</v>
      </c>
      <c r="AF83" s="3" t="str">
        <f>IFERROR(MID(VLOOKUP($B83,Seqs!$A:$B,2,0),AG83,1),"")</f>
        <v>C</v>
      </c>
      <c r="AG83" s="3">
        <v>185</v>
      </c>
      <c r="AH83" s="3" t="str">
        <f>IFERROR(MID(VLOOKUP($B83,Seqs!$A:$B,2,0),AI83,1),"")</f>
        <v>I</v>
      </c>
      <c r="AI83" s="3">
        <v>187</v>
      </c>
      <c r="AJ83" s="3" t="str">
        <f>IFERROR(MID(VLOOKUP($B83,Seqs!$A:$B,2,0),AK83,1),"")</f>
        <v>N</v>
      </c>
      <c r="AK83" s="3">
        <v>192</v>
      </c>
      <c r="AL83" s="3" t="str">
        <f>IFERROR(MID(VLOOKUP($B83,Seqs!$A:$B,2,0),AM83,1),"")</f>
        <v>E</v>
      </c>
      <c r="AM83" s="3">
        <v>232</v>
      </c>
      <c r="AN83" s="3" t="str">
        <f>IFERROR(MID(VLOOKUP($B83,Seqs!$A:$B,2,0),AO83,1),"")</f>
        <v>R</v>
      </c>
      <c r="AO83" s="3">
        <v>389</v>
      </c>
      <c r="AP83" s="3" t="str">
        <f>IFERROR(MID(VLOOKUP($B83,Seqs!$A:$B,2,0),AQ83,1),"")</f>
        <v>C</v>
      </c>
      <c r="AQ83" s="3">
        <v>426</v>
      </c>
      <c r="AR83" s="3" t="str">
        <f>IFERROR(MID(VLOOKUP($B83,Seqs!$A:$B,2,0),AS83,1),"")</f>
        <v>P</v>
      </c>
      <c r="AS83" s="3">
        <v>431</v>
      </c>
      <c r="AT83" s="3" t="str">
        <f>IFERROR(MID(VLOOKUP($B83,Seqs!$A:$B,2,0),AU83,1),"")</f>
        <v>C</v>
      </c>
      <c r="AU83" s="3">
        <v>456</v>
      </c>
      <c r="AV83" s="3" t="str">
        <f>IFERROR(MID(VLOOKUP($B83,Seqs!$A:$B,2,0),AW83,1),"")</f>
        <v>N</v>
      </c>
      <c r="AW83" s="3">
        <v>457</v>
      </c>
      <c r="AX83" s="3" t="str">
        <f>IFERROR(MID(VLOOKUP($B83,Seqs!$A:$B,2,0),AY83,1),"")</f>
        <v>L</v>
      </c>
      <c r="AY83" s="3">
        <v>469</v>
      </c>
      <c r="AZ83" s="77" t="str">
        <f>VLOOKUP(B83,Classification!A:D,2,0)</f>
        <v>A</v>
      </c>
      <c r="BA83" s="94" t="str">
        <f>VLOOKUP(B83,Classification!A:D,4,0)</f>
        <v>Acetylcholine(muscarinic)</v>
      </c>
      <c r="BB83" s="27" t="b">
        <f t="shared" si="336"/>
        <v>1</v>
      </c>
      <c r="BC83" s="23">
        <f t="shared" si="225"/>
        <v>271</v>
      </c>
      <c r="BD83" s="34" t="s">
        <v>23</v>
      </c>
      <c r="BE83" s="3" t="s">
        <v>23</v>
      </c>
      <c r="BF83" s="119" t="s">
        <v>23</v>
      </c>
      <c r="BG83" s="49" t="s">
        <v>1378</v>
      </c>
      <c r="BH83" s="49" t="s">
        <v>1383</v>
      </c>
      <c r="BI83" s="1"/>
      <c r="BJ83" s="70" t="s">
        <v>1293</v>
      </c>
      <c r="BK83" s="57" t="s">
        <v>1293</v>
      </c>
      <c r="BL83" s="57" t="s">
        <v>1293</v>
      </c>
      <c r="BM83" s="57" t="s">
        <v>1293</v>
      </c>
      <c r="BN83" s="57" t="s">
        <v>1293</v>
      </c>
      <c r="BO83" s="57" t="s">
        <v>1293</v>
      </c>
      <c r="BP83" s="57" t="s">
        <v>1293</v>
      </c>
      <c r="BQ83" s="57" t="s">
        <v>1293</v>
      </c>
      <c r="BR83" s="57" t="s">
        <v>1293</v>
      </c>
      <c r="BS83" s="57" t="s">
        <v>1293</v>
      </c>
      <c r="BT83" s="57" t="s">
        <v>1293</v>
      </c>
      <c r="BU83" s="57" t="s">
        <v>1293</v>
      </c>
      <c r="BV83" s="70">
        <f t="shared" si="226"/>
        <v>26</v>
      </c>
      <c r="BW83" s="71">
        <f t="shared" si="227"/>
        <v>61</v>
      </c>
      <c r="BX83" s="72">
        <f t="shared" si="228"/>
        <v>65</v>
      </c>
      <c r="BY83" s="71">
        <f t="shared" si="229"/>
        <v>97</v>
      </c>
      <c r="BZ83" s="72">
        <f t="shared" si="230"/>
        <v>101</v>
      </c>
      <c r="CA83" s="71">
        <f t="shared" si="231"/>
        <v>137</v>
      </c>
      <c r="CB83" s="72">
        <f t="shared" si="232"/>
        <v>145</v>
      </c>
      <c r="CC83" s="71">
        <f t="shared" si="233"/>
        <v>185</v>
      </c>
      <c r="CD83" s="72">
        <f t="shared" si="234"/>
        <v>192</v>
      </c>
      <c r="CE83" s="71">
        <f t="shared" si="235"/>
        <v>389</v>
      </c>
      <c r="CF83" s="72">
        <f t="shared" si="236"/>
        <v>431</v>
      </c>
      <c r="CG83" s="71">
        <f t="shared" si="237"/>
        <v>457</v>
      </c>
      <c r="CH83" s="70">
        <f t="shared" si="238"/>
        <v>60</v>
      </c>
      <c r="CI83" s="71">
        <f t="shared" si="239"/>
        <v>64</v>
      </c>
      <c r="CJ83" s="72">
        <f t="shared" si="240"/>
        <v>95</v>
      </c>
      <c r="CK83" s="72">
        <f t="shared" si="241"/>
        <v>100</v>
      </c>
      <c r="CL83" s="72">
        <f t="shared" si="242"/>
        <v>136</v>
      </c>
      <c r="CM83" s="72">
        <f t="shared" si="243"/>
        <v>144</v>
      </c>
      <c r="CN83" s="72">
        <f t="shared" si="244"/>
        <v>176</v>
      </c>
      <c r="CO83" s="72">
        <f t="shared" si="245"/>
        <v>187</v>
      </c>
      <c r="CP83" s="72">
        <f t="shared" si="246"/>
        <v>232</v>
      </c>
      <c r="CQ83" s="72">
        <f t="shared" si="247"/>
        <v>426</v>
      </c>
      <c r="CR83" s="72">
        <f t="shared" si="248"/>
        <v>456</v>
      </c>
      <c r="CS83" s="72">
        <f t="shared" si="249"/>
        <v>469</v>
      </c>
      <c r="CT83" s="23">
        <f t="shared" si="250"/>
        <v>1</v>
      </c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  <c r="ADW83" s="1"/>
      <c r="ADX83" s="1"/>
      <c r="ADY83" s="1"/>
      <c r="ADZ83" s="1"/>
      <c r="AEA83" s="1"/>
      <c r="AEB83" s="1"/>
      <c r="AEC83" s="1"/>
      <c r="AED83" s="1"/>
      <c r="AEE83" s="1"/>
      <c r="AEF83" s="1"/>
      <c r="AEG83" s="1"/>
      <c r="AEH83" s="1"/>
      <c r="AEI83" s="1"/>
      <c r="AEJ83" s="1"/>
      <c r="AEK83" s="1"/>
      <c r="AEL83" s="1"/>
      <c r="AEM83" s="1"/>
      <c r="AEN83" s="1"/>
      <c r="AEO83" s="1"/>
      <c r="AEP83" s="1"/>
      <c r="AEQ83" s="1"/>
      <c r="AER83" s="1"/>
      <c r="AES83" s="1"/>
      <c r="AET83" s="1"/>
      <c r="AEU83" s="1"/>
      <c r="AEV83" s="1"/>
      <c r="AEW83" s="1"/>
      <c r="AEX83" s="1"/>
      <c r="AEY83" s="1"/>
      <c r="AEZ83" s="1"/>
      <c r="AFA83" s="1"/>
      <c r="AFB83" s="1"/>
      <c r="AFC83" s="1"/>
      <c r="AFD83" s="1"/>
      <c r="AFE83" s="1"/>
      <c r="AFF83" s="1"/>
      <c r="AFG83" s="1"/>
      <c r="AFH83" s="1"/>
      <c r="AFI83" s="1"/>
      <c r="AFJ83" s="1"/>
      <c r="AFK83" s="1"/>
      <c r="AFL83" s="1"/>
      <c r="AFM83" s="1"/>
      <c r="AFN83" s="1"/>
      <c r="AFO83" s="1"/>
      <c r="AFP83" s="1"/>
      <c r="AFQ83" s="1"/>
      <c r="AFR83" s="1"/>
      <c r="AFS83" s="1"/>
      <c r="AFT83" s="1"/>
      <c r="AFU83" s="1"/>
      <c r="AFV83" s="1"/>
      <c r="AFW83" s="1"/>
      <c r="AFX83" s="1"/>
      <c r="AFY83" s="1"/>
      <c r="AFZ83" s="1"/>
      <c r="AGA83" s="1"/>
      <c r="AGB83" s="1"/>
      <c r="AGC83" s="1"/>
      <c r="AGD83" s="1"/>
      <c r="AGE83" s="1"/>
      <c r="AGF83" s="1"/>
      <c r="AGG83" s="1"/>
      <c r="AGH83" s="1"/>
      <c r="AGI83" s="1"/>
      <c r="AGJ83" s="1"/>
      <c r="AGK83" s="1"/>
      <c r="AGL83" s="1"/>
      <c r="AGM83" s="1"/>
      <c r="AGN83" s="1"/>
      <c r="AGO83" s="1"/>
      <c r="AGP83" s="1"/>
      <c r="AGQ83" s="1"/>
      <c r="AGR83" s="1"/>
      <c r="AGS83" s="1"/>
      <c r="AGT83" s="1"/>
      <c r="AGU83" s="1"/>
      <c r="AGV83" s="1"/>
      <c r="AGW83" s="1"/>
      <c r="AGX83" s="1"/>
      <c r="AGY83" s="1"/>
      <c r="AGZ83" s="1"/>
      <c r="AHA83" s="1"/>
      <c r="AHB83" s="1"/>
      <c r="AHC83" s="1"/>
      <c r="AHD83" s="1"/>
      <c r="AHE83" s="1"/>
      <c r="AHF83" s="1"/>
      <c r="AHG83" s="1"/>
      <c r="AHH83" s="1"/>
      <c r="AHI83" s="1"/>
      <c r="AHJ83" s="1"/>
      <c r="AHK83" s="1"/>
      <c r="AHL83" s="1"/>
      <c r="AHM83" s="1"/>
      <c r="AHN83" s="1"/>
      <c r="AHO83" s="1"/>
      <c r="AHP83" s="1"/>
      <c r="AHQ83" s="1"/>
      <c r="AHR83" s="1"/>
      <c r="AHS83" s="1"/>
      <c r="AHT83" s="1"/>
      <c r="AHU83" s="1"/>
      <c r="AHV83" s="1"/>
      <c r="AHW83" s="1"/>
      <c r="AHX83" s="1"/>
      <c r="AHY83" s="1"/>
      <c r="AHZ83" s="1"/>
      <c r="AIA83" s="1"/>
      <c r="AIB83" s="1"/>
      <c r="AIC83" s="1"/>
      <c r="AID83" s="1"/>
      <c r="AIE83" s="1"/>
      <c r="AIF83" s="1"/>
      <c r="AIG83" s="1"/>
      <c r="AIH83" s="1"/>
      <c r="AII83" s="1"/>
      <c r="AIJ83" s="1"/>
      <c r="AIK83" s="1"/>
      <c r="AIL83" s="1"/>
      <c r="AIM83" s="1"/>
      <c r="AIN83" s="1"/>
      <c r="AIO83" s="1"/>
      <c r="AIP83" s="1"/>
      <c r="AIQ83" s="1"/>
      <c r="AIR83" s="1"/>
      <c r="AIS83" s="1"/>
      <c r="AIT83" s="1"/>
      <c r="AIU83" s="1"/>
      <c r="AIV83" s="1"/>
      <c r="AIW83" s="1"/>
      <c r="AIX83" s="1"/>
      <c r="AIY83" s="1"/>
      <c r="AIZ83" s="1"/>
      <c r="AJA83" s="1"/>
      <c r="AJB83" s="1"/>
      <c r="AJC83" s="1"/>
      <c r="AJD83" s="1"/>
      <c r="AJE83" s="1"/>
      <c r="AJF83" s="1"/>
      <c r="AJG83" s="1"/>
      <c r="AJH83" s="1"/>
      <c r="AJI83" s="1"/>
      <c r="AJJ83" s="1"/>
      <c r="AJK83" s="1"/>
      <c r="AJL83" s="1"/>
      <c r="AJM83" s="1"/>
      <c r="AJN83" s="1"/>
      <c r="AJO83" s="1"/>
      <c r="AJP83" s="1"/>
      <c r="AJQ83" s="1"/>
      <c r="AJR83" s="1"/>
      <c r="AJS83" s="1"/>
      <c r="AJT83" s="1"/>
      <c r="AJU83" s="1"/>
      <c r="AJV83" s="1"/>
      <c r="AJW83" s="1"/>
      <c r="AJX83" s="1"/>
      <c r="AJY83" s="1"/>
      <c r="AJZ83" s="1"/>
      <c r="AKA83" s="1"/>
      <c r="AKB83" s="1"/>
      <c r="AKC83" s="1"/>
      <c r="AKD83" s="1"/>
      <c r="AKE83" s="1"/>
      <c r="AKF83" s="1"/>
      <c r="AKG83" s="1"/>
      <c r="AKH83" s="1"/>
      <c r="AKI83" s="1"/>
      <c r="AKJ83" s="1"/>
      <c r="AKK83" s="1"/>
      <c r="AKL83" s="1"/>
      <c r="AKM83" s="1"/>
      <c r="AKN83" s="1"/>
      <c r="AKO83" s="1"/>
      <c r="AKP83" s="1"/>
      <c r="AKQ83" s="1"/>
      <c r="AKR83" s="1"/>
      <c r="AKS83" s="1"/>
      <c r="AKT83" s="1"/>
      <c r="AKU83" s="1"/>
      <c r="AKV83" s="1"/>
      <c r="AKW83" s="1"/>
      <c r="AKX83" s="1"/>
      <c r="AKY83" s="1"/>
      <c r="AKZ83" s="1"/>
      <c r="ALA83" s="1"/>
      <c r="ALB83" s="1"/>
      <c r="ALC83" s="1"/>
      <c r="ALD83" s="1"/>
      <c r="ALE83" s="1"/>
      <c r="ALF83" s="1"/>
      <c r="ALG83" s="1"/>
      <c r="ALH83" s="1"/>
      <c r="ALI83" s="1"/>
      <c r="ALJ83" s="1"/>
      <c r="ALK83" s="1"/>
      <c r="ALL83" s="1"/>
      <c r="ALM83" s="1"/>
      <c r="ALN83" s="1"/>
      <c r="ALO83" s="1"/>
      <c r="ALP83" s="1"/>
      <c r="ALQ83" s="1"/>
      <c r="ALR83" s="1"/>
      <c r="ALS83" s="1"/>
      <c r="ALT83" s="1"/>
      <c r="ALU83" s="1"/>
      <c r="ALV83" s="1"/>
      <c r="ALW83" s="1"/>
      <c r="ALX83" s="1"/>
      <c r="ALY83" s="1"/>
      <c r="ALZ83" s="1"/>
      <c r="AMA83" s="1"/>
      <c r="AMB83" s="1"/>
      <c r="AMC83" s="1"/>
      <c r="AMD83" s="1"/>
      <c r="AME83" s="1"/>
      <c r="AMF83" s="1"/>
      <c r="AMG83" s="1"/>
      <c r="AMH83" s="1"/>
      <c r="AMI83" s="1"/>
      <c r="AMJ83" s="1"/>
      <c r="AMK83" s="1"/>
      <c r="AML83" s="1"/>
      <c r="AMM83" s="1"/>
      <c r="AMN83" s="1"/>
      <c r="AMO83" s="1"/>
    </row>
    <row r="84" spans="1:1029" x14ac:dyDescent="0.2">
      <c r="A84" s="3" t="str">
        <f t="shared" si="335"/>
        <v>acm4_human_5DSG</v>
      </c>
      <c r="B84" s="3" t="s">
        <v>149</v>
      </c>
      <c r="C84" s="3" t="s">
        <v>61</v>
      </c>
      <c r="D84" s="3" t="str">
        <f>IFERROR(MID(VLOOKUP($B84,Seqs!$A:$B,2,0),E84,1),"")</f>
        <v>R</v>
      </c>
      <c r="E84" s="3">
        <v>26</v>
      </c>
      <c r="F84" s="3" t="str">
        <f>IFERROR(MID(VLOOKUP($B84,Seqs!$A:$B,2,0),G84,1),"")</f>
        <v>N</v>
      </c>
      <c r="G84" s="3">
        <v>60</v>
      </c>
      <c r="H84" s="3" t="str">
        <f>IFERROR(MID(VLOOKUP($B84,Seqs!$A:$B,2,0),I84,1),"")</f>
        <v>R</v>
      </c>
      <c r="I84" s="23">
        <v>61</v>
      </c>
      <c r="J84" s="3" t="str">
        <f>IFERROR(MID(VLOOKUP($B84,Seqs!$A:$B,2,0),K84,1),"")</f>
        <v>Q</v>
      </c>
      <c r="K84" s="23">
        <v>64</v>
      </c>
      <c r="L84" s="3" t="str">
        <f>IFERROR(MID(VLOOKUP($B84,Seqs!$A:$B,2,0),M84,1),"")</f>
        <v>T</v>
      </c>
      <c r="M84" s="3">
        <v>65</v>
      </c>
      <c r="N84" s="3" t="str">
        <f>IFERROR(MID(VLOOKUP($B84,Seqs!$A:$B,2,0),O84,1),"")</f>
        <v>K</v>
      </c>
      <c r="O84" s="3">
        <v>95</v>
      </c>
      <c r="P84" s="3" t="str">
        <f>IFERROR(MID(VLOOKUP($B84,Seqs!$A:$B,2,0),Q84,1),"")</f>
        <v>Y</v>
      </c>
      <c r="Q84" s="3">
        <v>97</v>
      </c>
      <c r="R84" s="3" t="str">
        <f>IFERROR(MID(VLOOKUP($B84,Seqs!$A:$B,2,0),S84,1),"")</f>
        <v>L</v>
      </c>
      <c r="S84" s="3">
        <v>100</v>
      </c>
      <c r="T84" s="3" t="str">
        <f>IFERROR(MID(VLOOKUP($B84,Seqs!$A:$B,2,0),U84,1),"")</f>
        <v>G</v>
      </c>
      <c r="U84" s="3">
        <v>101</v>
      </c>
      <c r="V84" s="3" t="str">
        <f>IFERROR(MID(VLOOKUP($B84,Seqs!$A:$B,2,0),W84,1),"")</f>
        <v>K</v>
      </c>
      <c r="W84" s="3">
        <v>136</v>
      </c>
      <c r="X84" s="3" t="str">
        <f>IFERROR(MID(VLOOKUP($B84,Seqs!$A:$B,2,0),Y84,1),"")</f>
        <v>P</v>
      </c>
      <c r="Y84" s="3">
        <v>137</v>
      </c>
      <c r="Z84" s="3" t="str">
        <f>IFERROR(MID(VLOOKUP($B84,Seqs!$A:$B,2,0),AA84,1),"")</f>
        <v>R</v>
      </c>
      <c r="AA84" s="3">
        <v>144</v>
      </c>
      <c r="AB84" s="3" t="str">
        <f>IFERROR(MID(VLOOKUP($B84,Seqs!$A:$B,2,0),AC84,1),"")</f>
        <v>T</v>
      </c>
      <c r="AC84" s="9">
        <v>145</v>
      </c>
      <c r="AD84" s="3" t="str">
        <f>IFERROR(MID(VLOOKUP($B84,Seqs!$A:$B,2,0),AE84,1),"")</f>
        <v>G</v>
      </c>
      <c r="AE84" s="3">
        <v>176</v>
      </c>
      <c r="AF84" s="3" t="str">
        <f>IFERROR(MID(VLOOKUP($B84,Seqs!$A:$B,2,0),AG84,1),"")</f>
        <v>C</v>
      </c>
      <c r="AG84" s="3">
        <v>185</v>
      </c>
      <c r="AH84" s="3" t="str">
        <f>IFERROR(MID(VLOOKUP($B84,Seqs!$A:$B,2,0),AI84,1),"")</f>
        <v>I</v>
      </c>
      <c r="AI84" s="3">
        <v>187</v>
      </c>
      <c r="AJ84" s="3" t="str">
        <f>IFERROR(MID(VLOOKUP($B84,Seqs!$A:$B,2,0),AK84,1),"")</f>
        <v>N</v>
      </c>
      <c r="AK84" s="3">
        <v>192</v>
      </c>
      <c r="AL84" s="3" t="str">
        <f>IFERROR(MID(VLOOKUP($B84,Seqs!$A:$B,2,0),AM84,1),"")</f>
        <v>L</v>
      </c>
      <c r="AM84" s="3">
        <v>220</v>
      </c>
      <c r="AN84" s="3" t="str">
        <f>IFERROR(MID(VLOOKUP($B84,Seqs!$A:$B,2,0),AO84,1),"")</f>
        <v>R</v>
      </c>
      <c r="AO84" s="3">
        <v>396</v>
      </c>
      <c r="AP84" s="3" t="str">
        <f>IFERROR(MID(VLOOKUP($B84,Seqs!$A:$B,2,0),AQ84,1),"")</f>
        <v>C</v>
      </c>
      <c r="AQ84" s="3">
        <v>426</v>
      </c>
      <c r="AR84" s="3" t="str">
        <f>IFERROR(MID(VLOOKUP($B84,Seqs!$A:$B,2,0),AS84,1),"")</f>
        <v>P</v>
      </c>
      <c r="AS84" s="3">
        <v>431</v>
      </c>
      <c r="AT84" s="3" t="str">
        <f>IFERROR(MID(VLOOKUP($B84,Seqs!$A:$B,2,0),AU84,1),"")</f>
        <v>C</v>
      </c>
      <c r="AU84" s="3">
        <v>456</v>
      </c>
      <c r="AV84" s="3" t="str">
        <f>IFERROR(MID(VLOOKUP($B84,Seqs!$A:$B,2,0),AW84,1),"")</f>
        <v>N</v>
      </c>
      <c r="AW84" s="3">
        <v>457</v>
      </c>
      <c r="AX84" s="3" t="str">
        <f>IFERROR(MID(VLOOKUP($B84,Seqs!$A:$B,2,0),AY84,1),"")</f>
        <v>L</v>
      </c>
      <c r="AY84" s="3">
        <v>469</v>
      </c>
      <c r="AZ84" s="77" t="str">
        <f>VLOOKUP(B84,Classification!A:D,2,0)</f>
        <v>A</v>
      </c>
      <c r="BA84" s="94" t="str">
        <f>VLOOKUP(B84,Classification!A:D,4,0)</f>
        <v>Acetylcholine(muscarinic)</v>
      </c>
      <c r="BB84" s="27" t="b">
        <f t="shared" si="336"/>
        <v>1</v>
      </c>
      <c r="BC84" s="23">
        <f t="shared" si="225"/>
        <v>252</v>
      </c>
      <c r="BD84" s="2" t="s">
        <v>1382</v>
      </c>
      <c r="BE84" s="3" t="s">
        <v>1380</v>
      </c>
      <c r="BF84" s="119">
        <v>2.6</v>
      </c>
      <c r="BG84" s="49" t="s">
        <v>1383</v>
      </c>
      <c r="BH84" s="49" t="s">
        <v>1383</v>
      </c>
      <c r="BI84" s="1"/>
      <c r="BJ84" s="70" t="s">
        <v>1293</v>
      </c>
      <c r="BK84" s="57" t="s">
        <v>1293</v>
      </c>
      <c r="BL84" s="57" t="s">
        <v>1293</v>
      </c>
      <c r="BM84" s="57" t="s">
        <v>1293</v>
      </c>
      <c r="BN84" s="57" t="s">
        <v>1293</v>
      </c>
      <c r="BO84" s="57" t="s">
        <v>1293</v>
      </c>
      <c r="BP84" s="57" t="s">
        <v>1293</v>
      </c>
      <c r="BQ84" s="57" t="s">
        <v>1293</v>
      </c>
      <c r="BR84" s="57" t="s">
        <v>1293</v>
      </c>
      <c r="BS84" s="57" t="s">
        <v>1293</v>
      </c>
      <c r="BT84" s="57" t="s">
        <v>1293</v>
      </c>
      <c r="BU84" s="57" t="s">
        <v>1293</v>
      </c>
      <c r="BV84" s="70">
        <f t="shared" si="226"/>
        <v>26</v>
      </c>
      <c r="BW84" s="71">
        <f t="shared" si="227"/>
        <v>61</v>
      </c>
      <c r="BX84" s="72">
        <f t="shared" si="228"/>
        <v>65</v>
      </c>
      <c r="BY84" s="71">
        <f t="shared" si="229"/>
        <v>97</v>
      </c>
      <c r="BZ84" s="72">
        <f t="shared" si="230"/>
        <v>101</v>
      </c>
      <c r="CA84" s="71">
        <f t="shared" si="231"/>
        <v>137</v>
      </c>
      <c r="CB84" s="72">
        <f t="shared" si="232"/>
        <v>145</v>
      </c>
      <c r="CC84" s="71">
        <f t="shared" si="233"/>
        <v>185</v>
      </c>
      <c r="CD84" s="72">
        <f t="shared" si="234"/>
        <v>192</v>
      </c>
      <c r="CE84" s="71">
        <f t="shared" si="235"/>
        <v>396</v>
      </c>
      <c r="CF84" s="72">
        <f t="shared" si="236"/>
        <v>431</v>
      </c>
      <c r="CG84" s="71">
        <f t="shared" si="237"/>
        <v>457</v>
      </c>
      <c r="CH84" s="70">
        <f t="shared" si="238"/>
        <v>60</v>
      </c>
      <c r="CI84" s="71">
        <f t="shared" si="239"/>
        <v>64</v>
      </c>
      <c r="CJ84" s="72">
        <f t="shared" si="240"/>
        <v>95</v>
      </c>
      <c r="CK84" s="72">
        <f t="shared" si="241"/>
        <v>100</v>
      </c>
      <c r="CL84" s="72">
        <f t="shared" si="242"/>
        <v>136</v>
      </c>
      <c r="CM84" s="72">
        <f t="shared" si="243"/>
        <v>144</v>
      </c>
      <c r="CN84" s="72">
        <f t="shared" si="244"/>
        <v>176</v>
      </c>
      <c r="CO84" s="72">
        <f t="shared" si="245"/>
        <v>187</v>
      </c>
      <c r="CP84" s="72">
        <f t="shared" si="246"/>
        <v>220</v>
      </c>
      <c r="CQ84" s="72">
        <f t="shared" si="247"/>
        <v>426</v>
      </c>
      <c r="CR84" s="72">
        <f t="shared" si="248"/>
        <v>456</v>
      </c>
      <c r="CS84" s="72">
        <f t="shared" si="249"/>
        <v>469</v>
      </c>
      <c r="CT84" s="23">
        <f t="shared" si="250"/>
        <v>1</v>
      </c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  <c r="ADW84" s="1"/>
      <c r="ADX84" s="1"/>
      <c r="ADY84" s="1"/>
      <c r="ADZ84" s="1"/>
      <c r="AEA84" s="1"/>
      <c r="AEB84" s="1"/>
      <c r="AEC84" s="1"/>
      <c r="AED84" s="1"/>
      <c r="AEE84" s="1"/>
      <c r="AEF84" s="1"/>
      <c r="AEG84" s="1"/>
      <c r="AEH84" s="1"/>
      <c r="AEI84" s="1"/>
      <c r="AEJ84" s="1"/>
      <c r="AEK84" s="1"/>
      <c r="AEL84" s="1"/>
      <c r="AEM84" s="1"/>
      <c r="AEN84" s="1"/>
      <c r="AEO84" s="1"/>
      <c r="AEP84" s="1"/>
      <c r="AEQ84" s="1"/>
      <c r="AER84" s="1"/>
      <c r="AES84" s="1"/>
      <c r="AET84" s="1"/>
      <c r="AEU84" s="1"/>
      <c r="AEV84" s="1"/>
      <c r="AEW84" s="1"/>
      <c r="AEX84" s="1"/>
      <c r="AEY84" s="1"/>
      <c r="AEZ84" s="1"/>
      <c r="AFA84" s="1"/>
      <c r="AFB84" s="1"/>
      <c r="AFC84" s="1"/>
      <c r="AFD84" s="1"/>
      <c r="AFE84" s="1"/>
      <c r="AFF84" s="1"/>
      <c r="AFG84" s="1"/>
      <c r="AFH84" s="1"/>
      <c r="AFI84" s="1"/>
      <c r="AFJ84" s="1"/>
      <c r="AFK84" s="1"/>
      <c r="AFL84" s="1"/>
      <c r="AFM84" s="1"/>
      <c r="AFN84" s="1"/>
      <c r="AFO84" s="1"/>
      <c r="AFP84" s="1"/>
      <c r="AFQ84" s="1"/>
      <c r="AFR84" s="1"/>
      <c r="AFS84" s="1"/>
      <c r="AFT84" s="1"/>
      <c r="AFU84" s="1"/>
      <c r="AFV84" s="1"/>
      <c r="AFW84" s="1"/>
      <c r="AFX84" s="1"/>
      <c r="AFY84" s="1"/>
      <c r="AFZ84" s="1"/>
      <c r="AGA84" s="1"/>
      <c r="AGB84" s="1"/>
      <c r="AGC84" s="1"/>
      <c r="AGD84" s="1"/>
      <c r="AGE84" s="1"/>
      <c r="AGF84" s="1"/>
      <c r="AGG84" s="1"/>
      <c r="AGH84" s="1"/>
      <c r="AGI84" s="1"/>
      <c r="AGJ84" s="1"/>
      <c r="AGK84" s="1"/>
      <c r="AGL84" s="1"/>
      <c r="AGM84" s="1"/>
      <c r="AGN84" s="1"/>
      <c r="AGO84" s="1"/>
      <c r="AGP84" s="1"/>
      <c r="AGQ84" s="1"/>
      <c r="AGR84" s="1"/>
      <c r="AGS84" s="1"/>
      <c r="AGT84" s="1"/>
      <c r="AGU84" s="1"/>
      <c r="AGV84" s="1"/>
      <c r="AGW84" s="1"/>
      <c r="AGX84" s="1"/>
      <c r="AGY84" s="1"/>
      <c r="AGZ84" s="1"/>
      <c r="AHA84" s="1"/>
      <c r="AHB84" s="1"/>
      <c r="AHC84" s="1"/>
      <c r="AHD84" s="1"/>
      <c r="AHE84" s="1"/>
      <c r="AHF84" s="1"/>
      <c r="AHG84" s="1"/>
      <c r="AHH84" s="1"/>
      <c r="AHI84" s="1"/>
      <c r="AHJ84" s="1"/>
      <c r="AHK84" s="1"/>
      <c r="AHL84" s="1"/>
      <c r="AHM84" s="1"/>
      <c r="AHN84" s="1"/>
      <c r="AHO84" s="1"/>
      <c r="AHP84" s="1"/>
      <c r="AHQ84" s="1"/>
      <c r="AHR84" s="1"/>
      <c r="AHS84" s="1"/>
      <c r="AHT84" s="1"/>
      <c r="AHU84" s="1"/>
      <c r="AHV84" s="1"/>
      <c r="AHW84" s="1"/>
      <c r="AHX84" s="1"/>
      <c r="AHY84" s="1"/>
      <c r="AHZ84" s="1"/>
      <c r="AIA84" s="1"/>
      <c r="AIB84" s="1"/>
      <c r="AIC84" s="1"/>
      <c r="AID84" s="1"/>
      <c r="AIE84" s="1"/>
      <c r="AIF84" s="1"/>
      <c r="AIG84" s="1"/>
      <c r="AIH84" s="1"/>
      <c r="AII84" s="1"/>
      <c r="AIJ84" s="1"/>
      <c r="AIK84" s="1"/>
      <c r="AIL84" s="1"/>
      <c r="AIM84" s="1"/>
      <c r="AIN84" s="1"/>
      <c r="AIO84" s="1"/>
      <c r="AIP84" s="1"/>
      <c r="AIQ84" s="1"/>
      <c r="AIR84" s="1"/>
      <c r="AIS84" s="1"/>
      <c r="AIT84" s="1"/>
      <c r="AIU84" s="1"/>
      <c r="AIV84" s="1"/>
      <c r="AIW84" s="1"/>
      <c r="AIX84" s="1"/>
      <c r="AIY84" s="1"/>
      <c r="AIZ84" s="1"/>
      <c r="AJA84" s="1"/>
      <c r="AJB84" s="1"/>
      <c r="AJC84" s="1"/>
      <c r="AJD84" s="1"/>
      <c r="AJE84" s="1"/>
      <c r="AJF84" s="1"/>
      <c r="AJG84" s="1"/>
      <c r="AJH84" s="1"/>
      <c r="AJI84" s="1"/>
      <c r="AJJ84" s="1"/>
      <c r="AJK84" s="1"/>
      <c r="AJL84" s="1"/>
      <c r="AJM84" s="1"/>
      <c r="AJN84" s="1"/>
      <c r="AJO84" s="1"/>
      <c r="AJP84" s="1"/>
      <c r="AJQ84" s="1"/>
      <c r="AJR84" s="1"/>
      <c r="AJS84" s="1"/>
      <c r="AJT84" s="1"/>
      <c r="AJU84" s="1"/>
      <c r="AJV84" s="1"/>
      <c r="AJW84" s="1"/>
      <c r="AJX84" s="1"/>
      <c r="AJY84" s="1"/>
      <c r="AJZ84" s="1"/>
      <c r="AKA84" s="1"/>
      <c r="AKB84" s="1"/>
      <c r="AKC84" s="1"/>
      <c r="AKD84" s="1"/>
      <c r="AKE84" s="1"/>
      <c r="AKF84" s="1"/>
      <c r="AKG84" s="1"/>
      <c r="AKH84" s="1"/>
      <c r="AKI84" s="1"/>
      <c r="AKJ84" s="1"/>
      <c r="AKK84" s="1"/>
      <c r="AKL84" s="1"/>
      <c r="AKM84" s="1"/>
      <c r="AKN84" s="1"/>
      <c r="AKO84" s="1"/>
      <c r="AKP84" s="1"/>
      <c r="AKQ84" s="1"/>
      <c r="AKR84" s="1"/>
      <c r="AKS84" s="1"/>
      <c r="AKT84" s="1"/>
      <c r="AKU84" s="1"/>
      <c r="AKV84" s="1"/>
      <c r="AKW84" s="1"/>
      <c r="AKX84" s="1"/>
      <c r="AKY84" s="1"/>
      <c r="AKZ84" s="1"/>
      <c r="ALA84" s="1"/>
      <c r="ALB84" s="1"/>
      <c r="ALC84" s="1"/>
      <c r="ALD84" s="1"/>
      <c r="ALE84" s="1"/>
      <c r="ALF84" s="1"/>
      <c r="ALG84" s="1"/>
      <c r="ALH84" s="1"/>
      <c r="ALI84" s="1"/>
      <c r="ALJ84" s="1"/>
      <c r="ALK84" s="1"/>
      <c r="ALL84" s="1"/>
      <c r="ALM84" s="1"/>
      <c r="ALN84" s="1"/>
      <c r="ALO84" s="1"/>
      <c r="ALP84" s="1"/>
      <c r="ALQ84" s="1"/>
      <c r="ALR84" s="1"/>
      <c r="ALS84" s="1"/>
      <c r="ALT84" s="1"/>
      <c r="ALU84" s="1"/>
      <c r="ALV84" s="1"/>
      <c r="ALW84" s="1"/>
      <c r="ALX84" s="1"/>
      <c r="ALY84" s="1"/>
      <c r="ALZ84" s="1"/>
      <c r="AMA84" s="1"/>
      <c r="AMB84" s="1"/>
      <c r="AMC84" s="1"/>
      <c r="AMD84" s="1"/>
      <c r="AME84" s="1"/>
      <c r="AMF84" s="1"/>
      <c r="AMG84" s="1"/>
      <c r="AMH84" s="1"/>
      <c r="AMI84" s="1"/>
      <c r="AMJ84" s="1"/>
      <c r="AMK84" s="1"/>
      <c r="AML84" s="1"/>
      <c r="AMM84" s="1"/>
      <c r="AMN84" s="1"/>
      <c r="AMO84" s="1"/>
    </row>
    <row r="85" spans="1:1029" x14ac:dyDescent="0.2">
      <c r="A85" s="3" t="str">
        <f t="shared" si="335"/>
        <v>adrb1_melga__wt</v>
      </c>
      <c r="B85" s="3" t="s">
        <v>912</v>
      </c>
      <c r="C85" s="3" t="s">
        <v>100</v>
      </c>
      <c r="D85" s="3" t="str">
        <f>IFERROR(MID(VLOOKUP($B85,Seqs!$A:$B,2,0),E85,1),"")</f>
        <v>A</v>
      </c>
      <c r="E85" s="3">
        <v>33</v>
      </c>
      <c r="F85" s="3" t="str">
        <f>IFERROR(MID(VLOOKUP($B85,Seqs!$A:$B,2,0),G85,1),"")</f>
        <v>T</v>
      </c>
      <c r="G85" s="3">
        <v>69</v>
      </c>
      <c r="H85" s="3" t="str">
        <f>IFERROR(MID(VLOOKUP($B85,Seqs!$A:$B,2,0),I85,1),"")</f>
        <v>Q</v>
      </c>
      <c r="I85" s="23">
        <v>70</v>
      </c>
      <c r="J85" s="3" t="str">
        <f>IFERROR(MID(VLOOKUP($B85,Seqs!$A:$B,2,0),K85,1),"")</f>
        <v>Q</v>
      </c>
      <c r="K85" s="23">
        <v>73</v>
      </c>
      <c r="L85" s="3" t="str">
        <f>IFERROR(MID(VLOOKUP($B85,Seqs!$A:$B,2,0),M85,1),"")</f>
        <v>T</v>
      </c>
      <c r="M85" s="3">
        <v>74</v>
      </c>
      <c r="N85" s="3" t="str">
        <f>IFERROR(MID(VLOOKUP($B85,Seqs!$A:$B,2,0),O85,1),"")</f>
        <v>R</v>
      </c>
      <c r="O85" s="3">
        <v>104</v>
      </c>
      <c r="P85" s="3" t="str">
        <f>IFERROR(MID(VLOOKUP($B85,Seqs!$A:$B,2,0),Q85,1),"")</f>
        <v>T</v>
      </c>
      <c r="Q85" s="3">
        <v>106</v>
      </c>
      <c r="R85" s="3" t="str">
        <f>IFERROR(MID(VLOOKUP($B85,Seqs!$A:$B,2,0),S85,1),"")</f>
        <v>W</v>
      </c>
      <c r="S85" s="3">
        <v>109</v>
      </c>
      <c r="T85" s="3" t="str">
        <f>IFERROR(MID(VLOOKUP($B85,Seqs!$A:$B,2,0),U85,1),"")</f>
        <v>G</v>
      </c>
      <c r="U85" s="3">
        <v>110</v>
      </c>
      <c r="V85" s="3" t="str">
        <f>IFERROR(MID(VLOOKUP($B85,Seqs!$A:$B,2,0),W85,1),"")</f>
        <v>S</v>
      </c>
      <c r="W85" s="3">
        <v>145</v>
      </c>
      <c r="X85" s="3" t="str">
        <f>IFERROR(MID(VLOOKUP($B85,Seqs!$A:$B,2,0),Y85,1),"")</f>
        <v>P</v>
      </c>
      <c r="Y85" s="3">
        <v>146</v>
      </c>
      <c r="Z85" s="3" t="str">
        <f>IFERROR(MID(VLOOKUP($B85,Seqs!$A:$B,2,0),AA85,1),"")</f>
        <v>M</v>
      </c>
      <c r="AA85" s="3">
        <v>153</v>
      </c>
      <c r="AB85" s="3" t="str">
        <f>IFERROR(MID(VLOOKUP($B85,Seqs!$A:$B,2,0),AC85,1),"")</f>
        <v>T</v>
      </c>
      <c r="AC85" s="9">
        <v>154</v>
      </c>
      <c r="AD85" s="3" t="str">
        <f>IFERROR(MID(VLOOKUP($B85,Seqs!$A:$B,2,0),AE85,1),"")</f>
        <v>H</v>
      </c>
      <c r="AE85" s="3">
        <v>180</v>
      </c>
      <c r="AF85" s="3" t="str">
        <f>IFERROR(MID(VLOOKUP($B85,Seqs!$A:$B,2,0),AG85,1),"")</f>
        <v>C</v>
      </c>
      <c r="AG85" s="3">
        <v>199</v>
      </c>
      <c r="AH85" s="3" t="str">
        <f>IFERROR(MID(VLOOKUP($B85,Seqs!$A:$B,2,0),AI85,1),"")</f>
        <v>F</v>
      </c>
      <c r="AI85" s="3">
        <v>201</v>
      </c>
      <c r="AJ85" s="3" t="str">
        <f>IFERROR(MID(VLOOKUP($B85,Seqs!$A:$B,2,0),AK85,1),"")</f>
        <v>N</v>
      </c>
      <c r="AK85" s="3">
        <v>204</v>
      </c>
      <c r="AL85" s="3" t="str">
        <f>IFERROR(MID(VLOOKUP($B85,Seqs!$A:$B,2,0),AM85,1),"")</f>
        <v>E</v>
      </c>
      <c r="AM85" s="3">
        <v>245</v>
      </c>
      <c r="AN85" s="3" t="str">
        <f>IFERROR(MID(VLOOKUP($B85,Seqs!$A:$B,2,0),AO85,1),"")</f>
        <v>R</v>
      </c>
      <c r="AO85" s="3">
        <v>275</v>
      </c>
      <c r="AP85" s="3" t="str">
        <f>IFERROR(MID(VLOOKUP($B85,Seqs!$A:$B,2,0),AQ85,1),"")</f>
        <v>N</v>
      </c>
      <c r="AQ85" s="3">
        <v>316</v>
      </c>
      <c r="AR85" s="3" t="str">
        <f>IFERROR(MID(VLOOKUP($B85,Seqs!$A:$B,2,0),AS85,1),"")</f>
        <v>P</v>
      </c>
      <c r="AS85" s="3">
        <v>321</v>
      </c>
      <c r="AT85" s="3" t="str">
        <f>IFERROR(MID(VLOOKUP($B85,Seqs!$A:$B,2,0),AU85,1),"")</f>
        <v>R</v>
      </c>
      <c r="AU85" s="3">
        <v>345</v>
      </c>
      <c r="AV85" s="3" t="str">
        <f>IFERROR(MID(VLOOKUP($B85,Seqs!$A:$B,2,0),AW85,1),"")</f>
        <v>S</v>
      </c>
      <c r="AW85" s="3">
        <v>346</v>
      </c>
      <c r="AX85" s="3" t="str">
        <f>IFERROR(MID(VLOOKUP($B85,Seqs!$A:$B,2,0),AY85,1),"")</f>
        <v>C</v>
      </c>
      <c r="AY85" s="3">
        <v>358</v>
      </c>
      <c r="AZ85" s="77" t="str">
        <f>VLOOKUP(B85,Classification!A:D,2,0)</f>
        <v>A</v>
      </c>
      <c r="BA85" s="94" t="str">
        <f>VLOOKUP(B85,Classification!A:D,4,0)</f>
        <v>Adrenoceptors</v>
      </c>
      <c r="BB85" s="27" t="b">
        <f t="shared" si="336"/>
        <v>1</v>
      </c>
      <c r="BC85" s="23">
        <f t="shared" si="225"/>
        <v>272</v>
      </c>
      <c r="BD85" s="34" t="s">
        <v>23</v>
      </c>
      <c r="BE85" s="3" t="s">
        <v>23</v>
      </c>
      <c r="BF85" s="119" t="s">
        <v>23</v>
      </c>
      <c r="BG85" s="49" t="s">
        <v>1378</v>
      </c>
      <c r="BH85" s="49" t="s">
        <v>1383</v>
      </c>
      <c r="BI85" s="3" t="s">
        <v>1166</v>
      </c>
      <c r="BJ85" s="70" t="s">
        <v>1293</v>
      </c>
      <c r="BK85" s="57" t="s">
        <v>1293</v>
      </c>
      <c r="BL85" s="57" t="s">
        <v>1293</v>
      </c>
      <c r="BM85" s="57" t="s">
        <v>1293</v>
      </c>
      <c r="BN85" s="57" t="s">
        <v>1293</v>
      </c>
      <c r="BO85" s="57" t="s">
        <v>1293</v>
      </c>
      <c r="BP85" s="57" t="s">
        <v>1293</v>
      </c>
      <c r="BQ85" s="57" t="s">
        <v>1293</v>
      </c>
      <c r="BR85" s="57" t="s">
        <v>1293</v>
      </c>
      <c r="BS85" s="57" t="s">
        <v>1293</v>
      </c>
      <c r="BT85" s="57" t="s">
        <v>1293</v>
      </c>
      <c r="BU85" s="57" t="s">
        <v>1293</v>
      </c>
      <c r="BV85" s="70">
        <f t="shared" si="226"/>
        <v>33</v>
      </c>
      <c r="BW85" s="71">
        <f t="shared" si="227"/>
        <v>70</v>
      </c>
      <c r="BX85" s="72">
        <f t="shared" si="228"/>
        <v>74</v>
      </c>
      <c r="BY85" s="71">
        <f t="shared" si="229"/>
        <v>106</v>
      </c>
      <c r="BZ85" s="72">
        <f t="shared" si="230"/>
        <v>110</v>
      </c>
      <c r="CA85" s="71">
        <f t="shared" si="231"/>
        <v>146</v>
      </c>
      <c r="CB85" s="72">
        <f t="shared" si="232"/>
        <v>154</v>
      </c>
      <c r="CC85" s="71">
        <f t="shared" si="233"/>
        <v>199</v>
      </c>
      <c r="CD85" s="72">
        <f t="shared" si="234"/>
        <v>204</v>
      </c>
      <c r="CE85" s="71">
        <f t="shared" si="235"/>
        <v>275</v>
      </c>
      <c r="CF85" s="72">
        <f t="shared" si="236"/>
        <v>321</v>
      </c>
      <c r="CG85" s="71">
        <f t="shared" si="237"/>
        <v>346</v>
      </c>
      <c r="CH85" s="70">
        <f t="shared" si="238"/>
        <v>69</v>
      </c>
      <c r="CI85" s="71">
        <f t="shared" si="239"/>
        <v>73</v>
      </c>
      <c r="CJ85" s="72">
        <f t="shared" si="240"/>
        <v>104</v>
      </c>
      <c r="CK85" s="72">
        <f t="shared" si="241"/>
        <v>109</v>
      </c>
      <c r="CL85" s="72">
        <f t="shared" si="242"/>
        <v>145</v>
      </c>
      <c r="CM85" s="72">
        <f t="shared" si="243"/>
        <v>153</v>
      </c>
      <c r="CN85" s="72">
        <f t="shared" si="244"/>
        <v>180</v>
      </c>
      <c r="CO85" s="72">
        <f t="shared" si="245"/>
        <v>201</v>
      </c>
      <c r="CP85" s="72">
        <f t="shared" si="246"/>
        <v>245</v>
      </c>
      <c r="CQ85" s="72">
        <f t="shared" si="247"/>
        <v>316</v>
      </c>
      <c r="CR85" s="72">
        <f t="shared" si="248"/>
        <v>345</v>
      </c>
      <c r="CS85" s="72">
        <f t="shared" si="249"/>
        <v>358</v>
      </c>
      <c r="CT85" s="23">
        <f t="shared" si="250"/>
        <v>1</v>
      </c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1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1"/>
      <c r="AFW85" s="1"/>
      <c r="AFX85" s="1"/>
      <c r="AFY85" s="1"/>
      <c r="AFZ85" s="1"/>
      <c r="AGA85" s="1"/>
      <c r="AGB85" s="1"/>
      <c r="AGC85" s="1"/>
      <c r="AGD85" s="1"/>
      <c r="AGE85" s="1"/>
      <c r="AGF85" s="1"/>
      <c r="AGG85" s="1"/>
      <c r="AGH85" s="1"/>
      <c r="AGI85" s="1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1"/>
      <c r="AHD85" s="1"/>
      <c r="AHE85" s="1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1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1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1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1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1"/>
      <c r="AKR85" s="1"/>
      <c r="AKS85" s="1"/>
      <c r="AKT85" s="1"/>
      <c r="AKU85" s="1"/>
      <c r="AKV85" s="1"/>
      <c r="AKW85" s="1"/>
      <c r="AKX85" s="1"/>
      <c r="AKY85" s="1"/>
      <c r="AKZ85" s="1"/>
      <c r="ALA85" s="1"/>
      <c r="ALB85" s="1"/>
      <c r="ALC85" s="1"/>
      <c r="ALD85" s="1"/>
      <c r="ALE85" s="1"/>
      <c r="ALF85" s="1"/>
      <c r="ALG85" s="1"/>
      <c r="ALH85" s="1"/>
      <c r="ALI85" s="1"/>
      <c r="ALJ85" s="1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1"/>
      <c r="AMB85" s="1"/>
      <c r="AMC85" s="1"/>
      <c r="AMD85" s="1"/>
      <c r="AME85" s="1"/>
      <c r="AMF85" s="1"/>
      <c r="AMG85" s="1"/>
      <c r="AMH85" s="1"/>
      <c r="AMI85" s="1"/>
      <c r="AMJ85" s="1"/>
      <c r="AMK85" s="1"/>
      <c r="AML85" s="1"/>
      <c r="AMM85" s="1"/>
      <c r="AMN85" s="1"/>
      <c r="AMO85" s="1"/>
    </row>
    <row r="86" spans="1:1029" x14ac:dyDescent="0.2">
      <c r="A86" s="3" t="str">
        <f t="shared" si="335"/>
        <v>adrb1_melga_2Y00</v>
      </c>
      <c r="B86" s="3" t="s">
        <v>912</v>
      </c>
      <c r="C86" s="3" t="s">
        <v>1023</v>
      </c>
      <c r="D86" s="3" t="str">
        <f>IFERROR(MID(VLOOKUP($B86,Seqs!$A:$B,2,0),E86,1),"")</f>
        <v>A</v>
      </c>
      <c r="E86" s="3">
        <v>33</v>
      </c>
      <c r="F86" s="3" t="str">
        <f>IFERROR(MID(VLOOKUP($B86,Seqs!$A:$B,2,0),G86,1),"")</f>
        <v>T</v>
      </c>
      <c r="G86" s="3">
        <v>69</v>
      </c>
      <c r="H86" s="3" t="str">
        <f>IFERROR(MID(VLOOKUP($B86,Seqs!$A:$B,2,0),I86,1),"")</f>
        <v>Q</v>
      </c>
      <c r="I86" s="23">
        <v>70</v>
      </c>
      <c r="J86" s="3" t="str">
        <f>IFERROR(MID(VLOOKUP($B86,Seqs!$A:$B,2,0),K86,1),"")</f>
        <v>Q</v>
      </c>
      <c r="K86" s="23">
        <v>73</v>
      </c>
      <c r="L86" s="3" t="str">
        <f>IFERROR(MID(VLOOKUP($B86,Seqs!$A:$B,2,0),M86,1),"")</f>
        <v>T</v>
      </c>
      <c r="M86" s="3">
        <v>74</v>
      </c>
      <c r="N86" s="3" t="str">
        <f>IFERROR(MID(VLOOKUP($B86,Seqs!$A:$B,2,0),O86,1),"")</f>
        <v>R</v>
      </c>
      <c r="O86" s="3">
        <v>104</v>
      </c>
      <c r="P86" s="3" t="str">
        <f>IFERROR(MID(VLOOKUP($B86,Seqs!$A:$B,2,0),Q86,1),"")</f>
        <v>T</v>
      </c>
      <c r="Q86" s="3">
        <v>106</v>
      </c>
      <c r="R86" s="3" t="str">
        <f>IFERROR(MID(VLOOKUP($B86,Seqs!$A:$B,2,0),S86,1),"")</f>
        <v>W</v>
      </c>
      <c r="S86" s="3">
        <v>109</v>
      </c>
      <c r="T86" s="3" t="str">
        <f>IFERROR(MID(VLOOKUP($B86,Seqs!$A:$B,2,0),U86,1),"")</f>
        <v>G</v>
      </c>
      <c r="U86" s="3">
        <v>110</v>
      </c>
      <c r="V86" s="3" t="str">
        <f>IFERROR(MID(VLOOKUP($B86,Seqs!$A:$B,2,0),W86,1),"")</f>
        <v>S</v>
      </c>
      <c r="W86" s="3">
        <v>145</v>
      </c>
      <c r="X86" s="3" t="str">
        <f>IFERROR(MID(VLOOKUP($B86,Seqs!$A:$B,2,0),Y86,1),"")</f>
        <v>P</v>
      </c>
      <c r="Y86" s="3">
        <v>146</v>
      </c>
      <c r="Z86" s="3" t="str">
        <f>IFERROR(MID(VLOOKUP($B86,Seqs!$A:$B,2,0),AA86,1),"")</f>
        <v>M</v>
      </c>
      <c r="AA86" s="3">
        <v>153</v>
      </c>
      <c r="AB86" s="3" t="str">
        <f>IFERROR(MID(VLOOKUP($B86,Seqs!$A:$B,2,0),AC86,1),"")</f>
        <v>T</v>
      </c>
      <c r="AC86" s="9">
        <v>154</v>
      </c>
      <c r="AD86" s="3" t="str">
        <f>IFERROR(MID(VLOOKUP($B86,Seqs!$A:$B,2,0),AE86,1),"")</f>
        <v>H</v>
      </c>
      <c r="AE86" s="3">
        <v>180</v>
      </c>
      <c r="AF86" s="3" t="str">
        <f>IFERROR(MID(VLOOKUP($B86,Seqs!$A:$B,2,0),AG86,1),"")</f>
        <v>C</v>
      </c>
      <c r="AG86" s="3">
        <v>199</v>
      </c>
      <c r="AH86" s="3" t="str">
        <f>IFERROR(MID(VLOOKUP($B86,Seqs!$A:$B,2,0),AI86,1),"")</f>
        <v>F</v>
      </c>
      <c r="AI86" s="3">
        <v>201</v>
      </c>
      <c r="AJ86" s="3" t="str">
        <f>IFERROR(MID(VLOOKUP($B86,Seqs!$A:$B,2,0),AK86,1),"")</f>
        <v>N</v>
      </c>
      <c r="AK86" s="3">
        <v>204</v>
      </c>
      <c r="AL86" s="3" t="str">
        <f>IFERROR(MID(VLOOKUP($B86,Seqs!$A:$B,2,0),AM86,1),"")</f>
        <v>I</v>
      </c>
      <c r="AM86" s="3">
        <v>238</v>
      </c>
      <c r="AN86" s="3" t="str">
        <f>IFERROR(MID(VLOOKUP($B86,Seqs!$A:$B,2,0),AO86,1),"")</f>
        <v>R</v>
      </c>
      <c r="AO86" s="3">
        <v>275</v>
      </c>
      <c r="AP86" s="3" t="str">
        <f>IFERROR(MID(VLOOKUP($B86,Seqs!$A:$B,2,0),AQ86,1),"")</f>
        <v>N</v>
      </c>
      <c r="AQ86" s="3">
        <v>316</v>
      </c>
      <c r="AR86" s="3" t="str">
        <f>IFERROR(MID(VLOOKUP($B86,Seqs!$A:$B,2,0),AS86,1),"")</f>
        <v>P</v>
      </c>
      <c r="AS86" s="3">
        <v>321</v>
      </c>
      <c r="AT86" s="3" t="str">
        <f>IFERROR(MID(VLOOKUP($B86,Seqs!$A:$B,2,0),AU86,1),"")</f>
        <v>R</v>
      </c>
      <c r="AU86" s="3">
        <v>345</v>
      </c>
      <c r="AV86" s="3" t="str">
        <f>IFERROR(MID(VLOOKUP($B86,Seqs!$A:$B,2,0),AW86,1),"")</f>
        <v>S</v>
      </c>
      <c r="AW86" s="3">
        <v>346</v>
      </c>
      <c r="AX86" s="3" t="str">
        <f>IFERROR(MID(VLOOKUP($B86,Seqs!$A:$B,2,0),AY86,1),"")</f>
        <v>C</v>
      </c>
      <c r="AY86" s="3">
        <v>358</v>
      </c>
      <c r="AZ86" s="77" t="str">
        <f>VLOOKUP(B86,Classification!A:D,2,0)</f>
        <v>A</v>
      </c>
      <c r="BA86" s="94" t="str">
        <f>VLOOKUP(B86,Classification!A:D,4,0)</f>
        <v>Adrenoceptors</v>
      </c>
      <c r="BB86" s="27" t="b">
        <f t="shared" si="336"/>
        <v>1</v>
      </c>
      <c r="BC86" s="23">
        <f t="shared" si="225"/>
        <v>265</v>
      </c>
      <c r="BD86" s="4" t="s">
        <v>23</v>
      </c>
      <c r="BE86" s="3" t="s">
        <v>1380</v>
      </c>
      <c r="BF86" s="119">
        <v>2.5</v>
      </c>
      <c r="BG86" s="49" t="s">
        <v>1383</v>
      </c>
      <c r="BH86" s="49" t="s">
        <v>1383</v>
      </c>
      <c r="BI86" s="1"/>
      <c r="BJ86" s="70" t="s">
        <v>1293</v>
      </c>
      <c r="BK86" s="57" t="s">
        <v>1293</v>
      </c>
      <c r="BL86" s="57" t="s">
        <v>1293</v>
      </c>
      <c r="BM86" s="57" t="s">
        <v>1293</v>
      </c>
      <c r="BN86" s="57" t="s">
        <v>1293</v>
      </c>
      <c r="BO86" s="57" t="s">
        <v>1293</v>
      </c>
      <c r="BP86" s="57" t="s">
        <v>1293</v>
      </c>
      <c r="BQ86" s="57" t="s">
        <v>1293</v>
      </c>
      <c r="BR86" s="57" t="s">
        <v>1293</v>
      </c>
      <c r="BS86" s="57" t="s">
        <v>1293</v>
      </c>
      <c r="BT86" s="57" t="s">
        <v>1293</v>
      </c>
      <c r="BU86" s="57" t="s">
        <v>1293</v>
      </c>
      <c r="BV86" s="70">
        <f t="shared" si="226"/>
        <v>33</v>
      </c>
      <c r="BW86" s="71">
        <f t="shared" si="227"/>
        <v>70</v>
      </c>
      <c r="BX86" s="72">
        <f t="shared" si="228"/>
        <v>74</v>
      </c>
      <c r="BY86" s="71">
        <f t="shared" si="229"/>
        <v>106</v>
      </c>
      <c r="BZ86" s="72">
        <f t="shared" si="230"/>
        <v>110</v>
      </c>
      <c r="CA86" s="71">
        <f t="shared" si="231"/>
        <v>146</v>
      </c>
      <c r="CB86" s="72">
        <f t="shared" si="232"/>
        <v>154</v>
      </c>
      <c r="CC86" s="71">
        <f t="shared" si="233"/>
        <v>199</v>
      </c>
      <c r="CD86" s="72">
        <f t="shared" si="234"/>
        <v>204</v>
      </c>
      <c r="CE86" s="71">
        <f t="shared" si="235"/>
        <v>275</v>
      </c>
      <c r="CF86" s="72">
        <f t="shared" si="236"/>
        <v>321</v>
      </c>
      <c r="CG86" s="71">
        <f t="shared" si="237"/>
        <v>346</v>
      </c>
      <c r="CH86" s="70">
        <f t="shared" si="238"/>
        <v>69</v>
      </c>
      <c r="CI86" s="71">
        <f t="shared" si="239"/>
        <v>73</v>
      </c>
      <c r="CJ86" s="72">
        <f t="shared" si="240"/>
        <v>104</v>
      </c>
      <c r="CK86" s="72">
        <f t="shared" si="241"/>
        <v>109</v>
      </c>
      <c r="CL86" s="72">
        <f t="shared" si="242"/>
        <v>145</v>
      </c>
      <c r="CM86" s="72">
        <f t="shared" si="243"/>
        <v>153</v>
      </c>
      <c r="CN86" s="72">
        <f t="shared" si="244"/>
        <v>180</v>
      </c>
      <c r="CO86" s="72">
        <f t="shared" si="245"/>
        <v>201</v>
      </c>
      <c r="CP86" s="72">
        <f t="shared" si="246"/>
        <v>238</v>
      </c>
      <c r="CQ86" s="72">
        <f t="shared" si="247"/>
        <v>316</v>
      </c>
      <c r="CR86" s="72">
        <f t="shared" si="248"/>
        <v>345</v>
      </c>
      <c r="CS86" s="72">
        <f t="shared" si="249"/>
        <v>358</v>
      </c>
      <c r="CT86" s="23">
        <f t="shared" si="250"/>
        <v>1</v>
      </c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  <c r="ADW86" s="1"/>
      <c r="ADX86" s="1"/>
      <c r="ADY86" s="1"/>
      <c r="ADZ86" s="1"/>
      <c r="AEA86" s="1"/>
      <c r="AEB86" s="1"/>
      <c r="AEC86" s="1"/>
      <c r="AED86" s="1"/>
      <c r="AEE86" s="1"/>
      <c r="AEF86" s="1"/>
      <c r="AEG86" s="1"/>
      <c r="AEH86" s="1"/>
      <c r="AEI86" s="1"/>
      <c r="AEJ86" s="1"/>
      <c r="AEK86" s="1"/>
      <c r="AEL86" s="1"/>
      <c r="AEM86" s="1"/>
      <c r="AEN86" s="1"/>
      <c r="AEO86" s="1"/>
      <c r="AEP86" s="1"/>
      <c r="AEQ86" s="1"/>
      <c r="AER86" s="1"/>
      <c r="AES86" s="1"/>
      <c r="AET86" s="1"/>
      <c r="AEU86" s="1"/>
      <c r="AEV86" s="1"/>
      <c r="AEW86" s="1"/>
      <c r="AEX86" s="1"/>
      <c r="AEY86" s="1"/>
      <c r="AEZ86" s="1"/>
      <c r="AFA86" s="1"/>
      <c r="AFB86" s="1"/>
      <c r="AFC86" s="1"/>
      <c r="AFD86" s="1"/>
      <c r="AFE86" s="1"/>
      <c r="AFF86" s="1"/>
      <c r="AFG86" s="1"/>
      <c r="AFH86" s="1"/>
      <c r="AFI86" s="1"/>
      <c r="AFJ86" s="1"/>
      <c r="AFK86" s="1"/>
      <c r="AFL86" s="1"/>
      <c r="AFM86" s="1"/>
      <c r="AFN86" s="1"/>
      <c r="AFO86" s="1"/>
      <c r="AFP86" s="1"/>
      <c r="AFQ86" s="1"/>
      <c r="AFR86" s="1"/>
      <c r="AFS86" s="1"/>
      <c r="AFT86" s="1"/>
      <c r="AFU86" s="1"/>
      <c r="AFV86" s="1"/>
      <c r="AFW86" s="1"/>
      <c r="AFX86" s="1"/>
      <c r="AFY86" s="1"/>
      <c r="AFZ86" s="1"/>
      <c r="AGA86" s="1"/>
      <c r="AGB86" s="1"/>
      <c r="AGC86" s="1"/>
      <c r="AGD86" s="1"/>
      <c r="AGE86" s="1"/>
      <c r="AGF86" s="1"/>
      <c r="AGG86" s="1"/>
      <c r="AGH86" s="1"/>
      <c r="AGI86" s="1"/>
      <c r="AGJ86" s="1"/>
      <c r="AGK86" s="1"/>
      <c r="AGL86" s="1"/>
      <c r="AGM86" s="1"/>
      <c r="AGN86" s="1"/>
      <c r="AGO86" s="1"/>
      <c r="AGP86" s="1"/>
      <c r="AGQ86" s="1"/>
      <c r="AGR86" s="1"/>
      <c r="AGS86" s="1"/>
      <c r="AGT86" s="1"/>
      <c r="AGU86" s="1"/>
      <c r="AGV86" s="1"/>
      <c r="AGW86" s="1"/>
      <c r="AGX86" s="1"/>
      <c r="AGY86" s="1"/>
      <c r="AGZ86" s="1"/>
      <c r="AHA86" s="1"/>
      <c r="AHB86" s="1"/>
      <c r="AHC86" s="1"/>
      <c r="AHD86" s="1"/>
      <c r="AHE86" s="1"/>
      <c r="AHF86" s="1"/>
      <c r="AHG86" s="1"/>
      <c r="AHH86" s="1"/>
      <c r="AHI86" s="1"/>
      <c r="AHJ86" s="1"/>
      <c r="AHK86" s="1"/>
      <c r="AHL86" s="1"/>
      <c r="AHM86" s="1"/>
      <c r="AHN86" s="1"/>
      <c r="AHO86" s="1"/>
      <c r="AHP86" s="1"/>
      <c r="AHQ86" s="1"/>
      <c r="AHR86" s="1"/>
      <c r="AHS86" s="1"/>
      <c r="AHT86" s="1"/>
      <c r="AHU86" s="1"/>
      <c r="AHV86" s="1"/>
      <c r="AHW86" s="1"/>
      <c r="AHX86" s="1"/>
      <c r="AHY86" s="1"/>
      <c r="AHZ86" s="1"/>
      <c r="AIA86" s="1"/>
      <c r="AIB86" s="1"/>
      <c r="AIC86" s="1"/>
      <c r="AID86" s="1"/>
      <c r="AIE86" s="1"/>
      <c r="AIF86" s="1"/>
      <c r="AIG86" s="1"/>
      <c r="AIH86" s="1"/>
      <c r="AII86" s="1"/>
      <c r="AIJ86" s="1"/>
      <c r="AIK86" s="1"/>
      <c r="AIL86" s="1"/>
      <c r="AIM86" s="1"/>
      <c r="AIN86" s="1"/>
      <c r="AIO86" s="1"/>
      <c r="AIP86" s="1"/>
      <c r="AIQ86" s="1"/>
      <c r="AIR86" s="1"/>
      <c r="AIS86" s="1"/>
      <c r="AIT86" s="1"/>
      <c r="AIU86" s="1"/>
      <c r="AIV86" s="1"/>
      <c r="AIW86" s="1"/>
      <c r="AIX86" s="1"/>
      <c r="AIY86" s="1"/>
      <c r="AIZ86" s="1"/>
      <c r="AJA86" s="1"/>
      <c r="AJB86" s="1"/>
      <c r="AJC86" s="1"/>
      <c r="AJD86" s="1"/>
      <c r="AJE86" s="1"/>
      <c r="AJF86" s="1"/>
      <c r="AJG86" s="1"/>
      <c r="AJH86" s="1"/>
      <c r="AJI86" s="1"/>
      <c r="AJJ86" s="1"/>
      <c r="AJK86" s="1"/>
      <c r="AJL86" s="1"/>
      <c r="AJM86" s="1"/>
      <c r="AJN86" s="1"/>
      <c r="AJO86" s="1"/>
      <c r="AJP86" s="1"/>
      <c r="AJQ86" s="1"/>
      <c r="AJR86" s="1"/>
      <c r="AJS86" s="1"/>
      <c r="AJT86" s="1"/>
      <c r="AJU86" s="1"/>
      <c r="AJV86" s="1"/>
      <c r="AJW86" s="1"/>
      <c r="AJX86" s="1"/>
      <c r="AJY86" s="1"/>
      <c r="AJZ86" s="1"/>
      <c r="AKA86" s="1"/>
      <c r="AKB86" s="1"/>
      <c r="AKC86" s="1"/>
      <c r="AKD86" s="1"/>
      <c r="AKE86" s="1"/>
      <c r="AKF86" s="1"/>
      <c r="AKG86" s="1"/>
      <c r="AKH86" s="1"/>
      <c r="AKI86" s="1"/>
      <c r="AKJ86" s="1"/>
      <c r="AKK86" s="1"/>
      <c r="AKL86" s="1"/>
      <c r="AKM86" s="1"/>
      <c r="AKN86" s="1"/>
      <c r="AKO86" s="1"/>
      <c r="AKP86" s="1"/>
      <c r="AKQ86" s="1"/>
      <c r="AKR86" s="1"/>
      <c r="AKS86" s="1"/>
      <c r="AKT86" s="1"/>
      <c r="AKU86" s="1"/>
      <c r="AKV86" s="1"/>
      <c r="AKW86" s="1"/>
      <c r="AKX86" s="1"/>
      <c r="AKY86" s="1"/>
      <c r="AKZ86" s="1"/>
      <c r="ALA86" s="1"/>
      <c r="ALB86" s="1"/>
      <c r="ALC86" s="1"/>
      <c r="ALD86" s="1"/>
      <c r="ALE86" s="1"/>
      <c r="ALF86" s="1"/>
      <c r="ALG86" s="1"/>
      <c r="ALH86" s="1"/>
      <c r="ALI86" s="1"/>
      <c r="ALJ86" s="1"/>
      <c r="ALK86" s="1"/>
      <c r="ALL86" s="1"/>
      <c r="ALM86" s="1"/>
      <c r="ALN86" s="1"/>
      <c r="ALO86" s="1"/>
      <c r="ALP86" s="1"/>
      <c r="ALQ86" s="1"/>
      <c r="ALR86" s="1"/>
      <c r="ALS86" s="1"/>
      <c r="ALT86" s="1"/>
      <c r="ALU86" s="1"/>
      <c r="ALV86" s="1"/>
      <c r="ALW86" s="1"/>
      <c r="ALX86" s="1"/>
      <c r="ALY86" s="1"/>
      <c r="ALZ86" s="1"/>
      <c r="AMA86" s="1"/>
      <c r="AMB86" s="1"/>
      <c r="AMC86" s="1"/>
      <c r="AMD86" s="1"/>
      <c r="AME86" s="1"/>
      <c r="AMF86" s="1"/>
      <c r="AMG86" s="1"/>
      <c r="AMH86" s="1"/>
      <c r="AMI86" s="1"/>
      <c r="AMJ86" s="1"/>
      <c r="AMK86" s="1"/>
      <c r="AML86" s="1"/>
      <c r="AMM86" s="1"/>
      <c r="AMN86" s="1"/>
      <c r="AMO86" s="1"/>
    </row>
    <row r="87" spans="1:1029" x14ac:dyDescent="0.2">
      <c r="A87" s="3" t="str">
        <f t="shared" si="335"/>
        <v>adrb1_melga_2Y02</v>
      </c>
      <c r="B87" s="3" t="s">
        <v>912</v>
      </c>
      <c r="C87" s="3" t="s">
        <v>1024</v>
      </c>
      <c r="D87" s="3" t="str">
        <f>IFERROR(MID(VLOOKUP($B87,Seqs!$A:$B,2,0),E87,1),"")</f>
        <v>A</v>
      </c>
      <c r="E87" s="3">
        <v>33</v>
      </c>
      <c r="F87" s="3" t="str">
        <f>IFERROR(MID(VLOOKUP($B87,Seqs!$A:$B,2,0),G87,1),"")</f>
        <v>T</v>
      </c>
      <c r="G87" s="3">
        <v>69</v>
      </c>
      <c r="H87" s="3" t="str">
        <f>IFERROR(MID(VLOOKUP($B87,Seqs!$A:$B,2,0),I87,1),"")</f>
        <v>Q</v>
      </c>
      <c r="I87" s="23">
        <v>70</v>
      </c>
      <c r="J87" s="3" t="str">
        <f>IFERROR(MID(VLOOKUP($B87,Seqs!$A:$B,2,0),K87,1),"")</f>
        <v>Q</v>
      </c>
      <c r="K87" s="23">
        <v>73</v>
      </c>
      <c r="L87" s="3" t="str">
        <f>IFERROR(MID(VLOOKUP($B87,Seqs!$A:$B,2,0),M87,1),"")</f>
        <v>T</v>
      </c>
      <c r="M87" s="3">
        <v>74</v>
      </c>
      <c r="N87" s="3" t="str">
        <f>IFERROR(MID(VLOOKUP($B87,Seqs!$A:$B,2,0),O87,1),"")</f>
        <v>R</v>
      </c>
      <c r="O87" s="3">
        <v>104</v>
      </c>
      <c r="P87" s="3" t="str">
        <f>IFERROR(MID(VLOOKUP($B87,Seqs!$A:$B,2,0),Q87,1),"")</f>
        <v>T</v>
      </c>
      <c r="Q87" s="3">
        <v>106</v>
      </c>
      <c r="R87" s="3" t="str">
        <f>IFERROR(MID(VLOOKUP($B87,Seqs!$A:$B,2,0),S87,1),"")</f>
        <v>W</v>
      </c>
      <c r="S87" s="3">
        <v>109</v>
      </c>
      <c r="T87" s="3" t="str">
        <f>IFERROR(MID(VLOOKUP($B87,Seqs!$A:$B,2,0),U87,1),"")</f>
        <v>G</v>
      </c>
      <c r="U87" s="3">
        <v>110</v>
      </c>
      <c r="V87" s="3" t="str">
        <f>IFERROR(MID(VLOOKUP($B87,Seqs!$A:$B,2,0),W87,1),"")</f>
        <v>S</v>
      </c>
      <c r="W87" s="3">
        <v>145</v>
      </c>
      <c r="X87" s="3" t="str">
        <f>IFERROR(MID(VLOOKUP($B87,Seqs!$A:$B,2,0),Y87,1),"")</f>
        <v>P</v>
      </c>
      <c r="Y87" s="3">
        <v>146</v>
      </c>
      <c r="Z87" s="3" t="str">
        <f>IFERROR(MID(VLOOKUP($B87,Seqs!$A:$B,2,0),AA87,1),"")</f>
        <v>M</v>
      </c>
      <c r="AA87" s="3">
        <v>153</v>
      </c>
      <c r="AB87" s="3" t="str">
        <f>IFERROR(MID(VLOOKUP($B87,Seqs!$A:$B,2,0),AC87,1),"")</f>
        <v>T</v>
      </c>
      <c r="AC87" s="9">
        <v>154</v>
      </c>
      <c r="AD87" s="3" t="str">
        <f>IFERROR(MID(VLOOKUP($B87,Seqs!$A:$B,2,0),AE87,1),"")</f>
        <v>H</v>
      </c>
      <c r="AE87" s="3">
        <v>180</v>
      </c>
      <c r="AF87" s="3" t="str">
        <f>IFERROR(MID(VLOOKUP($B87,Seqs!$A:$B,2,0),AG87,1),"")</f>
        <v>C</v>
      </c>
      <c r="AG87" s="3">
        <v>199</v>
      </c>
      <c r="AH87" s="3" t="str">
        <f>IFERROR(MID(VLOOKUP($B87,Seqs!$A:$B,2,0),AI87,1),"")</f>
        <v>F</v>
      </c>
      <c r="AI87" s="3">
        <v>201</v>
      </c>
      <c r="AJ87" s="3" t="str">
        <f>IFERROR(MID(VLOOKUP($B87,Seqs!$A:$B,2,0),AK87,1),"")</f>
        <v>N</v>
      </c>
      <c r="AK87" s="3">
        <v>204</v>
      </c>
      <c r="AL87" s="3" t="str">
        <f>IFERROR(MID(VLOOKUP($B87,Seqs!$A:$B,2,0),AM87,1),"")</f>
        <v>I</v>
      </c>
      <c r="AM87" s="3">
        <v>238</v>
      </c>
      <c r="AN87" s="3" t="str">
        <f>IFERROR(MID(VLOOKUP($B87,Seqs!$A:$B,2,0),AO87,1),"")</f>
        <v>R</v>
      </c>
      <c r="AO87" s="3">
        <v>275</v>
      </c>
      <c r="AP87" s="3" t="str">
        <f>IFERROR(MID(VLOOKUP($B87,Seqs!$A:$B,2,0),AQ87,1),"")</f>
        <v>N</v>
      </c>
      <c r="AQ87" s="3">
        <v>316</v>
      </c>
      <c r="AR87" s="3" t="str">
        <f>IFERROR(MID(VLOOKUP($B87,Seqs!$A:$B,2,0),AS87,1),"")</f>
        <v>P</v>
      </c>
      <c r="AS87" s="3">
        <v>321</v>
      </c>
      <c r="AT87" s="3" t="str">
        <f>IFERROR(MID(VLOOKUP($B87,Seqs!$A:$B,2,0),AU87,1),"")</f>
        <v>R</v>
      </c>
      <c r="AU87" s="3">
        <v>345</v>
      </c>
      <c r="AV87" s="3" t="str">
        <f>IFERROR(MID(VLOOKUP($B87,Seqs!$A:$B,2,0),AW87,1),"")</f>
        <v>S</v>
      </c>
      <c r="AW87" s="3">
        <v>346</v>
      </c>
      <c r="AX87" s="3" t="str">
        <f>IFERROR(MID(VLOOKUP($B87,Seqs!$A:$B,2,0),AY87,1),"")</f>
        <v>C</v>
      </c>
      <c r="AY87" s="3">
        <v>358</v>
      </c>
      <c r="AZ87" s="77" t="str">
        <f>VLOOKUP(B87,Classification!A:D,2,0)</f>
        <v>A</v>
      </c>
      <c r="BA87" s="94" t="str">
        <f>VLOOKUP(B87,Classification!A:D,4,0)</f>
        <v>Adrenoceptors</v>
      </c>
      <c r="BB87" s="27" t="b">
        <f t="shared" si="336"/>
        <v>1</v>
      </c>
      <c r="BC87" s="23">
        <f t="shared" si="225"/>
        <v>265</v>
      </c>
      <c r="BD87" s="4" t="s">
        <v>23</v>
      </c>
      <c r="BE87" s="3" t="s">
        <v>1380</v>
      </c>
      <c r="BF87" s="119">
        <v>2.6</v>
      </c>
      <c r="BG87" s="49" t="s">
        <v>1383</v>
      </c>
      <c r="BH87" s="49" t="s">
        <v>1383</v>
      </c>
      <c r="BI87" s="1"/>
      <c r="BJ87" s="70" t="s">
        <v>1293</v>
      </c>
      <c r="BK87" s="57" t="s">
        <v>1293</v>
      </c>
      <c r="BL87" s="57" t="s">
        <v>1293</v>
      </c>
      <c r="BM87" s="57" t="s">
        <v>1293</v>
      </c>
      <c r="BN87" s="57" t="s">
        <v>1293</v>
      </c>
      <c r="BO87" s="57" t="s">
        <v>1293</v>
      </c>
      <c r="BP87" s="57" t="s">
        <v>1293</v>
      </c>
      <c r="BQ87" s="57" t="s">
        <v>1293</v>
      </c>
      <c r="BR87" s="57" t="s">
        <v>1293</v>
      </c>
      <c r="BS87" s="57" t="s">
        <v>1293</v>
      </c>
      <c r="BT87" s="57" t="s">
        <v>1293</v>
      </c>
      <c r="BU87" s="57" t="s">
        <v>1293</v>
      </c>
      <c r="BV87" s="70">
        <f t="shared" si="226"/>
        <v>33</v>
      </c>
      <c r="BW87" s="71">
        <f t="shared" si="227"/>
        <v>70</v>
      </c>
      <c r="BX87" s="72">
        <f t="shared" si="228"/>
        <v>74</v>
      </c>
      <c r="BY87" s="71">
        <f t="shared" si="229"/>
        <v>106</v>
      </c>
      <c r="BZ87" s="72">
        <f t="shared" si="230"/>
        <v>110</v>
      </c>
      <c r="CA87" s="71">
        <f t="shared" si="231"/>
        <v>146</v>
      </c>
      <c r="CB87" s="72">
        <f t="shared" si="232"/>
        <v>154</v>
      </c>
      <c r="CC87" s="71">
        <f t="shared" si="233"/>
        <v>199</v>
      </c>
      <c r="CD87" s="72">
        <f t="shared" si="234"/>
        <v>204</v>
      </c>
      <c r="CE87" s="71">
        <f t="shared" si="235"/>
        <v>275</v>
      </c>
      <c r="CF87" s="72">
        <f t="shared" si="236"/>
        <v>321</v>
      </c>
      <c r="CG87" s="71">
        <f t="shared" si="237"/>
        <v>346</v>
      </c>
      <c r="CH87" s="70">
        <f t="shared" si="238"/>
        <v>69</v>
      </c>
      <c r="CI87" s="71">
        <f t="shared" si="239"/>
        <v>73</v>
      </c>
      <c r="CJ87" s="72">
        <f t="shared" si="240"/>
        <v>104</v>
      </c>
      <c r="CK87" s="72">
        <f t="shared" si="241"/>
        <v>109</v>
      </c>
      <c r="CL87" s="72">
        <f t="shared" si="242"/>
        <v>145</v>
      </c>
      <c r="CM87" s="72">
        <f t="shared" si="243"/>
        <v>153</v>
      </c>
      <c r="CN87" s="72">
        <f t="shared" si="244"/>
        <v>180</v>
      </c>
      <c r="CO87" s="72">
        <f t="shared" si="245"/>
        <v>201</v>
      </c>
      <c r="CP87" s="72">
        <f t="shared" si="246"/>
        <v>238</v>
      </c>
      <c r="CQ87" s="72">
        <f t="shared" si="247"/>
        <v>316</v>
      </c>
      <c r="CR87" s="72">
        <f t="shared" si="248"/>
        <v>345</v>
      </c>
      <c r="CS87" s="72">
        <f t="shared" si="249"/>
        <v>358</v>
      </c>
      <c r="CT87" s="23">
        <f t="shared" si="250"/>
        <v>1</v>
      </c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  <c r="ADW87" s="1"/>
      <c r="ADX87" s="1"/>
      <c r="ADY87" s="1"/>
      <c r="ADZ87" s="1"/>
      <c r="AEA87" s="1"/>
      <c r="AEB87" s="1"/>
      <c r="AEC87" s="1"/>
      <c r="AED87" s="1"/>
      <c r="AEE87" s="1"/>
      <c r="AEF87" s="1"/>
      <c r="AEG87" s="1"/>
      <c r="AEH87" s="1"/>
      <c r="AEI87" s="1"/>
      <c r="AEJ87" s="1"/>
      <c r="AEK87" s="1"/>
      <c r="AEL87" s="1"/>
      <c r="AEM87" s="1"/>
      <c r="AEN87" s="1"/>
      <c r="AEO87" s="1"/>
      <c r="AEP87" s="1"/>
      <c r="AEQ87" s="1"/>
      <c r="AER87" s="1"/>
      <c r="AES87" s="1"/>
      <c r="AET87" s="1"/>
      <c r="AEU87" s="1"/>
      <c r="AEV87" s="1"/>
      <c r="AEW87" s="1"/>
      <c r="AEX87" s="1"/>
      <c r="AEY87" s="1"/>
      <c r="AEZ87" s="1"/>
      <c r="AFA87" s="1"/>
      <c r="AFB87" s="1"/>
      <c r="AFC87" s="1"/>
      <c r="AFD87" s="1"/>
      <c r="AFE87" s="1"/>
      <c r="AFF87" s="1"/>
      <c r="AFG87" s="1"/>
      <c r="AFH87" s="1"/>
      <c r="AFI87" s="1"/>
      <c r="AFJ87" s="1"/>
      <c r="AFK87" s="1"/>
      <c r="AFL87" s="1"/>
      <c r="AFM87" s="1"/>
      <c r="AFN87" s="1"/>
      <c r="AFO87" s="1"/>
      <c r="AFP87" s="1"/>
      <c r="AFQ87" s="1"/>
      <c r="AFR87" s="1"/>
      <c r="AFS87" s="1"/>
      <c r="AFT87" s="1"/>
      <c r="AFU87" s="1"/>
      <c r="AFV87" s="1"/>
      <c r="AFW87" s="1"/>
      <c r="AFX87" s="1"/>
      <c r="AFY87" s="1"/>
      <c r="AFZ87" s="1"/>
      <c r="AGA87" s="1"/>
      <c r="AGB87" s="1"/>
      <c r="AGC87" s="1"/>
      <c r="AGD87" s="1"/>
      <c r="AGE87" s="1"/>
      <c r="AGF87" s="1"/>
      <c r="AGG87" s="1"/>
      <c r="AGH87" s="1"/>
      <c r="AGI87" s="1"/>
      <c r="AGJ87" s="1"/>
      <c r="AGK87" s="1"/>
      <c r="AGL87" s="1"/>
      <c r="AGM87" s="1"/>
      <c r="AGN87" s="1"/>
      <c r="AGO87" s="1"/>
      <c r="AGP87" s="1"/>
      <c r="AGQ87" s="1"/>
      <c r="AGR87" s="1"/>
      <c r="AGS87" s="1"/>
      <c r="AGT87" s="1"/>
      <c r="AGU87" s="1"/>
      <c r="AGV87" s="1"/>
      <c r="AGW87" s="1"/>
      <c r="AGX87" s="1"/>
      <c r="AGY87" s="1"/>
      <c r="AGZ87" s="1"/>
      <c r="AHA87" s="1"/>
      <c r="AHB87" s="1"/>
      <c r="AHC87" s="1"/>
      <c r="AHD87" s="1"/>
      <c r="AHE87" s="1"/>
      <c r="AHF87" s="1"/>
      <c r="AHG87" s="1"/>
      <c r="AHH87" s="1"/>
      <c r="AHI87" s="1"/>
      <c r="AHJ87" s="1"/>
      <c r="AHK87" s="1"/>
      <c r="AHL87" s="1"/>
      <c r="AHM87" s="1"/>
      <c r="AHN87" s="1"/>
      <c r="AHO87" s="1"/>
      <c r="AHP87" s="1"/>
      <c r="AHQ87" s="1"/>
      <c r="AHR87" s="1"/>
      <c r="AHS87" s="1"/>
      <c r="AHT87" s="1"/>
      <c r="AHU87" s="1"/>
      <c r="AHV87" s="1"/>
      <c r="AHW87" s="1"/>
      <c r="AHX87" s="1"/>
      <c r="AHY87" s="1"/>
      <c r="AHZ87" s="1"/>
      <c r="AIA87" s="1"/>
      <c r="AIB87" s="1"/>
      <c r="AIC87" s="1"/>
      <c r="AID87" s="1"/>
      <c r="AIE87" s="1"/>
      <c r="AIF87" s="1"/>
      <c r="AIG87" s="1"/>
      <c r="AIH87" s="1"/>
      <c r="AII87" s="1"/>
      <c r="AIJ87" s="1"/>
      <c r="AIK87" s="1"/>
      <c r="AIL87" s="1"/>
      <c r="AIM87" s="1"/>
      <c r="AIN87" s="1"/>
      <c r="AIO87" s="1"/>
      <c r="AIP87" s="1"/>
      <c r="AIQ87" s="1"/>
      <c r="AIR87" s="1"/>
      <c r="AIS87" s="1"/>
      <c r="AIT87" s="1"/>
      <c r="AIU87" s="1"/>
      <c r="AIV87" s="1"/>
      <c r="AIW87" s="1"/>
      <c r="AIX87" s="1"/>
      <c r="AIY87" s="1"/>
      <c r="AIZ87" s="1"/>
      <c r="AJA87" s="1"/>
      <c r="AJB87" s="1"/>
      <c r="AJC87" s="1"/>
      <c r="AJD87" s="1"/>
      <c r="AJE87" s="1"/>
      <c r="AJF87" s="1"/>
      <c r="AJG87" s="1"/>
      <c r="AJH87" s="1"/>
      <c r="AJI87" s="1"/>
      <c r="AJJ87" s="1"/>
      <c r="AJK87" s="1"/>
      <c r="AJL87" s="1"/>
      <c r="AJM87" s="1"/>
      <c r="AJN87" s="1"/>
      <c r="AJO87" s="1"/>
      <c r="AJP87" s="1"/>
      <c r="AJQ87" s="1"/>
      <c r="AJR87" s="1"/>
      <c r="AJS87" s="1"/>
      <c r="AJT87" s="1"/>
      <c r="AJU87" s="1"/>
      <c r="AJV87" s="1"/>
      <c r="AJW87" s="1"/>
      <c r="AJX87" s="1"/>
      <c r="AJY87" s="1"/>
      <c r="AJZ87" s="1"/>
      <c r="AKA87" s="1"/>
      <c r="AKB87" s="1"/>
      <c r="AKC87" s="1"/>
      <c r="AKD87" s="1"/>
      <c r="AKE87" s="1"/>
      <c r="AKF87" s="1"/>
      <c r="AKG87" s="1"/>
      <c r="AKH87" s="1"/>
      <c r="AKI87" s="1"/>
      <c r="AKJ87" s="1"/>
      <c r="AKK87" s="1"/>
      <c r="AKL87" s="1"/>
      <c r="AKM87" s="1"/>
      <c r="AKN87" s="1"/>
      <c r="AKO87" s="1"/>
      <c r="AKP87" s="1"/>
      <c r="AKQ87" s="1"/>
      <c r="AKR87" s="1"/>
      <c r="AKS87" s="1"/>
      <c r="AKT87" s="1"/>
      <c r="AKU87" s="1"/>
      <c r="AKV87" s="1"/>
      <c r="AKW87" s="1"/>
      <c r="AKX87" s="1"/>
      <c r="AKY87" s="1"/>
      <c r="AKZ87" s="1"/>
      <c r="ALA87" s="1"/>
      <c r="ALB87" s="1"/>
      <c r="ALC87" s="1"/>
      <c r="ALD87" s="1"/>
      <c r="ALE87" s="1"/>
      <c r="ALF87" s="1"/>
      <c r="ALG87" s="1"/>
      <c r="ALH87" s="1"/>
      <c r="ALI87" s="1"/>
      <c r="ALJ87" s="1"/>
      <c r="ALK87" s="1"/>
      <c r="ALL87" s="1"/>
      <c r="ALM87" s="1"/>
      <c r="ALN87" s="1"/>
      <c r="ALO87" s="1"/>
      <c r="ALP87" s="1"/>
      <c r="ALQ87" s="1"/>
      <c r="ALR87" s="1"/>
      <c r="ALS87" s="1"/>
      <c r="ALT87" s="1"/>
      <c r="ALU87" s="1"/>
      <c r="ALV87" s="1"/>
      <c r="ALW87" s="1"/>
      <c r="ALX87" s="1"/>
      <c r="ALY87" s="1"/>
      <c r="ALZ87" s="1"/>
      <c r="AMA87" s="1"/>
      <c r="AMB87" s="1"/>
      <c r="AMC87" s="1"/>
      <c r="AMD87" s="1"/>
      <c r="AME87" s="1"/>
      <c r="AMF87" s="1"/>
      <c r="AMG87" s="1"/>
      <c r="AMH87" s="1"/>
      <c r="AMI87" s="1"/>
      <c r="AMJ87" s="1"/>
      <c r="AMK87" s="1"/>
      <c r="AML87" s="1"/>
      <c r="AMM87" s="1"/>
      <c r="AMN87" s="1"/>
      <c r="AMO87" s="1"/>
    </row>
    <row r="88" spans="1:1029" x14ac:dyDescent="0.2">
      <c r="A88" s="3" t="str">
        <f t="shared" si="335"/>
        <v>adrb1_melga_2Y03</v>
      </c>
      <c r="B88" s="3" t="s">
        <v>912</v>
      </c>
      <c r="C88" s="3" t="s">
        <v>1025</v>
      </c>
      <c r="D88" s="3" t="str">
        <f>IFERROR(MID(VLOOKUP($B88,Seqs!$A:$B,2,0),E88,1),"")</f>
        <v>A</v>
      </c>
      <c r="E88" s="3">
        <v>33</v>
      </c>
      <c r="F88" s="3" t="str">
        <f>IFERROR(MID(VLOOKUP($B88,Seqs!$A:$B,2,0),G88,1),"")</f>
        <v>T</v>
      </c>
      <c r="G88" s="3">
        <v>69</v>
      </c>
      <c r="H88" s="3" t="str">
        <f>IFERROR(MID(VLOOKUP($B88,Seqs!$A:$B,2,0),I88,1),"")</f>
        <v>Q</v>
      </c>
      <c r="I88" s="23">
        <v>70</v>
      </c>
      <c r="J88" s="3" t="str">
        <f>IFERROR(MID(VLOOKUP($B88,Seqs!$A:$B,2,0),K88,1),"")</f>
        <v>Q</v>
      </c>
      <c r="K88" s="23">
        <v>73</v>
      </c>
      <c r="L88" s="3" t="str">
        <f>IFERROR(MID(VLOOKUP($B88,Seqs!$A:$B,2,0),M88,1),"")</f>
        <v>T</v>
      </c>
      <c r="M88" s="3">
        <v>74</v>
      </c>
      <c r="N88" s="3" t="str">
        <f>IFERROR(MID(VLOOKUP($B88,Seqs!$A:$B,2,0),O88,1),"")</f>
        <v>R</v>
      </c>
      <c r="O88" s="3">
        <v>104</v>
      </c>
      <c r="P88" s="3" t="str">
        <f>IFERROR(MID(VLOOKUP($B88,Seqs!$A:$B,2,0),Q88,1),"")</f>
        <v>T</v>
      </c>
      <c r="Q88" s="3">
        <v>106</v>
      </c>
      <c r="R88" s="3" t="str">
        <f>IFERROR(MID(VLOOKUP($B88,Seqs!$A:$B,2,0),S88,1),"")</f>
        <v>W</v>
      </c>
      <c r="S88" s="3">
        <v>109</v>
      </c>
      <c r="T88" s="3" t="str">
        <f>IFERROR(MID(VLOOKUP($B88,Seqs!$A:$B,2,0),U88,1),"")</f>
        <v>G</v>
      </c>
      <c r="U88" s="3">
        <v>110</v>
      </c>
      <c r="V88" s="3" t="str">
        <f>IFERROR(MID(VLOOKUP($B88,Seqs!$A:$B,2,0),W88,1),"")</f>
        <v>S</v>
      </c>
      <c r="W88" s="3">
        <v>145</v>
      </c>
      <c r="X88" s="3" t="str">
        <f>IFERROR(MID(VLOOKUP($B88,Seqs!$A:$B,2,0),Y88,1),"")</f>
        <v>P</v>
      </c>
      <c r="Y88" s="3">
        <v>146</v>
      </c>
      <c r="Z88" s="3" t="str">
        <f>IFERROR(MID(VLOOKUP($B88,Seqs!$A:$B,2,0),AA88,1),"")</f>
        <v>M</v>
      </c>
      <c r="AA88" s="3">
        <v>153</v>
      </c>
      <c r="AB88" s="3" t="str">
        <f>IFERROR(MID(VLOOKUP($B88,Seqs!$A:$B,2,0),AC88,1),"")</f>
        <v>T</v>
      </c>
      <c r="AC88" s="9">
        <v>154</v>
      </c>
      <c r="AD88" s="3" t="str">
        <f>IFERROR(MID(VLOOKUP($B88,Seqs!$A:$B,2,0),AE88,1),"")</f>
        <v>H</v>
      </c>
      <c r="AE88" s="3">
        <v>180</v>
      </c>
      <c r="AF88" s="3" t="str">
        <f>IFERROR(MID(VLOOKUP($B88,Seqs!$A:$B,2,0),AG88,1),"")</f>
        <v>C</v>
      </c>
      <c r="AG88" s="3">
        <v>199</v>
      </c>
      <c r="AH88" s="3" t="str">
        <f>IFERROR(MID(VLOOKUP($B88,Seqs!$A:$B,2,0),AI88,1),"")</f>
        <v>F</v>
      </c>
      <c r="AI88" s="3">
        <v>201</v>
      </c>
      <c r="AJ88" s="3" t="str">
        <f>IFERROR(MID(VLOOKUP($B88,Seqs!$A:$B,2,0),AK88,1),"")</f>
        <v>N</v>
      </c>
      <c r="AK88" s="3">
        <v>204</v>
      </c>
      <c r="AL88" s="3" t="str">
        <f>IFERROR(MID(VLOOKUP($B88,Seqs!$A:$B,2,0),AM88,1),"")</f>
        <v>I</v>
      </c>
      <c r="AM88" s="3">
        <v>238</v>
      </c>
      <c r="AN88" s="3" t="str">
        <f>IFERROR(MID(VLOOKUP($B88,Seqs!$A:$B,2,0),AO88,1),"")</f>
        <v>R</v>
      </c>
      <c r="AO88" s="3">
        <v>275</v>
      </c>
      <c r="AP88" s="3" t="str">
        <f>IFERROR(MID(VLOOKUP($B88,Seqs!$A:$B,2,0),AQ88,1),"")</f>
        <v>N</v>
      </c>
      <c r="AQ88" s="3">
        <v>316</v>
      </c>
      <c r="AR88" s="3" t="str">
        <f>IFERROR(MID(VLOOKUP($B88,Seqs!$A:$B,2,0),AS88,1),"")</f>
        <v>P</v>
      </c>
      <c r="AS88" s="3">
        <v>321</v>
      </c>
      <c r="AT88" s="3" t="str">
        <f>IFERROR(MID(VLOOKUP($B88,Seqs!$A:$B,2,0),AU88,1),"")</f>
        <v>R</v>
      </c>
      <c r="AU88" s="3">
        <v>345</v>
      </c>
      <c r="AV88" s="3" t="str">
        <f>IFERROR(MID(VLOOKUP($B88,Seqs!$A:$B,2,0),AW88,1),"")</f>
        <v>S</v>
      </c>
      <c r="AW88" s="3">
        <v>346</v>
      </c>
      <c r="AX88" s="3" t="str">
        <f>IFERROR(MID(VLOOKUP($B88,Seqs!$A:$B,2,0),AY88,1),"")</f>
        <v>C</v>
      </c>
      <c r="AY88" s="3">
        <v>358</v>
      </c>
      <c r="AZ88" s="77" t="str">
        <f>VLOOKUP(B88,Classification!A:D,2,0)</f>
        <v>A</v>
      </c>
      <c r="BA88" s="94" t="str">
        <f>VLOOKUP(B88,Classification!A:D,4,0)</f>
        <v>Adrenoceptors</v>
      </c>
      <c r="BB88" s="27" t="b">
        <f t="shared" si="336"/>
        <v>1</v>
      </c>
      <c r="BC88" s="23">
        <f t="shared" si="225"/>
        <v>265</v>
      </c>
      <c r="BD88" s="4" t="s">
        <v>23</v>
      </c>
      <c r="BE88" s="3" t="s">
        <v>1380</v>
      </c>
      <c r="BF88" s="119">
        <v>2.85</v>
      </c>
      <c r="BG88" s="49" t="s">
        <v>1383</v>
      </c>
      <c r="BH88" s="49" t="s">
        <v>1383</v>
      </c>
      <c r="BI88" s="1"/>
      <c r="BJ88" s="70" t="s">
        <v>1293</v>
      </c>
      <c r="BK88" s="57" t="s">
        <v>1293</v>
      </c>
      <c r="BL88" s="57" t="s">
        <v>1293</v>
      </c>
      <c r="BM88" s="57" t="s">
        <v>1293</v>
      </c>
      <c r="BN88" s="57" t="s">
        <v>1293</v>
      </c>
      <c r="BO88" s="57" t="s">
        <v>1293</v>
      </c>
      <c r="BP88" s="57" t="s">
        <v>1293</v>
      </c>
      <c r="BQ88" s="57" t="s">
        <v>1293</v>
      </c>
      <c r="BR88" s="57" t="s">
        <v>1293</v>
      </c>
      <c r="BS88" s="57" t="s">
        <v>1293</v>
      </c>
      <c r="BT88" s="57" t="s">
        <v>1293</v>
      </c>
      <c r="BU88" s="57" t="s">
        <v>1293</v>
      </c>
      <c r="BV88" s="70">
        <f t="shared" si="226"/>
        <v>33</v>
      </c>
      <c r="BW88" s="71">
        <f t="shared" si="227"/>
        <v>70</v>
      </c>
      <c r="BX88" s="72">
        <f t="shared" si="228"/>
        <v>74</v>
      </c>
      <c r="BY88" s="71">
        <f t="shared" si="229"/>
        <v>106</v>
      </c>
      <c r="BZ88" s="72">
        <f t="shared" si="230"/>
        <v>110</v>
      </c>
      <c r="CA88" s="71">
        <f t="shared" si="231"/>
        <v>146</v>
      </c>
      <c r="CB88" s="72">
        <f t="shared" si="232"/>
        <v>154</v>
      </c>
      <c r="CC88" s="71">
        <f t="shared" si="233"/>
        <v>199</v>
      </c>
      <c r="CD88" s="72">
        <f t="shared" si="234"/>
        <v>204</v>
      </c>
      <c r="CE88" s="71">
        <f t="shared" si="235"/>
        <v>275</v>
      </c>
      <c r="CF88" s="72">
        <f t="shared" si="236"/>
        <v>321</v>
      </c>
      <c r="CG88" s="71">
        <f t="shared" si="237"/>
        <v>346</v>
      </c>
      <c r="CH88" s="70">
        <f t="shared" si="238"/>
        <v>69</v>
      </c>
      <c r="CI88" s="71">
        <f t="shared" si="239"/>
        <v>73</v>
      </c>
      <c r="CJ88" s="72">
        <f t="shared" si="240"/>
        <v>104</v>
      </c>
      <c r="CK88" s="72">
        <f t="shared" si="241"/>
        <v>109</v>
      </c>
      <c r="CL88" s="72">
        <f t="shared" si="242"/>
        <v>145</v>
      </c>
      <c r="CM88" s="72">
        <f t="shared" si="243"/>
        <v>153</v>
      </c>
      <c r="CN88" s="72">
        <f t="shared" si="244"/>
        <v>180</v>
      </c>
      <c r="CO88" s="72">
        <f t="shared" si="245"/>
        <v>201</v>
      </c>
      <c r="CP88" s="72">
        <f t="shared" si="246"/>
        <v>238</v>
      </c>
      <c r="CQ88" s="72">
        <f t="shared" si="247"/>
        <v>316</v>
      </c>
      <c r="CR88" s="72">
        <f t="shared" si="248"/>
        <v>345</v>
      </c>
      <c r="CS88" s="72">
        <f t="shared" si="249"/>
        <v>358</v>
      </c>
      <c r="CT88" s="23">
        <f t="shared" si="250"/>
        <v>1</v>
      </c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  <c r="ADW88" s="1"/>
      <c r="ADX88" s="1"/>
      <c r="ADY88" s="1"/>
      <c r="ADZ88" s="1"/>
      <c r="AEA88" s="1"/>
      <c r="AEB88" s="1"/>
      <c r="AEC88" s="1"/>
      <c r="AED88" s="1"/>
      <c r="AEE88" s="1"/>
      <c r="AEF88" s="1"/>
      <c r="AEG88" s="1"/>
      <c r="AEH88" s="1"/>
      <c r="AEI88" s="1"/>
      <c r="AEJ88" s="1"/>
      <c r="AEK88" s="1"/>
      <c r="AEL88" s="1"/>
      <c r="AEM88" s="1"/>
      <c r="AEN88" s="1"/>
      <c r="AEO88" s="1"/>
      <c r="AEP88" s="1"/>
      <c r="AEQ88" s="1"/>
      <c r="AER88" s="1"/>
      <c r="AES88" s="1"/>
      <c r="AET88" s="1"/>
      <c r="AEU88" s="1"/>
      <c r="AEV88" s="1"/>
      <c r="AEW88" s="1"/>
      <c r="AEX88" s="1"/>
      <c r="AEY88" s="1"/>
      <c r="AEZ88" s="1"/>
      <c r="AFA88" s="1"/>
      <c r="AFB88" s="1"/>
      <c r="AFC88" s="1"/>
      <c r="AFD88" s="1"/>
      <c r="AFE88" s="1"/>
      <c r="AFF88" s="1"/>
      <c r="AFG88" s="1"/>
      <c r="AFH88" s="1"/>
      <c r="AFI88" s="1"/>
      <c r="AFJ88" s="1"/>
      <c r="AFK88" s="1"/>
      <c r="AFL88" s="1"/>
      <c r="AFM88" s="1"/>
      <c r="AFN88" s="1"/>
      <c r="AFO88" s="1"/>
      <c r="AFP88" s="1"/>
      <c r="AFQ88" s="1"/>
      <c r="AFR88" s="1"/>
      <c r="AFS88" s="1"/>
      <c r="AFT88" s="1"/>
      <c r="AFU88" s="1"/>
      <c r="AFV88" s="1"/>
      <c r="AFW88" s="1"/>
      <c r="AFX88" s="1"/>
      <c r="AFY88" s="1"/>
      <c r="AFZ88" s="1"/>
      <c r="AGA88" s="1"/>
      <c r="AGB88" s="1"/>
      <c r="AGC88" s="1"/>
      <c r="AGD88" s="1"/>
      <c r="AGE88" s="1"/>
      <c r="AGF88" s="1"/>
      <c r="AGG88" s="1"/>
      <c r="AGH88" s="1"/>
      <c r="AGI88" s="1"/>
      <c r="AGJ88" s="1"/>
      <c r="AGK88" s="1"/>
      <c r="AGL88" s="1"/>
      <c r="AGM88" s="1"/>
      <c r="AGN88" s="1"/>
      <c r="AGO88" s="1"/>
      <c r="AGP88" s="1"/>
      <c r="AGQ88" s="1"/>
      <c r="AGR88" s="1"/>
      <c r="AGS88" s="1"/>
      <c r="AGT88" s="1"/>
      <c r="AGU88" s="1"/>
      <c r="AGV88" s="1"/>
      <c r="AGW88" s="1"/>
      <c r="AGX88" s="1"/>
      <c r="AGY88" s="1"/>
      <c r="AGZ88" s="1"/>
      <c r="AHA88" s="1"/>
      <c r="AHB88" s="1"/>
      <c r="AHC88" s="1"/>
      <c r="AHD88" s="1"/>
      <c r="AHE88" s="1"/>
      <c r="AHF88" s="1"/>
      <c r="AHG88" s="1"/>
      <c r="AHH88" s="1"/>
      <c r="AHI88" s="1"/>
      <c r="AHJ88" s="1"/>
      <c r="AHK88" s="1"/>
      <c r="AHL88" s="1"/>
      <c r="AHM88" s="1"/>
      <c r="AHN88" s="1"/>
      <c r="AHO88" s="1"/>
      <c r="AHP88" s="1"/>
      <c r="AHQ88" s="1"/>
      <c r="AHR88" s="1"/>
      <c r="AHS88" s="1"/>
      <c r="AHT88" s="1"/>
      <c r="AHU88" s="1"/>
      <c r="AHV88" s="1"/>
      <c r="AHW88" s="1"/>
      <c r="AHX88" s="1"/>
      <c r="AHY88" s="1"/>
      <c r="AHZ88" s="1"/>
      <c r="AIA88" s="1"/>
      <c r="AIB88" s="1"/>
      <c r="AIC88" s="1"/>
      <c r="AID88" s="1"/>
      <c r="AIE88" s="1"/>
      <c r="AIF88" s="1"/>
      <c r="AIG88" s="1"/>
      <c r="AIH88" s="1"/>
      <c r="AII88" s="1"/>
      <c r="AIJ88" s="1"/>
      <c r="AIK88" s="1"/>
      <c r="AIL88" s="1"/>
      <c r="AIM88" s="1"/>
      <c r="AIN88" s="1"/>
      <c r="AIO88" s="1"/>
      <c r="AIP88" s="1"/>
      <c r="AIQ88" s="1"/>
      <c r="AIR88" s="1"/>
      <c r="AIS88" s="1"/>
      <c r="AIT88" s="1"/>
      <c r="AIU88" s="1"/>
      <c r="AIV88" s="1"/>
      <c r="AIW88" s="1"/>
      <c r="AIX88" s="1"/>
      <c r="AIY88" s="1"/>
      <c r="AIZ88" s="1"/>
      <c r="AJA88" s="1"/>
      <c r="AJB88" s="1"/>
      <c r="AJC88" s="1"/>
      <c r="AJD88" s="1"/>
      <c r="AJE88" s="1"/>
      <c r="AJF88" s="1"/>
      <c r="AJG88" s="1"/>
      <c r="AJH88" s="1"/>
      <c r="AJI88" s="1"/>
      <c r="AJJ88" s="1"/>
      <c r="AJK88" s="1"/>
      <c r="AJL88" s="1"/>
      <c r="AJM88" s="1"/>
      <c r="AJN88" s="1"/>
      <c r="AJO88" s="1"/>
      <c r="AJP88" s="1"/>
      <c r="AJQ88" s="1"/>
      <c r="AJR88" s="1"/>
      <c r="AJS88" s="1"/>
      <c r="AJT88" s="1"/>
      <c r="AJU88" s="1"/>
      <c r="AJV88" s="1"/>
      <c r="AJW88" s="1"/>
      <c r="AJX88" s="1"/>
      <c r="AJY88" s="1"/>
      <c r="AJZ88" s="1"/>
      <c r="AKA88" s="1"/>
      <c r="AKB88" s="1"/>
      <c r="AKC88" s="1"/>
      <c r="AKD88" s="1"/>
      <c r="AKE88" s="1"/>
      <c r="AKF88" s="1"/>
      <c r="AKG88" s="1"/>
      <c r="AKH88" s="1"/>
      <c r="AKI88" s="1"/>
      <c r="AKJ88" s="1"/>
      <c r="AKK88" s="1"/>
      <c r="AKL88" s="1"/>
      <c r="AKM88" s="1"/>
      <c r="AKN88" s="1"/>
      <c r="AKO88" s="1"/>
      <c r="AKP88" s="1"/>
      <c r="AKQ88" s="1"/>
      <c r="AKR88" s="1"/>
      <c r="AKS88" s="1"/>
      <c r="AKT88" s="1"/>
      <c r="AKU88" s="1"/>
      <c r="AKV88" s="1"/>
      <c r="AKW88" s="1"/>
      <c r="AKX88" s="1"/>
      <c r="AKY88" s="1"/>
      <c r="AKZ88" s="1"/>
      <c r="ALA88" s="1"/>
      <c r="ALB88" s="1"/>
      <c r="ALC88" s="1"/>
      <c r="ALD88" s="1"/>
      <c r="ALE88" s="1"/>
      <c r="ALF88" s="1"/>
      <c r="ALG88" s="1"/>
      <c r="ALH88" s="1"/>
      <c r="ALI88" s="1"/>
      <c r="ALJ88" s="1"/>
      <c r="ALK88" s="1"/>
      <c r="ALL88" s="1"/>
      <c r="ALM88" s="1"/>
      <c r="ALN88" s="1"/>
      <c r="ALO88" s="1"/>
      <c r="ALP88" s="1"/>
      <c r="ALQ88" s="1"/>
      <c r="ALR88" s="1"/>
      <c r="ALS88" s="1"/>
      <c r="ALT88" s="1"/>
      <c r="ALU88" s="1"/>
      <c r="ALV88" s="1"/>
      <c r="ALW88" s="1"/>
      <c r="ALX88" s="1"/>
      <c r="ALY88" s="1"/>
      <c r="ALZ88" s="1"/>
      <c r="AMA88" s="1"/>
      <c r="AMB88" s="1"/>
      <c r="AMC88" s="1"/>
      <c r="AMD88" s="1"/>
      <c r="AME88" s="1"/>
      <c r="AMF88" s="1"/>
      <c r="AMG88" s="1"/>
      <c r="AMH88" s="1"/>
      <c r="AMI88" s="1"/>
      <c r="AMJ88" s="1"/>
      <c r="AMK88" s="1"/>
      <c r="AML88" s="1"/>
      <c r="AMM88" s="1"/>
      <c r="AMN88" s="1"/>
      <c r="AMO88" s="1"/>
    </row>
    <row r="89" spans="1:1029" x14ac:dyDescent="0.2">
      <c r="A89" s="3" t="str">
        <f t="shared" si="335"/>
        <v>adrb1_melga_2Y04</v>
      </c>
      <c r="B89" s="3" t="s">
        <v>912</v>
      </c>
      <c r="C89" s="3" t="s">
        <v>1026</v>
      </c>
      <c r="D89" s="3" t="str">
        <f>IFERROR(MID(VLOOKUP($B89,Seqs!$A:$B,2,0),E89,1),"")</f>
        <v>A</v>
      </c>
      <c r="E89" s="3">
        <v>33</v>
      </c>
      <c r="F89" s="3" t="str">
        <f>IFERROR(MID(VLOOKUP($B89,Seqs!$A:$B,2,0),G89,1),"")</f>
        <v>T</v>
      </c>
      <c r="G89" s="3">
        <v>69</v>
      </c>
      <c r="H89" s="3" t="str">
        <f>IFERROR(MID(VLOOKUP($B89,Seqs!$A:$B,2,0),I89,1),"")</f>
        <v>Q</v>
      </c>
      <c r="I89" s="23">
        <v>70</v>
      </c>
      <c r="J89" s="3" t="str">
        <f>IFERROR(MID(VLOOKUP($B89,Seqs!$A:$B,2,0),K89,1),"")</f>
        <v>Q</v>
      </c>
      <c r="K89" s="23">
        <v>73</v>
      </c>
      <c r="L89" s="3" t="str">
        <f>IFERROR(MID(VLOOKUP($B89,Seqs!$A:$B,2,0),M89,1),"")</f>
        <v>T</v>
      </c>
      <c r="M89" s="3">
        <v>74</v>
      </c>
      <c r="N89" s="3" t="str">
        <f>IFERROR(MID(VLOOKUP($B89,Seqs!$A:$B,2,0),O89,1),"")</f>
        <v>R</v>
      </c>
      <c r="O89" s="3">
        <v>104</v>
      </c>
      <c r="P89" s="3" t="str">
        <f>IFERROR(MID(VLOOKUP($B89,Seqs!$A:$B,2,0),Q89,1),"")</f>
        <v>T</v>
      </c>
      <c r="Q89" s="3">
        <v>106</v>
      </c>
      <c r="R89" s="3" t="str">
        <f>IFERROR(MID(VLOOKUP($B89,Seqs!$A:$B,2,0),S89,1),"")</f>
        <v>W</v>
      </c>
      <c r="S89" s="3">
        <v>109</v>
      </c>
      <c r="T89" s="3" t="str">
        <f>IFERROR(MID(VLOOKUP($B89,Seqs!$A:$B,2,0),U89,1),"")</f>
        <v>G</v>
      </c>
      <c r="U89" s="3">
        <v>110</v>
      </c>
      <c r="V89" s="3" t="str">
        <f>IFERROR(MID(VLOOKUP($B89,Seqs!$A:$B,2,0),W89,1),"")</f>
        <v>S</v>
      </c>
      <c r="W89" s="3">
        <v>145</v>
      </c>
      <c r="X89" s="3" t="str">
        <f>IFERROR(MID(VLOOKUP($B89,Seqs!$A:$B,2,0),Y89,1),"")</f>
        <v>P</v>
      </c>
      <c r="Y89" s="3">
        <v>146</v>
      </c>
      <c r="Z89" s="3" t="str">
        <f>IFERROR(MID(VLOOKUP($B89,Seqs!$A:$B,2,0),AA89,1),"")</f>
        <v>M</v>
      </c>
      <c r="AA89" s="3">
        <v>153</v>
      </c>
      <c r="AB89" s="3" t="str">
        <f>IFERROR(MID(VLOOKUP($B89,Seqs!$A:$B,2,0),AC89,1),"")</f>
        <v>T</v>
      </c>
      <c r="AC89" s="9">
        <v>154</v>
      </c>
      <c r="AD89" s="3" t="str">
        <f>IFERROR(MID(VLOOKUP($B89,Seqs!$A:$B,2,0),AE89,1),"")</f>
        <v>H</v>
      </c>
      <c r="AE89" s="3">
        <v>180</v>
      </c>
      <c r="AF89" s="3" t="str">
        <f>IFERROR(MID(VLOOKUP($B89,Seqs!$A:$B,2,0),AG89,1),"")</f>
        <v>C</v>
      </c>
      <c r="AG89" s="3">
        <v>199</v>
      </c>
      <c r="AH89" s="3" t="str">
        <f>IFERROR(MID(VLOOKUP($B89,Seqs!$A:$B,2,0),AI89,1),"")</f>
        <v>F</v>
      </c>
      <c r="AI89" s="3">
        <v>201</v>
      </c>
      <c r="AJ89" s="3" t="str">
        <f>IFERROR(MID(VLOOKUP($B89,Seqs!$A:$B,2,0),AK89,1),"")</f>
        <v>N</v>
      </c>
      <c r="AK89" s="3">
        <v>204</v>
      </c>
      <c r="AL89" s="3" t="str">
        <f>IFERROR(MID(VLOOKUP($B89,Seqs!$A:$B,2,0),AM89,1),"")</f>
        <v>I</v>
      </c>
      <c r="AM89" s="3">
        <v>238</v>
      </c>
      <c r="AN89" s="3" t="str">
        <f>IFERROR(MID(VLOOKUP($B89,Seqs!$A:$B,2,0),AO89,1),"")</f>
        <v>R</v>
      </c>
      <c r="AO89" s="3">
        <v>275</v>
      </c>
      <c r="AP89" s="3" t="str">
        <f>IFERROR(MID(VLOOKUP($B89,Seqs!$A:$B,2,0),AQ89,1),"")</f>
        <v>N</v>
      </c>
      <c r="AQ89" s="3">
        <v>316</v>
      </c>
      <c r="AR89" s="3" t="str">
        <f>IFERROR(MID(VLOOKUP($B89,Seqs!$A:$B,2,0),AS89,1),"")</f>
        <v>P</v>
      </c>
      <c r="AS89" s="3">
        <v>321</v>
      </c>
      <c r="AT89" s="3" t="str">
        <f>IFERROR(MID(VLOOKUP($B89,Seqs!$A:$B,2,0),AU89,1),"")</f>
        <v>R</v>
      </c>
      <c r="AU89" s="3">
        <v>345</v>
      </c>
      <c r="AV89" s="3" t="str">
        <f>IFERROR(MID(VLOOKUP($B89,Seqs!$A:$B,2,0),AW89,1),"")</f>
        <v>S</v>
      </c>
      <c r="AW89" s="3">
        <v>346</v>
      </c>
      <c r="AX89" s="3" t="str">
        <f>IFERROR(MID(VLOOKUP($B89,Seqs!$A:$B,2,0),AY89,1),"")</f>
        <v>C</v>
      </c>
      <c r="AY89" s="3">
        <v>358</v>
      </c>
      <c r="AZ89" s="77" t="str">
        <f>VLOOKUP(B89,Classification!A:D,2,0)</f>
        <v>A</v>
      </c>
      <c r="BA89" s="94" t="str">
        <f>VLOOKUP(B89,Classification!A:D,4,0)</f>
        <v>Adrenoceptors</v>
      </c>
      <c r="BB89" s="27" t="b">
        <f t="shared" si="336"/>
        <v>1</v>
      </c>
      <c r="BC89" s="23">
        <f t="shared" si="225"/>
        <v>265</v>
      </c>
      <c r="BD89" s="4" t="s">
        <v>23</v>
      </c>
      <c r="BE89" s="3" t="s">
        <v>1380</v>
      </c>
      <c r="BF89" s="119">
        <v>3.05</v>
      </c>
      <c r="BG89" s="49" t="s">
        <v>1383</v>
      </c>
      <c r="BH89" s="49" t="s">
        <v>1383</v>
      </c>
      <c r="BI89" s="1"/>
      <c r="BJ89" s="70" t="s">
        <v>1293</v>
      </c>
      <c r="BK89" s="57" t="s">
        <v>1293</v>
      </c>
      <c r="BL89" s="57" t="s">
        <v>1293</v>
      </c>
      <c r="BM89" s="57" t="s">
        <v>1293</v>
      </c>
      <c r="BN89" s="57" t="s">
        <v>1293</v>
      </c>
      <c r="BO89" s="57" t="s">
        <v>1293</v>
      </c>
      <c r="BP89" s="57" t="s">
        <v>1293</v>
      </c>
      <c r="BQ89" s="57" t="s">
        <v>1293</v>
      </c>
      <c r="BR89" s="57" t="s">
        <v>1293</v>
      </c>
      <c r="BS89" s="57" t="s">
        <v>1293</v>
      </c>
      <c r="BT89" s="57" t="s">
        <v>1293</v>
      </c>
      <c r="BU89" s="57" t="s">
        <v>1293</v>
      </c>
      <c r="BV89" s="70">
        <f t="shared" si="226"/>
        <v>33</v>
      </c>
      <c r="BW89" s="71">
        <f t="shared" si="227"/>
        <v>70</v>
      </c>
      <c r="BX89" s="72">
        <f t="shared" si="228"/>
        <v>74</v>
      </c>
      <c r="BY89" s="71">
        <f t="shared" si="229"/>
        <v>106</v>
      </c>
      <c r="BZ89" s="72">
        <f t="shared" si="230"/>
        <v>110</v>
      </c>
      <c r="CA89" s="71">
        <f t="shared" si="231"/>
        <v>146</v>
      </c>
      <c r="CB89" s="72">
        <f t="shared" si="232"/>
        <v>154</v>
      </c>
      <c r="CC89" s="71">
        <f t="shared" si="233"/>
        <v>199</v>
      </c>
      <c r="CD89" s="72">
        <f t="shared" si="234"/>
        <v>204</v>
      </c>
      <c r="CE89" s="71">
        <f t="shared" si="235"/>
        <v>275</v>
      </c>
      <c r="CF89" s="72">
        <f t="shared" si="236"/>
        <v>321</v>
      </c>
      <c r="CG89" s="71">
        <f t="shared" si="237"/>
        <v>346</v>
      </c>
      <c r="CH89" s="70">
        <f t="shared" si="238"/>
        <v>69</v>
      </c>
      <c r="CI89" s="71">
        <f t="shared" si="239"/>
        <v>73</v>
      </c>
      <c r="CJ89" s="72">
        <f t="shared" si="240"/>
        <v>104</v>
      </c>
      <c r="CK89" s="72">
        <f t="shared" si="241"/>
        <v>109</v>
      </c>
      <c r="CL89" s="72">
        <f t="shared" si="242"/>
        <v>145</v>
      </c>
      <c r="CM89" s="72">
        <f t="shared" si="243"/>
        <v>153</v>
      </c>
      <c r="CN89" s="72">
        <f t="shared" si="244"/>
        <v>180</v>
      </c>
      <c r="CO89" s="72">
        <f t="shared" si="245"/>
        <v>201</v>
      </c>
      <c r="CP89" s="72">
        <f t="shared" si="246"/>
        <v>238</v>
      </c>
      <c r="CQ89" s="72">
        <f t="shared" si="247"/>
        <v>316</v>
      </c>
      <c r="CR89" s="72">
        <f t="shared" si="248"/>
        <v>345</v>
      </c>
      <c r="CS89" s="72">
        <f t="shared" si="249"/>
        <v>358</v>
      </c>
      <c r="CT89" s="23">
        <f t="shared" si="250"/>
        <v>1</v>
      </c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  <c r="ADW89" s="1"/>
      <c r="ADX89" s="1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1"/>
      <c r="AEK89" s="1"/>
      <c r="AEL89" s="1"/>
      <c r="AEM89" s="1"/>
      <c r="AEN89" s="1"/>
      <c r="AEO89" s="1"/>
      <c r="AEP89" s="1"/>
      <c r="AEQ89" s="1"/>
      <c r="AER89" s="1"/>
      <c r="AES89" s="1"/>
      <c r="AET89" s="1"/>
      <c r="AEU89" s="1"/>
      <c r="AEV89" s="1"/>
      <c r="AEW89" s="1"/>
      <c r="AEX89" s="1"/>
      <c r="AEY89" s="1"/>
      <c r="AEZ89" s="1"/>
      <c r="AFA89" s="1"/>
      <c r="AFB89" s="1"/>
      <c r="AFC89" s="1"/>
      <c r="AFD89" s="1"/>
      <c r="AFE89" s="1"/>
      <c r="AFF89" s="1"/>
      <c r="AFG89" s="1"/>
      <c r="AFH89" s="1"/>
      <c r="AFI89" s="1"/>
      <c r="AFJ89" s="1"/>
      <c r="AFK89" s="1"/>
      <c r="AFL89" s="1"/>
      <c r="AFM89" s="1"/>
      <c r="AFN89" s="1"/>
      <c r="AFO89" s="1"/>
      <c r="AFP89" s="1"/>
      <c r="AFQ89" s="1"/>
      <c r="AFR89" s="1"/>
      <c r="AFS89" s="1"/>
      <c r="AFT89" s="1"/>
      <c r="AFU89" s="1"/>
      <c r="AFV89" s="1"/>
      <c r="AFW89" s="1"/>
      <c r="AFX89" s="1"/>
      <c r="AFY89" s="1"/>
      <c r="AFZ89" s="1"/>
      <c r="AGA89" s="1"/>
      <c r="AGB89" s="1"/>
      <c r="AGC89" s="1"/>
      <c r="AGD89" s="1"/>
      <c r="AGE89" s="1"/>
      <c r="AGF89" s="1"/>
      <c r="AGG89" s="1"/>
      <c r="AGH89" s="1"/>
      <c r="AGI89" s="1"/>
      <c r="AGJ89" s="1"/>
      <c r="AGK89" s="1"/>
      <c r="AGL89" s="1"/>
      <c r="AGM89" s="1"/>
      <c r="AGN89" s="1"/>
      <c r="AGO89" s="1"/>
      <c r="AGP89" s="1"/>
      <c r="AGQ89" s="1"/>
      <c r="AGR89" s="1"/>
      <c r="AGS89" s="1"/>
      <c r="AGT89" s="1"/>
      <c r="AGU89" s="1"/>
      <c r="AGV89" s="1"/>
      <c r="AGW89" s="1"/>
      <c r="AGX89" s="1"/>
      <c r="AGY89" s="1"/>
      <c r="AGZ89" s="1"/>
      <c r="AHA89" s="1"/>
      <c r="AHB89" s="1"/>
      <c r="AHC89" s="1"/>
      <c r="AHD89" s="1"/>
      <c r="AHE89" s="1"/>
      <c r="AHF89" s="1"/>
      <c r="AHG89" s="1"/>
      <c r="AHH89" s="1"/>
      <c r="AHI89" s="1"/>
      <c r="AHJ89" s="1"/>
      <c r="AHK89" s="1"/>
      <c r="AHL89" s="1"/>
      <c r="AHM89" s="1"/>
      <c r="AHN89" s="1"/>
      <c r="AHO89" s="1"/>
      <c r="AHP89" s="1"/>
      <c r="AHQ89" s="1"/>
      <c r="AHR89" s="1"/>
      <c r="AHS89" s="1"/>
      <c r="AHT89" s="1"/>
      <c r="AHU89" s="1"/>
      <c r="AHV89" s="1"/>
      <c r="AHW89" s="1"/>
      <c r="AHX89" s="1"/>
      <c r="AHY89" s="1"/>
      <c r="AHZ89" s="1"/>
      <c r="AIA89" s="1"/>
      <c r="AIB89" s="1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1"/>
      <c r="AIQ89" s="1"/>
      <c r="AIR89" s="1"/>
      <c r="AIS89" s="1"/>
      <c r="AIT89" s="1"/>
      <c r="AIU89" s="1"/>
      <c r="AIV89" s="1"/>
      <c r="AIW89" s="1"/>
      <c r="AIX89" s="1"/>
      <c r="AIY89" s="1"/>
      <c r="AIZ89" s="1"/>
      <c r="AJA89" s="1"/>
      <c r="AJB89" s="1"/>
      <c r="AJC89" s="1"/>
      <c r="AJD89" s="1"/>
      <c r="AJE89" s="1"/>
      <c r="AJF89" s="1"/>
      <c r="AJG89" s="1"/>
      <c r="AJH89" s="1"/>
      <c r="AJI89" s="1"/>
      <c r="AJJ89" s="1"/>
      <c r="AJK89" s="1"/>
      <c r="AJL89" s="1"/>
      <c r="AJM89" s="1"/>
      <c r="AJN89" s="1"/>
      <c r="AJO89" s="1"/>
      <c r="AJP89" s="1"/>
      <c r="AJQ89" s="1"/>
      <c r="AJR89" s="1"/>
      <c r="AJS89" s="1"/>
      <c r="AJT89" s="1"/>
      <c r="AJU89" s="1"/>
      <c r="AJV89" s="1"/>
      <c r="AJW89" s="1"/>
      <c r="AJX89" s="1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1"/>
      <c r="AKN89" s="1"/>
      <c r="AKO89" s="1"/>
      <c r="AKP89" s="1"/>
      <c r="AKQ89" s="1"/>
      <c r="AKR89" s="1"/>
      <c r="AKS89" s="1"/>
      <c r="AKT89" s="1"/>
      <c r="AKU89" s="1"/>
      <c r="AKV89" s="1"/>
      <c r="AKW89" s="1"/>
      <c r="AKX89" s="1"/>
      <c r="AKY89" s="1"/>
      <c r="AKZ89" s="1"/>
      <c r="ALA89" s="1"/>
      <c r="ALB89" s="1"/>
      <c r="ALC89" s="1"/>
      <c r="ALD89" s="1"/>
      <c r="ALE89" s="1"/>
      <c r="ALF89" s="1"/>
      <c r="ALG89" s="1"/>
      <c r="ALH89" s="1"/>
      <c r="ALI89" s="1"/>
      <c r="ALJ89" s="1"/>
      <c r="ALK89" s="1"/>
      <c r="ALL89" s="1"/>
      <c r="ALM89" s="1"/>
      <c r="ALN89" s="1"/>
      <c r="ALO89" s="1"/>
      <c r="ALP89" s="1"/>
      <c r="ALQ89" s="1"/>
      <c r="ALR89" s="1"/>
      <c r="ALS89" s="1"/>
      <c r="ALT89" s="1"/>
      <c r="ALU89" s="1"/>
      <c r="ALV89" s="1"/>
      <c r="ALW89" s="1"/>
      <c r="ALX89" s="1"/>
      <c r="ALY89" s="1"/>
      <c r="ALZ89" s="1"/>
      <c r="AMA89" s="1"/>
      <c r="AMB89" s="1"/>
      <c r="AMC89" s="1"/>
      <c r="AMD89" s="1"/>
      <c r="AME89" s="1"/>
      <c r="AMF89" s="1"/>
      <c r="AMG89" s="1"/>
      <c r="AMH89" s="1"/>
      <c r="AMI89" s="1"/>
      <c r="AMJ89" s="1"/>
      <c r="AMK89" s="1"/>
      <c r="AML89" s="1"/>
      <c r="AMM89" s="1"/>
      <c r="AMN89" s="1"/>
      <c r="AMO89" s="1"/>
    </row>
    <row r="90" spans="1:1029" x14ac:dyDescent="0.2">
      <c r="A90" s="3" t="str">
        <f t="shared" si="335"/>
        <v>adrb1_melga_2YCW</v>
      </c>
      <c r="B90" s="3" t="s">
        <v>912</v>
      </c>
      <c r="C90" s="3" t="s">
        <v>1027</v>
      </c>
      <c r="D90" s="3" t="str">
        <f>IFERROR(MID(VLOOKUP($B90,Seqs!$A:$B,2,0),E90,1),"")</f>
        <v>S</v>
      </c>
      <c r="E90" s="3">
        <v>37</v>
      </c>
      <c r="F90" s="3" t="str">
        <f>IFERROR(MID(VLOOKUP($B90,Seqs!$A:$B,2,0),G90,1),"")</f>
        <v>T</v>
      </c>
      <c r="G90" s="3">
        <v>69</v>
      </c>
      <c r="H90" s="3" t="str">
        <f>IFERROR(MID(VLOOKUP($B90,Seqs!$A:$B,2,0),I90,1),"")</f>
        <v>Q</v>
      </c>
      <c r="I90" s="23">
        <v>70</v>
      </c>
      <c r="J90" s="3" t="str">
        <f>IFERROR(MID(VLOOKUP($B90,Seqs!$A:$B,2,0),K90,1),"")</f>
        <v>Q</v>
      </c>
      <c r="K90" s="23">
        <v>73</v>
      </c>
      <c r="L90" s="3" t="str">
        <f>IFERROR(MID(VLOOKUP($B90,Seqs!$A:$B,2,0),M90,1),"")</f>
        <v>T</v>
      </c>
      <c r="M90" s="3">
        <v>74</v>
      </c>
      <c r="N90" s="3" t="str">
        <f>IFERROR(MID(VLOOKUP($B90,Seqs!$A:$B,2,0),O90,1),"")</f>
        <v>R</v>
      </c>
      <c r="O90" s="3">
        <v>104</v>
      </c>
      <c r="P90" s="3" t="str">
        <f>IFERROR(MID(VLOOKUP($B90,Seqs!$A:$B,2,0),Q90,1),"")</f>
        <v>T</v>
      </c>
      <c r="Q90" s="3">
        <v>106</v>
      </c>
      <c r="R90" s="3" t="str">
        <f>IFERROR(MID(VLOOKUP($B90,Seqs!$A:$B,2,0),S90,1),"")</f>
        <v>W</v>
      </c>
      <c r="S90" s="3">
        <v>109</v>
      </c>
      <c r="T90" s="3" t="str">
        <f>IFERROR(MID(VLOOKUP($B90,Seqs!$A:$B,2,0),U90,1),"")</f>
        <v>G</v>
      </c>
      <c r="U90" s="3">
        <v>110</v>
      </c>
      <c r="V90" s="3" t="str">
        <f>IFERROR(MID(VLOOKUP($B90,Seqs!$A:$B,2,0),W90,1),"")</f>
        <v>S</v>
      </c>
      <c r="W90" s="3">
        <v>145</v>
      </c>
      <c r="X90" s="3" t="str">
        <f>IFERROR(MID(VLOOKUP($B90,Seqs!$A:$B,2,0),Y90,1),"")</f>
        <v>P</v>
      </c>
      <c r="Y90" s="3">
        <v>146</v>
      </c>
      <c r="Z90" s="3" t="str">
        <f>IFERROR(MID(VLOOKUP($B90,Seqs!$A:$B,2,0),AA90,1),"")</f>
        <v>M</v>
      </c>
      <c r="AA90" s="3">
        <v>153</v>
      </c>
      <c r="AB90" s="3" t="str">
        <f>IFERROR(MID(VLOOKUP($B90,Seqs!$A:$B,2,0),AC90,1),"")</f>
        <v>T</v>
      </c>
      <c r="AC90" s="9">
        <v>154</v>
      </c>
      <c r="AD90" s="3" t="str">
        <f>IFERROR(MID(VLOOKUP($B90,Seqs!$A:$B,2,0),AE90,1),"")</f>
        <v>H</v>
      </c>
      <c r="AE90" s="3">
        <v>180</v>
      </c>
      <c r="AF90" s="3" t="str">
        <f>IFERROR(MID(VLOOKUP($B90,Seqs!$A:$B,2,0),AG90,1),"")</f>
        <v>C</v>
      </c>
      <c r="AG90" s="3">
        <v>199</v>
      </c>
      <c r="AH90" s="3" t="str">
        <f>IFERROR(MID(VLOOKUP($B90,Seqs!$A:$B,2,0),AI90,1),"")</f>
        <v>F</v>
      </c>
      <c r="AI90" s="3">
        <v>201</v>
      </c>
      <c r="AJ90" s="3" t="str">
        <f>IFERROR(MID(VLOOKUP($B90,Seqs!$A:$B,2,0),AK90,1),"")</f>
        <v>N</v>
      </c>
      <c r="AK90" s="3">
        <v>204</v>
      </c>
      <c r="AL90" s="3" t="str">
        <f>IFERROR(MID(VLOOKUP($B90,Seqs!$A:$B,2,0),AM90,1),"")</f>
        <v>K</v>
      </c>
      <c r="AM90" s="3">
        <v>240</v>
      </c>
      <c r="AN90" s="3" t="str">
        <f>IFERROR(MID(VLOOKUP($B90,Seqs!$A:$B,2,0),AO90,1),"")</f>
        <v>L</v>
      </c>
      <c r="AO90" s="3">
        <v>289</v>
      </c>
      <c r="AP90" s="3" t="str">
        <f>IFERROR(MID(VLOOKUP($B90,Seqs!$A:$B,2,0),AQ90,1),"")</f>
        <v>N</v>
      </c>
      <c r="AQ90" s="3">
        <v>316</v>
      </c>
      <c r="AR90" s="3" t="str">
        <f>IFERROR(MID(VLOOKUP($B90,Seqs!$A:$B,2,0),AS90,1),"")</f>
        <v>P</v>
      </c>
      <c r="AS90" s="3">
        <v>321</v>
      </c>
      <c r="AT90" s="3" t="str">
        <f>IFERROR(MID(VLOOKUP($B90,Seqs!$A:$B,2,0),AU90,1),"")</f>
        <v>R</v>
      </c>
      <c r="AU90" s="3">
        <v>345</v>
      </c>
      <c r="AV90" s="3" t="str">
        <f>IFERROR(MID(VLOOKUP($B90,Seqs!$A:$B,2,0),AW90,1),"")</f>
        <v>S</v>
      </c>
      <c r="AW90" s="3">
        <v>346</v>
      </c>
      <c r="AX90" s="3" t="str">
        <f>IFERROR(MID(VLOOKUP($B90,Seqs!$A:$B,2,0),AY90,1),"")</f>
        <v>C</v>
      </c>
      <c r="AY90" s="3">
        <v>358</v>
      </c>
      <c r="AZ90" s="77" t="str">
        <f>VLOOKUP(B90,Classification!A:D,2,0)</f>
        <v>A</v>
      </c>
      <c r="BA90" s="94" t="str">
        <f>VLOOKUP(B90,Classification!A:D,4,0)</f>
        <v>Adrenoceptors</v>
      </c>
      <c r="BB90" s="27" t="b">
        <f t="shared" si="336"/>
        <v>1</v>
      </c>
      <c r="BC90" s="23">
        <f t="shared" si="225"/>
        <v>249</v>
      </c>
      <c r="BD90" s="4" t="s">
        <v>23</v>
      </c>
      <c r="BE90" s="3" t="s">
        <v>1380</v>
      </c>
      <c r="BF90" s="119">
        <v>3</v>
      </c>
      <c r="BG90" s="49" t="s">
        <v>1383</v>
      </c>
      <c r="BH90" s="49" t="s">
        <v>1383</v>
      </c>
      <c r="BI90" s="1"/>
      <c r="BJ90" s="70" t="s">
        <v>1293</v>
      </c>
      <c r="BK90" s="57" t="s">
        <v>1293</v>
      </c>
      <c r="BL90" s="57" t="s">
        <v>1293</v>
      </c>
      <c r="BM90" s="57" t="s">
        <v>1293</v>
      </c>
      <c r="BN90" s="57" t="s">
        <v>1293</v>
      </c>
      <c r="BO90" s="57" t="s">
        <v>1293</v>
      </c>
      <c r="BP90" s="57" t="s">
        <v>1293</v>
      </c>
      <c r="BQ90" s="57" t="s">
        <v>1293</v>
      </c>
      <c r="BR90" s="57" t="s">
        <v>1293</v>
      </c>
      <c r="BS90" s="57" t="s">
        <v>1293</v>
      </c>
      <c r="BT90" s="57" t="s">
        <v>1293</v>
      </c>
      <c r="BU90" s="57" t="s">
        <v>1293</v>
      </c>
      <c r="BV90" s="70">
        <f t="shared" si="226"/>
        <v>37</v>
      </c>
      <c r="BW90" s="71">
        <f t="shared" si="227"/>
        <v>70</v>
      </c>
      <c r="BX90" s="72">
        <f t="shared" si="228"/>
        <v>74</v>
      </c>
      <c r="BY90" s="71">
        <f t="shared" si="229"/>
        <v>106</v>
      </c>
      <c r="BZ90" s="72">
        <f t="shared" si="230"/>
        <v>110</v>
      </c>
      <c r="CA90" s="71">
        <f t="shared" si="231"/>
        <v>146</v>
      </c>
      <c r="CB90" s="72">
        <f t="shared" si="232"/>
        <v>154</v>
      </c>
      <c r="CC90" s="71">
        <f t="shared" si="233"/>
        <v>199</v>
      </c>
      <c r="CD90" s="72">
        <f t="shared" si="234"/>
        <v>204</v>
      </c>
      <c r="CE90" s="71">
        <f t="shared" si="235"/>
        <v>289</v>
      </c>
      <c r="CF90" s="72">
        <f t="shared" si="236"/>
        <v>321</v>
      </c>
      <c r="CG90" s="71">
        <f t="shared" si="237"/>
        <v>346</v>
      </c>
      <c r="CH90" s="70">
        <f t="shared" si="238"/>
        <v>69</v>
      </c>
      <c r="CI90" s="71">
        <f t="shared" si="239"/>
        <v>73</v>
      </c>
      <c r="CJ90" s="72">
        <f t="shared" si="240"/>
        <v>104</v>
      </c>
      <c r="CK90" s="72">
        <f t="shared" si="241"/>
        <v>109</v>
      </c>
      <c r="CL90" s="72">
        <f t="shared" si="242"/>
        <v>145</v>
      </c>
      <c r="CM90" s="72">
        <f t="shared" si="243"/>
        <v>153</v>
      </c>
      <c r="CN90" s="72">
        <f t="shared" si="244"/>
        <v>180</v>
      </c>
      <c r="CO90" s="72">
        <f t="shared" si="245"/>
        <v>201</v>
      </c>
      <c r="CP90" s="72">
        <f t="shared" si="246"/>
        <v>240</v>
      </c>
      <c r="CQ90" s="72">
        <f t="shared" si="247"/>
        <v>316</v>
      </c>
      <c r="CR90" s="72">
        <f t="shared" si="248"/>
        <v>345</v>
      </c>
      <c r="CS90" s="72">
        <f t="shared" si="249"/>
        <v>358</v>
      </c>
      <c r="CT90" s="23">
        <f t="shared" si="250"/>
        <v>1</v>
      </c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1"/>
      <c r="AEK90" s="1"/>
      <c r="AEL90" s="1"/>
      <c r="AEM90" s="1"/>
      <c r="AEN90" s="1"/>
      <c r="AEO90" s="1"/>
      <c r="AEP90" s="1"/>
      <c r="AEQ90" s="1"/>
      <c r="AER90" s="1"/>
      <c r="AES90" s="1"/>
      <c r="AET90" s="1"/>
      <c r="AEU90" s="1"/>
      <c r="AEV90" s="1"/>
      <c r="AEW90" s="1"/>
      <c r="AEX90" s="1"/>
      <c r="AEY90" s="1"/>
      <c r="AEZ90" s="1"/>
      <c r="AFA90" s="1"/>
      <c r="AFB90" s="1"/>
      <c r="AFC90" s="1"/>
      <c r="AFD90" s="1"/>
      <c r="AFE90" s="1"/>
      <c r="AFF90" s="1"/>
      <c r="AFG90" s="1"/>
      <c r="AFH90" s="1"/>
      <c r="AFI90" s="1"/>
      <c r="AFJ90" s="1"/>
      <c r="AFK90" s="1"/>
      <c r="AFL90" s="1"/>
      <c r="AFM90" s="1"/>
      <c r="AFN90" s="1"/>
      <c r="AFO90" s="1"/>
      <c r="AFP90" s="1"/>
      <c r="AFQ90" s="1"/>
      <c r="AFR90" s="1"/>
      <c r="AFS90" s="1"/>
      <c r="AFT90" s="1"/>
      <c r="AFU90" s="1"/>
      <c r="AFV90" s="1"/>
      <c r="AFW90" s="1"/>
      <c r="AFX90" s="1"/>
      <c r="AFY90" s="1"/>
      <c r="AFZ90" s="1"/>
      <c r="AGA90" s="1"/>
      <c r="AGB90" s="1"/>
      <c r="AGC90" s="1"/>
      <c r="AGD90" s="1"/>
      <c r="AGE90" s="1"/>
      <c r="AGF90" s="1"/>
      <c r="AGG90" s="1"/>
      <c r="AGH90" s="1"/>
      <c r="AGI90" s="1"/>
      <c r="AGJ90" s="1"/>
      <c r="AGK90" s="1"/>
      <c r="AGL90" s="1"/>
      <c r="AGM90" s="1"/>
      <c r="AGN90" s="1"/>
      <c r="AGO90" s="1"/>
      <c r="AGP90" s="1"/>
      <c r="AGQ90" s="1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1"/>
      <c r="AHC90" s="1"/>
      <c r="AHD90" s="1"/>
      <c r="AHE90" s="1"/>
      <c r="AHF90" s="1"/>
      <c r="AHG90" s="1"/>
      <c r="AHH90" s="1"/>
      <c r="AHI90" s="1"/>
      <c r="AHJ90" s="1"/>
      <c r="AHK90" s="1"/>
      <c r="AHL90" s="1"/>
      <c r="AHM90" s="1"/>
      <c r="AHN90" s="1"/>
      <c r="AHO90" s="1"/>
      <c r="AHP90" s="1"/>
      <c r="AHQ90" s="1"/>
      <c r="AHR90" s="1"/>
      <c r="AHS90" s="1"/>
      <c r="AHT90" s="1"/>
      <c r="AHU90" s="1"/>
      <c r="AHV90" s="1"/>
      <c r="AHW90" s="1"/>
      <c r="AHX90" s="1"/>
      <c r="AHY90" s="1"/>
      <c r="AHZ90" s="1"/>
      <c r="AIA90" s="1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1"/>
      <c r="AIQ90" s="1"/>
      <c r="AIR90" s="1"/>
      <c r="AIS90" s="1"/>
      <c r="AIT90" s="1"/>
      <c r="AIU90" s="1"/>
      <c r="AIV90" s="1"/>
      <c r="AIW90" s="1"/>
      <c r="AIX90" s="1"/>
      <c r="AIY90" s="1"/>
      <c r="AIZ90" s="1"/>
      <c r="AJA90" s="1"/>
      <c r="AJB90" s="1"/>
      <c r="AJC90" s="1"/>
      <c r="AJD90" s="1"/>
      <c r="AJE90" s="1"/>
      <c r="AJF90" s="1"/>
      <c r="AJG90" s="1"/>
      <c r="AJH90" s="1"/>
      <c r="AJI90" s="1"/>
      <c r="AJJ90" s="1"/>
      <c r="AJK90" s="1"/>
      <c r="AJL90" s="1"/>
      <c r="AJM90" s="1"/>
      <c r="AJN90" s="1"/>
      <c r="AJO90" s="1"/>
      <c r="AJP90" s="1"/>
      <c r="AJQ90" s="1"/>
      <c r="AJR90" s="1"/>
      <c r="AJS90" s="1"/>
      <c r="AJT90" s="1"/>
      <c r="AJU90" s="1"/>
      <c r="AJV90" s="1"/>
      <c r="AJW90" s="1"/>
      <c r="AJX90" s="1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1"/>
      <c r="AKR90" s="1"/>
      <c r="AKS90" s="1"/>
      <c r="AKT90" s="1"/>
      <c r="AKU90" s="1"/>
      <c r="AKV90" s="1"/>
      <c r="AKW90" s="1"/>
      <c r="AKX90" s="1"/>
      <c r="AKY90" s="1"/>
      <c r="AKZ90" s="1"/>
      <c r="ALA90" s="1"/>
      <c r="ALB90" s="1"/>
      <c r="ALC90" s="1"/>
      <c r="ALD90" s="1"/>
      <c r="ALE90" s="1"/>
      <c r="ALF90" s="1"/>
      <c r="ALG90" s="1"/>
      <c r="ALH90" s="1"/>
      <c r="ALI90" s="1"/>
      <c r="ALJ90" s="1"/>
      <c r="ALK90" s="1"/>
      <c r="ALL90" s="1"/>
      <c r="ALM90" s="1"/>
      <c r="ALN90" s="1"/>
      <c r="ALO90" s="1"/>
      <c r="ALP90" s="1"/>
      <c r="ALQ90" s="1"/>
      <c r="ALR90" s="1"/>
      <c r="ALS90" s="1"/>
      <c r="ALT90" s="1"/>
      <c r="ALU90" s="1"/>
      <c r="ALV90" s="1"/>
      <c r="ALW90" s="1"/>
      <c r="ALX90" s="1"/>
      <c r="ALY90" s="1"/>
      <c r="ALZ90" s="1"/>
      <c r="AMA90" s="1"/>
      <c r="AMB90" s="1"/>
      <c r="AMC90" s="1"/>
      <c r="AMD90" s="1"/>
      <c r="AME90" s="1"/>
      <c r="AMF90" s="1"/>
      <c r="AMG90" s="1"/>
      <c r="AMH90" s="1"/>
      <c r="AMI90" s="1"/>
      <c r="AMJ90" s="1"/>
      <c r="AMK90" s="1"/>
      <c r="AML90" s="1"/>
      <c r="AMM90" s="1"/>
      <c r="AMN90" s="1"/>
      <c r="AMO90" s="1"/>
    </row>
    <row r="91" spans="1:1029" x14ac:dyDescent="0.2">
      <c r="A91" s="3" t="str">
        <f t="shared" si="335"/>
        <v>adrb1_melga_2YCZ</v>
      </c>
      <c r="B91" s="3" t="s">
        <v>912</v>
      </c>
      <c r="C91" s="3" t="s">
        <v>1028</v>
      </c>
      <c r="D91" s="3" t="str">
        <f>IFERROR(MID(VLOOKUP($B91,Seqs!$A:$B,2,0),E91,1),"")</f>
        <v>A</v>
      </c>
      <c r="E91" s="3">
        <v>33</v>
      </c>
      <c r="F91" s="3" t="str">
        <f>IFERROR(MID(VLOOKUP($B91,Seqs!$A:$B,2,0),G91,1),"")</f>
        <v>T</v>
      </c>
      <c r="G91" s="3">
        <v>69</v>
      </c>
      <c r="H91" s="3" t="str">
        <f>IFERROR(MID(VLOOKUP($B91,Seqs!$A:$B,2,0),I91,1),"")</f>
        <v>Q</v>
      </c>
      <c r="I91" s="23">
        <v>70</v>
      </c>
      <c r="J91" s="3" t="str">
        <f>IFERROR(MID(VLOOKUP($B91,Seqs!$A:$B,2,0),K91,1),"")</f>
        <v>Q</v>
      </c>
      <c r="K91" s="23">
        <v>73</v>
      </c>
      <c r="L91" s="3" t="str">
        <f>IFERROR(MID(VLOOKUP($B91,Seqs!$A:$B,2,0),M91,1),"")</f>
        <v>T</v>
      </c>
      <c r="M91" s="3">
        <v>74</v>
      </c>
      <c r="N91" s="3" t="str">
        <f>IFERROR(MID(VLOOKUP($B91,Seqs!$A:$B,2,0),O91,1),"")</f>
        <v>R</v>
      </c>
      <c r="O91" s="3">
        <v>104</v>
      </c>
      <c r="P91" s="3" t="str">
        <f>IFERROR(MID(VLOOKUP($B91,Seqs!$A:$B,2,0),Q91,1),"")</f>
        <v>T</v>
      </c>
      <c r="Q91" s="3">
        <v>106</v>
      </c>
      <c r="R91" s="3" t="str">
        <f>IFERROR(MID(VLOOKUP($B91,Seqs!$A:$B,2,0),S91,1),"")</f>
        <v>W</v>
      </c>
      <c r="S91" s="3">
        <v>109</v>
      </c>
      <c r="T91" s="3" t="str">
        <f>IFERROR(MID(VLOOKUP($B91,Seqs!$A:$B,2,0),U91,1),"")</f>
        <v>G</v>
      </c>
      <c r="U91" s="3">
        <v>110</v>
      </c>
      <c r="V91" s="3" t="str">
        <f>IFERROR(MID(VLOOKUP($B91,Seqs!$A:$B,2,0),W91,1),"")</f>
        <v>S</v>
      </c>
      <c r="W91" s="3">
        <v>145</v>
      </c>
      <c r="X91" s="3" t="str">
        <f>IFERROR(MID(VLOOKUP($B91,Seqs!$A:$B,2,0),Y91,1),"")</f>
        <v>P</v>
      </c>
      <c r="Y91" s="3">
        <v>146</v>
      </c>
      <c r="Z91" s="3" t="str">
        <f>IFERROR(MID(VLOOKUP($B91,Seqs!$A:$B,2,0),AA91,1),"")</f>
        <v>M</v>
      </c>
      <c r="AA91" s="3">
        <v>153</v>
      </c>
      <c r="AB91" s="3" t="str">
        <f>IFERROR(MID(VLOOKUP($B91,Seqs!$A:$B,2,0),AC91,1),"")</f>
        <v>T</v>
      </c>
      <c r="AC91" s="9">
        <v>154</v>
      </c>
      <c r="AD91" s="3" t="str">
        <f>IFERROR(MID(VLOOKUP($B91,Seqs!$A:$B,2,0),AE91,1),"")</f>
        <v>H</v>
      </c>
      <c r="AE91" s="3">
        <v>180</v>
      </c>
      <c r="AF91" s="3" t="str">
        <f>IFERROR(MID(VLOOKUP($B91,Seqs!$A:$B,2,0),AG91,1),"")</f>
        <v>C</v>
      </c>
      <c r="AG91" s="3">
        <v>199</v>
      </c>
      <c r="AH91" s="3" t="str">
        <f>IFERROR(MID(VLOOKUP($B91,Seqs!$A:$B,2,0),AI91,1),"")</f>
        <v>F</v>
      </c>
      <c r="AI91" s="3">
        <v>201</v>
      </c>
      <c r="AJ91" s="3" t="str">
        <f>IFERROR(MID(VLOOKUP($B91,Seqs!$A:$B,2,0),AK91,1),"")</f>
        <v>N</v>
      </c>
      <c r="AK91" s="3">
        <v>204</v>
      </c>
      <c r="AL91" s="3" t="str">
        <f>IFERROR(MID(VLOOKUP($B91,Seqs!$A:$B,2,0),AM91,1),"")</f>
        <v>K</v>
      </c>
      <c r="AM91" s="3">
        <v>240</v>
      </c>
      <c r="AN91" s="3" t="str">
        <f>IFERROR(MID(VLOOKUP($B91,Seqs!$A:$B,2,0),AO91,1),"")</f>
        <v>A</v>
      </c>
      <c r="AO91" s="3">
        <v>288</v>
      </c>
      <c r="AP91" s="3" t="str">
        <f>IFERROR(MID(VLOOKUP($B91,Seqs!$A:$B,2,0),AQ91,1),"")</f>
        <v>N</v>
      </c>
      <c r="AQ91" s="3">
        <v>316</v>
      </c>
      <c r="AR91" s="3" t="str">
        <f>IFERROR(MID(VLOOKUP($B91,Seqs!$A:$B,2,0),AS91,1),"")</f>
        <v>P</v>
      </c>
      <c r="AS91" s="3">
        <v>321</v>
      </c>
      <c r="AT91" s="3" t="str">
        <f>IFERROR(MID(VLOOKUP($B91,Seqs!$A:$B,2,0),AU91,1),"")</f>
        <v>R</v>
      </c>
      <c r="AU91" s="3">
        <v>345</v>
      </c>
      <c r="AV91" s="3" t="str">
        <f>IFERROR(MID(VLOOKUP($B91,Seqs!$A:$B,2,0),AW91,1),"")</f>
        <v>S</v>
      </c>
      <c r="AW91" s="3">
        <v>346</v>
      </c>
      <c r="AX91" s="3" t="str">
        <f>IFERROR(MID(VLOOKUP($B91,Seqs!$A:$B,2,0),AY91,1),"")</f>
        <v>C</v>
      </c>
      <c r="AY91" s="3">
        <v>358</v>
      </c>
      <c r="AZ91" s="77" t="str">
        <f>VLOOKUP(B91,Classification!A:D,2,0)</f>
        <v>A</v>
      </c>
      <c r="BA91" s="94" t="str">
        <f>VLOOKUP(B91,Classification!A:D,4,0)</f>
        <v>Adrenoceptors</v>
      </c>
      <c r="BB91" s="27" t="b">
        <f t="shared" si="336"/>
        <v>1</v>
      </c>
      <c r="BC91" s="23">
        <f t="shared" si="225"/>
        <v>254</v>
      </c>
      <c r="BD91" s="16" t="s">
        <v>23</v>
      </c>
      <c r="BE91" s="3" t="s">
        <v>1380</v>
      </c>
      <c r="BF91" s="119">
        <v>3.65</v>
      </c>
      <c r="BG91" s="49" t="s">
        <v>1383</v>
      </c>
      <c r="BH91" s="49" t="s">
        <v>1383</v>
      </c>
      <c r="BI91" s="1"/>
      <c r="BJ91" s="70" t="s">
        <v>1293</v>
      </c>
      <c r="BK91" s="57" t="s">
        <v>1293</v>
      </c>
      <c r="BL91" s="57" t="s">
        <v>1293</v>
      </c>
      <c r="BM91" s="57" t="s">
        <v>1293</v>
      </c>
      <c r="BN91" s="57" t="s">
        <v>1293</v>
      </c>
      <c r="BO91" s="57" t="s">
        <v>1293</v>
      </c>
      <c r="BP91" s="57" t="s">
        <v>1293</v>
      </c>
      <c r="BQ91" s="57" t="s">
        <v>1293</v>
      </c>
      <c r="BR91" s="57" t="s">
        <v>1293</v>
      </c>
      <c r="BS91" s="57" t="s">
        <v>1293</v>
      </c>
      <c r="BT91" s="57" t="s">
        <v>1293</v>
      </c>
      <c r="BU91" s="57" t="s">
        <v>1293</v>
      </c>
      <c r="BV91" s="70">
        <f t="shared" si="226"/>
        <v>33</v>
      </c>
      <c r="BW91" s="71">
        <f t="shared" si="227"/>
        <v>70</v>
      </c>
      <c r="BX91" s="72">
        <f t="shared" si="228"/>
        <v>74</v>
      </c>
      <c r="BY91" s="71">
        <f t="shared" si="229"/>
        <v>106</v>
      </c>
      <c r="BZ91" s="72">
        <f t="shared" si="230"/>
        <v>110</v>
      </c>
      <c r="CA91" s="71">
        <f t="shared" si="231"/>
        <v>146</v>
      </c>
      <c r="CB91" s="72">
        <f t="shared" si="232"/>
        <v>154</v>
      </c>
      <c r="CC91" s="71">
        <f t="shared" si="233"/>
        <v>199</v>
      </c>
      <c r="CD91" s="72">
        <f t="shared" si="234"/>
        <v>204</v>
      </c>
      <c r="CE91" s="71">
        <f t="shared" si="235"/>
        <v>288</v>
      </c>
      <c r="CF91" s="72">
        <f t="shared" si="236"/>
        <v>321</v>
      </c>
      <c r="CG91" s="71">
        <f t="shared" si="237"/>
        <v>346</v>
      </c>
      <c r="CH91" s="70">
        <f t="shared" si="238"/>
        <v>69</v>
      </c>
      <c r="CI91" s="71">
        <f t="shared" si="239"/>
        <v>73</v>
      </c>
      <c r="CJ91" s="72">
        <f t="shared" si="240"/>
        <v>104</v>
      </c>
      <c r="CK91" s="72">
        <f t="shared" si="241"/>
        <v>109</v>
      </c>
      <c r="CL91" s="72">
        <f t="shared" si="242"/>
        <v>145</v>
      </c>
      <c r="CM91" s="72">
        <f t="shared" si="243"/>
        <v>153</v>
      </c>
      <c r="CN91" s="72">
        <f t="shared" si="244"/>
        <v>180</v>
      </c>
      <c r="CO91" s="72">
        <f t="shared" si="245"/>
        <v>201</v>
      </c>
      <c r="CP91" s="72">
        <f t="shared" si="246"/>
        <v>240</v>
      </c>
      <c r="CQ91" s="72">
        <f t="shared" si="247"/>
        <v>316</v>
      </c>
      <c r="CR91" s="72">
        <f t="shared" si="248"/>
        <v>345</v>
      </c>
      <c r="CS91" s="72">
        <f t="shared" si="249"/>
        <v>358</v>
      </c>
      <c r="CT91" s="23">
        <f t="shared" si="250"/>
        <v>1</v>
      </c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  <c r="ADW91" s="1"/>
      <c r="ADX91" s="1"/>
      <c r="ADY91" s="1"/>
      <c r="ADZ91" s="1"/>
      <c r="AEA91" s="1"/>
      <c r="AEB91" s="1"/>
      <c r="AEC91" s="1"/>
      <c r="AED91" s="1"/>
      <c r="AEE91" s="1"/>
      <c r="AEF91" s="1"/>
      <c r="AEG91" s="1"/>
      <c r="AEH91" s="1"/>
      <c r="AEI91" s="1"/>
      <c r="AEJ91" s="1"/>
      <c r="AEK91" s="1"/>
      <c r="AEL91" s="1"/>
      <c r="AEM91" s="1"/>
      <c r="AEN91" s="1"/>
      <c r="AEO91" s="1"/>
      <c r="AEP91" s="1"/>
      <c r="AEQ91" s="1"/>
      <c r="AER91" s="1"/>
      <c r="AES91" s="1"/>
      <c r="AET91" s="1"/>
      <c r="AEU91" s="1"/>
      <c r="AEV91" s="1"/>
      <c r="AEW91" s="1"/>
      <c r="AEX91" s="1"/>
      <c r="AEY91" s="1"/>
      <c r="AEZ91" s="1"/>
      <c r="AFA91" s="1"/>
      <c r="AFB91" s="1"/>
      <c r="AFC91" s="1"/>
      <c r="AFD91" s="1"/>
      <c r="AFE91" s="1"/>
      <c r="AFF91" s="1"/>
      <c r="AFG91" s="1"/>
      <c r="AFH91" s="1"/>
      <c r="AFI91" s="1"/>
      <c r="AFJ91" s="1"/>
      <c r="AFK91" s="1"/>
      <c r="AFL91" s="1"/>
      <c r="AFM91" s="1"/>
      <c r="AFN91" s="1"/>
      <c r="AFO91" s="1"/>
      <c r="AFP91" s="1"/>
      <c r="AFQ91" s="1"/>
      <c r="AFR91" s="1"/>
      <c r="AFS91" s="1"/>
      <c r="AFT91" s="1"/>
      <c r="AFU91" s="1"/>
      <c r="AFV91" s="1"/>
      <c r="AFW91" s="1"/>
      <c r="AFX91" s="1"/>
      <c r="AFY91" s="1"/>
      <c r="AFZ91" s="1"/>
      <c r="AGA91" s="1"/>
      <c r="AGB91" s="1"/>
      <c r="AGC91" s="1"/>
      <c r="AGD91" s="1"/>
      <c r="AGE91" s="1"/>
      <c r="AGF91" s="1"/>
      <c r="AGG91" s="1"/>
      <c r="AGH91" s="1"/>
      <c r="AGI91" s="1"/>
      <c r="AGJ91" s="1"/>
      <c r="AGK91" s="1"/>
      <c r="AGL91" s="1"/>
      <c r="AGM91" s="1"/>
      <c r="AGN91" s="1"/>
      <c r="AGO91" s="1"/>
      <c r="AGP91" s="1"/>
      <c r="AGQ91" s="1"/>
      <c r="AGR91" s="1"/>
      <c r="AGS91" s="1"/>
      <c r="AGT91" s="1"/>
      <c r="AGU91" s="1"/>
      <c r="AGV91" s="1"/>
      <c r="AGW91" s="1"/>
      <c r="AGX91" s="1"/>
      <c r="AGY91" s="1"/>
      <c r="AGZ91" s="1"/>
      <c r="AHA91" s="1"/>
      <c r="AHB91" s="1"/>
      <c r="AHC91" s="1"/>
      <c r="AHD91" s="1"/>
      <c r="AHE91" s="1"/>
      <c r="AHF91" s="1"/>
      <c r="AHG91" s="1"/>
      <c r="AHH91" s="1"/>
      <c r="AHI91" s="1"/>
      <c r="AHJ91" s="1"/>
      <c r="AHK91" s="1"/>
      <c r="AHL91" s="1"/>
      <c r="AHM91" s="1"/>
      <c r="AHN91" s="1"/>
      <c r="AHO91" s="1"/>
      <c r="AHP91" s="1"/>
      <c r="AHQ91" s="1"/>
      <c r="AHR91" s="1"/>
      <c r="AHS91" s="1"/>
      <c r="AHT91" s="1"/>
      <c r="AHU91" s="1"/>
      <c r="AHV91" s="1"/>
      <c r="AHW91" s="1"/>
      <c r="AHX91" s="1"/>
      <c r="AHY91" s="1"/>
      <c r="AHZ91" s="1"/>
      <c r="AIA91" s="1"/>
      <c r="AIB91" s="1"/>
      <c r="AIC91" s="1"/>
      <c r="AID91" s="1"/>
      <c r="AIE91" s="1"/>
      <c r="AIF91" s="1"/>
      <c r="AIG91" s="1"/>
      <c r="AIH91" s="1"/>
      <c r="AII91" s="1"/>
      <c r="AIJ91" s="1"/>
      <c r="AIK91" s="1"/>
      <c r="AIL91" s="1"/>
      <c r="AIM91" s="1"/>
      <c r="AIN91" s="1"/>
      <c r="AIO91" s="1"/>
      <c r="AIP91" s="1"/>
      <c r="AIQ91" s="1"/>
      <c r="AIR91" s="1"/>
      <c r="AIS91" s="1"/>
      <c r="AIT91" s="1"/>
      <c r="AIU91" s="1"/>
      <c r="AIV91" s="1"/>
      <c r="AIW91" s="1"/>
      <c r="AIX91" s="1"/>
      <c r="AIY91" s="1"/>
      <c r="AIZ91" s="1"/>
      <c r="AJA91" s="1"/>
      <c r="AJB91" s="1"/>
      <c r="AJC91" s="1"/>
      <c r="AJD91" s="1"/>
      <c r="AJE91" s="1"/>
      <c r="AJF91" s="1"/>
      <c r="AJG91" s="1"/>
      <c r="AJH91" s="1"/>
      <c r="AJI91" s="1"/>
      <c r="AJJ91" s="1"/>
      <c r="AJK91" s="1"/>
      <c r="AJL91" s="1"/>
      <c r="AJM91" s="1"/>
      <c r="AJN91" s="1"/>
      <c r="AJO91" s="1"/>
      <c r="AJP91" s="1"/>
      <c r="AJQ91" s="1"/>
      <c r="AJR91" s="1"/>
      <c r="AJS91" s="1"/>
      <c r="AJT91" s="1"/>
      <c r="AJU91" s="1"/>
      <c r="AJV91" s="1"/>
      <c r="AJW91" s="1"/>
      <c r="AJX91" s="1"/>
      <c r="AJY91" s="1"/>
      <c r="AJZ91" s="1"/>
      <c r="AKA91" s="1"/>
      <c r="AKB91" s="1"/>
      <c r="AKC91" s="1"/>
      <c r="AKD91" s="1"/>
      <c r="AKE91" s="1"/>
      <c r="AKF91" s="1"/>
      <c r="AKG91" s="1"/>
      <c r="AKH91" s="1"/>
      <c r="AKI91" s="1"/>
      <c r="AKJ91" s="1"/>
      <c r="AKK91" s="1"/>
      <c r="AKL91" s="1"/>
      <c r="AKM91" s="1"/>
      <c r="AKN91" s="1"/>
      <c r="AKO91" s="1"/>
      <c r="AKP91" s="1"/>
      <c r="AKQ91" s="1"/>
      <c r="AKR91" s="1"/>
      <c r="AKS91" s="1"/>
      <c r="AKT91" s="1"/>
      <c r="AKU91" s="1"/>
      <c r="AKV91" s="1"/>
      <c r="AKW91" s="1"/>
      <c r="AKX91" s="1"/>
      <c r="AKY91" s="1"/>
      <c r="AKZ91" s="1"/>
      <c r="ALA91" s="1"/>
      <c r="ALB91" s="1"/>
      <c r="ALC91" s="1"/>
      <c r="ALD91" s="1"/>
      <c r="ALE91" s="1"/>
      <c r="ALF91" s="1"/>
      <c r="ALG91" s="1"/>
      <c r="ALH91" s="1"/>
      <c r="ALI91" s="1"/>
      <c r="ALJ91" s="1"/>
      <c r="ALK91" s="1"/>
      <c r="ALL91" s="1"/>
      <c r="ALM91" s="1"/>
      <c r="ALN91" s="1"/>
      <c r="ALO91" s="1"/>
      <c r="ALP91" s="1"/>
      <c r="ALQ91" s="1"/>
      <c r="ALR91" s="1"/>
      <c r="ALS91" s="1"/>
      <c r="ALT91" s="1"/>
      <c r="ALU91" s="1"/>
      <c r="ALV91" s="1"/>
      <c r="ALW91" s="1"/>
      <c r="ALX91" s="1"/>
      <c r="ALY91" s="1"/>
      <c r="ALZ91" s="1"/>
      <c r="AMA91" s="1"/>
      <c r="AMB91" s="1"/>
      <c r="AMC91" s="1"/>
      <c r="AMD91" s="1"/>
      <c r="AME91" s="1"/>
      <c r="AMF91" s="1"/>
      <c r="AMG91" s="1"/>
      <c r="AMH91" s="1"/>
      <c r="AMI91" s="1"/>
      <c r="AMJ91" s="1"/>
      <c r="AMK91" s="1"/>
      <c r="AML91" s="1"/>
      <c r="AMM91" s="1"/>
      <c r="AMN91" s="1"/>
      <c r="AMO91" s="1"/>
    </row>
    <row r="92" spans="1:1029" x14ac:dyDescent="0.2">
      <c r="A92" s="3" t="str">
        <f t="shared" si="335"/>
        <v>adrb1_melga_3ZPQ</v>
      </c>
      <c r="B92" s="3" t="s">
        <v>912</v>
      </c>
      <c r="C92" s="3" t="s">
        <v>1038</v>
      </c>
      <c r="D92" s="3" t="str">
        <f>IFERROR(MID(VLOOKUP($B92,Seqs!$A:$B,2,0),E92,1),"")</f>
        <v>A</v>
      </c>
      <c r="E92" s="3">
        <v>33</v>
      </c>
      <c r="F92" s="3" t="str">
        <f>IFERROR(MID(VLOOKUP($B92,Seqs!$A:$B,2,0),G92,1),"")</f>
        <v>T</v>
      </c>
      <c r="G92" s="3">
        <v>69</v>
      </c>
      <c r="H92" s="3" t="str">
        <f>IFERROR(MID(VLOOKUP($B92,Seqs!$A:$B,2,0),I92,1),"")</f>
        <v>Q</v>
      </c>
      <c r="I92" s="23">
        <v>70</v>
      </c>
      <c r="J92" s="3" t="str">
        <f>IFERROR(MID(VLOOKUP($B92,Seqs!$A:$B,2,0),K92,1),"")</f>
        <v>Q</v>
      </c>
      <c r="K92" s="23">
        <v>73</v>
      </c>
      <c r="L92" s="3" t="str">
        <f>IFERROR(MID(VLOOKUP($B92,Seqs!$A:$B,2,0),M92,1),"")</f>
        <v>T</v>
      </c>
      <c r="M92" s="3">
        <v>74</v>
      </c>
      <c r="N92" s="3" t="str">
        <f>IFERROR(MID(VLOOKUP($B92,Seqs!$A:$B,2,0),O92,1),"")</f>
        <v>R</v>
      </c>
      <c r="O92" s="3">
        <v>104</v>
      </c>
      <c r="P92" s="3" t="str">
        <f>IFERROR(MID(VLOOKUP($B92,Seqs!$A:$B,2,0),Q92,1),"")</f>
        <v>T</v>
      </c>
      <c r="Q92" s="3">
        <v>106</v>
      </c>
      <c r="R92" s="3" t="str">
        <f>IFERROR(MID(VLOOKUP($B92,Seqs!$A:$B,2,0),S92,1),"")</f>
        <v>W</v>
      </c>
      <c r="S92" s="3">
        <v>109</v>
      </c>
      <c r="T92" s="3" t="str">
        <f>IFERROR(MID(VLOOKUP($B92,Seqs!$A:$B,2,0),U92,1),"")</f>
        <v>G</v>
      </c>
      <c r="U92" s="3">
        <v>110</v>
      </c>
      <c r="V92" s="3" t="str">
        <f>IFERROR(MID(VLOOKUP($B92,Seqs!$A:$B,2,0),W92,1),"")</f>
        <v>S</v>
      </c>
      <c r="W92" s="3">
        <v>145</v>
      </c>
      <c r="X92" s="3" t="str">
        <f>IFERROR(MID(VLOOKUP($B92,Seqs!$A:$B,2,0),Y92,1),"")</f>
        <v>P</v>
      </c>
      <c r="Y92" s="3">
        <v>146</v>
      </c>
      <c r="Z92" s="3" t="str">
        <f>IFERROR(MID(VLOOKUP($B92,Seqs!$A:$B,2,0),AA92,1),"")</f>
        <v>M</v>
      </c>
      <c r="AA92" s="3">
        <v>153</v>
      </c>
      <c r="AB92" s="3" t="str">
        <f>IFERROR(MID(VLOOKUP($B92,Seqs!$A:$B,2,0),AC92,1),"")</f>
        <v>T</v>
      </c>
      <c r="AC92" s="9">
        <v>154</v>
      </c>
      <c r="AD92" s="3" t="str">
        <f>IFERROR(MID(VLOOKUP($B92,Seqs!$A:$B,2,0),AE92,1),"")</f>
        <v>H</v>
      </c>
      <c r="AE92" s="3">
        <v>180</v>
      </c>
      <c r="AF92" s="3" t="str">
        <f>IFERROR(MID(VLOOKUP($B92,Seqs!$A:$B,2,0),AG92,1),"")</f>
        <v>C</v>
      </c>
      <c r="AG92" s="3">
        <v>199</v>
      </c>
      <c r="AH92" s="3" t="str">
        <f>IFERROR(MID(VLOOKUP($B92,Seqs!$A:$B,2,0),AI92,1),"")</f>
        <v>F</v>
      </c>
      <c r="AI92" s="3">
        <v>201</v>
      </c>
      <c r="AJ92" s="3" t="str">
        <f>IFERROR(MID(VLOOKUP($B92,Seqs!$A:$B,2,0),AK92,1),"")</f>
        <v>N</v>
      </c>
      <c r="AK92" s="3">
        <v>204</v>
      </c>
      <c r="AL92" s="3" t="str">
        <f>IFERROR(MID(VLOOKUP($B92,Seqs!$A:$B,2,0),AM92,1),"")</f>
        <v>I</v>
      </c>
      <c r="AM92" s="3">
        <v>238</v>
      </c>
      <c r="AN92" s="3" t="str">
        <f>IFERROR(MID(VLOOKUP($B92,Seqs!$A:$B,2,0),AO92,1),"")</f>
        <v>R</v>
      </c>
      <c r="AO92" s="3">
        <v>275</v>
      </c>
      <c r="AP92" s="3" t="str">
        <f>IFERROR(MID(VLOOKUP($B92,Seqs!$A:$B,2,0),AQ92,1),"")</f>
        <v>N</v>
      </c>
      <c r="AQ92" s="3">
        <v>316</v>
      </c>
      <c r="AR92" s="3" t="str">
        <f>IFERROR(MID(VLOOKUP($B92,Seqs!$A:$B,2,0),AS92,1),"")</f>
        <v>P</v>
      </c>
      <c r="AS92" s="3">
        <v>321</v>
      </c>
      <c r="AT92" s="3" t="str">
        <f>IFERROR(MID(VLOOKUP($B92,Seqs!$A:$B,2,0),AU92,1),"")</f>
        <v>R</v>
      </c>
      <c r="AU92" s="3">
        <v>345</v>
      </c>
      <c r="AV92" s="3" t="str">
        <f>IFERROR(MID(VLOOKUP($B92,Seqs!$A:$B,2,0),AW92,1),"")</f>
        <v>S</v>
      </c>
      <c r="AW92" s="3">
        <v>346</v>
      </c>
      <c r="AX92" s="3" t="str">
        <f>IFERROR(MID(VLOOKUP($B92,Seqs!$A:$B,2,0),AY92,1),"")</f>
        <v>C</v>
      </c>
      <c r="AY92" s="3">
        <v>358</v>
      </c>
      <c r="AZ92" s="77" t="str">
        <f>VLOOKUP(B92,Classification!A:D,2,0)</f>
        <v>A</v>
      </c>
      <c r="BA92" s="94" t="str">
        <f>VLOOKUP(B92,Classification!A:D,4,0)</f>
        <v>Adrenoceptors</v>
      </c>
      <c r="BB92" s="27" t="b">
        <f t="shared" si="336"/>
        <v>1</v>
      </c>
      <c r="BC92" s="23">
        <f t="shared" si="225"/>
        <v>265</v>
      </c>
      <c r="BD92" s="4" t="s">
        <v>23</v>
      </c>
      <c r="BE92" s="3" t="s">
        <v>1380</v>
      </c>
      <c r="BF92" s="119">
        <v>2.8</v>
      </c>
      <c r="BG92" s="49" t="s">
        <v>1383</v>
      </c>
      <c r="BH92" s="49" t="s">
        <v>1383</v>
      </c>
      <c r="BI92" s="1"/>
      <c r="BJ92" s="70" t="s">
        <v>1293</v>
      </c>
      <c r="BK92" s="57" t="s">
        <v>1293</v>
      </c>
      <c r="BL92" s="57" t="s">
        <v>1293</v>
      </c>
      <c r="BM92" s="57" t="s">
        <v>1293</v>
      </c>
      <c r="BN92" s="57" t="s">
        <v>1293</v>
      </c>
      <c r="BO92" s="57" t="s">
        <v>1293</v>
      </c>
      <c r="BP92" s="57" t="s">
        <v>1293</v>
      </c>
      <c r="BQ92" s="57" t="s">
        <v>1293</v>
      </c>
      <c r="BR92" s="57" t="s">
        <v>1293</v>
      </c>
      <c r="BS92" s="57" t="s">
        <v>1293</v>
      </c>
      <c r="BT92" s="57" t="s">
        <v>1293</v>
      </c>
      <c r="BU92" s="57" t="s">
        <v>1293</v>
      </c>
      <c r="BV92" s="70">
        <f t="shared" si="226"/>
        <v>33</v>
      </c>
      <c r="BW92" s="71">
        <f t="shared" si="227"/>
        <v>70</v>
      </c>
      <c r="BX92" s="72">
        <f t="shared" si="228"/>
        <v>74</v>
      </c>
      <c r="BY92" s="71">
        <f t="shared" si="229"/>
        <v>106</v>
      </c>
      <c r="BZ92" s="72">
        <f t="shared" si="230"/>
        <v>110</v>
      </c>
      <c r="CA92" s="71">
        <f t="shared" si="231"/>
        <v>146</v>
      </c>
      <c r="CB92" s="72">
        <f t="shared" si="232"/>
        <v>154</v>
      </c>
      <c r="CC92" s="71">
        <f t="shared" si="233"/>
        <v>199</v>
      </c>
      <c r="CD92" s="72">
        <f t="shared" si="234"/>
        <v>204</v>
      </c>
      <c r="CE92" s="71">
        <f t="shared" si="235"/>
        <v>275</v>
      </c>
      <c r="CF92" s="72">
        <f t="shared" si="236"/>
        <v>321</v>
      </c>
      <c r="CG92" s="71">
        <f t="shared" si="237"/>
        <v>346</v>
      </c>
      <c r="CH92" s="70">
        <f t="shared" si="238"/>
        <v>69</v>
      </c>
      <c r="CI92" s="71">
        <f t="shared" si="239"/>
        <v>73</v>
      </c>
      <c r="CJ92" s="72">
        <f t="shared" si="240"/>
        <v>104</v>
      </c>
      <c r="CK92" s="72">
        <f t="shared" si="241"/>
        <v>109</v>
      </c>
      <c r="CL92" s="72">
        <f t="shared" si="242"/>
        <v>145</v>
      </c>
      <c r="CM92" s="72">
        <f t="shared" si="243"/>
        <v>153</v>
      </c>
      <c r="CN92" s="72">
        <f t="shared" si="244"/>
        <v>180</v>
      </c>
      <c r="CO92" s="72">
        <f t="shared" si="245"/>
        <v>201</v>
      </c>
      <c r="CP92" s="72">
        <f t="shared" si="246"/>
        <v>238</v>
      </c>
      <c r="CQ92" s="72">
        <f t="shared" si="247"/>
        <v>316</v>
      </c>
      <c r="CR92" s="72">
        <f t="shared" si="248"/>
        <v>345</v>
      </c>
      <c r="CS92" s="72">
        <f t="shared" si="249"/>
        <v>358</v>
      </c>
      <c r="CT92" s="23">
        <f t="shared" si="250"/>
        <v>1</v>
      </c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  <c r="ADW92" s="1"/>
      <c r="ADX92" s="1"/>
      <c r="ADY92" s="1"/>
      <c r="ADZ92" s="1"/>
      <c r="AEA92" s="1"/>
      <c r="AEB92" s="1"/>
      <c r="AEC92" s="1"/>
      <c r="AED92" s="1"/>
      <c r="AEE92" s="1"/>
      <c r="AEF92" s="1"/>
      <c r="AEG92" s="1"/>
      <c r="AEH92" s="1"/>
      <c r="AEI92" s="1"/>
      <c r="AEJ92" s="1"/>
      <c r="AEK92" s="1"/>
      <c r="AEL92" s="1"/>
      <c r="AEM92" s="1"/>
      <c r="AEN92" s="1"/>
      <c r="AEO92" s="1"/>
      <c r="AEP92" s="1"/>
      <c r="AEQ92" s="1"/>
      <c r="AER92" s="1"/>
      <c r="AES92" s="1"/>
      <c r="AET92" s="1"/>
      <c r="AEU92" s="1"/>
      <c r="AEV92" s="1"/>
      <c r="AEW92" s="1"/>
      <c r="AEX92" s="1"/>
      <c r="AEY92" s="1"/>
      <c r="AEZ92" s="1"/>
      <c r="AFA92" s="1"/>
      <c r="AFB92" s="1"/>
      <c r="AFC92" s="1"/>
      <c r="AFD92" s="1"/>
      <c r="AFE92" s="1"/>
      <c r="AFF92" s="1"/>
      <c r="AFG92" s="1"/>
      <c r="AFH92" s="1"/>
      <c r="AFI92" s="1"/>
      <c r="AFJ92" s="1"/>
      <c r="AFK92" s="1"/>
      <c r="AFL92" s="1"/>
      <c r="AFM92" s="1"/>
      <c r="AFN92" s="1"/>
      <c r="AFO92" s="1"/>
      <c r="AFP92" s="1"/>
      <c r="AFQ92" s="1"/>
      <c r="AFR92" s="1"/>
      <c r="AFS92" s="1"/>
      <c r="AFT92" s="1"/>
      <c r="AFU92" s="1"/>
      <c r="AFV92" s="1"/>
      <c r="AFW92" s="1"/>
      <c r="AFX92" s="1"/>
      <c r="AFY92" s="1"/>
      <c r="AFZ92" s="1"/>
      <c r="AGA92" s="1"/>
      <c r="AGB92" s="1"/>
      <c r="AGC92" s="1"/>
      <c r="AGD92" s="1"/>
      <c r="AGE92" s="1"/>
      <c r="AGF92" s="1"/>
      <c r="AGG92" s="1"/>
      <c r="AGH92" s="1"/>
      <c r="AGI92" s="1"/>
      <c r="AGJ92" s="1"/>
      <c r="AGK92" s="1"/>
      <c r="AGL92" s="1"/>
      <c r="AGM92" s="1"/>
      <c r="AGN92" s="1"/>
      <c r="AGO92" s="1"/>
      <c r="AGP92" s="1"/>
      <c r="AGQ92" s="1"/>
      <c r="AGR92" s="1"/>
      <c r="AGS92" s="1"/>
      <c r="AGT92" s="1"/>
      <c r="AGU92" s="1"/>
      <c r="AGV92" s="1"/>
      <c r="AGW92" s="1"/>
      <c r="AGX92" s="1"/>
      <c r="AGY92" s="1"/>
      <c r="AGZ92" s="1"/>
      <c r="AHA92" s="1"/>
      <c r="AHB92" s="1"/>
      <c r="AHC92" s="1"/>
      <c r="AHD92" s="1"/>
      <c r="AHE92" s="1"/>
      <c r="AHF92" s="1"/>
      <c r="AHG92" s="1"/>
      <c r="AHH92" s="1"/>
      <c r="AHI92" s="1"/>
      <c r="AHJ92" s="1"/>
      <c r="AHK92" s="1"/>
      <c r="AHL92" s="1"/>
      <c r="AHM92" s="1"/>
      <c r="AHN92" s="1"/>
      <c r="AHO92" s="1"/>
      <c r="AHP92" s="1"/>
      <c r="AHQ92" s="1"/>
      <c r="AHR92" s="1"/>
      <c r="AHS92" s="1"/>
      <c r="AHT92" s="1"/>
      <c r="AHU92" s="1"/>
      <c r="AHV92" s="1"/>
      <c r="AHW92" s="1"/>
      <c r="AHX92" s="1"/>
      <c r="AHY92" s="1"/>
      <c r="AHZ92" s="1"/>
      <c r="AIA92" s="1"/>
      <c r="AIB92" s="1"/>
      <c r="AIC92" s="1"/>
      <c r="AID92" s="1"/>
      <c r="AIE92" s="1"/>
      <c r="AIF92" s="1"/>
      <c r="AIG92" s="1"/>
      <c r="AIH92" s="1"/>
      <c r="AII92" s="1"/>
      <c r="AIJ92" s="1"/>
      <c r="AIK92" s="1"/>
      <c r="AIL92" s="1"/>
      <c r="AIM92" s="1"/>
      <c r="AIN92" s="1"/>
      <c r="AIO92" s="1"/>
      <c r="AIP92" s="1"/>
      <c r="AIQ92" s="1"/>
      <c r="AIR92" s="1"/>
      <c r="AIS92" s="1"/>
      <c r="AIT92" s="1"/>
      <c r="AIU92" s="1"/>
      <c r="AIV92" s="1"/>
      <c r="AIW92" s="1"/>
      <c r="AIX92" s="1"/>
      <c r="AIY92" s="1"/>
      <c r="AIZ92" s="1"/>
      <c r="AJA92" s="1"/>
      <c r="AJB92" s="1"/>
      <c r="AJC92" s="1"/>
      <c r="AJD92" s="1"/>
      <c r="AJE92" s="1"/>
      <c r="AJF92" s="1"/>
      <c r="AJG92" s="1"/>
      <c r="AJH92" s="1"/>
      <c r="AJI92" s="1"/>
      <c r="AJJ92" s="1"/>
      <c r="AJK92" s="1"/>
      <c r="AJL92" s="1"/>
      <c r="AJM92" s="1"/>
      <c r="AJN92" s="1"/>
      <c r="AJO92" s="1"/>
      <c r="AJP92" s="1"/>
      <c r="AJQ92" s="1"/>
      <c r="AJR92" s="1"/>
      <c r="AJS92" s="1"/>
      <c r="AJT92" s="1"/>
      <c r="AJU92" s="1"/>
      <c r="AJV92" s="1"/>
      <c r="AJW92" s="1"/>
      <c r="AJX92" s="1"/>
      <c r="AJY92" s="1"/>
      <c r="AJZ92" s="1"/>
      <c r="AKA92" s="1"/>
      <c r="AKB92" s="1"/>
      <c r="AKC92" s="1"/>
      <c r="AKD92" s="1"/>
      <c r="AKE92" s="1"/>
      <c r="AKF92" s="1"/>
      <c r="AKG92" s="1"/>
      <c r="AKH92" s="1"/>
      <c r="AKI92" s="1"/>
      <c r="AKJ92" s="1"/>
      <c r="AKK92" s="1"/>
      <c r="AKL92" s="1"/>
      <c r="AKM92" s="1"/>
      <c r="AKN92" s="1"/>
      <c r="AKO92" s="1"/>
      <c r="AKP92" s="1"/>
      <c r="AKQ92" s="1"/>
      <c r="AKR92" s="1"/>
      <c r="AKS92" s="1"/>
      <c r="AKT92" s="1"/>
      <c r="AKU92" s="1"/>
      <c r="AKV92" s="1"/>
      <c r="AKW92" s="1"/>
      <c r="AKX92" s="1"/>
      <c r="AKY92" s="1"/>
      <c r="AKZ92" s="1"/>
      <c r="ALA92" s="1"/>
      <c r="ALB92" s="1"/>
      <c r="ALC92" s="1"/>
      <c r="ALD92" s="1"/>
      <c r="ALE92" s="1"/>
      <c r="ALF92" s="1"/>
      <c r="ALG92" s="1"/>
      <c r="ALH92" s="1"/>
      <c r="ALI92" s="1"/>
      <c r="ALJ92" s="1"/>
      <c r="ALK92" s="1"/>
      <c r="ALL92" s="1"/>
      <c r="ALM92" s="1"/>
      <c r="ALN92" s="1"/>
      <c r="ALO92" s="1"/>
      <c r="ALP92" s="1"/>
      <c r="ALQ92" s="1"/>
      <c r="ALR92" s="1"/>
      <c r="ALS92" s="1"/>
      <c r="ALT92" s="1"/>
      <c r="ALU92" s="1"/>
      <c r="ALV92" s="1"/>
      <c r="ALW92" s="1"/>
      <c r="ALX92" s="1"/>
      <c r="ALY92" s="1"/>
      <c r="ALZ92" s="1"/>
      <c r="AMA92" s="1"/>
      <c r="AMB92" s="1"/>
      <c r="AMC92" s="1"/>
      <c r="AMD92" s="1"/>
      <c r="AME92" s="1"/>
      <c r="AMF92" s="1"/>
      <c r="AMG92" s="1"/>
      <c r="AMH92" s="1"/>
      <c r="AMI92" s="1"/>
      <c r="AMJ92" s="1"/>
      <c r="AMK92" s="1"/>
      <c r="AML92" s="1"/>
      <c r="AMM92" s="1"/>
      <c r="AMN92" s="1"/>
      <c r="AMO92" s="1"/>
    </row>
    <row r="93" spans="1:1029" x14ac:dyDescent="0.2">
      <c r="A93" s="3" t="str">
        <f t="shared" si="335"/>
        <v>adrb1_melga_3ZPR</v>
      </c>
      <c r="B93" s="3" t="s">
        <v>912</v>
      </c>
      <c r="C93" s="3" t="s">
        <v>1039</v>
      </c>
      <c r="D93" s="3" t="str">
        <f>IFERROR(MID(VLOOKUP($B93,Seqs!$A:$B,2,0),E93,1),"")</f>
        <v>A</v>
      </c>
      <c r="E93" s="3">
        <v>33</v>
      </c>
      <c r="F93" s="3" t="str">
        <f>IFERROR(MID(VLOOKUP($B93,Seqs!$A:$B,2,0),G93,1),"")</f>
        <v>T</v>
      </c>
      <c r="G93" s="3">
        <v>69</v>
      </c>
      <c r="H93" s="3" t="str">
        <f>IFERROR(MID(VLOOKUP($B93,Seqs!$A:$B,2,0),I93,1),"")</f>
        <v>Q</v>
      </c>
      <c r="I93" s="23">
        <v>70</v>
      </c>
      <c r="J93" s="3" t="str">
        <f>IFERROR(MID(VLOOKUP($B93,Seqs!$A:$B,2,0),K93,1),"")</f>
        <v>Q</v>
      </c>
      <c r="K93" s="23">
        <v>73</v>
      </c>
      <c r="L93" s="3" t="str">
        <f>IFERROR(MID(VLOOKUP($B93,Seqs!$A:$B,2,0),M93,1),"")</f>
        <v>T</v>
      </c>
      <c r="M93" s="3">
        <v>74</v>
      </c>
      <c r="N93" s="3" t="str">
        <f>IFERROR(MID(VLOOKUP($B93,Seqs!$A:$B,2,0),O93,1),"")</f>
        <v>R</v>
      </c>
      <c r="O93" s="3">
        <v>104</v>
      </c>
      <c r="P93" s="3" t="str">
        <f>IFERROR(MID(VLOOKUP($B93,Seqs!$A:$B,2,0),Q93,1),"")</f>
        <v>T</v>
      </c>
      <c r="Q93" s="3">
        <v>106</v>
      </c>
      <c r="R93" s="3" t="str">
        <f>IFERROR(MID(VLOOKUP($B93,Seqs!$A:$B,2,0),S93,1),"")</f>
        <v>W</v>
      </c>
      <c r="S93" s="3">
        <v>109</v>
      </c>
      <c r="T93" s="3" t="str">
        <f>IFERROR(MID(VLOOKUP($B93,Seqs!$A:$B,2,0),U93,1),"")</f>
        <v>G</v>
      </c>
      <c r="U93" s="3">
        <v>110</v>
      </c>
      <c r="V93" s="3" t="str">
        <f>IFERROR(MID(VLOOKUP($B93,Seqs!$A:$B,2,0),W93,1),"")</f>
        <v>S</v>
      </c>
      <c r="W93" s="3">
        <v>145</v>
      </c>
      <c r="X93" s="3" t="str">
        <f>IFERROR(MID(VLOOKUP($B93,Seqs!$A:$B,2,0),Y93,1),"")</f>
        <v>P</v>
      </c>
      <c r="Y93" s="3">
        <v>146</v>
      </c>
      <c r="Z93" s="3" t="str">
        <f>IFERROR(MID(VLOOKUP($B93,Seqs!$A:$B,2,0),AA93,1),"")</f>
        <v>M</v>
      </c>
      <c r="AA93" s="3">
        <v>153</v>
      </c>
      <c r="AB93" s="3" t="str">
        <f>IFERROR(MID(VLOOKUP($B93,Seqs!$A:$B,2,0),AC93,1),"")</f>
        <v>T</v>
      </c>
      <c r="AC93" s="9">
        <v>154</v>
      </c>
      <c r="AD93" s="3" t="str">
        <f>IFERROR(MID(VLOOKUP($B93,Seqs!$A:$B,2,0),AE93,1),"")</f>
        <v>H</v>
      </c>
      <c r="AE93" s="3">
        <v>180</v>
      </c>
      <c r="AF93" s="3" t="str">
        <f>IFERROR(MID(VLOOKUP($B93,Seqs!$A:$B,2,0),AG93,1),"")</f>
        <v>C</v>
      </c>
      <c r="AG93" s="3">
        <v>199</v>
      </c>
      <c r="AH93" s="3" t="str">
        <f>IFERROR(MID(VLOOKUP($B93,Seqs!$A:$B,2,0),AI93,1),"")</f>
        <v>F</v>
      </c>
      <c r="AI93" s="3">
        <v>201</v>
      </c>
      <c r="AJ93" s="3" t="str">
        <f>IFERROR(MID(VLOOKUP($B93,Seqs!$A:$B,2,0),AK93,1),"")</f>
        <v>N</v>
      </c>
      <c r="AK93" s="3">
        <v>204</v>
      </c>
      <c r="AL93" s="3" t="str">
        <f>IFERROR(MID(VLOOKUP($B93,Seqs!$A:$B,2,0),AM93,1),"")</f>
        <v>I</v>
      </c>
      <c r="AM93" s="3">
        <v>238</v>
      </c>
      <c r="AN93" s="3" t="str">
        <f>IFERROR(MID(VLOOKUP($B93,Seqs!$A:$B,2,0),AO93,1),"")</f>
        <v>R</v>
      </c>
      <c r="AO93" s="3">
        <v>275</v>
      </c>
      <c r="AP93" s="3" t="str">
        <f>IFERROR(MID(VLOOKUP($B93,Seqs!$A:$B,2,0),AQ93,1),"")</f>
        <v>N</v>
      </c>
      <c r="AQ93" s="3">
        <v>316</v>
      </c>
      <c r="AR93" s="3" t="str">
        <f>IFERROR(MID(VLOOKUP($B93,Seqs!$A:$B,2,0),AS93,1),"")</f>
        <v>P</v>
      </c>
      <c r="AS93" s="3">
        <v>321</v>
      </c>
      <c r="AT93" s="3" t="str">
        <f>IFERROR(MID(VLOOKUP($B93,Seqs!$A:$B,2,0),AU93,1),"")</f>
        <v>R</v>
      </c>
      <c r="AU93" s="3">
        <v>345</v>
      </c>
      <c r="AV93" s="3" t="str">
        <f>IFERROR(MID(VLOOKUP($B93,Seqs!$A:$B,2,0),AW93,1),"")</f>
        <v>S</v>
      </c>
      <c r="AW93" s="3">
        <v>346</v>
      </c>
      <c r="AX93" s="3" t="str">
        <f>IFERROR(MID(VLOOKUP($B93,Seqs!$A:$B,2,0),AY93,1),"")</f>
        <v>C</v>
      </c>
      <c r="AY93" s="3">
        <v>358</v>
      </c>
      <c r="AZ93" s="77" t="str">
        <f>VLOOKUP(B93,Classification!A:D,2,0)</f>
        <v>A</v>
      </c>
      <c r="BA93" s="94" t="str">
        <f>VLOOKUP(B93,Classification!A:D,4,0)</f>
        <v>Adrenoceptors</v>
      </c>
      <c r="BB93" s="27" t="b">
        <f t="shared" si="336"/>
        <v>1</v>
      </c>
      <c r="BC93" s="23">
        <f t="shared" si="225"/>
        <v>265</v>
      </c>
      <c r="BD93" s="4" t="s">
        <v>23</v>
      </c>
      <c r="BE93" s="3" t="s">
        <v>1380</v>
      </c>
      <c r="BF93" s="119">
        <v>2.7</v>
      </c>
      <c r="BG93" s="49" t="s">
        <v>1383</v>
      </c>
      <c r="BH93" s="49" t="s">
        <v>1383</v>
      </c>
      <c r="BI93" s="1"/>
      <c r="BJ93" s="70" t="s">
        <v>1293</v>
      </c>
      <c r="BK93" s="57" t="s">
        <v>1293</v>
      </c>
      <c r="BL93" s="57" t="s">
        <v>1293</v>
      </c>
      <c r="BM93" s="57" t="s">
        <v>1293</v>
      </c>
      <c r="BN93" s="57" t="s">
        <v>1293</v>
      </c>
      <c r="BO93" s="57" t="s">
        <v>1293</v>
      </c>
      <c r="BP93" s="57" t="s">
        <v>1293</v>
      </c>
      <c r="BQ93" s="57" t="s">
        <v>1293</v>
      </c>
      <c r="BR93" s="57" t="s">
        <v>1293</v>
      </c>
      <c r="BS93" s="57" t="s">
        <v>1293</v>
      </c>
      <c r="BT93" s="57" t="s">
        <v>1293</v>
      </c>
      <c r="BU93" s="57" t="s">
        <v>1293</v>
      </c>
      <c r="BV93" s="70">
        <f t="shared" si="226"/>
        <v>33</v>
      </c>
      <c r="BW93" s="71">
        <f t="shared" si="227"/>
        <v>70</v>
      </c>
      <c r="BX93" s="72">
        <f t="shared" si="228"/>
        <v>74</v>
      </c>
      <c r="BY93" s="71">
        <f t="shared" si="229"/>
        <v>106</v>
      </c>
      <c r="BZ93" s="72">
        <f t="shared" si="230"/>
        <v>110</v>
      </c>
      <c r="CA93" s="71">
        <f t="shared" si="231"/>
        <v>146</v>
      </c>
      <c r="CB93" s="72">
        <f t="shared" si="232"/>
        <v>154</v>
      </c>
      <c r="CC93" s="71">
        <f t="shared" si="233"/>
        <v>199</v>
      </c>
      <c r="CD93" s="72">
        <f t="shared" si="234"/>
        <v>204</v>
      </c>
      <c r="CE93" s="71">
        <f t="shared" si="235"/>
        <v>275</v>
      </c>
      <c r="CF93" s="72">
        <f t="shared" si="236"/>
        <v>321</v>
      </c>
      <c r="CG93" s="71">
        <f t="shared" si="237"/>
        <v>346</v>
      </c>
      <c r="CH93" s="70">
        <f t="shared" si="238"/>
        <v>69</v>
      </c>
      <c r="CI93" s="71">
        <f t="shared" si="239"/>
        <v>73</v>
      </c>
      <c r="CJ93" s="72">
        <f t="shared" si="240"/>
        <v>104</v>
      </c>
      <c r="CK93" s="72">
        <f t="shared" si="241"/>
        <v>109</v>
      </c>
      <c r="CL93" s="72">
        <f t="shared" si="242"/>
        <v>145</v>
      </c>
      <c r="CM93" s="72">
        <f t="shared" si="243"/>
        <v>153</v>
      </c>
      <c r="CN93" s="72">
        <f t="shared" si="244"/>
        <v>180</v>
      </c>
      <c r="CO93" s="72">
        <f t="shared" si="245"/>
        <v>201</v>
      </c>
      <c r="CP93" s="72">
        <f t="shared" si="246"/>
        <v>238</v>
      </c>
      <c r="CQ93" s="72">
        <f t="shared" si="247"/>
        <v>316</v>
      </c>
      <c r="CR93" s="72">
        <f t="shared" si="248"/>
        <v>345</v>
      </c>
      <c r="CS93" s="72">
        <f t="shared" si="249"/>
        <v>358</v>
      </c>
      <c r="CT93" s="23">
        <f t="shared" si="250"/>
        <v>1</v>
      </c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1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1"/>
      <c r="AFE93" s="1"/>
      <c r="AFF93" s="1"/>
      <c r="AFG93" s="1"/>
      <c r="AFH93" s="1"/>
      <c r="AFI93" s="1"/>
      <c r="AFJ93" s="1"/>
      <c r="AFK93" s="1"/>
      <c r="AFL93" s="1"/>
      <c r="AFM93" s="1"/>
      <c r="AFN93" s="1"/>
      <c r="AFO93" s="1"/>
      <c r="AFP93" s="1"/>
      <c r="AFQ93" s="1"/>
      <c r="AFR93" s="1"/>
      <c r="AFS93" s="1"/>
      <c r="AFT93" s="1"/>
      <c r="AFU93" s="1"/>
      <c r="AFV93" s="1"/>
      <c r="AFW93" s="1"/>
      <c r="AFX93" s="1"/>
      <c r="AFY93" s="1"/>
      <c r="AFZ93" s="1"/>
      <c r="AGA93" s="1"/>
      <c r="AGB93" s="1"/>
      <c r="AGC93" s="1"/>
      <c r="AGD93" s="1"/>
      <c r="AGE93" s="1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1"/>
      <c r="AHD93" s="1"/>
      <c r="AHE93" s="1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1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1"/>
      <c r="AIQ93" s="1"/>
      <c r="AIR93" s="1"/>
      <c r="AIS93" s="1"/>
      <c r="AIT93" s="1"/>
      <c r="AIU93" s="1"/>
      <c r="AIV93" s="1"/>
      <c r="AIW93" s="1"/>
      <c r="AIX93" s="1"/>
      <c r="AIY93" s="1"/>
      <c r="AIZ93" s="1"/>
      <c r="AJA93" s="1"/>
      <c r="AJB93" s="1"/>
      <c r="AJC93" s="1"/>
      <c r="AJD93" s="1"/>
      <c r="AJE93" s="1"/>
      <c r="AJF93" s="1"/>
      <c r="AJG93" s="1"/>
      <c r="AJH93" s="1"/>
      <c r="AJI93" s="1"/>
      <c r="AJJ93" s="1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1"/>
      <c r="AJX93" s="1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1"/>
      <c r="AKR93" s="1"/>
      <c r="AKS93" s="1"/>
      <c r="AKT93" s="1"/>
      <c r="AKU93" s="1"/>
      <c r="AKV93" s="1"/>
      <c r="AKW93" s="1"/>
      <c r="AKX93" s="1"/>
      <c r="AKY93" s="1"/>
      <c r="AKZ93" s="1"/>
      <c r="ALA93" s="1"/>
      <c r="ALB93" s="1"/>
      <c r="ALC93" s="1"/>
      <c r="ALD93" s="1"/>
      <c r="ALE93" s="1"/>
      <c r="ALF93" s="1"/>
      <c r="ALG93" s="1"/>
      <c r="ALH93" s="1"/>
      <c r="ALI93" s="1"/>
      <c r="ALJ93" s="1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1"/>
      <c r="AMB93" s="1"/>
      <c r="AMC93" s="1"/>
      <c r="AMD93" s="1"/>
      <c r="AME93" s="1"/>
      <c r="AMF93" s="1"/>
      <c r="AMG93" s="1"/>
      <c r="AMH93" s="1"/>
      <c r="AMI93" s="1"/>
      <c r="AMJ93" s="1"/>
      <c r="AMK93" s="1"/>
      <c r="AML93" s="1"/>
      <c r="AMM93" s="1"/>
      <c r="AMN93" s="1"/>
      <c r="AMO93" s="1"/>
    </row>
    <row r="94" spans="1:1029" x14ac:dyDescent="0.2">
      <c r="A94" s="3" t="str">
        <f t="shared" si="335"/>
        <v>adrb1_melga_4AMI</v>
      </c>
      <c r="B94" s="3" t="s">
        <v>912</v>
      </c>
      <c r="C94" s="3" t="s">
        <v>1040</v>
      </c>
      <c r="D94" s="3" t="str">
        <f>IFERROR(MID(VLOOKUP($B94,Seqs!$A:$B,2,0),E94,1),"")</f>
        <v>A</v>
      </c>
      <c r="E94" s="3">
        <v>33</v>
      </c>
      <c r="F94" s="3" t="str">
        <f>IFERROR(MID(VLOOKUP($B94,Seqs!$A:$B,2,0),G94,1),"")</f>
        <v>T</v>
      </c>
      <c r="G94" s="3">
        <v>69</v>
      </c>
      <c r="H94" s="3" t="str">
        <f>IFERROR(MID(VLOOKUP($B94,Seqs!$A:$B,2,0),I94,1),"")</f>
        <v>Q</v>
      </c>
      <c r="I94" s="23">
        <v>70</v>
      </c>
      <c r="J94" s="3" t="str">
        <f>IFERROR(MID(VLOOKUP($B94,Seqs!$A:$B,2,0),K94,1),"")</f>
        <v>Q</v>
      </c>
      <c r="K94" s="23">
        <v>73</v>
      </c>
      <c r="L94" s="3" t="str">
        <f>IFERROR(MID(VLOOKUP($B94,Seqs!$A:$B,2,0),M94,1),"")</f>
        <v>T</v>
      </c>
      <c r="M94" s="3">
        <v>74</v>
      </c>
      <c r="N94" s="3" t="str">
        <f>IFERROR(MID(VLOOKUP($B94,Seqs!$A:$B,2,0),O94,1),"")</f>
        <v>R</v>
      </c>
      <c r="O94" s="3">
        <v>104</v>
      </c>
      <c r="P94" s="3" t="str">
        <f>IFERROR(MID(VLOOKUP($B94,Seqs!$A:$B,2,0),Q94,1),"")</f>
        <v>T</v>
      </c>
      <c r="Q94" s="3">
        <v>106</v>
      </c>
      <c r="R94" s="3" t="str">
        <f>IFERROR(MID(VLOOKUP($B94,Seqs!$A:$B,2,0),S94,1),"")</f>
        <v>W</v>
      </c>
      <c r="S94" s="3">
        <v>109</v>
      </c>
      <c r="T94" s="3" t="str">
        <f>IFERROR(MID(VLOOKUP($B94,Seqs!$A:$B,2,0),U94,1),"")</f>
        <v>G</v>
      </c>
      <c r="U94" s="3">
        <v>110</v>
      </c>
      <c r="V94" s="3" t="str">
        <f>IFERROR(MID(VLOOKUP($B94,Seqs!$A:$B,2,0),W94,1),"")</f>
        <v>S</v>
      </c>
      <c r="W94" s="3">
        <v>145</v>
      </c>
      <c r="X94" s="3" t="str">
        <f>IFERROR(MID(VLOOKUP($B94,Seqs!$A:$B,2,0),Y94,1),"")</f>
        <v>P</v>
      </c>
      <c r="Y94" s="3">
        <v>146</v>
      </c>
      <c r="Z94" s="3" t="str">
        <f>IFERROR(MID(VLOOKUP($B94,Seqs!$A:$B,2,0),AA94,1),"")</f>
        <v>M</v>
      </c>
      <c r="AA94" s="3">
        <v>153</v>
      </c>
      <c r="AB94" s="3" t="str">
        <f>IFERROR(MID(VLOOKUP($B94,Seqs!$A:$B,2,0),AC94,1),"")</f>
        <v>T</v>
      </c>
      <c r="AC94" s="9">
        <v>154</v>
      </c>
      <c r="AD94" s="3" t="str">
        <f>IFERROR(MID(VLOOKUP($B94,Seqs!$A:$B,2,0),AE94,1),"")</f>
        <v>H</v>
      </c>
      <c r="AE94" s="3">
        <v>180</v>
      </c>
      <c r="AF94" s="3" t="str">
        <f>IFERROR(MID(VLOOKUP($B94,Seqs!$A:$B,2,0),AG94,1),"")</f>
        <v>C</v>
      </c>
      <c r="AG94" s="3">
        <v>199</v>
      </c>
      <c r="AH94" s="3" t="str">
        <f>IFERROR(MID(VLOOKUP($B94,Seqs!$A:$B,2,0),AI94,1),"")</f>
        <v>F</v>
      </c>
      <c r="AI94" s="3">
        <v>201</v>
      </c>
      <c r="AJ94" s="3" t="str">
        <f>IFERROR(MID(VLOOKUP($B94,Seqs!$A:$B,2,0),AK94,1),"")</f>
        <v>N</v>
      </c>
      <c r="AK94" s="3">
        <v>204</v>
      </c>
      <c r="AL94" s="3" t="str">
        <f>IFERROR(MID(VLOOKUP($B94,Seqs!$A:$B,2,0),AM94,1),"")</f>
        <v>E</v>
      </c>
      <c r="AM94" s="3">
        <v>236</v>
      </c>
      <c r="AN94" s="3" t="str">
        <f>IFERROR(MID(VLOOKUP($B94,Seqs!$A:$B,2,0),AO94,1),"")</f>
        <v>A</v>
      </c>
      <c r="AO94" s="3">
        <v>288</v>
      </c>
      <c r="AP94" s="3" t="str">
        <f>IFERROR(MID(VLOOKUP($B94,Seqs!$A:$B,2,0),AQ94,1),"")</f>
        <v>N</v>
      </c>
      <c r="AQ94" s="3">
        <v>316</v>
      </c>
      <c r="AR94" s="3" t="str">
        <f>IFERROR(MID(VLOOKUP($B94,Seqs!$A:$B,2,0),AS94,1),"")</f>
        <v>P</v>
      </c>
      <c r="AS94" s="3">
        <v>321</v>
      </c>
      <c r="AT94" s="3" t="str">
        <f>IFERROR(MID(VLOOKUP($B94,Seqs!$A:$B,2,0),AU94,1),"")</f>
        <v>R</v>
      </c>
      <c r="AU94" s="3">
        <v>345</v>
      </c>
      <c r="AV94" s="3" t="str">
        <f>IFERROR(MID(VLOOKUP($B94,Seqs!$A:$B,2,0),AW94,1),"")</f>
        <v>S</v>
      </c>
      <c r="AW94" s="3">
        <v>346</v>
      </c>
      <c r="AX94" s="3" t="str">
        <f>IFERROR(MID(VLOOKUP($B94,Seqs!$A:$B,2,0),AY94,1),"")</f>
        <v>C</v>
      </c>
      <c r="AY94" s="3">
        <v>358</v>
      </c>
      <c r="AZ94" s="77" t="str">
        <f>VLOOKUP(B94,Classification!A:D,2,0)</f>
        <v>A</v>
      </c>
      <c r="BA94" s="94" t="str">
        <f>VLOOKUP(B94,Classification!A:D,4,0)</f>
        <v>Adrenoceptors</v>
      </c>
      <c r="BB94" s="27" t="b">
        <f t="shared" si="336"/>
        <v>1</v>
      </c>
      <c r="BC94" s="23">
        <f t="shared" si="225"/>
        <v>250</v>
      </c>
      <c r="BD94" s="4" t="s">
        <v>23</v>
      </c>
      <c r="BE94" s="3" t="s">
        <v>1380</v>
      </c>
      <c r="BF94" s="119">
        <v>3.2</v>
      </c>
      <c r="BG94" s="49" t="s">
        <v>1383</v>
      </c>
      <c r="BH94" s="49" t="s">
        <v>1383</v>
      </c>
      <c r="BI94" s="1"/>
      <c r="BJ94" s="70" t="s">
        <v>1293</v>
      </c>
      <c r="BK94" s="57" t="s">
        <v>1293</v>
      </c>
      <c r="BL94" s="57" t="s">
        <v>1293</v>
      </c>
      <c r="BM94" s="57" t="s">
        <v>1293</v>
      </c>
      <c r="BN94" s="57" t="s">
        <v>1293</v>
      </c>
      <c r="BO94" s="57" t="s">
        <v>1293</v>
      </c>
      <c r="BP94" s="57" t="s">
        <v>1293</v>
      </c>
      <c r="BQ94" s="57" t="s">
        <v>1293</v>
      </c>
      <c r="BR94" s="57" t="s">
        <v>1293</v>
      </c>
      <c r="BS94" s="57" t="s">
        <v>1293</v>
      </c>
      <c r="BT94" s="57" t="s">
        <v>1293</v>
      </c>
      <c r="BU94" s="57" t="s">
        <v>1293</v>
      </c>
      <c r="BV94" s="70">
        <f t="shared" si="226"/>
        <v>33</v>
      </c>
      <c r="BW94" s="71">
        <f t="shared" si="227"/>
        <v>70</v>
      </c>
      <c r="BX94" s="72">
        <f t="shared" si="228"/>
        <v>74</v>
      </c>
      <c r="BY94" s="71">
        <f t="shared" si="229"/>
        <v>106</v>
      </c>
      <c r="BZ94" s="72">
        <f t="shared" si="230"/>
        <v>110</v>
      </c>
      <c r="CA94" s="71">
        <f t="shared" si="231"/>
        <v>146</v>
      </c>
      <c r="CB94" s="72">
        <f t="shared" si="232"/>
        <v>154</v>
      </c>
      <c r="CC94" s="71">
        <f t="shared" si="233"/>
        <v>199</v>
      </c>
      <c r="CD94" s="72">
        <f t="shared" si="234"/>
        <v>204</v>
      </c>
      <c r="CE94" s="71">
        <f t="shared" si="235"/>
        <v>288</v>
      </c>
      <c r="CF94" s="72">
        <f t="shared" si="236"/>
        <v>321</v>
      </c>
      <c r="CG94" s="71">
        <f t="shared" si="237"/>
        <v>346</v>
      </c>
      <c r="CH94" s="70">
        <f t="shared" si="238"/>
        <v>69</v>
      </c>
      <c r="CI94" s="71">
        <f t="shared" si="239"/>
        <v>73</v>
      </c>
      <c r="CJ94" s="72">
        <f t="shared" si="240"/>
        <v>104</v>
      </c>
      <c r="CK94" s="72">
        <f t="shared" si="241"/>
        <v>109</v>
      </c>
      <c r="CL94" s="72">
        <f t="shared" si="242"/>
        <v>145</v>
      </c>
      <c r="CM94" s="72">
        <f t="shared" si="243"/>
        <v>153</v>
      </c>
      <c r="CN94" s="72">
        <f t="shared" si="244"/>
        <v>180</v>
      </c>
      <c r="CO94" s="72">
        <f t="shared" si="245"/>
        <v>201</v>
      </c>
      <c r="CP94" s="72">
        <f t="shared" si="246"/>
        <v>236</v>
      </c>
      <c r="CQ94" s="72">
        <f t="shared" si="247"/>
        <v>316</v>
      </c>
      <c r="CR94" s="72">
        <f t="shared" si="248"/>
        <v>345</v>
      </c>
      <c r="CS94" s="72">
        <f t="shared" si="249"/>
        <v>358</v>
      </c>
      <c r="CT94" s="23">
        <f t="shared" si="250"/>
        <v>1</v>
      </c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1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1"/>
      <c r="AFW94" s="1"/>
      <c r="AFX94" s="1"/>
      <c r="AFY94" s="1"/>
      <c r="AFZ94" s="1"/>
      <c r="AGA94" s="1"/>
      <c r="AGB94" s="1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1"/>
      <c r="AHD94" s="1"/>
      <c r="AHE94" s="1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1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1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1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1"/>
      <c r="AKR94" s="1"/>
      <c r="AKS94" s="1"/>
      <c r="AKT94" s="1"/>
      <c r="AKU94" s="1"/>
      <c r="AKV94" s="1"/>
      <c r="AKW94" s="1"/>
      <c r="AKX94" s="1"/>
      <c r="AKY94" s="1"/>
      <c r="AKZ94" s="1"/>
      <c r="ALA94" s="1"/>
      <c r="ALB94" s="1"/>
      <c r="ALC94" s="1"/>
      <c r="ALD94" s="1"/>
      <c r="ALE94" s="1"/>
      <c r="ALF94" s="1"/>
      <c r="ALG94" s="1"/>
      <c r="ALH94" s="1"/>
      <c r="ALI94" s="1"/>
      <c r="ALJ94" s="1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1"/>
      <c r="AMB94" s="1"/>
      <c r="AMC94" s="1"/>
      <c r="AMD94" s="1"/>
      <c r="AME94" s="1"/>
      <c r="AMF94" s="1"/>
      <c r="AMG94" s="1"/>
      <c r="AMH94" s="1"/>
      <c r="AMI94" s="1"/>
      <c r="AMJ94" s="1"/>
      <c r="AMK94" s="1"/>
      <c r="AML94" s="1"/>
      <c r="AMM94" s="1"/>
      <c r="AMN94" s="1"/>
      <c r="AMO94" s="1"/>
    </row>
    <row r="95" spans="1:1029" x14ac:dyDescent="0.2">
      <c r="A95" s="3" t="str">
        <f t="shared" si="335"/>
        <v>adrb1_melga_4AMJ</v>
      </c>
      <c r="B95" s="3" t="s">
        <v>912</v>
      </c>
      <c r="C95" s="3" t="s">
        <v>1041</v>
      </c>
      <c r="D95" s="3" t="str">
        <f>IFERROR(MID(VLOOKUP($B95,Seqs!$A:$B,2,0),E95,1),"")</f>
        <v>A</v>
      </c>
      <c r="E95" s="3">
        <v>33</v>
      </c>
      <c r="F95" s="3" t="str">
        <f>IFERROR(MID(VLOOKUP($B95,Seqs!$A:$B,2,0),G95,1),"")</f>
        <v>T</v>
      </c>
      <c r="G95" s="3">
        <v>69</v>
      </c>
      <c r="H95" s="3" t="str">
        <f>IFERROR(MID(VLOOKUP($B95,Seqs!$A:$B,2,0),I95,1),"")</f>
        <v>Q</v>
      </c>
      <c r="I95" s="23">
        <v>70</v>
      </c>
      <c r="J95" s="3" t="str">
        <f>IFERROR(MID(VLOOKUP($B95,Seqs!$A:$B,2,0),K95,1),"")</f>
        <v>Q</v>
      </c>
      <c r="K95" s="23">
        <v>73</v>
      </c>
      <c r="L95" s="3" t="str">
        <f>IFERROR(MID(VLOOKUP($B95,Seqs!$A:$B,2,0),M95,1),"")</f>
        <v>T</v>
      </c>
      <c r="M95" s="3">
        <v>74</v>
      </c>
      <c r="N95" s="3" t="str">
        <f>IFERROR(MID(VLOOKUP($B95,Seqs!$A:$B,2,0),O95,1),"")</f>
        <v>R</v>
      </c>
      <c r="O95" s="3">
        <v>104</v>
      </c>
      <c r="P95" s="3" t="str">
        <f>IFERROR(MID(VLOOKUP($B95,Seqs!$A:$B,2,0),Q95,1),"")</f>
        <v>T</v>
      </c>
      <c r="Q95" s="3">
        <v>106</v>
      </c>
      <c r="R95" s="3" t="str">
        <f>IFERROR(MID(VLOOKUP($B95,Seqs!$A:$B,2,0),S95,1),"")</f>
        <v>W</v>
      </c>
      <c r="S95" s="3">
        <v>109</v>
      </c>
      <c r="T95" s="3" t="str">
        <f>IFERROR(MID(VLOOKUP($B95,Seqs!$A:$B,2,0),U95,1),"")</f>
        <v>G</v>
      </c>
      <c r="U95" s="3">
        <v>110</v>
      </c>
      <c r="V95" s="3" t="str">
        <f>IFERROR(MID(VLOOKUP($B95,Seqs!$A:$B,2,0),W95,1),"")</f>
        <v>S</v>
      </c>
      <c r="W95" s="3">
        <v>145</v>
      </c>
      <c r="X95" s="3" t="str">
        <f>IFERROR(MID(VLOOKUP($B95,Seqs!$A:$B,2,0),Y95,1),"")</f>
        <v>P</v>
      </c>
      <c r="Y95" s="3">
        <v>146</v>
      </c>
      <c r="Z95" s="3" t="str">
        <f>IFERROR(MID(VLOOKUP($B95,Seqs!$A:$B,2,0),AA95,1),"")</f>
        <v>M</v>
      </c>
      <c r="AA95" s="3">
        <v>153</v>
      </c>
      <c r="AB95" s="3" t="str">
        <f>IFERROR(MID(VLOOKUP($B95,Seqs!$A:$B,2,0),AC95,1),"")</f>
        <v>T</v>
      </c>
      <c r="AC95" s="9">
        <v>154</v>
      </c>
      <c r="AD95" s="3" t="str">
        <f>IFERROR(MID(VLOOKUP($B95,Seqs!$A:$B,2,0),AE95,1),"")</f>
        <v>H</v>
      </c>
      <c r="AE95" s="3">
        <v>180</v>
      </c>
      <c r="AF95" s="3" t="str">
        <f>IFERROR(MID(VLOOKUP($B95,Seqs!$A:$B,2,0),AG95,1),"")</f>
        <v>C</v>
      </c>
      <c r="AG95" s="3">
        <v>199</v>
      </c>
      <c r="AH95" s="3" t="str">
        <f>IFERROR(MID(VLOOKUP($B95,Seqs!$A:$B,2,0),AI95,1),"")</f>
        <v>F</v>
      </c>
      <c r="AI95" s="3">
        <v>201</v>
      </c>
      <c r="AJ95" s="3" t="str">
        <f>IFERROR(MID(VLOOKUP($B95,Seqs!$A:$B,2,0),AK95,1),"")</f>
        <v>N</v>
      </c>
      <c r="AK95" s="3">
        <v>204</v>
      </c>
      <c r="AL95" s="3" t="str">
        <f>IFERROR(MID(VLOOKUP($B95,Seqs!$A:$B,2,0),AM95,1),"")</f>
        <v>I</v>
      </c>
      <c r="AM95" s="3">
        <v>238</v>
      </c>
      <c r="AN95" s="3" t="str">
        <f>IFERROR(MID(VLOOKUP($B95,Seqs!$A:$B,2,0),AO95,1),"")</f>
        <v>R</v>
      </c>
      <c r="AO95" s="3">
        <v>275</v>
      </c>
      <c r="AP95" s="3" t="str">
        <f>IFERROR(MID(VLOOKUP($B95,Seqs!$A:$B,2,0),AQ95,1),"")</f>
        <v>N</v>
      </c>
      <c r="AQ95" s="3">
        <v>316</v>
      </c>
      <c r="AR95" s="3" t="str">
        <f>IFERROR(MID(VLOOKUP($B95,Seqs!$A:$B,2,0),AS95,1),"")</f>
        <v>P</v>
      </c>
      <c r="AS95" s="3">
        <v>321</v>
      </c>
      <c r="AT95" s="3" t="str">
        <f>IFERROR(MID(VLOOKUP($B95,Seqs!$A:$B,2,0),AU95,1),"")</f>
        <v>R</v>
      </c>
      <c r="AU95" s="3">
        <v>345</v>
      </c>
      <c r="AV95" s="3" t="str">
        <f>IFERROR(MID(VLOOKUP($B95,Seqs!$A:$B,2,0),AW95,1),"")</f>
        <v>S</v>
      </c>
      <c r="AW95" s="3">
        <v>346</v>
      </c>
      <c r="AX95" s="3" t="str">
        <f>IFERROR(MID(VLOOKUP($B95,Seqs!$A:$B,2,0),AY95,1),"")</f>
        <v>C</v>
      </c>
      <c r="AY95" s="3">
        <v>358</v>
      </c>
      <c r="AZ95" s="77" t="str">
        <f>VLOOKUP(B95,Classification!A:D,2,0)</f>
        <v>A</v>
      </c>
      <c r="BA95" s="94" t="str">
        <f>VLOOKUP(B95,Classification!A:D,4,0)</f>
        <v>Adrenoceptors</v>
      </c>
      <c r="BB95" s="27" t="b">
        <f t="shared" si="336"/>
        <v>1</v>
      </c>
      <c r="BC95" s="23">
        <f t="shared" si="225"/>
        <v>265</v>
      </c>
      <c r="BD95" s="2" t="s">
        <v>1382</v>
      </c>
      <c r="BE95" s="3" t="s">
        <v>1380</v>
      </c>
      <c r="BF95" s="119">
        <v>2.2999999999999998</v>
      </c>
      <c r="BG95" s="49" t="s">
        <v>1383</v>
      </c>
      <c r="BH95" s="49" t="s">
        <v>1383</v>
      </c>
      <c r="BI95" s="1"/>
      <c r="BJ95" s="70" t="s">
        <v>1293</v>
      </c>
      <c r="BK95" s="57" t="s">
        <v>1293</v>
      </c>
      <c r="BL95" s="57" t="s">
        <v>1293</v>
      </c>
      <c r="BM95" s="57" t="s">
        <v>1293</v>
      </c>
      <c r="BN95" s="57" t="s">
        <v>1293</v>
      </c>
      <c r="BO95" s="57" t="s">
        <v>1293</v>
      </c>
      <c r="BP95" s="57" t="s">
        <v>1293</v>
      </c>
      <c r="BQ95" s="57" t="s">
        <v>1293</v>
      </c>
      <c r="BR95" s="57" t="s">
        <v>1293</v>
      </c>
      <c r="BS95" s="57" t="s">
        <v>1293</v>
      </c>
      <c r="BT95" s="57" t="s">
        <v>1293</v>
      </c>
      <c r="BU95" s="57" t="s">
        <v>1293</v>
      </c>
      <c r="BV95" s="70">
        <f t="shared" si="226"/>
        <v>33</v>
      </c>
      <c r="BW95" s="71">
        <f t="shared" si="227"/>
        <v>70</v>
      </c>
      <c r="BX95" s="72">
        <f t="shared" si="228"/>
        <v>74</v>
      </c>
      <c r="BY95" s="71">
        <f t="shared" si="229"/>
        <v>106</v>
      </c>
      <c r="BZ95" s="72">
        <f t="shared" si="230"/>
        <v>110</v>
      </c>
      <c r="CA95" s="71">
        <f t="shared" si="231"/>
        <v>146</v>
      </c>
      <c r="CB95" s="72">
        <f t="shared" si="232"/>
        <v>154</v>
      </c>
      <c r="CC95" s="71">
        <f t="shared" si="233"/>
        <v>199</v>
      </c>
      <c r="CD95" s="72">
        <f t="shared" si="234"/>
        <v>204</v>
      </c>
      <c r="CE95" s="71">
        <f t="shared" si="235"/>
        <v>275</v>
      </c>
      <c r="CF95" s="72">
        <f t="shared" si="236"/>
        <v>321</v>
      </c>
      <c r="CG95" s="71">
        <f t="shared" si="237"/>
        <v>346</v>
      </c>
      <c r="CH95" s="70">
        <f t="shared" si="238"/>
        <v>69</v>
      </c>
      <c r="CI95" s="71">
        <f t="shared" si="239"/>
        <v>73</v>
      </c>
      <c r="CJ95" s="72">
        <f t="shared" si="240"/>
        <v>104</v>
      </c>
      <c r="CK95" s="72">
        <f t="shared" si="241"/>
        <v>109</v>
      </c>
      <c r="CL95" s="72">
        <f t="shared" si="242"/>
        <v>145</v>
      </c>
      <c r="CM95" s="72">
        <f t="shared" si="243"/>
        <v>153</v>
      </c>
      <c r="CN95" s="72">
        <f t="shared" si="244"/>
        <v>180</v>
      </c>
      <c r="CO95" s="72">
        <f t="shared" si="245"/>
        <v>201</v>
      </c>
      <c r="CP95" s="72">
        <f t="shared" si="246"/>
        <v>238</v>
      </c>
      <c r="CQ95" s="72">
        <f t="shared" si="247"/>
        <v>316</v>
      </c>
      <c r="CR95" s="72">
        <f t="shared" si="248"/>
        <v>345</v>
      </c>
      <c r="CS95" s="72">
        <f t="shared" si="249"/>
        <v>358</v>
      </c>
      <c r="CT95" s="23">
        <f t="shared" si="250"/>
        <v>1</v>
      </c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  <c r="ADW95" s="1"/>
      <c r="ADX95" s="1"/>
      <c r="ADY95" s="1"/>
      <c r="ADZ95" s="1"/>
      <c r="AEA95" s="1"/>
      <c r="AEB95" s="1"/>
      <c r="AEC95" s="1"/>
      <c r="AED95" s="1"/>
      <c r="AEE95" s="1"/>
      <c r="AEF95" s="1"/>
      <c r="AEG95" s="1"/>
      <c r="AEH95" s="1"/>
      <c r="AEI95" s="1"/>
      <c r="AEJ95" s="1"/>
      <c r="AEK95" s="1"/>
      <c r="AEL95" s="1"/>
      <c r="AEM95" s="1"/>
      <c r="AEN95" s="1"/>
      <c r="AEO95" s="1"/>
      <c r="AEP95" s="1"/>
      <c r="AEQ95" s="1"/>
      <c r="AER95" s="1"/>
      <c r="AES95" s="1"/>
      <c r="AET95" s="1"/>
      <c r="AEU95" s="1"/>
      <c r="AEV95" s="1"/>
      <c r="AEW95" s="1"/>
      <c r="AEX95" s="1"/>
      <c r="AEY95" s="1"/>
      <c r="AEZ95" s="1"/>
      <c r="AFA95" s="1"/>
      <c r="AFB95" s="1"/>
      <c r="AFC95" s="1"/>
      <c r="AFD95" s="1"/>
      <c r="AFE95" s="1"/>
      <c r="AFF95" s="1"/>
      <c r="AFG95" s="1"/>
      <c r="AFH95" s="1"/>
      <c r="AFI95" s="1"/>
      <c r="AFJ95" s="1"/>
      <c r="AFK95" s="1"/>
      <c r="AFL95" s="1"/>
      <c r="AFM95" s="1"/>
      <c r="AFN95" s="1"/>
      <c r="AFO95" s="1"/>
      <c r="AFP95" s="1"/>
      <c r="AFQ95" s="1"/>
      <c r="AFR95" s="1"/>
      <c r="AFS95" s="1"/>
      <c r="AFT95" s="1"/>
      <c r="AFU95" s="1"/>
      <c r="AFV95" s="1"/>
      <c r="AFW95" s="1"/>
      <c r="AFX95" s="1"/>
      <c r="AFY95" s="1"/>
      <c r="AFZ95" s="1"/>
      <c r="AGA95" s="1"/>
      <c r="AGB95" s="1"/>
      <c r="AGC95" s="1"/>
      <c r="AGD95" s="1"/>
      <c r="AGE95" s="1"/>
      <c r="AGF95" s="1"/>
      <c r="AGG95" s="1"/>
      <c r="AGH95" s="1"/>
      <c r="AGI95" s="1"/>
      <c r="AGJ95" s="1"/>
      <c r="AGK95" s="1"/>
      <c r="AGL95" s="1"/>
      <c r="AGM95" s="1"/>
      <c r="AGN95" s="1"/>
      <c r="AGO95" s="1"/>
      <c r="AGP95" s="1"/>
      <c r="AGQ95" s="1"/>
      <c r="AGR95" s="1"/>
      <c r="AGS95" s="1"/>
      <c r="AGT95" s="1"/>
      <c r="AGU95" s="1"/>
      <c r="AGV95" s="1"/>
      <c r="AGW95" s="1"/>
      <c r="AGX95" s="1"/>
      <c r="AGY95" s="1"/>
      <c r="AGZ95" s="1"/>
      <c r="AHA95" s="1"/>
      <c r="AHB95" s="1"/>
      <c r="AHC95" s="1"/>
      <c r="AHD95" s="1"/>
      <c r="AHE95" s="1"/>
      <c r="AHF95" s="1"/>
      <c r="AHG95" s="1"/>
      <c r="AHH95" s="1"/>
      <c r="AHI95" s="1"/>
      <c r="AHJ95" s="1"/>
      <c r="AHK95" s="1"/>
      <c r="AHL95" s="1"/>
      <c r="AHM95" s="1"/>
      <c r="AHN95" s="1"/>
      <c r="AHO95" s="1"/>
      <c r="AHP95" s="1"/>
      <c r="AHQ95" s="1"/>
      <c r="AHR95" s="1"/>
      <c r="AHS95" s="1"/>
      <c r="AHT95" s="1"/>
      <c r="AHU95" s="1"/>
      <c r="AHV95" s="1"/>
      <c r="AHW95" s="1"/>
      <c r="AHX95" s="1"/>
      <c r="AHY95" s="1"/>
      <c r="AHZ95" s="1"/>
      <c r="AIA95" s="1"/>
      <c r="AIB95" s="1"/>
      <c r="AIC95" s="1"/>
      <c r="AID95" s="1"/>
      <c r="AIE95" s="1"/>
      <c r="AIF95" s="1"/>
      <c r="AIG95" s="1"/>
      <c r="AIH95" s="1"/>
      <c r="AII95" s="1"/>
      <c r="AIJ95" s="1"/>
      <c r="AIK95" s="1"/>
      <c r="AIL95" s="1"/>
      <c r="AIM95" s="1"/>
      <c r="AIN95" s="1"/>
      <c r="AIO95" s="1"/>
      <c r="AIP95" s="1"/>
      <c r="AIQ95" s="1"/>
      <c r="AIR95" s="1"/>
      <c r="AIS95" s="1"/>
      <c r="AIT95" s="1"/>
      <c r="AIU95" s="1"/>
      <c r="AIV95" s="1"/>
      <c r="AIW95" s="1"/>
      <c r="AIX95" s="1"/>
      <c r="AIY95" s="1"/>
      <c r="AIZ95" s="1"/>
      <c r="AJA95" s="1"/>
      <c r="AJB95" s="1"/>
      <c r="AJC95" s="1"/>
      <c r="AJD95" s="1"/>
      <c r="AJE95" s="1"/>
      <c r="AJF95" s="1"/>
      <c r="AJG95" s="1"/>
      <c r="AJH95" s="1"/>
      <c r="AJI95" s="1"/>
      <c r="AJJ95" s="1"/>
      <c r="AJK95" s="1"/>
      <c r="AJL95" s="1"/>
      <c r="AJM95" s="1"/>
      <c r="AJN95" s="1"/>
      <c r="AJO95" s="1"/>
      <c r="AJP95" s="1"/>
      <c r="AJQ95" s="1"/>
      <c r="AJR95" s="1"/>
      <c r="AJS95" s="1"/>
      <c r="AJT95" s="1"/>
      <c r="AJU95" s="1"/>
      <c r="AJV95" s="1"/>
      <c r="AJW95" s="1"/>
      <c r="AJX95" s="1"/>
      <c r="AJY95" s="1"/>
      <c r="AJZ95" s="1"/>
      <c r="AKA95" s="1"/>
      <c r="AKB95" s="1"/>
      <c r="AKC95" s="1"/>
      <c r="AKD95" s="1"/>
      <c r="AKE95" s="1"/>
      <c r="AKF95" s="1"/>
      <c r="AKG95" s="1"/>
      <c r="AKH95" s="1"/>
      <c r="AKI95" s="1"/>
      <c r="AKJ95" s="1"/>
      <c r="AKK95" s="1"/>
      <c r="AKL95" s="1"/>
      <c r="AKM95" s="1"/>
      <c r="AKN95" s="1"/>
      <c r="AKO95" s="1"/>
      <c r="AKP95" s="1"/>
      <c r="AKQ95" s="1"/>
      <c r="AKR95" s="1"/>
      <c r="AKS95" s="1"/>
      <c r="AKT95" s="1"/>
      <c r="AKU95" s="1"/>
      <c r="AKV95" s="1"/>
      <c r="AKW95" s="1"/>
      <c r="AKX95" s="1"/>
      <c r="AKY95" s="1"/>
      <c r="AKZ95" s="1"/>
      <c r="ALA95" s="1"/>
      <c r="ALB95" s="1"/>
      <c r="ALC95" s="1"/>
      <c r="ALD95" s="1"/>
      <c r="ALE95" s="1"/>
      <c r="ALF95" s="1"/>
      <c r="ALG95" s="1"/>
      <c r="ALH95" s="1"/>
      <c r="ALI95" s="1"/>
      <c r="ALJ95" s="1"/>
      <c r="ALK95" s="1"/>
      <c r="ALL95" s="1"/>
      <c r="ALM95" s="1"/>
      <c r="ALN95" s="1"/>
      <c r="ALO95" s="1"/>
      <c r="ALP95" s="1"/>
      <c r="ALQ95" s="1"/>
      <c r="ALR95" s="1"/>
      <c r="ALS95" s="1"/>
      <c r="ALT95" s="1"/>
      <c r="ALU95" s="1"/>
      <c r="ALV95" s="1"/>
      <c r="ALW95" s="1"/>
      <c r="ALX95" s="1"/>
      <c r="ALY95" s="1"/>
      <c r="ALZ95" s="1"/>
      <c r="AMA95" s="1"/>
      <c r="AMB95" s="1"/>
      <c r="AMC95" s="1"/>
      <c r="AMD95" s="1"/>
      <c r="AME95" s="1"/>
      <c r="AMF95" s="1"/>
      <c r="AMG95" s="1"/>
      <c r="AMH95" s="1"/>
      <c r="AMI95" s="1"/>
      <c r="AMJ95" s="1"/>
      <c r="AMK95" s="1"/>
      <c r="AML95" s="1"/>
      <c r="AMM95" s="1"/>
      <c r="AMN95" s="1"/>
      <c r="AMO95" s="1"/>
    </row>
    <row r="96" spans="1:1029" x14ac:dyDescent="0.2">
      <c r="A96" s="3" t="str">
        <f t="shared" si="335"/>
        <v>adrb1_melga_4BVN</v>
      </c>
      <c r="B96" s="3" t="s">
        <v>912</v>
      </c>
      <c r="C96" s="3" t="s">
        <v>82</v>
      </c>
      <c r="D96" s="3" t="str">
        <f>IFERROR(MID(VLOOKUP($B96,Seqs!$A:$B,2,0),E96,1),"")</f>
        <v>S</v>
      </c>
      <c r="E96" s="3">
        <v>37</v>
      </c>
      <c r="F96" s="3" t="str">
        <f>IFERROR(MID(VLOOKUP($B96,Seqs!$A:$B,2,0),G96,1),"")</f>
        <v>T</v>
      </c>
      <c r="G96" s="3">
        <v>69</v>
      </c>
      <c r="H96" s="3" t="str">
        <f>IFERROR(MID(VLOOKUP($B96,Seqs!$A:$B,2,0),I96,1),"")</f>
        <v>Q</v>
      </c>
      <c r="I96" s="23">
        <v>70</v>
      </c>
      <c r="J96" s="3" t="str">
        <f>IFERROR(MID(VLOOKUP($B96,Seqs!$A:$B,2,0),K96,1),"")</f>
        <v>Q</v>
      </c>
      <c r="K96" s="23">
        <v>73</v>
      </c>
      <c r="L96" s="3" t="str">
        <f>IFERROR(MID(VLOOKUP($B96,Seqs!$A:$B,2,0),M96,1),"")</f>
        <v>T</v>
      </c>
      <c r="M96" s="3">
        <v>74</v>
      </c>
      <c r="N96" s="3" t="str">
        <f>IFERROR(MID(VLOOKUP($B96,Seqs!$A:$B,2,0),O96,1),"")</f>
        <v>R</v>
      </c>
      <c r="O96" s="3">
        <v>104</v>
      </c>
      <c r="P96" s="3" t="str">
        <f>IFERROR(MID(VLOOKUP($B96,Seqs!$A:$B,2,0),Q96,1),"")</f>
        <v>T</v>
      </c>
      <c r="Q96" s="3">
        <v>106</v>
      </c>
      <c r="R96" s="3" t="str">
        <f>IFERROR(MID(VLOOKUP($B96,Seqs!$A:$B,2,0),S96,1),"")</f>
        <v>W</v>
      </c>
      <c r="S96" s="3">
        <v>109</v>
      </c>
      <c r="T96" s="3" t="str">
        <f>IFERROR(MID(VLOOKUP($B96,Seqs!$A:$B,2,0),U96,1),"")</f>
        <v>G</v>
      </c>
      <c r="U96" s="3">
        <v>110</v>
      </c>
      <c r="V96" s="3" t="str">
        <f>IFERROR(MID(VLOOKUP($B96,Seqs!$A:$B,2,0),W96,1),"")</f>
        <v>S</v>
      </c>
      <c r="W96" s="3">
        <v>145</v>
      </c>
      <c r="X96" s="3" t="str">
        <f>IFERROR(MID(VLOOKUP($B96,Seqs!$A:$B,2,0),Y96,1),"")</f>
        <v>P</v>
      </c>
      <c r="Y96" s="3">
        <v>146</v>
      </c>
      <c r="Z96" s="3" t="str">
        <f>IFERROR(MID(VLOOKUP($B96,Seqs!$A:$B,2,0),AA96,1),"")</f>
        <v>M</v>
      </c>
      <c r="AA96" s="3">
        <v>153</v>
      </c>
      <c r="AB96" s="3" t="str">
        <f>IFERROR(MID(VLOOKUP($B96,Seqs!$A:$B,2,0),AC96,1),"")</f>
        <v>T</v>
      </c>
      <c r="AC96" s="9">
        <v>154</v>
      </c>
      <c r="AD96" s="3" t="str">
        <f>IFERROR(MID(VLOOKUP($B96,Seqs!$A:$B,2,0),AE96,1),"")</f>
        <v>H</v>
      </c>
      <c r="AE96" s="3">
        <v>180</v>
      </c>
      <c r="AF96" s="3" t="str">
        <f>IFERROR(MID(VLOOKUP($B96,Seqs!$A:$B,2,0),AG96,1),"")</f>
        <v>C</v>
      </c>
      <c r="AG96" s="3">
        <v>199</v>
      </c>
      <c r="AH96" s="3" t="str">
        <f>IFERROR(MID(VLOOKUP($B96,Seqs!$A:$B,2,0),AI96,1),"")</f>
        <v>F</v>
      </c>
      <c r="AI96" s="3">
        <v>201</v>
      </c>
      <c r="AJ96" s="3" t="str">
        <f>IFERROR(MID(VLOOKUP($B96,Seqs!$A:$B,2,0),AK96,1),"")</f>
        <v>N</v>
      </c>
      <c r="AK96" s="3">
        <v>204</v>
      </c>
      <c r="AL96" s="3" t="str">
        <f>IFERROR(MID(VLOOKUP($B96,Seqs!$A:$B,2,0),AM96,1),"")</f>
        <v>R</v>
      </c>
      <c r="AM96" s="3">
        <v>239</v>
      </c>
      <c r="AN96" s="3" t="str">
        <f>IFERROR(MID(VLOOKUP($B96,Seqs!$A:$B,2,0),AO96,1),"")</f>
        <v>R</v>
      </c>
      <c r="AO96" s="3">
        <v>279</v>
      </c>
      <c r="AP96" s="3" t="str">
        <f>IFERROR(MID(VLOOKUP($B96,Seqs!$A:$B,2,0),AQ96,1),"")</f>
        <v>N</v>
      </c>
      <c r="AQ96" s="3">
        <v>316</v>
      </c>
      <c r="AR96" s="3" t="str">
        <f>IFERROR(MID(VLOOKUP($B96,Seqs!$A:$B,2,0),AS96,1),"")</f>
        <v>P</v>
      </c>
      <c r="AS96" s="3">
        <v>321</v>
      </c>
      <c r="AT96" s="3" t="str">
        <f>IFERROR(MID(VLOOKUP($B96,Seqs!$A:$B,2,0),AU96,1),"")</f>
        <v>R</v>
      </c>
      <c r="AU96" s="3">
        <v>345</v>
      </c>
      <c r="AV96" s="3" t="str">
        <f>IFERROR(MID(VLOOKUP($B96,Seqs!$A:$B,2,0),AW96,1),"")</f>
        <v>S</v>
      </c>
      <c r="AW96" s="3">
        <v>346</v>
      </c>
      <c r="AX96" s="3" t="str">
        <f>IFERROR(MID(VLOOKUP($B96,Seqs!$A:$B,2,0),AY96,1),"")</f>
        <v>C</v>
      </c>
      <c r="AY96" s="3">
        <v>358</v>
      </c>
      <c r="AZ96" s="77" t="str">
        <f>VLOOKUP(B96,Classification!A:D,2,0)</f>
        <v>A</v>
      </c>
      <c r="BA96" s="94" t="str">
        <f>VLOOKUP(B96,Classification!A:D,4,0)</f>
        <v>Adrenoceptors</v>
      </c>
      <c r="BB96" s="27" t="b">
        <f t="shared" si="336"/>
        <v>1</v>
      </c>
      <c r="BC96" s="23">
        <f t="shared" ref="BC96:BC156" si="477">_xlfn.AGGREGATE(9,6,CH96:CS96)-_xlfn.AGGREGATE(9,6,BV96:CG96)+12</f>
        <v>258</v>
      </c>
      <c r="BD96" s="4" t="s">
        <v>23</v>
      </c>
      <c r="BE96" s="3" t="s">
        <v>1380</v>
      </c>
      <c r="BF96" s="119">
        <v>2.1</v>
      </c>
      <c r="BG96" s="49" t="s">
        <v>1383</v>
      </c>
      <c r="BH96" s="49" t="s">
        <v>1383</v>
      </c>
      <c r="BI96" s="1"/>
      <c r="BJ96" s="70" t="s">
        <v>1293</v>
      </c>
      <c r="BK96" s="57" t="s">
        <v>1293</v>
      </c>
      <c r="BL96" s="57" t="s">
        <v>1293</v>
      </c>
      <c r="BM96" s="57" t="s">
        <v>1293</v>
      </c>
      <c r="BN96" s="57" t="s">
        <v>1293</v>
      </c>
      <c r="BO96" s="57" t="s">
        <v>1293</v>
      </c>
      <c r="BP96" s="57" t="s">
        <v>1293</v>
      </c>
      <c r="BQ96" s="57" t="s">
        <v>1293</v>
      </c>
      <c r="BR96" s="57" t="s">
        <v>1293</v>
      </c>
      <c r="BS96" s="57" t="s">
        <v>1293</v>
      </c>
      <c r="BT96" s="57" t="s">
        <v>1293</v>
      </c>
      <c r="BU96" s="57" t="s">
        <v>1293</v>
      </c>
      <c r="BV96" s="70">
        <f t="shared" ref="BV96:BV156" si="478">E96</f>
        <v>37</v>
      </c>
      <c r="BW96" s="71">
        <f t="shared" ref="BW96:BW156" si="479">I96</f>
        <v>70</v>
      </c>
      <c r="BX96" s="72">
        <f t="shared" ref="BX96:BX156" si="480">M96</f>
        <v>74</v>
      </c>
      <c r="BY96" s="71">
        <f t="shared" ref="BY96:BY156" si="481">Q96</f>
        <v>106</v>
      </c>
      <c r="BZ96" s="72">
        <f t="shared" ref="BZ96:BZ156" si="482">U96</f>
        <v>110</v>
      </c>
      <c r="CA96" s="71">
        <f t="shared" ref="CA96:CA156" si="483">Y96</f>
        <v>146</v>
      </c>
      <c r="CB96" s="72">
        <f t="shared" ref="CB96:CB156" si="484">AC96</f>
        <v>154</v>
      </c>
      <c r="CC96" s="71">
        <f t="shared" ref="CC96:CC156" si="485">AG96</f>
        <v>199</v>
      </c>
      <c r="CD96" s="72">
        <f t="shared" ref="CD96:CD156" si="486">AK96</f>
        <v>204</v>
      </c>
      <c r="CE96" s="71">
        <f t="shared" ref="CE96:CE156" si="487">AO96</f>
        <v>279</v>
      </c>
      <c r="CF96" s="72">
        <f t="shared" ref="CF96:CF156" si="488">AS96</f>
        <v>321</v>
      </c>
      <c r="CG96" s="71">
        <f t="shared" ref="CG96:CG156" si="489">AW96</f>
        <v>346</v>
      </c>
      <c r="CH96" s="70">
        <f t="shared" ref="CH96:CH156" si="490">G96</f>
        <v>69</v>
      </c>
      <c r="CI96" s="71">
        <f t="shared" ref="CI96:CI156" si="491">K96</f>
        <v>73</v>
      </c>
      <c r="CJ96" s="72">
        <f t="shared" ref="CJ96:CJ156" si="492">O96</f>
        <v>104</v>
      </c>
      <c r="CK96" s="72">
        <f t="shared" ref="CK96:CK156" si="493">S96</f>
        <v>109</v>
      </c>
      <c r="CL96" s="72">
        <f t="shared" ref="CL96:CL156" si="494">W96</f>
        <v>145</v>
      </c>
      <c r="CM96" s="72">
        <f t="shared" ref="CM96:CM156" si="495">AA96</f>
        <v>153</v>
      </c>
      <c r="CN96" s="72">
        <f t="shared" ref="CN96:CN156" si="496">AE96</f>
        <v>180</v>
      </c>
      <c r="CO96" s="72">
        <f t="shared" ref="CO96:CO156" si="497">AI96</f>
        <v>201</v>
      </c>
      <c r="CP96" s="72">
        <f t="shared" ref="CP96:CP156" si="498">AM96</f>
        <v>239</v>
      </c>
      <c r="CQ96" s="72">
        <f t="shared" ref="CQ96:CQ156" si="499">AQ96</f>
        <v>316</v>
      </c>
      <c r="CR96" s="72">
        <f t="shared" ref="CR96:CR156" si="500">AU96</f>
        <v>345</v>
      </c>
      <c r="CS96" s="72">
        <f t="shared" ref="CS96:CS156" si="501">AY96</f>
        <v>358</v>
      </c>
      <c r="CT96" s="23">
        <f t="shared" ref="CT96:CT156" si="502">M96-K96</f>
        <v>1</v>
      </c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  <c r="ADW96" s="1"/>
      <c r="ADX96" s="1"/>
      <c r="ADY96" s="1"/>
      <c r="ADZ96" s="1"/>
      <c r="AEA96" s="1"/>
      <c r="AEB96" s="1"/>
      <c r="AEC96" s="1"/>
      <c r="AED96" s="1"/>
      <c r="AEE96" s="1"/>
      <c r="AEF96" s="1"/>
      <c r="AEG96" s="1"/>
      <c r="AEH96" s="1"/>
      <c r="AEI96" s="1"/>
      <c r="AEJ96" s="1"/>
      <c r="AEK96" s="1"/>
      <c r="AEL96" s="1"/>
      <c r="AEM96" s="1"/>
      <c r="AEN96" s="1"/>
      <c r="AEO96" s="1"/>
      <c r="AEP96" s="1"/>
      <c r="AEQ96" s="1"/>
      <c r="AER96" s="1"/>
      <c r="AES96" s="1"/>
      <c r="AET96" s="1"/>
      <c r="AEU96" s="1"/>
      <c r="AEV96" s="1"/>
      <c r="AEW96" s="1"/>
      <c r="AEX96" s="1"/>
      <c r="AEY96" s="1"/>
      <c r="AEZ96" s="1"/>
      <c r="AFA96" s="1"/>
      <c r="AFB96" s="1"/>
      <c r="AFC96" s="1"/>
      <c r="AFD96" s="1"/>
      <c r="AFE96" s="1"/>
      <c r="AFF96" s="1"/>
      <c r="AFG96" s="1"/>
      <c r="AFH96" s="1"/>
      <c r="AFI96" s="1"/>
      <c r="AFJ96" s="1"/>
      <c r="AFK96" s="1"/>
      <c r="AFL96" s="1"/>
      <c r="AFM96" s="1"/>
      <c r="AFN96" s="1"/>
      <c r="AFO96" s="1"/>
      <c r="AFP96" s="1"/>
      <c r="AFQ96" s="1"/>
      <c r="AFR96" s="1"/>
      <c r="AFS96" s="1"/>
      <c r="AFT96" s="1"/>
      <c r="AFU96" s="1"/>
      <c r="AFV96" s="1"/>
      <c r="AFW96" s="1"/>
      <c r="AFX96" s="1"/>
      <c r="AFY96" s="1"/>
      <c r="AFZ96" s="1"/>
      <c r="AGA96" s="1"/>
      <c r="AGB96" s="1"/>
      <c r="AGC96" s="1"/>
      <c r="AGD96" s="1"/>
      <c r="AGE96" s="1"/>
      <c r="AGF96" s="1"/>
      <c r="AGG96" s="1"/>
      <c r="AGH96" s="1"/>
      <c r="AGI96" s="1"/>
      <c r="AGJ96" s="1"/>
      <c r="AGK96" s="1"/>
      <c r="AGL96" s="1"/>
      <c r="AGM96" s="1"/>
      <c r="AGN96" s="1"/>
      <c r="AGO96" s="1"/>
      <c r="AGP96" s="1"/>
      <c r="AGQ96" s="1"/>
      <c r="AGR96" s="1"/>
      <c r="AGS96" s="1"/>
      <c r="AGT96" s="1"/>
      <c r="AGU96" s="1"/>
      <c r="AGV96" s="1"/>
      <c r="AGW96" s="1"/>
      <c r="AGX96" s="1"/>
      <c r="AGY96" s="1"/>
      <c r="AGZ96" s="1"/>
      <c r="AHA96" s="1"/>
      <c r="AHB96" s="1"/>
      <c r="AHC96" s="1"/>
      <c r="AHD96" s="1"/>
      <c r="AHE96" s="1"/>
      <c r="AHF96" s="1"/>
      <c r="AHG96" s="1"/>
      <c r="AHH96" s="1"/>
      <c r="AHI96" s="1"/>
      <c r="AHJ96" s="1"/>
      <c r="AHK96" s="1"/>
      <c r="AHL96" s="1"/>
      <c r="AHM96" s="1"/>
      <c r="AHN96" s="1"/>
      <c r="AHO96" s="1"/>
      <c r="AHP96" s="1"/>
      <c r="AHQ96" s="1"/>
      <c r="AHR96" s="1"/>
      <c r="AHS96" s="1"/>
      <c r="AHT96" s="1"/>
      <c r="AHU96" s="1"/>
      <c r="AHV96" s="1"/>
      <c r="AHW96" s="1"/>
      <c r="AHX96" s="1"/>
      <c r="AHY96" s="1"/>
      <c r="AHZ96" s="1"/>
      <c r="AIA96" s="1"/>
      <c r="AIB96" s="1"/>
      <c r="AIC96" s="1"/>
      <c r="AID96" s="1"/>
      <c r="AIE96" s="1"/>
      <c r="AIF96" s="1"/>
      <c r="AIG96" s="1"/>
      <c r="AIH96" s="1"/>
      <c r="AII96" s="1"/>
      <c r="AIJ96" s="1"/>
      <c r="AIK96" s="1"/>
      <c r="AIL96" s="1"/>
      <c r="AIM96" s="1"/>
      <c r="AIN96" s="1"/>
      <c r="AIO96" s="1"/>
      <c r="AIP96" s="1"/>
      <c r="AIQ96" s="1"/>
      <c r="AIR96" s="1"/>
      <c r="AIS96" s="1"/>
      <c r="AIT96" s="1"/>
      <c r="AIU96" s="1"/>
      <c r="AIV96" s="1"/>
      <c r="AIW96" s="1"/>
      <c r="AIX96" s="1"/>
      <c r="AIY96" s="1"/>
      <c r="AIZ96" s="1"/>
      <c r="AJA96" s="1"/>
      <c r="AJB96" s="1"/>
      <c r="AJC96" s="1"/>
      <c r="AJD96" s="1"/>
      <c r="AJE96" s="1"/>
      <c r="AJF96" s="1"/>
      <c r="AJG96" s="1"/>
      <c r="AJH96" s="1"/>
      <c r="AJI96" s="1"/>
      <c r="AJJ96" s="1"/>
      <c r="AJK96" s="1"/>
      <c r="AJL96" s="1"/>
      <c r="AJM96" s="1"/>
      <c r="AJN96" s="1"/>
      <c r="AJO96" s="1"/>
      <c r="AJP96" s="1"/>
      <c r="AJQ96" s="1"/>
      <c r="AJR96" s="1"/>
      <c r="AJS96" s="1"/>
      <c r="AJT96" s="1"/>
      <c r="AJU96" s="1"/>
      <c r="AJV96" s="1"/>
      <c r="AJW96" s="1"/>
      <c r="AJX96" s="1"/>
      <c r="AJY96" s="1"/>
      <c r="AJZ96" s="1"/>
      <c r="AKA96" s="1"/>
      <c r="AKB96" s="1"/>
      <c r="AKC96" s="1"/>
      <c r="AKD96" s="1"/>
      <c r="AKE96" s="1"/>
      <c r="AKF96" s="1"/>
      <c r="AKG96" s="1"/>
      <c r="AKH96" s="1"/>
      <c r="AKI96" s="1"/>
      <c r="AKJ96" s="1"/>
      <c r="AKK96" s="1"/>
      <c r="AKL96" s="1"/>
      <c r="AKM96" s="1"/>
      <c r="AKN96" s="1"/>
      <c r="AKO96" s="1"/>
      <c r="AKP96" s="1"/>
      <c r="AKQ96" s="1"/>
      <c r="AKR96" s="1"/>
      <c r="AKS96" s="1"/>
      <c r="AKT96" s="1"/>
      <c r="AKU96" s="1"/>
      <c r="AKV96" s="1"/>
      <c r="AKW96" s="1"/>
      <c r="AKX96" s="1"/>
      <c r="AKY96" s="1"/>
      <c r="AKZ96" s="1"/>
      <c r="ALA96" s="1"/>
      <c r="ALB96" s="1"/>
      <c r="ALC96" s="1"/>
      <c r="ALD96" s="1"/>
      <c r="ALE96" s="1"/>
      <c r="ALF96" s="1"/>
      <c r="ALG96" s="1"/>
      <c r="ALH96" s="1"/>
      <c r="ALI96" s="1"/>
      <c r="ALJ96" s="1"/>
      <c r="ALK96" s="1"/>
      <c r="ALL96" s="1"/>
      <c r="ALM96" s="1"/>
      <c r="ALN96" s="1"/>
      <c r="ALO96" s="1"/>
      <c r="ALP96" s="1"/>
      <c r="ALQ96" s="1"/>
      <c r="ALR96" s="1"/>
      <c r="ALS96" s="1"/>
      <c r="ALT96" s="1"/>
      <c r="ALU96" s="1"/>
      <c r="ALV96" s="1"/>
      <c r="ALW96" s="1"/>
      <c r="ALX96" s="1"/>
      <c r="ALY96" s="1"/>
      <c r="ALZ96" s="1"/>
      <c r="AMA96" s="1"/>
      <c r="AMB96" s="1"/>
      <c r="AMC96" s="1"/>
      <c r="AMD96" s="1"/>
      <c r="AME96" s="1"/>
      <c r="AMF96" s="1"/>
      <c r="AMG96" s="1"/>
      <c r="AMH96" s="1"/>
      <c r="AMI96" s="1"/>
      <c r="AMJ96" s="1"/>
      <c r="AMK96" s="1"/>
      <c r="AML96" s="1"/>
      <c r="AMM96" s="1"/>
      <c r="AMN96" s="1"/>
      <c r="AMO96" s="1"/>
    </row>
    <row r="97" spans="1:1029" x14ac:dyDescent="0.2">
      <c r="A97" s="3" t="str">
        <f t="shared" si="335"/>
        <v>adrb1_melga_4GPO</v>
      </c>
      <c r="B97" s="3" t="s">
        <v>912</v>
      </c>
      <c r="C97" s="3" t="s">
        <v>1042</v>
      </c>
      <c r="D97" s="3" t="str">
        <f>IFERROR(MID(VLOOKUP($B97,Seqs!$A:$B,2,0),E97,1),"")</f>
        <v>S</v>
      </c>
      <c r="E97" s="3">
        <v>37</v>
      </c>
      <c r="F97" s="3" t="str">
        <f>IFERROR(MID(VLOOKUP($B97,Seqs!$A:$B,2,0),G97,1),"")</f>
        <v>T</v>
      </c>
      <c r="G97" s="3">
        <v>69</v>
      </c>
      <c r="H97" s="3" t="str">
        <f>IFERROR(MID(VLOOKUP($B97,Seqs!$A:$B,2,0),I97,1),"")</f>
        <v>Q</v>
      </c>
      <c r="I97" s="23">
        <v>70</v>
      </c>
      <c r="J97" s="3" t="str">
        <f>IFERROR(MID(VLOOKUP($B97,Seqs!$A:$B,2,0),K97,1),"")</f>
        <v>Q</v>
      </c>
      <c r="K97" s="23">
        <v>73</v>
      </c>
      <c r="L97" s="3" t="str">
        <f>IFERROR(MID(VLOOKUP($B97,Seqs!$A:$B,2,0),M97,1),"")</f>
        <v>T</v>
      </c>
      <c r="M97" s="3">
        <v>74</v>
      </c>
      <c r="N97" s="3" t="str">
        <f>IFERROR(MID(VLOOKUP($B97,Seqs!$A:$B,2,0),O97,1),"")</f>
        <v>R</v>
      </c>
      <c r="O97" s="3">
        <v>104</v>
      </c>
      <c r="P97" s="3" t="str">
        <f>IFERROR(MID(VLOOKUP($B97,Seqs!$A:$B,2,0),Q97,1),"")</f>
        <v>T</v>
      </c>
      <c r="Q97" s="3">
        <v>106</v>
      </c>
      <c r="R97" s="3" t="str">
        <f>IFERROR(MID(VLOOKUP($B97,Seqs!$A:$B,2,0),S97,1),"")</f>
        <v>W</v>
      </c>
      <c r="S97" s="3">
        <v>109</v>
      </c>
      <c r="T97" s="3" t="str">
        <f>IFERROR(MID(VLOOKUP($B97,Seqs!$A:$B,2,0),U97,1),"")</f>
        <v>G</v>
      </c>
      <c r="U97" s="3">
        <v>110</v>
      </c>
      <c r="V97" s="3" t="str">
        <f>IFERROR(MID(VLOOKUP($B97,Seqs!$A:$B,2,0),W97,1),"")</f>
        <v>S</v>
      </c>
      <c r="W97" s="3">
        <v>145</v>
      </c>
      <c r="X97" s="3" t="str">
        <f>IFERROR(MID(VLOOKUP($B97,Seqs!$A:$B,2,0),Y97,1),"")</f>
        <v>P</v>
      </c>
      <c r="Y97" s="3">
        <v>146</v>
      </c>
      <c r="Z97" s="3" t="str">
        <f>IFERROR(MID(VLOOKUP($B97,Seqs!$A:$B,2,0),AA97,1),"")</f>
        <v>M</v>
      </c>
      <c r="AA97" s="3">
        <v>153</v>
      </c>
      <c r="AB97" s="3" t="str">
        <f>IFERROR(MID(VLOOKUP($B97,Seqs!$A:$B,2,0),AC97,1),"")</f>
        <v>T</v>
      </c>
      <c r="AC97" s="9">
        <v>154</v>
      </c>
      <c r="AD97" s="3" t="str">
        <f>IFERROR(MID(VLOOKUP($B97,Seqs!$A:$B,2,0),AE97,1),"")</f>
        <v>H</v>
      </c>
      <c r="AE97" s="3">
        <v>180</v>
      </c>
      <c r="AF97" s="3" t="str">
        <f>IFERROR(MID(VLOOKUP($B97,Seqs!$A:$B,2,0),AG97,1),"")</f>
        <v>C</v>
      </c>
      <c r="AG97" s="3">
        <v>199</v>
      </c>
      <c r="AH97" s="3" t="str">
        <f>IFERROR(MID(VLOOKUP($B97,Seqs!$A:$B,2,0),AI97,1),"")</f>
        <v>F</v>
      </c>
      <c r="AI97" s="3">
        <v>201</v>
      </c>
      <c r="AJ97" s="3" t="str">
        <f>IFERROR(MID(VLOOKUP($B97,Seqs!$A:$B,2,0),AK97,1),"")</f>
        <v>N</v>
      </c>
      <c r="AK97" s="3">
        <v>204</v>
      </c>
      <c r="AL97" s="3" t="str">
        <f>IFERROR(MID(VLOOKUP($B97,Seqs!$A:$B,2,0),AM97,1),"")</f>
        <v>E</v>
      </c>
      <c r="AM97" s="3">
        <v>233</v>
      </c>
      <c r="AN97" s="3" t="str">
        <f>IFERROR(MID(VLOOKUP($B97,Seqs!$A:$B,2,0),AO97,1),"")</f>
        <v>M</v>
      </c>
      <c r="AO97" s="3">
        <v>283</v>
      </c>
      <c r="AP97" s="3" t="str">
        <f>IFERROR(MID(VLOOKUP($B97,Seqs!$A:$B,2,0),AQ97,1),"")</f>
        <v>N</v>
      </c>
      <c r="AQ97" s="3">
        <v>316</v>
      </c>
      <c r="AR97" s="3" t="str">
        <f>IFERROR(MID(VLOOKUP($B97,Seqs!$A:$B,2,0),AS97,1),"")</f>
        <v>P</v>
      </c>
      <c r="AS97" s="3">
        <v>321</v>
      </c>
      <c r="AT97" s="3" t="str">
        <f>IFERROR(MID(VLOOKUP($B97,Seqs!$A:$B,2,0),AU97,1),"")</f>
        <v>R</v>
      </c>
      <c r="AU97" s="3">
        <v>345</v>
      </c>
      <c r="AV97" s="3" t="str">
        <f>IFERROR(MID(VLOOKUP($B97,Seqs!$A:$B,2,0),AW97,1),"")</f>
        <v>S</v>
      </c>
      <c r="AW97" s="3">
        <v>346</v>
      </c>
      <c r="AX97" s="3" t="str">
        <f>IFERROR(MID(VLOOKUP($B97,Seqs!$A:$B,2,0),AY97,1),"")</f>
        <v>L</v>
      </c>
      <c r="AY97" s="3">
        <v>356</v>
      </c>
      <c r="AZ97" s="77" t="str">
        <f>VLOOKUP(B97,Classification!A:D,2,0)</f>
        <v>A</v>
      </c>
      <c r="BA97" s="94" t="str">
        <f>VLOOKUP(B97,Classification!A:D,4,0)</f>
        <v>Adrenoceptors</v>
      </c>
      <c r="BB97" s="27" t="b">
        <f t="shared" si="336"/>
        <v>1</v>
      </c>
      <c r="BC97" s="23">
        <f t="shared" si="477"/>
        <v>246</v>
      </c>
      <c r="BD97" s="4" t="s">
        <v>23</v>
      </c>
      <c r="BE97" s="3" t="s">
        <v>1380</v>
      </c>
      <c r="BF97" s="119">
        <v>3.5</v>
      </c>
      <c r="BG97" s="49" t="s">
        <v>1383</v>
      </c>
      <c r="BH97" s="49" t="s">
        <v>1383</v>
      </c>
      <c r="BI97" s="1"/>
      <c r="BJ97" s="70" t="s">
        <v>1293</v>
      </c>
      <c r="BK97" s="57" t="s">
        <v>1293</v>
      </c>
      <c r="BL97" s="57" t="s">
        <v>1293</v>
      </c>
      <c r="BM97" s="57" t="s">
        <v>1293</v>
      </c>
      <c r="BN97" s="57" t="s">
        <v>1293</v>
      </c>
      <c r="BO97" s="57" t="s">
        <v>1293</v>
      </c>
      <c r="BP97" s="57" t="s">
        <v>1293</v>
      </c>
      <c r="BQ97" s="57" t="s">
        <v>1293</v>
      </c>
      <c r="BR97" s="57" t="s">
        <v>1293</v>
      </c>
      <c r="BS97" s="57" t="s">
        <v>1293</v>
      </c>
      <c r="BT97" s="57" t="s">
        <v>1293</v>
      </c>
      <c r="BU97" s="57" t="s">
        <v>1293</v>
      </c>
      <c r="BV97" s="70">
        <f t="shared" si="478"/>
        <v>37</v>
      </c>
      <c r="BW97" s="71">
        <f t="shared" si="479"/>
        <v>70</v>
      </c>
      <c r="BX97" s="72">
        <f t="shared" si="480"/>
        <v>74</v>
      </c>
      <c r="BY97" s="71">
        <f t="shared" si="481"/>
        <v>106</v>
      </c>
      <c r="BZ97" s="72">
        <f t="shared" si="482"/>
        <v>110</v>
      </c>
      <c r="CA97" s="71">
        <f t="shared" si="483"/>
        <v>146</v>
      </c>
      <c r="CB97" s="72">
        <f t="shared" si="484"/>
        <v>154</v>
      </c>
      <c r="CC97" s="71">
        <f t="shared" si="485"/>
        <v>199</v>
      </c>
      <c r="CD97" s="72">
        <f t="shared" si="486"/>
        <v>204</v>
      </c>
      <c r="CE97" s="71">
        <f t="shared" si="487"/>
        <v>283</v>
      </c>
      <c r="CF97" s="72">
        <f t="shared" si="488"/>
        <v>321</v>
      </c>
      <c r="CG97" s="71">
        <f t="shared" si="489"/>
        <v>346</v>
      </c>
      <c r="CH97" s="70">
        <f t="shared" si="490"/>
        <v>69</v>
      </c>
      <c r="CI97" s="71">
        <f t="shared" si="491"/>
        <v>73</v>
      </c>
      <c r="CJ97" s="72">
        <f t="shared" si="492"/>
        <v>104</v>
      </c>
      <c r="CK97" s="72">
        <f t="shared" si="493"/>
        <v>109</v>
      </c>
      <c r="CL97" s="72">
        <f t="shared" si="494"/>
        <v>145</v>
      </c>
      <c r="CM97" s="72">
        <f t="shared" si="495"/>
        <v>153</v>
      </c>
      <c r="CN97" s="72">
        <f t="shared" si="496"/>
        <v>180</v>
      </c>
      <c r="CO97" s="72">
        <f t="shared" si="497"/>
        <v>201</v>
      </c>
      <c r="CP97" s="72">
        <f t="shared" si="498"/>
        <v>233</v>
      </c>
      <c r="CQ97" s="72">
        <f t="shared" si="499"/>
        <v>316</v>
      </c>
      <c r="CR97" s="72">
        <f t="shared" si="500"/>
        <v>345</v>
      </c>
      <c r="CS97" s="72">
        <f t="shared" si="501"/>
        <v>356</v>
      </c>
      <c r="CT97" s="23">
        <f t="shared" si="502"/>
        <v>1</v>
      </c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  <c r="ADW97" s="1"/>
      <c r="ADX97" s="1"/>
      <c r="ADY97" s="1"/>
      <c r="ADZ97" s="1"/>
      <c r="AEA97" s="1"/>
      <c r="AEB97" s="1"/>
      <c r="AEC97" s="1"/>
      <c r="AED97" s="1"/>
      <c r="AEE97" s="1"/>
      <c r="AEF97" s="1"/>
      <c r="AEG97" s="1"/>
      <c r="AEH97" s="1"/>
      <c r="AEI97" s="1"/>
      <c r="AEJ97" s="1"/>
      <c r="AEK97" s="1"/>
      <c r="AEL97" s="1"/>
      <c r="AEM97" s="1"/>
      <c r="AEN97" s="1"/>
      <c r="AEO97" s="1"/>
      <c r="AEP97" s="1"/>
      <c r="AEQ97" s="1"/>
      <c r="AER97" s="1"/>
      <c r="AES97" s="1"/>
      <c r="AET97" s="1"/>
      <c r="AEU97" s="1"/>
      <c r="AEV97" s="1"/>
      <c r="AEW97" s="1"/>
      <c r="AEX97" s="1"/>
      <c r="AEY97" s="1"/>
      <c r="AEZ97" s="1"/>
      <c r="AFA97" s="1"/>
      <c r="AFB97" s="1"/>
      <c r="AFC97" s="1"/>
      <c r="AFD97" s="1"/>
      <c r="AFE97" s="1"/>
      <c r="AFF97" s="1"/>
      <c r="AFG97" s="1"/>
      <c r="AFH97" s="1"/>
      <c r="AFI97" s="1"/>
      <c r="AFJ97" s="1"/>
      <c r="AFK97" s="1"/>
      <c r="AFL97" s="1"/>
      <c r="AFM97" s="1"/>
      <c r="AFN97" s="1"/>
      <c r="AFO97" s="1"/>
      <c r="AFP97" s="1"/>
      <c r="AFQ97" s="1"/>
      <c r="AFR97" s="1"/>
      <c r="AFS97" s="1"/>
      <c r="AFT97" s="1"/>
      <c r="AFU97" s="1"/>
      <c r="AFV97" s="1"/>
      <c r="AFW97" s="1"/>
      <c r="AFX97" s="1"/>
      <c r="AFY97" s="1"/>
      <c r="AFZ97" s="1"/>
      <c r="AGA97" s="1"/>
      <c r="AGB97" s="1"/>
      <c r="AGC97" s="1"/>
      <c r="AGD97" s="1"/>
      <c r="AGE97" s="1"/>
      <c r="AGF97" s="1"/>
      <c r="AGG97" s="1"/>
      <c r="AGH97" s="1"/>
      <c r="AGI97" s="1"/>
      <c r="AGJ97" s="1"/>
      <c r="AGK97" s="1"/>
      <c r="AGL97" s="1"/>
      <c r="AGM97" s="1"/>
      <c r="AGN97" s="1"/>
      <c r="AGO97" s="1"/>
      <c r="AGP97" s="1"/>
      <c r="AGQ97" s="1"/>
      <c r="AGR97" s="1"/>
      <c r="AGS97" s="1"/>
      <c r="AGT97" s="1"/>
      <c r="AGU97" s="1"/>
      <c r="AGV97" s="1"/>
      <c r="AGW97" s="1"/>
      <c r="AGX97" s="1"/>
      <c r="AGY97" s="1"/>
      <c r="AGZ97" s="1"/>
      <c r="AHA97" s="1"/>
      <c r="AHB97" s="1"/>
      <c r="AHC97" s="1"/>
      <c r="AHD97" s="1"/>
      <c r="AHE97" s="1"/>
      <c r="AHF97" s="1"/>
      <c r="AHG97" s="1"/>
      <c r="AHH97" s="1"/>
      <c r="AHI97" s="1"/>
      <c r="AHJ97" s="1"/>
      <c r="AHK97" s="1"/>
      <c r="AHL97" s="1"/>
      <c r="AHM97" s="1"/>
      <c r="AHN97" s="1"/>
      <c r="AHO97" s="1"/>
      <c r="AHP97" s="1"/>
      <c r="AHQ97" s="1"/>
      <c r="AHR97" s="1"/>
      <c r="AHS97" s="1"/>
      <c r="AHT97" s="1"/>
      <c r="AHU97" s="1"/>
      <c r="AHV97" s="1"/>
      <c r="AHW97" s="1"/>
      <c r="AHX97" s="1"/>
      <c r="AHY97" s="1"/>
      <c r="AHZ97" s="1"/>
      <c r="AIA97" s="1"/>
      <c r="AIB97" s="1"/>
      <c r="AIC97" s="1"/>
      <c r="AID97" s="1"/>
      <c r="AIE97" s="1"/>
      <c r="AIF97" s="1"/>
      <c r="AIG97" s="1"/>
      <c r="AIH97" s="1"/>
      <c r="AII97" s="1"/>
      <c r="AIJ97" s="1"/>
      <c r="AIK97" s="1"/>
      <c r="AIL97" s="1"/>
      <c r="AIM97" s="1"/>
      <c r="AIN97" s="1"/>
      <c r="AIO97" s="1"/>
      <c r="AIP97" s="1"/>
      <c r="AIQ97" s="1"/>
      <c r="AIR97" s="1"/>
      <c r="AIS97" s="1"/>
      <c r="AIT97" s="1"/>
      <c r="AIU97" s="1"/>
      <c r="AIV97" s="1"/>
      <c r="AIW97" s="1"/>
      <c r="AIX97" s="1"/>
      <c r="AIY97" s="1"/>
      <c r="AIZ97" s="1"/>
      <c r="AJA97" s="1"/>
      <c r="AJB97" s="1"/>
      <c r="AJC97" s="1"/>
      <c r="AJD97" s="1"/>
      <c r="AJE97" s="1"/>
      <c r="AJF97" s="1"/>
      <c r="AJG97" s="1"/>
      <c r="AJH97" s="1"/>
      <c r="AJI97" s="1"/>
      <c r="AJJ97" s="1"/>
      <c r="AJK97" s="1"/>
      <c r="AJL97" s="1"/>
      <c r="AJM97" s="1"/>
      <c r="AJN97" s="1"/>
      <c r="AJO97" s="1"/>
      <c r="AJP97" s="1"/>
      <c r="AJQ97" s="1"/>
      <c r="AJR97" s="1"/>
      <c r="AJS97" s="1"/>
      <c r="AJT97" s="1"/>
      <c r="AJU97" s="1"/>
      <c r="AJV97" s="1"/>
      <c r="AJW97" s="1"/>
      <c r="AJX97" s="1"/>
      <c r="AJY97" s="1"/>
      <c r="AJZ97" s="1"/>
      <c r="AKA97" s="1"/>
      <c r="AKB97" s="1"/>
      <c r="AKC97" s="1"/>
      <c r="AKD97" s="1"/>
      <c r="AKE97" s="1"/>
      <c r="AKF97" s="1"/>
      <c r="AKG97" s="1"/>
      <c r="AKH97" s="1"/>
      <c r="AKI97" s="1"/>
      <c r="AKJ97" s="1"/>
      <c r="AKK97" s="1"/>
      <c r="AKL97" s="1"/>
      <c r="AKM97" s="1"/>
      <c r="AKN97" s="1"/>
      <c r="AKO97" s="1"/>
      <c r="AKP97" s="1"/>
      <c r="AKQ97" s="1"/>
      <c r="AKR97" s="1"/>
      <c r="AKS97" s="1"/>
      <c r="AKT97" s="1"/>
      <c r="AKU97" s="1"/>
      <c r="AKV97" s="1"/>
      <c r="AKW97" s="1"/>
      <c r="AKX97" s="1"/>
      <c r="AKY97" s="1"/>
      <c r="AKZ97" s="1"/>
      <c r="ALA97" s="1"/>
      <c r="ALB97" s="1"/>
      <c r="ALC97" s="1"/>
      <c r="ALD97" s="1"/>
      <c r="ALE97" s="1"/>
      <c r="ALF97" s="1"/>
      <c r="ALG97" s="1"/>
      <c r="ALH97" s="1"/>
      <c r="ALI97" s="1"/>
      <c r="ALJ97" s="1"/>
      <c r="ALK97" s="1"/>
      <c r="ALL97" s="1"/>
      <c r="ALM97" s="1"/>
      <c r="ALN97" s="1"/>
      <c r="ALO97" s="1"/>
      <c r="ALP97" s="1"/>
      <c r="ALQ97" s="1"/>
      <c r="ALR97" s="1"/>
      <c r="ALS97" s="1"/>
      <c r="ALT97" s="1"/>
      <c r="ALU97" s="1"/>
      <c r="ALV97" s="1"/>
      <c r="ALW97" s="1"/>
      <c r="ALX97" s="1"/>
      <c r="ALY97" s="1"/>
      <c r="ALZ97" s="1"/>
      <c r="AMA97" s="1"/>
      <c r="AMB97" s="1"/>
      <c r="AMC97" s="1"/>
      <c r="AMD97" s="1"/>
      <c r="AME97" s="1"/>
      <c r="AMF97" s="1"/>
      <c r="AMG97" s="1"/>
      <c r="AMH97" s="1"/>
      <c r="AMI97" s="1"/>
      <c r="AMJ97" s="1"/>
      <c r="AMK97" s="1"/>
      <c r="AML97" s="1"/>
      <c r="AMM97" s="1"/>
      <c r="AMN97" s="1"/>
      <c r="AMO97" s="1"/>
    </row>
    <row r="98" spans="1:1029" x14ac:dyDescent="0.2">
      <c r="A98" s="3" t="str">
        <f t="shared" si="335"/>
        <v>adrb1_melga_5A8E</v>
      </c>
      <c r="B98" s="3" t="s">
        <v>912</v>
      </c>
      <c r="C98" s="3" t="s">
        <v>1059</v>
      </c>
      <c r="D98" s="3" t="str">
        <f>IFERROR(MID(VLOOKUP($B98,Seqs!$A:$B,2,0),E98,1),"")</f>
        <v>S</v>
      </c>
      <c r="E98" s="3">
        <v>37</v>
      </c>
      <c r="F98" s="3" t="str">
        <f>IFERROR(MID(VLOOKUP($B98,Seqs!$A:$B,2,0),G98,1),"")</f>
        <v>T</v>
      </c>
      <c r="G98" s="3">
        <v>69</v>
      </c>
      <c r="H98" s="3" t="str">
        <f>IFERROR(MID(VLOOKUP($B98,Seqs!$A:$B,2,0),I98,1),"")</f>
        <v>Q</v>
      </c>
      <c r="I98" s="23">
        <v>70</v>
      </c>
      <c r="J98" s="3" t="str">
        <f>IFERROR(MID(VLOOKUP($B98,Seqs!$A:$B,2,0),K98,1),"")</f>
        <v>Q</v>
      </c>
      <c r="K98" s="23">
        <v>73</v>
      </c>
      <c r="L98" s="3" t="str">
        <f>IFERROR(MID(VLOOKUP($B98,Seqs!$A:$B,2,0),M98,1),"")</f>
        <v>T</v>
      </c>
      <c r="M98" s="3">
        <v>74</v>
      </c>
      <c r="N98" s="3" t="str">
        <f>IFERROR(MID(VLOOKUP($B98,Seqs!$A:$B,2,0),O98,1),"")</f>
        <v>R</v>
      </c>
      <c r="O98" s="3">
        <v>104</v>
      </c>
      <c r="P98" s="3" t="str">
        <f>IFERROR(MID(VLOOKUP($B98,Seqs!$A:$B,2,0),Q98,1),"")</f>
        <v>T</v>
      </c>
      <c r="Q98" s="3">
        <v>106</v>
      </c>
      <c r="R98" s="3" t="str">
        <f>IFERROR(MID(VLOOKUP($B98,Seqs!$A:$B,2,0),S98,1),"")</f>
        <v>W</v>
      </c>
      <c r="S98" s="3">
        <v>109</v>
      </c>
      <c r="T98" s="3" t="str">
        <f>IFERROR(MID(VLOOKUP($B98,Seqs!$A:$B,2,0),U98,1),"")</f>
        <v>G</v>
      </c>
      <c r="U98" s="3">
        <v>110</v>
      </c>
      <c r="V98" s="3" t="str">
        <f>IFERROR(MID(VLOOKUP($B98,Seqs!$A:$B,2,0),W98,1),"")</f>
        <v>S</v>
      </c>
      <c r="W98" s="3">
        <v>145</v>
      </c>
      <c r="X98" s="3" t="str">
        <f>IFERROR(MID(VLOOKUP($B98,Seqs!$A:$B,2,0),Y98,1),"")</f>
        <v>P</v>
      </c>
      <c r="Y98" s="3">
        <v>146</v>
      </c>
      <c r="Z98" s="3" t="str">
        <f>IFERROR(MID(VLOOKUP($B98,Seqs!$A:$B,2,0),AA98,1),"")</f>
        <v>M</v>
      </c>
      <c r="AA98" s="3">
        <v>153</v>
      </c>
      <c r="AB98" s="3" t="str">
        <f>IFERROR(MID(VLOOKUP($B98,Seqs!$A:$B,2,0),AC98,1),"")</f>
        <v>T</v>
      </c>
      <c r="AC98" s="9">
        <v>154</v>
      </c>
      <c r="AD98" s="3" t="str">
        <f>IFERROR(MID(VLOOKUP($B98,Seqs!$A:$B,2,0),AE98,1),"")</f>
        <v>H</v>
      </c>
      <c r="AE98" s="3">
        <v>180</v>
      </c>
      <c r="AF98" s="3" t="str">
        <f>IFERROR(MID(VLOOKUP($B98,Seqs!$A:$B,2,0),AG98,1),"")</f>
        <v>C</v>
      </c>
      <c r="AG98" s="3">
        <v>199</v>
      </c>
      <c r="AH98" s="3" t="str">
        <f>IFERROR(MID(VLOOKUP($B98,Seqs!$A:$B,2,0),AI98,1),"")</f>
        <v>F</v>
      </c>
      <c r="AI98" s="3">
        <v>201</v>
      </c>
      <c r="AJ98" s="3" t="str">
        <f>IFERROR(MID(VLOOKUP($B98,Seqs!$A:$B,2,0),AK98,1),"")</f>
        <v>N</v>
      </c>
      <c r="AK98" s="3">
        <v>204</v>
      </c>
      <c r="AL98" s="3" t="str">
        <f>IFERROR(MID(VLOOKUP($B98,Seqs!$A:$B,2,0),AM98,1),"")</f>
        <v>R</v>
      </c>
      <c r="AM98" s="3">
        <v>239</v>
      </c>
      <c r="AN98" s="3" t="str">
        <f>IFERROR(MID(VLOOKUP($B98,Seqs!$A:$B,2,0),AO98,1),"")</f>
        <v>R</v>
      </c>
      <c r="AO98" s="3">
        <v>279</v>
      </c>
      <c r="AP98" s="3" t="str">
        <f>IFERROR(MID(VLOOKUP($B98,Seqs!$A:$B,2,0),AQ98,1),"")</f>
        <v>N</v>
      </c>
      <c r="AQ98" s="3">
        <v>316</v>
      </c>
      <c r="AR98" s="3" t="str">
        <f>IFERROR(MID(VLOOKUP($B98,Seqs!$A:$B,2,0),AS98,1),"")</f>
        <v>P</v>
      </c>
      <c r="AS98" s="3">
        <v>321</v>
      </c>
      <c r="AT98" s="3" t="str">
        <f>IFERROR(MID(VLOOKUP($B98,Seqs!$A:$B,2,0),AU98,1),"")</f>
        <v>R</v>
      </c>
      <c r="AU98" s="3">
        <v>345</v>
      </c>
      <c r="AV98" s="3" t="str">
        <f>IFERROR(MID(VLOOKUP($B98,Seqs!$A:$B,2,0),AW98,1),"")</f>
        <v>S</v>
      </c>
      <c r="AW98" s="3">
        <v>346</v>
      </c>
      <c r="AX98" s="3" t="str">
        <f>IFERROR(MID(VLOOKUP($B98,Seqs!$A:$B,2,0),AY98,1),"")</f>
        <v>K</v>
      </c>
      <c r="AY98" s="3">
        <v>354</v>
      </c>
      <c r="AZ98" s="77" t="str">
        <f>VLOOKUP(B98,Classification!A:D,2,0)</f>
        <v>A</v>
      </c>
      <c r="BA98" s="94" t="str">
        <f>VLOOKUP(B98,Classification!A:D,4,0)</f>
        <v>Adrenoceptors</v>
      </c>
      <c r="BB98" s="27" t="b">
        <f t="shared" si="336"/>
        <v>1</v>
      </c>
      <c r="BC98" s="23">
        <f t="shared" si="477"/>
        <v>254</v>
      </c>
      <c r="BD98" s="4" t="s">
        <v>23</v>
      </c>
      <c r="BE98" s="3" t="s">
        <v>1380</v>
      </c>
      <c r="BF98" s="119">
        <v>2.42</v>
      </c>
      <c r="BG98" s="49" t="s">
        <v>1383</v>
      </c>
      <c r="BH98" s="49" t="s">
        <v>1383</v>
      </c>
      <c r="BI98" s="1"/>
      <c r="BJ98" s="70" t="s">
        <v>1293</v>
      </c>
      <c r="BK98" s="57" t="s">
        <v>1293</v>
      </c>
      <c r="BL98" s="57" t="s">
        <v>1293</v>
      </c>
      <c r="BM98" s="57" t="s">
        <v>1293</v>
      </c>
      <c r="BN98" s="57" t="s">
        <v>1293</v>
      </c>
      <c r="BO98" s="57" t="s">
        <v>1293</v>
      </c>
      <c r="BP98" s="57" t="s">
        <v>1293</v>
      </c>
      <c r="BQ98" s="57" t="s">
        <v>1293</v>
      </c>
      <c r="BR98" s="57" t="s">
        <v>1293</v>
      </c>
      <c r="BS98" s="57" t="s">
        <v>1293</v>
      </c>
      <c r="BT98" s="57" t="s">
        <v>1293</v>
      </c>
      <c r="BU98" s="57" t="s">
        <v>1293</v>
      </c>
      <c r="BV98" s="70">
        <f t="shared" si="478"/>
        <v>37</v>
      </c>
      <c r="BW98" s="71">
        <f t="shared" si="479"/>
        <v>70</v>
      </c>
      <c r="BX98" s="72">
        <f t="shared" si="480"/>
        <v>74</v>
      </c>
      <c r="BY98" s="71">
        <f t="shared" si="481"/>
        <v>106</v>
      </c>
      <c r="BZ98" s="72">
        <f t="shared" si="482"/>
        <v>110</v>
      </c>
      <c r="CA98" s="71">
        <f t="shared" si="483"/>
        <v>146</v>
      </c>
      <c r="CB98" s="72">
        <f t="shared" si="484"/>
        <v>154</v>
      </c>
      <c r="CC98" s="71">
        <f t="shared" si="485"/>
        <v>199</v>
      </c>
      <c r="CD98" s="72">
        <f t="shared" si="486"/>
        <v>204</v>
      </c>
      <c r="CE98" s="71">
        <f t="shared" si="487"/>
        <v>279</v>
      </c>
      <c r="CF98" s="72">
        <f t="shared" si="488"/>
        <v>321</v>
      </c>
      <c r="CG98" s="71">
        <f t="shared" si="489"/>
        <v>346</v>
      </c>
      <c r="CH98" s="70">
        <f t="shared" si="490"/>
        <v>69</v>
      </c>
      <c r="CI98" s="71">
        <f t="shared" si="491"/>
        <v>73</v>
      </c>
      <c r="CJ98" s="72">
        <f t="shared" si="492"/>
        <v>104</v>
      </c>
      <c r="CK98" s="72">
        <f t="shared" si="493"/>
        <v>109</v>
      </c>
      <c r="CL98" s="72">
        <f t="shared" si="494"/>
        <v>145</v>
      </c>
      <c r="CM98" s="72">
        <f t="shared" si="495"/>
        <v>153</v>
      </c>
      <c r="CN98" s="72">
        <f t="shared" si="496"/>
        <v>180</v>
      </c>
      <c r="CO98" s="72">
        <f t="shared" si="497"/>
        <v>201</v>
      </c>
      <c r="CP98" s="72">
        <f t="shared" si="498"/>
        <v>239</v>
      </c>
      <c r="CQ98" s="72">
        <f t="shared" si="499"/>
        <v>316</v>
      </c>
      <c r="CR98" s="72">
        <f t="shared" si="500"/>
        <v>345</v>
      </c>
      <c r="CS98" s="72">
        <f t="shared" si="501"/>
        <v>354</v>
      </c>
      <c r="CT98" s="23">
        <f t="shared" si="502"/>
        <v>1</v>
      </c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  <c r="ADW98" s="1"/>
      <c r="ADX98" s="1"/>
      <c r="ADY98" s="1"/>
      <c r="ADZ98" s="1"/>
      <c r="AEA98" s="1"/>
      <c r="AEB98" s="1"/>
      <c r="AEC98" s="1"/>
      <c r="AED98" s="1"/>
      <c r="AEE98" s="1"/>
      <c r="AEF98" s="1"/>
      <c r="AEG98" s="1"/>
      <c r="AEH98" s="1"/>
      <c r="AEI98" s="1"/>
      <c r="AEJ98" s="1"/>
      <c r="AEK98" s="1"/>
      <c r="AEL98" s="1"/>
      <c r="AEM98" s="1"/>
      <c r="AEN98" s="1"/>
      <c r="AEO98" s="1"/>
      <c r="AEP98" s="1"/>
      <c r="AEQ98" s="1"/>
      <c r="AER98" s="1"/>
      <c r="AES98" s="1"/>
      <c r="AET98" s="1"/>
      <c r="AEU98" s="1"/>
      <c r="AEV98" s="1"/>
      <c r="AEW98" s="1"/>
      <c r="AEX98" s="1"/>
      <c r="AEY98" s="1"/>
      <c r="AEZ98" s="1"/>
      <c r="AFA98" s="1"/>
      <c r="AFB98" s="1"/>
      <c r="AFC98" s="1"/>
      <c r="AFD98" s="1"/>
      <c r="AFE98" s="1"/>
      <c r="AFF98" s="1"/>
      <c r="AFG98" s="1"/>
      <c r="AFH98" s="1"/>
      <c r="AFI98" s="1"/>
      <c r="AFJ98" s="1"/>
      <c r="AFK98" s="1"/>
      <c r="AFL98" s="1"/>
      <c r="AFM98" s="1"/>
      <c r="AFN98" s="1"/>
      <c r="AFO98" s="1"/>
      <c r="AFP98" s="1"/>
      <c r="AFQ98" s="1"/>
      <c r="AFR98" s="1"/>
      <c r="AFS98" s="1"/>
      <c r="AFT98" s="1"/>
      <c r="AFU98" s="1"/>
      <c r="AFV98" s="1"/>
      <c r="AFW98" s="1"/>
      <c r="AFX98" s="1"/>
      <c r="AFY98" s="1"/>
      <c r="AFZ98" s="1"/>
      <c r="AGA98" s="1"/>
      <c r="AGB98" s="1"/>
      <c r="AGC98" s="1"/>
      <c r="AGD98" s="1"/>
      <c r="AGE98" s="1"/>
      <c r="AGF98" s="1"/>
      <c r="AGG98" s="1"/>
      <c r="AGH98" s="1"/>
      <c r="AGI98" s="1"/>
      <c r="AGJ98" s="1"/>
      <c r="AGK98" s="1"/>
      <c r="AGL98" s="1"/>
      <c r="AGM98" s="1"/>
      <c r="AGN98" s="1"/>
      <c r="AGO98" s="1"/>
      <c r="AGP98" s="1"/>
      <c r="AGQ98" s="1"/>
      <c r="AGR98" s="1"/>
      <c r="AGS98" s="1"/>
      <c r="AGT98" s="1"/>
      <c r="AGU98" s="1"/>
      <c r="AGV98" s="1"/>
      <c r="AGW98" s="1"/>
      <c r="AGX98" s="1"/>
      <c r="AGY98" s="1"/>
      <c r="AGZ98" s="1"/>
      <c r="AHA98" s="1"/>
      <c r="AHB98" s="1"/>
      <c r="AHC98" s="1"/>
      <c r="AHD98" s="1"/>
      <c r="AHE98" s="1"/>
      <c r="AHF98" s="1"/>
      <c r="AHG98" s="1"/>
      <c r="AHH98" s="1"/>
      <c r="AHI98" s="1"/>
      <c r="AHJ98" s="1"/>
      <c r="AHK98" s="1"/>
      <c r="AHL98" s="1"/>
      <c r="AHM98" s="1"/>
      <c r="AHN98" s="1"/>
      <c r="AHO98" s="1"/>
      <c r="AHP98" s="1"/>
      <c r="AHQ98" s="1"/>
      <c r="AHR98" s="1"/>
      <c r="AHS98" s="1"/>
      <c r="AHT98" s="1"/>
      <c r="AHU98" s="1"/>
      <c r="AHV98" s="1"/>
      <c r="AHW98" s="1"/>
      <c r="AHX98" s="1"/>
      <c r="AHY98" s="1"/>
      <c r="AHZ98" s="1"/>
      <c r="AIA98" s="1"/>
      <c r="AIB98" s="1"/>
      <c r="AIC98" s="1"/>
      <c r="AID98" s="1"/>
      <c r="AIE98" s="1"/>
      <c r="AIF98" s="1"/>
      <c r="AIG98" s="1"/>
      <c r="AIH98" s="1"/>
      <c r="AII98" s="1"/>
      <c r="AIJ98" s="1"/>
      <c r="AIK98" s="1"/>
      <c r="AIL98" s="1"/>
      <c r="AIM98" s="1"/>
      <c r="AIN98" s="1"/>
      <c r="AIO98" s="1"/>
      <c r="AIP98" s="1"/>
      <c r="AIQ98" s="1"/>
      <c r="AIR98" s="1"/>
      <c r="AIS98" s="1"/>
      <c r="AIT98" s="1"/>
      <c r="AIU98" s="1"/>
      <c r="AIV98" s="1"/>
      <c r="AIW98" s="1"/>
      <c r="AIX98" s="1"/>
      <c r="AIY98" s="1"/>
      <c r="AIZ98" s="1"/>
      <c r="AJA98" s="1"/>
      <c r="AJB98" s="1"/>
      <c r="AJC98" s="1"/>
      <c r="AJD98" s="1"/>
      <c r="AJE98" s="1"/>
      <c r="AJF98" s="1"/>
      <c r="AJG98" s="1"/>
      <c r="AJH98" s="1"/>
      <c r="AJI98" s="1"/>
      <c r="AJJ98" s="1"/>
      <c r="AJK98" s="1"/>
      <c r="AJL98" s="1"/>
      <c r="AJM98" s="1"/>
      <c r="AJN98" s="1"/>
      <c r="AJO98" s="1"/>
      <c r="AJP98" s="1"/>
      <c r="AJQ98" s="1"/>
      <c r="AJR98" s="1"/>
      <c r="AJS98" s="1"/>
      <c r="AJT98" s="1"/>
      <c r="AJU98" s="1"/>
      <c r="AJV98" s="1"/>
      <c r="AJW98" s="1"/>
      <c r="AJX98" s="1"/>
      <c r="AJY98" s="1"/>
      <c r="AJZ98" s="1"/>
      <c r="AKA98" s="1"/>
      <c r="AKB98" s="1"/>
      <c r="AKC98" s="1"/>
      <c r="AKD98" s="1"/>
      <c r="AKE98" s="1"/>
      <c r="AKF98" s="1"/>
      <c r="AKG98" s="1"/>
      <c r="AKH98" s="1"/>
      <c r="AKI98" s="1"/>
      <c r="AKJ98" s="1"/>
      <c r="AKK98" s="1"/>
      <c r="AKL98" s="1"/>
      <c r="AKM98" s="1"/>
      <c r="AKN98" s="1"/>
      <c r="AKO98" s="1"/>
      <c r="AKP98" s="1"/>
      <c r="AKQ98" s="1"/>
      <c r="AKR98" s="1"/>
      <c r="AKS98" s="1"/>
      <c r="AKT98" s="1"/>
      <c r="AKU98" s="1"/>
      <c r="AKV98" s="1"/>
      <c r="AKW98" s="1"/>
      <c r="AKX98" s="1"/>
      <c r="AKY98" s="1"/>
      <c r="AKZ98" s="1"/>
      <c r="ALA98" s="1"/>
      <c r="ALB98" s="1"/>
      <c r="ALC98" s="1"/>
      <c r="ALD98" s="1"/>
      <c r="ALE98" s="1"/>
      <c r="ALF98" s="1"/>
      <c r="ALG98" s="1"/>
      <c r="ALH98" s="1"/>
      <c r="ALI98" s="1"/>
      <c r="ALJ98" s="1"/>
      <c r="ALK98" s="1"/>
      <c r="ALL98" s="1"/>
      <c r="ALM98" s="1"/>
      <c r="ALN98" s="1"/>
      <c r="ALO98" s="1"/>
      <c r="ALP98" s="1"/>
      <c r="ALQ98" s="1"/>
      <c r="ALR98" s="1"/>
      <c r="ALS98" s="1"/>
      <c r="ALT98" s="1"/>
      <c r="ALU98" s="1"/>
      <c r="ALV98" s="1"/>
      <c r="ALW98" s="1"/>
      <c r="ALX98" s="1"/>
      <c r="ALY98" s="1"/>
      <c r="ALZ98" s="1"/>
      <c r="AMA98" s="1"/>
      <c r="AMB98" s="1"/>
      <c r="AMC98" s="1"/>
      <c r="AMD98" s="1"/>
      <c r="AME98" s="1"/>
      <c r="AMF98" s="1"/>
      <c r="AMG98" s="1"/>
      <c r="AMH98" s="1"/>
      <c r="AMI98" s="1"/>
      <c r="AMJ98" s="1"/>
      <c r="AMK98" s="1"/>
      <c r="AML98" s="1"/>
      <c r="AMM98" s="1"/>
      <c r="AMN98" s="1"/>
      <c r="AMO98" s="1"/>
    </row>
    <row r="99" spans="1:1029" x14ac:dyDescent="0.2">
      <c r="A99" s="3" t="str">
        <f t="shared" si="335"/>
        <v>adrb1_melga_5F8U</v>
      </c>
      <c r="B99" s="3" t="s">
        <v>912</v>
      </c>
      <c r="C99" s="3" t="s">
        <v>1360</v>
      </c>
      <c r="D99" s="3" t="str">
        <f>IFERROR(MID(VLOOKUP($B99,Seqs!$A:$B,2,0),E99,1),"")</f>
        <v>W</v>
      </c>
      <c r="E99" s="3">
        <v>40</v>
      </c>
      <c r="F99" s="3" t="str">
        <f>IFERROR(MID(VLOOKUP($B99,Seqs!$A:$B,2,0),G99,1),"")</f>
        <v>T</v>
      </c>
      <c r="G99" s="3">
        <v>69</v>
      </c>
      <c r="H99" s="3" t="str">
        <f>IFERROR(MID(VLOOKUP($B99,Seqs!$A:$B,2,0),I99,1),"")</f>
        <v>Q</v>
      </c>
      <c r="I99" s="23">
        <v>70</v>
      </c>
      <c r="J99" s="3" t="str">
        <f>IFERROR(MID(VLOOKUP($B99,Seqs!$A:$B,2,0),K99,1),"")</f>
        <v>Q</v>
      </c>
      <c r="K99" s="23">
        <v>73</v>
      </c>
      <c r="L99" s="3" t="str">
        <f>IFERROR(MID(VLOOKUP($B99,Seqs!$A:$B,2,0),M99,1),"")</f>
        <v>T</v>
      </c>
      <c r="M99" s="3">
        <v>74</v>
      </c>
      <c r="N99" s="3" t="str">
        <f>IFERROR(MID(VLOOKUP($B99,Seqs!$A:$B,2,0),O99,1),"")</f>
        <v>R</v>
      </c>
      <c r="O99" s="3">
        <v>104</v>
      </c>
      <c r="P99" s="3" t="str">
        <f>IFERROR(MID(VLOOKUP($B99,Seqs!$A:$B,2,0),Q99,1),"")</f>
        <v>T</v>
      </c>
      <c r="Q99" s="3">
        <v>106</v>
      </c>
      <c r="R99" s="3" t="str">
        <f>IFERROR(MID(VLOOKUP($B99,Seqs!$A:$B,2,0),S99,1),"")</f>
        <v>W</v>
      </c>
      <c r="S99" s="3">
        <v>109</v>
      </c>
      <c r="T99" s="3" t="str">
        <f>IFERROR(MID(VLOOKUP($B99,Seqs!$A:$B,2,0),U99,1),"")</f>
        <v>G</v>
      </c>
      <c r="U99" s="3">
        <v>110</v>
      </c>
      <c r="V99" s="3" t="str">
        <f>IFERROR(MID(VLOOKUP($B99,Seqs!$A:$B,2,0),W99,1),"")</f>
        <v>S</v>
      </c>
      <c r="W99" s="3">
        <v>145</v>
      </c>
      <c r="X99" s="3" t="str">
        <f>IFERROR(MID(VLOOKUP($B99,Seqs!$A:$B,2,0),Y99,1),"")</f>
        <v>P</v>
      </c>
      <c r="Y99" s="3">
        <v>146</v>
      </c>
      <c r="Z99" s="3" t="str">
        <f>IFERROR(MID(VLOOKUP($B99,Seqs!$A:$B,2,0),AA99,1),"")</f>
        <v>M</v>
      </c>
      <c r="AA99" s="3">
        <v>153</v>
      </c>
      <c r="AB99" s="3" t="str">
        <f>IFERROR(MID(VLOOKUP($B99,Seqs!$A:$B,2,0),AC99,1),"")</f>
        <v>T</v>
      </c>
      <c r="AC99" s="9">
        <v>154</v>
      </c>
      <c r="AD99" s="3" t="str">
        <f>IFERROR(MID(VLOOKUP($B99,Seqs!$A:$B,2,0),AE99,1),"")</f>
        <v>H</v>
      </c>
      <c r="AE99" s="3">
        <v>180</v>
      </c>
      <c r="AF99" s="3" t="str">
        <f>IFERROR(MID(VLOOKUP($B99,Seqs!$A:$B,2,0),AG99,1),"")</f>
        <v>C</v>
      </c>
      <c r="AG99" s="3">
        <v>199</v>
      </c>
      <c r="AH99" s="3" t="str">
        <f>IFERROR(MID(VLOOKUP($B99,Seqs!$A:$B,2,0),AI99,1),"")</f>
        <v>F</v>
      </c>
      <c r="AI99" s="3">
        <v>201</v>
      </c>
      <c r="AJ99" s="3" t="str">
        <f>IFERROR(MID(VLOOKUP($B99,Seqs!$A:$B,2,0),AK99,1),"")</f>
        <v>N</v>
      </c>
      <c r="AK99" s="3">
        <v>204</v>
      </c>
      <c r="AL99" s="3" t="str">
        <f>IFERROR(MID(VLOOKUP($B99,Seqs!$A:$B,2,0),AM99,1),"")</f>
        <v>Q</v>
      </c>
      <c r="AM99" s="3">
        <v>237</v>
      </c>
      <c r="AN99" s="3" t="str">
        <f>IFERROR(MID(VLOOKUP($B99,Seqs!$A:$B,2,0),AO99,1),"")</f>
        <v>R</v>
      </c>
      <c r="AO99" s="3">
        <v>284</v>
      </c>
      <c r="AP99" s="3" t="str">
        <f>IFERROR(MID(VLOOKUP($B99,Seqs!$A:$B,2,0),AQ99,1),"")</f>
        <v>N</v>
      </c>
      <c r="AQ99" s="3">
        <v>316</v>
      </c>
      <c r="AR99" s="3" t="str">
        <f>IFERROR(MID(VLOOKUP($B99,Seqs!$A:$B,2,0),AS99,1),"")</f>
        <v>P</v>
      </c>
      <c r="AS99" s="3">
        <v>321</v>
      </c>
      <c r="AT99" s="3" t="str">
        <f>IFERROR(MID(VLOOKUP($B99,Seqs!$A:$B,2,0),AU99,1),"")</f>
        <v>R</v>
      </c>
      <c r="AU99" s="3">
        <v>345</v>
      </c>
      <c r="AV99" s="3" t="str">
        <f>IFERROR(MID(VLOOKUP($B99,Seqs!$A:$B,2,0),AW99,1),"")</f>
        <v>S</v>
      </c>
      <c r="AW99" s="3">
        <v>346</v>
      </c>
      <c r="AX99" s="3" t="str">
        <f>IFERROR(MID(VLOOKUP($B99,Seqs!$A:$B,2,0),AY99,1),"")</f>
        <v>C</v>
      </c>
      <c r="AY99" s="3">
        <v>358</v>
      </c>
      <c r="AZ99" s="77" t="str">
        <f>VLOOKUP(B99,Classification!A:D,2,0)</f>
        <v>A</v>
      </c>
      <c r="BA99" s="94" t="str">
        <f>VLOOKUP(B99,Classification!A:D,4,0)</f>
        <v>Adrenoceptors</v>
      </c>
      <c r="BB99" s="27" t="b">
        <f t="shared" si="336"/>
        <v>1</v>
      </c>
      <c r="BC99" s="23">
        <f t="shared" si="477"/>
        <v>248</v>
      </c>
      <c r="BD99" s="5" t="s">
        <v>23</v>
      </c>
      <c r="BE99" s="3" t="s">
        <v>1380</v>
      </c>
      <c r="BF99" s="119">
        <v>3.35</v>
      </c>
      <c r="BG99" s="49" t="s">
        <v>1383</v>
      </c>
      <c r="BH99" s="49" t="s">
        <v>1383</v>
      </c>
      <c r="BI99" s="1"/>
      <c r="BJ99" s="70" t="s">
        <v>1293</v>
      </c>
      <c r="BK99" s="57" t="s">
        <v>1293</v>
      </c>
      <c r="BL99" s="57" t="s">
        <v>1293</v>
      </c>
      <c r="BM99" s="57" t="s">
        <v>1293</v>
      </c>
      <c r="BN99" s="57" t="s">
        <v>1293</v>
      </c>
      <c r="BO99" s="57" t="s">
        <v>1293</v>
      </c>
      <c r="BP99" s="57" t="s">
        <v>1293</v>
      </c>
      <c r="BQ99" s="57" t="s">
        <v>1293</v>
      </c>
      <c r="BR99" s="57" t="s">
        <v>1293</v>
      </c>
      <c r="BS99" s="57" t="s">
        <v>1293</v>
      </c>
      <c r="BT99" s="57" t="s">
        <v>1293</v>
      </c>
      <c r="BU99" s="57" t="s">
        <v>1293</v>
      </c>
      <c r="BV99" s="70">
        <f t="shared" si="478"/>
        <v>40</v>
      </c>
      <c r="BW99" s="71">
        <f t="shared" si="479"/>
        <v>70</v>
      </c>
      <c r="BX99" s="72">
        <f t="shared" si="480"/>
        <v>74</v>
      </c>
      <c r="BY99" s="71">
        <f t="shared" si="481"/>
        <v>106</v>
      </c>
      <c r="BZ99" s="72">
        <f t="shared" si="482"/>
        <v>110</v>
      </c>
      <c r="CA99" s="71">
        <f t="shared" si="483"/>
        <v>146</v>
      </c>
      <c r="CB99" s="72">
        <f t="shared" si="484"/>
        <v>154</v>
      </c>
      <c r="CC99" s="71">
        <f t="shared" si="485"/>
        <v>199</v>
      </c>
      <c r="CD99" s="72">
        <f t="shared" si="486"/>
        <v>204</v>
      </c>
      <c r="CE99" s="71">
        <f t="shared" si="487"/>
        <v>284</v>
      </c>
      <c r="CF99" s="72">
        <f t="shared" si="488"/>
        <v>321</v>
      </c>
      <c r="CG99" s="71">
        <f t="shared" si="489"/>
        <v>346</v>
      </c>
      <c r="CH99" s="70">
        <f t="shared" si="490"/>
        <v>69</v>
      </c>
      <c r="CI99" s="71">
        <f t="shared" si="491"/>
        <v>73</v>
      </c>
      <c r="CJ99" s="72">
        <f t="shared" si="492"/>
        <v>104</v>
      </c>
      <c r="CK99" s="72">
        <f t="shared" si="493"/>
        <v>109</v>
      </c>
      <c r="CL99" s="72">
        <f t="shared" si="494"/>
        <v>145</v>
      </c>
      <c r="CM99" s="72">
        <f t="shared" si="495"/>
        <v>153</v>
      </c>
      <c r="CN99" s="72">
        <f t="shared" si="496"/>
        <v>180</v>
      </c>
      <c r="CO99" s="72">
        <f t="shared" si="497"/>
        <v>201</v>
      </c>
      <c r="CP99" s="72">
        <f t="shared" si="498"/>
        <v>237</v>
      </c>
      <c r="CQ99" s="72">
        <f t="shared" si="499"/>
        <v>316</v>
      </c>
      <c r="CR99" s="72">
        <f t="shared" si="500"/>
        <v>345</v>
      </c>
      <c r="CS99" s="72">
        <f t="shared" si="501"/>
        <v>358</v>
      </c>
      <c r="CT99" s="23">
        <f t="shared" si="502"/>
        <v>1</v>
      </c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  <c r="ADW99" s="1"/>
      <c r="ADX99" s="1"/>
      <c r="ADY99" s="1"/>
      <c r="ADZ99" s="1"/>
      <c r="AEA99" s="1"/>
      <c r="AEB99" s="1"/>
      <c r="AEC99" s="1"/>
      <c r="AED99" s="1"/>
      <c r="AEE99" s="1"/>
      <c r="AEF99" s="1"/>
      <c r="AEG99" s="1"/>
      <c r="AEH99" s="1"/>
      <c r="AEI99" s="1"/>
      <c r="AEJ99" s="1"/>
      <c r="AEK99" s="1"/>
      <c r="AEL99" s="1"/>
      <c r="AEM99" s="1"/>
      <c r="AEN99" s="1"/>
      <c r="AEO99" s="1"/>
      <c r="AEP99" s="1"/>
      <c r="AEQ99" s="1"/>
      <c r="AER99" s="1"/>
      <c r="AES99" s="1"/>
      <c r="AET99" s="1"/>
      <c r="AEU99" s="1"/>
      <c r="AEV99" s="1"/>
      <c r="AEW99" s="1"/>
      <c r="AEX99" s="1"/>
      <c r="AEY99" s="1"/>
      <c r="AEZ99" s="1"/>
      <c r="AFA99" s="1"/>
      <c r="AFB99" s="1"/>
      <c r="AFC99" s="1"/>
      <c r="AFD99" s="1"/>
      <c r="AFE99" s="1"/>
      <c r="AFF99" s="1"/>
      <c r="AFG99" s="1"/>
      <c r="AFH99" s="1"/>
      <c r="AFI99" s="1"/>
      <c r="AFJ99" s="1"/>
      <c r="AFK99" s="1"/>
      <c r="AFL99" s="1"/>
      <c r="AFM99" s="1"/>
      <c r="AFN99" s="1"/>
      <c r="AFO99" s="1"/>
      <c r="AFP99" s="1"/>
      <c r="AFQ99" s="1"/>
      <c r="AFR99" s="1"/>
      <c r="AFS99" s="1"/>
      <c r="AFT99" s="1"/>
      <c r="AFU99" s="1"/>
      <c r="AFV99" s="1"/>
      <c r="AFW99" s="1"/>
      <c r="AFX99" s="1"/>
      <c r="AFY99" s="1"/>
      <c r="AFZ99" s="1"/>
      <c r="AGA99" s="1"/>
      <c r="AGB99" s="1"/>
      <c r="AGC99" s="1"/>
      <c r="AGD99" s="1"/>
      <c r="AGE99" s="1"/>
      <c r="AGF99" s="1"/>
      <c r="AGG99" s="1"/>
      <c r="AGH99" s="1"/>
      <c r="AGI99" s="1"/>
      <c r="AGJ99" s="1"/>
      <c r="AGK99" s="1"/>
      <c r="AGL99" s="1"/>
      <c r="AGM99" s="1"/>
      <c r="AGN99" s="1"/>
      <c r="AGO99" s="1"/>
      <c r="AGP99" s="1"/>
      <c r="AGQ99" s="1"/>
      <c r="AGR99" s="1"/>
      <c r="AGS99" s="1"/>
      <c r="AGT99" s="1"/>
      <c r="AGU99" s="1"/>
      <c r="AGV99" s="1"/>
      <c r="AGW99" s="1"/>
      <c r="AGX99" s="1"/>
      <c r="AGY99" s="1"/>
      <c r="AGZ99" s="1"/>
      <c r="AHA99" s="1"/>
      <c r="AHB99" s="1"/>
      <c r="AHC99" s="1"/>
      <c r="AHD99" s="1"/>
      <c r="AHE99" s="1"/>
      <c r="AHF99" s="1"/>
      <c r="AHG99" s="1"/>
      <c r="AHH99" s="1"/>
      <c r="AHI99" s="1"/>
      <c r="AHJ99" s="1"/>
      <c r="AHK99" s="1"/>
      <c r="AHL99" s="1"/>
      <c r="AHM99" s="1"/>
      <c r="AHN99" s="1"/>
      <c r="AHO99" s="1"/>
      <c r="AHP99" s="1"/>
      <c r="AHQ99" s="1"/>
      <c r="AHR99" s="1"/>
      <c r="AHS99" s="1"/>
      <c r="AHT99" s="1"/>
      <c r="AHU99" s="1"/>
      <c r="AHV99" s="1"/>
      <c r="AHW99" s="1"/>
      <c r="AHX99" s="1"/>
      <c r="AHY99" s="1"/>
      <c r="AHZ99" s="1"/>
      <c r="AIA99" s="1"/>
      <c r="AIB99" s="1"/>
      <c r="AIC99" s="1"/>
      <c r="AID99" s="1"/>
      <c r="AIE99" s="1"/>
      <c r="AIF99" s="1"/>
      <c r="AIG99" s="1"/>
      <c r="AIH99" s="1"/>
      <c r="AII99" s="1"/>
      <c r="AIJ99" s="1"/>
      <c r="AIK99" s="1"/>
      <c r="AIL99" s="1"/>
      <c r="AIM99" s="1"/>
      <c r="AIN99" s="1"/>
      <c r="AIO99" s="1"/>
      <c r="AIP99" s="1"/>
      <c r="AIQ99" s="1"/>
      <c r="AIR99" s="1"/>
      <c r="AIS99" s="1"/>
      <c r="AIT99" s="1"/>
      <c r="AIU99" s="1"/>
      <c r="AIV99" s="1"/>
      <c r="AIW99" s="1"/>
      <c r="AIX99" s="1"/>
      <c r="AIY99" s="1"/>
      <c r="AIZ99" s="1"/>
      <c r="AJA99" s="1"/>
      <c r="AJB99" s="1"/>
      <c r="AJC99" s="1"/>
      <c r="AJD99" s="1"/>
      <c r="AJE99" s="1"/>
      <c r="AJF99" s="1"/>
      <c r="AJG99" s="1"/>
      <c r="AJH99" s="1"/>
      <c r="AJI99" s="1"/>
      <c r="AJJ99" s="1"/>
      <c r="AJK99" s="1"/>
      <c r="AJL99" s="1"/>
      <c r="AJM99" s="1"/>
      <c r="AJN99" s="1"/>
      <c r="AJO99" s="1"/>
      <c r="AJP99" s="1"/>
      <c r="AJQ99" s="1"/>
      <c r="AJR99" s="1"/>
      <c r="AJS99" s="1"/>
      <c r="AJT99" s="1"/>
      <c r="AJU99" s="1"/>
      <c r="AJV99" s="1"/>
      <c r="AJW99" s="1"/>
      <c r="AJX99" s="1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1"/>
      <c r="AKN99" s="1"/>
      <c r="AKO99" s="1"/>
      <c r="AKP99" s="1"/>
      <c r="AKQ99" s="1"/>
      <c r="AKR99" s="1"/>
      <c r="AKS99" s="1"/>
      <c r="AKT99" s="1"/>
      <c r="AKU99" s="1"/>
      <c r="AKV99" s="1"/>
      <c r="AKW99" s="1"/>
      <c r="AKX99" s="1"/>
      <c r="AKY99" s="1"/>
      <c r="AKZ99" s="1"/>
      <c r="ALA99" s="1"/>
      <c r="ALB99" s="1"/>
      <c r="ALC99" s="1"/>
      <c r="ALD99" s="1"/>
      <c r="ALE99" s="1"/>
      <c r="ALF99" s="1"/>
      <c r="ALG99" s="1"/>
      <c r="ALH99" s="1"/>
      <c r="ALI99" s="1"/>
      <c r="ALJ99" s="1"/>
      <c r="ALK99" s="1"/>
      <c r="ALL99" s="1"/>
      <c r="ALM99" s="1"/>
      <c r="ALN99" s="1"/>
      <c r="ALO99" s="1"/>
      <c r="ALP99" s="1"/>
      <c r="ALQ99" s="1"/>
      <c r="ALR99" s="1"/>
      <c r="ALS99" s="1"/>
      <c r="ALT99" s="1"/>
      <c r="ALU99" s="1"/>
      <c r="ALV99" s="1"/>
      <c r="ALW99" s="1"/>
      <c r="ALX99" s="1"/>
      <c r="ALY99" s="1"/>
      <c r="ALZ99" s="1"/>
      <c r="AMA99" s="1"/>
      <c r="AMB99" s="1"/>
      <c r="AMC99" s="1"/>
      <c r="AMD99" s="1"/>
      <c r="AME99" s="1"/>
      <c r="AMF99" s="1"/>
      <c r="AMG99" s="1"/>
      <c r="AMH99" s="1"/>
      <c r="AMI99" s="1"/>
      <c r="AMJ99" s="1"/>
      <c r="AMK99" s="1"/>
      <c r="AML99" s="1"/>
      <c r="AMM99" s="1"/>
      <c r="AMN99" s="1"/>
      <c r="AMO99" s="1"/>
    </row>
    <row r="100" spans="1:1029" s="12" customFormat="1" x14ac:dyDescent="0.2">
      <c r="A100" s="9" t="str">
        <f t="shared" ref="A100" si="503">CONCATENATE(B100,"_",C100)</f>
        <v>adrb1_melga_6H7J</v>
      </c>
      <c r="B100" s="9" t="s">
        <v>912</v>
      </c>
      <c r="C100" s="9" t="s">
        <v>1538</v>
      </c>
      <c r="D100" s="9" t="str">
        <f>IFERROR(MID(VLOOKUP($B100,Seqs!$A:$B,2,0),E100,1),"")</f>
        <v>W</v>
      </c>
      <c r="E100" s="9">
        <v>40</v>
      </c>
      <c r="F100" s="9" t="str">
        <f>IFERROR(MID(VLOOKUP($B100,Seqs!$A:$B,2,0),G100,1),"")</f>
        <v>T</v>
      </c>
      <c r="G100" s="9">
        <v>69</v>
      </c>
      <c r="H100" s="9" t="str">
        <f>IFERROR(MID(VLOOKUP($B100,Seqs!$A:$B,2,0),I100,1),"")</f>
        <v>Q</v>
      </c>
      <c r="I100" s="109">
        <v>70</v>
      </c>
      <c r="J100" s="9" t="str">
        <f>IFERROR(MID(VLOOKUP($B100,Seqs!$A:$B,2,0),K100,1),"")</f>
        <v>Q</v>
      </c>
      <c r="K100" s="109">
        <v>73</v>
      </c>
      <c r="L100" s="9" t="str">
        <f>IFERROR(MID(VLOOKUP($B100,Seqs!$A:$B,2,0),M100,1),"")</f>
        <v>T</v>
      </c>
      <c r="M100" s="9">
        <v>74</v>
      </c>
      <c r="N100" s="9" t="str">
        <f>IFERROR(MID(VLOOKUP($B100,Seqs!$A:$B,2,0),O100,1),"")</f>
        <v>R</v>
      </c>
      <c r="O100" s="9">
        <v>104</v>
      </c>
      <c r="P100" s="9" t="str">
        <f>IFERROR(MID(VLOOKUP($B100,Seqs!$A:$B,2,0),Q100,1),"")</f>
        <v>T</v>
      </c>
      <c r="Q100" s="9">
        <v>106</v>
      </c>
      <c r="R100" s="9" t="str">
        <f>IFERROR(MID(VLOOKUP($B100,Seqs!$A:$B,2,0),S100,1),"")</f>
        <v>W</v>
      </c>
      <c r="S100" s="9">
        <v>109</v>
      </c>
      <c r="T100" s="9" t="str">
        <f>IFERROR(MID(VLOOKUP($B100,Seqs!$A:$B,2,0),U100,1),"")</f>
        <v>G</v>
      </c>
      <c r="U100" s="9">
        <v>110</v>
      </c>
      <c r="V100" s="9" t="str">
        <f>IFERROR(MID(VLOOKUP($B100,Seqs!$A:$B,2,0),W100,1),"")</f>
        <v>S</v>
      </c>
      <c r="W100" s="9">
        <v>145</v>
      </c>
      <c r="X100" s="9" t="str">
        <f>IFERROR(MID(VLOOKUP($B100,Seqs!$A:$B,2,0),Y100,1),"")</f>
        <v>P</v>
      </c>
      <c r="Y100" s="9">
        <v>146</v>
      </c>
      <c r="Z100" s="9" t="str">
        <f>IFERROR(MID(VLOOKUP($B100,Seqs!$A:$B,2,0),AA100,1),"")</f>
        <v>M</v>
      </c>
      <c r="AA100" s="9">
        <v>153</v>
      </c>
      <c r="AB100" s="9" t="str">
        <f>IFERROR(MID(VLOOKUP($B100,Seqs!$A:$B,2,0),AC100,1),"")</f>
        <v>T</v>
      </c>
      <c r="AC100" s="9">
        <v>154</v>
      </c>
      <c r="AD100" s="9" t="str">
        <f>IFERROR(MID(VLOOKUP($B100,Seqs!$A:$B,2,0),AE100,1),"")</f>
        <v>H</v>
      </c>
      <c r="AE100" s="9">
        <v>180</v>
      </c>
      <c r="AF100" s="9" t="str">
        <f>IFERROR(MID(VLOOKUP($B100,Seqs!$A:$B,2,0),AG100,1),"")</f>
        <v>C</v>
      </c>
      <c r="AG100" s="9">
        <v>199</v>
      </c>
      <c r="AH100" s="9" t="str">
        <f>IFERROR(MID(VLOOKUP($B100,Seqs!$A:$B,2,0),AI100,1),"")</f>
        <v>F</v>
      </c>
      <c r="AI100" s="9">
        <v>201</v>
      </c>
      <c r="AJ100" s="9" t="str">
        <f>IFERROR(MID(VLOOKUP($B100,Seqs!$A:$B,2,0),AK100,1),"")</f>
        <v>N</v>
      </c>
      <c r="AK100" s="9">
        <v>204</v>
      </c>
      <c r="AL100" s="9" t="str">
        <f>IFERROR(MID(VLOOKUP($B100,Seqs!$A:$B,2,0),AM100,1),"")</f>
        <v>S</v>
      </c>
      <c r="AM100" s="9">
        <v>273</v>
      </c>
      <c r="AN100" s="9" t="str">
        <f>IFERROR(MID(VLOOKUP($B100,Seqs!$A:$B,2,0),AO100,1),"")</f>
        <v>A</v>
      </c>
      <c r="AO100" s="9">
        <v>282</v>
      </c>
      <c r="AP100" s="9" t="str">
        <f>IFERROR(MID(VLOOKUP($B100,Seqs!$A:$B,2,0),AQ100,1),"")</f>
        <v>N</v>
      </c>
      <c r="AQ100" s="9">
        <v>316</v>
      </c>
      <c r="AR100" s="9" t="str">
        <f>IFERROR(MID(VLOOKUP($B100,Seqs!$A:$B,2,0),AS100,1),"")</f>
        <v>P</v>
      </c>
      <c r="AS100" s="9">
        <v>321</v>
      </c>
      <c r="AT100" s="9" t="str">
        <f>IFERROR(MID(VLOOKUP($B100,Seqs!$A:$B,2,0),AU100,1),"")</f>
        <v>R</v>
      </c>
      <c r="AU100" s="9">
        <v>345</v>
      </c>
      <c r="AV100" s="9" t="str">
        <f>IFERROR(MID(VLOOKUP($B100,Seqs!$A:$B,2,0),AW100,1),"")</f>
        <v>S</v>
      </c>
      <c r="AW100" s="9">
        <v>346</v>
      </c>
      <c r="AX100" s="9" t="str">
        <f>IFERROR(MID(VLOOKUP($B100,Seqs!$A:$B,2,0),AY100,1),"")</f>
        <v>L</v>
      </c>
      <c r="AY100" s="9">
        <v>357</v>
      </c>
      <c r="AZ100" s="110" t="str">
        <f>VLOOKUP(B100,Classification!A:D,2,0)</f>
        <v>A</v>
      </c>
      <c r="BA100" s="98" t="str">
        <f>VLOOKUP(B100,Classification!A:D,4,0)</f>
        <v>Adrenoceptors</v>
      </c>
      <c r="BB100" s="36" t="b">
        <f t="shared" ref="BB100" si="504">AND(E100&lt;G100,OR(G100&lt;I100,I100="-"),OR(I100&lt;K100,I100="-"),OR(K100&lt;M100,K100="-"),M100&lt;O100,OR(O100&lt;Q100,Q100="-"),OR(Q100&lt;S100,Q100="-"),OR(S100&lt;U100,S100="-"),U100&lt;W100,OR(W100&lt;Y100,Y100="-"),OR(Y100&lt;AA100,Y100="-"),OR(AA100&lt;AC100,AA100="-"),AC100&lt;AE100,OR(AE100&lt;AG100,AG100="-"),OR(AG100&lt;AI100,AG100="-"),OR(AI100&lt;AK100,AI100="-"),AK100&lt;AM100,AM100&lt;AO100,AO100&lt;AQ100,AQ100&lt;AS100,AS100&lt;AU100,OR(AU100&lt;AW100,AW100="-"),OR(AW100&lt;AY100,AW100="-"))</f>
        <v>1</v>
      </c>
      <c r="BC100" s="109">
        <f t="shared" ref="BC100" si="505">_xlfn.AGGREGATE(9,6,CH100:CS100)-_xlfn.AGGREGATE(9,6,BV100:CG100)+12</f>
        <v>285</v>
      </c>
      <c r="BD100" s="13" t="s">
        <v>23</v>
      </c>
      <c r="BE100" s="9" t="s">
        <v>1297</v>
      </c>
      <c r="BF100" s="120">
        <v>2.8</v>
      </c>
      <c r="BG100" s="51" t="s">
        <v>1</v>
      </c>
      <c r="BH100" s="51" t="s">
        <v>1</v>
      </c>
      <c r="BJ100" s="111" t="s">
        <v>1293</v>
      </c>
      <c r="BK100" s="112" t="s">
        <v>1293</v>
      </c>
      <c r="BL100" s="112" t="s">
        <v>1293</v>
      </c>
      <c r="BM100" s="112" t="s">
        <v>1293</v>
      </c>
      <c r="BN100" s="112" t="s">
        <v>1293</v>
      </c>
      <c r="BO100" s="112" t="s">
        <v>1293</v>
      </c>
      <c r="BP100" s="112" t="s">
        <v>1293</v>
      </c>
      <c r="BQ100" s="112" t="s">
        <v>1293</v>
      </c>
      <c r="BR100" s="112" t="s">
        <v>1293</v>
      </c>
      <c r="BS100" s="112" t="s">
        <v>1293</v>
      </c>
      <c r="BT100" s="112" t="s">
        <v>1293</v>
      </c>
      <c r="BU100" s="112" t="s">
        <v>1293</v>
      </c>
      <c r="BV100" s="111">
        <f t="shared" ref="BV100" si="506">E100</f>
        <v>40</v>
      </c>
      <c r="BW100" s="113">
        <f t="shared" ref="BW100" si="507">I100</f>
        <v>70</v>
      </c>
      <c r="BX100" s="114">
        <f t="shared" ref="BX100" si="508">M100</f>
        <v>74</v>
      </c>
      <c r="BY100" s="113">
        <f t="shared" ref="BY100" si="509">Q100</f>
        <v>106</v>
      </c>
      <c r="BZ100" s="114">
        <f t="shared" ref="BZ100" si="510">U100</f>
        <v>110</v>
      </c>
      <c r="CA100" s="113">
        <f t="shared" ref="CA100" si="511">Y100</f>
        <v>146</v>
      </c>
      <c r="CB100" s="114">
        <f t="shared" ref="CB100" si="512">AC100</f>
        <v>154</v>
      </c>
      <c r="CC100" s="113">
        <f t="shared" ref="CC100" si="513">AG100</f>
        <v>199</v>
      </c>
      <c r="CD100" s="114">
        <f t="shared" ref="CD100" si="514">AK100</f>
        <v>204</v>
      </c>
      <c r="CE100" s="113">
        <f t="shared" ref="CE100" si="515">AO100</f>
        <v>282</v>
      </c>
      <c r="CF100" s="114">
        <f t="shared" ref="CF100" si="516">AS100</f>
        <v>321</v>
      </c>
      <c r="CG100" s="113">
        <f t="shared" ref="CG100" si="517">AW100</f>
        <v>346</v>
      </c>
      <c r="CH100" s="111">
        <f t="shared" ref="CH100" si="518">G100</f>
        <v>69</v>
      </c>
      <c r="CI100" s="113">
        <f t="shared" ref="CI100" si="519">K100</f>
        <v>73</v>
      </c>
      <c r="CJ100" s="114">
        <f t="shared" ref="CJ100" si="520">O100</f>
        <v>104</v>
      </c>
      <c r="CK100" s="114">
        <f t="shared" ref="CK100" si="521">S100</f>
        <v>109</v>
      </c>
      <c r="CL100" s="114">
        <f t="shared" ref="CL100" si="522">W100</f>
        <v>145</v>
      </c>
      <c r="CM100" s="114">
        <f t="shared" ref="CM100" si="523">AA100</f>
        <v>153</v>
      </c>
      <c r="CN100" s="114">
        <f t="shared" ref="CN100" si="524">AE100</f>
        <v>180</v>
      </c>
      <c r="CO100" s="114">
        <f t="shared" ref="CO100" si="525">AI100</f>
        <v>201</v>
      </c>
      <c r="CP100" s="114">
        <f t="shared" ref="CP100" si="526">AM100</f>
        <v>273</v>
      </c>
      <c r="CQ100" s="114">
        <f t="shared" ref="CQ100" si="527">AQ100</f>
        <v>316</v>
      </c>
      <c r="CR100" s="114">
        <f t="shared" ref="CR100" si="528">AU100</f>
        <v>345</v>
      </c>
      <c r="CS100" s="114">
        <f t="shared" ref="CS100" si="529">AY100</f>
        <v>357</v>
      </c>
      <c r="CT100" s="109">
        <f t="shared" ref="CT100" si="530">M100-K100</f>
        <v>1</v>
      </c>
    </row>
    <row r="101" spans="1:1029" s="12" customFormat="1" x14ac:dyDescent="0.2">
      <c r="A101" s="9" t="str">
        <f t="shared" ref="A101" si="531">CONCATENATE(B101,"_",C101)</f>
        <v>adrb1_melga_6H7L</v>
      </c>
      <c r="B101" s="9" t="s">
        <v>912</v>
      </c>
      <c r="C101" s="9" t="s">
        <v>1539</v>
      </c>
      <c r="D101" s="9" t="str">
        <f>IFERROR(MID(VLOOKUP($B101,Seqs!$A:$B,2,0),E101,1),"")</f>
        <v>W</v>
      </c>
      <c r="E101" s="9">
        <v>40</v>
      </c>
      <c r="F101" s="9" t="str">
        <f>IFERROR(MID(VLOOKUP($B101,Seqs!$A:$B,2,0),G101,1),"")</f>
        <v>T</v>
      </c>
      <c r="G101" s="9">
        <v>69</v>
      </c>
      <c r="H101" s="9" t="str">
        <f>IFERROR(MID(VLOOKUP($B101,Seqs!$A:$B,2,0),I101,1),"")</f>
        <v>Q</v>
      </c>
      <c r="I101" s="109">
        <v>70</v>
      </c>
      <c r="J101" s="9" t="str">
        <f>IFERROR(MID(VLOOKUP($B101,Seqs!$A:$B,2,0),K101,1),"")</f>
        <v>Q</v>
      </c>
      <c r="K101" s="109">
        <v>73</v>
      </c>
      <c r="L101" s="9" t="str">
        <f>IFERROR(MID(VLOOKUP($B101,Seqs!$A:$B,2,0),M101,1),"")</f>
        <v>T</v>
      </c>
      <c r="M101" s="9">
        <v>74</v>
      </c>
      <c r="N101" s="9" t="str">
        <f>IFERROR(MID(VLOOKUP($B101,Seqs!$A:$B,2,0),O101,1),"")</f>
        <v>R</v>
      </c>
      <c r="O101" s="9">
        <v>104</v>
      </c>
      <c r="P101" s="9" t="str">
        <f>IFERROR(MID(VLOOKUP($B101,Seqs!$A:$B,2,0),Q101,1),"")</f>
        <v>T</v>
      </c>
      <c r="Q101" s="9">
        <v>106</v>
      </c>
      <c r="R101" s="9" t="str">
        <f>IFERROR(MID(VLOOKUP($B101,Seqs!$A:$B,2,0),S101,1),"")</f>
        <v>W</v>
      </c>
      <c r="S101" s="9">
        <v>109</v>
      </c>
      <c r="T101" s="9" t="str">
        <f>IFERROR(MID(VLOOKUP($B101,Seqs!$A:$B,2,0),U101,1),"")</f>
        <v>G</v>
      </c>
      <c r="U101" s="9">
        <v>110</v>
      </c>
      <c r="V101" s="9" t="str">
        <f>IFERROR(MID(VLOOKUP($B101,Seqs!$A:$B,2,0),W101,1),"")</f>
        <v>S</v>
      </c>
      <c r="W101" s="9">
        <v>145</v>
      </c>
      <c r="X101" s="9" t="str">
        <f>IFERROR(MID(VLOOKUP($B101,Seqs!$A:$B,2,0),Y101,1),"")</f>
        <v>P</v>
      </c>
      <c r="Y101" s="9">
        <v>146</v>
      </c>
      <c r="Z101" s="9" t="str">
        <f>IFERROR(MID(VLOOKUP($B101,Seqs!$A:$B,2,0),AA101,1),"")</f>
        <v>M</v>
      </c>
      <c r="AA101" s="9">
        <v>153</v>
      </c>
      <c r="AB101" s="9" t="str">
        <f>IFERROR(MID(VLOOKUP($B101,Seqs!$A:$B,2,0),AC101,1),"")</f>
        <v>T</v>
      </c>
      <c r="AC101" s="9">
        <v>154</v>
      </c>
      <c r="AD101" s="9" t="str">
        <f>IFERROR(MID(VLOOKUP($B101,Seqs!$A:$B,2,0),AE101,1),"")</f>
        <v>H</v>
      </c>
      <c r="AE101" s="9">
        <v>180</v>
      </c>
      <c r="AF101" s="9" t="str">
        <f>IFERROR(MID(VLOOKUP($B101,Seqs!$A:$B,2,0),AG101,1),"")</f>
        <v>C</v>
      </c>
      <c r="AG101" s="9">
        <v>199</v>
      </c>
      <c r="AH101" s="9" t="str">
        <f>IFERROR(MID(VLOOKUP($B101,Seqs!$A:$B,2,0),AI101,1),"")</f>
        <v>F</v>
      </c>
      <c r="AI101" s="9">
        <v>201</v>
      </c>
      <c r="AJ101" s="9" t="str">
        <f>IFERROR(MID(VLOOKUP($B101,Seqs!$A:$B,2,0),AK101,1),"")</f>
        <v>N</v>
      </c>
      <c r="AK101" s="9">
        <v>204</v>
      </c>
      <c r="AL101" s="9" t="str">
        <f>IFERROR(MID(VLOOKUP($B101,Seqs!$A:$B,2,0),AM101,1),"")</f>
        <v>S</v>
      </c>
      <c r="AM101" s="9">
        <v>273</v>
      </c>
      <c r="AN101" s="9" t="str">
        <f>IFERROR(MID(VLOOKUP($B101,Seqs!$A:$B,2,0),AO101,1),"")</f>
        <v>A</v>
      </c>
      <c r="AO101" s="9">
        <v>282</v>
      </c>
      <c r="AP101" s="9" t="str">
        <f>IFERROR(MID(VLOOKUP($B101,Seqs!$A:$B,2,0),AQ101,1),"")</f>
        <v>N</v>
      </c>
      <c r="AQ101" s="9">
        <v>316</v>
      </c>
      <c r="AR101" s="9" t="str">
        <f>IFERROR(MID(VLOOKUP($B101,Seqs!$A:$B,2,0),AS101,1),"")</f>
        <v>P</v>
      </c>
      <c r="AS101" s="9">
        <v>321</v>
      </c>
      <c r="AT101" s="9" t="str">
        <f>IFERROR(MID(VLOOKUP($B101,Seqs!$A:$B,2,0),AU101,1),"")</f>
        <v>R</v>
      </c>
      <c r="AU101" s="9">
        <v>345</v>
      </c>
      <c r="AV101" s="9" t="str">
        <f>IFERROR(MID(VLOOKUP($B101,Seqs!$A:$B,2,0),AW101,1),"")</f>
        <v>S</v>
      </c>
      <c r="AW101" s="9">
        <v>346</v>
      </c>
      <c r="AX101" s="9" t="str">
        <f>IFERROR(MID(VLOOKUP($B101,Seqs!$A:$B,2,0),AY101,1),"")</f>
        <v>L</v>
      </c>
      <c r="AY101" s="9">
        <v>357</v>
      </c>
      <c r="AZ101" s="110" t="str">
        <f>VLOOKUP(B101,Classification!A:D,2,0)</f>
        <v>A</v>
      </c>
      <c r="BA101" s="98" t="str">
        <f>VLOOKUP(B101,Classification!A:D,4,0)</f>
        <v>Adrenoceptors</v>
      </c>
      <c r="BB101" s="36" t="b">
        <f t="shared" ref="BB101" si="532">AND(E101&lt;G101,OR(G101&lt;I101,I101="-"),OR(I101&lt;K101,I101="-"),OR(K101&lt;M101,K101="-"),M101&lt;O101,OR(O101&lt;Q101,Q101="-"),OR(Q101&lt;S101,Q101="-"),OR(S101&lt;U101,S101="-"),U101&lt;W101,OR(W101&lt;Y101,Y101="-"),OR(Y101&lt;AA101,Y101="-"),OR(AA101&lt;AC101,AA101="-"),AC101&lt;AE101,OR(AE101&lt;AG101,AG101="-"),OR(AG101&lt;AI101,AG101="-"),OR(AI101&lt;AK101,AI101="-"),AK101&lt;AM101,AM101&lt;AO101,AO101&lt;AQ101,AQ101&lt;AS101,AS101&lt;AU101,OR(AU101&lt;AW101,AW101="-"),OR(AW101&lt;AY101,AW101="-"))</f>
        <v>1</v>
      </c>
      <c r="BC101" s="109">
        <f t="shared" ref="BC101" si="533">_xlfn.AGGREGATE(9,6,CH101:CS101)-_xlfn.AGGREGATE(9,6,BV101:CG101)+12</f>
        <v>285</v>
      </c>
      <c r="BD101" s="13" t="s">
        <v>23</v>
      </c>
      <c r="BE101" s="9" t="s">
        <v>1297</v>
      </c>
      <c r="BF101" s="120">
        <v>2.7</v>
      </c>
      <c r="BG101" s="51" t="s">
        <v>1</v>
      </c>
      <c r="BH101" s="51" t="s">
        <v>1</v>
      </c>
      <c r="BJ101" s="111" t="s">
        <v>1293</v>
      </c>
      <c r="BK101" s="112" t="s">
        <v>1293</v>
      </c>
      <c r="BL101" s="112" t="s">
        <v>1293</v>
      </c>
      <c r="BM101" s="112" t="s">
        <v>1293</v>
      </c>
      <c r="BN101" s="112" t="s">
        <v>1293</v>
      </c>
      <c r="BO101" s="112" t="s">
        <v>1293</v>
      </c>
      <c r="BP101" s="112" t="s">
        <v>1293</v>
      </c>
      <c r="BQ101" s="112" t="s">
        <v>1293</v>
      </c>
      <c r="BR101" s="112" t="s">
        <v>1293</v>
      </c>
      <c r="BS101" s="112" t="s">
        <v>1293</v>
      </c>
      <c r="BT101" s="112" t="s">
        <v>1293</v>
      </c>
      <c r="BU101" s="112" t="s">
        <v>1293</v>
      </c>
      <c r="BV101" s="111">
        <f t="shared" ref="BV101" si="534">E101</f>
        <v>40</v>
      </c>
      <c r="BW101" s="113">
        <f t="shared" ref="BW101" si="535">I101</f>
        <v>70</v>
      </c>
      <c r="BX101" s="114">
        <f t="shared" ref="BX101" si="536">M101</f>
        <v>74</v>
      </c>
      <c r="BY101" s="113">
        <f t="shared" ref="BY101" si="537">Q101</f>
        <v>106</v>
      </c>
      <c r="BZ101" s="114">
        <f t="shared" ref="BZ101" si="538">U101</f>
        <v>110</v>
      </c>
      <c r="CA101" s="113">
        <f t="shared" ref="CA101" si="539">Y101</f>
        <v>146</v>
      </c>
      <c r="CB101" s="114">
        <f t="shared" ref="CB101" si="540">AC101</f>
        <v>154</v>
      </c>
      <c r="CC101" s="113">
        <f t="shared" ref="CC101" si="541">AG101</f>
        <v>199</v>
      </c>
      <c r="CD101" s="114">
        <f t="shared" ref="CD101" si="542">AK101</f>
        <v>204</v>
      </c>
      <c r="CE101" s="113">
        <f t="shared" ref="CE101" si="543">AO101</f>
        <v>282</v>
      </c>
      <c r="CF101" s="114">
        <f t="shared" ref="CF101" si="544">AS101</f>
        <v>321</v>
      </c>
      <c r="CG101" s="113">
        <f t="shared" ref="CG101" si="545">AW101</f>
        <v>346</v>
      </c>
      <c r="CH101" s="111">
        <f t="shared" ref="CH101" si="546">G101</f>
        <v>69</v>
      </c>
      <c r="CI101" s="113">
        <f t="shared" ref="CI101" si="547">K101</f>
        <v>73</v>
      </c>
      <c r="CJ101" s="114">
        <f t="shared" ref="CJ101" si="548">O101</f>
        <v>104</v>
      </c>
      <c r="CK101" s="114">
        <f t="shared" ref="CK101" si="549">S101</f>
        <v>109</v>
      </c>
      <c r="CL101" s="114">
        <f t="shared" ref="CL101" si="550">W101</f>
        <v>145</v>
      </c>
      <c r="CM101" s="114">
        <f t="shared" ref="CM101" si="551">AA101</f>
        <v>153</v>
      </c>
      <c r="CN101" s="114">
        <f t="shared" ref="CN101" si="552">AE101</f>
        <v>180</v>
      </c>
      <c r="CO101" s="114">
        <f t="shared" ref="CO101" si="553">AI101</f>
        <v>201</v>
      </c>
      <c r="CP101" s="114">
        <f t="shared" ref="CP101" si="554">AM101</f>
        <v>273</v>
      </c>
      <c r="CQ101" s="114">
        <f t="shared" ref="CQ101" si="555">AQ101</f>
        <v>316</v>
      </c>
      <c r="CR101" s="114">
        <f t="shared" ref="CR101" si="556">AU101</f>
        <v>345</v>
      </c>
      <c r="CS101" s="114">
        <f t="shared" ref="CS101" si="557">AY101</f>
        <v>357</v>
      </c>
      <c r="CT101" s="109">
        <f t="shared" ref="CT101" si="558">M101-K101</f>
        <v>1</v>
      </c>
    </row>
    <row r="102" spans="1:1029" s="12" customFormat="1" x14ac:dyDescent="0.2">
      <c r="A102" s="9" t="str">
        <f t="shared" ref="A102" si="559">CONCATENATE(B102,"_",C102)</f>
        <v>adrb1_melga_6H7M</v>
      </c>
      <c r="B102" s="9" t="s">
        <v>912</v>
      </c>
      <c r="C102" s="9" t="s">
        <v>1540</v>
      </c>
      <c r="D102" s="9" t="str">
        <f>IFERROR(MID(VLOOKUP($B102,Seqs!$A:$B,2,0),E102,1),"")</f>
        <v>W</v>
      </c>
      <c r="E102" s="9">
        <v>40</v>
      </c>
      <c r="F102" s="9" t="str">
        <f>IFERROR(MID(VLOOKUP($B102,Seqs!$A:$B,2,0),G102,1),"")</f>
        <v>T</v>
      </c>
      <c r="G102" s="9">
        <v>69</v>
      </c>
      <c r="H102" s="9" t="str">
        <f>IFERROR(MID(VLOOKUP($B102,Seqs!$A:$B,2,0),I102,1),"")</f>
        <v>Q</v>
      </c>
      <c r="I102" s="109">
        <v>70</v>
      </c>
      <c r="J102" s="9" t="str">
        <f>IFERROR(MID(VLOOKUP($B102,Seqs!$A:$B,2,0),K102,1),"")</f>
        <v>Q</v>
      </c>
      <c r="K102" s="109">
        <v>73</v>
      </c>
      <c r="L102" s="9" t="str">
        <f>IFERROR(MID(VLOOKUP($B102,Seqs!$A:$B,2,0),M102,1),"")</f>
        <v>T</v>
      </c>
      <c r="M102" s="9">
        <v>74</v>
      </c>
      <c r="N102" s="9" t="str">
        <f>IFERROR(MID(VLOOKUP($B102,Seqs!$A:$B,2,0),O102,1),"")</f>
        <v>R</v>
      </c>
      <c r="O102" s="9">
        <v>104</v>
      </c>
      <c r="P102" s="9" t="str">
        <f>IFERROR(MID(VLOOKUP($B102,Seqs!$A:$B,2,0),Q102,1),"")</f>
        <v>T</v>
      </c>
      <c r="Q102" s="9">
        <v>106</v>
      </c>
      <c r="R102" s="9" t="str">
        <f>IFERROR(MID(VLOOKUP($B102,Seqs!$A:$B,2,0),S102,1),"")</f>
        <v>W</v>
      </c>
      <c r="S102" s="9">
        <v>109</v>
      </c>
      <c r="T102" s="9" t="str">
        <f>IFERROR(MID(VLOOKUP($B102,Seqs!$A:$B,2,0),U102,1),"")</f>
        <v>G</v>
      </c>
      <c r="U102" s="9">
        <v>110</v>
      </c>
      <c r="V102" s="9" t="str">
        <f>IFERROR(MID(VLOOKUP($B102,Seqs!$A:$B,2,0),W102,1),"")</f>
        <v>S</v>
      </c>
      <c r="W102" s="9">
        <v>145</v>
      </c>
      <c r="X102" s="9" t="str">
        <f>IFERROR(MID(VLOOKUP($B102,Seqs!$A:$B,2,0),Y102,1),"")</f>
        <v>P</v>
      </c>
      <c r="Y102" s="9">
        <v>146</v>
      </c>
      <c r="Z102" s="9" t="str">
        <f>IFERROR(MID(VLOOKUP($B102,Seqs!$A:$B,2,0),AA102,1),"")</f>
        <v>M</v>
      </c>
      <c r="AA102" s="9">
        <v>153</v>
      </c>
      <c r="AB102" s="9" t="str">
        <f>IFERROR(MID(VLOOKUP($B102,Seqs!$A:$B,2,0),AC102,1),"")</f>
        <v>T</v>
      </c>
      <c r="AC102" s="9">
        <v>154</v>
      </c>
      <c r="AD102" s="9" t="str">
        <f>IFERROR(MID(VLOOKUP($B102,Seqs!$A:$B,2,0),AE102,1),"")</f>
        <v>H</v>
      </c>
      <c r="AE102" s="9">
        <v>180</v>
      </c>
      <c r="AF102" s="9" t="str">
        <f>IFERROR(MID(VLOOKUP($B102,Seqs!$A:$B,2,0),AG102,1),"")</f>
        <v>C</v>
      </c>
      <c r="AG102" s="9">
        <v>199</v>
      </c>
      <c r="AH102" s="9" t="str">
        <f>IFERROR(MID(VLOOKUP($B102,Seqs!$A:$B,2,0),AI102,1),"")</f>
        <v>F</v>
      </c>
      <c r="AI102" s="9">
        <v>201</v>
      </c>
      <c r="AJ102" s="9" t="str">
        <f>IFERROR(MID(VLOOKUP($B102,Seqs!$A:$B,2,0),AK102,1),"")</f>
        <v>N</v>
      </c>
      <c r="AK102" s="9">
        <v>204</v>
      </c>
      <c r="AL102" s="9" t="str">
        <f>IFERROR(MID(VLOOKUP($B102,Seqs!$A:$B,2,0),AM102,1),"")</f>
        <v>S</v>
      </c>
      <c r="AM102" s="9">
        <v>273</v>
      </c>
      <c r="AN102" s="9" t="str">
        <f>IFERROR(MID(VLOOKUP($B102,Seqs!$A:$B,2,0),AO102,1),"")</f>
        <v>A</v>
      </c>
      <c r="AO102" s="9">
        <v>282</v>
      </c>
      <c r="AP102" s="9" t="str">
        <f>IFERROR(MID(VLOOKUP($B102,Seqs!$A:$B,2,0),AQ102,1),"")</f>
        <v>N</v>
      </c>
      <c r="AQ102" s="9">
        <v>316</v>
      </c>
      <c r="AR102" s="9" t="str">
        <f>IFERROR(MID(VLOOKUP($B102,Seqs!$A:$B,2,0),AS102,1),"")</f>
        <v>P</v>
      </c>
      <c r="AS102" s="9">
        <v>321</v>
      </c>
      <c r="AT102" s="9" t="str">
        <f>IFERROR(MID(VLOOKUP($B102,Seqs!$A:$B,2,0),AU102,1),"")</f>
        <v>R</v>
      </c>
      <c r="AU102" s="9">
        <v>345</v>
      </c>
      <c r="AV102" s="9" t="str">
        <f>IFERROR(MID(VLOOKUP($B102,Seqs!$A:$B,2,0),AW102,1),"")</f>
        <v>S</v>
      </c>
      <c r="AW102" s="9">
        <v>346</v>
      </c>
      <c r="AX102" s="9" t="str">
        <f>IFERROR(MID(VLOOKUP($B102,Seqs!$A:$B,2,0),AY102,1),"")</f>
        <v>L</v>
      </c>
      <c r="AY102" s="9">
        <v>357</v>
      </c>
      <c r="AZ102" s="110" t="str">
        <f>VLOOKUP(B102,Classification!A:D,2,0)</f>
        <v>A</v>
      </c>
      <c r="BA102" s="98" t="str">
        <f>VLOOKUP(B102,Classification!A:D,4,0)</f>
        <v>Adrenoceptors</v>
      </c>
      <c r="BB102" s="36" t="b">
        <f t="shared" ref="BB102" si="560">AND(E102&lt;G102,OR(G102&lt;I102,I102="-"),OR(I102&lt;K102,I102="-"),OR(K102&lt;M102,K102="-"),M102&lt;O102,OR(O102&lt;Q102,Q102="-"),OR(Q102&lt;S102,Q102="-"),OR(S102&lt;U102,S102="-"),U102&lt;W102,OR(W102&lt;Y102,Y102="-"),OR(Y102&lt;AA102,Y102="-"),OR(AA102&lt;AC102,AA102="-"),AC102&lt;AE102,OR(AE102&lt;AG102,AG102="-"),OR(AG102&lt;AI102,AG102="-"),OR(AI102&lt;AK102,AI102="-"),AK102&lt;AM102,AM102&lt;AO102,AO102&lt;AQ102,AQ102&lt;AS102,AS102&lt;AU102,OR(AU102&lt;AW102,AW102="-"),OR(AW102&lt;AY102,AW102="-"))</f>
        <v>1</v>
      </c>
      <c r="BC102" s="109">
        <f t="shared" ref="BC102" si="561">_xlfn.AGGREGATE(9,6,CH102:CS102)-_xlfn.AGGREGATE(9,6,BV102:CG102)+12</f>
        <v>285</v>
      </c>
      <c r="BD102" s="13" t="s">
        <v>23</v>
      </c>
      <c r="BE102" s="9" t="s">
        <v>1297</v>
      </c>
      <c r="BF102" s="120">
        <v>2.76</v>
      </c>
      <c r="BG102" s="51" t="s">
        <v>1</v>
      </c>
      <c r="BH102" s="51" t="s">
        <v>1</v>
      </c>
      <c r="BJ102" s="111" t="s">
        <v>1293</v>
      </c>
      <c r="BK102" s="112" t="s">
        <v>1293</v>
      </c>
      <c r="BL102" s="112" t="s">
        <v>1293</v>
      </c>
      <c r="BM102" s="112" t="s">
        <v>1293</v>
      </c>
      <c r="BN102" s="112" t="s">
        <v>1293</v>
      </c>
      <c r="BO102" s="112" t="s">
        <v>1293</v>
      </c>
      <c r="BP102" s="112" t="s">
        <v>1293</v>
      </c>
      <c r="BQ102" s="112" t="s">
        <v>1293</v>
      </c>
      <c r="BR102" s="112" t="s">
        <v>1293</v>
      </c>
      <c r="BS102" s="112" t="s">
        <v>1293</v>
      </c>
      <c r="BT102" s="112" t="s">
        <v>1293</v>
      </c>
      <c r="BU102" s="112" t="s">
        <v>1293</v>
      </c>
      <c r="BV102" s="111">
        <f t="shared" ref="BV102" si="562">E102</f>
        <v>40</v>
      </c>
      <c r="BW102" s="113">
        <f t="shared" ref="BW102" si="563">I102</f>
        <v>70</v>
      </c>
      <c r="BX102" s="114">
        <f t="shared" ref="BX102" si="564">M102</f>
        <v>74</v>
      </c>
      <c r="BY102" s="113">
        <f t="shared" ref="BY102" si="565">Q102</f>
        <v>106</v>
      </c>
      <c r="BZ102" s="114">
        <f t="shared" ref="BZ102" si="566">U102</f>
        <v>110</v>
      </c>
      <c r="CA102" s="113">
        <f t="shared" ref="CA102" si="567">Y102</f>
        <v>146</v>
      </c>
      <c r="CB102" s="114">
        <f t="shared" ref="CB102" si="568">AC102</f>
        <v>154</v>
      </c>
      <c r="CC102" s="113">
        <f t="shared" ref="CC102" si="569">AG102</f>
        <v>199</v>
      </c>
      <c r="CD102" s="114">
        <f t="shared" ref="CD102" si="570">AK102</f>
        <v>204</v>
      </c>
      <c r="CE102" s="113">
        <f t="shared" ref="CE102" si="571">AO102</f>
        <v>282</v>
      </c>
      <c r="CF102" s="114">
        <f t="shared" ref="CF102" si="572">AS102</f>
        <v>321</v>
      </c>
      <c r="CG102" s="113">
        <f t="shared" ref="CG102" si="573">AW102</f>
        <v>346</v>
      </c>
      <c r="CH102" s="111">
        <f t="shared" ref="CH102" si="574">G102</f>
        <v>69</v>
      </c>
      <c r="CI102" s="113">
        <f t="shared" ref="CI102" si="575">K102</f>
        <v>73</v>
      </c>
      <c r="CJ102" s="114">
        <f t="shared" ref="CJ102" si="576">O102</f>
        <v>104</v>
      </c>
      <c r="CK102" s="114">
        <f t="shared" ref="CK102" si="577">S102</f>
        <v>109</v>
      </c>
      <c r="CL102" s="114">
        <f t="shared" ref="CL102" si="578">W102</f>
        <v>145</v>
      </c>
      <c r="CM102" s="114">
        <f t="shared" ref="CM102" si="579">AA102</f>
        <v>153</v>
      </c>
      <c r="CN102" s="114">
        <f t="shared" ref="CN102" si="580">AE102</f>
        <v>180</v>
      </c>
      <c r="CO102" s="114">
        <f t="shared" ref="CO102" si="581">AI102</f>
        <v>201</v>
      </c>
      <c r="CP102" s="114">
        <f t="shared" ref="CP102" si="582">AM102</f>
        <v>273</v>
      </c>
      <c r="CQ102" s="114">
        <f t="shared" ref="CQ102" si="583">AQ102</f>
        <v>316</v>
      </c>
      <c r="CR102" s="114">
        <f t="shared" ref="CR102" si="584">AU102</f>
        <v>345</v>
      </c>
      <c r="CS102" s="114">
        <f t="shared" ref="CS102" si="585">AY102</f>
        <v>357</v>
      </c>
      <c r="CT102" s="109">
        <f t="shared" ref="CT102" si="586">M102-K102</f>
        <v>1</v>
      </c>
    </row>
    <row r="103" spans="1:1029" s="12" customFormat="1" x14ac:dyDescent="0.2">
      <c r="A103" s="9" t="str">
        <f t="shared" ref="A103" si="587">CONCATENATE(B103,"_",C103)</f>
        <v>adrb1_melga_6H7N</v>
      </c>
      <c r="B103" s="9" t="s">
        <v>912</v>
      </c>
      <c r="C103" s="9" t="s">
        <v>1541</v>
      </c>
      <c r="D103" s="9" t="str">
        <f>IFERROR(MID(VLOOKUP($B103,Seqs!$A:$B,2,0),E103,1),"")</f>
        <v>W</v>
      </c>
      <c r="E103" s="9">
        <v>40</v>
      </c>
      <c r="F103" s="9" t="str">
        <f>IFERROR(MID(VLOOKUP($B103,Seqs!$A:$B,2,0),G103,1),"")</f>
        <v>T</v>
      </c>
      <c r="G103" s="9">
        <v>69</v>
      </c>
      <c r="H103" s="9" t="str">
        <f>IFERROR(MID(VLOOKUP($B103,Seqs!$A:$B,2,0),I103,1),"")</f>
        <v>Q</v>
      </c>
      <c r="I103" s="109">
        <v>70</v>
      </c>
      <c r="J103" s="9" t="str">
        <f>IFERROR(MID(VLOOKUP($B103,Seqs!$A:$B,2,0),K103,1),"")</f>
        <v>Q</v>
      </c>
      <c r="K103" s="109">
        <v>73</v>
      </c>
      <c r="L103" s="9" t="str">
        <f>IFERROR(MID(VLOOKUP($B103,Seqs!$A:$B,2,0),M103,1),"")</f>
        <v>T</v>
      </c>
      <c r="M103" s="9">
        <v>74</v>
      </c>
      <c r="N103" s="9" t="str">
        <f>IFERROR(MID(VLOOKUP($B103,Seqs!$A:$B,2,0),O103,1),"")</f>
        <v>R</v>
      </c>
      <c r="O103" s="9">
        <v>104</v>
      </c>
      <c r="P103" s="9" t="str">
        <f>IFERROR(MID(VLOOKUP($B103,Seqs!$A:$B,2,0),Q103,1),"")</f>
        <v>T</v>
      </c>
      <c r="Q103" s="9">
        <v>106</v>
      </c>
      <c r="R103" s="9" t="str">
        <f>IFERROR(MID(VLOOKUP($B103,Seqs!$A:$B,2,0),S103,1),"")</f>
        <v>W</v>
      </c>
      <c r="S103" s="9">
        <v>109</v>
      </c>
      <c r="T103" s="9" t="str">
        <f>IFERROR(MID(VLOOKUP($B103,Seqs!$A:$B,2,0),U103,1),"")</f>
        <v>G</v>
      </c>
      <c r="U103" s="9">
        <v>110</v>
      </c>
      <c r="V103" s="9" t="str">
        <f>IFERROR(MID(VLOOKUP($B103,Seqs!$A:$B,2,0),W103,1),"")</f>
        <v>S</v>
      </c>
      <c r="W103" s="9">
        <v>145</v>
      </c>
      <c r="X103" s="9" t="str">
        <f>IFERROR(MID(VLOOKUP($B103,Seqs!$A:$B,2,0),Y103,1),"")</f>
        <v>P</v>
      </c>
      <c r="Y103" s="9">
        <v>146</v>
      </c>
      <c r="Z103" s="9" t="str">
        <f>IFERROR(MID(VLOOKUP($B103,Seqs!$A:$B,2,0),AA103,1),"")</f>
        <v>M</v>
      </c>
      <c r="AA103" s="9">
        <v>153</v>
      </c>
      <c r="AB103" s="9" t="str">
        <f>IFERROR(MID(VLOOKUP($B103,Seqs!$A:$B,2,0),AC103,1),"")</f>
        <v>T</v>
      </c>
      <c r="AC103" s="9">
        <v>154</v>
      </c>
      <c r="AD103" s="9" t="str">
        <f>IFERROR(MID(VLOOKUP($B103,Seqs!$A:$B,2,0),AE103,1),"")</f>
        <v>H</v>
      </c>
      <c r="AE103" s="9">
        <v>180</v>
      </c>
      <c r="AF103" s="9" t="str">
        <f>IFERROR(MID(VLOOKUP($B103,Seqs!$A:$B,2,0),AG103,1),"")</f>
        <v>C</v>
      </c>
      <c r="AG103" s="9">
        <v>199</v>
      </c>
      <c r="AH103" s="9" t="str">
        <f>IFERROR(MID(VLOOKUP($B103,Seqs!$A:$B,2,0),AI103,1),"")</f>
        <v>F</v>
      </c>
      <c r="AI103" s="9">
        <v>201</v>
      </c>
      <c r="AJ103" s="9" t="str">
        <f>IFERROR(MID(VLOOKUP($B103,Seqs!$A:$B,2,0),AK103,1),"")</f>
        <v>N</v>
      </c>
      <c r="AK103" s="9">
        <v>204</v>
      </c>
      <c r="AL103" s="9" t="str">
        <f>IFERROR(MID(VLOOKUP($B103,Seqs!$A:$B,2,0),AM103,1),"")</f>
        <v>S</v>
      </c>
      <c r="AM103" s="9">
        <v>273</v>
      </c>
      <c r="AN103" s="9" t="str">
        <f>IFERROR(MID(VLOOKUP($B103,Seqs!$A:$B,2,0),AO103,1),"")</f>
        <v>A</v>
      </c>
      <c r="AO103" s="9">
        <v>282</v>
      </c>
      <c r="AP103" s="9" t="str">
        <f>IFERROR(MID(VLOOKUP($B103,Seqs!$A:$B,2,0),AQ103,1),"")</f>
        <v>N</v>
      </c>
      <c r="AQ103" s="9">
        <v>316</v>
      </c>
      <c r="AR103" s="9" t="str">
        <f>IFERROR(MID(VLOOKUP($B103,Seqs!$A:$B,2,0),AS103,1),"")</f>
        <v>P</v>
      </c>
      <c r="AS103" s="9">
        <v>321</v>
      </c>
      <c r="AT103" s="9" t="str">
        <f>IFERROR(MID(VLOOKUP($B103,Seqs!$A:$B,2,0),AU103,1),"")</f>
        <v>R</v>
      </c>
      <c r="AU103" s="9">
        <v>345</v>
      </c>
      <c r="AV103" s="9" t="str">
        <f>IFERROR(MID(VLOOKUP($B103,Seqs!$A:$B,2,0),AW103,1),"")</f>
        <v>S</v>
      </c>
      <c r="AW103" s="9">
        <v>346</v>
      </c>
      <c r="AX103" s="9" t="str">
        <f>IFERROR(MID(VLOOKUP($B103,Seqs!$A:$B,2,0),AY103,1),"")</f>
        <v>L</v>
      </c>
      <c r="AY103" s="9">
        <v>357</v>
      </c>
      <c r="AZ103" s="110" t="str">
        <f>VLOOKUP(B103,Classification!A:D,2,0)</f>
        <v>A</v>
      </c>
      <c r="BA103" s="98" t="str">
        <f>VLOOKUP(B103,Classification!A:D,4,0)</f>
        <v>Adrenoceptors</v>
      </c>
      <c r="BB103" s="36" t="b">
        <f t="shared" ref="BB103" si="588">AND(E103&lt;G103,OR(G103&lt;I103,I103="-"),OR(I103&lt;K103,I103="-"),OR(K103&lt;M103,K103="-"),M103&lt;O103,OR(O103&lt;Q103,Q103="-"),OR(Q103&lt;S103,Q103="-"),OR(S103&lt;U103,S103="-"),U103&lt;W103,OR(W103&lt;Y103,Y103="-"),OR(Y103&lt;AA103,Y103="-"),OR(AA103&lt;AC103,AA103="-"),AC103&lt;AE103,OR(AE103&lt;AG103,AG103="-"),OR(AG103&lt;AI103,AG103="-"),OR(AI103&lt;AK103,AI103="-"),AK103&lt;AM103,AM103&lt;AO103,AO103&lt;AQ103,AQ103&lt;AS103,AS103&lt;AU103,OR(AU103&lt;AW103,AW103="-"),OR(AW103&lt;AY103,AW103="-"))</f>
        <v>1</v>
      </c>
      <c r="BC103" s="109">
        <f t="shared" ref="BC103" si="589">_xlfn.AGGREGATE(9,6,CH103:CS103)-_xlfn.AGGREGATE(9,6,BV103:CG103)+12</f>
        <v>285</v>
      </c>
      <c r="BD103" s="13" t="s">
        <v>1381</v>
      </c>
      <c r="BE103" s="9" t="s">
        <v>1297</v>
      </c>
      <c r="BF103" s="120">
        <v>2.5</v>
      </c>
      <c r="BG103" s="51" t="s">
        <v>1</v>
      </c>
      <c r="BH103" s="51" t="s">
        <v>1</v>
      </c>
      <c r="BJ103" s="111" t="s">
        <v>1293</v>
      </c>
      <c r="BK103" s="112" t="s">
        <v>1293</v>
      </c>
      <c r="BL103" s="112" t="s">
        <v>1293</v>
      </c>
      <c r="BM103" s="112" t="s">
        <v>1293</v>
      </c>
      <c r="BN103" s="112" t="s">
        <v>1293</v>
      </c>
      <c r="BO103" s="112" t="s">
        <v>1293</v>
      </c>
      <c r="BP103" s="112" t="s">
        <v>1293</v>
      </c>
      <c r="BQ103" s="112" t="s">
        <v>1293</v>
      </c>
      <c r="BR103" s="112" t="s">
        <v>1293</v>
      </c>
      <c r="BS103" s="112" t="s">
        <v>1293</v>
      </c>
      <c r="BT103" s="112" t="s">
        <v>1293</v>
      </c>
      <c r="BU103" s="112" t="s">
        <v>1293</v>
      </c>
      <c r="BV103" s="111">
        <f t="shared" ref="BV103" si="590">E103</f>
        <v>40</v>
      </c>
      <c r="BW103" s="113">
        <f t="shared" ref="BW103" si="591">I103</f>
        <v>70</v>
      </c>
      <c r="BX103" s="114">
        <f t="shared" ref="BX103" si="592">M103</f>
        <v>74</v>
      </c>
      <c r="BY103" s="113">
        <f t="shared" ref="BY103" si="593">Q103</f>
        <v>106</v>
      </c>
      <c r="BZ103" s="114">
        <f t="shared" ref="BZ103" si="594">U103</f>
        <v>110</v>
      </c>
      <c r="CA103" s="113">
        <f t="shared" ref="CA103" si="595">Y103</f>
        <v>146</v>
      </c>
      <c r="CB103" s="114">
        <f t="shared" ref="CB103" si="596">AC103</f>
        <v>154</v>
      </c>
      <c r="CC103" s="113">
        <f t="shared" ref="CC103" si="597">AG103</f>
        <v>199</v>
      </c>
      <c r="CD103" s="114">
        <f t="shared" ref="CD103" si="598">AK103</f>
        <v>204</v>
      </c>
      <c r="CE103" s="113">
        <f t="shared" ref="CE103" si="599">AO103</f>
        <v>282</v>
      </c>
      <c r="CF103" s="114">
        <f t="shared" ref="CF103" si="600">AS103</f>
        <v>321</v>
      </c>
      <c r="CG103" s="113">
        <f t="shared" ref="CG103" si="601">AW103</f>
        <v>346</v>
      </c>
      <c r="CH103" s="111">
        <f t="shared" ref="CH103" si="602">G103</f>
        <v>69</v>
      </c>
      <c r="CI103" s="113">
        <f t="shared" ref="CI103" si="603">K103</f>
        <v>73</v>
      </c>
      <c r="CJ103" s="114">
        <f t="shared" ref="CJ103" si="604">O103</f>
        <v>104</v>
      </c>
      <c r="CK103" s="114">
        <f t="shared" ref="CK103" si="605">S103</f>
        <v>109</v>
      </c>
      <c r="CL103" s="114">
        <f t="shared" ref="CL103" si="606">W103</f>
        <v>145</v>
      </c>
      <c r="CM103" s="114">
        <f t="shared" ref="CM103" si="607">AA103</f>
        <v>153</v>
      </c>
      <c r="CN103" s="114">
        <f t="shared" ref="CN103" si="608">AE103</f>
        <v>180</v>
      </c>
      <c r="CO103" s="114">
        <f t="shared" ref="CO103" si="609">AI103</f>
        <v>201</v>
      </c>
      <c r="CP103" s="114">
        <f t="shared" ref="CP103" si="610">AM103</f>
        <v>273</v>
      </c>
      <c r="CQ103" s="114">
        <f t="shared" ref="CQ103" si="611">AQ103</f>
        <v>316</v>
      </c>
      <c r="CR103" s="114">
        <f t="shared" ref="CR103" si="612">AU103</f>
        <v>345</v>
      </c>
      <c r="CS103" s="114">
        <f t="shared" ref="CS103" si="613">AY103</f>
        <v>357</v>
      </c>
      <c r="CT103" s="109">
        <f t="shared" ref="CT103" si="614">M103-K103</f>
        <v>1</v>
      </c>
    </row>
    <row r="104" spans="1:1029" s="12" customFormat="1" x14ac:dyDescent="0.2">
      <c r="A104" s="9" t="str">
        <f t="shared" ref="A104" si="615">CONCATENATE(B104,"_",C104)</f>
        <v>adrb1_melga_6H7O</v>
      </c>
      <c r="B104" s="9" t="s">
        <v>912</v>
      </c>
      <c r="C104" s="9" t="s">
        <v>1542</v>
      </c>
      <c r="D104" s="9" t="str">
        <f>IFERROR(MID(VLOOKUP($B104,Seqs!$A:$B,2,0),E104,1),"")</f>
        <v>W</v>
      </c>
      <c r="E104" s="9">
        <v>40</v>
      </c>
      <c r="F104" s="9" t="str">
        <f>IFERROR(MID(VLOOKUP($B104,Seqs!$A:$B,2,0),G104,1),"")</f>
        <v>T</v>
      </c>
      <c r="G104" s="9">
        <v>69</v>
      </c>
      <c r="H104" s="9" t="str">
        <f>IFERROR(MID(VLOOKUP($B104,Seqs!$A:$B,2,0),I104,1),"")</f>
        <v>Q</v>
      </c>
      <c r="I104" s="109">
        <v>70</v>
      </c>
      <c r="J104" s="9" t="str">
        <f>IFERROR(MID(VLOOKUP($B104,Seqs!$A:$B,2,0),K104,1),"")</f>
        <v>Q</v>
      </c>
      <c r="K104" s="109">
        <v>73</v>
      </c>
      <c r="L104" s="9" t="str">
        <f>IFERROR(MID(VLOOKUP($B104,Seqs!$A:$B,2,0),M104,1),"")</f>
        <v>T</v>
      </c>
      <c r="M104" s="9">
        <v>74</v>
      </c>
      <c r="N104" s="9" t="str">
        <f>IFERROR(MID(VLOOKUP($B104,Seqs!$A:$B,2,0),O104,1),"")</f>
        <v>R</v>
      </c>
      <c r="O104" s="9">
        <v>104</v>
      </c>
      <c r="P104" s="9" t="str">
        <f>IFERROR(MID(VLOOKUP($B104,Seqs!$A:$B,2,0),Q104,1),"")</f>
        <v>T</v>
      </c>
      <c r="Q104" s="9">
        <v>106</v>
      </c>
      <c r="R104" s="9" t="str">
        <f>IFERROR(MID(VLOOKUP($B104,Seqs!$A:$B,2,0),S104,1),"")</f>
        <v>W</v>
      </c>
      <c r="S104" s="9">
        <v>109</v>
      </c>
      <c r="T104" s="9" t="str">
        <f>IFERROR(MID(VLOOKUP($B104,Seqs!$A:$B,2,0),U104,1),"")</f>
        <v>G</v>
      </c>
      <c r="U104" s="9">
        <v>110</v>
      </c>
      <c r="V104" s="9" t="str">
        <f>IFERROR(MID(VLOOKUP($B104,Seqs!$A:$B,2,0),W104,1),"")</f>
        <v>S</v>
      </c>
      <c r="W104" s="9">
        <v>145</v>
      </c>
      <c r="X104" s="9" t="str">
        <f>IFERROR(MID(VLOOKUP($B104,Seqs!$A:$B,2,0),Y104,1),"")</f>
        <v>P</v>
      </c>
      <c r="Y104" s="9">
        <v>146</v>
      </c>
      <c r="Z104" s="9" t="str">
        <f>IFERROR(MID(VLOOKUP($B104,Seqs!$A:$B,2,0),AA104,1),"")</f>
        <v>M</v>
      </c>
      <c r="AA104" s="9">
        <v>153</v>
      </c>
      <c r="AB104" s="9" t="str">
        <f>IFERROR(MID(VLOOKUP($B104,Seqs!$A:$B,2,0),AC104,1),"")</f>
        <v>T</v>
      </c>
      <c r="AC104" s="9">
        <v>154</v>
      </c>
      <c r="AD104" s="9" t="str">
        <f>IFERROR(MID(VLOOKUP($B104,Seqs!$A:$B,2,0),AE104,1),"")</f>
        <v>H</v>
      </c>
      <c r="AE104" s="9">
        <v>180</v>
      </c>
      <c r="AF104" s="9" t="str">
        <f>IFERROR(MID(VLOOKUP($B104,Seqs!$A:$B,2,0),AG104,1),"")</f>
        <v>C</v>
      </c>
      <c r="AG104" s="9">
        <v>199</v>
      </c>
      <c r="AH104" s="9" t="str">
        <f>IFERROR(MID(VLOOKUP($B104,Seqs!$A:$B,2,0),AI104,1),"")</f>
        <v>F</v>
      </c>
      <c r="AI104" s="9">
        <v>201</v>
      </c>
      <c r="AJ104" s="9" t="str">
        <f>IFERROR(MID(VLOOKUP($B104,Seqs!$A:$B,2,0),AK104,1),"")</f>
        <v>N</v>
      </c>
      <c r="AK104" s="9">
        <v>204</v>
      </c>
      <c r="AL104" s="9" t="str">
        <f>IFERROR(MID(VLOOKUP($B104,Seqs!$A:$B,2,0),AM104,1),"")</f>
        <v>S</v>
      </c>
      <c r="AM104" s="9">
        <v>273</v>
      </c>
      <c r="AN104" s="9" t="str">
        <f>IFERROR(MID(VLOOKUP($B104,Seqs!$A:$B,2,0),AO104,1),"")</f>
        <v>A</v>
      </c>
      <c r="AO104" s="9">
        <v>282</v>
      </c>
      <c r="AP104" s="9" t="str">
        <f>IFERROR(MID(VLOOKUP($B104,Seqs!$A:$B,2,0),AQ104,1),"")</f>
        <v>N</v>
      </c>
      <c r="AQ104" s="9">
        <v>316</v>
      </c>
      <c r="AR104" s="9" t="str">
        <f>IFERROR(MID(VLOOKUP($B104,Seqs!$A:$B,2,0),AS104,1),"")</f>
        <v>P</v>
      </c>
      <c r="AS104" s="9">
        <v>321</v>
      </c>
      <c r="AT104" s="9" t="str">
        <f>IFERROR(MID(VLOOKUP($B104,Seqs!$A:$B,2,0),AU104,1),"")</f>
        <v>R</v>
      </c>
      <c r="AU104" s="9">
        <v>345</v>
      </c>
      <c r="AV104" s="9" t="str">
        <f>IFERROR(MID(VLOOKUP($B104,Seqs!$A:$B,2,0),AW104,1),"")</f>
        <v>S</v>
      </c>
      <c r="AW104" s="9">
        <v>346</v>
      </c>
      <c r="AX104" s="9" t="str">
        <f>IFERROR(MID(VLOOKUP($B104,Seqs!$A:$B,2,0),AY104,1),"")</f>
        <v>L</v>
      </c>
      <c r="AY104" s="9">
        <v>357</v>
      </c>
      <c r="AZ104" s="110" t="str">
        <f>VLOOKUP(B104,Classification!A:D,2,0)</f>
        <v>A</v>
      </c>
      <c r="BA104" s="98" t="str">
        <f>VLOOKUP(B104,Classification!A:D,4,0)</f>
        <v>Adrenoceptors</v>
      </c>
      <c r="BB104" s="36" t="b">
        <f t="shared" ref="BB104" si="616">AND(E104&lt;G104,OR(G104&lt;I104,I104="-"),OR(I104&lt;K104,I104="-"),OR(K104&lt;M104,K104="-"),M104&lt;O104,OR(O104&lt;Q104,Q104="-"),OR(Q104&lt;S104,Q104="-"),OR(S104&lt;U104,S104="-"),U104&lt;W104,OR(W104&lt;Y104,Y104="-"),OR(Y104&lt;AA104,Y104="-"),OR(AA104&lt;AC104,AA104="-"),AC104&lt;AE104,OR(AE104&lt;AG104,AG104="-"),OR(AG104&lt;AI104,AG104="-"),OR(AI104&lt;AK104,AI104="-"),AK104&lt;AM104,AM104&lt;AO104,AO104&lt;AQ104,AQ104&lt;AS104,AS104&lt;AU104,OR(AU104&lt;AW104,AW104="-"),OR(AW104&lt;AY104,AW104="-"))</f>
        <v>1</v>
      </c>
      <c r="BC104" s="109">
        <f t="shared" ref="BC104" si="617">_xlfn.AGGREGATE(9,6,CH104:CS104)-_xlfn.AGGREGATE(9,6,BV104:CG104)+12</f>
        <v>285</v>
      </c>
      <c r="BD104" s="13" t="s">
        <v>23</v>
      </c>
      <c r="BE104" s="9" t="s">
        <v>1297</v>
      </c>
      <c r="BF104" s="120">
        <v>2.8</v>
      </c>
      <c r="BG104" s="51" t="s">
        <v>1</v>
      </c>
      <c r="BH104" s="51" t="s">
        <v>1</v>
      </c>
      <c r="BJ104" s="111" t="s">
        <v>1293</v>
      </c>
      <c r="BK104" s="112" t="s">
        <v>1293</v>
      </c>
      <c r="BL104" s="112" t="s">
        <v>1293</v>
      </c>
      <c r="BM104" s="112" t="s">
        <v>1293</v>
      </c>
      <c r="BN104" s="112" t="s">
        <v>1293</v>
      </c>
      <c r="BO104" s="112" t="s">
        <v>1293</v>
      </c>
      <c r="BP104" s="112" t="s">
        <v>1293</v>
      </c>
      <c r="BQ104" s="112" t="s">
        <v>1293</v>
      </c>
      <c r="BR104" s="112" t="s">
        <v>1293</v>
      </c>
      <c r="BS104" s="112" t="s">
        <v>1293</v>
      </c>
      <c r="BT104" s="112" t="s">
        <v>1293</v>
      </c>
      <c r="BU104" s="112" t="s">
        <v>1293</v>
      </c>
      <c r="BV104" s="111">
        <f t="shared" ref="BV104" si="618">E104</f>
        <v>40</v>
      </c>
      <c r="BW104" s="113">
        <f t="shared" ref="BW104" si="619">I104</f>
        <v>70</v>
      </c>
      <c r="BX104" s="114">
        <f t="shared" ref="BX104" si="620">M104</f>
        <v>74</v>
      </c>
      <c r="BY104" s="113">
        <f t="shared" ref="BY104" si="621">Q104</f>
        <v>106</v>
      </c>
      <c r="BZ104" s="114">
        <f t="shared" ref="BZ104" si="622">U104</f>
        <v>110</v>
      </c>
      <c r="CA104" s="113">
        <f t="shared" ref="CA104" si="623">Y104</f>
        <v>146</v>
      </c>
      <c r="CB104" s="114">
        <f t="shared" ref="CB104" si="624">AC104</f>
        <v>154</v>
      </c>
      <c r="CC104" s="113">
        <f t="shared" ref="CC104" si="625">AG104</f>
        <v>199</v>
      </c>
      <c r="CD104" s="114">
        <f t="shared" ref="CD104" si="626">AK104</f>
        <v>204</v>
      </c>
      <c r="CE104" s="113">
        <f t="shared" ref="CE104" si="627">AO104</f>
        <v>282</v>
      </c>
      <c r="CF104" s="114">
        <f t="shared" ref="CF104" si="628">AS104</f>
        <v>321</v>
      </c>
      <c r="CG104" s="113">
        <f t="shared" ref="CG104" si="629">AW104</f>
        <v>346</v>
      </c>
      <c r="CH104" s="111">
        <f t="shared" ref="CH104" si="630">G104</f>
        <v>69</v>
      </c>
      <c r="CI104" s="113">
        <f t="shared" ref="CI104" si="631">K104</f>
        <v>73</v>
      </c>
      <c r="CJ104" s="114">
        <f t="shared" ref="CJ104" si="632">O104</f>
        <v>104</v>
      </c>
      <c r="CK104" s="114">
        <f t="shared" ref="CK104" si="633">S104</f>
        <v>109</v>
      </c>
      <c r="CL104" s="114">
        <f t="shared" ref="CL104" si="634">W104</f>
        <v>145</v>
      </c>
      <c r="CM104" s="114">
        <f t="shared" ref="CM104" si="635">AA104</f>
        <v>153</v>
      </c>
      <c r="CN104" s="114">
        <f t="shared" ref="CN104" si="636">AE104</f>
        <v>180</v>
      </c>
      <c r="CO104" s="114">
        <f t="shared" ref="CO104" si="637">AI104</f>
        <v>201</v>
      </c>
      <c r="CP104" s="114">
        <f t="shared" ref="CP104" si="638">AM104</f>
        <v>273</v>
      </c>
      <c r="CQ104" s="114">
        <f t="shared" ref="CQ104" si="639">AQ104</f>
        <v>316</v>
      </c>
      <c r="CR104" s="114">
        <f t="shared" ref="CR104" si="640">AU104</f>
        <v>345</v>
      </c>
      <c r="CS104" s="114">
        <f t="shared" ref="CS104" si="641">AY104</f>
        <v>357</v>
      </c>
      <c r="CT104" s="109">
        <f t="shared" ref="CT104" si="642">M104-K104</f>
        <v>1</v>
      </c>
    </row>
    <row r="105" spans="1:1029" s="12" customFormat="1" x14ac:dyDescent="0.2">
      <c r="A105" s="9" t="str">
        <f t="shared" ref="A105" si="643">CONCATENATE(B105,"_",C105)</f>
        <v>adrb1_melga_6IBL</v>
      </c>
      <c r="B105" s="9" t="s">
        <v>912</v>
      </c>
      <c r="C105" s="9" t="s">
        <v>1574</v>
      </c>
      <c r="D105" s="9" t="str">
        <f>IFERROR(MID(VLOOKUP($B105,Seqs!$A:$B,2,0),E105,1),"")</f>
        <v>E</v>
      </c>
      <c r="E105" s="9">
        <v>41</v>
      </c>
      <c r="F105" s="9" t="str">
        <f>IFERROR(MID(VLOOKUP($B105,Seqs!$A:$B,2,0),G105,1),"")</f>
        <v>T</v>
      </c>
      <c r="G105" s="9">
        <v>69</v>
      </c>
      <c r="H105" s="9" t="str">
        <f>IFERROR(MID(VLOOKUP($B105,Seqs!$A:$B,2,0),I105,1),"")</f>
        <v>Q</v>
      </c>
      <c r="I105" s="109">
        <v>70</v>
      </c>
      <c r="J105" s="9" t="str">
        <f>IFERROR(MID(VLOOKUP($B105,Seqs!$A:$B,2,0),K105,1),"")</f>
        <v>Q</v>
      </c>
      <c r="K105" s="109">
        <v>73</v>
      </c>
      <c r="L105" s="9" t="str">
        <f>IFERROR(MID(VLOOKUP($B105,Seqs!$A:$B,2,0),M105,1),"")</f>
        <v>T</v>
      </c>
      <c r="M105" s="9">
        <v>74</v>
      </c>
      <c r="N105" s="9" t="str">
        <f>IFERROR(MID(VLOOKUP($B105,Seqs!$A:$B,2,0),O105,1),"")</f>
        <v>R</v>
      </c>
      <c r="O105" s="9">
        <v>104</v>
      </c>
      <c r="P105" s="9" t="str">
        <f>IFERROR(MID(VLOOKUP($B105,Seqs!$A:$B,2,0),Q105,1),"")</f>
        <v>T</v>
      </c>
      <c r="Q105" s="9">
        <v>106</v>
      </c>
      <c r="R105" s="9" t="str">
        <f>IFERROR(MID(VLOOKUP($B105,Seqs!$A:$B,2,0),S105,1),"")</f>
        <v>W</v>
      </c>
      <c r="S105" s="9">
        <v>109</v>
      </c>
      <c r="T105" s="9" t="str">
        <f>IFERROR(MID(VLOOKUP($B105,Seqs!$A:$B,2,0),U105,1),"")</f>
        <v>G</v>
      </c>
      <c r="U105" s="9">
        <v>110</v>
      </c>
      <c r="V105" s="9" t="str">
        <f>IFERROR(MID(VLOOKUP($B105,Seqs!$A:$B,2,0),W105,1),"")</f>
        <v>S</v>
      </c>
      <c r="W105" s="9">
        <v>145</v>
      </c>
      <c r="X105" s="9" t="str">
        <f>IFERROR(MID(VLOOKUP($B105,Seqs!$A:$B,2,0),Y105,1),"")</f>
        <v>P</v>
      </c>
      <c r="Y105" s="9">
        <v>146</v>
      </c>
      <c r="Z105" s="9" t="str">
        <f>IFERROR(MID(VLOOKUP($B105,Seqs!$A:$B,2,0),AA105,1),"")</f>
        <v>M</v>
      </c>
      <c r="AA105" s="9">
        <v>153</v>
      </c>
      <c r="AB105" s="9" t="str">
        <f>IFERROR(MID(VLOOKUP($B105,Seqs!$A:$B,2,0),AC105,1),"")</f>
        <v>T</v>
      </c>
      <c r="AC105" s="9">
        <v>154</v>
      </c>
      <c r="AD105" s="9" t="str">
        <f>IFERROR(MID(VLOOKUP($B105,Seqs!$A:$B,2,0),AE105,1),"")</f>
        <v>H</v>
      </c>
      <c r="AE105" s="9">
        <v>180</v>
      </c>
      <c r="AF105" s="9" t="str">
        <f>IFERROR(MID(VLOOKUP($B105,Seqs!$A:$B,2,0),AG105,1),"")</f>
        <v>C</v>
      </c>
      <c r="AG105" s="9">
        <v>199</v>
      </c>
      <c r="AH105" s="9" t="str">
        <f>IFERROR(MID(VLOOKUP($B105,Seqs!$A:$B,2,0),AI105,1),"")</f>
        <v>F</v>
      </c>
      <c r="AI105" s="9">
        <v>201</v>
      </c>
      <c r="AJ105" s="9" t="str">
        <f>IFERROR(MID(VLOOKUP($B105,Seqs!$A:$B,2,0),AK105,1),"")</f>
        <v>N</v>
      </c>
      <c r="AK105" s="9">
        <v>204</v>
      </c>
      <c r="AL105" s="9" t="str">
        <f>IFERROR(MID(VLOOKUP($B105,Seqs!$A:$B,2,0),AM105,1),"")</f>
        <v>S</v>
      </c>
      <c r="AM105" s="9">
        <v>273</v>
      </c>
      <c r="AN105" s="9" t="str">
        <f>IFERROR(MID(VLOOKUP($B105,Seqs!$A:$B,2,0),AO105,1),"")</f>
        <v>A</v>
      </c>
      <c r="AO105" s="9">
        <v>282</v>
      </c>
      <c r="AP105" s="9" t="str">
        <f>IFERROR(MID(VLOOKUP($B105,Seqs!$A:$B,2,0),AQ105,1),"")</f>
        <v>N</v>
      </c>
      <c r="AQ105" s="9">
        <v>316</v>
      </c>
      <c r="AR105" s="9" t="str">
        <f>IFERROR(MID(VLOOKUP($B105,Seqs!$A:$B,2,0),AS105,1),"")</f>
        <v>P</v>
      </c>
      <c r="AS105" s="9">
        <v>321</v>
      </c>
      <c r="AT105" s="9" t="str">
        <f>IFERROR(MID(VLOOKUP($B105,Seqs!$A:$B,2,0),AU105,1),"")</f>
        <v>C</v>
      </c>
      <c r="AU105" s="9">
        <v>344</v>
      </c>
      <c r="AV105" s="9" t="str">
        <f>IFERROR(MID(VLOOKUP($B105,Seqs!$A:$B,2,0),AW105,1),"")</f>
        <v>S</v>
      </c>
      <c r="AW105" s="9">
        <v>346</v>
      </c>
      <c r="AX105" s="9" t="str">
        <f>IFERROR(MID(VLOOKUP($B105,Seqs!$A:$B,2,0),AY105,1),"")</f>
        <v>L</v>
      </c>
      <c r="AY105" s="9">
        <v>357</v>
      </c>
      <c r="AZ105" s="110" t="str">
        <f>VLOOKUP(B105,Classification!A:D,2,0)</f>
        <v>A</v>
      </c>
      <c r="BA105" s="98" t="str">
        <f>VLOOKUP(B105,Classification!A:D,4,0)</f>
        <v>Adrenoceptors</v>
      </c>
      <c r="BB105" s="36" t="b">
        <f t="shared" ref="BB105" si="644">AND(E105&lt;G105,OR(G105&lt;I105,I105="-"),OR(I105&lt;K105,I105="-"),OR(K105&lt;M105,K105="-"),M105&lt;O105,OR(O105&lt;Q105,Q105="-"),OR(Q105&lt;S105,Q105="-"),OR(S105&lt;U105,S105="-"),U105&lt;W105,OR(W105&lt;Y105,Y105="-"),OR(Y105&lt;AA105,Y105="-"),OR(AA105&lt;AC105,AA105="-"),AC105&lt;AE105,OR(AE105&lt;AG105,AG105="-"),OR(AG105&lt;AI105,AG105="-"),OR(AI105&lt;AK105,AI105="-"),AK105&lt;AM105,AM105&lt;AO105,AO105&lt;AQ105,AQ105&lt;AS105,AS105&lt;AU105,OR(AU105&lt;AW105,AW105="-"),OR(AW105&lt;AY105,AW105="-"))</f>
        <v>1</v>
      </c>
      <c r="BC105" s="109">
        <f t="shared" ref="BC105" si="645">_xlfn.AGGREGATE(9,6,CH105:CS105)-_xlfn.AGGREGATE(9,6,BV105:CG105)+12</f>
        <v>283</v>
      </c>
      <c r="BD105" s="13" t="s">
        <v>23</v>
      </c>
      <c r="BE105" s="9" t="s">
        <v>1297</v>
      </c>
      <c r="BF105" s="120">
        <v>2.7</v>
      </c>
      <c r="BG105" s="51" t="s">
        <v>1</v>
      </c>
      <c r="BH105" s="51" t="s">
        <v>1</v>
      </c>
      <c r="BJ105" s="111" t="s">
        <v>1293</v>
      </c>
      <c r="BK105" s="112" t="s">
        <v>1293</v>
      </c>
      <c r="BL105" s="112" t="s">
        <v>1293</v>
      </c>
      <c r="BM105" s="112" t="s">
        <v>1293</v>
      </c>
      <c r="BN105" s="112" t="s">
        <v>1293</v>
      </c>
      <c r="BO105" s="112" t="s">
        <v>1293</v>
      </c>
      <c r="BP105" s="112" t="s">
        <v>1293</v>
      </c>
      <c r="BQ105" s="112" t="s">
        <v>1293</v>
      </c>
      <c r="BR105" s="112" t="s">
        <v>1293</v>
      </c>
      <c r="BS105" s="112" t="s">
        <v>1293</v>
      </c>
      <c r="BT105" s="112" t="s">
        <v>1293</v>
      </c>
      <c r="BU105" s="112" t="s">
        <v>1293</v>
      </c>
      <c r="BV105" s="111">
        <f t="shared" ref="BV105" si="646">E105</f>
        <v>41</v>
      </c>
      <c r="BW105" s="113">
        <f t="shared" ref="BW105" si="647">I105</f>
        <v>70</v>
      </c>
      <c r="BX105" s="114">
        <f t="shared" ref="BX105" si="648">M105</f>
        <v>74</v>
      </c>
      <c r="BY105" s="113">
        <f t="shared" ref="BY105" si="649">Q105</f>
        <v>106</v>
      </c>
      <c r="BZ105" s="114">
        <f t="shared" ref="BZ105" si="650">U105</f>
        <v>110</v>
      </c>
      <c r="CA105" s="113">
        <f t="shared" ref="CA105" si="651">Y105</f>
        <v>146</v>
      </c>
      <c r="CB105" s="114">
        <f t="shared" ref="CB105" si="652">AC105</f>
        <v>154</v>
      </c>
      <c r="CC105" s="113">
        <f t="shared" ref="CC105" si="653">AG105</f>
        <v>199</v>
      </c>
      <c r="CD105" s="114">
        <f t="shared" ref="CD105" si="654">AK105</f>
        <v>204</v>
      </c>
      <c r="CE105" s="113">
        <f t="shared" ref="CE105" si="655">AO105</f>
        <v>282</v>
      </c>
      <c r="CF105" s="114">
        <f t="shared" ref="CF105" si="656">AS105</f>
        <v>321</v>
      </c>
      <c r="CG105" s="113">
        <f t="shared" ref="CG105" si="657">AW105</f>
        <v>346</v>
      </c>
      <c r="CH105" s="111">
        <f t="shared" ref="CH105" si="658">G105</f>
        <v>69</v>
      </c>
      <c r="CI105" s="113">
        <f t="shared" ref="CI105" si="659">K105</f>
        <v>73</v>
      </c>
      <c r="CJ105" s="114">
        <f t="shared" ref="CJ105" si="660">O105</f>
        <v>104</v>
      </c>
      <c r="CK105" s="114">
        <f t="shared" ref="CK105" si="661">S105</f>
        <v>109</v>
      </c>
      <c r="CL105" s="114">
        <f t="shared" ref="CL105" si="662">W105</f>
        <v>145</v>
      </c>
      <c r="CM105" s="114">
        <f t="shared" ref="CM105" si="663">AA105</f>
        <v>153</v>
      </c>
      <c r="CN105" s="114">
        <f t="shared" ref="CN105" si="664">AE105</f>
        <v>180</v>
      </c>
      <c r="CO105" s="114">
        <f t="shared" ref="CO105" si="665">AI105</f>
        <v>201</v>
      </c>
      <c r="CP105" s="114">
        <f t="shared" ref="CP105" si="666">AM105</f>
        <v>273</v>
      </c>
      <c r="CQ105" s="114">
        <f t="shared" ref="CQ105" si="667">AQ105</f>
        <v>316</v>
      </c>
      <c r="CR105" s="114">
        <f t="shared" ref="CR105" si="668">AU105</f>
        <v>344</v>
      </c>
      <c r="CS105" s="114">
        <f t="shared" ref="CS105" si="669">AY105</f>
        <v>357</v>
      </c>
      <c r="CT105" s="109">
        <f t="shared" ref="CT105" si="670">M105-K105</f>
        <v>1</v>
      </c>
    </row>
    <row r="106" spans="1:1029" x14ac:dyDescent="0.2">
      <c r="A106" s="3" t="str">
        <f t="shared" si="335"/>
        <v>adrb2_human__wt</v>
      </c>
      <c r="B106" s="3" t="s">
        <v>126</v>
      </c>
      <c r="C106" s="3" t="s">
        <v>100</v>
      </c>
      <c r="D106" s="3" t="str">
        <f>IFERROR(MID(VLOOKUP($B106,Seqs!$A:$B,2,0),E106,1),"")</f>
        <v>Q</v>
      </c>
      <c r="E106" s="3">
        <v>26</v>
      </c>
      <c r="F106" s="3" t="str">
        <f>IFERROR(MID(VLOOKUP($B106,Seqs!$A:$B,2,0),G106,1),"")</f>
        <v>F</v>
      </c>
      <c r="G106" s="3">
        <v>61</v>
      </c>
      <c r="H106" s="3" t="str">
        <f>IFERROR(MID(VLOOKUP($B106,Seqs!$A:$B,2,0),I106,1),"")</f>
        <v>E</v>
      </c>
      <c r="I106" s="23">
        <v>62</v>
      </c>
      <c r="J106" s="3" t="str">
        <f>IFERROR(MID(VLOOKUP($B106,Seqs!$A:$B,2,0),K106,1),"")</f>
        <v>Q</v>
      </c>
      <c r="K106" s="23">
        <v>65</v>
      </c>
      <c r="L106" s="3" t="str">
        <f>IFERROR(MID(VLOOKUP($B106,Seqs!$A:$B,2,0),M106,1),"")</f>
        <v>T</v>
      </c>
      <c r="M106" s="3">
        <v>66</v>
      </c>
      <c r="N106" s="3" t="str">
        <f>IFERROR(MID(VLOOKUP($B106,Seqs!$A:$B,2,0),O106,1),"")</f>
        <v>M</v>
      </c>
      <c r="O106" s="3">
        <v>96</v>
      </c>
      <c r="P106" s="3" t="str">
        <f>IFERROR(MID(VLOOKUP($B106,Seqs!$A:$B,2,0),Q106,1),"")</f>
        <v>M</v>
      </c>
      <c r="Q106" s="3">
        <v>98</v>
      </c>
      <c r="R106" s="3" t="str">
        <f>IFERROR(MID(VLOOKUP($B106,Seqs!$A:$B,2,0),S106,1),"")</f>
        <v>F</v>
      </c>
      <c r="S106" s="3">
        <v>101</v>
      </c>
      <c r="T106" s="3" t="str">
        <f>IFERROR(MID(VLOOKUP($B106,Seqs!$A:$B,2,0),U106,1),"")</f>
        <v>G</v>
      </c>
      <c r="U106" s="3">
        <v>102</v>
      </c>
      <c r="V106" s="3" t="str">
        <f>IFERROR(MID(VLOOKUP($B106,Seqs!$A:$B,2,0),W106,1),"")</f>
        <v>S</v>
      </c>
      <c r="W106" s="3">
        <v>137</v>
      </c>
      <c r="X106" s="3" t="str">
        <f>IFERROR(MID(VLOOKUP($B106,Seqs!$A:$B,2,0),Y106,1),"")</f>
        <v>P</v>
      </c>
      <c r="Y106" s="3">
        <v>138</v>
      </c>
      <c r="Z106" s="3" t="str">
        <f>IFERROR(MID(VLOOKUP($B106,Seqs!$A:$B,2,0),AA106,1),"")</f>
        <v>L</v>
      </c>
      <c r="AA106" s="3">
        <v>145</v>
      </c>
      <c r="AB106" s="3" t="str">
        <f>IFERROR(MID(VLOOKUP($B106,Seqs!$A:$B,2,0),AC106,1),"")</f>
        <v>T</v>
      </c>
      <c r="AC106" s="9">
        <v>146</v>
      </c>
      <c r="AD106" s="3" t="str">
        <f>IFERROR(MID(VLOOKUP($B106,Seqs!$A:$B,2,0),AE106,1),"")</f>
        <v>H</v>
      </c>
      <c r="AE106" s="3">
        <v>172</v>
      </c>
      <c r="AF106" s="3" t="str">
        <f>IFERROR(MID(VLOOKUP($B106,Seqs!$A:$B,2,0),AG106,1),"")</f>
        <v>C</v>
      </c>
      <c r="AG106" s="3">
        <v>191</v>
      </c>
      <c r="AH106" s="3" t="str">
        <f>IFERROR(MID(VLOOKUP($B106,Seqs!$A:$B,2,0),AI106,1),"")</f>
        <v>F</v>
      </c>
      <c r="AI106" s="3">
        <v>193</v>
      </c>
      <c r="AJ106" s="3" t="str">
        <f>IFERROR(MID(VLOOKUP($B106,Seqs!$A:$B,2,0),AK106,1),"")</f>
        <v>N</v>
      </c>
      <c r="AK106" s="3">
        <v>196</v>
      </c>
      <c r="AL106" s="3" t="str">
        <f>IFERROR(MID(VLOOKUP($B106,Seqs!$A:$B,2,0),AM106,1),"")</f>
        <v>E</v>
      </c>
      <c r="AM106" s="3">
        <v>237</v>
      </c>
      <c r="AN106" s="3" t="str">
        <f>IFERROR(MID(VLOOKUP($B106,Seqs!$A:$B,2,0),AO106,1),"")</f>
        <v>S</v>
      </c>
      <c r="AO106" s="3">
        <v>262</v>
      </c>
      <c r="AP106" s="3" t="str">
        <f>IFERROR(MID(VLOOKUP($B106,Seqs!$A:$B,2,0),AQ106,1),"")</f>
        <v>Q</v>
      </c>
      <c r="AQ106" s="3">
        <v>299</v>
      </c>
      <c r="AR106" s="3" t="str">
        <f>IFERROR(MID(VLOOKUP($B106,Seqs!$A:$B,2,0),AS106,1),"")</f>
        <v>R</v>
      </c>
      <c r="AS106" s="3">
        <v>304</v>
      </c>
      <c r="AT106" s="3" t="str">
        <f>IFERROR(MID(VLOOKUP($B106,Seqs!$A:$B,2,0),AU106,1),"")</f>
        <v>R</v>
      </c>
      <c r="AU106" s="3">
        <v>328</v>
      </c>
      <c r="AV106" s="3" t="str">
        <f>IFERROR(MID(VLOOKUP($B106,Seqs!$A:$B,2,0),AW106,1),"")</f>
        <v>S</v>
      </c>
      <c r="AW106" s="3">
        <v>329</v>
      </c>
      <c r="AX106" s="3" t="str">
        <f>IFERROR(MID(VLOOKUP($B106,Seqs!$A:$B,2,0),AY106,1),"")</f>
        <v>C</v>
      </c>
      <c r="AY106" s="3">
        <v>341</v>
      </c>
      <c r="AZ106" s="77" t="str">
        <f>VLOOKUP(B106,Classification!A:D,2,0)</f>
        <v>A</v>
      </c>
      <c r="BA106" s="94" t="str">
        <f>VLOOKUP(B106,Classification!A:D,4,0)</f>
        <v>Adrenoceptors</v>
      </c>
      <c r="BB106" s="27" t="b">
        <f t="shared" si="336"/>
        <v>1</v>
      </c>
      <c r="BC106" s="23">
        <f t="shared" si="477"/>
        <v>267</v>
      </c>
      <c r="BD106" s="56" t="s">
        <v>23</v>
      </c>
      <c r="BE106" s="3" t="s">
        <v>23</v>
      </c>
      <c r="BF106" s="119" t="s">
        <v>23</v>
      </c>
      <c r="BG106" s="49" t="s">
        <v>1378</v>
      </c>
      <c r="BH106" s="49" t="s">
        <v>1383</v>
      </c>
      <c r="BI106" s="3" t="s">
        <v>1166</v>
      </c>
      <c r="BJ106" s="70" t="s">
        <v>1293</v>
      </c>
      <c r="BK106" s="57" t="s">
        <v>1293</v>
      </c>
      <c r="BL106" s="57" t="s">
        <v>1293</v>
      </c>
      <c r="BM106" s="57" t="s">
        <v>1293</v>
      </c>
      <c r="BN106" s="57" t="s">
        <v>1293</v>
      </c>
      <c r="BO106" s="57" t="s">
        <v>1293</v>
      </c>
      <c r="BP106" s="57" t="s">
        <v>1293</v>
      </c>
      <c r="BQ106" s="57" t="s">
        <v>1293</v>
      </c>
      <c r="BR106" s="57" t="s">
        <v>1293</v>
      </c>
      <c r="BS106" s="57" t="s">
        <v>1293</v>
      </c>
      <c r="BT106" s="57" t="s">
        <v>1293</v>
      </c>
      <c r="BU106" s="57" t="s">
        <v>1293</v>
      </c>
      <c r="BV106" s="70">
        <f t="shared" si="478"/>
        <v>26</v>
      </c>
      <c r="BW106" s="71">
        <f t="shared" si="479"/>
        <v>62</v>
      </c>
      <c r="BX106" s="72">
        <f t="shared" si="480"/>
        <v>66</v>
      </c>
      <c r="BY106" s="71">
        <f t="shared" si="481"/>
        <v>98</v>
      </c>
      <c r="BZ106" s="72">
        <f t="shared" si="482"/>
        <v>102</v>
      </c>
      <c r="CA106" s="71">
        <f t="shared" si="483"/>
        <v>138</v>
      </c>
      <c r="CB106" s="72">
        <f t="shared" si="484"/>
        <v>146</v>
      </c>
      <c r="CC106" s="71">
        <f t="shared" si="485"/>
        <v>191</v>
      </c>
      <c r="CD106" s="72">
        <f t="shared" si="486"/>
        <v>196</v>
      </c>
      <c r="CE106" s="71">
        <f t="shared" si="487"/>
        <v>262</v>
      </c>
      <c r="CF106" s="72">
        <f t="shared" si="488"/>
        <v>304</v>
      </c>
      <c r="CG106" s="71">
        <f t="shared" si="489"/>
        <v>329</v>
      </c>
      <c r="CH106" s="70">
        <f t="shared" si="490"/>
        <v>61</v>
      </c>
      <c r="CI106" s="71">
        <f t="shared" si="491"/>
        <v>65</v>
      </c>
      <c r="CJ106" s="72">
        <f t="shared" si="492"/>
        <v>96</v>
      </c>
      <c r="CK106" s="72">
        <f t="shared" si="493"/>
        <v>101</v>
      </c>
      <c r="CL106" s="72">
        <f t="shared" si="494"/>
        <v>137</v>
      </c>
      <c r="CM106" s="72">
        <f t="shared" si="495"/>
        <v>145</v>
      </c>
      <c r="CN106" s="72">
        <f t="shared" si="496"/>
        <v>172</v>
      </c>
      <c r="CO106" s="72">
        <f t="shared" si="497"/>
        <v>193</v>
      </c>
      <c r="CP106" s="72">
        <f t="shared" si="498"/>
        <v>237</v>
      </c>
      <c r="CQ106" s="72">
        <f t="shared" si="499"/>
        <v>299</v>
      </c>
      <c r="CR106" s="72">
        <f t="shared" si="500"/>
        <v>328</v>
      </c>
      <c r="CS106" s="72">
        <f t="shared" si="501"/>
        <v>341</v>
      </c>
      <c r="CT106" s="23">
        <f t="shared" si="502"/>
        <v>1</v>
      </c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  <c r="ADW106" s="1"/>
      <c r="ADX106" s="1"/>
      <c r="ADY106" s="1"/>
      <c r="ADZ106" s="1"/>
      <c r="AEA106" s="1"/>
      <c r="AEB106" s="1"/>
      <c r="AEC106" s="1"/>
      <c r="AED106" s="1"/>
      <c r="AEE106" s="1"/>
      <c r="AEF106" s="1"/>
      <c r="AEG106" s="1"/>
      <c r="AEH106" s="1"/>
      <c r="AEI106" s="1"/>
      <c r="AEJ106" s="1"/>
      <c r="AEK106" s="1"/>
      <c r="AEL106" s="1"/>
      <c r="AEM106" s="1"/>
      <c r="AEN106" s="1"/>
      <c r="AEO106" s="1"/>
      <c r="AEP106" s="1"/>
      <c r="AEQ106" s="1"/>
      <c r="AER106" s="1"/>
      <c r="AES106" s="1"/>
      <c r="AET106" s="1"/>
      <c r="AEU106" s="1"/>
      <c r="AEV106" s="1"/>
      <c r="AEW106" s="1"/>
      <c r="AEX106" s="1"/>
      <c r="AEY106" s="1"/>
      <c r="AEZ106" s="1"/>
      <c r="AFA106" s="1"/>
      <c r="AFB106" s="1"/>
      <c r="AFC106" s="1"/>
      <c r="AFD106" s="1"/>
      <c r="AFE106" s="1"/>
      <c r="AFF106" s="1"/>
      <c r="AFG106" s="1"/>
      <c r="AFH106" s="1"/>
      <c r="AFI106" s="1"/>
      <c r="AFJ106" s="1"/>
      <c r="AFK106" s="1"/>
      <c r="AFL106" s="1"/>
      <c r="AFM106" s="1"/>
      <c r="AFN106" s="1"/>
      <c r="AFO106" s="1"/>
      <c r="AFP106" s="1"/>
      <c r="AFQ106" s="1"/>
      <c r="AFR106" s="1"/>
      <c r="AFS106" s="1"/>
      <c r="AFT106" s="1"/>
      <c r="AFU106" s="1"/>
      <c r="AFV106" s="1"/>
      <c r="AFW106" s="1"/>
      <c r="AFX106" s="1"/>
      <c r="AFY106" s="1"/>
      <c r="AFZ106" s="1"/>
      <c r="AGA106" s="1"/>
      <c r="AGB106" s="1"/>
      <c r="AGC106" s="1"/>
      <c r="AGD106" s="1"/>
      <c r="AGE106" s="1"/>
      <c r="AGF106" s="1"/>
      <c r="AGG106" s="1"/>
      <c r="AGH106" s="1"/>
      <c r="AGI106" s="1"/>
      <c r="AGJ106" s="1"/>
      <c r="AGK106" s="1"/>
      <c r="AGL106" s="1"/>
      <c r="AGM106" s="1"/>
      <c r="AGN106" s="1"/>
      <c r="AGO106" s="1"/>
      <c r="AGP106" s="1"/>
      <c r="AGQ106" s="1"/>
      <c r="AGR106" s="1"/>
      <c r="AGS106" s="1"/>
      <c r="AGT106" s="1"/>
      <c r="AGU106" s="1"/>
      <c r="AGV106" s="1"/>
      <c r="AGW106" s="1"/>
      <c r="AGX106" s="1"/>
      <c r="AGY106" s="1"/>
      <c r="AGZ106" s="1"/>
      <c r="AHA106" s="1"/>
      <c r="AHB106" s="1"/>
      <c r="AHC106" s="1"/>
      <c r="AHD106" s="1"/>
      <c r="AHE106" s="1"/>
      <c r="AHF106" s="1"/>
      <c r="AHG106" s="1"/>
      <c r="AHH106" s="1"/>
      <c r="AHI106" s="1"/>
      <c r="AHJ106" s="1"/>
      <c r="AHK106" s="1"/>
      <c r="AHL106" s="1"/>
      <c r="AHM106" s="1"/>
      <c r="AHN106" s="1"/>
      <c r="AHO106" s="1"/>
      <c r="AHP106" s="1"/>
      <c r="AHQ106" s="1"/>
      <c r="AHR106" s="1"/>
      <c r="AHS106" s="1"/>
      <c r="AHT106" s="1"/>
      <c r="AHU106" s="1"/>
      <c r="AHV106" s="1"/>
      <c r="AHW106" s="1"/>
      <c r="AHX106" s="1"/>
      <c r="AHY106" s="1"/>
      <c r="AHZ106" s="1"/>
      <c r="AIA106" s="1"/>
      <c r="AIB106" s="1"/>
      <c r="AIC106" s="1"/>
      <c r="AID106" s="1"/>
      <c r="AIE106" s="1"/>
      <c r="AIF106" s="1"/>
      <c r="AIG106" s="1"/>
      <c r="AIH106" s="1"/>
      <c r="AII106" s="1"/>
      <c r="AIJ106" s="1"/>
      <c r="AIK106" s="1"/>
      <c r="AIL106" s="1"/>
      <c r="AIM106" s="1"/>
      <c r="AIN106" s="1"/>
      <c r="AIO106" s="1"/>
      <c r="AIP106" s="1"/>
      <c r="AIQ106" s="1"/>
      <c r="AIR106" s="1"/>
      <c r="AIS106" s="1"/>
      <c r="AIT106" s="1"/>
      <c r="AIU106" s="1"/>
      <c r="AIV106" s="1"/>
      <c r="AIW106" s="1"/>
      <c r="AIX106" s="1"/>
      <c r="AIY106" s="1"/>
      <c r="AIZ106" s="1"/>
      <c r="AJA106" s="1"/>
      <c r="AJB106" s="1"/>
      <c r="AJC106" s="1"/>
      <c r="AJD106" s="1"/>
      <c r="AJE106" s="1"/>
      <c r="AJF106" s="1"/>
      <c r="AJG106" s="1"/>
      <c r="AJH106" s="1"/>
      <c r="AJI106" s="1"/>
      <c r="AJJ106" s="1"/>
      <c r="AJK106" s="1"/>
      <c r="AJL106" s="1"/>
      <c r="AJM106" s="1"/>
      <c r="AJN106" s="1"/>
      <c r="AJO106" s="1"/>
      <c r="AJP106" s="1"/>
      <c r="AJQ106" s="1"/>
      <c r="AJR106" s="1"/>
      <c r="AJS106" s="1"/>
      <c r="AJT106" s="1"/>
      <c r="AJU106" s="1"/>
      <c r="AJV106" s="1"/>
      <c r="AJW106" s="1"/>
      <c r="AJX106" s="1"/>
      <c r="AJY106" s="1"/>
      <c r="AJZ106" s="1"/>
      <c r="AKA106" s="1"/>
      <c r="AKB106" s="1"/>
      <c r="AKC106" s="1"/>
      <c r="AKD106" s="1"/>
      <c r="AKE106" s="1"/>
      <c r="AKF106" s="1"/>
      <c r="AKG106" s="1"/>
      <c r="AKH106" s="1"/>
      <c r="AKI106" s="1"/>
      <c r="AKJ106" s="1"/>
      <c r="AKK106" s="1"/>
      <c r="AKL106" s="1"/>
      <c r="AKM106" s="1"/>
      <c r="AKN106" s="1"/>
      <c r="AKO106" s="1"/>
      <c r="AKP106" s="1"/>
      <c r="AKQ106" s="1"/>
      <c r="AKR106" s="1"/>
      <c r="AKS106" s="1"/>
      <c r="AKT106" s="1"/>
      <c r="AKU106" s="1"/>
      <c r="AKV106" s="1"/>
      <c r="AKW106" s="1"/>
      <c r="AKX106" s="1"/>
      <c r="AKY106" s="1"/>
      <c r="AKZ106" s="1"/>
      <c r="ALA106" s="1"/>
      <c r="ALB106" s="1"/>
      <c r="ALC106" s="1"/>
      <c r="ALD106" s="1"/>
      <c r="ALE106" s="1"/>
      <c r="ALF106" s="1"/>
      <c r="ALG106" s="1"/>
      <c r="ALH106" s="1"/>
      <c r="ALI106" s="1"/>
      <c r="ALJ106" s="1"/>
      <c r="ALK106" s="1"/>
      <c r="ALL106" s="1"/>
      <c r="ALM106" s="1"/>
      <c r="ALN106" s="1"/>
      <c r="ALO106" s="1"/>
      <c r="ALP106" s="1"/>
      <c r="ALQ106" s="1"/>
      <c r="ALR106" s="1"/>
      <c r="ALS106" s="1"/>
      <c r="ALT106" s="1"/>
      <c r="ALU106" s="1"/>
      <c r="ALV106" s="1"/>
      <c r="ALW106" s="1"/>
      <c r="ALX106" s="1"/>
      <c r="ALY106" s="1"/>
      <c r="ALZ106" s="1"/>
      <c r="AMA106" s="1"/>
      <c r="AMB106" s="1"/>
      <c r="AMC106" s="1"/>
      <c r="AMD106" s="1"/>
      <c r="AME106" s="1"/>
      <c r="AMF106" s="1"/>
      <c r="AMG106" s="1"/>
      <c r="AMH106" s="1"/>
      <c r="AMI106" s="1"/>
      <c r="AMJ106" s="1"/>
      <c r="AMK106" s="1"/>
      <c r="AML106" s="1"/>
      <c r="AMM106" s="1"/>
      <c r="AMN106" s="1"/>
      <c r="AMO106" s="1"/>
    </row>
    <row r="107" spans="1:1029" x14ac:dyDescent="0.2">
      <c r="A107" s="3" t="str">
        <f t="shared" si="335"/>
        <v>adrb2_human_2RH1</v>
      </c>
      <c r="B107" s="3" t="s">
        <v>126</v>
      </c>
      <c r="C107" s="3" t="s">
        <v>75</v>
      </c>
      <c r="D107" s="3" t="str">
        <f>IFERROR(MID(VLOOKUP($B107,Seqs!$A:$B,2,0),E107,1),"")</f>
        <v>D</v>
      </c>
      <c r="E107" s="3">
        <v>29</v>
      </c>
      <c r="F107" s="3" t="str">
        <f>IFERROR(MID(VLOOKUP($B107,Seqs!$A:$B,2,0),G107,1),"")</f>
        <v>F</v>
      </c>
      <c r="G107" s="3">
        <v>61</v>
      </c>
      <c r="H107" s="3" t="str">
        <f>IFERROR(MID(VLOOKUP($B107,Seqs!$A:$B,2,0),I107,1),"")</f>
        <v>E</v>
      </c>
      <c r="I107" s="23">
        <v>62</v>
      </c>
      <c r="J107" s="3" t="str">
        <f>IFERROR(MID(VLOOKUP($B107,Seqs!$A:$B,2,0),K107,1),"")</f>
        <v>Q</v>
      </c>
      <c r="K107" s="23">
        <v>65</v>
      </c>
      <c r="L107" s="3" t="str">
        <f>IFERROR(MID(VLOOKUP($B107,Seqs!$A:$B,2,0),M107,1),"")</f>
        <v>T</v>
      </c>
      <c r="M107" s="3">
        <v>66</v>
      </c>
      <c r="N107" s="3" t="str">
        <f>IFERROR(MID(VLOOKUP($B107,Seqs!$A:$B,2,0),O107,1),"")</f>
        <v>M</v>
      </c>
      <c r="O107" s="3">
        <v>96</v>
      </c>
      <c r="P107" s="3" t="str">
        <f>IFERROR(MID(VLOOKUP($B107,Seqs!$A:$B,2,0),Q107,1),"")</f>
        <v>M</v>
      </c>
      <c r="Q107" s="3">
        <v>98</v>
      </c>
      <c r="R107" s="3" t="str">
        <f>IFERROR(MID(VLOOKUP($B107,Seqs!$A:$B,2,0),S107,1),"")</f>
        <v>F</v>
      </c>
      <c r="S107" s="3">
        <v>101</v>
      </c>
      <c r="T107" s="3" t="str">
        <f>IFERROR(MID(VLOOKUP($B107,Seqs!$A:$B,2,0),U107,1),"")</f>
        <v>G</v>
      </c>
      <c r="U107" s="3">
        <v>102</v>
      </c>
      <c r="V107" s="3" t="str">
        <f>IFERROR(MID(VLOOKUP($B107,Seqs!$A:$B,2,0),W107,1),"")</f>
        <v>S</v>
      </c>
      <c r="W107" s="3">
        <v>137</v>
      </c>
      <c r="X107" s="3" t="str">
        <f>IFERROR(MID(VLOOKUP($B107,Seqs!$A:$B,2,0),Y107,1),"")</f>
        <v/>
      </c>
      <c r="Y107" s="3" t="s">
        <v>23</v>
      </c>
      <c r="Z107" s="3" t="str">
        <f>IFERROR(MID(VLOOKUP($B107,Seqs!$A:$B,2,0),AA107,1),"")</f>
        <v/>
      </c>
      <c r="AA107" s="3" t="s">
        <v>23</v>
      </c>
      <c r="AB107" s="3" t="str">
        <f>IFERROR(MID(VLOOKUP($B107,Seqs!$A:$B,2,0),AC107,1),"")</f>
        <v>T</v>
      </c>
      <c r="AC107" s="9">
        <v>146</v>
      </c>
      <c r="AD107" s="3" t="str">
        <f>IFERROR(MID(VLOOKUP($B107,Seqs!$A:$B,2,0),AE107,1),"")</f>
        <v>H</v>
      </c>
      <c r="AE107" s="3">
        <v>172</v>
      </c>
      <c r="AF107" s="3" t="str">
        <f>IFERROR(MID(VLOOKUP($B107,Seqs!$A:$B,2,0),AG107,1),"")</f>
        <v>C</v>
      </c>
      <c r="AG107" s="3">
        <v>191</v>
      </c>
      <c r="AH107" s="3" t="str">
        <f>IFERROR(MID(VLOOKUP($B107,Seqs!$A:$B,2,0),AI107,1),"")</f>
        <v>F</v>
      </c>
      <c r="AI107" s="3">
        <v>193</v>
      </c>
      <c r="AJ107" s="3" t="str">
        <f>IFERROR(MID(VLOOKUP($B107,Seqs!$A:$B,2,0),AK107,1),"")</f>
        <v>N</v>
      </c>
      <c r="AK107" s="3">
        <v>196</v>
      </c>
      <c r="AL107" s="3" t="str">
        <f>IFERROR(MID(VLOOKUP($B107,Seqs!$A:$B,2,0),AM107,1),"")</f>
        <v>Q</v>
      </c>
      <c r="AM107" s="3">
        <v>229</v>
      </c>
      <c r="AN107" s="3" t="str">
        <f>IFERROR(MID(VLOOKUP($B107,Seqs!$A:$B,2,0),AO107,1),"")</f>
        <v>K</v>
      </c>
      <c r="AO107" s="3">
        <v>267</v>
      </c>
      <c r="AP107" s="3" t="str">
        <f>IFERROR(MID(VLOOKUP($B107,Seqs!$A:$B,2,0),AQ107,1),"")</f>
        <v>Q</v>
      </c>
      <c r="AQ107" s="3">
        <v>299</v>
      </c>
      <c r="AR107" s="3" t="str">
        <f>IFERROR(MID(VLOOKUP($B107,Seqs!$A:$B,2,0),AS107,1),"")</f>
        <v>R</v>
      </c>
      <c r="AS107" s="3">
        <v>304</v>
      </c>
      <c r="AT107" s="3" t="str">
        <f>IFERROR(MID(VLOOKUP($B107,Seqs!$A:$B,2,0),AU107,1),"")</f>
        <v>R</v>
      </c>
      <c r="AU107" s="3">
        <v>328</v>
      </c>
      <c r="AV107" s="3" t="str">
        <f>IFERROR(MID(VLOOKUP($B107,Seqs!$A:$B,2,0),AW107,1),"")</f>
        <v>S</v>
      </c>
      <c r="AW107" s="3">
        <v>329</v>
      </c>
      <c r="AX107" s="3" t="str">
        <f>IFERROR(MID(VLOOKUP($B107,Seqs!$A:$B,2,0),AY107,1),"")</f>
        <v>C</v>
      </c>
      <c r="AY107" s="3">
        <v>341</v>
      </c>
      <c r="AZ107" s="77" t="str">
        <f>VLOOKUP(B107,Classification!A:D,2,0)</f>
        <v>A</v>
      </c>
      <c r="BA107" s="94" t="str">
        <f>VLOOKUP(B107,Classification!A:D,4,0)</f>
        <v>Adrenoceptors</v>
      </c>
      <c r="BB107" s="27" t="b">
        <f t="shared" si="336"/>
        <v>1</v>
      </c>
      <c r="BC107" s="23">
        <f t="shared" si="477"/>
        <v>244</v>
      </c>
      <c r="BD107" s="4" t="s">
        <v>23</v>
      </c>
      <c r="BE107" s="3" t="s">
        <v>1380</v>
      </c>
      <c r="BF107" s="119">
        <v>2.4</v>
      </c>
      <c r="BG107" s="49" t="s">
        <v>1383</v>
      </c>
      <c r="BH107" s="49" t="s">
        <v>1383</v>
      </c>
      <c r="BI107" s="1"/>
      <c r="BJ107" s="70" t="s">
        <v>1293</v>
      </c>
      <c r="BK107" s="57" t="s">
        <v>1293</v>
      </c>
      <c r="BL107" s="57" t="s">
        <v>1293</v>
      </c>
      <c r="BM107" s="57" t="s">
        <v>1293</v>
      </c>
      <c r="BN107" s="57" t="s">
        <v>1293</v>
      </c>
      <c r="BO107" s="57" t="s">
        <v>1293</v>
      </c>
      <c r="BP107" s="57" t="s">
        <v>1293</v>
      </c>
      <c r="BQ107" s="57" t="s">
        <v>1293</v>
      </c>
      <c r="BR107" s="57" t="s">
        <v>1293</v>
      </c>
      <c r="BS107" s="57" t="s">
        <v>1293</v>
      </c>
      <c r="BT107" s="57" t="s">
        <v>1293</v>
      </c>
      <c r="BU107" s="57" t="s">
        <v>1293</v>
      </c>
      <c r="BV107" s="70">
        <f t="shared" si="478"/>
        <v>29</v>
      </c>
      <c r="BW107" s="71">
        <f t="shared" si="479"/>
        <v>62</v>
      </c>
      <c r="BX107" s="72">
        <f t="shared" si="480"/>
        <v>66</v>
      </c>
      <c r="BY107" s="71">
        <f t="shared" si="481"/>
        <v>98</v>
      </c>
      <c r="BZ107" s="72">
        <f t="shared" si="482"/>
        <v>102</v>
      </c>
      <c r="CA107" s="71" t="str">
        <f t="shared" si="483"/>
        <v>-</v>
      </c>
      <c r="CB107" s="72">
        <f t="shared" si="484"/>
        <v>146</v>
      </c>
      <c r="CC107" s="71">
        <f t="shared" si="485"/>
        <v>191</v>
      </c>
      <c r="CD107" s="72">
        <f t="shared" si="486"/>
        <v>196</v>
      </c>
      <c r="CE107" s="71">
        <f t="shared" si="487"/>
        <v>267</v>
      </c>
      <c r="CF107" s="72">
        <f t="shared" si="488"/>
        <v>304</v>
      </c>
      <c r="CG107" s="71">
        <f t="shared" si="489"/>
        <v>329</v>
      </c>
      <c r="CH107" s="70">
        <f t="shared" si="490"/>
        <v>61</v>
      </c>
      <c r="CI107" s="71">
        <f t="shared" si="491"/>
        <v>65</v>
      </c>
      <c r="CJ107" s="72">
        <f t="shared" si="492"/>
        <v>96</v>
      </c>
      <c r="CK107" s="72">
        <f t="shared" si="493"/>
        <v>101</v>
      </c>
      <c r="CL107" s="72">
        <f t="shared" si="494"/>
        <v>137</v>
      </c>
      <c r="CM107" s="72" t="str">
        <f t="shared" si="495"/>
        <v>-</v>
      </c>
      <c r="CN107" s="72">
        <f t="shared" si="496"/>
        <v>172</v>
      </c>
      <c r="CO107" s="72">
        <f t="shared" si="497"/>
        <v>193</v>
      </c>
      <c r="CP107" s="72">
        <f t="shared" si="498"/>
        <v>229</v>
      </c>
      <c r="CQ107" s="72">
        <f t="shared" si="499"/>
        <v>299</v>
      </c>
      <c r="CR107" s="72">
        <f t="shared" si="500"/>
        <v>328</v>
      </c>
      <c r="CS107" s="72">
        <f t="shared" si="501"/>
        <v>341</v>
      </c>
      <c r="CT107" s="23">
        <f t="shared" si="502"/>
        <v>1</v>
      </c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  <c r="ADW107" s="1"/>
      <c r="ADX107" s="1"/>
      <c r="ADY107" s="1"/>
      <c r="ADZ107" s="1"/>
      <c r="AEA107" s="1"/>
      <c r="AEB107" s="1"/>
      <c r="AEC107" s="1"/>
      <c r="AED107" s="1"/>
      <c r="AEE107" s="1"/>
      <c r="AEF107" s="1"/>
      <c r="AEG107" s="1"/>
      <c r="AEH107" s="1"/>
      <c r="AEI107" s="1"/>
      <c r="AEJ107" s="1"/>
      <c r="AEK107" s="1"/>
      <c r="AEL107" s="1"/>
      <c r="AEM107" s="1"/>
      <c r="AEN107" s="1"/>
      <c r="AEO107" s="1"/>
      <c r="AEP107" s="1"/>
      <c r="AEQ107" s="1"/>
      <c r="AER107" s="1"/>
      <c r="AES107" s="1"/>
      <c r="AET107" s="1"/>
      <c r="AEU107" s="1"/>
      <c r="AEV107" s="1"/>
      <c r="AEW107" s="1"/>
      <c r="AEX107" s="1"/>
      <c r="AEY107" s="1"/>
      <c r="AEZ107" s="1"/>
      <c r="AFA107" s="1"/>
      <c r="AFB107" s="1"/>
      <c r="AFC107" s="1"/>
      <c r="AFD107" s="1"/>
      <c r="AFE107" s="1"/>
      <c r="AFF107" s="1"/>
      <c r="AFG107" s="1"/>
      <c r="AFH107" s="1"/>
      <c r="AFI107" s="1"/>
      <c r="AFJ107" s="1"/>
      <c r="AFK107" s="1"/>
      <c r="AFL107" s="1"/>
      <c r="AFM107" s="1"/>
      <c r="AFN107" s="1"/>
      <c r="AFO107" s="1"/>
      <c r="AFP107" s="1"/>
      <c r="AFQ107" s="1"/>
      <c r="AFR107" s="1"/>
      <c r="AFS107" s="1"/>
      <c r="AFT107" s="1"/>
      <c r="AFU107" s="1"/>
      <c r="AFV107" s="1"/>
      <c r="AFW107" s="1"/>
      <c r="AFX107" s="1"/>
      <c r="AFY107" s="1"/>
      <c r="AFZ107" s="1"/>
      <c r="AGA107" s="1"/>
      <c r="AGB107" s="1"/>
      <c r="AGC107" s="1"/>
      <c r="AGD107" s="1"/>
      <c r="AGE107" s="1"/>
      <c r="AGF107" s="1"/>
      <c r="AGG107" s="1"/>
      <c r="AGH107" s="1"/>
      <c r="AGI107" s="1"/>
      <c r="AGJ107" s="1"/>
      <c r="AGK107" s="1"/>
      <c r="AGL107" s="1"/>
      <c r="AGM107" s="1"/>
      <c r="AGN107" s="1"/>
      <c r="AGO107" s="1"/>
      <c r="AGP107" s="1"/>
      <c r="AGQ107" s="1"/>
      <c r="AGR107" s="1"/>
      <c r="AGS107" s="1"/>
      <c r="AGT107" s="1"/>
      <c r="AGU107" s="1"/>
      <c r="AGV107" s="1"/>
      <c r="AGW107" s="1"/>
      <c r="AGX107" s="1"/>
      <c r="AGY107" s="1"/>
      <c r="AGZ107" s="1"/>
      <c r="AHA107" s="1"/>
      <c r="AHB107" s="1"/>
      <c r="AHC107" s="1"/>
      <c r="AHD107" s="1"/>
      <c r="AHE107" s="1"/>
      <c r="AHF107" s="1"/>
      <c r="AHG107" s="1"/>
      <c r="AHH107" s="1"/>
      <c r="AHI107" s="1"/>
      <c r="AHJ107" s="1"/>
      <c r="AHK107" s="1"/>
      <c r="AHL107" s="1"/>
      <c r="AHM107" s="1"/>
      <c r="AHN107" s="1"/>
      <c r="AHO107" s="1"/>
      <c r="AHP107" s="1"/>
      <c r="AHQ107" s="1"/>
      <c r="AHR107" s="1"/>
      <c r="AHS107" s="1"/>
      <c r="AHT107" s="1"/>
      <c r="AHU107" s="1"/>
      <c r="AHV107" s="1"/>
      <c r="AHW107" s="1"/>
      <c r="AHX107" s="1"/>
      <c r="AHY107" s="1"/>
      <c r="AHZ107" s="1"/>
      <c r="AIA107" s="1"/>
      <c r="AIB107" s="1"/>
      <c r="AIC107" s="1"/>
      <c r="AID107" s="1"/>
      <c r="AIE107" s="1"/>
      <c r="AIF107" s="1"/>
      <c r="AIG107" s="1"/>
      <c r="AIH107" s="1"/>
      <c r="AII107" s="1"/>
      <c r="AIJ107" s="1"/>
      <c r="AIK107" s="1"/>
      <c r="AIL107" s="1"/>
      <c r="AIM107" s="1"/>
      <c r="AIN107" s="1"/>
      <c r="AIO107" s="1"/>
      <c r="AIP107" s="1"/>
      <c r="AIQ107" s="1"/>
      <c r="AIR107" s="1"/>
      <c r="AIS107" s="1"/>
      <c r="AIT107" s="1"/>
      <c r="AIU107" s="1"/>
      <c r="AIV107" s="1"/>
      <c r="AIW107" s="1"/>
      <c r="AIX107" s="1"/>
      <c r="AIY107" s="1"/>
      <c r="AIZ107" s="1"/>
      <c r="AJA107" s="1"/>
      <c r="AJB107" s="1"/>
      <c r="AJC107" s="1"/>
      <c r="AJD107" s="1"/>
      <c r="AJE107" s="1"/>
      <c r="AJF107" s="1"/>
      <c r="AJG107" s="1"/>
      <c r="AJH107" s="1"/>
      <c r="AJI107" s="1"/>
      <c r="AJJ107" s="1"/>
      <c r="AJK107" s="1"/>
      <c r="AJL107" s="1"/>
      <c r="AJM107" s="1"/>
      <c r="AJN107" s="1"/>
      <c r="AJO107" s="1"/>
      <c r="AJP107" s="1"/>
      <c r="AJQ107" s="1"/>
      <c r="AJR107" s="1"/>
      <c r="AJS107" s="1"/>
      <c r="AJT107" s="1"/>
      <c r="AJU107" s="1"/>
      <c r="AJV107" s="1"/>
      <c r="AJW107" s="1"/>
      <c r="AJX107" s="1"/>
      <c r="AJY107" s="1"/>
      <c r="AJZ107" s="1"/>
      <c r="AKA107" s="1"/>
      <c r="AKB107" s="1"/>
      <c r="AKC107" s="1"/>
      <c r="AKD107" s="1"/>
      <c r="AKE107" s="1"/>
      <c r="AKF107" s="1"/>
      <c r="AKG107" s="1"/>
      <c r="AKH107" s="1"/>
      <c r="AKI107" s="1"/>
      <c r="AKJ107" s="1"/>
      <c r="AKK107" s="1"/>
      <c r="AKL107" s="1"/>
      <c r="AKM107" s="1"/>
      <c r="AKN107" s="1"/>
      <c r="AKO107" s="1"/>
      <c r="AKP107" s="1"/>
      <c r="AKQ107" s="1"/>
      <c r="AKR107" s="1"/>
      <c r="AKS107" s="1"/>
      <c r="AKT107" s="1"/>
      <c r="AKU107" s="1"/>
      <c r="AKV107" s="1"/>
      <c r="AKW107" s="1"/>
      <c r="AKX107" s="1"/>
      <c r="AKY107" s="1"/>
      <c r="AKZ107" s="1"/>
      <c r="ALA107" s="1"/>
      <c r="ALB107" s="1"/>
      <c r="ALC107" s="1"/>
      <c r="ALD107" s="1"/>
      <c r="ALE107" s="1"/>
      <c r="ALF107" s="1"/>
      <c r="ALG107" s="1"/>
      <c r="ALH107" s="1"/>
      <c r="ALI107" s="1"/>
      <c r="ALJ107" s="1"/>
      <c r="ALK107" s="1"/>
      <c r="ALL107" s="1"/>
      <c r="ALM107" s="1"/>
      <c r="ALN107" s="1"/>
      <c r="ALO107" s="1"/>
      <c r="ALP107" s="1"/>
      <c r="ALQ107" s="1"/>
      <c r="ALR107" s="1"/>
      <c r="ALS107" s="1"/>
      <c r="ALT107" s="1"/>
      <c r="ALU107" s="1"/>
      <c r="ALV107" s="1"/>
      <c r="ALW107" s="1"/>
      <c r="ALX107" s="1"/>
      <c r="ALY107" s="1"/>
      <c r="ALZ107" s="1"/>
      <c r="AMA107" s="1"/>
      <c r="AMB107" s="1"/>
      <c r="AMC107" s="1"/>
      <c r="AMD107" s="1"/>
      <c r="AME107" s="1"/>
      <c r="AMF107" s="1"/>
      <c r="AMG107" s="1"/>
      <c r="AMH107" s="1"/>
      <c r="AMI107" s="1"/>
      <c r="AMJ107" s="1"/>
      <c r="AMK107" s="1"/>
      <c r="AML107" s="1"/>
      <c r="AMM107" s="1"/>
      <c r="AMN107" s="1"/>
      <c r="AMO107" s="1"/>
    </row>
    <row r="108" spans="1:1029" x14ac:dyDescent="0.2">
      <c r="A108" s="3" t="str">
        <f t="shared" si="335"/>
        <v>adrb2_human_3D4S</v>
      </c>
      <c r="B108" s="3" t="s">
        <v>126</v>
      </c>
      <c r="C108" s="3" t="s">
        <v>76</v>
      </c>
      <c r="D108" s="3" t="str">
        <f>IFERROR(MID(VLOOKUP($B108,Seqs!$A:$B,2,0),E108,1),"")</f>
        <v>W</v>
      </c>
      <c r="E108" s="3">
        <v>32</v>
      </c>
      <c r="F108" s="3" t="str">
        <f>IFERROR(MID(VLOOKUP($B108,Seqs!$A:$B,2,0),G108,1),"")</f>
        <v>F</v>
      </c>
      <c r="G108" s="3">
        <v>61</v>
      </c>
      <c r="H108" s="3" t="str">
        <f>IFERROR(MID(VLOOKUP($B108,Seqs!$A:$B,2,0),I108,1),"")</f>
        <v>E</v>
      </c>
      <c r="I108" s="23">
        <v>62</v>
      </c>
      <c r="J108" s="3" t="str">
        <f>IFERROR(MID(VLOOKUP($B108,Seqs!$A:$B,2,0),K108,1),"")</f>
        <v>Q</v>
      </c>
      <c r="K108" s="23">
        <v>65</v>
      </c>
      <c r="L108" s="3" t="str">
        <f>IFERROR(MID(VLOOKUP($B108,Seqs!$A:$B,2,0),M108,1),"")</f>
        <v>T</v>
      </c>
      <c r="M108" s="3">
        <v>66</v>
      </c>
      <c r="N108" s="3" t="str">
        <f>IFERROR(MID(VLOOKUP($B108,Seqs!$A:$B,2,0),O108,1),"")</f>
        <v>M</v>
      </c>
      <c r="O108" s="3">
        <v>96</v>
      </c>
      <c r="P108" s="3" t="str">
        <f>IFERROR(MID(VLOOKUP($B108,Seqs!$A:$B,2,0),Q108,1),"")</f>
        <v>M</v>
      </c>
      <c r="Q108" s="3">
        <v>98</v>
      </c>
      <c r="R108" s="3" t="str">
        <f>IFERROR(MID(VLOOKUP($B108,Seqs!$A:$B,2,0),S108,1),"")</f>
        <v>F</v>
      </c>
      <c r="S108" s="3">
        <v>101</v>
      </c>
      <c r="T108" s="3" t="str">
        <f>IFERROR(MID(VLOOKUP($B108,Seqs!$A:$B,2,0),U108,1),"")</f>
        <v>G</v>
      </c>
      <c r="U108" s="3">
        <v>102</v>
      </c>
      <c r="V108" s="3" t="str">
        <f>IFERROR(MID(VLOOKUP($B108,Seqs!$A:$B,2,0),W108,1),"")</f>
        <v>S</v>
      </c>
      <c r="W108" s="3">
        <v>137</v>
      </c>
      <c r="X108" s="3" t="str">
        <f>IFERROR(MID(VLOOKUP($B108,Seqs!$A:$B,2,0),Y108,1),"")</f>
        <v/>
      </c>
      <c r="Y108" s="3" t="s">
        <v>23</v>
      </c>
      <c r="Z108" s="3" t="str">
        <f>IFERROR(MID(VLOOKUP($B108,Seqs!$A:$B,2,0),AA108,1),"")</f>
        <v/>
      </c>
      <c r="AA108" s="3" t="s">
        <v>23</v>
      </c>
      <c r="AB108" s="3" t="str">
        <f>IFERROR(MID(VLOOKUP($B108,Seqs!$A:$B,2,0),AC108,1),"")</f>
        <v>T</v>
      </c>
      <c r="AC108" s="9">
        <v>146</v>
      </c>
      <c r="AD108" s="3" t="str">
        <f>IFERROR(MID(VLOOKUP($B108,Seqs!$A:$B,2,0),AE108,1),"")</f>
        <v>H</v>
      </c>
      <c r="AE108" s="3">
        <v>172</v>
      </c>
      <c r="AF108" s="3" t="str">
        <f>IFERROR(MID(VLOOKUP($B108,Seqs!$A:$B,2,0),AG108,1),"")</f>
        <v>C</v>
      </c>
      <c r="AG108" s="3">
        <v>191</v>
      </c>
      <c r="AH108" s="3" t="str">
        <f>IFERROR(MID(VLOOKUP($B108,Seqs!$A:$B,2,0),AI108,1),"")</f>
        <v>F</v>
      </c>
      <c r="AI108" s="3">
        <v>193</v>
      </c>
      <c r="AJ108" s="3" t="str">
        <f>IFERROR(MID(VLOOKUP($B108,Seqs!$A:$B,2,0),AK108,1),"")</f>
        <v>N</v>
      </c>
      <c r="AK108" s="3">
        <v>196</v>
      </c>
      <c r="AL108" s="3" t="str">
        <f>IFERROR(MID(VLOOKUP($B108,Seqs!$A:$B,2,0),AM108,1),"")</f>
        <v>Q</v>
      </c>
      <c r="AM108" s="3">
        <v>229</v>
      </c>
      <c r="AN108" s="3" t="str">
        <f>IFERROR(MID(VLOOKUP($B108,Seqs!$A:$B,2,0),AO108,1),"")</f>
        <v>K</v>
      </c>
      <c r="AO108" s="3">
        <v>267</v>
      </c>
      <c r="AP108" s="3" t="str">
        <f>IFERROR(MID(VLOOKUP($B108,Seqs!$A:$B,2,0),AQ108,1),"")</f>
        <v>Q</v>
      </c>
      <c r="AQ108" s="3">
        <v>299</v>
      </c>
      <c r="AR108" s="3" t="str">
        <f>IFERROR(MID(VLOOKUP($B108,Seqs!$A:$B,2,0),AS108,1),"")</f>
        <v>R</v>
      </c>
      <c r="AS108" s="3">
        <v>304</v>
      </c>
      <c r="AT108" s="3" t="str">
        <f>IFERROR(MID(VLOOKUP($B108,Seqs!$A:$B,2,0),AU108,1),"")</f>
        <v>R</v>
      </c>
      <c r="AU108" s="3">
        <v>328</v>
      </c>
      <c r="AV108" s="3" t="str">
        <f>IFERROR(MID(VLOOKUP($B108,Seqs!$A:$B,2,0),AW108,1),"")</f>
        <v>S</v>
      </c>
      <c r="AW108" s="3">
        <v>329</v>
      </c>
      <c r="AX108" s="3" t="str">
        <f>IFERROR(MID(VLOOKUP($B108,Seqs!$A:$B,2,0),AY108,1),"")</f>
        <v>C</v>
      </c>
      <c r="AY108" s="3">
        <v>341</v>
      </c>
      <c r="AZ108" s="77" t="str">
        <f>VLOOKUP(B108,Classification!A:D,2,0)</f>
        <v>A</v>
      </c>
      <c r="BA108" s="94" t="str">
        <f>VLOOKUP(B108,Classification!A:D,4,0)</f>
        <v>Adrenoceptors</v>
      </c>
      <c r="BB108" s="27" t="b">
        <f t="shared" si="336"/>
        <v>1</v>
      </c>
      <c r="BC108" s="23">
        <f t="shared" si="477"/>
        <v>241</v>
      </c>
      <c r="BD108" s="4" t="s">
        <v>23</v>
      </c>
      <c r="BE108" s="3" t="s">
        <v>1380</v>
      </c>
      <c r="BF108" s="119">
        <v>2.8</v>
      </c>
      <c r="BG108" s="49" t="s">
        <v>1383</v>
      </c>
      <c r="BH108" s="49" t="s">
        <v>1383</v>
      </c>
      <c r="BI108" s="1"/>
      <c r="BJ108" s="70" t="s">
        <v>1293</v>
      </c>
      <c r="BK108" s="57" t="s">
        <v>1293</v>
      </c>
      <c r="BL108" s="57" t="s">
        <v>1293</v>
      </c>
      <c r="BM108" s="57" t="s">
        <v>1293</v>
      </c>
      <c r="BN108" s="57" t="s">
        <v>1293</v>
      </c>
      <c r="BO108" s="57" t="s">
        <v>1293</v>
      </c>
      <c r="BP108" s="57" t="s">
        <v>1293</v>
      </c>
      <c r="BQ108" s="57" t="s">
        <v>1293</v>
      </c>
      <c r="BR108" s="57" t="s">
        <v>1293</v>
      </c>
      <c r="BS108" s="57" t="s">
        <v>1293</v>
      </c>
      <c r="BT108" s="57" t="s">
        <v>1293</v>
      </c>
      <c r="BU108" s="57" t="s">
        <v>1293</v>
      </c>
      <c r="BV108" s="70">
        <f t="shared" si="478"/>
        <v>32</v>
      </c>
      <c r="BW108" s="71">
        <f t="shared" si="479"/>
        <v>62</v>
      </c>
      <c r="BX108" s="72">
        <f t="shared" si="480"/>
        <v>66</v>
      </c>
      <c r="BY108" s="71">
        <f t="shared" si="481"/>
        <v>98</v>
      </c>
      <c r="BZ108" s="72">
        <f t="shared" si="482"/>
        <v>102</v>
      </c>
      <c r="CA108" s="71" t="str">
        <f t="shared" si="483"/>
        <v>-</v>
      </c>
      <c r="CB108" s="72">
        <f t="shared" si="484"/>
        <v>146</v>
      </c>
      <c r="CC108" s="71">
        <f t="shared" si="485"/>
        <v>191</v>
      </c>
      <c r="CD108" s="72">
        <f t="shared" si="486"/>
        <v>196</v>
      </c>
      <c r="CE108" s="71">
        <f t="shared" si="487"/>
        <v>267</v>
      </c>
      <c r="CF108" s="72">
        <f t="shared" si="488"/>
        <v>304</v>
      </c>
      <c r="CG108" s="71">
        <f t="shared" si="489"/>
        <v>329</v>
      </c>
      <c r="CH108" s="70">
        <f t="shared" si="490"/>
        <v>61</v>
      </c>
      <c r="CI108" s="71">
        <f t="shared" si="491"/>
        <v>65</v>
      </c>
      <c r="CJ108" s="72">
        <f t="shared" si="492"/>
        <v>96</v>
      </c>
      <c r="CK108" s="72">
        <f t="shared" si="493"/>
        <v>101</v>
      </c>
      <c r="CL108" s="72">
        <f t="shared" si="494"/>
        <v>137</v>
      </c>
      <c r="CM108" s="72" t="str">
        <f t="shared" si="495"/>
        <v>-</v>
      </c>
      <c r="CN108" s="72">
        <f t="shared" si="496"/>
        <v>172</v>
      </c>
      <c r="CO108" s="72">
        <f t="shared" si="497"/>
        <v>193</v>
      </c>
      <c r="CP108" s="72">
        <f t="shared" si="498"/>
        <v>229</v>
      </c>
      <c r="CQ108" s="72">
        <f t="shared" si="499"/>
        <v>299</v>
      </c>
      <c r="CR108" s="72">
        <f t="shared" si="500"/>
        <v>328</v>
      </c>
      <c r="CS108" s="72">
        <f t="shared" si="501"/>
        <v>341</v>
      </c>
      <c r="CT108" s="23">
        <f t="shared" si="502"/>
        <v>1</v>
      </c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  <c r="ADW108" s="1"/>
      <c r="ADX108" s="1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1"/>
      <c r="AEK108" s="1"/>
      <c r="AEL108" s="1"/>
      <c r="AEM108" s="1"/>
      <c r="AEN108" s="1"/>
      <c r="AEO108" s="1"/>
      <c r="AEP108" s="1"/>
      <c r="AEQ108" s="1"/>
      <c r="AER108" s="1"/>
      <c r="AES108" s="1"/>
      <c r="AET108" s="1"/>
      <c r="AEU108" s="1"/>
      <c r="AEV108" s="1"/>
      <c r="AEW108" s="1"/>
      <c r="AEX108" s="1"/>
      <c r="AEY108" s="1"/>
      <c r="AEZ108" s="1"/>
      <c r="AFA108" s="1"/>
      <c r="AFB108" s="1"/>
      <c r="AFC108" s="1"/>
      <c r="AFD108" s="1"/>
      <c r="AFE108" s="1"/>
      <c r="AFF108" s="1"/>
      <c r="AFG108" s="1"/>
      <c r="AFH108" s="1"/>
      <c r="AFI108" s="1"/>
      <c r="AFJ108" s="1"/>
      <c r="AFK108" s="1"/>
      <c r="AFL108" s="1"/>
      <c r="AFM108" s="1"/>
      <c r="AFN108" s="1"/>
      <c r="AFO108" s="1"/>
      <c r="AFP108" s="1"/>
      <c r="AFQ108" s="1"/>
      <c r="AFR108" s="1"/>
      <c r="AFS108" s="1"/>
      <c r="AFT108" s="1"/>
      <c r="AFU108" s="1"/>
      <c r="AFV108" s="1"/>
      <c r="AFW108" s="1"/>
      <c r="AFX108" s="1"/>
      <c r="AFY108" s="1"/>
      <c r="AFZ108" s="1"/>
      <c r="AGA108" s="1"/>
      <c r="AGB108" s="1"/>
      <c r="AGC108" s="1"/>
      <c r="AGD108" s="1"/>
      <c r="AGE108" s="1"/>
      <c r="AGF108" s="1"/>
      <c r="AGG108" s="1"/>
      <c r="AGH108" s="1"/>
      <c r="AGI108" s="1"/>
      <c r="AGJ108" s="1"/>
      <c r="AGK108" s="1"/>
      <c r="AGL108" s="1"/>
      <c r="AGM108" s="1"/>
      <c r="AGN108" s="1"/>
      <c r="AGO108" s="1"/>
      <c r="AGP108" s="1"/>
      <c r="AGQ108" s="1"/>
      <c r="AGR108" s="1"/>
      <c r="AGS108" s="1"/>
      <c r="AGT108" s="1"/>
      <c r="AGU108" s="1"/>
      <c r="AGV108" s="1"/>
      <c r="AGW108" s="1"/>
      <c r="AGX108" s="1"/>
      <c r="AGY108" s="1"/>
      <c r="AGZ108" s="1"/>
      <c r="AHA108" s="1"/>
      <c r="AHB108" s="1"/>
      <c r="AHC108" s="1"/>
      <c r="AHD108" s="1"/>
      <c r="AHE108" s="1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1"/>
      <c r="AHQ108" s="1"/>
      <c r="AHR108" s="1"/>
      <c r="AHS108" s="1"/>
      <c r="AHT108" s="1"/>
      <c r="AHU108" s="1"/>
      <c r="AHV108" s="1"/>
      <c r="AHW108" s="1"/>
      <c r="AHX108" s="1"/>
      <c r="AHY108" s="1"/>
      <c r="AHZ108" s="1"/>
      <c r="AIA108" s="1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1"/>
      <c r="AIS108" s="1"/>
      <c r="AIT108" s="1"/>
      <c r="AIU108" s="1"/>
      <c r="AIV108" s="1"/>
      <c r="AIW108" s="1"/>
      <c r="AIX108" s="1"/>
      <c r="AIY108" s="1"/>
      <c r="AIZ108" s="1"/>
      <c r="AJA108" s="1"/>
      <c r="AJB108" s="1"/>
      <c r="AJC108" s="1"/>
      <c r="AJD108" s="1"/>
      <c r="AJE108" s="1"/>
      <c r="AJF108" s="1"/>
      <c r="AJG108" s="1"/>
      <c r="AJH108" s="1"/>
      <c r="AJI108" s="1"/>
      <c r="AJJ108" s="1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1"/>
      <c r="AJW108" s="1"/>
      <c r="AJX108" s="1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1"/>
      <c r="AKN108" s="1"/>
      <c r="AKO108" s="1"/>
      <c r="AKP108" s="1"/>
      <c r="AKQ108" s="1"/>
      <c r="AKR108" s="1"/>
      <c r="AKS108" s="1"/>
      <c r="AKT108" s="1"/>
      <c r="AKU108" s="1"/>
      <c r="AKV108" s="1"/>
      <c r="AKW108" s="1"/>
      <c r="AKX108" s="1"/>
      <c r="AKY108" s="1"/>
      <c r="AKZ108" s="1"/>
      <c r="ALA108" s="1"/>
      <c r="ALB108" s="1"/>
      <c r="ALC108" s="1"/>
      <c r="ALD108" s="1"/>
      <c r="ALE108" s="1"/>
      <c r="ALF108" s="1"/>
      <c r="ALG108" s="1"/>
      <c r="ALH108" s="1"/>
      <c r="ALI108" s="1"/>
      <c r="ALJ108" s="1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1"/>
      <c r="ALV108" s="1"/>
      <c r="ALW108" s="1"/>
      <c r="ALX108" s="1"/>
      <c r="ALY108" s="1"/>
      <c r="ALZ108" s="1"/>
      <c r="AMA108" s="1"/>
      <c r="AMB108" s="1"/>
      <c r="AMC108" s="1"/>
      <c r="AMD108" s="1"/>
      <c r="AME108" s="1"/>
      <c r="AMF108" s="1"/>
      <c r="AMG108" s="1"/>
      <c r="AMH108" s="1"/>
      <c r="AMI108" s="1"/>
      <c r="AMJ108" s="1"/>
      <c r="AMK108" s="1"/>
      <c r="AML108" s="1"/>
      <c r="AMM108" s="1"/>
      <c r="AMN108" s="1"/>
      <c r="AMO108" s="1"/>
    </row>
    <row r="109" spans="1:1029" x14ac:dyDescent="0.2">
      <c r="A109" s="3" t="str">
        <f t="shared" si="335"/>
        <v>adrb2_human_3NY8</v>
      </c>
      <c r="B109" s="3" t="s">
        <v>126</v>
      </c>
      <c r="C109" s="3" t="s">
        <v>1339</v>
      </c>
      <c r="D109" s="3" t="str">
        <f>IFERROR(MID(VLOOKUP($B109,Seqs!$A:$B,2,0),E109,1),"")</f>
        <v>W</v>
      </c>
      <c r="E109" s="3">
        <v>32</v>
      </c>
      <c r="F109" s="3" t="str">
        <f>IFERROR(MID(VLOOKUP($B109,Seqs!$A:$B,2,0),G109,1),"")</f>
        <v>F</v>
      </c>
      <c r="G109" s="3">
        <v>61</v>
      </c>
      <c r="H109" s="3" t="str">
        <f>IFERROR(MID(VLOOKUP($B109,Seqs!$A:$B,2,0),I109,1),"")</f>
        <v>E</v>
      </c>
      <c r="I109" s="23">
        <v>62</v>
      </c>
      <c r="J109" s="3" t="str">
        <f>IFERROR(MID(VLOOKUP($B109,Seqs!$A:$B,2,0),K109,1),"")</f>
        <v>Q</v>
      </c>
      <c r="K109" s="23">
        <v>65</v>
      </c>
      <c r="L109" s="3" t="str">
        <f>IFERROR(MID(VLOOKUP($B109,Seqs!$A:$B,2,0),M109,1),"")</f>
        <v>T</v>
      </c>
      <c r="M109" s="3">
        <v>66</v>
      </c>
      <c r="N109" s="3" t="str">
        <f>IFERROR(MID(VLOOKUP($B109,Seqs!$A:$B,2,0),O109,1),"")</f>
        <v>M</v>
      </c>
      <c r="O109" s="3">
        <v>96</v>
      </c>
      <c r="P109" s="3" t="str">
        <f>IFERROR(MID(VLOOKUP($B109,Seqs!$A:$B,2,0),Q109,1),"")</f>
        <v>M</v>
      </c>
      <c r="Q109" s="3">
        <v>98</v>
      </c>
      <c r="R109" s="3" t="str">
        <f>IFERROR(MID(VLOOKUP($B109,Seqs!$A:$B,2,0),S109,1),"")</f>
        <v>F</v>
      </c>
      <c r="S109" s="3">
        <v>101</v>
      </c>
      <c r="T109" s="3" t="str">
        <f>IFERROR(MID(VLOOKUP($B109,Seqs!$A:$B,2,0),U109,1),"")</f>
        <v>G</v>
      </c>
      <c r="U109" s="3">
        <v>102</v>
      </c>
      <c r="V109" s="3" t="str">
        <f>IFERROR(MID(VLOOKUP($B109,Seqs!$A:$B,2,0),W109,1),"")</f>
        <v>S</v>
      </c>
      <c r="W109" s="3">
        <v>137</v>
      </c>
      <c r="X109" s="3" t="str">
        <f>IFERROR(MID(VLOOKUP($B109,Seqs!$A:$B,2,0),Y109,1),"")</f>
        <v/>
      </c>
      <c r="Y109" s="3" t="s">
        <v>23</v>
      </c>
      <c r="Z109" s="3" t="str">
        <f>IFERROR(MID(VLOOKUP($B109,Seqs!$A:$B,2,0),AA109,1),"")</f>
        <v/>
      </c>
      <c r="AA109" s="3" t="s">
        <v>23</v>
      </c>
      <c r="AB109" s="3" t="str">
        <f>IFERROR(MID(VLOOKUP($B109,Seqs!$A:$B,2,0),AC109,1),"")</f>
        <v>T</v>
      </c>
      <c r="AC109" s="9">
        <v>146</v>
      </c>
      <c r="AD109" s="3" t="str">
        <f>IFERROR(MID(VLOOKUP($B109,Seqs!$A:$B,2,0),AE109,1),"")</f>
        <v>H</v>
      </c>
      <c r="AE109" s="3">
        <v>172</v>
      </c>
      <c r="AF109" s="3" t="str">
        <f>IFERROR(MID(VLOOKUP($B109,Seqs!$A:$B,2,0),AG109,1),"")</f>
        <v>C</v>
      </c>
      <c r="AG109" s="3">
        <v>191</v>
      </c>
      <c r="AH109" s="3" t="str">
        <f>IFERROR(MID(VLOOKUP($B109,Seqs!$A:$B,2,0),AI109,1),"")</f>
        <v>F</v>
      </c>
      <c r="AI109" s="3">
        <v>193</v>
      </c>
      <c r="AJ109" s="3" t="str">
        <f>IFERROR(MID(VLOOKUP($B109,Seqs!$A:$B,2,0),AK109,1),"")</f>
        <v>N</v>
      </c>
      <c r="AK109" s="3">
        <v>196</v>
      </c>
      <c r="AL109" s="3" t="str">
        <f>IFERROR(MID(VLOOKUP($B109,Seqs!$A:$B,2,0),AM109,1),"")</f>
        <v>Q</v>
      </c>
      <c r="AM109" s="3">
        <v>229</v>
      </c>
      <c r="AN109" s="3" t="str">
        <f>IFERROR(MID(VLOOKUP($B109,Seqs!$A:$B,2,0),AO109,1),"")</f>
        <v>K</v>
      </c>
      <c r="AO109" s="3">
        <v>267</v>
      </c>
      <c r="AP109" s="3" t="str">
        <f>IFERROR(MID(VLOOKUP($B109,Seqs!$A:$B,2,0),AQ109,1),"")</f>
        <v>Q</v>
      </c>
      <c r="AQ109" s="3">
        <v>299</v>
      </c>
      <c r="AR109" s="3" t="str">
        <f>IFERROR(MID(VLOOKUP($B109,Seqs!$A:$B,2,0),AS109,1),"")</f>
        <v>R</v>
      </c>
      <c r="AS109" s="3">
        <v>304</v>
      </c>
      <c r="AT109" s="3" t="str">
        <f>IFERROR(MID(VLOOKUP($B109,Seqs!$A:$B,2,0),AU109,1),"")</f>
        <v>R</v>
      </c>
      <c r="AU109" s="3">
        <v>328</v>
      </c>
      <c r="AV109" s="3" t="str">
        <f>IFERROR(MID(VLOOKUP($B109,Seqs!$A:$B,2,0),AW109,1),"")</f>
        <v>S</v>
      </c>
      <c r="AW109" s="3">
        <v>329</v>
      </c>
      <c r="AX109" s="3" t="str">
        <f>IFERROR(MID(VLOOKUP($B109,Seqs!$A:$B,2,0),AY109,1),"")</f>
        <v>C</v>
      </c>
      <c r="AY109" s="3">
        <v>341</v>
      </c>
      <c r="AZ109" s="77" t="str">
        <f>VLOOKUP(B109,Classification!A:D,2,0)</f>
        <v>A</v>
      </c>
      <c r="BA109" s="94" t="str">
        <f>VLOOKUP(B109,Classification!A:D,4,0)</f>
        <v>Adrenoceptors</v>
      </c>
      <c r="BB109" s="27" t="b">
        <f t="shared" si="336"/>
        <v>1</v>
      </c>
      <c r="BC109" s="23">
        <f t="shared" si="477"/>
        <v>241</v>
      </c>
      <c r="BD109" s="4" t="s">
        <v>23</v>
      </c>
      <c r="BE109" s="3" t="s">
        <v>1380</v>
      </c>
      <c r="BF109" s="119">
        <v>2.84</v>
      </c>
      <c r="BG109" s="49" t="s">
        <v>1383</v>
      </c>
      <c r="BH109" s="49" t="s">
        <v>1383</v>
      </c>
      <c r="BI109" s="1"/>
      <c r="BJ109" s="70" t="s">
        <v>1293</v>
      </c>
      <c r="BK109" s="57" t="s">
        <v>1293</v>
      </c>
      <c r="BL109" s="57" t="s">
        <v>1293</v>
      </c>
      <c r="BM109" s="57" t="s">
        <v>1293</v>
      </c>
      <c r="BN109" s="57" t="s">
        <v>1293</v>
      </c>
      <c r="BO109" s="57" t="s">
        <v>1293</v>
      </c>
      <c r="BP109" s="57" t="s">
        <v>1293</v>
      </c>
      <c r="BQ109" s="57" t="s">
        <v>1293</v>
      </c>
      <c r="BR109" s="57" t="s">
        <v>1293</v>
      </c>
      <c r="BS109" s="57" t="s">
        <v>1293</v>
      </c>
      <c r="BT109" s="57" t="s">
        <v>1293</v>
      </c>
      <c r="BU109" s="57" t="s">
        <v>1293</v>
      </c>
      <c r="BV109" s="70">
        <f t="shared" si="478"/>
        <v>32</v>
      </c>
      <c r="BW109" s="71">
        <f t="shared" si="479"/>
        <v>62</v>
      </c>
      <c r="BX109" s="72">
        <f t="shared" si="480"/>
        <v>66</v>
      </c>
      <c r="BY109" s="71">
        <f t="shared" si="481"/>
        <v>98</v>
      </c>
      <c r="BZ109" s="72">
        <f t="shared" si="482"/>
        <v>102</v>
      </c>
      <c r="CA109" s="71" t="str">
        <f t="shared" si="483"/>
        <v>-</v>
      </c>
      <c r="CB109" s="72">
        <f t="shared" si="484"/>
        <v>146</v>
      </c>
      <c r="CC109" s="71">
        <f t="shared" si="485"/>
        <v>191</v>
      </c>
      <c r="CD109" s="72">
        <f t="shared" si="486"/>
        <v>196</v>
      </c>
      <c r="CE109" s="71">
        <f t="shared" si="487"/>
        <v>267</v>
      </c>
      <c r="CF109" s="72">
        <f t="shared" si="488"/>
        <v>304</v>
      </c>
      <c r="CG109" s="71">
        <f t="shared" si="489"/>
        <v>329</v>
      </c>
      <c r="CH109" s="70">
        <f t="shared" si="490"/>
        <v>61</v>
      </c>
      <c r="CI109" s="71">
        <f t="shared" si="491"/>
        <v>65</v>
      </c>
      <c r="CJ109" s="72">
        <f t="shared" si="492"/>
        <v>96</v>
      </c>
      <c r="CK109" s="72">
        <f t="shared" si="493"/>
        <v>101</v>
      </c>
      <c r="CL109" s="72">
        <f t="shared" si="494"/>
        <v>137</v>
      </c>
      <c r="CM109" s="72" t="str">
        <f t="shared" si="495"/>
        <v>-</v>
      </c>
      <c r="CN109" s="72">
        <f t="shared" si="496"/>
        <v>172</v>
      </c>
      <c r="CO109" s="72">
        <f t="shared" si="497"/>
        <v>193</v>
      </c>
      <c r="CP109" s="72">
        <f t="shared" si="498"/>
        <v>229</v>
      </c>
      <c r="CQ109" s="72">
        <f t="shared" si="499"/>
        <v>299</v>
      </c>
      <c r="CR109" s="72">
        <f t="shared" si="500"/>
        <v>328</v>
      </c>
      <c r="CS109" s="72">
        <f t="shared" si="501"/>
        <v>341</v>
      </c>
      <c r="CT109" s="23">
        <f t="shared" si="502"/>
        <v>1</v>
      </c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  <c r="ADW109" s="1"/>
      <c r="ADX109" s="1"/>
      <c r="ADY109" s="1"/>
      <c r="ADZ109" s="1"/>
      <c r="AEA109" s="1"/>
      <c r="AEB109" s="1"/>
      <c r="AEC109" s="1"/>
      <c r="AED109" s="1"/>
      <c r="AEE109" s="1"/>
      <c r="AEF109" s="1"/>
      <c r="AEG109" s="1"/>
      <c r="AEH109" s="1"/>
      <c r="AEI109" s="1"/>
      <c r="AEJ109" s="1"/>
      <c r="AEK109" s="1"/>
      <c r="AEL109" s="1"/>
      <c r="AEM109" s="1"/>
      <c r="AEN109" s="1"/>
      <c r="AEO109" s="1"/>
      <c r="AEP109" s="1"/>
      <c r="AEQ109" s="1"/>
      <c r="AER109" s="1"/>
      <c r="AES109" s="1"/>
      <c r="AET109" s="1"/>
      <c r="AEU109" s="1"/>
      <c r="AEV109" s="1"/>
      <c r="AEW109" s="1"/>
      <c r="AEX109" s="1"/>
      <c r="AEY109" s="1"/>
      <c r="AEZ109" s="1"/>
      <c r="AFA109" s="1"/>
      <c r="AFB109" s="1"/>
      <c r="AFC109" s="1"/>
      <c r="AFD109" s="1"/>
      <c r="AFE109" s="1"/>
      <c r="AFF109" s="1"/>
      <c r="AFG109" s="1"/>
      <c r="AFH109" s="1"/>
      <c r="AFI109" s="1"/>
      <c r="AFJ109" s="1"/>
      <c r="AFK109" s="1"/>
      <c r="AFL109" s="1"/>
      <c r="AFM109" s="1"/>
      <c r="AFN109" s="1"/>
      <c r="AFO109" s="1"/>
      <c r="AFP109" s="1"/>
      <c r="AFQ109" s="1"/>
      <c r="AFR109" s="1"/>
      <c r="AFS109" s="1"/>
      <c r="AFT109" s="1"/>
      <c r="AFU109" s="1"/>
      <c r="AFV109" s="1"/>
      <c r="AFW109" s="1"/>
      <c r="AFX109" s="1"/>
      <c r="AFY109" s="1"/>
      <c r="AFZ109" s="1"/>
      <c r="AGA109" s="1"/>
      <c r="AGB109" s="1"/>
      <c r="AGC109" s="1"/>
      <c r="AGD109" s="1"/>
      <c r="AGE109" s="1"/>
      <c r="AGF109" s="1"/>
      <c r="AGG109" s="1"/>
      <c r="AGH109" s="1"/>
      <c r="AGI109" s="1"/>
      <c r="AGJ109" s="1"/>
      <c r="AGK109" s="1"/>
      <c r="AGL109" s="1"/>
      <c r="AGM109" s="1"/>
      <c r="AGN109" s="1"/>
      <c r="AGO109" s="1"/>
      <c r="AGP109" s="1"/>
      <c r="AGQ109" s="1"/>
      <c r="AGR109" s="1"/>
      <c r="AGS109" s="1"/>
      <c r="AGT109" s="1"/>
      <c r="AGU109" s="1"/>
      <c r="AGV109" s="1"/>
      <c r="AGW109" s="1"/>
      <c r="AGX109" s="1"/>
      <c r="AGY109" s="1"/>
      <c r="AGZ109" s="1"/>
      <c r="AHA109" s="1"/>
      <c r="AHB109" s="1"/>
      <c r="AHC109" s="1"/>
      <c r="AHD109" s="1"/>
      <c r="AHE109" s="1"/>
      <c r="AHF109" s="1"/>
      <c r="AHG109" s="1"/>
      <c r="AHH109" s="1"/>
      <c r="AHI109" s="1"/>
      <c r="AHJ109" s="1"/>
      <c r="AHK109" s="1"/>
      <c r="AHL109" s="1"/>
      <c r="AHM109" s="1"/>
      <c r="AHN109" s="1"/>
      <c r="AHO109" s="1"/>
      <c r="AHP109" s="1"/>
      <c r="AHQ109" s="1"/>
      <c r="AHR109" s="1"/>
      <c r="AHS109" s="1"/>
      <c r="AHT109" s="1"/>
      <c r="AHU109" s="1"/>
      <c r="AHV109" s="1"/>
      <c r="AHW109" s="1"/>
      <c r="AHX109" s="1"/>
      <c r="AHY109" s="1"/>
      <c r="AHZ109" s="1"/>
      <c r="AIA109" s="1"/>
      <c r="AIB109" s="1"/>
      <c r="AIC109" s="1"/>
      <c r="AID109" s="1"/>
      <c r="AIE109" s="1"/>
      <c r="AIF109" s="1"/>
      <c r="AIG109" s="1"/>
      <c r="AIH109" s="1"/>
      <c r="AII109" s="1"/>
      <c r="AIJ109" s="1"/>
      <c r="AIK109" s="1"/>
      <c r="AIL109" s="1"/>
      <c r="AIM109" s="1"/>
      <c r="AIN109" s="1"/>
      <c r="AIO109" s="1"/>
      <c r="AIP109" s="1"/>
      <c r="AIQ109" s="1"/>
      <c r="AIR109" s="1"/>
      <c r="AIS109" s="1"/>
      <c r="AIT109" s="1"/>
      <c r="AIU109" s="1"/>
      <c r="AIV109" s="1"/>
      <c r="AIW109" s="1"/>
      <c r="AIX109" s="1"/>
      <c r="AIY109" s="1"/>
      <c r="AIZ109" s="1"/>
      <c r="AJA109" s="1"/>
      <c r="AJB109" s="1"/>
      <c r="AJC109" s="1"/>
      <c r="AJD109" s="1"/>
      <c r="AJE109" s="1"/>
      <c r="AJF109" s="1"/>
      <c r="AJG109" s="1"/>
      <c r="AJH109" s="1"/>
      <c r="AJI109" s="1"/>
      <c r="AJJ109" s="1"/>
      <c r="AJK109" s="1"/>
      <c r="AJL109" s="1"/>
      <c r="AJM109" s="1"/>
      <c r="AJN109" s="1"/>
      <c r="AJO109" s="1"/>
      <c r="AJP109" s="1"/>
      <c r="AJQ109" s="1"/>
      <c r="AJR109" s="1"/>
      <c r="AJS109" s="1"/>
      <c r="AJT109" s="1"/>
      <c r="AJU109" s="1"/>
      <c r="AJV109" s="1"/>
      <c r="AJW109" s="1"/>
      <c r="AJX109" s="1"/>
      <c r="AJY109" s="1"/>
      <c r="AJZ109" s="1"/>
      <c r="AKA109" s="1"/>
      <c r="AKB109" s="1"/>
      <c r="AKC109" s="1"/>
      <c r="AKD109" s="1"/>
      <c r="AKE109" s="1"/>
      <c r="AKF109" s="1"/>
      <c r="AKG109" s="1"/>
      <c r="AKH109" s="1"/>
      <c r="AKI109" s="1"/>
      <c r="AKJ109" s="1"/>
      <c r="AKK109" s="1"/>
      <c r="AKL109" s="1"/>
      <c r="AKM109" s="1"/>
      <c r="AKN109" s="1"/>
      <c r="AKO109" s="1"/>
      <c r="AKP109" s="1"/>
      <c r="AKQ109" s="1"/>
      <c r="AKR109" s="1"/>
      <c r="AKS109" s="1"/>
      <c r="AKT109" s="1"/>
      <c r="AKU109" s="1"/>
      <c r="AKV109" s="1"/>
      <c r="AKW109" s="1"/>
      <c r="AKX109" s="1"/>
      <c r="AKY109" s="1"/>
      <c r="AKZ109" s="1"/>
      <c r="ALA109" s="1"/>
      <c r="ALB109" s="1"/>
      <c r="ALC109" s="1"/>
      <c r="ALD109" s="1"/>
      <c r="ALE109" s="1"/>
      <c r="ALF109" s="1"/>
      <c r="ALG109" s="1"/>
      <c r="ALH109" s="1"/>
      <c r="ALI109" s="1"/>
      <c r="ALJ109" s="1"/>
      <c r="ALK109" s="1"/>
      <c r="ALL109" s="1"/>
      <c r="ALM109" s="1"/>
      <c r="ALN109" s="1"/>
      <c r="ALO109" s="1"/>
      <c r="ALP109" s="1"/>
      <c r="ALQ109" s="1"/>
      <c r="ALR109" s="1"/>
      <c r="ALS109" s="1"/>
      <c r="ALT109" s="1"/>
      <c r="ALU109" s="1"/>
      <c r="ALV109" s="1"/>
      <c r="ALW109" s="1"/>
      <c r="ALX109" s="1"/>
      <c r="ALY109" s="1"/>
      <c r="ALZ109" s="1"/>
      <c r="AMA109" s="1"/>
      <c r="AMB109" s="1"/>
      <c r="AMC109" s="1"/>
      <c r="AMD109" s="1"/>
      <c r="AME109" s="1"/>
      <c r="AMF109" s="1"/>
      <c r="AMG109" s="1"/>
      <c r="AMH109" s="1"/>
      <c r="AMI109" s="1"/>
      <c r="AMJ109" s="1"/>
      <c r="AMK109" s="1"/>
      <c r="AML109" s="1"/>
      <c r="AMM109" s="1"/>
      <c r="AMN109" s="1"/>
      <c r="AMO109" s="1"/>
    </row>
    <row r="110" spans="1:1029" x14ac:dyDescent="0.2">
      <c r="A110" s="3" t="str">
        <f t="shared" si="335"/>
        <v>adrb2_human_3NY9</v>
      </c>
      <c r="B110" s="3" t="s">
        <v>126</v>
      </c>
      <c r="C110" s="3" t="s">
        <v>1030</v>
      </c>
      <c r="D110" s="3" t="str">
        <f>IFERROR(MID(VLOOKUP($B110,Seqs!$A:$B,2,0),E110,1),"")</f>
        <v>W</v>
      </c>
      <c r="E110" s="3">
        <v>32</v>
      </c>
      <c r="F110" s="3" t="str">
        <f>IFERROR(MID(VLOOKUP($B110,Seqs!$A:$B,2,0),G110,1),"")</f>
        <v>F</v>
      </c>
      <c r="G110" s="3">
        <v>61</v>
      </c>
      <c r="H110" s="3" t="str">
        <f>IFERROR(MID(VLOOKUP($B110,Seqs!$A:$B,2,0),I110,1),"")</f>
        <v>E</v>
      </c>
      <c r="I110" s="23">
        <v>62</v>
      </c>
      <c r="J110" s="3" t="str">
        <f>IFERROR(MID(VLOOKUP($B110,Seqs!$A:$B,2,0),K110,1),"")</f>
        <v>Q</v>
      </c>
      <c r="K110" s="23">
        <v>65</v>
      </c>
      <c r="L110" s="3" t="str">
        <f>IFERROR(MID(VLOOKUP($B110,Seqs!$A:$B,2,0),M110,1),"")</f>
        <v>T</v>
      </c>
      <c r="M110" s="3">
        <v>66</v>
      </c>
      <c r="N110" s="3" t="str">
        <f>IFERROR(MID(VLOOKUP($B110,Seqs!$A:$B,2,0),O110,1),"")</f>
        <v>M</v>
      </c>
      <c r="O110" s="3">
        <v>96</v>
      </c>
      <c r="P110" s="3" t="str">
        <f>IFERROR(MID(VLOOKUP($B110,Seqs!$A:$B,2,0),Q110,1),"")</f>
        <v>M</v>
      </c>
      <c r="Q110" s="3">
        <v>98</v>
      </c>
      <c r="R110" s="3" t="str">
        <f>IFERROR(MID(VLOOKUP($B110,Seqs!$A:$B,2,0),S110,1),"")</f>
        <v>F</v>
      </c>
      <c r="S110" s="3">
        <v>101</v>
      </c>
      <c r="T110" s="3" t="str">
        <f>IFERROR(MID(VLOOKUP($B110,Seqs!$A:$B,2,0),U110,1),"")</f>
        <v>G</v>
      </c>
      <c r="U110" s="3">
        <v>102</v>
      </c>
      <c r="V110" s="3" t="str">
        <f>IFERROR(MID(VLOOKUP($B110,Seqs!$A:$B,2,0),W110,1),"")</f>
        <v>S</v>
      </c>
      <c r="W110" s="3">
        <v>137</v>
      </c>
      <c r="X110" s="3" t="str">
        <f>IFERROR(MID(VLOOKUP($B110,Seqs!$A:$B,2,0),Y110,1),"")</f>
        <v/>
      </c>
      <c r="Y110" s="3" t="s">
        <v>23</v>
      </c>
      <c r="Z110" s="3" t="str">
        <f>IFERROR(MID(VLOOKUP($B110,Seqs!$A:$B,2,0),AA110,1),"")</f>
        <v/>
      </c>
      <c r="AA110" s="3" t="s">
        <v>23</v>
      </c>
      <c r="AB110" s="3" t="str">
        <f>IFERROR(MID(VLOOKUP($B110,Seqs!$A:$B,2,0),AC110,1),"")</f>
        <v>T</v>
      </c>
      <c r="AC110" s="9">
        <v>146</v>
      </c>
      <c r="AD110" s="3" t="str">
        <f>IFERROR(MID(VLOOKUP($B110,Seqs!$A:$B,2,0),AE110,1),"")</f>
        <v>H</v>
      </c>
      <c r="AE110" s="3">
        <v>172</v>
      </c>
      <c r="AF110" s="3" t="str">
        <f>IFERROR(MID(VLOOKUP($B110,Seqs!$A:$B,2,0),AG110,1),"")</f>
        <v>C</v>
      </c>
      <c r="AG110" s="3">
        <v>191</v>
      </c>
      <c r="AH110" s="3" t="str">
        <f>IFERROR(MID(VLOOKUP($B110,Seqs!$A:$B,2,0),AI110,1),"")</f>
        <v>F</v>
      </c>
      <c r="AI110" s="3">
        <v>193</v>
      </c>
      <c r="AJ110" s="3" t="str">
        <f>IFERROR(MID(VLOOKUP($B110,Seqs!$A:$B,2,0),AK110,1),"")</f>
        <v>N</v>
      </c>
      <c r="AK110" s="3">
        <v>196</v>
      </c>
      <c r="AL110" s="3" t="str">
        <f>IFERROR(MID(VLOOKUP($B110,Seqs!$A:$B,2,0),AM110,1),"")</f>
        <v>Q</v>
      </c>
      <c r="AM110" s="3">
        <v>229</v>
      </c>
      <c r="AN110" s="3" t="str">
        <f>IFERROR(MID(VLOOKUP($B110,Seqs!$A:$B,2,0),AO110,1),"")</f>
        <v>K</v>
      </c>
      <c r="AO110" s="3">
        <v>267</v>
      </c>
      <c r="AP110" s="3" t="str">
        <f>IFERROR(MID(VLOOKUP($B110,Seqs!$A:$B,2,0),AQ110,1),"")</f>
        <v>Q</v>
      </c>
      <c r="AQ110" s="3">
        <v>299</v>
      </c>
      <c r="AR110" s="3" t="str">
        <f>IFERROR(MID(VLOOKUP($B110,Seqs!$A:$B,2,0),AS110,1),"")</f>
        <v>R</v>
      </c>
      <c r="AS110" s="3">
        <v>304</v>
      </c>
      <c r="AT110" s="3" t="str">
        <f>IFERROR(MID(VLOOKUP($B110,Seqs!$A:$B,2,0),AU110,1),"")</f>
        <v>R</v>
      </c>
      <c r="AU110" s="3">
        <v>328</v>
      </c>
      <c r="AV110" s="3" t="str">
        <f>IFERROR(MID(VLOOKUP($B110,Seqs!$A:$B,2,0),AW110,1),"")</f>
        <v>S</v>
      </c>
      <c r="AW110" s="3">
        <v>329</v>
      </c>
      <c r="AX110" s="3" t="str">
        <f>IFERROR(MID(VLOOKUP($B110,Seqs!$A:$B,2,0),AY110,1),"")</f>
        <v>C</v>
      </c>
      <c r="AY110" s="3">
        <v>341</v>
      </c>
      <c r="AZ110" s="77" t="str">
        <f>VLOOKUP(B110,Classification!A:D,2,0)</f>
        <v>A</v>
      </c>
      <c r="BA110" s="94" t="str">
        <f>VLOOKUP(B110,Classification!A:D,4,0)</f>
        <v>Adrenoceptors</v>
      </c>
      <c r="BB110" s="27" t="b">
        <f t="shared" si="336"/>
        <v>1</v>
      </c>
      <c r="BC110" s="23">
        <f t="shared" si="477"/>
        <v>241</v>
      </c>
      <c r="BD110" s="4" t="s">
        <v>23</v>
      </c>
      <c r="BE110" s="3" t="s">
        <v>1380</v>
      </c>
      <c r="BF110" s="119">
        <v>2.84</v>
      </c>
      <c r="BG110" s="49" t="s">
        <v>1383</v>
      </c>
      <c r="BH110" s="49" t="s">
        <v>1383</v>
      </c>
      <c r="BI110" s="1"/>
      <c r="BJ110" s="70" t="s">
        <v>1293</v>
      </c>
      <c r="BK110" s="57" t="s">
        <v>1293</v>
      </c>
      <c r="BL110" s="57" t="s">
        <v>1293</v>
      </c>
      <c r="BM110" s="57" t="s">
        <v>1293</v>
      </c>
      <c r="BN110" s="57" t="s">
        <v>1293</v>
      </c>
      <c r="BO110" s="57" t="s">
        <v>1293</v>
      </c>
      <c r="BP110" s="57" t="s">
        <v>1293</v>
      </c>
      <c r="BQ110" s="57" t="s">
        <v>1293</v>
      </c>
      <c r="BR110" s="57" t="s">
        <v>1293</v>
      </c>
      <c r="BS110" s="57" t="s">
        <v>1293</v>
      </c>
      <c r="BT110" s="57" t="s">
        <v>1293</v>
      </c>
      <c r="BU110" s="57" t="s">
        <v>1293</v>
      </c>
      <c r="BV110" s="70">
        <f t="shared" si="478"/>
        <v>32</v>
      </c>
      <c r="BW110" s="71">
        <f t="shared" si="479"/>
        <v>62</v>
      </c>
      <c r="BX110" s="72">
        <f t="shared" si="480"/>
        <v>66</v>
      </c>
      <c r="BY110" s="71">
        <f t="shared" si="481"/>
        <v>98</v>
      </c>
      <c r="BZ110" s="72">
        <f t="shared" si="482"/>
        <v>102</v>
      </c>
      <c r="CA110" s="71" t="str">
        <f t="shared" si="483"/>
        <v>-</v>
      </c>
      <c r="CB110" s="72">
        <f t="shared" si="484"/>
        <v>146</v>
      </c>
      <c r="CC110" s="71">
        <f t="shared" si="485"/>
        <v>191</v>
      </c>
      <c r="CD110" s="72">
        <f t="shared" si="486"/>
        <v>196</v>
      </c>
      <c r="CE110" s="71">
        <f t="shared" si="487"/>
        <v>267</v>
      </c>
      <c r="CF110" s="72">
        <f t="shared" si="488"/>
        <v>304</v>
      </c>
      <c r="CG110" s="71">
        <f t="shared" si="489"/>
        <v>329</v>
      </c>
      <c r="CH110" s="70">
        <f t="shared" si="490"/>
        <v>61</v>
      </c>
      <c r="CI110" s="71">
        <f t="shared" si="491"/>
        <v>65</v>
      </c>
      <c r="CJ110" s="72">
        <f t="shared" si="492"/>
        <v>96</v>
      </c>
      <c r="CK110" s="72">
        <f t="shared" si="493"/>
        <v>101</v>
      </c>
      <c r="CL110" s="72">
        <f t="shared" si="494"/>
        <v>137</v>
      </c>
      <c r="CM110" s="72" t="str">
        <f t="shared" si="495"/>
        <v>-</v>
      </c>
      <c r="CN110" s="72">
        <f t="shared" si="496"/>
        <v>172</v>
      </c>
      <c r="CO110" s="72">
        <f t="shared" si="497"/>
        <v>193</v>
      </c>
      <c r="CP110" s="72">
        <f t="shared" si="498"/>
        <v>229</v>
      </c>
      <c r="CQ110" s="72">
        <f t="shared" si="499"/>
        <v>299</v>
      </c>
      <c r="CR110" s="72">
        <f t="shared" si="500"/>
        <v>328</v>
      </c>
      <c r="CS110" s="72">
        <f t="shared" si="501"/>
        <v>341</v>
      </c>
      <c r="CT110" s="23">
        <f t="shared" si="502"/>
        <v>1</v>
      </c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  <c r="ADW110" s="1"/>
      <c r="ADX110" s="1"/>
      <c r="ADY110" s="1"/>
      <c r="ADZ110" s="1"/>
      <c r="AEA110" s="1"/>
      <c r="AEB110" s="1"/>
      <c r="AEC110" s="1"/>
      <c r="AED110" s="1"/>
      <c r="AEE110" s="1"/>
      <c r="AEF110" s="1"/>
      <c r="AEG110" s="1"/>
      <c r="AEH110" s="1"/>
      <c r="AEI110" s="1"/>
      <c r="AEJ110" s="1"/>
      <c r="AEK110" s="1"/>
      <c r="AEL110" s="1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1"/>
      <c r="AFE110" s="1"/>
      <c r="AFF110" s="1"/>
      <c r="AFG110" s="1"/>
      <c r="AFH110" s="1"/>
      <c r="AFI110" s="1"/>
      <c r="AFJ110" s="1"/>
      <c r="AFK110" s="1"/>
      <c r="AFL110" s="1"/>
      <c r="AFM110" s="1"/>
      <c r="AFN110" s="1"/>
      <c r="AFO110" s="1"/>
      <c r="AFP110" s="1"/>
      <c r="AFQ110" s="1"/>
      <c r="AFR110" s="1"/>
      <c r="AFS110" s="1"/>
      <c r="AFT110" s="1"/>
      <c r="AFU110" s="1"/>
      <c r="AFV110" s="1"/>
      <c r="AFW110" s="1"/>
      <c r="AFX110" s="1"/>
      <c r="AFY110" s="1"/>
      <c r="AFZ110" s="1"/>
      <c r="AGA110" s="1"/>
      <c r="AGB110" s="1"/>
      <c r="AGC110" s="1"/>
      <c r="AGD110" s="1"/>
      <c r="AGE110" s="1"/>
      <c r="AGF110" s="1"/>
      <c r="AGG110" s="1"/>
      <c r="AGH110" s="1"/>
      <c r="AGI110" s="1"/>
      <c r="AGJ110" s="1"/>
      <c r="AGK110" s="1"/>
      <c r="AGL110" s="1"/>
      <c r="AGM110" s="1"/>
      <c r="AGN110" s="1"/>
      <c r="AGO110" s="1"/>
      <c r="AGP110" s="1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1"/>
      <c r="AHD110" s="1"/>
      <c r="AHE110" s="1"/>
      <c r="AHF110" s="1"/>
      <c r="AHG110" s="1"/>
      <c r="AHH110" s="1"/>
      <c r="AHI110" s="1"/>
      <c r="AHJ110" s="1"/>
      <c r="AHK110" s="1"/>
      <c r="AHL110" s="1"/>
      <c r="AHM110" s="1"/>
      <c r="AHN110" s="1"/>
      <c r="AHO110" s="1"/>
      <c r="AHP110" s="1"/>
      <c r="AHQ110" s="1"/>
      <c r="AHR110" s="1"/>
      <c r="AHS110" s="1"/>
      <c r="AHT110" s="1"/>
      <c r="AHU110" s="1"/>
      <c r="AHV110" s="1"/>
      <c r="AHW110" s="1"/>
      <c r="AHX110" s="1"/>
      <c r="AHY110" s="1"/>
      <c r="AHZ110" s="1"/>
      <c r="AIA110" s="1"/>
      <c r="AIB110" s="1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1"/>
      <c r="AIQ110" s="1"/>
      <c r="AIR110" s="1"/>
      <c r="AIS110" s="1"/>
      <c r="AIT110" s="1"/>
      <c r="AIU110" s="1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1"/>
      <c r="AJG110" s="1"/>
      <c r="AJH110" s="1"/>
      <c r="AJI110" s="1"/>
      <c r="AJJ110" s="1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1"/>
      <c r="AJX110" s="1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1"/>
      <c r="AKR110" s="1"/>
      <c r="AKS110" s="1"/>
      <c r="AKT110" s="1"/>
      <c r="AKU110" s="1"/>
      <c r="AKV110" s="1"/>
      <c r="AKW110" s="1"/>
      <c r="AKX110" s="1"/>
      <c r="AKY110" s="1"/>
      <c r="AKZ110" s="1"/>
      <c r="ALA110" s="1"/>
      <c r="ALB110" s="1"/>
      <c r="ALC110" s="1"/>
      <c r="ALD110" s="1"/>
      <c r="ALE110" s="1"/>
      <c r="ALF110" s="1"/>
      <c r="ALG110" s="1"/>
      <c r="ALH110" s="1"/>
      <c r="ALI110" s="1"/>
      <c r="ALJ110" s="1"/>
      <c r="ALK110" s="1"/>
      <c r="ALL110" s="1"/>
      <c r="ALM110" s="1"/>
      <c r="ALN110" s="1"/>
      <c r="ALO110" s="1"/>
      <c r="ALP110" s="1"/>
      <c r="ALQ110" s="1"/>
      <c r="ALR110" s="1"/>
      <c r="ALS110" s="1"/>
      <c r="ALT110" s="1"/>
      <c r="ALU110" s="1"/>
      <c r="ALV110" s="1"/>
      <c r="ALW110" s="1"/>
      <c r="ALX110" s="1"/>
      <c r="ALY110" s="1"/>
      <c r="ALZ110" s="1"/>
      <c r="AMA110" s="1"/>
      <c r="AMB110" s="1"/>
      <c r="AMC110" s="1"/>
      <c r="AMD110" s="1"/>
      <c r="AME110" s="1"/>
      <c r="AMF110" s="1"/>
      <c r="AMG110" s="1"/>
      <c r="AMH110" s="1"/>
      <c r="AMI110" s="1"/>
      <c r="AMJ110" s="1"/>
      <c r="AMK110" s="1"/>
      <c r="AML110" s="1"/>
      <c r="AMM110" s="1"/>
      <c r="AMN110" s="1"/>
      <c r="AMO110" s="1"/>
    </row>
    <row r="111" spans="1:1029" x14ac:dyDescent="0.2">
      <c r="A111" s="3" t="str">
        <f t="shared" si="335"/>
        <v>adrb2_human_3NYA</v>
      </c>
      <c r="B111" s="3" t="s">
        <v>126</v>
      </c>
      <c r="C111" s="3" t="s">
        <v>1340</v>
      </c>
      <c r="D111" s="3" t="str">
        <f>IFERROR(MID(VLOOKUP($B111,Seqs!$A:$B,2,0),E111,1),"")</f>
        <v>W</v>
      </c>
      <c r="E111" s="3">
        <v>32</v>
      </c>
      <c r="F111" s="3" t="str">
        <f>IFERROR(MID(VLOOKUP($B111,Seqs!$A:$B,2,0),G111,1),"")</f>
        <v>F</v>
      </c>
      <c r="G111" s="3">
        <v>61</v>
      </c>
      <c r="H111" s="3" t="str">
        <f>IFERROR(MID(VLOOKUP($B111,Seqs!$A:$B,2,0),I111,1),"")</f>
        <v>E</v>
      </c>
      <c r="I111" s="23">
        <v>62</v>
      </c>
      <c r="J111" s="3" t="str">
        <f>IFERROR(MID(VLOOKUP($B111,Seqs!$A:$B,2,0),K111,1),"")</f>
        <v>Q</v>
      </c>
      <c r="K111" s="23">
        <v>65</v>
      </c>
      <c r="L111" s="3" t="str">
        <f>IFERROR(MID(VLOOKUP($B111,Seqs!$A:$B,2,0),M111,1),"")</f>
        <v>T</v>
      </c>
      <c r="M111" s="3">
        <v>66</v>
      </c>
      <c r="N111" s="3" t="str">
        <f>IFERROR(MID(VLOOKUP($B111,Seqs!$A:$B,2,0),O111,1),"")</f>
        <v>M</v>
      </c>
      <c r="O111" s="3">
        <v>96</v>
      </c>
      <c r="P111" s="3" t="str">
        <f>IFERROR(MID(VLOOKUP($B111,Seqs!$A:$B,2,0),Q111,1),"")</f>
        <v>M</v>
      </c>
      <c r="Q111" s="3">
        <v>98</v>
      </c>
      <c r="R111" s="3" t="str">
        <f>IFERROR(MID(VLOOKUP($B111,Seqs!$A:$B,2,0),S111,1),"")</f>
        <v>F</v>
      </c>
      <c r="S111" s="3">
        <v>101</v>
      </c>
      <c r="T111" s="3" t="str">
        <f>IFERROR(MID(VLOOKUP($B111,Seqs!$A:$B,2,0),U111,1),"")</f>
        <v>G</v>
      </c>
      <c r="U111" s="3">
        <v>102</v>
      </c>
      <c r="V111" s="3" t="str">
        <f>IFERROR(MID(VLOOKUP($B111,Seqs!$A:$B,2,0),W111,1),"")</f>
        <v>S</v>
      </c>
      <c r="W111" s="3">
        <v>137</v>
      </c>
      <c r="X111" s="3" t="str">
        <f>IFERROR(MID(VLOOKUP($B111,Seqs!$A:$B,2,0),Y111,1),"")</f>
        <v/>
      </c>
      <c r="Y111" s="3" t="s">
        <v>23</v>
      </c>
      <c r="Z111" s="3" t="str">
        <f>IFERROR(MID(VLOOKUP($B111,Seqs!$A:$B,2,0),AA111,1),"")</f>
        <v/>
      </c>
      <c r="AA111" s="3" t="s">
        <v>23</v>
      </c>
      <c r="AB111" s="3" t="str">
        <f>IFERROR(MID(VLOOKUP($B111,Seqs!$A:$B,2,0),AC111,1),"")</f>
        <v>T</v>
      </c>
      <c r="AC111" s="9">
        <v>146</v>
      </c>
      <c r="AD111" s="3" t="str">
        <f>IFERROR(MID(VLOOKUP($B111,Seqs!$A:$B,2,0),AE111,1),"")</f>
        <v>H</v>
      </c>
      <c r="AE111" s="3">
        <v>172</v>
      </c>
      <c r="AF111" s="3" t="str">
        <f>IFERROR(MID(VLOOKUP($B111,Seqs!$A:$B,2,0),AG111,1),"")</f>
        <v>C</v>
      </c>
      <c r="AG111" s="3">
        <v>191</v>
      </c>
      <c r="AH111" s="3" t="str">
        <f>IFERROR(MID(VLOOKUP($B111,Seqs!$A:$B,2,0),AI111,1),"")</f>
        <v>F</v>
      </c>
      <c r="AI111" s="3">
        <v>193</v>
      </c>
      <c r="AJ111" s="3" t="str">
        <f>IFERROR(MID(VLOOKUP($B111,Seqs!$A:$B,2,0),AK111,1),"")</f>
        <v>N</v>
      </c>
      <c r="AK111" s="3">
        <v>196</v>
      </c>
      <c r="AL111" s="3" t="str">
        <f>IFERROR(MID(VLOOKUP($B111,Seqs!$A:$B,2,0),AM111,1),"")</f>
        <v>Q</v>
      </c>
      <c r="AM111" s="3">
        <v>229</v>
      </c>
      <c r="AN111" s="3" t="str">
        <f>IFERROR(MID(VLOOKUP($B111,Seqs!$A:$B,2,0),AO111,1),"")</f>
        <v>K</v>
      </c>
      <c r="AO111" s="3">
        <v>267</v>
      </c>
      <c r="AP111" s="3" t="str">
        <f>IFERROR(MID(VLOOKUP($B111,Seqs!$A:$B,2,0),AQ111,1),"")</f>
        <v>Q</v>
      </c>
      <c r="AQ111" s="3">
        <v>299</v>
      </c>
      <c r="AR111" s="3" t="str">
        <f>IFERROR(MID(VLOOKUP($B111,Seqs!$A:$B,2,0),AS111,1),"")</f>
        <v>R</v>
      </c>
      <c r="AS111" s="3">
        <v>304</v>
      </c>
      <c r="AT111" s="3" t="str">
        <f>IFERROR(MID(VLOOKUP($B111,Seqs!$A:$B,2,0),AU111,1),"")</f>
        <v>R</v>
      </c>
      <c r="AU111" s="3">
        <v>328</v>
      </c>
      <c r="AV111" s="3" t="str">
        <f>IFERROR(MID(VLOOKUP($B111,Seqs!$A:$B,2,0),AW111,1),"")</f>
        <v>S</v>
      </c>
      <c r="AW111" s="3">
        <v>329</v>
      </c>
      <c r="AX111" s="3" t="str">
        <f>IFERROR(MID(VLOOKUP($B111,Seqs!$A:$B,2,0),AY111,1),"")</f>
        <v>C</v>
      </c>
      <c r="AY111" s="3">
        <v>341</v>
      </c>
      <c r="AZ111" s="77" t="str">
        <f>VLOOKUP(B111,Classification!A:D,2,0)</f>
        <v>A</v>
      </c>
      <c r="BA111" s="94" t="str">
        <f>VLOOKUP(B111,Classification!A:D,4,0)</f>
        <v>Adrenoceptors</v>
      </c>
      <c r="BB111" s="27" t="b">
        <f t="shared" si="336"/>
        <v>1</v>
      </c>
      <c r="BC111" s="23">
        <f t="shared" si="477"/>
        <v>241</v>
      </c>
      <c r="BD111" s="4" t="s">
        <v>23</v>
      </c>
      <c r="BE111" s="3" t="s">
        <v>1380</v>
      </c>
      <c r="BF111" s="119">
        <v>3.16</v>
      </c>
      <c r="BG111" s="49" t="s">
        <v>1383</v>
      </c>
      <c r="BH111" s="49" t="s">
        <v>1383</v>
      </c>
      <c r="BI111" s="1"/>
      <c r="BJ111" s="70" t="s">
        <v>1293</v>
      </c>
      <c r="BK111" s="57" t="s">
        <v>1293</v>
      </c>
      <c r="BL111" s="57" t="s">
        <v>1293</v>
      </c>
      <c r="BM111" s="57" t="s">
        <v>1293</v>
      </c>
      <c r="BN111" s="57" t="s">
        <v>1293</v>
      </c>
      <c r="BO111" s="57" t="s">
        <v>1293</v>
      </c>
      <c r="BP111" s="57" t="s">
        <v>1293</v>
      </c>
      <c r="BQ111" s="57" t="s">
        <v>1293</v>
      </c>
      <c r="BR111" s="57" t="s">
        <v>1293</v>
      </c>
      <c r="BS111" s="57" t="s">
        <v>1293</v>
      </c>
      <c r="BT111" s="57" t="s">
        <v>1293</v>
      </c>
      <c r="BU111" s="57" t="s">
        <v>1293</v>
      </c>
      <c r="BV111" s="70">
        <f t="shared" si="478"/>
        <v>32</v>
      </c>
      <c r="BW111" s="71">
        <f t="shared" si="479"/>
        <v>62</v>
      </c>
      <c r="BX111" s="72">
        <f t="shared" si="480"/>
        <v>66</v>
      </c>
      <c r="BY111" s="71">
        <f t="shared" si="481"/>
        <v>98</v>
      </c>
      <c r="BZ111" s="72">
        <f t="shared" si="482"/>
        <v>102</v>
      </c>
      <c r="CA111" s="71" t="str">
        <f t="shared" si="483"/>
        <v>-</v>
      </c>
      <c r="CB111" s="72">
        <f t="shared" si="484"/>
        <v>146</v>
      </c>
      <c r="CC111" s="71">
        <f t="shared" si="485"/>
        <v>191</v>
      </c>
      <c r="CD111" s="72">
        <f t="shared" si="486"/>
        <v>196</v>
      </c>
      <c r="CE111" s="71">
        <f t="shared" si="487"/>
        <v>267</v>
      </c>
      <c r="CF111" s="72">
        <f t="shared" si="488"/>
        <v>304</v>
      </c>
      <c r="CG111" s="71">
        <f t="shared" si="489"/>
        <v>329</v>
      </c>
      <c r="CH111" s="70">
        <f t="shared" si="490"/>
        <v>61</v>
      </c>
      <c r="CI111" s="71">
        <f t="shared" si="491"/>
        <v>65</v>
      </c>
      <c r="CJ111" s="72">
        <f t="shared" si="492"/>
        <v>96</v>
      </c>
      <c r="CK111" s="72">
        <f t="shared" si="493"/>
        <v>101</v>
      </c>
      <c r="CL111" s="72">
        <f t="shared" si="494"/>
        <v>137</v>
      </c>
      <c r="CM111" s="72" t="str">
        <f t="shared" si="495"/>
        <v>-</v>
      </c>
      <c r="CN111" s="72">
        <f t="shared" si="496"/>
        <v>172</v>
      </c>
      <c r="CO111" s="72">
        <f t="shared" si="497"/>
        <v>193</v>
      </c>
      <c r="CP111" s="72">
        <f t="shared" si="498"/>
        <v>229</v>
      </c>
      <c r="CQ111" s="72">
        <f t="shared" si="499"/>
        <v>299</v>
      </c>
      <c r="CR111" s="72">
        <f t="shared" si="500"/>
        <v>328</v>
      </c>
      <c r="CS111" s="72">
        <f t="shared" si="501"/>
        <v>341</v>
      </c>
      <c r="CT111" s="23">
        <f t="shared" si="502"/>
        <v>1</v>
      </c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  <c r="ADW111" s="1"/>
      <c r="ADX111" s="1"/>
      <c r="ADY111" s="1"/>
      <c r="ADZ111" s="1"/>
      <c r="AEA111" s="1"/>
      <c r="AEB111" s="1"/>
      <c r="AEC111" s="1"/>
      <c r="AED111" s="1"/>
      <c r="AEE111" s="1"/>
      <c r="AEF111" s="1"/>
      <c r="AEG111" s="1"/>
      <c r="AEH111" s="1"/>
      <c r="AEI111" s="1"/>
      <c r="AEJ111" s="1"/>
      <c r="AEK111" s="1"/>
      <c r="AEL111" s="1"/>
      <c r="AEM111" s="1"/>
      <c r="AEN111" s="1"/>
      <c r="AEO111" s="1"/>
      <c r="AEP111" s="1"/>
      <c r="AEQ111" s="1"/>
      <c r="AER111" s="1"/>
      <c r="AES111" s="1"/>
      <c r="AET111" s="1"/>
      <c r="AEU111" s="1"/>
      <c r="AEV111" s="1"/>
      <c r="AEW111" s="1"/>
      <c r="AEX111" s="1"/>
      <c r="AEY111" s="1"/>
      <c r="AEZ111" s="1"/>
      <c r="AFA111" s="1"/>
      <c r="AFB111" s="1"/>
      <c r="AFC111" s="1"/>
      <c r="AFD111" s="1"/>
      <c r="AFE111" s="1"/>
      <c r="AFF111" s="1"/>
      <c r="AFG111" s="1"/>
      <c r="AFH111" s="1"/>
      <c r="AFI111" s="1"/>
      <c r="AFJ111" s="1"/>
      <c r="AFK111" s="1"/>
      <c r="AFL111" s="1"/>
      <c r="AFM111" s="1"/>
      <c r="AFN111" s="1"/>
      <c r="AFO111" s="1"/>
      <c r="AFP111" s="1"/>
      <c r="AFQ111" s="1"/>
      <c r="AFR111" s="1"/>
      <c r="AFS111" s="1"/>
      <c r="AFT111" s="1"/>
      <c r="AFU111" s="1"/>
      <c r="AFV111" s="1"/>
      <c r="AFW111" s="1"/>
      <c r="AFX111" s="1"/>
      <c r="AFY111" s="1"/>
      <c r="AFZ111" s="1"/>
      <c r="AGA111" s="1"/>
      <c r="AGB111" s="1"/>
      <c r="AGC111" s="1"/>
      <c r="AGD111" s="1"/>
      <c r="AGE111" s="1"/>
      <c r="AGF111" s="1"/>
      <c r="AGG111" s="1"/>
      <c r="AGH111" s="1"/>
      <c r="AGI111" s="1"/>
      <c r="AGJ111" s="1"/>
      <c r="AGK111" s="1"/>
      <c r="AGL111" s="1"/>
      <c r="AGM111" s="1"/>
      <c r="AGN111" s="1"/>
      <c r="AGO111" s="1"/>
      <c r="AGP111" s="1"/>
      <c r="AGQ111" s="1"/>
      <c r="AGR111" s="1"/>
      <c r="AGS111" s="1"/>
      <c r="AGT111" s="1"/>
      <c r="AGU111" s="1"/>
      <c r="AGV111" s="1"/>
      <c r="AGW111" s="1"/>
      <c r="AGX111" s="1"/>
      <c r="AGY111" s="1"/>
      <c r="AGZ111" s="1"/>
      <c r="AHA111" s="1"/>
      <c r="AHB111" s="1"/>
      <c r="AHC111" s="1"/>
      <c r="AHD111" s="1"/>
      <c r="AHE111" s="1"/>
      <c r="AHF111" s="1"/>
      <c r="AHG111" s="1"/>
      <c r="AHH111" s="1"/>
      <c r="AHI111" s="1"/>
      <c r="AHJ111" s="1"/>
      <c r="AHK111" s="1"/>
      <c r="AHL111" s="1"/>
      <c r="AHM111" s="1"/>
      <c r="AHN111" s="1"/>
      <c r="AHO111" s="1"/>
      <c r="AHP111" s="1"/>
      <c r="AHQ111" s="1"/>
      <c r="AHR111" s="1"/>
      <c r="AHS111" s="1"/>
      <c r="AHT111" s="1"/>
      <c r="AHU111" s="1"/>
      <c r="AHV111" s="1"/>
      <c r="AHW111" s="1"/>
      <c r="AHX111" s="1"/>
      <c r="AHY111" s="1"/>
      <c r="AHZ111" s="1"/>
      <c r="AIA111" s="1"/>
      <c r="AIB111" s="1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1"/>
      <c r="AIQ111" s="1"/>
      <c r="AIR111" s="1"/>
      <c r="AIS111" s="1"/>
      <c r="AIT111" s="1"/>
      <c r="AIU111" s="1"/>
      <c r="AIV111" s="1"/>
      <c r="AIW111" s="1"/>
      <c r="AIX111" s="1"/>
      <c r="AIY111" s="1"/>
      <c r="AIZ111" s="1"/>
      <c r="AJA111" s="1"/>
      <c r="AJB111" s="1"/>
      <c r="AJC111" s="1"/>
      <c r="AJD111" s="1"/>
      <c r="AJE111" s="1"/>
      <c r="AJF111" s="1"/>
      <c r="AJG111" s="1"/>
      <c r="AJH111" s="1"/>
      <c r="AJI111" s="1"/>
      <c r="AJJ111" s="1"/>
      <c r="AJK111" s="1"/>
      <c r="AJL111" s="1"/>
      <c r="AJM111" s="1"/>
      <c r="AJN111" s="1"/>
      <c r="AJO111" s="1"/>
      <c r="AJP111" s="1"/>
      <c r="AJQ111" s="1"/>
      <c r="AJR111" s="1"/>
      <c r="AJS111" s="1"/>
      <c r="AJT111" s="1"/>
      <c r="AJU111" s="1"/>
      <c r="AJV111" s="1"/>
      <c r="AJW111" s="1"/>
      <c r="AJX111" s="1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1"/>
      <c r="AKN111" s="1"/>
      <c r="AKO111" s="1"/>
      <c r="AKP111" s="1"/>
      <c r="AKQ111" s="1"/>
      <c r="AKR111" s="1"/>
      <c r="AKS111" s="1"/>
      <c r="AKT111" s="1"/>
      <c r="AKU111" s="1"/>
      <c r="AKV111" s="1"/>
      <c r="AKW111" s="1"/>
      <c r="AKX111" s="1"/>
      <c r="AKY111" s="1"/>
      <c r="AKZ111" s="1"/>
      <c r="ALA111" s="1"/>
      <c r="ALB111" s="1"/>
      <c r="ALC111" s="1"/>
      <c r="ALD111" s="1"/>
      <c r="ALE111" s="1"/>
      <c r="ALF111" s="1"/>
      <c r="ALG111" s="1"/>
      <c r="ALH111" s="1"/>
      <c r="ALI111" s="1"/>
      <c r="ALJ111" s="1"/>
      <c r="ALK111" s="1"/>
      <c r="ALL111" s="1"/>
      <c r="ALM111" s="1"/>
      <c r="ALN111" s="1"/>
      <c r="ALO111" s="1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1"/>
      <c r="AMA111" s="1"/>
      <c r="AMB111" s="1"/>
      <c r="AMC111" s="1"/>
      <c r="AMD111" s="1"/>
      <c r="AME111" s="1"/>
      <c r="AMF111" s="1"/>
      <c r="AMG111" s="1"/>
      <c r="AMH111" s="1"/>
      <c r="AMI111" s="1"/>
      <c r="AMJ111" s="1"/>
      <c r="AMK111" s="1"/>
      <c r="AML111" s="1"/>
      <c r="AMM111" s="1"/>
      <c r="AMN111" s="1"/>
      <c r="AMO111" s="1"/>
    </row>
    <row r="112" spans="1:1029" x14ac:dyDescent="0.2">
      <c r="A112" s="3" t="str">
        <f t="shared" si="335"/>
        <v>adrb2_human_3P0G</v>
      </c>
      <c r="B112" s="3" t="s">
        <v>126</v>
      </c>
      <c r="C112" s="3" t="s">
        <v>66</v>
      </c>
      <c r="D112" s="3" t="str">
        <f>IFERROR(MID(VLOOKUP($B112,Seqs!$A:$B,2,0),E112,1),"")</f>
        <v>Q</v>
      </c>
      <c r="E112" s="3">
        <v>26</v>
      </c>
      <c r="F112" s="3" t="str">
        <f>IFERROR(MID(VLOOKUP($B112,Seqs!$A:$B,2,0),G112,1),"")</f>
        <v>F</v>
      </c>
      <c r="G112" s="3">
        <v>61</v>
      </c>
      <c r="H112" s="3" t="str">
        <f>IFERROR(MID(VLOOKUP($B112,Seqs!$A:$B,2,0),I112,1),"")</f>
        <v>E</v>
      </c>
      <c r="I112" s="23">
        <v>62</v>
      </c>
      <c r="J112" s="3" t="str">
        <f>IFERROR(MID(VLOOKUP($B112,Seqs!$A:$B,2,0),K112,1),"")</f>
        <v>Q</v>
      </c>
      <c r="K112" s="23">
        <v>65</v>
      </c>
      <c r="L112" s="3" t="str">
        <f>IFERROR(MID(VLOOKUP($B112,Seqs!$A:$B,2,0),M112,1),"")</f>
        <v>T</v>
      </c>
      <c r="M112" s="3">
        <v>66</v>
      </c>
      <c r="N112" s="3" t="str">
        <f>IFERROR(MID(VLOOKUP($B112,Seqs!$A:$B,2,0),O112,1),"")</f>
        <v>M</v>
      </c>
      <c r="O112" s="3">
        <v>96</v>
      </c>
      <c r="P112" s="3" t="str">
        <f>IFERROR(MID(VLOOKUP($B112,Seqs!$A:$B,2,0),Q112,1),"")</f>
        <v>M</v>
      </c>
      <c r="Q112" s="3">
        <v>98</v>
      </c>
      <c r="R112" s="3" t="str">
        <f>IFERROR(MID(VLOOKUP($B112,Seqs!$A:$B,2,0),S112,1),"")</f>
        <v>F</v>
      </c>
      <c r="S112" s="3">
        <v>101</v>
      </c>
      <c r="T112" s="3" t="str">
        <f>IFERROR(MID(VLOOKUP($B112,Seqs!$A:$B,2,0),U112,1),"")</f>
        <v>G</v>
      </c>
      <c r="U112" s="3">
        <v>102</v>
      </c>
      <c r="V112" s="3" t="str">
        <f>IFERROR(MID(VLOOKUP($B112,Seqs!$A:$B,2,0),W112,1),"")</f>
        <v>S</v>
      </c>
      <c r="W112" s="3">
        <v>137</v>
      </c>
      <c r="X112" s="3" t="str">
        <f>IFERROR(MID(VLOOKUP($B112,Seqs!$A:$B,2,0),Y112,1),"")</f>
        <v>P</v>
      </c>
      <c r="Y112" s="3">
        <v>138</v>
      </c>
      <c r="Z112" s="3" t="str">
        <f>IFERROR(MID(VLOOKUP($B112,Seqs!$A:$B,2,0),AA112,1),"")</f>
        <v>L</v>
      </c>
      <c r="AA112" s="3">
        <v>145</v>
      </c>
      <c r="AB112" s="3" t="str">
        <f>IFERROR(MID(VLOOKUP($B112,Seqs!$A:$B,2,0),AC112,1),"")</f>
        <v>T</v>
      </c>
      <c r="AC112" s="9">
        <v>146</v>
      </c>
      <c r="AD112" s="3" t="str">
        <f>IFERROR(MID(VLOOKUP($B112,Seqs!$A:$B,2,0),AE112,1),"")</f>
        <v>H</v>
      </c>
      <c r="AE112" s="3">
        <v>172</v>
      </c>
      <c r="AF112" s="3" t="str">
        <f>IFERROR(MID(VLOOKUP($B112,Seqs!$A:$B,2,0),AG112,1),"")</f>
        <v>C</v>
      </c>
      <c r="AG112" s="3">
        <v>191</v>
      </c>
      <c r="AH112" s="3" t="str">
        <f>IFERROR(MID(VLOOKUP($B112,Seqs!$A:$B,2,0),AI112,1),"")</f>
        <v>F</v>
      </c>
      <c r="AI112" s="3">
        <v>193</v>
      </c>
      <c r="AJ112" s="3" t="str">
        <f>IFERROR(MID(VLOOKUP($B112,Seqs!$A:$B,2,0),AK112,1),"")</f>
        <v>N</v>
      </c>
      <c r="AK112" s="3">
        <v>196</v>
      </c>
      <c r="AL112" s="3" t="str">
        <f>IFERROR(MID(VLOOKUP($B112,Seqs!$A:$B,2,0),AM112,1),"")</f>
        <v>A</v>
      </c>
      <c r="AM112" s="3">
        <v>226</v>
      </c>
      <c r="AN112" s="3" t="str">
        <f>IFERROR(MID(VLOOKUP($B112,Seqs!$A:$B,2,0),AO112,1),"")</f>
        <v>H</v>
      </c>
      <c r="AO112" s="3">
        <v>269</v>
      </c>
      <c r="AP112" s="3" t="str">
        <f>IFERROR(MID(VLOOKUP($B112,Seqs!$A:$B,2,0),AQ112,1),"")</f>
        <v>Q</v>
      </c>
      <c r="AQ112" s="3">
        <v>299</v>
      </c>
      <c r="AR112" s="3" t="str">
        <f>IFERROR(MID(VLOOKUP($B112,Seqs!$A:$B,2,0),AS112,1),"")</f>
        <v>R</v>
      </c>
      <c r="AS112" s="3">
        <v>304</v>
      </c>
      <c r="AT112" s="3" t="str">
        <f>IFERROR(MID(VLOOKUP($B112,Seqs!$A:$B,2,0),AU112,1),"")</f>
        <v>R</v>
      </c>
      <c r="AU112" s="3">
        <v>328</v>
      </c>
      <c r="AV112" s="3" t="str">
        <f>IFERROR(MID(VLOOKUP($B112,Seqs!$A:$B,2,0),AW112,1),"")</f>
        <v>S</v>
      </c>
      <c r="AW112" s="3">
        <v>329</v>
      </c>
      <c r="AX112" s="3" t="str">
        <f>IFERROR(MID(VLOOKUP($B112,Seqs!$A:$B,2,0),AY112,1),"")</f>
        <v>C</v>
      </c>
      <c r="AY112" s="3">
        <v>341</v>
      </c>
      <c r="AZ112" s="77" t="str">
        <f>VLOOKUP(B112,Classification!A:D,2,0)</f>
        <v>A</v>
      </c>
      <c r="BA112" s="94" t="str">
        <f>VLOOKUP(B112,Classification!A:D,4,0)</f>
        <v>Adrenoceptors</v>
      </c>
      <c r="BB112" s="27" t="b">
        <f t="shared" si="336"/>
        <v>1</v>
      </c>
      <c r="BC112" s="23">
        <f t="shared" si="477"/>
        <v>249</v>
      </c>
      <c r="BD112" s="16" t="s">
        <v>23</v>
      </c>
      <c r="BE112" s="3" t="s">
        <v>1297</v>
      </c>
      <c r="BF112" s="119">
        <v>3.5</v>
      </c>
      <c r="BG112" s="49" t="s">
        <v>1383</v>
      </c>
      <c r="BH112" s="49" t="s">
        <v>1383</v>
      </c>
      <c r="BI112" s="1"/>
      <c r="BJ112" s="70" t="s">
        <v>1293</v>
      </c>
      <c r="BK112" s="57" t="s">
        <v>1293</v>
      </c>
      <c r="BL112" s="57" t="s">
        <v>1293</v>
      </c>
      <c r="BM112" s="57" t="s">
        <v>1293</v>
      </c>
      <c r="BN112" s="57" t="s">
        <v>1293</v>
      </c>
      <c r="BO112" s="57" t="s">
        <v>1293</v>
      </c>
      <c r="BP112" s="57" t="s">
        <v>1293</v>
      </c>
      <c r="BQ112" s="57" t="s">
        <v>1293</v>
      </c>
      <c r="BR112" s="57" t="s">
        <v>1293</v>
      </c>
      <c r="BS112" s="57" t="s">
        <v>1293</v>
      </c>
      <c r="BT112" s="57" t="s">
        <v>1293</v>
      </c>
      <c r="BU112" s="57" t="s">
        <v>1293</v>
      </c>
      <c r="BV112" s="70">
        <f t="shared" si="478"/>
        <v>26</v>
      </c>
      <c r="BW112" s="71">
        <f t="shared" si="479"/>
        <v>62</v>
      </c>
      <c r="BX112" s="72">
        <f t="shared" si="480"/>
        <v>66</v>
      </c>
      <c r="BY112" s="71">
        <f t="shared" si="481"/>
        <v>98</v>
      </c>
      <c r="BZ112" s="72">
        <f t="shared" si="482"/>
        <v>102</v>
      </c>
      <c r="CA112" s="71">
        <f t="shared" si="483"/>
        <v>138</v>
      </c>
      <c r="CB112" s="72">
        <f t="shared" si="484"/>
        <v>146</v>
      </c>
      <c r="CC112" s="71">
        <f t="shared" si="485"/>
        <v>191</v>
      </c>
      <c r="CD112" s="72">
        <f t="shared" si="486"/>
        <v>196</v>
      </c>
      <c r="CE112" s="71">
        <f t="shared" si="487"/>
        <v>269</v>
      </c>
      <c r="CF112" s="72">
        <f t="shared" si="488"/>
        <v>304</v>
      </c>
      <c r="CG112" s="71">
        <f t="shared" si="489"/>
        <v>329</v>
      </c>
      <c r="CH112" s="70">
        <f t="shared" si="490"/>
        <v>61</v>
      </c>
      <c r="CI112" s="71">
        <f t="shared" si="491"/>
        <v>65</v>
      </c>
      <c r="CJ112" s="72">
        <f t="shared" si="492"/>
        <v>96</v>
      </c>
      <c r="CK112" s="72">
        <f t="shared" si="493"/>
        <v>101</v>
      </c>
      <c r="CL112" s="72">
        <f t="shared" si="494"/>
        <v>137</v>
      </c>
      <c r="CM112" s="72">
        <f t="shared" si="495"/>
        <v>145</v>
      </c>
      <c r="CN112" s="72">
        <f t="shared" si="496"/>
        <v>172</v>
      </c>
      <c r="CO112" s="72">
        <f t="shared" si="497"/>
        <v>193</v>
      </c>
      <c r="CP112" s="72">
        <f t="shared" si="498"/>
        <v>226</v>
      </c>
      <c r="CQ112" s="72">
        <f t="shared" si="499"/>
        <v>299</v>
      </c>
      <c r="CR112" s="72">
        <f t="shared" si="500"/>
        <v>328</v>
      </c>
      <c r="CS112" s="72">
        <f t="shared" si="501"/>
        <v>341</v>
      </c>
      <c r="CT112" s="23">
        <f t="shared" si="502"/>
        <v>1</v>
      </c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  <c r="ADW112" s="1"/>
      <c r="ADX112" s="1"/>
      <c r="ADY112" s="1"/>
      <c r="ADZ112" s="1"/>
      <c r="AEA112" s="1"/>
      <c r="AEB112" s="1"/>
      <c r="AEC112" s="1"/>
      <c r="AED112" s="1"/>
      <c r="AEE112" s="1"/>
      <c r="AEF112" s="1"/>
      <c r="AEG112" s="1"/>
      <c r="AEH112" s="1"/>
      <c r="AEI112" s="1"/>
      <c r="AEJ112" s="1"/>
      <c r="AEK112" s="1"/>
      <c r="AEL112" s="1"/>
      <c r="AEM112" s="1"/>
      <c r="AEN112" s="1"/>
      <c r="AEO112" s="1"/>
      <c r="AEP112" s="1"/>
      <c r="AEQ112" s="1"/>
      <c r="AER112" s="1"/>
      <c r="AES112" s="1"/>
      <c r="AET112" s="1"/>
      <c r="AEU112" s="1"/>
      <c r="AEV112" s="1"/>
      <c r="AEW112" s="1"/>
      <c r="AEX112" s="1"/>
      <c r="AEY112" s="1"/>
      <c r="AEZ112" s="1"/>
      <c r="AFA112" s="1"/>
      <c r="AFB112" s="1"/>
      <c r="AFC112" s="1"/>
      <c r="AFD112" s="1"/>
      <c r="AFE112" s="1"/>
      <c r="AFF112" s="1"/>
      <c r="AFG112" s="1"/>
      <c r="AFH112" s="1"/>
      <c r="AFI112" s="1"/>
      <c r="AFJ112" s="1"/>
      <c r="AFK112" s="1"/>
      <c r="AFL112" s="1"/>
      <c r="AFM112" s="1"/>
      <c r="AFN112" s="1"/>
      <c r="AFO112" s="1"/>
      <c r="AFP112" s="1"/>
      <c r="AFQ112" s="1"/>
      <c r="AFR112" s="1"/>
      <c r="AFS112" s="1"/>
      <c r="AFT112" s="1"/>
      <c r="AFU112" s="1"/>
      <c r="AFV112" s="1"/>
      <c r="AFW112" s="1"/>
      <c r="AFX112" s="1"/>
      <c r="AFY112" s="1"/>
      <c r="AFZ112" s="1"/>
      <c r="AGA112" s="1"/>
      <c r="AGB112" s="1"/>
      <c r="AGC112" s="1"/>
      <c r="AGD112" s="1"/>
      <c r="AGE112" s="1"/>
      <c r="AGF112" s="1"/>
      <c r="AGG112" s="1"/>
      <c r="AGH112" s="1"/>
      <c r="AGI112" s="1"/>
      <c r="AGJ112" s="1"/>
      <c r="AGK112" s="1"/>
      <c r="AGL112" s="1"/>
      <c r="AGM112" s="1"/>
      <c r="AGN112" s="1"/>
      <c r="AGO112" s="1"/>
      <c r="AGP112" s="1"/>
      <c r="AGQ112" s="1"/>
      <c r="AGR112" s="1"/>
      <c r="AGS112" s="1"/>
      <c r="AGT112" s="1"/>
      <c r="AGU112" s="1"/>
      <c r="AGV112" s="1"/>
      <c r="AGW112" s="1"/>
      <c r="AGX112" s="1"/>
      <c r="AGY112" s="1"/>
      <c r="AGZ112" s="1"/>
      <c r="AHA112" s="1"/>
      <c r="AHB112" s="1"/>
      <c r="AHC112" s="1"/>
      <c r="AHD112" s="1"/>
      <c r="AHE112" s="1"/>
      <c r="AHF112" s="1"/>
      <c r="AHG112" s="1"/>
      <c r="AHH112" s="1"/>
      <c r="AHI112" s="1"/>
      <c r="AHJ112" s="1"/>
      <c r="AHK112" s="1"/>
      <c r="AHL112" s="1"/>
      <c r="AHM112" s="1"/>
      <c r="AHN112" s="1"/>
      <c r="AHO112" s="1"/>
      <c r="AHP112" s="1"/>
      <c r="AHQ112" s="1"/>
      <c r="AHR112" s="1"/>
      <c r="AHS112" s="1"/>
      <c r="AHT112" s="1"/>
      <c r="AHU112" s="1"/>
      <c r="AHV112" s="1"/>
      <c r="AHW112" s="1"/>
      <c r="AHX112" s="1"/>
      <c r="AHY112" s="1"/>
      <c r="AHZ112" s="1"/>
      <c r="AIA112" s="1"/>
      <c r="AIB112" s="1"/>
      <c r="AIC112" s="1"/>
      <c r="AID112" s="1"/>
      <c r="AIE112" s="1"/>
      <c r="AIF112" s="1"/>
      <c r="AIG112" s="1"/>
      <c r="AIH112" s="1"/>
      <c r="AII112" s="1"/>
      <c r="AIJ112" s="1"/>
      <c r="AIK112" s="1"/>
      <c r="AIL112" s="1"/>
      <c r="AIM112" s="1"/>
      <c r="AIN112" s="1"/>
      <c r="AIO112" s="1"/>
      <c r="AIP112" s="1"/>
      <c r="AIQ112" s="1"/>
      <c r="AIR112" s="1"/>
      <c r="AIS112" s="1"/>
      <c r="AIT112" s="1"/>
      <c r="AIU112" s="1"/>
      <c r="AIV112" s="1"/>
      <c r="AIW112" s="1"/>
      <c r="AIX112" s="1"/>
      <c r="AIY112" s="1"/>
      <c r="AIZ112" s="1"/>
      <c r="AJA112" s="1"/>
      <c r="AJB112" s="1"/>
      <c r="AJC112" s="1"/>
      <c r="AJD112" s="1"/>
      <c r="AJE112" s="1"/>
      <c r="AJF112" s="1"/>
      <c r="AJG112" s="1"/>
      <c r="AJH112" s="1"/>
      <c r="AJI112" s="1"/>
      <c r="AJJ112" s="1"/>
      <c r="AJK112" s="1"/>
      <c r="AJL112" s="1"/>
      <c r="AJM112" s="1"/>
      <c r="AJN112" s="1"/>
      <c r="AJO112" s="1"/>
      <c r="AJP112" s="1"/>
      <c r="AJQ112" s="1"/>
      <c r="AJR112" s="1"/>
      <c r="AJS112" s="1"/>
      <c r="AJT112" s="1"/>
      <c r="AJU112" s="1"/>
      <c r="AJV112" s="1"/>
      <c r="AJW112" s="1"/>
      <c r="AJX112" s="1"/>
      <c r="AJY112" s="1"/>
      <c r="AJZ112" s="1"/>
      <c r="AKA112" s="1"/>
      <c r="AKB112" s="1"/>
      <c r="AKC112" s="1"/>
      <c r="AKD112" s="1"/>
      <c r="AKE112" s="1"/>
      <c r="AKF112" s="1"/>
      <c r="AKG112" s="1"/>
      <c r="AKH112" s="1"/>
      <c r="AKI112" s="1"/>
      <c r="AKJ112" s="1"/>
      <c r="AKK112" s="1"/>
      <c r="AKL112" s="1"/>
      <c r="AKM112" s="1"/>
      <c r="AKN112" s="1"/>
      <c r="AKO112" s="1"/>
      <c r="AKP112" s="1"/>
      <c r="AKQ112" s="1"/>
      <c r="AKR112" s="1"/>
      <c r="AKS112" s="1"/>
      <c r="AKT112" s="1"/>
      <c r="AKU112" s="1"/>
      <c r="AKV112" s="1"/>
      <c r="AKW112" s="1"/>
      <c r="AKX112" s="1"/>
      <c r="AKY112" s="1"/>
      <c r="AKZ112" s="1"/>
      <c r="ALA112" s="1"/>
      <c r="ALB112" s="1"/>
      <c r="ALC112" s="1"/>
      <c r="ALD112" s="1"/>
      <c r="ALE112" s="1"/>
      <c r="ALF112" s="1"/>
      <c r="ALG112" s="1"/>
      <c r="ALH112" s="1"/>
      <c r="ALI112" s="1"/>
      <c r="ALJ112" s="1"/>
      <c r="ALK112" s="1"/>
      <c r="ALL112" s="1"/>
      <c r="ALM112" s="1"/>
      <c r="ALN112" s="1"/>
      <c r="ALO112" s="1"/>
      <c r="ALP112" s="1"/>
      <c r="ALQ112" s="1"/>
      <c r="ALR112" s="1"/>
      <c r="ALS112" s="1"/>
      <c r="ALT112" s="1"/>
      <c r="ALU112" s="1"/>
      <c r="ALV112" s="1"/>
      <c r="ALW112" s="1"/>
      <c r="ALX112" s="1"/>
      <c r="ALY112" s="1"/>
      <c r="ALZ112" s="1"/>
      <c r="AMA112" s="1"/>
      <c r="AMB112" s="1"/>
      <c r="AMC112" s="1"/>
      <c r="AMD112" s="1"/>
      <c r="AME112" s="1"/>
      <c r="AMF112" s="1"/>
      <c r="AMG112" s="1"/>
      <c r="AMH112" s="1"/>
      <c r="AMI112" s="1"/>
      <c r="AMJ112" s="1"/>
      <c r="AMK112" s="1"/>
      <c r="AML112" s="1"/>
      <c r="AMM112" s="1"/>
      <c r="AMN112" s="1"/>
      <c r="AMO112" s="1"/>
    </row>
    <row r="113" spans="1:1029" x14ac:dyDescent="0.2">
      <c r="A113" s="3" t="str">
        <f t="shared" si="335"/>
        <v>adrb2_human_3PDS</v>
      </c>
      <c r="B113" s="3" t="s">
        <v>126</v>
      </c>
      <c r="C113" s="3" t="s">
        <v>1341</v>
      </c>
      <c r="D113" s="3" t="str">
        <f>IFERROR(MID(VLOOKUP($B113,Seqs!$A:$B,2,0),E113,1),"")</f>
        <v>D</v>
      </c>
      <c r="E113" s="3">
        <v>29</v>
      </c>
      <c r="F113" s="3" t="str">
        <f>IFERROR(MID(VLOOKUP($B113,Seqs!$A:$B,2,0),G113,1),"")</f>
        <v>F</v>
      </c>
      <c r="G113" s="3">
        <v>61</v>
      </c>
      <c r="H113" s="3" t="str">
        <f>IFERROR(MID(VLOOKUP($B113,Seqs!$A:$B,2,0),I113,1),"")</f>
        <v>E</v>
      </c>
      <c r="I113" s="23">
        <v>62</v>
      </c>
      <c r="J113" s="3" t="str">
        <f>IFERROR(MID(VLOOKUP($B113,Seqs!$A:$B,2,0),K113,1),"")</f>
        <v>Q</v>
      </c>
      <c r="K113" s="23">
        <v>65</v>
      </c>
      <c r="L113" s="3" t="str">
        <f>IFERROR(MID(VLOOKUP($B113,Seqs!$A:$B,2,0),M113,1),"")</f>
        <v>T</v>
      </c>
      <c r="M113" s="3">
        <v>66</v>
      </c>
      <c r="N113" s="3" t="str">
        <f>IFERROR(MID(VLOOKUP($B113,Seqs!$A:$B,2,0),O113,1),"")</f>
        <v>M</v>
      </c>
      <c r="O113" s="3">
        <v>96</v>
      </c>
      <c r="P113" s="3" t="str">
        <f>IFERROR(MID(VLOOKUP($B113,Seqs!$A:$B,2,0),Q113,1),"")</f>
        <v>M</v>
      </c>
      <c r="Q113" s="3">
        <v>98</v>
      </c>
      <c r="R113" s="3" t="str">
        <f>IFERROR(MID(VLOOKUP($B113,Seqs!$A:$B,2,0),S113,1),"")</f>
        <v>F</v>
      </c>
      <c r="S113" s="3">
        <v>101</v>
      </c>
      <c r="T113" s="3" t="str">
        <f>IFERROR(MID(VLOOKUP($B113,Seqs!$A:$B,2,0),U113,1),"")</f>
        <v>G</v>
      </c>
      <c r="U113" s="3">
        <v>102</v>
      </c>
      <c r="V113" s="3" t="str">
        <f>IFERROR(MID(VLOOKUP($B113,Seqs!$A:$B,2,0),W113,1),"")</f>
        <v>S</v>
      </c>
      <c r="W113" s="3">
        <v>137</v>
      </c>
      <c r="X113" s="3" t="str">
        <f>IFERROR(MID(VLOOKUP($B113,Seqs!$A:$B,2,0),Y113,1),"")</f>
        <v/>
      </c>
      <c r="Y113" s="3" t="s">
        <v>23</v>
      </c>
      <c r="Z113" s="3" t="str">
        <f>IFERROR(MID(VLOOKUP($B113,Seqs!$A:$B,2,0),AA113,1),"")</f>
        <v/>
      </c>
      <c r="AA113" s="3" t="s">
        <v>23</v>
      </c>
      <c r="AB113" s="3" t="str">
        <f>IFERROR(MID(VLOOKUP($B113,Seqs!$A:$B,2,0),AC113,1),"")</f>
        <v>T</v>
      </c>
      <c r="AC113" s="9">
        <v>146</v>
      </c>
      <c r="AD113" s="3" t="str">
        <f>IFERROR(MID(VLOOKUP($B113,Seqs!$A:$B,2,0),AE113,1),"")</f>
        <v>H</v>
      </c>
      <c r="AE113" s="3">
        <v>172</v>
      </c>
      <c r="AF113" s="3" t="str">
        <f>IFERROR(MID(VLOOKUP($B113,Seqs!$A:$B,2,0),AG113,1),"")</f>
        <v>C</v>
      </c>
      <c r="AG113" s="3">
        <v>191</v>
      </c>
      <c r="AH113" s="3" t="str">
        <f>IFERROR(MID(VLOOKUP($B113,Seqs!$A:$B,2,0),AI113,1),"")</f>
        <v>F</v>
      </c>
      <c r="AI113" s="3">
        <v>193</v>
      </c>
      <c r="AJ113" s="3" t="str">
        <f>IFERROR(MID(VLOOKUP($B113,Seqs!$A:$B,2,0),AK113,1),"")</f>
        <v>N</v>
      </c>
      <c r="AK113" s="3">
        <v>196</v>
      </c>
      <c r="AL113" s="3" t="str">
        <f>IFERROR(MID(VLOOKUP($B113,Seqs!$A:$B,2,0),AM113,1),"")</f>
        <v>Q</v>
      </c>
      <c r="AM113" s="3">
        <v>229</v>
      </c>
      <c r="AN113" s="3" t="str">
        <f>IFERROR(MID(VLOOKUP($B113,Seqs!$A:$B,2,0),AO113,1),"")</f>
        <v>L</v>
      </c>
      <c r="AO113" s="3">
        <v>266</v>
      </c>
      <c r="AP113" s="3" t="str">
        <f>IFERROR(MID(VLOOKUP($B113,Seqs!$A:$B,2,0),AQ113,1),"")</f>
        <v>Q</v>
      </c>
      <c r="AQ113" s="3">
        <v>299</v>
      </c>
      <c r="AR113" s="3" t="str">
        <f>IFERROR(MID(VLOOKUP($B113,Seqs!$A:$B,2,0),AS113,1),"")</f>
        <v>R</v>
      </c>
      <c r="AS113" s="3">
        <v>304</v>
      </c>
      <c r="AT113" s="3" t="str">
        <f>IFERROR(MID(VLOOKUP($B113,Seqs!$A:$B,2,0),AU113,1),"")</f>
        <v>R</v>
      </c>
      <c r="AU113" s="3">
        <v>328</v>
      </c>
      <c r="AV113" s="3" t="str">
        <f>IFERROR(MID(VLOOKUP($B113,Seqs!$A:$B,2,0),AW113,1),"")</f>
        <v>S</v>
      </c>
      <c r="AW113" s="3">
        <v>329</v>
      </c>
      <c r="AX113" s="3" t="str">
        <f>IFERROR(MID(VLOOKUP($B113,Seqs!$A:$B,2,0),AY113,1),"")</f>
        <v>C</v>
      </c>
      <c r="AY113" s="3">
        <v>341</v>
      </c>
      <c r="AZ113" s="77" t="str">
        <f>VLOOKUP(B113,Classification!A:D,2,0)</f>
        <v>A</v>
      </c>
      <c r="BA113" s="94" t="str">
        <f>VLOOKUP(B113,Classification!A:D,4,0)</f>
        <v>Adrenoceptors</v>
      </c>
      <c r="BB113" s="27" t="b">
        <f t="shared" si="336"/>
        <v>1</v>
      </c>
      <c r="BC113" s="23">
        <f t="shared" si="477"/>
        <v>245</v>
      </c>
      <c r="BD113" s="5" t="s">
        <v>23</v>
      </c>
      <c r="BE113" s="3" t="s">
        <v>1380</v>
      </c>
      <c r="BF113" s="119">
        <v>3.5</v>
      </c>
      <c r="BG113" s="49" t="s">
        <v>1383</v>
      </c>
      <c r="BH113" s="49" t="s">
        <v>1383</v>
      </c>
      <c r="BI113" s="1"/>
      <c r="BJ113" s="70" t="s">
        <v>1293</v>
      </c>
      <c r="BK113" s="57" t="s">
        <v>1293</v>
      </c>
      <c r="BL113" s="57" t="s">
        <v>1293</v>
      </c>
      <c r="BM113" s="57" t="s">
        <v>1293</v>
      </c>
      <c r="BN113" s="57" t="s">
        <v>1293</v>
      </c>
      <c r="BO113" s="57" t="s">
        <v>1293</v>
      </c>
      <c r="BP113" s="57" t="s">
        <v>1293</v>
      </c>
      <c r="BQ113" s="57" t="s">
        <v>1293</v>
      </c>
      <c r="BR113" s="57" t="s">
        <v>1293</v>
      </c>
      <c r="BS113" s="57" t="s">
        <v>1293</v>
      </c>
      <c r="BT113" s="57" t="s">
        <v>1293</v>
      </c>
      <c r="BU113" s="57" t="s">
        <v>1293</v>
      </c>
      <c r="BV113" s="70">
        <f t="shared" si="478"/>
        <v>29</v>
      </c>
      <c r="BW113" s="71">
        <f t="shared" si="479"/>
        <v>62</v>
      </c>
      <c r="BX113" s="72">
        <f t="shared" si="480"/>
        <v>66</v>
      </c>
      <c r="BY113" s="71">
        <f t="shared" si="481"/>
        <v>98</v>
      </c>
      <c r="BZ113" s="72">
        <f t="shared" si="482"/>
        <v>102</v>
      </c>
      <c r="CA113" s="71" t="str">
        <f t="shared" si="483"/>
        <v>-</v>
      </c>
      <c r="CB113" s="72">
        <f t="shared" si="484"/>
        <v>146</v>
      </c>
      <c r="CC113" s="71">
        <f t="shared" si="485"/>
        <v>191</v>
      </c>
      <c r="CD113" s="72">
        <f t="shared" si="486"/>
        <v>196</v>
      </c>
      <c r="CE113" s="71">
        <f t="shared" si="487"/>
        <v>266</v>
      </c>
      <c r="CF113" s="72">
        <f t="shared" si="488"/>
        <v>304</v>
      </c>
      <c r="CG113" s="71">
        <f t="shared" si="489"/>
        <v>329</v>
      </c>
      <c r="CH113" s="70">
        <f t="shared" si="490"/>
        <v>61</v>
      </c>
      <c r="CI113" s="71">
        <f t="shared" si="491"/>
        <v>65</v>
      </c>
      <c r="CJ113" s="72">
        <f t="shared" si="492"/>
        <v>96</v>
      </c>
      <c r="CK113" s="72">
        <f t="shared" si="493"/>
        <v>101</v>
      </c>
      <c r="CL113" s="72">
        <f t="shared" si="494"/>
        <v>137</v>
      </c>
      <c r="CM113" s="72" t="str">
        <f t="shared" si="495"/>
        <v>-</v>
      </c>
      <c r="CN113" s="72">
        <f t="shared" si="496"/>
        <v>172</v>
      </c>
      <c r="CO113" s="72">
        <f t="shared" si="497"/>
        <v>193</v>
      </c>
      <c r="CP113" s="72">
        <f t="shared" si="498"/>
        <v>229</v>
      </c>
      <c r="CQ113" s="72">
        <f t="shared" si="499"/>
        <v>299</v>
      </c>
      <c r="CR113" s="72">
        <f t="shared" si="500"/>
        <v>328</v>
      </c>
      <c r="CS113" s="72">
        <f t="shared" si="501"/>
        <v>341</v>
      </c>
      <c r="CT113" s="23">
        <f t="shared" si="502"/>
        <v>1</v>
      </c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  <c r="ADW113" s="1"/>
      <c r="ADX113" s="1"/>
      <c r="ADY113" s="1"/>
      <c r="ADZ113" s="1"/>
      <c r="AEA113" s="1"/>
      <c r="AEB113" s="1"/>
      <c r="AEC113" s="1"/>
      <c r="AED113" s="1"/>
      <c r="AEE113" s="1"/>
      <c r="AEF113" s="1"/>
      <c r="AEG113" s="1"/>
      <c r="AEH113" s="1"/>
      <c r="AEI113" s="1"/>
      <c r="AEJ113" s="1"/>
      <c r="AEK113" s="1"/>
      <c r="AEL113" s="1"/>
      <c r="AEM113" s="1"/>
      <c r="AEN113" s="1"/>
      <c r="AEO113" s="1"/>
      <c r="AEP113" s="1"/>
      <c r="AEQ113" s="1"/>
      <c r="AER113" s="1"/>
      <c r="AES113" s="1"/>
      <c r="AET113" s="1"/>
      <c r="AEU113" s="1"/>
      <c r="AEV113" s="1"/>
      <c r="AEW113" s="1"/>
      <c r="AEX113" s="1"/>
      <c r="AEY113" s="1"/>
      <c r="AEZ113" s="1"/>
      <c r="AFA113" s="1"/>
      <c r="AFB113" s="1"/>
      <c r="AFC113" s="1"/>
      <c r="AFD113" s="1"/>
      <c r="AFE113" s="1"/>
      <c r="AFF113" s="1"/>
      <c r="AFG113" s="1"/>
      <c r="AFH113" s="1"/>
      <c r="AFI113" s="1"/>
      <c r="AFJ113" s="1"/>
      <c r="AFK113" s="1"/>
      <c r="AFL113" s="1"/>
      <c r="AFM113" s="1"/>
      <c r="AFN113" s="1"/>
      <c r="AFO113" s="1"/>
      <c r="AFP113" s="1"/>
      <c r="AFQ113" s="1"/>
      <c r="AFR113" s="1"/>
      <c r="AFS113" s="1"/>
      <c r="AFT113" s="1"/>
      <c r="AFU113" s="1"/>
      <c r="AFV113" s="1"/>
      <c r="AFW113" s="1"/>
      <c r="AFX113" s="1"/>
      <c r="AFY113" s="1"/>
      <c r="AFZ113" s="1"/>
      <c r="AGA113" s="1"/>
      <c r="AGB113" s="1"/>
      <c r="AGC113" s="1"/>
      <c r="AGD113" s="1"/>
      <c r="AGE113" s="1"/>
      <c r="AGF113" s="1"/>
      <c r="AGG113" s="1"/>
      <c r="AGH113" s="1"/>
      <c r="AGI113" s="1"/>
      <c r="AGJ113" s="1"/>
      <c r="AGK113" s="1"/>
      <c r="AGL113" s="1"/>
      <c r="AGM113" s="1"/>
      <c r="AGN113" s="1"/>
      <c r="AGO113" s="1"/>
      <c r="AGP113" s="1"/>
      <c r="AGQ113" s="1"/>
      <c r="AGR113" s="1"/>
      <c r="AGS113" s="1"/>
      <c r="AGT113" s="1"/>
      <c r="AGU113" s="1"/>
      <c r="AGV113" s="1"/>
      <c r="AGW113" s="1"/>
      <c r="AGX113" s="1"/>
      <c r="AGY113" s="1"/>
      <c r="AGZ113" s="1"/>
      <c r="AHA113" s="1"/>
      <c r="AHB113" s="1"/>
      <c r="AHC113" s="1"/>
      <c r="AHD113" s="1"/>
      <c r="AHE113" s="1"/>
      <c r="AHF113" s="1"/>
      <c r="AHG113" s="1"/>
      <c r="AHH113" s="1"/>
      <c r="AHI113" s="1"/>
      <c r="AHJ113" s="1"/>
      <c r="AHK113" s="1"/>
      <c r="AHL113" s="1"/>
      <c r="AHM113" s="1"/>
      <c r="AHN113" s="1"/>
      <c r="AHO113" s="1"/>
      <c r="AHP113" s="1"/>
      <c r="AHQ113" s="1"/>
      <c r="AHR113" s="1"/>
      <c r="AHS113" s="1"/>
      <c r="AHT113" s="1"/>
      <c r="AHU113" s="1"/>
      <c r="AHV113" s="1"/>
      <c r="AHW113" s="1"/>
      <c r="AHX113" s="1"/>
      <c r="AHY113" s="1"/>
      <c r="AHZ113" s="1"/>
      <c r="AIA113" s="1"/>
      <c r="AIB113" s="1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1"/>
      <c r="AIQ113" s="1"/>
      <c r="AIR113" s="1"/>
      <c r="AIS113" s="1"/>
      <c r="AIT113" s="1"/>
      <c r="AIU113" s="1"/>
      <c r="AIV113" s="1"/>
      <c r="AIW113" s="1"/>
      <c r="AIX113" s="1"/>
      <c r="AIY113" s="1"/>
      <c r="AIZ113" s="1"/>
      <c r="AJA113" s="1"/>
      <c r="AJB113" s="1"/>
      <c r="AJC113" s="1"/>
      <c r="AJD113" s="1"/>
      <c r="AJE113" s="1"/>
      <c r="AJF113" s="1"/>
      <c r="AJG113" s="1"/>
      <c r="AJH113" s="1"/>
      <c r="AJI113" s="1"/>
      <c r="AJJ113" s="1"/>
      <c r="AJK113" s="1"/>
      <c r="AJL113" s="1"/>
      <c r="AJM113" s="1"/>
      <c r="AJN113" s="1"/>
      <c r="AJO113" s="1"/>
      <c r="AJP113" s="1"/>
      <c r="AJQ113" s="1"/>
      <c r="AJR113" s="1"/>
      <c r="AJS113" s="1"/>
      <c r="AJT113" s="1"/>
      <c r="AJU113" s="1"/>
      <c r="AJV113" s="1"/>
      <c r="AJW113" s="1"/>
      <c r="AJX113" s="1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1"/>
      <c r="AKN113" s="1"/>
      <c r="AKO113" s="1"/>
      <c r="AKP113" s="1"/>
      <c r="AKQ113" s="1"/>
      <c r="AKR113" s="1"/>
      <c r="AKS113" s="1"/>
      <c r="AKT113" s="1"/>
      <c r="AKU113" s="1"/>
      <c r="AKV113" s="1"/>
      <c r="AKW113" s="1"/>
      <c r="AKX113" s="1"/>
      <c r="AKY113" s="1"/>
      <c r="AKZ113" s="1"/>
      <c r="ALA113" s="1"/>
      <c r="ALB113" s="1"/>
      <c r="ALC113" s="1"/>
      <c r="ALD113" s="1"/>
      <c r="ALE113" s="1"/>
      <c r="ALF113" s="1"/>
      <c r="ALG113" s="1"/>
      <c r="ALH113" s="1"/>
      <c r="ALI113" s="1"/>
      <c r="ALJ113" s="1"/>
      <c r="ALK113" s="1"/>
      <c r="ALL113" s="1"/>
      <c r="ALM113" s="1"/>
      <c r="ALN113" s="1"/>
      <c r="ALO113" s="1"/>
      <c r="ALP113" s="1"/>
      <c r="ALQ113" s="1"/>
      <c r="ALR113" s="1"/>
      <c r="ALS113" s="1"/>
      <c r="ALT113" s="1"/>
      <c r="ALU113" s="1"/>
      <c r="ALV113" s="1"/>
      <c r="ALW113" s="1"/>
      <c r="ALX113" s="1"/>
      <c r="ALY113" s="1"/>
      <c r="ALZ113" s="1"/>
      <c r="AMA113" s="1"/>
      <c r="AMB113" s="1"/>
      <c r="AMC113" s="1"/>
      <c r="AMD113" s="1"/>
      <c r="AME113" s="1"/>
      <c r="AMF113" s="1"/>
      <c r="AMG113" s="1"/>
      <c r="AMH113" s="1"/>
      <c r="AMI113" s="1"/>
      <c r="AMJ113" s="1"/>
      <c r="AMK113" s="1"/>
      <c r="AML113" s="1"/>
      <c r="AMM113" s="1"/>
      <c r="AMN113" s="1"/>
      <c r="AMO113" s="1"/>
    </row>
    <row r="114" spans="1:1029" ht="17" customHeight="1" x14ac:dyDescent="0.2">
      <c r="A114" s="3" t="str">
        <f t="shared" si="335"/>
        <v>adrb2_human_3SN6</v>
      </c>
      <c r="B114" s="3" t="s">
        <v>126</v>
      </c>
      <c r="C114" s="3" t="s">
        <v>85</v>
      </c>
      <c r="D114" s="3" t="str">
        <f>IFERROR(MID(VLOOKUP($B114,Seqs!$A:$B,2,0),E114,1),"")</f>
        <v>D</v>
      </c>
      <c r="E114" s="3">
        <v>29</v>
      </c>
      <c r="F114" s="3" t="str">
        <f>IFERROR(MID(VLOOKUP($B114,Seqs!$A:$B,2,0),G114,1),"")</f>
        <v>F</v>
      </c>
      <c r="G114" s="3">
        <v>61</v>
      </c>
      <c r="H114" s="3" t="str">
        <f>IFERROR(MID(VLOOKUP($B114,Seqs!$A:$B,2,0),I114,1),"")</f>
        <v>E</v>
      </c>
      <c r="I114" s="23">
        <v>62</v>
      </c>
      <c r="J114" s="3" t="str">
        <f>IFERROR(MID(VLOOKUP($B114,Seqs!$A:$B,2,0),K114,1),"")</f>
        <v>Q</v>
      </c>
      <c r="K114" s="23">
        <v>65</v>
      </c>
      <c r="L114" s="3" t="str">
        <f>IFERROR(MID(VLOOKUP($B114,Seqs!$A:$B,2,0),M114,1),"")</f>
        <v>T</v>
      </c>
      <c r="M114" s="3">
        <v>66</v>
      </c>
      <c r="N114" s="3" t="str">
        <f>IFERROR(MID(VLOOKUP($B114,Seqs!$A:$B,2,0),O114,1),"")</f>
        <v>M</v>
      </c>
      <c r="O114" s="3">
        <v>96</v>
      </c>
      <c r="P114" s="3" t="str">
        <f>IFERROR(MID(VLOOKUP($B114,Seqs!$A:$B,2,0),Q114,1),"")</f>
        <v>M</v>
      </c>
      <c r="Q114" s="3">
        <v>98</v>
      </c>
      <c r="R114" s="3" t="str">
        <f>IFERROR(MID(VLOOKUP($B114,Seqs!$A:$B,2,0),S114,1),"")</f>
        <v>F</v>
      </c>
      <c r="S114" s="3">
        <v>101</v>
      </c>
      <c r="T114" s="3" t="str">
        <f>IFERROR(MID(VLOOKUP($B114,Seqs!$A:$B,2,0),U114,1),"")</f>
        <v>G</v>
      </c>
      <c r="U114" s="3">
        <v>102</v>
      </c>
      <c r="V114" s="3" t="str">
        <f>IFERROR(MID(VLOOKUP($B114,Seqs!$A:$B,2,0),W114,1),"")</f>
        <v>S</v>
      </c>
      <c r="W114" s="3">
        <v>137</v>
      </c>
      <c r="X114" s="3" t="str">
        <f>IFERROR(MID(VLOOKUP($B114,Seqs!$A:$B,2,0),Y114,1),"")</f>
        <v>P</v>
      </c>
      <c r="Y114" s="3">
        <v>138</v>
      </c>
      <c r="Z114" s="3" t="str">
        <f>IFERROR(MID(VLOOKUP($B114,Seqs!$A:$B,2,0),AA114,1),"")</f>
        <v>L</v>
      </c>
      <c r="AA114" s="3">
        <v>145</v>
      </c>
      <c r="AB114" s="3" t="str">
        <f>IFERROR(MID(VLOOKUP($B114,Seqs!$A:$B,2,0),AC114,1),"")</f>
        <v>T</v>
      </c>
      <c r="AC114" s="9">
        <v>146</v>
      </c>
      <c r="AD114" s="3" t="str">
        <f>IFERROR(MID(VLOOKUP($B114,Seqs!$A:$B,2,0),AE114,1),"")</f>
        <v>H</v>
      </c>
      <c r="AE114" s="3">
        <v>172</v>
      </c>
      <c r="AF114" s="3" t="str">
        <f>IFERROR(MID(VLOOKUP($B114,Seqs!$A:$B,2,0),AG114,1),"")</f>
        <v>C</v>
      </c>
      <c r="AG114" s="3">
        <v>191</v>
      </c>
      <c r="AH114" s="3" t="str">
        <f>IFERROR(MID(VLOOKUP($B114,Seqs!$A:$B,2,0),AI114,1),"")</f>
        <v>F</v>
      </c>
      <c r="AI114" s="3">
        <v>193</v>
      </c>
      <c r="AJ114" s="3" t="str">
        <f>IFERROR(MID(VLOOKUP($B114,Seqs!$A:$B,2,0),AK114,1),"")</f>
        <v>N</v>
      </c>
      <c r="AK114" s="3">
        <v>196</v>
      </c>
      <c r="AL114" s="3" t="str">
        <f>IFERROR(MID(VLOOKUP($B114,Seqs!$A:$B,2,0),AM114,1),"")</f>
        <v>E</v>
      </c>
      <c r="AM114" s="3">
        <v>237</v>
      </c>
      <c r="AN114" s="3" t="str">
        <f>IFERROR(MID(VLOOKUP($B114,Seqs!$A:$B,2,0),AO114,1),"")</f>
        <v>C</v>
      </c>
      <c r="AO114" s="3">
        <v>265</v>
      </c>
      <c r="AP114" s="3" t="str">
        <f>IFERROR(MID(VLOOKUP($B114,Seqs!$A:$B,2,0),AQ114,1),"")</f>
        <v>Q</v>
      </c>
      <c r="AQ114" s="3">
        <v>299</v>
      </c>
      <c r="AR114" s="3" t="str">
        <f>IFERROR(MID(VLOOKUP($B114,Seqs!$A:$B,2,0),AS114,1),"")</f>
        <v>R</v>
      </c>
      <c r="AS114" s="3">
        <v>304</v>
      </c>
      <c r="AT114" s="3" t="str">
        <f>IFERROR(MID(VLOOKUP($B114,Seqs!$A:$B,2,0),AU114,1),"")</f>
        <v>R</v>
      </c>
      <c r="AU114" s="3">
        <v>328</v>
      </c>
      <c r="AV114" s="3" t="str">
        <f>IFERROR(MID(VLOOKUP($B114,Seqs!$A:$B,2,0),AW114,1),"")</f>
        <v>S</v>
      </c>
      <c r="AW114" s="3">
        <v>329</v>
      </c>
      <c r="AX114" s="3" t="str">
        <f>IFERROR(MID(VLOOKUP($B114,Seqs!$A:$B,2,0),AY114,1),"")</f>
        <v>C</v>
      </c>
      <c r="AY114" s="3">
        <v>341</v>
      </c>
      <c r="AZ114" s="77" t="str">
        <f>VLOOKUP(B114,Classification!A:D,2,0)</f>
        <v>A</v>
      </c>
      <c r="BA114" s="94" t="str">
        <f>VLOOKUP(B114,Classification!A:D,4,0)</f>
        <v>Adrenoceptors</v>
      </c>
      <c r="BB114" s="27" t="b">
        <f t="shared" si="336"/>
        <v>1</v>
      </c>
      <c r="BC114" s="23">
        <f t="shared" si="477"/>
        <v>261</v>
      </c>
      <c r="BD114" s="4" t="s">
        <v>1381</v>
      </c>
      <c r="BE114" s="3" t="s">
        <v>1297</v>
      </c>
      <c r="BF114" s="119">
        <v>3.2</v>
      </c>
      <c r="BG114" s="49" t="s">
        <v>1383</v>
      </c>
      <c r="BH114" s="49" t="s">
        <v>1383</v>
      </c>
      <c r="BI114" s="1"/>
      <c r="BJ114" s="70" t="s">
        <v>1293</v>
      </c>
      <c r="BK114" s="57" t="s">
        <v>1293</v>
      </c>
      <c r="BL114" s="57" t="s">
        <v>1293</v>
      </c>
      <c r="BM114" s="57" t="s">
        <v>1293</v>
      </c>
      <c r="BN114" s="57" t="s">
        <v>1293</v>
      </c>
      <c r="BO114" s="57" t="s">
        <v>1293</v>
      </c>
      <c r="BP114" s="57" t="s">
        <v>1293</v>
      </c>
      <c r="BQ114" s="57" t="s">
        <v>1293</v>
      </c>
      <c r="BR114" s="57" t="s">
        <v>1293</v>
      </c>
      <c r="BS114" s="57" t="s">
        <v>1293</v>
      </c>
      <c r="BT114" s="57" t="s">
        <v>1293</v>
      </c>
      <c r="BU114" s="57" t="s">
        <v>1293</v>
      </c>
      <c r="BV114" s="70">
        <f t="shared" si="478"/>
        <v>29</v>
      </c>
      <c r="BW114" s="71">
        <f t="shared" si="479"/>
        <v>62</v>
      </c>
      <c r="BX114" s="72">
        <f t="shared" si="480"/>
        <v>66</v>
      </c>
      <c r="BY114" s="71">
        <f t="shared" si="481"/>
        <v>98</v>
      </c>
      <c r="BZ114" s="72">
        <f t="shared" si="482"/>
        <v>102</v>
      </c>
      <c r="CA114" s="71">
        <f t="shared" si="483"/>
        <v>138</v>
      </c>
      <c r="CB114" s="72">
        <f t="shared" si="484"/>
        <v>146</v>
      </c>
      <c r="CC114" s="71">
        <f t="shared" si="485"/>
        <v>191</v>
      </c>
      <c r="CD114" s="72">
        <f t="shared" si="486"/>
        <v>196</v>
      </c>
      <c r="CE114" s="71">
        <f t="shared" si="487"/>
        <v>265</v>
      </c>
      <c r="CF114" s="72">
        <f t="shared" si="488"/>
        <v>304</v>
      </c>
      <c r="CG114" s="71">
        <f t="shared" si="489"/>
        <v>329</v>
      </c>
      <c r="CH114" s="70">
        <f t="shared" si="490"/>
        <v>61</v>
      </c>
      <c r="CI114" s="71">
        <f t="shared" si="491"/>
        <v>65</v>
      </c>
      <c r="CJ114" s="72">
        <f t="shared" si="492"/>
        <v>96</v>
      </c>
      <c r="CK114" s="72">
        <f t="shared" si="493"/>
        <v>101</v>
      </c>
      <c r="CL114" s="72">
        <f t="shared" si="494"/>
        <v>137</v>
      </c>
      <c r="CM114" s="72">
        <f t="shared" si="495"/>
        <v>145</v>
      </c>
      <c r="CN114" s="72">
        <f t="shared" si="496"/>
        <v>172</v>
      </c>
      <c r="CO114" s="72">
        <f t="shared" si="497"/>
        <v>193</v>
      </c>
      <c r="CP114" s="72">
        <f t="shared" si="498"/>
        <v>237</v>
      </c>
      <c r="CQ114" s="72">
        <f t="shared" si="499"/>
        <v>299</v>
      </c>
      <c r="CR114" s="72">
        <f t="shared" si="500"/>
        <v>328</v>
      </c>
      <c r="CS114" s="72">
        <f t="shared" si="501"/>
        <v>341</v>
      </c>
      <c r="CT114" s="23">
        <f t="shared" si="502"/>
        <v>1</v>
      </c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  <c r="ADW114" s="1"/>
      <c r="ADX114" s="1"/>
      <c r="ADY114" s="1"/>
      <c r="ADZ114" s="1"/>
      <c r="AEA114" s="1"/>
      <c r="AEB114" s="1"/>
      <c r="AEC114" s="1"/>
      <c r="AED114" s="1"/>
      <c r="AEE114" s="1"/>
      <c r="AEF114" s="1"/>
      <c r="AEG114" s="1"/>
      <c r="AEH114" s="1"/>
      <c r="AEI114" s="1"/>
      <c r="AEJ114" s="1"/>
      <c r="AEK114" s="1"/>
      <c r="AEL114" s="1"/>
      <c r="AEM114" s="1"/>
      <c r="AEN114" s="1"/>
      <c r="AEO114" s="1"/>
      <c r="AEP114" s="1"/>
      <c r="AEQ114" s="1"/>
      <c r="AER114" s="1"/>
      <c r="AES114" s="1"/>
      <c r="AET114" s="1"/>
      <c r="AEU114" s="1"/>
      <c r="AEV114" s="1"/>
      <c r="AEW114" s="1"/>
      <c r="AEX114" s="1"/>
      <c r="AEY114" s="1"/>
      <c r="AEZ114" s="1"/>
      <c r="AFA114" s="1"/>
      <c r="AFB114" s="1"/>
      <c r="AFC114" s="1"/>
      <c r="AFD114" s="1"/>
      <c r="AFE114" s="1"/>
      <c r="AFF114" s="1"/>
      <c r="AFG114" s="1"/>
      <c r="AFH114" s="1"/>
      <c r="AFI114" s="1"/>
      <c r="AFJ114" s="1"/>
      <c r="AFK114" s="1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1"/>
      <c r="AFW114" s="1"/>
      <c r="AFX114" s="1"/>
      <c r="AFY114" s="1"/>
      <c r="AFZ114" s="1"/>
      <c r="AGA114" s="1"/>
      <c r="AGB114" s="1"/>
      <c r="AGC114" s="1"/>
      <c r="AGD114" s="1"/>
      <c r="AGE114" s="1"/>
      <c r="AGF114" s="1"/>
      <c r="AGG114" s="1"/>
      <c r="AGH114" s="1"/>
      <c r="AGI114" s="1"/>
      <c r="AGJ114" s="1"/>
      <c r="AGK114" s="1"/>
      <c r="AGL114" s="1"/>
      <c r="AGM114" s="1"/>
      <c r="AGN114" s="1"/>
      <c r="AGO114" s="1"/>
      <c r="AGP114" s="1"/>
      <c r="AGQ114" s="1"/>
      <c r="AGR114" s="1"/>
      <c r="AGS114" s="1"/>
      <c r="AGT114" s="1"/>
      <c r="AGU114" s="1"/>
      <c r="AGV114" s="1"/>
      <c r="AGW114" s="1"/>
      <c r="AGX114" s="1"/>
      <c r="AGY114" s="1"/>
      <c r="AGZ114" s="1"/>
      <c r="AHA114" s="1"/>
      <c r="AHB114" s="1"/>
      <c r="AHC114" s="1"/>
      <c r="AHD114" s="1"/>
      <c r="AHE114" s="1"/>
      <c r="AHF114" s="1"/>
      <c r="AHG114" s="1"/>
      <c r="AHH114" s="1"/>
      <c r="AHI114" s="1"/>
      <c r="AHJ114" s="1"/>
      <c r="AHK114" s="1"/>
      <c r="AHL114" s="1"/>
      <c r="AHM114" s="1"/>
      <c r="AHN114" s="1"/>
      <c r="AHO114" s="1"/>
      <c r="AHP114" s="1"/>
      <c r="AHQ114" s="1"/>
      <c r="AHR114" s="1"/>
      <c r="AHS114" s="1"/>
      <c r="AHT114" s="1"/>
      <c r="AHU114" s="1"/>
      <c r="AHV114" s="1"/>
      <c r="AHW114" s="1"/>
      <c r="AHX114" s="1"/>
      <c r="AHY114" s="1"/>
      <c r="AHZ114" s="1"/>
      <c r="AIA114" s="1"/>
      <c r="AIB114" s="1"/>
      <c r="AIC114" s="1"/>
      <c r="AID114" s="1"/>
      <c r="AIE114" s="1"/>
      <c r="AIF114" s="1"/>
      <c r="AIG114" s="1"/>
      <c r="AIH114" s="1"/>
      <c r="AII114" s="1"/>
      <c r="AIJ114" s="1"/>
      <c r="AIK114" s="1"/>
      <c r="AIL114" s="1"/>
      <c r="AIM114" s="1"/>
      <c r="AIN114" s="1"/>
      <c r="AIO114" s="1"/>
      <c r="AIP114" s="1"/>
      <c r="AIQ114" s="1"/>
      <c r="AIR114" s="1"/>
      <c r="AIS114" s="1"/>
      <c r="AIT114" s="1"/>
      <c r="AIU114" s="1"/>
      <c r="AIV114" s="1"/>
      <c r="AIW114" s="1"/>
      <c r="AIX114" s="1"/>
      <c r="AIY114" s="1"/>
      <c r="AIZ114" s="1"/>
      <c r="AJA114" s="1"/>
      <c r="AJB114" s="1"/>
      <c r="AJC114" s="1"/>
      <c r="AJD114" s="1"/>
      <c r="AJE114" s="1"/>
      <c r="AJF114" s="1"/>
      <c r="AJG114" s="1"/>
      <c r="AJH114" s="1"/>
      <c r="AJI114" s="1"/>
      <c r="AJJ114" s="1"/>
      <c r="AJK114" s="1"/>
      <c r="AJL114" s="1"/>
      <c r="AJM114" s="1"/>
      <c r="AJN114" s="1"/>
      <c r="AJO114" s="1"/>
      <c r="AJP114" s="1"/>
      <c r="AJQ114" s="1"/>
      <c r="AJR114" s="1"/>
      <c r="AJS114" s="1"/>
      <c r="AJT114" s="1"/>
      <c r="AJU114" s="1"/>
      <c r="AJV114" s="1"/>
      <c r="AJW114" s="1"/>
      <c r="AJX114" s="1"/>
      <c r="AJY114" s="1"/>
      <c r="AJZ114" s="1"/>
      <c r="AKA114" s="1"/>
      <c r="AKB114" s="1"/>
      <c r="AKC114" s="1"/>
      <c r="AKD114" s="1"/>
      <c r="AKE114" s="1"/>
      <c r="AKF114" s="1"/>
      <c r="AKG114" s="1"/>
      <c r="AKH114" s="1"/>
      <c r="AKI114" s="1"/>
      <c r="AKJ114" s="1"/>
      <c r="AKK114" s="1"/>
      <c r="AKL114" s="1"/>
      <c r="AKM114" s="1"/>
      <c r="AKN114" s="1"/>
      <c r="AKO114" s="1"/>
      <c r="AKP114" s="1"/>
      <c r="AKQ114" s="1"/>
      <c r="AKR114" s="1"/>
      <c r="AKS114" s="1"/>
      <c r="AKT114" s="1"/>
      <c r="AKU114" s="1"/>
      <c r="AKV114" s="1"/>
      <c r="AKW114" s="1"/>
      <c r="AKX114" s="1"/>
      <c r="AKY114" s="1"/>
      <c r="AKZ114" s="1"/>
      <c r="ALA114" s="1"/>
      <c r="ALB114" s="1"/>
      <c r="ALC114" s="1"/>
      <c r="ALD114" s="1"/>
      <c r="ALE114" s="1"/>
      <c r="ALF114" s="1"/>
      <c r="ALG114" s="1"/>
      <c r="ALH114" s="1"/>
      <c r="ALI114" s="1"/>
      <c r="ALJ114" s="1"/>
      <c r="ALK114" s="1"/>
      <c r="ALL114" s="1"/>
      <c r="ALM114" s="1"/>
      <c r="ALN114" s="1"/>
      <c r="ALO114" s="1"/>
      <c r="ALP114" s="1"/>
      <c r="ALQ114" s="1"/>
      <c r="ALR114" s="1"/>
      <c r="ALS114" s="1"/>
      <c r="ALT114" s="1"/>
      <c r="ALU114" s="1"/>
      <c r="ALV114" s="1"/>
      <c r="ALW114" s="1"/>
      <c r="ALX114" s="1"/>
      <c r="ALY114" s="1"/>
      <c r="ALZ114" s="1"/>
      <c r="AMA114" s="1"/>
      <c r="AMB114" s="1"/>
      <c r="AMC114" s="1"/>
      <c r="AMD114" s="1"/>
      <c r="AME114" s="1"/>
      <c r="AMF114" s="1"/>
      <c r="AMG114" s="1"/>
      <c r="AMH114" s="1"/>
      <c r="AMI114" s="1"/>
      <c r="AMJ114" s="1"/>
      <c r="AMK114" s="1"/>
      <c r="AML114" s="1"/>
      <c r="AMM114" s="1"/>
      <c r="AMN114" s="1"/>
      <c r="AMO114" s="1"/>
    </row>
    <row r="115" spans="1:1029" s="12" customFormat="1" ht="17" customHeight="1" x14ac:dyDescent="0.2">
      <c r="A115" s="9" t="str">
        <f t="shared" ref="A115" si="671">CONCATENATE(B115,"_",C115)</f>
        <v>adrb2_human_4GBR</v>
      </c>
      <c r="B115" s="9" t="s">
        <v>126</v>
      </c>
      <c r="C115" s="9" t="s">
        <v>1107</v>
      </c>
      <c r="D115" s="9" t="str">
        <f>IFERROR(MID(VLOOKUP($B115,Seqs!$A:$B,2,0),E115,1),"")</f>
        <v>D</v>
      </c>
      <c r="E115" s="9">
        <v>29</v>
      </c>
      <c r="F115" s="9" t="str">
        <f>IFERROR(MID(VLOOKUP($B115,Seqs!$A:$B,2,0),G115,1),"")</f>
        <v>F</v>
      </c>
      <c r="G115" s="9">
        <v>61</v>
      </c>
      <c r="H115" s="9" t="str">
        <f>IFERROR(MID(VLOOKUP($B115,Seqs!$A:$B,2,0),I115,1),"")</f>
        <v>E</v>
      </c>
      <c r="I115" s="109">
        <v>62</v>
      </c>
      <c r="J115" s="9" t="str">
        <f>IFERROR(MID(VLOOKUP($B115,Seqs!$A:$B,2,0),K115,1),"")</f>
        <v>Q</v>
      </c>
      <c r="K115" s="109">
        <v>65</v>
      </c>
      <c r="L115" s="9" t="str">
        <f>IFERROR(MID(VLOOKUP($B115,Seqs!$A:$B,2,0),M115,1),"")</f>
        <v>T</v>
      </c>
      <c r="M115" s="9">
        <v>66</v>
      </c>
      <c r="N115" s="9" t="str">
        <f>IFERROR(MID(VLOOKUP($B115,Seqs!$A:$B,2,0),O115,1),"")</f>
        <v>M</v>
      </c>
      <c r="O115" s="9">
        <v>96</v>
      </c>
      <c r="P115" s="9" t="str">
        <f>IFERROR(MID(VLOOKUP($B115,Seqs!$A:$B,2,0),Q115,1),"")</f>
        <v>M</v>
      </c>
      <c r="Q115" s="9">
        <v>98</v>
      </c>
      <c r="R115" s="9" t="str">
        <f>IFERROR(MID(VLOOKUP($B115,Seqs!$A:$B,2,0),S115,1),"")</f>
        <v>F</v>
      </c>
      <c r="S115" s="9">
        <v>101</v>
      </c>
      <c r="T115" s="9" t="str">
        <f>IFERROR(MID(VLOOKUP($B115,Seqs!$A:$B,2,0),U115,1),"")</f>
        <v>G</v>
      </c>
      <c r="U115" s="9">
        <v>102</v>
      </c>
      <c r="V115" s="9" t="str">
        <f>IFERROR(MID(VLOOKUP($B115,Seqs!$A:$B,2,0),W115,1),"")</f>
        <v>T</v>
      </c>
      <c r="W115" s="9">
        <v>136</v>
      </c>
      <c r="X115" s="9" t="str">
        <f>IFERROR(MID(VLOOKUP($B115,Seqs!$A:$B,2,0),Y115,1),"")</f>
        <v/>
      </c>
      <c r="Y115" s="9" t="s">
        <v>23</v>
      </c>
      <c r="Z115" s="9" t="str">
        <f>IFERROR(MID(VLOOKUP($B115,Seqs!$A:$B,2,0),AA115,1),"")</f>
        <v/>
      </c>
      <c r="AA115" s="9" t="s">
        <v>23</v>
      </c>
      <c r="AB115" s="9" t="str">
        <f>IFERROR(MID(VLOOKUP($B115,Seqs!$A:$B,2,0),AC115,1),"")</f>
        <v>T</v>
      </c>
      <c r="AC115" s="9">
        <v>146</v>
      </c>
      <c r="AD115" s="9" t="str">
        <f>IFERROR(MID(VLOOKUP($B115,Seqs!$A:$B,2,0),AE115,1),"")</f>
        <v>H</v>
      </c>
      <c r="AE115" s="9">
        <v>172</v>
      </c>
      <c r="AF115" s="9" t="str">
        <f>IFERROR(MID(VLOOKUP($B115,Seqs!$A:$B,2,0),AG115,1),"")</f>
        <v>C</v>
      </c>
      <c r="AG115" s="9">
        <v>191</v>
      </c>
      <c r="AH115" s="9" t="str">
        <f>IFERROR(MID(VLOOKUP($B115,Seqs!$A:$B,2,0),AI115,1),"")</f>
        <v>F</v>
      </c>
      <c r="AI115" s="9">
        <v>193</v>
      </c>
      <c r="AJ115" s="9" t="str">
        <f>IFERROR(MID(VLOOKUP($B115,Seqs!$A:$B,2,0),AK115,1),"")</f>
        <v>N</v>
      </c>
      <c r="AK115" s="9">
        <v>196</v>
      </c>
      <c r="AL115" s="9" t="str">
        <f>IFERROR(MID(VLOOKUP($B115,Seqs!$A:$B,2,0),AM115,1),"")</f>
        <v>K</v>
      </c>
      <c r="AM115" s="9">
        <v>232</v>
      </c>
      <c r="AN115" s="9" t="str">
        <f>IFERROR(MID(VLOOKUP($B115,Seqs!$A:$B,2,0),AO115,1),"")</f>
        <v>E</v>
      </c>
      <c r="AO115" s="9">
        <v>237</v>
      </c>
      <c r="AP115" s="9" t="str">
        <f>IFERROR(MID(VLOOKUP($B115,Seqs!$A:$B,2,0),AQ115,1),"")</f>
        <v>A</v>
      </c>
      <c r="AQ115" s="9">
        <v>271</v>
      </c>
      <c r="AR115" s="9" t="str">
        <f>IFERROR(MID(VLOOKUP($B115,Seqs!$A:$B,2,0),AS115,1),"")</f>
        <v>G</v>
      </c>
      <c r="AS115" s="9">
        <v>276</v>
      </c>
      <c r="AT115" s="9" t="str">
        <f>IFERROR(MID(VLOOKUP($B115,Seqs!$A:$B,2,0),AU115,1),"")</f>
        <v>D</v>
      </c>
      <c r="AU115" s="9">
        <v>300</v>
      </c>
      <c r="AV115" s="9" t="str">
        <f>IFERROR(MID(VLOOKUP($B115,Seqs!$A:$B,2,0),AW115,1),"")</f>
        <v>N</v>
      </c>
      <c r="AW115" s="9">
        <v>301</v>
      </c>
      <c r="AX115" s="9" t="str">
        <f>IFERROR(MID(VLOOKUP($B115,Seqs!$A:$B,2,0),AY115,1),"")</f>
        <v>W</v>
      </c>
      <c r="AY115" s="9">
        <v>313</v>
      </c>
      <c r="AZ115" s="110" t="str">
        <f>VLOOKUP(B115,Classification!A:D,2,0)</f>
        <v>A</v>
      </c>
      <c r="BA115" s="98" t="str">
        <f>VLOOKUP(B115,Classification!A:D,4,0)</f>
        <v>Adrenoceptors</v>
      </c>
      <c r="BB115" s="36" t="b">
        <f t="shared" ref="BB115" si="672">AND(E115&lt;G115,OR(G115&lt;I115,I115="-"),OR(I115&lt;K115,I115="-"),OR(K115&lt;M115,K115="-"),M115&lt;O115,OR(O115&lt;Q115,Q115="-"),OR(Q115&lt;S115,Q115="-"),OR(S115&lt;U115,S115="-"),U115&lt;W115,OR(W115&lt;Y115,Y115="-"),OR(Y115&lt;AA115,Y115="-"),OR(AA115&lt;AC115,AA115="-"),AC115&lt;AE115,OR(AE115&lt;AG115,AG115="-"),OR(AG115&lt;AI115,AG115="-"),OR(AI115&lt;AK115,AI115="-"),AK115&lt;AM115,AM115&lt;AO115,AO115&lt;AQ115,AQ115&lt;AS115,AS115&lt;AU115,OR(AU115&lt;AW115,AW115="-"),OR(AW115&lt;AY115,AW115="-"))</f>
        <v>1</v>
      </c>
      <c r="BC115" s="109">
        <f t="shared" ref="BC115" si="673">_xlfn.AGGREGATE(9,6,CH115:CS115)-_xlfn.AGGREGATE(9,6,BV115:CG115)+12</f>
        <v>248</v>
      </c>
      <c r="BD115" s="11" t="s">
        <v>23</v>
      </c>
      <c r="BE115" s="9" t="s">
        <v>1380</v>
      </c>
      <c r="BF115" s="120">
        <v>3.99</v>
      </c>
      <c r="BG115" s="51" t="s">
        <v>1</v>
      </c>
      <c r="BH115" s="51" t="s">
        <v>1</v>
      </c>
      <c r="BJ115" s="111" t="s">
        <v>1293</v>
      </c>
      <c r="BK115" s="112" t="s">
        <v>1293</v>
      </c>
      <c r="BL115" s="112" t="s">
        <v>1293</v>
      </c>
      <c r="BM115" s="112" t="s">
        <v>1293</v>
      </c>
      <c r="BN115" s="112" t="s">
        <v>1293</v>
      </c>
      <c r="BO115" s="112" t="s">
        <v>1293</v>
      </c>
      <c r="BP115" s="112" t="s">
        <v>1293</v>
      </c>
      <c r="BQ115" s="112" t="s">
        <v>1293</v>
      </c>
      <c r="BR115" s="112" t="s">
        <v>1293</v>
      </c>
      <c r="BS115" s="112" t="s">
        <v>1293</v>
      </c>
      <c r="BT115" s="112" t="s">
        <v>1293</v>
      </c>
      <c r="BU115" s="112" t="s">
        <v>1293</v>
      </c>
      <c r="BV115" s="111">
        <f t="shared" ref="BV115" si="674">E115</f>
        <v>29</v>
      </c>
      <c r="BW115" s="113">
        <f t="shared" ref="BW115" si="675">I115</f>
        <v>62</v>
      </c>
      <c r="BX115" s="114">
        <f t="shared" ref="BX115" si="676">M115</f>
        <v>66</v>
      </c>
      <c r="BY115" s="113">
        <f t="shared" ref="BY115" si="677">Q115</f>
        <v>98</v>
      </c>
      <c r="BZ115" s="114">
        <f t="shared" ref="BZ115" si="678">U115</f>
        <v>102</v>
      </c>
      <c r="CA115" s="113" t="str">
        <f t="shared" ref="CA115" si="679">Y115</f>
        <v>-</v>
      </c>
      <c r="CB115" s="114">
        <f t="shared" ref="CB115" si="680">AC115</f>
        <v>146</v>
      </c>
      <c r="CC115" s="113">
        <f t="shared" ref="CC115" si="681">AG115</f>
        <v>191</v>
      </c>
      <c r="CD115" s="114">
        <f t="shared" ref="CD115" si="682">AK115</f>
        <v>196</v>
      </c>
      <c r="CE115" s="113">
        <f t="shared" ref="CE115" si="683">AO115</f>
        <v>237</v>
      </c>
      <c r="CF115" s="114">
        <f t="shared" ref="CF115" si="684">AS115</f>
        <v>276</v>
      </c>
      <c r="CG115" s="113">
        <f t="shared" ref="CG115" si="685">AW115</f>
        <v>301</v>
      </c>
      <c r="CH115" s="111">
        <f t="shared" ref="CH115" si="686">G115</f>
        <v>61</v>
      </c>
      <c r="CI115" s="113">
        <f t="shared" ref="CI115" si="687">K115</f>
        <v>65</v>
      </c>
      <c r="CJ115" s="114">
        <f t="shared" ref="CJ115" si="688">O115</f>
        <v>96</v>
      </c>
      <c r="CK115" s="114">
        <f t="shared" ref="CK115" si="689">S115</f>
        <v>101</v>
      </c>
      <c r="CL115" s="114">
        <f t="shared" ref="CL115" si="690">W115</f>
        <v>136</v>
      </c>
      <c r="CM115" s="114" t="str">
        <f t="shared" ref="CM115" si="691">AA115</f>
        <v>-</v>
      </c>
      <c r="CN115" s="114">
        <f t="shared" ref="CN115" si="692">AE115</f>
        <v>172</v>
      </c>
      <c r="CO115" s="114">
        <f t="shared" ref="CO115" si="693">AI115</f>
        <v>193</v>
      </c>
      <c r="CP115" s="114">
        <f t="shared" ref="CP115" si="694">AM115</f>
        <v>232</v>
      </c>
      <c r="CQ115" s="114">
        <f t="shared" ref="CQ115" si="695">AQ115</f>
        <v>271</v>
      </c>
      <c r="CR115" s="114">
        <f t="shared" ref="CR115" si="696">AU115</f>
        <v>300</v>
      </c>
      <c r="CS115" s="114">
        <f t="shared" ref="CS115" si="697">AY115</f>
        <v>313</v>
      </c>
      <c r="CT115" s="109">
        <f t="shared" ref="CT115" si="698">M115-K115</f>
        <v>1</v>
      </c>
    </row>
    <row r="116" spans="1:1029" x14ac:dyDescent="0.2">
      <c r="A116" s="3" t="str">
        <f t="shared" ref="A116:A186" si="699">CONCATENATE(B116,"_",C116)</f>
        <v>adrb2_human_4LDE</v>
      </c>
      <c r="B116" s="3" t="s">
        <v>126</v>
      </c>
      <c r="C116" s="3" t="s">
        <v>77</v>
      </c>
      <c r="D116" s="3" t="str">
        <f>IFERROR(MID(VLOOKUP($B116,Seqs!$A:$B,2,0),E116,1),"")</f>
        <v/>
      </c>
      <c r="E116" s="3">
        <v>1029</v>
      </c>
      <c r="F116" s="3" t="str">
        <f>IFERROR(MID(VLOOKUP($B116,Seqs!$A:$B,2,0),G116,1),"")</f>
        <v/>
      </c>
      <c r="G116" s="3">
        <v>1061</v>
      </c>
      <c r="H116" s="3" t="str">
        <f>IFERROR(MID(VLOOKUP($B116,Seqs!$A:$B,2,0),I116,1),"")</f>
        <v/>
      </c>
      <c r="I116" s="23">
        <v>1062</v>
      </c>
      <c r="J116" s="3" t="str">
        <f>IFERROR(MID(VLOOKUP($B116,Seqs!$A:$B,2,0),K116,1),"")</f>
        <v/>
      </c>
      <c r="K116" s="23">
        <v>1065</v>
      </c>
      <c r="L116" s="3" t="str">
        <f>IFERROR(MID(VLOOKUP($B116,Seqs!$A:$B,2,0),M116,1),"")</f>
        <v/>
      </c>
      <c r="M116" s="3">
        <v>1066</v>
      </c>
      <c r="N116" s="3" t="str">
        <f>IFERROR(MID(VLOOKUP($B116,Seqs!$A:$B,2,0),O116,1),"")</f>
        <v/>
      </c>
      <c r="O116" s="3">
        <v>1096</v>
      </c>
      <c r="P116" s="3" t="str">
        <f>IFERROR(MID(VLOOKUP($B116,Seqs!$A:$B,2,0),Q116,1),"")</f>
        <v/>
      </c>
      <c r="Q116" s="3">
        <v>1098</v>
      </c>
      <c r="R116" s="3" t="str">
        <f>IFERROR(MID(VLOOKUP($B116,Seqs!$A:$B,2,0),S116,1),"")</f>
        <v/>
      </c>
      <c r="S116" s="3">
        <v>1101</v>
      </c>
      <c r="T116" s="3" t="str">
        <f>IFERROR(MID(VLOOKUP($B116,Seqs!$A:$B,2,0),U116,1),"")</f>
        <v/>
      </c>
      <c r="U116" s="3">
        <v>1102</v>
      </c>
      <c r="V116" s="3" t="str">
        <f>IFERROR(MID(VLOOKUP($B116,Seqs!$A:$B,2,0),W116,1),"")</f>
        <v/>
      </c>
      <c r="W116" s="3">
        <v>1137</v>
      </c>
      <c r="X116" s="3" t="str">
        <f>IFERROR(MID(VLOOKUP($B116,Seqs!$A:$B,2,0),Y116,1),"")</f>
        <v/>
      </c>
      <c r="Y116" s="3">
        <v>1138</v>
      </c>
      <c r="Z116" s="3" t="str">
        <f>IFERROR(MID(VLOOKUP($B116,Seqs!$A:$B,2,0),AA116,1),"")</f>
        <v/>
      </c>
      <c r="AA116" s="3">
        <v>1145</v>
      </c>
      <c r="AB116" s="3" t="str">
        <f>IFERROR(MID(VLOOKUP($B116,Seqs!$A:$B,2,0),AC116,1),"")</f>
        <v/>
      </c>
      <c r="AC116" s="9">
        <v>1146</v>
      </c>
      <c r="AD116" s="3" t="str">
        <f>IFERROR(MID(VLOOKUP($B116,Seqs!$A:$B,2,0),AE116,1),"")</f>
        <v/>
      </c>
      <c r="AE116" s="3">
        <v>1172</v>
      </c>
      <c r="AF116" s="3" t="str">
        <f>IFERROR(MID(VLOOKUP($B116,Seqs!$A:$B,2,0),AG116,1),"")</f>
        <v/>
      </c>
      <c r="AG116" s="3">
        <v>1191</v>
      </c>
      <c r="AH116" s="3" t="str">
        <f>IFERROR(MID(VLOOKUP($B116,Seqs!$A:$B,2,0),AI116,1),"")</f>
        <v/>
      </c>
      <c r="AI116" s="3">
        <v>1193</v>
      </c>
      <c r="AJ116" s="3" t="str">
        <f>IFERROR(MID(VLOOKUP($B116,Seqs!$A:$B,2,0),AK116,1),"")</f>
        <v/>
      </c>
      <c r="AK116" s="3">
        <v>1196</v>
      </c>
      <c r="AL116" s="3" t="str">
        <f>IFERROR(MID(VLOOKUP($B116,Seqs!$A:$B,2,0),AM116,1),"")</f>
        <v/>
      </c>
      <c r="AM116" s="3">
        <v>1225</v>
      </c>
      <c r="AN116" s="3" t="str">
        <f>IFERROR(MID(VLOOKUP($B116,Seqs!$A:$B,2,0),AO116,1),"")</f>
        <v/>
      </c>
      <c r="AO116" s="3">
        <v>1266</v>
      </c>
      <c r="AP116" s="3" t="str">
        <f>IFERROR(MID(VLOOKUP($B116,Seqs!$A:$B,2,0),AQ116,1),"")</f>
        <v/>
      </c>
      <c r="AQ116" s="3">
        <v>1299</v>
      </c>
      <c r="AR116" s="3" t="str">
        <f>IFERROR(MID(VLOOKUP($B116,Seqs!$A:$B,2,0),AS116,1),"")</f>
        <v/>
      </c>
      <c r="AS116" s="3">
        <v>1304</v>
      </c>
      <c r="AT116" s="3" t="str">
        <f>IFERROR(MID(VLOOKUP($B116,Seqs!$A:$B,2,0),AU116,1),"")</f>
        <v/>
      </c>
      <c r="AU116" s="3">
        <v>1328</v>
      </c>
      <c r="AV116" s="3" t="str">
        <f>IFERROR(MID(VLOOKUP($B116,Seqs!$A:$B,2,0),AW116,1),"")</f>
        <v/>
      </c>
      <c r="AW116" s="3">
        <v>1329</v>
      </c>
      <c r="AX116" s="3" t="str">
        <f>IFERROR(MID(VLOOKUP($B116,Seqs!$A:$B,2,0),AY116,1),"")</f>
        <v/>
      </c>
      <c r="AY116" s="3">
        <v>1341</v>
      </c>
      <c r="AZ116" s="77" t="str">
        <f>VLOOKUP(B116,Classification!A:D,2,0)</f>
        <v>A</v>
      </c>
      <c r="BA116" s="94" t="str">
        <f>VLOOKUP(B116,Classification!A:D,4,0)</f>
        <v>Adrenoceptors</v>
      </c>
      <c r="BB116" s="27" t="b">
        <f t="shared" ref="BB116:BB186" si="700">AND(E116&lt;G116,OR(G116&lt;I116,I116="-"),OR(I116&lt;K116,I116="-"),OR(K116&lt;M116,K116="-"),M116&lt;O116,OR(O116&lt;Q116,Q116="-"),OR(Q116&lt;S116,Q116="-"),OR(S116&lt;U116,S116="-"),U116&lt;W116,OR(W116&lt;Y116,Y116="-"),OR(Y116&lt;AA116,Y116="-"),OR(AA116&lt;AC116,AA116="-"),AC116&lt;AE116,OR(AE116&lt;AG116,AG116="-"),OR(AG116&lt;AI116,AG116="-"),OR(AI116&lt;AK116,AI116="-"),AK116&lt;AM116,AM116&lt;AO116,AO116&lt;AQ116,AQ116&lt;AS116,AS116&lt;AU116,OR(AU116&lt;AW116,AW116="-"),OR(AW116&lt;AY116,AW116="-"))</f>
        <v>1</v>
      </c>
      <c r="BC116" s="23">
        <f t="shared" si="477"/>
        <v>248</v>
      </c>
      <c r="BD116" s="4" t="s">
        <v>23</v>
      </c>
      <c r="BE116" s="3" t="s">
        <v>1297</v>
      </c>
      <c r="BF116" s="119">
        <v>2.79</v>
      </c>
      <c r="BG116" s="49" t="s">
        <v>1383</v>
      </c>
      <c r="BH116" s="49" t="s">
        <v>1383</v>
      </c>
      <c r="BI116" s="1"/>
      <c r="BJ116" s="70" t="s">
        <v>1293</v>
      </c>
      <c r="BK116" s="57" t="s">
        <v>1293</v>
      </c>
      <c r="BL116" s="57" t="s">
        <v>1293</v>
      </c>
      <c r="BM116" s="57" t="s">
        <v>1293</v>
      </c>
      <c r="BN116" s="57" t="s">
        <v>1293</v>
      </c>
      <c r="BO116" s="57" t="s">
        <v>1293</v>
      </c>
      <c r="BP116" s="57" t="s">
        <v>1293</v>
      </c>
      <c r="BQ116" s="57" t="s">
        <v>1293</v>
      </c>
      <c r="BR116" s="57" t="s">
        <v>1293</v>
      </c>
      <c r="BS116" s="57" t="s">
        <v>1293</v>
      </c>
      <c r="BT116" s="57" t="s">
        <v>1293</v>
      </c>
      <c r="BU116" s="57" t="s">
        <v>1293</v>
      </c>
      <c r="BV116" s="70">
        <f t="shared" si="478"/>
        <v>1029</v>
      </c>
      <c r="BW116" s="71">
        <f t="shared" si="479"/>
        <v>1062</v>
      </c>
      <c r="BX116" s="72">
        <f t="shared" si="480"/>
        <v>1066</v>
      </c>
      <c r="BY116" s="71">
        <f t="shared" si="481"/>
        <v>1098</v>
      </c>
      <c r="BZ116" s="72">
        <f t="shared" si="482"/>
        <v>1102</v>
      </c>
      <c r="CA116" s="71">
        <f t="shared" si="483"/>
        <v>1138</v>
      </c>
      <c r="CB116" s="72">
        <f t="shared" si="484"/>
        <v>1146</v>
      </c>
      <c r="CC116" s="71">
        <f t="shared" si="485"/>
        <v>1191</v>
      </c>
      <c r="CD116" s="72">
        <f t="shared" si="486"/>
        <v>1196</v>
      </c>
      <c r="CE116" s="71">
        <f t="shared" si="487"/>
        <v>1266</v>
      </c>
      <c r="CF116" s="72">
        <f t="shared" si="488"/>
        <v>1304</v>
      </c>
      <c r="CG116" s="71">
        <f t="shared" si="489"/>
        <v>1329</v>
      </c>
      <c r="CH116" s="70">
        <f t="shared" si="490"/>
        <v>1061</v>
      </c>
      <c r="CI116" s="71">
        <f t="shared" si="491"/>
        <v>1065</v>
      </c>
      <c r="CJ116" s="72">
        <f t="shared" si="492"/>
        <v>1096</v>
      </c>
      <c r="CK116" s="72">
        <f t="shared" si="493"/>
        <v>1101</v>
      </c>
      <c r="CL116" s="72">
        <f t="shared" si="494"/>
        <v>1137</v>
      </c>
      <c r="CM116" s="72">
        <f t="shared" si="495"/>
        <v>1145</v>
      </c>
      <c r="CN116" s="72">
        <f t="shared" si="496"/>
        <v>1172</v>
      </c>
      <c r="CO116" s="72">
        <f t="shared" si="497"/>
        <v>1193</v>
      </c>
      <c r="CP116" s="72">
        <f t="shared" si="498"/>
        <v>1225</v>
      </c>
      <c r="CQ116" s="72">
        <f t="shared" si="499"/>
        <v>1299</v>
      </c>
      <c r="CR116" s="72">
        <f t="shared" si="500"/>
        <v>1328</v>
      </c>
      <c r="CS116" s="72">
        <f t="shared" si="501"/>
        <v>1341</v>
      </c>
      <c r="CT116" s="23">
        <f t="shared" si="502"/>
        <v>1</v>
      </c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  <c r="ADW116" s="1"/>
      <c r="ADX116" s="1"/>
      <c r="ADY116" s="1"/>
      <c r="ADZ116" s="1"/>
      <c r="AEA116" s="1"/>
      <c r="AEB116" s="1"/>
      <c r="AEC116" s="1"/>
      <c r="AED116" s="1"/>
      <c r="AEE116" s="1"/>
      <c r="AEF116" s="1"/>
      <c r="AEG116" s="1"/>
      <c r="AEH116" s="1"/>
      <c r="AEI116" s="1"/>
      <c r="AEJ116" s="1"/>
      <c r="AEK116" s="1"/>
      <c r="AEL116" s="1"/>
      <c r="AEM116" s="1"/>
      <c r="AEN116" s="1"/>
      <c r="AEO116" s="1"/>
      <c r="AEP116" s="1"/>
      <c r="AEQ116" s="1"/>
      <c r="AER116" s="1"/>
      <c r="AES116" s="1"/>
      <c r="AET116" s="1"/>
      <c r="AEU116" s="1"/>
      <c r="AEV116" s="1"/>
      <c r="AEW116" s="1"/>
      <c r="AEX116" s="1"/>
      <c r="AEY116" s="1"/>
      <c r="AEZ116" s="1"/>
      <c r="AFA116" s="1"/>
      <c r="AFB116" s="1"/>
      <c r="AFC116" s="1"/>
      <c r="AFD116" s="1"/>
      <c r="AFE116" s="1"/>
      <c r="AFF116" s="1"/>
      <c r="AFG116" s="1"/>
      <c r="AFH116" s="1"/>
      <c r="AFI116" s="1"/>
      <c r="AFJ116" s="1"/>
      <c r="AFK116" s="1"/>
      <c r="AFL116" s="1"/>
      <c r="AFM116" s="1"/>
      <c r="AFN116" s="1"/>
      <c r="AFO116" s="1"/>
      <c r="AFP116" s="1"/>
      <c r="AFQ116" s="1"/>
      <c r="AFR116" s="1"/>
      <c r="AFS116" s="1"/>
      <c r="AFT116" s="1"/>
      <c r="AFU116" s="1"/>
      <c r="AFV116" s="1"/>
      <c r="AFW116" s="1"/>
      <c r="AFX116" s="1"/>
      <c r="AFY116" s="1"/>
      <c r="AFZ116" s="1"/>
      <c r="AGA116" s="1"/>
      <c r="AGB116" s="1"/>
      <c r="AGC116" s="1"/>
      <c r="AGD116" s="1"/>
      <c r="AGE116" s="1"/>
      <c r="AGF116" s="1"/>
      <c r="AGG116" s="1"/>
      <c r="AGH116" s="1"/>
      <c r="AGI116" s="1"/>
      <c r="AGJ116" s="1"/>
      <c r="AGK116" s="1"/>
      <c r="AGL116" s="1"/>
      <c r="AGM116" s="1"/>
      <c r="AGN116" s="1"/>
      <c r="AGO116" s="1"/>
      <c r="AGP116" s="1"/>
      <c r="AGQ116" s="1"/>
      <c r="AGR116" s="1"/>
      <c r="AGS116" s="1"/>
      <c r="AGT116" s="1"/>
      <c r="AGU116" s="1"/>
      <c r="AGV116" s="1"/>
      <c r="AGW116" s="1"/>
      <c r="AGX116" s="1"/>
      <c r="AGY116" s="1"/>
      <c r="AGZ116" s="1"/>
      <c r="AHA116" s="1"/>
      <c r="AHB116" s="1"/>
      <c r="AHC116" s="1"/>
      <c r="AHD116" s="1"/>
      <c r="AHE116" s="1"/>
      <c r="AHF116" s="1"/>
      <c r="AHG116" s="1"/>
      <c r="AHH116" s="1"/>
      <c r="AHI116" s="1"/>
      <c r="AHJ116" s="1"/>
      <c r="AHK116" s="1"/>
      <c r="AHL116" s="1"/>
      <c r="AHM116" s="1"/>
      <c r="AHN116" s="1"/>
      <c r="AHO116" s="1"/>
      <c r="AHP116" s="1"/>
      <c r="AHQ116" s="1"/>
      <c r="AHR116" s="1"/>
      <c r="AHS116" s="1"/>
      <c r="AHT116" s="1"/>
      <c r="AHU116" s="1"/>
      <c r="AHV116" s="1"/>
      <c r="AHW116" s="1"/>
      <c r="AHX116" s="1"/>
      <c r="AHY116" s="1"/>
      <c r="AHZ116" s="1"/>
      <c r="AIA116" s="1"/>
      <c r="AIB116" s="1"/>
      <c r="AIC116" s="1"/>
      <c r="AID116" s="1"/>
      <c r="AIE116" s="1"/>
      <c r="AIF116" s="1"/>
      <c r="AIG116" s="1"/>
      <c r="AIH116" s="1"/>
      <c r="AII116" s="1"/>
      <c r="AIJ116" s="1"/>
      <c r="AIK116" s="1"/>
      <c r="AIL116" s="1"/>
      <c r="AIM116" s="1"/>
      <c r="AIN116" s="1"/>
      <c r="AIO116" s="1"/>
      <c r="AIP116" s="1"/>
      <c r="AIQ116" s="1"/>
      <c r="AIR116" s="1"/>
      <c r="AIS116" s="1"/>
      <c r="AIT116" s="1"/>
      <c r="AIU116" s="1"/>
      <c r="AIV116" s="1"/>
      <c r="AIW116" s="1"/>
      <c r="AIX116" s="1"/>
      <c r="AIY116" s="1"/>
      <c r="AIZ116" s="1"/>
      <c r="AJA116" s="1"/>
      <c r="AJB116" s="1"/>
      <c r="AJC116" s="1"/>
      <c r="AJD116" s="1"/>
      <c r="AJE116" s="1"/>
      <c r="AJF116" s="1"/>
      <c r="AJG116" s="1"/>
      <c r="AJH116" s="1"/>
      <c r="AJI116" s="1"/>
      <c r="AJJ116" s="1"/>
      <c r="AJK116" s="1"/>
      <c r="AJL116" s="1"/>
      <c r="AJM116" s="1"/>
      <c r="AJN116" s="1"/>
      <c r="AJO116" s="1"/>
      <c r="AJP116" s="1"/>
      <c r="AJQ116" s="1"/>
      <c r="AJR116" s="1"/>
      <c r="AJS116" s="1"/>
      <c r="AJT116" s="1"/>
      <c r="AJU116" s="1"/>
      <c r="AJV116" s="1"/>
      <c r="AJW116" s="1"/>
      <c r="AJX116" s="1"/>
      <c r="AJY116" s="1"/>
      <c r="AJZ116" s="1"/>
      <c r="AKA116" s="1"/>
      <c r="AKB116" s="1"/>
      <c r="AKC116" s="1"/>
      <c r="AKD116" s="1"/>
      <c r="AKE116" s="1"/>
      <c r="AKF116" s="1"/>
      <c r="AKG116" s="1"/>
      <c r="AKH116" s="1"/>
      <c r="AKI116" s="1"/>
      <c r="AKJ116" s="1"/>
      <c r="AKK116" s="1"/>
      <c r="AKL116" s="1"/>
      <c r="AKM116" s="1"/>
      <c r="AKN116" s="1"/>
      <c r="AKO116" s="1"/>
      <c r="AKP116" s="1"/>
      <c r="AKQ116" s="1"/>
      <c r="AKR116" s="1"/>
      <c r="AKS116" s="1"/>
      <c r="AKT116" s="1"/>
      <c r="AKU116" s="1"/>
      <c r="AKV116" s="1"/>
      <c r="AKW116" s="1"/>
      <c r="AKX116" s="1"/>
      <c r="AKY116" s="1"/>
      <c r="AKZ116" s="1"/>
      <c r="ALA116" s="1"/>
      <c r="ALB116" s="1"/>
      <c r="ALC116" s="1"/>
      <c r="ALD116" s="1"/>
      <c r="ALE116" s="1"/>
      <c r="ALF116" s="1"/>
      <c r="ALG116" s="1"/>
      <c r="ALH116" s="1"/>
      <c r="ALI116" s="1"/>
      <c r="ALJ116" s="1"/>
      <c r="ALK116" s="1"/>
      <c r="ALL116" s="1"/>
      <c r="ALM116" s="1"/>
      <c r="ALN116" s="1"/>
      <c r="ALO116" s="1"/>
      <c r="ALP116" s="1"/>
      <c r="ALQ116" s="1"/>
      <c r="ALR116" s="1"/>
      <c r="ALS116" s="1"/>
      <c r="ALT116" s="1"/>
      <c r="ALU116" s="1"/>
      <c r="ALV116" s="1"/>
      <c r="ALW116" s="1"/>
      <c r="ALX116" s="1"/>
      <c r="ALY116" s="1"/>
      <c r="ALZ116" s="1"/>
      <c r="AMA116" s="1"/>
      <c r="AMB116" s="1"/>
      <c r="AMC116" s="1"/>
      <c r="AMD116" s="1"/>
      <c r="AME116" s="1"/>
      <c r="AMF116" s="1"/>
      <c r="AMG116" s="1"/>
      <c r="AMH116" s="1"/>
      <c r="AMI116" s="1"/>
      <c r="AMJ116" s="1"/>
      <c r="AMK116" s="1"/>
      <c r="AML116" s="1"/>
      <c r="AMM116" s="1"/>
      <c r="AMN116" s="1"/>
      <c r="AMO116" s="1"/>
    </row>
    <row r="117" spans="1:1029" x14ac:dyDescent="0.2">
      <c r="A117" s="3" t="str">
        <f t="shared" si="699"/>
        <v>adrb2_human_4LDL</v>
      </c>
      <c r="B117" s="3" t="s">
        <v>126</v>
      </c>
      <c r="C117" s="3" t="s">
        <v>1045</v>
      </c>
      <c r="D117" s="3" t="str">
        <f>IFERROR(MID(VLOOKUP($B117,Seqs!$A:$B,2,0),E117,1),"")</f>
        <v/>
      </c>
      <c r="E117" s="3">
        <v>1029</v>
      </c>
      <c r="F117" s="3" t="str">
        <f>IFERROR(MID(VLOOKUP($B117,Seqs!$A:$B,2,0),G117,1),"")</f>
        <v/>
      </c>
      <c r="G117" s="3">
        <v>1061</v>
      </c>
      <c r="H117" s="3" t="str">
        <f>IFERROR(MID(VLOOKUP($B117,Seqs!$A:$B,2,0),I117,1),"")</f>
        <v/>
      </c>
      <c r="I117" s="23">
        <v>1062</v>
      </c>
      <c r="J117" s="3" t="str">
        <f>IFERROR(MID(VLOOKUP($B117,Seqs!$A:$B,2,0),K117,1),"")</f>
        <v/>
      </c>
      <c r="K117" s="23">
        <v>1065</v>
      </c>
      <c r="L117" s="3" t="str">
        <f>IFERROR(MID(VLOOKUP($B117,Seqs!$A:$B,2,0),M117,1),"")</f>
        <v/>
      </c>
      <c r="M117" s="3">
        <v>1066</v>
      </c>
      <c r="N117" s="3" t="str">
        <f>IFERROR(MID(VLOOKUP($B117,Seqs!$A:$B,2,0),O117,1),"")</f>
        <v/>
      </c>
      <c r="O117" s="3">
        <v>1096</v>
      </c>
      <c r="P117" s="3" t="str">
        <f>IFERROR(MID(VLOOKUP($B117,Seqs!$A:$B,2,0),Q117,1),"")</f>
        <v/>
      </c>
      <c r="Q117" s="3">
        <v>1098</v>
      </c>
      <c r="R117" s="3" t="str">
        <f>IFERROR(MID(VLOOKUP($B117,Seqs!$A:$B,2,0),S117,1),"")</f>
        <v/>
      </c>
      <c r="S117" s="3">
        <v>1101</v>
      </c>
      <c r="T117" s="3" t="str">
        <f>IFERROR(MID(VLOOKUP($B117,Seqs!$A:$B,2,0),U117,1),"")</f>
        <v/>
      </c>
      <c r="U117" s="3">
        <v>1102</v>
      </c>
      <c r="V117" s="3" t="str">
        <f>IFERROR(MID(VLOOKUP($B117,Seqs!$A:$B,2,0),W117,1),"")</f>
        <v/>
      </c>
      <c r="W117" s="3">
        <v>1137</v>
      </c>
      <c r="X117" s="3" t="str">
        <f>IFERROR(MID(VLOOKUP($B117,Seqs!$A:$B,2,0),Y117,1),"")</f>
        <v/>
      </c>
      <c r="Y117" s="3">
        <v>1138</v>
      </c>
      <c r="Z117" s="3" t="str">
        <f>IFERROR(MID(VLOOKUP($B117,Seqs!$A:$B,2,0),AA117,1),"")</f>
        <v/>
      </c>
      <c r="AA117" s="3">
        <v>1145</v>
      </c>
      <c r="AB117" s="3" t="str">
        <f>IFERROR(MID(VLOOKUP($B117,Seqs!$A:$B,2,0),AC117,1),"")</f>
        <v/>
      </c>
      <c r="AC117" s="9">
        <v>1146</v>
      </c>
      <c r="AD117" s="3" t="str">
        <f>IFERROR(MID(VLOOKUP($B117,Seqs!$A:$B,2,0),AE117,1),"")</f>
        <v/>
      </c>
      <c r="AE117" s="3">
        <v>1172</v>
      </c>
      <c r="AF117" s="3" t="str">
        <f>IFERROR(MID(VLOOKUP($B117,Seqs!$A:$B,2,0),AG117,1),"")</f>
        <v/>
      </c>
      <c r="AG117" s="3">
        <v>1191</v>
      </c>
      <c r="AH117" s="3" t="str">
        <f>IFERROR(MID(VLOOKUP($B117,Seqs!$A:$B,2,0),AI117,1),"")</f>
        <v/>
      </c>
      <c r="AI117" s="3">
        <v>1193</v>
      </c>
      <c r="AJ117" s="3" t="str">
        <f>IFERROR(MID(VLOOKUP($B117,Seqs!$A:$B,2,0),AK117,1),"")</f>
        <v/>
      </c>
      <c r="AK117" s="3">
        <v>1196</v>
      </c>
      <c r="AL117" s="3" t="str">
        <f>IFERROR(MID(VLOOKUP($B117,Seqs!$A:$B,2,0),AM117,1),"")</f>
        <v/>
      </c>
      <c r="AM117" s="3">
        <v>1225</v>
      </c>
      <c r="AN117" s="3" t="str">
        <f>IFERROR(MID(VLOOKUP($B117,Seqs!$A:$B,2,0),AO117,1),"")</f>
        <v/>
      </c>
      <c r="AO117" s="3">
        <v>1266</v>
      </c>
      <c r="AP117" s="3" t="str">
        <f>IFERROR(MID(VLOOKUP($B117,Seqs!$A:$B,2,0),AQ117,1),"")</f>
        <v/>
      </c>
      <c r="AQ117" s="3">
        <v>1299</v>
      </c>
      <c r="AR117" s="3" t="str">
        <f>IFERROR(MID(VLOOKUP($B117,Seqs!$A:$B,2,0),AS117,1),"")</f>
        <v/>
      </c>
      <c r="AS117" s="3">
        <v>1304</v>
      </c>
      <c r="AT117" s="3" t="str">
        <f>IFERROR(MID(VLOOKUP($B117,Seqs!$A:$B,2,0),AU117,1),"")</f>
        <v/>
      </c>
      <c r="AU117" s="3">
        <v>1328</v>
      </c>
      <c r="AV117" s="3" t="str">
        <f>IFERROR(MID(VLOOKUP($B117,Seqs!$A:$B,2,0),AW117,1),"")</f>
        <v/>
      </c>
      <c r="AW117" s="3">
        <v>1329</v>
      </c>
      <c r="AX117" s="3" t="str">
        <f>IFERROR(MID(VLOOKUP($B117,Seqs!$A:$B,2,0),AY117,1),"")</f>
        <v/>
      </c>
      <c r="AY117" s="3">
        <v>1341</v>
      </c>
      <c r="AZ117" s="77" t="str">
        <f>VLOOKUP(B117,Classification!A:D,2,0)</f>
        <v>A</v>
      </c>
      <c r="BA117" s="94" t="str">
        <f>VLOOKUP(B117,Classification!A:D,4,0)</f>
        <v>Adrenoceptors</v>
      </c>
      <c r="BB117" s="27" t="b">
        <f t="shared" si="700"/>
        <v>1</v>
      </c>
      <c r="BC117" s="23">
        <f t="shared" si="477"/>
        <v>248</v>
      </c>
      <c r="BD117" s="4" t="s">
        <v>23</v>
      </c>
      <c r="BE117" s="3" t="s">
        <v>1297</v>
      </c>
      <c r="BF117" s="119">
        <v>3.1</v>
      </c>
      <c r="BG117" s="49" t="s">
        <v>1383</v>
      </c>
      <c r="BH117" s="49" t="s">
        <v>1383</v>
      </c>
      <c r="BI117" s="1"/>
      <c r="BJ117" s="70" t="s">
        <v>1293</v>
      </c>
      <c r="BK117" s="57" t="s">
        <v>1293</v>
      </c>
      <c r="BL117" s="57" t="s">
        <v>1293</v>
      </c>
      <c r="BM117" s="57" t="s">
        <v>1293</v>
      </c>
      <c r="BN117" s="57" t="s">
        <v>1293</v>
      </c>
      <c r="BO117" s="57" t="s">
        <v>1293</v>
      </c>
      <c r="BP117" s="57" t="s">
        <v>1293</v>
      </c>
      <c r="BQ117" s="57" t="s">
        <v>1293</v>
      </c>
      <c r="BR117" s="57" t="s">
        <v>1293</v>
      </c>
      <c r="BS117" s="57" t="s">
        <v>1293</v>
      </c>
      <c r="BT117" s="57" t="s">
        <v>1293</v>
      </c>
      <c r="BU117" s="57" t="s">
        <v>1293</v>
      </c>
      <c r="BV117" s="70">
        <f t="shared" si="478"/>
        <v>1029</v>
      </c>
      <c r="BW117" s="71">
        <f t="shared" si="479"/>
        <v>1062</v>
      </c>
      <c r="BX117" s="72">
        <f t="shared" si="480"/>
        <v>1066</v>
      </c>
      <c r="BY117" s="71">
        <f t="shared" si="481"/>
        <v>1098</v>
      </c>
      <c r="BZ117" s="72">
        <f t="shared" si="482"/>
        <v>1102</v>
      </c>
      <c r="CA117" s="71">
        <f t="shared" si="483"/>
        <v>1138</v>
      </c>
      <c r="CB117" s="72">
        <f t="shared" si="484"/>
        <v>1146</v>
      </c>
      <c r="CC117" s="71">
        <f t="shared" si="485"/>
        <v>1191</v>
      </c>
      <c r="CD117" s="72">
        <f t="shared" si="486"/>
        <v>1196</v>
      </c>
      <c r="CE117" s="71">
        <f t="shared" si="487"/>
        <v>1266</v>
      </c>
      <c r="CF117" s="72">
        <f t="shared" si="488"/>
        <v>1304</v>
      </c>
      <c r="CG117" s="71">
        <f t="shared" si="489"/>
        <v>1329</v>
      </c>
      <c r="CH117" s="70">
        <f t="shared" si="490"/>
        <v>1061</v>
      </c>
      <c r="CI117" s="71">
        <f t="shared" si="491"/>
        <v>1065</v>
      </c>
      <c r="CJ117" s="72">
        <f t="shared" si="492"/>
        <v>1096</v>
      </c>
      <c r="CK117" s="72">
        <f t="shared" si="493"/>
        <v>1101</v>
      </c>
      <c r="CL117" s="72">
        <f t="shared" si="494"/>
        <v>1137</v>
      </c>
      <c r="CM117" s="72">
        <f t="shared" si="495"/>
        <v>1145</v>
      </c>
      <c r="CN117" s="72">
        <f t="shared" si="496"/>
        <v>1172</v>
      </c>
      <c r="CO117" s="72">
        <f t="shared" si="497"/>
        <v>1193</v>
      </c>
      <c r="CP117" s="72">
        <f t="shared" si="498"/>
        <v>1225</v>
      </c>
      <c r="CQ117" s="72">
        <f t="shared" si="499"/>
        <v>1299</v>
      </c>
      <c r="CR117" s="72">
        <f t="shared" si="500"/>
        <v>1328</v>
      </c>
      <c r="CS117" s="72">
        <f t="shared" si="501"/>
        <v>1341</v>
      </c>
      <c r="CT117" s="23">
        <f t="shared" si="502"/>
        <v>1</v>
      </c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  <c r="ADW117" s="1"/>
      <c r="ADX117" s="1"/>
      <c r="ADY117" s="1"/>
      <c r="ADZ117" s="1"/>
      <c r="AEA117" s="1"/>
      <c r="AEB117" s="1"/>
      <c r="AEC117" s="1"/>
      <c r="AED117" s="1"/>
      <c r="AEE117" s="1"/>
      <c r="AEF117" s="1"/>
      <c r="AEG117" s="1"/>
      <c r="AEH117" s="1"/>
      <c r="AEI117" s="1"/>
      <c r="AEJ117" s="1"/>
      <c r="AEK117" s="1"/>
      <c r="AEL117" s="1"/>
      <c r="AEM117" s="1"/>
      <c r="AEN117" s="1"/>
      <c r="AEO117" s="1"/>
      <c r="AEP117" s="1"/>
      <c r="AEQ117" s="1"/>
      <c r="AER117" s="1"/>
      <c r="AES117" s="1"/>
      <c r="AET117" s="1"/>
      <c r="AEU117" s="1"/>
      <c r="AEV117" s="1"/>
      <c r="AEW117" s="1"/>
      <c r="AEX117" s="1"/>
      <c r="AEY117" s="1"/>
      <c r="AEZ117" s="1"/>
      <c r="AFA117" s="1"/>
      <c r="AFB117" s="1"/>
      <c r="AFC117" s="1"/>
      <c r="AFD117" s="1"/>
      <c r="AFE117" s="1"/>
      <c r="AFF117" s="1"/>
      <c r="AFG117" s="1"/>
      <c r="AFH117" s="1"/>
      <c r="AFI117" s="1"/>
      <c r="AFJ117" s="1"/>
      <c r="AFK117" s="1"/>
      <c r="AFL117" s="1"/>
      <c r="AFM117" s="1"/>
      <c r="AFN117" s="1"/>
      <c r="AFO117" s="1"/>
      <c r="AFP117" s="1"/>
      <c r="AFQ117" s="1"/>
      <c r="AFR117" s="1"/>
      <c r="AFS117" s="1"/>
      <c r="AFT117" s="1"/>
      <c r="AFU117" s="1"/>
      <c r="AFV117" s="1"/>
      <c r="AFW117" s="1"/>
      <c r="AFX117" s="1"/>
      <c r="AFY117" s="1"/>
      <c r="AFZ117" s="1"/>
      <c r="AGA117" s="1"/>
      <c r="AGB117" s="1"/>
      <c r="AGC117" s="1"/>
      <c r="AGD117" s="1"/>
      <c r="AGE117" s="1"/>
      <c r="AGF117" s="1"/>
      <c r="AGG117" s="1"/>
      <c r="AGH117" s="1"/>
      <c r="AGI117" s="1"/>
      <c r="AGJ117" s="1"/>
      <c r="AGK117" s="1"/>
      <c r="AGL117" s="1"/>
      <c r="AGM117" s="1"/>
      <c r="AGN117" s="1"/>
      <c r="AGO117" s="1"/>
      <c r="AGP117" s="1"/>
      <c r="AGQ117" s="1"/>
      <c r="AGR117" s="1"/>
      <c r="AGS117" s="1"/>
      <c r="AGT117" s="1"/>
      <c r="AGU117" s="1"/>
      <c r="AGV117" s="1"/>
      <c r="AGW117" s="1"/>
      <c r="AGX117" s="1"/>
      <c r="AGY117" s="1"/>
      <c r="AGZ117" s="1"/>
      <c r="AHA117" s="1"/>
      <c r="AHB117" s="1"/>
      <c r="AHC117" s="1"/>
      <c r="AHD117" s="1"/>
      <c r="AHE117" s="1"/>
      <c r="AHF117" s="1"/>
      <c r="AHG117" s="1"/>
      <c r="AHH117" s="1"/>
      <c r="AHI117" s="1"/>
      <c r="AHJ117" s="1"/>
      <c r="AHK117" s="1"/>
      <c r="AHL117" s="1"/>
      <c r="AHM117" s="1"/>
      <c r="AHN117" s="1"/>
      <c r="AHO117" s="1"/>
      <c r="AHP117" s="1"/>
      <c r="AHQ117" s="1"/>
      <c r="AHR117" s="1"/>
      <c r="AHS117" s="1"/>
      <c r="AHT117" s="1"/>
      <c r="AHU117" s="1"/>
      <c r="AHV117" s="1"/>
      <c r="AHW117" s="1"/>
      <c r="AHX117" s="1"/>
      <c r="AHY117" s="1"/>
      <c r="AHZ117" s="1"/>
      <c r="AIA117" s="1"/>
      <c r="AIB117" s="1"/>
      <c r="AIC117" s="1"/>
      <c r="AID117" s="1"/>
      <c r="AIE117" s="1"/>
      <c r="AIF117" s="1"/>
      <c r="AIG117" s="1"/>
      <c r="AIH117" s="1"/>
      <c r="AII117" s="1"/>
      <c r="AIJ117" s="1"/>
      <c r="AIK117" s="1"/>
      <c r="AIL117" s="1"/>
      <c r="AIM117" s="1"/>
      <c r="AIN117" s="1"/>
      <c r="AIO117" s="1"/>
      <c r="AIP117" s="1"/>
      <c r="AIQ117" s="1"/>
      <c r="AIR117" s="1"/>
      <c r="AIS117" s="1"/>
      <c r="AIT117" s="1"/>
      <c r="AIU117" s="1"/>
      <c r="AIV117" s="1"/>
      <c r="AIW117" s="1"/>
      <c r="AIX117" s="1"/>
      <c r="AIY117" s="1"/>
      <c r="AIZ117" s="1"/>
      <c r="AJA117" s="1"/>
      <c r="AJB117" s="1"/>
      <c r="AJC117" s="1"/>
      <c r="AJD117" s="1"/>
      <c r="AJE117" s="1"/>
      <c r="AJF117" s="1"/>
      <c r="AJG117" s="1"/>
      <c r="AJH117" s="1"/>
      <c r="AJI117" s="1"/>
      <c r="AJJ117" s="1"/>
      <c r="AJK117" s="1"/>
      <c r="AJL117" s="1"/>
      <c r="AJM117" s="1"/>
      <c r="AJN117" s="1"/>
      <c r="AJO117" s="1"/>
      <c r="AJP117" s="1"/>
      <c r="AJQ117" s="1"/>
      <c r="AJR117" s="1"/>
      <c r="AJS117" s="1"/>
      <c r="AJT117" s="1"/>
      <c r="AJU117" s="1"/>
      <c r="AJV117" s="1"/>
      <c r="AJW117" s="1"/>
      <c r="AJX117" s="1"/>
      <c r="AJY117" s="1"/>
      <c r="AJZ117" s="1"/>
      <c r="AKA117" s="1"/>
      <c r="AKB117" s="1"/>
      <c r="AKC117" s="1"/>
      <c r="AKD117" s="1"/>
      <c r="AKE117" s="1"/>
      <c r="AKF117" s="1"/>
      <c r="AKG117" s="1"/>
      <c r="AKH117" s="1"/>
      <c r="AKI117" s="1"/>
      <c r="AKJ117" s="1"/>
      <c r="AKK117" s="1"/>
      <c r="AKL117" s="1"/>
      <c r="AKM117" s="1"/>
      <c r="AKN117" s="1"/>
      <c r="AKO117" s="1"/>
      <c r="AKP117" s="1"/>
      <c r="AKQ117" s="1"/>
      <c r="AKR117" s="1"/>
      <c r="AKS117" s="1"/>
      <c r="AKT117" s="1"/>
      <c r="AKU117" s="1"/>
      <c r="AKV117" s="1"/>
      <c r="AKW117" s="1"/>
      <c r="AKX117" s="1"/>
      <c r="AKY117" s="1"/>
      <c r="AKZ117" s="1"/>
      <c r="ALA117" s="1"/>
      <c r="ALB117" s="1"/>
      <c r="ALC117" s="1"/>
      <c r="ALD117" s="1"/>
      <c r="ALE117" s="1"/>
      <c r="ALF117" s="1"/>
      <c r="ALG117" s="1"/>
      <c r="ALH117" s="1"/>
      <c r="ALI117" s="1"/>
      <c r="ALJ117" s="1"/>
      <c r="ALK117" s="1"/>
      <c r="ALL117" s="1"/>
      <c r="ALM117" s="1"/>
      <c r="ALN117" s="1"/>
      <c r="ALO117" s="1"/>
      <c r="ALP117" s="1"/>
      <c r="ALQ117" s="1"/>
      <c r="ALR117" s="1"/>
      <c r="ALS117" s="1"/>
      <c r="ALT117" s="1"/>
      <c r="ALU117" s="1"/>
      <c r="ALV117" s="1"/>
      <c r="ALW117" s="1"/>
      <c r="ALX117" s="1"/>
      <c r="ALY117" s="1"/>
      <c r="ALZ117" s="1"/>
      <c r="AMA117" s="1"/>
      <c r="AMB117" s="1"/>
      <c r="AMC117" s="1"/>
      <c r="AMD117" s="1"/>
      <c r="AME117" s="1"/>
      <c r="AMF117" s="1"/>
      <c r="AMG117" s="1"/>
      <c r="AMH117" s="1"/>
      <c r="AMI117" s="1"/>
      <c r="AMJ117" s="1"/>
      <c r="AMK117" s="1"/>
      <c r="AML117" s="1"/>
      <c r="AMM117" s="1"/>
      <c r="AMN117" s="1"/>
      <c r="AMO117" s="1"/>
    </row>
    <row r="118" spans="1:1029" ht="17" customHeight="1" x14ac:dyDescent="0.2">
      <c r="A118" s="3" t="str">
        <f t="shared" si="699"/>
        <v>adrb2_human_4LDO</v>
      </c>
      <c r="B118" s="3" t="s">
        <v>126</v>
      </c>
      <c r="C118" s="3" t="s">
        <v>1046</v>
      </c>
      <c r="D118" s="3" t="str">
        <f>IFERROR(MID(VLOOKUP($B118,Seqs!$A:$B,2,0),E118,1),"")</f>
        <v/>
      </c>
      <c r="E118" s="3">
        <v>1029</v>
      </c>
      <c r="F118" s="3" t="str">
        <f>IFERROR(MID(VLOOKUP($B118,Seqs!$A:$B,2,0),G118,1),"")</f>
        <v/>
      </c>
      <c r="G118" s="3">
        <v>1061</v>
      </c>
      <c r="H118" s="3" t="str">
        <f>IFERROR(MID(VLOOKUP($B118,Seqs!$A:$B,2,0),I118,1),"")</f>
        <v/>
      </c>
      <c r="I118" s="23">
        <v>1062</v>
      </c>
      <c r="J118" s="3" t="str">
        <f>IFERROR(MID(VLOOKUP($B118,Seqs!$A:$B,2,0),K118,1),"")</f>
        <v/>
      </c>
      <c r="K118" s="23">
        <v>1065</v>
      </c>
      <c r="L118" s="3" t="str">
        <f>IFERROR(MID(VLOOKUP($B118,Seqs!$A:$B,2,0),M118,1),"")</f>
        <v/>
      </c>
      <c r="M118" s="3">
        <v>1066</v>
      </c>
      <c r="N118" s="3" t="str">
        <f>IFERROR(MID(VLOOKUP($B118,Seqs!$A:$B,2,0),O118,1),"")</f>
        <v/>
      </c>
      <c r="O118" s="3">
        <v>1096</v>
      </c>
      <c r="P118" s="3" t="str">
        <f>IFERROR(MID(VLOOKUP($B118,Seqs!$A:$B,2,0),Q118,1),"")</f>
        <v/>
      </c>
      <c r="Q118" s="3">
        <v>1098</v>
      </c>
      <c r="R118" s="3" t="str">
        <f>IFERROR(MID(VLOOKUP($B118,Seqs!$A:$B,2,0),S118,1),"")</f>
        <v/>
      </c>
      <c r="S118" s="3">
        <v>1101</v>
      </c>
      <c r="T118" s="3" t="str">
        <f>IFERROR(MID(VLOOKUP($B118,Seqs!$A:$B,2,0),U118,1),"")</f>
        <v/>
      </c>
      <c r="U118" s="3">
        <v>1102</v>
      </c>
      <c r="V118" s="3" t="str">
        <f>IFERROR(MID(VLOOKUP($B118,Seqs!$A:$B,2,0),W118,1),"")</f>
        <v/>
      </c>
      <c r="W118" s="3">
        <v>1137</v>
      </c>
      <c r="X118" s="3" t="str">
        <f>IFERROR(MID(VLOOKUP($B118,Seqs!$A:$B,2,0),Y118,1),"")</f>
        <v/>
      </c>
      <c r="Y118" s="3">
        <v>1138</v>
      </c>
      <c r="Z118" s="3" t="str">
        <f>IFERROR(MID(VLOOKUP($B118,Seqs!$A:$B,2,0),AA118,1),"")</f>
        <v/>
      </c>
      <c r="AA118" s="3">
        <v>1145</v>
      </c>
      <c r="AB118" s="3" t="str">
        <f>IFERROR(MID(VLOOKUP($B118,Seqs!$A:$B,2,0),AC118,1),"")</f>
        <v/>
      </c>
      <c r="AC118" s="9">
        <v>1146</v>
      </c>
      <c r="AD118" s="3" t="str">
        <f>IFERROR(MID(VLOOKUP($B118,Seqs!$A:$B,2,0),AE118,1),"")</f>
        <v/>
      </c>
      <c r="AE118" s="3">
        <v>1172</v>
      </c>
      <c r="AF118" s="3" t="str">
        <f>IFERROR(MID(VLOOKUP($B118,Seqs!$A:$B,2,0),AG118,1),"")</f>
        <v/>
      </c>
      <c r="AG118" s="3">
        <v>1191</v>
      </c>
      <c r="AH118" s="3" t="str">
        <f>IFERROR(MID(VLOOKUP($B118,Seqs!$A:$B,2,0),AI118,1),"")</f>
        <v/>
      </c>
      <c r="AI118" s="3">
        <v>1193</v>
      </c>
      <c r="AJ118" s="3" t="str">
        <f>IFERROR(MID(VLOOKUP($B118,Seqs!$A:$B,2,0),AK118,1),"")</f>
        <v/>
      </c>
      <c r="AK118" s="3">
        <v>1196</v>
      </c>
      <c r="AL118" s="3" t="str">
        <f>IFERROR(MID(VLOOKUP($B118,Seqs!$A:$B,2,0),AM118,1),"")</f>
        <v/>
      </c>
      <c r="AM118" s="3">
        <v>1225</v>
      </c>
      <c r="AN118" s="3" t="str">
        <f>IFERROR(MID(VLOOKUP($B118,Seqs!$A:$B,2,0),AO118,1),"")</f>
        <v/>
      </c>
      <c r="AO118" s="3">
        <v>1266</v>
      </c>
      <c r="AP118" s="3" t="str">
        <f>IFERROR(MID(VLOOKUP($B118,Seqs!$A:$B,2,0),AQ118,1),"")</f>
        <v/>
      </c>
      <c r="AQ118" s="3">
        <v>1299</v>
      </c>
      <c r="AR118" s="3" t="str">
        <f>IFERROR(MID(VLOOKUP($B118,Seqs!$A:$B,2,0),AS118,1),"")</f>
        <v/>
      </c>
      <c r="AS118" s="3">
        <v>1304</v>
      </c>
      <c r="AT118" s="3" t="str">
        <f>IFERROR(MID(VLOOKUP($B118,Seqs!$A:$B,2,0),AU118,1),"")</f>
        <v/>
      </c>
      <c r="AU118" s="3">
        <v>1328</v>
      </c>
      <c r="AV118" s="3" t="str">
        <f>IFERROR(MID(VLOOKUP($B118,Seqs!$A:$B,2,0),AW118,1),"")</f>
        <v/>
      </c>
      <c r="AW118" s="3">
        <v>1329</v>
      </c>
      <c r="AX118" s="3" t="str">
        <f>IFERROR(MID(VLOOKUP($B118,Seqs!$A:$B,2,0),AY118,1),"")</f>
        <v/>
      </c>
      <c r="AY118" s="3">
        <v>1341</v>
      </c>
      <c r="AZ118" s="77" t="str">
        <f>VLOOKUP(B118,Classification!A:D,2,0)</f>
        <v>A</v>
      </c>
      <c r="BA118" s="94" t="str">
        <f>VLOOKUP(B118,Classification!A:D,4,0)</f>
        <v>Adrenoceptors</v>
      </c>
      <c r="BB118" s="27" t="b">
        <f t="shared" si="700"/>
        <v>1</v>
      </c>
      <c r="BC118" s="23">
        <f t="shared" si="477"/>
        <v>248</v>
      </c>
      <c r="BD118" s="4" t="s">
        <v>23</v>
      </c>
      <c r="BE118" s="3" t="s">
        <v>1297</v>
      </c>
      <c r="BF118" s="119">
        <v>3.2</v>
      </c>
      <c r="BG118" s="49" t="s">
        <v>1383</v>
      </c>
      <c r="BH118" s="49" t="s">
        <v>1383</v>
      </c>
      <c r="BI118" s="1"/>
      <c r="BJ118" s="70" t="s">
        <v>1293</v>
      </c>
      <c r="BK118" s="57" t="s">
        <v>1293</v>
      </c>
      <c r="BL118" s="57" t="s">
        <v>1293</v>
      </c>
      <c r="BM118" s="57" t="s">
        <v>1293</v>
      </c>
      <c r="BN118" s="57" t="s">
        <v>1293</v>
      </c>
      <c r="BO118" s="57" t="s">
        <v>1293</v>
      </c>
      <c r="BP118" s="57" t="s">
        <v>1293</v>
      </c>
      <c r="BQ118" s="57" t="s">
        <v>1293</v>
      </c>
      <c r="BR118" s="57" t="s">
        <v>1293</v>
      </c>
      <c r="BS118" s="57" t="s">
        <v>1293</v>
      </c>
      <c r="BT118" s="57" t="s">
        <v>1293</v>
      </c>
      <c r="BU118" s="57" t="s">
        <v>1293</v>
      </c>
      <c r="BV118" s="70">
        <f t="shared" si="478"/>
        <v>1029</v>
      </c>
      <c r="BW118" s="71">
        <f t="shared" si="479"/>
        <v>1062</v>
      </c>
      <c r="BX118" s="72">
        <f t="shared" si="480"/>
        <v>1066</v>
      </c>
      <c r="BY118" s="71">
        <f t="shared" si="481"/>
        <v>1098</v>
      </c>
      <c r="BZ118" s="72">
        <f t="shared" si="482"/>
        <v>1102</v>
      </c>
      <c r="CA118" s="71">
        <f t="shared" si="483"/>
        <v>1138</v>
      </c>
      <c r="CB118" s="72">
        <f t="shared" si="484"/>
        <v>1146</v>
      </c>
      <c r="CC118" s="71">
        <f t="shared" si="485"/>
        <v>1191</v>
      </c>
      <c r="CD118" s="72">
        <f t="shared" si="486"/>
        <v>1196</v>
      </c>
      <c r="CE118" s="71">
        <f t="shared" si="487"/>
        <v>1266</v>
      </c>
      <c r="CF118" s="72">
        <f t="shared" si="488"/>
        <v>1304</v>
      </c>
      <c r="CG118" s="71">
        <f t="shared" si="489"/>
        <v>1329</v>
      </c>
      <c r="CH118" s="70">
        <f t="shared" si="490"/>
        <v>1061</v>
      </c>
      <c r="CI118" s="71">
        <f t="shared" si="491"/>
        <v>1065</v>
      </c>
      <c r="CJ118" s="72">
        <f t="shared" si="492"/>
        <v>1096</v>
      </c>
      <c r="CK118" s="72">
        <f t="shared" si="493"/>
        <v>1101</v>
      </c>
      <c r="CL118" s="72">
        <f t="shared" si="494"/>
        <v>1137</v>
      </c>
      <c r="CM118" s="72">
        <f t="shared" si="495"/>
        <v>1145</v>
      </c>
      <c r="CN118" s="72">
        <f t="shared" si="496"/>
        <v>1172</v>
      </c>
      <c r="CO118" s="72">
        <f t="shared" si="497"/>
        <v>1193</v>
      </c>
      <c r="CP118" s="72">
        <f t="shared" si="498"/>
        <v>1225</v>
      </c>
      <c r="CQ118" s="72">
        <f t="shared" si="499"/>
        <v>1299</v>
      </c>
      <c r="CR118" s="72">
        <f t="shared" si="500"/>
        <v>1328</v>
      </c>
      <c r="CS118" s="72">
        <f t="shared" si="501"/>
        <v>1341</v>
      </c>
      <c r="CT118" s="23">
        <f t="shared" si="502"/>
        <v>1</v>
      </c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  <c r="ADW118" s="1"/>
      <c r="ADX118" s="1"/>
      <c r="ADY118" s="1"/>
      <c r="ADZ118" s="1"/>
      <c r="AEA118" s="1"/>
      <c r="AEB118" s="1"/>
      <c r="AEC118" s="1"/>
      <c r="AED118" s="1"/>
      <c r="AEE118" s="1"/>
      <c r="AEF118" s="1"/>
      <c r="AEG118" s="1"/>
      <c r="AEH118" s="1"/>
      <c r="AEI118" s="1"/>
      <c r="AEJ118" s="1"/>
      <c r="AEK118" s="1"/>
      <c r="AEL118" s="1"/>
      <c r="AEM118" s="1"/>
      <c r="AEN118" s="1"/>
      <c r="AEO118" s="1"/>
      <c r="AEP118" s="1"/>
      <c r="AEQ118" s="1"/>
      <c r="AER118" s="1"/>
      <c r="AES118" s="1"/>
      <c r="AET118" s="1"/>
      <c r="AEU118" s="1"/>
      <c r="AEV118" s="1"/>
      <c r="AEW118" s="1"/>
      <c r="AEX118" s="1"/>
      <c r="AEY118" s="1"/>
      <c r="AEZ118" s="1"/>
      <c r="AFA118" s="1"/>
      <c r="AFB118" s="1"/>
      <c r="AFC118" s="1"/>
      <c r="AFD118" s="1"/>
      <c r="AFE118" s="1"/>
      <c r="AFF118" s="1"/>
      <c r="AFG118" s="1"/>
      <c r="AFH118" s="1"/>
      <c r="AFI118" s="1"/>
      <c r="AFJ118" s="1"/>
      <c r="AFK118" s="1"/>
      <c r="AFL118" s="1"/>
      <c r="AFM118" s="1"/>
      <c r="AFN118" s="1"/>
      <c r="AFO118" s="1"/>
      <c r="AFP118" s="1"/>
      <c r="AFQ118" s="1"/>
      <c r="AFR118" s="1"/>
      <c r="AFS118" s="1"/>
      <c r="AFT118" s="1"/>
      <c r="AFU118" s="1"/>
      <c r="AFV118" s="1"/>
      <c r="AFW118" s="1"/>
      <c r="AFX118" s="1"/>
      <c r="AFY118" s="1"/>
      <c r="AFZ118" s="1"/>
      <c r="AGA118" s="1"/>
      <c r="AGB118" s="1"/>
      <c r="AGC118" s="1"/>
      <c r="AGD118" s="1"/>
      <c r="AGE118" s="1"/>
      <c r="AGF118" s="1"/>
      <c r="AGG118" s="1"/>
      <c r="AGH118" s="1"/>
      <c r="AGI118" s="1"/>
      <c r="AGJ118" s="1"/>
      <c r="AGK118" s="1"/>
      <c r="AGL118" s="1"/>
      <c r="AGM118" s="1"/>
      <c r="AGN118" s="1"/>
      <c r="AGO118" s="1"/>
      <c r="AGP118" s="1"/>
      <c r="AGQ118" s="1"/>
      <c r="AGR118" s="1"/>
      <c r="AGS118" s="1"/>
      <c r="AGT118" s="1"/>
      <c r="AGU118" s="1"/>
      <c r="AGV118" s="1"/>
      <c r="AGW118" s="1"/>
      <c r="AGX118" s="1"/>
      <c r="AGY118" s="1"/>
      <c r="AGZ118" s="1"/>
      <c r="AHA118" s="1"/>
      <c r="AHB118" s="1"/>
      <c r="AHC118" s="1"/>
      <c r="AHD118" s="1"/>
      <c r="AHE118" s="1"/>
      <c r="AHF118" s="1"/>
      <c r="AHG118" s="1"/>
      <c r="AHH118" s="1"/>
      <c r="AHI118" s="1"/>
      <c r="AHJ118" s="1"/>
      <c r="AHK118" s="1"/>
      <c r="AHL118" s="1"/>
      <c r="AHM118" s="1"/>
      <c r="AHN118" s="1"/>
      <c r="AHO118" s="1"/>
      <c r="AHP118" s="1"/>
      <c r="AHQ118" s="1"/>
      <c r="AHR118" s="1"/>
      <c r="AHS118" s="1"/>
      <c r="AHT118" s="1"/>
      <c r="AHU118" s="1"/>
      <c r="AHV118" s="1"/>
      <c r="AHW118" s="1"/>
      <c r="AHX118" s="1"/>
      <c r="AHY118" s="1"/>
      <c r="AHZ118" s="1"/>
      <c r="AIA118" s="1"/>
      <c r="AIB118" s="1"/>
      <c r="AIC118" s="1"/>
      <c r="AID118" s="1"/>
      <c r="AIE118" s="1"/>
      <c r="AIF118" s="1"/>
      <c r="AIG118" s="1"/>
      <c r="AIH118" s="1"/>
      <c r="AII118" s="1"/>
      <c r="AIJ118" s="1"/>
      <c r="AIK118" s="1"/>
      <c r="AIL118" s="1"/>
      <c r="AIM118" s="1"/>
      <c r="AIN118" s="1"/>
      <c r="AIO118" s="1"/>
      <c r="AIP118" s="1"/>
      <c r="AIQ118" s="1"/>
      <c r="AIR118" s="1"/>
      <c r="AIS118" s="1"/>
      <c r="AIT118" s="1"/>
      <c r="AIU118" s="1"/>
      <c r="AIV118" s="1"/>
      <c r="AIW118" s="1"/>
      <c r="AIX118" s="1"/>
      <c r="AIY118" s="1"/>
      <c r="AIZ118" s="1"/>
      <c r="AJA118" s="1"/>
      <c r="AJB118" s="1"/>
      <c r="AJC118" s="1"/>
      <c r="AJD118" s="1"/>
      <c r="AJE118" s="1"/>
      <c r="AJF118" s="1"/>
      <c r="AJG118" s="1"/>
      <c r="AJH118" s="1"/>
      <c r="AJI118" s="1"/>
      <c r="AJJ118" s="1"/>
      <c r="AJK118" s="1"/>
      <c r="AJL118" s="1"/>
      <c r="AJM118" s="1"/>
      <c r="AJN118" s="1"/>
      <c r="AJO118" s="1"/>
      <c r="AJP118" s="1"/>
      <c r="AJQ118" s="1"/>
      <c r="AJR118" s="1"/>
      <c r="AJS118" s="1"/>
      <c r="AJT118" s="1"/>
      <c r="AJU118" s="1"/>
      <c r="AJV118" s="1"/>
      <c r="AJW118" s="1"/>
      <c r="AJX118" s="1"/>
      <c r="AJY118" s="1"/>
      <c r="AJZ118" s="1"/>
      <c r="AKA118" s="1"/>
      <c r="AKB118" s="1"/>
      <c r="AKC118" s="1"/>
      <c r="AKD118" s="1"/>
      <c r="AKE118" s="1"/>
      <c r="AKF118" s="1"/>
      <c r="AKG118" s="1"/>
      <c r="AKH118" s="1"/>
      <c r="AKI118" s="1"/>
      <c r="AKJ118" s="1"/>
      <c r="AKK118" s="1"/>
      <c r="AKL118" s="1"/>
      <c r="AKM118" s="1"/>
      <c r="AKN118" s="1"/>
      <c r="AKO118" s="1"/>
      <c r="AKP118" s="1"/>
      <c r="AKQ118" s="1"/>
      <c r="AKR118" s="1"/>
      <c r="AKS118" s="1"/>
      <c r="AKT118" s="1"/>
      <c r="AKU118" s="1"/>
      <c r="AKV118" s="1"/>
      <c r="AKW118" s="1"/>
      <c r="AKX118" s="1"/>
      <c r="AKY118" s="1"/>
      <c r="AKZ118" s="1"/>
      <c r="ALA118" s="1"/>
      <c r="ALB118" s="1"/>
      <c r="ALC118" s="1"/>
      <c r="ALD118" s="1"/>
      <c r="ALE118" s="1"/>
      <c r="ALF118" s="1"/>
      <c r="ALG118" s="1"/>
      <c r="ALH118" s="1"/>
      <c r="ALI118" s="1"/>
      <c r="ALJ118" s="1"/>
      <c r="ALK118" s="1"/>
      <c r="ALL118" s="1"/>
      <c r="ALM118" s="1"/>
      <c r="ALN118" s="1"/>
      <c r="ALO118" s="1"/>
      <c r="ALP118" s="1"/>
      <c r="ALQ118" s="1"/>
      <c r="ALR118" s="1"/>
      <c r="ALS118" s="1"/>
      <c r="ALT118" s="1"/>
      <c r="ALU118" s="1"/>
      <c r="ALV118" s="1"/>
      <c r="ALW118" s="1"/>
      <c r="ALX118" s="1"/>
      <c r="ALY118" s="1"/>
      <c r="ALZ118" s="1"/>
      <c r="AMA118" s="1"/>
      <c r="AMB118" s="1"/>
      <c r="AMC118" s="1"/>
      <c r="AMD118" s="1"/>
      <c r="AME118" s="1"/>
      <c r="AMF118" s="1"/>
      <c r="AMG118" s="1"/>
      <c r="AMH118" s="1"/>
      <c r="AMI118" s="1"/>
      <c r="AMJ118" s="1"/>
      <c r="AMK118" s="1"/>
      <c r="AML118" s="1"/>
      <c r="AMM118" s="1"/>
      <c r="AMN118" s="1"/>
      <c r="AMO118" s="1"/>
    </row>
    <row r="119" spans="1:1029" x14ac:dyDescent="0.2">
      <c r="A119" s="3" t="str">
        <f t="shared" si="699"/>
        <v>adrb2_human_4QKX</v>
      </c>
      <c r="B119" s="3" t="s">
        <v>126</v>
      </c>
      <c r="C119" s="3" t="s">
        <v>78</v>
      </c>
      <c r="D119" s="3" t="str">
        <f>IFERROR(MID(VLOOKUP($B119,Seqs!$A:$B,2,0),E119,1),"")</f>
        <v/>
      </c>
      <c r="E119" s="3">
        <v>1029</v>
      </c>
      <c r="F119" s="3" t="str">
        <f>IFERROR(MID(VLOOKUP($B119,Seqs!$A:$B,2,0),G119,1),"")</f>
        <v/>
      </c>
      <c r="G119" s="3">
        <v>1061</v>
      </c>
      <c r="H119" s="3" t="str">
        <f>IFERROR(MID(VLOOKUP($B119,Seqs!$A:$B,2,0),I119,1),"")</f>
        <v/>
      </c>
      <c r="I119" s="23">
        <v>1062</v>
      </c>
      <c r="J119" s="3" t="str">
        <f>IFERROR(MID(VLOOKUP($B119,Seqs!$A:$B,2,0),K119,1),"")</f>
        <v/>
      </c>
      <c r="K119" s="23">
        <v>1065</v>
      </c>
      <c r="L119" s="3" t="str">
        <f>IFERROR(MID(VLOOKUP($B119,Seqs!$A:$B,2,0),M119,1),"")</f>
        <v/>
      </c>
      <c r="M119" s="3">
        <v>1066</v>
      </c>
      <c r="N119" s="3" t="str">
        <f>IFERROR(MID(VLOOKUP($B119,Seqs!$A:$B,2,0),O119,1),"")</f>
        <v/>
      </c>
      <c r="O119" s="3">
        <v>1096</v>
      </c>
      <c r="P119" s="3" t="str">
        <f>IFERROR(MID(VLOOKUP($B119,Seqs!$A:$B,2,0),Q119,1),"")</f>
        <v/>
      </c>
      <c r="Q119" s="3">
        <v>1098</v>
      </c>
      <c r="R119" s="3" t="str">
        <f>IFERROR(MID(VLOOKUP($B119,Seqs!$A:$B,2,0),S119,1),"")</f>
        <v/>
      </c>
      <c r="S119" s="3">
        <v>1101</v>
      </c>
      <c r="T119" s="3" t="str">
        <f>IFERROR(MID(VLOOKUP($B119,Seqs!$A:$B,2,0),U119,1),"")</f>
        <v/>
      </c>
      <c r="U119" s="3">
        <v>1102</v>
      </c>
      <c r="V119" s="3" t="str">
        <f>IFERROR(MID(VLOOKUP($B119,Seqs!$A:$B,2,0),W119,1),"")</f>
        <v/>
      </c>
      <c r="W119" s="3">
        <v>1137</v>
      </c>
      <c r="X119" s="3" t="str">
        <f>IFERROR(MID(VLOOKUP($B119,Seqs!$A:$B,2,0),Y119,1),"")</f>
        <v/>
      </c>
      <c r="Y119" s="3">
        <v>1138</v>
      </c>
      <c r="Z119" s="3" t="str">
        <f>IFERROR(MID(VLOOKUP($B119,Seqs!$A:$B,2,0),AA119,1),"")</f>
        <v/>
      </c>
      <c r="AA119" s="3">
        <v>1145</v>
      </c>
      <c r="AB119" s="3" t="str">
        <f>IFERROR(MID(VLOOKUP($B119,Seqs!$A:$B,2,0),AC119,1),"")</f>
        <v/>
      </c>
      <c r="AC119" s="9">
        <v>1146</v>
      </c>
      <c r="AD119" s="3" t="str">
        <f>IFERROR(MID(VLOOKUP($B119,Seqs!$A:$B,2,0),AE119,1),"")</f>
        <v/>
      </c>
      <c r="AE119" s="3">
        <v>1172</v>
      </c>
      <c r="AF119" s="3" t="str">
        <f>IFERROR(MID(VLOOKUP($B119,Seqs!$A:$B,2,0),AG119,1),"")</f>
        <v/>
      </c>
      <c r="AG119" s="3">
        <v>1191</v>
      </c>
      <c r="AH119" s="3" t="str">
        <f>IFERROR(MID(VLOOKUP($B119,Seqs!$A:$B,2,0),AI119,1),"")</f>
        <v/>
      </c>
      <c r="AI119" s="3">
        <v>1193</v>
      </c>
      <c r="AJ119" s="3" t="str">
        <f>IFERROR(MID(VLOOKUP($B119,Seqs!$A:$B,2,0),AK119,1),"")</f>
        <v/>
      </c>
      <c r="AK119" s="3">
        <v>1196</v>
      </c>
      <c r="AL119" s="3" t="str">
        <f>IFERROR(MID(VLOOKUP($B119,Seqs!$A:$B,2,0),AM119,1),"")</f>
        <v/>
      </c>
      <c r="AM119" s="3">
        <v>1225</v>
      </c>
      <c r="AN119" s="3" t="str">
        <f>IFERROR(MID(VLOOKUP($B119,Seqs!$A:$B,2,0),AO119,1),"")</f>
        <v/>
      </c>
      <c r="AO119" s="3">
        <v>1266</v>
      </c>
      <c r="AP119" s="3" t="str">
        <f>IFERROR(MID(VLOOKUP($B119,Seqs!$A:$B,2,0),AQ119,1),"")</f>
        <v/>
      </c>
      <c r="AQ119" s="3">
        <v>1299</v>
      </c>
      <c r="AR119" s="3" t="str">
        <f>IFERROR(MID(VLOOKUP($B119,Seqs!$A:$B,2,0),AS119,1),"")</f>
        <v/>
      </c>
      <c r="AS119" s="3">
        <v>1304</v>
      </c>
      <c r="AT119" s="3" t="str">
        <f>IFERROR(MID(VLOOKUP($B119,Seqs!$A:$B,2,0),AU119,1),"")</f>
        <v/>
      </c>
      <c r="AU119" s="3">
        <v>1328</v>
      </c>
      <c r="AV119" s="3" t="str">
        <f>IFERROR(MID(VLOOKUP($B119,Seqs!$A:$B,2,0),AW119,1),"")</f>
        <v/>
      </c>
      <c r="AW119" s="3">
        <v>1329</v>
      </c>
      <c r="AX119" s="3" t="str">
        <f>IFERROR(MID(VLOOKUP($B119,Seqs!$A:$B,2,0),AY119,1),"")</f>
        <v/>
      </c>
      <c r="AY119" s="3">
        <v>1341</v>
      </c>
      <c r="AZ119" s="77" t="str">
        <f>VLOOKUP(B119,Classification!A:D,2,0)</f>
        <v>A</v>
      </c>
      <c r="BA119" s="94" t="str">
        <f>VLOOKUP(B119,Classification!A:D,4,0)</f>
        <v>Adrenoceptors</v>
      </c>
      <c r="BB119" s="27" t="b">
        <f t="shared" si="700"/>
        <v>1</v>
      </c>
      <c r="BC119" s="23">
        <f t="shared" si="477"/>
        <v>248</v>
      </c>
      <c r="BD119" s="4" t="s">
        <v>23</v>
      </c>
      <c r="BE119" s="3" t="s">
        <v>1297</v>
      </c>
      <c r="BF119" s="119">
        <v>3.3</v>
      </c>
      <c r="BG119" s="49" t="s">
        <v>1383</v>
      </c>
      <c r="BH119" s="49" t="s">
        <v>1383</v>
      </c>
      <c r="BI119" s="1"/>
      <c r="BJ119" s="70" t="s">
        <v>1293</v>
      </c>
      <c r="BK119" s="57" t="s">
        <v>1293</v>
      </c>
      <c r="BL119" s="57" t="s">
        <v>1293</v>
      </c>
      <c r="BM119" s="57" t="s">
        <v>1293</v>
      </c>
      <c r="BN119" s="57" t="s">
        <v>1293</v>
      </c>
      <c r="BO119" s="57" t="s">
        <v>1293</v>
      </c>
      <c r="BP119" s="57" t="s">
        <v>1293</v>
      </c>
      <c r="BQ119" s="57" t="s">
        <v>1293</v>
      </c>
      <c r="BR119" s="57" t="s">
        <v>1293</v>
      </c>
      <c r="BS119" s="57" t="s">
        <v>1293</v>
      </c>
      <c r="BT119" s="57" t="s">
        <v>1293</v>
      </c>
      <c r="BU119" s="57" t="s">
        <v>1293</v>
      </c>
      <c r="BV119" s="70">
        <f t="shared" si="478"/>
        <v>1029</v>
      </c>
      <c r="BW119" s="71">
        <f t="shared" si="479"/>
        <v>1062</v>
      </c>
      <c r="BX119" s="72">
        <f t="shared" si="480"/>
        <v>1066</v>
      </c>
      <c r="BY119" s="71">
        <f t="shared" si="481"/>
        <v>1098</v>
      </c>
      <c r="BZ119" s="72">
        <f t="shared" si="482"/>
        <v>1102</v>
      </c>
      <c r="CA119" s="71">
        <f t="shared" si="483"/>
        <v>1138</v>
      </c>
      <c r="CB119" s="72">
        <f t="shared" si="484"/>
        <v>1146</v>
      </c>
      <c r="CC119" s="71">
        <f t="shared" si="485"/>
        <v>1191</v>
      </c>
      <c r="CD119" s="72">
        <f t="shared" si="486"/>
        <v>1196</v>
      </c>
      <c r="CE119" s="71">
        <f t="shared" si="487"/>
        <v>1266</v>
      </c>
      <c r="CF119" s="72">
        <f t="shared" si="488"/>
        <v>1304</v>
      </c>
      <c r="CG119" s="71">
        <f t="shared" si="489"/>
        <v>1329</v>
      </c>
      <c r="CH119" s="70">
        <f t="shared" si="490"/>
        <v>1061</v>
      </c>
      <c r="CI119" s="71">
        <f t="shared" si="491"/>
        <v>1065</v>
      </c>
      <c r="CJ119" s="72">
        <f t="shared" si="492"/>
        <v>1096</v>
      </c>
      <c r="CK119" s="72">
        <f t="shared" si="493"/>
        <v>1101</v>
      </c>
      <c r="CL119" s="72">
        <f t="shared" si="494"/>
        <v>1137</v>
      </c>
      <c r="CM119" s="72">
        <f t="shared" si="495"/>
        <v>1145</v>
      </c>
      <c r="CN119" s="72">
        <f t="shared" si="496"/>
        <v>1172</v>
      </c>
      <c r="CO119" s="72">
        <f t="shared" si="497"/>
        <v>1193</v>
      </c>
      <c r="CP119" s="72">
        <f t="shared" si="498"/>
        <v>1225</v>
      </c>
      <c r="CQ119" s="72">
        <f t="shared" si="499"/>
        <v>1299</v>
      </c>
      <c r="CR119" s="72">
        <f t="shared" si="500"/>
        <v>1328</v>
      </c>
      <c r="CS119" s="72">
        <f t="shared" si="501"/>
        <v>1341</v>
      </c>
      <c r="CT119" s="23">
        <f t="shared" si="502"/>
        <v>1</v>
      </c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  <c r="ADW119" s="1"/>
      <c r="ADX119" s="1"/>
      <c r="ADY119" s="1"/>
      <c r="ADZ119" s="1"/>
      <c r="AEA119" s="1"/>
      <c r="AEB119" s="1"/>
      <c r="AEC119" s="1"/>
      <c r="AED119" s="1"/>
      <c r="AEE119" s="1"/>
      <c r="AEF119" s="1"/>
      <c r="AEG119" s="1"/>
      <c r="AEH119" s="1"/>
      <c r="AEI119" s="1"/>
      <c r="AEJ119" s="1"/>
      <c r="AEK119" s="1"/>
      <c r="AEL119" s="1"/>
      <c r="AEM119" s="1"/>
      <c r="AEN119" s="1"/>
      <c r="AEO119" s="1"/>
      <c r="AEP119" s="1"/>
      <c r="AEQ119" s="1"/>
      <c r="AER119" s="1"/>
      <c r="AES119" s="1"/>
      <c r="AET119" s="1"/>
      <c r="AEU119" s="1"/>
      <c r="AEV119" s="1"/>
      <c r="AEW119" s="1"/>
      <c r="AEX119" s="1"/>
      <c r="AEY119" s="1"/>
      <c r="AEZ119" s="1"/>
      <c r="AFA119" s="1"/>
      <c r="AFB119" s="1"/>
      <c r="AFC119" s="1"/>
      <c r="AFD119" s="1"/>
      <c r="AFE119" s="1"/>
      <c r="AFF119" s="1"/>
      <c r="AFG119" s="1"/>
      <c r="AFH119" s="1"/>
      <c r="AFI119" s="1"/>
      <c r="AFJ119" s="1"/>
      <c r="AFK119" s="1"/>
      <c r="AFL119" s="1"/>
      <c r="AFM119" s="1"/>
      <c r="AFN119" s="1"/>
      <c r="AFO119" s="1"/>
      <c r="AFP119" s="1"/>
      <c r="AFQ119" s="1"/>
      <c r="AFR119" s="1"/>
      <c r="AFS119" s="1"/>
      <c r="AFT119" s="1"/>
      <c r="AFU119" s="1"/>
      <c r="AFV119" s="1"/>
      <c r="AFW119" s="1"/>
      <c r="AFX119" s="1"/>
      <c r="AFY119" s="1"/>
      <c r="AFZ119" s="1"/>
      <c r="AGA119" s="1"/>
      <c r="AGB119" s="1"/>
      <c r="AGC119" s="1"/>
      <c r="AGD119" s="1"/>
      <c r="AGE119" s="1"/>
      <c r="AGF119" s="1"/>
      <c r="AGG119" s="1"/>
      <c r="AGH119" s="1"/>
      <c r="AGI119" s="1"/>
      <c r="AGJ119" s="1"/>
      <c r="AGK119" s="1"/>
      <c r="AGL119" s="1"/>
      <c r="AGM119" s="1"/>
      <c r="AGN119" s="1"/>
      <c r="AGO119" s="1"/>
      <c r="AGP119" s="1"/>
      <c r="AGQ119" s="1"/>
      <c r="AGR119" s="1"/>
      <c r="AGS119" s="1"/>
      <c r="AGT119" s="1"/>
      <c r="AGU119" s="1"/>
      <c r="AGV119" s="1"/>
      <c r="AGW119" s="1"/>
      <c r="AGX119" s="1"/>
      <c r="AGY119" s="1"/>
      <c r="AGZ119" s="1"/>
      <c r="AHA119" s="1"/>
      <c r="AHB119" s="1"/>
      <c r="AHC119" s="1"/>
      <c r="AHD119" s="1"/>
      <c r="AHE119" s="1"/>
      <c r="AHF119" s="1"/>
      <c r="AHG119" s="1"/>
      <c r="AHH119" s="1"/>
      <c r="AHI119" s="1"/>
      <c r="AHJ119" s="1"/>
      <c r="AHK119" s="1"/>
      <c r="AHL119" s="1"/>
      <c r="AHM119" s="1"/>
      <c r="AHN119" s="1"/>
      <c r="AHO119" s="1"/>
      <c r="AHP119" s="1"/>
      <c r="AHQ119" s="1"/>
      <c r="AHR119" s="1"/>
      <c r="AHS119" s="1"/>
      <c r="AHT119" s="1"/>
      <c r="AHU119" s="1"/>
      <c r="AHV119" s="1"/>
      <c r="AHW119" s="1"/>
      <c r="AHX119" s="1"/>
      <c r="AHY119" s="1"/>
      <c r="AHZ119" s="1"/>
      <c r="AIA119" s="1"/>
      <c r="AIB119" s="1"/>
      <c r="AIC119" s="1"/>
      <c r="AID119" s="1"/>
      <c r="AIE119" s="1"/>
      <c r="AIF119" s="1"/>
      <c r="AIG119" s="1"/>
      <c r="AIH119" s="1"/>
      <c r="AII119" s="1"/>
      <c r="AIJ119" s="1"/>
      <c r="AIK119" s="1"/>
      <c r="AIL119" s="1"/>
      <c r="AIM119" s="1"/>
      <c r="AIN119" s="1"/>
      <c r="AIO119" s="1"/>
      <c r="AIP119" s="1"/>
      <c r="AIQ119" s="1"/>
      <c r="AIR119" s="1"/>
      <c r="AIS119" s="1"/>
      <c r="AIT119" s="1"/>
      <c r="AIU119" s="1"/>
      <c r="AIV119" s="1"/>
      <c r="AIW119" s="1"/>
      <c r="AIX119" s="1"/>
      <c r="AIY119" s="1"/>
      <c r="AIZ119" s="1"/>
      <c r="AJA119" s="1"/>
      <c r="AJB119" s="1"/>
      <c r="AJC119" s="1"/>
      <c r="AJD119" s="1"/>
      <c r="AJE119" s="1"/>
      <c r="AJF119" s="1"/>
      <c r="AJG119" s="1"/>
      <c r="AJH119" s="1"/>
      <c r="AJI119" s="1"/>
      <c r="AJJ119" s="1"/>
      <c r="AJK119" s="1"/>
      <c r="AJL119" s="1"/>
      <c r="AJM119" s="1"/>
      <c r="AJN119" s="1"/>
      <c r="AJO119" s="1"/>
      <c r="AJP119" s="1"/>
      <c r="AJQ119" s="1"/>
      <c r="AJR119" s="1"/>
      <c r="AJS119" s="1"/>
      <c r="AJT119" s="1"/>
      <c r="AJU119" s="1"/>
      <c r="AJV119" s="1"/>
      <c r="AJW119" s="1"/>
      <c r="AJX119" s="1"/>
      <c r="AJY119" s="1"/>
      <c r="AJZ119" s="1"/>
      <c r="AKA119" s="1"/>
      <c r="AKB119" s="1"/>
      <c r="AKC119" s="1"/>
      <c r="AKD119" s="1"/>
      <c r="AKE119" s="1"/>
      <c r="AKF119" s="1"/>
      <c r="AKG119" s="1"/>
      <c r="AKH119" s="1"/>
      <c r="AKI119" s="1"/>
      <c r="AKJ119" s="1"/>
      <c r="AKK119" s="1"/>
      <c r="AKL119" s="1"/>
      <c r="AKM119" s="1"/>
      <c r="AKN119" s="1"/>
      <c r="AKO119" s="1"/>
      <c r="AKP119" s="1"/>
      <c r="AKQ119" s="1"/>
      <c r="AKR119" s="1"/>
      <c r="AKS119" s="1"/>
      <c r="AKT119" s="1"/>
      <c r="AKU119" s="1"/>
      <c r="AKV119" s="1"/>
      <c r="AKW119" s="1"/>
      <c r="AKX119" s="1"/>
      <c r="AKY119" s="1"/>
      <c r="AKZ119" s="1"/>
      <c r="ALA119" s="1"/>
      <c r="ALB119" s="1"/>
      <c r="ALC119" s="1"/>
      <c r="ALD119" s="1"/>
      <c r="ALE119" s="1"/>
      <c r="ALF119" s="1"/>
      <c r="ALG119" s="1"/>
      <c r="ALH119" s="1"/>
      <c r="ALI119" s="1"/>
      <c r="ALJ119" s="1"/>
      <c r="ALK119" s="1"/>
      <c r="ALL119" s="1"/>
      <c r="ALM119" s="1"/>
      <c r="ALN119" s="1"/>
      <c r="ALO119" s="1"/>
      <c r="ALP119" s="1"/>
      <c r="ALQ119" s="1"/>
      <c r="ALR119" s="1"/>
      <c r="ALS119" s="1"/>
      <c r="ALT119" s="1"/>
      <c r="ALU119" s="1"/>
      <c r="ALV119" s="1"/>
      <c r="ALW119" s="1"/>
      <c r="ALX119" s="1"/>
      <c r="ALY119" s="1"/>
      <c r="ALZ119" s="1"/>
      <c r="AMA119" s="1"/>
      <c r="AMB119" s="1"/>
      <c r="AMC119" s="1"/>
      <c r="AMD119" s="1"/>
      <c r="AME119" s="1"/>
      <c r="AMF119" s="1"/>
      <c r="AMG119" s="1"/>
      <c r="AMH119" s="1"/>
      <c r="AMI119" s="1"/>
      <c r="AMJ119" s="1"/>
      <c r="AMK119" s="1"/>
      <c r="AML119" s="1"/>
      <c r="AMM119" s="1"/>
      <c r="AMN119" s="1"/>
      <c r="AMO119" s="1"/>
    </row>
    <row r="120" spans="1:1029" x14ac:dyDescent="0.2">
      <c r="A120" s="3" t="str">
        <f t="shared" si="699"/>
        <v>adrb2_human_5D6L</v>
      </c>
      <c r="B120" s="3" t="s">
        <v>126</v>
      </c>
      <c r="C120" s="3" t="s">
        <v>1349</v>
      </c>
      <c r="D120" s="3" t="str">
        <f>IFERROR(MID(VLOOKUP($B120,Seqs!$A:$B,2,0),E120,1),"")</f>
        <v>D</v>
      </c>
      <c r="E120" s="3">
        <v>29</v>
      </c>
      <c r="F120" s="3" t="str">
        <f>IFERROR(MID(VLOOKUP($B120,Seqs!$A:$B,2,0),G120,1),"")</f>
        <v>F</v>
      </c>
      <c r="G120" s="3">
        <v>61</v>
      </c>
      <c r="H120" s="3" t="str">
        <f>IFERROR(MID(VLOOKUP($B120,Seqs!$A:$B,2,0),I120,1),"")</f>
        <v>E</v>
      </c>
      <c r="I120" s="23">
        <v>62</v>
      </c>
      <c r="J120" s="3" t="str">
        <f>IFERROR(MID(VLOOKUP($B120,Seqs!$A:$B,2,0),K120,1),"")</f>
        <v>Q</v>
      </c>
      <c r="K120" s="23">
        <v>65</v>
      </c>
      <c r="L120" s="3" t="str">
        <f>IFERROR(MID(VLOOKUP($B120,Seqs!$A:$B,2,0),M120,1),"")</f>
        <v>T</v>
      </c>
      <c r="M120" s="3">
        <v>66</v>
      </c>
      <c r="N120" s="3" t="str">
        <f>IFERROR(MID(VLOOKUP($B120,Seqs!$A:$B,2,0),O120,1),"")</f>
        <v>M</v>
      </c>
      <c r="O120" s="3">
        <v>96</v>
      </c>
      <c r="P120" s="3" t="str">
        <f>IFERROR(MID(VLOOKUP($B120,Seqs!$A:$B,2,0),Q120,1),"")</f>
        <v>M</v>
      </c>
      <c r="Q120" s="3">
        <v>98</v>
      </c>
      <c r="R120" s="3" t="str">
        <f>IFERROR(MID(VLOOKUP($B120,Seqs!$A:$B,2,0),S120,1),"")</f>
        <v>F</v>
      </c>
      <c r="S120" s="3">
        <v>101</v>
      </c>
      <c r="T120" s="3" t="str">
        <f>IFERROR(MID(VLOOKUP($B120,Seqs!$A:$B,2,0),U120,1),"")</f>
        <v>G</v>
      </c>
      <c r="U120" s="3">
        <v>102</v>
      </c>
      <c r="V120" s="3" t="str">
        <f>IFERROR(MID(VLOOKUP($B120,Seqs!$A:$B,2,0),W120,1),"")</f>
        <v>S</v>
      </c>
      <c r="W120" s="3">
        <v>137</v>
      </c>
      <c r="X120" s="3" t="str">
        <f>IFERROR(MID(VLOOKUP($B120,Seqs!$A:$B,2,0),Y120,1),"")</f>
        <v/>
      </c>
      <c r="Y120" s="3" t="s">
        <v>23</v>
      </c>
      <c r="Z120" s="3" t="str">
        <f>IFERROR(MID(VLOOKUP($B120,Seqs!$A:$B,2,0),AA120,1),"")</f>
        <v/>
      </c>
      <c r="AA120" s="3" t="s">
        <v>23</v>
      </c>
      <c r="AB120" s="3" t="str">
        <f>IFERROR(MID(VLOOKUP($B120,Seqs!$A:$B,2,0),AC120,1),"")</f>
        <v>T</v>
      </c>
      <c r="AC120" s="9">
        <v>146</v>
      </c>
      <c r="AD120" s="3" t="str">
        <f>IFERROR(MID(VLOOKUP($B120,Seqs!$A:$B,2,0),AE120,1),"")</f>
        <v>H</v>
      </c>
      <c r="AE120" s="3">
        <v>172</v>
      </c>
      <c r="AF120" s="3" t="str">
        <f>IFERROR(MID(VLOOKUP($B120,Seqs!$A:$B,2,0),AG120,1),"")</f>
        <v>C</v>
      </c>
      <c r="AG120" s="3">
        <v>191</v>
      </c>
      <c r="AH120" s="3" t="str">
        <f>IFERROR(MID(VLOOKUP($B120,Seqs!$A:$B,2,0),AI120,1),"")</f>
        <v>F</v>
      </c>
      <c r="AI120" s="3">
        <v>193</v>
      </c>
      <c r="AJ120" s="3" t="str">
        <f>IFERROR(MID(VLOOKUP($B120,Seqs!$A:$B,2,0),AK120,1),"")</f>
        <v>N</v>
      </c>
      <c r="AK120" s="3">
        <v>196</v>
      </c>
      <c r="AL120" s="3" t="str">
        <f>IFERROR(MID(VLOOKUP($B120,Seqs!$A:$B,2,0),AM120,1),"")</f>
        <v>Q</v>
      </c>
      <c r="AM120" s="3">
        <v>229</v>
      </c>
      <c r="AN120" s="3" t="str">
        <f>IFERROR(MID(VLOOKUP($B120,Seqs!$A:$B,2,0),AO120,1),"")</f>
        <v>K</v>
      </c>
      <c r="AO120" s="3">
        <v>267</v>
      </c>
      <c r="AP120" s="3" t="str">
        <f>IFERROR(MID(VLOOKUP($B120,Seqs!$A:$B,2,0),AQ120,1),"")</f>
        <v>Q</v>
      </c>
      <c r="AQ120" s="3">
        <v>299</v>
      </c>
      <c r="AR120" s="3" t="str">
        <f>IFERROR(MID(VLOOKUP($B120,Seqs!$A:$B,2,0),AS120,1),"")</f>
        <v>R</v>
      </c>
      <c r="AS120" s="3">
        <v>304</v>
      </c>
      <c r="AT120" s="3" t="str">
        <f>IFERROR(MID(VLOOKUP($B120,Seqs!$A:$B,2,0),AU120,1),"")</f>
        <v>R</v>
      </c>
      <c r="AU120" s="3">
        <v>328</v>
      </c>
      <c r="AV120" s="3" t="str">
        <f>IFERROR(MID(VLOOKUP($B120,Seqs!$A:$B,2,0),AW120,1),"")</f>
        <v>S</v>
      </c>
      <c r="AW120" s="3">
        <v>329</v>
      </c>
      <c r="AX120" s="3" t="str">
        <f>IFERROR(MID(VLOOKUP($B120,Seqs!$A:$B,2,0),AY120,1),"")</f>
        <v>C</v>
      </c>
      <c r="AY120" s="3">
        <v>341</v>
      </c>
      <c r="AZ120" s="77" t="str">
        <f>VLOOKUP(B120,Classification!A:D,2,0)</f>
        <v>A</v>
      </c>
      <c r="BA120" s="94" t="str">
        <f>VLOOKUP(B120,Classification!A:D,4,0)</f>
        <v>Adrenoceptors</v>
      </c>
      <c r="BB120" s="27" t="b">
        <f t="shared" si="700"/>
        <v>1</v>
      </c>
      <c r="BC120" s="23">
        <f t="shared" si="477"/>
        <v>244</v>
      </c>
      <c r="BD120" s="4" t="s">
        <v>23</v>
      </c>
      <c r="BE120" s="3" t="s">
        <v>1380</v>
      </c>
      <c r="BF120" s="119">
        <v>3.2</v>
      </c>
      <c r="BG120" s="49" t="s">
        <v>1</v>
      </c>
      <c r="BH120" s="49" t="s">
        <v>1383</v>
      </c>
      <c r="BI120" s="1"/>
      <c r="BJ120" s="70" t="s">
        <v>1293</v>
      </c>
      <c r="BK120" s="57" t="s">
        <v>1293</v>
      </c>
      <c r="BL120" s="57" t="s">
        <v>1293</v>
      </c>
      <c r="BM120" s="57" t="s">
        <v>1293</v>
      </c>
      <c r="BN120" s="57" t="s">
        <v>1293</v>
      </c>
      <c r="BO120" s="57" t="s">
        <v>1293</v>
      </c>
      <c r="BP120" s="57" t="s">
        <v>1293</v>
      </c>
      <c r="BQ120" s="57" t="s">
        <v>1293</v>
      </c>
      <c r="BR120" s="57" t="s">
        <v>1293</v>
      </c>
      <c r="BS120" s="57" t="s">
        <v>1293</v>
      </c>
      <c r="BT120" s="57" t="s">
        <v>1293</v>
      </c>
      <c r="BU120" s="57" t="s">
        <v>1293</v>
      </c>
      <c r="BV120" s="70">
        <f t="shared" si="478"/>
        <v>29</v>
      </c>
      <c r="BW120" s="71">
        <f t="shared" si="479"/>
        <v>62</v>
      </c>
      <c r="BX120" s="72">
        <f t="shared" si="480"/>
        <v>66</v>
      </c>
      <c r="BY120" s="71">
        <f t="shared" si="481"/>
        <v>98</v>
      </c>
      <c r="BZ120" s="72">
        <f t="shared" si="482"/>
        <v>102</v>
      </c>
      <c r="CA120" s="71" t="str">
        <f t="shared" si="483"/>
        <v>-</v>
      </c>
      <c r="CB120" s="72">
        <f t="shared" si="484"/>
        <v>146</v>
      </c>
      <c r="CC120" s="71">
        <f t="shared" si="485"/>
        <v>191</v>
      </c>
      <c r="CD120" s="72">
        <f t="shared" si="486"/>
        <v>196</v>
      </c>
      <c r="CE120" s="71">
        <f t="shared" si="487"/>
        <v>267</v>
      </c>
      <c r="CF120" s="72">
        <f t="shared" si="488"/>
        <v>304</v>
      </c>
      <c r="CG120" s="71">
        <f t="shared" si="489"/>
        <v>329</v>
      </c>
      <c r="CH120" s="70">
        <f t="shared" si="490"/>
        <v>61</v>
      </c>
      <c r="CI120" s="71">
        <f t="shared" si="491"/>
        <v>65</v>
      </c>
      <c r="CJ120" s="72">
        <f t="shared" si="492"/>
        <v>96</v>
      </c>
      <c r="CK120" s="72">
        <f t="shared" si="493"/>
        <v>101</v>
      </c>
      <c r="CL120" s="72">
        <f t="shared" si="494"/>
        <v>137</v>
      </c>
      <c r="CM120" s="72" t="str">
        <f t="shared" si="495"/>
        <v>-</v>
      </c>
      <c r="CN120" s="72">
        <f t="shared" si="496"/>
        <v>172</v>
      </c>
      <c r="CO120" s="72">
        <f t="shared" si="497"/>
        <v>193</v>
      </c>
      <c r="CP120" s="72">
        <f t="shared" si="498"/>
        <v>229</v>
      </c>
      <c r="CQ120" s="72">
        <f t="shared" si="499"/>
        <v>299</v>
      </c>
      <c r="CR120" s="72">
        <f t="shared" si="500"/>
        <v>328</v>
      </c>
      <c r="CS120" s="72">
        <f t="shared" si="501"/>
        <v>341</v>
      </c>
      <c r="CT120" s="23">
        <f t="shared" si="502"/>
        <v>1</v>
      </c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1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1"/>
      <c r="AFW120" s="1"/>
      <c r="AFX120" s="1"/>
      <c r="AFY120" s="1"/>
      <c r="AFZ120" s="1"/>
      <c r="AGA120" s="1"/>
      <c r="AGB120" s="1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1"/>
      <c r="AHD120" s="1"/>
      <c r="AHE120" s="1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1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1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1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1"/>
      <c r="AKR120" s="1"/>
      <c r="AKS120" s="1"/>
      <c r="AKT120" s="1"/>
      <c r="AKU120" s="1"/>
      <c r="AKV120" s="1"/>
      <c r="AKW120" s="1"/>
      <c r="AKX120" s="1"/>
      <c r="AKY120" s="1"/>
      <c r="AKZ120" s="1"/>
      <c r="ALA120" s="1"/>
      <c r="ALB120" s="1"/>
      <c r="ALC120" s="1"/>
      <c r="ALD120" s="1"/>
      <c r="ALE120" s="1"/>
      <c r="ALF120" s="1"/>
      <c r="ALG120" s="1"/>
      <c r="ALH120" s="1"/>
      <c r="ALI120" s="1"/>
      <c r="ALJ120" s="1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1"/>
      <c r="AMB120" s="1"/>
      <c r="AMC120" s="1"/>
      <c r="AMD120" s="1"/>
      <c r="AME120" s="1"/>
      <c r="AMF120" s="1"/>
      <c r="AMG120" s="1"/>
      <c r="AMH120" s="1"/>
      <c r="AMI120" s="1"/>
      <c r="AMJ120" s="1"/>
      <c r="AMK120" s="1"/>
      <c r="AML120" s="1"/>
      <c r="AMM120" s="1"/>
      <c r="AMN120" s="1"/>
      <c r="AMO120" s="1"/>
    </row>
    <row r="121" spans="1:1029" x14ac:dyDescent="0.2">
      <c r="A121" s="3" t="str">
        <f t="shared" si="699"/>
        <v>adrb2_human_5JQH</v>
      </c>
      <c r="B121" s="3" t="s">
        <v>126</v>
      </c>
      <c r="C121" s="3" t="s">
        <v>1350</v>
      </c>
      <c r="D121" s="3" t="str">
        <f>IFERROR(MID(VLOOKUP($B121,Seqs!$A:$B,2,0),E121,1),"")</f>
        <v/>
      </c>
      <c r="E121" s="3">
        <v>1023</v>
      </c>
      <c r="F121" s="3" t="str">
        <f>IFERROR(MID(VLOOKUP($B121,Seqs!$A:$B,2,0),G121,1),"")</f>
        <v/>
      </c>
      <c r="G121" s="3">
        <v>1061</v>
      </c>
      <c r="H121" s="3" t="str">
        <f>IFERROR(MID(VLOOKUP($B121,Seqs!$A:$B,2,0),I121,1),"")</f>
        <v/>
      </c>
      <c r="I121" s="23">
        <v>1062</v>
      </c>
      <c r="J121" s="3" t="str">
        <f>IFERROR(MID(VLOOKUP($B121,Seqs!$A:$B,2,0),K121,1),"")</f>
        <v/>
      </c>
      <c r="K121" s="23">
        <v>1065</v>
      </c>
      <c r="L121" s="3" t="str">
        <f>IFERROR(MID(VLOOKUP($B121,Seqs!$A:$B,2,0),M121,1),"")</f>
        <v/>
      </c>
      <c r="M121" s="3">
        <v>1066</v>
      </c>
      <c r="N121" s="3" t="str">
        <f>IFERROR(MID(VLOOKUP($B121,Seqs!$A:$B,2,0),O121,1),"")</f>
        <v/>
      </c>
      <c r="O121" s="3">
        <v>1096</v>
      </c>
      <c r="P121" s="3" t="str">
        <f>IFERROR(MID(VLOOKUP($B121,Seqs!$A:$B,2,0),Q121,1),"")</f>
        <v/>
      </c>
      <c r="Q121" s="3">
        <v>1098</v>
      </c>
      <c r="R121" s="3" t="str">
        <f>IFERROR(MID(VLOOKUP($B121,Seqs!$A:$B,2,0),S121,1),"")</f>
        <v/>
      </c>
      <c r="S121" s="3">
        <v>1101</v>
      </c>
      <c r="T121" s="3" t="str">
        <f>IFERROR(MID(VLOOKUP($B121,Seqs!$A:$B,2,0),U121,1),"")</f>
        <v/>
      </c>
      <c r="U121" s="3">
        <v>1102</v>
      </c>
      <c r="V121" s="3" t="str">
        <f>IFERROR(MID(VLOOKUP($B121,Seqs!$A:$B,2,0),W121,1),"")</f>
        <v/>
      </c>
      <c r="W121" s="3">
        <v>1137</v>
      </c>
      <c r="X121" s="3" t="str">
        <f>IFERROR(MID(VLOOKUP($B121,Seqs!$A:$B,2,0),Y121,1),"")</f>
        <v/>
      </c>
      <c r="Y121" s="3" t="s">
        <v>23</v>
      </c>
      <c r="Z121" s="3" t="str">
        <f>IFERROR(MID(VLOOKUP($B121,Seqs!$A:$B,2,0),AA121,1),"")</f>
        <v/>
      </c>
      <c r="AA121" s="3" t="s">
        <v>23</v>
      </c>
      <c r="AB121" s="3" t="str">
        <f>IFERROR(MID(VLOOKUP($B121,Seqs!$A:$B,2,0),AC121,1),"")</f>
        <v/>
      </c>
      <c r="AC121" s="9">
        <v>1146</v>
      </c>
      <c r="AD121" s="3" t="str">
        <f>IFERROR(MID(VLOOKUP($B121,Seqs!$A:$B,2,0),AE121,1),"")</f>
        <v/>
      </c>
      <c r="AE121" s="3">
        <v>1172</v>
      </c>
      <c r="AF121" s="3" t="str">
        <f>IFERROR(MID(VLOOKUP($B121,Seqs!$A:$B,2,0),AG121,1),"")</f>
        <v/>
      </c>
      <c r="AG121" s="3">
        <v>1191</v>
      </c>
      <c r="AH121" s="3" t="str">
        <f>IFERROR(MID(VLOOKUP($B121,Seqs!$A:$B,2,0),AI121,1),"")</f>
        <v/>
      </c>
      <c r="AI121" s="3">
        <v>1193</v>
      </c>
      <c r="AJ121" s="3" t="str">
        <f>IFERROR(MID(VLOOKUP($B121,Seqs!$A:$B,2,0),AK121,1),"")</f>
        <v/>
      </c>
      <c r="AK121" s="3">
        <v>1196</v>
      </c>
      <c r="AL121" s="3" t="str">
        <f>IFERROR(MID(VLOOKUP($B121,Seqs!$A:$B,2,0),AM121,1),"")</f>
        <v/>
      </c>
      <c r="AM121" s="3">
        <v>1230</v>
      </c>
      <c r="AN121" s="3" t="str">
        <f>IFERROR(MID(VLOOKUP($B121,Seqs!$A:$B,2,0),AO121,1),"")</f>
        <v/>
      </c>
      <c r="AO121" s="3">
        <v>1271</v>
      </c>
      <c r="AP121" s="3" t="str">
        <f>IFERROR(MID(VLOOKUP($B121,Seqs!$A:$B,2,0),AQ121,1),"")</f>
        <v/>
      </c>
      <c r="AQ121" s="3">
        <v>1299</v>
      </c>
      <c r="AR121" s="3" t="str">
        <f>IFERROR(MID(VLOOKUP($B121,Seqs!$A:$B,2,0),AS121,1),"")</f>
        <v/>
      </c>
      <c r="AS121" s="3">
        <v>1304</v>
      </c>
      <c r="AT121" s="3" t="str">
        <f>IFERROR(MID(VLOOKUP($B121,Seqs!$A:$B,2,0),AU121,1),"")</f>
        <v/>
      </c>
      <c r="AU121" s="3">
        <v>1328</v>
      </c>
      <c r="AV121" s="3" t="str">
        <f>IFERROR(MID(VLOOKUP($B121,Seqs!$A:$B,2,0),AW121,1),"")</f>
        <v/>
      </c>
      <c r="AW121" s="3">
        <v>1329</v>
      </c>
      <c r="AX121" s="3" t="str">
        <f>IFERROR(MID(VLOOKUP($B121,Seqs!$A:$B,2,0),AY121,1),"")</f>
        <v/>
      </c>
      <c r="AY121" s="3">
        <v>1341</v>
      </c>
      <c r="AZ121" s="77" t="str">
        <f>VLOOKUP(B121,Classification!A:D,2,0)</f>
        <v>A</v>
      </c>
      <c r="BA121" s="94" t="str">
        <f>VLOOKUP(B121,Classification!A:D,4,0)</f>
        <v>Adrenoceptors</v>
      </c>
      <c r="BB121" s="27" t="b">
        <f t="shared" si="700"/>
        <v>1</v>
      </c>
      <c r="BC121" s="23">
        <f t="shared" si="477"/>
        <v>247</v>
      </c>
      <c r="BD121" s="74" t="s">
        <v>23</v>
      </c>
      <c r="BE121" s="3" t="s">
        <v>1380</v>
      </c>
      <c r="BF121" s="119">
        <v>3.2</v>
      </c>
      <c r="BG121" s="49" t="s">
        <v>1287</v>
      </c>
      <c r="BH121" s="49" t="s">
        <v>1383</v>
      </c>
      <c r="BI121" s="1"/>
      <c r="BJ121" s="70" t="s">
        <v>1293</v>
      </c>
      <c r="BK121" s="57" t="s">
        <v>1293</v>
      </c>
      <c r="BL121" s="57" t="s">
        <v>1293</v>
      </c>
      <c r="BM121" s="57" t="s">
        <v>1293</v>
      </c>
      <c r="BN121" s="57" t="s">
        <v>1293</v>
      </c>
      <c r="BO121" s="57" t="s">
        <v>1293</v>
      </c>
      <c r="BP121" s="57" t="s">
        <v>1293</v>
      </c>
      <c r="BQ121" s="57" t="s">
        <v>1293</v>
      </c>
      <c r="BR121" s="57" t="s">
        <v>1293</v>
      </c>
      <c r="BS121" s="57" t="s">
        <v>1293</v>
      </c>
      <c r="BT121" s="57" t="s">
        <v>1293</v>
      </c>
      <c r="BU121" s="57" t="s">
        <v>1293</v>
      </c>
      <c r="BV121" s="70">
        <f t="shared" si="478"/>
        <v>1023</v>
      </c>
      <c r="BW121" s="71">
        <f t="shared" si="479"/>
        <v>1062</v>
      </c>
      <c r="BX121" s="72">
        <f t="shared" si="480"/>
        <v>1066</v>
      </c>
      <c r="BY121" s="71">
        <f t="shared" si="481"/>
        <v>1098</v>
      </c>
      <c r="BZ121" s="72">
        <f t="shared" si="482"/>
        <v>1102</v>
      </c>
      <c r="CA121" s="71" t="str">
        <f t="shared" si="483"/>
        <v>-</v>
      </c>
      <c r="CB121" s="72">
        <f t="shared" si="484"/>
        <v>1146</v>
      </c>
      <c r="CC121" s="71">
        <f t="shared" si="485"/>
        <v>1191</v>
      </c>
      <c r="CD121" s="72">
        <f t="shared" si="486"/>
        <v>1196</v>
      </c>
      <c r="CE121" s="71">
        <f t="shared" si="487"/>
        <v>1271</v>
      </c>
      <c r="CF121" s="72">
        <f t="shared" si="488"/>
        <v>1304</v>
      </c>
      <c r="CG121" s="71">
        <f t="shared" si="489"/>
        <v>1329</v>
      </c>
      <c r="CH121" s="70">
        <f t="shared" si="490"/>
        <v>1061</v>
      </c>
      <c r="CI121" s="71">
        <f t="shared" si="491"/>
        <v>1065</v>
      </c>
      <c r="CJ121" s="72">
        <f t="shared" si="492"/>
        <v>1096</v>
      </c>
      <c r="CK121" s="72">
        <f t="shared" si="493"/>
        <v>1101</v>
      </c>
      <c r="CL121" s="72">
        <f t="shared" si="494"/>
        <v>1137</v>
      </c>
      <c r="CM121" s="72" t="str">
        <f t="shared" si="495"/>
        <v>-</v>
      </c>
      <c r="CN121" s="72">
        <f t="shared" si="496"/>
        <v>1172</v>
      </c>
      <c r="CO121" s="72">
        <f t="shared" si="497"/>
        <v>1193</v>
      </c>
      <c r="CP121" s="72">
        <f t="shared" si="498"/>
        <v>1230</v>
      </c>
      <c r="CQ121" s="72">
        <f t="shared" si="499"/>
        <v>1299</v>
      </c>
      <c r="CR121" s="72">
        <f t="shared" si="500"/>
        <v>1328</v>
      </c>
      <c r="CS121" s="72">
        <f t="shared" si="501"/>
        <v>1341</v>
      </c>
      <c r="CT121" s="23">
        <f t="shared" si="502"/>
        <v>1</v>
      </c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  <c r="ADW121" s="1"/>
      <c r="ADX121" s="1"/>
      <c r="ADY121" s="1"/>
      <c r="ADZ121" s="1"/>
      <c r="AEA121" s="1"/>
      <c r="AEB121" s="1"/>
      <c r="AEC121" s="1"/>
      <c r="AED121" s="1"/>
      <c r="AEE121" s="1"/>
      <c r="AEF121" s="1"/>
      <c r="AEG121" s="1"/>
      <c r="AEH121" s="1"/>
      <c r="AEI121" s="1"/>
      <c r="AEJ121" s="1"/>
      <c r="AEK121" s="1"/>
      <c r="AEL121" s="1"/>
      <c r="AEM121" s="1"/>
      <c r="AEN121" s="1"/>
      <c r="AEO121" s="1"/>
      <c r="AEP121" s="1"/>
      <c r="AEQ121" s="1"/>
      <c r="AER121" s="1"/>
      <c r="AES121" s="1"/>
      <c r="AET121" s="1"/>
      <c r="AEU121" s="1"/>
      <c r="AEV121" s="1"/>
      <c r="AEW121" s="1"/>
      <c r="AEX121" s="1"/>
      <c r="AEY121" s="1"/>
      <c r="AEZ121" s="1"/>
      <c r="AFA121" s="1"/>
      <c r="AFB121" s="1"/>
      <c r="AFC121" s="1"/>
      <c r="AFD121" s="1"/>
      <c r="AFE121" s="1"/>
      <c r="AFF121" s="1"/>
      <c r="AFG121" s="1"/>
      <c r="AFH121" s="1"/>
      <c r="AFI121" s="1"/>
      <c r="AFJ121" s="1"/>
      <c r="AFK121" s="1"/>
      <c r="AFL121" s="1"/>
      <c r="AFM121" s="1"/>
      <c r="AFN121" s="1"/>
      <c r="AFO121" s="1"/>
      <c r="AFP121" s="1"/>
      <c r="AFQ121" s="1"/>
      <c r="AFR121" s="1"/>
      <c r="AFS121" s="1"/>
      <c r="AFT121" s="1"/>
      <c r="AFU121" s="1"/>
      <c r="AFV121" s="1"/>
      <c r="AFW121" s="1"/>
      <c r="AFX121" s="1"/>
      <c r="AFY121" s="1"/>
      <c r="AFZ121" s="1"/>
      <c r="AGA121" s="1"/>
      <c r="AGB121" s="1"/>
      <c r="AGC121" s="1"/>
      <c r="AGD121" s="1"/>
      <c r="AGE121" s="1"/>
      <c r="AGF121" s="1"/>
      <c r="AGG121" s="1"/>
      <c r="AGH121" s="1"/>
      <c r="AGI121" s="1"/>
      <c r="AGJ121" s="1"/>
      <c r="AGK121" s="1"/>
      <c r="AGL121" s="1"/>
      <c r="AGM121" s="1"/>
      <c r="AGN121" s="1"/>
      <c r="AGO121" s="1"/>
      <c r="AGP121" s="1"/>
      <c r="AGQ121" s="1"/>
      <c r="AGR121" s="1"/>
      <c r="AGS121" s="1"/>
      <c r="AGT121" s="1"/>
      <c r="AGU121" s="1"/>
      <c r="AGV121" s="1"/>
      <c r="AGW121" s="1"/>
      <c r="AGX121" s="1"/>
      <c r="AGY121" s="1"/>
      <c r="AGZ121" s="1"/>
      <c r="AHA121" s="1"/>
      <c r="AHB121" s="1"/>
      <c r="AHC121" s="1"/>
      <c r="AHD121" s="1"/>
      <c r="AHE121" s="1"/>
      <c r="AHF121" s="1"/>
      <c r="AHG121" s="1"/>
      <c r="AHH121" s="1"/>
      <c r="AHI121" s="1"/>
      <c r="AHJ121" s="1"/>
      <c r="AHK121" s="1"/>
      <c r="AHL121" s="1"/>
      <c r="AHM121" s="1"/>
      <c r="AHN121" s="1"/>
      <c r="AHO121" s="1"/>
      <c r="AHP121" s="1"/>
      <c r="AHQ121" s="1"/>
      <c r="AHR121" s="1"/>
      <c r="AHS121" s="1"/>
      <c r="AHT121" s="1"/>
      <c r="AHU121" s="1"/>
      <c r="AHV121" s="1"/>
      <c r="AHW121" s="1"/>
      <c r="AHX121" s="1"/>
      <c r="AHY121" s="1"/>
      <c r="AHZ121" s="1"/>
      <c r="AIA121" s="1"/>
      <c r="AIB121" s="1"/>
      <c r="AIC121" s="1"/>
      <c r="AID121" s="1"/>
      <c r="AIE121" s="1"/>
      <c r="AIF121" s="1"/>
      <c r="AIG121" s="1"/>
      <c r="AIH121" s="1"/>
      <c r="AII121" s="1"/>
      <c r="AIJ121" s="1"/>
      <c r="AIK121" s="1"/>
      <c r="AIL121" s="1"/>
      <c r="AIM121" s="1"/>
      <c r="AIN121" s="1"/>
      <c r="AIO121" s="1"/>
      <c r="AIP121" s="1"/>
      <c r="AIQ121" s="1"/>
      <c r="AIR121" s="1"/>
      <c r="AIS121" s="1"/>
      <c r="AIT121" s="1"/>
      <c r="AIU121" s="1"/>
      <c r="AIV121" s="1"/>
      <c r="AIW121" s="1"/>
      <c r="AIX121" s="1"/>
      <c r="AIY121" s="1"/>
      <c r="AIZ121" s="1"/>
      <c r="AJA121" s="1"/>
      <c r="AJB121" s="1"/>
      <c r="AJC121" s="1"/>
      <c r="AJD121" s="1"/>
      <c r="AJE121" s="1"/>
      <c r="AJF121" s="1"/>
      <c r="AJG121" s="1"/>
      <c r="AJH121" s="1"/>
      <c r="AJI121" s="1"/>
      <c r="AJJ121" s="1"/>
      <c r="AJK121" s="1"/>
      <c r="AJL121" s="1"/>
      <c r="AJM121" s="1"/>
      <c r="AJN121" s="1"/>
      <c r="AJO121" s="1"/>
      <c r="AJP121" s="1"/>
      <c r="AJQ121" s="1"/>
      <c r="AJR121" s="1"/>
      <c r="AJS121" s="1"/>
      <c r="AJT121" s="1"/>
      <c r="AJU121" s="1"/>
      <c r="AJV121" s="1"/>
      <c r="AJW121" s="1"/>
      <c r="AJX121" s="1"/>
      <c r="AJY121" s="1"/>
      <c r="AJZ121" s="1"/>
      <c r="AKA121" s="1"/>
      <c r="AKB121" s="1"/>
      <c r="AKC121" s="1"/>
      <c r="AKD121" s="1"/>
      <c r="AKE121" s="1"/>
      <c r="AKF121" s="1"/>
      <c r="AKG121" s="1"/>
      <c r="AKH121" s="1"/>
      <c r="AKI121" s="1"/>
      <c r="AKJ121" s="1"/>
      <c r="AKK121" s="1"/>
      <c r="AKL121" s="1"/>
      <c r="AKM121" s="1"/>
      <c r="AKN121" s="1"/>
      <c r="AKO121" s="1"/>
      <c r="AKP121" s="1"/>
      <c r="AKQ121" s="1"/>
      <c r="AKR121" s="1"/>
      <c r="AKS121" s="1"/>
      <c r="AKT121" s="1"/>
      <c r="AKU121" s="1"/>
      <c r="AKV121" s="1"/>
      <c r="AKW121" s="1"/>
      <c r="AKX121" s="1"/>
      <c r="AKY121" s="1"/>
      <c r="AKZ121" s="1"/>
      <c r="ALA121" s="1"/>
      <c r="ALB121" s="1"/>
      <c r="ALC121" s="1"/>
      <c r="ALD121" s="1"/>
      <c r="ALE121" s="1"/>
      <c r="ALF121" s="1"/>
      <c r="ALG121" s="1"/>
      <c r="ALH121" s="1"/>
      <c r="ALI121" s="1"/>
      <c r="ALJ121" s="1"/>
      <c r="ALK121" s="1"/>
      <c r="ALL121" s="1"/>
      <c r="ALM121" s="1"/>
      <c r="ALN121" s="1"/>
      <c r="ALO121" s="1"/>
      <c r="ALP121" s="1"/>
      <c r="ALQ121" s="1"/>
      <c r="ALR121" s="1"/>
      <c r="ALS121" s="1"/>
      <c r="ALT121" s="1"/>
      <c r="ALU121" s="1"/>
      <c r="ALV121" s="1"/>
      <c r="ALW121" s="1"/>
      <c r="ALX121" s="1"/>
      <c r="ALY121" s="1"/>
      <c r="ALZ121" s="1"/>
      <c r="AMA121" s="1"/>
      <c r="AMB121" s="1"/>
      <c r="AMC121" s="1"/>
      <c r="AMD121" s="1"/>
      <c r="AME121" s="1"/>
      <c r="AMF121" s="1"/>
      <c r="AMG121" s="1"/>
      <c r="AMH121" s="1"/>
      <c r="AMI121" s="1"/>
      <c r="AMJ121" s="1"/>
      <c r="AMK121" s="1"/>
      <c r="AML121" s="1"/>
      <c r="AMM121" s="1"/>
      <c r="AMN121" s="1"/>
      <c r="AMO121" s="1"/>
    </row>
    <row r="122" spans="1:1029" x14ac:dyDescent="0.2">
      <c r="A122" s="3" t="str">
        <f>CONCATENATE(B122,"_",C122)</f>
        <v>adrb2_human_5X7D</v>
      </c>
      <c r="B122" s="3" t="s">
        <v>126</v>
      </c>
      <c r="C122" s="3" t="s">
        <v>1447</v>
      </c>
      <c r="D122" s="3" t="str">
        <f>IFERROR(MID(VLOOKUP($B122,Seqs!$A:$B,2,0),E122,1),"")</f>
        <v>V</v>
      </c>
      <c r="E122" s="3">
        <v>33</v>
      </c>
      <c r="F122" s="3" t="str">
        <f>IFERROR(MID(VLOOKUP($B122,Seqs!$A:$B,2,0),G122,1),"")</f>
        <v>F</v>
      </c>
      <c r="G122" s="3">
        <v>61</v>
      </c>
      <c r="H122" s="3" t="str">
        <f>IFERROR(MID(VLOOKUP($B122,Seqs!$A:$B,2,0),I122,1),"")</f>
        <v>E</v>
      </c>
      <c r="I122" s="23">
        <v>62</v>
      </c>
      <c r="J122" s="3" t="str">
        <f>IFERROR(MID(VLOOKUP($B122,Seqs!$A:$B,2,0),K122,1),"")</f>
        <v>Q</v>
      </c>
      <c r="K122" s="23">
        <v>65</v>
      </c>
      <c r="L122" s="3" t="str">
        <f>IFERROR(MID(VLOOKUP($B122,Seqs!$A:$B,2,0),M122,1),"")</f>
        <v>T</v>
      </c>
      <c r="M122" s="3">
        <v>66</v>
      </c>
      <c r="N122" s="3" t="str">
        <f>IFERROR(MID(VLOOKUP($B122,Seqs!$A:$B,2,0),O122,1),"")</f>
        <v>M</v>
      </c>
      <c r="O122" s="3">
        <v>96</v>
      </c>
      <c r="P122" s="3" t="str">
        <f>IFERROR(MID(VLOOKUP($B122,Seqs!$A:$B,2,0),Q122,1),"")</f>
        <v>M</v>
      </c>
      <c r="Q122" s="3">
        <v>98</v>
      </c>
      <c r="R122" s="3" t="str">
        <f>IFERROR(MID(VLOOKUP($B122,Seqs!$A:$B,2,0),S122,1),"")</f>
        <v>F</v>
      </c>
      <c r="S122" s="3">
        <v>101</v>
      </c>
      <c r="T122" s="3" t="str">
        <f>IFERROR(MID(VLOOKUP($B122,Seqs!$A:$B,2,0),U122,1),"")</f>
        <v>G</v>
      </c>
      <c r="U122" s="3">
        <v>102</v>
      </c>
      <c r="V122" s="3" t="str">
        <f>IFERROR(MID(VLOOKUP($B122,Seqs!$A:$B,2,0),W122,1),"")</f>
        <v>T</v>
      </c>
      <c r="W122" s="3">
        <v>136</v>
      </c>
      <c r="X122" s="3" t="str">
        <f>IFERROR(MID(VLOOKUP($B122,Seqs!$A:$B,2,0),Y122,1),"")</f>
        <v/>
      </c>
      <c r="Y122" s="3" t="s">
        <v>23</v>
      </c>
      <c r="Z122" s="3" t="str">
        <f>IFERROR(MID(VLOOKUP($B122,Seqs!$A:$B,2,0),AA122,1),"")</f>
        <v/>
      </c>
      <c r="AA122" s="3" t="s">
        <v>23</v>
      </c>
      <c r="AB122" s="3" t="str">
        <f>IFERROR(MID(VLOOKUP($B122,Seqs!$A:$B,2,0),AC122,1),"")</f>
        <v>T</v>
      </c>
      <c r="AC122" s="3">
        <v>146</v>
      </c>
      <c r="AD122" s="3" t="str">
        <f>IFERROR(MID(VLOOKUP($B122,Seqs!$A:$B,2,0),AE122,1),"")</f>
        <v>H</v>
      </c>
      <c r="AE122" s="3">
        <v>172</v>
      </c>
      <c r="AF122" s="3" t="str">
        <f>IFERROR(MID(VLOOKUP($B122,Seqs!$A:$B,2,0),AG122,1),"")</f>
        <v>C</v>
      </c>
      <c r="AG122" s="3">
        <v>191</v>
      </c>
      <c r="AH122" s="3" t="str">
        <f>IFERROR(MID(VLOOKUP($B122,Seqs!$A:$B,2,0),AI122,1),"")</f>
        <v>F</v>
      </c>
      <c r="AI122" s="3">
        <v>193</v>
      </c>
      <c r="AJ122" s="3" t="str">
        <f>IFERROR(MID(VLOOKUP($B122,Seqs!$A:$B,2,0),AK122,1),"")</f>
        <v>N</v>
      </c>
      <c r="AK122" s="3">
        <v>196</v>
      </c>
      <c r="AL122" s="3" t="str">
        <f>IFERROR(MID(VLOOKUP($B122,Seqs!$A:$B,2,0),AM122,1),"")</f>
        <v>L</v>
      </c>
      <c r="AM122" s="3">
        <v>230</v>
      </c>
      <c r="AN122" s="3" t="str">
        <f>IFERROR(MID(VLOOKUP($B122,Seqs!$A:$B,2,0),AO122,1),"")</f>
        <v>A</v>
      </c>
      <c r="AO122" s="3">
        <v>271</v>
      </c>
      <c r="AP122" s="3" t="str">
        <f>IFERROR(MID(VLOOKUP($B122,Seqs!$A:$B,2,0),AQ122,1),"")</f>
        <v>Q</v>
      </c>
      <c r="AQ122" s="3">
        <v>299</v>
      </c>
      <c r="AR122" s="3" t="str">
        <f>IFERROR(MID(VLOOKUP($B122,Seqs!$A:$B,2,0),AS122,1),"")</f>
        <v>R</v>
      </c>
      <c r="AS122" s="3">
        <v>304</v>
      </c>
      <c r="AT122" s="3" t="str">
        <f>IFERROR(MID(VLOOKUP($B122,Seqs!$A:$B,2,0),AU122,1),"")</f>
        <v>R</v>
      </c>
      <c r="AU122" s="3">
        <v>328</v>
      </c>
      <c r="AV122" s="3" t="str">
        <f>IFERROR(MID(VLOOKUP($B122,Seqs!$A:$B,2,0),AW122,1),"")</f>
        <v>S</v>
      </c>
      <c r="AW122" s="3">
        <v>329</v>
      </c>
      <c r="AX122" s="3" t="str">
        <f>IFERROR(MID(VLOOKUP($B122,Seqs!$A:$B,2,0),AY122,1),"")</f>
        <v>C</v>
      </c>
      <c r="AY122" s="3">
        <v>341</v>
      </c>
      <c r="AZ122" s="77" t="str">
        <f>VLOOKUP(B122,Classification!A:D,2,0)</f>
        <v>A</v>
      </c>
      <c r="BA122" s="94" t="str">
        <f>VLOOKUP(B122,Classification!A:D,4,0)</f>
        <v>Adrenoceptors</v>
      </c>
      <c r="BB122" s="27" t="b">
        <f>AND(E122&lt;G122,OR(G122&lt;I122,I122="-"),OR(I122&lt;K122,I122="-"),OR(K122&lt;M122,K122="-"),M122&lt;O122,OR(O122&lt;Q122,Q122="-"),OR(Q122&lt;S122,Q122="-"),OR(S122&lt;U122,S122="-"),U122&lt;W122,OR(W122&lt;Y122,Y122="-"),OR(Y122&lt;AA122,Y122="-"),OR(AA122&lt;AC122,AA122="-"),AC122&lt;AE122,OR(AE122&lt;AG122,AG122="-"),OR(AG122&lt;AI122,AG122="-"),OR(AI122&lt;AK122,AI122="-"),AK122&lt;AM122,AM122&lt;AO122,AO122&lt;AQ122,AQ122&lt;AS122,AS122&lt;AU122,OR(AU122&lt;AW122,AW122="-"),OR(AW122&lt;AY122,AW122="-"))</f>
        <v>1</v>
      </c>
      <c r="BC122" s="23">
        <f>_xlfn.AGGREGATE(9,6,CH122:CS122)-_xlfn.AGGREGATE(9,6,BV122:CG122)+12</f>
        <v>236</v>
      </c>
      <c r="BD122" s="74" t="s">
        <v>23</v>
      </c>
      <c r="BE122" s="3" t="s">
        <v>1380</v>
      </c>
      <c r="BF122" s="119">
        <v>4.2</v>
      </c>
      <c r="BG122" s="49" t="s">
        <v>1287</v>
      </c>
      <c r="BH122" s="49" t="s">
        <v>1383</v>
      </c>
      <c r="BI122" s="1"/>
      <c r="BJ122" s="70" t="s">
        <v>1293</v>
      </c>
      <c r="BK122" s="57" t="s">
        <v>1293</v>
      </c>
      <c r="BL122" s="57" t="s">
        <v>1293</v>
      </c>
      <c r="BM122" s="57" t="s">
        <v>1293</v>
      </c>
      <c r="BN122" s="57" t="s">
        <v>1293</v>
      </c>
      <c r="BO122" s="57" t="s">
        <v>1293</v>
      </c>
      <c r="BP122" s="57" t="s">
        <v>1293</v>
      </c>
      <c r="BQ122" s="57" t="s">
        <v>1293</v>
      </c>
      <c r="BR122" s="57" t="s">
        <v>1293</v>
      </c>
      <c r="BS122" s="57" t="s">
        <v>1293</v>
      </c>
      <c r="BT122" s="57" t="s">
        <v>1293</v>
      </c>
      <c r="BU122" s="57" t="s">
        <v>1293</v>
      </c>
      <c r="BV122" s="70">
        <f>E122</f>
        <v>33</v>
      </c>
      <c r="BW122" s="71">
        <f>I122</f>
        <v>62</v>
      </c>
      <c r="BX122" s="72">
        <f>M122</f>
        <v>66</v>
      </c>
      <c r="BY122" s="71">
        <f>Q122</f>
        <v>98</v>
      </c>
      <c r="BZ122" s="72">
        <f>U122</f>
        <v>102</v>
      </c>
      <c r="CA122" s="71" t="str">
        <f>Y122</f>
        <v>-</v>
      </c>
      <c r="CB122" s="72">
        <f>AC122</f>
        <v>146</v>
      </c>
      <c r="CC122" s="71">
        <f>AG122</f>
        <v>191</v>
      </c>
      <c r="CD122" s="72">
        <f>AK122</f>
        <v>196</v>
      </c>
      <c r="CE122" s="71">
        <f>AO122</f>
        <v>271</v>
      </c>
      <c r="CF122" s="72">
        <f>AS122</f>
        <v>304</v>
      </c>
      <c r="CG122" s="71">
        <f>AW122</f>
        <v>329</v>
      </c>
      <c r="CH122" s="70">
        <f>G122</f>
        <v>61</v>
      </c>
      <c r="CI122" s="71">
        <f>K122</f>
        <v>65</v>
      </c>
      <c r="CJ122" s="72">
        <f>O122</f>
        <v>96</v>
      </c>
      <c r="CK122" s="72">
        <f>S122</f>
        <v>101</v>
      </c>
      <c r="CL122" s="72">
        <f>W122</f>
        <v>136</v>
      </c>
      <c r="CM122" s="72" t="str">
        <f>AA122</f>
        <v>-</v>
      </c>
      <c r="CN122" s="72">
        <f>AE122</f>
        <v>172</v>
      </c>
      <c r="CO122" s="72">
        <f>AI122</f>
        <v>193</v>
      </c>
      <c r="CP122" s="72">
        <f>AM122</f>
        <v>230</v>
      </c>
      <c r="CQ122" s="72">
        <f>AQ122</f>
        <v>299</v>
      </c>
      <c r="CR122" s="72">
        <f>AU122</f>
        <v>328</v>
      </c>
      <c r="CS122" s="72">
        <f>AY122</f>
        <v>341</v>
      </c>
      <c r="CT122" s="23">
        <f>M122-K122</f>
        <v>1</v>
      </c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  <c r="ADW122" s="1"/>
      <c r="ADX122" s="1"/>
      <c r="ADY122" s="1"/>
      <c r="ADZ122" s="1"/>
      <c r="AEA122" s="1"/>
      <c r="AEB122" s="1"/>
      <c r="AEC122" s="1"/>
      <c r="AED122" s="1"/>
      <c r="AEE122" s="1"/>
      <c r="AEF122" s="1"/>
      <c r="AEG122" s="1"/>
      <c r="AEH122" s="1"/>
      <c r="AEI122" s="1"/>
      <c r="AEJ122" s="1"/>
      <c r="AEK122" s="1"/>
      <c r="AEL122" s="1"/>
      <c r="AEM122" s="1"/>
      <c r="AEN122" s="1"/>
      <c r="AEO122" s="1"/>
      <c r="AEP122" s="1"/>
      <c r="AEQ122" s="1"/>
      <c r="AER122" s="1"/>
      <c r="AES122" s="1"/>
      <c r="AET122" s="1"/>
      <c r="AEU122" s="1"/>
      <c r="AEV122" s="1"/>
      <c r="AEW122" s="1"/>
      <c r="AEX122" s="1"/>
      <c r="AEY122" s="1"/>
      <c r="AEZ122" s="1"/>
      <c r="AFA122" s="1"/>
      <c r="AFB122" s="1"/>
      <c r="AFC122" s="1"/>
      <c r="AFD122" s="1"/>
      <c r="AFE122" s="1"/>
      <c r="AFF122" s="1"/>
      <c r="AFG122" s="1"/>
      <c r="AFH122" s="1"/>
      <c r="AFI122" s="1"/>
      <c r="AFJ122" s="1"/>
      <c r="AFK122" s="1"/>
      <c r="AFL122" s="1"/>
      <c r="AFM122" s="1"/>
      <c r="AFN122" s="1"/>
      <c r="AFO122" s="1"/>
      <c r="AFP122" s="1"/>
      <c r="AFQ122" s="1"/>
      <c r="AFR122" s="1"/>
      <c r="AFS122" s="1"/>
      <c r="AFT122" s="1"/>
      <c r="AFU122" s="1"/>
      <c r="AFV122" s="1"/>
      <c r="AFW122" s="1"/>
      <c r="AFX122" s="1"/>
      <c r="AFY122" s="1"/>
      <c r="AFZ122" s="1"/>
      <c r="AGA122" s="1"/>
      <c r="AGB122" s="1"/>
      <c r="AGC122" s="1"/>
      <c r="AGD122" s="1"/>
      <c r="AGE122" s="1"/>
      <c r="AGF122" s="1"/>
      <c r="AGG122" s="1"/>
      <c r="AGH122" s="1"/>
      <c r="AGI122" s="1"/>
      <c r="AGJ122" s="1"/>
      <c r="AGK122" s="1"/>
      <c r="AGL122" s="1"/>
      <c r="AGM122" s="1"/>
      <c r="AGN122" s="1"/>
      <c r="AGO122" s="1"/>
      <c r="AGP122" s="1"/>
      <c r="AGQ122" s="1"/>
      <c r="AGR122" s="1"/>
      <c r="AGS122" s="1"/>
      <c r="AGT122" s="1"/>
      <c r="AGU122" s="1"/>
      <c r="AGV122" s="1"/>
      <c r="AGW122" s="1"/>
      <c r="AGX122" s="1"/>
      <c r="AGY122" s="1"/>
      <c r="AGZ122" s="1"/>
      <c r="AHA122" s="1"/>
      <c r="AHB122" s="1"/>
      <c r="AHC122" s="1"/>
      <c r="AHD122" s="1"/>
      <c r="AHE122" s="1"/>
      <c r="AHF122" s="1"/>
      <c r="AHG122" s="1"/>
      <c r="AHH122" s="1"/>
      <c r="AHI122" s="1"/>
      <c r="AHJ122" s="1"/>
      <c r="AHK122" s="1"/>
      <c r="AHL122" s="1"/>
      <c r="AHM122" s="1"/>
      <c r="AHN122" s="1"/>
      <c r="AHO122" s="1"/>
      <c r="AHP122" s="1"/>
      <c r="AHQ122" s="1"/>
      <c r="AHR122" s="1"/>
      <c r="AHS122" s="1"/>
      <c r="AHT122" s="1"/>
      <c r="AHU122" s="1"/>
      <c r="AHV122" s="1"/>
      <c r="AHW122" s="1"/>
      <c r="AHX122" s="1"/>
      <c r="AHY122" s="1"/>
      <c r="AHZ122" s="1"/>
      <c r="AIA122" s="1"/>
      <c r="AIB122" s="1"/>
      <c r="AIC122" s="1"/>
      <c r="AID122" s="1"/>
      <c r="AIE122" s="1"/>
      <c r="AIF122" s="1"/>
      <c r="AIG122" s="1"/>
      <c r="AIH122" s="1"/>
      <c r="AII122" s="1"/>
      <c r="AIJ122" s="1"/>
      <c r="AIK122" s="1"/>
      <c r="AIL122" s="1"/>
      <c r="AIM122" s="1"/>
      <c r="AIN122" s="1"/>
      <c r="AIO122" s="1"/>
      <c r="AIP122" s="1"/>
      <c r="AIQ122" s="1"/>
      <c r="AIR122" s="1"/>
      <c r="AIS122" s="1"/>
      <c r="AIT122" s="1"/>
      <c r="AIU122" s="1"/>
      <c r="AIV122" s="1"/>
      <c r="AIW122" s="1"/>
      <c r="AIX122" s="1"/>
      <c r="AIY122" s="1"/>
      <c r="AIZ122" s="1"/>
      <c r="AJA122" s="1"/>
      <c r="AJB122" s="1"/>
      <c r="AJC122" s="1"/>
      <c r="AJD122" s="1"/>
      <c r="AJE122" s="1"/>
      <c r="AJF122" s="1"/>
      <c r="AJG122" s="1"/>
      <c r="AJH122" s="1"/>
      <c r="AJI122" s="1"/>
      <c r="AJJ122" s="1"/>
      <c r="AJK122" s="1"/>
      <c r="AJL122" s="1"/>
      <c r="AJM122" s="1"/>
      <c r="AJN122" s="1"/>
      <c r="AJO122" s="1"/>
      <c r="AJP122" s="1"/>
      <c r="AJQ122" s="1"/>
      <c r="AJR122" s="1"/>
      <c r="AJS122" s="1"/>
      <c r="AJT122" s="1"/>
      <c r="AJU122" s="1"/>
      <c r="AJV122" s="1"/>
      <c r="AJW122" s="1"/>
      <c r="AJX122" s="1"/>
      <c r="AJY122" s="1"/>
      <c r="AJZ122" s="1"/>
      <c r="AKA122" s="1"/>
      <c r="AKB122" s="1"/>
      <c r="AKC122" s="1"/>
      <c r="AKD122" s="1"/>
      <c r="AKE122" s="1"/>
      <c r="AKF122" s="1"/>
      <c r="AKG122" s="1"/>
      <c r="AKH122" s="1"/>
      <c r="AKI122" s="1"/>
      <c r="AKJ122" s="1"/>
      <c r="AKK122" s="1"/>
      <c r="AKL122" s="1"/>
      <c r="AKM122" s="1"/>
      <c r="AKN122" s="1"/>
      <c r="AKO122" s="1"/>
      <c r="AKP122" s="1"/>
      <c r="AKQ122" s="1"/>
      <c r="AKR122" s="1"/>
      <c r="AKS122" s="1"/>
      <c r="AKT122" s="1"/>
      <c r="AKU122" s="1"/>
      <c r="AKV122" s="1"/>
      <c r="AKW122" s="1"/>
      <c r="AKX122" s="1"/>
      <c r="AKY122" s="1"/>
      <c r="AKZ122" s="1"/>
      <c r="ALA122" s="1"/>
      <c r="ALB122" s="1"/>
      <c r="ALC122" s="1"/>
      <c r="ALD122" s="1"/>
      <c r="ALE122" s="1"/>
      <c r="ALF122" s="1"/>
      <c r="ALG122" s="1"/>
      <c r="ALH122" s="1"/>
      <c r="ALI122" s="1"/>
      <c r="ALJ122" s="1"/>
      <c r="ALK122" s="1"/>
      <c r="ALL122" s="1"/>
      <c r="ALM122" s="1"/>
      <c r="ALN122" s="1"/>
      <c r="ALO122" s="1"/>
      <c r="ALP122" s="1"/>
      <c r="ALQ122" s="1"/>
      <c r="ALR122" s="1"/>
      <c r="ALS122" s="1"/>
      <c r="ALT122" s="1"/>
      <c r="ALU122" s="1"/>
      <c r="ALV122" s="1"/>
      <c r="ALW122" s="1"/>
      <c r="ALX122" s="1"/>
      <c r="ALY122" s="1"/>
      <c r="ALZ122" s="1"/>
      <c r="AMA122" s="1"/>
      <c r="AMB122" s="1"/>
      <c r="AMC122" s="1"/>
      <c r="AMD122" s="1"/>
      <c r="AME122" s="1"/>
      <c r="AMF122" s="1"/>
      <c r="AMG122" s="1"/>
      <c r="AMH122" s="1"/>
      <c r="AMI122" s="1"/>
      <c r="AMJ122" s="1"/>
      <c r="AMK122" s="1"/>
      <c r="AML122" s="1"/>
      <c r="AMM122" s="1"/>
      <c r="AMN122" s="1"/>
      <c r="AMO122" s="1"/>
    </row>
    <row r="123" spans="1:1029" s="12" customFormat="1" x14ac:dyDescent="0.2">
      <c r="A123" s="9" t="str">
        <f>CONCATENATE(B123,"_",C123)</f>
        <v>adrb2_human_6MXT</v>
      </c>
      <c r="B123" s="9" t="s">
        <v>126</v>
      </c>
      <c r="C123" s="9" t="s">
        <v>1545</v>
      </c>
      <c r="D123" s="9" t="str">
        <f>IFERROR(MID(VLOOKUP($B123,Seqs!$A:$B,2,0),E123,1),"")</f>
        <v/>
      </c>
      <c r="E123" s="9">
        <v>1029</v>
      </c>
      <c r="F123" s="9" t="str">
        <f>IFERROR(MID(VLOOKUP($B123,Seqs!$A:$B,2,0),G123,1),"")</f>
        <v/>
      </c>
      <c r="G123" s="9">
        <v>1061</v>
      </c>
      <c r="H123" s="9" t="str">
        <f>IFERROR(MID(VLOOKUP($B123,Seqs!$A:$B,2,0),I123,1),"")</f>
        <v/>
      </c>
      <c r="I123" s="109">
        <v>1062</v>
      </c>
      <c r="J123" s="9" t="str">
        <f>IFERROR(MID(VLOOKUP($B123,Seqs!$A:$B,2,0),K123,1),"")</f>
        <v/>
      </c>
      <c r="K123" s="109">
        <v>1065</v>
      </c>
      <c r="L123" s="9" t="str">
        <f>IFERROR(MID(VLOOKUP($B123,Seqs!$A:$B,2,0),M123,1),"")</f>
        <v/>
      </c>
      <c r="M123" s="9">
        <v>1066</v>
      </c>
      <c r="N123" s="9" t="str">
        <f>IFERROR(MID(VLOOKUP($B123,Seqs!$A:$B,2,0),O123,1),"")</f>
        <v/>
      </c>
      <c r="O123" s="9">
        <v>1096</v>
      </c>
      <c r="P123" s="9" t="str">
        <f>IFERROR(MID(VLOOKUP($B123,Seqs!$A:$B,2,0),Q123,1),"")</f>
        <v/>
      </c>
      <c r="Q123" s="9">
        <v>1098</v>
      </c>
      <c r="R123" s="9" t="str">
        <f>IFERROR(MID(VLOOKUP($B123,Seqs!$A:$B,2,0),S123,1),"")</f>
        <v/>
      </c>
      <c r="S123" s="9">
        <v>1101</v>
      </c>
      <c r="T123" s="9" t="str">
        <f>IFERROR(MID(VLOOKUP($B123,Seqs!$A:$B,2,0),U123,1),"")</f>
        <v/>
      </c>
      <c r="U123" s="9">
        <v>1102</v>
      </c>
      <c r="V123" s="9" t="str">
        <f>IFERROR(MID(VLOOKUP($B123,Seqs!$A:$B,2,0),W123,1),"")</f>
        <v/>
      </c>
      <c r="W123" s="9">
        <v>1137</v>
      </c>
      <c r="X123" s="9" t="str">
        <f>IFERROR(MID(VLOOKUP($B123,Seqs!$A:$B,2,0),Y123,1),"")</f>
        <v/>
      </c>
      <c r="Y123" s="9">
        <v>1138</v>
      </c>
      <c r="Z123" s="9" t="str">
        <f>IFERROR(MID(VLOOKUP($B123,Seqs!$A:$B,2,0),AA123,1),"")</f>
        <v/>
      </c>
      <c r="AA123" s="9">
        <v>1145</v>
      </c>
      <c r="AB123" s="9" t="str">
        <f>IFERROR(MID(VLOOKUP($B123,Seqs!$A:$B,2,0),AC123,1),"")</f>
        <v/>
      </c>
      <c r="AC123" s="9">
        <v>1146</v>
      </c>
      <c r="AD123" s="9" t="str">
        <f>IFERROR(MID(VLOOKUP($B123,Seqs!$A:$B,2,0),AE123,1),"")</f>
        <v/>
      </c>
      <c r="AE123" s="9">
        <v>1172</v>
      </c>
      <c r="AF123" s="9" t="str">
        <f>IFERROR(MID(VLOOKUP($B123,Seqs!$A:$B,2,0),AG123,1),"")</f>
        <v/>
      </c>
      <c r="AG123" s="9">
        <v>1191</v>
      </c>
      <c r="AH123" s="9" t="str">
        <f>IFERROR(MID(VLOOKUP($B123,Seqs!$A:$B,2,0),AI123,1),"")</f>
        <v/>
      </c>
      <c r="AI123" s="9">
        <v>1193</v>
      </c>
      <c r="AJ123" s="9" t="str">
        <f>IFERROR(MID(VLOOKUP($B123,Seqs!$A:$B,2,0),AK123,1),"")</f>
        <v/>
      </c>
      <c r="AK123" s="9">
        <v>1196</v>
      </c>
      <c r="AL123" s="9" t="str">
        <f>IFERROR(MID(VLOOKUP($B123,Seqs!$A:$B,2,0),AM123,1),"")</f>
        <v/>
      </c>
      <c r="AM123" s="9">
        <v>1232</v>
      </c>
      <c r="AN123" s="9" t="str">
        <f>IFERROR(MID(VLOOKUP($B123,Seqs!$A:$B,2,0),AO123,1),"")</f>
        <v/>
      </c>
      <c r="AO123" s="9">
        <v>1265</v>
      </c>
      <c r="AP123" s="9" t="str">
        <f>IFERROR(MID(VLOOKUP($B123,Seqs!$A:$B,2,0),AQ123,1),"")</f>
        <v/>
      </c>
      <c r="AQ123" s="9">
        <v>1299</v>
      </c>
      <c r="AR123" s="9" t="str">
        <f>IFERROR(MID(VLOOKUP($B123,Seqs!$A:$B,2,0),AS123,1),"")</f>
        <v/>
      </c>
      <c r="AS123" s="9">
        <v>1304</v>
      </c>
      <c r="AT123" s="9" t="str">
        <f>IFERROR(MID(VLOOKUP($B123,Seqs!$A:$B,2,0),AU123,1),"")</f>
        <v/>
      </c>
      <c r="AU123" s="9">
        <v>1326</v>
      </c>
      <c r="AV123" s="9" t="str">
        <f>IFERROR(MID(VLOOKUP($B123,Seqs!$A:$B,2,0),AW123,1),"")</f>
        <v/>
      </c>
      <c r="AW123" s="9">
        <v>1329</v>
      </c>
      <c r="AX123" s="9" t="str">
        <f>IFERROR(MID(VLOOKUP($B123,Seqs!$A:$B,2,0),AY123,1),"")</f>
        <v/>
      </c>
      <c r="AY123" s="9">
        <v>1342</v>
      </c>
      <c r="AZ123" s="110" t="str">
        <f>VLOOKUP(B123,Classification!A:D,2,0)</f>
        <v>A</v>
      </c>
      <c r="BA123" s="98" t="str">
        <f>VLOOKUP(B123,Classification!A:D,4,0)</f>
        <v>Adrenoceptors</v>
      </c>
      <c r="BB123" s="36" t="b">
        <f>AND(E123&lt;G123,OR(G123&lt;I123,I123="-"),OR(I123&lt;K123,I123="-"),OR(K123&lt;M123,K123="-"),M123&lt;O123,OR(O123&lt;Q123,Q123="-"),OR(Q123&lt;S123,Q123="-"),OR(S123&lt;U123,S123="-"),U123&lt;W123,OR(W123&lt;Y123,Y123="-"),OR(Y123&lt;AA123,Y123="-"),OR(AA123&lt;AC123,AA123="-"),AC123&lt;AE123,OR(AE123&lt;AG123,AG123="-"),OR(AG123&lt;AI123,AG123="-"),OR(AI123&lt;AK123,AI123="-"),AK123&lt;AM123,AM123&lt;AO123,AO123&lt;AQ123,AQ123&lt;AS123,AS123&lt;AU123,OR(AU123&lt;AW123,AW123="-"),OR(AW123&lt;AY123,AW123="-"))</f>
        <v>1</v>
      </c>
      <c r="BC123" s="109">
        <f>_xlfn.AGGREGATE(9,6,CH123:CS123)-_xlfn.AGGREGATE(9,6,BV123:CG123)+12</f>
        <v>255</v>
      </c>
      <c r="BD123" s="124" t="s">
        <v>23</v>
      </c>
      <c r="BE123" s="9" t="s">
        <v>1297</v>
      </c>
      <c r="BF123" s="120">
        <v>2.96</v>
      </c>
      <c r="BG123" s="51" t="s">
        <v>1</v>
      </c>
      <c r="BH123" s="51" t="s">
        <v>1</v>
      </c>
      <c r="BJ123" s="111" t="s">
        <v>1293</v>
      </c>
      <c r="BK123" s="112" t="s">
        <v>1293</v>
      </c>
      <c r="BL123" s="112" t="s">
        <v>1293</v>
      </c>
      <c r="BM123" s="112" t="s">
        <v>1293</v>
      </c>
      <c r="BN123" s="112" t="s">
        <v>1293</v>
      </c>
      <c r="BO123" s="112" t="s">
        <v>1293</v>
      </c>
      <c r="BP123" s="112" t="s">
        <v>1293</v>
      </c>
      <c r="BQ123" s="112" t="s">
        <v>1293</v>
      </c>
      <c r="BR123" s="112" t="s">
        <v>1293</v>
      </c>
      <c r="BS123" s="112" t="s">
        <v>1293</v>
      </c>
      <c r="BT123" s="112" t="s">
        <v>1293</v>
      </c>
      <c r="BU123" s="112" t="s">
        <v>1293</v>
      </c>
      <c r="BV123" s="111">
        <f>E123</f>
        <v>1029</v>
      </c>
      <c r="BW123" s="113">
        <f>I123</f>
        <v>1062</v>
      </c>
      <c r="BX123" s="114">
        <f>M123</f>
        <v>1066</v>
      </c>
      <c r="BY123" s="113">
        <f>Q123</f>
        <v>1098</v>
      </c>
      <c r="BZ123" s="114">
        <f>U123</f>
        <v>1102</v>
      </c>
      <c r="CA123" s="113">
        <f>Y123</f>
        <v>1138</v>
      </c>
      <c r="CB123" s="114">
        <f>AC123</f>
        <v>1146</v>
      </c>
      <c r="CC123" s="113">
        <f>AG123</f>
        <v>1191</v>
      </c>
      <c r="CD123" s="114">
        <f>AK123</f>
        <v>1196</v>
      </c>
      <c r="CE123" s="113">
        <f>AO123</f>
        <v>1265</v>
      </c>
      <c r="CF123" s="114">
        <f>AS123</f>
        <v>1304</v>
      </c>
      <c r="CG123" s="113">
        <f>AW123</f>
        <v>1329</v>
      </c>
      <c r="CH123" s="111">
        <f>G123</f>
        <v>1061</v>
      </c>
      <c r="CI123" s="113">
        <f>K123</f>
        <v>1065</v>
      </c>
      <c r="CJ123" s="114">
        <f>O123</f>
        <v>1096</v>
      </c>
      <c r="CK123" s="114">
        <f>S123</f>
        <v>1101</v>
      </c>
      <c r="CL123" s="114">
        <f>W123</f>
        <v>1137</v>
      </c>
      <c r="CM123" s="114">
        <f>AA123</f>
        <v>1145</v>
      </c>
      <c r="CN123" s="114">
        <f>AE123</f>
        <v>1172</v>
      </c>
      <c r="CO123" s="114">
        <f>AI123</f>
        <v>1193</v>
      </c>
      <c r="CP123" s="114">
        <f>AM123</f>
        <v>1232</v>
      </c>
      <c r="CQ123" s="114">
        <f>AQ123</f>
        <v>1299</v>
      </c>
      <c r="CR123" s="114">
        <f>AU123</f>
        <v>1326</v>
      </c>
      <c r="CS123" s="114">
        <f>AY123</f>
        <v>1342</v>
      </c>
      <c r="CT123" s="109">
        <f>M123-K123</f>
        <v>1</v>
      </c>
    </row>
    <row r="124" spans="1:1029" x14ac:dyDescent="0.2">
      <c r="A124" s="3" t="str">
        <f t="shared" si="699"/>
        <v>agtr1_human__wt</v>
      </c>
      <c r="B124" s="3" t="s">
        <v>158</v>
      </c>
      <c r="C124" s="3" t="s">
        <v>100</v>
      </c>
      <c r="D124" s="3" t="str">
        <f>IFERROR(MID(VLOOKUP($B124,Seqs!$A:$B,2,0),E124,1),"")</f>
        <v>H</v>
      </c>
      <c r="E124" s="105">
        <v>24</v>
      </c>
      <c r="F124" s="3" t="str">
        <f>IFERROR(MID(VLOOKUP($B124,Seqs!$A:$B,2,0),G124,1),"")</f>
        <v>Y</v>
      </c>
      <c r="G124" s="3">
        <v>56</v>
      </c>
      <c r="H124" s="3" t="str">
        <f>IFERROR(MID(VLOOKUP($B124,Seqs!$A:$B,2,0),I124,1),"")</f>
        <v>M</v>
      </c>
      <c r="I124" s="23">
        <v>57</v>
      </c>
      <c r="J124" s="3" t="str">
        <f>IFERROR(MID(VLOOKUP($B124,Seqs!$A:$B,2,0),K124,1),"")</f>
        <v>K</v>
      </c>
      <c r="K124" s="23">
        <v>60</v>
      </c>
      <c r="L124" s="3" t="str">
        <f>IFERROR(MID(VLOOKUP($B124,Seqs!$A:$B,2,0),M124,1),"")</f>
        <v>T</v>
      </c>
      <c r="M124" s="3">
        <v>61</v>
      </c>
      <c r="N124" s="3" t="str">
        <f>IFERROR(MID(VLOOKUP($B124,Seqs!$A:$B,2,0),O124,1),"")</f>
        <v>M</v>
      </c>
      <c r="O124" s="3">
        <v>90</v>
      </c>
      <c r="P124" s="3" t="str">
        <f>IFERROR(MID(VLOOKUP($B124,Seqs!$A:$B,2,0),Q124,1),"")</f>
        <v>R</v>
      </c>
      <c r="Q124" s="3">
        <v>93</v>
      </c>
      <c r="R124" s="3" t="str">
        <f>IFERROR(MID(VLOOKUP($B124,Seqs!$A:$B,2,0),S124,1),"")</f>
        <v>F</v>
      </c>
      <c r="S124" s="3">
        <v>96</v>
      </c>
      <c r="T124" s="3" t="str">
        <f>IFERROR(MID(VLOOKUP($B124,Seqs!$A:$B,2,0),U124,1),"")</f>
        <v>G</v>
      </c>
      <c r="U124" s="3">
        <v>97</v>
      </c>
      <c r="V124" s="3" t="str">
        <f>IFERROR(MID(VLOOKUP($B124,Seqs!$A:$B,2,0),W124,1),"")</f>
        <v>H</v>
      </c>
      <c r="W124" s="3">
        <v>132</v>
      </c>
      <c r="X124" s="3" t="str">
        <f>IFERROR(MID(VLOOKUP($B124,Seqs!$A:$B,2,0),Y124,1),"")</f>
        <v>P</v>
      </c>
      <c r="Y124" s="3">
        <v>133</v>
      </c>
      <c r="Z124" s="3" t="str">
        <f>IFERROR(MID(VLOOKUP($B124,Seqs!$A:$B,2,0),AA124,1),"")</f>
        <v>R</v>
      </c>
      <c r="AA124" s="3">
        <v>140</v>
      </c>
      <c r="AB124" s="3" t="str">
        <f>IFERROR(MID(VLOOKUP($B124,Seqs!$A:$B,2,0),AC124,1),"")</f>
        <v>T</v>
      </c>
      <c r="AC124" s="9">
        <v>141</v>
      </c>
      <c r="AD124" s="3" t="str">
        <f>IFERROR(MID(VLOOKUP($B124,Seqs!$A:$B,2,0),AE124,1),"")</f>
        <v>R</v>
      </c>
      <c r="AE124" s="3">
        <v>167</v>
      </c>
      <c r="AF124" s="3" t="str">
        <f>IFERROR(MID(VLOOKUP($B124,Seqs!$A:$B,2,0),AG124,1),"")</f>
        <v>C</v>
      </c>
      <c r="AG124" s="3">
        <v>180</v>
      </c>
      <c r="AH124" s="3" t="str">
        <f>IFERROR(MID(VLOOKUP($B124,Seqs!$A:$B,2,0),AI124,1),"")</f>
        <v>F</v>
      </c>
      <c r="AI124" s="3">
        <v>182</v>
      </c>
      <c r="AJ124" s="3" t="str">
        <f>IFERROR(MID(VLOOKUP($B124,Seqs!$A:$B,2,0),AK124,1),"")</f>
        <v>L</v>
      </c>
      <c r="AK124" s="3">
        <v>191</v>
      </c>
      <c r="AL124" s="3" t="str">
        <f>IFERROR(MID(VLOOKUP($B124,Seqs!$A:$B,2,0),AM124,1),"")</f>
        <v>A</v>
      </c>
      <c r="AM124" s="3">
        <v>225</v>
      </c>
      <c r="AN124" s="3" t="str">
        <f>IFERROR(MID(VLOOKUP($B124,Seqs!$A:$B,2,0),AO124,1),"")</f>
        <v>P</v>
      </c>
      <c r="AO124" s="3">
        <v>233</v>
      </c>
      <c r="AP124" s="3" t="str">
        <f>IFERROR(MID(VLOOKUP($B124,Seqs!$A:$B,2,0),AQ124,1),"")</f>
        <v>G</v>
      </c>
      <c r="AQ124" s="3">
        <v>269</v>
      </c>
      <c r="AR124" s="3" t="str">
        <f>IFERROR(MID(VLOOKUP($B124,Seqs!$A:$B,2,0),AS124,1),"")</f>
        <v>D</v>
      </c>
      <c r="AS124" s="3">
        <v>273</v>
      </c>
      <c r="AT124" s="3" t="str">
        <f>IFERROR(MID(VLOOKUP($B124,Seqs!$A:$B,2,0),AU124,1),"")</f>
        <v>L</v>
      </c>
      <c r="AU124" s="3">
        <v>305</v>
      </c>
      <c r="AV124" s="3" t="str">
        <f>IFERROR(MID(VLOOKUP($B124,Seqs!$A:$B,2,0),AW124,1),"")</f>
        <v>G</v>
      </c>
      <c r="AW124" s="3">
        <v>306</v>
      </c>
      <c r="AX124" s="3" t="str">
        <f>IFERROR(MID(VLOOKUP($B124,Seqs!$A:$B,2,0),AY124,1),"")</f>
        <v>I</v>
      </c>
      <c r="AY124" s="3">
        <v>320</v>
      </c>
      <c r="AZ124" s="77" t="str">
        <f>VLOOKUP(B124,Classification!A:D,2,0)</f>
        <v>A</v>
      </c>
      <c r="BA124" s="94" t="str">
        <f>VLOOKUP(B124,Classification!A:D,4,0)</f>
        <v>Angiotensin</v>
      </c>
      <c r="BB124" s="27" t="b">
        <f t="shared" si="700"/>
        <v>1</v>
      </c>
      <c r="BC124" s="23">
        <f t="shared" si="477"/>
        <v>265</v>
      </c>
      <c r="BD124" s="56" t="s">
        <v>23</v>
      </c>
      <c r="BE124" s="3" t="s">
        <v>23</v>
      </c>
      <c r="BF124" s="119" t="s">
        <v>23</v>
      </c>
      <c r="BG124" s="49" t="s">
        <v>1378</v>
      </c>
      <c r="BH124" s="49" t="s">
        <v>1383</v>
      </c>
      <c r="BI124" s="1"/>
      <c r="BJ124" s="70" t="s">
        <v>1293</v>
      </c>
      <c r="BK124" s="57" t="s">
        <v>1293</v>
      </c>
      <c r="BL124" s="57" t="s">
        <v>1293</v>
      </c>
      <c r="BM124" s="57" t="s">
        <v>1293</v>
      </c>
      <c r="BN124" s="57" t="s">
        <v>1293</v>
      </c>
      <c r="BO124" s="57" t="s">
        <v>1293</v>
      </c>
      <c r="BP124" s="57" t="s">
        <v>1293</v>
      </c>
      <c r="BQ124" s="57" t="s">
        <v>1293</v>
      </c>
      <c r="BR124" s="57" t="s">
        <v>1293</v>
      </c>
      <c r="BS124" s="57" t="s">
        <v>1293</v>
      </c>
      <c r="BT124" s="57" t="s">
        <v>1293</v>
      </c>
      <c r="BU124" s="57" t="s">
        <v>1293</v>
      </c>
      <c r="BV124" s="70">
        <f t="shared" si="478"/>
        <v>24</v>
      </c>
      <c r="BW124" s="71">
        <f t="shared" si="479"/>
        <v>57</v>
      </c>
      <c r="BX124" s="72">
        <f t="shared" si="480"/>
        <v>61</v>
      </c>
      <c r="BY124" s="71">
        <f t="shared" si="481"/>
        <v>93</v>
      </c>
      <c r="BZ124" s="72">
        <f t="shared" si="482"/>
        <v>97</v>
      </c>
      <c r="CA124" s="71">
        <f t="shared" si="483"/>
        <v>133</v>
      </c>
      <c r="CB124" s="72">
        <f t="shared" si="484"/>
        <v>141</v>
      </c>
      <c r="CC124" s="71">
        <f t="shared" si="485"/>
        <v>180</v>
      </c>
      <c r="CD124" s="72">
        <f t="shared" si="486"/>
        <v>191</v>
      </c>
      <c r="CE124" s="71">
        <f t="shared" si="487"/>
        <v>233</v>
      </c>
      <c r="CF124" s="72">
        <f t="shared" si="488"/>
        <v>273</v>
      </c>
      <c r="CG124" s="71">
        <f t="shared" si="489"/>
        <v>306</v>
      </c>
      <c r="CH124" s="70">
        <f t="shared" si="490"/>
        <v>56</v>
      </c>
      <c r="CI124" s="71">
        <f t="shared" si="491"/>
        <v>60</v>
      </c>
      <c r="CJ124" s="72">
        <f t="shared" si="492"/>
        <v>90</v>
      </c>
      <c r="CK124" s="72">
        <f t="shared" si="493"/>
        <v>96</v>
      </c>
      <c r="CL124" s="72">
        <f t="shared" si="494"/>
        <v>132</v>
      </c>
      <c r="CM124" s="72">
        <f t="shared" si="495"/>
        <v>140</v>
      </c>
      <c r="CN124" s="72">
        <f t="shared" si="496"/>
        <v>167</v>
      </c>
      <c r="CO124" s="72">
        <f t="shared" si="497"/>
        <v>182</v>
      </c>
      <c r="CP124" s="72">
        <f t="shared" si="498"/>
        <v>225</v>
      </c>
      <c r="CQ124" s="72">
        <f t="shared" si="499"/>
        <v>269</v>
      </c>
      <c r="CR124" s="72">
        <f t="shared" si="500"/>
        <v>305</v>
      </c>
      <c r="CS124" s="72">
        <f t="shared" si="501"/>
        <v>320</v>
      </c>
      <c r="CT124" s="23">
        <f t="shared" si="502"/>
        <v>1</v>
      </c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2"/>
      <c r="JP124" s="2"/>
      <c r="JQ124" s="2"/>
      <c r="JR124" s="2"/>
      <c r="JS124" s="2"/>
      <c r="JT124" s="2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2"/>
      <c r="KI124" s="2"/>
      <c r="KJ124" s="2"/>
      <c r="KK124" s="2"/>
      <c r="KL124" s="2"/>
      <c r="KM124" s="2"/>
      <c r="KN124" s="2"/>
      <c r="KO124" s="2"/>
      <c r="KP124" s="2"/>
      <c r="KQ124" s="2"/>
      <c r="KR124" s="2"/>
      <c r="KS124" s="2"/>
      <c r="KT124" s="2"/>
      <c r="KU124" s="2"/>
      <c r="KV124" s="2"/>
      <c r="KW124" s="2"/>
      <c r="KX124" s="2"/>
      <c r="KY124" s="2"/>
      <c r="KZ124" s="2"/>
      <c r="LA124" s="2"/>
      <c r="LB124" s="2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2"/>
      <c r="MA124" s="2"/>
      <c r="MB124" s="2"/>
      <c r="MC124" s="2"/>
      <c r="MD124" s="2"/>
      <c r="ME124" s="2"/>
      <c r="MF124" s="2"/>
      <c r="MG124" s="2"/>
      <c r="MH124" s="2"/>
      <c r="MI124" s="2"/>
      <c r="MJ124" s="2"/>
      <c r="MK124" s="2"/>
      <c r="ML124" s="2"/>
      <c r="MM124" s="2"/>
      <c r="MN124" s="2"/>
      <c r="MO124" s="2"/>
      <c r="MP124" s="2"/>
      <c r="MQ124" s="2"/>
      <c r="MR124" s="2"/>
      <c r="MS124" s="2"/>
      <c r="MT124" s="2"/>
      <c r="MU124" s="2"/>
      <c r="MV124" s="2"/>
      <c r="MW124" s="2"/>
      <c r="MX124" s="2"/>
      <c r="MY124" s="2"/>
      <c r="MZ124" s="2"/>
      <c r="NA124" s="2"/>
      <c r="NB124" s="2"/>
      <c r="NC124" s="2"/>
      <c r="ND124" s="2"/>
      <c r="NE124" s="2"/>
      <c r="NF124" s="2"/>
      <c r="NG124" s="2"/>
      <c r="NH124" s="2"/>
      <c r="NI124" s="2"/>
      <c r="NJ124" s="2"/>
      <c r="NK124" s="2"/>
      <c r="NL124" s="2"/>
      <c r="NM124" s="2"/>
      <c r="NN124" s="2"/>
      <c r="NO124" s="2"/>
      <c r="NP124" s="2"/>
      <c r="NQ124" s="2"/>
      <c r="NR124" s="2"/>
      <c r="NS124" s="2"/>
      <c r="NT124" s="2"/>
      <c r="NU124" s="2"/>
      <c r="NV124" s="2"/>
      <c r="NW124" s="2"/>
      <c r="NX124" s="2"/>
      <c r="NY124" s="2"/>
      <c r="NZ124" s="2"/>
      <c r="OA124" s="2"/>
      <c r="OB124" s="2"/>
      <c r="OC124" s="2"/>
      <c r="OD124" s="2"/>
      <c r="OE124" s="2"/>
      <c r="OF124" s="2"/>
      <c r="OG124" s="2"/>
      <c r="OH124" s="2"/>
      <c r="OI124" s="2"/>
      <c r="OJ124" s="2"/>
      <c r="OK124" s="2"/>
      <c r="OL124" s="2"/>
      <c r="OM124" s="2"/>
      <c r="ON124" s="2"/>
      <c r="OO124" s="2"/>
      <c r="OP124" s="2"/>
      <c r="OQ124" s="2"/>
      <c r="OR124" s="2"/>
      <c r="OS124" s="2"/>
      <c r="OT124" s="2"/>
      <c r="OU124" s="2"/>
      <c r="OV124" s="2"/>
      <c r="OW124" s="2"/>
      <c r="OX124" s="2"/>
      <c r="OY124" s="2"/>
      <c r="OZ124" s="2"/>
      <c r="PA124" s="2"/>
      <c r="PB124" s="2"/>
      <c r="PC124" s="2"/>
      <c r="PD124" s="2"/>
      <c r="PE124" s="2"/>
      <c r="PF124" s="2"/>
      <c r="PG124" s="2"/>
      <c r="PH124" s="2"/>
      <c r="PI124" s="2"/>
      <c r="PJ124" s="2"/>
      <c r="PK124" s="2"/>
      <c r="PL124" s="2"/>
      <c r="PM124" s="2"/>
      <c r="PN124" s="2"/>
      <c r="PO124" s="2"/>
      <c r="PP124" s="2"/>
      <c r="PQ124" s="2"/>
      <c r="PR124" s="2"/>
      <c r="PS124" s="2"/>
      <c r="PT124" s="2"/>
      <c r="PU124" s="2"/>
      <c r="PV124" s="2"/>
      <c r="PW124" s="2"/>
      <c r="PX124" s="2"/>
      <c r="PY124" s="2"/>
      <c r="PZ124" s="2"/>
      <c r="QA124" s="2"/>
      <c r="QB124" s="2"/>
      <c r="QC124" s="2"/>
      <c r="QD124" s="2"/>
      <c r="QE124" s="2"/>
      <c r="QF124" s="2"/>
      <c r="QG124" s="2"/>
      <c r="QH124" s="2"/>
      <c r="QI124" s="2"/>
      <c r="QJ124" s="2"/>
      <c r="QK124" s="2"/>
      <c r="QL124" s="2"/>
      <c r="QM124" s="2"/>
      <c r="QN124" s="2"/>
      <c r="QO124" s="2"/>
      <c r="QP124" s="2"/>
      <c r="QQ124" s="2"/>
      <c r="QR124" s="2"/>
      <c r="QS124" s="2"/>
      <c r="QT124" s="2"/>
      <c r="QU124" s="2"/>
      <c r="QV124" s="2"/>
      <c r="QW124" s="2"/>
      <c r="QX124" s="2"/>
      <c r="QY124" s="2"/>
      <c r="QZ124" s="2"/>
      <c r="RA124" s="2"/>
      <c r="RB124" s="2"/>
      <c r="RC124" s="2"/>
      <c r="RD124" s="2"/>
      <c r="RE124" s="2"/>
      <c r="RF124" s="2"/>
      <c r="RG124" s="2"/>
      <c r="RH124" s="2"/>
      <c r="RI124" s="2"/>
      <c r="RJ124" s="2"/>
      <c r="RK124" s="2"/>
      <c r="RL124" s="2"/>
      <c r="RM124" s="2"/>
      <c r="RN124" s="2"/>
      <c r="RO124" s="2"/>
      <c r="RP124" s="2"/>
      <c r="RQ124" s="2"/>
      <c r="RR124" s="2"/>
      <c r="RS124" s="2"/>
      <c r="RT124" s="2"/>
      <c r="RU124" s="2"/>
      <c r="RV124" s="2"/>
      <c r="RW124" s="2"/>
      <c r="RX124" s="2"/>
      <c r="RY124" s="2"/>
      <c r="RZ124" s="2"/>
      <c r="SA124" s="2"/>
      <c r="SB124" s="2"/>
      <c r="SC124" s="2"/>
      <c r="SD124" s="2"/>
      <c r="SE124" s="2"/>
      <c r="SF124" s="2"/>
      <c r="SG124" s="2"/>
      <c r="SH124" s="2"/>
      <c r="SI124" s="2"/>
      <c r="SJ124" s="2"/>
      <c r="SK124" s="2"/>
      <c r="SL124" s="2"/>
      <c r="SM124" s="2"/>
      <c r="SN124" s="2"/>
      <c r="SO124" s="2"/>
      <c r="SP124" s="2"/>
      <c r="SQ124" s="2"/>
      <c r="SR124" s="2"/>
      <c r="SS124" s="2"/>
      <c r="ST124" s="2"/>
      <c r="SU124" s="2"/>
      <c r="SV124" s="2"/>
      <c r="SW124" s="2"/>
      <c r="SX124" s="2"/>
      <c r="SY124" s="2"/>
      <c r="SZ124" s="2"/>
      <c r="TA124" s="2"/>
      <c r="TB124" s="2"/>
      <c r="TC124" s="2"/>
      <c r="TD124" s="2"/>
      <c r="TE124" s="2"/>
      <c r="TF124" s="2"/>
      <c r="TG124" s="2"/>
      <c r="TH124" s="2"/>
      <c r="TI124" s="2"/>
      <c r="TJ124" s="2"/>
      <c r="TK124" s="2"/>
      <c r="TL124" s="2"/>
      <c r="TM124" s="2"/>
      <c r="TN124" s="2"/>
      <c r="TO124" s="2"/>
      <c r="TP124" s="2"/>
      <c r="TQ124" s="2"/>
      <c r="TR124" s="2"/>
      <c r="TS124" s="2"/>
      <c r="TT124" s="2"/>
      <c r="TU124" s="2"/>
      <c r="TV124" s="2"/>
      <c r="TW124" s="2"/>
      <c r="TX124" s="2"/>
      <c r="TY124" s="2"/>
      <c r="TZ124" s="2"/>
      <c r="UA124" s="2"/>
      <c r="UB124" s="2"/>
      <c r="UC124" s="2"/>
      <c r="UD124" s="2"/>
      <c r="UE124" s="2"/>
      <c r="UF124" s="2"/>
      <c r="UG124" s="2"/>
      <c r="UH124" s="2"/>
      <c r="UI124" s="2"/>
      <c r="UJ124" s="2"/>
      <c r="UK124" s="2"/>
      <c r="UL124" s="2"/>
      <c r="UM124" s="2"/>
      <c r="UN124" s="2"/>
      <c r="UO124" s="2"/>
      <c r="UP124" s="2"/>
      <c r="UQ124" s="2"/>
      <c r="UR124" s="2"/>
      <c r="US124" s="2"/>
      <c r="UT124" s="2"/>
      <c r="UU124" s="2"/>
      <c r="UV124" s="2"/>
      <c r="UW124" s="2"/>
      <c r="UX124" s="2"/>
      <c r="UY124" s="2"/>
      <c r="UZ124" s="2"/>
      <c r="VA124" s="2"/>
      <c r="VB124" s="2"/>
      <c r="VC124" s="2"/>
      <c r="VD124" s="2"/>
      <c r="VE124" s="2"/>
      <c r="VF124" s="2"/>
      <c r="VG124" s="2"/>
      <c r="VH124" s="2"/>
      <c r="VI124" s="2"/>
      <c r="VJ124" s="2"/>
      <c r="VK124" s="2"/>
      <c r="VL124" s="2"/>
      <c r="VM124" s="2"/>
      <c r="VN124" s="2"/>
      <c r="VO124" s="2"/>
      <c r="VP124" s="2"/>
      <c r="VQ124" s="2"/>
      <c r="VR124" s="2"/>
      <c r="VS124" s="2"/>
      <c r="VT124" s="2"/>
      <c r="VU124" s="2"/>
      <c r="VV124" s="2"/>
      <c r="VW124" s="2"/>
      <c r="VX124" s="2"/>
      <c r="VY124" s="2"/>
      <c r="VZ124" s="2"/>
      <c r="WA124" s="2"/>
      <c r="WB124" s="2"/>
      <c r="WC124" s="2"/>
      <c r="WD124" s="2"/>
      <c r="WE124" s="2"/>
      <c r="WF124" s="2"/>
      <c r="WG124" s="2"/>
      <c r="WH124" s="2"/>
      <c r="WI124" s="2"/>
      <c r="WJ124" s="2"/>
      <c r="WK124" s="2"/>
      <c r="WL124" s="2"/>
      <c r="WM124" s="2"/>
      <c r="WN124" s="2"/>
      <c r="WO124" s="2"/>
      <c r="WP124" s="2"/>
      <c r="WQ124" s="2"/>
      <c r="WR124" s="2"/>
      <c r="WS124" s="2"/>
      <c r="WT124" s="2"/>
      <c r="WU124" s="2"/>
      <c r="WV124" s="2"/>
      <c r="WW124" s="2"/>
      <c r="WX124" s="2"/>
      <c r="WY124" s="2"/>
      <c r="WZ124" s="2"/>
      <c r="XA124" s="2"/>
      <c r="XB124" s="2"/>
      <c r="XC124" s="2"/>
      <c r="XD124" s="2"/>
      <c r="XE124" s="2"/>
      <c r="XF124" s="2"/>
      <c r="XG124" s="2"/>
      <c r="XH124" s="2"/>
      <c r="XI124" s="2"/>
      <c r="XJ124" s="2"/>
      <c r="XK124" s="2"/>
      <c r="XL124" s="2"/>
      <c r="XM124" s="2"/>
      <c r="XN124" s="2"/>
      <c r="XO124" s="2"/>
      <c r="XP124" s="2"/>
      <c r="XQ124" s="2"/>
      <c r="XR124" s="2"/>
      <c r="XS124" s="2"/>
      <c r="XT124" s="2"/>
      <c r="XU124" s="2"/>
      <c r="XV124" s="2"/>
      <c r="XW124" s="2"/>
      <c r="XX124" s="2"/>
      <c r="XY124" s="2"/>
      <c r="XZ124" s="2"/>
      <c r="YA124" s="2"/>
      <c r="YB124" s="2"/>
      <c r="YC124" s="2"/>
      <c r="YD124" s="2"/>
      <c r="YE124" s="2"/>
      <c r="YF124" s="2"/>
      <c r="YG124" s="2"/>
      <c r="YH124" s="2"/>
      <c r="YI124" s="2"/>
      <c r="YJ124" s="2"/>
      <c r="YK124" s="2"/>
      <c r="YL124" s="2"/>
      <c r="YM124" s="2"/>
      <c r="YN124" s="2"/>
      <c r="YO124" s="2"/>
      <c r="YP124" s="2"/>
      <c r="YQ124" s="2"/>
      <c r="YR124" s="2"/>
      <c r="YS124" s="2"/>
      <c r="YT124" s="2"/>
      <c r="YU124" s="2"/>
      <c r="YV124" s="2"/>
      <c r="YW124" s="2"/>
      <c r="YX124" s="2"/>
      <c r="YY124" s="2"/>
      <c r="YZ124" s="2"/>
      <c r="ZA124" s="2"/>
      <c r="ZB124" s="2"/>
      <c r="ZC124" s="2"/>
      <c r="ZD124" s="2"/>
      <c r="ZE124" s="2"/>
      <c r="ZF124" s="2"/>
      <c r="ZG124" s="2"/>
      <c r="ZH124" s="2"/>
      <c r="ZI124" s="2"/>
      <c r="ZJ124" s="2"/>
      <c r="ZK124" s="2"/>
      <c r="ZL124" s="2"/>
      <c r="ZM124" s="2"/>
      <c r="ZN124" s="2"/>
      <c r="ZO124" s="2"/>
      <c r="ZP124" s="2"/>
      <c r="ZQ124" s="2"/>
      <c r="ZR124" s="2"/>
      <c r="ZS124" s="2"/>
      <c r="ZT124" s="2"/>
      <c r="ZU124" s="2"/>
      <c r="ZV124" s="2"/>
      <c r="ZW124" s="2"/>
      <c r="ZX124" s="2"/>
      <c r="ZY124" s="2"/>
      <c r="ZZ124" s="2"/>
      <c r="AAA124" s="2"/>
      <c r="AAB124" s="2"/>
      <c r="AAC124" s="2"/>
      <c r="AAD124" s="2"/>
      <c r="AAE124" s="2"/>
      <c r="AAF124" s="2"/>
      <c r="AAG124" s="2"/>
      <c r="AAH124" s="2"/>
      <c r="AAI124" s="2"/>
      <c r="AAJ124" s="2"/>
      <c r="AAK124" s="2"/>
      <c r="AAL124" s="2"/>
      <c r="AAM124" s="2"/>
      <c r="AAN124" s="2"/>
      <c r="AAO124" s="2"/>
      <c r="AAP124" s="2"/>
      <c r="AAQ124" s="2"/>
      <c r="AAR124" s="2"/>
      <c r="AAS124" s="2"/>
      <c r="AAT124" s="2"/>
      <c r="AAU124" s="2"/>
      <c r="AAV124" s="2"/>
      <c r="AAW124" s="2"/>
      <c r="AAX124" s="2"/>
      <c r="AAY124" s="2"/>
      <c r="AAZ124" s="2"/>
      <c r="ABA124" s="2"/>
      <c r="ABB124" s="2"/>
      <c r="ABC124" s="2"/>
      <c r="ABD124" s="2"/>
      <c r="ABE124" s="2"/>
      <c r="ABF124" s="2"/>
      <c r="ABG124" s="2"/>
      <c r="ABH124" s="2"/>
      <c r="ABI124" s="2"/>
      <c r="ABJ124" s="2"/>
      <c r="ABK124" s="2"/>
      <c r="ABL124" s="2"/>
      <c r="ABM124" s="2"/>
      <c r="ABN124" s="2"/>
      <c r="ABO124" s="2"/>
      <c r="ABP124" s="2"/>
      <c r="ABQ124" s="2"/>
      <c r="ABR124" s="2"/>
      <c r="ABS124" s="2"/>
      <c r="ABT124" s="2"/>
      <c r="ABU124" s="2"/>
      <c r="ABV124" s="2"/>
      <c r="ABW124" s="2"/>
      <c r="ABX124" s="2"/>
      <c r="ABY124" s="2"/>
      <c r="ABZ124" s="2"/>
      <c r="ACA124" s="2"/>
      <c r="ACB124" s="2"/>
      <c r="ACC124" s="2"/>
      <c r="ACD124" s="2"/>
      <c r="ACE124" s="2"/>
      <c r="ACF124" s="2"/>
      <c r="ACG124" s="2"/>
      <c r="ACH124" s="2"/>
      <c r="ACI124" s="2"/>
      <c r="ACJ124" s="2"/>
      <c r="ACK124" s="2"/>
      <c r="ACL124" s="2"/>
      <c r="ACM124" s="2"/>
      <c r="ACN124" s="2"/>
      <c r="ACO124" s="2"/>
      <c r="ACP124" s="2"/>
      <c r="ACQ124" s="2"/>
      <c r="ACR124" s="2"/>
      <c r="ACS124" s="2"/>
      <c r="ACT124" s="2"/>
      <c r="ACU124" s="2"/>
      <c r="ACV124" s="2"/>
      <c r="ACW124" s="2"/>
      <c r="ACX124" s="2"/>
      <c r="ACY124" s="2"/>
      <c r="ACZ124" s="2"/>
      <c r="ADA124" s="2"/>
      <c r="ADB124" s="2"/>
      <c r="ADC124" s="2"/>
      <c r="ADD124" s="2"/>
      <c r="ADE124" s="2"/>
      <c r="ADF124" s="2"/>
      <c r="ADG124" s="2"/>
      <c r="ADH124" s="2"/>
      <c r="ADI124" s="2"/>
      <c r="ADJ124" s="2"/>
      <c r="ADK124" s="2"/>
      <c r="ADL124" s="2"/>
      <c r="ADM124" s="2"/>
      <c r="ADN124" s="2"/>
      <c r="ADO124" s="2"/>
      <c r="ADP124" s="2"/>
      <c r="ADQ124" s="2"/>
      <c r="ADR124" s="2"/>
      <c r="ADS124" s="2"/>
      <c r="ADT124" s="2"/>
      <c r="ADU124" s="2"/>
      <c r="ADV124" s="2"/>
      <c r="ADW124" s="2"/>
      <c r="ADX124" s="2"/>
      <c r="ADY124" s="2"/>
      <c r="ADZ124" s="2"/>
      <c r="AEA124" s="2"/>
      <c r="AEB124" s="2"/>
      <c r="AEC124" s="2"/>
      <c r="AED124" s="2"/>
      <c r="AEE124" s="2"/>
      <c r="AEF124" s="2"/>
      <c r="AEG124" s="2"/>
      <c r="AEH124" s="2"/>
      <c r="AEI124" s="2"/>
      <c r="AEJ124" s="2"/>
      <c r="AEK124" s="2"/>
      <c r="AEL124" s="2"/>
      <c r="AEM124" s="2"/>
      <c r="AEN124" s="2"/>
      <c r="AEO124" s="2"/>
      <c r="AEP124" s="2"/>
      <c r="AEQ124" s="2"/>
      <c r="AER124" s="2"/>
      <c r="AES124" s="2"/>
      <c r="AET124" s="2"/>
      <c r="AEU124" s="2"/>
      <c r="AEV124" s="2"/>
      <c r="AEW124" s="2"/>
      <c r="AEX124" s="2"/>
      <c r="AEY124" s="2"/>
      <c r="AEZ124" s="2"/>
      <c r="AFA124" s="2"/>
      <c r="AFB124" s="2"/>
      <c r="AFC124" s="2"/>
      <c r="AFD124" s="2"/>
      <c r="AFE124" s="2"/>
      <c r="AFF124" s="2"/>
      <c r="AFG124" s="2"/>
      <c r="AFH124" s="2"/>
      <c r="AFI124" s="2"/>
      <c r="AFJ124" s="2"/>
      <c r="AFK124" s="2"/>
      <c r="AFL124" s="2"/>
      <c r="AFM124" s="2"/>
      <c r="AFN124" s="2"/>
      <c r="AFO124" s="2"/>
      <c r="AFP124" s="2"/>
      <c r="AFQ124" s="2"/>
      <c r="AFR124" s="2"/>
      <c r="AFS124" s="2"/>
      <c r="AFT124" s="2"/>
      <c r="AFU124" s="2"/>
      <c r="AFV124" s="2"/>
      <c r="AFW124" s="2"/>
      <c r="AFX124" s="2"/>
      <c r="AFY124" s="2"/>
      <c r="AFZ124" s="2"/>
      <c r="AGA124" s="2"/>
      <c r="AGB124" s="2"/>
      <c r="AGC124" s="2"/>
      <c r="AGD124" s="2"/>
      <c r="AGE124" s="2"/>
      <c r="AGF124" s="2"/>
      <c r="AGG124" s="2"/>
      <c r="AGH124" s="2"/>
      <c r="AGI124" s="2"/>
      <c r="AGJ124" s="2"/>
      <c r="AGK124" s="2"/>
      <c r="AGL124" s="2"/>
      <c r="AGM124" s="2"/>
      <c r="AGN124" s="2"/>
      <c r="AGO124" s="2"/>
      <c r="AGP124" s="2"/>
      <c r="AGQ124" s="2"/>
      <c r="AGR124" s="2"/>
      <c r="AGS124" s="2"/>
      <c r="AGT124" s="2"/>
      <c r="AGU124" s="2"/>
      <c r="AGV124" s="2"/>
      <c r="AGW124" s="2"/>
      <c r="AGX124" s="2"/>
      <c r="AGY124" s="2"/>
      <c r="AGZ124" s="2"/>
      <c r="AHA124" s="2"/>
      <c r="AHB124" s="2"/>
      <c r="AHC124" s="2"/>
      <c r="AHD124" s="2"/>
      <c r="AHE124" s="2"/>
      <c r="AHF124" s="2"/>
      <c r="AHG124" s="2"/>
      <c r="AHH124" s="2"/>
      <c r="AHI124" s="2"/>
      <c r="AHJ124" s="2"/>
      <c r="AHK124" s="2"/>
      <c r="AHL124" s="2"/>
      <c r="AHM124" s="2"/>
      <c r="AHN124" s="2"/>
      <c r="AHO124" s="2"/>
      <c r="AHP124" s="2"/>
      <c r="AHQ124" s="2"/>
      <c r="AHR124" s="2"/>
      <c r="AHS124" s="2"/>
      <c r="AHT124" s="2"/>
      <c r="AHU124" s="2"/>
      <c r="AHV124" s="2"/>
      <c r="AHW124" s="2"/>
      <c r="AHX124" s="2"/>
      <c r="AHY124" s="2"/>
      <c r="AHZ124" s="2"/>
      <c r="AIA124" s="2"/>
      <c r="AIB124" s="2"/>
      <c r="AIC124" s="2"/>
      <c r="AID124" s="2"/>
      <c r="AIE124" s="2"/>
      <c r="AIF124" s="2"/>
      <c r="AIG124" s="2"/>
      <c r="AIH124" s="2"/>
      <c r="AII124" s="2"/>
      <c r="AIJ124" s="2"/>
      <c r="AIK124" s="2"/>
      <c r="AIL124" s="2"/>
      <c r="AIM124" s="2"/>
      <c r="AIN124" s="2"/>
      <c r="AIO124" s="2"/>
      <c r="AIP124" s="2"/>
      <c r="AIQ124" s="2"/>
      <c r="AIR124" s="2"/>
      <c r="AIS124" s="2"/>
      <c r="AIT124" s="2"/>
      <c r="AIU124" s="2"/>
      <c r="AIV124" s="2"/>
      <c r="AIW124" s="2"/>
      <c r="AIX124" s="2"/>
      <c r="AIY124" s="2"/>
      <c r="AIZ124" s="2"/>
      <c r="AJA124" s="2"/>
      <c r="AJB124" s="2"/>
      <c r="AJC124" s="2"/>
      <c r="AJD124" s="2"/>
      <c r="AJE124" s="2"/>
      <c r="AJF124" s="2"/>
      <c r="AJG124" s="2"/>
      <c r="AJH124" s="2"/>
      <c r="AJI124" s="2"/>
      <c r="AJJ124" s="2"/>
      <c r="AJK124" s="2"/>
      <c r="AJL124" s="2"/>
      <c r="AJM124" s="2"/>
      <c r="AJN124" s="2"/>
      <c r="AJO124" s="2"/>
      <c r="AJP124" s="2"/>
      <c r="AJQ124" s="2"/>
      <c r="AJR124" s="2"/>
      <c r="AJS124" s="2"/>
      <c r="AJT124" s="2"/>
      <c r="AJU124" s="2"/>
      <c r="AJV124" s="2"/>
      <c r="AJW124" s="2"/>
      <c r="AJX124" s="2"/>
      <c r="AJY124" s="2"/>
      <c r="AJZ124" s="2"/>
      <c r="AKA124" s="2"/>
      <c r="AKB124" s="2"/>
      <c r="AKC124" s="2"/>
      <c r="AKD124" s="2"/>
      <c r="AKE124" s="2"/>
      <c r="AKF124" s="2"/>
      <c r="AKG124" s="2"/>
      <c r="AKH124" s="2"/>
      <c r="AKI124" s="2"/>
      <c r="AKJ124" s="2"/>
      <c r="AKK124" s="2"/>
      <c r="AKL124" s="2"/>
      <c r="AKM124" s="2"/>
      <c r="AKN124" s="2"/>
      <c r="AKO124" s="2"/>
      <c r="AKP124" s="2"/>
      <c r="AKQ124" s="2"/>
      <c r="AKR124" s="2"/>
      <c r="AKS124" s="2"/>
      <c r="AKT124" s="2"/>
      <c r="AKU124" s="2"/>
      <c r="AKV124" s="2"/>
      <c r="AKW124" s="2"/>
      <c r="AKX124" s="2"/>
      <c r="AKY124" s="2"/>
      <c r="AKZ124" s="2"/>
      <c r="ALA124" s="2"/>
      <c r="ALB124" s="2"/>
      <c r="ALC124" s="2"/>
      <c r="ALD124" s="2"/>
      <c r="ALE124" s="2"/>
      <c r="ALF124" s="2"/>
      <c r="ALG124" s="2"/>
      <c r="ALH124" s="2"/>
      <c r="ALI124" s="2"/>
      <c r="ALJ124" s="2"/>
      <c r="ALK124" s="2"/>
      <c r="ALL124" s="2"/>
      <c r="ALM124" s="2"/>
      <c r="ALN124" s="2"/>
      <c r="ALO124" s="2"/>
      <c r="ALP124" s="2"/>
      <c r="ALQ124" s="2"/>
      <c r="ALR124" s="2"/>
      <c r="ALS124" s="2"/>
      <c r="ALT124" s="2"/>
      <c r="ALU124" s="2"/>
      <c r="ALV124" s="2"/>
      <c r="ALW124" s="2"/>
      <c r="ALX124" s="2"/>
      <c r="ALY124" s="2"/>
      <c r="ALZ124" s="2"/>
      <c r="AMA124" s="2"/>
      <c r="AMB124" s="2"/>
      <c r="AMC124" s="2"/>
      <c r="AMD124" s="2"/>
      <c r="AME124" s="2"/>
      <c r="AMF124" s="2"/>
      <c r="AMG124" s="2"/>
      <c r="AMH124" s="2"/>
      <c r="AMI124" s="2"/>
      <c r="AMJ124" s="2"/>
      <c r="AMK124" s="2"/>
      <c r="AML124" s="2"/>
      <c r="AMM124" s="2"/>
      <c r="AMN124" s="2"/>
      <c r="AMO124" s="2"/>
    </row>
    <row r="125" spans="1:1029" x14ac:dyDescent="0.2">
      <c r="A125" s="3" t="str">
        <f t="shared" si="699"/>
        <v>agtr1_human_4YAY</v>
      </c>
      <c r="B125" s="3" t="s">
        <v>158</v>
      </c>
      <c r="C125" s="3" t="s">
        <v>69</v>
      </c>
      <c r="D125" s="3" t="str">
        <f>IFERROR(MID(VLOOKUP($B125,Seqs!$A:$B,2,0),E125,1),"")</f>
        <v>Y</v>
      </c>
      <c r="E125" s="3">
        <v>26</v>
      </c>
      <c r="F125" s="3" t="str">
        <f>IFERROR(MID(VLOOKUP($B125,Seqs!$A:$B,2,0),G125,1),"")</f>
        <v>Y</v>
      </c>
      <c r="G125" s="3">
        <v>56</v>
      </c>
      <c r="H125" s="3" t="str">
        <f>IFERROR(MID(VLOOKUP($B125,Seqs!$A:$B,2,0),I125,1),"")</f>
        <v>M</v>
      </c>
      <c r="I125" s="23">
        <v>57</v>
      </c>
      <c r="J125" s="3" t="str">
        <f>IFERROR(MID(VLOOKUP($B125,Seqs!$A:$B,2,0),K125,1),"")</f>
        <v>K</v>
      </c>
      <c r="K125" s="23">
        <v>60</v>
      </c>
      <c r="L125" s="3" t="str">
        <f>IFERROR(MID(VLOOKUP($B125,Seqs!$A:$B,2,0),M125,1),"")</f>
        <v>T</v>
      </c>
      <c r="M125" s="3">
        <v>61</v>
      </c>
      <c r="N125" s="3" t="str">
        <f>IFERROR(MID(VLOOKUP($B125,Seqs!$A:$B,2,0),O125,1),"")</f>
        <v>M</v>
      </c>
      <c r="O125" s="3">
        <v>90</v>
      </c>
      <c r="P125" s="3" t="str">
        <f>IFERROR(MID(VLOOKUP($B125,Seqs!$A:$B,2,0),Q125,1),"")</f>
        <v>R</v>
      </c>
      <c r="Q125" s="3">
        <v>93</v>
      </c>
      <c r="R125" s="3" t="str">
        <f>IFERROR(MID(VLOOKUP($B125,Seqs!$A:$B,2,0),S125,1),"")</f>
        <v>F</v>
      </c>
      <c r="S125" s="3">
        <v>96</v>
      </c>
      <c r="T125" s="3" t="str">
        <f>IFERROR(MID(VLOOKUP($B125,Seqs!$A:$B,2,0),U125,1),"")</f>
        <v>G</v>
      </c>
      <c r="U125" s="3">
        <v>97</v>
      </c>
      <c r="V125" s="3" t="str">
        <f>IFERROR(MID(VLOOKUP($B125,Seqs!$A:$B,2,0),W125,1),"")</f>
        <v>H</v>
      </c>
      <c r="W125" s="3">
        <v>132</v>
      </c>
      <c r="X125" s="3" t="str">
        <f>IFERROR(MID(VLOOKUP($B125,Seqs!$A:$B,2,0),Y125,1),"")</f>
        <v/>
      </c>
      <c r="Y125" s="3" t="s">
        <v>23</v>
      </c>
      <c r="Z125" s="3" t="str">
        <f>IFERROR(MID(VLOOKUP($B125,Seqs!$A:$B,2,0),AA125,1),"")</f>
        <v/>
      </c>
      <c r="AA125" s="3" t="s">
        <v>23</v>
      </c>
      <c r="AB125" s="3" t="str">
        <f>IFERROR(MID(VLOOKUP($B125,Seqs!$A:$B,2,0),AC125,1),"")</f>
        <v>R</v>
      </c>
      <c r="AC125" s="9">
        <v>137</v>
      </c>
      <c r="AD125" s="3" t="str">
        <f>IFERROR(MID(VLOOKUP($B125,Seqs!$A:$B,2,0),AE125,1),"")</f>
        <v>R</v>
      </c>
      <c r="AE125" s="3">
        <v>167</v>
      </c>
      <c r="AF125" s="3" t="str">
        <f>IFERROR(MID(VLOOKUP($B125,Seqs!$A:$B,2,0),AG125,1),"")</f>
        <v>C</v>
      </c>
      <c r="AG125" s="3">
        <v>180</v>
      </c>
      <c r="AH125" s="3" t="str">
        <f>IFERROR(MID(VLOOKUP($B125,Seqs!$A:$B,2,0),AI125,1),"")</f>
        <v>F</v>
      </c>
      <c r="AI125" s="3">
        <v>182</v>
      </c>
      <c r="AJ125" s="3" t="str">
        <f>IFERROR(MID(VLOOKUP($B125,Seqs!$A:$B,2,0),AK125,1),"")</f>
        <v>L</v>
      </c>
      <c r="AK125" s="3">
        <v>191</v>
      </c>
      <c r="AL125" s="3" t="str">
        <f>IFERROR(MID(VLOOKUP($B125,Seqs!$A:$B,2,0),AM125,1),"")</f>
        <v>L</v>
      </c>
      <c r="AM125" s="3">
        <v>222</v>
      </c>
      <c r="AN125" s="3" t="str">
        <f>IFERROR(MID(VLOOKUP($B125,Seqs!$A:$B,2,0),AO125,1),"")</f>
        <v>N</v>
      </c>
      <c r="AO125" s="3">
        <v>235</v>
      </c>
      <c r="AP125" s="3" t="str">
        <f>IFERROR(MID(VLOOKUP($B125,Seqs!$A:$B,2,0),AQ125,1),"")</f>
        <v>G</v>
      </c>
      <c r="AQ125" s="3">
        <v>269</v>
      </c>
      <c r="AR125" s="3" t="str">
        <f>IFERROR(MID(VLOOKUP($B125,Seqs!$A:$B,2,0),AS125,1),"")</f>
        <v>D</v>
      </c>
      <c r="AS125" s="3">
        <v>273</v>
      </c>
      <c r="AT125" s="3" t="str">
        <f>IFERROR(MID(VLOOKUP($B125,Seqs!$A:$B,2,0),AU125,1),"")</f>
        <v>N</v>
      </c>
      <c r="AU125" s="3">
        <v>298</v>
      </c>
      <c r="AV125" s="3" t="str">
        <f>IFERROR(MID(VLOOKUP($B125,Seqs!$A:$B,2,0),AW125,1),"")</f>
        <v/>
      </c>
      <c r="AW125" s="3" t="s">
        <v>23</v>
      </c>
      <c r="AX125" s="3" t="str">
        <f>IFERROR(MID(VLOOKUP($B125,Seqs!$A:$B,2,0),AY125,1),"")</f>
        <v/>
      </c>
      <c r="AY125" s="3" t="s">
        <v>23</v>
      </c>
      <c r="AZ125" s="77" t="str">
        <f>VLOOKUP(B125,Classification!A:D,2,0)</f>
        <v>A</v>
      </c>
      <c r="BA125" s="94" t="str">
        <f>VLOOKUP(B125,Classification!A:D,4,0)</f>
        <v>Angiotensin</v>
      </c>
      <c r="BB125" s="27" t="b">
        <f t="shared" si="700"/>
        <v>1</v>
      </c>
      <c r="BC125" s="23">
        <f t="shared" si="477"/>
        <v>234</v>
      </c>
      <c r="BD125" s="4" t="s">
        <v>23</v>
      </c>
      <c r="BE125" s="3" t="s">
        <v>1380</v>
      </c>
      <c r="BF125" s="119">
        <v>2.9</v>
      </c>
      <c r="BG125" s="49" t="s">
        <v>1383</v>
      </c>
      <c r="BH125" s="49" t="s">
        <v>1383</v>
      </c>
      <c r="BI125" s="1"/>
      <c r="BJ125" s="70" t="s">
        <v>1293</v>
      </c>
      <c r="BK125" s="57" t="s">
        <v>1293</v>
      </c>
      <c r="BL125" s="57" t="s">
        <v>1293</v>
      </c>
      <c r="BM125" s="57" t="s">
        <v>1293</v>
      </c>
      <c r="BN125" s="57" t="s">
        <v>1293</v>
      </c>
      <c r="BO125" s="57" t="s">
        <v>1293</v>
      </c>
      <c r="BP125" s="57" t="s">
        <v>1293</v>
      </c>
      <c r="BQ125" s="57" t="s">
        <v>1293</v>
      </c>
      <c r="BR125" s="57" t="s">
        <v>1293</v>
      </c>
      <c r="BS125" s="57" t="s">
        <v>1293</v>
      </c>
      <c r="BT125" s="57" t="s">
        <v>1293</v>
      </c>
      <c r="BU125" s="57" t="s">
        <v>1293</v>
      </c>
      <c r="BV125" s="70">
        <f t="shared" si="478"/>
        <v>26</v>
      </c>
      <c r="BW125" s="71">
        <f t="shared" si="479"/>
        <v>57</v>
      </c>
      <c r="BX125" s="72">
        <f t="shared" si="480"/>
        <v>61</v>
      </c>
      <c r="BY125" s="71">
        <f t="shared" si="481"/>
        <v>93</v>
      </c>
      <c r="BZ125" s="72">
        <f t="shared" si="482"/>
        <v>97</v>
      </c>
      <c r="CA125" s="71" t="str">
        <f t="shared" si="483"/>
        <v>-</v>
      </c>
      <c r="CB125" s="72">
        <f t="shared" si="484"/>
        <v>137</v>
      </c>
      <c r="CC125" s="71">
        <f t="shared" si="485"/>
        <v>180</v>
      </c>
      <c r="CD125" s="72">
        <f t="shared" si="486"/>
        <v>191</v>
      </c>
      <c r="CE125" s="71">
        <f t="shared" si="487"/>
        <v>235</v>
      </c>
      <c r="CF125" s="72">
        <f t="shared" si="488"/>
        <v>273</v>
      </c>
      <c r="CG125" s="71" t="str">
        <f t="shared" si="489"/>
        <v>-</v>
      </c>
      <c r="CH125" s="70">
        <f t="shared" si="490"/>
        <v>56</v>
      </c>
      <c r="CI125" s="71">
        <f t="shared" si="491"/>
        <v>60</v>
      </c>
      <c r="CJ125" s="72">
        <f t="shared" si="492"/>
        <v>90</v>
      </c>
      <c r="CK125" s="72">
        <f t="shared" si="493"/>
        <v>96</v>
      </c>
      <c r="CL125" s="72">
        <f t="shared" si="494"/>
        <v>132</v>
      </c>
      <c r="CM125" s="72" t="str">
        <f t="shared" si="495"/>
        <v>-</v>
      </c>
      <c r="CN125" s="72">
        <f t="shared" si="496"/>
        <v>167</v>
      </c>
      <c r="CO125" s="72">
        <f t="shared" si="497"/>
        <v>182</v>
      </c>
      <c r="CP125" s="72">
        <f t="shared" si="498"/>
        <v>222</v>
      </c>
      <c r="CQ125" s="72">
        <f t="shared" si="499"/>
        <v>269</v>
      </c>
      <c r="CR125" s="72">
        <f t="shared" si="500"/>
        <v>298</v>
      </c>
      <c r="CS125" s="72" t="str">
        <f t="shared" si="501"/>
        <v>-</v>
      </c>
      <c r="CT125" s="23">
        <f t="shared" si="502"/>
        <v>1</v>
      </c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  <c r="IW125" s="2"/>
      <c r="IX125" s="2"/>
      <c r="IY125" s="2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2"/>
      <c r="JP125" s="2"/>
      <c r="JQ125" s="2"/>
      <c r="JR125" s="2"/>
      <c r="JS125" s="2"/>
      <c r="JT125" s="2"/>
      <c r="JU125" s="2"/>
      <c r="JV125" s="2"/>
      <c r="JW125" s="2"/>
      <c r="JX125" s="2"/>
      <c r="JY125" s="2"/>
      <c r="JZ125" s="2"/>
      <c r="KA125" s="2"/>
      <c r="KB125" s="2"/>
      <c r="KC125" s="2"/>
      <c r="KD125" s="2"/>
      <c r="KE125" s="2"/>
      <c r="KF125" s="2"/>
      <c r="KG125" s="2"/>
      <c r="KH125" s="2"/>
      <c r="KI125" s="2"/>
      <c r="KJ125" s="2"/>
      <c r="KK125" s="2"/>
      <c r="KL125" s="2"/>
      <c r="KM125" s="2"/>
      <c r="KN125" s="2"/>
      <c r="KO125" s="2"/>
      <c r="KP125" s="2"/>
      <c r="KQ125" s="2"/>
      <c r="KR125" s="2"/>
      <c r="KS125" s="2"/>
      <c r="KT125" s="2"/>
      <c r="KU125" s="2"/>
      <c r="KV125" s="2"/>
      <c r="KW125" s="2"/>
      <c r="KX125" s="2"/>
      <c r="KY125" s="2"/>
      <c r="KZ125" s="2"/>
      <c r="LA125" s="2"/>
      <c r="LB125" s="2"/>
      <c r="LC125" s="2"/>
      <c r="LD125" s="2"/>
      <c r="LE125" s="2"/>
      <c r="LF125" s="2"/>
      <c r="LG125" s="2"/>
      <c r="LH125" s="2"/>
      <c r="LI125" s="2"/>
      <c r="LJ125" s="2"/>
      <c r="LK125" s="2"/>
      <c r="LL125" s="2"/>
      <c r="LM125" s="2"/>
      <c r="LN125" s="2"/>
      <c r="LO125" s="2"/>
      <c r="LP125" s="2"/>
      <c r="LQ125" s="2"/>
      <c r="LR125" s="2"/>
      <c r="LS125" s="2"/>
      <c r="LT125" s="2"/>
      <c r="LU125" s="2"/>
      <c r="LV125" s="2"/>
      <c r="LW125" s="2"/>
      <c r="LX125" s="2"/>
      <c r="LY125" s="2"/>
      <c r="LZ125" s="2"/>
      <c r="MA125" s="2"/>
      <c r="MB125" s="2"/>
      <c r="MC125" s="2"/>
      <c r="MD125" s="2"/>
      <c r="ME125" s="2"/>
      <c r="MF125" s="2"/>
      <c r="MG125" s="2"/>
      <c r="MH125" s="2"/>
      <c r="MI125" s="2"/>
      <c r="MJ125" s="2"/>
      <c r="MK125" s="2"/>
      <c r="ML125" s="2"/>
      <c r="MM125" s="2"/>
      <c r="MN125" s="2"/>
      <c r="MO125" s="2"/>
      <c r="MP125" s="2"/>
      <c r="MQ125" s="2"/>
      <c r="MR125" s="2"/>
      <c r="MS125" s="2"/>
      <c r="MT125" s="2"/>
      <c r="MU125" s="2"/>
      <c r="MV125" s="2"/>
      <c r="MW125" s="2"/>
      <c r="MX125" s="2"/>
      <c r="MY125" s="2"/>
      <c r="MZ125" s="2"/>
      <c r="NA125" s="2"/>
      <c r="NB125" s="2"/>
      <c r="NC125" s="2"/>
      <c r="ND125" s="2"/>
      <c r="NE125" s="2"/>
      <c r="NF125" s="2"/>
      <c r="NG125" s="2"/>
      <c r="NH125" s="2"/>
      <c r="NI125" s="2"/>
      <c r="NJ125" s="2"/>
      <c r="NK125" s="2"/>
      <c r="NL125" s="2"/>
      <c r="NM125" s="2"/>
      <c r="NN125" s="2"/>
      <c r="NO125" s="2"/>
      <c r="NP125" s="2"/>
      <c r="NQ125" s="2"/>
      <c r="NR125" s="2"/>
      <c r="NS125" s="2"/>
      <c r="NT125" s="2"/>
      <c r="NU125" s="2"/>
      <c r="NV125" s="2"/>
      <c r="NW125" s="2"/>
      <c r="NX125" s="2"/>
      <c r="NY125" s="2"/>
      <c r="NZ125" s="2"/>
      <c r="OA125" s="2"/>
      <c r="OB125" s="2"/>
      <c r="OC125" s="2"/>
      <c r="OD125" s="2"/>
      <c r="OE125" s="2"/>
      <c r="OF125" s="2"/>
      <c r="OG125" s="2"/>
      <c r="OH125" s="2"/>
      <c r="OI125" s="2"/>
      <c r="OJ125" s="2"/>
      <c r="OK125" s="2"/>
      <c r="OL125" s="2"/>
      <c r="OM125" s="2"/>
      <c r="ON125" s="2"/>
      <c r="OO125" s="2"/>
      <c r="OP125" s="2"/>
      <c r="OQ125" s="2"/>
      <c r="OR125" s="2"/>
      <c r="OS125" s="2"/>
      <c r="OT125" s="2"/>
      <c r="OU125" s="2"/>
      <c r="OV125" s="2"/>
      <c r="OW125" s="2"/>
      <c r="OX125" s="2"/>
      <c r="OY125" s="2"/>
      <c r="OZ125" s="2"/>
      <c r="PA125" s="2"/>
      <c r="PB125" s="2"/>
      <c r="PC125" s="2"/>
      <c r="PD125" s="2"/>
      <c r="PE125" s="2"/>
      <c r="PF125" s="2"/>
      <c r="PG125" s="2"/>
      <c r="PH125" s="2"/>
      <c r="PI125" s="2"/>
      <c r="PJ125" s="2"/>
      <c r="PK125" s="2"/>
      <c r="PL125" s="2"/>
      <c r="PM125" s="2"/>
      <c r="PN125" s="2"/>
      <c r="PO125" s="2"/>
      <c r="PP125" s="2"/>
      <c r="PQ125" s="2"/>
      <c r="PR125" s="2"/>
      <c r="PS125" s="2"/>
      <c r="PT125" s="2"/>
      <c r="PU125" s="2"/>
      <c r="PV125" s="2"/>
      <c r="PW125" s="2"/>
      <c r="PX125" s="2"/>
      <c r="PY125" s="2"/>
      <c r="PZ125" s="2"/>
      <c r="QA125" s="2"/>
      <c r="QB125" s="2"/>
      <c r="QC125" s="2"/>
      <c r="QD125" s="2"/>
      <c r="QE125" s="2"/>
      <c r="QF125" s="2"/>
      <c r="QG125" s="2"/>
      <c r="QH125" s="2"/>
      <c r="QI125" s="2"/>
      <c r="QJ125" s="2"/>
      <c r="QK125" s="2"/>
      <c r="QL125" s="2"/>
      <c r="QM125" s="2"/>
      <c r="QN125" s="2"/>
      <c r="QO125" s="2"/>
      <c r="QP125" s="2"/>
      <c r="QQ125" s="2"/>
      <c r="QR125" s="2"/>
      <c r="QS125" s="2"/>
      <c r="QT125" s="2"/>
      <c r="QU125" s="2"/>
      <c r="QV125" s="2"/>
      <c r="QW125" s="2"/>
      <c r="QX125" s="2"/>
      <c r="QY125" s="2"/>
      <c r="QZ125" s="2"/>
      <c r="RA125" s="2"/>
      <c r="RB125" s="2"/>
      <c r="RC125" s="2"/>
      <c r="RD125" s="2"/>
      <c r="RE125" s="2"/>
      <c r="RF125" s="2"/>
      <c r="RG125" s="2"/>
      <c r="RH125" s="2"/>
      <c r="RI125" s="2"/>
      <c r="RJ125" s="2"/>
      <c r="RK125" s="2"/>
      <c r="RL125" s="2"/>
      <c r="RM125" s="2"/>
      <c r="RN125" s="2"/>
      <c r="RO125" s="2"/>
      <c r="RP125" s="2"/>
      <c r="RQ125" s="2"/>
      <c r="RR125" s="2"/>
      <c r="RS125" s="2"/>
      <c r="RT125" s="2"/>
      <c r="RU125" s="2"/>
      <c r="RV125" s="2"/>
      <c r="RW125" s="2"/>
      <c r="RX125" s="2"/>
      <c r="RY125" s="2"/>
      <c r="RZ125" s="2"/>
      <c r="SA125" s="2"/>
      <c r="SB125" s="2"/>
      <c r="SC125" s="2"/>
      <c r="SD125" s="2"/>
      <c r="SE125" s="2"/>
      <c r="SF125" s="2"/>
      <c r="SG125" s="2"/>
      <c r="SH125" s="2"/>
      <c r="SI125" s="2"/>
      <c r="SJ125" s="2"/>
      <c r="SK125" s="2"/>
      <c r="SL125" s="2"/>
      <c r="SM125" s="2"/>
      <c r="SN125" s="2"/>
      <c r="SO125" s="2"/>
      <c r="SP125" s="2"/>
      <c r="SQ125" s="2"/>
      <c r="SR125" s="2"/>
      <c r="SS125" s="2"/>
      <c r="ST125" s="2"/>
      <c r="SU125" s="2"/>
      <c r="SV125" s="2"/>
      <c r="SW125" s="2"/>
      <c r="SX125" s="2"/>
      <c r="SY125" s="2"/>
      <c r="SZ125" s="2"/>
      <c r="TA125" s="2"/>
      <c r="TB125" s="2"/>
      <c r="TC125" s="2"/>
      <c r="TD125" s="2"/>
      <c r="TE125" s="2"/>
      <c r="TF125" s="2"/>
      <c r="TG125" s="2"/>
      <c r="TH125" s="2"/>
      <c r="TI125" s="2"/>
      <c r="TJ125" s="2"/>
      <c r="TK125" s="2"/>
      <c r="TL125" s="2"/>
      <c r="TM125" s="2"/>
      <c r="TN125" s="2"/>
      <c r="TO125" s="2"/>
      <c r="TP125" s="2"/>
      <c r="TQ125" s="2"/>
      <c r="TR125" s="2"/>
      <c r="TS125" s="2"/>
      <c r="TT125" s="2"/>
      <c r="TU125" s="2"/>
      <c r="TV125" s="2"/>
      <c r="TW125" s="2"/>
      <c r="TX125" s="2"/>
      <c r="TY125" s="2"/>
      <c r="TZ125" s="2"/>
      <c r="UA125" s="2"/>
      <c r="UB125" s="2"/>
      <c r="UC125" s="2"/>
      <c r="UD125" s="2"/>
      <c r="UE125" s="2"/>
      <c r="UF125" s="2"/>
      <c r="UG125" s="2"/>
      <c r="UH125" s="2"/>
      <c r="UI125" s="2"/>
      <c r="UJ125" s="2"/>
      <c r="UK125" s="2"/>
      <c r="UL125" s="2"/>
      <c r="UM125" s="2"/>
      <c r="UN125" s="2"/>
      <c r="UO125" s="2"/>
      <c r="UP125" s="2"/>
      <c r="UQ125" s="2"/>
      <c r="UR125" s="2"/>
      <c r="US125" s="2"/>
      <c r="UT125" s="2"/>
      <c r="UU125" s="2"/>
      <c r="UV125" s="2"/>
      <c r="UW125" s="2"/>
      <c r="UX125" s="2"/>
      <c r="UY125" s="2"/>
      <c r="UZ125" s="2"/>
      <c r="VA125" s="2"/>
      <c r="VB125" s="2"/>
      <c r="VC125" s="2"/>
      <c r="VD125" s="2"/>
      <c r="VE125" s="2"/>
      <c r="VF125" s="2"/>
      <c r="VG125" s="2"/>
      <c r="VH125" s="2"/>
      <c r="VI125" s="2"/>
      <c r="VJ125" s="2"/>
      <c r="VK125" s="2"/>
      <c r="VL125" s="2"/>
      <c r="VM125" s="2"/>
      <c r="VN125" s="2"/>
      <c r="VO125" s="2"/>
      <c r="VP125" s="2"/>
      <c r="VQ125" s="2"/>
      <c r="VR125" s="2"/>
      <c r="VS125" s="2"/>
      <c r="VT125" s="2"/>
      <c r="VU125" s="2"/>
      <c r="VV125" s="2"/>
      <c r="VW125" s="2"/>
      <c r="VX125" s="2"/>
      <c r="VY125" s="2"/>
      <c r="VZ125" s="2"/>
      <c r="WA125" s="2"/>
      <c r="WB125" s="2"/>
      <c r="WC125" s="2"/>
      <c r="WD125" s="2"/>
      <c r="WE125" s="2"/>
      <c r="WF125" s="2"/>
      <c r="WG125" s="2"/>
      <c r="WH125" s="2"/>
      <c r="WI125" s="2"/>
      <c r="WJ125" s="2"/>
      <c r="WK125" s="2"/>
      <c r="WL125" s="2"/>
      <c r="WM125" s="2"/>
      <c r="WN125" s="2"/>
      <c r="WO125" s="2"/>
      <c r="WP125" s="2"/>
      <c r="WQ125" s="2"/>
      <c r="WR125" s="2"/>
      <c r="WS125" s="2"/>
      <c r="WT125" s="2"/>
      <c r="WU125" s="2"/>
      <c r="WV125" s="2"/>
      <c r="WW125" s="2"/>
      <c r="WX125" s="2"/>
      <c r="WY125" s="2"/>
      <c r="WZ125" s="2"/>
      <c r="XA125" s="2"/>
      <c r="XB125" s="2"/>
      <c r="XC125" s="2"/>
      <c r="XD125" s="2"/>
      <c r="XE125" s="2"/>
      <c r="XF125" s="2"/>
      <c r="XG125" s="2"/>
      <c r="XH125" s="2"/>
      <c r="XI125" s="2"/>
      <c r="XJ125" s="2"/>
      <c r="XK125" s="2"/>
      <c r="XL125" s="2"/>
      <c r="XM125" s="2"/>
      <c r="XN125" s="2"/>
      <c r="XO125" s="2"/>
      <c r="XP125" s="2"/>
      <c r="XQ125" s="2"/>
      <c r="XR125" s="2"/>
      <c r="XS125" s="2"/>
      <c r="XT125" s="2"/>
      <c r="XU125" s="2"/>
      <c r="XV125" s="2"/>
      <c r="XW125" s="2"/>
      <c r="XX125" s="2"/>
      <c r="XY125" s="2"/>
      <c r="XZ125" s="2"/>
      <c r="YA125" s="2"/>
      <c r="YB125" s="2"/>
      <c r="YC125" s="2"/>
      <c r="YD125" s="2"/>
      <c r="YE125" s="2"/>
      <c r="YF125" s="2"/>
      <c r="YG125" s="2"/>
      <c r="YH125" s="2"/>
      <c r="YI125" s="2"/>
      <c r="YJ125" s="2"/>
      <c r="YK125" s="2"/>
      <c r="YL125" s="2"/>
      <c r="YM125" s="2"/>
      <c r="YN125" s="2"/>
      <c r="YO125" s="2"/>
      <c r="YP125" s="2"/>
      <c r="YQ125" s="2"/>
      <c r="YR125" s="2"/>
      <c r="YS125" s="2"/>
      <c r="YT125" s="2"/>
      <c r="YU125" s="2"/>
      <c r="YV125" s="2"/>
      <c r="YW125" s="2"/>
      <c r="YX125" s="2"/>
      <c r="YY125" s="2"/>
      <c r="YZ125" s="2"/>
      <c r="ZA125" s="2"/>
      <c r="ZB125" s="2"/>
      <c r="ZC125" s="2"/>
      <c r="ZD125" s="2"/>
      <c r="ZE125" s="2"/>
      <c r="ZF125" s="2"/>
      <c r="ZG125" s="2"/>
      <c r="ZH125" s="2"/>
      <c r="ZI125" s="2"/>
      <c r="ZJ125" s="2"/>
      <c r="ZK125" s="2"/>
      <c r="ZL125" s="2"/>
      <c r="ZM125" s="2"/>
      <c r="ZN125" s="2"/>
      <c r="ZO125" s="2"/>
      <c r="ZP125" s="2"/>
      <c r="ZQ125" s="2"/>
      <c r="ZR125" s="2"/>
      <c r="ZS125" s="2"/>
      <c r="ZT125" s="2"/>
      <c r="ZU125" s="2"/>
      <c r="ZV125" s="2"/>
      <c r="ZW125" s="2"/>
      <c r="ZX125" s="2"/>
      <c r="ZY125" s="2"/>
      <c r="ZZ125" s="2"/>
      <c r="AAA125" s="2"/>
      <c r="AAB125" s="2"/>
      <c r="AAC125" s="2"/>
      <c r="AAD125" s="2"/>
      <c r="AAE125" s="2"/>
      <c r="AAF125" s="2"/>
      <c r="AAG125" s="2"/>
      <c r="AAH125" s="2"/>
      <c r="AAI125" s="2"/>
      <c r="AAJ125" s="2"/>
      <c r="AAK125" s="2"/>
      <c r="AAL125" s="2"/>
      <c r="AAM125" s="2"/>
      <c r="AAN125" s="2"/>
      <c r="AAO125" s="2"/>
      <c r="AAP125" s="2"/>
      <c r="AAQ125" s="2"/>
      <c r="AAR125" s="2"/>
      <c r="AAS125" s="2"/>
      <c r="AAT125" s="2"/>
      <c r="AAU125" s="2"/>
      <c r="AAV125" s="2"/>
      <c r="AAW125" s="2"/>
      <c r="AAX125" s="2"/>
      <c r="AAY125" s="2"/>
      <c r="AAZ125" s="2"/>
      <c r="ABA125" s="2"/>
      <c r="ABB125" s="2"/>
      <c r="ABC125" s="2"/>
      <c r="ABD125" s="2"/>
      <c r="ABE125" s="2"/>
      <c r="ABF125" s="2"/>
      <c r="ABG125" s="2"/>
      <c r="ABH125" s="2"/>
      <c r="ABI125" s="2"/>
      <c r="ABJ125" s="2"/>
      <c r="ABK125" s="2"/>
      <c r="ABL125" s="2"/>
      <c r="ABM125" s="2"/>
      <c r="ABN125" s="2"/>
      <c r="ABO125" s="2"/>
      <c r="ABP125" s="2"/>
      <c r="ABQ125" s="2"/>
      <c r="ABR125" s="2"/>
      <c r="ABS125" s="2"/>
      <c r="ABT125" s="2"/>
      <c r="ABU125" s="2"/>
      <c r="ABV125" s="2"/>
      <c r="ABW125" s="2"/>
      <c r="ABX125" s="2"/>
      <c r="ABY125" s="2"/>
      <c r="ABZ125" s="2"/>
      <c r="ACA125" s="2"/>
      <c r="ACB125" s="2"/>
      <c r="ACC125" s="2"/>
      <c r="ACD125" s="2"/>
      <c r="ACE125" s="2"/>
      <c r="ACF125" s="2"/>
      <c r="ACG125" s="2"/>
      <c r="ACH125" s="2"/>
      <c r="ACI125" s="2"/>
      <c r="ACJ125" s="2"/>
      <c r="ACK125" s="2"/>
      <c r="ACL125" s="2"/>
      <c r="ACM125" s="2"/>
      <c r="ACN125" s="2"/>
      <c r="ACO125" s="2"/>
      <c r="ACP125" s="2"/>
      <c r="ACQ125" s="2"/>
      <c r="ACR125" s="2"/>
      <c r="ACS125" s="2"/>
      <c r="ACT125" s="2"/>
      <c r="ACU125" s="2"/>
      <c r="ACV125" s="2"/>
      <c r="ACW125" s="2"/>
      <c r="ACX125" s="2"/>
      <c r="ACY125" s="2"/>
      <c r="ACZ125" s="2"/>
      <c r="ADA125" s="2"/>
      <c r="ADB125" s="2"/>
      <c r="ADC125" s="2"/>
      <c r="ADD125" s="2"/>
      <c r="ADE125" s="2"/>
      <c r="ADF125" s="2"/>
      <c r="ADG125" s="2"/>
      <c r="ADH125" s="2"/>
      <c r="ADI125" s="2"/>
      <c r="ADJ125" s="2"/>
      <c r="ADK125" s="2"/>
      <c r="ADL125" s="2"/>
      <c r="ADM125" s="2"/>
      <c r="ADN125" s="2"/>
      <c r="ADO125" s="2"/>
      <c r="ADP125" s="2"/>
      <c r="ADQ125" s="2"/>
      <c r="ADR125" s="2"/>
      <c r="ADS125" s="2"/>
      <c r="ADT125" s="2"/>
      <c r="ADU125" s="2"/>
      <c r="ADV125" s="2"/>
      <c r="ADW125" s="2"/>
      <c r="ADX125" s="2"/>
      <c r="ADY125" s="2"/>
      <c r="ADZ125" s="2"/>
      <c r="AEA125" s="2"/>
      <c r="AEB125" s="2"/>
      <c r="AEC125" s="2"/>
      <c r="AED125" s="2"/>
      <c r="AEE125" s="2"/>
      <c r="AEF125" s="2"/>
      <c r="AEG125" s="2"/>
      <c r="AEH125" s="2"/>
      <c r="AEI125" s="2"/>
      <c r="AEJ125" s="2"/>
      <c r="AEK125" s="2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2"/>
      <c r="AEZ125" s="2"/>
      <c r="AFA125" s="2"/>
      <c r="AFB125" s="2"/>
      <c r="AFC125" s="2"/>
      <c r="AFD125" s="2"/>
      <c r="AFE125" s="2"/>
      <c r="AFF125" s="2"/>
      <c r="AFG125" s="2"/>
      <c r="AFH125" s="2"/>
      <c r="AFI125" s="2"/>
      <c r="AFJ125" s="2"/>
      <c r="AFK125" s="2"/>
      <c r="AFL125" s="2"/>
      <c r="AFM125" s="2"/>
      <c r="AFN125" s="2"/>
      <c r="AFO125" s="2"/>
      <c r="AFP125" s="2"/>
      <c r="AFQ125" s="2"/>
      <c r="AFR125" s="2"/>
      <c r="AFS125" s="2"/>
      <c r="AFT125" s="2"/>
      <c r="AFU125" s="2"/>
      <c r="AFV125" s="2"/>
      <c r="AFW125" s="2"/>
      <c r="AFX125" s="2"/>
      <c r="AFY125" s="2"/>
      <c r="AFZ125" s="2"/>
      <c r="AGA125" s="2"/>
      <c r="AGB125" s="2"/>
      <c r="AGC125" s="2"/>
      <c r="AGD125" s="2"/>
      <c r="AGE125" s="2"/>
      <c r="AGF125" s="2"/>
      <c r="AGG125" s="2"/>
      <c r="AGH125" s="2"/>
      <c r="AGI125" s="2"/>
      <c r="AGJ125" s="2"/>
      <c r="AGK125" s="2"/>
      <c r="AGL125" s="2"/>
      <c r="AGM125" s="2"/>
      <c r="AGN125" s="2"/>
      <c r="AGO125" s="2"/>
      <c r="AGP125" s="2"/>
      <c r="AGQ125" s="2"/>
      <c r="AGR125" s="2"/>
      <c r="AGS125" s="2"/>
      <c r="AGT125" s="2"/>
      <c r="AGU125" s="2"/>
      <c r="AGV125" s="2"/>
      <c r="AGW125" s="2"/>
      <c r="AGX125" s="2"/>
      <c r="AGY125" s="2"/>
      <c r="AGZ125" s="2"/>
      <c r="AHA125" s="2"/>
      <c r="AHB125" s="2"/>
      <c r="AHC125" s="2"/>
      <c r="AHD125" s="2"/>
      <c r="AHE125" s="2"/>
      <c r="AHF125" s="2"/>
      <c r="AHG125" s="2"/>
      <c r="AHH125" s="2"/>
      <c r="AHI125" s="2"/>
      <c r="AHJ125" s="2"/>
      <c r="AHK125" s="2"/>
      <c r="AHL125" s="2"/>
      <c r="AHM125" s="2"/>
      <c r="AHN125" s="2"/>
      <c r="AHO125" s="2"/>
      <c r="AHP125" s="2"/>
      <c r="AHQ125" s="2"/>
      <c r="AHR125" s="2"/>
      <c r="AHS125" s="2"/>
      <c r="AHT125" s="2"/>
      <c r="AHU125" s="2"/>
      <c r="AHV125" s="2"/>
      <c r="AHW125" s="2"/>
      <c r="AHX125" s="2"/>
      <c r="AHY125" s="2"/>
      <c r="AHZ125" s="2"/>
      <c r="AIA125" s="2"/>
      <c r="AIB125" s="2"/>
      <c r="AIC125" s="2"/>
      <c r="AID125" s="2"/>
      <c r="AIE125" s="2"/>
      <c r="AIF125" s="2"/>
      <c r="AIG125" s="2"/>
      <c r="AIH125" s="2"/>
      <c r="AII125" s="2"/>
      <c r="AIJ125" s="2"/>
      <c r="AIK125" s="2"/>
      <c r="AIL125" s="2"/>
      <c r="AIM125" s="2"/>
      <c r="AIN125" s="2"/>
      <c r="AIO125" s="2"/>
      <c r="AIP125" s="2"/>
      <c r="AIQ125" s="2"/>
      <c r="AIR125" s="2"/>
      <c r="AIS125" s="2"/>
      <c r="AIT125" s="2"/>
      <c r="AIU125" s="2"/>
      <c r="AIV125" s="2"/>
      <c r="AIW125" s="2"/>
      <c r="AIX125" s="2"/>
      <c r="AIY125" s="2"/>
      <c r="AIZ125" s="2"/>
      <c r="AJA125" s="2"/>
      <c r="AJB125" s="2"/>
      <c r="AJC125" s="2"/>
      <c r="AJD125" s="2"/>
      <c r="AJE125" s="2"/>
      <c r="AJF125" s="2"/>
      <c r="AJG125" s="2"/>
      <c r="AJH125" s="2"/>
      <c r="AJI125" s="2"/>
      <c r="AJJ125" s="2"/>
      <c r="AJK125" s="2"/>
      <c r="AJL125" s="2"/>
      <c r="AJM125" s="2"/>
      <c r="AJN125" s="2"/>
      <c r="AJO125" s="2"/>
      <c r="AJP125" s="2"/>
      <c r="AJQ125" s="2"/>
      <c r="AJR125" s="2"/>
      <c r="AJS125" s="2"/>
      <c r="AJT125" s="2"/>
      <c r="AJU125" s="2"/>
      <c r="AJV125" s="2"/>
      <c r="AJW125" s="2"/>
      <c r="AJX125" s="2"/>
      <c r="AJY125" s="2"/>
      <c r="AJZ125" s="2"/>
      <c r="AKA125" s="2"/>
      <c r="AKB125" s="2"/>
      <c r="AKC125" s="2"/>
      <c r="AKD125" s="2"/>
      <c r="AKE125" s="2"/>
      <c r="AKF125" s="2"/>
      <c r="AKG125" s="2"/>
      <c r="AKH125" s="2"/>
      <c r="AKI125" s="2"/>
      <c r="AKJ125" s="2"/>
      <c r="AKK125" s="2"/>
      <c r="AKL125" s="2"/>
      <c r="AKM125" s="2"/>
      <c r="AKN125" s="2"/>
      <c r="AKO125" s="2"/>
      <c r="AKP125" s="2"/>
      <c r="AKQ125" s="2"/>
      <c r="AKR125" s="2"/>
      <c r="AKS125" s="2"/>
      <c r="AKT125" s="2"/>
      <c r="AKU125" s="2"/>
      <c r="AKV125" s="2"/>
      <c r="AKW125" s="2"/>
      <c r="AKX125" s="2"/>
      <c r="AKY125" s="2"/>
      <c r="AKZ125" s="2"/>
      <c r="ALA125" s="2"/>
      <c r="ALB125" s="2"/>
      <c r="ALC125" s="2"/>
      <c r="ALD125" s="2"/>
      <c r="ALE125" s="2"/>
      <c r="ALF125" s="2"/>
      <c r="ALG125" s="2"/>
      <c r="ALH125" s="2"/>
      <c r="ALI125" s="2"/>
      <c r="ALJ125" s="2"/>
      <c r="ALK125" s="2"/>
      <c r="ALL125" s="2"/>
      <c r="ALM125" s="2"/>
      <c r="ALN125" s="2"/>
      <c r="ALO125" s="2"/>
      <c r="ALP125" s="2"/>
      <c r="ALQ125" s="2"/>
      <c r="ALR125" s="2"/>
      <c r="ALS125" s="2"/>
      <c r="ALT125" s="2"/>
      <c r="ALU125" s="2"/>
      <c r="ALV125" s="2"/>
      <c r="ALW125" s="2"/>
      <c r="ALX125" s="2"/>
      <c r="ALY125" s="2"/>
      <c r="ALZ125" s="2"/>
      <c r="AMA125" s="2"/>
      <c r="AMB125" s="2"/>
      <c r="AMC125" s="2"/>
      <c r="AMD125" s="2"/>
      <c r="AME125" s="2"/>
      <c r="AMF125" s="2"/>
      <c r="AMG125" s="2"/>
      <c r="AMH125" s="2"/>
      <c r="AMI125" s="2"/>
      <c r="AMJ125" s="2"/>
      <c r="AMK125" s="2"/>
      <c r="AML125" s="2"/>
      <c r="AMM125" s="2"/>
      <c r="AMN125" s="2"/>
      <c r="AMO125" s="2"/>
    </row>
    <row r="126" spans="1:1029" x14ac:dyDescent="0.2">
      <c r="A126" s="3" t="str">
        <f t="shared" si="699"/>
        <v>agtr1_human_4YAY_dist</v>
      </c>
      <c r="B126" s="3" t="s">
        <v>158</v>
      </c>
      <c r="C126" s="3" t="s">
        <v>1160</v>
      </c>
      <c r="D126" s="3" t="str">
        <f>IFERROR(MID(VLOOKUP($B126,Seqs!$A:$B,2,0),E126,1),"")</f>
        <v>Y</v>
      </c>
      <c r="E126" s="3">
        <v>26</v>
      </c>
      <c r="F126" s="3" t="str">
        <f>IFERROR(MID(VLOOKUP($B126,Seqs!$A:$B,2,0),G126,1),"")</f>
        <v>Y</v>
      </c>
      <c r="G126" s="3">
        <v>56</v>
      </c>
      <c r="H126" s="3" t="str">
        <f>IFERROR(MID(VLOOKUP($B126,Seqs!$A:$B,2,0),I126,1),"")</f>
        <v>M</v>
      </c>
      <c r="I126" s="23">
        <v>57</v>
      </c>
      <c r="J126" s="3" t="str">
        <f>IFERROR(MID(VLOOKUP($B126,Seqs!$A:$B,2,0),K126,1),"")</f>
        <v>K</v>
      </c>
      <c r="K126" s="23">
        <v>60</v>
      </c>
      <c r="L126" s="3" t="str">
        <f>IFERROR(MID(VLOOKUP($B126,Seqs!$A:$B,2,0),M126,1),"")</f>
        <v>T</v>
      </c>
      <c r="M126" s="3">
        <v>61</v>
      </c>
      <c r="N126" s="3" t="str">
        <f>IFERROR(MID(VLOOKUP($B126,Seqs!$A:$B,2,0),O126,1),"")</f>
        <v>M</v>
      </c>
      <c r="O126" s="3">
        <v>90</v>
      </c>
      <c r="P126" s="3" t="str">
        <f>IFERROR(MID(VLOOKUP($B126,Seqs!$A:$B,2,0),Q126,1),"")</f>
        <v>R</v>
      </c>
      <c r="Q126" s="3">
        <v>93</v>
      </c>
      <c r="R126" s="3" t="str">
        <f>IFERROR(MID(VLOOKUP($B126,Seqs!$A:$B,2,0),S126,1),"")</f>
        <v>F</v>
      </c>
      <c r="S126" s="3">
        <v>96</v>
      </c>
      <c r="T126" s="3" t="str">
        <f>IFERROR(MID(VLOOKUP($B126,Seqs!$A:$B,2,0),U126,1),"")</f>
        <v>G</v>
      </c>
      <c r="U126" s="3">
        <v>97</v>
      </c>
      <c r="V126" s="3" t="str">
        <f>IFERROR(MID(VLOOKUP($B126,Seqs!$A:$B,2,0),W126,1),"")</f>
        <v>H</v>
      </c>
      <c r="W126" s="3">
        <v>132</v>
      </c>
      <c r="X126" s="3" t="str">
        <f>IFERROR(MID(VLOOKUP($B126,Seqs!$A:$B,2,0),Y126,1),"")</f>
        <v/>
      </c>
      <c r="Y126" s="3" t="s">
        <v>23</v>
      </c>
      <c r="Z126" s="3" t="str">
        <f>IFERROR(MID(VLOOKUP($B126,Seqs!$A:$B,2,0),AA126,1),"")</f>
        <v/>
      </c>
      <c r="AA126" s="3" t="s">
        <v>23</v>
      </c>
      <c r="AB126" s="3" t="str">
        <f>IFERROR(MID(VLOOKUP($B126,Seqs!$A:$B,2,0),AC126,1),"")</f>
        <v>R</v>
      </c>
      <c r="AC126" s="9">
        <v>137</v>
      </c>
      <c r="AD126" s="3" t="str">
        <f>IFERROR(MID(VLOOKUP($B126,Seqs!$A:$B,2,0),AE126,1),"")</f>
        <v>R</v>
      </c>
      <c r="AE126" s="3">
        <v>167</v>
      </c>
      <c r="AF126" s="3" t="str">
        <f>IFERROR(MID(VLOOKUP($B126,Seqs!$A:$B,2,0),AG126,1),"")</f>
        <v>C</v>
      </c>
      <c r="AG126" s="3">
        <v>180</v>
      </c>
      <c r="AH126" s="3" t="str">
        <f>IFERROR(MID(VLOOKUP($B126,Seqs!$A:$B,2,0),AI126,1),"")</f>
        <v>F</v>
      </c>
      <c r="AI126" s="3">
        <v>182</v>
      </c>
      <c r="AJ126" s="3" t="str">
        <f>IFERROR(MID(VLOOKUP($B126,Seqs!$A:$B,2,0),AK126,1),"")</f>
        <v>L</v>
      </c>
      <c r="AK126" s="3">
        <v>191</v>
      </c>
      <c r="AL126" s="3" t="str">
        <f>IFERROR(MID(VLOOKUP($B126,Seqs!$A:$B,2,0),AM126,1),"")</f>
        <v>L</v>
      </c>
      <c r="AM126" s="3">
        <v>222</v>
      </c>
      <c r="AN126" s="3" t="str">
        <f>IFERROR(MID(VLOOKUP($B126,Seqs!$A:$B,2,0),AO126,1),"")</f>
        <v>N</v>
      </c>
      <c r="AO126" s="3">
        <v>235</v>
      </c>
      <c r="AP126" s="3" t="str">
        <f>IFERROR(MID(VLOOKUP($B126,Seqs!$A:$B,2,0),AQ126,1),"")</f>
        <v>G</v>
      </c>
      <c r="AQ126" s="3">
        <v>269</v>
      </c>
      <c r="AR126" s="3" t="str">
        <f>IFERROR(MID(VLOOKUP($B126,Seqs!$A:$B,2,0),AS126,1),"")</f>
        <v>D</v>
      </c>
      <c r="AS126" s="3">
        <v>273</v>
      </c>
      <c r="AT126" s="3" t="str">
        <f>IFERROR(MID(VLOOKUP($B126,Seqs!$A:$B,2,0),AU126,1),"")</f>
        <v>F</v>
      </c>
      <c r="AU126" s="3">
        <v>304</v>
      </c>
      <c r="AV126" s="3" t="str">
        <f>IFERROR(MID(VLOOKUP($B126,Seqs!$A:$B,2,0),AW126,1),"")</f>
        <v>G</v>
      </c>
      <c r="AW126" s="3">
        <v>306</v>
      </c>
      <c r="AX126" s="3" t="str">
        <f>IFERROR(MID(VLOOKUP($B126,Seqs!$A:$B,2,0),AY126,1),"")</f>
        <v>L</v>
      </c>
      <c r="AY126" s="3">
        <v>317</v>
      </c>
      <c r="AZ126" s="77" t="str">
        <f>VLOOKUP(B126,Classification!A:D,2,0)</f>
        <v>A</v>
      </c>
      <c r="BA126" s="94" t="str">
        <f>VLOOKUP(B126,Classification!A:D,4,0)</f>
        <v>Angiotensin</v>
      </c>
      <c r="BB126" s="27" t="b">
        <f t="shared" si="700"/>
        <v>1</v>
      </c>
      <c r="BC126" s="23">
        <f t="shared" si="477"/>
        <v>251</v>
      </c>
      <c r="BD126" s="5"/>
      <c r="BE126" s="3" t="s">
        <v>1380</v>
      </c>
      <c r="BF126" s="119">
        <v>2.9</v>
      </c>
      <c r="BG126" s="49" t="s">
        <v>1383</v>
      </c>
      <c r="BH126" s="49" t="s">
        <v>1383</v>
      </c>
      <c r="BI126" s="1"/>
      <c r="BJ126" s="70" t="s">
        <v>1293</v>
      </c>
      <c r="BK126" s="57" t="s">
        <v>1293</v>
      </c>
      <c r="BL126" s="57" t="s">
        <v>1293</v>
      </c>
      <c r="BM126" s="57" t="s">
        <v>1293</v>
      </c>
      <c r="BN126" s="57" t="s">
        <v>1293</v>
      </c>
      <c r="BO126" s="57" t="s">
        <v>1293</v>
      </c>
      <c r="BP126" s="57" t="s">
        <v>1293</v>
      </c>
      <c r="BQ126" s="57" t="s">
        <v>1293</v>
      </c>
      <c r="BR126" s="57" t="s">
        <v>1293</v>
      </c>
      <c r="BS126" s="57" t="s">
        <v>1293</v>
      </c>
      <c r="BT126" s="57" t="s">
        <v>1293</v>
      </c>
      <c r="BU126" s="57" t="s">
        <v>1293</v>
      </c>
      <c r="BV126" s="70">
        <f t="shared" si="478"/>
        <v>26</v>
      </c>
      <c r="BW126" s="71">
        <f t="shared" si="479"/>
        <v>57</v>
      </c>
      <c r="BX126" s="72">
        <f t="shared" si="480"/>
        <v>61</v>
      </c>
      <c r="BY126" s="71">
        <f t="shared" si="481"/>
        <v>93</v>
      </c>
      <c r="BZ126" s="72">
        <f t="shared" si="482"/>
        <v>97</v>
      </c>
      <c r="CA126" s="71" t="str">
        <f t="shared" si="483"/>
        <v>-</v>
      </c>
      <c r="CB126" s="72">
        <f t="shared" si="484"/>
        <v>137</v>
      </c>
      <c r="CC126" s="71">
        <f t="shared" si="485"/>
        <v>180</v>
      </c>
      <c r="CD126" s="72">
        <f t="shared" si="486"/>
        <v>191</v>
      </c>
      <c r="CE126" s="71">
        <f t="shared" si="487"/>
        <v>235</v>
      </c>
      <c r="CF126" s="72">
        <f t="shared" si="488"/>
        <v>273</v>
      </c>
      <c r="CG126" s="71">
        <f t="shared" si="489"/>
        <v>306</v>
      </c>
      <c r="CH126" s="70">
        <f t="shared" si="490"/>
        <v>56</v>
      </c>
      <c r="CI126" s="71">
        <f t="shared" si="491"/>
        <v>60</v>
      </c>
      <c r="CJ126" s="72">
        <f t="shared" si="492"/>
        <v>90</v>
      </c>
      <c r="CK126" s="72">
        <f t="shared" si="493"/>
        <v>96</v>
      </c>
      <c r="CL126" s="72">
        <f t="shared" si="494"/>
        <v>132</v>
      </c>
      <c r="CM126" s="72" t="str">
        <f t="shared" si="495"/>
        <v>-</v>
      </c>
      <c r="CN126" s="72">
        <f t="shared" si="496"/>
        <v>167</v>
      </c>
      <c r="CO126" s="72">
        <f t="shared" si="497"/>
        <v>182</v>
      </c>
      <c r="CP126" s="72">
        <f t="shared" si="498"/>
        <v>222</v>
      </c>
      <c r="CQ126" s="72">
        <f t="shared" si="499"/>
        <v>269</v>
      </c>
      <c r="CR126" s="72">
        <f t="shared" si="500"/>
        <v>304</v>
      </c>
      <c r="CS126" s="72">
        <f t="shared" si="501"/>
        <v>317</v>
      </c>
      <c r="CT126" s="23">
        <f t="shared" si="502"/>
        <v>1</v>
      </c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2"/>
      <c r="JP126" s="2"/>
      <c r="JQ126" s="2"/>
      <c r="JR126" s="2"/>
      <c r="JS126" s="2"/>
      <c r="JT126" s="2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2"/>
      <c r="KI126" s="2"/>
      <c r="KJ126" s="2"/>
      <c r="KK126" s="2"/>
      <c r="KL126" s="2"/>
      <c r="KM126" s="2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2"/>
      <c r="LB126" s="2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2"/>
      <c r="MA126" s="2"/>
      <c r="MB126" s="2"/>
      <c r="MC126" s="2"/>
      <c r="MD126" s="2"/>
      <c r="ME126" s="2"/>
      <c r="MF126" s="2"/>
      <c r="MG126" s="2"/>
      <c r="MH126" s="2"/>
      <c r="MI126" s="2"/>
      <c r="MJ126" s="2"/>
      <c r="MK126" s="2"/>
      <c r="ML126" s="2"/>
      <c r="MM126" s="2"/>
      <c r="MN126" s="2"/>
      <c r="MO126" s="2"/>
      <c r="MP126" s="2"/>
      <c r="MQ126" s="2"/>
      <c r="MR126" s="2"/>
      <c r="MS126" s="2"/>
      <c r="MT126" s="2"/>
      <c r="MU126" s="2"/>
      <c r="MV126" s="2"/>
      <c r="MW126" s="2"/>
      <c r="MX126" s="2"/>
      <c r="MY126" s="2"/>
      <c r="MZ126" s="2"/>
      <c r="NA126" s="2"/>
      <c r="NB126" s="2"/>
      <c r="NC126" s="2"/>
      <c r="ND126" s="2"/>
      <c r="NE126" s="2"/>
      <c r="NF126" s="2"/>
      <c r="NG126" s="2"/>
      <c r="NH126" s="2"/>
      <c r="NI126" s="2"/>
      <c r="NJ126" s="2"/>
      <c r="NK126" s="2"/>
      <c r="NL126" s="2"/>
      <c r="NM126" s="2"/>
      <c r="NN126" s="2"/>
      <c r="NO126" s="2"/>
      <c r="NP126" s="2"/>
      <c r="NQ126" s="2"/>
      <c r="NR126" s="2"/>
      <c r="NS126" s="2"/>
      <c r="NT126" s="2"/>
      <c r="NU126" s="2"/>
      <c r="NV126" s="2"/>
      <c r="NW126" s="2"/>
      <c r="NX126" s="2"/>
      <c r="NY126" s="2"/>
      <c r="NZ126" s="2"/>
      <c r="OA126" s="2"/>
      <c r="OB126" s="2"/>
      <c r="OC126" s="2"/>
      <c r="OD126" s="2"/>
      <c r="OE126" s="2"/>
      <c r="OF126" s="2"/>
      <c r="OG126" s="2"/>
      <c r="OH126" s="2"/>
      <c r="OI126" s="2"/>
      <c r="OJ126" s="2"/>
      <c r="OK126" s="2"/>
      <c r="OL126" s="2"/>
      <c r="OM126" s="2"/>
      <c r="ON126" s="2"/>
      <c r="OO126" s="2"/>
      <c r="OP126" s="2"/>
      <c r="OQ126" s="2"/>
      <c r="OR126" s="2"/>
      <c r="OS126" s="2"/>
      <c r="OT126" s="2"/>
      <c r="OU126" s="2"/>
      <c r="OV126" s="2"/>
      <c r="OW126" s="2"/>
      <c r="OX126" s="2"/>
      <c r="OY126" s="2"/>
      <c r="OZ126" s="2"/>
      <c r="PA126" s="2"/>
      <c r="PB126" s="2"/>
      <c r="PC126" s="2"/>
      <c r="PD126" s="2"/>
      <c r="PE126" s="2"/>
      <c r="PF126" s="2"/>
      <c r="PG126" s="2"/>
      <c r="PH126" s="2"/>
      <c r="PI126" s="2"/>
      <c r="PJ126" s="2"/>
      <c r="PK126" s="2"/>
      <c r="PL126" s="2"/>
      <c r="PM126" s="2"/>
      <c r="PN126" s="2"/>
      <c r="PO126" s="2"/>
      <c r="PP126" s="2"/>
      <c r="PQ126" s="2"/>
      <c r="PR126" s="2"/>
      <c r="PS126" s="2"/>
      <c r="PT126" s="2"/>
      <c r="PU126" s="2"/>
      <c r="PV126" s="2"/>
      <c r="PW126" s="2"/>
      <c r="PX126" s="2"/>
      <c r="PY126" s="2"/>
      <c r="PZ126" s="2"/>
      <c r="QA126" s="2"/>
      <c r="QB126" s="2"/>
      <c r="QC126" s="2"/>
      <c r="QD126" s="2"/>
      <c r="QE126" s="2"/>
      <c r="QF126" s="2"/>
      <c r="QG126" s="2"/>
      <c r="QH126" s="2"/>
      <c r="QI126" s="2"/>
      <c r="QJ126" s="2"/>
      <c r="QK126" s="2"/>
      <c r="QL126" s="2"/>
      <c r="QM126" s="2"/>
      <c r="QN126" s="2"/>
      <c r="QO126" s="2"/>
      <c r="QP126" s="2"/>
      <c r="QQ126" s="2"/>
      <c r="QR126" s="2"/>
      <c r="QS126" s="2"/>
      <c r="QT126" s="2"/>
      <c r="QU126" s="2"/>
      <c r="QV126" s="2"/>
      <c r="QW126" s="2"/>
      <c r="QX126" s="2"/>
      <c r="QY126" s="2"/>
      <c r="QZ126" s="2"/>
      <c r="RA126" s="2"/>
      <c r="RB126" s="2"/>
      <c r="RC126" s="2"/>
      <c r="RD126" s="2"/>
      <c r="RE126" s="2"/>
      <c r="RF126" s="2"/>
      <c r="RG126" s="2"/>
      <c r="RH126" s="2"/>
      <c r="RI126" s="2"/>
      <c r="RJ126" s="2"/>
      <c r="RK126" s="2"/>
      <c r="RL126" s="2"/>
      <c r="RM126" s="2"/>
      <c r="RN126" s="2"/>
      <c r="RO126" s="2"/>
      <c r="RP126" s="2"/>
      <c r="RQ126" s="2"/>
      <c r="RR126" s="2"/>
      <c r="RS126" s="2"/>
      <c r="RT126" s="2"/>
      <c r="RU126" s="2"/>
      <c r="RV126" s="2"/>
      <c r="RW126" s="2"/>
      <c r="RX126" s="2"/>
      <c r="RY126" s="2"/>
      <c r="RZ126" s="2"/>
      <c r="SA126" s="2"/>
      <c r="SB126" s="2"/>
      <c r="SC126" s="2"/>
      <c r="SD126" s="2"/>
      <c r="SE126" s="2"/>
      <c r="SF126" s="2"/>
      <c r="SG126" s="2"/>
      <c r="SH126" s="2"/>
      <c r="SI126" s="2"/>
      <c r="SJ126" s="2"/>
      <c r="SK126" s="2"/>
      <c r="SL126" s="2"/>
      <c r="SM126" s="2"/>
      <c r="SN126" s="2"/>
      <c r="SO126" s="2"/>
      <c r="SP126" s="2"/>
      <c r="SQ126" s="2"/>
      <c r="SR126" s="2"/>
      <c r="SS126" s="2"/>
      <c r="ST126" s="2"/>
      <c r="SU126" s="2"/>
      <c r="SV126" s="2"/>
      <c r="SW126" s="2"/>
      <c r="SX126" s="2"/>
      <c r="SY126" s="2"/>
      <c r="SZ126" s="2"/>
      <c r="TA126" s="2"/>
      <c r="TB126" s="2"/>
      <c r="TC126" s="2"/>
      <c r="TD126" s="2"/>
      <c r="TE126" s="2"/>
      <c r="TF126" s="2"/>
      <c r="TG126" s="2"/>
      <c r="TH126" s="2"/>
      <c r="TI126" s="2"/>
      <c r="TJ126" s="2"/>
      <c r="TK126" s="2"/>
      <c r="TL126" s="2"/>
      <c r="TM126" s="2"/>
      <c r="TN126" s="2"/>
      <c r="TO126" s="2"/>
      <c r="TP126" s="2"/>
      <c r="TQ126" s="2"/>
      <c r="TR126" s="2"/>
      <c r="TS126" s="2"/>
      <c r="TT126" s="2"/>
      <c r="TU126" s="2"/>
      <c r="TV126" s="2"/>
      <c r="TW126" s="2"/>
      <c r="TX126" s="2"/>
      <c r="TY126" s="2"/>
      <c r="TZ126" s="2"/>
      <c r="UA126" s="2"/>
      <c r="UB126" s="2"/>
      <c r="UC126" s="2"/>
      <c r="UD126" s="2"/>
      <c r="UE126" s="2"/>
      <c r="UF126" s="2"/>
      <c r="UG126" s="2"/>
      <c r="UH126" s="2"/>
      <c r="UI126" s="2"/>
      <c r="UJ126" s="2"/>
      <c r="UK126" s="2"/>
      <c r="UL126" s="2"/>
      <c r="UM126" s="2"/>
      <c r="UN126" s="2"/>
      <c r="UO126" s="2"/>
      <c r="UP126" s="2"/>
      <c r="UQ126" s="2"/>
      <c r="UR126" s="2"/>
      <c r="US126" s="2"/>
      <c r="UT126" s="2"/>
      <c r="UU126" s="2"/>
      <c r="UV126" s="2"/>
      <c r="UW126" s="2"/>
      <c r="UX126" s="2"/>
      <c r="UY126" s="2"/>
      <c r="UZ126" s="2"/>
      <c r="VA126" s="2"/>
      <c r="VB126" s="2"/>
      <c r="VC126" s="2"/>
      <c r="VD126" s="2"/>
      <c r="VE126" s="2"/>
      <c r="VF126" s="2"/>
      <c r="VG126" s="2"/>
      <c r="VH126" s="2"/>
      <c r="VI126" s="2"/>
      <c r="VJ126" s="2"/>
      <c r="VK126" s="2"/>
      <c r="VL126" s="2"/>
      <c r="VM126" s="2"/>
      <c r="VN126" s="2"/>
      <c r="VO126" s="2"/>
      <c r="VP126" s="2"/>
      <c r="VQ126" s="2"/>
      <c r="VR126" s="2"/>
      <c r="VS126" s="2"/>
      <c r="VT126" s="2"/>
      <c r="VU126" s="2"/>
      <c r="VV126" s="2"/>
      <c r="VW126" s="2"/>
      <c r="VX126" s="2"/>
      <c r="VY126" s="2"/>
      <c r="VZ126" s="2"/>
      <c r="WA126" s="2"/>
      <c r="WB126" s="2"/>
      <c r="WC126" s="2"/>
      <c r="WD126" s="2"/>
      <c r="WE126" s="2"/>
      <c r="WF126" s="2"/>
      <c r="WG126" s="2"/>
      <c r="WH126" s="2"/>
      <c r="WI126" s="2"/>
      <c r="WJ126" s="2"/>
      <c r="WK126" s="2"/>
      <c r="WL126" s="2"/>
      <c r="WM126" s="2"/>
      <c r="WN126" s="2"/>
      <c r="WO126" s="2"/>
      <c r="WP126" s="2"/>
      <c r="WQ126" s="2"/>
      <c r="WR126" s="2"/>
      <c r="WS126" s="2"/>
      <c r="WT126" s="2"/>
      <c r="WU126" s="2"/>
      <c r="WV126" s="2"/>
      <c r="WW126" s="2"/>
      <c r="WX126" s="2"/>
      <c r="WY126" s="2"/>
      <c r="WZ126" s="2"/>
      <c r="XA126" s="2"/>
      <c r="XB126" s="2"/>
      <c r="XC126" s="2"/>
      <c r="XD126" s="2"/>
      <c r="XE126" s="2"/>
      <c r="XF126" s="2"/>
      <c r="XG126" s="2"/>
      <c r="XH126" s="2"/>
      <c r="XI126" s="2"/>
      <c r="XJ126" s="2"/>
      <c r="XK126" s="2"/>
      <c r="XL126" s="2"/>
      <c r="XM126" s="2"/>
      <c r="XN126" s="2"/>
      <c r="XO126" s="2"/>
      <c r="XP126" s="2"/>
      <c r="XQ126" s="2"/>
      <c r="XR126" s="2"/>
      <c r="XS126" s="2"/>
      <c r="XT126" s="2"/>
      <c r="XU126" s="2"/>
      <c r="XV126" s="2"/>
      <c r="XW126" s="2"/>
      <c r="XX126" s="2"/>
      <c r="XY126" s="2"/>
      <c r="XZ126" s="2"/>
      <c r="YA126" s="2"/>
      <c r="YB126" s="2"/>
      <c r="YC126" s="2"/>
      <c r="YD126" s="2"/>
      <c r="YE126" s="2"/>
      <c r="YF126" s="2"/>
      <c r="YG126" s="2"/>
      <c r="YH126" s="2"/>
      <c r="YI126" s="2"/>
      <c r="YJ126" s="2"/>
      <c r="YK126" s="2"/>
      <c r="YL126" s="2"/>
      <c r="YM126" s="2"/>
      <c r="YN126" s="2"/>
      <c r="YO126" s="2"/>
      <c r="YP126" s="2"/>
      <c r="YQ126" s="2"/>
      <c r="YR126" s="2"/>
      <c r="YS126" s="2"/>
      <c r="YT126" s="2"/>
      <c r="YU126" s="2"/>
      <c r="YV126" s="2"/>
      <c r="YW126" s="2"/>
      <c r="YX126" s="2"/>
      <c r="YY126" s="2"/>
      <c r="YZ126" s="2"/>
      <c r="ZA126" s="2"/>
      <c r="ZB126" s="2"/>
      <c r="ZC126" s="2"/>
      <c r="ZD126" s="2"/>
      <c r="ZE126" s="2"/>
      <c r="ZF126" s="2"/>
      <c r="ZG126" s="2"/>
      <c r="ZH126" s="2"/>
      <c r="ZI126" s="2"/>
      <c r="ZJ126" s="2"/>
      <c r="ZK126" s="2"/>
      <c r="ZL126" s="2"/>
      <c r="ZM126" s="2"/>
      <c r="ZN126" s="2"/>
      <c r="ZO126" s="2"/>
      <c r="ZP126" s="2"/>
      <c r="ZQ126" s="2"/>
      <c r="ZR126" s="2"/>
      <c r="ZS126" s="2"/>
      <c r="ZT126" s="2"/>
      <c r="ZU126" s="2"/>
      <c r="ZV126" s="2"/>
      <c r="ZW126" s="2"/>
      <c r="ZX126" s="2"/>
      <c r="ZY126" s="2"/>
      <c r="ZZ126" s="2"/>
      <c r="AAA126" s="2"/>
      <c r="AAB126" s="2"/>
      <c r="AAC126" s="2"/>
      <c r="AAD126" s="2"/>
      <c r="AAE126" s="2"/>
      <c r="AAF126" s="2"/>
      <c r="AAG126" s="2"/>
      <c r="AAH126" s="2"/>
      <c r="AAI126" s="2"/>
      <c r="AAJ126" s="2"/>
      <c r="AAK126" s="2"/>
      <c r="AAL126" s="2"/>
      <c r="AAM126" s="2"/>
      <c r="AAN126" s="2"/>
      <c r="AAO126" s="2"/>
      <c r="AAP126" s="2"/>
      <c r="AAQ126" s="2"/>
      <c r="AAR126" s="2"/>
      <c r="AAS126" s="2"/>
      <c r="AAT126" s="2"/>
      <c r="AAU126" s="2"/>
      <c r="AAV126" s="2"/>
      <c r="AAW126" s="2"/>
      <c r="AAX126" s="2"/>
      <c r="AAY126" s="2"/>
      <c r="AAZ126" s="2"/>
      <c r="ABA126" s="2"/>
      <c r="ABB126" s="2"/>
      <c r="ABC126" s="2"/>
      <c r="ABD126" s="2"/>
      <c r="ABE126" s="2"/>
      <c r="ABF126" s="2"/>
      <c r="ABG126" s="2"/>
      <c r="ABH126" s="2"/>
      <c r="ABI126" s="2"/>
      <c r="ABJ126" s="2"/>
      <c r="ABK126" s="2"/>
      <c r="ABL126" s="2"/>
      <c r="ABM126" s="2"/>
      <c r="ABN126" s="2"/>
      <c r="ABO126" s="2"/>
      <c r="ABP126" s="2"/>
      <c r="ABQ126" s="2"/>
      <c r="ABR126" s="2"/>
      <c r="ABS126" s="2"/>
      <c r="ABT126" s="2"/>
      <c r="ABU126" s="2"/>
      <c r="ABV126" s="2"/>
      <c r="ABW126" s="2"/>
      <c r="ABX126" s="2"/>
      <c r="ABY126" s="2"/>
      <c r="ABZ126" s="2"/>
      <c r="ACA126" s="2"/>
      <c r="ACB126" s="2"/>
      <c r="ACC126" s="2"/>
      <c r="ACD126" s="2"/>
      <c r="ACE126" s="2"/>
      <c r="ACF126" s="2"/>
      <c r="ACG126" s="2"/>
      <c r="ACH126" s="2"/>
      <c r="ACI126" s="2"/>
      <c r="ACJ126" s="2"/>
      <c r="ACK126" s="2"/>
      <c r="ACL126" s="2"/>
      <c r="ACM126" s="2"/>
      <c r="ACN126" s="2"/>
      <c r="ACO126" s="2"/>
      <c r="ACP126" s="2"/>
      <c r="ACQ126" s="2"/>
      <c r="ACR126" s="2"/>
      <c r="ACS126" s="2"/>
      <c r="ACT126" s="2"/>
      <c r="ACU126" s="2"/>
      <c r="ACV126" s="2"/>
      <c r="ACW126" s="2"/>
      <c r="ACX126" s="2"/>
      <c r="ACY126" s="2"/>
      <c r="ACZ126" s="2"/>
      <c r="ADA126" s="2"/>
      <c r="ADB126" s="2"/>
      <c r="ADC126" s="2"/>
      <c r="ADD126" s="2"/>
      <c r="ADE126" s="2"/>
      <c r="ADF126" s="2"/>
      <c r="ADG126" s="2"/>
      <c r="ADH126" s="2"/>
      <c r="ADI126" s="2"/>
      <c r="ADJ126" s="2"/>
      <c r="ADK126" s="2"/>
      <c r="ADL126" s="2"/>
      <c r="ADM126" s="2"/>
      <c r="ADN126" s="2"/>
      <c r="ADO126" s="2"/>
      <c r="ADP126" s="2"/>
      <c r="ADQ126" s="2"/>
      <c r="ADR126" s="2"/>
      <c r="ADS126" s="2"/>
      <c r="ADT126" s="2"/>
      <c r="ADU126" s="2"/>
      <c r="ADV126" s="2"/>
      <c r="ADW126" s="2"/>
      <c r="ADX126" s="2"/>
      <c r="ADY126" s="2"/>
      <c r="ADZ126" s="2"/>
      <c r="AEA126" s="2"/>
      <c r="AEB126" s="2"/>
      <c r="AEC126" s="2"/>
      <c r="AED126" s="2"/>
      <c r="AEE126" s="2"/>
      <c r="AEF126" s="2"/>
      <c r="AEG126" s="2"/>
      <c r="AEH126" s="2"/>
      <c r="AEI126" s="2"/>
      <c r="AEJ126" s="2"/>
      <c r="AEK126" s="2"/>
      <c r="AEL126" s="2"/>
      <c r="AEM126" s="2"/>
      <c r="AEN126" s="2"/>
      <c r="AEO126" s="2"/>
      <c r="AEP126" s="2"/>
      <c r="AEQ126" s="2"/>
      <c r="AER126" s="2"/>
      <c r="AES126" s="2"/>
      <c r="AET126" s="2"/>
      <c r="AEU126" s="2"/>
      <c r="AEV126" s="2"/>
      <c r="AEW126" s="2"/>
      <c r="AEX126" s="2"/>
      <c r="AEY126" s="2"/>
      <c r="AEZ126" s="2"/>
      <c r="AFA126" s="2"/>
      <c r="AFB126" s="2"/>
      <c r="AFC126" s="2"/>
      <c r="AFD126" s="2"/>
      <c r="AFE126" s="2"/>
      <c r="AFF126" s="2"/>
      <c r="AFG126" s="2"/>
      <c r="AFH126" s="2"/>
      <c r="AFI126" s="2"/>
      <c r="AFJ126" s="2"/>
      <c r="AFK126" s="2"/>
      <c r="AFL126" s="2"/>
      <c r="AFM126" s="2"/>
      <c r="AFN126" s="2"/>
      <c r="AFO126" s="2"/>
      <c r="AFP126" s="2"/>
      <c r="AFQ126" s="2"/>
      <c r="AFR126" s="2"/>
      <c r="AFS126" s="2"/>
      <c r="AFT126" s="2"/>
      <c r="AFU126" s="2"/>
      <c r="AFV126" s="2"/>
      <c r="AFW126" s="2"/>
      <c r="AFX126" s="2"/>
      <c r="AFY126" s="2"/>
      <c r="AFZ126" s="2"/>
      <c r="AGA126" s="2"/>
      <c r="AGB126" s="2"/>
      <c r="AGC126" s="2"/>
      <c r="AGD126" s="2"/>
      <c r="AGE126" s="2"/>
      <c r="AGF126" s="2"/>
      <c r="AGG126" s="2"/>
      <c r="AGH126" s="2"/>
      <c r="AGI126" s="2"/>
      <c r="AGJ126" s="2"/>
      <c r="AGK126" s="2"/>
      <c r="AGL126" s="2"/>
      <c r="AGM126" s="2"/>
      <c r="AGN126" s="2"/>
      <c r="AGO126" s="2"/>
      <c r="AGP126" s="2"/>
      <c r="AGQ126" s="2"/>
      <c r="AGR126" s="2"/>
      <c r="AGS126" s="2"/>
      <c r="AGT126" s="2"/>
      <c r="AGU126" s="2"/>
      <c r="AGV126" s="2"/>
      <c r="AGW126" s="2"/>
      <c r="AGX126" s="2"/>
      <c r="AGY126" s="2"/>
      <c r="AGZ126" s="2"/>
      <c r="AHA126" s="2"/>
      <c r="AHB126" s="2"/>
      <c r="AHC126" s="2"/>
      <c r="AHD126" s="2"/>
      <c r="AHE126" s="2"/>
      <c r="AHF126" s="2"/>
      <c r="AHG126" s="2"/>
      <c r="AHH126" s="2"/>
      <c r="AHI126" s="2"/>
      <c r="AHJ126" s="2"/>
      <c r="AHK126" s="2"/>
      <c r="AHL126" s="2"/>
      <c r="AHM126" s="2"/>
      <c r="AHN126" s="2"/>
      <c r="AHO126" s="2"/>
      <c r="AHP126" s="2"/>
      <c r="AHQ126" s="2"/>
      <c r="AHR126" s="2"/>
      <c r="AHS126" s="2"/>
      <c r="AHT126" s="2"/>
      <c r="AHU126" s="2"/>
      <c r="AHV126" s="2"/>
      <c r="AHW126" s="2"/>
      <c r="AHX126" s="2"/>
      <c r="AHY126" s="2"/>
      <c r="AHZ126" s="2"/>
      <c r="AIA126" s="2"/>
      <c r="AIB126" s="2"/>
      <c r="AIC126" s="2"/>
      <c r="AID126" s="2"/>
      <c r="AIE126" s="2"/>
      <c r="AIF126" s="2"/>
      <c r="AIG126" s="2"/>
      <c r="AIH126" s="2"/>
      <c r="AII126" s="2"/>
      <c r="AIJ126" s="2"/>
      <c r="AIK126" s="2"/>
      <c r="AIL126" s="2"/>
      <c r="AIM126" s="2"/>
      <c r="AIN126" s="2"/>
      <c r="AIO126" s="2"/>
      <c r="AIP126" s="2"/>
      <c r="AIQ126" s="2"/>
      <c r="AIR126" s="2"/>
      <c r="AIS126" s="2"/>
      <c r="AIT126" s="2"/>
      <c r="AIU126" s="2"/>
      <c r="AIV126" s="2"/>
      <c r="AIW126" s="2"/>
      <c r="AIX126" s="2"/>
      <c r="AIY126" s="2"/>
      <c r="AIZ126" s="2"/>
      <c r="AJA126" s="2"/>
      <c r="AJB126" s="2"/>
      <c r="AJC126" s="2"/>
      <c r="AJD126" s="2"/>
      <c r="AJE126" s="2"/>
      <c r="AJF126" s="2"/>
      <c r="AJG126" s="2"/>
      <c r="AJH126" s="2"/>
      <c r="AJI126" s="2"/>
      <c r="AJJ126" s="2"/>
      <c r="AJK126" s="2"/>
      <c r="AJL126" s="2"/>
      <c r="AJM126" s="2"/>
      <c r="AJN126" s="2"/>
      <c r="AJO126" s="2"/>
      <c r="AJP126" s="2"/>
      <c r="AJQ126" s="2"/>
      <c r="AJR126" s="2"/>
      <c r="AJS126" s="2"/>
      <c r="AJT126" s="2"/>
      <c r="AJU126" s="2"/>
      <c r="AJV126" s="2"/>
      <c r="AJW126" s="2"/>
      <c r="AJX126" s="2"/>
      <c r="AJY126" s="2"/>
      <c r="AJZ126" s="2"/>
      <c r="AKA126" s="2"/>
      <c r="AKB126" s="2"/>
      <c r="AKC126" s="2"/>
      <c r="AKD126" s="2"/>
      <c r="AKE126" s="2"/>
      <c r="AKF126" s="2"/>
      <c r="AKG126" s="2"/>
      <c r="AKH126" s="2"/>
      <c r="AKI126" s="2"/>
      <c r="AKJ126" s="2"/>
      <c r="AKK126" s="2"/>
      <c r="AKL126" s="2"/>
      <c r="AKM126" s="2"/>
      <c r="AKN126" s="2"/>
      <c r="AKO126" s="2"/>
      <c r="AKP126" s="2"/>
      <c r="AKQ126" s="2"/>
      <c r="AKR126" s="2"/>
      <c r="AKS126" s="2"/>
      <c r="AKT126" s="2"/>
      <c r="AKU126" s="2"/>
      <c r="AKV126" s="2"/>
      <c r="AKW126" s="2"/>
      <c r="AKX126" s="2"/>
      <c r="AKY126" s="2"/>
      <c r="AKZ126" s="2"/>
      <c r="ALA126" s="2"/>
      <c r="ALB126" s="2"/>
      <c r="ALC126" s="2"/>
      <c r="ALD126" s="2"/>
      <c r="ALE126" s="2"/>
      <c r="ALF126" s="2"/>
      <c r="ALG126" s="2"/>
      <c r="ALH126" s="2"/>
      <c r="ALI126" s="2"/>
      <c r="ALJ126" s="2"/>
      <c r="ALK126" s="2"/>
      <c r="ALL126" s="2"/>
      <c r="ALM126" s="2"/>
      <c r="ALN126" s="2"/>
      <c r="ALO126" s="2"/>
      <c r="ALP126" s="2"/>
      <c r="ALQ126" s="2"/>
      <c r="ALR126" s="2"/>
      <c r="ALS126" s="2"/>
      <c r="ALT126" s="2"/>
      <c r="ALU126" s="2"/>
      <c r="ALV126" s="2"/>
      <c r="ALW126" s="2"/>
      <c r="ALX126" s="2"/>
      <c r="ALY126" s="2"/>
      <c r="ALZ126" s="2"/>
      <c r="AMA126" s="2"/>
      <c r="AMB126" s="2"/>
      <c r="AMC126" s="2"/>
      <c r="AMD126" s="2"/>
      <c r="AME126" s="2"/>
      <c r="AMF126" s="2"/>
      <c r="AMG126" s="2"/>
      <c r="AMH126" s="2"/>
      <c r="AMI126" s="2"/>
      <c r="AMJ126" s="2"/>
      <c r="AMK126" s="2"/>
      <c r="AML126" s="2"/>
      <c r="AMM126" s="2"/>
      <c r="AMN126" s="2"/>
      <c r="AMO126" s="2"/>
    </row>
    <row r="127" spans="1:1029" x14ac:dyDescent="0.2">
      <c r="A127" s="3" t="str">
        <f t="shared" si="699"/>
        <v>agtr1_human_4ZUD</v>
      </c>
      <c r="B127" s="3" t="s">
        <v>158</v>
      </c>
      <c r="C127" s="3" t="s">
        <v>1342</v>
      </c>
      <c r="D127" s="3" t="str">
        <f>IFERROR(MID(VLOOKUP($B127,Seqs!$A:$B,2,0),E127,1),"")</f>
        <v>H</v>
      </c>
      <c r="E127" s="3">
        <v>24</v>
      </c>
      <c r="F127" s="3" t="str">
        <f>IFERROR(MID(VLOOKUP($B127,Seqs!$A:$B,2,0),G127,1),"")</f>
        <v>Y</v>
      </c>
      <c r="G127" s="3">
        <v>56</v>
      </c>
      <c r="H127" s="3" t="str">
        <f>IFERROR(MID(VLOOKUP($B127,Seqs!$A:$B,2,0),I127,1),"")</f>
        <v>M</v>
      </c>
      <c r="I127" s="23">
        <v>57</v>
      </c>
      <c r="J127" s="3" t="str">
        <f>IFERROR(MID(VLOOKUP($B127,Seqs!$A:$B,2,0),K127,1),"")</f>
        <v>K</v>
      </c>
      <c r="K127" s="23">
        <v>60</v>
      </c>
      <c r="L127" s="3" t="str">
        <f>IFERROR(MID(VLOOKUP($B127,Seqs!$A:$B,2,0),M127,1),"")</f>
        <v>T</v>
      </c>
      <c r="M127" s="3">
        <v>61</v>
      </c>
      <c r="N127" s="3" t="str">
        <f>IFERROR(MID(VLOOKUP($B127,Seqs!$A:$B,2,0),O127,1),"")</f>
        <v>M</v>
      </c>
      <c r="O127" s="3">
        <v>90</v>
      </c>
      <c r="P127" s="3" t="str">
        <f>IFERROR(MID(VLOOKUP($B127,Seqs!$A:$B,2,0),Q127,1),"")</f>
        <v>R</v>
      </c>
      <c r="Q127" s="3">
        <v>93</v>
      </c>
      <c r="R127" s="3" t="str">
        <f>IFERROR(MID(VLOOKUP($B127,Seqs!$A:$B,2,0),S127,1),"")</f>
        <v>F</v>
      </c>
      <c r="S127" s="3">
        <v>96</v>
      </c>
      <c r="T127" s="3" t="str">
        <f>IFERROR(MID(VLOOKUP($B127,Seqs!$A:$B,2,0),U127,1),"")</f>
        <v>G</v>
      </c>
      <c r="U127" s="3">
        <v>97</v>
      </c>
      <c r="V127" s="3" t="str">
        <f>IFERROR(MID(VLOOKUP($B127,Seqs!$A:$B,2,0),W127,1),"")</f>
        <v>H</v>
      </c>
      <c r="W127" s="3">
        <v>132</v>
      </c>
      <c r="X127" s="3" t="str">
        <f>IFERROR(MID(VLOOKUP($B127,Seqs!$A:$B,2,0),Y127,1),"")</f>
        <v/>
      </c>
      <c r="Y127" s="3" t="s">
        <v>23</v>
      </c>
      <c r="Z127" s="3" t="str">
        <f>IFERROR(MID(VLOOKUP($B127,Seqs!$A:$B,2,0),AA127,1),"")</f>
        <v/>
      </c>
      <c r="AA127" s="3" t="s">
        <v>23</v>
      </c>
      <c r="AB127" s="3" t="str">
        <f>IFERROR(MID(VLOOKUP($B127,Seqs!$A:$B,2,0),AC127,1),"")</f>
        <v>M</v>
      </c>
      <c r="AC127" s="9">
        <v>142</v>
      </c>
      <c r="AD127" s="3" t="str">
        <f>IFERROR(MID(VLOOKUP($B127,Seqs!$A:$B,2,0),AE127,1),"")</f>
        <v>R</v>
      </c>
      <c r="AE127" s="3">
        <v>167</v>
      </c>
      <c r="AF127" s="3" t="str">
        <f>IFERROR(MID(VLOOKUP($B127,Seqs!$A:$B,2,0),AG127,1),"")</f>
        <v>C</v>
      </c>
      <c r="AG127" s="3">
        <v>180</v>
      </c>
      <c r="AH127" s="3" t="str">
        <f>IFERROR(MID(VLOOKUP($B127,Seqs!$A:$B,2,0),AI127,1),"")</f>
        <v>F</v>
      </c>
      <c r="AI127" s="3">
        <v>182</v>
      </c>
      <c r="AJ127" s="3" t="str">
        <f>IFERROR(MID(VLOOKUP($B127,Seqs!$A:$B,2,0),AK127,1),"")</f>
        <v>L</v>
      </c>
      <c r="AK127" s="3">
        <v>191</v>
      </c>
      <c r="AL127" s="3" t="str">
        <f>IFERROR(MID(VLOOKUP($B127,Seqs!$A:$B,2,0),AM127,1),"")</f>
        <v>L</v>
      </c>
      <c r="AM127" s="3">
        <v>222</v>
      </c>
      <c r="AN127" s="3" t="str">
        <f>IFERROR(MID(VLOOKUP($B127,Seqs!$A:$B,2,0),AO127,1),"")</f>
        <v>D</v>
      </c>
      <c r="AO127" s="3">
        <v>236</v>
      </c>
      <c r="AP127" s="3" t="str">
        <f>IFERROR(MID(VLOOKUP($B127,Seqs!$A:$B,2,0),AQ127,1),"")</f>
        <v>G</v>
      </c>
      <c r="AQ127" s="3">
        <v>269</v>
      </c>
      <c r="AR127" s="3" t="str">
        <f>IFERROR(MID(VLOOKUP($B127,Seqs!$A:$B,2,0),AS127,1),"")</f>
        <v>D</v>
      </c>
      <c r="AS127" s="3">
        <v>273</v>
      </c>
      <c r="AT127" s="3" t="str">
        <f>IFERROR(MID(VLOOKUP($B127,Seqs!$A:$B,2,0),AU127,1),"")</f>
        <v>F</v>
      </c>
      <c r="AU127" s="3">
        <v>304</v>
      </c>
      <c r="AV127" s="3" t="str">
        <f>IFERROR(MID(VLOOKUP($B127,Seqs!$A:$B,2,0),AW127,1),"")</f>
        <v/>
      </c>
      <c r="AW127" s="3" t="s">
        <v>23</v>
      </c>
      <c r="AX127" s="3" t="str">
        <f>IFERROR(MID(VLOOKUP($B127,Seqs!$A:$B,2,0),AY127,1),"")</f>
        <v/>
      </c>
      <c r="AY127" s="3" t="s">
        <v>23</v>
      </c>
      <c r="AZ127" s="77" t="str">
        <f>VLOOKUP(B127,Classification!A:D,2,0)</f>
        <v>A</v>
      </c>
      <c r="BA127" s="94" t="str">
        <f>VLOOKUP(B127,Classification!A:D,4,0)</f>
        <v>Angiotensin</v>
      </c>
      <c r="BB127" s="27" t="b">
        <f t="shared" si="700"/>
        <v>1</v>
      </c>
      <c r="BC127" s="23">
        <f t="shared" si="477"/>
        <v>236</v>
      </c>
      <c r="BD127" s="2" t="s">
        <v>1382</v>
      </c>
      <c r="BE127" s="3" t="s">
        <v>1380</v>
      </c>
      <c r="BF127" s="119">
        <v>2.8</v>
      </c>
      <c r="BG127" s="49" t="s">
        <v>1383</v>
      </c>
      <c r="BH127" s="49" t="s">
        <v>1383</v>
      </c>
      <c r="BI127" s="1"/>
      <c r="BJ127" s="70" t="s">
        <v>1293</v>
      </c>
      <c r="BK127" s="57" t="s">
        <v>1293</v>
      </c>
      <c r="BL127" s="57" t="s">
        <v>1293</v>
      </c>
      <c r="BM127" s="57" t="s">
        <v>1293</v>
      </c>
      <c r="BN127" s="57" t="s">
        <v>1293</v>
      </c>
      <c r="BO127" s="57" t="s">
        <v>1293</v>
      </c>
      <c r="BP127" s="57" t="s">
        <v>1293</v>
      </c>
      <c r="BQ127" s="57" t="s">
        <v>1293</v>
      </c>
      <c r="BR127" s="57" t="s">
        <v>1293</v>
      </c>
      <c r="BS127" s="57" t="s">
        <v>1293</v>
      </c>
      <c r="BT127" s="57" t="s">
        <v>1293</v>
      </c>
      <c r="BU127" s="57" t="s">
        <v>1293</v>
      </c>
      <c r="BV127" s="70">
        <f t="shared" si="478"/>
        <v>24</v>
      </c>
      <c r="BW127" s="71">
        <f t="shared" si="479"/>
        <v>57</v>
      </c>
      <c r="BX127" s="72">
        <f t="shared" si="480"/>
        <v>61</v>
      </c>
      <c r="BY127" s="71">
        <f t="shared" si="481"/>
        <v>93</v>
      </c>
      <c r="BZ127" s="72">
        <f t="shared" si="482"/>
        <v>97</v>
      </c>
      <c r="CA127" s="71" t="str">
        <f t="shared" si="483"/>
        <v>-</v>
      </c>
      <c r="CB127" s="72">
        <f t="shared" si="484"/>
        <v>142</v>
      </c>
      <c r="CC127" s="71">
        <f t="shared" si="485"/>
        <v>180</v>
      </c>
      <c r="CD127" s="72">
        <f t="shared" si="486"/>
        <v>191</v>
      </c>
      <c r="CE127" s="71">
        <f t="shared" si="487"/>
        <v>236</v>
      </c>
      <c r="CF127" s="72">
        <f t="shared" si="488"/>
        <v>273</v>
      </c>
      <c r="CG127" s="71" t="str">
        <f t="shared" si="489"/>
        <v>-</v>
      </c>
      <c r="CH127" s="70">
        <f t="shared" si="490"/>
        <v>56</v>
      </c>
      <c r="CI127" s="71">
        <f t="shared" si="491"/>
        <v>60</v>
      </c>
      <c r="CJ127" s="72">
        <f t="shared" si="492"/>
        <v>90</v>
      </c>
      <c r="CK127" s="72">
        <f t="shared" si="493"/>
        <v>96</v>
      </c>
      <c r="CL127" s="72">
        <f t="shared" si="494"/>
        <v>132</v>
      </c>
      <c r="CM127" s="72" t="str">
        <f t="shared" si="495"/>
        <v>-</v>
      </c>
      <c r="CN127" s="72">
        <f t="shared" si="496"/>
        <v>167</v>
      </c>
      <c r="CO127" s="72">
        <f t="shared" si="497"/>
        <v>182</v>
      </c>
      <c r="CP127" s="72">
        <f t="shared" si="498"/>
        <v>222</v>
      </c>
      <c r="CQ127" s="72">
        <f t="shared" si="499"/>
        <v>269</v>
      </c>
      <c r="CR127" s="72">
        <f t="shared" si="500"/>
        <v>304</v>
      </c>
      <c r="CS127" s="72" t="str">
        <f t="shared" si="501"/>
        <v>-</v>
      </c>
      <c r="CT127" s="23">
        <f t="shared" si="502"/>
        <v>1</v>
      </c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  <c r="ADW127" s="1"/>
      <c r="ADX127" s="1"/>
      <c r="ADY127" s="1"/>
      <c r="ADZ127" s="1"/>
      <c r="AEA127" s="1"/>
      <c r="AEB127" s="1"/>
      <c r="AEC127" s="1"/>
      <c r="AED127" s="1"/>
      <c r="AEE127" s="1"/>
      <c r="AEF127" s="1"/>
      <c r="AEG127" s="1"/>
      <c r="AEH127" s="1"/>
      <c r="AEI127" s="1"/>
      <c r="AEJ127" s="1"/>
      <c r="AEK127" s="1"/>
      <c r="AEL127" s="1"/>
      <c r="AEM127" s="1"/>
      <c r="AEN127" s="1"/>
      <c r="AEO127" s="1"/>
      <c r="AEP127" s="1"/>
      <c r="AEQ127" s="1"/>
      <c r="AER127" s="1"/>
      <c r="AES127" s="1"/>
      <c r="AET127" s="1"/>
      <c r="AEU127" s="1"/>
      <c r="AEV127" s="1"/>
      <c r="AEW127" s="1"/>
      <c r="AEX127" s="1"/>
      <c r="AEY127" s="1"/>
      <c r="AEZ127" s="1"/>
      <c r="AFA127" s="1"/>
      <c r="AFB127" s="1"/>
      <c r="AFC127" s="1"/>
      <c r="AFD127" s="1"/>
      <c r="AFE127" s="1"/>
      <c r="AFF127" s="1"/>
      <c r="AFG127" s="1"/>
      <c r="AFH127" s="1"/>
      <c r="AFI127" s="1"/>
      <c r="AFJ127" s="1"/>
      <c r="AFK127" s="1"/>
      <c r="AFL127" s="1"/>
      <c r="AFM127" s="1"/>
      <c r="AFN127" s="1"/>
      <c r="AFO127" s="1"/>
      <c r="AFP127" s="1"/>
      <c r="AFQ127" s="1"/>
      <c r="AFR127" s="1"/>
      <c r="AFS127" s="1"/>
      <c r="AFT127" s="1"/>
      <c r="AFU127" s="1"/>
      <c r="AFV127" s="1"/>
      <c r="AFW127" s="1"/>
      <c r="AFX127" s="1"/>
      <c r="AFY127" s="1"/>
      <c r="AFZ127" s="1"/>
      <c r="AGA127" s="1"/>
      <c r="AGB127" s="1"/>
      <c r="AGC127" s="1"/>
      <c r="AGD127" s="1"/>
      <c r="AGE127" s="1"/>
      <c r="AGF127" s="1"/>
      <c r="AGG127" s="1"/>
      <c r="AGH127" s="1"/>
      <c r="AGI127" s="1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1"/>
      <c r="AGW127" s="1"/>
      <c r="AGX127" s="1"/>
      <c r="AGY127" s="1"/>
      <c r="AGZ127" s="1"/>
      <c r="AHA127" s="1"/>
      <c r="AHB127" s="1"/>
      <c r="AHC127" s="1"/>
      <c r="AHD127" s="1"/>
      <c r="AHE127" s="1"/>
      <c r="AHF127" s="1"/>
      <c r="AHG127" s="1"/>
      <c r="AHH127" s="1"/>
      <c r="AHI127" s="1"/>
      <c r="AHJ127" s="1"/>
      <c r="AHK127" s="1"/>
      <c r="AHL127" s="1"/>
      <c r="AHM127" s="1"/>
      <c r="AHN127" s="1"/>
      <c r="AHO127" s="1"/>
      <c r="AHP127" s="1"/>
      <c r="AHQ127" s="1"/>
      <c r="AHR127" s="1"/>
      <c r="AHS127" s="1"/>
      <c r="AHT127" s="1"/>
      <c r="AHU127" s="1"/>
      <c r="AHV127" s="1"/>
      <c r="AHW127" s="1"/>
      <c r="AHX127" s="1"/>
      <c r="AHY127" s="1"/>
      <c r="AHZ127" s="1"/>
      <c r="AIA127" s="1"/>
      <c r="AIB127" s="1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1"/>
      <c r="AIQ127" s="1"/>
      <c r="AIR127" s="1"/>
      <c r="AIS127" s="1"/>
      <c r="AIT127" s="1"/>
      <c r="AIU127" s="1"/>
      <c r="AIV127" s="1"/>
      <c r="AIW127" s="1"/>
      <c r="AIX127" s="1"/>
      <c r="AIY127" s="1"/>
      <c r="AIZ127" s="1"/>
      <c r="AJA127" s="1"/>
      <c r="AJB127" s="1"/>
      <c r="AJC127" s="1"/>
      <c r="AJD127" s="1"/>
      <c r="AJE127" s="1"/>
      <c r="AJF127" s="1"/>
      <c r="AJG127" s="1"/>
      <c r="AJH127" s="1"/>
      <c r="AJI127" s="1"/>
      <c r="AJJ127" s="1"/>
      <c r="AJK127" s="1"/>
      <c r="AJL127" s="1"/>
      <c r="AJM127" s="1"/>
      <c r="AJN127" s="1"/>
      <c r="AJO127" s="1"/>
      <c r="AJP127" s="1"/>
      <c r="AJQ127" s="1"/>
      <c r="AJR127" s="1"/>
      <c r="AJS127" s="1"/>
      <c r="AJT127" s="1"/>
      <c r="AJU127" s="1"/>
      <c r="AJV127" s="1"/>
      <c r="AJW127" s="1"/>
      <c r="AJX127" s="1"/>
      <c r="AJY127" s="1"/>
      <c r="AJZ127" s="1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1"/>
      <c r="AKR127" s="1"/>
      <c r="AKS127" s="1"/>
      <c r="AKT127" s="1"/>
      <c r="AKU127" s="1"/>
      <c r="AKV127" s="1"/>
      <c r="AKW127" s="1"/>
      <c r="AKX127" s="1"/>
      <c r="AKY127" s="1"/>
      <c r="AKZ127" s="1"/>
      <c r="ALA127" s="1"/>
      <c r="ALB127" s="1"/>
      <c r="ALC127" s="1"/>
      <c r="ALD127" s="1"/>
      <c r="ALE127" s="1"/>
      <c r="ALF127" s="1"/>
      <c r="ALG127" s="1"/>
      <c r="ALH127" s="1"/>
      <c r="ALI127" s="1"/>
      <c r="ALJ127" s="1"/>
      <c r="ALK127" s="1"/>
      <c r="ALL127" s="1"/>
      <c r="ALM127" s="1"/>
      <c r="ALN127" s="1"/>
      <c r="ALO127" s="1"/>
      <c r="ALP127" s="1"/>
      <c r="ALQ127" s="1"/>
      <c r="ALR127" s="1"/>
      <c r="ALS127" s="1"/>
      <c r="ALT127" s="1"/>
      <c r="ALU127" s="1"/>
      <c r="ALV127" s="1"/>
      <c r="ALW127" s="1"/>
      <c r="ALX127" s="1"/>
      <c r="ALY127" s="1"/>
      <c r="ALZ127" s="1"/>
      <c r="AMA127" s="1"/>
      <c r="AMB127" s="1"/>
      <c r="AMC127" s="1"/>
      <c r="AMD127" s="1"/>
      <c r="AME127" s="1"/>
      <c r="AMF127" s="1"/>
      <c r="AMG127" s="1"/>
      <c r="AMH127" s="1"/>
      <c r="AMI127" s="1"/>
      <c r="AMJ127" s="1"/>
      <c r="AMK127" s="1"/>
      <c r="AML127" s="1"/>
      <c r="AMM127" s="1"/>
      <c r="AMN127" s="1"/>
      <c r="AMO127" s="1"/>
    </row>
    <row r="128" spans="1:1029" s="12" customFormat="1" x14ac:dyDescent="0.2">
      <c r="A128" s="9" t="str">
        <f t="shared" ref="A128" si="701">CONCATENATE(B128,"_",C128)</f>
        <v>agtr1_human_6DO1</v>
      </c>
      <c r="B128" s="9" t="s">
        <v>158</v>
      </c>
      <c r="C128" s="9" t="s">
        <v>1580</v>
      </c>
      <c r="D128" s="9" t="str">
        <f>IFERROR(MID(VLOOKUP($B128,Seqs!$A:$B,2,0),E128,1),"")</f>
        <v>H</v>
      </c>
      <c r="E128" s="9">
        <v>24</v>
      </c>
      <c r="F128" s="9" t="str">
        <f>IFERROR(MID(VLOOKUP($B128,Seqs!$A:$B,2,0),G128,1),"")</f>
        <v>Y</v>
      </c>
      <c r="G128" s="9">
        <v>56</v>
      </c>
      <c r="H128" s="9" t="str">
        <f>IFERROR(MID(VLOOKUP($B128,Seqs!$A:$B,2,0),I128,1),"")</f>
        <v/>
      </c>
      <c r="I128" s="109" t="s">
        <v>23</v>
      </c>
      <c r="J128" s="9" t="str">
        <f>IFERROR(MID(VLOOKUP($B128,Seqs!$A:$B,2,0),K128,1),"")</f>
        <v/>
      </c>
      <c r="K128" s="109" t="s">
        <v>23</v>
      </c>
      <c r="L128" s="9" t="str">
        <f>IFERROR(MID(VLOOKUP($B128,Seqs!$A:$B,2,0),M128,1),"")</f>
        <v>T</v>
      </c>
      <c r="M128" s="9">
        <v>61</v>
      </c>
      <c r="N128" s="9" t="str">
        <f>IFERROR(MID(VLOOKUP($B128,Seqs!$A:$B,2,0),O128,1),"")</f>
        <v>M</v>
      </c>
      <c r="O128" s="9">
        <v>90</v>
      </c>
      <c r="P128" s="9" t="str">
        <f>IFERROR(MID(VLOOKUP($B128,Seqs!$A:$B,2,0),Q128,1),"")</f>
        <v>R</v>
      </c>
      <c r="Q128" s="9">
        <v>93</v>
      </c>
      <c r="R128" s="9" t="str">
        <f>IFERROR(MID(VLOOKUP($B128,Seqs!$A:$B,2,0),S128,1),"")</f>
        <v>F</v>
      </c>
      <c r="S128" s="9">
        <v>96</v>
      </c>
      <c r="T128" s="9" t="str">
        <f>IFERROR(MID(VLOOKUP($B128,Seqs!$A:$B,2,0),U128,1),"")</f>
        <v>G</v>
      </c>
      <c r="U128" s="9">
        <v>97</v>
      </c>
      <c r="V128" s="9" t="str">
        <f>IFERROR(MID(VLOOKUP($B128,Seqs!$A:$B,2,0),W128,1),"")</f>
        <v>H</v>
      </c>
      <c r="W128" s="9">
        <v>132</v>
      </c>
      <c r="X128" s="9" t="str">
        <f>IFERROR(MID(VLOOKUP($B128,Seqs!$A:$B,2,0),Y128,1),"")</f>
        <v>P</v>
      </c>
      <c r="Y128" s="9">
        <v>133</v>
      </c>
      <c r="Z128" s="9" t="str">
        <f>IFERROR(MID(VLOOKUP($B128,Seqs!$A:$B,2,0),AA128,1),"")</f>
        <v>R</v>
      </c>
      <c r="AA128" s="9">
        <v>140</v>
      </c>
      <c r="AB128" s="9" t="str">
        <f>IFERROR(MID(VLOOKUP($B128,Seqs!$A:$B,2,0),AC128,1),"")</f>
        <v>T</v>
      </c>
      <c r="AC128" s="9">
        <v>141</v>
      </c>
      <c r="AD128" s="9" t="str">
        <f>IFERROR(MID(VLOOKUP($B128,Seqs!$A:$B,2,0),AE128,1),"")</f>
        <v>R</v>
      </c>
      <c r="AE128" s="9">
        <v>167</v>
      </c>
      <c r="AF128" s="9" t="str">
        <f>IFERROR(MID(VLOOKUP($B128,Seqs!$A:$B,2,0),AG128,1),"")</f>
        <v>C</v>
      </c>
      <c r="AG128" s="9">
        <v>180</v>
      </c>
      <c r="AH128" s="9" t="str">
        <f>IFERROR(MID(VLOOKUP($B128,Seqs!$A:$B,2,0),AI128,1),"")</f>
        <v>F</v>
      </c>
      <c r="AI128" s="9">
        <v>182</v>
      </c>
      <c r="AJ128" s="9" t="str">
        <f>IFERROR(MID(VLOOKUP($B128,Seqs!$A:$B,2,0),AK128,1),"")</f>
        <v>P</v>
      </c>
      <c r="AK128" s="9">
        <v>192</v>
      </c>
      <c r="AL128" s="9" t="str">
        <f>IFERROR(MID(VLOOKUP($B128,Seqs!$A:$B,2,0),AM128,1),"")</f>
        <v>N</v>
      </c>
      <c r="AM128" s="9">
        <v>231</v>
      </c>
      <c r="AN128" s="9" t="str">
        <f>IFERROR(MID(VLOOKUP($B128,Seqs!$A:$B,2,0),AO128,1),"")</f>
        <v>T</v>
      </c>
      <c r="AO128" s="9">
        <v>336</v>
      </c>
      <c r="AP128" s="9" t="str">
        <f>IFERROR(MID(VLOOKUP($B128,Seqs!$A:$B,2,0),AQ128,1),"")</f>
        <v/>
      </c>
      <c r="AQ128" s="9">
        <v>368</v>
      </c>
      <c r="AR128" s="9" t="str">
        <f>IFERROR(MID(VLOOKUP($B128,Seqs!$A:$B,2,0),AS128,1),"")</f>
        <v/>
      </c>
      <c r="AS128" s="9">
        <v>372</v>
      </c>
      <c r="AT128" s="9" t="str">
        <f>IFERROR(MID(VLOOKUP($B128,Seqs!$A:$B,2,0),AU128,1),"")</f>
        <v/>
      </c>
      <c r="AU128" s="9">
        <v>404</v>
      </c>
      <c r="AV128" s="9" t="str">
        <f>IFERROR(MID(VLOOKUP($B128,Seqs!$A:$B,2,0),AW128,1),"")</f>
        <v/>
      </c>
      <c r="AW128" s="9">
        <v>405</v>
      </c>
      <c r="AX128" s="9" t="str">
        <f>IFERROR(MID(VLOOKUP($B128,Seqs!$A:$B,2,0),AY128,1),"")</f>
        <v/>
      </c>
      <c r="AY128" s="9">
        <v>416</v>
      </c>
      <c r="AZ128" s="110" t="str">
        <f>VLOOKUP(B128,Classification!A:D,2,0)</f>
        <v>A</v>
      </c>
      <c r="BA128" s="98" t="str">
        <f>VLOOKUP(B128,Classification!A:D,4,0)</f>
        <v>Angiotensin</v>
      </c>
      <c r="BB128" s="36" t="b">
        <f t="shared" ref="BB128" si="702">AND(E128&lt;G128,OR(G128&lt;I128,I128="-"),OR(I128&lt;K128,I128="-"),OR(K128&lt;M128,K128="-"),M128&lt;O128,OR(O128&lt;Q128,Q128="-"),OR(Q128&lt;S128,Q128="-"),OR(S128&lt;U128,S128="-"),U128&lt;W128,OR(W128&lt;Y128,Y128="-"),OR(Y128&lt;AA128,Y128="-"),OR(AA128&lt;AC128,AA128="-"),AC128&lt;AE128,OR(AE128&lt;AG128,AG128="-"),OR(AG128&lt;AI128,AG128="-"),OR(AI128&lt;AK128,AI128="-"),AK128&lt;AM128,AM128&lt;AO128,AO128&lt;AQ128,AQ128&lt;AS128,AS128&lt;AU128,OR(AU128&lt;AW128,AW128="-"),OR(AW128&lt;AY128,AW128="-"))</f>
        <v>1</v>
      </c>
      <c r="BC128" s="109">
        <f t="shared" ref="BC128" si="703">_xlfn.AGGREGATE(9,6,CH128:CS128)-_xlfn.AGGREGATE(9,6,BV128:CG128)+12</f>
        <v>260</v>
      </c>
      <c r="BD128" s="40" t="s">
        <v>1381</v>
      </c>
      <c r="BE128" s="9" t="s">
        <v>1297</v>
      </c>
      <c r="BF128" s="120">
        <v>2.9</v>
      </c>
      <c r="BG128" s="51" t="s">
        <v>1</v>
      </c>
      <c r="BH128" s="51" t="s">
        <v>1</v>
      </c>
      <c r="BJ128" s="111" t="s">
        <v>1293</v>
      </c>
      <c r="BK128" s="112" t="s">
        <v>1293</v>
      </c>
      <c r="BL128" s="112" t="s">
        <v>1293</v>
      </c>
      <c r="BM128" s="112" t="s">
        <v>1293</v>
      </c>
      <c r="BN128" s="112" t="s">
        <v>1293</v>
      </c>
      <c r="BO128" s="112" t="s">
        <v>1293</v>
      </c>
      <c r="BP128" s="112" t="s">
        <v>1293</v>
      </c>
      <c r="BQ128" s="112" t="s">
        <v>1293</v>
      </c>
      <c r="BR128" s="112" t="s">
        <v>1293</v>
      </c>
      <c r="BS128" s="112" t="s">
        <v>1293</v>
      </c>
      <c r="BT128" s="112" t="s">
        <v>1293</v>
      </c>
      <c r="BU128" s="112" t="s">
        <v>1293</v>
      </c>
      <c r="BV128" s="111">
        <f t="shared" ref="BV128" si="704">E128</f>
        <v>24</v>
      </c>
      <c r="BW128" s="113" t="str">
        <f t="shared" ref="BW128" si="705">I128</f>
        <v>-</v>
      </c>
      <c r="BX128" s="114">
        <f t="shared" ref="BX128" si="706">M128</f>
        <v>61</v>
      </c>
      <c r="BY128" s="113">
        <f t="shared" ref="BY128" si="707">Q128</f>
        <v>93</v>
      </c>
      <c r="BZ128" s="114">
        <f t="shared" ref="BZ128" si="708">U128</f>
        <v>97</v>
      </c>
      <c r="CA128" s="113">
        <f t="shared" ref="CA128" si="709">Y128</f>
        <v>133</v>
      </c>
      <c r="CB128" s="114">
        <f t="shared" ref="CB128" si="710">AC128</f>
        <v>141</v>
      </c>
      <c r="CC128" s="113">
        <f t="shared" ref="CC128" si="711">AG128</f>
        <v>180</v>
      </c>
      <c r="CD128" s="114">
        <f t="shared" ref="CD128" si="712">AK128</f>
        <v>192</v>
      </c>
      <c r="CE128" s="113">
        <f t="shared" ref="CE128" si="713">AO128</f>
        <v>336</v>
      </c>
      <c r="CF128" s="114">
        <f t="shared" ref="CF128" si="714">AS128</f>
        <v>372</v>
      </c>
      <c r="CG128" s="113">
        <f t="shared" ref="CG128" si="715">AW128</f>
        <v>405</v>
      </c>
      <c r="CH128" s="111">
        <f t="shared" ref="CH128" si="716">G128</f>
        <v>56</v>
      </c>
      <c r="CI128" s="113" t="str">
        <f t="shared" ref="CI128" si="717">K128</f>
        <v>-</v>
      </c>
      <c r="CJ128" s="114">
        <f t="shared" ref="CJ128" si="718">O128</f>
        <v>90</v>
      </c>
      <c r="CK128" s="114">
        <f t="shared" ref="CK128" si="719">S128</f>
        <v>96</v>
      </c>
      <c r="CL128" s="114">
        <f t="shared" ref="CL128" si="720">W128</f>
        <v>132</v>
      </c>
      <c r="CM128" s="114">
        <f t="shared" ref="CM128" si="721">AA128</f>
        <v>140</v>
      </c>
      <c r="CN128" s="114">
        <f t="shared" ref="CN128" si="722">AE128</f>
        <v>167</v>
      </c>
      <c r="CO128" s="114">
        <f t="shared" ref="CO128" si="723">AI128</f>
        <v>182</v>
      </c>
      <c r="CP128" s="114">
        <f t="shared" ref="CP128" si="724">AM128</f>
        <v>231</v>
      </c>
      <c r="CQ128" s="114">
        <f t="shared" ref="CQ128" si="725">AQ128</f>
        <v>368</v>
      </c>
      <c r="CR128" s="114">
        <f t="shared" ref="CR128" si="726">AU128</f>
        <v>404</v>
      </c>
      <c r="CS128" s="114">
        <f t="shared" ref="CS128" si="727">AY128</f>
        <v>416</v>
      </c>
      <c r="CT128" s="109" t="e">
        <f t="shared" ref="CT128" si="728">M128-K128</f>
        <v>#VALUE!</v>
      </c>
    </row>
    <row r="129" spans="1:1030" x14ac:dyDescent="0.2">
      <c r="A129" s="3" t="str">
        <f t="shared" ref="A129:A139" si="729">CONCATENATE(B129,"_",C129)</f>
        <v>agtr2_human__wt</v>
      </c>
      <c r="B129" s="3" t="s">
        <v>159</v>
      </c>
      <c r="C129" s="3" t="s">
        <v>100</v>
      </c>
      <c r="D129" s="3" t="str">
        <f>IFERROR(MID(VLOOKUP($B129,Seqs!$A:$B,2,0),E129,1),"")</f>
        <v>D</v>
      </c>
      <c r="E129" s="3">
        <v>45</v>
      </c>
      <c r="F129" s="3" t="str">
        <f>IFERROR(MID(VLOOKUP($B129,Seqs!$A:$B,2,0),G129,1),"")</f>
        <v>Q</v>
      </c>
      <c r="G129" s="3">
        <v>72</v>
      </c>
      <c r="H129" s="3" t="str">
        <f>IFERROR(MID(VLOOKUP($B129,Seqs!$A:$B,2,0),I129,1),"")</f>
        <v/>
      </c>
      <c r="I129" s="23" t="s">
        <v>23</v>
      </c>
      <c r="J129" s="3" t="str">
        <f>IFERROR(MID(VLOOKUP($B129,Seqs!$A:$B,2,0),K129,1),"")</f>
        <v/>
      </c>
      <c r="K129" s="23" t="s">
        <v>23</v>
      </c>
      <c r="L129" s="3" t="str">
        <f>IFERROR(MID(VLOOKUP($B129,Seqs!$A:$B,2,0),M129,1),"")</f>
        <v>V</v>
      </c>
      <c r="M129" s="3">
        <v>78</v>
      </c>
      <c r="N129" s="3" t="str">
        <f>IFERROR(MID(VLOOKUP($B129,Seqs!$A:$B,2,0),O129,1),"")</f>
        <v>Y</v>
      </c>
      <c r="O129" s="3">
        <v>106</v>
      </c>
      <c r="P129" s="3" t="str">
        <f>IFERROR(MID(VLOOKUP($B129,Seqs!$A:$B,2,0),Q129,1),"")</f>
        <v>R</v>
      </c>
      <c r="Q129" s="3">
        <v>107</v>
      </c>
      <c r="R129" s="3" t="str">
        <f>IFERROR(MID(VLOOKUP($B129,Seqs!$A:$B,2,0),S129,1),"")</f>
        <v>F</v>
      </c>
      <c r="S129" s="3">
        <v>112</v>
      </c>
      <c r="T129" s="3" t="str">
        <f>IFERROR(MID(VLOOKUP($B129,Seqs!$A:$B,2,0),U129,1),"")</f>
        <v>G</v>
      </c>
      <c r="U129" s="3">
        <v>113</v>
      </c>
      <c r="V129" s="3" t="str">
        <f>IFERROR(MID(VLOOKUP($B129,Seqs!$A:$B,2,0),W129,1),"")</f>
        <v>Y</v>
      </c>
      <c r="W129" s="3">
        <v>148</v>
      </c>
      <c r="X129" s="3" t="str">
        <f>IFERROR(MID(VLOOKUP($B129,Seqs!$A:$B,2,0),Y129,1),"")</f>
        <v>P</v>
      </c>
      <c r="Y129" s="3">
        <v>149</v>
      </c>
      <c r="Z129" s="3" t="str">
        <f>IFERROR(MID(VLOOKUP($B129,Seqs!$A:$B,2,0),AA129,1),"")</f>
        <v>R</v>
      </c>
      <c r="AA129" s="3">
        <v>155</v>
      </c>
      <c r="AB129" s="3" t="str">
        <f>IFERROR(MID(VLOOKUP($B129,Seqs!$A:$B,2,0),AC129,1),"")</f>
        <v>N</v>
      </c>
      <c r="AC129" s="3">
        <v>156</v>
      </c>
      <c r="AD129" s="3" t="str">
        <f>IFERROR(MID(VLOOKUP($B129,Seqs!$A:$B,2,0),AE129,1),"")</f>
        <v>R</v>
      </c>
      <c r="AE129" s="3">
        <v>182</v>
      </c>
      <c r="AF129" s="3" t="str">
        <f>IFERROR(MID(VLOOKUP($B129,Seqs!$A:$B,2,0),AG129,1),"")</f>
        <v>C</v>
      </c>
      <c r="AG129" s="3">
        <v>195</v>
      </c>
      <c r="AH129" s="3" t="str">
        <f>IFERROR(MID(VLOOKUP($B129,Seqs!$A:$B,2,0),AI129,1),"")</f>
        <v>M</v>
      </c>
      <c r="AI129" s="3">
        <v>197</v>
      </c>
      <c r="AJ129" s="3" t="str">
        <f>IFERROR(MID(VLOOKUP($B129,Seqs!$A:$B,2,0),AK129,1),"")</f>
        <v>K</v>
      </c>
      <c r="AK129" s="3">
        <v>203</v>
      </c>
      <c r="AL129" s="3" t="str">
        <f>IFERROR(MID(VLOOKUP($B129,Seqs!$A:$B,2,0),AM129,1),"")</f>
        <v>T</v>
      </c>
      <c r="AM129" s="3">
        <v>241</v>
      </c>
      <c r="AN129" s="3" t="str">
        <f>IFERROR(MID(VLOOKUP($B129,Seqs!$A:$B,2,0),AO129,1),"")</f>
        <v>G</v>
      </c>
      <c r="AO129" s="3">
        <v>245</v>
      </c>
      <c r="AP129" s="3" t="str">
        <f>IFERROR(MID(VLOOKUP($B129,Seqs!$A:$B,2,0),AQ129,1),"")</f>
        <v>G</v>
      </c>
      <c r="AQ129" s="3">
        <v>285</v>
      </c>
      <c r="AR129" s="3" t="str">
        <f>IFERROR(MID(VLOOKUP($B129,Seqs!$A:$B,2,0),AS129,1),"")</f>
        <v>S</v>
      </c>
      <c r="AS129" s="3">
        <v>289</v>
      </c>
      <c r="AT129" s="3" t="str">
        <f>IFERROR(MID(VLOOKUP($B129,Seqs!$A:$B,2,0),AU129,1),"")</f>
        <v>V</v>
      </c>
      <c r="AU129" s="3">
        <v>321</v>
      </c>
      <c r="AV129" s="3" t="str">
        <f>IFERROR(MID(VLOOKUP($B129,Seqs!$A:$B,2,0),AW129,1),"")</f>
        <v>G</v>
      </c>
      <c r="AW129" s="3">
        <v>322</v>
      </c>
      <c r="AX129" s="3" t="str">
        <f>IFERROR(MID(VLOOKUP($B129,Seqs!$A:$B,2,0),AY129,1),"")</f>
        <v>P</v>
      </c>
      <c r="AY129" s="3">
        <v>336</v>
      </c>
      <c r="AZ129" s="77" t="str">
        <f>VLOOKUP(B129,Classification!A:D,2,0)</f>
        <v>A</v>
      </c>
      <c r="BA129" s="94" t="str">
        <f>VLOOKUP(B129,Classification!A:D,4,0)</f>
        <v>Angiotensin</v>
      </c>
      <c r="BB129" s="27" t="b">
        <f t="shared" ref="BB129:BB139" si="730">AND(E129&lt;G129,OR(G129&lt;I129,I129="-"),OR(I129&lt;K129,I129="-"),OR(K129&lt;M129,K129="-"),M129&lt;O129,OR(O129&lt;Q129,Q129="-"),OR(Q129&lt;S129,Q129="-"),OR(S129&lt;U129,S129="-"),U129&lt;W129,OR(W129&lt;Y129,Y129="-"),OR(Y129&lt;AA129,Y129="-"),OR(AA129&lt;AC129,AA129="-"),AC129&lt;AE129,OR(AE129&lt;AG129,AG129="-"),OR(AG129&lt;AI129,AG129="-"),OR(AI129&lt;AK129,AI129="-"),AK129&lt;AM129,AM129&lt;AO129,AO129&lt;AQ129,AQ129&lt;AS129,AS129&lt;AU129,OR(AU129&lt;AW129,AW129="-"),OR(AW129&lt;AY129,AW129="-"))</f>
        <v>1</v>
      </c>
      <c r="BC129" s="23">
        <f t="shared" ref="BC129:BC139" si="731">_xlfn.AGGREGATE(9,6,CH129:CS129)-_xlfn.AGGREGATE(9,6,BV129:CG129)+12</f>
        <v>265</v>
      </c>
      <c r="BD129" s="2" t="s">
        <v>23</v>
      </c>
      <c r="BE129" s="3" t="s">
        <v>23</v>
      </c>
      <c r="BF129" s="119" t="s">
        <v>23</v>
      </c>
      <c r="BG129" s="49" t="s">
        <v>1383</v>
      </c>
      <c r="BH129" s="49" t="s">
        <v>1383</v>
      </c>
      <c r="BI129" s="1"/>
      <c r="BJ129" s="70" t="s">
        <v>1293</v>
      </c>
      <c r="BK129" s="57" t="s">
        <v>1293</v>
      </c>
      <c r="BL129" s="57" t="s">
        <v>1293</v>
      </c>
      <c r="BM129" s="57" t="s">
        <v>1293</v>
      </c>
      <c r="BN129" s="57" t="s">
        <v>1293</v>
      </c>
      <c r="BO129" s="57" t="s">
        <v>1293</v>
      </c>
      <c r="BP129" s="57" t="s">
        <v>1293</v>
      </c>
      <c r="BQ129" s="57" t="s">
        <v>1293</v>
      </c>
      <c r="BR129" s="57" t="s">
        <v>1293</v>
      </c>
      <c r="BS129" s="57" t="s">
        <v>1293</v>
      </c>
      <c r="BT129" s="57" t="s">
        <v>1293</v>
      </c>
      <c r="BU129" s="57" t="s">
        <v>1293</v>
      </c>
      <c r="BV129" s="70">
        <f t="shared" ref="BV129:BV139" si="732">E129</f>
        <v>45</v>
      </c>
      <c r="BW129" s="71" t="str">
        <f t="shared" ref="BW129:BW139" si="733">I129</f>
        <v>-</v>
      </c>
      <c r="BX129" s="72">
        <f t="shared" ref="BX129:BX139" si="734">M129</f>
        <v>78</v>
      </c>
      <c r="BY129" s="71">
        <f t="shared" ref="BY129:BY139" si="735">Q129</f>
        <v>107</v>
      </c>
      <c r="BZ129" s="72">
        <f t="shared" ref="BZ129:BZ139" si="736">U129</f>
        <v>113</v>
      </c>
      <c r="CA129" s="71">
        <f t="shared" ref="CA129:CA139" si="737">Y129</f>
        <v>149</v>
      </c>
      <c r="CB129" s="72">
        <f t="shared" ref="CB129:CB139" si="738">AC129</f>
        <v>156</v>
      </c>
      <c r="CC129" s="71">
        <f t="shared" ref="CC129:CC139" si="739">AG129</f>
        <v>195</v>
      </c>
      <c r="CD129" s="72">
        <f t="shared" ref="CD129:CD139" si="740">AK129</f>
        <v>203</v>
      </c>
      <c r="CE129" s="71">
        <f t="shared" ref="CE129:CE139" si="741">AO129</f>
        <v>245</v>
      </c>
      <c r="CF129" s="72">
        <f t="shared" ref="CF129:CF139" si="742">AS129</f>
        <v>289</v>
      </c>
      <c r="CG129" s="71">
        <f t="shared" ref="CG129:CG139" si="743">AW129</f>
        <v>322</v>
      </c>
      <c r="CH129" s="70">
        <f t="shared" ref="CH129:CH139" si="744">G129</f>
        <v>72</v>
      </c>
      <c r="CI129" s="71" t="str">
        <f t="shared" ref="CI129:CI139" si="745">K129</f>
        <v>-</v>
      </c>
      <c r="CJ129" s="72">
        <f t="shared" ref="CJ129:CJ139" si="746">O129</f>
        <v>106</v>
      </c>
      <c r="CK129" s="72">
        <f t="shared" ref="CK129:CK139" si="747">S129</f>
        <v>112</v>
      </c>
      <c r="CL129" s="72">
        <f t="shared" ref="CL129:CL139" si="748">W129</f>
        <v>148</v>
      </c>
      <c r="CM129" s="72">
        <f t="shared" ref="CM129:CM139" si="749">AA129</f>
        <v>155</v>
      </c>
      <c r="CN129" s="72">
        <f t="shared" ref="CN129:CN139" si="750">AE129</f>
        <v>182</v>
      </c>
      <c r="CO129" s="72">
        <f t="shared" ref="CO129:CO139" si="751">AI129</f>
        <v>197</v>
      </c>
      <c r="CP129" s="72">
        <f t="shared" ref="CP129:CP139" si="752">AM129</f>
        <v>241</v>
      </c>
      <c r="CQ129" s="72">
        <f t="shared" ref="CQ129:CQ139" si="753">AQ129</f>
        <v>285</v>
      </c>
      <c r="CR129" s="72">
        <f t="shared" ref="CR129:CR139" si="754">AU129</f>
        <v>321</v>
      </c>
      <c r="CS129" s="72">
        <f t="shared" ref="CS129:CS139" si="755">AY129</f>
        <v>336</v>
      </c>
      <c r="CT129" s="23" t="e">
        <f t="shared" ref="CT129:CT139" si="756">M129-K129</f>
        <v>#VALUE!</v>
      </c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1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1"/>
      <c r="AFW129" s="1"/>
      <c r="AFX129" s="1"/>
      <c r="AFY129" s="1"/>
      <c r="AFZ129" s="1"/>
      <c r="AGA129" s="1"/>
      <c r="AGB129" s="1"/>
      <c r="AGC129" s="1"/>
      <c r="AGD129" s="1"/>
      <c r="AGE129" s="1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1"/>
      <c r="AHD129" s="1"/>
      <c r="AHE129" s="1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1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1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1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1"/>
      <c r="AKR129" s="1"/>
      <c r="AKS129" s="1"/>
      <c r="AKT129" s="1"/>
      <c r="AKU129" s="1"/>
      <c r="AKV129" s="1"/>
      <c r="AKW129" s="1"/>
      <c r="AKX129" s="1"/>
      <c r="AKY129" s="1"/>
      <c r="AKZ129" s="1"/>
      <c r="ALA129" s="1"/>
      <c r="ALB129" s="1"/>
      <c r="ALC129" s="1"/>
      <c r="ALD129" s="1"/>
      <c r="ALE129" s="1"/>
      <c r="ALF129" s="1"/>
      <c r="ALG129" s="1"/>
      <c r="ALH129" s="1"/>
      <c r="ALI129" s="1"/>
      <c r="ALJ129" s="1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1"/>
      <c r="AMB129" s="1"/>
      <c r="AMC129" s="1"/>
      <c r="AMD129" s="1"/>
      <c r="AME129" s="1"/>
      <c r="AMF129" s="1"/>
      <c r="AMG129" s="1"/>
      <c r="AMH129" s="1"/>
      <c r="AMI129" s="1"/>
      <c r="AMJ129" s="1"/>
      <c r="AMK129" s="1"/>
      <c r="AML129" s="1"/>
      <c r="AMM129" s="1"/>
      <c r="AMN129" s="1"/>
      <c r="AMO129" s="1"/>
    </row>
    <row r="130" spans="1:1030" x14ac:dyDescent="0.2">
      <c r="A130" s="3" t="str">
        <f t="shared" si="729"/>
        <v>agtr2_human_5UNF</v>
      </c>
      <c r="B130" s="3" t="s">
        <v>159</v>
      </c>
      <c r="C130" s="3" t="s">
        <v>1398</v>
      </c>
      <c r="D130" s="3" t="str">
        <f>IFERROR(MID(VLOOKUP($B130,Seqs!$A:$B,2,0),E130,1),"")</f>
        <v>A</v>
      </c>
      <c r="E130" s="3">
        <v>46</v>
      </c>
      <c r="F130" s="3" t="str">
        <f>IFERROR(MID(VLOOKUP($B130,Seqs!$A:$B,2,0),G130,1),"")</f>
        <v>Q</v>
      </c>
      <c r="G130" s="3">
        <v>72</v>
      </c>
      <c r="H130" s="3" t="str">
        <f>IFERROR(MID(VLOOKUP($B130,Seqs!$A:$B,2,0),I130,1),"")</f>
        <v/>
      </c>
      <c r="I130" s="23" t="s">
        <v>23</v>
      </c>
      <c r="J130" s="3" t="str">
        <f>IFERROR(MID(VLOOKUP($B130,Seqs!$A:$B,2,0),K130,1),"")</f>
        <v/>
      </c>
      <c r="K130" s="23" t="s">
        <v>23</v>
      </c>
      <c r="L130" s="3" t="str">
        <f>IFERROR(MID(VLOOKUP($B130,Seqs!$A:$B,2,0),M130,1),"")</f>
        <v>V</v>
      </c>
      <c r="M130" s="3">
        <v>78</v>
      </c>
      <c r="N130" s="3" t="str">
        <f>IFERROR(MID(VLOOKUP($B130,Seqs!$A:$B,2,0),O130,1),"")</f>
        <v>Y</v>
      </c>
      <c r="O130" s="3">
        <v>106</v>
      </c>
      <c r="P130" s="3" t="str">
        <f>IFERROR(MID(VLOOKUP($B130,Seqs!$A:$B,2,0),Q130,1),"")</f>
        <v>R</v>
      </c>
      <c r="Q130" s="3">
        <v>107</v>
      </c>
      <c r="R130" s="3" t="str">
        <f>IFERROR(MID(VLOOKUP($B130,Seqs!$A:$B,2,0),S130,1),"")</f>
        <v>F</v>
      </c>
      <c r="S130" s="3">
        <v>112</v>
      </c>
      <c r="T130" s="3" t="str">
        <f>IFERROR(MID(VLOOKUP($B130,Seqs!$A:$B,2,0),U130,1),"")</f>
        <v>G</v>
      </c>
      <c r="U130" s="3">
        <v>113</v>
      </c>
      <c r="V130" s="3" t="str">
        <f>IFERROR(MID(VLOOKUP($B130,Seqs!$A:$B,2,0),W130,1),"")</f>
        <v>Y</v>
      </c>
      <c r="W130" s="3">
        <v>148</v>
      </c>
      <c r="X130" s="3" t="str">
        <f>IFERROR(MID(VLOOKUP($B130,Seqs!$A:$B,2,0),Y130,1),"")</f>
        <v/>
      </c>
      <c r="Y130" s="3" t="s">
        <v>23</v>
      </c>
      <c r="Z130" s="3" t="str">
        <f>IFERROR(MID(VLOOKUP($B130,Seqs!$A:$B,2,0),AA130,1),"")</f>
        <v/>
      </c>
      <c r="AA130" s="3" t="s">
        <v>23</v>
      </c>
      <c r="AB130" s="3" t="str">
        <f>IFERROR(MID(VLOOKUP($B130,Seqs!$A:$B,2,0),AC130,1),"")</f>
        <v>W</v>
      </c>
      <c r="AC130" s="3">
        <v>158</v>
      </c>
      <c r="AD130" s="3" t="str">
        <f>IFERROR(MID(VLOOKUP($B130,Seqs!$A:$B,2,0),AE130,1),"")</f>
        <v>R</v>
      </c>
      <c r="AE130" s="3">
        <v>182</v>
      </c>
      <c r="AF130" s="3" t="str">
        <f>IFERROR(MID(VLOOKUP($B130,Seqs!$A:$B,2,0),AG130,1),"")</f>
        <v>C</v>
      </c>
      <c r="AG130" s="3">
        <v>195</v>
      </c>
      <c r="AH130" s="3" t="str">
        <f>IFERROR(MID(VLOOKUP($B130,Seqs!$A:$B,2,0),AI130,1),"")</f>
        <v>M</v>
      </c>
      <c r="AI130" s="3">
        <v>197</v>
      </c>
      <c r="AJ130" s="3" t="str">
        <f>IFERROR(MID(VLOOKUP($B130,Seqs!$A:$B,2,0),AK130,1),"")</f>
        <v>Y</v>
      </c>
      <c r="AK130" s="3">
        <v>204</v>
      </c>
      <c r="AL130" s="3" t="str">
        <f>IFERROR(MID(VLOOKUP($B130,Seqs!$A:$B,2,0),AM130,1),"")</f>
        <v>T</v>
      </c>
      <c r="AM130" s="3">
        <v>241</v>
      </c>
      <c r="AN130" s="3" t="str">
        <f>IFERROR(MID(VLOOKUP($B130,Seqs!$A:$B,2,0),AO130,1),"")</f>
        <v>G</v>
      </c>
      <c r="AO130" s="3">
        <v>245</v>
      </c>
      <c r="AP130" s="3" t="str">
        <f>IFERROR(MID(VLOOKUP($B130,Seqs!$A:$B,2,0),AQ130,1),"")</f>
        <v>G</v>
      </c>
      <c r="AQ130" s="3">
        <v>285</v>
      </c>
      <c r="AR130" s="3" t="str">
        <f>IFERROR(MID(VLOOKUP($B130,Seqs!$A:$B,2,0),AS130,1),"")</f>
        <v>C</v>
      </c>
      <c r="AS130" s="3">
        <v>290</v>
      </c>
      <c r="AT130" s="3" t="str">
        <f>IFERROR(MID(VLOOKUP($B130,Seqs!$A:$B,2,0),AU130,1),"")</f>
        <v>V</v>
      </c>
      <c r="AU130" s="3">
        <v>321</v>
      </c>
      <c r="AV130" s="3" t="str">
        <f>IFERROR(MID(VLOOKUP($B130,Seqs!$A:$B,2,0),AW130,1),"")</f>
        <v>G</v>
      </c>
      <c r="AW130" s="3">
        <v>322</v>
      </c>
      <c r="AX130" s="3" t="str">
        <f>IFERROR(MID(VLOOKUP($B130,Seqs!$A:$B,2,0),AY130,1),"")</f>
        <v>R</v>
      </c>
      <c r="AY130" s="3">
        <v>334</v>
      </c>
      <c r="AZ130" s="77"/>
      <c r="BA130" s="94" t="str">
        <f>VLOOKUP(B130,Classification!A:D,4,0)</f>
        <v>Angiotensin</v>
      </c>
      <c r="BB130" s="27" t="b">
        <f t="shared" si="730"/>
        <v>1</v>
      </c>
      <c r="BC130" s="23">
        <f t="shared" si="731"/>
        <v>252</v>
      </c>
      <c r="BD130" s="2" t="s">
        <v>23</v>
      </c>
      <c r="BE130" s="3" t="s">
        <v>1297</v>
      </c>
      <c r="BF130" s="119">
        <v>2.8</v>
      </c>
      <c r="BG130" s="49" t="s">
        <v>1383</v>
      </c>
      <c r="BH130" s="49" t="s">
        <v>1</v>
      </c>
      <c r="BI130" s="1"/>
      <c r="BJ130" s="70" t="s">
        <v>1293</v>
      </c>
      <c r="BK130" s="57" t="s">
        <v>1293</v>
      </c>
      <c r="BL130" s="57" t="s">
        <v>1293</v>
      </c>
      <c r="BM130" s="57" t="s">
        <v>1293</v>
      </c>
      <c r="BN130" s="57" t="s">
        <v>1293</v>
      </c>
      <c r="BO130" s="57" t="s">
        <v>1293</v>
      </c>
      <c r="BP130" s="57" t="s">
        <v>1293</v>
      </c>
      <c r="BQ130" s="57" t="s">
        <v>1293</v>
      </c>
      <c r="BR130" s="57" t="s">
        <v>1293</v>
      </c>
      <c r="BS130" s="57" t="s">
        <v>1293</v>
      </c>
      <c r="BT130" s="57" t="s">
        <v>1293</v>
      </c>
      <c r="BU130" s="57" t="s">
        <v>1293</v>
      </c>
      <c r="BV130" s="70">
        <f t="shared" si="732"/>
        <v>46</v>
      </c>
      <c r="BW130" s="71" t="str">
        <f t="shared" si="733"/>
        <v>-</v>
      </c>
      <c r="BX130" s="72">
        <f t="shared" si="734"/>
        <v>78</v>
      </c>
      <c r="BY130" s="71">
        <f t="shared" si="735"/>
        <v>107</v>
      </c>
      <c r="BZ130" s="72">
        <f t="shared" si="736"/>
        <v>113</v>
      </c>
      <c r="CA130" s="71" t="str">
        <f t="shared" si="737"/>
        <v>-</v>
      </c>
      <c r="CB130" s="72">
        <f t="shared" si="738"/>
        <v>158</v>
      </c>
      <c r="CC130" s="71">
        <f t="shared" si="739"/>
        <v>195</v>
      </c>
      <c r="CD130" s="72">
        <f t="shared" si="740"/>
        <v>204</v>
      </c>
      <c r="CE130" s="71">
        <f t="shared" si="741"/>
        <v>245</v>
      </c>
      <c r="CF130" s="72">
        <f t="shared" si="742"/>
        <v>290</v>
      </c>
      <c r="CG130" s="71">
        <f t="shared" si="743"/>
        <v>322</v>
      </c>
      <c r="CH130" s="70">
        <f t="shared" si="744"/>
        <v>72</v>
      </c>
      <c r="CI130" s="71" t="str">
        <f t="shared" si="745"/>
        <v>-</v>
      </c>
      <c r="CJ130" s="72">
        <f t="shared" si="746"/>
        <v>106</v>
      </c>
      <c r="CK130" s="72">
        <f t="shared" si="747"/>
        <v>112</v>
      </c>
      <c r="CL130" s="72">
        <f t="shared" si="748"/>
        <v>148</v>
      </c>
      <c r="CM130" s="72" t="str">
        <f t="shared" si="749"/>
        <v>-</v>
      </c>
      <c r="CN130" s="72">
        <f t="shared" si="750"/>
        <v>182</v>
      </c>
      <c r="CO130" s="72">
        <f t="shared" si="751"/>
        <v>197</v>
      </c>
      <c r="CP130" s="72">
        <f t="shared" si="752"/>
        <v>241</v>
      </c>
      <c r="CQ130" s="72">
        <f t="shared" si="753"/>
        <v>285</v>
      </c>
      <c r="CR130" s="72">
        <f t="shared" si="754"/>
        <v>321</v>
      </c>
      <c r="CS130" s="72">
        <f t="shared" si="755"/>
        <v>334</v>
      </c>
      <c r="CT130" s="23" t="e">
        <f t="shared" si="756"/>
        <v>#VALUE!</v>
      </c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  <c r="ADW130" s="1"/>
      <c r="ADX130" s="1"/>
      <c r="ADY130" s="1"/>
      <c r="ADZ130" s="1"/>
      <c r="AEA130" s="1"/>
      <c r="AEB130" s="1"/>
      <c r="AEC130" s="1"/>
      <c r="AED130" s="1"/>
      <c r="AEE130" s="1"/>
      <c r="AEF130" s="1"/>
      <c r="AEG130" s="1"/>
      <c r="AEH130" s="1"/>
      <c r="AEI130" s="1"/>
      <c r="AEJ130" s="1"/>
      <c r="AEK130" s="1"/>
      <c r="AEL130" s="1"/>
      <c r="AEM130" s="1"/>
      <c r="AEN130" s="1"/>
      <c r="AEO130" s="1"/>
      <c r="AEP130" s="1"/>
      <c r="AEQ130" s="1"/>
      <c r="AER130" s="1"/>
      <c r="AES130" s="1"/>
      <c r="AET130" s="1"/>
      <c r="AEU130" s="1"/>
      <c r="AEV130" s="1"/>
      <c r="AEW130" s="1"/>
      <c r="AEX130" s="1"/>
      <c r="AEY130" s="1"/>
      <c r="AEZ130" s="1"/>
      <c r="AFA130" s="1"/>
      <c r="AFB130" s="1"/>
      <c r="AFC130" s="1"/>
      <c r="AFD130" s="1"/>
      <c r="AFE130" s="1"/>
      <c r="AFF130" s="1"/>
      <c r="AFG130" s="1"/>
      <c r="AFH130" s="1"/>
      <c r="AFI130" s="1"/>
      <c r="AFJ130" s="1"/>
      <c r="AFK130" s="1"/>
      <c r="AFL130" s="1"/>
      <c r="AFM130" s="1"/>
      <c r="AFN130" s="1"/>
      <c r="AFO130" s="1"/>
      <c r="AFP130" s="1"/>
      <c r="AFQ130" s="1"/>
      <c r="AFR130" s="1"/>
      <c r="AFS130" s="1"/>
      <c r="AFT130" s="1"/>
      <c r="AFU130" s="1"/>
      <c r="AFV130" s="1"/>
      <c r="AFW130" s="1"/>
      <c r="AFX130" s="1"/>
      <c r="AFY130" s="1"/>
      <c r="AFZ130" s="1"/>
      <c r="AGA130" s="1"/>
      <c r="AGB130" s="1"/>
      <c r="AGC130" s="1"/>
      <c r="AGD130" s="1"/>
      <c r="AGE130" s="1"/>
      <c r="AGF130" s="1"/>
      <c r="AGG130" s="1"/>
      <c r="AGH130" s="1"/>
      <c r="AGI130" s="1"/>
      <c r="AGJ130" s="1"/>
      <c r="AGK130" s="1"/>
      <c r="AGL130" s="1"/>
      <c r="AGM130" s="1"/>
      <c r="AGN130" s="1"/>
      <c r="AGO130" s="1"/>
      <c r="AGP130" s="1"/>
      <c r="AGQ130" s="1"/>
      <c r="AGR130" s="1"/>
      <c r="AGS130" s="1"/>
      <c r="AGT130" s="1"/>
      <c r="AGU130" s="1"/>
      <c r="AGV130" s="1"/>
      <c r="AGW130" s="1"/>
      <c r="AGX130" s="1"/>
      <c r="AGY130" s="1"/>
      <c r="AGZ130" s="1"/>
      <c r="AHA130" s="1"/>
      <c r="AHB130" s="1"/>
      <c r="AHC130" s="1"/>
      <c r="AHD130" s="1"/>
      <c r="AHE130" s="1"/>
      <c r="AHF130" s="1"/>
      <c r="AHG130" s="1"/>
      <c r="AHH130" s="1"/>
      <c r="AHI130" s="1"/>
      <c r="AHJ130" s="1"/>
      <c r="AHK130" s="1"/>
      <c r="AHL130" s="1"/>
      <c r="AHM130" s="1"/>
      <c r="AHN130" s="1"/>
      <c r="AHO130" s="1"/>
      <c r="AHP130" s="1"/>
      <c r="AHQ130" s="1"/>
      <c r="AHR130" s="1"/>
      <c r="AHS130" s="1"/>
      <c r="AHT130" s="1"/>
      <c r="AHU130" s="1"/>
      <c r="AHV130" s="1"/>
      <c r="AHW130" s="1"/>
      <c r="AHX130" s="1"/>
      <c r="AHY130" s="1"/>
      <c r="AHZ130" s="1"/>
      <c r="AIA130" s="1"/>
      <c r="AIB130" s="1"/>
      <c r="AIC130" s="1"/>
      <c r="AID130" s="1"/>
      <c r="AIE130" s="1"/>
      <c r="AIF130" s="1"/>
      <c r="AIG130" s="1"/>
      <c r="AIH130" s="1"/>
      <c r="AII130" s="1"/>
      <c r="AIJ130" s="1"/>
      <c r="AIK130" s="1"/>
      <c r="AIL130" s="1"/>
      <c r="AIM130" s="1"/>
      <c r="AIN130" s="1"/>
      <c r="AIO130" s="1"/>
      <c r="AIP130" s="1"/>
      <c r="AIQ130" s="1"/>
      <c r="AIR130" s="1"/>
      <c r="AIS130" s="1"/>
      <c r="AIT130" s="1"/>
      <c r="AIU130" s="1"/>
      <c r="AIV130" s="1"/>
      <c r="AIW130" s="1"/>
      <c r="AIX130" s="1"/>
      <c r="AIY130" s="1"/>
      <c r="AIZ130" s="1"/>
      <c r="AJA130" s="1"/>
      <c r="AJB130" s="1"/>
      <c r="AJC130" s="1"/>
      <c r="AJD130" s="1"/>
      <c r="AJE130" s="1"/>
      <c r="AJF130" s="1"/>
      <c r="AJG130" s="1"/>
      <c r="AJH130" s="1"/>
      <c r="AJI130" s="1"/>
      <c r="AJJ130" s="1"/>
      <c r="AJK130" s="1"/>
      <c r="AJL130" s="1"/>
      <c r="AJM130" s="1"/>
      <c r="AJN130" s="1"/>
      <c r="AJO130" s="1"/>
      <c r="AJP130" s="1"/>
      <c r="AJQ130" s="1"/>
      <c r="AJR130" s="1"/>
      <c r="AJS130" s="1"/>
      <c r="AJT130" s="1"/>
      <c r="AJU130" s="1"/>
      <c r="AJV130" s="1"/>
      <c r="AJW130" s="1"/>
      <c r="AJX130" s="1"/>
      <c r="AJY130" s="1"/>
      <c r="AJZ130" s="1"/>
      <c r="AKA130" s="1"/>
      <c r="AKB130" s="1"/>
      <c r="AKC130" s="1"/>
      <c r="AKD130" s="1"/>
      <c r="AKE130" s="1"/>
      <c r="AKF130" s="1"/>
      <c r="AKG130" s="1"/>
      <c r="AKH130" s="1"/>
      <c r="AKI130" s="1"/>
      <c r="AKJ130" s="1"/>
      <c r="AKK130" s="1"/>
      <c r="AKL130" s="1"/>
      <c r="AKM130" s="1"/>
      <c r="AKN130" s="1"/>
      <c r="AKO130" s="1"/>
      <c r="AKP130" s="1"/>
      <c r="AKQ130" s="1"/>
      <c r="AKR130" s="1"/>
      <c r="AKS130" s="1"/>
      <c r="AKT130" s="1"/>
      <c r="AKU130" s="1"/>
      <c r="AKV130" s="1"/>
      <c r="AKW130" s="1"/>
      <c r="AKX130" s="1"/>
      <c r="AKY130" s="1"/>
      <c r="AKZ130" s="1"/>
      <c r="ALA130" s="1"/>
      <c r="ALB130" s="1"/>
      <c r="ALC130" s="1"/>
      <c r="ALD130" s="1"/>
      <c r="ALE130" s="1"/>
      <c r="ALF130" s="1"/>
      <c r="ALG130" s="1"/>
      <c r="ALH130" s="1"/>
      <c r="ALI130" s="1"/>
      <c r="ALJ130" s="1"/>
      <c r="ALK130" s="1"/>
      <c r="ALL130" s="1"/>
      <c r="ALM130" s="1"/>
      <c r="ALN130" s="1"/>
      <c r="ALO130" s="1"/>
      <c r="ALP130" s="1"/>
      <c r="ALQ130" s="1"/>
      <c r="ALR130" s="1"/>
      <c r="ALS130" s="1"/>
      <c r="ALT130" s="1"/>
      <c r="ALU130" s="1"/>
      <c r="ALV130" s="1"/>
      <c r="ALW130" s="1"/>
      <c r="ALX130" s="1"/>
      <c r="ALY130" s="1"/>
      <c r="ALZ130" s="1"/>
      <c r="AMA130" s="1"/>
      <c r="AMB130" s="1"/>
      <c r="AMC130" s="1"/>
      <c r="AMD130" s="1"/>
      <c r="AME130" s="1"/>
      <c r="AMF130" s="1"/>
      <c r="AMG130" s="1"/>
      <c r="AMH130" s="1"/>
      <c r="AMI130" s="1"/>
      <c r="AMJ130" s="1"/>
      <c r="AMK130" s="1"/>
      <c r="AML130" s="1"/>
      <c r="AMM130" s="1"/>
      <c r="AMN130" s="1"/>
      <c r="AMO130" s="1"/>
    </row>
    <row r="131" spans="1:1030" x14ac:dyDescent="0.2">
      <c r="A131" s="3" t="str">
        <f t="shared" si="729"/>
        <v>agtr2_human_5UNG</v>
      </c>
      <c r="B131" s="3" t="s">
        <v>159</v>
      </c>
      <c r="C131" s="3" t="s">
        <v>1400</v>
      </c>
      <c r="D131" s="3" t="str">
        <f>IFERROR(MID(VLOOKUP($B131,Seqs!$A:$B,2,0),E131,1),"")</f>
        <v>D</v>
      </c>
      <c r="E131" s="3">
        <v>45</v>
      </c>
      <c r="F131" s="3" t="str">
        <f>IFERROR(MID(VLOOKUP($B131,Seqs!$A:$B,2,0),G131,1),"")</f>
        <v>C</v>
      </c>
      <c r="G131" s="3">
        <v>71</v>
      </c>
      <c r="H131" s="3" t="str">
        <f>IFERROR(MID(VLOOKUP($B131,Seqs!$A:$B,2,0),I131,1),"")</f>
        <v/>
      </c>
      <c r="I131" s="23" t="s">
        <v>23</v>
      </c>
      <c r="J131" s="3" t="str">
        <f>IFERROR(MID(VLOOKUP($B131,Seqs!$A:$B,2,0),K131,1),"")</f>
        <v/>
      </c>
      <c r="K131" s="23" t="s">
        <v>23</v>
      </c>
      <c r="L131" s="3" t="str">
        <f>IFERROR(MID(VLOOKUP($B131,Seqs!$A:$B,2,0),M131,1),"")</f>
        <v>V</v>
      </c>
      <c r="M131" s="3">
        <v>78</v>
      </c>
      <c r="N131" s="3" t="str">
        <f>IFERROR(MID(VLOOKUP($B131,Seqs!$A:$B,2,0),O131,1),"")</f>
        <v>Y</v>
      </c>
      <c r="O131" s="3">
        <v>106</v>
      </c>
      <c r="P131" s="3" t="str">
        <f>IFERROR(MID(VLOOKUP($B131,Seqs!$A:$B,2,0),Q131,1),"")</f>
        <v>R</v>
      </c>
      <c r="Q131" s="3">
        <v>107</v>
      </c>
      <c r="R131" s="3" t="str">
        <f>IFERROR(MID(VLOOKUP($B131,Seqs!$A:$B,2,0),S131,1),"")</f>
        <v>F</v>
      </c>
      <c r="S131" s="3">
        <v>112</v>
      </c>
      <c r="T131" s="3" t="str">
        <f>IFERROR(MID(VLOOKUP($B131,Seqs!$A:$B,2,0),U131,1),"")</f>
        <v>G</v>
      </c>
      <c r="U131" s="3">
        <v>113</v>
      </c>
      <c r="V131" s="3" t="str">
        <f>IFERROR(MID(VLOOKUP($B131,Seqs!$A:$B,2,0),W131,1),"")</f>
        <v>Y</v>
      </c>
      <c r="W131" s="3">
        <v>148</v>
      </c>
      <c r="X131" s="3" t="str">
        <f>IFERROR(MID(VLOOKUP($B131,Seqs!$A:$B,2,0),Y131,1),"")</f>
        <v/>
      </c>
      <c r="Y131" s="3" t="s">
        <v>23</v>
      </c>
      <c r="Z131" s="3" t="str">
        <f>IFERROR(MID(VLOOKUP($B131,Seqs!$A:$B,2,0),AA131,1),"")</f>
        <v/>
      </c>
      <c r="AA131" s="3" t="s">
        <v>23</v>
      </c>
      <c r="AB131" s="3" t="str">
        <f>IFERROR(MID(VLOOKUP($B131,Seqs!$A:$B,2,0),AC131,1),"")</f>
        <v>Q</v>
      </c>
      <c r="AC131" s="3">
        <v>159</v>
      </c>
      <c r="AD131" s="3" t="str">
        <f>IFERROR(MID(VLOOKUP($B131,Seqs!$A:$B,2,0),AE131,1),"")</f>
        <v>R</v>
      </c>
      <c r="AE131" s="3">
        <v>182</v>
      </c>
      <c r="AF131" s="3" t="str">
        <f>IFERROR(MID(VLOOKUP($B131,Seqs!$A:$B,2,0),AG131,1),"")</f>
        <v>C</v>
      </c>
      <c r="AG131" s="3">
        <v>195</v>
      </c>
      <c r="AH131" s="3" t="str">
        <f>IFERROR(MID(VLOOKUP($B131,Seqs!$A:$B,2,0),AI131,1),"")</f>
        <v>M</v>
      </c>
      <c r="AI131" s="3">
        <v>197</v>
      </c>
      <c r="AJ131" s="3" t="str">
        <f>IFERROR(MID(VLOOKUP($B131,Seqs!$A:$B,2,0),AK131,1),"")</f>
        <v>K</v>
      </c>
      <c r="AK131" s="3">
        <v>203</v>
      </c>
      <c r="AL131" s="3" t="str">
        <f>IFERROR(MID(VLOOKUP($B131,Seqs!$A:$B,2,0),AM131,1),"")</f>
        <v>T</v>
      </c>
      <c r="AM131" s="3">
        <v>241</v>
      </c>
      <c r="AN131" s="3" t="str">
        <f>IFERROR(MID(VLOOKUP($B131,Seqs!$A:$B,2,0),AO131,1),"")</f>
        <v>G</v>
      </c>
      <c r="AO131" s="3">
        <v>245</v>
      </c>
      <c r="AP131" s="3" t="str">
        <f>IFERROR(MID(VLOOKUP($B131,Seqs!$A:$B,2,0),AQ131,1),"")</f>
        <v>G</v>
      </c>
      <c r="AQ131" s="3">
        <v>285</v>
      </c>
      <c r="AR131" s="3" t="str">
        <f>IFERROR(MID(VLOOKUP($B131,Seqs!$A:$B,2,0),AS131,1),"")</f>
        <v>S</v>
      </c>
      <c r="AS131" s="3">
        <v>289</v>
      </c>
      <c r="AT131" s="3" t="str">
        <f>IFERROR(MID(VLOOKUP($B131,Seqs!$A:$B,2,0),AU131,1),"")</f>
        <v>V</v>
      </c>
      <c r="AU131" s="3">
        <v>321</v>
      </c>
      <c r="AV131" s="3" t="str">
        <f>IFERROR(MID(VLOOKUP($B131,Seqs!$A:$B,2,0),AW131,1),"")</f>
        <v>G</v>
      </c>
      <c r="AW131" s="3">
        <v>322</v>
      </c>
      <c r="AX131" s="3" t="str">
        <f>IFERROR(MID(VLOOKUP($B131,Seqs!$A:$B,2,0),AY131,1),"")</f>
        <v>R</v>
      </c>
      <c r="AY131" s="3">
        <v>334</v>
      </c>
      <c r="AZ131" s="77" t="str">
        <f>VLOOKUP(B131,Classification!A:D,2,0)</f>
        <v>A</v>
      </c>
      <c r="BA131" s="94" t="str">
        <f>VLOOKUP(B131,Classification!A:D,4,0)</f>
        <v>Angiotensin</v>
      </c>
      <c r="BB131" s="27" t="b">
        <f t="shared" si="730"/>
        <v>1</v>
      </c>
      <c r="BC131" s="23">
        <f t="shared" si="731"/>
        <v>253</v>
      </c>
      <c r="BD131" s="2" t="s">
        <v>1381</v>
      </c>
      <c r="BE131" s="3" t="s">
        <v>1297</v>
      </c>
      <c r="BF131" s="119">
        <v>2.8</v>
      </c>
      <c r="BG131" s="49" t="s">
        <v>1383</v>
      </c>
      <c r="BH131" s="49" t="s">
        <v>1287</v>
      </c>
      <c r="BI131" s="1"/>
      <c r="BJ131" s="70" t="s">
        <v>1293</v>
      </c>
      <c r="BK131" s="57" t="s">
        <v>1293</v>
      </c>
      <c r="BL131" s="57" t="s">
        <v>1293</v>
      </c>
      <c r="BM131" s="57" t="s">
        <v>1293</v>
      </c>
      <c r="BN131" s="57" t="s">
        <v>1293</v>
      </c>
      <c r="BO131" s="57" t="s">
        <v>1293</v>
      </c>
      <c r="BP131" s="57" t="s">
        <v>1293</v>
      </c>
      <c r="BQ131" s="57" t="s">
        <v>1293</v>
      </c>
      <c r="BR131" s="57" t="s">
        <v>1293</v>
      </c>
      <c r="BS131" s="57" t="s">
        <v>1293</v>
      </c>
      <c r="BT131" s="57" t="s">
        <v>1293</v>
      </c>
      <c r="BU131" s="57" t="s">
        <v>1293</v>
      </c>
      <c r="BV131" s="70">
        <f t="shared" si="732"/>
        <v>45</v>
      </c>
      <c r="BW131" s="71" t="str">
        <f t="shared" si="733"/>
        <v>-</v>
      </c>
      <c r="BX131" s="72">
        <f t="shared" si="734"/>
        <v>78</v>
      </c>
      <c r="BY131" s="71">
        <f t="shared" si="735"/>
        <v>107</v>
      </c>
      <c r="BZ131" s="72">
        <f t="shared" si="736"/>
        <v>113</v>
      </c>
      <c r="CA131" s="71" t="str">
        <f t="shared" si="737"/>
        <v>-</v>
      </c>
      <c r="CB131" s="72">
        <f t="shared" si="738"/>
        <v>159</v>
      </c>
      <c r="CC131" s="71">
        <f t="shared" si="739"/>
        <v>195</v>
      </c>
      <c r="CD131" s="72">
        <f t="shared" si="740"/>
        <v>203</v>
      </c>
      <c r="CE131" s="71">
        <f t="shared" si="741"/>
        <v>245</v>
      </c>
      <c r="CF131" s="72">
        <f t="shared" si="742"/>
        <v>289</v>
      </c>
      <c r="CG131" s="71">
        <f t="shared" si="743"/>
        <v>322</v>
      </c>
      <c r="CH131" s="70">
        <f t="shared" si="744"/>
        <v>71</v>
      </c>
      <c r="CI131" s="71" t="str">
        <f t="shared" si="745"/>
        <v>-</v>
      </c>
      <c r="CJ131" s="72">
        <f t="shared" si="746"/>
        <v>106</v>
      </c>
      <c r="CK131" s="72">
        <f t="shared" si="747"/>
        <v>112</v>
      </c>
      <c r="CL131" s="72">
        <f t="shared" si="748"/>
        <v>148</v>
      </c>
      <c r="CM131" s="72" t="str">
        <f t="shared" si="749"/>
        <v>-</v>
      </c>
      <c r="CN131" s="72">
        <f t="shared" si="750"/>
        <v>182</v>
      </c>
      <c r="CO131" s="72">
        <f t="shared" si="751"/>
        <v>197</v>
      </c>
      <c r="CP131" s="72">
        <f t="shared" si="752"/>
        <v>241</v>
      </c>
      <c r="CQ131" s="72">
        <f t="shared" si="753"/>
        <v>285</v>
      </c>
      <c r="CR131" s="72">
        <f t="shared" si="754"/>
        <v>321</v>
      </c>
      <c r="CS131" s="72">
        <f t="shared" si="755"/>
        <v>334</v>
      </c>
      <c r="CT131" s="23" t="e">
        <f t="shared" si="756"/>
        <v>#VALUE!</v>
      </c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  <c r="ADW131" s="1"/>
      <c r="ADX131" s="1"/>
      <c r="ADY131" s="1"/>
      <c r="ADZ131" s="1"/>
      <c r="AEA131" s="1"/>
      <c r="AEB131" s="1"/>
      <c r="AEC131" s="1"/>
      <c r="AED131" s="1"/>
      <c r="AEE131" s="1"/>
      <c r="AEF131" s="1"/>
      <c r="AEG131" s="1"/>
      <c r="AEH131" s="1"/>
      <c r="AEI131" s="1"/>
      <c r="AEJ131" s="1"/>
      <c r="AEK131" s="1"/>
      <c r="AEL131" s="1"/>
      <c r="AEM131" s="1"/>
      <c r="AEN131" s="1"/>
      <c r="AEO131" s="1"/>
      <c r="AEP131" s="1"/>
      <c r="AEQ131" s="1"/>
      <c r="AER131" s="1"/>
      <c r="AES131" s="1"/>
      <c r="AET131" s="1"/>
      <c r="AEU131" s="1"/>
      <c r="AEV131" s="1"/>
      <c r="AEW131" s="1"/>
      <c r="AEX131" s="1"/>
      <c r="AEY131" s="1"/>
      <c r="AEZ131" s="1"/>
      <c r="AFA131" s="1"/>
      <c r="AFB131" s="1"/>
      <c r="AFC131" s="1"/>
      <c r="AFD131" s="1"/>
      <c r="AFE131" s="1"/>
      <c r="AFF131" s="1"/>
      <c r="AFG131" s="1"/>
      <c r="AFH131" s="1"/>
      <c r="AFI131" s="1"/>
      <c r="AFJ131" s="1"/>
      <c r="AFK131" s="1"/>
      <c r="AFL131" s="1"/>
      <c r="AFM131" s="1"/>
      <c r="AFN131" s="1"/>
      <c r="AFO131" s="1"/>
      <c r="AFP131" s="1"/>
      <c r="AFQ131" s="1"/>
      <c r="AFR131" s="1"/>
      <c r="AFS131" s="1"/>
      <c r="AFT131" s="1"/>
      <c r="AFU131" s="1"/>
      <c r="AFV131" s="1"/>
      <c r="AFW131" s="1"/>
      <c r="AFX131" s="1"/>
      <c r="AFY131" s="1"/>
      <c r="AFZ131" s="1"/>
      <c r="AGA131" s="1"/>
      <c r="AGB131" s="1"/>
      <c r="AGC131" s="1"/>
      <c r="AGD131" s="1"/>
      <c r="AGE131" s="1"/>
      <c r="AGF131" s="1"/>
      <c r="AGG131" s="1"/>
      <c r="AGH131" s="1"/>
      <c r="AGI131" s="1"/>
      <c r="AGJ131" s="1"/>
      <c r="AGK131" s="1"/>
      <c r="AGL131" s="1"/>
      <c r="AGM131" s="1"/>
      <c r="AGN131" s="1"/>
      <c r="AGO131" s="1"/>
      <c r="AGP131" s="1"/>
      <c r="AGQ131" s="1"/>
      <c r="AGR131" s="1"/>
      <c r="AGS131" s="1"/>
      <c r="AGT131" s="1"/>
      <c r="AGU131" s="1"/>
      <c r="AGV131" s="1"/>
      <c r="AGW131" s="1"/>
      <c r="AGX131" s="1"/>
      <c r="AGY131" s="1"/>
      <c r="AGZ131" s="1"/>
      <c r="AHA131" s="1"/>
      <c r="AHB131" s="1"/>
      <c r="AHC131" s="1"/>
      <c r="AHD131" s="1"/>
      <c r="AHE131" s="1"/>
      <c r="AHF131" s="1"/>
      <c r="AHG131" s="1"/>
      <c r="AHH131" s="1"/>
      <c r="AHI131" s="1"/>
      <c r="AHJ131" s="1"/>
      <c r="AHK131" s="1"/>
      <c r="AHL131" s="1"/>
      <c r="AHM131" s="1"/>
      <c r="AHN131" s="1"/>
      <c r="AHO131" s="1"/>
      <c r="AHP131" s="1"/>
      <c r="AHQ131" s="1"/>
      <c r="AHR131" s="1"/>
      <c r="AHS131" s="1"/>
      <c r="AHT131" s="1"/>
      <c r="AHU131" s="1"/>
      <c r="AHV131" s="1"/>
      <c r="AHW131" s="1"/>
      <c r="AHX131" s="1"/>
      <c r="AHY131" s="1"/>
      <c r="AHZ131" s="1"/>
      <c r="AIA131" s="1"/>
      <c r="AIB131" s="1"/>
      <c r="AIC131" s="1"/>
      <c r="AID131" s="1"/>
      <c r="AIE131" s="1"/>
      <c r="AIF131" s="1"/>
      <c r="AIG131" s="1"/>
      <c r="AIH131" s="1"/>
      <c r="AII131" s="1"/>
      <c r="AIJ131" s="1"/>
      <c r="AIK131" s="1"/>
      <c r="AIL131" s="1"/>
      <c r="AIM131" s="1"/>
      <c r="AIN131" s="1"/>
      <c r="AIO131" s="1"/>
      <c r="AIP131" s="1"/>
      <c r="AIQ131" s="1"/>
      <c r="AIR131" s="1"/>
      <c r="AIS131" s="1"/>
      <c r="AIT131" s="1"/>
      <c r="AIU131" s="1"/>
      <c r="AIV131" s="1"/>
      <c r="AIW131" s="1"/>
      <c r="AIX131" s="1"/>
      <c r="AIY131" s="1"/>
      <c r="AIZ131" s="1"/>
      <c r="AJA131" s="1"/>
      <c r="AJB131" s="1"/>
      <c r="AJC131" s="1"/>
      <c r="AJD131" s="1"/>
      <c r="AJE131" s="1"/>
      <c r="AJF131" s="1"/>
      <c r="AJG131" s="1"/>
      <c r="AJH131" s="1"/>
      <c r="AJI131" s="1"/>
      <c r="AJJ131" s="1"/>
      <c r="AJK131" s="1"/>
      <c r="AJL131" s="1"/>
      <c r="AJM131" s="1"/>
      <c r="AJN131" s="1"/>
      <c r="AJO131" s="1"/>
      <c r="AJP131" s="1"/>
      <c r="AJQ131" s="1"/>
      <c r="AJR131" s="1"/>
      <c r="AJS131" s="1"/>
      <c r="AJT131" s="1"/>
      <c r="AJU131" s="1"/>
      <c r="AJV131" s="1"/>
      <c r="AJW131" s="1"/>
      <c r="AJX131" s="1"/>
      <c r="AJY131" s="1"/>
      <c r="AJZ131" s="1"/>
      <c r="AKA131" s="1"/>
      <c r="AKB131" s="1"/>
      <c r="AKC131" s="1"/>
      <c r="AKD131" s="1"/>
      <c r="AKE131" s="1"/>
      <c r="AKF131" s="1"/>
      <c r="AKG131" s="1"/>
      <c r="AKH131" s="1"/>
      <c r="AKI131" s="1"/>
      <c r="AKJ131" s="1"/>
      <c r="AKK131" s="1"/>
      <c r="AKL131" s="1"/>
      <c r="AKM131" s="1"/>
      <c r="AKN131" s="1"/>
      <c r="AKO131" s="1"/>
      <c r="AKP131" s="1"/>
      <c r="AKQ131" s="1"/>
      <c r="AKR131" s="1"/>
      <c r="AKS131" s="1"/>
      <c r="AKT131" s="1"/>
      <c r="AKU131" s="1"/>
      <c r="AKV131" s="1"/>
      <c r="AKW131" s="1"/>
      <c r="AKX131" s="1"/>
      <c r="AKY131" s="1"/>
      <c r="AKZ131" s="1"/>
      <c r="ALA131" s="1"/>
      <c r="ALB131" s="1"/>
      <c r="ALC131" s="1"/>
      <c r="ALD131" s="1"/>
      <c r="ALE131" s="1"/>
      <c r="ALF131" s="1"/>
      <c r="ALG131" s="1"/>
      <c r="ALH131" s="1"/>
      <c r="ALI131" s="1"/>
      <c r="ALJ131" s="1"/>
      <c r="ALK131" s="1"/>
      <c r="ALL131" s="1"/>
      <c r="ALM131" s="1"/>
      <c r="ALN131" s="1"/>
      <c r="ALO131" s="1"/>
      <c r="ALP131" s="1"/>
      <c r="ALQ131" s="1"/>
      <c r="ALR131" s="1"/>
      <c r="ALS131" s="1"/>
      <c r="ALT131" s="1"/>
      <c r="ALU131" s="1"/>
      <c r="ALV131" s="1"/>
      <c r="ALW131" s="1"/>
      <c r="ALX131" s="1"/>
      <c r="ALY131" s="1"/>
      <c r="ALZ131" s="1"/>
      <c r="AMA131" s="1"/>
      <c r="AMB131" s="1"/>
      <c r="AMC131" s="1"/>
      <c r="AMD131" s="1"/>
      <c r="AME131" s="1"/>
      <c r="AMF131" s="1"/>
      <c r="AMG131" s="1"/>
      <c r="AMH131" s="1"/>
      <c r="AMI131" s="1"/>
      <c r="AMJ131" s="1"/>
      <c r="AMK131" s="1"/>
      <c r="AML131" s="1"/>
      <c r="AMM131" s="1"/>
      <c r="AMN131" s="1"/>
      <c r="AMO131" s="1"/>
    </row>
    <row r="132" spans="1:1030" x14ac:dyDescent="0.2">
      <c r="A132" s="3" t="str">
        <f t="shared" si="729"/>
        <v>agtr2_human_5UNH</v>
      </c>
      <c r="B132" s="3" t="s">
        <v>159</v>
      </c>
      <c r="C132" s="3" t="s">
        <v>1401</v>
      </c>
      <c r="D132" s="3" t="str">
        <f>IFERROR(MID(VLOOKUP($B132,Seqs!$A:$B,2,0),E132,1),"")</f>
        <v>D</v>
      </c>
      <c r="E132" s="3">
        <v>45</v>
      </c>
      <c r="F132" s="3" t="str">
        <f>IFERROR(MID(VLOOKUP($B132,Seqs!$A:$B,2,0),G132,1),"")</f>
        <v>C</v>
      </c>
      <c r="G132" s="3">
        <v>70</v>
      </c>
      <c r="H132" s="3" t="str">
        <f>IFERROR(MID(VLOOKUP($B132,Seqs!$A:$B,2,0),I132,1),"")</f>
        <v/>
      </c>
      <c r="I132" s="23" t="s">
        <v>23</v>
      </c>
      <c r="J132" s="3" t="str">
        <f>IFERROR(MID(VLOOKUP($B132,Seqs!$A:$B,2,0),K132,1),"")</f>
        <v/>
      </c>
      <c r="K132" s="23" t="s">
        <v>23</v>
      </c>
      <c r="L132" s="3" t="str">
        <f>IFERROR(MID(VLOOKUP($B132,Seqs!$A:$B,2,0),M132,1),"")</f>
        <v>K</v>
      </c>
      <c r="M132" s="3">
        <v>77</v>
      </c>
      <c r="N132" s="3" t="str">
        <f>IFERROR(MID(VLOOKUP($B132,Seqs!$A:$B,2,0),O132,1),"")</f>
        <v>Y</v>
      </c>
      <c r="O132" s="3">
        <v>106</v>
      </c>
      <c r="P132" s="3" t="str">
        <f>IFERROR(MID(VLOOKUP($B132,Seqs!$A:$B,2,0),Q132,1),"")</f>
        <v>R</v>
      </c>
      <c r="Q132" s="3">
        <v>107</v>
      </c>
      <c r="R132" s="3" t="str">
        <f>IFERROR(MID(VLOOKUP($B132,Seqs!$A:$B,2,0),S132,1),"")</f>
        <v>F</v>
      </c>
      <c r="S132" s="3">
        <v>112</v>
      </c>
      <c r="T132" s="3" t="str">
        <f>IFERROR(MID(VLOOKUP($B132,Seqs!$A:$B,2,0),U132,1),"")</f>
        <v>G</v>
      </c>
      <c r="U132" s="3">
        <v>113</v>
      </c>
      <c r="V132" s="3" t="str">
        <f>IFERROR(MID(VLOOKUP($B132,Seqs!$A:$B,2,0),W132,1),"")</f>
        <v>Y</v>
      </c>
      <c r="W132" s="3">
        <v>148</v>
      </c>
      <c r="X132" s="3" t="str">
        <f>IFERROR(MID(VLOOKUP($B132,Seqs!$A:$B,2,0),Y132,1),"")</f>
        <v/>
      </c>
      <c r="Y132" s="3" t="s">
        <v>23</v>
      </c>
      <c r="Z132" s="3" t="str">
        <f>IFERROR(MID(VLOOKUP($B132,Seqs!$A:$B,2,0),AA132,1),"")</f>
        <v/>
      </c>
      <c r="AA132" s="3" t="s">
        <v>23</v>
      </c>
      <c r="AB132" s="3" t="str">
        <f>IFERROR(MID(VLOOKUP($B132,Seqs!$A:$B,2,0),AC132,1),"")</f>
        <v>Y</v>
      </c>
      <c r="AC132" s="3">
        <v>162</v>
      </c>
      <c r="AD132" s="3" t="str">
        <f>IFERROR(MID(VLOOKUP($B132,Seqs!$A:$B,2,0),AE132,1),"")</f>
        <v>R</v>
      </c>
      <c r="AE132" s="3">
        <v>182</v>
      </c>
      <c r="AF132" s="3" t="str">
        <f>IFERROR(MID(VLOOKUP($B132,Seqs!$A:$B,2,0),AG132,1),"")</f>
        <v>C</v>
      </c>
      <c r="AG132" s="3">
        <v>195</v>
      </c>
      <c r="AH132" s="3" t="str">
        <f>IFERROR(MID(VLOOKUP($B132,Seqs!$A:$B,2,0),AI132,1),"")</f>
        <v>M</v>
      </c>
      <c r="AI132" s="3">
        <v>197</v>
      </c>
      <c r="AJ132" s="3" t="str">
        <f>IFERROR(MID(VLOOKUP($B132,Seqs!$A:$B,2,0),AK132,1),"")</f>
        <v>Y</v>
      </c>
      <c r="AK132" s="3">
        <v>204</v>
      </c>
      <c r="AL132" s="3" t="str">
        <f>IFERROR(MID(VLOOKUP($B132,Seqs!$A:$B,2,0),AM132,1),"")</f>
        <v>T</v>
      </c>
      <c r="AM132" s="3">
        <v>241</v>
      </c>
      <c r="AN132" s="3" t="str">
        <f>IFERROR(MID(VLOOKUP($B132,Seqs!$A:$B,2,0),AO132,1),"")</f>
        <v>G</v>
      </c>
      <c r="AO132" s="3">
        <v>245</v>
      </c>
      <c r="AP132" s="3" t="str">
        <f>IFERROR(MID(VLOOKUP($B132,Seqs!$A:$B,2,0),AQ132,1),"")</f>
        <v>G</v>
      </c>
      <c r="AQ132" s="3">
        <v>285</v>
      </c>
      <c r="AR132" s="3" t="str">
        <f>IFERROR(MID(VLOOKUP($B132,Seqs!$A:$B,2,0),AS132,1),"")</f>
        <v>S</v>
      </c>
      <c r="AS132" s="3">
        <v>289</v>
      </c>
      <c r="AT132" s="3" t="str">
        <f>IFERROR(MID(VLOOKUP($B132,Seqs!$A:$B,2,0),AU132,1),"")</f>
        <v>V</v>
      </c>
      <c r="AU132" s="3">
        <v>321</v>
      </c>
      <c r="AV132" s="3" t="str">
        <f>IFERROR(MID(VLOOKUP($B132,Seqs!$A:$B,2,0),AW132,1),"")</f>
        <v>G</v>
      </c>
      <c r="AW132" s="3">
        <v>322</v>
      </c>
      <c r="AX132" s="3" t="str">
        <f>IFERROR(MID(VLOOKUP($B132,Seqs!$A:$B,2,0),AY132,1),"")</f>
        <v>V</v>
      </c>
      <c r="AY132" s="3">
        <v>332</v>
      </c>
      <c r="AZ132" s="77" t="str">
        <f>VLOOKUP(B132,Classification!A:D,2,0)</f>
        <v>A</v>
      </c>
      <c r="BA132" s="94" t="str">
        <f>VLOOKUP(B132,Classification!A:D,4,0)</f>
        <v>Angiotensin</v>
      </c>
      <c r="BB132" s="27" t="b">
        <f t="shared" si="730"/>
        <v>1</v>
      </c>
      <c r="BC132" s="23">
        <f t="shared" si="731"/>
        <v>247</v>
      </c>
      <c r="BD132" s="2" t="s">
        <v>23</v>
      </c>
      <c r="BE132" s="3" t="s">
        <v>1297</v>
      </c>
      <c r="BF132" s="119">
        <v>2.9</v>
      </c>
      <c r="BG132" s="49" t="s">
        <v>1383</v>
      </c>
      <c r="BH132" s="49" t="s">
        <v>1287</v>
      </c>
      <c r="BI132" s="1"/>
      <c r="BJ132" s="70" t="s">
        <v>1293</v>
      </c>
      <c r="BK132" s="57" t="s">
        <v>1293</v>
      </c>
      <c r="BL132" s="57" t="s">
        <v>1293</v>
      </c>
      <c r="BM132" s="57" t="s">
        <v>1293</v>
      </c>
      <c r="BN132" s="57" t="s">
        <v>1293</v>
      </c>
      <c r="BO132" s="57" t="s">
        <v>1293</v>
      </c>
      <c r="BP132" s="57" t="s">
        <v>1293</v>
      </c>
      <c r="BQ132" s="57" t="s">
        <v>1293</v>
      </c>
      <c r="BR132" s="57" t="s">
        <v>1293</v>
      </c>
      <c r="BS132" s="57" t="s">
        <v>1293</v>
      </c>
      <c r="BT132" s="57" t="s">
        <v>1293</v>
      </c>
      <c r="BU132" s="57" t="s">
        <v>1293</v>
      </c>
      <c r="BV132" s="70">
        <f t="shared" si="732"/>
        <v>45</v>
      </c>
      <c r="BW132" s="71" t="str">
        <f t="shared" si="733"/>
        <v>-</v>
      </c>
      <c r="BX132" s="72">
        <f t="shared" si="734"/>
        <v>77</v>
      </c>
      <c r="BY132" s="71">
        <f t="shared" si="735"/>
        <v>107</v>
      </c>
      <c r="BZ132" s="72">
        <f t="shared" si="736"/>
        <v>113</v>
      </c>
      <c r="CA132" s="71" t="str">
        <f t="shared" si="737"/>
        <v>-</v>
      </c>
      <c r="CB132" s="72">
        <f t="shared" si="738"/>
        <v>162</v>
      </c>
      <c r="CC132" s="71">
        <f t="shared" si="739"/>
        <v>195</v>
      </c>
      <c r="CD132" s="72">
        <f t="shared" si="740"/>
        <v>204</v>
      </c>
      <c r="CE132" s="71">
        <f t="shared" si="741"/>
        <v>245</v>
      </c>
      <c r="CF132" s="72">
        <f t="shared" si="742"/>
        <v>289</v>
      </c>
      <c r="CG132" s="71">
        <f t="shared" si="743"/>
        <v>322</v>
      </c>
      <c r="CH132" s="70">
        <f t="shared" si="744"/>
        <v>70</v>
      </c>
      <c r="CI132" s="71" t="str">
        <f t="shared" si="745"/>
        <v>-</v>
      </c>
      <c r="CJ132" s="72">
        <f t="shared" si="746"/>
        <v>106</v>
      </c>
      <c r="CK132" s="72">
        <f t="shared" si="747"/>
        <v>112</v>
      </c>
      <c r="CL132" s="72">
        <f t="shared" si="748"/>
        <v>148</v>
      </c>
      <c r="CM132" s="72" t="str">
        <f t="shared" si="749"/>
        <v>-</v>
      </c>
      <c r="CN132" s="72">
        <f t="shared" si="750"/>
        <v>182</v>
      </c>
      <c r="CO132" s="72">
        <f t="shared" si="751"/>
        <v>197</v>
      </c>
      <c r="CP132" s="72">
        <f t="shared" si="752"/>
        <v>241</v>
      </c>
      <c r="CQ132" s="72">
        <f t="shared" si="753"/>
        <v>285</v>
      </c>
      <c r="CR132" s="72">
        <f t="shared" si="754"/>
        <v>321</v>
      </c>
      <c r="CS132" s="72">
        <f t="shared" si="755"/>
        <v>332</v>
      </c>
      <c r="CT132" s="23" t="e">
        <f t="shared" si="756"/>
        <v>#VALUE!</v>
      </c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  <c r="ADW132" s="1"/>
      <c r="ADX132" s="1"/>
      <c r="ADY132" s="1"/>
      <c r="ADZ132" s="1"/>
      <c r="AEA132" s="1"/>
      <c r="AEB132" s="1"/>
      <c r="AEC132" s="1"/>
      <c r="AED132" s="1"/>
      <c r="AEE132" s="1"/>
      <c r="AEF132" s="1"/>
      <c r="AEG132" s="1"/>
      <c r="AEH132" s="1"/>
      <c r="AEI132" s="1"/>
      <c r="AEJ132" s="1"/>
      <c r="AEK132" s="1"/>
      <c r="AEL132" s="1"/>
      <c r="AEM132" s="1"/>
      <c r="AEN132" s="1"/>
      <c r="AEO132" s="1"/>
      <c r="AEP132" s="1"/>
      <c r="AEQ132" s="1"/>
      <c r="AER132" s="1"/>
      <c r="AES132" s="1"/>
      <c r="AET132" s="1"/>
      <c r="AEU132" s="1"/>
      <c r="AEV132" s="1"/>
      <c r="AEW132" s="1"/>
      <c r="AEX132" s="1"/>
      <c r="AEY132" s="1"/>
      <c r="AEZ132" s="1"/>
      <c r="AFA132" s="1"/>
      <c r="AFB132" s="1"/>
      <c r="AFC132" s="1"/>
      <c r="AFD132" s="1"/>
      <c r="AFE132" s="1"/>
      <c r="AFF132" s="1"/>
      <c r="AFG132" s="1"/>
      <c r="AFH132" s="1"/>
      <c r="AFI132" s="1"/>
      <c r="AFJ132" s="1"/>
      <c r="AFK132" s="1"/>
      <c r="AFL132" s="1"/>
      <c r="AFM132" s="1"/>
      <c r="AFN132" s="1"/>
      <c r="AFO132" s="1"/>
      <c r="AFP132" s="1"/>
      <c r="AFQ132" s="1"/>
      <c r="AFR132" s="1"/>
      <c r="AFS132" s="1"/>
      <c r="AFT132" s="1"/>
      <c r="AFU132" s="1"/>
      <c r="AFV132" s="1"/>
      <c r="AFW132" s="1"/>
      <c r="AFX132" s="1"/>
      <c r="AFY132" s="1"/>
      <c r="AFZ132" s="1"/>
      <c r="AGA132" s="1"/>
      <c r="AGB132" s="1"/>
      <c r="AGC132" s="1"/>
      <c r="AGD132" s="1"/>
      <c r="AGE132" s="1"/>
      <c r="AGF132" s="1"/>
      <c r="AGG132" s="1"/>
      <c r="AGH132" s="1"/>
      <c r="AGI132" s="1"/>
      <c r="AGJ132" s="1"/>
      <c r="AGK132" s="1"/>
      <c r="AGL132" s="1"/>
      <c r="AGM132" s="1"/>
      <c r="AGN132" s="1"/>
      <c r="AGO132" s="1"/>
      <c r="AGP132" s="1"/>
      <c r="AGQ132" s="1"/>
      <c r="AGR132" s="1"/>
      <c r="AGS132" s="1"/>
      <c r="AGT132" s="1"/>
      <c r="AGU132" s="1"/>
      <c r="AGV132" s="1"/>
      <c r="AGW132" s="1"/>
      <c r="AGX132" s="1"/>
      <c r="AGY132" s="1"/>
      <c r="AGZ132" s="1"/>
      <c r="AHA132" s="1"/>
      <c r="AHB132" s="1"/>
      <c r="AHC132" s="1"/>
      <c r="AHD132" s="1"/>
      <c r="AHE132" s="1"/>
      <c r="AHF132" s="1"/>
      <c r="AHG132" s="1"/>
      <c r="AHH132" s="1"/>
      <c r="AHI132" s="1"/>
      <c r="AHJ132" s="1"/>
      <c r="AHK132" s="1"/>
      <c r="AHL132" s="1"/>
      <c r="AHM132" s="1"/>
      <c r="AHN132" s="1"/>
      <c r="AHO132" s="1"/>
      <c r="AHP132" s="1"/>
      <c r="AHQ132" s="1"/>
      <c r="AHR132" s="1"/>
      <c r="AHS132" s="1"/>
      <c r="AHT132" s="1"/>
      <c r="AHU132" s="1"/>
      <c r="AHV132" s="1"/>
      <c r="AHW132" s="1"/>
      <c r="AHX132" s="1"/>
      <c r="AHY132" s="1"/>
      <c r="AHZ132" s="1"/>
      <c r="AIA132" s="1"/>
      <c r="AIB132" s="1"/>
      <c r="AIC132" s="1"/>
      <c r="AID132" s="1"/>
      <c r="AIE132" s="1"/>
      <c r="AIF132" s="1"/>
      <c r="AIG132" s="1"/>
      <c r="AIH132" s="1"/>
      <c r="AII132" s="1"/>
      <c r="AIJ132" s="1"/>
      <c r="AIK132" s="1"/>
      <c r="AIL132" s="1"/>
      <c r="AIM132" s="1"/>
      <c r="AIN132" s="1"/>
      <c r="AIO132" s="1"/>
      <c r="AIP132" s="1"/>
      <c r="AIQ132" s="1"/>
      <c r="AIR132" s="1"/>
      <c r="AIS132" s="1"/>
      <c r="AIT132" s="1"/>
      <c r="AIU132" s="1"/>
      <c r="AIV132" s="1"/>
      <c r="AIW132" s="1"/>
      <c r="AIX132" s="1"/>
      <c r="AIY132" s="1"/>
      <c r="AIZ132" s="1"/>
      <c r="AJA132" s="1"/>
      <c r="AJB132" s="1"/>
      <c r="AJC132" s="1"/>
      <c r="AJD132" s="1"/>
      <c r="AJE132" s="1"/>
      <c r="AJF132" s="1"/>
      <c r="AJG132" s="1"/>
      <c r="AJH132" s="1"/>
      <c r="AJI132" s="1"/>
      <c r="AJJ132" s="1"/>
      <c r="AJK132" s="1"/>
      <c r="AJL132" s="1"/>
      <c r="AJM132" s="1"/>
      <c r="AJN132" s="1"/>
      <c r="AJO132" s="1"/>
      <c r="AJP132" s="1"/>
      <c r="AJQ132" s="1"/>
      <c r="AJR132" s="1"/>
      <c r="AJS132" s="1"/>
      <c r="AJT132" s="1"/>
      <c r="AJU132" s="1"/>
      <c r="AJV132" s="1"/>
      <c r="AJW132" s="1"/>
      <c r="AJX132" s="1"/>
      <c r="AJY132" s="1"/>
      <c r="AJZ132" s="1"/>
      <c r="AKA132" s="1"/>
      <c r="AKB132" s="1"/>
      <c r="AKC132" s="1"/>
      <c r="AKD132" s="1"/>
      <c r="AKE132" s="1"/>
      <c r="AKF132" s="1"/>
      <c r="AKG132" s="1"/>
      <c r="AKH132" s="1"/>
      <c r="AKI132" s="1"/>
      <c r="AKJ132" s="1"/>
      <c r="AKK132" s="1"/>
      <c r="AKL132" s="1"/>
      <c r="AKM132" s="1"/>
      <c r="AKN132" s="1"/>
      <c r="AKO132" s="1"/>
      <c r="AKP132" s="1"/>
      <c r="AKQ132" s="1"/>
      <c r="AKR132" s="1"/>
      <c r="AKS132" s="1"/>
      <c r="AKT132" s="1"/>
      <c r="AKU132" s="1"/>
      <c r="AKV132" s="1"/>
      <c r="AKW132" s="1"/>
      <c r="AKX132" s="1"/>
      <c r="AKY132" s="1"/>
      <c r="AKZ132" s="1"/>
      <c r="ALA132" s="1"/>
      <c r="ALB132" s="1"/>
      <c r="ALC132" s="1"/>
      <c r="ALD132" s="1"/>
      <c r="ALE132" s="1"/>
      <c r="ALF132" s="1"/>
      <c r="ALG132" s="1"/>
      <c r="ALH132" s="1"/>
      <c r="ALI132" s="1"/>
      <c r="ALJ132" s="1"/>
      <c r="ALK132" s="1"/>
      <c r="ALL132" s="1"/>
      <c r="ALM132" s="1"/>
      <c r="ALN132" s="1"/>
      <c r="ALO132" s="1"/>
      <c r="ALP132" s="1"/>
      <c r="ALQ132" s="1"/>
      <c r="ALR132" s="1"/>
      <c r="ALS132" s="1"/>
      <c r="ALT132" s="1"/>
      <c r="ALU132" s="1"/>
      <c r="ALV132" s="1"/>
      <c r="ALW132" s="1"/>
      <c r="ALX132" s="1"/>
      <c r="ALY132" s="1"/>
      <c r="ALZ132" s="1"/>
      <c r="AMA132" s="1"/>
      <c r="AMB132" s="1"/>
      <c r="AMC132" s="1"/>
      <c r="AMD132" s="1"/>
      <c r="AME132" s="1"/>
      <c r="AMF132" s="1"/>
      <c r="AMG132" s="1"/>
      <c r="AMH132" s="1"/>
      <c r="AMI132" s="1"/>
      <c r="AMJ132" s="1"/>
      <c r="AMK132" s="1"/>
      <c r="AML132" s="1"/>
      <c r="AMM132" s="1"/>
      <c r="AMN132" s="1"/>
      <c r="AMO132" s="1"/>
    </row>
    <row r="133" spans="1:1030" x14ac:dyDescent="0.2">
      <c r="A133" s="3" t="str">
        <f t="shared" ref="A133" si="757">CONCATENATE(B133,"_",C133)</f>
        <v>agtr2_human_5XJM</v>
      </c>
      <c r="B133" s="3" t="s">
        <v>159</v>
      </c>
      <c r="C133" s="3" t="s">
        <v>1528</v>
      </c>
      <c r="D133" s="3" t="str">
        <f>IFERROR(MID(VLOOKUP($B133,Seqs!$A:$B,2,0),E133,1),"")</f>
        <v>A</v>
      </c>
      <c r="E133" s="3">
        <v>46</v>
      </c>
      <c r="F133" s="3" t="str">
        <f>IFERROR(MID(VLOOKUP($B133,Seqs!$A:$B,2,0),G133,1),"")</f>
        <v>K</v>
      </c>
      <c r="G133" s="3">
        <v>73</v>
      </c>
      <c r="H133" s="3" t="str">
        <f>IFERROR(MID(VLOOKUP($B133,Seqs!$A:$B,2,0),I133,1),"")</f>
        <v/>
      </c>
      <c r="I133" s="23" t="s">
        <v>23</v>
      </c>
      <c r="J133" s="3" t="str">
        <f>IFERROR(MID(VLOOKUP($B133,Seqs!$A:$B,2,0),K133,1),"")</f>
        <v/>
      </c>
      <c r="K133" s="23" t="s">
        <v>23</v>
      </c>
      <c r="L133" s="3" t="str">
        <f>IFERROR(MID(VLOOKUP($B133,Seqs!$A:$B,2,0),M133,1),"")</f>
        <v>V</v>
      </c>
      <c r="M133" s="3">
        <v>78</v>
      </c>
      <c r="N133" s="3" t="str">
        <f>IFERROR(MID(VLOOKUP($B133,Seqs!$A:$B,2,0),O133,1),"")</f>
        <v>Y</v>
      </c>
      <c r="O133" s="3">
        <v>106</v>
      </c>
      <c r="P133" s="3" t="str">
        <f>IFERROR(MID(VLOOKUP($B133,Seqs!$A:$B,2,0),Q133,1),"")</f>
        <v>R</v>
      </c>
      <c r="Q133" s="3">
        <v>107</v>
      </c>
      <c r="R133" s="3" t="str">
        <f>IFERROR(MID(VLOOKUP($B133,Seqs!$A:$B,2,0),S133,1),"")</f>
        <v>F</v>
      </c>
      <c r="S133" s="3">
        <v>112</v>
      </c>
      <c r="T133" s="3" t="str">
        <f>IFERROR(MID(VLOOKUP($B133,Seqs!$A:$B,2,0),U133,1),"")</f>
        <v>G</v>
      </c>
      <c r="U133" s="3">
        <v>113</v>
      </c>
      <c r="V133" s="3" t="str">
        <f>IFERROR(MID(VLOOKUP($B133,Seqs!$A:$B,2,0),W133,1),"")</f>
        <v>Y</v>
      </c>
      <c r="W133" s="3">
        <v>148</v>
      </c>
      <c r="X133" s="3" t="str">
        <f>IFERROR(MID(VLOOKUP($B133,Seqs!$A:$B,2,0),Y133,1),"")</f>
        <v/>
      </c>
      <c r="Y133" s="3" t="s">
        <v>23</v>
      </c>
      <c r="Z133" s="3" t="str">
        <f>IFERROR(MID(VLOOKUP($B133,Seqs!$A:$B,2,0),AA133,1),"")</f>
        <v/>
      </c>
      <c r="AA133" s="3" t="s">
        <v>23</v>
      </c>
      <c r="AB133" s="3" t="str">
        <f>IFERROR(MID(VLOOKUP($B133,Seqs!$A:$B,2,0),AC133,1),"")</f>
        <v>R</v>
      </c>
      <c r="AC133" s="3">
        <v>155</v>
      </c>
      <c r="AD133" s="3" t="str">
        <f>IFERROR(MID(VLOOKUP($B133,Seqs!$A:$B,2,0),AE133,1),"")</f>
        <v>F</v>
      </c>
      <c r="AE133" s="3">
        <v>181</v>
      </c>
      <c r="AF133" s="3" t="str">
        <f>IFERROR(MID(VLOOKUP($B133,Seqs!$A:$B,2,0),AG133,1),"")</f>
        <v>C</v>
      </c>
      <c r="AG133" s="3">
        <v>195</v>
      </c>
      <c r="AH133" s="3" t="str">
        <f>IFERROR(MID(VLOOKUP($B133,Seqs!$A:$B,2,0),AI133,1),"")</f>
        <v>M</v>
      </c>
      <c r="AI133" s="3">
        <v>197</v>
      </c>
      <c r="AJ133" s="3" t="str">
        <f>IFERROR(MID(VLOOKUP($B133,Seqs!$A:$B,2,0),AK133,1),"")</f>
        <v>K</v>
      </c>
      <c r="AK133" s="3">
        <v>203</v>
      </c>
      <c r="AL133" s="3" t="str">
        <f>IFERROR(MID(VLOOKUP($B133,Seqs!$A:$B,2,0),AM133,1),"")</f>
        <v>N</v>
      </c>
      <c r="AM133" s="3">
        <v>242</v>
      </c>
      <c r="AN133" s="3" t="str">
        <f>IFERROR(MID(VLOOKUP($B133,Seqs!$A:$B,2,0),AO133,1),"")</f>
        <v>N</v>
      </c>
      <c r="AO133" s="3">
        <v>247</v>
      </c>
      <c r="AP133" s="3" t="str">
        <f>IFERROR(MID(VLOOKUP($B133,Seqs!$A:$B,2,0),AQ133,1),"")</f>
        <v>G</v>
      </c>
      <c r="AQ133" s="3">
        <v>285</v>
      </c>
      <c r="AR133" s="3" t="str">
        <f>IFERROR(MID(VLOOKUP($B133,Seqs!$A:$B,2,0),AS133,1),"")</f>
        <v>S</v>
      </c>
      <c r="AS133" s="3">
        <v>289</v>
      </c>
      <c r="AT133" s="3" t="str">
        <f>IFERROR(MID(VLOOKUP($B133,Seqs!$A:$B,2,0),AU133,1),"")</f>
        <v>F</v>
      </c>
      <c r="AU133" s="3">
        <v>320</v>
      </c>
      <c r="AV133" s="3" t="str">
        <f>IFERROR(MID(VLOOKUP($B133,Seqs!$A:$B,2,0),AW133,1),"")</f>
        <v/>
      </c>
      <c r="AW133" s="3" t="s">
        <v>23</v>
      </c>
      <c r="AX133" s="3" t="str">
        <f>IFERROR(MID(VLOOKUP($B133,Seqs!$A:$B,2,0),AY133,1),"")</f>
        <v/>
      </c>
      <c r="AY133" s="3" t="s">
        <v>23</v>
      </c>
      <c r="AZ133" s="77" t="str">
        <f>VLOOKUP(B133,Classification!A:D,2,0)</f>
        <v>A</v>
      </c>
      <c r="BA133" s="94" t="str">
        <f>VLOOKUP(B133,Classification!A:D,4,0)</f>
        <v>Angiotensin</v>
      </c>
      <c r="BB133" s="27" t="b">
        <f t="shared" ref="BB133" si="758">AND(E133&lt;G133,OR(G133&lt;I133,I133="-"),OR(I133&lt;K133,I133="-"),OR(K133&lt;M133,K133="-"),M133&lt;O133,OR(O133&lt;Q133,Q133="-"),OR(Q133&lt;S133,Q133="-"),OR(S133&lt;U133,S133="-"),U133&lt;W133,OR(W133&lt;Y133,Y133="-"),OR(Y133&lt;AA133,Y133="-"),OR(AA133&lt;AC133,AA133="-"),AC133&lt;AE133,OR(AE133&lt;AG133,AG133="-"),OR(AG133&lt;AI133,AG133="-"),OR(AI133&lt;AK133,AI133="-"),AK133&lt;AM133,AM133&lt;AO133,AO133&lt;AQ133,AQ133&lt;AS133,AS133&lt;AU133,OR(AU133&lt;AW133,AW133="-"),OR(AW133&lt;AY133,AW133="-"))</f>
        <v>1</v>
      </c>
      <c r="BC133" s="23">
        <f t="shared" ref="BC133" si="759">_xlfn.AGGREGATE(9,6,CH133:CS133)-_xlfn.AGGREGATE(9,6,BV133:CG133)+12</f>
        <v>243</v>
      </c>
      <c r="BD133" s="2" t="s">
        <v>23</v>
      </c>
      <c r="BE133" s="3" t="s">
        <v>1297</v>
      </c>
      <c r="BF133" s="119">
        <v>3.2</v>
      </c>
      <c r="BG133" s="49" t="s">
        <v>1</v>
      </c>
      <c r="BH133" s="49" t="s">
        <v>1</v>
      </c>
      <c r="BI133" s="1"/>
      <c r="BJ133" s="70" t="s">
        <v>1293</v>
      </c>
      <c r="BK133" s="57" t="s">
        <v>1293</v>
      </c>
      <c r="BL133" s="57" t="s">
        <v>1293</v>
      </c>
      <c r="BM133" s="57" t="s">
        <v>1293</v>
      </c>
      <c r="BN133" s="57" t="s">
        <v>1293</v>
      </c>
      <c r="BO133" s="57" t="s">
        <v>1293</v>
      </c>
      <c r="BP133" s="57" t="s">
        <v>1293</v>
      </c>
      <c r="BQ133" s="57" t="s">
        <v>1293</v>
      </c>
      <c r="BR133" s="57" t="s">
        <v>1293</v>
      </c>
      <c r="BS133" s="57" t="s">
        <v>1293</v>
      </c>
      <c r="BT133" s="57" t="s">
        <v>1293</v>
      </c>
      <c r="BU133" s="57" t="s">
        <v>1293</v>
      </c>
      <c r="BV133" s="70">
        <f t="shared" ref="BV133" si="760">E133</f>
        <v>46</v>
      </c>
      <c r="BW133" s="71" t="str">
        <f t="shared" ref="BW133" si="761">I133</f>
        <v>-</v>
      </c>
      <c r="BX133" s="72">
        <f t="shared" ref="BX133" si="762">M133</f>
        <v>78</v>
      </c>
      <c r="BY133" s="71">
        <f t="shared" ref="BY133" si="763">Q133</f>
        <v>107</v>
      </c>
      <c r="BZ133" s="72">
        <f t="shared" ref="BZ133" si="764">U133</f>
        <v>113</v>
      </c>
      <c r="CA133" s="71" t="str">
        <f t="shared" ref="CA133" si="765">Y133</f>
        <v>-</v>
      </c>
      <c r="CB133" s="72">
        <f t="shared" ref="CB133" si="766">AC133</f>
        <v>155</v>
      </c>
      <c r="CC133" s="71">
        <f t="shared" ref="CC133" si="767">AG133</f>
        <v>195</v>
      </c>
      <c r="CD133" s="72">
        <f t="shared" ref="CD133" si="768">AK133</f>
        <v>203</v>
      </c>
      <c r="CE133" s="71">
        <f t="shared" ref="CE133" si="769">AO133</f>
        <v>247</v>
      </c>
      <c r="CF133" s="72">
        <f t="shared" ref="CF133" si="770">AS133</f>
        <v>289</v>
      </c>
      <c r="CG133" s="71" t="str">
        <f t="shared" ref="CG133" si="771">AW133</f>
        <v>-</v>
      </c>
      <c r="CH133" s="70">
        <f t="shared" ref="CH133" si="772">G133</f>
        <v>73</v>
      </c>
      <c r="CI133" s="71" t="str">
        <f t="shared" ref="CI133" si="773">K133</f>
        <v>-</v>
      </c>
      <c r="CJ133" s="72">
        <f t="shared" ref="CJ133" si="774">O133</f>
        <v>106</v>
      </c>
      <c r="CK133" s="72">
        <f t="shared" ref="CK133" si="775">S133</f>
        <v>112</v>
      </c>
      <c r="CL133" s="72">
        <f t="shared" ref="CL133" si="776">W133</f>
        <v>148</v>
      </c>
      <c r="CM133" s="72" t="str">
        <f t="shared" ref="CM133" si="777">AA133</f>
        <v>-</v>
      </c>
      <c r="CN133" s="72">
        <f t="shared" ref="CN133" si="778">AE133</f>
        <v>181</v>
      </c>
      <c r="CO133" s="72">
        <f t="shared" ref="CO133" si="779">AI133</f>
        <v>197</v>
      </c>
      <c r="CP133" s="72">
        <f t="shared" ref="CP133" si="780">AM133</f>
        <v>242</v>
      </c>
      <c r="CQ133" s="72">
        <f t="shared" ref="CQ133" si="781">AQ133</f>
        <v>285</v>
      </c>
      <c r="CR133" s="72">
        <f t="shared" ref="CR133" si="782">AU133</f>
        <v>320</v>
      </c>
      <c r="CS133" s="72" t="str">
        <f t="shared" ref="CS133" si="783">AY133</f>
        <v>-</v>
      </c>
      <c r="CT133" s="23" t="e">
        <f t="shared" ref="CT133" si="784">M133-K133</f>
        <v>#VALUE!</v>
      </c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  <c r="ADW133" s="1"/>
      <c r="ADX133" s="1"/>
      <c r="ADY133" s="1"/>
      <c r="ADZ133" s="1"/>
      <c r="AEA133" s="1"/>
      <c r="AEB133" s="1"/>
      <c r="AEC133" s="1"/>
      <c r="AED133" s="1"/>
      <c r="AEE133" s="1"/>
      <c r="AEF133" s="1"/>
      <c r="AEG133" s="1"/>
      <c r="AEH133" s="1"/>
      <c r="AEI133" s="1"/>
      <c r="AEJ133" s="1"/>
      <c r="AEK133" s="1"/>
      <c r="AEL133" s="1"/>
      <c r="AEM133" s="1"/>
      <c r="AEN133" s="1"/>
      <c r="AEO133" s="1"/>
      <c r="AEP133" s="1"/>
      <c r="AEQ133" s="1"/>
      <c r="AER133" s="1"/>
      <c r="AES133" s="1"/>
      <c r="AET133" s="1"/>
      <c r="AEU133" s="1"/>
      <c r="AEV133" s="1"/>
      <c r="AEW133" s="1"/>
      <c r="AEX133" s="1"/>
      <c r="AEY133" s="1"/>
      <c r="AEZ133" s="1"/>
      <c r="AFA133" s="1"/>
      <c r="AFB133" s="1"/>
      <c r="AFC133" s="1"/>
      <c r="AFD133" s="1"/>
      <c r="AFE133" s="1"/>
      <c r="AFF133" s="1"/>
      <c r="AFG133" s="1"/>
      <c r="AFH133" s="1"/>
      <c r="AFI133" s="1"/>
      <c r="AFJ133" s="1"/>
      <c r="AFK133" s="1"/>
      <c r="AFL133" s="1"/>
      <c r="AFM133" s="1"/>
      <c r="AFN133" s="1"/>
      <c r="AFO133" s="1"/>
      <c r="AFP133" s="1"/>
      <c r="AFQ133" s="1"/>
      <c r="AFR133" s="1"/>
      <c r="AFS133" s="1"/>
      <c r="AFT133" s="1"/>
      <c r="AFU133" s="1"/>
      <c r="AFV133" s="1"/>
      <c r="AFW133" s="1"/>
      <c r="AFX133" s="1"/>
      <c r="AFY133" s="1"/>
      <c r="AFZ133" s="1"/>
      <c r="AGA133" s="1"/>
      <c r="AGB133" s="1"/>
      <c r="AGC133" s="1"/>
      <c r="AGD133" s="1"/>
      <c r="AGE133" s="1"/>
      <c r="AGF133" s="1"/>
      <c r="AGG133" s="1"/>
      <c r="AGH133" s="1"/>
      <c r="AGI133" s="1"/>
      <c r="AGJ133" s="1"/>
      <c r="AGK133" s="1"/>
      <c r="AGL133" s="1"/>
      <c r="AGM133" s="1"/>
      <c r="AGN133" s="1"/>
      <c r="AGO133" s="1"/>
      <c r="AGP133" s="1"/>
      <c r="AGQ133" s="1"/>
      <c r="AGR133" s="1"/>
      <c r="AGS133" s="1"/>
      <c r="AGT133" s="1"/>
      <c r="AGU133" s="1"/>
      <c r="AGV133" s="1"/>
      <c r="AGW133" s="1"/>
      <c r="AGX133" s="1"/>
      <c r="AGY133" s="1"/>
      <c r="AGZ133" s="1"/>
      <c r="AHA133" s="1"/>
      <c r="AHB133" s="1"/>
      <c r="AHC133" s="1"/>
      <c r="AHD133" s="1"/>
      <c r="AHE133" s="1"/>
      <c r="AHF133" s="1"/>
      <c r="AHG133" s="1"/>
      <c r="AHH133" s="1"/>
      <c r="AHI133" s="1"/>
      <c r="AHJ133" s="1"/>
      <c r="AHK133" s="1"/>
      <c r="AHL133" s="1"/>
      <c r="AHM133" s="1"/>
      <c r="AHN133" s="1"/>
      <c r="AHO133" s="1"/>
      <c r="AHP133" s="1"/>
      <c r="AHQ133" s="1"/>
      <c r="AHR133" s="1"/>
      <c r="AHS133" s="1"/>
      <c r="AHT133" s="1"/>
      <c r="AHU133" s="1"/>
      <c r="AHV133" s="1"/>
      <c r="AHW133" s="1"/>
      <c r="AHX133" s="1"/>
      <c r="AHY133" s="1"/>
      <c r="AHZ133" s="1"/>
      <c r="AIA133" s="1"/>
      <c r="AIB133" s="1"/>
      <c r="AIC133" s="1"/>
      <c r="AID133" s="1"/>
      <c r="AIE133" s="1"/>
      <c r="AIF133" s="1"/>
      <c r="AIG133" s="1"/>
      <c r="AIH133" s="1"/>
      <c r="AII133" s="1"/>
      <c r="AIJ133" s="1"/>
      <c r="AIK133" s="1"/>
      <c r="AIL133" s="1"/>
      <c r="AIM133" s="1"/>
      <c r="AIN133" s="1"/>
      <c r="AIO133" s="1"/>
      <c r="AIP133" s="1"/>
      <c r="AIQ133" s="1"/>
      <c r="AIR133" s="1"/>
      <c r="AIS133" s="1"/>
      <c r="AIT133" s="1"/>
      <c r="AIU133" s="1"/>
      <c r="AIV133" s="1"/>
      <c r="AIW133" s="1"/>
      <c r="AIX133" s="1"/>
      <c r="AIY133" s="1"/>
      <c r="AIZ133" s="1"/>
      <c r="AJA133" s="1"/>
      <c r="AJB133" s="1"/>
      <c r="AJC133" s="1"/>
      <c r="AJD133" s="1"/>
      <c r="AJE133" s="1"/>
      <c r="AJF133" s="1"/>
      <c r="AJG133" s="1"/>
      <c r="AJH133" s="1"/>
      <c r="AJI133" s="1"/>
      <c r="AJJ133" s="1"/>
      <c r="AJK133" s="1"/>
      <c r="AJL133" s="1"/>
      <c r="AJM133" s="1"/>
      <c r="AJN133" s="1"/>
      <c r="AJO133" s="1"/>
      <c r="AJP133" s="1"/>
      <c r="AJQ133" s="1"/>
      <c r="AJR133" s="1"/>
      <c r="AJS133" s="1"/>
      <c r="AJT133" s="1"/>
      <c r="AJU133" s="1"/>
      <c r="AJV133" s="1"/>
      <c r="AJW133" s="1"/>
      <c r="AJX133" s="1"/>
      <c r="AJY133" s="1"/>
      <c r="AJZ133" s="1"/>
      <c r="AKA133" s="1"/>
      <c r="AKB133" s="1"/>
      <c r="AKC133" s="1"/>
      <c r="AKD133" s="1"/>
      <c r="AKE133" s="1"/>
      <c r="AKF133" s="1"/>
      <c r="AKG133" s="1"/>
      <c r="AKH133" s="1"/>
      <c r="AKI133" s="1"/>
      <c r="AKJ133" s="1"/>
      <c r="AKK133" s="1"/>
      <c r="AKL133" s="1"/>
      <c r="AKM133" s="1"/>
      <c r="AKN133" s="1"/>
      <c r="AKO133" s="1"/>
      <c r="AKP133" s="1"/>
      <c r="AKQ133" s="1"/>
      <c r="AKR133" s="1"/>
      <c r="AKS133" s="1"/>
      <c r="AKT133" s="1"/>
      <c r="AKU133" s="1"/>
      <c r="AKV133" s="1"/>
      <c r="AKW133" s="1"/>
      <c r="AKX133" s="1"/>
      <c r="AKY133" s="1"/>
      <c r="AKZ133" s="1"/>
      <c r="ALA133" s="1"/>
      <c r="ALB133" s="1"/>
      <c r="ALC133" s="1"/>
      <c r="ALD133" s="1"/>
      <c r="ALE133" s="1"/>
      <c r="ALF133" s="1"/>
      <c r="ALG133" s="1"/>
      <c r="ALH133" s="1"/>
      <c r="ALI133" s="1"/>
      <c r="ALJ133" s="1"/>
      <c r="ALK133" s="1"/>
      <c r="ALL133" s="1"/>
      <c r="ALM133" s="1"/>
      <c r="ALN133" s="1"/>
      <c r="ALO133" s="1"/>
      <c r="ALP133" s="1"/>
      <c r="ALQ133" s="1"/>
      <c r="ALR133" s="1"/>
      <c r="ALS133" s="1"/>
      <c r="ALT133" s="1"/>
      <c r="ALU133" s="1"/>
      <c r="ALV133" s="1"/>
      <c r="ALW133" s="1"/>
      <c r="ALX133" s="1"/>
      <c r="ALY133" s="1"/>
      <c r="ALZ133" s="1"/>
      <c r="AMA133" s="1"/>
      <c r="AMB133" s="1"/>
      <c r="AMC133" s="1"/>
      <c r="AMD133" s="1"/>
      <c r="AME133" s="1"/>
      <c r="AMF133" s="1"/>
      <c r="AMG133" s="1"/>
      <c r="AMH133" s="1"/>
      <c r="AMI133" s="1"/>
      <c r="AMJ133" s="1"/>
      <c r="AMK133" s="1"/>
      <c r="AML133" s="1"/>
      <c r="AMM133" s="1"/>
      <c r="AMN133" s="1"/>
      <c r="AMO133" s="1"/>
    </row>
    <row r="134" spans="1:1030" x14ac:dyDescent="0.2">
      <c r="A134" s="3" t="str">
        <f t="shared" si="729"/>
        <v>apj_human__wt</v>
      </c>
      <c r="B134" s="3" t="s">
        <v>160</v>
      </c>
      <c r="C134" s="3" t="s">
        <v>100</v>
      </c>
      <c r="D134" s="3" t="str">
        <f>IFERROR(MID(VLOOKUP($B134,Seqs!$A:$B,2,0),E134,1),"")</f>
        <v>A</v>
      </c>
      <c r="E134" s="3">
        <v>29</v>
      </c>
      <c r="F134" s="3" t="str">
        <f>IFERROR(MID(VLOOKUP($B134,Seqs!$A:$B,2,0),G134,1),"")</f>
        <v>S</v>
      </c>
      <c r="G134" s="3">
        <v>56</v>
      </c>
      <c r="H134" s="3" t="str">
        <f>IFERROR(MID(VLOOKUP($B134,Seqs!$A:$B,2,0),I134,1),"")</f>
        <v>S</v>
      </c>
      <c r="I134" s="23">
        <v>57</v>
      </c>
      <c r="J134" s="3" t="str">
        <f>IFERROR(MID(VLOOKUP($B134,Seqs!$A:$B,2,0),K134,1),"")</f>
        <v>R</v>
      </c>
      <c r="K134" s="23">
        <v>61</v>
      </c>
      <c r="L134" s="3" t="str">
        <f>IFERROR(MID(VLOOKUP($B134,Seqs!$A:$B,2,0),M134,1),"")</f>
        <v>R</v>
      </c>
      <c r="M134" s="3">
        <v>62</v>
      </c>
      <c r="N134" s="3" t="str">
        <f>IFERROR(MID(VLOOKUP($B134,Seqs!$A:$B,2,0),O134,1),"")</f>
        <v>D</v>
      </c>
      <c r="O134" s="3">
        <v>92</v>
      </c>
      <c r="P134" s="3" t="str">
        <f>IFERROR(MID(VLOOKUP($B134,Seqs!$A:$B,2,0),Q134,1),"")</f>
        <v>D</v>
      </c>
      <c r="Q134" s="3">
        <v>94</v>
      </c>
      <c r="R134" s="3" t="str">
        <f>IFERROR(MID(VLOOKUP($B134,Seqs!$A:$B,2,0),S134,1),"")</f>
        <v>F</v>
      </c>
      <c r="S134" s="3">
        <v>97</v>
      </c>
      <c r="T134" s="3" t="str">
        <f>IFERROR(MID(VLOOKUP($B134,Seqs!$A:$B,2,0),U134,1),"")</f>
        <v>G</v>
      </c>
      <c r="U134" s="3">
        <v>98</v>
      </c>
      <c r="V134" s="3" t="str">
        <f>IFERROR(MID(VLOOKUP($B134,Seqs!$A:$B,2,0),W134,1),"")</f>
        <v>R</v>
      </c>
      <c r="W134" s="3">
        <v>133</v>
      </c>
      <c r="X134" s="3" t="str">
        <f>IFERROR(MID(VLOOKUP($B134,Seqs!$A:$B,2,0),Y134,1),"")</f>
        <v>P</v>
      </c>
      <c r="Y134" s="3">
        <v>134</v>
      </c>
      <c r="Z134" s="3" t="str">
        <f>IFERROR(MID(VLOOKUP($B134,Seqs!$A:$B,2,0),AA134,1),"")</f>
        <v>R</v>
      </c>
      <c r="AA134" s="3">
        <v>141</v>
      </c>
      <c r="AB134" s="3" t="str">
        <f>IFERROR(MID(VLOOKUP($B134,Seqs!$A:$B,2,0),AC134,1),"")</f>
        <v>L</v>
      </c>
      <c r="AC134" s="3">
        <v>142</v>
      </c>
      <c r="AD134" s="3" t="str">
        <f>IFERROR(MID(VLOOKUP($B134,Seqs!$A:$B,2,0),AE134,1),"")</f>
        <v>R</v>
      </c>
      <c r="AE134" s="3">
        <v>168</v>
      </c>
      <c r="AF134" s="3" t="str">
        <f>IFERROR(MID(VLOOKUP($B134,Seqs!$A:$B,2,0),AG134,1),"")</f>
        <v>C</v>
      </c>
      <c r="AG134" s="3">
        <v>181</v>
      </c>
      <c r="AH134" s="3" t="str">
        <f>IFERROR(MID(VLOOKUP($B134,Seqs!$A:$B,2,0),AI134,1),"")</f>
        <v>M</v>
      </c>
      <c r="AI134" s="3">
        <v>183</v>
      </c>
      <c r="AJ134" s="3" t="str">
        <f>IFERROR(MID(VLOOKUP($B134,Seqs!$A:$B,2,0),AK134,1),"")</f>
        <v>S</v>
      </c>
      <c r="AK134" s="3">
        <v>193</v>
      </c>
      <c r="AL134" s="3" t="str">
        <f>IFERROR(MID(VLOOKUP($B134,Seqs!$A:$B,2,0),AM134,1),"")</f>
        <v>E</v>
      </c>
      <c r="AM134" s="3">
        <v>235</v>
      </c>
      <c r="AN134" s="3" t="str">
        <f>IFERROR(MID(VLOOKUP($B134,Seqs!$A:$B,2,0),AO134,1),"")</f>
        <v>K</v>
      </c>
      <c r="AO134" s="3">
        <v>242</v>
      </c>
      <c r="AP134" s="3" t="str">
        <f>IFERROR(MID(VLOOKUP($B134,Seqs!$A:$B,2,0),AQ134,1),"")</f>
        <v>L</v>
      </c>
      <c r="AQ134" s="3">
        <v>276</v>
      </c>
      <c r="AR134" s="3" t="str">
        <f>IFERROR(MID(VLOOKUP($B134,Seqs!$A:$B,2,0),AS134,1),"")</f>
        <v>P</v>
      </c>
      <c r="AS134" s="3">
        <v>280</v>
      </c>
      <c r="AT134" s="3" t="str">
        <f>IFERROR(MID(VLOOKUP($B134,Seqs!$A:$B,2,0),AU134,1),"")</f>
        <v>F</v>
      </c>
      <c r="AU134" s="3">
        <v>312</v>
      </c>
      <c r="AV134" s="3" t="str">
        <f>IFERROR(MID(VLOOKUP($B134,Seqs!$A:$B,2,0),AW134,1),"")</f>
        <v>D</v>
      </c>
      <c r="AW134" s="3">
        <v>313</v>
      </c>
      <c r="AX134" s="3" t="str">
        <f>IFERROR(MID(VLOOKUP($B134,Seqs!$A:$B,2,0),AY134,1),"")</f>
        <v>G</v>
      </c>
      <c r="AY134" s="3">
        <v>327</v>
      </c>
      <c r="AZ134" s="77" t="str">
        <f>VLOOKUP(B134,Classification!A:D,2,0)</f>
        <v>A</v>
      </c>
      <c r="BA134" s="94" t="str">
        <f>VLOOKUP(B134,Classification!A:D,4,0)</f>
        <v>Apelin</v>
      </c>
      <c r="BB134" s="27" t="b">
        <f t="shared" si="730"/>
        <v>1</v>
      </c>
      <c r="BC134" s="23">
        <f t="shared" si="731"/>
        <v>268</v>
      </c>
      <c r="BD134" s="2"/>
      <c r="BE134" s="3" t="s">
        <v>23</v>
      </c>
      <c r="BF134" s="119" t="s">
        <v>23</v>
      </c>
      <c r="BG134" s="49" t="s">
        <v>1287</v>
      </c>
      <c r="BH134" s="49" t="s">
        <v>1287</v>
      </c>
      <c r="BI134" s="1"/>
      <c r="BJ134" s="70" t="s">
        <v>1293</v>
      </c>
      <c r="BK134" s="57" t="s">
        <v>1293</v>
      </c>
      <c r="BL134" s="57" t="s">
        <v>1293</v>
      </c>
      <c r="BM134" s="57" t="s">
        <v>1293</v>
      </c>
      <c r="BN134" s="57" t="s">
        <v>1293</v>
      </c>
      <c r="BO134" s="57" t="s">
        <v>1293</v>
      </c>
      <c r="BP134" s="57" t="s">
        <v>1293</v>
      </c>
      <c r="BQ134" s="57" t="s">
        <v>1293</v>
      </c>
      <c r="BR134" s="57" t="s">
        <v>1293</v>
      </c>
      <c r="BS134" s="57" t="s">
        <v>1293</v>
      </c>
      <c r="BT134" s="57" t="s">
        <v>1293</v>
      </c>
      <c r="BU134" s="57" t="s">
        <v>1293</v>
      </c>
      <c r="BV134" s="70">
        <f t="shared" si="732"/>
        <v>29</v>
      </c>
      <c r="BW134" s="71">
        <f t="shared" si="733"/>
        <v>57</v>
      </c>
      <c r="BX134" s="72">
        <f t="shared" si="734"/>
        <v>62</v>
      </c>
      <c r="BY134" s="71">
        <f t="shared" si="735"/>
        <v>94</v>
      </c>
      <c r="BZ134" s="72">
        <f t="shared" si="736"/>
        <v>98</v>
      </c>
      <c r="CA134" s="71">
        <f t="shared" si="737"/>
        <v>134</v>
      </c>
      <c r="CB134" s="72">
        <f t="shared" si="738"/>
        <v>142</v>
      </c>
      <c r="CC134" s="71">
        <f t="shared" si="739"/>
        <v>181</v>
      </c>
      <c r="CD134" s="72">
        <f t="shared" si="740"/>
        <v>193</v>
      </c>
      <c r="CE134" s="71">
        <f t="shared" si="741"/>
        <v>242</v>
      </c>
      <c r="CF134" s="72">
        <f t="shared" si="742"/>
        <v>280</v>
      </c>
      <c r="CG134" s="71">
        <f t="shared" si="743"/>
        <v>313</v>
      </c>
      <c r="CH134" s="70">
        <f t="shared" si="744"/>
        <v>56</v>
      </c>
      <c r="CI134" s="71">
        <f t="shared" si="745"/>
        <v>61</v>
      </c>
      <c r="CJ134" s="72">
        <f t="shared" si="746"/>
        <v>92</v>
      </c>
      <c r="CK134" s="72">
        <f t="shared" si="747"/>
        <v>97</v>
      </c>
      <c r="CL134" s="72">
        <f t="shared" si="748"/>
        <v>133</v>
      </c>
      <c r="CM134" s="72">
        <f t="shared" si="749"/>
        <v>141</v>
      </c>
      <c r="CN134" s="72">
        <f t="shared" si="750"/>
        <v>168</v>
      </c>
      <c r="CO134" s="72">
        <f t="shared" si="751"/>
        <v>183</v>
      </c>
      <c r="CP134" s="72">
        <f t="shared" si="752"/>
        <v>235</v>
      </c>
      <c r="CQ134" s="72">
        <f t="shared" si="753"/>
        <v>276</v>
      </c>
      <c r="CR134" s="72">
        <f t="shared" si="754"/>
        <v>312</v>
      </c>
      <c r="CS134" s="72">
        <f t="shared" si="755"/>
        <v>327</v>
      </c>
      <c r="CT134" s="23">
        <f t="shared" si="756"/>
        <v>1</v>
      </c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  <c r="ADW134" s="1"/>
      <c r="ADX134" s="1"/>
      <c r="ADY134" s="1"/>
      <c r="ADZ134" s="1"/>
      <c r="AEA134" s="1"/>
      <c r="AEB134" s="1"/>
      <c r="AEC134" s="1"/>
      <c r="AED134" s="1"/>
      <c r="AEE134" s="1"/>
      <c r="AEF134" s="1"/>
      <c r="AEG134" s="1"/>
      <c r="AEH134" s="1"/>
      <c r="AEI134" s="1"/>
      <c r="AEJ134" s="1"/>
      <c r="AEK134" s="1"/>
      <c r="AEL134" s="1"/>
      <c r="AEM134" s="1"/>
      <c r="AEN134" s="1"/>
      <c r="AEO134" s="1"/>
      <c r="AEP134" s="1"/>
      <c r="AEQ134" s="1"/>
      <c r="AER134" s="1"/>
      <c r="AES134" s="1"/>
      <c r="AET134" s="1"/>
      <c r="AEU134" s="1"/>
      <c r="AEV134" s="1"/>
      <c r="AEW134" s="1"/>
      <c r="AEX134" s="1"/>
      <c r="AEY134" s="1"/>
      <c r="AEZ134" s="1"/>
      <c r="AFA134" s="1"/>
      <c r="AFB134" s="1"/>
      <c r="AFC134" s="1"/>
      <c r="AFD134" s="1"/>
      <c r="AFE134" s="1"/>
      <c r="AFF134" s="1"/>
      <c r="AFG134" s="1"/>
      <c r="AFH134" s="1"/>
      <c r="AFI134" s="1"/>
      <c r="AFJ134" s="1"/>
      <c r="AFK134" s="1"/>
      <c r="AFL134" s="1"/>
      <c r="AFM134" s="1"/>
      <c r="AFN134" s="1"/>
      <c r="AFO134" s="1"/>
      <c r="AFP134" s="1"/>
      <c r="AFQ134" s="1"/>
      <c r="AFR134" s="1"/>
      <c r="AFS134" s="1"/>
      <c r="AFT134" s="1"/>
      <c r="AFU134" s="1"/>
      <c r="AFV134" s="1"/>
      <c r="AFW134" s="1"/>
      <c r="AFX134" s="1"/>
      <c r="AFY134" s="1"/>
      <c r="AFZ134" s="1"/>
      <c r="AGA134" s="1"/>
      <c r="AGB134" s="1"/>
      <c r="AGC134" s="1"/>
      <c r="AGD134" s="1"/>
      <c r="AGE134" s="1"/>
      <c r="AGF134" s="1"/>
      <c r="AGG134" s="1"/>
      <c r="AGH134" s="1"/>
      <c r="AGI134" s="1"/>
      <c r="AGJ134" s="1"/>
      <c r="AGK134" s="1"/>
      <c r="AGL134" s="1"/>
      <c r="AGM134" s="1"/>
      <c r="AGN134" s="1"/>
      <c r="AGO134" s="1"/>
      <c r="AGP134" s="1"/>
      <c r="AGQ134" s="1"/>
      <c r="AGR134" s="1"/>
      <c r="AGS134" s="1"/>
      <c r="AGT134" s="1"/>
      <c r="AGU134" s="1"/>
      <c r="AGV134" s="1"/>
      <c r="AGW134" s="1"/>
      <c r="AGX134" s="1"/>
      <c r="AGY134" s="1"/>
      <c r="AGZ134" s="1"/>
      <c r="AHA134" s="1"/>
      <c r="AHB134" s="1"/>
      <c r="AHC134" s="1"/>
      <c r="AHD134" s="1"/>
      <c r="AHE134" s="1"/>
      <c r="AHF134" s="1"/>
      <c r="AHG134" s="1"/>
      <c r="AHH134" s="1"/>
      <c r="AHI134" s="1"/>
      <c r="AHJ134" s="1"/>
      <c r="AHK134" s="1"/>
      <c r="AHL134" s="1"/>
      <c r="AHM134" s="1"/>
      <c r="AHN134" s="1"/>
      <c r="AHO134" s="1"/>
      <c r="AHP134" s="1"/>
      <c r="AHQ134" s="1"/>
      <c r="AHR134" s="1"/>
      <c r="AHS134" s="1"/>
      <c r="AHT134" s="1"/>
      <c r="AHU134" s="1"/>
      <c r="AHV134" s="1"/>
      <c r="AHW134" s="1"/>
      <c r="AHX134" s="1"/>
      <c r="AHY134" s="1"/>
      <c r="AHZ134" s="1"/>
      <c r="AIA134" s="1"/>
      <c r="AIB134" s="1"/>
      <c r="AIC134" s="1"/>
      <c r="AID134" s="1"/>
      <c r="AIE134" s="1"/>
      <c r="AIF134" s="1"/>
      <c r="AIG134" s="1"/>
      <c r="AIH134" s="1"/>
      <c r="AII134" s="1"/>
      <c r="AIJ134" s="1"/>
      <c r="AIK134" s="1"/>
      <c r="AIL134" s="1"/>
      <c r="AIM134" s="1"/>
      <c r="AIN134" s="1"/>
      <c r="AIO134" s="1"/>
      <c r="AIP134" s="1"/>
      <c r="AIQ134" s="1"/>
      <c r="AIR134" s="1"/>
      <c r="AIS134" s="1"/>
      <c r="AIT134" s="1"/>
      <c r="AIU134" s="1"/>
      <c r="AIV134" s="1"/>
      <c r="AIW134" s="1"/>
      <c r="AIX134" s="1"/>
      <c r="AIY134" s="1"/>
      <c r="AIZ134" s="1"/>
      <c r="AJA134" s="1"/>
      <c r="AJB134" s="1"/>
      <c r="AJC134" s="1"/>
      <c r="AJD134" s="1"/>
      <c r="AJE134" s="1"/>
      <c r="AJF134" s="1"/>
      <c r="AJG134" s="1"/>
      <c r="AJH134" s="1"/>
      <c r="AJI134" s="1"/>
      <c r="AJJ134" s="1"/>
      <c r="AJK134" s="1"/>
      <c r="AJL134" s="1"/>
      <c r="AJM134" s="1"/>
      <c r="AJN134" s="1"/>
      <c r="AJO134" s="1"/>
      <c r="AJP134" s="1"/>
      <c r="AJQ134" s="1"/>
      <c r="AJR134" s="1"/>
      <c r="AJS134" s="1"/>
      <c r="AJT134" s="1"/>
      <c r="AJU134" s="1"/>
      <c r="AJV134" s="1"/>
      <c r="AJW134" s="1"/>
      <c r="AJX134" s="1"/>
      <c r="AJY134" s="1"/>
      <c r="AJZ134" s="1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1"/>
      <c r="AKN134" s="1"/>
      <c r="AKO134" s="1"/>
      <c r="AKP134" s="1"/>
      <c r="AKQ134" s="1"/>
      <c r="AKR134" s="1"/>
      <c r="AKS134" s="1"/>
      <c r="AKT134" s="1"/>
      <c r="AKU134" s="1"/>
      <c r="AKV134" s="1"/>
      <c r="AKW134" s="1"/>
      <c r="AKX134" s="1"/>
      <c r="AKY134" s="1"/>
      <c r="AKZ134" s="1"/>
      <c r="ALA134" s="1"/>
      <c r="ALB134" s="1"/>
      <c r="ALC134" s="1"/>
      <c r="ALD134" s="1"/>
      <c r="ALE134" s="1"/>
      <c r="ALF134" s="1"/>
      <c r="ALG134" s="1"/>
      <c r="ALH134" s="1"/>
      <c r="ALI134" s="1"/>
      <c r="ALJ134" s="1"/>
      <c r="ALK134" s="1"/>
      <c r="ALL134" s="1"/>
      <c r="ALM134" s="1"/>
      <c r="ALN134" s="1"/>
      <c r="ALO134" s="1"/>
      <c r="ALP134" s="1"/>
      <c r="ALQ134" s="1"/>
      <c r="ALR134" s="1"/>
      <c r="ALS134" s="1"/>
      <c r="ALT134" s="1"/>
      <c r="ALU134" s="1"/>
      <c r="ALV134" s="1"/>
      <c r="ALW134" s="1"/>
      <c r="ALX134" s="1"/>
      <c r="ALY134" s="1"/>
      <c r="ALZ134" s="1"/>
      <c r="AMA134" s="1"/>
      <c r="AMB134" s="1"/>
      <c r="AMC134" s="1"/>
      <c r="AMD134" s="1"/>
      <c r="AME134" s="1"/>
      <c r="AMF134" s="1"/>
      <c r="AMG134" s="1"/>
      <c r="AMH134" s="1"/>
      <c r="AMI134" s="1"/>
      <c r="AMJ134" s="1"/>
      <c r="AMK134" s="1"/>
      <c r="AML134" s="1"/>
      <c r="AMM134" s="1"/>
      <c r="AMN134" s="1"/>
      <c r="AMO134" s="1"/>
    </row>
    <row r="135" spans="1:1030" x14ac:dyDescent="0.2">
      <c r="A135" s="3" t="str">
        <f t="shared" si="729"/>
        <v>apj_human_5VBL</v>
      </c>
      <c r="B135" s="3" t="s">
        <v>160</v>
      </c>
      <c r="C135" s="3" t="s">
        <v>1423</v>
      </c>
      <c r="D135" s="3" t="str">
        <f>IFERROR(MID(VLOOKUP($B135,Seqs!$A:$B,2,0),E135,1),"")</f>
        <v>A</v>
      </c>
      <c r="E135" s="3">
        <v>29</v>
      </c>
      <c r="F135" s="3" t="str">
        <f>IFERROR(MID(VLOOKUP($B135,Seqs!$A:$B,2,0),G135,1),"")</f>
        <v>S</v>
      </c>
      <c r="G135" s="3">
        <v>56</v>
      </c>
      <c r="H135" s="3" t="str">
        <f>IFERROR(MID(VLOOKUP($B135,Seqs!$A:$B,2,0),I135,1),"")</f>
        <v>S</v>
      </c>
      <c r="I135" s="23">
        <v>57</v>
      </c>
      <c r="J135" s="3" t="str">
        <f>IFERROR(MID(VLOOKUP($B135,Seqs!$A:$B,2,0),K135,1),"")</f>
        <v>R</v>
      </c>
      <c r="K135" s="23">
        <v>61</v>
      </c>
      <c r="L135" s="3" t="str">
        <f>IFERROR(MID(VLOOKUP($B135,Seqs!$A:$B,2,0),M135,1),"")</f>
        <v>R</v>
      </c>
      <c r="M135" s="3">
        <v>62</v>
      </c>
      <c r="N135" s="3" t="str">
        <f>IFERROR(MID(VLOOKUP($B135,Seqs!$A:$B,2,0),O135,1),"")</f>
        <v>D</v>
      </c>
      <c r="O135" s="3">
        <v>92</v>
      </c>
      <c r="P135" s="3" t="str">
        <f>IFERROR(MID(VLOOKUP($B135,Seqs!$A:$B,2,0),Q135,1),"")</f>
        <v>D</v>
      </c>
      <c r="Q135" s="3">
        <v>94</v>
      </c>
      <c r="R135" s="3" t="str">
        <f>IFERROR(MID(VLOOKUP($B135,Seqs!$A:$B,2,0),S135,1),"")</f>
        <v>F</v>
      </c>
      <c r="S135" s="3">
        <v>97</v>
      </c>
      <c r="T135" s="3" t="str">
        <f>IFERROR(MID(VLOOKUP($B135,Seqs!$A:$B,2,0),U135,1),"")</f>
        <v>G</v>
      </c>
      <c r="U135" s="3">
        <v>98</v>
      </c>
      <c r="V135" s="3" t="str">
        <f>IFERROR(MID(VLOOKUP($B135,Seqs!$A:$B,2,0),W135,1),"")</f>
        <v>R</v>
      </c>
      <c r="W135" s="3">
        <v>133</v>
      </c>
      <c r="X135" s="3" t="str">
        <f>IFERROR(MID(VLOOKUP($B135,Seqs!$A:$B,2,0),Y135,1),"")</f>
        <v/>
      </c>
      <c r="Y135" s="3" t="s">
        <v>23</v>
      </c>
      <c r="Z135" s="3" t="str">
        <f>IFERROR(MID(VLOOKUP($B135,Seqs!$A:$B,2,0),AA135,1),"")</f>
        <v/>
      </c>
      <c r="AA135" s="3" t="s">
        <v>23</v>
      </c>
      <c r="AB135" s="3" t="str">
        <f>IFERROR(MID(VLOOKUP($B135,Seqs!$A:$B,2,0),AC135,1),"")</f>
        <v>R</v>
      </c>
      <c r="AC135" s="3">
        <v>141</v>
      </c>
      <c r="AD135" s="3" t="str">
        <f>IFERROR(MID(VLOOKUP($B135,Seqs!$A:$B,2,0),AE135,1),"")</f>
        <v>R</v>
      </c>
      <c r="AE135" s="3">
        <v>168</v>
      </c>
      <c r="AF135" s="3" t="str">
        <f>IFERROR(MID(VLOOKUP($B135,Seqs!$A:$B,2,0),AG135,1),"")</f>
        <v>C</v>
      </c>
      <c r="AG135" s="3">
        <v>181</v>
      </c>
      <c r="AH135" s="3" t="str">
        <f>IFERROR(MID(VLOOKUP($B135,Seqs!$A:$B,2,0),AI135,1),"")</f>
        <v>M</v>
      </c>
      <c r="AI135" s="3">
        <v>183</v>
      </c>
      <c r="AJ135" s="3" t="str">
        <f>IFERROR(MID(VLOOKUP($B135,Seqs!$A:$B,2,0),AK135,1),"")</f>
        <v>S</v>
      </c>
      <c r="AK135" s="3">
        <v>193</v>
      </c>
      <c r="AL135" s="3" t="str">
        <f>IFERROR(MID(VLOOKUP($B135,Seqs!$A:$B,2,0),AM135,1),"")</f>
        <v>A</v>
      </c>
      <c r="AM135" s="3">
        <v>229</v>
      </c>
      <c r="AN135" s="3" t="str">
        <f>IFERROR(MID(VLOOKUP($B135,Seqs!$A:$B,2,0),AO135,1),"")</f>
        <v>R</v>
      </c>
      <c r="AO135" s="3">
        <v>244</v>
      </c>
      <c r="AP135" s="3" t="str">
        <f>IFERROR(MID(VLOOKUP($B135,Seqs!$A:$B,2,0),AQ135,1),"")</f>
        <v>L</v>
      </c>
      <c r="AQ135" s="3">
        <v>276</v>
      </c>
      <c r="AR135" s="3" t="str">
        <f>IFERROR(MID(VLOOKUP($B135,Seqs!$A:$B,2,0),AS135,1),"")</f>
        <v>P</v>
      </c>
      <c r="AS135" s="3">
        <v>280</v>
      </c>
      <c r="AT135" s="3" t="str">
        <f>IFERROR(MID(VLOOKUP($B135,Seqs!$A:$B,2,0),AU135,1),"")</f>
        <v>F</v>
      </c>
      <c r="AU135" s="3">
        <v>312</v>
      </c>
      <c r="AV135" s="3" t="str">
        <f>IFERROR(MID(VLOOKUP($B135,Seqs!$A:$B,2,0),AW135,1),"")</f>
        <v>D</v>
      </c>
      <c r="AW135" s="3">
        <v>313</v>
      </c>
      <c r="AX135" s="3" t="str">
        <f>IFERROR(MID(VLOOKUP($B135,Seqs!$A:$B,2,0),AY135,1),"")</f>
        <v>G</v>
      </c>
      <c r="AY135" s="3">
        <v>327</v>
      </c>
      <c r="AZ135" s="77" t="str">
        <f>VLOOKUP(B135,Classification!A:D,2,0)</f>
        <v>A</v>
      </c>
      <c r="BA135" s="94" t="str">
        <f>VLOOKUP(B135,Classification!A:D,4,0)</f>
        <v>Apelin</v>
      </c>
      <c r="BB135" s="27" t="b">
        <f t="shared" si="730"/>
        <v>1</v>
      </c>
      <c r="BC135" s="23">
        <f t="shared" si="731"/>
        <v>254</v>
      </c>
      <c r="BD135" s="2" t="s">
        <v>1382</v>
      </c>
      <c r="BE135" s="3" t="s">
        <v>1380</v>
      </c>
      <c r="BF135" s="119">
        <v>2.6</v>
      </c>
      <c r="BG135" s="49" t="s">
        <v>1287</v>
      </c>
      <c r="BH135" s="49" t="s">
        <v>1287</v>
      </c>
      <c r="BI135" s="1"/>
      <c r="BJ135" s="70" t="s">
        <v>1293</v>
      </c>
      <c r="BK135" s="57" t="s">
        <v>1293</v>
      </c>
      <c r="BL135" s="57" t="s">
        <v>1293</v>
      </c>
      <c r="BM135" s="57" t="s">
        <v>1293</v>
      </c>
      <c r="BN135" s="57" t="s">
        <v>1293</v>
      </c>
      <c r="BO135" s="57" t="s">
        <v>1293</v>
      </c>
      <c r="BP135" s="57" t="s">
        <v>1293</v>
      </c>
      <c r="BQ135" s="57" t="s">
        <v>1293</v>
      </c>
      <c r="BR135" s="57" t="s">
        <v>1293</v>
      </c>
      <c r="BS135" s="57" t="s">
        <v>1293</v>
      </c>
      <c r="BT135" s="57" t="s">
        <v>1293</v>
      </c>
      <c r="BU135" s="57" t="s">
        <v>1293</v>
      </c>
      <c r="BV135" s="70">
        <f t="shared" si="732"/>
        <v>29</v>
      </c>
      <c r="BW135" s="71">
        <f t="shared" si="733"/>
        <v>57</v>
      </c>
      <c r="BX135" s="72">
        <f t="shared" si="734"/>
        <v>62</v>
      </c>
      <c r="BY135" s="71">
        <f t="shared" si="735"/>
        <v>94</v>
      </c>
      <c r="BZ135" s="72">
        <f t="shared" si="736"/>
        <v>98</v>
      </c>
      <c r="CA135" s="71" t="str">
        <f t="shared" si="737"/>
        <v>-</v>
      </c>
      <c r="CB135" s="72">
        <f t="shared" si="738"/>
        <v>141</v>
      </c>
      <c r="CC135" s="71">
        <f t="shared" si="739"/>
        <v>181</v>
      </c>
      <c r="CD135" s="72">
        <f t="shared" si="740"/>
        <v>193</v>
      </c>
      <c r="CE135" s="71">
        <f t="shared" si="741"/>
        <v>244</v>
      </c>
      <c r="CF135" s="72">
        <f t="shared" si="742"/>
        <v>280</v>
      </c>
      <c r="CG135" s="71">
        <f t="shared" si="743"/>
        <v>313</v>
      </c>
      <c r="CH135" s="70">
        <f t="shared" si="744"/>
        <v>56</v>
      </c>
      <c r="CI135" s="71">
        <f t="shared" si="745"/>
        <v>61</v>
      </c>
      <c r="CJ135" s="72">
        <f t="shared" si="746"/>
        <v>92</v>
      </c>
      <c r="CK135" s="72">
        <f t="shared" si="747"/>
        <v>97</v>
      </c>
      <c r="CL135" s="72">
        <f t="shared" si="748"/>
        <v>133</v>
      </c>
      <c r="CM135" s="72" t="str">
        <f t="shared" si="749"/>
        <v>-</v>
      </c>
      <c r="CN135" s="72">
        <f t="shared" si="750"/>
        <v>168</v>
      </c>
      <c r="CO135" s="72">
        <f t="shared" si="751"/>
        <v>183</v>
      </c>
      <c r="CP135" s="72">
        <f t="shared" si="752"/>
        <v>229</v>
      </c>
      <c r="CQ135" s="72">
        <f t="shared" si="753"/>
        <v>276</v>
      </c>
      <c r="CR135" s="72">
        <f t="shared" si="754"/>
        <v>312</v>
      </c>
      <c r="CS135" s="72">
        <f t="shared" si="755"/>
        <v>327</v>
      </c>
      <c r="CT135" s="23">
        <f t="shared" si="756"/>
        <v>1</v>
      </c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  <c r="ADW135" s="1"/>
      <c r="ADX135" s="1"/>
      <c r="ADY135" s="1"/>
      <c r="ADZ135" s="1"/>
      <c r="AEA135" s="1"/>
      <c r="AEB135" s="1"/>
      <c r="AEC135" s="1"/>
      <c r="AED135" s="1"/>
      <c r="AEE135" s="1"/>
      <c r="AEF135" s="1"/>
      <c r="AEG135" s="1"/>
      <c r="AEH135" s="1"/>
      <c r="AEI135" s="1"/>
      <c r="AEJ135" s="1"/>
      <c r="AEK135" s="1"/>
      <c r="AEL135" s="1"/>
      <c r="AEM135" s="1"/>
      <c r="AEN135" s="1"/>
      <c r="AEO135" s="1"/>
      <c r="AEP135" s="1"/>
      <c r="AEQ135" s="1"/>
      <c r="AER135" s="1"/>
      <c r="AES135" s="1"/>
      <c r="AET135" s="1"/>
      <c r="AEU135" s="1"/>
      <c r="AEV135" s="1"/>
      <c r="AEW135" s="1"/>
      <c r="AEX135" s="1"/>
      <c r="AEY135" s="1"/>
      <c r="AEZ135" s="1"/>
      <c r="AFA135" s="1"/>
      <c r="AFB135" s="1"/>
      <c r="AFC135" s="1"/>
      <c r="AFD135" s="1"/>
      <c r="AFE135" s="1"/>
      <c r="AFF135" s="1"/>
      <c r="AFG135" s="1"/>
      <c r="AFH135" s="1"/>
      <c r="AFI135" s="1"/>
      <c r="AFJ135" s="1"/>
      <c r="AFK135" s="1"/>
      <c r="AFL135" s="1"/>
      <c r="AFM135" s="1"/>
      <c r="AFN135" s="1"/>
      <c r="AFO135" s="1"/>
      <c r="AFP135" s="1"/>
      <c r="AFQ135" s="1"/>
      <c r="AFR135" s="1"/>
      <c r="AFS135" s="1"/>
      <c r="AFT135" s="1"/>
      <c r="AFU135" s="1"/>
      <c r="AFV135" s="1"/>
      <c r="AFW135" s="1"/>
      <c r="AFX135" s="1"/>
      <c r="AFY135" s="1"/>
      <c r="AFZ135" s="1"/>
      <c r="AGA135" s="1"/>
      <c r="AGB135" s="1"/>
      <c r="AGC135" s="1"/>
      <c r="AGD135" s="1"/>
      <c r="AGE135" s="1"/>
      <c r="AGF135" s="1"/>
      <c r="AGG135" s="1"/>
      <c r="AGH135" s="1"/>
      <c r="AGI135" s="1"/>
      <c r="AGJ135" s="1"/>
      <c r="AGK135" s="1"/>
      <c r="AGL135" s="1"/>
      <c r="AGM135" s="1"/>
      <c r="AGN135" s="1"/>
      <c r="AGO135" s="1"/>
      <c r="AGP135" s="1"/>
      <c r="AGQ135" s="1"/>
      <c r="AGR135" s="1"/>
      <c r="AGS135" s="1"/>
      <c r="AGT135" s="1"/>
      <c r="AGU135" s="1"/>
      <c r="AGV135" s="1"/>
      <c r="AGW135" s="1"/>
      <c r="AGX135" s="1"/>
      <c r="AGY135" s="1"/>
      <c r="AGZ135" s="1"/>
      <c r="AHA135" s="1"/>
      <c r="AHB135" s="1"/>
      <c r="AHC135" s="1"/>
      <c r="AHD135" s="1"/>
      <c r="AHE135" s="1"/>
      <c r="AHF135" s="1"/>
      <c r="AHG135" s="1"/>
      <c r="AHH135" s="1"/>
      <c r="AHI135" s="1"/>
      <c r="AHJ135" s="1"/>
      <c r="AHK135" s="1"/>
      <c r="AHL135" s="1"/>
      <c r="AHM135" s="1"/>
      <c r="AHN135" s="1"/>
      <c r="AHO135" s="1"/>
      <c r="AHP135" s="1"/>
      <c r="AHQ135" s="1"/>
      <c r="AHR135" s="1"/>
      <c r="AHS135" s="1"/>
      <c r="AHT135" s="1"/>
      <c r="AHU135" s="1"/>
      <c r="AHV135" s="1"/>
      <c r="AHW135" s="1"/>
      <c r="AHX135" s="1"/>
      <c r="AHY135" s="1"/>
      <c r="AHZ135" s="1"/>
      <c r="AIA135" s="1"/>
      <c r="AIB135" s="1"/>
      <c r="AIC135" s="1"/>
      <c r="AID135" s="1"/>
      <c r="AIE135" s="1"/>
      <c r="AIF135" s="1"/>
      <c r="AIG135" s="1"/>
      <c r="AIH135" s="1"/>
      <c r="AII135" s="1"/>
      <c r="AIJ135" s="1"/>
      <c r="AIK135" s="1"/>
      <c r="AIL135" s="1"/>
      <c r="AIM135" s="1"/>
      <c r="AIN135" s="1"/>
      <c r="AIO135" s="1"/>
      <c r="AIP135" s="1"/>
      <c r="AIQ135" s="1"/>
      <c r="AIR135" s="1"/>
      <c r="AIS135" s="1"/>
      <c r="AIT135" s="1"/>
      <c r="AIU135" s="1"/>
      <c r="AIV135" s="1"/>
      <c r="AIW135" s="1"/>
      <c r="AIX135" s="1"/>
      <c r="AIY135" s="1"/>
      <c r="AIZ135" s="1"/>
      <c r="AJA135" s="1"/>
      <c r="AJB135" s="1"/>
      <c r="AJC135" s="1"/>
      <c r="AJD135" s="1"/>
      <c r="AJE135" s="1"/>
      <c r="AJF135" s="1"/>
      <c r="AJG135" s="1"/>
      <c r="AJH135" s="1"/>
      <c r="AJI135" s="1"/>
      <c r="AJJ135" s="1"/>
      <c r="AJK135" s="1"/>
      <c r="AJL135" s="1"/>
      <c r="AJM135" s="1"/>
      <c r="AJN135" s="1"/>
      <c r="AJO135" s="1"/>
      <c r="AJP135" s="1"/>
      <c r="AJQ135" s="1"/>
      <c r="AJR135" s="1"/>
      <c r="AJS135" s="1"/>
      <c r="AJT135" s="1"/>
      <c r="AJU135" s="1"/>
      <c r="AJV135" s="1"/>
      <c r="AJW135" s="1"/>
      <c r="AJX135" s="1"/>
      <c r="AJY135" s="1"/>
      <c r="AJZ135" s="1"/>
      <c r="AKA135" s="1"/>
      <c r="AKB135" s="1"/>
      <c r="AKC135" s="1"/>
      <c r="AKD135" s="1"/>
      <c r="AKE135" s="1"/>
      <c r="AKF135" s="1"/>
      <c r="AKG135" s="1"/>
      <c r="AKH135" s="1"/>
      <c r="AKI135" s="1"/>
      <c r="AKJ135" s="1"/>
      <c r="AKK135" s="1"/>
      <c r="AKL135" s="1"/>
      <c r="AKM135" s="1"/>
      <c r="AKN135" s="1"/>
      <c r="AKO135" s="1"/>
      <c r="AKP135" s="1"/>
      <c r="AKQ135" s="1"/>
      <c r="AKR135" s="1"/>
      <c r="AKS135" s="1"/>
      <c r="AKT135" s="1"/>
      <c r="AKU135" s="1"/>
      <c r="AKV135" s="1"/>
      <c r="AKW135" s="1"/>
      <c r="AKX135" s="1"/>
      <c r="AKY135" s="1"/>
      <c r="AKZ135" s="1"/>
      <c r="ALA135" s="1"/>
      <c r="ALB135" s="1"/>
      <c r="ALC135" s="1"/>
      <c r="ALD135" s="1"/>
      <c r="ALE135" s="1"/>
      <c r="ALF135" s="1"/>
      <c r="ALG135" s="1"/>
      <c r="ALH135" s="1"/>
      <c r="ALI135" s="1"/>
      <c r="ALJ135" s="1"/>
      <c r="ALK135" s="1"/>
      <c r="ALL135" s="1"/>
      <c r="ALM135" s="1"/>
      <c r="ALN135" s="1"/>
      <c r="ALO135" s="1"/>
      <c r="ALP135" s="1"/>
      <c r="ALQ135" s="1"/>
      <c r="ALR135" s="1"/>
      <c r="ALS135" s="1"/>
      <c r="ALT135" s="1"/>
      <c r="ALU135" s="1"/>
      <c r="ALV135" s="1"/>
      <c r="ALW135" s="1"/>
      <c r="ALX135" s="1"/>
      <c r="ALY135" s="1"/>
      <c r="ALZ135" s="1"/>
      <c r="AMA135" s="1"/>
      <c r="AMB135" s="1"/>
      <c r="AMC135" s="1"/>
      <c r="AMD135" s="1"/>
      <c r="AME135" s="1"/>
      <c r="AMF135" s="1"/>
      <c r="AMG135" s="1"/>
      <c r="AMH135" s="1"/>
      <c r="AMI135" s="1"/>
      <c r="AMJ135" s="1"/>
      <c r="AMK135" s="1"/>
      <c r="AML135" s="1"/>
      <c r="AMM135" s="1"/>
      <c r="AMN135" s="1"/>
      <c r="AMO135" s="1"/>
    </row>
    <row r="136" spans="1:1030" x14ac:dyDescent="0.2">
      <c r="A136" s="3" t="str">
        <f t="shared" si="729"/>
        <v>c5ar1_human__wt</v>
      </c>
      <c r="B136" s="3" t="s">
        <v>165</v>
      </c>
      <c r="C136" s="3" t="s">
        <v>100</v>
      </c>
      <c r="D136" s="3" t="str">
        <f>IFERROR(MID(VLOOKUP($B136,Seqs!$A:$B,2,0),E136,1),"")</f>
        <v>R</v>
      </c>
      <c r="E136" s="3">
        <v>34</v>
      </c>
      <c r="F136" s="3" t="str">
        <f>IFERROR(MID(VLOOKUP($B136,Seqs!$A:$B,2,0),G136,1),"")</f>
        <v>E</v>
      </c>
      <c r="G136" s="3">
        <v>65</v>
      </c>
      <c r="H136" s="3" t="str">
        <f>IFERROR(MID(VLOOKUP($B136,Seqs!$A:$B,2,0),I136,1),"")</f>
        <v/>
      </c>
      <c r="I136" s="23" t="s">
        <v>23</v>
      </c>
      <c r="J136" s="3" t="str">
        <f>IFERROR(MID(VLOOKUP($B136,Seqs!$A:$B,2,0),K136,1),"")</f>
        <v/>
      </c>
      <c r="K136" s="23" t="s">
        <v>23</v>
      </c>
      <c r="L136" s="3" t="str">
        <f>IFERROR(MID(VLOOKUP($B136,Seqs!$A:$B,2,0),M136,1),"")</f>
        <v>T</v>
      </c>
      <c r="M136" s="3">
        <v>69</v>
      </c>
      <c r="N136" s="3" t="str">
        <f>IFERROR(MID(VLOOKUP($B136,Seqs!$A:$B,2,0),O136,1),"")</f>
        <v>H</v>
      </c>
      <c r="O136" s="3">
        <v>99</v>
      </c>
      <c r="P136" s="3" t="str">
        <f>IFERROR(MID(VLOOKUP($B136,Seqs!$A:$B,2,0),Q136,1),"")</f>
        <v>H</v>
      </c>
      <c r="Q136" s="3">
        <v>101</v>
      </c>
      <c r="R136" s="3" t="str">
        <f>IFERROR(MID(VLOOKUP($B136,Seqs!$A:$B,2,0),S136,1),"")</f>
        <v>F</v>
      </c>
      <c r="S136" s="3">
        <v>104</v>
      </c>
      <c r="T136" s="3" t="str">
        <f>IFERROR(MID(VLOOKUP($B136,Seqs!$A:$B,2,0),U136,1),"")</f>
        <v>G</v>
      </c>
      <c r="U136" s="3">
        <v>105</v>
      </c>
      <c r="V136" s="3" t="str">
        <f>IFERROR(MID(VLOOKUP($B136,Seqs!$A:$B,2,0),W136,1),"")</f>
        <v>K</v>
      </c>
      <c r="W136" s="3">
        <v>140</v>
      </c>
      <c r="X136" s="3" t="str">
        <f>IFERROR(MID(VLOOKUP($B136,Seqs!$A:$B,2,0),Y136,1),"")</f>
        <v>P</v>
      </c>
      <c r="Y136" s="3">
        <v>141</v>
      </c>
      <c r="Z136" s="3" t="str">
        <f>IFERROR(MID(VLOOKUP($B136,Seqs!$A:$B,2,0),AA136,1),"")</f>
        <v>R</v>
      </c>
      <c r="AA136" s="3">
        <v>148</v>
      </c>
      <c r="AB136" s="3" t="str">
        <f>IFERROR(MID(VLOOKUP($B136,Seqs!$A:$B,2,0),AC136,1),"")</f>
        <v>G</v>
      </c>
      <c r="AC136" s="3">
        <v>149</v>
      </c>
      <c r="AD136" s="3" t="str">
        <f>IFERROR(MID(VLOOKUP($B136,Seqs!$A:$B,2,0),AE136,1),"")</f>
        <v>R</v>
      </c>
      <c r="AE136" s="3">
        <v>175</v>
      </c>
      <c r="AF136" s="3" t="str">
        <f>IFERROR(MID(VLOOKUP($B136,Seqs!$A:$B,2,0),AG136,1),"")</f>
        <v>C</v>
      </c>
      <c r="AG136" s="3">
        <v>188</v>
      </c>
      <c r="AH136" s="3" t="str">
        <f>IFERROR(MID(VLOOKUP($B136,Seqs!$A:$B,2,0),AI136,1),"")</f>
        <v>V</v>
      </c>
      <c r="AI136" s="3">
        <v>190</v>
      </c>
      <c r="AJ136" s="3" t="str">
        <f>IFERROR(MID(VLOOKUP($B136,Seqs!$A:$B,2,0),AK136,1),"")</f>
        <v>D</v>
      </c>
      <c r="AK136" s="3">
        <v>195</v>
      </c>
      <c r="AL136" s="3" t="str">
        <f>IFERROR(MID(VLOOKUP($B136,Seqs!$A:$B,2,0),AM136,1),"")</f>
        <v>R</v>
      </c>
      <c r="AM136" s="3">
        <v>232</v>
      </c>
      <c r="AN136" s="3" t="str">
        <f>IFERROR(MID(VLOOKUP($B136,Seqs!$A:$B,2,0),AO136,1),"")</f>
        <v>T</v>
      </c>
      <c r="AO136" s="3">
        <v>238</v>
      </c>
      <c r="AP136" s="3" t="str">
        <f>IFERROR(MID(VLOOKUP($B136,Seqs!$A:$B,2,0),AQ136,1),"")</f>
        <v>L</v>
      </c>
      <c r="AQ136" s="3">
        <v>268</v>
      </c>
      <c r="AR136" s="3" t="str">
        <f>IFERROR(MID(VLOOKUP($B136,Seqs!$A:$B,2,0),AS136,1),"")</f>
        <v>S</v>
      </c>
      <c r="AS136" s="3">
        <v>272</v>
      </c>
      <c r="AT136" s="3" t="str">
        <f>IFERROR(MID(VLOOKUP($B136,Seqs!$A:$B,2,0),AU136,1),"")</f>
        <v>A</v>
      </c>
      <c r="AU136" s="3">
        <v>303</v>
      </c>
      <c r="AV136" s="3" t="str">
        <f>IFERROR(MID(VLOOKUP($B136,Seqs!$A:$B,2,0),AW136,1),"")</f>
        <v>G</v>
      </c>
      <c r="AW136" s="3">
        <v>304</v>
      </c>
      <c r="AX136" s="3" t="str">
        <f>IFERROR(MID(VLOOKUP($B136,Seqs!$A:$B,2,0),AY136,1),"")</f>
        <v>K</v>
      </c>
      <c r="AY136" s="3">
        <v>313</v>
      </c>
      <c r="AZ136" s="77" t="str">
        <f>VLOOKUP(B136,Classification!A:D,2,0)</f>
        <v>A</v>
      </c>
      <c r="BA136" s="94" t="str">
        <f>VLOOKUP(B136,Classification!A:D,4,0)</f>
        <v>Complementpeptide</v>
      </c>
      <c r="BB136" s="27" t="b">
        <f t="shared" si="730"/>
        <v>1</v>
      </c>
      <c r="BC136" s="23">
        <f t="shared" si="731"/>
        <v>253</v>
      </c>
      <c r="BD136" s="2" t="s">
        <v>23</v>
      </c>
      <c r="BE136" s="3" t="s">
        <v>1380</v>
      </c>
      <c r="BF136" s="119" t="s">
        <v>23</v>
      </c>
      <c r="BI136" s="1"/>
      <c r="BJ136" s="70" t="s">
        <v>1293</v>
      </c>
      <c r="BK136" s="57" t="s">
        <v>1293</v>
      </c>
      <c r="BL136" s="57" t="s">
        <v>1293</v>
      </c>
      <c r="BM136" s="57" t="s">
        <v>1293</v>
      </c>
      <c r="BN136" s="57" t="s">
        <v>1293</v>
      </c>
      <c r="BO136" s="57" t="s">
        <v>1293</v>
      </c>
      <c r="BP136" s="57" t="s">
        <v>1293</v>
      </c>
      <c r="BQ136" s="57" t="s">
        <v>1293</v>
      </c>
      <c r="BR136" s="57" t="s">
        <v>1293</v>
      </c>
      <c r="BS136" s="57" t="s">
        <v>1293</v>
      </c>
      <c r="BT136" s="57" t="s">
        <v>1293</v>
      </c>
      <c r="BU136" s="57" t="s">
        <v>1293</v>
      </c>
      <c r="BV136" s="70">
        <f t="shared" si="732"/>
        <v>34</v>
      </c>
      <c r="BW136" s="71" t="str">
        <f t="shared" si="733"/>
        <v>-</v>
      </c>
      <c r="BX136" s="72">
        <f t="shared" si="734"/>
        <v>69</v>
      </c>
      <c r="BY136" s="71">
        <f t="shared" si="735"/>
        <v>101</v>
      </c>
      <c r="BZ136" s="72">
        <f t="shared" si="736"/>
        <v>105</v>
      </c>
      <c r="CA136" s="71">
        <f t="shared" si="737"/>
        <v>141</v>
      </c>
      <c r="CB136" s="72">
        <f t="shared" si="738"/>
        <v>149</v>
      </c>
      <c r="CC136" s="71">
        <f t="shared" si="739"/>
        <v>188</v>
      </c>
      <c r="CD136" s="72">
        <f t="shared" si="740"/>
        <v>195</v>
      </c>
      <c r="CE136" s="71">
        <f t="shared" si="741"/>
        <v>238</v>
      </c>
      <c r="CF136" s="72">
        <f t="shared" si="742"/>
        <v>272</v>
      </c>
      <c r="CG136" s="71">
        <f t="shared" si="743"/>
        <v>304</v>
      </c>
      <c r="CH136" s="70">
        <f t="shared" si="744"/>
        <v>65</v>
      </c>
      <c r="CI136" s="71" t="str">
        <f t="shared" si="745"/>
        <v>-</v>
      </c>
      <c r="CJ136" s="72">
        <f t="shared" si="746"/>
        <v>99</v>
      </c>
      <c r="CK136" s="72">
        <f t="shared" si="747"/>
        <v>104</v>
      </c>
      <c r="CL136" s="72">
        <f t="shared" si="748"/>
        <v>140</v>
      </c>
      <c r="CM136" s="72">
        <f t="shared" si="749"/>
        <v>148</v>
      </c>
      <c r="CN136" s="72">
        <f t="shared" si="750"/>
        <v>175</v>
      </c>
      <c r="CO136" s="72">
        <f t="shared" si="751"/>
        <v>190</v>
      </c>
      <c r="CP136" s="72">
        <f t="shared" si="752"/>
        <v>232</v>
      </c>
      <c r="CQ136" s="72">
        <f t="shared" si="753"/>
        <v>268</v>
      </c>
      <c r="CR136" s="72">
        <f t="shared" si="754"/>
        <v>303</v>
      </c>
      <c r="CS136" s="72">
        <f t="shared" si="755"/>
        <v>313</v>
      </c>
      <c r="CT136" s="23" t="e">
        <f t="shared" si="756"/>
        <v>#VALUE!</v>
      </c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  <c r="ADW136" s="1"/>
      <c r="ADX136" s="1"/>
      <c r="ADY136" s="1"/>
      <c r="ADZ136" s="1"/>
      <c r="AEA136" s="1"/>
      <c r="AEB136" s="1"/>
      <c r="AEC136" s="1"/>
      <c r="AED136" s="1"/>
      <c r="AEE136" s="1"/>
      <c r="AEF136" s="1"/>
      <c r="AEG136" s="1"/>
      <c r="AEH136" s="1"/>
      <c r="AEI136" s="1"/>
      <c r="AEJ136" s="1"/>
      <c r="AEK136" s="1"/>
      <c r="AEL136" s="1"/>
      <c r="AEM136" s="1"/>
      <c r="AEN136" s="1"/>
      <c r="AEO136" s="1"/>
      <c r="AEP136" s="1"/>
      <c r="AEQ136" s="1"/>
      <c r="AER136" s="1"/>
      <c r="AES136" s="1"/>
      <c r="AET136" s="1"/>
      <c r="AEU136" s="1"/>
      <c r="AEV136" s="1"/>
      <c r="AEW136" s="1"/>
      <c r="AEX136" s="1"/>
      <c r="AEY136" s="1"/>
      <c r="AEZ136" s="1"/>
      <c r="AFA136" s="1"/>
      <c r="AFB136" s="1"/>
      <c r="AFC136" s="1"/>
      <c r="AFD136" s="1"/>
      <c r="AFE136" s="1"/>
      <c r="AFF136" s="1"/>
      <c r="AFG136" s="1"/>
      <c r="AFH136" s="1"/>
      <c r="AFI136" s="1"/>
      <c r="AFJ136" s="1"/>
      <c r="AFK136" s="1"/>
      <c r="AFL136" s="1"/>
      <c r="AFM136" s="1"/>
      <c r="AFN136" s="1"/>
      <c r="AFO136" s="1"/>
      <c r="AFP136" s="1"/>
      <c r="AFQ136" s="1"/>
      <c r="AFR136" s="1"/>
      <c r="AFS136" s="1"/>
      <c r="AFT136" s="1"/>
      <c r="AFU136" s="1"/>
      <c r="AFV136" s="1"/>
      <c r="AFW136" s="1"/>
      <c r="AFX136" s="1"/>
      <c r="AFY136" s="1"/>
      <c r="AFZ136" s="1"/>
      <c r="AGA136" s="1"/>
      <c r="AGB136" s="1"/>
      <c r="AGC136" s="1"/>
      <c r="AGD136" s="1"/>
      <c r="AGE136" s="1"/>
      <c r="AGF136" s="1"/>
      <c r="AGG136" s="1"/>
      <c r="AGH136" s="1"/>
      <c r="AGI136" s="1"/>
      <c r="AGJ136" s="1"/>
      <c r="AGK136" s="1"/>
      <c r="AGL136" s="1"/>
      <c r="AGM136" s="1"/>
      <c r="AGN136" s="1"/>
      <c r="AGO136" s="1"/>
      <c r="AGP136" s="1"/>
      <c r="AGQ136" s="1"/>
      <c r="AGR136" s="1"/>
      <c r="AGS136" s="1"/>
      <c r="AGT136" s="1"/>
      <c r="AGU136" s="1"/>
      <c r="AGV136" s="1"/>
      <c r="AGW136" s="1"/>
      <c r="AGX136" s="1"/>
      <c r="AGY136" s="1"/>
      <c r="AGZ136" s="1"/>
      <c r="AHA136" s="1"/>
      <c r="AHB136" s="1"/>
      <c r="AHC136" s="1"/>
      <c r="AHD136" s="1"/>
      <c r="AHE136" s="1"/>
      <c r="AHF136" s="1"/>
      <c r="AHG136" s="1"/>
      <c r="AHH136" s="1"/>
      <c r="AHI136" s="1"/>
      <c r="AHJ136" s="1"/>
      <c r="AHK136" s="1"/>
      <c r="AHL136" s="1"/>
      <c r="AHM136" s="1"/>
      <c r="AHN136" s="1"/>
      <c r="AHO136" s="1"/>
      <c r="AHP136" s="1"/>
      <c r="AHQ136" s="1"/>
      <c r="AHR136" s="1"/>
      <c r="AHS136" s="1"/>
      <c r="AHT136" s="1"/>
      <c r="AHU136" s="1"/>
      <c r="AHV136" s="1"/>
      <c r="AHW136" s="1"/>
      <c r="AHX136" s="1"/>
      <c r="AHY136" s="1"/>
      <c r="AHZ136" s="1"/>
      <c r="AIA136" s="1"/>
      <c r="AIB136" s="1"/>
      <c r="AIC136" s="1"/>
      <c r="AID136" s="1"/>
      <c r="AIE136" s="1"/>
      <c r="AIF136" s="1"/>
      <c r="AIG136" s="1"/>
      <c r="AIH136" s="1"/>
      <c r="AII136" s="1"/>
      <c r="AIJ136" s="1"/>
      <c r="AIK136" s="1"/>
      <c r="AIL136" s="1"/>
      <c r="AIM136" s="1"/>
      <c r="AIN136" s="1"/>
      <c r="AIO136" s="1"/>
      <c r="AIP136" s="1"/>
      <c r="AIQ136" s="1"/>
      <c r="AIR136" s="1"/>
      <c r="AIS136" s="1"/>
      <c r="AIT136" s="1"/>
      <c r="AIU136" s="1"/>
      <c r="AIV136" s="1"/>
      <c r="AIW136" s="1"/>
      <c r="AIX136" s="1"/>
      <c r="AIY136" s="1"/>
      <c r="AIZ136" s="1"/>
      <c r="AJA136" s="1"/>
      <c r="AJB136" s="1"/>
      <c r="AJC136" s="1"/>
      <c r="AJD136" s="1"/>
      <c r="AJE136" s="1"/>
      <c r="AJF136" s="1"/>
      <c r="AJG136" s="1"/>
      <c r="AJH136" s="1"/>
      <c r="AJI136" s="1"/>
      <c r="AJJ136" s="1"/>
      <c r="AJK136" s="1"/>
      <c r="AJL136" s="1"/>
      <c r="AJM136" s="1"/>
      <c r="AJN136" s="1"/>
      <c r="AJO136" s="1"/>
      <c r="AJP136" s="1"/>
      <c r="AJQ136" s="1"/>
      <c r="AJR136" s="1"/>
      <c r="AJS136" s="1"/>
      <c r="AJT136" s="1"/>
      <c r="AJU136" s="1"/>
      <c r="AJV136" s="1"/>
      <c r="AJW136" s="1"/>
      <c r="AJX136" s="1"/>
      <c r="AJY136" s="1"/>
      <c r="AJZ136" s="1"/>
      <c r="AKA136" s="1"/>
      <c r="AKB136" s="1"/>
      <c r="AKC136" s="1"/>
      <c r="AKD136" s="1"/>
      <c r="AKE136" s="1"/>
      <c r="AKF136" s="1"/>
      <c r="AKG136" s="1"/>
      <c r="AKH136" s="1"/>
      <c r="AKI136" s="1"/>
      <c r="AKJ136" s="1"/>
      <c r="AKK136" s="1"/>
      <c r="AKL136" s="1"/>
      <c r="AKM136" s="1"/>
      <c r="AKN136" s="1"/>
      <c r="AKO136" s="1"/>
      <c r="AKP136" s="1"/>
      <c r="AKQ136" s="1"/>
      <c r="AKR136" s="1"/>
      <c r="AKS136" s="1"/>
      <c r="AKT136" s="1"/>
      <c r="AKU136" s="1"/>
      <c r="AKV136" s="1"/>
      <c r="AKW136" s="1"/>
      <c r="AKX136" s="1"/>
      <c r="AKY136" s="1"/>
      <c r="AKZ136" s="1"/>
      <c r="ALA136" s="1"/>
      <c r="ALB136" s="1"/>
      <c r="ALC136" s="1"/>
      <c r="ALD136" s="1"/>
      <c r="ALE136" s="1"/>
      <c r="ALF136" s="1"/>
      <c r="ALG136" s="1"/>
      <c r="ALH136" s="1"/>
      <c r="ALI136" s="1"/>
      <c r="ALJ136" s="1"/>
      <c r="ALK136" s="1"/>
      <c r="ALL136" s="1"/>
      <c r="ALM136" s="1"/>
      <c r="ALN136" s="1"/>
      <c r="ALO136" s="1"/>
      <c r="ALP136" s="1"/>
      <c r="ALQ136" s="1"/>
      <c r="ALR136" s="1"/>
      <c r="ALS136" s="1"/>
      <c r="ALT136" s="1"/>
      <c r="ALU136" s="1"/>
      <c r="ALV136" s="1"/>
      <c r="ALW136" s="1"/>
      <c r="ALX136" s="1"/>
      <c r="ALY136" s="1"/>
      <c r="ALZ136" s="1"/>
      <c r="AMA136" s="1"/>
      <c r="AMB136" s="1"/>
      <c r="AMC136" s="1"/>
      <c r="AMD136" s="1"/>
      <c r="AME136" s="1"/>
      <c r="AMF136" s="1"/>
      <c r="AMG136" s="1"/>
      <c r="AMH136" s="1"/>
      <c r="AMI136" s="1"/>
      <c r="AMJ136" s="1"/>
      <c r="AMK136" s="1"/>
      <c r="AML136" s="1"/>
      <c r="AMM136" s="1"/>
      <c r="AMN136" s="1"/>
      <c r="AMO136" s="1"/>
    </row>
    <row r="137" spans="1:1030" x14ac:dyDescent="0.2">
      <c r="A137" s="3" t="str">
        <f t="shared" si="729"/>
        <v>c5ar1_human_5O9H</v>
      </c>
      <c r="B137" s="3" t="s">
        <v>165</v>
      </c>
      <c r="C137" s="3" t="s">
        <v>1491</v>
      </c>
      <c r="D137" s="3" t="str">
        <f>IFERROR(MID(VLOOKUP($B137,Seqs!$A:$B,2,0),E137,1),"")</f>
        <v>R</v>
      </c>
      <c r="E137" s="3">
        <v>34</v>
      </c>
      <c r="F137" s="3" t="str">
        <f>IFERROR(MID(VLOOKUP($B137,Seqs!$A:$B,2,0),G137,1),"")</f>
        <v>E</v>
      </c>
      <c r="G137" s="3">
        <v>65</v>
      </c>
      <c r="H137" s="3" t="str">
        <f>IFERROR(MID(VLOOKUP($B137,Seqs!$A:$B,2,0),I137,1),"")</f>
        <v/>
      </c>
      <c r="I137" s="23" t="s">
        <v>23</v>
      </c>
      <c r="J137" s="3" t="str">
        <f>IFERROR(MID(VLOOKUP($B137,Seqs!$A:$B,2,0),K137,1),"")</f>
        <v/>
      </c>
      <c r="K137" s="23" t="s">
        <v>23</v>
      </c>
      <c r="L137" s="3" t="str">
        <f>IFERROR(MID(VLOOKUP($B137,Seqs!$A:$B,2,0),M137,1),"")</f>
        <v>T</v>
      </c>
      <c r="M137" s="3">
        <v>69</v>
      </c>
      <c r="N137" s="3" t="str">
        <f>IFERROR(MID(VLOOKUP($B137,Seqs!$A:$B,2,0),O137,1),"")</f>
        <v>H</v>
      </c>
      <c r="O137" s="3">
        <v>99</v>
      </c>
      <c r="P137" s="3" t="str">
        <f>IFERROR(MID(VLOOKUP($B137,Seqs!$A:$B,2,0),Q137,1),"")</f>
        <v>H</v>
      </c>
      <c r="Q137" s="3">
        <v>101</v>
      </c>
      <c r="R137" s="3" t="str">
        <f>IFERROR(MID(VLOOKUP($B137,Seqs!$A:$B,2,0),S137,1),"")</f>
        <v>F</v>
      </c>
      <c r="S137" s="3">
        <v>104</v>
      </c>
      <c r="T137" s="3" t="str">
        <f>IFERROR(MID(VLOOKUP($B137,Seqs!$A:$B,2,0),U137,1),"")</f>
        <v>G</v>
      </c>
      <c r="U137" s="3">
        <v>105</v>
      </c>
      <c r="V137" s="3" t="str">
        <f>IFERROR(MID(VLOOKUP($B137,Seqs!$A:$B,2,0),W137,1),"")</f>
        <v>K</v>
      </c>
      <c r="W137" s="3">
        <v>140</v>
      </c>
      <c r="X137" s="3" t="str">
        <f>IFERROR(MID(VLOOKUP($B137,Seqs!$A:$B,2,0),Y137,1),"")</f>
        <v>P</v>
      </c>
      <c r="Y137" s="3">
        <v>141</v>
      </c>
      <c r="Z137" s="3" t="str">
        <f>IFERROR(MID(VLOOKUP($B137,Seqs!$A:$B,2,0),AA137,1),"")</f>
        <v>R</v>
      </c>
      <c r="AA137" s="3">
        <v>148</v>
      </c>
      <c r="AB137" s="3" t="str">
        <f>IFERROR(MID(VLOOKUP($B137,Seqs!$A:$B,2,0),AC137,1),"")</f>
        <v>G</v>
      </c>
      <c r="AC137" s="3">
        <v>149</v>
      </c>
      <c r="AD137" s="3" t="str">
        <f>IFERROR(MID(VLOOKUP($B137,Seqs!$A:$B,2,0),AE137,1),"")</f>
        <v>R</v>
      </c>
      <c r="AE137" s="3">
        <v>175</v>
      </c>
      <c r="AF137" s="3" t="str">
        <f>IFERROR(MID(VLOOKUP($B137,Seqs!$A:$B,2,0),AG137,1),"")</f>
        <v>C</v>
      </c>
      <c r="AG137" s="3">
        <v>188</v>
      </c>
      <c r="AH137" s="3" t="str">
        <f>IFERROR(MID(VLOOKUP($B137,Seqs!$A:$B,2,0),AI137,1),"")</f>
        <v>V</v>
      </c>
      <c r="AI137" s="3">
        <v>190</v>
      </c>
      <c r="AJ137" s="3" t="str">
        <f>IFERROR(MID(VLOOKUP($B137,Seqs!$A:$B,2,0),AK137,1),"")</f>
        <v>D</v>
      </c>
      <c r="AK137" s="3">
        <v>195</v>
      </c>
      <c r="AL137" s="3" t="str">
        <f>IFERROR(MID(VLOOKUP($B137,Seqs!$A:$B,2,0),AM137,1),"")</f>
        <v>R</v>
      </c>
      <c r="AM137" s="3">
        <v>232</v>
      </c>
      <c r="AN137" s="3" t="str">
        <f>IFERROR(MID(VLOOKUP($B137,Seqs!$A:$B,2,0),AO137,1),"")</f>
        <v>T</v>
      </c>
      <c r="AO137" s="3">
        <v>238</v>
      </c>
      <c r="AP137" s="3" t="str">
        <f>IFERROR(MID(VLOOKUP($B137,Seqs!$A:$B,2,0),AQ137,1),"")</f>
        <v>L</v>
      </c>
      <c r="AQ137" s="3">
        <v>268</v>
      </c>
      <c r="AR137" s="3" t="str">
        <f>IFERROR(MID(VLOOKUP($B137,Seqs!$A:$B,2,0),AS137,1),"")</f>
        <v>S</v>
      </c>
      <c r="AS137" s="3">
        <v>272</v>
      </c>
      <c r="AT137" s="3" t="str">
        <f>IFERROR(MID(VLOOKUP($B137,Seqs!$A:$B,2,0),AU137,1),"")</f>
        <v>F</v>
      </c>
      <c r="AU137" s="3">
        <v>307</v>
      </c>
      <c r="AV137" s="3" t="str">
        <f>IFERROR(MID(VLOOKUP($B137,Seqs!$A:$B,2,0),AW137,1),"")</f>
        <v/>
      </c>
      <c r="AW137" s="3" t="s">
        <v>23</v>
      </c>
      <c r="AX137" s="3" t="str">
        <f>IFERROR(MID(VLOOKUP($B137,Seqs!$A:$B,2,0),AY137,1),"")</f>
        <v/>
      </c>
      <c r="AY137" s="3" t="s">
        <v>23</v>
      </c>
      <c r="AZ137" s="77" t="str">
        <f>VLOOKUP(B137,Classification!A:D,2,0)</f>
        <v>A</v>
      </c>
      <c r="BA137" s="94" t="str">
        <f>VLOOKUP(B137,Classification!A:D,4,0)</f>
        <v>Complementpeptide</v>
      </c>
      <c r="BB137" s="27" t="b">
        <f t="shared" si="730"/>
        <v>1</v>
      </c>
      <c r="BC137" s="23">
        <f t="shared" si="731"/>
        <v>248</v>
      </c>
      <c r="BD137" s="2" t="s">
        <v>1382</v>
      </c>
      <c r="BE137" s="3" t="s">
        <v>1380</v>
      </c>
      <c r="BF137" s="119">
        <v>2.7</v>
      </c>
      <c r="BG137" s="49" t="s">
        <v>1</v>
      </c>
      <c r="BH137" s="49" t="s">
        <v>1</v>
      </c>
      <c r="BI137" s="1"/>
      <c r="BJ137" s="70" t="s">
        <v>1293</v>
      </c>
      <c r="BK137" s="57" t="s">
        <v>1293</v>
      </c>
      <c r="BL137" s="57" t="s">
        <v>1293</v>
      </c>
      <c r="BM137" s="57" t="s">
        <v>1293</v>
      </c>
      <c r="BN137" s="57" t="s">
        <v>1293</v>
      </c>
      <c r="BO137" s="57" t="s">
        <v>1293</v>
      </c>
      <c r="BP137" s="57" t="s">
        <v>1293</v>
      </c>
      <c r="BQ137" s="57" t="s">
        <v>1293</v>
      </c>
      <c r="BR137" s="57" t="s">
        <v>1293</v>
      </c>
      <c r="BS137" s="57" t="s">
        <v>1293</v>
      </c>
      <c r="BT137" s="57" t="s">
        <v>1293</v>
      </c>
      <c r="BU137" s="57" t="s">
        <v>1293</v>
      </c>
      <c r="BV137" s="70">
        <f t="shared" si="732"/>
        <v>34</v>
      </c>
      <c r="BW137" s="71" t="str">
        <f t="shared" si="733"/>
        <v>-</v>
      </c>
      <c r="BX137" s="72">
        <f t="shared" si="734"/>
        <v>69</v>
      </c>
      <c r="BY137" s="71">
        <f t="shared" si="735"/>
        <v>101</v>
      </c>
      <c r="BZ137" s="72">
        <f t="shared" si="736"/>
        <v>105</v>
      </c>
      <c r="CA137" s="71">
        <f t="shared" si="737"/>
        <v>141</v>
      </c>
      <c r="CB137" s="72">
        <f t="shared" si="738"/>
        <v>149</v>
      </c>
      <c r="CC137" s="71">
        <f t="shared" si="739"/>
        <v>188</v>
      </c>
      <c r="CD137" s="72">
        <f t="shared" si="740"/>
        <v>195</v>
      </c>
      <c r="CE137" s="71">
        <f t="shared" si="741"/>
        <v>238</v>
      </c>
      <c r="CF137" s="72">
        <f t="shared" si="742"/>
        <v>272</v>
      </c>
      <c r="CG137" s="71" t="str">
        <f t="shared" si="743"/>
        <v>-</v>
      </c>
      <c r="CH137" s="70">
        <f t="shared" si="744"/>
        <v>65</v>
      </c>
      <c r="CI137" s="71" t="str">
        <f t="shared" si="745"/>
        <v>-</v>
      </c>
      <c r="CJ137" s="72">
        <f t="shared" si="746"/>
        <v>99</v>
      </c>
      <c r="CK137" s="72">
        <f t="shared" si="747"/>
        <v>104</v>
      </c>
      <c r="CL137" s="72">
        <f t="shared" si="748"/>
        <v>140</v>
      </c>
      <c r="CM137" s="72">
        <f t="shared" si="749"/>
        <v>148</v>
      </c>
      <c r="CN137" s="72">
        <f t="shared" si="750"/>
        <v>175</v>
      </c>
      <c r="CO137" s="72">
        <f t="shared" si="751"/>
        <v>190</v>
      </c>
      <c r="CP137" s="72">
        <f t="shared" si="752"/>
        <v>232</v>
      </c>
      <c r="CQ137" s="72">
        <f t="shared" si="753"/>
        <v>268</v>
      </c>
      <c r="CR137" s="72">
        <f t="shared" si="754"/>
        <v>307</v>
      </c>
      <c r="CS137" s="72" t="str">
        <f t="shared" si="755"/>
        <v>-</v>
      </c>
      <c r="CT137" s="23" t="e">
        <f t="shared" si="756"/>
        <v>#VALUE!</v>
      </c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  <c r="ADW137" s="1"/>
      <c r="ADX137" s="1"/>
      <c r="ADY137" s="1"/>
      <c r="ADZ137" s="1"/>
      <c r="AEA137" s="1"/>
      <c r="AEB137" s="1"/>
      <c r="AEC137" s="1"/>
      <c r="AED137" s="1"/>
      <c r="AEE137" s="1"/>
      <c r="AEF137" s="1"/>
      <c r="AEG137" s="1"/>
      <c r="AEH137" s="1"/>
      <c r="AEI137" s="1"/>
      <c r="AEJ137" s="1"/>
      <c r="AEK137" s="1"/>
      <c r="AEL137" s="1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1"/>
      <c r="AFB137" s="1"/>
      <c r="AFC137" s="1"/>
      <c r="AFD137" s="1"/>
      <c r="AFE137" s="1"/>
      <c r="AFF137" s="1"/>
      <c r="AFG137" s="1"/>
      <c r="AFH137" s="1"/>
      <c r="AFI137" s="1"/>
      <c r="AFJ137" s="1"/>
      <c r="AFK137" s="1"/>
      <c r="AFL137" s="1"/>
      <c r="AFM137" s="1"/>
      <c r="AFN137" s="1"/>
      <c r="AFO137" s="1"/>
      <c r="AFP137" s="1"/>
      <c r="AFQ137" s="1"/>
      <c r="AFR137" s="1"/>
      <c r="AFS137" s="1"/>
      <c r="AFT137" s="1"/>
      <c r="AFU137" s="1"/>
      <c r="AFV137" s="1"/>
      <c r="AFW137" s="1"/>
      <c r="AFX137" s="1"/>
      <c r="AFY137" s="1"/>
      <c r="AFZ137" s="1"/>
      <c r="AGA137" s="1"/>
      <c r="AGB137" s="1"/>
      <c r="AGC137" s="1"/>
      <c r="AGD137" s="1"/>
      <c r="AGE137" s="1"/>
      <c r="AGF137" s="1"/>
      <c r="AGG137" s="1"/>
      <c r="AGH137" s="1"/>
      <c r="AGI137" s="1"/>
      <c r="AGJ137" s="1"/>
      <c r="AGK137" s="1"/>
      <c r="AGL137" s="1"/>
      <c r="AGM137" s="1"/>
      <c r="AGN137" s="1"/>
      <c r="AGO137" s="1"/>
      <c r="AGP137" s="1"/>
      <c r="AGQ137" s="1"/>
      <c r="AGR137" s="1"/>
      <c r="AGS137" s="1"/>
      <c r="AGT137" s="1"/>
      <c r="AGU137" s="1"/>
      <c r="AGV137" s="1"/>
      <c r="AGW137" s="1"/>
      <c r="AGX137" s="1"/>
      <c r="AGY137" s="1"/>
      <c r="AGZ137" s="1"/>
      <c r="AHA137" s="1"/>
      <c r="AHB137" s="1"/>
      <c r="AHC137" s="1"/>
      <c r="AHD137" s="1"/>
      <c r="AHE137" s="1"/>
      <c r="AHF137" s="1"/>
      <c r="AHG137" s="1"/>
      <c r="AHH137" s="1"/>
      <c r="AHI137" s="1"/>
      <c r="AHJ137" s="1"/>
      <c r="AHK137" s="1"/>
      <c r="AHL137" s="1"/>
      <c r="AHM137" s="1"/>
      <c r="AHN137" s="1"/>
      <c r="AHO137" s="1"/>
      <c r="AHP137" s="1"/>
      <c r="AHQ137" s="1"/>
      <c r="AHR137" s="1"/>
      <c r="AHS137" s="1"/>
      <c r="AHT137" s="1"/>
      <c r="AHU137" s="1"/>
      <c r="AHV137" s="1"/>
      <c r="AHW137" s="1"/>
      <c r="AHX137" s="1"/>
      <c r="AHY137" s="1"/>
      <c r="AHZ137" s="1"/>
      <c r="AIA137" s="1"/>
      <c r="AIB137" s="1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1"/>
      <c r="AIQ137" s="1"/>
      <c r="AIR137" s="1"/>
      <c r="AIS137" s="1"/>
      <c r="AIT137" s="1"/>
      <c r="AIU137" s="1"/>
      <c r="AIV137" s="1"/>
      <c r="AIW137" s="1"/>
      <c r="AIX137" s="1"/>
      <c r="AIY137" s="1"/>
      <c r="AIZ137" s="1"/>
      <c r="AJA137" s="1"/>
      <c r="AJB137" s="1"/>
      <c r="AJC137" s="1"/>
      <c r="AJD137" s="1"/>
      <c r="AJE137" s="1"/>
      <c r="AJF137" s="1"/>
      <c r="AJG137" s="1"/>
      <c r="AJH137" s="1"/>
      <c r="AJI137" s="1"/>
      <c r="AJJ137" s="1"/>
      <c r="AJK137" s="1"/>
      <c r="AJL137" s="1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1"/>
      <c r="AJX137" s="1"/>
      <c r="AJY137" s="1"/>
      <c r="AJZ137" s="1"/>
      <c r="AKA137" s="1"/>
      <c r="AKB137" s="1"/>
      <c r="AKC137" s="1"/>
      <c r="AKD137" s="1"/>
      <c r="AKE137" s="1"/>
      <c r="AKF137" s="1"/>
      <c r="AKG137" s="1"/>
      <c r="AKH137" s="1"/>
      <c r="AKI137" s="1"/>
      <c r="AKJ137" s="1"/>
      <c r="AKK137" s="1"/>
      <c r="AKL137" s="1"/>
      <c r="AKM137" s="1"/>
      <c r="AKN137" s="1"/>
      <c r="AKO137" s="1"/>
      <c r="AKP137" s="1"/>
      <c r="AKQ137" s="1"/>
      <c r="AKR137" s="1"/>
      <c r="AKS137" s="1"/>
      <c r="AKT137" s="1"/>
      <c r="AKU137" s="1"/>
      <c r="AKV137" s="1"/>
      <c r="AKW137" s="1"/>
      <c r="AKX137" s="1"/>
      <c r="AKY137" s="1"/>
      <c r="AKZ137" s="1"/>
      <c r="ALA137" s="1"/>
      <c r="ALB137" s="1"/>
      <c r="ALC137" s="1"/>
      <c r="ALD137" s="1"/>
      <c r="ALE137" s="1"/>
      <c r="ALF137" s="1"/>
      <c r="ALG137" s="1"/>
      <c r="ALH137" s="1"/>
      <c r="ALI137" s="1"/>
      <c r="ALJ137" s="1"/>
      <c r="ALK137" s="1"/>
      <c r="ALL137" s="1"/>
      <c r="ALM137" s="1"/>
      <c r="ALN137" s="1"/>
      <c r="ALO137" s="1"/>
      <c r="ALP137" s="1"/>
      <c r="ALQ137" s="1"/>
      <c r="ALR137" s="1"/>
      <c r="ALS137" s="1"/>
      <c r="ALT137" s="1"/>
      <c r="ALU137" s="1"/>
      <c r="ALV137" s="1"/>
      <c r="ALW137" s="1"/>
      <c r="ALX137" s="1"/>
      <c r="ALY137" s="1"/>
      <c r="ALZ137" s="1"/>
      <c r="AMA137" s="1"/>
      <c r="AMB137" s="1"/>
      <c r="AMC137" s="1"/>
      <c r="AMD137" s="1"/>
      <c r="AME137" s="1"/>
      <c r="AMF137" s="1"/>
      <c r="AMG137" s="1"/>
      <c r="AMH137" s="1"/>
      <c r="AMI137" s="1"/>
      <c r="AMJ137" s="1"/>
      <c r="AMK137" s="1"/>
      <c r="AML137" s="1"/>
      <c r="AMM137" s="1"/>
      <c r="AMN137" s="1"/>
      <c r="AMO137" s="1"/>
    </row>
    <row r="138" spans="1:1030" x14ac:dyDescent="0.2">
      <c r="A138" s="3" t="str">
        <f t="shared" si="729"/>
        <v>c5ar1_human_6C1Q</v>
      </c>
      <c r="B138" s="3" t="s">
        <v>165</v>
      </c>
      <c r="C138" s="3" t="s">
        <v>1513</v>
      </c>
      <c r="D138" s="3" t="str">
        <f>IFERROR(MID(VLOOKUP($B138,Seqs!$A:$B,2,0),E138,1),"")</f>
        <v>M</v>
      </c>
      <c r="E138" s="3">
        <v>120</v>
      </c>
      <c r="F138" s="3" t="str">
        <f>IFERROR(MID(VLOOKUP($B138,Seqs!$A:$B,2,0),G138,1),"")</f>
        <v>G</v>
      </c>
      <c r="G138" s="3">
        <v>151</v>
      </c>
      <c r="H138" s="3" t="str">
        <f>IFERROR(MID(VLOOKUP($B138,Seqs!$A:$B,2,0),I138,1),"")</f>
        <v/>
      </c>
      <c r="I138" s="23" t="s">
        <v>23</v>
      </c>
      <c r="J138" s="3" t="str">
        <f>IFERROR(MID(VLOOKUP($B138,Seqs!$A:$B,2,0),K138,1),"")</f>
        <v/>
      </c>
      <c r="K138" s="23" t="s">
        <v>23</v>
      </c>
      <c r="L138" s="3" t="str">
        <f>IFERROR(MID(VLOOKUP($B138,Seqs!$A:$B,2,0),M138,1),"")</f>
        <v>I</v>
      </c>
      <c r="M138" s="3">
        <v>155</v>
      </c>
      <c r="N138" s="3" t="str">
        <f>IFERROR(MID(VLOOKUP($B138,Seqs!$A:$B,2,0),O138,1),"")</f>
        <v>K</v>
      </c>
      <c r="O138" s="3">
        <v>185</v>
      </c>
      <c r="P138" s="3" t="str">
        <f>IFERROR(MID(VLOOKUP($B138,Seqs!$A:$B,2,0),Q138,1),"")</f>
        <v>L</v>
      </c>
      <c r="Q138" s="3">
        <v>187</v>
      </c>
      <c r="R138" s="3" t="str">
        <f>IFERROR(MID(VLOOKUP($B138,Seqs!$A:$B,2,0),S138,1),"")</f>
        <v>V</v>
      </c>
      <c r="S138" s="3">
        <v>190</v>
      </c>
      <c r="T138" s="3" t="str">
        <f>IFERROR(MID(VLOOKUP($B138,Seqs!$A:$B,2,0),U138,1),"")</f>
        <v>D</v>
      </c>
      <c r="U138" s="3">
        <v>191</v>
      </c>
      <c r="V138" s="3" t="str">
        <f>IFERROR(MID(VLOOKUP($B138,Seqs!$A:$B,2,0),W138,1),"")</f>
        <v>L</v>
      </c>
      <c r="W138" s="3">
        <v>226</v>
      </c>
      <c r="X138" s="3" t="str">
        <f>IFERROR(MID(VLOOKUP($B138,Seqs!$A:$B,2,0),Y138,1),"")</f>
        <v>L</v>
      </c>
      <c r="Y138" s="3">
        <v>227</v>
      </c>
      <c r="Z138" s="3" t="str">
        <f>IFERROR(MID(VLOOKUP($B138,Seqs!$A:$B,2,0),AA138,1),"")</f>
        <v>A</v>
      </c>
      <c r="AA138" s="3">
        <v>234</v>
      </c>
      <c r="AB138" s="3" t="str">
        <f>IFERROR(MID(VLOOKUP($B138,Seqs!$A:$B,2,0),AC138,1),"")</f>
        <v>T</v>
      </c>
      <c r="AC138" s="3">
        <v>235</v>
      </c>
      <c r="AD138" s="3" t="str">
        <f>IFERROR(MID(VLOOKUP($B138,Seqs!$A:$B,2,0),AE138,1),"")</f>
        <v>T</v>
      </c>
      <c r="AE138" s="3">
        <v>261</v>
      </c>
      <c r="AF138" s="3" t="str">
        <f>IFERROR(MID(VLOOKUP($B138,Seqs!$A:$B,2,0),AG138,1),"")</f>
        <v>T</v>
      </c>
      <c r="AG138" s="3">
        <v>274</v>
      </c>
      <c r="AH138" s="3" t="str">
        <f>IFERROR(MID(VLOOKUP($B138,Seqs!$A:$B,2,0),AI138,1),"")</f>
        <v>L</v>
      </c>
      <c r="AI138" s="3">
        <v>276</v>
      </c>
      <c r="AJ138" s="3" t="str">
        <f>IFERROR(MID(VLOOKUP($B138,Seqs!$A:$B,2,0),AK138,1),"")</f>
        <v>L</v>
      </c>
      <c r="AK138" s="3">
        <v>281</v>
      </c>
      <c r="AL138" s="3" t="str">
        <f>IFERROR(MID(VLOOKUP($B138,Seqs!$A:$B,2,0),AM138,1),"")</f>
        <v>L</v>
      </c>
      <c r="AM138" s="3">
        <v>318</v>
      </c>
      <c r="AN138" s="3" t="str">
        <f>IFERROR(MID(VLOOKUP($B138,Seqs!$A:$B,2,0),AO138,1),"")</f>
        <v>L</v>
      </c>
      <c r="AO138" s="3">
        <v>323</v>
      </c>
      <c r="AP138" s="3" t="str">
        <f>IFERROR(MID(VLOOKUP($B138,Seqs!$A:$B,2,0),AQ138,1),"")</f>
        <v/>
      </c>
      <c r="AQ138" s="3">
        <v>354</v>
      </c>
      <c r="AR138" s="3" t="str">
        <f>IFERROR(MID(VLOOKUP($B138,Seqs!$A:$B,2,0),AS138,1),"")</f>
        <v/>
      </c>
      <c r="AS138" s="3">
        <v>358</v>
      </c>
      <c r="AT138" s="3" t="str">
        <f>IFERROR(MID(VLOOKUP($B138,Seqs!$A:$B,2,0),AU138,1),"")</f>
        <v/>
      </c>
      <c r="AU138" s="3">
        <v>394</v>
      </c>
      <c r="AV138" s="3" t="str">
        <f>IFERROR(MID(VLOOKUP($B138,Seqs!$A:$B,2,0),AW138,1),"")</f>
        <v/>
      </c>
      <c r="AW138" s="3" t="s">
        <v>23</v>
      </c>
      <c r="AX138" s="3" t="str">
        <f>IFERROR(MID(VLOOKUP($B138,Seqs!$A:$B,2,0),AY138,1),"")</f>
        <v/>
      </c>
      <c r="AY138" s="3" t="s">
        <v>23</v>
      </c>
      <c r="AZ138" s="77" t="str">
        <f>VLOOKUP(B138,Classification!A:D,2,0)</f>
        <v>A</v>
      </c>
      <c r="BA138" s="94" t="str">
        <f>VLOOKUP(B138,Classification!A:D,4,0)</f>
        <v>Complementpeptide</v>
      </c>
      <c r="BB138" s="27" t="b">
        <f t="shared" si="730"/>
        <v>1</v>
      </c>
      <c r="BC138" s="23">
        <f t="shared" si="731"/>
        <v>250</v>
      </c>
      <c r="BD138" s="2" t="s">
        <v>23</v>
      </c>
      <c r="BE138" s="3" t="s">
        <v>1380</v>
      </c>
      <c r="BF138" s="119">
        <v>2.9</v>
      </c>
      <c r="BG138" s="49" t="s">
        <v>1287</v>
      </c>
      <c r="BH138" s="49" t="s">
        <v>1287</v>
      </c>
      <c r="BI138" s="1"/>
      <c r="BJ138" s="70" t="s">
        <v>1293</v>
      </c>
      <c r="BK138" s="57" t="s">
        <v>1293</v>
      </c>
      <c r="BL138" s="57" t="s">
        <v>1293</v>
      </c>
      <c r="BM138" s="57" t="s">
        <v>1293</v>
      </c>
      <c r="BN138" s="57" t="s">
        <v>1293</v>
      </c>
      <c r="BO138" s="57" t="s">
        <v>1293</v>
      </c>
      <c r="BP138" s="57" t="s">
        <v>1293</v>
      </c>
      <c r="BQ138" s="57" t="s">
        <v>1293</v>
      </c>
      <c r="BR138" s="57" t="s">
        <v>1293</v>
      </c>
      <c r="BS138" s="57" t="s">
        <v>1293</v>
      </c>
      <c r="BT138" s="57" t="s">
        <v>1293</v>
      </c>
      <c r="BU138" s="57" t="s">
        <v>1293</v>
      </c>
      <c r="BV138" s="70">
        <f t="shared" si="732"/>
        <v>120</v>
      </c>
      <c r="BW138" s="71" t="str">
        <f t="shared" si="733"/>
        <v>-</v>
      </c>
      <c r="BX138" s="72">
        <f t="shared" si="734"/>
        <v>155</v>
      </c>
      <c r="BY138" s="71">
        <f t="shared" si="735"/>
        <v>187</v>
      </c>
      <c r="BZ138" s="72">
        <f t="shared" si="736"/>
        <v>191</v>
      </c>
      <c r="CA138" s="71">
        <f t="shared" si="737"/>
        <v>227</v>
      </c>
      <c r="CB138" s="72">
        <f t="shared" si="738"/>
        <v>235</v>
      </c>
      <c r="CC138" s="71">
        <f t="shared" si="739"/>
        <v>274</v>
      </c>
      <c r="CD138" s="72">
        <f t="shared" si="740"/>
        <v>281</v>
      </c>
      <c r="CE138" s="71">
        <f t="shared" si="741"/>
        <v>323</v>
      </c>
      <c r="CF138" s="72">
        <f t="shared" si="742"/>
        <v>358</v>
      </c>
      <c r="CG138" s="71" t="str">
        <f t="shared" si="743"/>
        <v>-</v>
      </c>
      <c r="CH138" s="70">
        <f t="shared" si="744"/>
        <v>151</v>
      </c>
      <c r="CI138" s="71" t="str">
        <f t="shared" si="745"/>
        <v>-</v>
      </c>
      <c r="CJ138" s="72">
        <f t="shared" si="746"/>
        <v>185</v>
      </c>
      <c r="CK138" s="72">
        <f t="shared" si="747"/>
        <v>190</v>
      </c>
      <c r="CL138" s="72">
        <f t="shared" si="748"/>
        <v>226</v>
      </c>
      <c r="CM138" s="72">
        <f t="shared" si="749"/>
        <v>234</v>
      </c>
      <c r="CN138" s="72">
        <f t="shared" si="750"/>
        <v>261</v>
      </c>
      <c r="CO138" s="72">
        <f t="shared" si="751"/>
        <v>276</v>
      </c>
      <c r="CP138" s="72">
        <f t="shared" si="752"/>
        <v>318</v>
      </c>
      <c r="CQ138" s="72">
        <f t="shared" si="753"/>
        <v>354</v>
      </c>
      <c r="CR138" s="72">
        <f t="shared" si="754"/>
        <v>394</v>
      </c>
      <c r="CS138" s="72" t="str">
        <f t="shared" si="755"/>
        <v>-</v>
      </c>
      <c r="CT138" s="23" t="e">
        <f t="shared" si="756"/>
        <v>#VALUE!</v>
      </c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  <c r="ADW138" s="1"/>
      <c r="ADX138" s="1"/>
      <c r="ADY138" s="1"/>
      <c r="ADZ138" s="1"/>
      <c r="AEA138" s="1"/>
      <c r="AEB138" s="1"/>
      <c r="AEC138" s="1"/>
      <c r="AED138" s="1"/>
      <c r="AEE138" s="1"/>
      <c r="AEF138" s="1"/>
      <c r="AEG138" s="1"/>
      <c r="AEH138" s="1"/>
      <c r="AEI138" s="1"/>
      <c r="AEJ138" s="1"/>
      <c r="AEK138" s="1"/>
      <c r="AEL138" s="1"/>
      <c r="AEM138" s="1"/>
      <c r="AEN138" s="1"/>
      <c r="AEO138" s="1"/>
      <c r="AEP138" s="1"/>
      <c r="AEQ138" s="1"/>
      <c r="AER138" s="1"/>
      <c r="AES138" s="1"/>
      <c r="AET138" s="1"/>
      <c r="AEU138" s="1"/>
      <c r="AEV138" s="1"/>
      <c r="AEW138" s="1"/>
      <c r="AEX138" s="1"/>
      <c r="AEY138" s="1"/>
      <c r="AEZ138" s="1"/>
      <c r="AFA138" s="1"/>
      <c r="AFB138" s="1"/>
      <c r="AFC138" s="1"/>
      <c r="AFD138" s="1"/>
      <c r="AFE138" s="1"/>
      <c r="AFF138" s="1"/>
      <c r="AFG138" s="1"/>
      <c r="AFH138" s="1"/>
      <c r="AFI138" s="1"/>
      <c r="AFJ138" s="1"/>
      <c r="AFK138" s="1"/>
      <c r="AFL138" s="1"/>
      <c r="AFM138" s="1"/>
      <c r="AFN138" s="1"/>
      <c r="AFO138" s="1"/>
      <c r="AFP138" s="1"/>
      <c r="AFQ138" s="1"/>
      <c r="AFR138" s="1"/>
      <c r="AFS138" s="1"/>
      <c r="AFT138" s="1"/>
      <c r="AFU138" s="1"/>
      <c r="AFV138" s="1"/>
      <c r="AFW138" s="1"/>
      <c r="AFX138" s="1"/>
      <c r="AFY138" s="1"/>
      <c r="AFZ138" s="1"/>
      <c r="AGA138" s="1"/>
      <c r="AGB138" s="1"/>
      <c r="AGC138" s="1"/>
      <c r="AGD138" s="1"/>
      <c r="AGE138" s="1"/>
      <c r="AGF138" s="1"/>
      <c r="AGG138" s="1"/>
      <c r="AGH138" s="1"/>
      <c r="AGI138" s="1"/>
      <c r="AGJ138" s="1"/>
      <c r="AGK138" s="1"/>
      <c r="AGL138" s="1"/>
      <c r="AGM138" s="1"/>
      <c r="AGN138" s="1"/>
      <c r="AGO138" s="1"/>
      <c r="AGP138" s="1"/>
      <c r="AGQ138" s="1"/>
      <c r="AGR138" s="1"/>
      <c r="AGS138" s="1"/>
      <c r="AGT138" s="1"/>
      <c r="AGU138" s="1"/>
      <c r="AGV138" s="1"/>
      <c r="AGW138" s="1"/>
      <c r="AGX138" s="1"/>
      <c r="AGY138" s="1"/>
      <c r="AGZ138" s="1"/>
      <c r="AHA138" s="1"/>
      <c r="AHB138" s="1"/>
      <c r="AHC138" s="1"/>
      <c r="AHD138" s="1"/>
      <c r="AHE138" s="1"/>
      <c r="AHF138" s="1"/>
      <c r="AHG138" s="1"/>
      <c r="AHH138" s="1"/>
      <c r="AHI138" s="1"/>
      <c r="AHJ138" s="1"/>
      <c r="AHK138" s="1"/>
      <c r="AHL138" s="1"/>
      <c r="AHM138" s="1"/>
      <c r="AHN138" s="1"/>
      <c r="AHO138" s="1"/>
      <c r="AHP138" s="1"/>
      <c r="AHQ138" s="1"/>
      <c r="AHR138" s="1"/>
      <c r="AHS138" s="1"/>
      <c r="AHT138" s="1"/>
      <c r="AHU138" s="1"/>
      <c r="AHV138" s="1"/>
      <c r="AHW138" s="1"/>
      <c r="AHX138" s="1"/>
      <c r="AHY138" s="1"/>
      <c r="AHZ138" s="1"/>
      <c r="AIA138" s="1"/>
      <c r="AIB138" s="1"/>
      <c r="AIC138" s="1"/>
      <c r="AID138" s="1"/>
      <c r="AIE138" s="1"/>
      <c r="AIF138" s="1"/>
      <c r="AIG138" s="1"/>
      <c r="AIH138" s="1"/>
      <c r="AII138" s="1"/>
      <c r="AIJ138" s="1"/>
      <c r="AIK138" s="1"/>
      <c r="AIL138" s="1"/>
      <c r="AIM138" s="1"/>
      <c r="AIN138" s="1"/>
      <c r="AIO138" s="1"/>
      <c r="AIP138" s="1"/>
      <c r="AIQ138" s="1"/>
      <c r="AIR138" s="1"/>
      <c r="AIS138" s="1"/>
      <c r="AIT138" s="1"/>
      <c r="AIU138" s="1"/>
      <c r="AIV138" s="1"/>
      <c r="AIW138" s="1"/>
      <c r="AIX138" s="1"/>
      <c r="AIY138" s="1"/>
      <c r="AIZ138" s="1"/>
      <c r="AJA138" s="1"/>
      <c r="AJB138" s="1"/>
      <c r="AJC138" s="1"/>
      <c r="AJD138" s="1"/>
      <c r="AJE138" s="1"/>
      <c r="AJF138" s="1"/>
      <c r="AJG138" s="1"/>
      <c r="AJH138" s="1"/>
      <c r="AJI138" s="1"/>
      <c r="AJJ138" s="1"/>
      <c r="AJK138" s="1"/>
      <c r="AJL138" s="1"/>
      <c r="AJM138" s="1"/>
      <c r="AJN138" s="1"/>
      <c r="AJO138" s="1"/>
      <c r="AJP138" s="1"/>
      <c r="AJQ138" s="1"/>
      <c r="AJR138" s="1"/>
      <c r="AJS138" s="1"/>
      <c r="AJT138" s="1"/>
      <c r="AJU138" s="1"/>
      <c r="AJV138" s="1"/>
      <c r="AJW138" s="1"/>
      <c r="AJX138" s="1"/>
      <c r="AJY138" s="1"/>
      <c r="AJZ138" s="1"/>
      <c r="AKA138" s="1"/>
      <c r="AKB138" s="1"/>
      <c r="AKC138" s="1"/>
      <c r="AKD138" s="1"/>
      <c r="AKE138" s="1"/>
      <c r="AKF138" s="1"/>
      <c r="AKG138" s="1"/>
      <c r="AKH138" s="1"/>
      <c r="AKI138" s="1"/>
      <c r="AKJ138" s="1"/>
      <c r="AKK138" s="1"/>
      <c r="AKL138" s="1"/>
      <c r="AKM138" s="1"/>
      <c r="AKN138" s="1"/>
      <c r="AKO138" s="1"/>
      <c r="AKP138" s="1"/>
      <c r="AKQ138" s="1"/>
      <c r="AKR138" s="1"/>
      <c r="AKS138" s="1"/>
      <c r="AKT138" s="1"/>
      <c r="AKU138" s="1"/>
      <c r="AKV138" s="1"/>
      <c r="AKW138" s="1"/>
      <c r="AKX138" s="1"/>
      <c r="AKY138" s="1"/>
      <c r="AKZ138" s="1"/>
      <c r="ALA138" s="1"/>
      <c r="ALB138" s="1"/>
      <c r="ALC138" s="1"/>
      <c r="ALD138" s="1"/>
      <c r="ALE138" s="1"/>
      <c r="ALF138" s="1"/>
      <c r="ALG138" s="1"/>
      <c r="ALH138" s="1"/>
      <c r="ALI138" s="1"/>
      <c r="ALJ138" s="1"/>
      <c r="ALK138" s="1"/>
      <c r="ALL138" s="1"/>
      <c r="ALM138" s="1"/>
      <c r="ALN138" s="1"/>
      <c r="ALO138" s="1"/>
      <c r="ALP138" s="1"/>
      <c r="ALQ138" s="1"/>
      <c r="ALR138" s="1"/>
      <c r="ALS138" s="1"/>
      <c r="ALT138" s="1"/>
      <c r="ALU138" s="1"/>
      <c r="ALV138" s="1"/>
      <c r="ALW138" s="1"/>
      <c r="ALX138" s="1"/>
      <c r="ALY138" s="1"/>
      <c r="ALZ138" s="1"/>
      <c r="AMA138" s="1"/>
      <c r="AMB138" s="1"/>
      <c r="AMC138" s="1"/>
      <c r="AMD138" s="1"/>
      <c r="AME138" s="1"/>
      <c r="AMF138" s="1"/>
      <c r="AMG138" s="1"/>
      <c r="AMH138" s="1"/>
      <c r="AMI138" s="1"/>
      <c r="AMJ138" s="1"/>
      <c r="AMK138" s="1"/>
      <c r="AML138" s="1"/>
      <c r="AMM138" s="1"/>
      <c r="AMN138" s="1"/>
      <c r="AMO138" s="1"/>
    </row>
    <row r="139" spans="1:1030" x14ac:dyDescent="0.2">
      <c r="A139" s="3" t="str">
        <f t="shared" si="729"/>
        <v>c5ar1_human_6C1R</v>
      </c>
      <c r="B139" s="3" t="s">
        <v>165</v>
      </c>
      <c r="C139" s="3" t="s">
        <v>1514</v>
      </c>
      <c r="D139" s="3" t="str">
        <f>IFERROR(MID(VLOOKUP($B139,Seqs!$A:$B,2,0),E139,1),"")</f>
        <v>M</v>
      </c>
      <c r="E139" s="3">
        <v>120</v>
      </c>
      <c r="F139" s="3" t="str">
        <f>IFERROR(MID(VLOOKUP($B139,Seqs!$A:$B,2,0),G139,1),"")</f>
        <v>G</v>
      </c>
      <c r="G139" s="3">
        <v>151</v>
      </c>
      <c r="H139" s="3" t="str">
        <f>IFERROR(MID(VLOOKUP($B139,Seqs!$A:$B,2,0),I139,1),"")</f>
        <v/>
      </c>
      <c r="I139" s="23" t="s">
        <v>23</v>
      </c>
      <c r="J139" s="3" t="str">
        <f>IFERROR(MID(VLOOKUP($B139,Seqs!$A:$B,2,0),K139,1),"")</f>
        <v/>
      </c>
      <c r="K139" s="23" t="s">
        <v>23</v>
      </c>
      <c r="L139" s="3" t="str">
        <f>IFERROR(MID(VLOOKUP($B139,Seqs!$A:$B,2,0),M139,1),"")</f>
        <v>I</v>
      </c>
      <c r="M139" s="3">
        <v>155</v>
      </c>
      <c r="N139" s="3" t="str">
        <f>IFERROR(MID(VLOOKUP($B139,Seqs!$A:$B,2,0),O139,1),"")</f>
        <v>K</v>
      </c>
      <c r="O139" s="3">
        <v>185</v>
      </c>
      <c r="P139" s="3" t="str">
        <f>IFERROR(MID(VLOOKUP($B139,Seqs!$A:$B,2,0),Q139,1),"")</f>
        <v>L</v>
      </c>
      <c r="Q139" s="3">
        <v>187</v>
      </c>
      <c r="R139" s="3" t="str">
        <f>IFERROR(MID(VLOOKUP($B139,Seqs!$A:$B,2,0),S139,1),"")</f>
        <v>V</v>
      </c>
      <c r="S139" s="3">
        <v>190</v>
      </c>
      <c r="T139" s="3" t="str">
        <f>IFERROR(MID(VLOOKUP($B139,Seqs!$A:$B,2,0),U139,1),"")</f>
        <v>D</v>
      </c>
      <c r="U139" s="3">
        <v>191</v>
      </c>
      <c r="V139" s="3" t="str">
        <f>IFERROR(MID(VLOOKUP($B139,Seqs!$A:$B,2,0),W139,1),"")</f>
        <v>L</v>
      </c>
      <c r="W139" s="3">
        <v>226</v>
      </c>
      <c r="X139" s="3" t="str">
        <f>IFERROR(MID(VLOOKUP($B139,Seqs!$A:$B,2,0),Y139,1),"")</f>
        <v>L</v>
      </c>
      <c r="Y139" s="3">
        <v>227</v>
      </c>
      <c r="Z139" s="3" t="str">
        <f>IFERROR(MID(VLOOKUP($B139,Seqs!$A:$B,2,0),AA139,1),"")</f>
        <v>A</v>
      </c>
      <c r="AA139" s="3">
        <v>234</v>
      </c>
      <c r="AB139" s="3" t="str">
        <f>IFERROR(MID(VLOOKUP($B139,Seqs!$A:$B,2,0),AC139,1),"")</f>
        <v>T</v>
      </c>
      <c r="AC139" s="3">
        <v>235</v>
      </c>
      <c r="AD139" s="3" t="str">
        <f>IFERROR(MID(VLOOKUP($B139,Seqs!$A:$B,2,0),AE139,1),"")</f>
        <v>T</v>
      </c>
      <c r="AE139" s="3">
        <v>261</v>
      </c>
      <c r="AF139" s="3" t="str">
        <f>IFERROR(MID(VLOOKUP($B139,Seqs!$A:$B,2,0),AG139,1),"")</f>
        <v>T</v>
      </c>
      <c r="AG139" s="3">
        <v>274</v>
      </c>
      <c r="AH139" s="3" t="str">
        <f>IFERROR(MID(VLOOKUP($B139,Seqs!$A:$B,2,0),AI139,1),"")</f>
        <v>L</v>
      </c>
      <c r="AI139" s="3">
        <v>276</v>
      </c>
      <c r="AJ139" s="3" t="str">
        <f>IFERROR(MID(VLOOKUP($B139,Seqs!$A:$B,2,0),AK139,1),"")</f>
        <v>L</v>
      </c>
      <c r="AK139" s="3">
        <v>281</v>
      </c>
      <c r="AL139" s="3" t="str">
        <f>IFERROR(MID(VLOOKUP($B139,Seqs!$A:$B,2,0),AM139,1),"")</f>
        <v>L</v>
      </c>
      <c r="AM139" s="3">
        <v>318</v>
      </c>
      <c r="AN139" s="3" t="str">
        <f>IFERROR(MID(VLOOKUP($B139,Seqs!$A:$B,2,0),AO139,1),"")</f>
        <v>L</v>
      </c>
      <c r="AO139" s="3">
        <v>323</v>
      </c>
      <c r="AP139" s="3" t="str">
        <f>IFERROR(MID(VLOOKUP($B139,Seqs!$A:$B,2,0),AQ139,1),"")</f>
        <v/>
      </c>
      <c r="AQ139" s="3">
        <v>354</v>
      </c>
      <c r="AR139" s="3" t="str">
        <f>IFERROR(MID(VLOOKUP($B139,Seqs!$A:$B,2,0),AS139,1),"")</f>
        <v/>
      </c>
      <c r="AS139" s="3">
        <v>358</v>
      </c>
      <c r="AT139" s="3" t="str">
        <f>IFERROR(MID(VLOOKUP($B139,Seqs!$A:$B,2,0),AU139,1),"")</f>
        <v/>
      </c>
      <c r="AU139" s="3">
        <v>394</v>
      </c>
      <c r="AV139" s="3" t="str">
        <f>IFERROR(MID(VLOOKUP($B139,Seqs!$A:$B,2,0),AW139,1),"")</f>
        <v/>
      </c>
      <c r="AW139" s="3" t="s">
        <v>23</v>
      </c>
      <c r="AX139" s="3" t="str">
        <f>IFERROR(MID(VLOOKUP($B139,Seqs!$A:$B,2,0),AY139,1),"")</f>
        <v/>
      </c>
      <c r="AY139" s="3" t="s">
        <v>23</v>
      </c>
      <c r="AZ139" s="77" t="str">
        <f>VLOOKUP(B139,Classification!A:D,2,0)</f>
        <v>A</v>
      </c>
      <c r="BA139" s="94" t="str">
        <f>VLOOKUP(B139,Classification!A:D,4,0)</f>
        <v>Complementpeptide</v>
      </c>
      <c r="BB139" s="27" t="b">
        <f t="shared" si="730"/>
        <v>1</v>
      </c>
      <c r="BC139" s="23">
        <f t="shared" si="731"/>
        <v>250</v>
      </c>
      <c r="BD139" s="2" t="s">
        <v>23</v>
      </c>
      <c r="BE139" s="3" t="s">
        <v>1380</v>
      </c>
      <c r="BF139" s="119">
        <v>2.2000000000000002</v>
      </c>
      <c r="BG139" s="49" t="s">
        <v>1287</v>
      </c>
      <c r="BH139" s="49" t="s">
        <v>1287</v>
      </c>
      <c r="BI139" s="1"/>
      <c r="BJ139" s="70" t="s">
        <v>1293</v>
      </c>
      <c r="BK139" s="57" t="s">
        <v>1293</v>
      </c>
      <c r="BL139" s="57" t="s">
        <v>1293</v>
      </c>
      <c r="BM139" s="57" t="s">
        <v>1293</v>
      </c>
      <c r="BN139" s="57" t="s">
        <v>1293</v>
      </c>
      <c r="BO139" s="57" t="s">
        <v>1293</v>
      </c>
      <c r="BP139" s="57" t="s">
        <v>1293</v>
      </c>
      <c r="BQ139" s="57" t="s">
        <v>1293</v>
      </c>
      <c r="BR139" s="57" t="s">
        <v>1293</v>
      </c>
      <c r="BS139" s="57" t="s">
        <v>1293</v>
      </c>
      <c r="BT139" s="57" t="s">
        <v>1293</v>
      </c>
      <c r="BU139" s="57" t="s">
        <v>1293</v>
      </c>
      <c r="BV139" s="70">
        <f t="shared" si="732"/>
        <v>120</v>
      </c>
      <c r="BW139" s="71" t="str">
        <f t="shared" si="733"/>
        <v>-</v>
      </c>
      <c r="BX139" s="72">
        <f t="shared" si="734"/>
        <v>155</v>
      </c>
      <c r="BY139" s="71">
        <f t="shared" si="735"/>
        <v>187</v>
      </c>
      <c r="BZ139" s="72">
        <f t="shared" si="736"/>
        <v>191</v>
      </c>
      <c r="CA139" s="71">
        <f t="shared" si="737"/>
        <v>227</v>
      </c>
      <c r="CB139" s="72">
        <f t="shared" si="738"/>
        <v>235</v>
      </c>
      <c r="CC139" s="71">
        <f t="shared" si="739"/>
        <v>274</v>
      </c>
      <c r="CD139" s="72">
        <f t="shared" si="740"/>
        <v>281</v>
      </c>
      <c r="CE139" s="71">
        <f t="shared" si="741"/>
        <v>323</v>
      </c>
      <c r="CF139" s="72">
        <f t="shared" si="742"/>
        <v>358</v>
      </c>
      <c r="CG139" s="71" t="str">
        <f t="shared" si="743"/>
        <v>-</v>
      </c>
      <c r="CH139" s="70">
        <f t="shared" si="744"/>
        <v>151</v>
      </c>
      <c r="CI139" s="71" t="str">
        <f t="shared" si="745"/>
        <v>-</v>
      </c>
      <c r="CJ139" s="72">
        <f t="shared" si="746"/>
        <v>185</v>
      </c>
      <c r="CK139" s="72">
        <f t="shared" si="747"/>
        <v>190</v>
      </c>
      <c r="CL139" s="72">
        <f t="shared" si="748"/>
        <v>226</v>
      </c>
      <c r="CM139" s="72">
        <f t="shared" si="749"/>
        <v>234</v>
      </c>
      <c r="CN139" s="72">
        <f t="shared" si="750"/>
        <v>261</v>
      </c>
      <c r="CO139" s="72">
        <f t="shared" si="751"/>
        <v>276</v>
      </c>
      <c r="CP139" s="72">
        <f t="shared" si="752"/>
        <v>318</v>
      </c>
      <c r="CQ139" s="72">
        <f t="shared" si="753"/>
        <v>354</v>
      </c>
      <c r="CR139" s="72">
        <f t="shared" si="754"/>
        <v>394</v>
      </c>
      <c r="CS139" s="72" t="str">
        <f t="shared" si="755"/>
        <v>-</v>
      </c>
      <c r="CT139" s="23" t="e">
        <f t="shared" si="756"/>
        <v>#VALUE!</v>
      </c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  <c r="ADW139" s="1"/>
      <c r="ADX139" s="1"/>
      <c r="ADY139" s="1"/>
      <c r="ADZ139" s="1"/>
      <c r="AEA139" s="1"/>
      <c r="AEB139" s="1"/>
      <c r="AEC139" s="1"/>
      <c r="AED139" s="1"/>
      <c r="AEE139" s="1"/>
      <c r="AEF139" s="1"/>
      <c r="AEG139" s="1"/>
      <c r="AEH139" s="1"/>
      <c r="AEI139" s="1"/>
      <c r="AEJ139" s="1"/>
      <c r="AEK139" s="1"/>
      <c r="AEL139" s="1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1"/>
      <c r="AFE139" s="1"/>
      <c r="AFF139" s="1"/>
      <c r="AFG139" s="1"/>
      <c r="AFH139" s="1"/>
      <c r="AFI139" s="1"/>
      <c r="AFJ139" s="1"/>
      <c r="AFK139" s="1"/>
      <c r="AFL139" s="1"/>
      <c r="AFM139" s="1"/>
      <c r="AFN139" s="1"/>
      <c r="AFO139" s="1"/>
      <c r="AFP139" s="1"/>
      <c r="AFQ139" s="1"/>
      <c r="AFR139" s="1"/>
      <c r="AFS139" s="1"/>
      <c r="AFT139" s="1"/>
      <c r="AFU139" s="1"/>
      <c r="AFV139" s="1"/>
      <c r="AFW139" s="1"/>
      <c r="AFX139" s="1"/>
      <c r="AFY139" s="1"/>
      <c r="AFZ139" s="1"/>
      <c r="AGA139" s="1"/>
      <c r="AGB139" s="1"/>
      <c r="AGC139" s="1"/>
      <c r="AGD139" s="1"/>
      <c r="AGE139" s="1"/>
      <c r="AGF139" s="1"/>
      <c r="AGG139" s="1"/>
      <c r="AGH139" s="1"/>
      <c r="AGI139" s="1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1"/>
      <c r="AHD139" s="1"/>
      <c r="AHE139" s="1"/>
      <c r="AHF139" s="1"/>
      <c r="AHG139" s="1"/>
      <c r="AHH139" s="1"/>
      <c r="AHI139" s="1"/>
      <c r="AHJ139" s="1"/>
      <c r="AHK139" s="1"/>
      <c r="AHL139" s="1"/>
      <c r="AHM139" s="1"/>
      <c r="AHN139" s="1"/>
      <c r="AHO139" s="1"/>
      <c r="AHP139" s="1"/>
      <c r="AHQ139" s="1"/>
      <c r="AHR139" s="1"/>
      <c r="AHS139" s="1"/>
      <c r="AHT139" s="1"/>
      <c r="AHU139" s="1"/>
      <c r="AHV139" s="1"/>
      <c r="AHW139" s="1"/>
      <c r="AHX139" s="1"/>
      <c r="AHY139" s="1"/>
      <c r="AHZ139" s="1"/>
      <c r="AIA139" s="1"/>
      <c r="AIB139" s="1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1"/>
      <c r="AIQ139" s="1"/>
      <c r="AIR139" s="1"/>
      <c r="AIS139" s="1"/>
      <c r="AIT139" s="1"/>
      <c r="AIU139" s="1"/>
      <c r="AIV139" s="1"/>
      <c r="AIW139" s="1"/>
      <c r="AIX139" s="1"/>
      <c r="AIY139" s="1"/>
      <c r="AIZ139" s="1"/>
      <c r="AJA139" s="1"/>
      <c r="AJB139" s="1"/>
      <c r="AJC139" s="1"/>
      <c r="AJD139" s="1"/>
      <c r="AJE139" s="1"/>
      <c r="AJF139" s="1"/>
      <c r="AJG139" s="1"/>
      <c r="AJH139" s="1"/>
      <c r="AJI139" s="1"/>
      <c r="AJJ139" s="1"/>
      <c r="AJK139" s="1"/>
      <c r="AJL139" s="1"/>
      <c r="AJM139" s="1"/>
      <c r="AJN139" s="1"/>
      <c r="AJO139" s="1"/>
      <c r="AJP139" s="1"/>
      <c r="AJQ139" s="1"/>
      <c r="AJR139" s="1"/>
      <c r="AJS139" s="1"/>
      <c r="AJT139" s="1"/>
      <c r="AJU139" s="1"/>
      <c r="AJV139" s="1"/>
      <c r="AJW139" s="1"/>
      <c r="AJX139" s="1"/>
      <c r="AJY139" s="1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1"/>
      <c r="AKR139" s="1"/>
      <c r="AKS139" s="1"/>
      <c r="AKT139" s="1"/>
      <c r="AKU139" s="1"/>
      <c r="AKV139" s="1"/>
      <c r="AKW139" s="1"/>
      <c r="AKX139" s="1"/>
      <c r="AKY139" s="1"/>
      <c r="AKZ139" s="1"/>
      <c r="ALA139" s="1"/>
      <c r="ALB139" s="1"/>
      <c r="ALC139" s="1"/>
      <c r="ALD139" s="1"/>
      <c r="ALE139" s="1"/>
      <c r="ALF139" s="1"/>
      <c r="ALG139" s="1"/>
      <c r="ALH139" s="1"/>
      <c r="ALI139" s="1"/>
      <c r="ALJ139" s="1"/>
      <c r="ALK139" s="1"/>
      <c r="ALL139" s="1"/>
      <c r="ALM139" s="1"/>
      <c r="ALN139" s="1"/>
      <c r="ALO139" s="1"/>
      <c r="ALP139" s="1"/>
      <c r="ALQ139" s="1"/>
      <c r="ALR139" s="1"/>
      <c r="ALS139" s="1"/>
      <c r="ALT139" s="1"/>
      <c r="ALU139" s="1"/>
      <c r="ALV139" s="1"/>
      <c r="ALW139" s="1"/>
      <c r="ALX139" s="1"/>
      <c r="ALY139" s="1"/>
      <c r="ALZ139" s="1"/>
      <c r="AMA139" s="1"/>
      <c r="AMB139" s="1"/>
      <c r="AMC139" s="1"/>
      <c r="AMD139" s="1"/>
      <c r="AME139" s="1"/>
      <c r="AMF139" s="1"/>
      <c r="AMG139" s="1"/>
      <c r="AMH139" s="1"/>
      <c r="AMI139" s="1"/>
      <c r="AMJ139" s="1"/>
      <c r="AMK139" s="1"/>
      <c r="AML139" s="1"/>
      <c r="AMM139" s="1"/>
      <c r="AMN139" s="1"/>
      <c r="AMO139" s="1"/>
    </row>
    <row r="140" spans="1:1030" x14ac:dyDescent="0.2">
      <c r="A140" s="3" t="str">
        <f t="shared" si="699"/>
        <v>ccr2_human__wt</v>
      </c>
      <c r="B140" s="3" t="s">
        <v>170</v>
      </c>
      <c r="C140" s="3" t="s">
        <v>100</v>
      </c>
      <c r="D140" s="3" t="str">
        <f>IFERROR(MID(VLOOKUP($B140,Seqs!$A:$B,2,0),E140,1),"")</f>
        <v>V</v>
      </c>
      <c r="E140" s="3">
        <v>37</v>
      </c>
      <c r="F140" s="3" t="str">
        <f>IFERROR(MID(VLOOKUP($B140,Seqs!$A:$B,2,0),G140,1),"")</f>
        <v>C</v>
      </c>
      <c r="G140" s="3">
        <v>70</v>
      </c>
      <c r="H140" s="3" t="str">
        <f>IFERROR(MID(VLOOKUP($B140,Seqs!$A:$B,2,0),I140,1),"")</f>
        <v>K</v>
      </c>
      <c r="I140" s="23">
        <v>71</v>
      </c>
      <c r="J140" s="3" t="str">
        <f>IFERROR(MID(VLOOKUP($B140,Seqs!$A:$B,2,0),K140,1),"")</f>
        <v>K</v>
      </c>
      <c r="K140" s="23">
        <v>74</v>
      </c>
      <c r="L140" s="3" t="str">
        <f>IFERROR(MID(VLOOKUP($B140,Seqs!$A:$B,2,0),M140,1),"")</f>
        <v>C</v>
      </c>
      <c r="M140" s="3">
        <v>75</v>
      </c>
      <c r="N140" s="3" t="str">
        <f>IFERROR(MID(VLOOKUP($B140,Seqs!$A:$B,2,0),O140,1),"")</f>
        <v>N</v>
      </c>
      <c r="O140" s="3">
        <v>104</v>
      </c>
      <c r="P140" s="3" t="str">
        <f>IFERROR(MID(VLOOKUP($B140,Seqs!$A:$B,2,0),Q140,1),"")</f>
        <v>E</v>
      </c>
      <c r="Q140" s="3">
        <v>105</v>
      </c>
      <c r="R140" s="3" t="str">
        <f>IFERROR(MID(VLOOKUP($B140,Seqs!$A:$B,2,0),S140,1),"")</f>
        <v>F</v>
      </c>
      <c r="S140" s="3">
        <v>108</v>
      </c>
      <c r="T140" s="3" t="str">
        <f>IFERROR(MID(VLOOKUP($B140,Seqs!$A:$B,2,0),U140,1),"")</f>
        <v>G</v>
      </c>
      <c r="U140" s="3">
        <v>109</v>
      </c>
      <c r="V140" s="3" t="str">
        <f>IFERROR(MID(VLOOKUP($B140,Seqs!$A:$B,2,0),W140,1),"")</f>
        <v>H</v>
      </c>
      <c r="W140" s="3">
        <v>144</v>
      </c>
      <c r="X140" s="3" t="str">
        <f>IFERROR(MID(VLOOKUP($B140,Seqs!$A:$B,2,0),Y140,1),"")</f>
        <v>A</v>
      </c>
      <c r="Y140" s="3">
        <v>145</v>
      </c>
      <c r="Z140" s="3" t="str">
        <f>IFERROR(MID(VLOOKUP($B140,Seqs!$A:$B,2,0),AA140,1),"")</f>
        <v>R</v>
      </c>
      <c r="AA140" s="3">
        <v>152</v>
      </c>
      <c r="AB140" s="3" t="str">
        <f>IFERROR(MID(VLOOKUP($B140,Seqs!$A:$B,2,0),AC140,1),"")</f>
        <v>T</v>
      </c>
      <c r="AC140" s="9">
        <v>153</v>
      </c>
      <c r="AD140" s="3" t="str">
        <f>IFERROR(MID(VLOOKUP($B140,Seqs!$A:$B,2,0),AE140,1),"")</f>
        <v>T</v>
      </c>
      <c r="AE140" s="3">
        <v>179</v>
      </c>
      <c r="AF140" s="3" t="str">
        <f>IFERROR(MID(VLOOKUP($B140,Seqs!$A:$B,2,0),AG140,1),"")</f>
        <v>C</v>
      </c>
      <c r="AG140" s="3">
        <v>190</v>
      </c>
      <c r="AH140" s="3" t="str">
        <f>IFERROR(MID(VLOOKUP($B140,Seqs!$A:$B,2,0),AI140,1),"")</f>
        <v>P</v>
      </c>
      <c r="AI140" s="3">
        <v>192</v>
      </c>
      <c r="AJ140" s="3" t="str">
        <f>IFERROR(MID(VLOOKUP($B140,Seqs!$A:$B,2,0),AK140,1),"")</f>
        <v>P</v>
      </c>
      <c r="AK140" s="3">
        <v>195</v>
      </c>
      <c r="AL140" s="3" t="str">
        <f>IFERROR(MID(VLOOKUP($B140,Seqs!$A:$B,2,0),AM140,1),"")</f>
        <v>C</v>
      </c>
      <c r="AM140" s="3">
        <v>232</v>
      </c>
      <c r="AN140" s="3" t="str">
        <f>IFERROR(MID(VLOOKUP($B140,Seqs!$A:$B,2,0),AO140,1),"")</f>
        <v>K</v>
      </c>
      <c r="AO140" s="3">
        <v>236</v>
      </c>
      <c r="AP140" s="3" t="str">
        <f>IFERROR(MID(VLOOKUP($B140,Seqs!$A:$B,2,0),AQ140,1),"")</f>
        <v>G</v>
      </c>
      <c r="AQ140" s="3">
        <v>273</v>
      </c>
      <c r="AR140" s="3" t="str">
        <f>IFERROR(MID(VLOOKUP($B140,Seqs!$A:$B,2,0),AS140,1),"")</f>
        <v>E</v>
      </c>
      <c r="AS140" s="3">
        <v>278</v>
      </c>
      <c r="AT140" s="3" t="str">
        <f>IFERROR(MID(VLOOKUP($B140,Seqs!$A:$B,2,0),AU140,1),"")</f>
        <v>V</v>
      </c>
      <c r="AU140" s="3">
        <v>308</v>
      </c>
      <c r="AV140" s="3" t="str">
        <f>IFERROR(MID(VLOOKUP($B140,Seqs!$A:$B,2,0),AW140,1),"")</f>
        <v>G</v>
      </c>
      <c r="AW140" s="3">
        <v>309</v>
      </c>
      <c r="AX140" s="3" t="str">
        <f>IFERROR(MID(VLOOKUP($B140,Seqs!$A:$B,2,0),AY140,1),"")</f>
        <v>L</v>
      </c>
      <c r="AY140" s="3">
        <v>320</v>
      </c>
      <c r="AZ140" s="77" t="str">
        <f>VLOOKUP(B140,Classification!A:D,2,0)</f>
        <v>A</v>
      </c>
      <c r="BA140" s="94" t="str">
        <f>VLOOKUP(B140,Classification!A:D,4,0)</f>
        <v>Chemokine</v>
      </c>
      <c r="BB140" s="27" t="b">
        <f t="shared" si="700"/>
        <v>1</v>
      </c>
      <c r="BC140" s="23">
        <f t="shared" si="477"/>
        <v>265</v>
      </c>
      <c r="BD140" s="2" t="s">
        <v>23</v>
      </c>
      <c r="BE140" s="3" t="s">
        <v>23</v>
      </c>
      <c r="BF140" s="119" t="s">
        <v>23</v>
      </c>
      <c r="BG140" s="49" t="s">
        <v>1378</v>
      </c>
      <c r="BH140" s="49" t="s">
        <v>1383</v>
      </c>
      <c r="BI140" s="1"/>
      <c r="BJ140" s="70" t="s">
        <v>1293</v>
      </c>
      <c r="BK140" s="57" t="s">
        <v>1293</v>
      </c>
      <c r="BL140" s="57" t="s">
        <v>1293</v>
      </c>
      <c r="BM140" s="57" t="s">
        <v>1293</v>
      </c>
      <c r="BN140" s="57" t="s">
        <v>1293</v>
      </c>
      <c r="BO140" s="57" t="s">
        <v>1293</v>
      </c>
      <c r="BP140" s="57" t="s">
        <v>1293</v>
      </c>
      <c r="BQ140" s="57" t="s">
        <v>1293</v>
      </c>
      <c r="BR140" s="57" t="s">
        <v>1293</v>
      </c>
      <c r="BS140" s="57" t="s">
        <v>1293</v>
      </c>
      <c r="BT140" s="57" t="s">
        <v>1293</v>
      </c>
      <c r="BU140" s="57" t="s">
        <v>1293</v>
      </c>
      <c r="BV140" s="70">
        <f t="shared" si="478"/>
        <v>37</v>
      </c>
      <c r="BW140" s="71">
        <f t="shared" si="479"/>
        <v>71</v>
      </c>
      <c r="BX140" s="72">
        <f t="shared" si="480"/>
        <v>75</v>
      </c>
      <c r="BY140" s="71">
        <f t="shared" si="481"/>
        <v>105</v>
      </c>
      <c r="BZ140" s="72">
        <f t="shared" si="482"/>
        <v>109</v>
      </c>
      <c r="CA140" s="71">
        <f t="shared" si="483"/>
        <v>145</v>
      </c>
      <c r="CB140" s="72">
        <f t="shared" si="484"/>
        <v>153</v>
      </c>
      <c r="CC140" s="71">
        <f t="shared" si="485"/>
        <v>190</v>
      </c>
      <c r="CD140" s="72">
        <f t="shared" si="486"/>
        <v>195</v>
      </c>
      <c r="CE140" s="71">
        <f t="shared" si="487"/>
        <v>236</v>
      </c>
      <c r="CF140" s="72">
        <f t="shared" si="488"/>
        <v>278</v>
      </c>
      <c r="CG140" s="71">
        <f t="shared" si="489"/>
        <v>309</v>
      </c>
      <c r="CH140" s="70">
        <f t="shared" si="490"/>
        <v>70</v>
      </c>
      <c r="CI140" s="71">
        <f t="shared" si="491"/>
        <v>74</v>
      </c>
      <c r="CJ140" s="72">
        <f t="shared" si="492"/>
        <v>104</v>
      </c>
      <c r="CK140" s="72">
        <f t="shared" si="493"/>
        <v>108</v>
      </c>
      <c r="CL140" s="72">
        <f t="shared" si="494"/>
        <v>144</v>
      </c>
      <c r="CM140" s="72">
        <f t="shared" si="495"/>
        <v>152</v>
      </c>
      <c r="CN140" s="72">
        <f t="shared" si="496"/>
        <v>179</v>
      </c>
      <c r="CO140" s="72">
        <f t="shared" si="497"/>
        <v>192</v>
      </c>
      <c r="CP140" s="72">
        <f t="shared" si="498"/>
        <v>232</v>
      </c>
      <c r="CQ140" s="72">
        <f t="shared" si="499"/>
        <v>273</v>
      </c>
      <c r="CR140" s="72">
        <f t="shared" si="500"/>
        <v>308</v>
      </c>
      <c r="CS140" s="72">
        <f t="shared" si="501"/>
        <v>320</v>
      </c>
      <c r="CT140" s="23">
        <f t="shared" si="502"/>
        <v>1</v>
      </c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6"/>
      <c r="ACQ140" s="6"/>
      <c r="ACR140" s="6"/>
      <c r="ACS140" s="6"/>
      <c r="ACT140" s="6"/>
      <c r="ACU140" s="6"/>
      <c r="ACV140" s="6"/>
      <c r="ACW140" s="6"/>
      <c r="ACX140" s="6"/>
      <c r="ACY140" s="6"/>
      <c r="ACZ140" s="6"/>
      <c r="ADA140" s="6"/>
      <c r="ADB140" s="6"/>
      <c r="ADC140" s="6"/>
      <c r="ADD140" s="6"/>
      <c r="ADE140" s="6"/>
      <c r="ADF140" s="6"/>
      <c r="ADG140" s="6"/>
      <c r="ADH140" s="6"/>
      <c r="ADI140" s="6"/>
      <c r="ADJ140" s="6"/>
      <c r="ADK140" s="6"/>
      <c r="ADL140" s="6"/>
      <c r="ADM140" s="6"/>
      <c r="ADN140" s="6"/>
      <c r="ADO140" s="6"/>
      <c r="ADP140" s="6"/>
      <c r="ADQ140" s="6"/>
      <c r="ADR140" s="6"/>
      <c r="ADS140" s="6"/>
      <c r="ADT140" s="6"/>
      <c r="ADU140" s="6"/>
      <c r="ADV140" s="6"/>
      <c r="ADW140" s="6"/>
      <c r="ADX140" s="6"/>
      <c r="ADY140" s="6"/>
      <c r="ADZ140" s="6"/>
      <c r="AEA140" s="6"/>
      <c r="AEB140" s="6"/>
      <c r="AEC140" s="6"/>
      <c r="AED140" s="6"/>
      <c r="AEE140" s="6"/>
      <c r="AEF140" s="6"/>
      <c r="AEG140" s="6"/>
      <c r="AEH140" s="6"/>
      <c r="AEI140" s="6"/>
      <c r="AEJ140" s="6"/>
      <c r="AEK140" s="6"/>
      <c r="AEL140" s="6"/>
      <c r="AEM140" s="6"/>
      <c r="AEN140" s="6"/>
      <c r="AEO140" s="6"/>
      <c r="AEP140" s="6"/>
      <c r="AEQ140" s="6"/>
      <c r="AER140" s="6"/>
      <c r="AES140" s="6"/>
      <c r="AET140" s="6"/>
      <c r="AEU140" s="6"/>
      <c r="AEV140" s="6"/>
      <c r="AEW140" s="6"/>
      <c r="AEX140" s="6"/>
      <c r="AEY140" s="6"/>
      <c r="AEZ140" s="6"/>
      <c r="AFA140" s="6"/>
      <c r="AFB140" s="6"/>
      <c r="AFC140" s="6"/>
      <c r="AFD140" s="6"/>
      <c r="AFE140" s="6"/>
      <c r="AFF140" s="6"/>
      <c r="AFG140" s="6"/>
      <c r="AFH140" s="6"/>
      <c r="AFI140" s="6"/>
      <c r="AFJ140" s="6"/>
      <c r="AFK140" s="6"/>
      <c r="AFL140" s="6"/>
      <c r="AFM140" s="6"/>
      <c r="AFN140" s="6"/>
      <c r="AFO140" s="6"/>
      <c r="AFP140" s="6"/>
      <c r="AFQ140" s="6"/>
      <c r="AFR140" s="6"/>
      <c r="AFS140" s="6"/>
      <c r="AFT140" s="6"/>
      <c r="AFU140" s="6"/>
      <c r="AFV140" s="6"/>
      <c r="AFW140" s="6"/>
      <c r="AFX140" s="6"/>
      <c r="AFY140" s="6"/>
      <c r="AFZ140" s="6"/>
      <c r="AGA140" s="6"/>
      <c r="AGB140" s="6"/>
      <c r="AGC140" s="6"/>
      <c r="AGD140" s="6"/>
      <c r="AGE140" s="6"/>
      <c r="AGF140" s="6"/>
      <c r="AGG140" s="6"/>
      <c r="AGH140" s="6"/>
      <c r="AGI140" s="6"/>
      <c r="AGJ140" s="6"/>
      <c r="AGK140" s="6"/>
      <c r="AGL140" s="6"/>
      <c r="AGM140" s="6"/>
      <c r="AGN140" s="6"/>
      <c r="AGO140" s="6"/>
      <c r="AGP140" s="6"/>
      <c r="AGQ140" s="6"/>
      <c r="AGR140" s="6"/>
      <c r="AGS140" s="6"/>
      <c r="AGT140" s="6"/>
      <c r="AGU140" s="6"/>
      <c r="AGV140" s="6"/>
      <c r="AGW140" s="6"/>
      <c r="AGX140" s="6"/>
      <c r="AGY140" s="6"/>
      <c r="AGZ140" s="6"/>
      <c r="AHA140" s="6"/>
      <c r="AHB140" s="6"/>
      <c r="AHC140" s="6"/>
      <c r="AHD140" s="6"/>
      <c r="AHE140" s="6"/>
      <c r="AHF140" s="6"/>
      <c r="AHG140" s="6"/>
      <c r="AHH140" s="6"/>
      <c r="AHI140" s="6"/>
      <c r="AHJ140" s="6"/>
      <c r="AHK140" s="6"/>
      <c r="AHL140" s="6"/>
      <c r="AHM140" s="6"/>
      <c r="AHN140" s="6"/>
      <c r="AHO140" s="6"/>
      <c r="AHP140" s="6"/>
      <c r="AHQ140" s="6"/>
      <c r="AHR140" s="6"/>
      <c r="AHS140" s="6"/>
      <c r="AHT140" s="6"/>
      <c r="AHU140" s="6"/>
      <c r="AHV140" s="6"/>
      <c r="AHW140" s="6"/>
      <c r="AHX140" s="6"/>
      <c r="AHY140" s="6"/>
      <c r="AHZ140" s="6"/>
      <c r="AIA140" s="6"/>
      <c r="AIB140" s="6"/>
      <c r="AIC140" s="6"/>
      <c r="AID140" s="6"/>
      <c r="AIE140" s="6"/>
      <c r="AIF140" s="6"/>
      <c r="AIG140" s="6"/>
      <c r="AIH140" s="6"/>
      <c r="AII140" s="6"/>
      <c r="AIJ140" s="6"/>
      <c r="AIK140" s="6"/>
      <c r="AIL140" s="6"/>
      <c r="AIM140" s="6"/>
      <c r="AIN140" s="6"/>
      <c r="AIO140" s="6"/>
      <c r="AIP140" s="6"/>
      <c r="AIQ140" s="6"/>
      <c r="AIR140" s="6"/>
      <c r="AIS140" s="6"/>
      <c r="AIT140" s="6"/>
      <c r="AIU140" s="6"/>
      <c r="AIV140" s="6"/>
      <c r="AIW140" s="6"/>
      <c r="AIX140" s="6"/>
      <c r="AIY140" s="6"/>
      <c r="AIZ140" s="6"/>
      <c r="AJA140" s="6"/>
      <c r="AJB140" s="6"/>
      <c r="AJC140" s="6"/>
      <c r="AJD140" s="6"/>
      <c r="AJE140" s="6"/>
      <c r="AJF140" s="6"/>
      <c r="AJG140" s="6"/>
      <c r="AJH140" s="6"/>
      <c r="AJI140" s="6"/>
      <c r="AJJ140" s="6"/>
      <c r="AJK140" s="6"/>
      <c r="AJL140" s="6"/>
      <c r="AJM140" s="6"/>
      <c r="AJN140" s="6"/>
      <c r="AJO140" s="6"/>
      <c r="AJP140" s="6"/>
      <c r="AJQ140" s="6"/>
      <c r="AJR140" s="6"/>
      <c r="AJS140" s="6"/>
      <c r="AJT140" s="6"/>
      <c r="AJU140" s="6"/>
      <c r="AJV140" s="6"/>
      <c r="AJW140" s="6"/>
      <c r="AJX140" s="6"/>
      <c r="AJY140" s="6"/>
      <c r="AJZ140" s="6"/>
      <c r="AKA140" s="6"/>
      <c r="AKB140" s="6"/>
      <c r="AKC140" s="6"/>
      <c r="AKD140" s="6"/>
      <c r="AKE140" s="6"/>
      <c r="AKF140" s="6"/>
      <c r="AKG140" s="6"/>
      <c r="AKH140" s="6"/>
      <c r="AKI140" s="6"/>
      <c r="AKJ140" s="6"/>
      <c r="AKK140" s="6"/>
      <c r="AKL140" s="6"/>
      <c r="AKM140" s="6"/>
      <c r="AKN140" s="6"/>
      <c r="AKO140" s="6"/>
      <c r="AKP140" s="6"/>
      <c r="AKQ140" s="6"/>
      <c r="AKR140" s="6"/>
      <c r="AKS140" s="6"/>
      <c r="AKT140" s="6"/>
      <c r="AKU140" s="6"/>
      <c r="AKV140" s="6"/>
      <c r="AKW140" s="6"/>
      <c r="AKX140" s="6"/>
      <c r="AKY140" s="6"/>
      <c r="AKZ140" s="6"/>
      <c r="ALA140" s="6"/>
      <c r="ALB140" s="6"/>
      <c r="ALC140" s="6"/>
      <c r="ALD140" s="6"/>
      <c r="ALE140" s="6"/>
      <c r="ALF140" s="6"/>
      <c r="ALG140" s="6"/>
      <c r="ALH140" s="6"/>
      <c r="ALI140" s="6"/>
      <c r="ALJ140" s="6"/>
      <c r="ALK140" s="6"/>
      <c r="ALL140" s="6"/>
      <c r="ALM140" s="6"/>
      <c r="ALN140" s="6"/>
      <c r="ALO140" s="6"/>
      <c r="ALP140" s="6"/>
      <c r="ALQ140" s="6"/>
      <c r="ALR140" s="6"/>
      <c r="ALS140" s="6"/>
      <c r="ALT140" s="6"/>
      <c r="ALU140" s="6"/>
      <c r="ALV140" s="6"/>
      <c r="ALW140" s="6"/>
      <c r="ALX140" s="6"/>
      <c r="ALY140" s="6"/>
      <c r="ALZ140" s="6"/>
      <c r="AMA140" s="6"/>
      <c r="AMB140" s="6"/>
      <c r="AMC140" s="6"/>
      <c r="AMD140" s="6"/>
      <c r="AME140" s="6"/>
      <c r="AMF140" s="6"/>
      <c r="AMG140" s="6"/>
      <c r="AMH140" s="6"/>
      <c r="AMI140" s="6"/>
      <c r="AMJ140" s="6"/>
      <c r="AMK140" s="6"/>
      <c r="AML140" s="6"/>
      <c r="AMM140" s="6"/>
      <c r="AMN140" s="6"/>
      <c r="AMO140" s="6"/>
      <c r="AMP140" s="6"/>
    </row>
    <row r="141" spans="1:1030" x14ac:dyDescent="0.2">
      <c r="A141" s="3" t="str">
        <f t="shared" si="699"/>
        <v>ccr2_human_5T1A</v>
      </c>
      <c r="B141" s="3" t="s">
        <v>170</v>
      </c>
      <c r="C141" s="3" t="s">
        <v>1384</v>
      </c>
      <c r="D141" s="3" t="str">
        <f>IFERROR(MID(VLOOKUP($B141,Seqs!$A:$B,2,0),E141,1),"")</f>
        <v>V</v>
      </c>
      <c r="E141" s="3">
        <v>37</v>
      </c>
      <c r="F141" s="3" t="str">
        <f>IFERROR(MID(VLOOKUP($B141,Seqs!$A:$B,2,0),G141,1),"")</f>
        <v>C</v>
      </c>
      <c r="G141" s="3">
        <v>70</v>
      </c>
      <c r="H141" s="3" t="str">
        <f>IFERROR(MID(VLOOKUP($B141,Seqs!$A:$B,2,0),I141,1),"")</f>
        <v/>
      </c>
      <c r="I141" s="23" t="s">
        <v>23</v>
      </c>
      <c r="J141" s="3" t="str">
        <f>IFERROR(MID(VLOOKUP($B141,Seqs!$A:$B,2,0),K141,1),"")</f>
        <v/>
      </c>
      <c r="K141" s="23" t="s">
        <v>23</v>
      </c>
      <c r="L141" s="3" t="str">
        <f>IFERROR(MID(VLOOKUP($B141,Seqs!$A:$B,2,0),M141,1),"")</f>
        <v>C</v>
      </c>
      <c r="M141" s="3">
        <v>75</v>
      </c>
      <c r="N141" s="3" t="str">
        <f>IFERROR(MID(VLOOKUP($B141,Seqs!$A:$B,2,0),O141,1),"")</f>
        <v>N</v>
      </c>
      <c r="O141" s="3">
        <v>104</v>
      </c>
      <c r="P141" s="3" t="str">
        <f>IFERROR(MID(VLOOKUP($B141,Seqs!$A:$B,2,0),Q141,1),"")</f>
        <v>E</v>
      </c>
      <c r="Q141" s="3">
        <v>105</v>
      </c>
      <c r="R141" s="3" t="str">
        <f>IFERROR(MID(VLOOKUP($B141,Seqs!$A:$B,2,0),S141,1),"")</f>
        <v>F</v>
      </c>
      <c r="S141" s="3">
        <v>108</v>
      </c>
      <c r="T141" s="3" t="str">
        <f>IFERROR(MID(VLOOKUP($B141,Seqs!$A:$B,2,0),U141,1),"")</f>
        <v>G</v>
      </c>
      <c r="U141" s="3">
        <v>109</v>
      </c>
      <c r="V141" s="3" t="str">
        <f>IFERROR(MID(VLOOKUP($B141,Seqs!$A:$B,2,0),W141,1),"")</f>
        <v>H</v>
      </c>
      <c r="W141" s="3">
        <v>144</v>
      </c>
      <c r="X141" s="3" t="str">
        <f>IFERROR(MID(VLOOKUP($B141,Seqs!$A:$B,2,0),Y141,1),"")</f>
        <v>A</v>
      </c>
      <c r="Y141" s="3">
        <v>145</v>
      </c>
      <c r="Z141" s="3" t="str">
        <f>IFERROR(MID(VLOOKUP($B141,Seqs!$A:$B,2,0),AA141,1),"")</f>
        <v>R</v>
      </c>
      <c r="AA141" s="3">
        <v>152</v>
      </c>
      <c r="AB141" s="3" t="str">
        <f>IFERROR(MID(VLOOKUP($B141,Seqs!$A:$B,2,0),AC141,1),"")</f>
        <v>T</v>
      </c>
      <c r="AC141" s="9">
        <v>153</v>
      </c>
      <c r="AD141" s="3" t="str">
        <f>IFERROR(MID(VLOOKUP($B141,Seqs!$A:$B,2,0),AE141,1),"")</f>
        <v>T</v>
      </c>
      <c r="AE141" s="3">
        <v>179</v>
      </c>
      <c r="AF141" s="3" t="str">
        <f>IFERROR(MID(VLOOKUP($B141,Seqs!$A:$B,2,0),AG141,1),"")</f>
        <v>C</v>
      </c>
      <c r="AG141" s="3">
        <v>190</v>
      </c>
      <c r="AH141" s="3" t="str">
        <f>IFERROR(MID(VLOOKUP($B141,Seqs!$A:$B,2,0),AI141,1),"")</f>
        <v>P</v>
      </c>
      <c r="AI141" s="3">
        <v>192</v>
      </c>
      <c r="AJ141" s="3" t="str">
        <f>IFERROR(MID(VLOOKUP($B141,Seqs!$A:$B,2,0),AK141,1),"")</f>
        <v>P</v>
      </c>
      <c r="AK141" s="3">
        <v>195</v>
      </c>
      <c r="AL141" s="3" t="str">
        <f>IFERROR(MID(VLOOKUP($B141,Seqs!$A:$B,2,0),AM141,1),"")</f>
        <v>T</v>
      </c>
      <c r="AM141" s="3">
        <v>228</v>
      </c>
      <c r="AN141" s="3" t="str">
        <f>IFERROR(MID(VLOOKUP($B141,Seqs!$A:$B,2,0),AO141,1),"")</f>
        <v>K</v>
      </c>
      <c r="AO141" s="3">
        <v>236</v>
      </c>
      <c r="AP141" s="3" t="str">
        <f>IFERROR(MID(VLOOKUP($B141,Seqs!$A:$B,2,0),AQ141,1),"")</f>
        <v>G</v>
      </c>
      <c r="AQ141" s="3">
        <v>273</v>
      </c>
      <c r="AR141" s="3" t="str">
        <f>IFERROR(MID(VLOOKUP($B141,Seqs!$A:$B,2,0),AS141,1),"")</f>
        <v>E</v>
      </c>
      <c r="AS141" s="3">
        <v>278</v>
      </c>
      <c r="AT141" s="3" t="str">
        <f>IFERROR(MID(VLOOKUP($B141,Seqs!$A:$B,2,0),AU141,1),"")</f>
        <v>V</v>
      </c>
      <c r="AU141" s="3">
        <v>308</v>
      </c>
      <c r="AV141" s="3" t="str">
        <f>IFERROR(MID(VLOOKUP($B141,Seqs!$A:$B,2,0),AW141,1),"")</f>
        <v>G</v>
      </c>
      <c r="AW141" s="3">
        <v>309</v>
      </c>
      <c r="AX141" s="3" t="str">
        <f>IFERROR(MID(VLOOKUP($B141,Seqs!$A:$B,2,0),AY141,1),"")</f>
        <v>L</v>
      </c>
      <c r="AY141" s="3">
        <v>320</v>
      </c>
      <c r="AZ141" s="77" t="str">
        <f>VLOOKUP(B141,Classification!A:D,2,0)</f>
        <v>A</v>
      </c>
      <c r="BA141" s="94" t="str">
        <f>VLOOKUP(B141,Classification!A:D,4,0)</f>
        <v>Chemokine</v>
      </c>
      <c r="BB141" s="27" t="b">
        <f t="shared" si="700"/>
        <v>1</v>
      </c>
      <c r="BC141" s="23">
        <f t="shared" si="477"/>
        <v>258</v>
      </c>
      <c r="BD141" s="16" t="s">
        <v>1382</v>
      </c>
      <c r="BE141" s="3" t="s">
        <v>1380</v>
      </c>
      <c r="BF141" s="119">
        <v>2.81</v>
      </c>
      <c r="BG141" s="49" t="s">
        <v>1</v>
      </c>
      <c r="BH141" s="49" t="s">
        <v>1383</v>
      </c>
      <c r="BI141" s="1"/>
      <c r="BJ141" s="70" t="s">
        <v>1293</v>
      </c>
      <c r="BK141" s="57" t="s">
        <v>1293</v>
      </c>
      <c r="BL141" s="57" t="s">
        <v>1293</v>
      </c>
      <c r="BM141" s="57" t="s">
        <v>1293</v>
      </c>
      <c r="BN141" s="57" t="s">
        <v>1293</v>
      </c>
      <c r="BO141" s="57" t="s">
        <v>1293</v>
      </c>
      <c r="BP141" s="57" t="s">
        <v>1293</v>
      </c>
      <c r="BQ141" s="57" t="s">
        <v>1293</v>
      </c>
      <c r="BR141" s="57" t="s">
        <v>1293</v>
      </c>
      <c r="BS141" s="57" t="s">
        <v>1293</v>
      </c>
      <c r="BT141" s="57" t="s">
        <v>1293</v>
      </c>
      <c r="BU141" s="57" t="s">
        <v>1293</v>
      </c>
      <c r="BV141" s="70">
        <f t="shared" si="478"/>
        <v>37</v>
      </c>
      <c r="BW141" s="71" t="str">
        <f t="shared" si="479"/>
        <v>-</v>
      </c>
      <c r="BX141" s="72">
        <f t="shared" si="480"/>
        <v>75</v>
      </c>
      <c r="BY141" s="71">
        <f t="shared" si="481"/>
        <v>105</v>
      </c>
      <c r="BZ141" s="72">
        <f t="shared" si="482"/>
        <v>109</v>
      </c>
      <c r="CA141" s="71">
        <f t="shared" si="483"/>
        <v>145</v>
      </c>
      <c r="CB141" s="72">
        <f t="shared" si="484"/>
        <v>153</v>
      </c>
      <c r="CC141" s="71">
        <f t="shared" si="485"/>
        <v>190</v>
      </c>
      <c r="CD141" s="72">
        <f t="shared" si="486"/>
        <v>195</v>
      </c>
      <c r="CE141" s="71">
        <f t="shared" si="487"/>
        <v>236</v>
      </c>
      <c r="CF141" s="72">
        <f t="shared" si="488"/>
        <v>278</v>
      </c>
      <c r="CG141" s="71">
        <f t="shared" si="489"/>
        <v>309</v>
      </c>
      <c r="CH141" s="70">
        <f t="shared" si="490"/>
        <v>70</v>
      </c>
      <c r="CI141" s="71" t="str">
        <f t="shared" si="491"/>
        <v>-</v>
      </c>
      <c r="CJ141" s="72">
        <f t="shared" si="492"/>
        <v>104</v>
      </c>
      <c r="CK141" s="72">
        <f t="shared" si="493"/>
        <v>108</v>
      </c>
      <c r="CL141" s="72">
        <f t="shared" si="494"/>
        <v>144</v>
      </c>
      <c r="CM141" s="72">
        <f t="shared" si="495"/>
        <v>152</v>
      </c>
      <c r="CN141" s="72">
        <f t="shared" si="496"/>
        <v>179</v>
      </c>
      <c r="CO141" s="72">
        <f t="shared" si="497"/>
        <v>192</v>
      </c>
      <c r="CP141" s="72">
        <f t="shared" si="498"/>
        <v>228</v>
      </c>
      <c r="CQ141" s="72">
        <f t="shared" si="499"/>
        <v>273</v>
      </c>
      <c r="CR141" s="72">
        <f t="shared" si="500"/>
        <v>308</v>
      </c>
      <c r="CS141" s="72">
        <f t="shared" si="501"/>
        <v>320</v>
      </c>
      <c r="CT141" s="23" t="e">
        <f t="shared" si="502"/>
        <v>#VALUE!</v>
      </c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6"/>
      <c r="ACQ141" s="6"/>
      <c r="ACR141" s="6"/>
      <c r="ACS141" s="6"/>
      <c r="ACT141" s="6"/>
      <c r="ACU141" s="6"/>
      <c r="ACV141" s="6"/>
      <c r="ACW141" s="6"/>
      <c r="ACX141" s="6"/>
      <c r="ACY141" s="6"/>
      <c r="ACZ141" s="6"/>
      <c r="ADA141" s="6"/>
      <c r="ADB141" s="6"/>
      <c r="ADC141" s="6"/>
      <c r="ADD141" s="6"/>
      <c r="ADE141" s="6"/>
      <c r="ADF141" s="6"/>
      <c r="ADG141" s="6"/>
      <c r="ADH141" s="6"/>
      <c r="ADI141" s="6"/>
      <c r="ADJ141" s="6"/>
      <c r="ADK141" s="6"/>
      <c r="ADL141" s="6"/>
      <c r="ADM141" s="6"/>
      <c r="ADN141" s="6"/>
      <c r="ADO141" s="6"/>
      <c r="ADP141" s="6"/>
      <c r="ADQ141" s="6"/>
      <c r="ADR141" s="6"/>
      <c r="ADS141" s="6"/>
      <c r="ADT141" s="6"/>
      <c r="ADU141" s="6"/>
      <c r="ADV141" s="6"/>
      <c r="ADW141" s="6"/>
      <c r="ADX141" s="6"/>
      <c r="ADY141" s="6"/>
      <c r="ADZ141" s="6"/>
      <c r="AEA141" s="6"/>
      <c r="AEB141" s="6"/>
      <c r="AEC141" s="6"/>
      <c r="AED141" s="6"/>
      <c r="AEE141" s="6"/>
      <c r="AEF141" s="6"/>
      <c r="AEG141" s="6"/>
      <c r="AEH141" s="6"/>
      <c r="AEI141" s="6"/>
      <c r="AEJ141" s="6"/>
      <c r="AEK141" s="6"/>
      <c r="AEL141" s="6"/>
      <c r="AEM141" s="6"/>
      <c r="AEN141" s="6"/>
      <c r="AEO141" s="6"/>
      <c r="AEP141" s="6"/>
      <c r="AEQ141" s="6"/>
      <c r="AER141" s="6"/>
      <c r="AES141" s="6"/>
      <c r="AET141" s="6"/>
      <c r="AEU141" s="6"/>
      <c r="AEV141" s="6"/>
      <c r="AEW141" s="6"/>
      <c r="AEX141" s="6"/>
      <c r="AEY141" s="6"/>
      <c r="AEZ141" s="6"/>
      <c r="AFA141" s="6"/>
      <c r="AFB141" s="6"/>
      <c r="AFC141" s="6"/>
      <c r="AFD141" s="6"/>
      <c r="AFE141" s="6"/>
      <c r="AFF141" s="6"/>
      <c r="AFG141" s="6"/>
      <c r="AFH141" s="6"/>
      <c r="AFI141" s="6"/>
      <c r="AFJ141" s="6"/>
      <c r="AFK141" s="6"/>
      <c r="AFL141" s="6"/>
      <c r="AFM141" s="6"/>
      <c r="AFN141" s="6"/>
      <c r="AFO141" s="6"/>
      <c r="AFP141" s="6"/>
      <c r="AFQ141" s="6"/>
      <c r="AFR141" s="6"/>
      <c r="AFS141" s="6"/>
      <c r="AFT141" s="6"/>
      <c r="AFU141" s="6"/>
      <c r="AFV141" s="6"/>
      <c r="AFW141" s="6"/>
      <c r="AFX141" s="6"/>
      <c r="AFY141" s="6"/>
      <c r="AFZ141" s="6"/>
      <c r="AGA141" s="6"/>
      <c r="AGB141" s="6"/>
      <c r="AGC141" s="6"/>
      <c r="AGD141" s="6"/>
      <c r="AGE141" s="6"/>
      <c r="AGF141" s="6"/>
      <c r="AGG141" s="6"/>
      <c r="AGH141" s="6"/>
      <c r="AGI141" s="6"/>
      <c r="AGJ141" s="6"/>
      <c r="AGK141" s="6"/>
      <c r="AGL141" s="6"/>
      <c r="AGM141" s="6"/>
      <c r="AGN141" s="6"/>
      <c r="AGO141" s="6"/>
      <c r="AGP141" s="6"/>
      <c r="AGQ141" s="6"/>
      <c r="AGR141" s="6"/>
      <c r="AGS141" s="6"/>
      <c r="AGT141" s="6"/>
      <c r="AGU141" s="6"/>
      <c r="AGV141" s="6"/>
      <c r="AGW141" s="6"/>
      <c r="AGX141" s="6"/>
      <c r="AGY141" s="6"/>
      <c r="AGZ141" s="6"/>
      <c r="AHA141" s="6"/>
      <c r="AHB141" s="6"/>
      <c r="AHC141" s="6"/>
      <c r="AHD141" s="6"/>
      <c r="AHE141" s="6"/>
      <c r="AHF141" s="6"/>
      <c r="AHG141" s="6"/>
      <c r="AHH141" s="6"/>
      <c r="AHI141" s="6"/>
      <c r="AHJ141" s="6"/>
      <c r="AHK141" s="6"/>
      <c r="AHL141" s="6"/>
      <c r="AHM141" s="6"/>
      <c r="AHN141" s="6"/>
      <c r="AHO141" s="6"/>
      <c r="AHP141" s="6"/>
      <c r="AHQ141" s="6"/>
      <c r="AHR141" s="6"/>
      <c r="AHS141" s="6"/>
      <c r="AHT141" s="6"/>
      <c r="AHU141" s="6"/>
      <c r="AHV141" s="6"/>
      <c r="AHW141" s="6"/>
      <c r="AHX141" s="6"/>
      <c r="AHY141" s="6"/>
      <c r="AHZ141" s="6"/>
      <c r="AIA141" s="6"/>
      <c r="AIB141" s="6"/>
      <c r="AIC141" s="6"/>
      <c r="AID141" s="6"/>
      <c r="AIE141" s="6"/>
      <c r="AIF141" s="6"/>
      <c r="AIG141" s="6"/>
      <c r="AIH141" s="6"/>
      <c r="AII141" s="6"/>
      <c r="AIJ141" s="6"/>
      <c r="AIK141" s="6"/>
      <c r="AIL141" s="6"/>
      <c r="AIM141" s="6"/>
      <c r="AIN141" s="6"/>
      <c r="AIO141" s="6"/>
      <c r="AIP141" s="6"/>
      <c r="AIQ141" s="6"/>
      <c r="AIR141" s="6"/>
      <c r="AIS141" s="6"/>
      <c r="AIT141" s="6"/>
      <c r="AIU141" s="6"/>
      <c r="AIV141" s="6"/>
      <c r="AIW141" s="6"/>
      <c r="AIX141" s="6"/>
      <c r="AIY141" s="6"/>
      <c r="AIZ141" s="6"/>
      <c r="AJA141" s="6"/>
      <c r="AJB141" s="6"/>
      <c r="AJC141" s="6"/>
      <c r="AJD141" s="6"/>
      <c r="AJE141" s="6"/>
      <c r="AJF141" s="6"/>
      <c r="AJG141" s="6"/>
      <c r="AJH141" s="6"/>
      <c r="AJI141" s="6"/>
      <c r="AJJ141" s="6"/>
      <c r="AJK141" s="6"/>
      <c r="AJL141" s="6"/>
      <c r="AJM141" s="6"/>
      <c r="AJN141" s="6"/>
      <c r="AJO141" s="6"/>
      <c r="AJP141" s="6"/>
      <c r="AJQ141" s="6"/>
      <c r="AJR141" s="6"/>
      <c r="AJS141" s="6"/>
      <c r="AJT141" s="6"/>
      <c r="AJU141" s="6"/>
      <c r="AJV141" s="6"/>
      <c r="AJW141" s="6"/>
      <c r="AJX141" s="6"/>
      <c r="AJY141" s="6"/>
      <c r="AJZ141" s="6"/>
      <c r="AKA141" s="6"/>
      <c r="AKB141" s="6"/>
      <c r="AKC141" s="6"/>
      <c r="AKD141" s="6"/>
      <c r="AKE141" s="6"/>
      <c r="AKF141" s="6"/>
      <c r="AKG141" s="6"/>
      <c r="AKH141" s="6"/>
      <c r="AKI141" s="6"/>
      <c r="AKJ141" s="6"/>
      <c r="AKK141" s="6"/>
      <c r="AKL141" s="6"/>
      <c r="AKM141" s="6"/>
      <c r="AKN141" s="6"/>
      <c r="AKO141" s="6"/>
      <c r="AKP141" s="6"/>
      <c r="AKQ141" s="6"/>
      <c r="AKR141" s="6"/>
      <c r="AKS141" s="6"/>
      <c r="AKT141" s="6"/>
      <c r="AKU141" s="6"/>
      <c r="AKV141" s="6"/>
      <c r="AKW141" s="6"/>
      <c r="AKX141" s="6"/>
      <c r="AKY141" s="6"/>
      <c r="AKZ141" s="6"/>
      <c r="ALA141" s="6"/>
      <c r="ALB141" s="6"/>
      <c r="ALC141" s="6"/>
      <c r="ALD141" s="6"/>
      <c r="ALE141" s="6"/>
      <c r="ALF141" s="6"/>
      <c r="ALG141" s="6"/>
      <c r="ALH141" s="6"/>
      <c r="ALI141" s="6"/>
      <c r="ALJ141" s="6"/>
      <c r="ALK141" s="6"/>
      <c r="ALL141" s="6"/>
      <c r="ALM141" s="6"/>
      <c r="ALN141" s="6"/>
      <c r="ALO141" s="6"/>
      <c r="ALP141" s="6"/>
      <c r="ALQ141" s="6"/>
      <c r="ALR141" s="6"/>
      <c r="ALS141" s="6"/>
      <c r="ALT141" s="6"/>
      <c r="ALU141" s="6"/>
      <c r="ALV141" s="6"/>
      <c r="ALW141" s="6"/>
      <c r="ALX141" s="6"/>
      <c r="ALY141" s="6"/>
      <c r="ALZ141" s="6"/>
      <c r="AMA141" s="6"/>
      <c r="AMB141" s="6"/>
      <c r="AMC141" s="6"/>
      <c r="AMD141" s="6"/>
      <c r="AME141" s="6"/>
      <c r="AMF141" s="6"/>
      <c r="AMG141" s="6"/>
      <c r="AMH141" s="6"/>
      <c r="AMI141" s="6"/>
      <c r="AMJ141" s="6"/>
      <c r="AMK141" s="6"/>
      <c r="AML141" s="6"/>
      <c r="AMM141" s="6"/>
      <c r="AMN141" s="6"/>
      <c r="AMO141" s="6"/>
      <c r="AMP141" s="6"/>
    </row>
    <row r="142" spans="1:1030" s="12" customFormat="1" x14ac:dyDescent="0.2">
      <c r="A142" s="9" t="str">
        <f t="shared" ref="A142" si="785">CONCATENATE(B142,"_",C142)</f>
        <v>ccr2_human_6GPS</v>
      </c>
      <c r="B142" s="9" t="s">
        <v>170</v>
      </c>
      <c r="C142" s="9" t="s">
        <v>1569</v>
      </c>
      <c r="D142" s="9" t="str">
        <f>IFERROR(MID(VLOOKUP($B142,Seqs!$A:$B,2,0),E142,1),"")</f>
        <v>V</v>
      </c>
      <c r="E142" s="9">
        <v>37</v>
      </c>
      <c r="F142" s="9" t="str">
        <f>IFERROR(MID(VLOOKUP($B142,Seqs!$A:$B,2,0),G142,1),"")</f>
        <v>K</v>
      </c>
      <c r="G142" s="9">
        <v>71</v>
      </c>
      <c r="H142" s="9" t="str">
        <f>IFERROR(MID(VLOOKUP($B142,Seqs!$A:$B,2,0),I142,1),"")</f>
        <v/>
      </c>
      <c r="I142" s="109" t="s">
        <v>23</v>
      </c>
      <c r="J142" s="9" t="str">
        <f>IFERROR(MID(VLOOKUP($B142,Seqs!$A:$B,2,0),K142,1),"")</f>
        <v/>
      </c>
      <c r="K142" s="109" t="s">
        <v>23</v>
      </c>
      <c r="L142" s="9" t="str">
        <f>IFERROR(MID(VLOOKUP($B142,Seqs!$A:$B,2,0),M142,1),"")</f>
        <v>L</v>
      </c>
      <c r="M142" s="9">
        <v>76</v>
      </c>
      <c r="N142" s="9" t="str">
        <f>IFERROR(MID(VLOOKUP($B142,Seqs!$A:$B,2,0),O142,1),"")</f>
        <v>A</v>
      </c>
      <c r="O142" s="9">
        <v>102</v>
      </c>
      <c r="P142" s="9" t="str">
        <f>IFERROR(MID(VLOOKUP($B142,Seqs!$A:$B,2,0),Q142,1),"")</f>
        <v>E</v>
      </c>
      <c r="Q142" s="9">
        <v>105</v>
      </c>
      <c r="R142" s="9" t="str">
        <f>IFERROR(MID(VLOOKUP($B142,Seqs!$A:$B,2,0),S142,1),"")</f>
        <v>F</v>
      </c>
      <c r="S142" s="9">
        <v>108</v>
      </c>
      <c r="T142" s="9" t="str">
        <f>IFERROR(MID(VLOOKUP($B142,Seqs!$A:$B,2,0),U142,1),"")</f>
        <v>G</v>
      </c>
      <c r="U142" s="9">
        <v>109</v>
      </c>
      <c r="V142" s="9" t="str">
        <f>IFERROR(MID(VLOOKUP($B142,Seqs!$A:$B,2,0),W142,1),"")</f>
        <v>H</v>
      </c>
      <c r="W142" s="9">
        <v>144</v>
      </c>
      <c r="X142" s="9" t="str">
        <f>IFERROR(MID(VLOOKUP($B142,Seqs!$A:$B,2,0),Y142,1),"")</f>
        <v/>
      </c>
      <c r="Y142" s="9" t="s">
        <v>23</v>
      </c>
      <c r="Z142" s="9" t="str">
        <f>IFERROR(MID(VLOOKUP($B142,Seqs!$A:$B,2,0),AA142,1),"")</f>
        <v/>
      </c>
      <c r="AA142" s="9" t="s">
        <v>23</v>
      </c>
      <c r="AB142" s="9" t="str">
        <f>IFERROR(MID(VLOOKUP($B142,Seqs!$A:$B,2,0),AC142,1),"")</f>
        <v>R</v>
      </c>
      <c r="AC142" s="9">
        <v>152</v>
      </c>
      <c r="AD142" s="9" t="str">
        <f>IFERROR(MID(VLOOKUP($B142,Seqs!$A:$B,2,0),AE142,1),"")</f>
        <v>T</v>
      </c>
      <c r="AE142" s="9">
        <v>179</v>
      </c>
      <c r="AF142" s="9" t="str">
        <f>IFERROR(MID(VLOOKUP($B142,Seqs!$A:$B,2,0),AG142,1),"")</f>
        <v>C</v>
      </c>
      <c r="AG142" s="9">
        <v>190</v>
      </c>
      <c r="AH142" s="9" t="str">
        <f>IFERROR(MID(VLOOKUP($B142,Seqs!$A:$B,2,0),AI142,1),"")</f>
        <v>P</v>
      </c>
      <c r="AI142" s="9">
        <v>192</v>
      </c>
      <c r="AJ142" s="9" t="str">
        <f>IFERROR(MID(VLOOKUP($B142,Seqs!$A:$B,2,0),AK142,1),"")</f>
        <v>P</v>
      </c>
      <c r="AK142" s="9">
        <v>195</v>
      </c>
      <c r="AL142" s="9" t="str">
        <f>IFERROR(MID(VLOOKUP($B142,Seqs!$A:$B,2,0),AM142,1),"")</f>
        <v>R</v>
      </c>
      <c r="AM142" s="9">
        <v>231</v>
      </c>
      <c r="AN142" s="9" t="str">
        <f>IFERROR(MID(VLOOKUP($B142,Seqs!$A:$B,2,0),AO142,1),"")</f>
        <v>A</v>
      </c>
      <c r="AO142" s="9">
        <v>241</v>
      </c>
      <c r="AP142" s="9" t="str">
        <f>IFERROR(MID(VLOOKUP($B142,Seqs!$A:$B,2,0),AQ142,1),"")</f>
        <v>F</v>
      </c>
      <c r="AQ142" s="9">
        <v>268</v>
      </c>
      <c r="AR142" s="9" t="str">
        <f>IFERROR(MID(VLOOKUP($B142,Seqs!$A:$B,2,0),AS142,1),"")</f>
        <v>S</v>
      </c>
      <c r="AS142" s="9">
        <v>279</v>
      </c>
      <c r="AT142" s="9" t="str">
        <f>IFERROR(MID(VLOOKUP($B142,Seqs!$A:$B,2,0),AU142,1),"")</f>
        <v>G</v>
      </c>
      <c r="AU142" s="9">
        <v>309</v>
      </c>
      <c r="AV142" s="9" t="str">
        <f>IFERROR(MID(VLOOKUP($B142,Seqs!$A:$B,2,0),AW142,1),"")</f>
        <v>E</v>
      </c>
      <c r="AW142" s="9">
        <v>310</v>
      </c>
      <c r="AX142" s="9" t="str">
        <f>IFERROR(MID(VLOOKUP($B142,Seqs!$A:$B,2,0),AY142,1),"")</f>
        <v>G</v>
      </c>
      <c r="AY142" s="9">
        <v>321</v>
      </c>
      <c r="AZ142" s="110" t="str">
        <f>VLOOKUP(B142,Classification!A:D,2,0)</f>
        <v>A</v>
      </c>
      <c r="BA142" s="98" t="str">
        <f>VLOOKUP(B142,Classification!A:D,4,0)</f>
        <v>Chemokine</v>
      </c>
      <c r="BB142" s="36" t="b">
        <f t="shared" ref="BB142" si="786">AND(E142&lt;G142,OR(G142&lt;I142,I142="-"),OR(I142&lt;K142,I142="-"),OR(K142&lt;M142,K142="-"),M142&lt;O142,OR(O142&lt;Q142,Q142="-"),OR(Q142&lt;S142,Q142="-"),OR(S142&lt;U142,S142="-"),U142&lt;W142,OR(W142&lt;Y142,Y142="-"),OR(Y142&lt;AA142,Y142="-"),OR(AA142&lt;AC142,AA142="-"),AC142&lt;AE142,OR(AE142&lt;AG142,AG142="-"),OR(AG142&lt;AI142,AG142="-"),OR(AI142&lt;AK142,AI142="-"),AK142&lt;AM142,AM142&lt;AO142,AO142&lt;AQ142,AQ142&lt;AS142,AS142&lt;AU142,OR(AU142&lt;AW142,AW142="-"),OR(AW142&lt;AY142,AW142="-"))</f>
        <v>1</v>
      </c>
      <c r="BC142" s="109">
        <f t="shared" ref="BC142" si="787">_xlfn.AGGREGATE(9,6,CH142:CS142)-_xlfn.AGGREGATE(9,6,BV142:CG142)+12</f>
        <v>243</v>
      </c>
      <c r="BD142" s="127" t="s">
        <v>23</v>
      </c>
      <c r="BE142" s="9" t="s">
        <v>1380</v>
      </c>
      <c r="BF142" s="120">
        <v>3.3</v>
      </c>
      <c r="BG142" s="51" t="s">
        <v>1</v>
      </c>
      <c r="BH142" s="51" t="s">
        <v>1</v>
      </c>
      <c r="BJ142" s="111" t="s">
        <v>1293</v>
      </c>
      <c r="BK142" s="112" t="s">
        <v>1293</v>
      </c>
      <c r="BL142" s="112" t="s">
        <v>1293</v>
      </c>
      <c r="BM142" s="112" t="s">
        <v>1293</v>
      </c>
      <c r="BN142" s="112" t="s">
        <v>1293</v>
      </c>
      <c r="BO142" s="112" t="s">
        <v>1293</v>
      </c>
      <c r="BP142" s="112" t="s">
        <v>1293</v>
      </c>
      <c r="BQ142" s="112" t="s">
        <v>1293</v>
      </c>
      <c r="BR142" s="112" t="s">
        <v>1293</v>
      </c>
      <c r="BS142" s="112" t="s">
        <v>1293</v>
      </c>
      <c r="BT142" s="112" t="s">
        <v>1293</v>
      </c>
      <c r="BU142" s="112" t="s">
        <v>1293</v>
      </c>
      <c r="BV142" s="111">
        <f t="shared" ref="BV142" si="788">E142</f>
        <v>37</v>
      </c>
      <c r="BW142" s="113" t="str">
        <f t="shared" ref="BW142" si="789">I142</f>
        <v>-</v>
      </c>
      <c r="BX142" s="114">
        <f t="shared" ref="BX142" si="790">M142</f>
        <v>76</v>
      </c>
      <c r="BY142" s="113">
        <f t="shared" ref="BY142" si="791">Q142</f>
        <v>105</v>
      </c>
      <c r="BZ142" s="114">
        <f t="shared" ref="BZ142" si="792">U142</f>
        <v>109</v>
      </c>
      <c r="CA142" s="113" t="str">
        <f t="shared" ref="CA142" si="793">Y142</f>
        <v>-</v>
      </c>
      <c r="CB142" s="114">
        <f t="shared" ref="CB142" si="794">AC142</f>
        <v>152</v>
      </c>
      <c r="CC142" s="113">
        <f t="shared" ref="CC142" si="795">AG142</f>
        <v>190</v>
      </c>
      <c r="CD142" s="114">
        <f t="shared" ref="CD142" si="796">AK142</f>
        <v>195</v>
      </c>
      <c r="CE142" s="113">
        <f t="shared" ref="CE142" si="797">AO142</f>
        <v>241</v>
      </c>
      <c r="CF142" s="114">
        <f t="shared" ref="CF142" si="798">AS142</f>
        <v>279</v>
      </c>
      <c r="CG142" s="113">
        <f t="shared" ref="CG142" si="799">AW142</f>
        <v>310</v>
      </c>
      <c r="CH142" s="111">
        <f t="shared" ref="CH142" si="800">G142</f>
        <v>71</v>
      </c>
      <c r="CI142" s="113" t="str">
        <f t="shared" ref="CI142" si="801">K142</f>
        <v>-</v>
      </c>
      <c r="CJ142" s="114">
        <f t="shared" ref="CJ142" si="802">O142</f>
        <v>102</v>
      </c>
      <c r="CK142" s="114">
        <f t="shared" ref="CK142" si="803">S142</f>
        <v>108</v>
      </c>
      <c r="CL142" s="114">
        <f t="shared" ref="CL142" si="804">W142</f>
        <v>144</v>
      </c>
      <c r="CM142" s="114" t="str">
        <f t="shared" ref="CM142" si="805">AA142</f>
        <v>-</v>
      </c>
      <c r="CN142" s="114">
        <f t="shared" ref="CN142" si="806">AE142</f>
        <v>179</v>
      </c>
      <c r="CO142" s="114">
        <f t="shared" ref="CO142" si="807">AI142</f>
        <v>192</v>
      </c>
      <c r="CP142" s="114">
        <f t="shared" ref="CP142" si="808">AM142</f>
        <v>231</v>
      </c>
      <c r="CQ142" s="114">
        <f t="shared" ref="CQ142" si="809">AQ142</f>
        <v>268</v>
      </c>
      <c r="CR142" s="114">
        <f t="shared" ref="CR142" si="810">AU142</f>
        <v>309</v>
      </c>
      <c r="CS142" s="114">
        <f t="shared" ref="CS142" si="811">AY142</f>
        <v>321</v>
      </c>
      <c r="CT142" s="109" t="e">
        <f t="shared" ref="CT142" si="812">M142-K142</f>
        <v>#VALUE!</v>
      </c>
      <c r="CU142" s="129"/>
      <c r="CV142" s="129"/>
      <c r="CW142" s="129"/>
      <c r="CX142" s="129"/>
      <c r="CY142" s="129"/>
      <c r="CZ142" s="129"/>
      <c r="DA142" s="129"/>
      <c r="DB142" s="129"/>
      <c r="DC142" s="129"/>
      <c r="DD142" s="129"/>
      <c r="DE142" s="129"/>
      <c r="DF142" s="129"/>
      <c r="DG142" s="129"/>
      <c r="DH142" s="129"/>
      <c r="DI142" s="129"/>
      <c r="DJ142" s="129"/>
      <c r="DK142" s="129"/>
      <c r="DL142" s="129"/>
      <c r="DM142" s="129"/>
      <c r="DN142" s="129"/>
      <c r="DO142" s="129"/>
      <c r="DP142" s="129"/>
      <c r="DQ142" s="129"/>
      <c r="DR142" s="129"/>
      <c r="DS142" s="129"/>
      <c r="DT142" s="129"/>
      <c r="DU142" s="129"/>
      <c r="DV142" s="129"/>
      <c r="DW142" s="129"/>
      <c r="DX142" s="129"/>
      <c r="DY142" s="129"/>
      <c r="DZ142" s="129"/>
      <c r="EA142" s="129"/>
      <c r="EB142" s="129"/>
      <c r="EC142" s="129"/>
      <c r="ED142" s="129"/>
      <c r="EE142" s="129"/>
      <c r="EF142" s="129"/>
      <c r="EG142" s="129"/>
      <c r="EH142" s="129"/>
      <c r="EI142" s="129"/>
      <c r="EJ142" s="129"/>
      <c r="EK142" s="129"/>
      <c r="EL142" s="129"/>
      <c r="EM142" s="129"/>
      <c r="EN142" s="129"/>
      <c r="EO142" s="129"/>
      <c r="EP142" s="129"/>
      <c r="EQ142" s="129"/>
      <c r="ER142" s="129"/>
      <c r="ES142" s="129"/>
      <c r="ET142" s="129"/>
      <c r="EU142" s="129"/>
      <c r="EV142" s="129"/>
      <c r="EW142" s="129"/>
      <c r="EX142" s="129"/>
      <c r="EY142" s="129"/>
      <c r="EZ142" s="129"/>
      <c r="FA142" s="129"/>
      <c r="FB142" s="129"/>
      <c r="FC142" s="129"/>
      <c r="FD142" s="129"/>
      <c r="FE142" s="129"/>
      <c r="FF142" s="129"/>
      <c r="FG142" s="129"/>
      <c r="FH142" s="129"/>
      <c r="FI142" s="129"/>
      <c r="FJ142" s="129"/>
      <c r="FK142" s="129"/>
      <c r="FL142" s="129"/>
      <c r="FM142" s="129"/>
      <c r="FN142" s="129"/>
      <c r="FO142" s="129"/>
      <c r="FP142" s="129"/>
      <c r="FQ142" s="129"/>
      <c r="FR142" s="129"/>
      <c r="FS142" s="129"/>
      <c r="FT142" s="129"/>
      <c r="FU142" s="129"/>
      <c r="FV142" s="129"/>
      <c r="FW142" s="129"/>
      <c r="FX142" s="129"/>
      <c r="FY142" s="129"/>
      <c r="FZ142" s="129"/>
      <c r="GA142" s="129"/>
      <c r="GB142" s="129"/>
      <c r="GC142" s="129"/>
      <c r="GD142" s="129"/>
      <c r="GE142" s="129"/>
      <c r="GF142" s="129"/>
      <c r="GG142" s="129"/>
      <c r="GH142" s="129"/>
      <c r="GI142" s="129"/>
      <c r="GJ142" s="129"/>
      <c r="GK142" s="129"/>
      <c r="GL142" s="129"/>
      <c r="GM142" s="129"/>
      <c r="GN142" s="129"/>
      <c r="GO142" s="129"/>
      <c r="GP142" s="129"/>
      <c r="GQ142" s="129"/>
      <c r="GR142" s="129"/>
      <c r="GS142" s="129"/>
      <c r="GT142" s="129"/>
      <c r="GU142" s="129"/>
      <c r="GV142" s="129"/>
      <c r="GW142" s="129"/>
      <c r="GX142" s="129"/>
      <c r="GY142" s="129"/>
      <c r="GZ142" s="129"/>
      <c r="HA142" s="129"/>
      <c r="HB142" s="129"/>
      <c r="HC142" s="129"/>
      <c r="HD142" s="129"/>
      <c r="HE142" s="129"/>
      <c r="HF142" s="129"/>
      <c r="HG142" s="129"/>
      <c r="HH142" s="129"/>
      <c r="HI142" s="129"/>
      <c r="HJ142" s="129"/>
      <c r="HK142" s="129"/>
      <c r="HL142" s="129"/>
      <c r="HM142" s="129"/>
      <c r="HN142" s="129"/>
      <c r="HO142" s="129"/>
      <c r="HP142" s="129"/>
      <c r="HQ142" s="129"/>
      <c r="HR142" s="129"/>
      <c r="HS142" s="129"/>
      <c r="HT142" s="129"/>
      <c r="HU142" s="129"/>
      <c r="HV142" s="129"/>
      <c r="HW142" s="129"/>
      <c r="HX142" s="129"/>
      <c r="HY142" s="129"/>
      <c r="HZ142" s="129"/>
      <c r="IA142" s="129"/>
      <c r="IB142" s="129"/>
      <c r="IC142" s="129"/>
      <c r="ID142" s="129"/>
      <c r="IE142" s="129"/>
      <c r="IF142" s="129"/>
      <c r="IG142" s="129"/>
      <c r="IH142" s="129"/>
      <c r="II142" s="129"/>
      <c r="IJ142" s="129"/>
      <c r="IK142" s="129"/>
      <c r="IL142" s="129"/>
      <c r="IM142" s="129"/>
      <c r="IN142" s="129"/>
      <c r="IO142" s="129"/>
      <c r="IP142" s="129"/>
      <c r="IQ142" s="129"/>
      <c r="IR142" s="129"/>
      <c r="IS142" s="129"/>
      <c r="IT142" s="129"/>
      <c r="IU142" s="129"/>
      <c r="IV142" s="129"/>
      <c r="IW142" s="129"/>
      <c r="IX142" s="129"/>
      <c r="IY142" s="129"/>
      <c r="IZ142" s="129"/>
      <c r="JA142" s="129"/>
      <c r="JB142" s="129"/>
      <c r="JC142" s="129"/>
      <c r="JD142" s="129"/>
      <c r="JE142" s="129"/>
      <c r="JF142" s="129"/>
      <c r="JG142" s="129"/>
      <c r="JH142" s="129"/>
      <c r="JI142" s="129"/>
      <c r="JJ142" s="129"/>
      <c r="JK142" s="129"/>
      <c r="JL142" s="129"/>
      <c r="JM142" s="129"/>
      <c r="JN142" s="129"/>
      <c r="JO142" s="129"/>
      <c r="JP142" s="129"/>
      <c r="JQ142" s="129"/>
      <c r="JR142" s="129"/>
      <c r="JS142" s="129"/>
      <c r="JT142" s="129"/>
      <c r="JU142" s="129"/>
      <c r="JV142" s="129"/>
      <c r="JW142" s="129"/>
      <c r="JX142" s="129"/>
      <c r="JY142" s="129"/>
      <c r="JZ142" s="129"/>
      <c r="KA142" s="129"/>
      <c r="KB142" s="129"/>
      <c r="KC142" s="129"/>
      <c r="KD142" s="129"/>
      <c r="KE142" s="129"/>
      <c r="KF142" s="129"/>
      <c r="KG142" s="129"/>
      <c r="KH142" s="129"/>
      <c r="KI142" s="129"/>
      <c r="KJ142" s="129"/>
      <c r="KK142" s="129"/>
      <c r="KL142" s="129"/>
      <c r="KM142" s="129"/>
      <c r="KN142" s="129"/>
      <c r="KO142" s="129"/>
      <c r="KP142" s="129"/>
      <c r="KQ142" s="129"/>
      <c r="KR142" s="129"/>
      <c r="KS142" s="129"/>
      <c r="KT142" s="129"/>
      <c r="KU142" s="129"/>
      <c r="KV142" s="129"/>
      <c r="KW142" s="129"/>
      <c r="KX142" s="129"/>
      <c r="KY142" s="129"/>
      <c r="KZ142" s="129"/>
      <c r="LA142" s="129"/>
      <c r="LB142" s="129"/>
      <c r="LC142" s="129"/>
      <c r="LD142" s="129"/>
      <c r="LE142" s="129"/>
      <c r="LF142" s="129"/>
      <c r="LG142" s="129"/>
      <c r="LH142" s="129"/>
      <c r="LI142" s="129"/>
      <c r="LJ142" s="129"/>
      <c r="LK142" s="129"/>
      <c r="LL142" s="129"/>
      <c r="LM142" s="129"/>
      <c r="LN142" s="129"/>
      <c r="LO142" s="129"/>
      <c r="LP142" s="129"/>
      <c r="LQ142" s="129"/>
      <c r="LR142" s="129"/>
      <c r="LS142" s="129"/>
      <c r="LT142" s="129"/>
      <c r="LU142" s="129"/>
      <c r="LV142" s="129"/>
      <c r="LW142" s="129"/>
      <c r="LX142" s="129"/>
      <c r="LY142" s="129"/>
      <c r="LZ142" s="129"/>
      <c r="MA142" s="129"/>
      <c r="MB142" s="129"/>
      <c r="MC142" s="129"/>
      <c r="MD142" s="129"/>
      <c r="ME142" s="129"/>
      <c r="MF142" s="129"/>
      <c r="MG142" s="129"/>
      <c r="MH142" s="129"/>
      <c r="MI142" s="129"/>
      <c r="MJ142" s="129"/>
      <c r="MK142" s="129"/>
      <c r="ML142" s="129"/>
      <c r="MM142" s="129"/>
      <c r="MN142" s="129"/>
      <c r="MO142" s="129"/>
      <c r="MP142" s="129"/>
      <c r="MQ142" s="129"/>
      <c r="MR142" s="129"/>
      <c r="MS142" s="129"/>
      <c r="MT142" s="129"/>
      <c r="MU142" s="129"/>
      <c r="MV142" s="129"/>
      <c r="MW142" s="129"/>
      <c r="MX142" s="129"/>
      <c r="MY142" s="129"/>
      <c r="MZ142" s="129"/>
      <c r="NA142" s="129"/>
      <c r="NB142" s="129"/>
      <c r="NC142" s="129"/>
      <c r="ND142" s="129"/>
      <c r="NE142" s="129"/>
      <c r="NF142" s="129"/>
      <c r="NG142" s="129"/>
      <c r="NH142" s="129"/>
      <c r="NI142" s="129"/>
      <c r="NJ142" s="129"/>
      <c r="NK142" s="129"/>
      <c r="NL142" s="129"/>
      <c r="NM142" s="129"/>
      <c r="NN142" s="129"/>
      <c r="NO142" s="129"/>
      <c r="NP142" s="129"/>
      <c r="NQ142" s="129"/>
      <c r="NR142" s="129"/>
      <c r="NS142" s="129"/>
      <c r="NT142" s="129"/>
      <c r="NU142" s="129"/>
      <c r="NV142" s="129"/>
      <c r="NW142" s="129"/>
      <c r="NX142" s="129"/>
      <c r="NY142" s="129"/>
      <c r="NZ142" s="129"/>
      <c r="OA142" s="129"/>
      <c r="OB142" s="129"/>
      <c r="OC142" s="129"/>
      <c r="OD142" s="129"/>
      <c r="OE142" s="129"/>
      <c r="OF142" s="129"/>
      <c r="OG142" s="129"/>
      <c r="OH142" s="129"/>
      <c r="OI142" s="129"/>
      <c r="OJ142" s="129"/>
      <c r="OK142" s="129"/>
      <c r="OL142" s="129"/>
      <c r="OM142" s="129"/>
      <c r="ON142" s="129"/>
      <c r="OO142" s="129"/>
      <c r="OP142" s="129"/>
      <c r="OQ142" s="129"/>
      <c r="OR142" s="129"/>
      <c r="OS142" s="129"/>
      <c r="OT142" s="129"/>
      <c r="OU142" s="129"/>
      <c r="OV142" s="129"/>
      <c r="OW142" s="129"/>
      <c r="OX142" s="129"/>
      <c r="OY142" s="129"/>
      <c r="OZ142" s="129"/>
      <c r="PA142" s="129"/>
      <c r="PB142" s="129"/>
      <c r="PC142" s="129"/>
      <c r="PD142" s="129"/>
      <c r="PE142" s="129"/>
      <c r="PF142" s="129"/>
      <c r="PG142" s="129"/>
      <c r="PH142" s="129"/>
      <c r="PI142" s="129"/>
      <c r="PJ142" s="129"/>
      <c r="PK142" s="129"/>
      <c r="PL142" s="129"/>
      <c r="PM142" s="129"/>
      <c r="PN142" s="129"/>
      <c r="PO142" s="129"/>
      <c r="PP142" s="129"/>
      <c r="PQ142" s="129"/>
      <c r="PR142" s="129"/>
      <c r="PS142" s="129"/>
      <c r="PT142" s="129"/>
      <c r="PU142" s="129"/>
      <c r="PV142" s="129"/>
      <c r="PW142" s="129"/>
      <c r="PX142" s="129"/>
      <c r="PY142" s="129"/>
      <c r="PZ142" s="129"/>
      <c r="QA142" s="129"/>
      <c r="QB142" s="129"/>
      <c r="QC142" s="129"/>
      <c r="QD142" s="129"/>
      <c r="QE142" s="129"/>
      <c r="QF142" s="129"/>
      <c r="QG142" s="129"/>
      <c r="QH142" s="129"/>
      <c r="QI142" s="129"/>
      <c r="QJ142" s="129"/>
      <c r="QK142" s="129"/>
      <c r="QL142" s="129"/>
      <c r="QM142" s="129"/>
      <c r="QN142" s="129"/>
      <c r="QO142" s="129"/>
      <c r="QP142" s="129"/>
      <c r="QQ142" s="129"/>
      <c r="QR142" s="129"/>
      <c r="QS142" s="129"/>
      <c r="QT142" s="129"/>
      <c r="QU142" s="129"/>
      <c r="QV142" s="129"/>
      <c r="QW142" s="129"/>
      <c r="QX142" s="129"/>
      <c r="QY142" s="129"/>
      <c r="QZ142" s="129"/>
      <c r="RA142" s="129"/>
      <c r="RB142" s="129"/>
      <c r="RC142" s="129"/>
      <c r="RD142" s="129"/>
      <c r="RE142" s="129"/>
      <c r="RF142" s="129"/>
      <c r="RG142" s="129"/>
      <c r="RH142" s="129"/>
      <c r="RI142" s="129"/>
      <c r="RJ142" s="129"/>
      <c r="RK142" s="129"/>
      <c r="RL142" s="129"/>
      <c r="RM142" s="129"/>
      <c r="RN142" s="129"/>
      <c r="RO142" s="129"/>
      <c r="RP142" s="129"/>
      <c r="RQ142" s="129"/>
      <c r="RR142" s="129"/>
      <c r="RS142" s="129"/>
      <c r="RT142" s="129"/>
      <c r="RU142" s="129"/>
      <c r="RV142" s="129"/>
      <c r="RW142" s="129"/>
      <c r="RX142" s="129"/>
      <c r="RY142" s="129"/>
      <c r="RZ142" s="129"/>
      <c r="SA142" s="129"/>
      <c r="SB142" s="129"/>
      <c r="SC142" s="129"/>
      <c r="SD142" s="129"/>
      <c r="SE142" s="129"/>
      <c r="SF142" s="129"/>
      <c r="SG142" s="129"/>
      <c r="SH142" s="129"/>
      <c r="SI142" s="129"/>
      <c r="SJ142" s="129"/>
      <c r="SK142" s="129"/>
      <c r="SL142" s="129"/>
      <c r="SM142" s="129"/>
      <c r="SN142" s="129"/>
      <c r="SO142" s="129"/>
      <c r="SP142" s="129"/>
      <c r="SQ142" s="129"/>
      <c r="SR142" s="129"/>
      <c r="SS142" s="129"/>
      <c r="ST142" s="129"/>
      <c r="SU142" s="129"/>
      <c r="SV142" s="129"/>
      <c r="SW142" s="129"/>
      <c r="SX142" s="129"/>
      <c r="SY142" s="129"/>
      <c r="SZ142" s="129"/>
      <c r="TA142" s="129"/>
      <c r="TB142" s="129"/>
      <c r="TC142" s="129"/>
      <c r="TD142" s="129"/>
      <c r="TE142" s="129"/>
      <c r="TF142" s="129"/>
      <c r="TG142" s="129"/>
      <c r="TH142" s="129"/>
      <c r="TI142" s="129"/>
      <c r="TJ142" s="129"/>
      <c r="TK142" s="129"/>
      <c r="TL142" s="129"/>
      <c r="TM142" s="129"/>
      <c r="TN142" s="129"/>
      <c r="TO142" s="129"/>
      <c r="TP142" s="129"/>
      <c r="TQ142" s="129"/>
      <c r="TR142" s="129"/>
      <c r="TS142" s="129"/>
      <c r="TT142" s="129"/>
      <c r="TU142" s="129"/>
      <c r="TV142" s="129"/>
      <c r="TW142" s="129"/>
      <c r="TX142" s="129"/>
      <c r="TY142" s="129"/>
      <c r="TZ142" s="129"/>
      <c r="UA142" s="129"/>
      <c r="UB142" s="129"/>
      <c r="UC142" s="129"/>
      <c r="UD142" s="129"/>
      <c r="UE142" s="129"/>
      <c r="UF142" s="129"/>
      <c r="UG142" s="129"/>
      <c r="UH142" s="129"/>
      <c r="UI142" s="129"/>
      <c r="UJ142" s="129"/>
      <c r="UK142" s="129"/>
      <c r="UL142" s="129"/>
      <c r="UM142" s="129"/>
      <c r="UN142" s="129"/>
      <c r="UO142" s="129"/>
      <c r="UP142" s="129"/>
      <c r="UQ142" s="129"/>
      <c r="UR142" s="129"/>
      <c r="US142" s="129"/>
      <c r="UT142" s="129"/>
      <c r="UU142" s="129"/>
      <c r="UV142" s="129"/>
      <c r="UW142" s="129"/>
      <c r="UX142" s="129"/>
      <c r="UY142" s="129"/>
      <c r="UZ142" s="129"/>
      <c r="VA142" s="129"/>
      <c r="VB142" s="129"/>
      <c r="VC142" s="129"/>
      <c r="VD142" s="129"/>
      <c r="VE142" s="129"/>
      <c r="VF142" s="129"/>
      <c r="VG142" s="129"/>
      <c r="VH142" s="129"/>
      <c r="VI142" s="129"/>
      <c r="VJ142" s="129"/>
      <c r="VK142" s="129"/>
      <c r="VL142" s="129"/>
      <c r="VM142" s="129"/>
      <c r="VN142" s="129"/>
      <c r="VO142" s="129"/>
      <c r="VP142" s="129"/>
      <c r="VQ142" s="129"/>
      <c r="VR142" s="129"/>
      <c r="VS142" s="129"/>
      <c r="VT142" s="129"/>
      <c r="VU142" s="129"/>
      <c r="VV142" s="129"/>
      <c r="VW142" s="129"/>
      <c r="VX142" s="129"/>
      <c r="VY142" s="129"/>
      <c r="VZ142" s="129"/>
      <c r="WA142" s="129"/>
      <c r="WB142" s="129"/>
      <c r="WC142" s="129"/>
      <c r="WD142" s="129"/>
      <c r="WE142" s="129"/>
      <c r="WF142" s="129"/>
      <c r="WG142" s="129"/>
      <c r="WH142" s="129"/>
      <c r="WI142" s="129"/>
      <c r="WJ142" s="129"/>
      <c r="WK142" s="129"/>
      <c r="WL142" s="129"/>
      <c r="WM142" s="129"/>
      <c r="WN142" s="129"/>
      <c r="WO142" s="129"/>
      <c r="WP142" s="129"/>
      <c r="WQ142" s="129"/>
      <c r="WR142" s="129"/>
      <c r="WS142" s="129"/>
      <c r="WT142" s="129"/>
      <c r="WU142" s="129"/>
      <c r="WV142" s="129"/>
      <c r="WW142" s="129"/>
      <c r="WX142" s="129"/>
      <c r="WY142" s="129"/>
      <c r="WZ142" s="129"/>
      <c r="XA142" s="129"/>
      <c r="XB142" s="129"/>
      <c r="XC142" s="129"/>
      <c r="XD142" s="129"/>
      <c r="XE142" s="129"/>
      <c r="XF142" s="129"/>
      <c r="XG142" s="129"/>
      <c r="XH142" s="129"/>
      <c r="XI142" s="129"/>
      <c r="XJ142" s="129"/>
      <c r="XK142" s="129"/>
      <c r="XL142" s="129"/>
      <c r="XM142" s="129"/>
      <c r="XN142" s="129"/>
      <c r="XO142" s="129"/>
      <c r="XP142" s="129"/>
      <c r="XQ142" s="129"/>
      <c r="XR142" s="129"/>
      <c r="XS142" s="129"/>
      <c r="XT142" s="129"/>
      <c r="XU142" s="129"/>
      <c r="XV142" s="129"/>
      <c r="XW142" s="129"/>
      <c r="XX142" s="129"/>
      <c r="XY142" s="129"/>
      <c r="XZ142" s="129"/>
      <c r="YA142" s="129"/>
      <c r="YB142" s="129"/>
      <c r="YC142" s="129"/>
      <c r="YD142" s="129"/>
      <c r="YE142" s="129"/>
      <c r="YF142" s="129"/>
      <c r="YG142" s="129"/>
      <c r="YH142" s="129"/>
      <c r="YI142" s="129"/>
      <c r="YJ142" s="129"/>
      <c r="YK142" s="129"/>
      <c r="YL142" s="129"/>
      <c r="YM142" s="129"/>
      <c r="YN142" s="129"/>
      <c r="YO142" s="129"/>
      <c r="YP142" s="129"/>
      <c r="YQ142" s="129"/>
      <c r="YR142" s="129"/>
      <c r="YS142" s="129"/>
      <c r="YT142" s="129"/>
      <c r="YU142" s="129"/>
      <c r="YV142" s="129"/>
      <c r="YW142" s="129"/>
      <c r="YX142" s="129"/>
      <c r="YY142" s="129"/>
      <c r="YZ142" s="129"/>
      <c r="ZA142" s="129"/>
      <c r="ZB142" s="129"/>
      <c r="ZC142" s="129"/>
      <c r="ZD142" s="129"/>
      <c r="ZE142" s="129"/>
      <c r="ZF142" s="129"/>
      <c r="ZG142" s="129"/>
      <c r="ZH142" s="129"/>
      <c r="ZI142" s="129"/>
      <c r="ZJ142" s="129"/>
      <c r="ZK142" s="129"/>
      <c r="ZL142" s="129"/>
      <c r="ZM142" s="129"/>
      <c r="ZN142" s="129"/>
      <c r="ZO142" s="129"/>
      <c r="ZP142" s="129"/>
      <c r="ZQ142" s="129"/>
      <c r="ZR142" s="129"/>
      <c r="ZS142" s="129"/>
      <c r="ZT142" s="129"/>
      <c r="ZU142" s="129"/>
      <c r="ZV142" s="129"/>
      <c r="ZW142" s="129"/>
      <c r="ZX142" s="129"/>
      <c r="ZY142" s="129"/>
      <c r="ZZ142" s="129"/>
      <c r="AAA142" s="129"/>
      <c r="AAB142" s="129"/>
      <c r="AAC142" s="129"/>
      <c r="AAD142" s="129"/>
      <c r="AAE142" s="129"/>
      <c r="AAF142" s="129"/>
      <c r="AAG142" s="129"/>
      <c r="AAH142" s="129"/>
      <c r="AAI142" s="129"/>
      <c r="AAJ142" s="129"/>
      <c r="AAK142" s="129"/>
      <c r="AAL142" s="129"/>
      <c r="AAM142" s="129"/>
      <c r="AAN142" s="129"/>
      <c r="AAO142" s="129"/>
      <c r="AAP142" s="129"/>
      <c r="AAQ142" s="129"/>
      <c r="AAR142" s="129"/>
      <c r="AAS142" s="129"/>
      <c r="AAT142" s="129"/>
      <c r="AAU142" s="129"/>
      <c r="AAV142" s="129"/>
      <c r="AAW142" s="129"/>
      <c r="AAX142" s="129"/>
      <c r="AAY142" s="129"/>
      <c r="AAZ142" s="129"/>
      <c r="ABA142" s="129"/>
      <c r="ABB142" s="129"/>
      <c r="ABC142" s="129"/>
      <c r="ABD142" s="129"/>
      <c r="ABE142" s="129"/>
      <c r="ABF142" s="129"/>
      <c r="ABG142" s="129"/>
      <c r="ABH142" s="129"/>
      <c r="ABI142" s="129"/>
      <c r="ABJ142" s="129"/>
      <c r="ABK142" s="129"/>
      <c r="ABL142" s="129"/>
      <c r="ABM142" s="129"/>
      <c r="ABN142" s="129"/>
      <c r="ABO142" s="129"/>
      <c r="ABP142" s="129"/>
      <c r="ABQ142" s="129"/>
      <c r="ABR142" s="129"/>
      <c r="ABS142" s="129"/>
      <c r="ABT142" s="129"/>
      <c r="ABU142" s="129"/>
      <c r="ABV142" s="129"/>
      <c r="ABW142" s="129"/>
      <c r="ABX142" s="129"/>
      <c r="ABY142" s="129"/>
      <c r="ABZ142" s="129"/>
      <c r="ACA142" s="129"/>
      <c r="ACB142" s="129"/>
      <c r="ACC142" s="129"/>
      <c r="ACD142" s="129"/>
      <c r="ACE142" s="129"/>
      <c r="ACF142" s="129"/>
      <c r="ACG142" s="129"/>
      <c r="ACH142" s="129"/>
      <c r="ACI142" s="129"/>
      <c r="ACJ142" s="129"/>
      <c r="ACK142" s="129"/>
      <c r="ACL142" s="129"/>
      <c r="ACM142" s="129"/>
      <c r="ACN142" s="129"/>
      <c r="ACO142" s="129"/>
      <c r="ACP142" s="129"/>
      <c r="ACQ142" s="129"/>
      <c r="ACR142" s="129"/>
      <c r="ACS142" s="129"/>
      <c r="ACT142" s="129"/>
      <c r="ACU142" s="129"/>
      <c r="ACV142" s="129"/>
      <c r="ACW142" s="129"/>
      <c r="ACX142" s="129"/>
      <c r="ACY142" s="129"/>
      <c r="ACZ142" s="129"/>
      <c r="ADA142" s="129"/>
      <c r="ADB142" s="129"/>
      <c r="ADC142" s="129"/>
      <c r="ADD142" s="129"/>
      <c r="ADE142" s="129"/>
      <c r="ADF142" s="129"/>
      <c r="ADG142" s="129"/>
      <c r="ADH142" s="129"/>
      <c r="ADI142" s="129"/>
      <c r="ADJ142" s="129"/>
      <c r="ADK142" s="129"/>
      <c r="ADL142" s="129"/>
      <c r="ADM142" s="129"/>
      <c r="ADN142" s="129"/>
      <c r="ADO142" s="129"/>
      <c r="ADP142" s="129"/>
      <c r="ADQ142" s="129"/>
      <c r="ADR142" s="129"/>
      <c r="ADS142" s="129"/>
      <c r="ADT142" s="129"/>
      <c r="ADU142" s="129"/>
      <c r="ADV142" s="129"/>
      <c r="ADW142" s="129"/>
      <c r="ADX142" s="129"/>
      <c r="ADY142" s="129"/>
      <c r="ADZ142" s="129"/>
      <c r="AEA142" s="129"/>
      <c r="AEB142" s="129"/>
      <c r="AEC142" s="129"/>
      <c r="AED142" s="129"/>
      <c r="AEE142" s="129"/>
      <c r="AEF142" s="129"/>
      <c r="AEG142" s="129"/>
      <c r="AEH142" s="129"/>
      <c r="AEI142" s="129"/>
      <c r="AEJ142" s="129"/>
      <c r="AEK142" s="129"/>
      <c r="AEL142" s="129"/>
      <c r="AEM142" s="129"/>
      <c r="AEN142" s="129"/>
      <c r="AEO142" s="129"/>
      <c r="AEP142" s="129"/>
      <c r="AEQ142" s="129"/>
      <c r="AER142" s="129"/>
      <c r="AES142" s="129"/>
      <c r="AET142" s="129"/>
      <c r="AEU142" s="129"/>
      <c r="AEV142" s="129"/>
      <c r="AEW142" s="129"/>
      <c r="AEX142" s="129"/>
      <c r="AEY142" s="129"/>
      <c r="AEZ142" s="129"/>
      <c r="AFA142" s="129"/>
      <c r="AFB142" s="129"/>
      <c r="AFC142" s="129"/>
      <c r="AFD142" s="129"/>
      <c r="AFE142" s="129"/>
      <c r="AFF142" s="129"/>
      <c r="AFG142" s="129"/>
      <c r="AFH142" s="129"/>
      <c r="AFI142" s="129"/>
      <c r="AFJ142" s="129"/>
      <c r="AFK142" s="129"/>
      <c r="AFL142" s="129"/>
      <c r="AFM142" s="129"/>
      <c r="AFN142" s="129"/>
      <c r="AFO142" s="129"/>
      <c r="AFP142" s="129"/>
      <c r="AFQ142" s="129"/>
      <c r="AFR142" s="129"/>
      <c r="AFS142" s="129"/>
      <c r="AFT142" s="129"/>
      <c r="AFU142" s="129"/>
      <c r="AFV142" s="129"/>
      <c r="AFW142" s="129"/>
      <c r="AFX142" s="129"/>
      <c r="AFY142" s="129"/>
      <c r="AFZ142" s="129"/>
      <c r="AGA142" s="129"/>
      <c r="AGB142" s="129"/>
      <c r="AGC142" s="129"/>
      <c r="AGD142" s="129"/>
      <c r="AGE142" s="129"/>
      <c r="AGF142" s="129"/>
      <c r="AGG142" s="129"/>
      <c r="AGH142" s="129"/>
      <c r="AGI142" s="129"/>
      <c r="AGJ142" s="129"/>
      <c r="AGK142" s="129"/>
      <c r="AGL142" s="129"/>
      <c r="AGM142" s="129"/>
      <c r="AGN142" s="129"/>
      <c r="AGO142" s="129"/>
      <c r="AGP142" s="129"/>
      <c r="AGQ142" s="129"/>
      <c r="AGR142" s="129"/>
      <c r="AGS142" s="129"/>
      <c r="AGT142" s="129"/>
      <c r="AGU142" s="129"/>
      <c r="AGV142" s="129"/>
      <c r="AGW142" s="129"/>
      <c r="AGX142" s="129"/>
      <c r="AGY142" s="129"/>
      <c r="AGZ142" s="129"/>
      <c r="AHA142" s="129"/>
      <c r="AHB142" s="129"/>
      <c r="AHC142" s="129"/>
      <c r="AHD142" s="129"/>
      <c r="AHE142" s="129"/>
      <c r="AHF142" s="129"/>
      <c r="AHG142" s="129"/>
      <c r="AHH142" s="129"/>
      <c r="AHI142" s="129"/>
      <c r="AHJ142" s="129"/>
      <c r="AHK142" s="129"/>
      <c r="AHL142" s="129"/>
      <c r="AHM142" s="129"/>
      <c r="AHN142" s="129"/>
      <c r="AHO142" s="129"/>
      <c r="AHP142" s="129"/>
      <c r="AHQ142" s="129"/>
      <c r="AHR142" s="129"/>
      <c r="AHS142" s="129"/>
      <c r="AHT142" s="129"/>
      <c r="AHU142" s="129"/>
      <c r="AHV142" s="129"/>
      <c r="AHW142" s="129"/>
      <c r="AHX142" s="129"/>
      <c r="AHY142" s="129"/>
      <c r="AHZ142" s="129"/>
      <c r="AIA142" s="129"/>
      <c r="AIB142" s="129"/>
      <c r="AIC142" s="129"/>
      <c r="AID142" s="129"/>
      <c r="AIE142" s="129"/>
      <c r="AIF142" s="129"/>
      <c r="AIG142" s="129"/>
      <c r="AIH142" s="129"/>
      <c r="AII142" s="129"/>
      <c r="AIJ142" s="129"/>
      <c r="AIK142" s="129"/>
      <c r="AIL142" s="129"/>
      <c r="AIM142" s="129"/>
      <c r="AIN142" s="129"/>
      <c r="AIO142" s="129"/>
      <c r="AIP142" s="129"/>
      <c r="AIQ142" s="129"/>
      <c r="AIR142" s="129"/>
      <c r="AIS142" s="129"/>
      <c r="AIT142" s="129"/>
      <c r="AIU142" s="129"/>
      <c r="AIV142" s="129"/>
      <c r="AIW142" s="129"/>
      <c r="AIX142" s="129"/>
      <c r="AIY142" s="129"/>
      <c r="AIZ142" s="129"/>
      <c r="AJA142" s="129"/>
      <c r="AJB142" s="129"/>
      <c r="AJC142" s="129"/>
      <c r="AJD142" s="129"/>
      <c r="AJE142" s="129"/>
      <c r="AJF142" s="129"/>
      <c r="AJG142" s="129"/>
      <c r="AJH142" s="129"/>
      <c r="AJI142" s="129"/>
      <c r="AJJ142" s="129"/>
      <c r="AJK142" s="129"/>
      <c r="AJL142" s="129"/>
      <c r="AJM142" s="129"/>
      <c r="AJN142" s="129"/>
      <c r="AJO142" s="129"/>
      <c r="AJP142" s="129"/>
      <c r="AJQ142" s="129"/>
      <c r="AJR142" s="129"/>
      <c r="AJS142" s="129"/>
      <c r="AJT142" s="129"/>
      <c r="AJU142" s="129"/>
      <c r="AJV142" s="129"/>
      <c r="AJW142" s="129"/>
      <c r="AJX142" s="129"/>
      <c r="AJY142" s="129"/>
      <c r="AJZ142" s="129"/>
      <c r="AKA142" s="129"/>
      <c r="AKB142" s="129"/>
      <c r="AKC142" s="129"/>
      <c r="AKD142" s="129"/>
      <c r="AKE142" s="129"/>
      <c r="AKF142" s="129"/>
      <c r="AKG142" s="129"/>
      <c r="AKH142" s="129"/>
      <c r="AKI142" s="129"/>
      <c r="AKJ142" s="129"/>
      <c r="AKK142" s="129"/>
      <c r="AKL142" s="129"/>
      <c r="AKM142" s="129"/>
      <c r="AKN142" s="129"/>
      <c r="AKO142" s="129"/>
      <c r="AKP142" s="129"/>
      <c r="AKQ142" s="129"/>
      <c r="AKR142" s="129"/>
      <c r="AKS142" s="129"/>
      <c r="AKT142" s="129"/>
      <c r="AKU142" s="129"/>
      <c r="AKV142" s="129"/>
      <c r="AKW142" s="129"/>
      <c r="AKX142" s="129"/>
      <c r="AKY142" s="129"/>
      <c r="AKZ142" s="129"/>
      <c r="ALA142" s="129"/>
      <c r="ALB142" s="129"/>
      <c r="ALC142" s="129"/>
      <c r="ALD142" s="129"/>
      <c r="ALE142" s="129"/>
      <c r="ALF142" s="129"/>
      <c r="ALG142" s="129"/>
      <c r="ALH142" s="129"/>
      <c r="ALI142" s="129"/>
      <c r="ALJ142" s="129"/>
      <c r="ALK142" s="129"/>
      <c r="ALL142" s="129"/>
      <c r="ALM142" s="129"/>
      <c r="ALN142" s="129"/>
      <c r="ALO142" s="129"/>
      <c r="ALP142" s="129"/>
      <c r="ALQ142" s="129"/>
      <c r="ALR142" s="129"/>
      <c r="ALS142" s="129"/>
      <c r="ALT142" s="129"/>
      <c r="ALU142" s="129"/>
      <c r="ALV142" s="129"/>
      <c r="ALW142" s="129"/>
      <c r="ALX142" s="129"/>
      <c r="ALY142" s="129"/>
      <c r="ALZ142" s="129"/>
      <c r="AMA142" s="129"/>
      <c r="AMB142" s="129"/>
      <c r="AMC142" s="129"/>
      <c r="AMD142" s="129"/>
      <c r="AME142" s="129"/>
      <c r="AMF142" s="129"/>
      <c r="AMG142" s="129"/>
      <c r="AMH142" s="129"/>
      <c r="AMI142" s="129"/>
      <c r="AMJ142" s="129"/>
      <c r="AMK142" s="129"/>
      <c r="AML142" s="129"/>
      <c r="AMM142" s="129"/>
      <c r="AMN142" s="129"/>
      <c r="AMO142" s="129"/>
      <c r="AMP142" s="129"/>
    </row>
    <row r="143" spans="1:1030" s="12" customFormat="1" x14ac:dyDescent="0.2">
      <c r="A143" s="9" t="str">
        <f t="shared" ref="A143" si="813">CONCATENATE(B143,"_",C143)</f>
        <v>ccr2_human_6GPX</v>
      </c>
      <c r="B143" s="9" t="s">
        <v>170</v>
      </c>
      <c r="C143" s="9" t="s">
        <v>1570</v>
      </c>
      <c r="D143" s="9" t="str">
        <f>IFERROR(MID(VLOOKUP($B143,Seqs!$A:$B,2,0),E143,1),"")</f>
        <v>F</v>
      </c>
      <c r="E143" s="9">
        <v>35</v>
      </c>
      <c r="F143" s="9" t="str">
        <f>IFERROR(MID(VLOOKUP($B143,Seqs!$A:$B,2,0),G143,1),"")</f>
        <v>K</v>
      </c>
      <c r="G143" s="9">
        <v>71</v>
      </c>
      <c r="H143" s="9" t="str">
        <f>IFERROR(MID(VLOOKUP($B143,Seqs!$A:$B,2,0),I143,1),"")</f>
        <v/>
      </c>
      <c r="I143" s="109" t="s">
        <v>23</v>
      </c>
      <c r="J143" s="9" t="str">
        <f>IFERROR(MID(VLOOKUP($B143,Seqs!$A:$B,2,0),K143,1),"")</f>
        <v/>
      </c>
      <c r="K143" s="109" t="s">
        <v>23</v>
      </c>
      <c r="L143" s="9" t="str">
        <f>IFERROR(MID(VLOOKUP($B143,Seqs!$A:$B,2,0),M143,1),"")</f>
        <v>C</v>
      </c>
      <c r="M143" s="9">
        <v>75</v>
      </c>
      <c r="N143" s="9" t="str">
        <f>IFERROR(MID(VLOOKUP($B143,Seqs!$A:$B,2,0),O143,1),"")</f>
        <v>A</v>
      </c>
      <c r="O143" s="9">
        <v>102</v>
      </c>
      <c r="P143" s="9" t="str">
        <f>IFERROR(MID(VLOOKUP($B143,Seqs!$A:$B,2,0),Q143,1),"")</f>
        <v>E</v>
      </c>
      <c r="Q143" s="9">
        <v>105</v>
      </c>
      <c r="R143" s="9" t="str">
        <f>IFERROR(MID(VLOOKUP($B143,Seqs!$A:$B,2,0),S143,1),"")</f>
        <v>F</v>
      </c>
      <c r="S143" s="9">
        <v>108</v>
      </c>
      <c r="T143" s="9" t="str">
        <f>IFERROR(MID(VLOOKUP($B143,Seqs!$A:$B,2,0),U143,1),"")</f>
        <v>G</v>
      </c>
      <c r="U143" s="9">
        <v>109</v>
      </c>
      <c r="V143" s="9" t="str">
        <f>IFERROR(MID(VLOOKUP($B143,Seqs!$A:$B,2,0),W143,1),"")</f>
        <v>H</v>
      </c>
      <c r="W143" s="9">
        <v>144</v>
      </c>
      <c r="X143" s="9" t="str">
        <f>IFERROR(MID(VLOOKUP($B143,Seqs!$A:$B,2,0),Y143,1),"")</f>
        <v/>
      </c>
      <c r="Y143" s="9" t="s">
        <v>23</v>
      </c>
      <c r="Z143" s="9" t="str">
        <f>IFERROR(MID(VLOOKUP($B143,Seqs!$A:$B,2,0),AA143,1),"")</f>
        <v/>
      </c>
      <c r="AA143" s="9" t="s">
        <v>23</v>
      </c>
      <c r="AB143" s="9" t="str">
        <f>IFERROR(MID(VLOOKUP($B143,Seqs!$A:$B,2,0),AC143,1),"")</f>
        <v>R</v>
      </c>
      <c r="AC143" s="9">
        <v>152</v>
      </c>
      <c r="AD143" s="9" t="str">
        <f>IFERROR(MID(VLOOKUP($B143,Seqs!$A:$B,2,0),AE143,1),"")</f>
        <v>T</v>
      </c>
      <c r="AE143" s="9">
        <v>179</v>
      </c>
      <c r="AF143" s="9" t="str">
        <f>IFERROR(MID(VLOOKUP($B143,Seqs!$A:$B,2,0),AG143,1),"")</f>
        <v>C</v>
      </c>
      <c r="AG143" s="9">
        <v>190</v>
      </c>
      <c r="AH143" s="9" t="str">
        <f>IFERROR(MID(VLOOKUP($B143,Seqs!$A:$B,2,0),AI143,1),"")</f>
        <v>P</v>
      </c>
      <c r="AI143" s="9">
        <v>192</v>
      </c>
      <c r="AJ143" s="9" t="str">
        <f>IFERROR(MID(VLOOKUP($B143,Seqs!$A:$B,2,0),AK143,1),"")</f>
        <v>P</v>
      </c>
      <c r="AK143" s="9">
        <v>195</v>
      </c>
      <c r="AL143" s="9" t="str">
        <f>IFERROR(MID(VLOOKUP($B143,Seqs!$A:$B,2,0),AM143,1),"")</f>
        <v>L</v>
      </c>
      <c r="AM143" s="9">
        <v>229</v>
      </c>
      <c r="AN143" s="9" t="str">
        <f>IFERROR(MID(VLOOKUP($B143,Seqs!$A:$B,2,0),AO143,1),"")</f>
        <v>A</v>
      </c>
      <c r="AO143" s="9">
        <v>241</v>
      </c>
      <c r="AP143" s="9" t="str">
        <f>IFERROR(MID(VLOOKUP($B143,Seqs!$A:$B,2,0),AQ143,1),"")</f>
        <v>F</v>
      </c>
      <c r="AQ143" s="9">
        <v>268</v>
      </c>
      <c r="AR143" s="9" t="str">
        <f>IFERROR(MID(VLOOKUP($B143,Seqs!$A:$B,2,0),AS143,1),"")</f>
        <v>N</v>
      </c>
      <c r="AS143" s="9">
        <v>276</v>
      </c>
      <c r="AT143" s="9" t="str">
        <f>IFERROR(MID(VLOOKUP($B143,Seqs!$A:$B,2,0),AU143,1),"")</f>
        <v>V</v>
      </c>
      <c r="AU143" s="9">
        <v>308</v>
      </c>
      <c r="AV143" s="9" t="str">
        <f>IFERROR(MID(VLOOKUP($B143,Seqs!$A:$B,2,0),AW143,1),"")</f>
        <v/>
      </c>
      <c r="AW143" s="9" t="s">
        <v>23</v>
      </c>
      <c r="AX143" s="9" t="str">
        <f>IFERROR(MID(VLOOKUP($B143,Seqs!$A:$B,2,0),AY143,1),"")</f>
        <v/>
      </c>
      <c r="AY143" s="9" t="s">
        <v>23</v>
      </c>
      <c r="AZ143" s="110" t="str">
        <f>VLOOKUP(B143,Classification!A:D,2,0)</f>
        <v>A</v>
      </c>
      <c r="BA143" s="98" t="str">
        <f>VLOOKUP(B143,Classification!A:D,4,0)</f>
        <v>Chemokine</v>
      </c>
      <c r="BB143" s="36" t="b">
        <f t="shared" ref="BB143" si="814">AND(E143&lt;G143,OR(G143&lt;I143,I143="-"),OR(I143&lt;K143,I143="-"),OR(K143&lt;M143,K143="-"),M143&lt;O143,OR(O143&lt;Q143,Q143="-"),OR(Q143&lt;S143,Q143="-"),OR(S143&lt;U143,S143="-"),U143&lt;W143,OR(W143&lt;Y143,Y143="-"),OR(Y143&lt;AA143,Y143="-"),OR(AA143&lt;AC143,AA143="-"),AC143&lt;AE143,OR(AE143&lt;AG143,AG143="-"),OR(AG143&lt;AI143,AG143="-"),OR(AI143&lt;AK143,AI143="-"),AK143&lt;AM143,AM143&lt;AO143,AO143&lt;AQ143,AQ143&lt;AS143,AS143&lt;AU143,OR(AU143&lt;AW143,AW143="-"),OR(AW143&lt;AY143,AW143="-"))</f>
        <v>1</v>
      </c>
      <c r="BC143" s="109">
        <f t="shared" ref="BC143" si="815">_xlfn.AGGREGATE(9,6,CH143:CS143)-_xlfn.AGGREGATE(9,6,BV143:CG143)+12</f>
        <v>235</v>
      </c>
      <c r="BD143" s="127" t="s">
        <v>23</v>
      </c>
      <c r="BE143" s="9" t="s">
        <v>1380</v>
      </c>
      <c r="BF143" s="120">
        <v>2.7</v>
      </c>
      <c r="BG143" s="51" t="s">
        <v>1</v>
      </c>
      <c r="BH143" s="51" t="s">
        <v>1</v>
      </c>
      <c r="BJ143" s="111" t="s">
        <v>1293</v>
      </c>
      <c r="BK143" s="112" t="s">
        <v>1293</v>
      </c>
      <c r="BL143" s="112" t="s">
        <v>1293</v>
      </c>
      <c r="BM143" s="112" t="s">
        <v>1293</v>
      </c>
      <c r="BN143" s="112" t="s">
        <v>1293</v>
      </c>
      <c r="BO143" s="112" t="s">
        <v>1293</v>
      </c>
      <c r="BP143" s="112" t="s">
        <v>1293</v>
      </c>
      <c r="BQ143" s="112" t="s">
        <v>1293</v>
      </c>
      <c r="BR143" s="112" t="s">
        <v>1293</v>
      </c>
      <c r="BS143" s="112" t="s">
        <v>1293</v>
      </c>
      <c r="BT143" s="112" t="s">
        <v>1293</v>
      </c>
      <c r="BU143" s="112" t="s">
        <v>1293</v>
      </c>
      <c r="BV143" s="111">
        <f t="shared" ref="BV143" si="816">E143</f>
        <v>35</v>
      </c>
      <c r="BW143" s="113" t="str">
        <f t="shared" ref="BW143" si="817">I143</f>
        <v>-</v>
      </c>
      <c r="BX143" s="114">
        <f t="shared" ref="BX143" si="818">M143</f>
        <v>75</v>
      </c>
      <c r="BY143" s="113">
        <f t="shared" ref="BY143" si="819">Q143</f>
        <v>105</v>
      </c>
      <c r="BZ143" s="114">
        <f t="shared" ref="BZ143" si="820">U143</f>
        <v>109</v>
      </c>
      <c r="CA143" s="113" t="str">
        <f t="shared" ref="CA143" si="821">Y143</f>
        <v>-</v>
      </c>
      <c r="CB143" s="114">
        <f t="shared" ref="CB143" si="822">AC143</f>
        <v>152</v>
      </c>
      <c r="CC143" s="113">
        <f t="shared" ref="CC143" si="823">AG143</f>
        <v>190</v>
      </c>
      <c r="CD143" s="114">
        <f t="shared" ref="CD143" si="824">AK143</f>
        <v>195</v>
      </c>
      <c r="CE143" s="113">
        <f t="shared" ref="CE143" si="825">AO143</f>
        <v>241</v>
      </c>
      <c r="CF143" s="114">
        <f t="shared" ref="CF143" si="826">AS143</f>
        <v>276</v>
      </c>
      <c r="CG143" s="113" t="str">
        <f t="shared" ref="CG143" si="827">AW143</f>
        <v>-</v>
      </c>
      <c r="CH143" s="111">
        <f t="shared" ref="CH143" si="828">G143</f>
        <v>71</v>
      </c>
      <c r="CI143" s="113" t="str">
        <f t="shared" ref="CI143" si="829">K143</f>
        <v>-</v>
      </c>
      <c r="CJ143" s="114">
        <f t="shared" ref="CJ143" si="830">O143</f>
        <v>102</v>
      </c>
      <c r="CK143" s="114">
        <f t="shared" ref="CK143" si="831">S143</f>
        <v>108</v>
      </c>
      <c r="CL143" s="114">
        <f t="shared" ref="CL143" si="832">W143</f>
        <v>144</v>
      </c>
      <c r="CM143" s="114" t="str">
        <f t="shared" ref="CM143" si="833">AA143</f>
        <v>-</v>
      </c>
      <c r="CN143" s="114">
        <f t="shared" ref="CN143" si="834">AE143</f>
        <v>179</v>
      </c>
      <c r="CO143" s="114">
        <f t="shared" ref="CO143" si="835">AI143</f>
        <v>192</v>
      </c>
      <c r="CP143" s="114">
        <f t="shared" ref="CP143" si="836">AM143</f>
        <v>229</v>
      </c>
      <c r="CQ143" s="114">
        <f t="shared" ref="CQ143" si="837">AQ143</f>
        <v>268</v>
      </c>
      <c r="CR143" s="114">
        <f t="shared" ref="CR143" si="838">AU143</f>
        <v>308</v>
      </c>
      <c r="CS143" s="114" t="str">
        <f t="shared" ref="CS143" si="839">AY143</f>
        <v>-</v>
      </c>
      <c r="CT143" s="109" t="e">
        <f t="shared" ref="CT143" si="840">M143-K143</f>
        <v>#VALUE!</v>
      </c>
      <c r="CU143" s="129"/>
      <c r="CV143" s="129"/>
      <c r="CW143" s="129"/>
      <c r="CX143" s="129"/>
      <c r="CY143" s="129"/>
      <c r="CZ143" s="129"/>
      <c r="DA143" s="129"/>
      <c r="DB143" s="129"/>
      <c r="DC143" s="129"/>
      <c r="DD143" s="129"/>
      <c r="DE143" s="129"/>
      <c r="DF143" s="129"/>
      <c r="DG143" s="129"/>
      <c r="DH143" s="129"/>
      <c r="DI143" s="129"/>
      <c r="DJ143" s="129"/>
      <c r="DK143" s="129"/>
      <c r="DL143" s="129"/>
      <c r="DM143" s="129"/>
      <c r="DN143" s="129"/>
      <c r="DO143" s="129"/>
      <c r="DP143" s="129"/>
      <c r="DQ143" s="129"/>
      <c r="DR143" s="129"/>
      <c r="DS143" s="129"/>
      <c r="DT143" s="129"/>
      <c r="DU143" s="129"/>
      <c r="DV143" s="129"/>
      <c r="DW143" s="129"/>
      <c r="DX143" s="129"/>
      <c r="DY143" s="129"/>
      <c r="DZ143" s="129"/>
      <c r="EA143" s="129"/>
      <c r="EB143" s="129"/>
      <c r="EC143" s="129"/>
      <c r="ED143" s="129"/>
      <c r="EE143" s="129"/>
      <c r="EF143" s="129"/>
      <c r="EG143" s="129"/>
      <c r="EH143" s="129"/>
      <c r="EI143" s="129"/>
      <c r="EJ143" s="129"/>
      <c r="EK143" s="129"/>
      <c r="EL143" s="129"/>
      <c r="EM143" s="129"/>
      <c r="EN143" s="129"/>
      <c r="EO143" s="129"/>
      <c r="EP143" s="129"/>
      <c r="EQ143" s="129"/>
      <c r="ER143" s="129"/>
      <c r="ES143" s="129"/>
      <c r="ET143" s="129"/>
      <c r="EU143" s="129"/>
      <c r="EV143" s="129"/>
      <c r="EW143" s="129"/>
      <c r="EX143" s="129"/>
      <c r="EY143" s="129"/>
      <c r="EZ143" s="129"/>
      <c r="FA143" s="129"/>
      <c r="FB143" s="129"/>
      <c r="FC143" s="129"/>
      <c r="FD143" s="129"/>
      <c r="FE143" s="129"/>
      <c r="FF143" s="129"/>
      <c r="FG143" s="129"/>
      <c r="FH143" s="129"/>
      <c r="FI143" s="129"/>
      <c r="FJ143" s="129"/>
      <c r="FK143" s="129"/>
      <c r="FL143" s="129"/>
      <c r="FM143" s="129"/>
      <c r="FN143" s="129"/>
      <c r="FO143" s="129"/>
      <c r="FP143" s="129"/>
      <c r="FQ143" s="129"/>
      <c r="FR143" s="129"/>
      <c r="FS143" s="129"/>
      <c r="FT143" s="129"/>
      <c r="FU143" s="129"/>
      <c r="FV143" s="129"/>
      <c r="FW143" s="129"/>
      <c r="FX143" s="129"/>
      <c r="FY143" s="129"/>
      <c r="FZ143" s="129"/>
      <c r="GA143" s="129"/>
      <c r="GB143" s="129"/>
      <c r="GC143" s="129"/>
      <c r="GD143" s="129"/>
      <c r="GE143" s="129"/>
      <c r="GF143" s="129"/>
      <c r="GG143" s="129"/>
      <c r="GH143" s="129"/>
      <c r="GI143" s="129"/>
      <c r="GJ143" s="129"/>
      <c r="GK143" s="129"/>
      <c r="GL143" s="129"/>
      <c r="GM143" s="129"/>
      <c r="GN143" s="129"/>
      <c r="GO143" s="129"/>
      <c r="GP143" s="129"/>
      <c r="GQ143" s="129"/>
      <c r="GR143" s="129"/>
      <c r="GS143" s="129"/>
      <c r="GT143" s="129"/>
      <c r="GU143" s="129"/>
      <c r="GV143" s="129"/>
      <c r="GW143" s="129"/>
      <c r="GX143" s="129"/>
      <c r="GY143" s="129"/>
      <c r="GZ143" s="129"/>
      <c r="HA143" s="129"/>
      <c r="HB143" s="129"/>
      <c r="HC143" s="129"/>
      <c r="HD143" s="129"/>
      <c r="HE143" s="129"/>
      <c r="HF143" s="129"/>
      <c r="HG143" s="129"/>
      <c r="HH143" s="129"/>
      <c r="HI143" s="129"/>
      <c r="HJ143" s="129"/>
      <c r="HK143" s="129"/>
      <c r="HL143" s="129"/>
      <c r="HM143" s="129"/>
      <c r="HN143" s="129"/>
      <c r="HO143" s="129"/>
      <c r="HP143" s="129"/>
      <c r="HQ143" s="129"/>
      <c r="HR143" s="129"/>
      <c r="HS143" s="129"/>
      <c r="HT143" s="129"/>
      <c r="HU143" s="129"/>
      <c r="HV143" s="129"/>
      <c r="HW143" s="129"/>
      <c r="HX143" s="129"/>
      <c r="HY143" s="129"/>
      <c r="HZ143" s="129"/>
      <c r="IA143" s="129"/>
      <c r="IB143" s="129"/>
      <c r="IC143" s="129"/>
      <c r="ID143" s="129"/>
      <c r="IE143" s="129"/>
      <c r="IF143" s="129"/>
      <c r="IG143" s="129"/>
      <c r="IH143" s="129"/>
      <c r="II143" s="129"/>
      <c r="IJ143" s="129"/>
      <c r="IK143" s="129"/>
      <c r="IL143" s="129"/>
      <c r="IM143" s="129"/>
      <c r="IN143" s="129"/>
      <c r="IO143" s="129"/>
      <c r="IP143" s="129"/>
      <c r="IQ143" s="129"/>
      <c r="IR143" s="129"/>
      <c r="IS143" s="129"/>
      <c r="IT143" s="129"/>
      <c r="IU143" s="129"/>
      <c r="IV143" s="129"/>
      <c r="IW143" s="129"/>
      <c r="IX143" s="129"/>
      <c r="IY143" s="129"/>
      <c r="IZ143" s="129"/>
      <c r="JA143" s="129"/>
      <c r="JB143" s="129"/>
      <c r="JC143" s="129"/>
      <c r="JD143" s="129"/>
      <c r="JE143" s="129"/>
      <c r="JF143" s="129"/>
      <c r="JG143" s="129"/>
      <c r="JH143" s="129"/>
      <c r="JI143" s="129"/>
      <c r="JJ143" s="129"/>
      <c r="JK143" s="129"/>
      <c r="JL143" s="129"/>
      <c r="JM143" s="129"/>
      <c r="JN143" s="129"/>
      <c r="JO143" s="129"/>
      <c r="JP143" s="129"/>
      <c r="JQ143" s="129"/>
      <c r="JR143" s="129"/>
      <c r="JS143" s="129"/>
      <c r="JT143" s="129"/>
      <c r="JU143" s="129"/>
      <c r="JV143" s="129"/>
      <c r="JW143" s="129"/>
      <c r="JX143" s="129"/>
      <c r="JY143" s="129"/>
      <c r="JZ143" s="129"/>
      <c r="KA143" s="129"/>
      <c r="KB143" s="129"/>
      <c r="KC143" s="129"/>
      <c r="KD143" s="129"/>
      <c r="KE143" s="129"/>
      <c r="KF143" s="129"/>
      <c r="KG143" s="129"/>
      <c r="KH143" s="129"/>
      <c r="KI143" s="129"/>
      <c r="KJ143" s="129"/>
      <c r="KK143" s="129"/>
      <c r="KL143" s="129"/>
      <c r="KM143" s="129"/>
      <c r="KN143" s="129"/>
      <c r="KO143" s="129"/>
      <c r="KP143" s="129"/>
      <c r="KQ143" s="129"/>
      <c r="KR143" s="129"/>
      <c r="KS143" s="129"/>
      <c r="KT143" s="129"/>
      <c r="KU143" s="129"/>
      <c r="KV143" s="129"/>
      <c r="KW143" s="129"/>
      <c r="KX143" s="129"/>
      <c r="KY143" s="129"/>
      <c r="KZ143" s="129"/>
      <c r="LA143" s="129"/>
      <c r="LB143" s="129"/>
      <c r="LC143" s="129"/>
      <c r="LD143" s="129"/>
      <c r="LE143" s="129"/>
      <c r="LF143" s="129"/>
      <c r="LG143" s="129"/>
      <c r="LH143" s="129"/>
      <c r="LI143" s="129"/>
      <c r="LJ143" s="129"/>
      <c r="LK143" s="129"/>
      <c r="LL143" s="129"/>
      <c r="LM143" s="129"/>
      <c r="LN143" s="129"/>
      <c r="LO143" s="129"/>
      <c r="LP143" s="129"/>
      <c r="LQ143" s="129"/>
      <c r="LR143" s="129"/>
      <c r="LS143" s="129"/>
      <c r="LT143" s="129"/>
      <c r="LU143" s="129"/>
      <c r="LV143" s="129"/>
      <c r="LW143" s="129"/>
      <c r="LX143" s="129"/>
      <c r="LY143" s="129"/>
      <c r="LZ143" s="129"/>
      <c r="MA143" s="129"/>
      <c r="MB143" s="129"/>
      <c r="MC143" s="129"/>
      <c r="MD143" s="129"/>
      <c r="ME143" s="129"/>
      <c r="MF143" s="129"/>
      <c r="MG143" s="129"/>
      <c r="MH143" s="129"/>
      <c r="MI143" s="129"/>
      <c r="MJ143" s="129"/>
      <c r="MK143" s="129"/>
      <c r="ML143" s="129"/>
      <c r="MM143" s="129"/>
      <c r="MN143" s="129"/>
      <c r="MO143" s="129"/>
      <c r="MP143" s="129"/>
      <c r="MQ143" s="129"/>
      <c r="MR143" s="129"/>
      <c r="MS143" s="129"/>
      <c r="MT143" s="129"/>
      <c r="MU143" s="129"/>
      <c r="MV143" s="129"/>
      <c r="MW143" s="129"/>
      <c r="MX143" s="129"/>
      <c r="MY143" s="129"/>
      <c r="MZ143" s="129"/>
      <c r="NA143" s="129"/>
      <c r="NB143" s="129"/>
      <c r="NC143" s="129"/>
      <c r="ND143" s="129"/>
      <c r="NE143" s="129"/>
      <c r="NF143" s="129"/>
      <c r="NG143" s="129"/>
      <c r="NH143" s="129"/>
      <c r="NI143" s="129"/>
      <c r="NJ143" s="129"/>
      <c r="NK143" s="129"/>
      <c r="NL143" s="129"/>
      <c r="NM143" s="129"/>
      <c r="NN143" s="129"/>
      <c r="NO143" s="129"/>
      <c r="NP143" s="129"/>
      <c r="NQ143" s="129"/>
      <c r="NR143" s="129"/>
      <c r="NS143" s="129"/>
      <c r="NT143" s="129"/>
      <c r="NU143" s="129"/>
      <c r="NV143" s="129"/>
      <c r="NW143" s="129"/>
      <c r="NX143" s="129"/>
      <c r="NY143" s="129"/>
      <c r="NZ143" s="129"/>
      <c r="OA143" s="129"/>
      <c r="OB143" s="129"/>
      <c r="OC143" s="129"/>
      <c r="OD143" s="129"/>
      <c r="OE143" s="129"/>
      <c r="OF143" s="129"/>
      <c r="OG143" s="129"/>
      <c r="OH143" s="129"/>
      <c r="OI143" s="129"/>
      <c r="OJ143" s="129"/>
      <c r="OK143" s="129"/>
      <c r="OL143" s="129"/>
      <c r="OM143" s="129"/>
      <c r="ON143" s="129"/>
      <c r="OO143" s="129"/>
      <c r="OP143" s="129"/>
      <c r="OQ143" s="129"/>
      <c r="OR143" s="129"/>
      <c r="OS143" s="129"/>
      <c r="OT143" s="129"/>
      <c r="OU143" s="129"/>
      <c r="OV143" s="129"/>
      <c r="OW143" s="129"/>
      <c r="OX143" s="129"/>
      <c r="OY143" s="129"/>
      <c r="OZ143" s="129"/>
      <c r="PA143" s="129"/>
      <c r="PB143" s="129"/>
      <c r="PC143" s="129"/>
      <c r="PD143" s="129"/>
      <c r="PE143" s="129"/>
      <c r="PF143" s="129"/>
      <c r="PG143" s="129"/>
      <c r="PH143" s="129"/>
      <c r="PI143" s="129"/>
      <c r="PJ143" s="129"/>
      <c r="PK143" s="129"/>
      <c r="PL143" s="129"/>
      <c r="PM143" s="129"/>
      <c r="PN143" s="129"/>
      <c r="PO143" s="129"/>
      <c r="PP143" s="129"/>
      <c r="PQ143" s="129"/>
      <c r="PR143" s="129"/>
      <c r="PS143" s="129"/>
      <c r="PT143" s="129"/>
      <c r="PU143" s="129"/>
      <c r="PV143" s="129"/>
      <c r="PW143" s="129"/>
      <c r="PX143" s="129"/>
      <c r="PY143" s="129"/>
      <c r="PZ143" s="129"/>
      <c r="QA143" s="129"/>
      <c r="QB143" s="129"/>
      <c r="QC143" s="129"/>
      <c r="QD143" s="129"/>
      <c r="QE143" s="129"/>
      <c r="QF143" s="129"/>
      <c r="QG143" s="129"/>
      <c r="QH143" s="129"/>
      <c r="QI143" s="129"/>
      <c r="QJ143" s="129"/>
      <c r="QK143" s="129"/>
      <c r="QL143" s="129"/>
      <c r="QM143" s="129"/>
      <c r="QN143" s="129"/>
      <c r="QO143" s="129"/>
      <c r="QP143" s="129"/>
      <c r="QQ143" s="129"/>
      <c r="QR143" s="129"/>
      <c r="QS143" s="129"/>
      <c r="QT143" s="129"/>
      <c r="QU143" s="129"/>
      <c r="QV143" s="129"/>
      <c r="QW143" s="129"/>
      <c r="QX143" s="129"/>
      <c r="QY143" s="129"/>
      <c r="QZ143" s="129"/>
      <c r="RA143" s="129"/>
      <c r="RB143" s="129"/>
      <c r="RC143" s="129"/>
      <c r="RD143" s="129"/>
      <c r="RE143" s="129"/>
      <c r="RF143" s="129"/>
      <c r="RG143" s="129"/>
      <c r="RH143" s="129"/>
      <c r="RI143" s="129"/>
      <c r="RJ143" s="129"/>
      <c r="RK143" s="129"/>
      <c r="RL143" s="129"/>
      <c r="RM143" s="129"/>
      <c r="RN143" s="129"/>
      <c r="RO143" s="129"/>
      <c r="RP143" s="129"/>
      <c r="RQ143" s="129"/>
      <c r="RR143" s="129"/>
      <c r="RS143" s="129"/>
      <c r="RT143" s="129"/>
      <c r="RU143" s="129"/>
      <c r="RV143" s="129"/>
      <c r="RW143" s="129"/>
      <c r="RX143" s="129"/>
      <c r="RY143" s="129"/>
      <c r="RZ143" s="129"/>
      <c r="SA143" s="129"/>
      <c r="SB143" s="129"/>
      <c r="SC143" s="129"/>
      <c r="SD143" s="129"/>
      <c r="SE143" s="129"/>
      <c r="SF143" s="129"/>
      <c r="SG143" s="129"/>
      <c r="SH143" s="129"/>
      <c r="SI143" s="129"/>
      <c r="SJ143" s="129"/>
      <c r="SK143" s="129"/>
      <c r="SL143" s="129"/>
      <c r="SM143" s="129"/>
      <c r="SN143" s="129"/>
      <c r="SO143" s="129"/>
      <c r="SP143" s="129"/>
      <c r="SQ143" s="129"/>
      <c r="SR143" s="129"/>
      <c r="SS143" s="129"/>
      <c r="ST143" s="129"/>
      <c r="SU143" s="129"/>
      <c r="SV143" s="129"/>
      <c r="SW143" s="129"/>
      <c r="SX143" s="129"/>
      <c r="SY143" s="129"/>
      <c r="SZ143" s="129"/>
      <c r="TA143" s="129"/>
      <c r="TB143" s="129"/>
      <c r="TC143" s="129"/>
      <c r="TD143" s="129"/>
      <c r="TE143" s="129"/>
      <c r="TF143" s="129"/>
      <c r="TG143" s="129"/>
      <c r="TH143" s="129"/>
      <c r="TI143" s="129"/>
      <c r="TJ143" s="129"/>
      <c r="TK143" s="129"/>
      <c r="TL143" s="129"/>
      <c r="TM143" s="129"/>
      <c r="TN143" s="129"/>
      <c r="TO143" s="129"/>
      <c r="TP143" s="129"/>
      <c r="TQ143" s="129"/>
      <c r="TR143" s="129"/>
      <c r="TS143" s="129"/>
      <c r="TT143" s="129"/>
      <c r="TU143" s="129"/>
      <c r="TV143" s="129"/>
      <c r="TW143" s="129"/>
      <c r="TX143" s="129"/>
      <c r="TY143" s="129"/>
      <c r="TZ143" s="129"/>
      <c r="UA143" s="129"/>
      <c r="UB143" s="129"/>
      <c r="UC143" s="129"/>
      <c r="UD143" s="129"/>
      <c r="UE143" s="129"/>
      <c r="UF143" s="129"/>
      <c r="UG143" s="129"/>
      <c r="UH143" s="129"/>
      <c r="UI143" s="129"/>
      <c r="UJ143" s="129"/>
      <c r="UK143" s="129"/>
      <c r="UL143" s="129"/>
      <c r="UM143" s="129"/>
      <c r="UN143" s="129"/>
      <c r="UO143" s="129"/>
      <c r="UP143" s="129"/>
      <c r="UQ143" s="129"/>
      <c r="UR143" s="129"/>
      <c r="US143" s="129"/>
      <c r="UT143" s="129"/>
      <c r="UU143" s="129"/>
      <c r="UV143" s="129"/>
      <c r="UW143" s="129"/>
      <c r="UX143" s="129"/>
      <c r="UY143" s="129"/>
      <c r="UZ143" s="129"/>
      <c r="VA143" s="129"/>
      <c r="VB143" s="129"/>
      <c r="VC143" s="129"/>
      <c r="VD143" s="129"/>
      <c r="VE143" s="129"/>
      <c r="VF143" s="129"/>
      <c r="VG143" s="129"/>
      <c r="VH143" s="129"/>
      <c r="VI143" s="129"/>
      <c r="VJ143" s="129"/>
      <c r="VK143" s="129"/>
      <c r="VL143" s="129"/>
      <c r="VM143" s="129"/>
      <c r="VN143" s="129"/>
      <c r="VO143" s="129"/>
      <c r="VP143" s="129"/>
      <c r="VQ143" s="129"/>
      <c r="VR143" s="129"/>
      <c r="VS143" s="129"/>
      <c r="VT143" s="129"/>
      <c r="VU143" s="129"/>
      <c r="VV143" s="129"/>
      <c r="VW143" s="129"/>
      <c r="VX143" s="129"/>
      <c r="VY143" s="129"/>
      <c r="VZ143" s="129"/>
      <c r="WA143" s="129"/>
      <c r="WB143" s="129"/>
      <c r="WC143" s="129"/>
      <c r="WD143" s="129"/>
      <c r="WE143" s="129"/>
      <c r="WF143" s="129"/>
      <c r="WG143" s="129"/>
      <c r="WH143" s="129"/>
      <c r="WI143" s="129"/>
      <c r="WJ143" s="129"/>
      <c r="WK143" s="129"/>
      <c r="WL143" s="129"/>
      <c r="WM143" s="129"/>
      <c r="WN143" s="129"/>
      <c r="WO143" s="129"/>
      <c r="WP143" s="129"/>
      <c r="WQ143" s="129"/>
      <c r="WR143" s="129"/>
      <c r="WS143" s="129"/>
      <c r="WT143" s="129"/>
      <c r="WU143" s="129"/>
      <c r="WV143" s="129"/>
      <c r="WW143" s="129"/>
      <c r="WX143" s="129"/>
      <c r="WY143" s="129"/>
      <c r="WZ143" s="129"/>
      <c r="XA143" s="129"/>
      <c r="XB143" s="129"/>
      <c r="XC143" s="129"/>
      <c r="XD143" s="129"/>
      <c r="XE143" s="129"/>
      <c r="XF143" s="129"/>
      <c r="XG143" s="129"/>
      <c r="XH143" s="129"/>
      <c r="XI143" s="129"/>
      <c r="XJ143" s="129"/>
      <c r="XK143" s="129"/>
      <c r="XL143" s="129"/>
      <c r="XM143" s="129"/>
      <c r="XN143" s="129"/>
      <c r="XO143" s="129"/>
      <c r="XP143" s="129"/>
      <c r="XQ143" s="129"/>
      <c r="XR143" s="129"/>
      <c r="XS143" s="129"/>
      <c r="XT143" s="129"/>
      <c r="XU143" s="129"/>
      <c r="XV143" s="129"/>
      <c r="XW143" s="129"/>
      <c r="XX143" s="129"/>
      <c r="XY143" s="129"/>
      <c r="XZ143" s="129"/>
      <c r="YA143" s="129"/>
      <c r="YB143" s="129"/>
      <c r="YC143" s="129"/>
      <c r="YD143" s="129"/>
      <c r="YE143" s="129"/>
      <c r="YF143" s="129"/>
      <c r="YG143" s="129"/>
      <c r="YH143" s="129"/>
      <c r="YI143" s="129"/>
      <c r="YJ143" s="129"/>
      <c r="YK143" s="129"/>
      <c r="YL143" s="129"/>
      <c r="YM143" s="129"/>
      <c r="YN143" s="129"/>
      <c r="YO143" s="129"/>
      <c r="YP143" s="129"/>
      <c r="YQ143" s="129"/>
      <c r="YR143" s="129"/>
      <c r="YS143" s="129"/>
      <c r="YT143" s="129"/>
      <c r="YU143" s="129"/>
      <c r="YV143" s="129"/>
      <c r="YW143" s="129"/>
      <c r="YX143" s="129"/>
      <c r="YY143" s="129"/>
      <c r="YZ143" s="129"/>
      <c r="ZA143" s="129"/>
      <c r="ZB143" s="129"/>
      <c r="ZC143" s="129"/>
      <c r="ZD143" s="129"/>
      <c r="ZE143" s="129"/>
      <c r="ZF143" s="129"/>
      <c r="ZG143" s="129"/>
      <c r="ZH143" s="129"/>
      <c r="ZI143" s="129"/>
      <c r="ZJ143" s="129"/>
      <c r="ZK143" s="129"/>
      <c r="ZL143" s="129"/>
      <c r="ZM143" s="129"/>
      <c r="ZN143" s="129"/>
      <c r="ZO143" s="129"/>
      <c r="ZP143" s="129"/>
      <c r="ZQ143" s="129"/>
      <c r="ZR143" s="129"/>
      <c r="ZS143" s="129"/>
      <c r="ZT143" s="129"/>
      <c r="ZU143" s="129"/>
      <c r="ZV143" s="129"/>
      <c r="ZW143" s="129"/>
      <c r="ZX143" s="129"/>
      <c r="ZY143" s="129"/>
      <c r="ZZ143" s="129"/>
      <c r="AAA143" s="129"/>
      <c r="AAB143" s="129"/>
      <c r="AAC143" s="129"/>
      <c r="AAD143" s="129"/>
      <c r="AAE143" s="129"/>
      <c r="AAF143" s="129"/>
      <c r="AAG143" s="129"/>
      <c r="AAH143" s="129"/>
      <c r="AAI143" s="129"/>
      <c r="AAJ143" s="129"/>
      <c r="AAK143" s="129"/>
      <c r="AAL143" s="129"/>
      <c r="AAM143" s="129"/>
      <c r="AAN143" s="129"/>
      <c r="AAO143" s="129"/>
      <c r="AAP143" s="129"/>
      <c r="AAQ143" s="129"/>
      <c r="AAR143" s="129"/>
      <c r="AAS143" s="129"/>
      <c r="AAT143" s="129"/>
      <c r="AAU143" s="129"/>
      <c r="AAV143" s="129"/>
      <c r="AAW143" s="129"/>
      <c r="AAX143" s="129"/>
      <c r="AAY143" s="129"/>
      <c r="AAZ143" s="129"/>
      <c r="ABA143" s="129"/>
      <c r="ABB143" s="129"/>
      <c r="ABC143" s="129"/>
      <c r="ABD143" s="129"/>
      <c r="ABE143" s="129"/>
      <c r="ABF143" s="129"/>
      <c r="ABG143" s="129"/>
      <c r="ABH143" s="129"/>
      <c r="ABI143" s="129"/>
      <c r="ABJ143" s="129"/>
      <c r="ABK143" s="129"/>
      <c r="ABL143" s="129"/>
      <c r="ABM143" s="129"/>
      <c r="ABN143" s="129"/>
      <c r="ABO143" s="129"/>
      <c r="ABP143" s="129"/>
      <c r="ABQ143" s="129"/>
      <c r="ABR143" s="129"/>
      <c r="ABS143" s="129"/>
      <c r="ABT143" s="129"/>
      <c r="ABU143" s="129"/>
      <c r="ABV143" s="129"/>
      <c r="ABW143" s="129"/>
      <c r="ABX143" s="129"/>
      <c r="ABY143" s="129"/>
      <c r="ABZ143" s="129"/>
      <c r="ACA143" s="129"/>
      <c r="ACB143" s="129"/>
      <c r="ACC143" s="129"/>
      <c r="ACD143" s="129"/>
      <c r="ACE143" s="129"/>
      <c r="ACF143" s="129"/>
      <c r="ACG143" s="129"/>
      <c r="ACH143" s="129"/>
      <c r="ACI143" s="129"/>
      <c r="ACJ143" s="129"/>
      <c r="ACK143" s="129"/>
      <c r="ACL143" s="129"/>
      <c r="ACM143" s="129"/>
      <c r="ACN143" s="129"/>
      <c r="ACO143" s="129"/>
      <c r="ACP143" s="129"/>
      <c r="ACQ143" s="129"/>
      <c r="ACR143" s="129"/>
      <c r="ACS143" s="129"/>
      <c r="ACT143" s="129"/>
      <c r="ACU143" s="129"/>
      <c r="ACV143" s="129"/>
      <c r="ACW143" s="129"/>
      <c r="ACX143" s="129"/>
      <c r="ACY143" s="129"/>
      <c r="ACZ143" s="129"/>
      <c r="ADA143" s="129"/>
      <c r="ADB143" s="129"/>
      <c r="ADC143" s="129"/>
      <c r="ADD143" s="129"/>
      <c r="ADE143" s="129"/>
      <c r="ADF143" s="129"/>
      <c r="ADG143" s="129"/>
      <c r="ADH143" s="129"/>
      <c r="ADI143" s="129"/>
      <c r="ADJ143" s="129"/>
      <c r="ADK143" s="129"/>
      <c r="ADL143" s="129"/>
      <c r="ADM143" s="129"/>
      <c r="ADN143" s="129"/>
      <c r="ADO143" s="129"/>
      <c r="ADP143" s="129"/>
      <c r="ADQ143" s="129"/>
      <c r="ADR143" s="129"/>
      <c r="ADS143" s="129"/>
      <c r="ADT143" s="129"/>
      <c r="ADU143" s="129"/>
      <c r="ADV143" s="129"/>
      <c r="ADW143" s="129"/>
      <c r="ADX143" s="129"/>
      <c r="ADY143" s="129"/>
      <c r="ADZ143" s="129"/>
      <c r="AEA143" s="129"/>
      <c r="AEB143" s="129"/>
      <c r="AEC143" s="129"/>
      <c r="AED143" s="129"/>
      <c r="AEE143" s="129"/>
      <c r="AEF143" s="129"/>
      <c r="AEG143" s="129"/>
      <c r="AEH143" s="129"/>
      <c r="AEI143" s="129"/>
      <c r="AEJ143" s="129"/>
      <c r="AEK143" s="129"/>
      <c r="AEL143" s="129"/>
      <c r="AEM143" s="129"/>
      <c r="AEN143" s="129"/>
      <c r="AEO143" s="129"/>
      <c r="AEP143" s="129"/>
      <c r="AEQ143" s="129"/>
      <c r="AER143" s="129"/>
      <c r="AES143" s="129"/>
      <c r="AET143" s="129"/>
      <c r="AEU143" s="129"/>
      <c r="AEV143" s="129"/>
      <c r="AEW143" s="129"/>
      <c r="AEX143" s="129"/>
      <c r="AEY143" s="129"/>
      <c r="AEZ143" s="129"/>
      <c r="AFA143" s="129"/>
      <c r="AFB143" s="129"/>
      <c r="AFC143" s="129"/>
      <c r="AFD143" s="129"/>
      <c r="AFE143" s="129"/>
      <c r="AFF143" s="129"/>
      <c r="AFG143" s="129"/>
      <c r="AFH143" s="129"/>
      <c r="AFI143" s="129"/>
      <c r="AFJ143" s="129"/>
      <c r="AFK143" s="129"/>
      <c r="AFL143" s="129"/>
      <c r="AFM143" s="129"/>
      <c r="AFN143" s="129"/>
      <c r="AFO143" s="129"/>
      <c r="AFP143" s="129"/>
      <c r="AFQ143" s="129"/>
      <c r="AFR143" s="129"/>
      <c r="AFS143" s="129"/>
      <c r="AFT143" s="129"/>
      <c r="AFU143" s="129"/>
      <c r="AFV143" s="129"/>
      <c r="AFW143" s="129"/>
      <c r="AFX143" s="129"/>
      <c r="AFY143" s="129"/>
      <c r="AFZ143" s="129"/>
      <c r="AGA143" s="129"/>
      <c r="AGB143" s="129"/>
      <c r="AGC143" s="129"/>
      <c r="AGD143" s="129"/>
      <c r="AGE143" s="129"/>
      <c r="AGF143" s="129"/>
      <c r="AGG143" s="129"/>
      <c r="AGH143" s="129"/>
      <c r="AGI143" s="129"/>
      <c r="AGJ143" s="129"/>
      <c r="AGK143" s="129"/>
      <c r="AGL143" s="129"/>
      <c r="AGM143" s="129"/>
      <c r="AGN143" s="129"/>
      <c r="AGO143" s="129"/>
      <c r="AGP143" s="129"/>
      <c r="AGQ143" s="129"/>
      <c r="AGR143" s="129"/>
      <c r="AGS143" s="129"/>
      <c r="AGT143" s="129"/>
      <c r="AGU143" s="129"/>
      <c r="AGV143" s="129"/>
      <c r="AGW143" s="129"/>
      <c r="AGX143" s="129"/>
      <c r="AGY143" s="129"/>
      <c r="AGZ143" s="129"/>
      <c r="AHA143" s="129"/>
      <c r="AHB143" s="129"/>
      <c r="AHC143" s="129"/>
      <c r="AHD143" s="129"/>
      <c r="AHE143" s="129"/>
      <c r="AHF143" s="129"/>
      <c r="AHG143" s="129"/>
      <c r="AHH143" s="129"/>
      <c r="AHI143" s="129"/>
      <c r="AHJ143" s="129"/>
      <c r="AHK143" s="129"/>
      <c r="AHL143" s="129"/>
      <c r="AHM143" s="129"/>
      <c r="AHN143" s="129"/>
      <c r="AHO143" s="129"/>
      <c r="AHP143" s="129"/>
      <c r="AHQ143" s="129"/>
      <c r="AHR143" s="129"/>
      <c r="AHS143" s="129"/>
      <c r="AHT143" s="129"/>
      <c r="AHU143" s="129"/>
      <c r="AHV143" s="129"/>
      <c r="AHW143" s="129"/>
      <c r="AHX143" s="129"/>
      <c r="AHY143" s="129"/>
      <c r="AHZ143" s="129"/>
      <c r="AIA143" s="129"/>
      <c r="AIB143" s="129"/>
      <c r="AIC143" s="129"/>
      <c r="AID143" s="129"/>
      <c r="AIE143" s="129"/>
      <c r="AIF143" s="129"/>
      <c r="AIG143" s="129"/>
      <c r="AIH143" s="129"/>
      <c r="AII143" s="129"/>
      <c r="AIJ143" s="129"/>
      <c r="AIK143" s="129"/>
      <c r="AIL143" s="129"/>
      <c r="AIM143" s="129"/>
      <c r="AIN143" s="129"/>
      <c r="AIO143" s="129"/>
      <c r="AIP143" s="129"/>
      <c r="AIQ143" s="129"/>
      <c r="AIR143" s="129"/>
      <c r="AIS143" s="129"/>
      <c r="AIT143" s="129"/>
      <c r="AIU143" s="129"/>
      <c r="AIV143" s="129"/>
      <c r="AIW143" s="129"/>
      <c r="AIX143" s="129"/>
      <c r="AIY143" s="129"/>
      <c r="AIZ143" s="129"/>
      <c r="AJA143" s="129"/>
      <c r="AJB143" s="129"/>
      <c r="AJC143" s="129"/>
      <c r="AJD143" s="129"/>
      <c r="AJE143" s="129"/>
      <c r="AJF143" s="129"/>
      <c r="AJG143" s="129"/>
      <c r="AJH143" s="129"/>
      <c r="AJI143" s="129"/>
      <c r="AJJ143" s="129"/>
      <c r="AJK143" s="129"/>
      <c r="AJL143" s="129"/>
      <c r="AJM143" s="129"/>
      <c r="AJN143" s="129"/>
      <c r="AJO143" s="129"/>
      <c r="AJP143" s="129"/>
      <c r="AJQ143" s="129"/>
      <c r="AJR143" s="129"/>
      <c r="AJS143" s="129"/>
      <c r="AJT143" s="129"/>
      <c r="AJU143" s="129"/>
      <c r="AJV143" s="129"/>
      <c r="AJW143" s="129"/>
      <c r="AJX143" s="129"/>
      <c r="AJY143" s="129"/>
      <c r="AJZ143" s="129"/>
      <c r="AKA143" s="129"/>
      <c r="AKB143" s="129"/>
      <c r="AKC143" s="129"/>
      <c r="AKD143" s="129"/>
      <c r="AKE143" s="129"/>
      <c r="AKF143" s="129"/>
      <c r="AKG143" s="129"/>
      <c r="AKH143" s="129"/>
      <c r="AKI143" s="129"/>
      <c r="AKJ143" s="129"/>
      <c r="AKK143" s="129"/>
      <c r="AKL143" s="129"/>
      <c r="AKM143" s="129"/>
      <c r="AKN143" s="129"/>
      <c r="AKO143" s="129"/>
      <c r="AKP143" s="129"/>
      <c r="AKQ143" s="129"/>
      <c r="AKR143" s="129"/>
      <c r="AKS143" s="129"/>
      <c r="AKT143" s="129"/>
      <c r="AKU143" s="129"/>
      <c r="AKV143" s="129"/>
      <c r="AKW143" s="129"/>
      <c r="AKX143" s="129"/>
      <c r="AKY143" s="129"/>
      <c r="AKZ143" s="129"/>
      <c r="ALA143" s="129"/>
      <c r="ALB143" s="129"/>
      <c r="ALC143" s="129"/>
      <c r="ALD143" s="129"/>
      <c r="ALE143" s="129"/>
      <c r="ALF143" s="129"/>
      <c r="ALG143" s="129"/>
      <c r="ALH143" s="129"/>
      <c r="ALI143" s="129"/>
      <c r="ALJ143" s="129"/>
      <c r="ALK143" s="129"/>
      <c r="ALL143" s="129"/>
      <c r="ALM143" s="129"/>
      <c r="ALN143" s="129"/>
      <c r="ALO143" s="129"/>
      <c r="ALP143" s="129"/>
      <c r="ALQ143" s="129"/>
      <c r="ALR143" s="129"/>
      <c r="ALS143" s="129"/>
      <c r="ALT143" s="129"/>
      <c r="ALU143" s="129"/>
      <c r="ALV143" s="129"/>
      <c r="ALW143" s="129"/>
      <c r="ALX143" s="129"/>
      <c r="ALY143" s="129"/>
      <c r="ALZ143" s="129"/>
      <c r="AMA143" s="129"/>
      <c r="AMB143" s="129"/>
      <c r="AMC143" s="129"/>
      <c r="AMD143" s="129"/>
      <c r="AME143" s="129"/>
      <c r="AMF143" s="129"/>
      <c r="AMG143" s="129"/>
      <c r="AMH143" s="129"/>
      <c r="AMI143" s="129"/>
      <c r="AMJ143" s="129"/>
      <c r="AMK143" s="129"/>
      <c r="AML143" s="129"/>
      <c r="AMM143" s="129"/>
      <c r="AMN143" s="129"/>
      <c r="AMO143" s="129"/>
      <c r="AMP143" s="129"/>
    </row>
    <row r="144" spans="1:1030" x14ac:dyDescent="0.2">
      <c r="A144" s="3" t="str">
        <f t="shared" si="699"/>
        <v>ccr5_human__wt</v>
      </c>
      <c r="B144" s="3" t="s">
        <v>173</v>
      </c>
      <c r="C144" s="3" t="s">
        <v>100</v>
      </c>
      <c r="D144" s="3" t="str">
        <f>IFERROR(MID(VLOOKUP($B144,Seqs!$A:$B,2,0),E144,1),"")</f>
        <v>K</v>
      </c>
      <c r="E144" s="3">
        <v>22</v>
      </c>
      <c r="F144" s="3" t="str">
        <f>IFERROR(MID(VLOOKUP($B144,Seqs!$A:$B,2,0),G144,1),"")</f>
        <v>C</v>
      </c>
      <c r="G144" s="3">
        <v>58</v>
      </c>
      <c r="H144" s="3" t="str">
        <f>IFERROR(MID(VLOOKUP($B144,Seqs!$A:$B,2,0),I144,1),"")</f>
        <v>K</v>
      </c>
      <c r="I144" s="23">
        <v>59</v>
      </c>
      <c r="J144" s="3" t="str">
        <f>IFERROR(MID(VLOOKUP($B144,Seqs!$A:$B,2,0),K144,1),"")</f>
        <v>K</v>
      </c>
      <c r="K144" s="23">
        <v>62</v>
      </c>
      <c r="L144" s="3" t="str">
        <f>IFERROR(MID(VLOOKUP($B144,Seqs!$A:$B,2,0),M144,1),"")</f>
        <v>S</v>
      </c>
      <c r="M144" s="3">
        <v>63</v>
      </c>
      <c r="N144" s="3" t="str">
        <f>IFERROR(MID(VLOOKUP($B144,Seqs!$A:$B,2,0),O144,1),"")</f>
        <v>A</v>
      </c>
      <c r="O144" s="3">
        <v>92</v>
      </c>
      <c r="P144" s="3" t="str">
        <f>IFERROR(MID(VLOOKUP($B144,Seqs!$A:$B,2,0),Q144,1),"")</f>
        <v>Q</v>
      </c>
      <c r="Q144" s="3">
        <v>93</v>
      </c>
      <c r="R144" s="3" t="str">
        <f>IFERROR(MID(VLOOKUP($B144,Seqs!$A:$B,2,0),S144,1),"")</f>
        <v>F</v>
      </c>
      <c r="S144" s="3">
        <v>96</v>
      </c>
      <c r="T144" s="3" t="str">
        <f>IFERROR(MID(VLOOKUP($B144,Seqs!$A:$B,2,0),U144,1),"")</f>
        <v>G</v>
      </c>
      <c r="U144" s="3">
        <v>97</v>
      </c>
      <c r="V144" s="3" t="str">
        <f>IFERROR(MID(VLOOKUP($B144,Seqs!$A:$B,2,0),W144,1),"")</f>
        <v>H</v>
      </c>
      <c r="W144" s="3">
        <v>132</v>
      </c>
      <c r="X144" s="3" t="str">
        <f>IFERROR(MID(VLOOKUP($B144,Seqs!$A:$B,2,0),Y144,1),"")</f>
        <v>A</v>
      </c>
      <c r="Y144" s="3">
        <v>133</v>
      </c>
      <c r="Z144" s="3" t="str">
        <f>IFERROR(MID(VLOOKUP($B144,Seqs!$A:$B,2,0),AA144,1),"")</f>
        <v>R</v>
      </c>
      <c r="AA144" s="3">
        <v>140</v>
      </c>
      <c r="AB144" s="3" t="str">
        <f>IFERROR(MID(VLOOKUP($B144,Seqs!$A:$B,2,0),AC144,1),"")</f>
        <v>T</v>
      </c>
      <c r="AC144" s="9">
        <v>141</v>
      </c>
      <c r="AD144" s="3" t="str">
        <f>IFERROR(MID(VLOOKUP($B144,Seqs!$A:$B,2,0),AE144,1),"")</f>
        <v>T</v>
      </c>
      <c r="AE144" s="3">
        <v>167</v>
      </c>
      <c r="AF144" s="3" t="str">
        <f>IFERROR(MID(VLOOKUP($B144,Seqs!$A:$B,2,0),AG144,1),"")</f>
        <v>C</v>
      </c>
      <c r="AG144" s="3">
        <v>178</v>
      </c>
      <c r="AH144" s="3" t="str">
        <f>IFERROR(MID(VLOOKUP($B144,Seqs!$A:$B,2,0),AI144,1),"")</f>
        <v>S</v>
      </c>
      <c r="AI144" s="3">
        <v>180</v>
      </c>
      <c r="AJ144" s="3" t="str">
        <f>IFERROR(MID(VLOOKUP($B144,Seqs!$A:$B,2,0),AK144,1),"")</f>
        <v>Q</v>
      </c>
      <c r="AK144" s="3">
        <v>186</v>
      </c>
      <c r="AL144" s="3" t="str">
        <f>IFERROR(MID(VLOOKUP($B144,Seqs!$A:$B,2,0),AM144,1),"")</f>
        <v>C</v>
      </c>
      <c r="AM144" s="3">
        <v>224</v>
      </c>
      <c r="AN144" s="3" t="str">
        <f>IFERROR(MID(VLOOKUP($B144,Seqs!$A:$B,2,0),AO144,1),"")</f>
        <v>K</v>
      </c>
      <c r="AO144" s="3">
        <v>228</v>
      </c>
      <c r="AP144" s="3" t="str">
        <f>IFERROR(MID(VLOOKUP($B144,Seqs!$A:$B,2,0),AQ144,1),"")</f>
        <v>G</v>
      </c>
      <c r="AQ144" s="3">
        <v>265</v>
      </c>
      <c r="AR144" s="3" t="str">
        <f>IFERROR(MID(VLOOKUP($B144,Seqs!$A:$B,2,0),AS144,1),"")</f>
        <v>N</v>
      </c>
      <c r="AS144" s="3">
        <v>268</v>
      </c>
      <c r="AT144" s="3" t="str">
        <f>IFERROR(MID(VLOOKUP($B144,Seqs!$A:$B,2,0),AU144,1),"")</f>
        <v>V</v>
      </c>
      <c r="AU144" s="3">
        <v>300</v>
      </c>
      <c r="AV144" s="3" t="str">
        <f>IFERROR(MID(VLOOKUP($B144,Seqs!$A:$B,2,0),AW144,1),"")</f>
        <v>G</v>
      </c>
      <c r="AW144" s="3">
        <v>301</v>
      </c>
      <c r="AX144" s="3" t="str">
        <f>IFERROR(MID(VLOOKUP($B144,Seqs!$A:$B,2,0),AY144,1),"")</f>
        <v>Q</v>
      </c>
      <c r="AY144" s="3">
        <v>313</v>
      </c>
      <c r="AZ144" s="77" t="str">
        <f>VLOOKUP(B144,Classification!A:D,2,0)</f>
        <v>A</v>
      </c>
      <c r="BA144" s="94" t="str">
        <f>VLOOKUP(B144,Classification!A:D,4,0)</f>
        <v>Chemokine</v>
      </c>
      <c r="BB144" s="27" t="b">
        <f t="shared" si="700"/>
        <v>1</v>
      </c>
      <c r="BC144" s="23">
        <f t="shared" si="477"/>
        <v>272</v>
      </c>
      <c r="BD144" s="34" t="s">
        <v>23</v>
      </c>
      <c r="BE144" s="3" t="s">
        <v>23</v>
      </c>
      <c r="BF144" s="119" t="s">
        <v>23</v>
      </c>
      <c r="BG144" s="49" t="s">
        <v>1378</v>
      </c>
      <c r="BH144" s="49" t="s">
        <v>1383</v>
      </c>
      <c r="BI144" s="1"/>
      <c r="BJ144" s="70" t="s">
        <v>1293</v>
      </c>
      <c r="BK144" s="57" t="s">
        <v>1293</v>
      </c>
      <c r="BL144" s="57" t="s">
        <v>1293</v>
      </c>
      <c r="BM144" s="57" t="s">
        <v>1293</v>
      </c>
      <c r="BN144" s="57" t="s">
        <v>1293</v>
      </c>
      <c r="BO144" s="57" t="s">
        <v>1293</v>
      </c>
      <c r="BP144" s="57" t="s">
        <v>1293</v>
      </c>
      <c r="BQ144" s="57" t="s">
        <v>1293</v>
      </c>
      <c r="BR144" s="57" t="s">
        <v>1293</v>
      </c>
      <c r="BS144" s="57" t="s">
        <v>1293</v>
      </c>
      <c r="BT144" s="57" t="s">
        <v>1293</v>
      </c>
      <c r="BU144" s="57" t="s">
        <v>1293</v>
      </c>
      <c r="BV144" s="70">
        <f t="shared" si="478"/>
        <v>22</v>
      </c>
      <c r="BW144" s="71">
        <f t="shared" si="479"/>
        <v>59</v>
      </c>
      <c r="BX144" s="72">
        <f t="shared" si="480"/>
        <v>63</v>
      </c>
      <c r="BY144" s="71">
        <f t="shared" si="481"/>
        <v>93</v>
      </c>
      <c r="BZ144" s="72">
        <f t="shared" si="482"/>
        <v>97</v>
      </c>
      <c r="CA144" s="71">
        <f t="shared" si="483"/>
        <v>133</v>
      </c>
      <c r="CB144" s="72">
        <f t="shared" si="484"/>
        <v>141</v>
      </c>
      <c r="CC144" s="71">
        <f t="shared" si="485"/>
        <v>178</v>
      </c>
      <c r="CD144" s="72">
        <f t="shared" si="486"/>
        <v>186</v>
      </c>
      <c r="CE144" s="71">
        <f t="shared" si="487"/>
        <v>228</v>
      </c>
      <c r="CF144" s="72">
        <f t="shared" si="488"/>
        <v>268</v>
      </c>
      <c r="CG144" s="71">
        <f t="shared" si="489"/>
        <v>301</v>
      </c>
      <c r="CH144" s="70">
        <f t="shared" si="490"/>
        <v>58</v>
      </c>
      <c r="CI144" s="71">
        <f t="shared" si="491"/>
        <v>62</v>
      </c>
      <c r="CJ144" s="72">
        <f t="shared" si="492"/>
        <v>92</v>
      </c>
      <c r="CK144" s="72">
        <f t="shared" si="493"/>
        <v>96</v>
      </c>
      <c r="CL144" s="72">
        <f t="shared" si="494"/>
        <v>132</v>
      </c>
      <c r="CM144" s="72">
        <f t="shared" si="495"/>
        <v>140</v>
      </c>
      <c r="CN144" s="72">
        <f t="shared" si="496"/>
        <v>167</v>
      </c>
      <c r="CO144" s="72">
        <f t="shared" si="497"/>
        <v>180</v>
      </c>
      <c r="CP144" s="72">
        <f t="shared" si="498"/>
        <v>224</v>
      </c>
      <c r="CQ144" s="72">
        <f t="shared" si="499"/>
        <v>265</v>
      </c>
      <c r="CR144" s="72">
        <f t="shared" si="500"/>
        <v>300</v>
      </c>
      <c r="CS144" s="72">
        <f t="shared" si="501"/>
        <v>313</v>
      </c>
      <c r="CT144" s="23">
        <f t="shared" si="502"/>
        <v>1</v>
      </c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  <c r="ADW144" s="1"/>
      <c r="ADX144" s="1"/>
      <c r="ADY144" s="1"/>
      <c r="ADZ144" s="1"/>
      <c r="AEA144" s="1"/>
      <c r="AEB144" s="1"/>
      <c r="AEC144" s="1"/>
      <c r="AED144" s="1"/>
      <c r="AEE144" s="1"/>
      <c r="AEF144" s="1"/>
      <c r="AEG144" s="1"/>
      <c r="AEH144" s="1"/>
      <c r="AEI144" s="1"/>
      <c r="AEJ144" s="1"/>
      <c r="AEK144" s="1"/>
      <c r="AEL144" s="1"/>
      <c r="AEM144" s="1"/>
      <c r="AEN144" s="1"/>
      <c r="AEO144" s="1"/>
      <c r="AEP144" s="1"/>
      <c r="AEQ144" s="1"/>
      <c r="AER144" s="1"/>
      <c r="AES144" s="1"/>
      <c r="AET144" s="1"/>
      <c r="AEU144" s="1"/>
      <c r="AEV144" s="1"/>
      <c r="AEW144" s="1"/>
      <c r="AEX144" s="1"/>
      <c r="AEY144" s="1"/>
      <c r="AEZ144" s="1"/>
      <c r="AFA144" s="1"/>
      <c r="AFB144" s="1"/>
      <c r="AFC144" s="1"/>
      <c r="AFD144" s="1"/>
      <c r="AFE144" s="1"/>
      <c r="AFF144" s="1"/>
      <c r="AFG144" s="1"/>
      <c r="AFH144" s="1"/>
      <c r="AFI144" s="1"/>
      <c r="AFJ144" s="1"/>
      <c r="AFK144" s="1"/>
      <c r="AFL144" s="1"/>
      <c r="AFM144" s="1"/>
      <c r="AFN144" s="1"/>
      <c r="AFO144" s="1"/>
      <c r="AFP144" s="1"/>
      <c r="AFQ144" s="1"/>
      <c r="AFR144" s="1"/>
      <c r="AFS144" s="1"/>
      <c r="AFT144" s="1"/>
      <c r="AFU144" s="1"/>
      <c r="AFV144" s="1"/>
      <c r="AFW144" s="1"/>
      <c r="AFX144" s="1"/>
      <c r="AFY144" s="1"/>
      <c r="AFZ144" s="1"/>
      <c r="AGA144" s="1"/>
      <c r="AGB144" s="1"/>
      <c r="AGC144" s="1"/>
      <c r="AGD144" s="1"/>
      <c r="AGE144" s="1"/>
      <c r="AGF144" s="1"/>
      <c r="AGG144" s="1"/>
      <c r="AGH144" s="1"/>
      <c r="AGI144" s="1"/>
      <c r="AGJ144" s="1"/>
      <c r="AGK144" s="1"/>
      <c r="AGL144" s="1"/>
      <c r="AGM144" s="1"/>
      <c r="AGN144" s="1"/>
      <c r="AGO144" s="1"/>
      <c r="AGP144" s="1"/>
      <c r="AGQ144" s="1"/>
      <c r="AGR144" s="1"/>
      <c r="AGS144" s="1"/>
      <c r="AGT144" s="1"/>
      <c r="AGU144" s="1"/>
      <c r="AGV144" s="1"/>
      <c r="AGW144" s="1"/>
      <c r="AGX144" s="1"/>
      <c r="AGY144" s="1"/>
      <c r="AGZ144" s="1"/>
      <c r="AHA144" s="1"/>
      <c r="AHB144" s="1"/>
      <c r="AHC144" s="1"/>
      <c r="AHD144" s="1"/>
      <c r="AHE144" s="1"/>
      <c r="AHF144" s="1"/>
      <c r="AHG144" s="1"/>
      <c r="AHH144" s="1"/>
      <c r="AHI144" s="1"/>
      <c r="AHJ144" s="1"/>
      <c r="AHK144" s="1"/>
      <c r="AHL144" s="1"/>
      <c r="AHM144" s="1"/>
      <c r="AHN144" s="1"/>
      <c r="AHO144" s="1"/>
      <c r="AHP144" s="1"/>
      <c r="AHQ144" s="1"/>
      <c r="AHR144" s="1"/>
      <c r="AHS144" s="1"/>
      <c r="AHT144" s="1"/>
      <c r="AHU144" s="1"/>
      <c r="AHV144" s="1"/>
      <c r="AHW144" s="1"/>
      <c r="AHX144" s="1"/>
      <c r="AHY144" s="1"/>
      <c r="AHZ144" s="1"/>
      <c r="AIA144" s="1"/>
      <c r="AIB144" s="1"/>
      <c r="AIC144" s="1"/>
      <c r="AID144" s="1"/>
      <c r="AIE144" s="1"/>
      <c r="AIF144" s="1"/>
      <c r="AIG144" s="1"/>
      <c r="AIH144" s="1"/>
      <c r="AII144" s="1"/>
      <c r="AIJ144" s="1"/>
      <c r="AIK144" s="1"/>
      <c r="AIL144" s="1"/>
      <c r="AIM144" s="1"/>
      <c r="AIN144" s="1"/>
      <c r="AIO144" s="1"/>
      <c r="AIP144" s="1"/>
      <c r="AIQ144" s="1"/>
      <c r="AIR144" s="1"/>
      <c r="AIS144" s="1"/>
      <c r="AIT144" s="1"/>
      <c r="AIU144" s="1"/>
      <c r="AIV144" s="1"/>
      <c r="AIW144" s="1"/>
      <c r="AIX144" s="1"/>
      <c r="AIY144" s="1"/>
      <c r="AIZ144" s="1"/>
      <c r="AJA144" s="1"/>
      <c r="AJB144" s="1"/>
      <c r="AJC144" s="1"/>
      <c r="AJD144" s="1"/>
      <c r="AJE144" s="1"/>
      <c r="AJF144" s="1"/>
      <c r="AJG144" s="1"/>
      <c r="AJH144" s="1"/>
      <c r="AJI144" s="1"/>
      <c r="AJJ144" s="1"/>
      <c r="AJK144" s="1"/>
      <c r="AJL144" s="1"/>
      <c r="AJM144" s="1"/>
      <c r="AJN144" s="1"/>
      <c r="AJO144" s="1"/>
      <c r="AJP144" s="1"/>
      <c r="AJQ144" s="1"/>
      <c r="AJR144" s="1"/>
      <c r="AJS144" s="1"/>
      <c r="AJT144" s="1"/>
      <c r="AJU144" s="1"/>
      <c r="AJV144" s="1"/>
      <c r="AJW144" s="1"/>
      <c r="AJX144" s="1"/>
      <c r="AJY144" s="1"/>
      <c r="AJZ144" s="1"/>
      <c r="AKA144" s="1"/>
      <c r="AKB144" s="1"/>
      <c r="AKC144" s="1"/>
      <c r="AKD144" s="1"/>
      <c r="AKE144" s="1"/>
      <c r="AKF144" s="1"/>
      <c r="AKG144" s="1"/>
      <c r="AKH144" s="1"/>
      <c r="AKI144" s="1"/>
      <c r="AKJ144" s="1"/>
      <c r="AKK144" s="1"/>
      <c r="AKL144" s="1"/>
      <c r="AKM144" s="1"/>
      <c r="AKN144" s="1"/>
      <c r="AKO144" s="1"/>
      <c r="AKP144" s="1"/>
      <c r="AKQ144" s="1"/>
      <c r="AKR144" s="1"/>
      <c r="AKS144" s="1"/>
      <c r="AKT144" s="1"/>
      <c r="AKU144" s="1"/>
      <c r="AKV144" s="1"/>
      <c r="AKW144" s="1"/>
      <c r="AKX144" s="1"/>
      <c r="AKY144" s="1"/>
      <c r="AKZ144" s="1"/>
      <c r="ALA144" s="1"/>
      <c r="ALB144" s="1"/>
      <c r="ALC144" s="1"/>
      <c r="ALD144" s="1"/>
      <c r="ALE144" s="1"/>
      <c r="ALF144" s="1"/>
      <c r="ALG144" s="1"/>
      <c r="ALH144" s="1"/>
      <c r="ALI144" s="1"/>
      <c r="ALJ144" s="1"/>
      <c r="ALK144" s="1"/>
      <c r="ALL144" s="1"/>
      <c r="ALM144" s="1"/>
      <c r="ALN144" s="1"/>
      <c r="ALO144" s="1"/>
      <c r="ALP144" s="1"/>
      <c r="ALQ144" s="1"/>
      <c r="ALR144" s="1"/>
      <c r="ALS144" s="1"/>
      <c r="ALT144" s="1"/>
      <c r="ALU144" s="1"/>
      <c r="ALV144" s="1"/>
      <c r="ALW144" s="1"/>
      <c r="ALX144" s="1"/>
      <c r="ALY144" s="1"/>
      <c r="ALZ144" s="1"/>
      <c r="AMA144" s="1"/>
      <c r="AMB144" s="1"/>
      <c r="AMC144" s="1"/>
      <c r="AMD144" s="1"/>
      <c r="AME144" s="1"/>
      <c r="AMF144" s="1"/>
      <c r="AMG144" s="1"/>
      <c r="AMH144" s="1"/>
      <c r="AMI144" s="1"/>
      <c r="AMJ144" s="1"/>
      <c r="AMK144" s="1"/>
      <c r="AML144" s="1"/>
      <c r="AMM144" s="1"/>
      <c r="AMN144" s="1"/>
      <c r="AMO144" s="1"/>
    </row>
    <row r="145" spans="1:1030" x14ac:dyDescent="0.2">
      <c r="A145" s="3" t="str">
        <f t="shared" si="699"/>
        <v>ccr5_human_4MBS</v>
      </c>
      <c r="B145" s="3" t="s">
        <v>173</v>
      </c>
      <c r="C145" s="3" t="s">
        <v>74</v>
      </c>
      <c r="D145" s="3" t="str">
        <f>IFERROR(MID(VLOOKUP($B145,Seqs!$A:$B,2,0),E145,1),"")</f>
        <v>V</v>
      </c>
      <c r="E145" s="3">
        <v>25</v>
      </c>
      <c r="F145" s="3" t="str">
        <f>IFERROR(MID(VLOOKUP($B145,Seqs!$A:$B,2,0),G145,1),"")</f>
        <v>C</v>
      </c>
      <c r="G145" s="3">
        <v>58</v>
      </c>
      <c r="H145" s="3" t="str">
        <f>IFERROR(MID(VLOOKUP($B145,Seqs!$A:$B,2,0),I145,1),"")</f>
        <v/>
      </c>
      <c r="I145" s="23" t="s">
        <v>23</v>
      </c>
      <c r="J145" s="3" t="str">
        <f>IFERROR(MID(VLOOKUP($B145,Seqs!$A:$B,2,0),K145,1),"")</f>
        <v/>
      </c>
      <c r="K145" s="23" t="s">
        <v>23</v>
      </c>
      <c r="L145" s="3" t="str">
        <f>IFERROR(MID(VLOOKUP($B145,Seqs!$A:$B,2,0),M145,1),"")</f>
        <v>S</v>
      </c>
      <c r="M145" s="3">
        <v>63</v>
      </c>
      <c r="N145" s="3" t="str">
        <f>IFERROR(MID(VLOOKUP($B145,Seqs!$A:$B,2,0),O145,1),"")</f>
        <v>A</v>
      </c>
      <c r="O145" s="3">
        <v>92</v>
      </c>
      <c r="P145" s="3" t="str">
        <f>IFERROR(MID(VLOOKUP($B145,Seqs!$A:$B,2,0),Q145,1),"")</f>
        <v>Q</v>
      </c>
      <c r="Q145" s="3">
        <v>93</v>
      </c>
      <c r="R145" s="3" t="str">
        <f>IFERROR(MID(VLOOKUP($B145,Seqs!$A:$B,2,0),S145,1),"")</f>
        <v>F</v>
      </c>
      <c r="S145" s="3">
        <v>96</v>
      </c>
      <c r="T145" s="3" t="str">
        <f>IFERROR(MID(VLOOKUP($B145,Seqs!$A:$B,2,0),U145,1),"")</f>
        <v>G</v>
      </c>
      <c r="U145" s="3">
        <v>97</v>
      </c>
      <c r="V145" s="3" t="str">
        <f>IFERROR(MID(VLOOKUP($B145,Seqs!$A:$B,2,0),W145,1),"")</f>
        <v>H</v>
      </c>
      <c r="W145" s="3">
        <v>132</v>
      </c>
      <c r="X145" s="3" t="str">
        <f>IFERROR(MID(VLOOKUP($B145,Seqs!$A:$B,2,0),Y145,1),"")</f>
        <v>A</v>
      </c>
      <c r="Y145" s="3">
        <v>133</v>
      </c>
      <c r="Z145" s="3" t="str">
        <f>IFERROR(MID(VLOOKUP($B145,Seqs!$A:$B,2,0),AA145,1),"")</f>
        <v>R</v>
      </c>
      <c r="AA145" s="3">
        <v>140</v>
      </c>
      <c r="AB145" s="3" t="str">
        <f>IFERROR(MID(VLOOKUP($B145,Seqs!$A:$B,2,0),AC145,1),"")</f>
        <v>T</v>
      </c>
      <c r="AC145" s="9">
        <v>141</v>
      </c>
      <c r="AD145" s="3" t="str">
        <f>IFERROR(MID(VLOOKUP($B145,Seqs!$A:$B,2,0),AE145,1),"")</f>
        <v>T</v>
      </c>
      <c r="AE145" s="3">
        <v>167</v>
      </c>
      <c r="AF145" s="3" t="str">
        <f>IFERROR(MID(VLOOKUP($B145,Seqs!$A:$B,2,0),AG145,1),"")</f>
        <v>C</v>
      </c>
      <c r="AG145" s="3">
        <v>178</v>
      </c>
      <c r="AH145" s="3" t="str">
        <f>IFERROR(MID(VLOOKUP($B145,Seqs!$A:$B,2,0),AI145,1),"")</f>
        <v>S</v>
      </c>
      <c r="AI145" s="3">
        <v>180</v>
      </c>
      <c r="AJ145" s="3" t="str">
        <f>IFERROR(MID(VLOOKUP($B145,Seqs!$A:$B,2,0),AK145,1),"")</f>
        <v>Q</v>
      </c>
      <c r="AK145" s="3">
        <v>186</v>
      </c>
      <c r="AL145" s="3" t="str">
        <f>IFERROR(MID(VLOOKUP($B145,Seqs!$A:$B,2,0),AM145,1),"")</f>
        <v>R</v>
      </c>
      <c r="AM145" s="3">
        <v>223</v>
      </c>
      <c r="AN145" s="3" t="str">
        <f>IFERROR(MID(VLOOKUP($B145,Seqs!$A:$B,2,0),AO145,1),"")</f>
        <v>K</v>
      </c>
      <c r="AO145" s="3">
        <v>228</v>
      </c>
      <c r="AP145" s="3" t="str">
        <f>IFERROR(MID(VLOOKUP($B145,Seqs!$A:$B,2,0),AQ145,1),"")</f>
        <v>G</v>
      </c>
      <c r="AQ145" s="3">
        <v>265</v>
      </c>
      <c r="AR145" s="3" t="str">
        <f>IFERROR(MID(VLOOKUP($B145,Seqs!$A:$B,2,0),AS145,1),"")</f>
        <v>N</v>
      </c>
      <c r="AS145" s="3">
        <v>268</v>
      </c>
      <c r="AT145" s="3" t="str">
        <f>IFERROR(MID(VLOOKUP($B145,Seqs!$A:$B,2,0),AU145,1),"")</f>
        <v>V</v>
      </c>
      <c r="AU145" s="3">
        <v>300</v>
      </c>
      <c r="AV145" s="3" t="str">
        <f>IFERROR(MID(VLOOKUP($B145,Seqs!$A:$B,2,0),AW145,1),"")</f>
        <v>G</v>
      </c>
      <c r="AW145" s="3">
        <v>301</v>
      </c>
      <c r="AX145" s="3" t="str">
        <f>IFERROR(MID(VLOOKUP($B145,Seqs!$A:$B,2,0),AY145,1),"")</f>
        <v>Q</v>
      </c>
      <c r="AY145" s="3">
        <v>313</v>
      </c>
      <c r="AZ145" s="77" t="str">
        <f>VLOOKUP(B145,Classification!A:D,2,0)</f>
        <v>A</v>
      </c>
      <c r="BA145" s="94" t="str">
        <f>VLOOKUP(B145,Classification!A:D,4,0)</f>
        <v>Chemokine</v>
      </c>
      <c r="BB145" s="27" t="b">
        <f t="shared" si="700"/>
        <v>1</v>
      </c>
      <c r="BC145" s="23">
        <f t="shared" si="477"/>
        <v>265</v>
      </c>
      <c r="BD145" s="2" t="s">
        <v>23</v>
      </c>
      <c r="BE145" s="3" t="s">
        <v>1380</v>
      </c>
      <c r="BF145" s="119">
        <v>2.71</v>
      </c>
      <c r="BG145" s="49" t="s">
        <v>1383</v>
      </c>
      <c r="BH145" s="49" t="s">
        <v>1383</v>
      </c>
      <c r="BI145" s="1"/>
      <c r="BJ145" s="70" t="s">
        <v>1293</v>
      </c>
      <c r="BK145" s="57" t="s">
        <v>1293</v>
      </c>
      <c r="BL145" s="57" t="s">
        <v>1293</v>
      </c>
      <c r="BM145" s="57" t="s">
        <v>1293</v>
      </c>
      <c r="BN145" s="57" t="s">
        <v>1293</v>
      </c>
      <c r="BO145" s="57" t="s">
        <v>1293</v>
      </c>
      <c r="BP145" s="57" t="s">
        <v>1293</v>
      </c>
      <c r="BQ145" s="57" t="s">
        <v>1293</v>
      </c>
      <c r="BR145" s="57" t="s">
        <v>1293</v>
      </c>
      <c r="BS145" s="57" t="s">
        <v>1293</v>
      </c>
      <c r="BT145" s="57" t="s">
        <v>1293</v>
      </c>
      <c r="BU145" s="57" t="s">
        <v>1293</v>
      </c>
      <c r="BV145" s="70">
        <f t="shared" si="478"/>
        <v>25</v>
      </c>
      <c r="BW145" s="71" t="str">
        <f t="shared" si="479"/>
        <v>-</v>
      </c>
      <c r="BX145" s="72">
        <f t="shared" si="480"/>
        <v>63</v>
      </c>
      <c r="BY145" s="71">
        <f t="shared" si="481"/>
        <v>93</v>
      </c>
      <c r="BZ145" s="72">
        <f t="shared" si="482"/>
        <v>97</v>
      </c>
      <c r="CA145" s="71">
        <f t="shared" si="483"/>
        <v>133</v>
      </c>
      <c r="CB145" s="72">
        <f t="shared" si="484"/>
        <v>141</v>
      </c>
      <c r="CC145" s="71">
        <f t="shared" si="485"/>
        <v>178</v>
      </c>
      <c r="CD145" s="72">
        <f t="shared" si="486"/>
        <v>186</v>
      </c>
      <c r="CE145" s="71">
        <f t="shared" si="487"/>
        <v>228</v>
      </c>
      <c r="CF145" s="72">
        <f t="shared" si="488"/>
        <v>268</v>
      </c>
      <c r="CG145" s="71">
        <f t="shared" si="489"/>
        <v>301</v>
      </c>
      <c r="CH145" s="70">
        <f t="shared" si="490"/>
        <v>58</v>
      </c>
      <c r="CI145" s="71" t="str">
        <f t="shared" si="491"/>
        <v>-</v>
      </c>
      <c r="CJ145" s="72">
        <f t="shared" si="492"/>
        <v>92</v>
      </c>
      <c r="CK145" s="72">
        <f t="shared" si="493"/>
        <v>96</v>
      </c>
      <c r="CL145" s="72">
        <f t="shared" si="494"/>
        <v>132</v>
      </c>
      <c r="CM145" s="72">
        <f t="shared" si="495"/>
        <v>140</v>
      </c>
      <c r="CN145" s="72">
        <f t="shared" si="496"/>
        <v>167</v>
      </c>
      <c r="CO145" s="72">
        <f t="shared" si="497"/>
        <v>180</v>
      </c>
      <c r="CP145" s="72">
        <f t="shared" si="498"/>
        <v>223</v>
      </c>
      <c r="CQ145" s="72">
        <f t="shared" si="499"/>
        <v>265</v>
      </c>
      <c r="CR145" s="72">
        <f t="shared" si="500"/>
        <v>300</v>
      </c>
      <c r="CS145" s="72">
        <f t="shared" si="501"/>
        <v>313</v>
      </c>
      <c r="CT145" s="23" t="e">
        <f t="shared" si="502"/>
        <v>#VALUE!</v>
      </c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  <c r="ADW145" s="1"/>
      <c r="ADX145" s="1"/>
      <c r="ADY145" s="1"/>
      <c r="ADZ145" s="1"/>
      <c r="AEA145" s="1"/>
      <c r="AEB145" s="1"/>
      <c r="AEC145" s="1"/>
      <c r="AED145" s="1"/>
      <c r="AEE145" s="1"/>
      <c r="AEF145" s="1"/>
      <c r="AEG145" s="1"/>
      <c r="AEH145" s="1"/>
      <c r="AEI145" s="1"/>
      <c r="AEJ145" s="1"/>
      <c r="AEK145" s="1"/>
      <c r="AEL145" s="1"/>
      <c r="AEM145" s="1"/>
      <c r="AEN145" s="1"/>
      <c r="AEO145" s="1"/>
      <c r="AEP145" s="1"/>
      <c r="AEQ145" s="1"/>
      <c r="AER145" s="1"/>
      <c r="AES145" s="1"/>
      <c r="AET145" s="1"/>
      <c r="AEU145" s="1"/>
      <c r="AEV145" s="1"/>
      <c r="AEW145" s="1"/>
      <c r="AEX145" s="1"/>
      <c r="AEY145" s="1"/>
      <c r="AEZ145" s="1"/>
      <c r="AFA145" s="1"/>
      <c r="AFB145" s="1"/>
      <c r="AFC145" s="1"/>
      <c r="AFD145" s="1"/>
      <c r="AFE145" s="1"/>
      <c r="AFF145" s="1"/>
      <c r="AFG145" s="1"/>
      <c r="AFH145" s="1"/>
      <c r="AFI145" s="1"/>
      <c r="AFJ145" s="1"/>
      <c r="AFK145" s="1"/>
      <c r="AFL145" s="1"/>
      <c r="AFM145" s="1"/>
      <c r="AFN145" s="1"/>
      <c r="AFO145" s="1"/>
      <c r="AFP145" s="1"/>
      <c r="AFQ145" s="1"/>
      <c r="AFR145" s="1"/>
      <c r="AFS145" s="1"/>
      <c r="AFT145" s="1"/>
      <c r="AFU145" s="1"/>
      <c r="AFV145" s="1"/>
      <c r="AFW145" s="1"/>
      <c r="AFX145" s="1"/>
      <c r="AFY145" s="1"/>
      <c r="AFZ145" s="1"/>
      <c r="AGA145" s="1"/>
      <c r="AGB145" s="1"/>
      <c r="AGC145" s="1"/>
      <c r="AGD145" s="1"/>
      <c r="AGE145" s="1"/>
      <c r="AGF145" s="1"/>
      <c r="AGG145" s="1"/>
      <c r="AGH145" s="1"/>
      <c r="AGI145" s="1"/>
      <c r="AGJ145" s="1"/>
      <c r="AGK145" s="1"/>
      <c r="AGL145" s="1"/>
      <c r="AGM145" s="1"/>
      <c r="AGN145" s="1"/>
      <c r="AGO145" s="1"/>
      <c r="AGP145" s="1"/>
      <c r="AGQ145" s="1"/>
      <c r="AGR145" s="1"/>
      <c r="AGS145" s="1"/>
      <c r="AGT145" s="1"/>
      <c r="AGU145" s="1"/>
      <c r="AGV145" s="1"/>
      <c r="AGW145" s="1"/>
      <c r="AGX145" s="1"/>
      <c r="AGY145" s="1"/>
      <c r="AGZ145" s="1"/>
      <c r="AHA145" s="1"/>
      <c r="AHB145" s="1"/>
      <c r="AHC145" s="1"/>
      <c r="AHD145" s="1"/>
      <c r="AHE145" s="1"/>
      <c r="AHF145" s="1"/>
      <c r="AHG145" s="1"/>
      <c r="AHH145" s="1"/>
      <c r="AHI145" s="1"/>
      <c r="AHJ145" s="1"/>
      <c r="AHK145" s="1"/>
      <c r="AHL145" s="1"/>
      <c r="AHM145" s="1"/>
      <c r="AHN145" s="1"/>
      <c r="AHO145" s="1"/>
      <c r="AHP145" s="1"/>
      <c r="AHQ145" s="1"/>
      <c r="AHR145" s="1"/>
      <c r="AHS145" s="1"/>
      <c r="AHT145" s="1"/>
      <c r="AHU145" s="1"/>
      <c r="AHV145" s="1"/>
      <c r="AHW145" s="1"/>
      <c r="AHX145" s="1"/>
      <c r="AHY145" s="1"/>
      <c r="AHZ145" s="1"/>
      <c r="AIA145" s="1"/>
      <c r="AIB145" s="1"/>
      <c r="AIC145" s="1"/>
      <c r="AID145" s="1"/>
      <c r="AIE145" s="1"/>
      <c r="AIF145" s="1"/>
      <c r="AIG145" s="1"/>
      <c r="AIH145" s="1"/>
      <c r="AII145" s="1"/>
      <c r="AIJ145" s="1"/>
      <c r="AIK145" s="1"/>
      <c r="AIL145" s="1"/>
      <c r="AIM145" s="1"/>
      <c r="AIN145" s="1"/>
      <c r="AIO145" s="1"/>
      <c r="AIP145" s="1"/>
      <c r="AIQ145" s="1"/>
      <c r="AIR145" s="1"/>
      <c r="AIS145" s="1"/>
      <c r="AIT145" s="1"/>
      <c r="AIU145" s="1"/>
      <c r="AIV145" s="1"/>
      <c r="AIW145" s="1"/>
      <c r="AIX145" s="1"/>
      <c r="AIY145" s="1"/>
      <c r="AIZ145" s="1"/>
      <c r="AJA145" s="1"/>
      <c r="AJB145" s="1"/>
      <c r="AJC145" s="1"/>
      <c r="AJD145" s="1"/>
      <c r="AJE145" s="1"/>
      <c r="AJF145" s="1"/>
      <c r="AJG145" s="1"/>
      <c r="AJH145" s="1"/>
      <c r="AJI145" s="1"/>
      <c r="AJJ145" s="1"/>
      <c r="AJK145" s="1"/>
      <c r="AJL145" s="1"/>
      <c r="AJM145" s="1"/>
      <c r="AJN145" s="1"/>
      <c r="AJO145" s="1"/>
      <c r="AJP145" s="1"/>
      <c r="AJQ145" s="1"/>
      <c r="AJR145" s="1"/>
      <c r="AJS145" s="1"/>
      <c r="AJT145" s="1"/>
      <c r="AJU145" s="1"/>
      <c r="AJV145" s="1"/>
      <c r="AJW145" s="1"/>
      <c r="AJX145" s="1"/>
      <c r="AJY145" s="1"/>
      <c r="AJZ145" s="1"/>
      <c r="AKA145" s="1"/>
      <c r="AKB145" s="1"/>
      <c r="AKC145" s="1"/>
      <c r="AKD145" s="1"/>
      <c r="AKE145" s="1"/>
      <c r="AKF145" s="1"/>
      <c r="AKG145" s="1"/>
      <c r="AKH145" s="1"/>
      <c r="AKI145" s="1"/>
      <c r="AKJ145" s="1"/>
      <c r="AKK145" s="1"/>
      <c r="AKL145" s="1"/>
      <c r="AKM145" s="1"/>
      <c r="AKN145" s="1"/>
      <c r="AKO145" s="1"/>
      <c r="AKP145" s="1"/>
      <c r="AKQ145" s="1"/>
      <c r="AKR145" s="1"/>
      <c r="AKS145" s="1"/>
      <c r="AKT145" s="1"/>
      <c r="AKU145" s="1"/>
      <c r="AKV145" s="1"/>
      <c r="AKW145" s="1"/>
      <c r="AKX145" s="1"/>
      <c r="AKY145" s="1"/>
      <c r="AKZ145" s="1"/>
      <c r="ALA145" s="1"/>
      <c r="ALB145" s="1"/>
      <c r="ALC145" s="1"/>
      <c r="ALD145" s="1"/>
      <c r="ALE145" s="1"/>
      <c r="ALF145" s="1"/>
      <c r="ALG145" s="1"/>
      <c r="ALH145" s="1"/>
      <c r="ALI145" s="1"/>
      <c r="ALJ145" s="1"/>
      <c r="ALK145" s="1"/>
      <c r="ALL145" s="1"/>
      <c r="ALM145" s="1"/>
      <c r="ALN145" s="1"/>
      <c r="ALO145" s="1"/>
      <c r="ALP145" s="1"/>
      <c r="ALQ145" s="1"/>
      <c r="ALR145" s="1"/>
      <c r="ALS145" s="1"/>
      <c r="ALT145" s="1"/>
      <c r="ALU145" s="1"/>
      <c r="ALV145" s="1"/>
      <c r="ALW145" s="1"/>
      <c r="ALX145" s="1"/>
      <c r="ALY145" s="1"/>
      <c r="ALZ145" s="1"/>
      <c r="AMA145" s="1"/>
      <c r="AMB145" s="1"/>
      <c r="AMC145" s="1"/>
      <c r="AMD145" s="1"/>
      <c r="AME145" s="1"/>
      <c r="AMF145" s="1"/>
      <c r="AMG145" s="1"/>
      <c r="AMH145" s="1"/>
      <c r="AMI145" s="1"/>
      <c r="AMJ145" s="1"/>
      <c r="AMK145" s="1"/>
      <c r="AML145" s="1"/>
      <c r="AMM145" s="1"/>
      <c r="AMN145" s="1"/>
      <c r="AMO145" s="1"/>
    </row>
    <row r="146" spans="1:1030" x14ac:dyDescent="0.2">
      <c r="A146" s="3" t="str">
        <f>CONCATENATE(B146,"_",C146)</f>
        <v>ccr5_human_5UIW</v>
      </c>
      <c r="B146" s="3" t="s">
        <v>173</v>
      </c>
      <c r="C146" s="3" t="s">
        <v>1433</v>
      </c>
      <c r="D146" s="3" t="str">
        <f>IFERROR(MID(VLOOKUP($B146,Seqs!$A:$B,2,0),E146,1),"")</f>
        <v>K</v>
      </c>
      <c r="E146" s="3">
        <v>22</v>
      </c>
      <c r="F146" s="3" t="str">
        <f>IFERROR(MID(VLOOKUP($B146,Seqs!$A:$B,2,0),G146,1),"")</f>
        <v>C</v>
      </c>
      <c r="G146" s="3">
        <v>58</v>
      </c>
      <c r="H146" s="3" t="str">
        <f>IFERROR(MID(VLOOKUP($B146,Seqs!$A:$B,2,0),I146,1),"")</f>
        <v/>
      </c>
      <c r="I146" s="23" t="s">
        <v>23</v>
      </c>
      <c r="J146" s="3" t="str">
        <f>IFERROR(MID(VLOOKUP($B146,Seqs!$A:$B,2,0),K146,1),"")</f>
        <v/>
      </c>
      <c r="K146" s="23" t="s">
        <v>23</v>
      </c>
      <c r="L146" s="3" t="str">
        <f>IFERROR(MID(VLOOKUP($B146,Seqs!$A:$B,2,0),M146,1),"")</f>
        <v>S</v>
      </c>
      <c r="M146" s="3">
        <v>63</v>
      </c>
      <c r="N146" s="3" t="str">
        <f>IFERROR(MID(VLOOKUP($B146,Seqs!$A:$B,2,0),O146,1),"")</f>
        <v>A</v>
      </c>
      <c r="O146" s="3">
        <v>92</v>
      </c>
      <c r="P146" s="3" t="str">
        <f>IFERROR(MID(VLOOKUP($B146,Seqs!$A:$B,2,0),Q146,1),"")</f>
        <v>Q</v>
      </c>
      <c r="Q146" s="3">
        <v>93</v>
      </c>
      <c r="R146" s="3" t="str">
        <f>IFERROR(MID(VLOOKUP($B146,Seqs!$A:$B,2,0),S146,1),"")</f>
        <v>F</v>
      </c>
      <c r="S146" s="3">
        <v>96</v>
      </c>
      <c r="T146" s="3" t="str">
        <f>IFERROR(MID(VLOOKUP($B146,Seqs!$A:$B,2,0),U146,1),"")</f>
        <v>G</v>
      </c>
      <c r="U146" s="3">
        <v>97</v>
      </c>
      <c r="V146" s="3" t="str">
        <f>IFERROR(MID(VLOOKUP($B146,Seqs!$A:$B,2,0),W146,1),"")</f>
        <v>H</v>
      </c>
      <c r="W146" s="3">
        <v>132</v>
      </c>
      <c r="X146" s="3" t="str">
        <f>IFERROR(MID(VLOOKUP($B146,Seqs!$A:$B,2,0),Y146,1),"")</f>
        <v>A</v>
      </c>
      <c r="Y146" s="3">
        <v>133</v>
      </c>
      <c r="Z146" s="3" t="str">
        <f>IFERROR(MID(VLOOKUP($B146,Seqs!$A:$B,2,0),AA146,1),"")</f>
        <v>R</v>
      </c>
      <c r="AA146" s="3">
        <v>140</v>
      </c>
      <c r="AB146" s="3" t="str">
        <f>IFERROR(MID(VLOOKUP($B146,Seqs!$A:$B,2,0),AC146,1),"")</f>
        <v>T</v>
      </c>
      <c r="AC146" s="3">
        <v>141</v>
      </c>
      <c r="AD146" s="3" t="str">
        <f>IFERROR(MID(VLOOKUP($B146,Seqs!$A:$B,2,0),AE146,1),"")</f>
        <v>T</v>
      </c>
      <c r="AE146" s="3">
        <v>167</v>
      </c>
      <c r="AF146" s="3" t="str">
        <f>IFERROR(MID(VLOOKUP($B146,Seqs!$A:$B,2,0),AG146,1),"")</f>
        <v>C</v>
      </c>
      <c r="AG146" s="3">
        <v>178</v>
      </c>
      <c r="AH146" s="3" t="str">
        <f>IFERROR(MID(VLOOKUP($B146,Seqs!$A:$B,2,0),AI146,1),"")</f>
        <v>S</v>
      </c>
      <c r="AI146" s="3">
        <v>180</v>
      </c>
      <c r="AJ146" s="3" t="str">
        <f>IFERROR(MID(VLOOKUP($B146,Seqs!$A:$B,2,0),AK146,1),"")</f>
        <v>Q</v>
      </c>
      <c r="AK146" s="3">
        <v>186</v>
      </c>
      <c r="AL146" s="3" t="str">
        <f>IFERROR(MID(VLOOKUP($B146,Seqs!$A:$B,2,0),AM146,1),"")</f>
        <v>R</v>
      </c>
      <c r="AM146" s="3">
        <v>223</v>
      </c>
      <c r="AN146" s="3" t="str">
        <f>IFERROR(MID(VLOOKUP($B146,Seqs!$A:$B,2,0),AO146,1),"")</f>
        <v>E</v>
      </c>
      <c r="AO146" s="3">
        <v>227</v>
      </c>
      <c r="AP146" s="3" t="str">
        <f>IFERROR(MID(VLOOKUP($B146,Seqs!$A:$B,2,0),AQ146,1),"")</f>
        <v>Q</v>
      </c>
      <c r="AQ146" s="3">
        <v>261</v>
      </c>
      <c r="AR146" s="3" t="str">
        <f>IFERROR(MID(VLOOKUP($B146,Seqs!$A:$B,2,0),AS146,1),"")</f>
        <v>N</v>
      </c>
      <c r="AS146" s="3">
        <v>268</v>
      </c>
      <c r="AT146" s="3" t="str">
        <f>IFERROR(MID(VLOOKUP($B146,Seqs!$A:$B,2,0),AU146,1),"")</f>
        <v>V</v>
      </c>
      <c r="AU146" s="3">
        <v>300</v>
      </c>
      <c r="AV146" s="3" t="str">
        <f>IFERROR(MID(VLOOKUP($B146,Seqs!$A:$B,2,0),AW146,1),"")</f>
        <v>G</v>
      </c>
      <c r="AW146" s="3">
        <v>301</v>
      </c>
      <c r="AX146" s="3" t="str">
        <f>IFERROR(MID(VLOOKUP($B146,Seqs!$A:$B,2,0),AY146,1),"")</f>
        <v>I</v>
      </c>
      <c r="AY146" s="3">
        <v>316</v>
      </c>
      <c r="AZ146" s="77" t="str">
        <f>VLOOKUP(B146,Classification!A:D,2,0)</f>
        <v>A</v>
      </c>
      <c r="BA146" s="94" t="str">
        <f>VLOOKUP(B146,Classification!A:D,4,0)</f>
        <v>Chemokine</v>
      </c>
      <c r="BB146" s="27" t="b">
        <f>AND(E146&lt;G146,OR(G146&lt;I146,I146="-"),OR(I146&lt;K146,I146="-"),OR(K146&lt;M146,K146="-"),M146&lt;O146,OR(O146&lt;Q146,Q146="-"),OR(Q146&lt;S146,Q146="-"),OR(S146&lt;U146,S146="-"),U146&lt;W146,OR(W146&lt;Y146,Y146="-"),OR(Y146&lt;AA146,Y146="-"),OR(AA146&lt;AC146,AA146="-"),AC146&lt;AE146,OR(AE146&lt;AG146,AG146="-"),OR(AG146&lt;AI146,AG146="-"),OR(AI146&lt;AK146,AI146="-"),AK146&lt;AM146,AM146&lt;AO146,AO146&lt;AQ146,AQ146&lt;AS146,AS146&lt;AU146,OR(AU146&lt;AW146,AW146="-"),OR(AW146&lt;AY146,AW146="-"))</f>
        <v>1</v>
      </c>
      <c r="BC146" s="23">
        <f>_xlfn.AGGREGATE(9,6,CH146:CS146)-_xlfn.AGGREGATE(9,6,BV146:CG146)+12</f>
        <v>268</v>
      </c>
      <c r="BD146" s="2" t="s">
        <v>1382</v>
      </c>
      <c r="BE146" s="3" t="s">
        <v>1380</v>
      </c>
      <c r="BF146" s="119">
        <v>2.2000000000000002</v>
      </c>
      <c r="BG146" s="49" t="s">
        <v>1383</v>
      </c>
      <c r="BH146" s="49" t="s">
        <v>1383</v>
      </c>
      <c r="BI146" s="1"/>
      <c r="BJ146" s="70" t="s">
        <v>1293</v>
      </c>
      <c r="BK146" s="57" t="s">
        <v>1293</v>
      </c>
      <c r="BL146" s="57" t="s">
        <v>1293</v>
      </c>
      <c r="BM146" s="57" t="s">
        <v>1293</v>
      </c>
      <c r="BN146" s="57" t="s">
        <v>1293</v>
      </c>
      <c r="BO146" s="57" t="s">
        <v>1293</v>
      </c>
      <c r="BP146" s="57" t="s">
        <v>1293</v>
      </c>
      <c r="BQ146" s="57" t="s">
        <v>1293</v>
      </c>
      <c r="BR146" s="57" t="s">
        <v>1293</v>
      </c>
      <c r="BS146" s="57" t="s">
        <v>1293</v>
      </c>
      <c r="BT146" s="57" t="s">
        <v>1293</v>
      </c>
      <c r="BU146" s="57" t="s">
        <v>1293</v>
      </c>
      <c r="BV146" s="70">
        <f>E146</f>
        <v>22</v>
      </c>
      <c r="BW146" s="71" t="str">
        <f>I146</f>
        <v>-</v>
      </c>
      <c r="BX146" s="72">
        <f>M146</f>
        <v>63</v>
      </c>
      <c r="BY146" s="71">
        <f>Q146</f>
        <v>93</v>
      </c>
      <c r="BZ146" s="72">
        <f>U146</f>
        <v>97</v>
      </c>
      <c r="CA146" s="71">
        <f>Y146</f>
        <v>133</v>
      </c>
      <c r="CB146" s="72">
        <f>AC146</f>
        <v>141</v>
      </c>
      <c r="CC146" s="71">
        <f>AG146</f>
        <v>178</v>
      </c>
      <c r="CD146" s="72">
        <f>AK146</f>
        <v>186</v>
      </c>
      <c r="CE146" s="71">
        <f>AO146</f>
        <v>227</v>
      </c>
      <c r="CF146" s="72">
        <f>AS146</f>
        <v>268</v>
      </c>
      <c r="CG146" s="71">
        <f>AW146</f>
        <v>301</v>
      </c>
      <c r="CH146" s="70">
        <f>G146</f>
        <v>58</v>
      </c>
      <c r="CI146" s="71" t="str">
        <f>K146</f>
        <v>-</v>
      </c>
      <c r="CJ146" s="72">
        <f>O146</f>
        <v>92</v>
      </c>
      <c r="CK146" s="72">
        <f>S146</f>
        <v>96</v>
      </c>
      <c r="CL146" s="72">
        <f>W146</f>
        <v>132</v>
      </c>
      <c r="CM146" s="72">
        <f>AA146</f>
        <v>140</v>
      </c>
      <c r="CN146" s="72">
        <f>AE146</f>
        <v>167</v>
      </c>
      <c r="CO146" s="72">
        <f>AI146</f>
        <v>180</v>
      </c>
      <c r="CP146" s="72">
        <f>AM146</f>
        <v>223</v>
      </c>
      <c r="CQ146" s="72">
        <f>AQ146</f>
        <v>261</v>
      </c>
      <c r="CR146" s="72">
        <f>AU146</f>
        <v>300</v>
      </c>
      <c r="CS146" s="72">
        <f>AY146</f>
        <v>316</v>
      </c>
      <c r="CT146" s="23" t="e">
        <f>M146-K146</f>
        <v>#VALUE!</v>
      </c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  <c r="ADW146" s="1"/>
      <c r="ADX146" s="1"/>
      <c r="ADY146" s="1"/>
      <c r="ADZ146" s="1"/>
      <c r="AEA146" s="1"/>
      <c r="AEB146" s="1"/>
      <c r="AEC146" s="1"/>
      <c r="AED146" s="1"/>
      <c r="AEE146" s="1"/>
      <c r="AEF146" s="1"/>
      <c r="AEG146" s="1"/>
      <c r="AEH146" s="1"/>
      <c r="AEI146" s="1"/>
      <c r="AEJ146" s="1"/>
      <c r="AEK146" s="1"/>
      <c r="AEL146" s="1"/>
      <c r="AEM146" s="1"/>
      <c r="AEN146" s="1"/>
      <c r="AEO146" s="1"/>
      <c r="AEP146" s="1"/>
      <c r="AEQ146" s="1"/>
      <c r="AER146" s="1"/>
      <c r="AES146" s="1"/>
      <c r="AET146" s="1"/>
      <c r="AEU146" s="1"/>
      <c r="AEV146" s="1"/>
      <c r="AEW146" s="1"/>
      <c r="AEX146" s="1"/>
      <c r="AEY146" s="1"/>
      <c r="AEZ146" s="1"/>
      <c r="AFA146" s="1"/>
      <c r="AFB146" s="1"/>
      <c r="AFC146" s="1"/>
      <c r="AFD146" s="1"/>
      <c r="AFE146" s="1"/>
      <c r="AFF146" s="1"/>
      <c r="AFG146" s="1"/>
      <c r="AFH146" s="1"/>
      <c r="AFI146" s="1"/>
      <c r="AFJ146" s="1"/>
      <c r="AFK146" s="1"/>
      <c r="AFL146" s="1"/>
      <c r="AFM146" s="1"/>
      <c r="AFN146" s="1"/>
      <c r="AFO146" s="1"/>
      <c r="AFP146" s="1"/>
      <c r="AFQ146" s="1"/>
      <c r="AFR146" s="1"/>
      <c r="AFS146" s="1"/>
      <c r="AFT146" s="1"/>
      <c r="AFU146" s="1"/>
      <c r="AFV146" s="1"/>
      <c r="AFW146" s="1"/>
      <c r="AFX146" s="1"/>
      <c r="AFY146" s="1"/>
      <c r="AFZ146" s="1"/>
      <c r="AGA146" s="1"/>
      <c r="AGB146" s="1"/>
      <c r="AGC146" s="1"/>
      <c r="AGD146" s="1"/>
      <c r="AGE146" s="1"/>
      <c r="AGF146" s="1"/>
      <c r="AGG146" s="1"/>
      <c r="AGH146" s="1"/>
      <c r="AGI146" s="1"/>
      <c r="AGJ146" s="1"/>
      <c r="AGK146" s="1"/>
      <c r="AGL146" s="1"/>
      <c r="AGM146" s="1"/>
      <c r="AGN146" s="1"/>
      <c r="AGO146" s="1"/>
      <c r="AGP146" s="1"/>
      <c r="AGQ146" s="1"/>
      <c r="AGR146" s="1"/>
      <c r="AGS146" s="1"/>
      <c r="AGT146" s="1"/>
      <c r="AGU146" s="1"/>
      <c r="AGV146" s="1"/>
      <c r="AGW146" s="1"/>
      <c r="AGX146" s="1"/>
      <c r="AGY146" s="1"/>
      <c r="AGZ146" s="1"/>
      <c r="AHA146" s="1"/>
      <c r="AHB146" s="1"/>
      <c r="AHC146" s="1"/>
      <c r="AHD146" s="1"/>
      <c r="AHE146" s="1"/>
      <c r="AHF146" s="1"/>
      <c r="AHG146" s="1"/>
      <c r="AHH146" s="1"/>
      <c r="AHI146" s="1"/>
      <c r="AHJ146" s="1"/>
      <c r="AHK146" s="1"/>
      <c r="AHL146" s="1"/>
      <c r="AHM146" s="1"/>
      <c r="AHN146" s="1"/>
      <c r="AHO146" s="1"/>
      <c r="AHP146" s="1"/>
      <c r="AHQ146" s="1"/>
      <c r="AHR146" s="1"/>
      <c r="AHS146" s="1"/>
      <c r="AHT146" s="1"/>
      <c r="AHU146" s="1"/>
      <c r="AHV146" s="1"/>
      <c r="AHW146" s="1"/>
      <c r="AHX146" s="1"/>
      <c r="AHY146" s="1"/>
      <c r="AHZ146" s="1"/>
      <c r="AIA146" s="1"/>
      <c r="AIB146" s="1"/>
      <c r="AIC146" s="1"/>
      <c r="AID146" s="1"/>
      <c r="AIE146" s="1"/>
      <c r="AIF146" s="1"/>
      <c r="AIG146" s="1"/>
      <c r="AIH146" s="1"/>
      <c r="AII146" s="1"/>
      <c r="AIJ146" s="1"/>
      <c r="AIK146" s="1"/>
      <c r="AIL146" s="1"/>
      <c r="AIM146" s="1"/>
      <c r="AIN146" s="1"/>
      <c r="AIO146" s="1"/>
      <c r="AIP146" s="1"/>
      <c r="AIQ146" s="1"/>
      <c r="AIR146" s="1"/>
      <c r="AIS146" s="1"/>
      <c r="AIT146" s="1"/>
      <c r="AIU146" s="1"/>
      <c r="AIV146" s="1"/>
      <c r="AIW146" s="1"/>
      <c r="AIX146" s="1"/>
      <c r="AIY146" s="1"/>
      <c r="AIZ146" s="1"/>
      <c r="AJA146" s="1"/>
      <c r="AJB146" s="1"/>
      <c r="AJC146" s="1"/>
      <c r="AJD146" s="1"/>
      <c r="AJE146" s="1"/>
      <c r="AJF146" s="1"/>
      <c r="AJG146" s="1"/>
      <c r="AJH146" s="1"/>
      <c r="AJI146" s="1"/>
      <c r="AJJ146" s="1"/>
      <c r="AJK146" s="1"/>
      <c r="AJL146" s="1"/>
      <c r="AJM146" s="1"/>
      <c r="AJN146" s="1"/>
      <c r="AJO146" s="1"/>
      <c r="AJP146" s="1"/>
      <c r="AJQ146" s="1"/>
      <c r="AJR146" s="1"/>
      <c r="AJS146" s="1"/>
      <c r="AJT146" s="1"/>
      <c r="AJU146" s="1"/>
      <c r="AJV146" s="1"/>
      <c r="AJW146" s="1"/>
      <c r="AJX146" s="1"/>
      <c r="AJY146" s="1"/>
      <c r="AJZ146" s="1"/>
      <c r="AKA146" s="1"/>
      <c r="AKB146" s="1"/>
      <c r="AKC146" s="1"/>
      <c r="AKD146" s="1"/>
      <c r="AKE146" s="1"/>
      <c r="AKF146" s="1"/>
      <c r="AKG146" s="1"/>
      <c r="AKH146" s="1"/>
      <c r="AKI146" s="1"/>
      <c r="AKJ146" s="1"/>
      <c r="AKK146" s="1"/>
      <c r="AKL146" s="1"/>
      <c r="AKM146" s="1"/>
      <c r="AKN146" s="1"/>
      <c r="AKO146" s="1"/>
      <c r="AKP146" s="1"/>
      <c r="AKQ146" s="1"/>
      <c r="AKR146" s="1"/>
      <c r="AKS146" s="1"/>
      <c r="AKT146" s="1"/>
      <c r="AKU146" s="1"/>
      <c r="AKV146" s="1"/>
      <c r="AKW146" s="1"/>
      <c r="AKX146" s="1"/>
      <c r="AKY146" s="1"/>
      <c r="AKZ146" s="1"/>
      <c r="ALA146" s="1"/>
      <c r="ALB146" s="1"/>
      <c r="ALC146" s="1"/>
      <c r="ALD146" s="1"/>
      <c r="ALE146" s="1"/>
      <c r="ALF146" s="1"/>
      <c r="ALG146" s="1"/>
      <c r="ALH146" s="1"/>
      <c r="ALI146" s="1"/>
      <c r="ALJ146" s="1"/>
      <c r="ALK146" s="1"/>
      <c r="ALL146" s="1"/>
      <c r="ALM146" s="1"/>
      <c r="ALN146" s="1"/>
      <c r="ALO146" s="1"/>
      <c r="ALP146" s="1"/>
      <c r="ALQ146" s="1"/>
      <c r="ALR146" s="1"/>
      <c r="ALS146" s="1"/>
      <c r="ALT146" s="1"/>
      <c r="ALU146" s="1"/>
      <c r="ALV146" s="1"/>
      <c r="ALW146" s="1"/>
      <c r="ALX146" s="1"/>
      <c r="ALY146" s="1"/>
      <c r="ALZ146" s="1"/>
      <c r="AMA146" s="1"/>
      <c r="AMB146" s="1"/>
      <c r="AMC146" s="1"/>
      <c r="AMD146" s="1"/>
      <c r="AME146" s="1"/>
      <c r="AMF146" s="1"/>
      <c r="AMG146" s="1"/>
      <c r="AMH146" s="1"/>
      <c r="AMI146" s="1"/>
      <c r="AMJ146" s="1"/>
      <c r="AMK146" s="1"/>
      <c r="AML146" s="1"/>
      <c r="AMM146" s="1"/>
      <c r="AMN146" s="1"/>
      <c r="AMO146" s="1"/>
    </row>
    <row r="147" spans="1:1030" s="12" customFormat="1" x14ac:dyDescent="0.2">
      <c r="A147" s="9" t="str">
        <f>CONCATENATE(B147,"_",C147)</f>
        <v>ccr5_human_6AKX</v>
      </c>
      <c r="B147" s="9" t="s">
        <v>173</v>
      </c>
      <c r="C147" s="9" t="s">
        <v>1543</v>
      </c>
      <c r="D147" s="9" t="str">
        <f>IFERROR(MID(VLOOKUP($B147,Seqs!$A:$B,2,0),E147,1),"")</f>
        <v>V</v>
      </c>
      <c r="E147" s="9">
        <v>25</v>
      </c>
      <c r="F147" s="9" t="str">
        <f>IFERROR(MID(VLOOKUP($B147,Seqs!$A:$B,2,0),G147,1),"")</f>
        <v>C</v>
      </c>
      <c r="G147" s="9">
        <v>58</v>
      </c>
      <c r="H147" s="9" t="str">
        <f>IFERROR(MID(VLOOKUP($B147,Seqs!$A:$B,2,0),I147,1),"")</f>
        <v/>
      </c>
      <c r="I147" s="109" t="s">
        <v>23</v>
      </c>
      <c r="J147" s="9" t="str">
        <f>IFERROR(MID(VLOOKUP($B147,Seqs!$A:$B,2,0),K147,1),"")</f>
        <v/>
      </c>
      <c r="K147" s="109" t="s">
        <v>23</v>
      </c>
      <c r="L147" s="9" t="str">
        <f>IFERROR(MID(VLOOKUP($B147,Seqs!$A:$B,2,0),M147,1),"")</f>
        <v>S</v>
      </c>
      <c r="M147" s="9">
        <v>63</v>
      </c>
      <c r="N147" s="9" t="str">
        <f>IFERROR(MID(VLOOKUP($B147,Seqs!$A:$B,2,0),O147,1),"")</f>
        <v>A</v>
      </c>
      <c r="O147" s="9">
        <v>92</v>
      </c>
      <c r="P147" s="9" t="str">
        <f>IFERROR(MID(VLOOKUP($B147,Seqs!$A:$B,2,0),Q147,1),"")</f>
        <v>Q</v>
      </c>
      <c r="Q147" s="9">
        <v>93</v>
      </c>
      <c r="R147" s="9" t="str">
        <f>IFERROR(MID(VLOOKUP($B147,Seqs!$A:$B,2,0),S147,1),"")</f>
        <v>F</v>
      </c>
      <c r="S147" s="9">
        <v>96</v>
      </c>
      <c r="T147" s="9" t="str">
        <f>IFERROR(MID(VLOOKUP($B147,Seqs!$A:$B,2,0),U147,1),"")</f>
        <v>G</v>
      </c>
      <c r="U147" s="9">
        <v>97</v>
      </c>
      <c r="V147" s="9" t="str">
        <f>IFERROR(MID(VLOOKUP($B147,Seqs!$A:$B,2,0),W147,1),"")</f>
        <v>H</v>
      </c>
      <c r="W147" s="9">
        <v>132</v>
      </c>
      <c r="X147" s="9" t="str">
        <f>IFERROR(MID(VLOOKUP($B147,Seqs!$A:$B,2,0),Y147,1),"")</f>
        <v>A</v>
      </c>
      <c r="Y147" s="9">
        <v>133</v>
      </c>
      <c r="Z147" s="9" t="str">
        <f>IFERROR(MID(VLOOKUP($B147,Seqs!$A:$B,2,0),AA147,1),"")</f>
        <v>R</v>
      </c>
      <c r="AA147" s="9">
        <v>140</v>
      </c>
      <c r="AB147" s="9" t="str">
        <f>IFERROR(MID(VLOOKUP($B147,Seqs!$A:$B,2,0),AC147,1),"")</f>
        <v>T</v>
      </c>
      <c r="AC147" s="9">
        <v>141</v>
      </c>
      <c r="AD147" s="9" t="str">
        <f>IFERROR(MID(VLOOKUP($B147,Seqs!$A:$B,2,0),AE147,1),"")</f>
        <v>T</v>
      </c>
      <c r="AE147" s="9">
        <v>167</v>
      </c>
      <c r="AF147" s="9" t="str">
        <f>IFERROR(MID(VLOOKUP($B147,Seqs!$A:$B,2,0),AG147,1),"")</f>
        <v>C</v>
      </c>
      <c r="AG147" s="9">
        <v>178</v>
      </c>
      <c r="AH147" s="9" t="str">
        <f>IFERROR(MID(VLOOKUP($B147,Seqs!$A:$B,2,0),AI147,1),"")</f>
        <v>S</v>
      </c>
      <c r="AI147" s="9">
        <v>180</v>
      </c>
      <c r="AJ147" s="9" t="str">
        <f>IFERROR(MID(VLOOKUP($B147,Seqs!$A:$B,2,0),AK147,1),"")</f>
        <v>Q</v>
      </c>
      <c r="AK147" s="9">
        <v>186</v>
      </c>
      <c r="AL147" s="9" t="str">
        <f>IFERROR(MID(VLOOKUP($B147,Seqs!$A:$B,2,0),AM147,1),"")</f>
        <v>R</v>
      </c>
      <c r="AM147" s="9">
        <v>223</v>
      </c>
      <c r="AN147" s="9" t="str">
        <f>IFERROR(MID(VLOOKUP($B147,Seqs!$A:$B,2,0),AO147,1),"")</f>
        <v>K</v>
      </c>
      <c r="AO147" s="9">
        <v>228</v>
      </c>
      <c r="AP147" s="9" t="str">
        <f>IFERROR(MID(VLOOKUP($B147,Seqs!$A:$B,2,0),AQ147,1),"")</f>
        <v>G</v>
      </c>
      <c r="AQ147" s="9">
        <v>265</v>
      </c>
      <c r="AR147" s="9" t="str">
        <f>IFERROR(MID(VLOOKUP($B147,Seqs!$A:$B,2,0),AS147,1),"")</f>
        <v>N</v>
      </c>
      <c r="AS147" s="9">
        <v>268</v>
      </c>
      <c r="AT147" s="9" t="str">
        <f>IFERROR(MID(VLOOKUP($B147,Seqs!$A:$B,2,0),AU147,1),"")</f>
        <v>V</v>
      </c>
      <c r="AU147" s="9">
        <v>300</v>
      </c>
      <c r="AV147" s="9" t="str">
        <f>IFERROR(MID(VLOOKUP($B147,Seqs!$A:$B,2,0),AW147,1),"")</f>
        <v>G</v>
      </c>
      <c r="AW147" s="9">
        <v>301</v>
      </c>
      <c r="AX147" s="9" t="str">
        <f>IFERROR(MID(VLOOKUP($B147,Seqs!$A:$B,2,0),AY147,1),"")</f>
        <v>Q</v>
      </c>
      <c r="AY147" s="9">
        <v>313</v>
      </c>
      <c r="AZ147" s="110" t="str">
        <f>VLOOKUP(B147,Classification!A:D,2,0)</f>
        <v>A</v>
      </c>
      <c r="BA147" s="98" t="str">
        <f>VLOOKUP(B147,Classification!A:D,4,0)</f>
        <v>Chemokine</v>
      </c>
      <c r="BB147" s="36" t="b">
        <f>AND(E147&lt;G147,OR(G147&lt;I147,I147="-"),OR(I147&lt;K147,I147="-"),OR(K147&lt;M147,K147="-"),M147&lt;O147,OR(O147&lt;Q147,Q147="-"),OR(Q147&lt;S147,Q147="-"),OR(S147&lt;U147,S147="-"),U147&lt;W147,OR(W147&lt;Y147,Y147="-"),OR(Y147&lt;AA147,Y147="-"),OR(AA147&lt;AC147,AA147="-"),AC147&lt;AE147,OR(AE147&lt;AG147,AG147="-"),OR(AG147&lt;AI147,AG147="-"),OR(AI147&lt;AK147,AI147="-"),AK147&lt;AM147,AM147&lt;AO147,AO147&lt;AQ147,AQ147&lt;AS147,AS147&lt;AU147,OR(AU147&lt;AW147,AW147="-"),OR(AW147&lt;AY147,AW147="-"))</f>
        <v>1</v>
      </c>
      <c r="BC147" s="109">
        <f>_xlfn.AGGREGATE(9,6,CH147:CS147)-_xlfn.AGGREGATE(9,6,BV147:CG147)+12</f>
        <v>265</v>
      </c>
      <c r="BD147" s="40" t="s">
        <v>23</v>
      </c>
      <c r="BE147" s="9" t="s">
        <v>1380</v>
      </c>
      <c r="BF147" s="120">
        <v>2.8</v>
      </c>
      <c r="BG147" s="51" t="s">
        <v>1287</v>
      </c>
      <c r="BH147" s="51" t="s">
        <v>1287</v>
      </c>
      <c r="BJ147" s="111" t="s">
        <v>1293</v>
      </c>
      <c r="BK147" s="112" t="s">
        <v>1293</v>
      </c>
      <c r="BL147" s="112" t="s">
        <v>1293</v>
      </c>
      <c r="BM147" s="112" t="s">
        <v>1293</v>
      </c>
      <c r="BN147" s="112" t="s">
        <v>1293</v>
      </c>
      <c r="BO147" s="112" t="s">
        <v>1293</v>
      </c>
      <c r="BP147" s="112" t="s">
        <v>1293</v>
      </c>
      <c r="BQ147" s="112" t="s">
        <v>1293</v>
      </c>
      <c r="BR147" s="112" t="s">
        <v>1293</v>
      </c>
      <c r="BS147" s="112" t="s">
        <v>1293</v>
      </c>
      <c r="BT147" s="112" t="s">
        <v>1293</v>
      </c>
      <c r="BU147" s="112" t="s">
        <v>1293</v>
      </c>
      <c r="BV147" s="111">
        <f>E147</f>
        <v>25</v>
      </c>
      <c r="BW147" s="113" t="str">
        <f>I147</f>
        <v>-</v>
      </c>
      <c r="BX147" s="114">
        <f>M147</f>
        <v>63</v>
      </c>
      <c r="BY147" s="113">
        <f>Q147</f>
        <v>93</v>
      </c>
      <c r="BZ147" s="114">
        <f>U147</f>
        <v>97</v>
      </c>
      <c r="CA147" s="113">
        <f>Y147</f>
        <v>133</v>
      </c>
      <c r="CB147" s="114">
        <f>AC147</f>
        <v>141</v>
      </c>
      <c r="CC147" s="113">
        <f>AG147</f>
        <v>178</v>
      </c>
      <c r="CD147" s="114">
        <f>AK147</f>
        <v>186</v>
      </c>
      <c r="CE147" s="113">
        <f>AO147</f>
        <v>228</v>
      </c>
      <c r="CF147" s="114">
        <f>AS147</f>
        <v>268</v>
      </c>
      <c r="CG147" s="113">
        <f>AW147</f>
        <v>301</v>
      </c>
      <c r="CH147" s="111">
        <f>G147</f>
        <v>58</v>
      </c>
      <c r="CI147" s="113" t="str">
        <f>K147</f>
        <v>-</v>
      </c>
      <c r="CJ147" s="114">
        <f>O147</f>
        <v>92</v>
      </c>
      <c r="CK147" s="114">
        <f>S147</f>
        <v>96</v>
      </c>
      <c r="CL147" s="114">
        <f>W147</f>
        <v>132</v>
      </c>
      <c r="CM147" s="114">
        <f>AA147</f>
        <v>140</v>
      </c>
      <c r="CN147" s="114">
        <f>AE147</f>
        <v>167</v>
      </c>
      <c r="CO147" s="114">
        <f>AI147</f>
        <v>180</v>
      </c>
      <c r="CP147" s="114">
        <f>AM147</f>
        <v>223</v>
      </c>
      <c r="CQ147" s="114">
        <f>AQ147</f>
        <v>265</v>
      </c>
      <c r="CR147" s="114">
        <f>AU147</f>
        <v>300</v>
      </c>
      <c r="CS147" s="114">
        <f>AY147</f>
        <v>313</v>
      </c>
      <c r="CT147" s="109" t="e">
        <f>M147-K147</f>
        <v>#VALUE!</v>
      </c>
    </row>
    <row r="148" spans="1:1030" s="12" customFormat="1" x14ac:dyDescent="0.2">
      <c r="A148" s="9" t="str">
        <f>CONCATENATE(B148,"_",C148)</f>
        <v>ccr5_human_6AKY</v>
      </c>
      <c r="B148" s="9" t="s">
        <v>173</v>
      </c>
      <c r="C148" s="9" t="s">
        <v>1544</v>
      </c>
      <c r="D148" s="9" t="str">
        <f>IFERROR(MID(VLOOKUP($B148,Seqs!$A:$B,2,0),E148,1),"")</f>
        <v>V</v>
      </c>
      <c r="E148" s="9">
        <v>25</v>
      </c>
      <c r="F148" s="9" t="str">
        <f>IFERROR(MID(VLOOKUP($B148,Seqs!$A:$B,2,0),G148,1),"")</f>
        <v>C</v>
      </c>
      <c r="G148" s="9">
        <v>58</v>
      </c>
      <c r="H148" s="9" t="str">
        <f>IFERROR(MID(VLOOKUP($B148,Seqs!$A:$B,2,0),I148,1),"")</f>
        <v/>
      </c>
      <c r="I148" s="109" t="s">
        <v>23</v>
      </c>
      <c r="J148" s="9" t="str">
        <f>IFERROR(MID(VLOOKUP($B148,Seqs!$A:$B,2,0),K148,1),"")</f>
        <v/>
      </c>
      <c r="K148" s="109" t="s">
        <v>23</v>
      </c>
      <c r="L148" s="9" t="str">
        <f>IFERROR(MID(VLOOKUP($B148,Seqs!$A:$B,2,0),M148,1),"")</f>
        <v>S</v>
      </c>
      <c r="M148" s="9">
        <v>63</v>
      </c>
      <c r="N148" s="9" t="str">
        <f>IFERROR(MID(VLOOKUP($B148,Seqs!$A:$B,2,0),O148,1),"")</f>
        <v>A</v>
      </c>
      <c r="O148" s="9">
        <v>92</v>
      </c>
      <c r="P148" s="9" t="str">
        <f>IFERROR(MID(VLOOKUP($B148,Seqs!$A:$B,2,0),Q148,1),"")</f>
        <v>Q</v>
      </c>
      <c r="Q148" s="9">
        <v>93</v>
      </c>
      <c r="R148" s="9" t="str">
        <f>IFERROR(MID(VLOOKUP($B148,Seqs!$A:$B,2,0),S148,1),"")</f>
        <v>F</v>
      </c>
      <c r="S148" s="9">
        <v>96</v>
      </c>
      <c r="T148" s="9" t="str">
        <f>IFERROR(MID(VLOOKUP($B148,Seqs!$A:$B,2,0),U148,1),"")</f>
        <v>G</v>
      </c>
      <c r="U148" s="9">
        <v>97</v>
      </c>
      <c r="V148" s="9" t="str">
        <f>IFERROR(MID(VLOOKUP($B148,Seqs!$A:$B,2,0),W148,1),"")</f>
        <v>H</v>
      </c>
      <c r="W148" s="9">
        <v>132</v>
      </c>
      <c r="X148" s="9" t="str">
        <f>IFERROR(MID(VLOOKUP($B148,Seqs!$A:$B,2,0),Y148,1),"")</f>
        <v>A</v>
      </c>
      <c r="Y148" s="9">
        <v>133</v>
      </c>
      <c r="Z148" s="9" t="str">
        <f>IFERROR(MID(VLOOKUP($B148,Seqs!$A:$B,2,0),AA148,1),"")</f>
        <v>R</v>
      </c>
      <c r="AA148" s="9">
        <v>140</v>
      </c>
      <c r="AB148" s="9" t="str">
        <f>IFERROR(MID(VLOOKUP($B148,Seqs!$A:$B,2,0),AC148,1),"")</f>
        <v>T</v>
      </c>
      <c r="AC148" s="9">
        <v>141</v>
      </c>
      <c r="AD148" s="9" t="str">
        <f>IFERROR(MID(VLOOKUP($B148,Seqs!$A:$B,2,0),AE148,1),"")</f>
        <v>T</v>
      </c>
      <c r="AE148" s="9">
        <v>167</v>
      </c>
      <c r="AF148" s="9" t="str">
        <f>IFERROR(MID(VLOOKUP($B148,Seqs!$A:$B,2,0),AG148,1),"")</f>
        <v>C</v>
      </c>
      <c r="AG148" s="9">
        <v>178</v>
      </c>
      <c r="AH148" s="9" t="str">
        <f>IFERROR(MID(VLOOKUP($B148,Seqs!$A:$B,2,0),AI148,1),"")</f>
        <v>S</v>
      </c>
      <c r="AI148" s="9">
        <v>180</v>
      </c>
      <c r="AJ148" s="9" t="str">
        <f>IFERROR(MID(VLOOKUP($B148,Seqs!$A:$B,2,0),AK148,1),"")</f>
        <v>Q</v>
      </c>
      <c r="AK148" s="9">
        <v>186</v>
      </c>
      <c r="AL148" s="9" t="str">
        <f>IFERROR(MID(VLOOKUP($B148,Seqs!$A:$B,2,0),AM148,1),"")</f>
        <v>R</v>
      </c>
      <c r="AM148" s="9">
        <v>223</v>
      </c>
      <c r="AN148" s="9" t="str">
        <f>IFERROR(MID(VLOOKUP($B148,Seqs!$A:$B,2,0),AO148,1),"")</f>
        <v>H</v>
      </c>
      <c r="AO148" s="9">
        <v>231</v>
      </c>
      <c r="AP148" s="9" t="str">
        <f>IFERROR(MID(VLOOKUP($B148,Seqs!$A:$B,2,0),AQ148,1),"")</f>
        <v>F</v>
      </c>
      <c r="AQ148" s="9">
        <v>260</v>
      </c>
      <c r="AR148" s="9" t="str">
        <f>IFERROR(MID(VLOOKUP($B148,Seqs!$A:$B,2,0),AS148,1),"")</f>
        <v>N</v>
      </c>
      <c r="AS148" s="9">
        <v>268</v>
      </c>
      <c r="AT148" s="9" t="str">
        <f>IFERROR(MID(VLOOKUP($B148,Seqs!$A:$B,2,0),AU148,1),"")</f>
        <v>V</v>
      </c>
      <c r="AU148" s="9">
        <v>300</v>
      </c>
      <c r="AV148" s="9" t="str">
        <f>IFERROR(MID(VLOOKUP($B148,Seqs!$A:$B,2,0),AW148,1),"")</f>
        <v>G</v>
      </c>
      <c r="AW148" s="9">
        <v>301</v>
      </c>
      <c r="AX148" s="9" t="str">
        <f>IFERROR(MID(VLOOKUP($B148,Seqs!$A:$B,2,0),AY148,1),"")</f>
        <v>L</v>
      </c>
      <c r="AY148" s="9">
        <v>308</v>
      </c>
      <c r="AZ148" s="110" t="str">
        <f>VLOOKUP(B148,Classification!A:D,2,0)</f>
        <v>A</v>
      </c>
      <c r="BA148" s="98" t="str">
        <f>VLOOKUP(B148,Classification!A:D,4,0)</f>
        <v>Chemokine</v>
      </c>
      <c r="BB148" s="36" t="b">
        <f>AND(E148&lt;G148,OR(G148&lt;I148,I148="-"),OR(I148&lt;K148,I148="-"),OR(K148&lt;M148,K148="-"),M148&lt;O148,OR(O148&lt;Q148,Q148="-"),OR(Q148&lt;S148,Q148="-"),OR(S148&lt;U148,S148="-"),U148&lt;W148,OR(W148&lt;Y148,Y148="-"),OR(Y148&lt;AA148,Y148="-"),OR(AA148&lt;AC148,AA148="-"),AC148&lt;AE148,OR(AE148&lt;AG148,AG148="-"),OR(AG148&lt;AI148,AG148="-"),OR(AI148&lt;AK148,AI148="-"),AK148&lt;AM148,AM148&lt;AO148,AO148&lt;AQ148,AQ148&lt;AS148,AS148&lt;AU148,OR(AU148&lt;AW148,AW148="-"),OR(AW148&lt;AY148,AW148="-"))</f>
        <v>1</v>
      </c>
      <c r="BC148" s="109">
        <f>_xlfn.AGGREGATE(9,6,CH148:CS148)-_xlfn.AGGREGATE(9,6,BV148:CG148)+12</f>
        <v>252</v>
      </c>
      <c r="BD148" s="40" t="s">
        <v>23</v>
      </c>
      <c r="BE148" s="9" t="s">
        <v>1380</v>
      </c>
      <c r="BF148" s="120">
        <v>2.8</v>
      </c>
      <c r="BG148" s="51" t="s">
        <v>1287</v>
      </c>
      <c r="BH148" s="51" t="s">
        <v>1287</v>
      </c>
      <c r="BJ148" s="111" t="s">
        <v>1293</v>
      </c>
      <c r="BK148" s="112" t="s">
        <v>1293</v>
      </c>
      <c r="BL148" s="112" t="s">
        <v>1293</v>
      </c>
      <c r="BM148" s="112" t="s">
        <v>1293</v>
      </c>
      <c r="BN148" s="112" t="s">
        <v>1293</v>
      </c>
      <c r="BO148" s="112" t="s">
        <v>1293</v>
      </c>
      <c r="BP148" s="112" t="s">
        <v>1293</v>
      </c>
      <c r="BQ148" s="112" t="s">
        <v>1293</v>
      </c>
      <c r="BR148" s="112" t="s">
        <v>1293</v>
      </c>
      <c r="BS148" s="112" t="s">
        <v>1293</v>
      </c>
      <c r="BT148" s="112" t="s">
        <v>1293</v>
      </c>
      <c r="BU148" s="112" t="s">
        <v>1293</v>
      </c>
      <c r="BV148" s="111">
        <f>E148</f>
        <v>25</v>
      </c>
      <c r="BW148" s="113" t="str">
        <f>I148</f>
        <v>-</v>
      </c>
      <c r="BX148" s="114">
        <f>M148</f>
        <v>63</v>
      </c>
      <c r="BY148" s="113">
        <f>Q148</f>
        <v>93</v>
      </c>
      <c r="BZ148" s="114">
        <f>U148</f>
        <v>97</v>
      </c>
      <c r="CA148" s="113">
        <f>Y148</f>
        <v>133</v>
      </c>
      <c r="CB148" s="114">
        <f>AC148</f>
        <v>141</v>
      </c>
      <c r="CC148" s="113">
        <f>AG148</f>
        <v>178</v>
      </c>
      <c r="CD148" s="114">
        <f>AK148</f>
        <v>186</v>
      </c>
      <c r="CE148" s="113">
        <f>AO148</f>
        <v>231</v>
      </c>
      <c r="CF148" s="114">
        <f>AS148</f>
        <v>268</v>
      </c>
      <c r="CG148" s="113">
        <f>AW148</f>
        <v>301</v>
      </c>
      <c r="CH148" s="111">
        <f>G148</f>
        <v>58</v>
      </c>
      <c r="CI148" s="113" t="str">
        <f>K148</f>
        <v>-</v>
      </c>
      <c r="CJ148" s="114">
        <f>O148</f>
        <v>92</v>
      </c>
      <c r="CK148" s="114">
        <f>S148</f>
        <v>96</v>
      </c>
      <c r="CL148" s="114">
        <f>W148</f>
        <v>132</v>
      </c>
      <c r="CM148" s="114">
        <f>AA148</f>
        <v>140</v>
      </c>
      <c r="CN148" s="114">
        <f>AE148</f>
        <v>167</v>
      </c>
      <c r="CO148" s="114">
        <f>AI148</f>
        <v>180</v>
      </c>
      <c r="CP148" s="114">
        <f>AM148</f>
        <v>223</v>
      </c>
      <c r="CQ148" s="114">
        <f>AQ148</f>
        <v>260</v>
      </c>
      <c r="CR148" s="114">
        <f>AU148</f>
        <v>300</v>
      </c>
      <c r="CS148" s="114">
        <f>AY148</f>
        <v>308</v>
      </c>
      <c r="CT148" s="109" t="e">
        <f>M148-K148</f>
        <v>#VALUE!</v>
      </c>
    </row>
    <row r="149" spans="1:1030" s="12" customFormat="1" x14ac:dyDescent="0.2">
      <c r="A149" s="9" t="str">
        <f>CONCATENATE(B149,"_",C149)</f>
        <v>ccr5_human_6MEO</v>
      </c>
      <c r="B149" s="9" t="s">
        <v>173</v>
      </c>
      <c r="C149" s="9" t="s">
        <v>1563</v>
      </c>
      <c r="D149" s="9" t="str">
        <f>IFERROR(MID(VLOOKUP($B149,Seqs!$A:$B,2,0),E149,1),"")</f>
        <v>K</v>
      </c>
      <c r="E149" s="9">
        <v>26</v>
      </c>
      <c r="F149" s="9" t="str">
        <f>IFERROR(MID(VLOOKUP($B149,Seqs!$A:$B,2,0),G149,1),"")</f>
        <v>R</v>
      </c>
      <c r="G149" s="9">
        <v>60</v>
      </c>
      <c r="H149" s="9" t="str">
        <f>IFERROR(MID(VLOOKUP($B149,Seqs!$A:$B,2,0),I149,1),"")</f>
        <v/>
      </c>
      <c r="I149" s="109" t="s">
        <v>23</v>
      </c>
      <c r="J149" s="9" t="str">
        <f>IFERROR(MID(VLOOKUP($B149,Seqs!$A:$B,2,0),K149,1),"")</f>
        <v/>
      </c>
      <c r="K149" s="109" t="s">
        <v>23</v>
      </c>
      <c r="L149" s="9" t="str">
        <f>IFERROR(MID(VLOOKUP($B149,Seqs!$A:$B,2,0),M149,1),"")</f>
        <v>S</v>
      </c>
      <c r="M149" s="9">
        <v>63</v>
      </c>
      <c r="N149" s="9" t="str">
        <f>IFERROR(MID(VLOOKUP($B149,Seqs!$A:$B,2,0),O149,1),"")</f>
        <v>A</v>
      </c>
      <c r="O149" s="9">
        <v>90</v>
      </c>
      <c r="P149" s="9" t="str">
        <f>IFERROR(MID(VLOOKUP($B149,Seqs!$A:$B,2,0),Q149,1),"")</f>
        <v>Q</v>
      </c>
      <c r="Q149" s="9">
        <v>93</v>
      </c>
      <c r="R149" s="9" t="str">
        <f>IFERROR(MID(VLOOKUP($B149,Seqs!$A:$B,2,0),S149,1),"")</f>
        <v>F</v>
      </c>
      <c r="S149" s="9">
        <v>96</v>
      </c>
      <c r="T149" s="9" t="str">
        <f>IFERROR(MID(VLOOKUP($B149,Seqs!$A:$B,2,0),U149,1),"")</f>
        <v>M</v>
      </c>
      <c r="U149" s="9">
        <v>100</v>
      </c>
      <c r="V149" s="9" t="str">
        <f>IFERROR(MID(VLOOKUP($B149,Seqs!$A:$B,2,0),W149,1),"")</f>
        <v>H</v>
      </c>
      <c r="W149" s="9">
        <v>132</v>
      </c>
      <c r="X149" s="9" t="str">
        <f>IFERROR(MID(VLOOKUP($B149,Seqs!$A:$B,2,0),Y149,1),"")</f>
        <v>A</v>
      </c>
      <c r="Y149" s="9">
        <v>133</v>
      </c>
      <c r="Z149" s="9" t="str">
        <f>IFERROR(MID(VLOOKUP($B149,Seqs!$A:$B,2,0),AA149,1),"")</f>
        <v>R</v>
      </c>
      <c r="AA149" s="9">
        <v>140</v>
      </c>
      <c r="AB149" s="9" t="str">
        <f>IFERROR(MID(VLOOKUP($B149,Seqs!$A:$B,2,0),AC149,1),"")</f>
        <v>T</v>
      </c>
      <c r="AC149" s="9">
        <v>141</v>
      </c>
      <c r="AD149" s="9" t="str">
        <f>IFERROR(MID(VLOOKUP($B149,Seqs!$A:$B,2,0),AE149,1),"")</f>
        <v>I</v>
      </c>
      <c r="AE149" s="9">
        <v>165</v>
      </c>
      <c r="AF149" s="9" t="str">
        <f>IFERROR(MID(VLOOKUP($B149,Seqs!$A:$B,2,0),AG149,1),"")</f>
        <v>C</v>
      </c>
      <c r="AG149" s="9">
        <v>178</v>
      </c>
      <c r="AH149" s="9" t="str">
        <f>IFERROR(MID(VLOOKUP($B149,Seqs!$A:$B,2,0),AI149,1),"")</f>
        <v>S</v>
      </c>
      <c r="AI149" s="9">
        <v>180</v>
      </c>
      <c r="AJ149" s="9" t="str">
        <f>IFERROR(MID(VLOOKUP($B149,Seqs!$A:$B,2,0),AK149,1),"")</f>
        <v>Q</v>
      </c>
      <c r="AK149" s="9">
        <v>186</v>
      </c>
      <c r="AL149" s="9" t="str">
        <f>IFERROR(MID(VLOOKUP($B149,Seqs!$A:$B,2,0),AM149,1),"")</f>
        <v>C</v>
      </c>
      <c r="AM149" s="9">
        <v>224</v>
      </c>
      <c r="AN149" s="9" t="str">
        <f>IFERROR(MID(VLOOKUP($B149,Seqs!$A:$B,2,0),AO149,1),"")</f>
        <v>K</v>
      </c>
      <c r="AO149" s="9">
        <v>228</v>
      </c>
      <c r="AP149" s="9" t="str">
        <f>IFERROR(MID(VLOOKUP($B149,Seqs!$A:$B,2,0),AQ149,1),"")</f>
        <v>F</v>
      </c>
      <c r="AQ149" s="9">
        <v>260</v>
      </c>
      <c r="AR149" s="9" t="str">
        <f>IFERROR(MID(VLOOKUP($B149,Seqs!$A:$B,2,0),AS149,1),"")</f>
        <v>N</v>
      </c>
      <c r="AS149" s="9">
        <v>268</v>
      </c>
      <c r="AT149" s="9" t="str">
        <f>IFERROR(MID(VLOOKUP($B149,Seqs!$A:$B,2,0),AU149,1),"")</f>
        <v>V</v>
      </c>
      <c r="AU149" s="9">
        <v>300</v>
      </c>
      <c r="AV149" s="9" t="str">
        <f>IFERROR(MID(VLOOKUP($B149,Seqs!$A:$B,2,0),AW149,1),"")</f>
        <v/>
      </c>
      <c r="AW149" s="9" t="s">
        <v>23</v>
      </c>
      <c r="AX149" s="9" t="str">
        <f>IFERROR(MID(VLOOKUP($B149,Seqs!$A:$B,2,0),AY149,1),"")</f>
        <v/>
      </c>
      <c r="AY149" s="9" t="s">
        <v>23</v>
      </c>
      <c r="AZ149" s="110" t="str">
        <f>VLOOKUP(B149,Classification!A:D,2,0)</f>
        <v>A</v>
      </c>
      <c r="BA149" s="98" t="str">
        <f>VLOOKUP(B149,Classification!A:D,4,0)</f>
        <v>Chemokine</v>
      </c>
      <c r="BB149" s="36" t="b">
        <f>AND(E149&lt;G149,OR(G149&lt;I149,I149="-"),OR(I149&lt;K149,I149="-"),OR(K149&lt;M149,K149="-"),M149&lt;O149,OR(O149&lt;Q149,Q149="-"),OR(Q149&lt;S149,Q149="-"),OR(S149&lt;U149,S149="-"),U149&lt;W149,OR(W149&lt;Y149,Y149="-"),OR(Y149&lt;AA149,Y149="-"),OR(AA149&lt;AC149,AA149="-"),AC149&lt;AE149,OR(AE149&lt;AG149,AG149="-"),OR(AG149&lt;AI149,AG149="-"),OR(AI149&lt;AK149,AI149="-"),AK149&lt;AM149,AM149&lt;AO149,AO149&lt;AQ149,AQ149&lt;AS149,AS149&lt;AU149,OR(AU149&lt;AW149,AW149="-"),OR(AW149&lt;AY149,AW149="-"))</f>
        <v>1</v>
      </c>
      <c r="BC149" s="109">
        <f>_xlfn.AGGREGATE(9,6,CH149:CS149)-_xlfn.AGGREGATE(9,6,BV149:CG149)+12</f>
        <v>243</v>
      </c>
      <c r="BD149" s="40" t="s">
        <v>23</v>
      </c>
      <c r="BE149" s="9" t="s">
        <v>1380</v>
      </c>
      <c r="BF149" s="120">
        <v>3.9</v>
      </c>
      <c r="BG149" s="51" t="s">
        <v>1287</v>
      </c>
      <c r="BH149" s="51" t="s">
        <v>1287</v>
      </c>
      <c r="BJ149" s="111" t="s">
        <v>1293</v>
      </c>
      <c r="BK149" s="112" t="s">
        <v>1293</v>
      </c>
      <c r="BL149" s="112" t="s">
        <v>1293</v>
      </c>
      <c r="BM149" s="112" t="s">
        <v>1293</v>
      </c>
      <c r="BN149" s="112" t="s">
        <v>1293</v>
      </c>
      <c r="BO149" s="112" t="s">
        <v>1293</v>
      </c>
      <c r="BP149" s="112" t="s">
        <v>1293</v>
      </c>
      <c r="BQ149" s="112" t="s">
        <v>1293</v>
      </c>
      <c r="BR149" s="112" t="s">
        <v>1293</v>
      </c>
      <c r="BS149" s="112" t="s">
        <v>1293</v>
      </c>
      <c r="BT149" s="112" t="s">
        <v>1293</v>
      </c>
      <c r="BU149" s="112" t="s">
        <v>1293</v>
      </c>
      <c r="BV149" s="111">
        <f>E149</f>
        <v>26</v>
      </c>
      <c r="BW149" s="113" t="str">
        <f>I149</f>
        <v>-</v>
      </c>
      <c r="BX149" s="114">
        <f>M149</f>
        <v>63</v>
      </c>
      <c r="BY149" s="113">
        <f>Q149</f>
        <v>93</v>
      </c>
      <c r="BZ149" s="114">
        <f>U149</f>
        <v>100</v>
      </c>
      <c r="CA149" s="113">
        <f>Y149</f>
        <v>133</v>
      </c>
      <c r="CB149" s="114">
        <f>AC149</f>
        <v>141</v>
      </c>
      <c r="CC149" s="113">
        <f>AG149</f>
        <v>178</v>
      </c>
      <c r="CD149" s="114">
        <f>AK149</f>
        <v>186</v>
      </c>
      <c r="CE149" s="113">
        <f>AO149</f>
        <v>228</v>
      </c>
      <c r="CF149" s="114">
        <f>AS149</f>
        <v>268</v>
      </c>
      <c r="CG149" s="113" t="str">
        <f>AW149</f>
        <v>-</v>
      </c>
      <c r="CH149" s="111">
        <f>G149</f>
        <v>60</v>
      </c>
      <c r="CI149" s="113" t="str">
        <f>K149</f>
        <v>-</v>
      </c>
      <c r="CJ149" s="114">
        <f>O149</f>
        <v>90</v>
      </c>
      <c r="CK149" s="114">
        <f>S149</f>
        <v>96</v>
      </c>
      <c r="CL149" s="114">
        <f>W149</f>
        <v>132</v>
      </c>
      <c r="CM149" s="114">
        <f>AA149</f>
        <v>140</v>
      </c>
      <c r="CN149" s="114">
        <f>AE149</f>
        <v>165</v>
      </c>
      <c r="CO149" s="114">
        <f>AI149</f>
        <v>180</v>
      </c>
      <c r="CP149" s="114">
        <f>AM149</f>
        <v>224</v>
      </c>
      <c r="CQ149" s="114">
        <f>AQ149</f>
        <v>260</v>
      </c>
      <c r="CR149" s="114">
        <f>AU149</f>
        <v>300</v>
      </c>
      <c r="CS149" s="114" t="str">
        <f>AY149</f>
        <v>-</v>
      </c>
      <c r="CT149" s="109" t="e">
        <f>M149-K149</f>
        <v>#VALUE!</v>
      </c>
    </row>
    <row r="150" spans="1:1030" s="12" customFormat="1" x14ac:dyDescent="0.2">
      <c r="A150" s="9" t="str">
        <f>CONCATENATE(B150,"_",C150)</f>
        <v>ccr5_human_6MET</v>
      </c>
      <c r="B150" s="9" t="s">
        <v>173</v>
      </c>
      <c r="C150" s="9" t="s">
        <v>1562</v>
      </c>
      <c r="D150" s="9" t="str">
        <f>IFERROR(MID(VLOOKUP($B150,Seqs!$A:$B,2,0),E150,1),"")</f>
        <v>K</v>
      </c>
      <c r="E150" s="9">
        <v>26</v>
      </c>
      <c r="F150" s="9" t="str">
        <f>IFERROR(MID(VLOOKUP($B150,Seqs!$A:$B,2,0),G150,1),"")</f>
        <v>R</v>
      </c>
      <c r="G150" s="9">
        <v>60</v>
      </c>
      <c r="H150" s="9" t="str">
        <f>IFERROR(MID(VLOOKUP($B150,Seqs!$A:$B,2,0),I150,1),"")</f>
        <v/>
      </c>
      <c r="I150" s="109" t="s">
        <v>23</v>
      </c>
      <c r="J150" s="9" t="str">
        <f>IFERROR(MID(VLOOKUP($B150,Seqs!$A:$B,2,0),K150,1),"")</f>
        <v/>
      </c>
      <c r="K150" s="109" t="s">
        <v>23</v>
      </c>
      <c r="L150" s="9" t="str">
        <f>IFERROR(MID(VLOOKUP($B150,Seqs!$A:$B,2,0),M150,1),"")</f>
        <v>S</v>
      </c>
      <c r="M150" s="9">
        <v>63</v>
      </c>
      <c r="N150" s="9" t="str">
        <f>IFERROR(MID(VLOOKUP($B150,Seqs!$A:$B,2,0),O150,1),"")</f>
        <v>A</v>
      </c>
      <c r="O150" s="9">
        <v>90</v>
      </c>
      <c r="P150" s="9" t="str">
        <f>IFERROR(MID(VLOOKUP($B150,Seqs!$A:$B,2,0),Q150,1),"")</f>
        <v>Q</v>
      </c>
      <c r="Q150" s="9">
        <v>93</v>
      </c>
      <c r="R150" s="9" t="str">
        <f>IFERROR(MID(VLOOKUP($B150,Seqs!$A:$B,2,0),S150,1),"")</f>
        <v>F</v>
      </c>
      <c r="S150" s="9">
        <v>96</v>
      </c>
      <c r="T150" s="9" t="str">
        <f>IFERROR(MID(VLOOKUP($B150,Seqs!$A:$B,2,0),U150,1),"")</f>
        <v>M</v>
      </c>
      <c r="U150" s="9">
        <v>100</v>
      </c>
      <c r="V150" s="9" t="str">
        <f>IFERROR(MID(VLOOKUP($B150,Seqs!$A:$B,2,0),W150,1),"")</f>
        <v>H</v>
      </c>
      <c r="W150" s="9">
        <v>132</v>
      </c>
      <c r="X150" s="9" t="str">
        <f>IFERROR(MID(VLOOKUP($B150,Seqs!$A:$B,2,0),Y150,1),"")</f>
        <v>A</v>
      </c>
      <c r="Y150" s="9">
        <v>133</v>
      </c>
      <c r="Z150" s="9" t="str">
        <f>IFERROR(MID(VLOOKUP($B150,Seqs!$A:$B,2,0),AA150,1),"")</f>
        <v>R</v>
      </c>
      <c r="AA150" s="9">
        <v>140</v>
      </c>
      <c r="AB150" s="9" t="str">
        <f>IFERROR(MID(VLOOKUP($B150,Seqs!$A:$B,2,0),AC150,1),"")</f>
        <v>T</v>
      </c>
      <c r="AC150" s="9">
        <v>141</v>
      </c>
      <c r="AD150" s="9" t="str">
        <f>IFERROR(MID(VLOOKUP($B150,Seqs!$A:$B,2,0),AE150,1),"")</f>
        <v>I</v>
      </c>
      <c r="AE150" s="9">
        <v>165</v>
      </c>
      <c r="AF150" s="9" t="str">
        <f>IFERROR(MID(VLOOKUP($B150,Seqs!$A:$B,2,0),AG150,1),"")</f>
        <v>C</v>
      </c>
      <c r="AG150" s="9">
        <v>178</v>
      </c>
      <c r="AH150" s="9" t="str">
        <f>IFERROR(MID(VLOOKUP($B150,Seqs!$A:$B,2,0),AI150,1),"")</f>
        <v>S</v>
      </c>
      <c r="AI150" s="9">
        <v>180</v>
      </c>
      <c r="AJ150" s="9" t="str">
        <f>IFERROR(MID(VLOOKUP($B150,Seqs!$A:$B,2,0),AK150,1),"")</f>
        <v>Q</v>
      </c>
      <c r="AK150" s="9">
        <v>186</v>
      </c>
      <c r="AL150" s="9" t="str">
        <f>IFERROR(MID(VLOOKUP($B150,Seqs!$A:$B,2,0),AM150,1),"")</f>
        <v>C</v>
      </c>
      <c r="AM150" s="9">
        <v>224</v>
      </c>
      <c r="AN150" s="9" t="str">
        <f>IFERROR(MID(VLOOKUP($B150,Seqs!$A:$B,2,0),AO150,1),"")</f>
        <v>K</v>
      </c>
      <c r="AO150" s="9">
        <v>228</v>
      </c>
      <c r="AP150" s="9" t="str">
        <f>IFERROR(MID(VLOOKUP($B150,Seqs!$A:$B,2,0),AQ150,1),"")</f>
        <v>F</v>
      </c>
      <c r="AQ150" s="9">
        <v>260</v>
      </c>
      <c r="AR150" s="9" t="str">
        <f>IFERROR(MID(VLOOKUP($B150,Seqs!$A:$B,2,0),AS150,1),"")</f>
        <v>N</v>
      </c>
      <c r="AS150" s="9">
        <v>268</v>
      </c>
      <c r="AT150" s="9" t="str">
        <f>IFERROR(MID(VLOOKUP($B150,Seqs!$A:$B,2,0),AU150,1),"")</f>
        <v>V</v>
      </c>
      <c r="AU150" s="9">
        <v>300</v>
      </c>
      <c r="AV150" s="9" t="str">
        <f>IFERROR(MID(VLOOKUP($B150,Seqs!$A:$B,2,0),AW150,1),"")</f>
        <v/>
      </c>
      <c r="AW150" s="9" t="s">
        <v>23</v>
      </c>
      <c r="AX150" s="9" t="str">
        <f>IFERROR(MID(VLOOKUP($B150,Seqs!$A:$B,2,0),AY150,1),"")</f>
        <v/>
      </c>
      <c r="AY150" s="9" t="s">
        <v>23</v>
      </c>
      <c r="AZ150" s="110" t="str">
        <f>VLOOKUP(B150,Classification!A:D,2,0)</f>
        <v>A</v>
      </c>
      <c r="BA150" s="98" t="str">
        <f>VLOOKUP(B150,Classification!A:D,4,0)</f>
        <v>Chemokine</v>
      </c>
      <c r="BB150" s="36" t="b">
        <f>AND(E150&lt;G150,OR(G150&lt;I150,I150="-"),OR(I150&lt;K150,I150="-"),OR(K150&lt;M150,K150="-"),M150&lt;O150,OR(O150&lt;Q150,Q150="-"),OR(Q150&lt;S150,Q150="-"),OR(S150&lt;U150,S150="-"),U150&lt;W150,OR(W150&lt;Y150,Y150="-"),OR(Y150&lt;AA150,Y150="-"),OR(AA150&lt;AC150,AA150="-"),AC150&lt;AE150,OR(AE150&lt;AG150,AG150="-"),OR(AG150&lt;AI150,AG150="-"),OR(AI150&lt;AK150,AI150="-"),AK150&lt;AM150,AM150&lt;AO150,AO150&lt;AQ150,AQ150&lt;AS150,AS150&lt;AU150,OR(AU150&lt;AW150,AW150="-"),OR(AW150&lt;AY150,AW150="-"))</f>
        <v>1</v>
      </c>
      <c r="BC150" s="109">
        <f>_xlfn.AGGREGATE(9,6,CH150:CS150)-_xlfn.AGGREGATE(9,6,BV150:CG150)+12</f>
        <v>243</v>
      </c>
      <c r="BD150" s="40" t="s">
        <v>23</v>
      </c>
      <c r="BE150" s="9" t="s">
        <v>1380</v>
      </c>
      <c r="BF150" s="120">
        <v>4.5</v>
      </c>
      <c r="BG150" s="51" t="s">
        <v>1287</v>
      </c>
      <c r="BH150" s="51" t="s">
        <v>1287</v>
      </c>
      <c r="BJ150" s="111" t="s">
        <v>1293</v>
      </c>
      <c r="BK150" s="112" t="s">
        <v>1293</v>
      </c>
      <c r="BL150" s="112" t="s">
        <v>1293</v>
      </c>
      <c r="BM150" s="112" t="s">
        <v>1293</v>
      </c>
      <c r="BN150" s="112" t="s">
        <v>1293</v>
      </c>
      <c r="BO150" s="112" t="s">
        <v>1293</v>
      </c>
      <c r="BP150" s="112" t="s">
        <v>1293</v>
      </c>
      <c r="BQ150" s="112" t="s">
        <v>1293</v>
      </c>
      <c r="BR150" s="112" t="s">
        <v>1293</v>
      </c>
      <c r="BS150" s="112" t="s">
        <v>1293</v>
      </c>
      <c r="BT150" s="112" t="s">
        <v>1293</v>
      </c>
      <c r="BU150" s="112" t="s">
        <v>1293</v>
      </c>
      <c r="BV150" s="111">
        <f>E150</f>
        <v>26</v>
      </c>
      <c r="BW150" s="113" t="str">
        <f>I150</f>
        <v>-</v>
      </c>
      <c r="BX150" s="114">
        <f>M150</f>
        <v>63</v>
      </c>
      <c r="BY150" s="113">
        <f>Q150</f>
        <v>93</v>
      </c>
      <c r="BZ150" s="114">
        <f>U150</f>
        <v>100</v>
      </c>
      <c r="CA150" s="113">
        <f>Y150</f>
        <v>133</v>
      </c>
      <c r="CB150" s="114">
        <f>AC150</f>
        <v>141</v>
      </c>
      <c r="CC150" s="113">
        <f>AG150</f>
        <v>178</v>
      </c>
      <c r="CD150" s="114">
        <f>AK150</f>
        <v>186</v>
      </c>
      <c r="CE150" s="113">
        <f>AO150</f>
        <v>228</v>
      </c>
      <c r="CF150" s="114">
        <f>AS150</f>
        <v>268</v>
      </c>
      <c r="CG150" s="113" t="str">
        <f>AW150</f>
        <v>-</v>
      </c>
      <c r="CH150" s="111">
        <f>G150</f>
        <v>60</v>
      </c>
      <c r="CI150" s="113" t="str">
        <f>K150</f>
        <v>-</v>
      </c>
      <c r="CJ150" s="114">
        <f>O150</f>
        <v>90</v>
      </c>
      <c r="CK150" s="114">
        <f>S150</f>
        <v>96</v>
      </c>
      <c r="CL150" s="114">
        <f>W150</f>
        <v>132</v>
      </c>
      <c r="CM150" s="114">
        <f>AA150</f>
        <v>140</v>
      </c>
      <c r="CN150" s="114">
        <f>AE150</f>
        <v>165</v>
      </c>
      <c r="CO150" s="114">
        <f>AI150</f>
        <v>180</v>
      </c>
      <c r="CP150" s="114">
        <f>AM150</f>
        <v>224</v>
      </c>
      <c r="CQ150" s="114">
        <f>AQ150</f>
        <v>260</v>
      </c>
      <c r="CR150" s="114">
        <f>AU150</f>
        <v>300</v>
      </c>
      <c r="CS150" s="114" t="str">
        <f>AY150</f>
        <v>-</v>
      </c>
      <c r="CT150" s="109" t="e">
        <f>M150-K150</f>
        <v>#VALUE!</v>
      </c>
    </row>
    <row r="151" spans="1:1030" x14ac:dyDescent="0.2">
      <c r="A151" s="3" t="str">
        <f t="shared" si="699"/>
        <v>ccr9_human__wt</v>
      </c>
      <c r="B151" s="3" t="s">
        <v>177</v>
      </c>
      <c r="C151" s="3" t="s">
        <v>100</v>
      </c>
      <c r="D151" s="3" t="str">
        <f>IFERROR(MID(VLOOKUP($B151,Seqs!$A:$B,2,0),E151,1),"")</f>
        <v>V</v>
      </c>
      <c r="E151" s="3">
        <v>43</v>
      </c>
      <c r="F151" s="3" t="str">
        <f>IFERROR(MID(VLOOKUP($B151,Seqs!$A:$B,2,0),G151,1),"")</f>
        <v>C</v>
      </c>
      <c r="G151" s="3">
        <v>76</v>
      </c>
      <c r="H151" s="3" t="str">
        <f>IFERROR(MID(VLOOKUP($B151,Seqs!$A:$B,2,0),I151,1),"")</f>
        <v>T</v>
      </c>
      <c r="I151" s="23">
        <v>77</v>
      </c>
      <c r="J151" s="3" t="str">
        <f>IFERROR(MID(VLOOKUP($B151,Seqs!$A:$B,2,0),K151,1),"")</f>
        <v>K</v>
      </c>
      <c r="K151" s="23">
        <v>80</v>
      </c>
      <c r="L151" s="3" t="str">
        <f>IFERROR(MID(VLOOKUP($B151,Seqs!$A:$B,2,0),M151,1),"")</f>
        <v>T</v>
      </c>
      <c r="M151" s="3">
        <v>81</v>
      </c>
      <c r="N151" s="3" t="str">
        <f>IFERROR(MID(VLOOKUP($B151,Seqs!$A:$B,2,0),O151,1),"")</f>
        <v>D</v>
      </c>
      <c r="O151" s="3">
        <v>110</v>
      </c>
      <c r="P151" s="3" t="str">
        <f>IFERROR(MID(VLOOKUP($B151,Seqs!$A:$B,2,0),Q151,1),"")</f>
        <v>Q</v>
      </c>
      <c r="Q151" s="3">
        <v>111</v>
      </c>
      <c r="R151" s="3" t="str">
        <f>IFERROR(MID(VLOOKUP($B151,Seqs!$A:$B,2,0),S151,1),"")</f>
        <v>F</v>
      </c>
      <c r="S151" s="3">
        <v>114</v>
      </c>
      <c r="T151" s="3" t="str">
        <f>IFERROR(MID(VLOOKUP($B151,Seqs!$A:$B,2,0),U151,1),"")</f>
        <v>Q</v>
      </c>
      <c r="U151" s="3">
        <v>115</v>
      </c>
      <c r="V151" s="3" t="str">
        <f>IFERROR(MID(VLOOKUP($B151,Seqs!$A:$B,2,0),W151,1),"")</f>
        <v>Q</v>
      </c>
      <c r="W151" s="3">
        <v>150</v>
      </c>
      <c r="X151" s="3" t="str">
        <f>IFERROR(MID(VLOOKUP($B151,Seqs!$A:$B,2,0),Y151,1),"")</f>
        <v>A</v>
      </c>
      <c r="Y151" s="3">
        <v>151</v>
      </c>
      <c r="Z151" s="3" t="str">
        <f>IFERROR(MID(VLOOKUP($B151,Seqs!$A:$B,2,0),AA151,1),"")</f>
        <v>W</v>
      </c>
      <c r="AA151" s="3">
        <v>157</v>
      </c>
      <c r="AB151" s="3" t="str">
        <f>IFERROR(MID(VLOOKUP($B151,Seqs!$A:$B,2,0),AC151,1),"")</f>
        <v>R</v>
      </c>
      <c r="AC151" s="9">
        <v>158</v>
      </c>
      <c r="AD151" s="3" t="str">
        <f>IFERROR(MID(VLOOKUP($B151,Seqs!$A:$B,2,0),AE151,1),"")</f>
        <v>S</v>
      </c>
      <c r="AE151" s="3">
        <v>187</v>
      </c>
      <c r="AF151" s="3" t="str">
        <f>IFERROR(MID(VLOOKUP($B151,Seqs!$A:$B,2,0),AG151,1),"")</f>
        <v>C</v>
      </c>
      <c r="AG151" s="3">
        <v>198</v>
      </c>
      <c r="AH151" s="3" t="str">
        <f>IFERROR(MID(VLOOKUP($B151,Seqs!$A:$B,2,0),AI151,1),"")</f>
        <v>M</v>
      </c>
      <c r="AI151" s="3">
        <v>200</v>
      </c>
      <c r="AJ151" s="3" t="str">
        <f>IFERROR(MID(VLOOKUP($B151,Seqs!$A:$B,2,0),AK151,1),"")</f>
        <v>K</v>
      </c>
      <c r="AK151" s="3">
        <v>209</v>
      </c>
      <c r="AL151" s="3" t="str">
        <f>IFERROR(MID(VLOOKUP($B151,Seqs!$A:$B,2,0),AM151,1),"")</f>
        <v>A</v>
      </c>
      <c r="AM151" s="3">
        <v>244</v>
      </c>
      <c r="AN151" s="3" t="str">
        <f>IFERROR(MID(VLOOKUP($B151,Seqs!$A:$B,2,0),AO151,1),"")</f>
        <v>S</v>
      </c>
      <c r="AO151" s="3">
        <v>247</v>
      </c>
      <c r="AP151" s="3" t="str">
        <f>IFERROR(MID(VLOOKUP($B151,Seqs!$A:$B,2,0),AQ151,1),"")</f>
        <v>M</v>
      </c>
      <c r="AQ151" s="3">
        <v>284</v>
      </c>
      <c r="AR151" s="3" t="str">
        <f>IFERROR(MID(VLOOKUP($B151,Seqs!$A:$B,2,0),AS151,1),"")</f>
        <v>N</v>
      </c>
      <c r="AS151" s="3">
        <v>288</v>
      </c>
      <c r="AT151" s="3" t="str">
        <f>IFERROR(MID(VLOOKUP($B151,Seqs!$A:$B,2,0),AU151,1),"")</f>
        <v>V</v>
      </c>
      <c r="AU151" s="3">
        <v>320</v>
      </c>
      <c r="AV151" s="3" t="str">
        <f>IFERROR(MID(VLOOKUP($B151,Seqs!$A:$B,2,0),AW151,1),"")</f>
        <v>G</v>
      </c>
      <c r="AW151" s="3">
        <v>321</v>
      </c>
      <c r="AX151" s="3" t="str">
        <f>IFERROR(MID(VLOOKUP($B151,Seqs!$A:$B,2,0),AY151,1),"")</f>
        <v>A</v>
      </c>
      <c r="AY151" s="3">
        <v>341</v>
      </c>
      <c r="AZ151" s="77" t="str">
        <f>VLOOKUP(B151,Classification!A:D,2,0)</f>
        <v>A</v>
      </c>
      <c r="BA151" s="94" t="str">
        <f>VLOOKUP(B151,Classification!A:D,4,0)</f>
        <v>Chemokine</v>
      </c>
      <c r="BB151" s="27" t="b">
        <f t="shared" si="700"/>
        <v>1</v>
      </c>
      <c r="BC151" s="23">
        <f t="shared" si="477"/>
        <v>276</v>
      </c>
      <c r="BD151" s="56" t="s">
        <v>23</v>
      </c>
      <c r="BE151" s="3" t="s">
        <v>23</v>
      </c>
      <c r="BF151" s="119" t="s">
        <v>23</v>
      </c>
      <c r="BG151" s="49" t="s">
        <v>1378</v>
      </c>
      <c r="BH151" s="49" t="s">
        <v>1383</v>
      </c>
      <c r="BI151" s="1"/>
      <c r="BJ151" s="70" t="s">
        <v>1293</v>
      </c>
      <c r="BK151" s="57" t="s">
        <v>1293</v>
      </c>
      <c r="BL151" s="57" t="s">
        <v>1293</v>
      </c>
      <c r="BM151" s="57" t="s">
        <v>1293</v>
      </c>
      <c r="BN151" s="57" t="s">
        <v>1293</v>
      </c>
      <c r="BO151" s="57" t="s">
        <v>1293</v>
      </c>
      <c r="BP151" s="57" t="s">
        <v>1293</v>
      </c>
      <c r="BQ151" s="57" t="s">
        <v>1293</v>
      </c>
      <c r="BR151" s="57" t="s">
        <v>1293</v>
      </c>
      <c r="BS151" s="57" t="s">
        <v>1293</v>
      </c>
      <c r="BT151" s="57" t="s">
        <v>1293</v>
      </c>
      <c r="BU151" s="57" t="s">
        <v>1293</v>
      </c>
      <c r="BV151" s="70">
        <f t="shared" si="478"/>
        <v>43</v>
      </c>
      <c r="BW151" s="71">
        <f t="shared" si="479"/>
        <v>77</v>
      </c>
      <c r="BX151" s="72">
        <f t="shared" si="480"/>
        <v>81</v>
      </c>
      <c r="BY151" s="71">
        <f t="shared" si="481"/>
        <v>111</v>
      </c>
      <c r="BZ151" s="72">
        <f t="shared" si="482"/>
        <v>115</v>
      </c>
      <c r="CA151" s="71">
        <f t="shared" si="483"/>
        <v>151</v>
      </c>
      <c r="CB151" s="72">
        <f t="shared" si="484"/>
        <v>158</v>
      </c>
      <c r="CC151" s="71">
        <f t="shared" si="485"/>
        <v>198</v>
      </c>
      <c r="CD151" s="72">
        <f t="shared" si="486"/>
        <v>209</v>
      </c>
      <c r="CE151" s="71">
        <f t="shared" si="487"/>
        <v>247</v>
      </c>
      <c r="CF151" s="72">
        <f t="shared" si="488"/>
        <v>288</v>
      </c>
      <c r="CG151" s="71">
        <f t="shared" si="489"/>
        <v>321</v>
      </c>
      <c r="CH151" s="70">
        <f t="shared" si="490"/>
        <v>76</v>
      </c>
      <c r="CI151" s="71">
        <f t="shared" si="491"/>
        <v>80</v>
      </c>
      <c r="CJ151" s="72">
        <f t="shared" si="492"/>
        <v>110</v>
      </c>
      <c r="CK151" s="72">
        <f t="shared" si="493"/>
        <v>114</v>
      </c>
      <c r="CL151" s="72">
        <f t="shared" si="494"/>
        <v>150</v>
      </c>
      <c r="CM151" s="72">
        <f t="shared" si="495"/>
        <v>157</v>
      </c>
      <c r="CN151" s="72">
        <f t="shared" si="496"/>
        <v>187</v>
      </c>
      <c r="CO151" s="72">
        <f t="shared" si="497"/>
        <v>200</v>
      </c>
      <c r="CP151" s="72">
        <f t="shared" si="498"/>
        <v>244</v>
      </c>
      <c r="CQ151" s="72">
        <f t="shared" si="499"/>
        <v>284</v>
      </c>
      <c r="CR151" s="72">
        <f t="shared" si="500"/>
        <v>320</v>
      </c>
      <c r="CS151" s="72">
        <f t="shared" si="501"/>
        <v>341</v>
      </c>
      <c r="CT151" s="23">
        <f t="shared" si="502"/>
        <v>1</v>
      </c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  <c r="ADW151" s="1"/>
      <c r="ADX151" s="1"/>
      <c r="ADY151" s="1"/>
      <c r="ADZ151" s="1"/>
      <c r="AEA151" s="1"/>
      <c r="AEB151" s="1"/>
      <c r="AEC151" s="1"/>
      <c r="AED151" s="1"/>
      <c r="AEE151" s="1"/>
      <c r="AEF151" s="1"/>
      <c r="AEG151" s="1"/>
      <c r="AEH151" s="1"/>
      <c r="AEI151" s="1"/>
      <c r="AEJ151" s="1"/>
      <c r="AEK151" s="1"/>
      <c r="AEL151" s="1"/>
      <c r="AEM151" s="1"/>
      <c r="AEN151" s="1"/>
      <c r="AEO151" s="1"/>
      <c r="AEP151" s="1"/>
      <c r="AEQ151" s="1"/>
      <c r="AER151" s="1"/>
      <c r="AES151" s="1"/>
      <c r="AET151" s="1"/>
      <c r="AEU151" s="1"/>
      <c r="AEV151" s="1"/>
      <c r="AEW151" s="1"/>
      <c r="AEX151" s="1"/>
      <c r="AEY151" s="1"/>
      <c r="AEZ151" s="1"/>
      <c r="AFA151" s="1"/>
      <c r="AFB151" s="1"/>
      <c r="AFC151" s="1"/>
      <c r="AFD151" s="1"/>
      <c r="AFE151" s="1"/>
      <c r="AFF151" s="1"/>
      <c r="AFG151" s="1"/>
      <c r="AFH151" s="1"/>
      <c r="AFI151" s="1"/>
      <c r="AFJ151" s="1"/>
      <c r="AFK151" s="1"/>
      <c r="AFL151" s="1"/>
      <c r="AFM151" s="1"/>
      <c r="AFN151" s="1"/>
      <c r="AFO151" s="1"/>
      <c r="AFP151" s="1"/>
      <c r="AFQ151" s="1"/>
      <c r="AFR151" s="1"/>
      <c r="AFS151" s="1"/>
      <c r="AFT151" s="1"/>
      <c r="AFU151" s="1"/>
      <c r="AFV151" s="1"/>
      <c r="AFW151" s="1"/>
      <c r="AFX151" s="1"/>
      <c r="AFY151" s="1"/>
      <c r="AFZ151" s="1"/>
      <c r="AGA151" s="1"/>
      <c r="AGB151" s="1"/>
      <c r="AGC151" s="1"/>
      <c r="AGD151" s="1"/>
      <c r="AGE151" s="1"/>
      <c r="AGF151" s="1"/>
      <c r="AGG151" s="1"/>
      <c r="AGH151" s="1"/>
      <c r="AGI151" s="1"/>
      <c r="AGJ151" s="1"/>
      <c r="AGK151" s="1"/>
      <c r="AGL151" s="1"/>
      <c r="AGM151" s="1"/>
      <c r="AGN151" s="1"/>
      <c r="AGO151" s="1"/>
      <c r="AGP151" s="1"/>
      <c r="AGQ151" s="1"/>
      <c r="AGR151" s="1"/>
      <c r="AGS151" s="1"/>
      <c r="AGT151" s="1"/>
      <c r="AGU151" s="1"/>
      <c r="AGV151" s="1"/>
      <c r="AGW151" s="1"/>
      <c r="AGX151" s="1"/>
      <c r="AGY151" s="1"/>
      <c r="AGZ151" s="1"/>
      <c r="AHA151" s="1"/>
      <c r="AHB151" s="1"/>
      <c r="AHC151" s="1"/>
      <c r="AHD151" s="1"/>
      <c r="AHE151" s="1"/>
      <c r="AHF151" s="1"/>
      <c r="AHG151" s="1"/>
      <c r="AHH151" s="1"/>
      <c r="AHI151" s="1"/>
      <c r="AHJ151" s="1"/>
      <c r="AHK151" s="1"/>
      <c r="AHL151" s="1"/>
      <c r="AHM151" s="1"/>
      <c r="AHN151" s="1"/>
      <c r="AHO151" s="1"/>
      <c r="AHP151" s="1"/>
      <c r="AHQ151" s="1"/>
      <c r="AHR151" s="1"/>
      <c r="AHS151" s="1"/>
      <c r="AHT151" s="1"/>
      <c r="AHU151" s="1"/>
      <c r="AHV151" s="1"/>
      <c r="AHW151" s="1"/>
      <c r="AHX151" s="1"/>
      <c r="AHY151" s="1"/>
      <c r="AHZ151" s="1"/>
      <c r="AIA151" s="1"/>
      <c r="AIB151" s="1"/>
      <c r="AIC151" s="1"/>
      <c r="AID151" s="1"/>
      <c r="AIE151" s="1"/>
      <c r="AIF151" s="1"/>
      <c r="AIG151" s="1"/>
      <c r="AIH151" s="1"/>
      <c r="AII151" s="1"/>
      <c r="AIJ151" s="1"/>
      <c r="AIK151" s="1"/>
      <c r="AIL151" s="1"/>
      <c r="AIM151" s="1"/>
      <c r="AIN151" s="1"/>
      <c r="AIO151" s="1"/>
      <c r="AIP151" s="1"/>
      <c r="AIQ151" s="1"/>
      <c r="AIR151" s="1"/>
      <c r="AIS151" s="1"/>
      <c r="AIT151" s="1"/>
      <c r="AIU151" s="1"/>
      <c r="AIV151" s="1"/>
      <c r="AIW151" s="1"/>
      <c r="AIX151" s="1"/>
      <c r="AIY151" s="1"/>
      <c r="AIZ151" s="1"/>
      <c r="AJA151" s="1"/>
      <c r="AJB151" s="1"/>
      <c r="AJC151" s="1"/>
      <c r="AJD151" s="1"/>
      <c r="AJE151" s="1"/>
      <c r="AJF151" s="1"/>
      <c r="AJG151" s="1"/>
      <c r="AJH151" s="1"/>
      <c r="AJI151" s="1"/>
      <c r="AJJ151" s="1"/>
      <c r="AJK151" s="1"/>
      <c r="AJL151" s="1"/>
      <c r="AJM151" s="1"/>
      <c r="AJN151" s="1"/>
      <c r="AJO151" s="1"/>
      <c r="AJP151" s="1"/>
      <c r="AJQ151" s="1"/>
      <c r="AJR151" s="1"/>
      <c r="AJS151" s="1"/>
      <c r="AJT151" s="1"/>
      <c r="AJU151" s="1"/>
      <c r="AJV151" s="1"/>
      <c r="AJW151" s="1"/>
      <c r="AJX151" s="1"/>
      <c r="AJY151" s="1"/>
      <c r="AJZ151" s="1"/>
      <c r="AKA151" s="1"/>
      <c r="AKB151" s="1"/>
      <c r="AKC151" s="1"/>
      <c r="AKD151" s="1"/>
      <c r="AKE151" s="1"/>
      <c r="AKF151" s="1"/>
      <c r="AKG151" s="1"/>
      <c r="AKH151" s="1"/>
      <c r="AKI151" s="1"/>
      <c r="AKJ151" s="1"/>
      <c r="AKK151" s="1"/>
      <c r="AKL151" s="1"/>
      <c r="AKM151" s="1"/>
      <c r="AKN151" s="1"/>
      <c r="AKO151" s="1"/>
      <c r="AKP151" s="1"/>
      <c r="AKQ151" s="1"/>
      <c r="AKR151" s="1"/>
      <c r="AKS151" s="1"/>
      <c r="AKT151" s="1"/>
      <c r="AKU151" s="1"/>
      <c r="AKV151" s="1"/>
      <c r="AKW151" s="1"/>
      <c r="AKX151" s="1"/>
      <c r="AKY151" s="1"/>
      <c r="AKZ151" s="1"/>
      <c r="ALA151" s="1"/>
      <c r="ALB151" s="1"/>
      <c r="ALC151" s="1"/>
      <c r="ALD151" s="1"/>
      <c r="ALE151" s="1"/>
      <c r="ALF151" s="1"/>
      <c r="ALG151" s="1"/>
      <c r="ALH151" s="1"/>
      <c r="ALI151" s="1"/>
      <c r="ALJ151" s="1"/>
      <c r="ALK151" s="1"/>
      <c r="ALL151" s="1"/>
      <c r="ALM151" s="1"/>
      <c r="ALN151" s="1"/>
      <c r="ALO151" s="1"/>
      <c r="ALP151" s="1"/>
      <c r="ALQ151" s="1"/>
      <c r="ALR151" s="1"/>
      <c r="ALS151" s="1"/>
      <c r="ALT151" s="1"/>
      <c r="ALU151" s="1"/>
      <c r="ALV151" s="1"/>
      <c r="ALW151" s="1"/>
      <c r="ALX151" s="1"/>
      <c r="ALY151" s="1"/>
      <c r="ALZ151" s="1"/>
      <c r="AMA151" s="1"/>
      <c r="AMB151" s="1"/>
      <c r="AMC151" s="1"/>
      <c r="AMD151" s="1"/>
      <c r="AME151" s="1"/>
      <c r="AMF151" s="1"/>
      <c r="AMG151" s="1"/>
      <c r="AMH151" s="1"/>
      <c r="AMI151" s="1"/>
      <c r="AMJ151" s="1"/>
      <c r="AMK151" s="1"/>
      <c r="AML151" s="1"/>
      <c r="AMM151" s="1"/>
      <c r="AMN151" s="1"/>
      <c r="AMO151" s="1"/>
    </row>
    <row r="152" spans="1:1030" x14ac:dyDescent="0.2">
      <c r="A152" s="3" t="str">
        <f t="shared" si="699"/>
        <v>ccr9_human_5LWE</v>
      </c>
      <c r="B152" s="3" t="s">
        <v>177</v>
      </c>
      <c r="C152" s="3" t="s">
        <v>1371</v>
      </c>
      <c r="D152" s="3" t="str">
        <f>IFERROR(MID(VLOOKUP($B152,Seqs!$A:$B,2,0),E152,1),"")</f>
        <v>V</v>
      </c>
      <c r="E152" s="3">
        <v>43</v>
      </c>
      <c r="F152" s="3" t="str">
        <f>IFERROR(MID(VLOOKUP($B152,Seqs!$A:$B,2,0),G152,1),"")</f>
        <v>C</v>
      </c>
      <c r="G152" s="3">
        <v>76</v>
      </c>
      <c r="H152" s="3" t="str">
        <f>IFERROR(MID(VLOOKUP($B152,Seqs!$A:$B,2,0),I152,1),"")</f>
        <v/>
      </c>
      <c r="I152" s="23" t="s">
        <v>23</v>
      </c>
      <c r="J152" s="3" t="str">
        <f>IFERROR(MID(VLOOKUP($B152,Seqs!$A:$B,2,0),K152,1),"")</f>
        <v/>
      </c>
      <c r="K152" s="23" t="s">
        <v>23</v>
      </c>
      <c r="L152" s="3" t="str">
        <f>IFERROR(MID(VLOOKUP($B152,Seqs!$A:$B,2,0),M152,1),"")</f>
        <v>T</v>
      </c>
      <c r="M152" s="3">
        <v>81</v>
      </c>
      <c r="N152" s="3" t="str">
        <f>IFERROR(MID(VLOOKUP($B152,Seqs!$A:$B,2,0),O152,1),"")</f>
        <v>A</v>
      </c>
      <c r="O152" s="3">
        <v>108</v>
      </c>
      <c r="P152" s="3" t="str">
        <f>IFERROR(MID(VLOOKUP($B152,Seqs!$A:$B,2,0),Q152,1),"")</f>
        <v/>
      </c>
      <c r="Q152" s="3" t="s">
        <v>23</v>
      </c>
      <c r="R152" s="3" t="str">
        <f>IFERROR(MID(VLOOKUP($B152,Seqs!$A:$B,2,0),S152,1),"")</f>
        <v/>
      </c>
      <c r="S152" s="3" t="s">
        <v>23</v>
      </c>
      <c r="T152" s="3" t="str">
        <f>IFERROR(MID(VLOOKUP($B152,Seqs!$A:$B,2,0),U152,1),"")</f>
        <v>C</v>
      </c>
      <c r="U152" s="3">
        <v>119</v>
      </c>
      <c r="V152" s="3" t="str">
        <f>IFERROR(MID(VLOOKUP($B152,Seqs!$A:$B,2,0),W152,1),"")</f>
        <v>Q</v>
      </c>
      <c r="W152" s="3">
        <v>150</v>
      </c>
      <c r="X152" s="3" t="str">
        <f>IFERROR(MID(VLOOKUP($B152,Seqs!$A:$B,2,0),Y152,1),"")</f>
        <v>A</v>
      </c>
      <c r="Y152" s="3">
        <v>151</v>
      </c>
      <c r="Z152" s="3" t="str">
        <f>IFERROR(MID(VLOOKUP($B152,Seqs!$A:$B,2,0),AA152,1),"")</f>
        <v>W</v>
      </c>
      <c r="AA152" s="3">
        <v>157</v>
      </c>
      <c r="AB152" s="3" t="str">
        <f>IFERROR(MID(VLOOKUP($B152,Seqs!$A:$B,2,0),AC152,1),"")</f>
        <v>R</v>
      </c>
      <c r="AC152" s="9">
        <v>158</v>
      </c>
      <c r="AD152" s="3" t="str">
        <f>IFERROR(MID(VLOOKUP($B152,Seqs!$A:$B,2,0),AE152,1),"")</f>
        <v>I</v>
      </c>
      <c r="AE152" s="3">
        <v>184</v>
      </c>
      <c r="AF152" s="3" t="str">
        <f>IFERROR(MID(VLOOKUP($B152,Seqs!$A:$B,2,0),AG152,1),"")</f>
        <v/>
      </c>
      <c r="AG152" s="3" t="s">
        <v>23</v>
      </c>
      <c r="AH152" s="3" t="str">
        <f>IFERROR(MID(VLOOKUP($B152,Seqs!$A:$B,2,0),AI152,1),"")</f>
        <v/>
      </c>
      <c r="AI152" s="3" t="s">
        <v>23</v>
      </c>
      <c r="AJ152" s="3" t="str">
        <f>IFERROR(MID(VLOOKUP($B152,Seqs!$A:$B,2,0),AK152,1),"")</f>
        <v/>
      </c>
      <c r="AK152" s="3" t="s">
        <v>23</v>
      </c>
      <c r="AL152" s="3" t="str">
        <f>IFERROR(MID(VLOOKUP($B152,Seqs!$A:$B,2,0),AM152,1),"")</f>
        <v/>
      </c>
      <c r="AM152" s="3" t="s">
        <v>23</v>
      </c>
      <c r="AN152" s="3" t="str">
        <f>IFERROR(MID(VLOOKUP($B152,Seqs!$A:$B,2,0),AO152,1),"")</f>
        <v>S</v>
      </c>
      <c r="AO152" s="3">
        <v>247</v>
      </c>
      <c r="AP152" s="3" t="str">
        <f>IFERROR(MID(VLOOKUP($B152,Seqs!$A:$B,2,0),AQ152,1),"")</f>
        <v>M</v>
      </c>
      <c r="AQ152" s="3">
        <v>284</v>
      </c>
      <c r="AR152" s="3" t="str">
        <f>IFERROR(MID(VLOOKUP($B152,Seqs!$A:$B,2,0),AS152,1),"")</f>
        <v>N</v>
      </c>
      <c r="AS152" s="3">
        <v>288</v>
      </c>
      <c r="AT152" s="3" t="str">
        <f>IFERROR(MID(VLOOKUP($B152,Seqs!$A:$B,2,0),AU152,1),"")</f>
        <v>V</v>
      </c>
      <c r="AU152" s="3">
        <v>320</v>
      </c>
      <c r="AV152" s="3" t="str">
        <f>IFERROR(MID(VLOOKUP($B152,Seqs!$A:$B,2,0),AW152,1),"")</f>
        <v>G</v>
      </c>
      <c r="AW152" s="3">
        <v>321</v>
      </c>
      <c r="AX152" s="3" t="str">
        <f>IFERROR(MID(VLOOKUP($B152,Seqs!$A:$B,2,0),AY152,1),"")</f>
        <v>A</v>
      </c>
      <c r="AY152" s="3">
        <v>341</v>
      </c>
      <c r="AZ152" s="77" t="str">
        <f>VLOOKUP(B152,Classification!A:D,2,0)</f>
        <v>A</v>
      </c>
      <c r="BA152" s="94" t="str">
        <f>VLOOKUP(B152,Classification!A:D,4,0)</f>
        <v>Chemokine</v>
      </c>
      <c r="BB152" s="27" t="b">
        <f t="shared" si="700"/>
        <v>0</v>
      </c>
      <c r="BC152" s="23">
        <f t="shared" si="477"/>
        <v>224</v>
      </c>
      <c r="BD152" s="16" t="s">
        <v>1382</v>
      </c>
      <c r="BE152" s="3" t="s">
        <v>1380</v>
      </c>
      <c r="BF152" s="119">
        <v>2.8</v>
      </c>
      <c r="BG152" s="49" t="s">
        <v>1383</v>
      </c>
      <c r="BH152" s="49" t="s">
        <v>1383</v>
      </c>
      <c r="BI152" s="1"/>
      <c r="BJ152" s="70" t="s">
        <v>1293</v>
      </c>
      <c r="BK152" s="57" t="s">
        <v>1293</v>
      </c>
      <c r="BL152" s="57" t="s">
        <v>1293</v>
      </c>
      <c r="BM152" s="57" t="s">
        <v>1293</v>
      </c>
      <c r="BN152" s="57" t="s">
        <v>1293</v>
      </c>
      <c r="BO152" s="57" t="s">
        <v>1293</v>
      </c>
      <c r="BP152" s="57" t="s">
        <v>1293</v>
      </c>
      <c r="BQ152" s="57" t="s">
        <v>1293</v>
      </c>
      <c r="BR152" s="57" t="s">
        <v>1293</v>
      </c>
      <c r="BS152" s="57" t="s">
        <v>1293</v>
      </c>
      <c r="BT152" s="57" t="s">
        <v>1293</v>
      </c>
      <c r="BU152" s="57" t="s">
        <v>1293</v>
      </c>
      <c r="BV152" s="70">
        <f t="shared" si="478"/>
        <v>43</v>
      </c>
      <c r="BW152" s="71" t="str">
        <f t="shared" si="479"/>
        <v>-</v>
      </c>
      <c r="BX152" s="72">
        <f t="shared" si="480"/>
        <v>81</v>
      </c>
      <c r="BY152" s="71" t="str">
        <f t="shared" si="481"/>
        <v>-</v>
      </c>
      <c r="BZ152" s="72">
        <f t="shared" si="482"/>
        <v>119</v>
      </c>
      <c r="CA152" s="71">
        <f t="shared" si="483"/>
        <v>151</v>
      </c>
      <c r="CB152" s="72">
        <f t="shared" si="484"/>
        <v>158</v>
      </c>
      <c r="CC152" s="71" t="str">
        <f t="shared" si="485"/>
        <v>-</v>
      </c>
      <c r="CD152" s="72" t="str">
        <f t="shared" si="486"/>
        <v>-</v>
      </c>
      <c r="CE152" s="71">
        <f t="shared" si="487"/>
        <v>247</v>
      </c>
      <c r="CF152" s="72">
        <f t="shared" si="488"/>
        <v>288</v>
      </c>
      <c r="CG152" s="71">
        <f t="shared" si="489"/>
        <v>321</v>
      </c>
      <c r="CH152" s="70">
        <f t="shared" si="490"/>
        <v>76</v>
      </c>
      <c r="CI152" s="71" t="str">
        <f t="shared" si="491"/>
        <v>-</v>
      </c>
      <c r="CJ152" s="72">
        <f t="shared" si="492"/>
        <v>108</v>
      </c>
      <c r="CK152" s="72" t="str">
        <f t="shared" si="493"/>
        <v>-</v>
      </c>
      <c r="CL152" s="72">
        <f t="shared" si="494"/>
        <v>150</v>
      </c>
      <c r="CM152" s="72">
        <f t="shared" si="495"/>
        <v>157</v>
      </c>
      <c r="CN152" s="72">
        <f t="shared" si="496"/>
        <v>184</v>
      </c>
      <c r="CO152" s="72" t="str">
        <f t="shared" si="497"/>
        <v>-</v>
      </c>
      <c r="CP152" s="72" t="str">
        <f t="shared" si="498"/>
        <v>-</v>
      </c>
      <c r="CQ152" s="72">
        <f t="shared" si="499"/>
        <v>284</v>
      </c>
      <c r="CR152" s="72">
        <f t="shared" si="500"/>
        <v>320</v>
      </c>
      <c r="CS152" s="72">
        <f t="shared" si="501"/>
        <v>341</v>
      </c>
      <c r="CT152" s="23" t="e">
        <f t="shared" si="502"/>
        <v>#VALUE!</v>
      </c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  <c r="ADW152" s="1"/>
      <c r="ADX152" s="1"/>
      <c r="ADY152" s="1"/>
      <c r="ADZ152" s="1"/>
      <c r="AEA152" s="1"/>
      <c r="AEB152" s="1"/>
      <c r="AEC152" s="1"/>
      <c r="AED152" s="1"/>
      <c r="AEE152" s="1"/>
      <c r="AEF152" s="1"/>
      <c r="AEG152" s="1"/>
      <c r="AEH152" s="1"/>
      <c r="AEI152" s="1"/>
      <c r="AEJ152" s="1"/>
      <c r="AEK152" s="1"/>
      <c r="AEL152" s="1"/>
      <c r="AEM152" s="1"/>
      <c r="AEN152" s="1"/>
      <c r="AEO152" s="1"/>
      <c r="AEP152" s="1"/>
      <c r="AEQ152" s="1"/>
      <c r="AER152" s="1"/>
      <c r="AES152" s="1"/>
      <c r="AET152" s="1"/>
      <c r="AEU152" s="1"/>
      <c r="AEV152" s="1"/>
      <c r="AEW152" s="1"/>
      <c r="AEX152" s="1"/>
      <c r="AEY152" s="1"/>
      <c r="AEZ152" s="1"/>
      <c r="AFA152" s="1"/>
      <c r="AFB152" s="1"/>
      <c r="AFC152" s="1"/>
      <c r="AFD152" s="1"/>
      <c r="AFE152" s="1"/>
      <c r="AFF152" s="1"/>
      <c r="AFG152" s="1"/>
      <c r="AFH152" s="1"/>
      <c r="AFI152" s="1"/>
      <c r="AFJ152" s="1"/>
      <c r="AFK152" s="1"/>
      <c r="AFL152" s="1"/>
      <c r="AFM152" s="1"/>
      <c r="AFN152" s="1"/>
      <c r="AFO152" s="1"/>
      <c r="AFP152" s="1"/>
      <c r="AFQ152" s="1"/>
      <c r="AFR152" s="1"/>
      <c r="AFS152" s="1"/>
      <c r="AFT152" s="1"/>
      <c r="AFU152" s="1"/>
      <c r="AFV152" s="1"/>
      <c r="AFW152" s="1"/>
      <c r="AFX152" s="1"/>
      <c r="AFY152" s="1"/>
      <c r="AFZ152" s="1"/>
      <c r="AGA152" s="1"/>
      <c r="AGB152" s="1"/>
      <c r="AGC152" s="1"/>
      <c r="AGD152" s="1"/>
      <c r="AGE152" s="1"/>
      <c r="AGF152" s="1"/>
      <c r="AGG152" s="1"/>
      <c r="AGH152" s="1"/>
      <c r="AGI152" s="1"/>
      <c r="AGJ152" s="1"/>
      <c r="AGK152" s="1"/>
      <c r="AGL152" s="1"/>
      <c r="AGM152" s="1"/>
      <c r="AGN152" s="1"/>
      <c r="AGO152" s="1"/>
      <c r="AGP152" s="1"/>
      <c r="AGQ152" s="1"/>
      <c r="AGR152" s="1"/>
      <c r="AGS152" s="1"/>
      <c r="AGT152" s="1"/>
      <c r="AGU152" s="1"/>
      <c r="AGV152" s="1"/>
      <c r="AGW152" s="1"/>
      <c r="AGX152" s="1"/>
      <c r="AGY152" s="1"/>
      <c r="AGZ152" s="1"/>
      <c r="AHA152" s="1"/>
      <c r="AHB152" s="1"/>
      <c r="AHC152" s="1"/>
      <c r="AHD152" s="1"/>
      <c r="AHE152" s="1"/>
      <c r="AHF152" s="1"/>
      <c r="AHG152" s="1"/>
      <c r="AHH152" s="1"/>
      <c r="AHI152" s="1"/>
      <c r="AHJ152" s="1"/>
      <c r="AHK152" s="1"/>
      <c r="AHL152" s="1"/>
      <c r="AHM152" s="1"/>
      <c r="AHN152" s="1"/>
      <c r="AHO152" s="1"/>
      <c r="AHP152" s="1"/>
      <c r="AHQ152" s="1"/>
      <c r="AHR152" s="1"/>
      <c r="AHS152" s="1"/>
      <c r="AHT152" s="1"/>
      <c r="AHU152" s="1"/>
      <c r="AHV152" s="1"/>
      <c r="AHW152" s="1"/>
      <c r="AHX152" s="1"/>
      <c r="AHY152" s="1"/>
      <c r="AHZ152" s="1"/>
      <c r="AIA152" s="1"/>
      <c r="AIB152" s="1"/>
      <c r="AIC152" s="1"/>
      <c r="AID152" s="1"/>
      <c r="AIE152" s="1"/>
      <c r="AIF152" s="1"/>
      <c r="AIG152" s="1"/>
      <c r="AIH152" s="1"/>
      <c r="AII152" s="1"/>
      <c r="AIJ152" s="1"/>
      <c r="AIK152" s="1"/>
      <c r="AIL152" s="1"/>
      <c r="AIM152" s="1"/>
      <c r="AIN152" s="1"/>
      <c r="AIO152" s="1"/>
      <c r="AIP152" s="1"/>
      <c r="AIQ152" s="1"/>
      <c r="AIR152" s="1"/>
      <c r="AIS152" s="1"/>
      <c r="AIT152" s="1"/>
      <c r="AIU152" s="1"/>
      <c r="AIV152" s="1"/>
      <c r="AIW152" s="1"/>
      <c r="AIX152" s="1"/>
      <c r="AIY152" s="1"/>
      <c r="AIZ152" s="1"/>
      <c r="AJA152" s="1"/>
      <c r="AJB152" s="1"/>
      <c r="AJC152" s="1"/>
      <c r="AJD152" s="1"/>
      <c r="AJE152" s="1"/>
      <c r="AJF152" s="1"/>
      <c r="AJG152" s="1"/>
      <c r="AJH152" s="1"/>
      <c r="AJI152" s="1"/>
      <c r="AJJ152" s="1"/>
      <c r="AJK152" s="1"/>
      <c r="AJL152" s="1"/>
      <c r="AJM152" s="1"/>
      <c r="AJN152" s="1"/>
      <c r="AJO152" s="1"/>
      <c r="AJP152" s="1"/>
      <c r="AJQ152" s="1"/>
      <c r="AJR152" s="1"/>
      <c r="AJS152" s="1"/>
      <c r="AJT152" s="1"/>
      <c r="AJU152" s="1"/>
      <c r="AJV152" s="1"/>
      <c r="AJW152" s="1"/>
      <c r="AJX152" s="1"/>
      <c r="AJY152" s="1"/>
      <c r="AJZ152" s="1"/>
      <c r="AKA152" s="1"/>
      <c r="AKB152" s="1"/>
      <c r="AKC152" s="1"/>
      <c r="AKD152" s="1"/>
      <c r="AKE152" s="1"/>
      <c r="AKF152" s="1"/>
      <c r="AKG152" s="1"/>
      <c r="AKH152" s="1"/>
      <c r="AKI152" s="1"/>
      <c r="AKJ152" s="1"/>
      <c r="AKK152" s="1"/>
      <c r="AKL152" s="1"/>
      <c r="AKM152" s="1"/>
      <c r="AKN152" s="1"/>
      <c r="AKO152" s="1"/>
      <c r="AKP152" s="1"/>
      <c r="AKQ152" s="1"/>
      <c r="AKR152" s="1"/>
      <c r="AKS152" s="1"/>
      <c r="AKT152" s="1"/>
      <c r="AKU152" s="1"/>
      <c r="AKV152" s="1"/>
      <c r="AKW152" s="1"/>
      <c r="AKX152" s="1"/>
      <c r="AKY152" s="1"/>
      <c r="AKZ152" s="1"/>
      <c r="ALA152" s="1"/>
      <c r="ALB152" s="1"/>
      <c r="ALC152" s="1"/>
      <c r="ALD152" s="1"/>
      <c r="ALE152" s="1"/>
      <c r="ALF152" s="1"/>
      <c r="ALG152" s="1"/>
      <c r="ALH152" s="1"/>
      <c r="ALI152" s="1"/>
      <c r="ALJ152" s="1"/>
      <c r="ALK152" s="1"/>
      <c r="ALL152" s="1"/>
      <c r="ALM152" s="1"/>
      <c r="ALN152" s="1"/>
      <c r="ALO152" s="1"/>
      <c r="ALP152" s="1"/>
      <c r="ALQ152" s="1"/>
      <c r="ALR152" s="1"/>
      <c r="ALS152" s="1"/>
      <c r="ALT152" s="1"/>
      <c r="ALU152" s="1"/>
      <c r="ALV152" s="1"/>
      <c r="ALW152" s="1"/>
      <c r="ALX152" s="1"/>
      <c r="ALY152" s="1"/>
      <c r="ALZ152" s="1"/>
      <c r="AMA152" s="1"/>
      <c r="AMB152" s="1"/>
      <c r="AMC152" s="1"/>
      <c r="AMD152" s="1"/>
      <c r="AME152" s="1"/>
      <c r="AMF152" s="1"/>
      <c r="AMG152" s="1"/>
      <c r="AMH152" s="1"/>
      <c r="AMI152" s="1"/>
      <c r="AMJ152" s="1"/>
      <c r="AMK152" s="1"/>
      <c r="AML152" s="1"/>
      <c r="AMM152" s="1"/>
      <c r="AMN152" s="1"/>
      <c r="AMO152" s="1"/>
    </row>
    <row r="153" spans="1:1030" x14ac:dyDescent="0.2">
      <c r="A153" s="3" t="str">
        <f>CONCATENATE(B153,"_",C153)</f>
        <v>ccr9_human_5LWE_dist</v>
      </c>
      <c r="B153" s="3" t="s">
        <v>177</v>
      </c>
      <c r="C153" s="3" t="s">
        <v>1390</v>
      </c>
      <c r="D153" s="3" t="str">
        <f>IFERROR(MID(VLOOKUP($B153,Seqs!$A:$B,2,0),E153,1),"")</f>
        <v>V</v>
      </c>
      <c r="E153" s="3">
        <v>43</v>
      </c>
      <c r="F153" s="3" t="str">
        <f>IFERROR(MID(VLOOKUP($B153,Seqs!$A:$B,2,0),G153,1),"")</f>
        <v>C</v>
      </c>
      <c r="G153" s="3">
        <v>76</v>
      </c>
      <c r="H153" s="3" t="str">
        <f>IFERROR(MID(VLOOKUP($B153,Seqs!$A:$B,2,0),I153,1),"")</f>
        <v/>
      </c>
      <c r="I153" s="23" t="s">
        <v>23</v>
      </c>
      <c r="J153" s="3" t="str">
        <f>IFERROR(MID(VLOOKUP($B153,Seqs!$A:$B,2,0),K153,1),"")</f>
        <v/>
      </c>
      <c r="K153" s="23" t="s">
        <v>23</v>
      </c>
      <c r="L153" s="3" t="str">
        <f>IFERROR(MID(VLOOKUP($B153,Seqs!$A:$B,2,0),M153,1),"")</f>
        <v>T</v>
      </c>
      <c r="M153" s="3">
        <v>81</v>
      </c>
      <c r="N153" s="3" t="str">
        <f>IFERROR(MID(VLOOKUP($B153,Seqs!$A:$B,2,0),O153,1),"")</f>
        <v>A</v>
      </c>
      <c r="O153" s="3">
        <v>108</v>
      </c>
      <c r="P153" s="3" t="str">
        <f>IFERROR(MID(VLOOKUP($B153,Seqs!$A:$B,2,0),Q153,1),"")</f>
        <v/>
      </c>
      <c r="Q153" s="3" t="s">
        <v>23</v>
      </c>
      <c r="R153" s="3" t="str">
        <f>IFERROR(MID(VLOOKUP($B153,Seqs!$A:$B,2,0),S153,1),"")</f>
        <v/>
      </c>
      <c r="S153" s="3" t="s">
        <v>23</v>
      </c>
      <c r="T153" s="3" t="str">
        <f>IFERROR(MID(VLOOKUP($B153,Seqs!$A:$B,2,0),U153,1),"")</f>
        <v>C</v>
      </c>
      <c r="U153" s="3">
        <v>119</v>
      </c>
      <c r="V153" s="3" t="str">
        <f>IFERROR(MID(VLOOKUP($B153,Seqs!$A:$B,2,0),W153,1),"")</f>
        <v>Q</v>
      </c>
      <c r="W153" s="3">
        <v>150</v>
      </c>
      <c r="X153" s="3" t="str">
        <f>IFERROR(MID(VLOOKUP($B153,Seqs!$A:$B,2,0),Y153,1),"")</f>
        <v>A</v>
      </c>
      <c r="Y153" s="3">
        <v>151</v>
      </c>
      <c r="Z153" s="3" t="str">
        <f>IFERROR(MID(VLOOKUP($B153,Seqs!$A:$B,2,0),AA153,1),"")</f>
        <v>W</v>
      </c>
      <c r="AA153" s="3">
        <v>157</v>
      </c>
      <c r="AB153" s="3" t="str">
        <f>IFERROR(MID(VLOOKUP($B153,Seqs!$A:$B,2,0),AC153,1),"")</f>
        <v>R</v>
      </c>
      <c r="AC153" s="9">
        <v>158</v>
      </c>
      <c r="AD153" s="3" t="str">
        <f>IFERROR(MID(VLOOKUP($B153,Seqs!$A:$B,2,0),AE153,1),"")</f>
        <v>I</v>
      </c>
      <c r="AE153" s="3">
        <v>184</v>
      </c>
      <c r="AF153" s="3" t="str">
        <f>IFERROR(MID(VLOOKUP($B153,Seqs!$A:$B,2,0),AG153,1),"")</f>
        <v/>
      </c>
      <c r="AG153" s="3" t="s">
        <v>23</v>
      </c>
      <c r="AH153" s="3" t="str">
        <f>IFERROR(MID(VLOOKUP($B153,Seqs!$A:$B,2,0),AI153,1),"")</f>
        <v/>
      </c>
      <c r="AI153" s="3" t="s">
        <v>23</v>
      </c>
      <c r="AJ153" s="3" t="str">
        <f>IFERROR(MID(VLOOKUP($B153,Seqs!$A:$B,2,0),AK153,1),"")</f>
        <v>K</v>
      </c>
      <c r="AK153" s="3">
        <v>209</v>
      </c>
      <c r="AL153" s="3" t="str">
        <f>IFERROR(MID(VLOOKUP($B153,Seqs!$A:$B,2,0),AM153,1),"")</f>
        <v>A</v>
      </c>
      <c r="AM153" s="3">
        <v>244</v>
      </c>
      <c r="AN153" s="3" t="str">
        <f>IFERROR(MID(VLOOKUP($B153,Seqs!$A:$B,2,0),AO153,1),"")</f>
        <v>S</v>
      </c>
      <c r="AO153" s="3">
        <v>247</v>
      </c>
      <c r="AP153" s="3" t="str">
        <f>IFERROR(MID(VLOOKUP($B153,Seqs!$A:$B,2,0),AQ153,1),"")</f>
        <v>M</v>
      </c>
      <c r="AQ153" s="3">
        <v>284</v>
      </c>
      <c r="AR153" s="3" t="str">
        <f>IFERROR(MID(VLOOKUP($B153,Seqs!$A:$B,2,0),AS153,1),"")</f>
        <v>N</v>
      </c>
      <c r="AS153" s="3">
        <v>288</v>
      </c>
      <c r="AT153" s="3" t="str">
        <f>IFERROR(MID(VLOOKUP($B153,Seqs!$A:$B,2,0),AU153,1),"")</f>
        <v>V</v>
      </c>
      <c r="AU153" s="3">
        <v>320</v>
      </c>
      <c r="AV153" s="3" t="str">
        <f>IFERROR(MID(VLOOKUP($B153,Seqs!$A:$B,2,0),AW153,1),"")</f>
        <v>G</v>
      </c>
      <c r="AW153" s="3">
        <v>321</v>
      </c>
      <c r="AX153" s="3" t="str">
        <f>IFERROR(MID(VLOOKUP($B153,Seqs!$A:$B,2,0),AY153,1),"")</f>
        <v>A</v>
      </c>
      <c r="AY153" s="3">
        <v>341</v>
      </c>
      <c r="AZ153" s="77" t="str">
        <f>VLOOKUP(B153,Classification!A:D,2,0)</f>
        <v>A</v>
      </c>
      <c r="BA153" s="94" t="str">
        <f>VLOOKUP(B153,Classification!A:D,4,0)</f>
        <v>Chemokine</v>
      </c>
      <c r="BB153" s="27" t="b">
        <f>AND(E153&lt;G153,OR(G153&lt;I153,I153="-"),OR(I153&lt;K153,I153="-"),OR(K153&lt;M153,K153="-"),M153&lt;O153,OR(O153&lt;Q153,Q153="-"),OR(Q153&lt;S153,Q153="-"),OR(S153&lt;U153,S153="-"),U153&lt;W153,OR(W153&lt;Y153,Y153="-"),OR(Y153&lt;AA153,Y153="-"),OR(AA153&lt;AC153,AA153="-"),AC153&lt;AE153,OR(AE153&lt;AG153,AG153="-"),OR(AG153&lt;AI153,AG153="-"),OR(AI153&lt;AK153,AI153="-"),AK153&lt;AM153,AM153&lt;AO153,AO153&lt;AQ153,AQ153&lt;AS153,AS153&lt;AU153,OR(AU153&lt;AW153,AW153="-"),OR(AW153&lt;AY153,AW153="-"))</f>
        <v>1</v>
      </c>
      <c r="BC153" s="23">
        <f>_xlfn.AGGREGATE(9,6,CH153:CS153)-_xlfn.AGGREGATE(9,6,BV153:CG153)+12</f>
        <v>259</v>
      </c>
      <c r="BD153" s="16" t="s">
        <v>23</v>
      </c>
      <c r="BE153" s="3" t="s">
        <v>1380</v>
      </c>
      <c r="BF153" s="119">
        <v>2.8</v>
      </c>
      <c r="BG153" s="49" t="s">
        <v>1383</v>
      </c>
      <c r="BH153" s="49" t="s">
        <v>1383</v>
      </c>
      <c r="BI153" s="1"/>
      <c r="BJ153" s="70" t="s">
        <v>1293</v>
      </c>
      <c r="BK153" s="57" t="s">
        <v>1293</v>
      </c>
      <c r="BL153" s="57" t="s">
        <v>1293</v>
      </c>
      <c r="BM153" s="57" t="s">
        <v>1293</v>
      </c>
      <c r="BN153" s="57" t="s">
        <v>1293</v>
      </c>
      <c r="BO153" s="57" t="s">
        <v>1293</v>
      </c>
      <c r="BP153" s="57" t="s">
        <v>1293</v>
      </c>
      <c r="BQ153" s="57" t="s">
        <v>1293</v>
      </c>
      <c r="BR153" s="57" t="s">
        <v>1293</v>
      </c>
      <c r="BS153" s="57" t="s">
        <v>1293</v>
      </c>
      <c r="BT153" s="57" t="s">
        <v>1293</v>
      </c>
      <c r="BU153" s="57" t="s">
        <v>1293</v>
      </c>
      <c r="BV153" s="70">
        <f>E153</f>
        <v>43</v>
      </c>
      <c r="BW153" s="71" t="str">
        <f>I153</f>
        <v>-</v>
      </c>
      <c r="BX153" s="72">
        <f>M153</f>
        <v>81</v>
      </c>
      <c r="BY153" s="71" t="str">
        <f>Q153</f>
        <v>-</v>
      </c>
      <c r="BZ153" s="72">
        <f>U153</f>
        <v>119</v>
      </c>
      <c r="CA153" s="71">
        <f>Y153</f>
        <v>151</v>
      </c>
      <c r="CB153" s="72">
        <f>AC153</f>
        <v>158</v>
      </c>
      <c r="CC153" s="71" t="str">
        <f>AG153</f>
        <v>-</v>
      </c>
      <c r="CD153" s="72">
        <f>AK153</f>
        <v>209</v>
      </c>
      <c r="CE153" s="71">
        <f>AO153</f>
        <v>247</v>
      </c>
      <c r="CF153" s="72">
        <f>AS153</f>
        <v>288</v>
      </c>
      <c r="CG153" s="71">
        <f>AW153</f>
        <v>321</v>
      </c>
      <c r="CH153" s="70">
        <f>G153</f>
        <v>76</v>
      </c>
      <c r="CI153" s="71" t="str">
        <f>K153</f>
        <v>-</v>
      </c>
      <c r="CJ153" s="72">
        <f>O153</f>
        <v>108</v>
      </c>
      <c r="CK153" s="72" t="str">
        <f>S153</f>
        <v>-</v>
      </c>
      <c r="CL153" s="72">
        <f>W153</f>
        <v>150</v>
      </c>
      <c r="CM153" s="72">
        <f>AA153</f>
        <v>157</v>
      </c>
      <c r="CN153" s="72">
        <f>AE153</f>
        <v>184</v>
      </c>
      <c r="CO153" s="72" t="str">
        <f>AI153</f>
        <v>-</v>
      </c>
      <c r="CP153" s="72">
        <f>AM153</f>
        <v>244</v>
      </c>
      <c r="CQ153" s="72">
        <f>AQ153</f>
        <v>284</v>
      </c>
      <c r="CR153" s="72">
        <f>AU153</f>
        <v>320</v>
      </c>
      <c r="CS153" s="72">
        <f>AY153</f>
        <v>341</v>
      </c>
      <c r="CT153" s="23" t="e">
        <f>M153-K153</f>
        <v>#VALUE!</v>
      </c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  <c r="ADW153" s="1"/>
      <c r="ADX153" s="1"/>
      <c r="ADY153" s="1"/>
      <c r="ADZ153" s="1"/>
      <c r="AEA153" s="1"/>
      <c r="AEB153" s="1"/>
      <c r="AEC153" s="1"/>
      <c r="AED153" s="1"/>
      <c r="AEE153" s="1"/>
      <c r="AEF153" s="1"/>
      <c r="AEG153" s="1"/>
      <c r="AEH153" s="1"/>
      <c r="AEI153" s="1"/>
      <c r="AEJ153" s="1"/>
      <c r="AEK153" s="1"/>
      <c r="AEL153" s="1"/>
      <c r="AEM153" s="1"/>
      <c r="AEN153" s="1"/>
      <c r="AEO153" s="1"/>
      <c r="AEP153" s="1"/>
      <c r="AEQ153" s="1"/>
      <c r="AER153" s="1"/>
      <c r="AES153" s="1"/>
      <c r="AET153" s="1"/>
      <c r="AEU153" s="1"/>
      <c r="AEV153" s="1"/>
      <c r="AEW153" s="1"/>
      <c r="AEX153" s="1"/>
      <c r="AEY153" s="1"/>
      <c r="AEZ153" s="1"/>
      <c r="AFA153" s="1"/>
      <c r="AFB153" s="1"/>
      <c r="AFC153" s="1"/>
      <c r="AFD153" s="1"/>
      <c r="AFE153" s="1"/>
      <c r="AFF153" s="1"/>
      <c r="AFG153" s="1"/>
      <c r="AFH153" s="1"/>
      <c r="AFI153" s="1"/>
      <c r="AFJ153" s="1"/>
      <c r="AFK153" s="1"/>
      <c r="AFL153" s="1"/>
      <c r="AFM153" s="1"/>
      <c r="AFN153" s="1"/>
      <c r="AFO153" s="1"/>
      <c r="AFP153" s="1"/>
      <c r="AFQ153" s="1"/>
      <c r="AFR153" s="1"/>
      <c r="AFS153" s="1"/>
      <c r="AFT153" s="1"/>
      <c r="AFU153" s="1"/>
      <c r="AFV153" s="1"/>
      <c r="AFW153" s="1"/>
      <c r="AFX153" s="1"/>
      <c r="AFY153" s="1"/>
      <c r="AFZ153" s="1"/>
      <c r="AGA153" s="1"/>
      <c r="AGB153" s="1"/>
      <c r="AGC153" s="1"/>
      <c r="AGD153" s="1"/>
      <c r="AGE153" s="1"/>
      <c r="AGF153" s="1"/>
      <c r="AGG153" s="1"/>
      <c r="AGH153" s="1"/>
      <c r="AGI153" s="1"/>
      <c r="AGJ153" s="1"/>
      <c r="AGK153" s="1"/>
      <c r="AGL153" s="1"/>
      <c r="AGM153" s="1"/>
      <c r="AGN153" s="1"/>
      <c r="AGO153" s="1"/>
      <c r="AGP153" s="1"/>
      <c r="AGQ153" s="1"/>
      <c r="AGR153" s="1"/>
      <c r="AGS153" s="1"/>
      <c r="AGT153" s="1"/>
      <c r="AGU153" s="1"/>
      <c r="AGV153" s="1"/>
      <c r="AGW153" s="1"/>
      <c r="AGX153" s="1"/>
      <c r="AGY153" s="1"/>
      <c r="AGZ153" s="1"/>
      <c r="AHA153" s="1"/>
      <c r="AHB153" s="1"/>
      <c r="AHC153" s="1"/>
      <c r="AHD153" s="1"/>
      <c r="AHE153" s="1"/>
      <c r="AHF153" s="1"/>
      <c r="AHG153" s="1"/>
      <c r="AHH153" s="1"/>
      <c r="AHI153" s="1"/>
      <c r="AHJ153" s="1"/>
      <c r="AHK153" s="1"/>
      <c r="AHL153" s="1"/>
      <c r="AHM153" s="1"/>
      <c r="AHN153" s="1"/>
      <c r="AHO153" s="1"/>
      <c r="AHP153" s="1"/>
      <c r="AHQ153" s="1"/>
      <c r="AHR153" s="1"/>
      <c r="AHS153" s="1"/>
      <c r="AHT153" s="1"/>
      <c r="AHU153" s="1"/>
      <c r="AHV153" s="1"/>
      <c r="AHW153" s="1"/>
      <c r="AHX153" s="1"/>
      <c r="AHY153" s="1"/>
      <c r="AHZ153" s="1"/>
      <c r="AIA153" s="1"/>
      <c r="AIB153" s="1"/>
      <c r="AIC153" s="1"/>
      <c r="AID153" s="1"/>
      <c r="AIE153" s="1"/>
      <c r="AIF153" s="1"/>
      <c r="AIG153" s="1"/>
      <c r="AIH153" s="1"/>
      <c r="AII153" s="1"/>
      <c r="AIJ153" s="1"/>
      <c r="AIK153" s="1"/>
      <c r="AIL153" s="1"/>
      <c r="AIM153" s="1"/>
      <c r="AIN153" s="1"/>
      <c r="AIO153" s="1"/>
      <c r="AIP153" s="1"/>
      <c r="AIQ153" s="1"/>
      <c r="AIR153" s="1"/>
      <c r="AIS153" s="1"/>
      <c r="AIT153" s="1"/>
      <c r="AIU153" s="1"/>
      <c r="AIV153" s="1"/>
      <c r="AIW153" s="1"/>
      <c r="AIX153" s="1"/>
      <c r="AIY153" s="1"/>
      <c r="AIZ153" s="1"/>
      <c r="AJA153" s="1"/>
      <c r="AJB153" s="1"/>
      <c r="AJC153" s="1"/>
      <c r="AJD153" s="1"/>
      <c r="AJE153" s="1"/>
      <c r="AJF153" s="1"/>
      <c r="AJG153" s="1"/>
      <c r="AJH153" s="1"/>
      <c r="AJI153" s="1"/>
      <c r="AJJ153" s="1"/>
      <c r="AJK153" s="1"/>
      <c r="AJL153" s="1"/>
      <c r="AJM153" s="1"/>
      <c r="AJN153" s="1"/>
      <c r="AJO153" s="1"/>
      <c r="AJP153" s="1"/>
      <c r="AJQ153" s="1"/>
      <c r="AJR153" s="1"/>
      <c r="AJS153" s="1"/>
      <c r="AJT153" s="1"/>
      <c r="AJU153" s="1"/>
      <c r="AJV153" s="1"/>
      <c r="AJW153" s="1"/>
      <c r="AJX153" s="1"/>
      <c r="AJY153" s="1"/>
      <c r="AJZ153" s="1"/>
      <c r="AKA153" s="1"/>
      <c r="AKB153" s="1"/>
      <c r="AKC153" s="1"/>
      <c r="AKD153" s="1"/>
      <c r="AKE153" s="1"/>
      <c r="AKF153" s="1"/>
      <c r="AKG153" s="1"/>
      <c r="AKH153" s="1"/>
      <c r="AKI153" s="1"/>
      <c r="AKJ153" s="1"/>
      <c r="AKK153" s="1"/>
      <c r="AKL153" s="1"/>
      <c r="AKM153" s="1"/>
      <c r="AKN153" s="1"/>
      <c r="AKO153" s="1"/>
      <c r="AKP153" s="1"/>
      <c r="AKQ153" s="1"/>
      <c r="AKR153" s="1"/>
      <c r="AKS153" s="1"/>
      <c r="AKT153" s="1"/>
      <c r="AKU153" s="1"/>
      <c r="AKV153" s="1"/>
      <c r="AKW153" s="1"/>
      <c r="AKX153" s="1"/>
      <c r="AKY153" s="1"/>
      <c r="AKZ153" s="1"/>
      <c r="ALA153" s="1"/>
      <c r="ALB153" s="1"/>
      <c r="ALC153" s="1"/>
      <c r="ALD153" s="1"/>
      <c r="ALE153" s="1"/>
      <c r="ALF153" s="1"/>
      <c r="ALG153" s="1"/>
      <c r="ALH153" s="1"/>
      <c r="ALI153" s="1"/>
      <c r="ALJ153" s="1"/>
      <c r="ALK153" s="1"/>
      <c r="ALL153" s="1"/>
      <c r="ALM153" s="1"/>
      <c r="ALN153" s="1"/>
      <c r="ALO153" s="1"/>
      <c r="ALP153" s="1"/>
      <c r="ALQ153" s="1"/>
      <c r="ALR153" s="1"/>
      <c r="ALS153" s="1"/>
      <c r="ALT153" s="1"/>
      <c r="ALU153" s="1"/>
      <c r="ALV153" s="1"/>
      <c r="ALW153" s="1"/>
      <c r="ALX153" s="1"/>
      <c r="ALY153" s="1"/>
      <c r="ALZ153" s="1"/>
      <c r="AMA153" s="1"/>
      <c r="AMB153" s="1"/>
      <c r="AMC153" s="1"/>
      <c r="AMD153" s="1"/>
      <c r="AME153" s="1"/>
      <c r="AMF153" s="1"/>
      <c r="AMG153" s="1"/>
      <c r="AMH153" s="1"/>
      <c r="AMI153" s="1"/>
      <c r="AMJ153" s="1"/>
      <c r="AMK153" s="1"/>
      <c r="AML153" s="1"/>
      <c r="AMM153" s="1"/>
      <c r="AMN153" s="1"/>
      <c r="AMO153" s="1"/>
    </row>
    <row r="154" spans="1:1030" x14ac:dyDescent="0.2">
      <c r="A154" s="3" t="str">
        <f t="shared" si="699"/>
        <v>cnr1_human__wt</v>
      </c>
      <c r="B154" s="3" t="s">
        <v>182</v>
      </c>
      <c r="C154" s="3" t="s">
        <v>100</v>
      </c>
      <c r="D154" s="3" t="str">
        <f>IFERROR(MID(VLOOKUP($B154,Seqs!$A:$B,2,0),E154,1),"")</f>
        <v>N</v>
      </c>
      <c r="E154" s="3">
        <v>112</v>
      </c>
      <c r="F154" s="3" t="str">
        <f>IFERROR(MID(VLOOKUP($B154,Seqs!$A:$B,2,0),G154,1),"")</f>
        <v>S</v>
      </c>
      <c r="G154" s="3">
        <v>144</v>
      </c>
      <c r="H154" s="3" t="str">
        <f>IFERROR(MID(VLOOKUP($B154,Seqs!$A:$B,2,0),I154,1),"")</f>
        <v>R</v>
      </c>
      <c r="I154" s="23">
        <v>145</v>
      </c>
      <c r="J154" s="3" t="str">
        <f>IFERROR(MID(VLOOKUP($B154,Seqs!$A:$B,2,0),K154,1),"")</f>
        <v>R</v>
      </c>
      <c r="K154" s="23">
        <v>148</v>
      </c>
      <c r="L154" s="3" t="str">
        <f>IFERROR(MID(VLOOKUP($B154,Seqs!$A:$B,2,0),M154,1),"")</f>
        <v>R</v>
      </c>
      <c r="M154" s="3">
        <v>150</v>
      </c>
      <c r="N154" s="3" t="str">
        <f>IFERROR(MID(VLOOKUP($B154,Seqs!$A:$B,2,0),O154,1),"")</f>
        <v>V</v>
      </c>
      <c r="O154" s="3">
        <v>179</v>
      </c>
      <c r="P154" s="3" t="str">
        <f>IFERROR(MID(VLOOKUP($B154,Seqs!$A:$B,2,0),Q154,1),"")</f>
        <v/>
      </c>
      <c r="Q154" s="3" t="s">
        <v>23</v>
      </c>
      <c r="R154" s="3" t="str">
        <f>IFERROR(MID(VLOOKUP($B154,Seqs!$A:$B,2,0),S154,1),"")</f>
        <v/>
      </c>
      <c r="S154" s="3" t="s">
        <v>23</v>
      </c>
      <c r="T154" s="3" t="str">
        <f>IFERROR(MID(VLOOKUP($B154,Seqs!$A:$B,2,0),U154,1),"")</f>
        <v>S</v>
      </c>
      <c r="U154" s="3">
        <v>185</v>
      </c>
      <c r="V154" s="3" t="str">
        <f>IFERROR(MID(VLOOKUP($B154,Seqs!$A:$B,2,0),W154,1),"")</f>
        <v>R</v>
      </c>
      <c r="W154" s="3">
        <v>220</v>
      </c>
      <c r="X154" s="3" t="str">
        <f>IFERROR(MID(VLOOKUP($B154,Seqs!$A:$B,2,0),Y154,1),"")</f>
        <v>P</v>
      </c>
      <c r="Y154" s="3">
        <v>221</v>
      </c>
      <c r="Z154" s="3" t="str">
        <f>IFERROR(MID(VLOOKUP($B154,Seqs!$A:$B,2,0),AA154,1),"")</f>
        <v>V</v>
      </c>
      <c r="AA154" s="3">
        <v>228</v>
      </c>
      <c r="AB154" s="3" t="str">
        <f>IFERROR(MID(VLOOKUP($B154,Seqs!$A:$B,2,0),AC154,1),"")</f>
        <v>T</v>
      </c>
      <c r="AC154" s="9">
        <v>229</v>
      </c>
      <c r="AD154" s="3" t="str">
        <f>IFERROR(MID(VLOOKUP($B154,Seqs!$A:$B,2,0),AE154,1),"")</f>
        <v>G</v>
      </c>
      <c r="AE154" s="3">
        <v>254</v>
      </c>
      <c r="AF154" s="3" t="str">
        <f>IFERROR(MID(VLOOKUP($B154,Seqs!$A:$B,2,0),AG154,1),"")</f>
        <v/>
      </c>
      <c r="AG154" s="3" t="s">
        <v>23</v>
      </c>
      <c r="AH154" s="3" t="str">
        <f>IFERROR(MID(VLOOKUP($B154,Seqs!$A:$B,2,0),AI154,1),"")</f>
        <v/>
      </c>
      <c r="AI154" s="3" t="s">
        <v>23</v>
      </c>
      <c r="AJ154" s="3" t="str">
        <f>IFERROR(MID(VLOOKUP($B154,Seqs!$A:$B,2,0),AK154,1),"")</f>
        <v>D</v>
      </c>
      <c r="AK154" s="3">
        <v>272</v>
      </c>
      <c r="AL154" s="3" t="str">
        <f>IFERROR(MID(VLOOKUP($B154,Seqs!$A:$B,2,0),AM154,1),"")</f>
        <v>G</v>
      </c>
      <c r="AM154" s="3">
        <v>312</v>
      </c>
      <c r="AN154" s="3" t="str">
        <f>IFERROR(MID(VLOOKUP($B154,Seqs!$A:$B,2,0),AO154,1),"")</f>
        <v>P</v>
      </c>
      <c r="AO154" s="3">
        <v>332</v>
      </c>
      <c r="AP154" s="3" t="str">
        <f>IFERROR(MID(VLOOKUP($B154,Seqs!$A:$B,2,0),AQ154,1),"")</f>
        <v>G</v>
      </c>
      <c r="AQ154" s="3">
        <v>369</v>
      </c>
      <c r="AR154" s="3" t="str">
        <f>IFERROR(MID(VLOOKUP($B154,Seqs!$A:$B,2,0),AS154,1),"")</f>
        <v>N</v>
      </c>
      <c r="AS154" s="3">
        <v>372</v>
      </c>
      <c r="AT154" s="3" t="str">
        <f>IFERROR(MID(VLOOKUP($B154,Seqs!$A:$B,2,0),AU154,1),"")</f>
        <v>R</v>
      </c>
      <c r="AU154" s="3">
        <v>400</v>
      </c>
      <c r="AV154" s="3" t="str">
        <f>IFERROR(MID(VLOOKUP($B154,Seqs!$A:$B,2,0),AW154,1),"")</f>
        <v>S</v>
      </c>
      <c r="AW154" s="3">
        <v>401</v>
      </c>
      <c r="AX154" s="3" t="str">
        <f>IFERROR(MID(VLOOKUP($B154,Seqs!$A:$B,2,0),AY154,1),"")</f>
        <v>P</v>
      </c>
      <c r="AY154" s="3">
        <v>413</v>
      </c>
      <c r="AZ154" s="77" t="str">
        <f>VLOOKUP(B154,Classification!A:D,2,0)</f>
        <v>A</v>
      </c>
      <c r="BA154" s="94" t="str">
        <f>VLOOKUP(B154,Classification!A:D,4,0)</f>
        <v>Cannabinoid</v>
      </c>
      <c r="BB154" s="27" t="b">
        <f t="shared" si="700"/>
        <v>1</v>
      </c>
      <c r="BC154" s="23">
        <f t="shared" si="477"/>
        <v>260</v>
      </c>
      <c r="BD154" s="56" t="s">
        <v>23</v>
      </c>
      <c r="BE154" s="3" t="s">
        <v>23</v>
      </c>
      <c r="BF154" s="119" t="s">
        <v>23</v>
      </c>
      <c r="BG154" s="49" t="s">
        <v>1378</v>
      </c>
      <c r="BH154" s="49" t="s">
        <v>1383</v>
      </c>
      <c r="BJ154" s="70" t="s">
        <v>1293</v>
      </c>
      <c r="BK154" s="57" t="s">
        <v>1293</v>
      </c>
      <c r="BL154" s="57" t="s">
        <v>1293</v>
      </c>
      <c r="BM154" s="57" t="s">
        <v>1293</v>
      </c>
      <c r="BN154" s="57" t="s">
        <v>1293</v>
      </c>
      <c r="BO154" s="57" t="s">
        <v>1293</v>
      </c>
      <c r="BP154" s="57" t="s">
        <v>1293</v>
      </c>
      <c r="BQ154" s="57" t="s">
        <v>1293</v>
      </c>
      <c r="BR154" s="57" t="s">
        <v>1293</v>
      </c>
      <c r="BS154" s="57" t="s">
        <v>1293</v>
      </c>
      <c r="BT154" s="57" t="s">
        <v>1293</v>
      </c>
      <c r="BU154" s="57" t="s">
        <v>1293</v>
      </c>
      <c r="BV154" s="70">
        <f t="shared" si="478"/>
        <v>112</v>
      </c>
      <c r="BW154" s="71">
        <f t="shared" si="479"/>
        <v>145</v>
      </c>
      <c r="BX154" s="72">
        <f t="shared" si="480"/>
        <v>150</v>
      </c>
      <c r="BY154" s="71" t="str">
        <f t="shared" si="481"/>
        <v>-</v>
      </c>
      <c r="BZ154" s="72">
        <f t="shared" si="482"/>
        <v>185</v>
      </c>
      <c r="CA154" s="71">
        <f t="shared" si="483"/>
        <v>221</v>
      </c>
      <c r="CB154" s="72">
        <f t="shared" si="484"/>
        <v>229</v>
      </c>
      <c r="CC154" s="71" t="str">
        <f t="shared" si="485"/>
        <v>-</v>
      </c>
      <c r="CD154" s="72">
        <f t="shared" si="486"/>
        <v>272</v>
      </c>
      <c r="CE154" s="71">
        <f t="shared" si="487"/>
        <v>332</v>
      </c>
      <c r="CF154" s="72">
        <f t="shared" si="488"/>
        <v>372</v>
      </c>
      <c r="CG154" s="71">
        <f t="shared" si="489"/>
        <v>401</v>
      </c>
      <c r="CH154" s="70">
        <f t="shared" si="490"/>
        <v>144</v>
      </c>
      <c r="CI154" s="71">
        <f t="shared" si="491"/>
        <v>148</v>
      </c>
      <c r="CJ154" s="72">
        <f t="shared" si="492"/>
        <v>179</v>
      </c>
      <c r="CK154" s="72" t="str">
        <f t="shared" si="493"/>
        <v>-</v>
      </c>
      <c r="CL154" s="72">
        <f t="shared" si="494"/>
        <v>220</v>
      </c>
      <c r="CM154" s="72">
        <f t="shared" si="495"/>
        <v>228</v>
      </c>
      <c r="CN154" s="72">
        <f t="shared" si="496"/>
        <v>254</v>
      </c>
      <c r="CO154" s="72" t="str">
        <f t="shared" si="497"/>
        <v>-</v>
      </c>
      <c r="CP154" s="72">
        <f t="shared" si="498"/>
        <v>312</v>
      </c>
      <c r="CQ154" s="72">
        <f t="shared" si="499"/>
        <v>369</v>
      </c>
      <c r="CR154" s="72">
        <f t="shared" si="500"/>
        <v>400</v>
      </c>
      <c r="CS154" s="72">
        <f t="shared" si="501"/>
        <v>413</v>
      </c>
      <c r="CT154" s="23">
        <f t="shared" si="502"/>
        <v>2</v>
      </c>
    </row>
    <row r="155" spans="1:1030" s="3" customFormat="1" x14ac:dyDescent="0.2">
      <c r="A155" s="3" t="str">
        <f t="shared" si="699"/>
        <v>cnr1_human_5TGZ</v>
      </c>
      <c r="B155" s="3" t="s">
        <v>182</v>
      </c>
      <c r="C155" s="3" t="s">
        <v>1365</v>
      </c>
      <c r="D155" s="3" t="str">
        <f>IFERROR(MID(VLOOKUP($B155,Seqs!$A:$B,2,0),E155,1),"")</f>
        <v>P</v>
      </c>
      <c r="E155" s="3">
        <v>113</v>
      </c>
      <c r="F155" s="3" t="str">
        <f>IFERROR(MID(VLOOKUP($B155,Seqs!$A:$B,2,0),G155,1),"")</f>
        <v>S</v>
      </c>
      <c r="G155" s="3">
        <v>144</v>
      </c>
      <c r="H155" s="3" t="str">
        <f>IFERROR(MID(VLOOKUP($B155,Seqs!$A:$B,2,0),I155,1),"")</f>
        <v>R</v>
      </c>
      <c r="I155" s="23">
        <v>145</v>
      </c>
      <c r="J155" s="3" t="str">
        <f>IFERROR(MID(VLOOKUP($B155,Seqs!$A:$B,2,0),K155,1),"")</f>
        <v>R</v>
      </c>
      <c r="K155" s="23">
        <v>148</v>
      </c>
      <c r="L155" s="3" t="str">
        <f>IFERROR(MID(VLOOKUP($B155,Seqs!$A:$B,2,0),M155,1),"")</f>
        <v>R</v>
      </c>
      <c r="M155" s="3">
        <v>150</v>
      </c>
      <c r="N155" s="3" t="str">
        <f>IFERROR(MID(VLOOKUP($B155,Seqs!$A:$B,2,0),O155,1),"")</f>
        <v>V</v>
      </c>
      <c r="O155" s="3">
        <v>179</v>
      </c>
      <c r="P155" s="3" t="str">
        <f>IFERROR(MID(VLOOKUP($B155,Seqs!$A:$B,2,0),Q155,1),"")</f>
        <v/>
      </c>
      <c r="Q155" s="3" t="s">
        <v>23</v>
      </c>
      <c r="R155" s="3" t="str">
        <f>IFERROR(MID(VLOOKUP($B155,Seqs!$A:$B,2,0),S155,1),"")</f>
        <v/>
      </c>
      <c r="S155" s="3" t="s">
        <v>23</v>
      </c>
      <c r="T155" s="3" t="str">
        <f>IFERROR(MID(VLOOKUP($B155,Seqs!$A:$B,2,0),U155,1),"")</f>
        <v>S</v>
      </c>
      <c r="U155" s="3">
        <v>185</v>
      </c>
      <c r="V155" s="3" t="str">
        <f>IFERROR(MID(VLOOKUP($B155,Seqs!$A:$B,2,0),W155,1),"")</f>
        <v>R</v>
      </c>
      <c r="W155" s="3">
        <v>220</v>
      </c>
      <c r="X155" s="3" t="str">
        <f>IFERROR(MID(VLOOKUP($B155,Seqs!$A:$B,2,0),Y155,1),"")</f>
        <v>P</v>
      </c>
      <c r="Y155" s="3">
        <v>221</v>
      </c>
      <c r="Z155" s="3" t="str">
        <f>IFERROR(MID(VLOOKUP($B155,Seqs!$A:$B,2,0),AA155,1),"")</f>
        <v>V</v>
      </c>
      <c r="AA155" s="3">
        <v>228</v>
      </c>
      <c r="AB155" s="3" t="str">
        <f>IFERROR(MID(VLOOKUP($B155,Seqs!$A:$B,2,0),AC155,1),"")</f>
        <v>T</v>
      </c>
      <c r="AC155" s="9">
        <v>229</v>
      </c>
      <c r="AD155" s="3" t="str">
        <f>IFERROR(MID(VLOOKUP($B155,Seqs!$A:$B,2,0),AE155,1),"")</f>
        <v>G</v>
      </c>
      <c r="AE155" s="3">
        <v>254</v>
      </c>
      <c r="AF155" s="3" t="str">
        <f>IFERROR(MID(VLOOKUP($B155,Seqs!$A:$B,2,0),AG155,1),"")</f>
        <v/>
      </c>
      <c r="AG155" s="3" t="s">
        <v>23</v>
      </c>
      <c r="AH155" s="3" t="str">
        <f>IFERROR(MID(VLOOKUP($B155,Seqs!$A:$B,2,0),AI155,1),"")</f>
        <v/>
      </c>
      <c r="AI155" s="3" t="s">
        <v>23</v>
      </c>
      <c r="AJ155" s="3" t="str">
        <f>IFERROR(MID(VLOOKUP($B155,Seqs!$A:$B,2,0),AK155,1),"")</f>
        <v>D</v>
      </c>
      <c r="AK155" s="3">
        <v>272</v>
      </c>
      <c r="AL155" s="3" t="str">
        <f>IFERROR(MID(VLOOKUP($B155,Seqs!$A:$B,2,0),AM155,1),"")</f>
        <v>H</v>
      </c>
      <c r="AM155" s="3">
        <v>304</v>
      </c>
      <c r="AN155" s="3" t="str">
        <f>IFERROR(MID(VLOOKUP($B155,Seqs!$A:$B,2,0),AO155,1),"")</f>
        <v>P</v>
      </c>
      <c r="AO155" s="3">
        <v>332</v>
      </c>
      <c r="AP155" s="3" t="str">
        <f>IFERROR(MID(VLOOKUP($B155,Seqs!$A:$B,2,0),AQ155,1),"")</f>
        <v>F</v>
      </c>
      <c r="AQ155" s="3">
        <v>368</v>
      </c>
      <c r="AR155" s="3" t="str">
        <f>IFERROR(MID(VLOOKUP($B155,Seqs!$A:$B,2,0),AS155,1),"")</f>
        <v>N</v>
      </c>
      <c r="AS155" s="3">
        <v>372</v>
      </c>
      <c r="AT155" s="3" t="str">
        <f>IFERROR(MID(VLOOKUP($B155,Seqs!$A:$B,2,0),AU155,1),"")</f>
        <v>R</v>
      </c>
      <c r="AU155" s="3">
        <v>400</v>
      </c>
      <c r="AV155" s="3" t="str">
        <f>IFERROR(MID(VLOOKUP($B155,Seqs!$A:$B,2,0),AW155,1),"")</f>
        <v>S</v>
      </c>
      <c r="AW155" s="3">
        <v>401</v>
      </c>
      <c r="AX155" s="3" t="str">
        <f>IFERROR(MID(VLOOKUP($B155,Seqs!$A:$B,2,0),AY155,1),"")</f>
        <v>M</v>
      </c>
      <c r="AY155" s="3">
        <v>411</v>
      </c>
      <c r="AZ155" s="77" t="str">
        <f>VLOOKUP(B155,Classification!A:D,2,0)</f>
        <v>A</v>
      </c>
      <c r="BA155" s="94" t="str">
        <f>VLOOKUP(B155,Classification!A:D,4,0)</f>
        <v>Cannabinoid</v>
      </c>
      <c r="BB155" s="27" t="b">
        <f t="shared" si="700"/>
        <v>1</v>
      </c>
      <c r="BC155" s="23">
        <f t="shared" si="477"/>
        <v>248</v>
      </c>
      <c r="BD155" s="16" t="s">
        <v>1382</v>
      </c>
      <c r="BE155" s="3" t="s">
        <v>1380</v>
      </c>
      <c r="BF155" s="119">
        <v>2.8</v>
      </c>
      <c r="BG155" s="49" t="s">
        <v>1383</v>
      </c>
      <c r="BH155" s="49" t="s">
        <v>1383</v>
      </c>
      <c r="BJ155" s="70" t="s">
        <v>1293</v>
      </c>
      <c r="BK155" s="57" t="s">
        <v>1293</v>
      </c>
      <c r="BL155" s="57" t="s">
        <v>1293</v>
      </c>
      <c r="BM155" s="57" t="s">
        <v>1293</v>
      </c>
      <c r="BN155" s="57" t="s">
        <v>1293</v>
      </c>
      <c r="BO155" s="57" t="s">
        <v>1293</v>
      </c>
      <c r="BP155" s="57" t="s">
        <v>1293</v>
      </c>
      <c r="BQ155" s="57" t="s">
        <v>1293</v>
      </c>
      <c r="BR155" s="57" t="s">
        <v>1293</v>
      </c>
      <c r="BS155" s="57" t="s">
        <v>1293</v>
      </c>
      <c r="BT155" s="57" t="s">
        <v>1293</v>
      </c>
      <c r="BU155" s="57" t="s">
        <v>1293</v>
      </c>
      <c r="BV155" s="70">
        <f t="shared" si="478"/>
        <v>113</v>
      </c>
      <c r="BW155" s="71">
        <f t="shared" si="479"/>
        <v>145</v>
      </c>
      <c r="BX155" s="72">
        <f t="shared" si="480"/>
        <v>150</v>
      </c>
      <c r="BY155" s="71" t="str">
        <f t="shared" si="481"/>
        <v>-</v>
      </c>
      <c r="BZ155" s="72">
        <f t="shared" si="482"/>
        <v>185</v>
      </c>
      <c r="CA155" s="71">
        <f t="shared" si="483"/>
        <v>221</v>
      </c>
      <c r="CB155" s="72">
        <f t="shared" si="484"/>
        <v>229</v>
      </c>
      <c r="CC155" s="71" t="str">
        <f t="shared" si="485"/>
        <v>-</v>
      </c>
      <c r="CD155" s="72">
        <f t="shared" si="486"/>
        <v>272</v>
      </c>
      <c r="CE155" s="71">
        <f t="shared" si="487"/>
        <v>332</v>
      </c>
      <c r="CF155" s="72">
        <f t="shared" si="488"/>
        <v>372</v>
      </c>
      <c r="CG155" s="71">
        <f t="shared" si="489"/>
        <v>401</v>
      </c>
      <c r="CH155" s="70">
        <f t="shared" si="490"/>
        <v>144</v>
      </c>
      <c r="CI155" s="71">
        <f t="shared" si="491"/>
        <v>148</v>
      </c>
      <c r="CJ155" s="72">
        <f t="shared" si="492"/>
        <v>179</v>
      </c>
      <c r="CK155" s="72" t="str">
        <f t="shared" si="493"/>
        <v>-</v>
      </c>
      <c r="CL155" s="72">
        <f t="shared" si="494"/>
        <v>220</v>
      </c>
      <c r="CM155" s="72">
        <f t="shared" si="495"/>
        <v>228</v>
      </c>
      <c r="CN155" s="72">
        <f t="shared" si="496"/>
        <v>254</v>
      </c>
      <c r="CO155" s="72" t="str">
        <f t="shared" si="497"/>
        <v>-</v>
      </c>
      <c r="CP155" s="72">
        <f t="shared" si="498"/>
        <v>304</v>
      </c>
      <c r="CQ155" s="72">
        <f t="shared" si="499"/>
        <v>368</v>
      </c>
      <c r="CR155" s="72">
        <f t="shared" si="500"/>
        <v>400</v>
      </c>
      <c r="CS155" s="72">
        <f t="shared" si="501"/>
        <v>411</v>
      </c>
      <c r="CT155" s="23">
        <f t="shared" si="502"/>
        <v>2</v>
      </c>
      <c r="AMP155" s="1"/>
    </row>
    <row r="156" spans="1:1030" x14ac:dyDescent="0.2">
      <c r="A156" s="3" t="str">
        <f t="shared" si="699"/>
        <v>cnr1_human_5U09</v>
      </c>
      <c r="B156" s="3" t="s">
        <v>182</v>
      </c>
      <c r="C156" s="3" t="s">
        <v>1370</v>
      </c>
      <c r="D156" s="3" t="str">
        <f>IFERROR(MID(VLOOKUP($B156,Seqs!$A:$B,2,0),E156,1),"")</f>
        <v>N</v>
      </c>
      <c r="E156" s="3">
        <v>112</v>
      </c>
      <c r="F156" s="3" t="str">
        <f>IFERROR(MID(VLOOKUP($B156,Seqs!$A:$B,2,0),G156,1),"")</f>
        <v>S</v>
      </c>
      <c r="G156" s="3">
        <v>144</v>
      </c>
      <c r="H156" s="3" t="str">
        <f>IFERROR(MID(VLOOKUP($B156,Seqs!$A:$B,2,0),I156,1),"")</f>
        <v>R</v>
      </c>
      <c r="I156" s="23">
        <v>145</v>
      </c>
      <c r="J156" s="3" t="str">
        <f>IFERROR(MID(VLOOKUP($B156,Seqs!$A:$B,2,0),K156,1),"")</f>
        <v>R</v>
      </c>
      <c r="K156" s="23">
        <v>148</v>
      </c>
      <c r="L156" s="3" t="str">
        <f>IFERROR(MID(VLOOKUP($B156,Seqs!$A:$B,2,0),M156,1),"")</f>
        <v>R</v>
      </c>
      <c r="M156" s="3">
        <v>150</v>
      </c>
      <c r="N156" s="3" t="str">
        <f>IFERROR(MID(VLOOKUP($B156,Seqs!$A:$B,2,0),O156,1),"")</f>
        <v>V</v>
      </c>
      <c r="O156" s="3">
        <v>179</v>
      </c>
      <c r="P156" s="3" t="str">
        <f>IFERROR(MID(VLOOKUP($B156,Seqs!$A:$B,2,0),Q156,1),"")</f>
        <v/>
      </c>
      <c r="Q156" s="3" t="s">
        <v>23</v>
      </c>
      <c r="R156" s="3" t="str">
        <f>IFERROR(MID(VLOOKUP($B156,Seqs!$A:$B,2,0),S156,1),"")</f>
        <v/>
      </c>
      <c r="S156" s="3" t="s">
        <v>23</v>
      </c>
      <c r="T156" s="3" t="str">
        <f>IFERROR(MID(VLOOKUP($B156,Seqs!$A:$B,2,0),U156,1),"")</f>
        <v>S</v>
      </c>
      <c r="U156" s="3">
        <v>185</v>
      </c>
      <c r="V156" s="3" t="str">
        <f>IFERROR(MID(VLOOKUP($B156,Seqs!$A:$B,2,0),W156,1),"")</f>
        <v>R</v>
      </c>
      <c r="W156" s="3">
        <v>220</v>
      </c>
      <c r="X156" s="3" t="str">
        <f>IFERROR(MID(VLOOKUP($B156,Seqs!$A:$B,2,0),Y156,1),"")</f>
        <v>P</v>
      </c>
      <c r="Y156" s="3">
        <v>221</v>
      </c>
      <c r="Z156" s="3" t="str">
        <f>IFERROR(MID(VLOOKUP($B156,Seqs!$A:$B,2,0),AA156,1),"")</f>
        <v>V</v>
      </c>
      <c r="AA156" s="3">
        <v>228</v>
      </c>
      <c r="AB156" s="3" t="str">
        <f>IFERROR(MID(VLOOKUP($B156,Seqs!$A:$B,2,0),AC156,1),"")</f>
        <v>T</v>
      </c>
      <c r="AC156" s="9">
        <v>229</v>
      </c>
      <c r="AD156" s="3" t="str">
        <f>IFERROR(MID(VLOOKUP($B156,Seqs!$A:$B,2,0),AE156,1),"")</f>
        <v>G</v>
      </c>
      <c r="AE156" s="3">
        <v>254</v>
      </c>
      <c r="AF156" s="3" t="str">
        <f>IFERROR(MID(VLOOKUP($B156,Seqs!$A:$B,2,0),AG156,1),"")</f>
        <v/>
      </c>
      <c r="AG156" s="3" t="s">
        <v>23</v>
      </c>
      <c r="AH156" s="3" t="str">
        <f>IFERROR(MID(VLOOKUP($B156,Seqs!$A:$B,2,0),AI156,1),"")</f>
        <v/>
      </c>
      <c r="AI156" s="3" t="s">
        <v>23</v>
      </c>
      <c r="AJ156" s="3" t="str">
        <f>IFERROR(MID(VLOOKUP($B156,Seqs!$A:$B,2,0),AK156,1),"")</f>
        <v>D</v>
      </c>
      <c r="AK156" s="3">
        <v>272</v>
      </c>
      <c r="AL156" s="3" t="str">
        <f>IFERROR(MID(VLOOKUP($B156,Seqs!$A:$B,2,0),AM156,1),"")</f>
        <v>A</v>
      </c>
      <c r="AM156" s="3">
        <v>301</v>
      </c>
      <c r="AN156" s="3" t="str">
        <f>IFERROR(MID(VLOOKUP($B156,Seqs!$A:$B,2,0),AO156,1),"")</f>
        <v>D</v>
      </c>
      <c r="AO156" s="3">
        <v>333</v>
      </c>
      <c r="AP156" s="3" t="str">
        <f>IFERROR(MID(VLOOKUP($B156,Seqs!$A:$B,2,0),AQ156,1),"")</f>
        <v>F</v>
      </c>
      <c r="AQ156" s="3">
        <v>368</v>
      </c>
      <c r="AR156" s="3" t="str">
        <f>IFERROR(MID(VLOOKUP($B156,Seqs!$A:$B,2,0),AS156,1),"")</f>
        <v>L</v>
      </c>
      <c r="AS156" s="3">
        <v>374</v>
      </c>
      <c r="AT156" s="3" t="str">
        <f>IFERROR(MID(VLOOKUP($B156,Seqs!$A:$B,2,0),AU156,1),"")</f>
        <v>R</v>
      </c>
      <c r="AU156" s="3">
        <v>400</v>
      </c>
      <c r="AV156" s="3" t="str">
        <f>IFERROR(MID(VLOOKUP($B156,Seqs!$A:$B,2,0),AW156,1),"")</f>
        <v>S</v>
      </c>
      <c r="AW156" s="3">
        <v>401</v>
      </c>
      <c r="AX156" s="3" t="str">
        <f>IFERROR(MID(VLOOKUP($B156,Seqs!$A:$B,2,0),AY156,1),"")</f>
        <v>M</v>
      </c>
      <c r="AY156" s="3">
        <v>411</v>
      </c>
      <c r="AZ156" s="77" t="str">
        <f>VLOOKUP(B156,Classification!A:D,2,0)</f>
        <v>A</v>
      </c>
      <c r="BA156" s="94" t="str">
        <f>VLOOKUP(B156,Classification!A:D,4,0)</f>
        <v>Cannabinoid</v>
      </c>
      <c r="BB156" s="27" t="b">
        <f t="shared" si="700"/>
        <v>1</v>
      </c>
      <c r="BC156" s="23">
        <f t="shared" si="477"/>
        <v>243</v>
      </c>
      <c r="BD156" s="2" t="s">
        <v>23</v>
      </c>
      <c r="BE156" s="3" t="s">
        <v>1380</v>
      </c>
      <c r="BF156" s="119">
        <v>2.6</v>
      </c>
      <c r="BG156" s="49" t="s">
        <v>1383</v>
      </c>
      <c r="BH156" s="49" t="s">
        <v>1383</v>
      </c>
      <c r="BJ156" s="70" t="s">
        <v>1293</v>
      </c>
      <c r="BK156" s="57" t="s">
        <v>1293</v>
      </c>
      <c r="BL156" s="57" t="s">
        <v>1293</v>
      </c>
      <c r="BM156" s="57" t="s">
        <v>1293</v>
      </c>
      <c r="BN156" s="57" t="s">
        <v>1293</v>
      </c>
      <c r="BO156" s="57" t="s">
        <v>1293</v>
      </c>
      <c r="BP156" s="57" t="s">
        <v>1293</v>
      </c>
      <c r="BQ156" s="57" t="s">
        <v>1293</v>
      </c>
      <c r="BR156" s="57" t="s">
        <v>1293</v>
      </c>
      <c r="BS156" s="57" t="s">
        <v>1293</v>
      </c>
      <c r="BT156" s="57" t="s">
        <v>1293</v>
      </c>
      <c r="BU156" s="57" t="s">
        <v>1293</v>
      </c>
      <c r="BV156" s="70">
        <f t="shared" si="478"/>
        <v>112</v>
      </c>
      <c r="BW156" s="71">
        <f t="shared" si="479"/>
        <v>145</v>
      </c>
      <c r="BX156" s="72">
        <f t="shared" si="480"/>
        <v>150</v>
      </c>
      <c r="BY156" s="71" t="str">
        <f t="shared" si="481"/>
        <v>-</v>
      </c>
      <c r="BZ156" s="72">
        <f t="shared" si="482"/>
        <v>185</v>
      </c>
      <c r="CA156" s="71">
        <f t="shared" si="483"/>
        <v>221</v>
      </c>
      <c r="CB156" s="72">
        <f t="shared" si="484"/>
        <v>229</v>
      </c>
      <c r="CC156" s="71" t="str">
        <f t="shared" si="485"/>
        <v>-</v>
      </c>
      <c r="CD156" s="72">
        <f t="shared" si="486"/>
        <v>272</v>
      </c>
      <c r="CE156" s="71">
        <f t="shared" si="487"/>
        <v>333</v>
      </c>
      <c r="CF156" s="72">
        <f t="shared" si="488"/>
        <v>374</v>
      </c>
      <c r="CG156" s="71">
        <f t="shared" si="489"/>
        <v>401</v>
      </c>
      <c r="CH156" s="70">
        <f t="shared" si="490"/>
        <v>144</v>
      </c>
      <c r="CI156" s="71">
        <f t="shared" si="491"/>
        <v>148</v>
      </c>
      <c r="CJ156" s="72">
        <f t="shared" si="492"/>
        <v>179</v>
      </c>
      <c r="CK156" s="72" t="str">
        <f t="shared" si="493"/>
        <v>-</v>
      </c>
      <c r="CL156" s="72">
        <f t="shared" si="494"/>
        <v>220</v>
      </c>
      <c r="CM156" s="72">
        <f t="shared" si="495"/>
        <v>228</v>
      </c>
      <c r="CN156" s="72">
        <f t="shared" si="496"/>
        <v>254</v>
      </c>
      <c r="CO156" s="72" t="str">
        <f t="shared" si="497"/>
        <v>-</v>
      </c>
      <c r="CP156" s="72">
        <f t="shared" si="498"/>
        <v>301</v>
      </c>
      <c r="CQ156" s="72">
        <f t="shared" si="499"/>
        <v>368</v>
      </c>
      <c r="CR156" s="72">
        <f t="shared" si="500"/>
        <v>400</v>
      </c>
      <c r="CS156" s="72">
        <f t="shared" si="501"/>
        <v>411</v>
      </c>
      <c r="CT156" s="23">
        <f t="shared" si="502"/>
        <v>2</v>
      </c>
    </row>
    <row r="157" spans="1:1030" x14ac:dyDescent="0.2">
      <c r="A157" s="3" t="str">
        <f>CONCATENATE(B157,"_",C157)</f>
        <v>cnr1_human_5XR8</v>
      </c>
      <c r="B157" s="3" t="s">
        <v>182</v>
      </c>
      <c r="C157" s="3" t="s">
        <v>1434</v>
      </c>
      <c r="D157" s="3" t="str">
        <f>IFERROR(MID(VLOOKUP($B157,Seqs!$A:$B,2,0),E157,1),"")</f>
        <v>N</v>
      </c>
      <c r="E157" s="3">
        <v>112</v>
      </c>
      <c r="F157" s="3" t="str">
        <f>IFERROR(MID(VLOOKUP($B157,Seqs!$A:$B,2,0),G157,1),"")</f>
        <v>S</v>
      </c>
      <c r="G157" s="3">
        <v>146</v>
      </c>
      <c r="H157" s="3" t="str">
        <f>IFERROR(MID(VLOOKUP($B157,Seqs!$A:$B,2,0),I157,1),"")</f>
        <v/>
      </c>
      <c r="I157" s="23" t="s">
        <v>23</v>
      </c>
      <c r="J157" s="3" t="str">
        <f>IFERROR(MID(VLOOKUP($B157,Seqs!$A:$B,2,0),K157,1),"")</f>
        <v/>
      </c>
      <c r="K157" s="23" t="s">
        <v>23</v>
      </c>
      <c r="L157" s="3" t="str">
        <f>IFERROR(MID(VLOOKUP($B157,Seqs!$A:$B,2,0),M157,1),"")</f>
        <v>Y</v>
      </c>
      <c r="M157" s="3">
        <v>153</v>
      </c>
      <c r="N157" s="3" t="str">
        <f>IFERROR(MID(VLOOKUP($B157,Seqs!$A:$B,2,0),O157,1),"")</f>
        <v>F</v>
      </c>
      <c r="O157" s="3">
        <v>180</v>
      </c>
      <c r="P157" s="3" t="str">
        <f>IFERROR(MID(VLOOKUP($B157,Seqs!$A:$B,2,0),Q157,1),"")</f>
        <v/>
      </c>
      <c r="Q157" s="3" t="s">
        <v>23</v>
      </c>
      <c r="R157" s="3" t="str">
        <f>IFERROR(MID(VLOOKUP($B157,Seqs!$A:$B,2,0),S157,1),"")</f>
        <v/>
      </c>
      <c r="S157" s="3" t="s">
        <v>23</v>
      </c>
      <c r="T157" s="3" t="str">
        <f>IFERROR(MID(VLOOKUP($B157,Seqs!$A:$B,2,0),U157,1),"")</f>
        <v>S</v>
      </c>
      <c r="U157" s="3">
        <v>185</v>
      </c>
      <c r="V157" s="3" t="str">
        <f>IFERROR(MID(VLOOKUP($B157,Seqs!$A:$B,2,0),W157,1),"")</f>
        <v>R</v>
      </c>
      <c r="W157" s="3">
        <v>220</v>
      </c>
      <c r="X157" s="3" t="str">
        <f>IFERROR(MID(VLOOKUP($B157,Seqs!$A:$B,2,0),Y157,1),"")</f>
        <v>P</v>
      </c>
      <c r="Y157" s="3">
        <v>221</v>
      </c>
      <c r="Z157" s="3" t="str">
        <f>IFERROR(MID(VLOOKUP($B157,Seqs!$A:$B,2,0),AA157,1),"")</f>
        <v>V</v>
      </c>
      <c r="AA157" s="3">
        <v>228</v>
      </c>
      <c r="AB157" s="3" t="str">
        <f>IFERROR(MID(VLOOKUP($B157,Seqs!$A:$B,2,0),AC157,1),"")</f>
        <v>T</v>
      </c>
      <c r="AC157" s="3">
        <v>229</v>
      </c>
      <c r="AD157" s="3" t="str">
        <f>IFERROR(MID(VLOOKUP($B157,Seqs!$A:$B,2,0),AE157,1),"")</f>
        <v>G</v>
      </c>
      <c r="AE157" s="3">
        <v>254</v>
      </c>
      <c r="AF157" s="3" t="str">
        <f>IFERROR(MID(VLOOKUP($B157,Seqs!$A:$B,2,0),AG157,1),"")</f>
        <v/>
      </c>
      <c r="AG157" s="3" t="s">
        <v>23</v>
      </c>
      <c r="AH157" s="3" t="str">
        <f>IFERROR(MID(VLOOKUP($B157,Seqs!$A:$B,2,0),AI157,1),"")</f>
        <v/>
      </c>
      <c r="AI157" s="3" t="s">
        <v>23</v>
      </c>
      <c r="AJ157" s="3" t="str">
        <f>IFERROR(MID(VLOOKUP($B157,Seqs!$A:$B,2,0),AK157,1),"")</f>
        <v>D</v>
      </c>
      <c r="AK157" s="3">
        <v>272</v>
      </c>
      <c r="AL157" s="3" t="str">
        <f>IFERROR(MID(VLOOKUP($B157,Seqs!$A:$B,2,0),AM157,1),"")</f>
        <v>S</v>
      </c>
      <c r="AM157" s="3">
        <v>303</v>
      </c>
      <c r="AN157" s="3" t="str">
        <f>IFERROR(MID(VLOOKUP($B157,Seqs!$A:$B,2,0),AO157,1),"")</f>
        <v>D</v>
      </c>
      <c r="AO157" s="3">
        <v>338</v>
      </c>
      <c r="AP157" s="3" t="str">
        <f>IFERROR(MID(VLOOKUP($B157,Seqs!$A:$B,2,0),AQ157,1),"")</f>
        <v>F</v>
      </c>
      <c r="AQ157" s="3">
        <v>368</v>
      </c>
      <c r="AR157" s="3" t="str">
        <f>IFERROR(MID(VLOOKUP($B157,Seqs!$A:$B,2,0),AS157,1),"")</f>
        <v>N</v>
      </c>
      <c r="AS157" s="3">
        <v>372</v>
      </c>
      <c r="AT157" s="3" t="str">
        <f>IFERROR(MID(VLOOKUP($B157,Seqs!$A:$B,2,0),AU157,1),"")</f>
        <v>Y</v>
      </c>
      <c r="AU157" s="3">
        <v>397</v>
      </c>
      <c r="AV157" s="3" t="str">
        <f>IFERROR(MID(VLOOKUP($B157,Seqs!$A:$B,2,0),AW157,1),"")</f>
        <v>S</v>
      </c>
      <c r="AW157" s="3">
        <v>401</v>
      </c>
      <c r="AX157" s="3" t="str">
        <f>IFERROR(MID(VLOOKUP($B157,Seqs!$A:$B,2,0),AY157,1),"")</f>
        <v>F</v>
      </c>
      <c r="AY157" s="3">
        <v>412</v>
      </c>
      <c r="AZ157" s="77" t="str">
        <f>VLOOKUP(B157,Classification!A:D,2,0)</f>
        <v>A</v>
      </c>
      <c r="BA157" s="94" t="str">
        <f>VLOOKUP(B157,Classification!A:D,4,0)</f>
        <v>Cannabinoid</v>
      </c>
      <c r="BB157" s="27" t="b">
        <f>AND(E157&lt;G157,OR(G157&lt;I157,I157="-"),OR(I157&lt;K157,I157="-"),OR(K157&lt;M157,K157="-"),M157&lt;O157,OR(O157&lt;Q157,Q157="-"),OR(Q157&lt;S157,Q157="-"),OR(S157&lt;U157,S157="-"),U157&lt;W157,OR(W157&lt;Y157,Y157="-"),OR(Y157&lt;AA157,Y157="-"),OR(AA157&lt;AC157,AA157="-"),AC157&lt;AE157,OR(AE157&lt;AG157,AG157="-"),OR(AG157&lt;AI157,AG157="-"),OR(AI157&lt;AK157,AI157="-"),AK157&lt;AM157,AM157&lt;AO157,AO157&lt;AQ157,AQ157&lt;AS157,AS157&lt;AU157,OR(AU157&lt;AW157,AW157="-"),OR(AW157&lt;AY157,AW157="-"))</f>
        <v>1</v>
      </c>
      <c r="BC157" s="23">
        <f>_xlfn.AGGREGATE(9,6,CH157:CS157)-_xlfn.AGGREGATE(9,6,BV157:CG157)+12</f>
        <v>237</v>
      </c>
      <c r="BD157" s="2" t="s">
        <v>23</v>
      </c>
      <c r="BE157" s="3" t="s">
        <v>1297</v>
      </c>
      <c r="BF157" s="119">
        <v>2.95</v>
      </c>
      <c r="BG157" s="49" t="s">
        <v>1</v>
      </c>
      <c r="BH157" s="49" t="s">
        <v>1</v>
      </c>
      <c r="BJ157" s="70" t="s">
        <v>1293</v>
      </c>
      <c r="BK157" s="57" t="s">
        <v>1293</v>
      </c>
      <c r="BL157" s="57" t="s">
        <v>1293</v>
      </c>
      <c r="BM157" s="57" t="s">
        <v>1293</v>
      </c>
      <c r="BN157" s="57" t="s">
        <v>1293</v>
      </c>
      <c r="BO157" s="57" t="s">
        <v>1293</v>
      </c>
      <c r="BP157" s="57" t="s">
        <v>1293</v>
      </c>
      <c r="BQ157" s="57" t="s">
        <v>1293</v>
      </c>
      <c r="BR157" s="57" t="s">
        <v>1293</v>
      </c>
      <c r="BS157" s="57" t="s">
        <v>1293</v>
      </c>
      <c r="BT157" s="57" t="s">
        <v>1293</v>
      </c>
      <c r="BU157" s="57" t="s">
        <v>1293</v>
      </c>
      <c r="BV157" s="70">
        <f>E157</f>
        <v>112</v>
      </c>
      <c r="BW157" s="71" t="str">
        <f>I157</f>
        <v>-</v>
      </c>
      <c r="BX157" s="72">
        <f>M157</f>
        <v>153</v>
      </c>
      <c r="BY157" s="71" t="str">
        <f>Q157</f>
        <v>-</v>
      </c>
      <c r="BZ157" s="72">
        <f>U157</f>
        <v>185</v>
      </c>
      <c r="CA157" s="71">
        <f>Y157</f>
        <v>221</v>
      </c>
      <c r="CB157" s="72">
        <f>AC157</f>
        <v>229</v>
      </c>
      <c r="CC157" s="71" t="str">
        <f>AG157</f>
        <v>-</v>
      </c>
      <c r="CD157" s="72">
        <f>AK157</f>
        <v>272</v>
      </c>
      <c r="CE157" s="71">
        <f>AO157</f>
        <v>338</v>
      </c>
      <c r="CF157" s="72">
        <f>AS157</f>
        <v>372</v>
      </c>
      <c r="CG157" s="71">
        <f>AW157</f>
        <v>401</v>
      </c>
      <c r="CH157" s="70">
        <f>G157</f>
        <v>146</v>
      </c>
      <c r="CI157" s="71" t="str">
        <f>K157</f>
        <v>-</v>
      </c>
      <c r="CJ157" s="72">
        <f>O157</f>
        <v>180</v>
      </c>
      <c r="CK157" s="72" t="str">
        <f>S157</f>
        <v>-</v>
      </c>
      <c r="CL157" s="72">
        <f>W157</f>
        <v>220</v>
      </c>
      <c r="CM157" s="72">
        <f>AA157</f>
        <v>228</v>
      </c>
      <c r="CN157" s="72">
        <f>AE157</f>
        <v>254</v>
      </c>
      <c r="CO157" s="72" t="str">
        <f>AI157</f>
        <v>-</v>
      </c>
      <c r="CP157" s="72">
        <f>AM157</f>
        <v>303</v>
      </c>
      <c r="CQ157" s="72">
        <f>AQ157</f>
        <v>368</v>
      </c>
      <c r="CR157" s="72">
        <f>AU157</f>
        <v>397</v>
      </c>
      <c r="CS157" s="72">
        <f>AY157</f>
        <v>412</v>
      </c>
      <c r="CT157" s="23" t="e">
        <f>M157-K157</f>
        <v>#VALUE!</v>
      </c>
    </row>
    <row r="158" spans="1:1030" x14ac:dyDescent="0.2">
      <c r="A158" s="3" t="str">
        <f>CONCATENATE(B158,"_",C158)</f>
        <v>cnr1_human_5XRA</v>
      </c>
      <c r="B158" s="3" t="s">
        <v>182</v>
      </c>
      <c r="C158" s="3" t="s">
        <v>1435</v>
      </c>
      <c r="D158" s="3" t="str">
        <f>IFERROR(MID(VLOOKUP($B158,Seqs!$A:$B,2,0),E158,1),"")</f>
        <v>N</v>
      </c>
      <c r="E158" s="3">
        <v>112</v>
      </c>
      <c r="F158" s="3" t="str">
        <f>IFERROR(MID(VLOOKUP($B158,Seqs!$A:$B,2,0),G158,1),"")</f>
        <v>S</v>
      </c>
      <c r="G158" s="3">
        <v>146</v>
      </c>
      <c r="H158" s="3" t="str">
        <f>IFERROR(MID(VLOOKUP($B158,Seqs!$A:$B,2,0),I158,1),"")</f>
        <v/>
      </c>
      <c r="I158" s="23" t="s">
        <v>23</v>
      </c>
      <c r="J158" s="3" t="str">
        <f>IFERROR(MID(VLOOKUP($B158,Seqs!$A:$B,2,0),K158,1),"")</f>
        <v/>
      </c>
      <c r="K158" s="23" t="s">
        <v>23</v>
      </c>
      <c r="L158" s="3" t="str">
        <f>IFERROR(MID(VLOOKUP($B158,Seqs!$A:$B,2,0),M158,1),"")</f>
        <v>Y</v>
      </c>
      <c r="M158" s="3">
        <v>153</v>
      </c>
      <c r="N158" s="3" t="str">
        <f>IFERROR(MID(VLOOKUP($B158,Seqs!$A:$B,2,0),O158,1),"")</f>
        <v>F</v>
      </c>
      <c r="O158" s="3">
        <v>180</v>
      </c>
      <c r="P158" s="3" t="str">
        <f>IFERROR(MID(VLOOKUP($B158,Seqs!$A:$B,2,0),Q158,1),"")</f>
        <v/>
      </c>
      <c r="Q158" s="3" t="s">
        <v>23</v>
      </c>
      <c r="R158" s="3" t="str">
        <f>IFERROR(MID(VLOOKUP($B158,Seqs!$A:$B,2,0),S158,1),"")</f>
        <v/>
      </c>
      <c r="S158" s="3" t="s">
        <v>23</v>
      </c>
      <c r="T158" s="3" t="str">
        <f>IFERROR(MID(VLOOKUP($B158,Seqs!$A:$B,2,0),U158,1),"")</f>
        <v>S</v>
      </c>
      <c r="U158" s="3">
        <v>185</v>
      </c>
      <c r="V158" s="3" t="str">
        <f>IFERROR(MID(VLOOKUP($B158,Seqs!$A:$B,2,0),W158,1),"")</f>
        <v>R</v>
      </c>
      <c r="W158" s="3">
        <v>220</v>
      </c>
      <c r="X158" s="3" t="str">
        <f>IFERROR(MID(VLOOKUP($B158,Seqs!$A:$B,2,0),Y158,1),"")</f>
        <v>P</v>
      </c>
      <c r="Y158" s="3">
        <v>221</v>
      </c>
      <c r="Z158" s="3" t="str">
        <f>IFERROR(MID(VLOOKUP($B158,Seqs!$A:$B,2,0),AA158,1),"")</f>
        <v>V</v>
      </c>
      <c r="AA158" s="3">
        <v>228</v>
      </c>
      <c r="AB158" s="3" t="str">
        <f>IFERROR(MID(VLOOKUP($B158,Seqs!$A:$B,2,0),AC158,1),"")</f>
        <v>T</v>
      </c>
      <c r="AC158" s="3">
        <v>229</v>
      </c>
      <c r="AD158" s="3" t="str">
        <f>IFERROR(MID(VLOOKUP($B158,Seqs!$A:$B,2,0),AE158,1),"")</f>
        <v>G</v>
      </c>
      <c r="AE158" s="3">
        <v>254</v>
      </c>
      <c r="AF158" s="3" t="str">
        <f>IFERROR(MID(VLOOKUP($B158,Seqs!$A:$B,2,0),AG158,1),"")</f>
        <v/>
      </c>
      <c r="AG158" s="3" t="s">
        <v>23</v>
      </c>
      <c r="AH158" s="3" t="str">
        <f>IFERROR(MID(VLOOKUP($B158,Seqs!$A:$B,2,0),AI158,1),"")</f>
        <v/>
      </c>
      <c r="AI158" s="3" t="s">
        <v>23</v>
      </c>
      <c r="AJ158" s="3" t="str">
        <f>IFERROR(MID(VLOOKUP($B158,Seqs!$A:$B,2,0),AK158,1),"")</f>
        <v>D</v>
      </c>
      <c r="AK158" s="3">
        <v>272</v>
      </c>
      <c r="AL158" s="3" t="str">
        <f>IFERROR(MID(VLOOKUP($B158,Seqs!$A:$B,2,0),AM158,1),"")</f>
        <v>A</v>
      </c>
      <c r="AM158" s="3">
        <v>305</v>
      </c>
      <c r="AN158" s="3" t="str">
        <f>IFERROR(MID(VLOOKUP($B158,Seqs!$A:$B,2,0),AO158,1),"")</f>
        <v>D</v>
      </c>
      <c r="AO158" s="3">
        <v>338</v>
      </c>
      <c r="AP158" s="3" t="str">
        <f>IFERROR(MID(VLOOKUP($B158,Seqs!$A:$B,2,0),AQ158,1),"")</f>
        <v>G</v>
      </c>
      <c r="AQ158" s="3">
        <v>369</v>
      </c>
      <c r="AR158" s="3" t="str">
        <f>IFERROR(MID(VLOOKUP($B158,Seqs!$A:$B,2,0),AS158,1),"")</f>
        <v>N</v>
      </c>
      <c r="AS158" s="3">
        <v>372</v>
      </c>
      <c r="AT158" s="3" t="str">
        <f>IFERROR(MID(VLOOKUP($B158,Seqs!$A:$B,2,0),AU158,1),"")</f>
        <v>Y</v>
      </c>
      <c r="AU158" s="3">
        <v>397</v>
      </c>
      <c r="AV158" s="3" t="str">
        <f>IFERROR(MID(VLOOKUP($B158,Seqs!$A:$B,2,0),AW158,1),"")</f>
        <v>S</v>
      </c>
      <c r="AW158" s="3">
        <v>401</v>
      </c>
      <c r="AX158" s="3" t="str">
        <f>IFERROR(MID(VLOOKUP($B158,Seqs!$A:$B,2,0),AY158,1),"")</f>
        <v>F</v>
      </c>
      <c r="AY158" s="3">
        <v>412</v>
      </c>
      <c r="AZ158" s="77" t="str">
        <f>VLOOKUP(B158,Classification!A:D,2,0)</f>
        <v>A</v>
      </c>
      <c r="BA158" s="94" t="str">
        <f>VLOOKUP(B158,Classification!A:D,4,0)</f>
        <v>Cannabinoid</v>
      </c>
      <c r="BB158" s="27" t="b">
        <f>AND(E158&lt;G158,OR(G158&lt;I158,I158="-"),OR(I158&lt;K158,I158="-"),OR(K158&lt;M158,K158="-"),M158&lt;O158,OR(O158&lt;Q158,Q158="-"),OR(Q158&lt;S158,Q158="-"),OR(S158&lt;U158,S158="-"),U158&lt;W158,OR(W158&lt;Y158,Y158="-"),OR(Y158&lt;AA158,Y158="-"),OR(AA158&lt;AC158,AA158="-"),AC158&lt;AE158,OR(AE158&lt;AG158,AG158="-"),OR(AG158&lt;AI158,AG158="-"),OR(AI158&lt;AK158,AI158="-"),AK158&lt;AM158,AM158&lt;AO158,AO158&lt;AQ158,AQ158&lt;AS158,AS158&lt;AU158,OR(AU158&lt;AW158,AW158="-"),OR(AW158&lt;AY158,AW158="-"))</f>
        <v>1</v>
      </c>
      <c r="BC158" s="23">
        <f>_xlfn.AGGREGATE(9,6,CH158:CS158)-_xlfn.AGGREGATE(9,6,BV158:CG158)+12</f>
        <v>240</v>
      </c>
      <c r="BD158" s="2" t="s">
        <v>23</v>
      </c>
      <c r="BE158" s="3" t="s">
        <v>1297</v>
      </c>
      <c r="BF158" s="119">
        <v>2.8</v>
      </c>
      <c r="BG158" s="49" t="s">
        <v>1</v>
      </c>
      <c r="BH158" s="49" t="s">
        <v>1</v>
      </c>
      <c r="BJ158" s="70" t="s">
        <v>1293</v>
      </c>
      <c r="BK158" s="57" t="s">
        <v>1293</v>
      </c>
      <c r="BL158" s="57" t="s">
        <v>1293</v>
      </c>
      <c r="BM158" s="57" t="s">
        <v>1293</v>
      </c>
      <c r="BN158" s="57" t="s">
        <v>1293</v>
      </c>
      <c r="BO158" s="57" t="s">
        <v>1293</v>
      </c>
      <c r="BP158" s="57" t="s">
        <v>1293</v>
      </c>
      <c r="BQ158" s="57" t="s">
        <v>1293</v>
      </c>
      <c r="BR158" s="57" t="s">
        <v>1293</v>
      </c>
      <c r="BS158" s="57" t="s">
        <v>1293</v>
      </c>
      <c r="BT158" s="57" t="s">
        <v>1293</v>
      </c>
      <c r="BU158" s="57" t="s">
        <v>1293</v>
      </c>
      <c r="BV158" s="70">
        <f>E158</f>
        <v>112</v>
      </c>
      <c r="BW158" s="71" t="str">
        <f>I158</f>
        <v>-</v>
      </c>
      <c r="BX158" s="72">
        <f>M158</f>
        <v>153</v>
      </c>
      <c r="BY158" s="71" t="str">
        <f>Q158</f>
        <v>-</v>
      </c>
      <c r="BZ158" s="72">
        <f>U158</f>
        <v>185</v>
      </c>
      <c r="CA158" s="71">
        <f>Y158</f>
        <v>221</v>
      </c>
      <c r="CB158" s="72">
        <f>AC158</f>
        <v>229</v>
      </c>
      <c r="CC158" s="71" t="str">
        <f>AG158</f>
        <v>-</v>
      </c>
      <c r="CD158" s="72">
        <f>AK158</f>
        <v>272</v>
      </c>
      <c r="CE158" s="71">
        <f>AO158</f>
        <v>338</v>
      </c>
      <c r="CF158" s="72">
        <f>AS158</f>
        <v>372</v>
      </c>
      <c r="CG158" s="71">
        <f>AW158</f>
        <v>401</v>
      </c>
      <c r="CH158" s="70">
        <f>G158</f>
        <v>146</v>
      </c>
      <c r="CI158" s="71" t="str">
        <f>K158</f>
        <v>-</v>
      </c>
      <c r="CJ158" s="72">
        <f>O158</f>
        <v>180</v>
      </c>
      <c r="CK158" s="72" t="str">
        <f>S158</f>
        <v>-</v>
      </c>
      <c r="CL158" s="72">
        <f>W158</f>
        <v>220</v>
      </c>
      <c r="CM158" s="72">
        <f>AA158</f>
        <v>228</v>
      </c>
      <c r="CN158" s="72">
        <f>AE158</f>
        <v>254</v>
      </c>
      <c r="CO158" s="72" t="str">
        <f>AI158</f>
        <v>-</v>
      </c>
      <c r="CP158" s="72">
        <f>AM158</f>
        <v>305</v>
      </c>
      <c r="CQ158" s="72">
        <f>AQ158</f>
        <v>369</v>
      </c>
      <c r="CR158" s="72">
        <f>AU158</f>
        <v>397</v>
      </c>
      <c r="CS158" s="72">
        <f>AY158</f>
        <v>412</v>
      </c>
      <c r="CT158" s="23" t="e">
        <f>M158-K158</f>
        <v>#VALUE!</v>
      </c>
    </row>
    <row r="159" spans="1:1030" s="12" customFormat="1" x14ac:dyDescent="0.2">
      <c r="A159" s="9" t="str">
        <f>CONCATENATE(B159,"_",C159)</f>
        <v>cnr1_human_6N4B</v>
      </c>
      <c r="B159" s="9" t="s">
        <v>182</v>
      </c>
      <c r="C159" s="9" t="s">
        <v>1581</v>
      </c>
      <c r="D159" s="9" t="str">
        <f>IFERROR(MID(VLOOKUP($B159,Seqs!$A:$B,2,0),E159,1),"")</f>
        <v>N</v>
      </c>
      <c r="E159" s="9">
        <v>112</v>
      </c>
      <c r="F159" s="9" t="str">
        <f>IFERROR(MID(VLOOKUP($B159,Seqs!$A:$B,2,0),G159,1),"")</f>
        <v>H</v>
      </c>
      <c r="G159" s="9">
        <v>143</v>
      </c>
      <c r="H159" s="9" t="str">
        <f>IFERROR(MID(VLOOKUP($B159,Seqs!$A:$B,2,0),I159,1),"")</f>
        <v>R</v>
      </c>
      <c r="I159" s="109">
        <v>145</v>
      </c>
      <c r="J159" s="9" t="str">
        <f>IFERROR(MID(VLOOKUP($B159,Seqs!$A:$B,2,0),K159,1),"")</f>
        <v>R</v>
      </c>
      <c r="K159" s="109">
        <v>148</v>
      </c>
      <c r="L159" s="9" t="str">
        <f>IFERROR(MID(VLOOKUP($B159,Seqs!$A:$B,2,0),M159,1),"")</f>
        <v>Y</v>
      </c>
      <c r="M159" s="9">
        <v>153</v>
      </c>
      <c r="N159" s="9" t="str">
        <f>IFERROR(MID(VLOOKUP($B159,Seqs!$A:$B,2,0),O159,1),"")</f>
        <v>H</v>
      </c>
      <c r="O159" s="9">
        <v>178</v>
      </c>
      <c r="P159" s="9" t="str">
        <f>IFERROR(MID(VLOOKUP($B159,Seqs!$A:$B,2,0),Q159,1),"")</f>
        <v/>
      </c>
      <c r="Q159" s="9" t="s">
        <v>23</v>
      </c>
      <c r="R159" s="9" t="str">
        <f>IFERROR(MID(VLOOKUP($B159,Seqs!$A:$B,2,0),S159,1),"")</f>
        <v/>
      </c>
      <c r="S159" s="9" t="s">
        <v>23</v>
      </c>
      <c r="T159" s="9" t="str">
        <f>IFERROR(MID(VLOOKUP($B159,Seqs!$A:$B,2,0),U159,1),"")</f>
        <v>S</v>
      </c>
      <c r="U159" s="9">
        <v>185</v>
      </c>
      <c r="V159" s="9" t="str">
        <f>IFERROR(MID(VLOOKUP($B159,Seqs!$A:$B,2,0),W159,1),"")</f>
        <v>R</v>
      </c>
      <c r="W159" s="9">
        <v>220</v>
      </c>
      <c r="X159" s="9" t="str">
        <f>IFERROR(MID(VLOOKUP($B159,Seqs!$A:$B,2,0),Y159,1),"")</f>
        <v>P</v>
      </c>
      <c r="Y159" s="9">
        <v>221</v>
      </c>
      <c r="Z159" s="9" t="str">
        <f>IFERROR(MID(VLOOKUP($B159,Seqs!$A:$B,2,0),AA159,1),"")</f>
        <v>V</v>
      </c>
      <c r="AA159" s="9">
        <v>228</v>
      </c>
      <c r="AB159" s="9" t="str">
        <f>IFERROR(MID(VLOOKUP($B159,Seqs!$A:$B,2,0),AC159,1),"")</f>
        <v>T</v>
      </c>
      <c r="AC159" s="9">
        <v>229</v>
      </c>
      <c r="AD159" s="9" t="str">
        <f>IFERROR(MID(VLOOKUP($B159,Seqs!$A:$B,2,0),AE159,1),"")</f>
        <v>G</v>
      </c>
      <c r="AE159" s="9">
        <v>254</v>
      </c>
      <c r="AF159" s="9" t="str">
        <f>IFERROR(MID(VLOOKUP($B159,Seqs!$A:$B,2,0),AG159,1),"")</f>
        <v/>
      </c>
      <c r="AG159" s="9" t="s">
        <v>23</v>
      </c>
      <c r="AH159" s="9" t="str">
        <f>IFERROR(MID(VLOOKUP($B159,Seqs!$A:$B,2,0),AI159,1),"")</f>
        <v/>
      </c>
      <c r="AI159" s="9" t="s">
        <v>23</v>
      </c>
      <c r="AJ159" s="9" t="str">
        <f>IFERROR(MID(VLOOKUP($B159,Seqs!$A:$B,2,0),AK159,1),"")</f>
        <v>D</v>
      </c>
      <c r="AK159" s="9">
        <v>272</v>
      </c>
      <c r="AL159" s="9" t="str">
        <f>IFERROR(MID(VLOOKUP($B159,Seqs!$A:$B,2,0),AM159,1),"")</f>
        <v>R</v>
      </c>
      <c r="AM159" s="9">
        <v>311</v>
      </c>
      <c r="AN159" s="9" t="str">
        <f>IFERROR(MID(VLOOKUP($B159,Seqs!$A:$B,2,0),AO159,1),"")</f>
        <v>A</v>
      </c>
      <c r="AO159" s="9">
        <v>335</v>
      </c>
      <c r="AP159" s="9" t="str">
        <f>IFERROR(MID(VLOOKUP($B159,Seqs!$A:$B,2,0),AQ159,1),"")</f>
        <v>M</v>
      </c>
      <c r="AQ159" s="9">
        <v>363</v>
      </c>
      <c r="AR159" s="9" t="str">
        <f>IFERROR(MID(VLOOKUP($B159,Seqs!$A:$B,2,0),AS159,1),"")</f>
        <v>L</v>
      </c>
      <c r="AS159" s="9">
        <v>374</v>
      </c>
      <c r="AT159" s="9" t="str">
        <f>IFERROR(MID(VLOOKUP($B159,Seqs!$A:$B,2,0),AU159,1),"")</f>
        <v>R</v>
      </c>
      <c r="AU159" s="9">
        <v>400</v>
      </c>
      <c r="AV159" s="9" t="str">
        <f>IFERROR(MID(VLOOKUP($B159,Seqs!$A:$B,2,0),AW159,1),"")</f>
        <v>S</v>
      </c>
      <c r="AW159" s="9">
        <v>401</v>
      </c>
      <c r="AX159" s="9" t="str">
        <f>IFERROR(MID(VLOOKUP($B159,Seqs!$A:$B,2,0),AY159,1),"")</f>
        <v>M</v>
      </c>
      <c r="AY159" s="9">
        <v>411</v>
      </c>
      <c r="AZ159" s="110" t="str">
        <f>VLOOKUP(B159,Classification!A:D,2,0)</f>
        <v>A</v>
      </c>
      <c r="BA159" s="98" t="str">
        <f>VLOOKUP(B159,Classification!A:D,4,0)</f>
        <v>Cannabinoid</v>
      </c>
      <c r="BB159" s="36" t="b">
        <f>AND(E159&lt;G159,OR(G159&lt;I159,I159="-"),OR(I159&lt;K159,I159="-"),OR(K159&lt;M159,K159="-"),M159&lt;O159,OR(O159&lt;Q159,Q159="-"),OR(Q159&lt;S159,Q159="-"),OR(S159&lt;U159,S159="-"),U159&lt;W159,OR(W159&lt;Y159,Y159="-"),OR(Y159&lt;AA159,Y159="-"),OR(AA159&lt;AC159,AA159="-"),AC159&lt;AE159,OR(AE159&lt;AG159,AG159="-"),OR(AG159&lt;AI159,AG159="-"),OR(AI159&lt;AK159,AI159="-"),AK159&lt;AM159,AM159&lt;AO159,AO159&lt;AQ159,AQ159&lt;AS159,AS159&lt;AU159,OR(AU159&lt;AW159,AW159="-"),OR(AW159&lt;AY159,AW159="-"))</f>
        <v>1</v>
      </c>
      <c r="BC159" s="109">
        <f>_xlfn.AGGREGATE(9,6,CH159:CS159)-_xlfn.AGGREGATE(9,6,BV159:CG159)+12</f>
        <v>241</v>
      </c>
      <c r="BD159" s="40" t="s">
        <v>1381</v>
      </c>
      <c r="BE159" s="9" t="s">
        <v>1297</v>
      </c>
      <c r="BF159" s="120">
        <v>3</v>
      </c>
      <c r="BG159" s="51" t="s">
        <v>1432</v>
      </c>
      <c r="BH159" s="51" t="s">
        <v>1432</v>
      </c>
      <c r="BI159" s="9"/>
      <c r="BJ159" s="111" t="s">
        <v>1293</v>
      </c>
      <c r="BK159" s="112" t="s">
        <v>1293</v>
      </c>
      <c r="BL159" s="112" t="s">
        <v>1293</v>
      </c>
      <c r="BM159" s="112" t="s">
        <v>1293</v>
      </c>
      <c r="BN159" s="112" t="s">
        <v>1293</v>
      </c>
      <c r="BO159" s="112" t="s">
        <v>1293</v>
      </c>
      <c r="BP159" s="112" t="s">
        <v>1293</v>
      </c>
      <c r="BQ159" s="112" t="s">
        <v>1293</v>
      </c>
      <c r="BR159" s="112" t="s">
        <v>1293</v>
      </c>
      <c r="BS159" s="112" t="s">
        <v>1293</v>
      </c>
      <c r="BT159" s="112" t="s">
        <v>1293</v>
      </c>
      <c r="BU159" s="112" t="s">
        <v>1293</v>
      </c>
      <c r="BV159" s="111">
        <f>E159</f>
        <v>112</v>
      </c>
      <c r="BW159" s="113">
        <f>I159</f>
        <v>145</v>
      </c>
      <c r="BX159" s="114">
        <f>M159</f>
        <v>153</v>
      </c>
      <c r="BY159" s="113" t="str">
        <f>Q159</f>
        <v>-</v>
      </c>
      <c r="BZ159" s="114">
        <f>U159</f>
        <v>185</v>
      </c>
      <c r="CA159" s="113">
        <f>Y159</f>
        <v>221</v>
      </c>
      <c r="CB159" s="114">
        <f>AC159</f>
        <v>229</v>
      </c>
      <c r="CC159" s="113" t="str">
        <f>AG159</f>
        <v>-</v>
      </c>
      <c r="CD159" s="114">
        <f>AK159</f>
        <v>272</v>
      </c>
      <c r="CE159" s="113">
        <f>AO159</f>
        <v>335</v>
      </c>
      <c r="CF159" s="114">
        <f>AS159</f>
        <v>374</v>
      </c>
      <c r="CG159" s="113">
        <f>AW159</f>
        <v>401</v>
      </c>
      <c r="CH159" s="111">
        <f>G159</f>
        <v>143</v>
      </c>
      <c r="CI159" s="113">
        <f>K159</f>
        <v>148</v>
      </c>
      <c r="CJ159" s="114">
        <f>O159</f>
        <v>178</v>
      </c>
      <c r="CK159" s="114" t="str">
        <f>S159</f>
        <v>-</v>
      </c>
      <c r="CL159" s="114">
        <f>W159</f>
        <v>220</v>
      </c>
      <c r="CM159" s="114">
        <f>AA159</f>
        <v>228</v>
      </c>
      <c r="CN159" s="114">
        <f>AE159</f>
        <v>254</v>
      </c>
      <c r="CO159" s="114" t="str">
        <f>AI159</f>
        <v>-</v>
      </c>
      <c r="CP159" s="114">
        <f>AM159</f>
        <v>311</v>
      </c>
      <c r="CQ159" s="114">
        <f>AQ159</f>
        <v>363</v>
      </c>
      <c r="CR159" s="114">
        <f>AU159</f>
        <v>400</v>
      </c>
      <c r="CS159" s="114">
        <f>AY159</f>
        <v>411</v>
      </c>
      <c r="CT159" s="109">
        <f>M159-K159</f>
        <v>5</v>
      </c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9"/>
      <c r="JE159" s="9"/>
      <c r="JF159" s="9"/>
      <c r="JG159" s="9"/>
      <c r="JH159" s="9"/>
      <c r="JI159" s="9"/>
      <c r="JJ159" s="9"/>
      <c r="JK159" s="9"/>
      <c r="JL159" s="9"/>
      <c r="JM159" s="9"/>
      <c r="JN159" s="9"/>
      <c r="JO159" s="9"/>
      <c r="JP159" s="9"/>
      <c r="JQ159" s="9"/>
      <c r="JR159" s="9"/>
      <c r="JS159" s="9"/>
      <c r="JT159" s="9"/>
      <c r="JU159" s="9"/>
      <c r="JV159" s="9"/>
      <c r="JW159" s="9"/>
      <c r="JX159" s="9"/>
      <c r="JY159" s="9"/>
      <c r="JZ159" s="9"/>
      <c r="KA159" s="9"/>
      <c r="KB159" s="9"/>
      <c r="KC159" s="9"/>
      <c r="KD159" s="9"/>
      <c r="KE159" s="9"/>
      <c r="KF159" s="9"/>
      <c r="KG159" s="9"/>
      <c r="KH159" s="9"/>
      <c r="KI159" s="9"/>
      <c r="KJ159" s="9"/>
      <c r="KK159" s="9"/>
      <c r="KL159" s="9"/>
      <c r="KM159" s="9"/>
      <c r="KN159" s="9"/>
      <c r="KO159" s="9"/>
      <c r="KP159" s="9"/>
      <c r="KQ159" s="9"/>
      <c r="KR159" s="9"/>
      <c r="KS159" s="9"/>
      <c r="KT159" s="9"/>
      <c r="KU159" s="9"/>
      <c r="KV159" s="9"/>
      <c r="KW159" s="9"/>
      <c r="KX159" s="9"/>
      <c r="KY159" s="9"/>
      <c r="KZ159" s="9"/>
      <c r="LA159" s="9"/>
      <c r="LB159" s="9"/>
      <c r="LC159" s="9"/>
      <c r="LD159" s="9"/>
      <c r="LE159" s="9"/>
      <c r="LF159" s="9"/>
      <c r="LG159" s="9"/>
      <c r="LH159" s="9"/>
      <c r="LI159" s="9"/>
      <c r="LJ159" s="9"/>
      <c r="LK159" s="9"/>
      <c r="LL159" s="9"/>
      <c r="LM159" s="9"/>
      <c r="LN159" s="9"/>
      <c r="LO159" s="9"/>
      <c r="LP159" s="9"/>
      <c r="LQ159" s="9"/>
      <c r="LR159" s="9"/>
      <c r="LS159" s="9"/>
      <c r="LT159" s="9"/>
      <c r="LU159" s="9"/>
      <c r="LV159" s="9"/>
      <c r="LW159" s="9"/>
      <c r="LX159" s="9"/>
      <c r="LY159" s="9"/>
      <c r="LZ159" s="9"/>
      <c r="MA159" s="9"/>
      <c r="MB159" s="9"/>
      <c r="MC159" s="9"/>
      <c r="MD159" s="9"/>
      <c r="ME159" s="9"/>
      <c r="MF159" s="9"/>
      <c r="MG159" s="9"/>
      <c r="MH159" s="9"/>
      <c r="MI159" s="9"/>
      <c r="MJ159" s="9"/>
      <c r="MK159" s="9"/>
      <c r="ML159" s="9"/>
      <c r="MM159" s="9"/>
      <c r="MN159" s="9"/>
      <c r="MO159" s="9"/>
      <c r="MP159" s="9"/>
      <c r="MQ159" s="9"/>
      <c r="MR159" s="9"/>
      <c r="MS159" s="9"/>
      <c r="MT159" s="9"/>
      <c r="MU159" s="9"/>
      <c r="MV159" s="9"/>
      <c r="MW159" s="9"/>
      <c r="MX159" s="9"/>
      <c r="MY159" s="9"/>
      <c r="MZ159" s="9"/>
      <c r="NA159" s="9"/>
      <c r="NB159" s="9"/>
      <c r="NC159" s="9"/>
      <c r="ND159" s="9"/>
      <c r="NE159" s="9"/>
      <c r="NF159" s="9"/>
      <c r="NG159" s="9"/>
      <c r="NH159" s="9"/>
      <c r="NI159" s="9"/>
      <c r="NJ159" s="9"/>
      <c r="NK159" s="9"/>
      <c r="NL159" s="9"/>
      <c r="NM159" s="9"/>
      <c r="NN159" s="9"/>
      <c r="NO159" s="9"/>
      <c r="NP159" s="9"/>
      <c r="NQ159" s="9"/>
      <c r="NR159" s="9"/>
      <c r="NS159" s="9"/>
      <c r="NT159" s="9"/>
      <c r="NU159" s="9"/>
      <c r="NV159" s="9"/>
      <c r="NW159" s="9"/>
      <c r="NX159" s="9"/>
      <c r="NY159" s="9"/>
      <c r="NZ159" s="9"/>
      <c r="OA159" s="9"/>
      <c r="OB159" s="9"/>
      <c r="OC159" s="9"/>
      <c r="OD159" s="9"/>
      <c r="OE159" s="9"/>
      <c r="OF159" s="9"/>
      <c r="OG159" s="9"/>
      <c r="OH159" s="9"/>
      <c r="OI159" s="9"/>
      <c r="OJ159" s="9"/>
      <c r="OK159" s="9"/>
      <c r="OL159" s="9"/>
      <c r="OM159" s="9"/>
      <c r="ON159" s="9"/>
      <c r="OO159" s="9"/>
      <c r="OP159" s="9"/>
      <c r="OQ159" s="9"/>
      <c r="OR159" s="9"/>
      <c r="OS159" s="9"/>
      <c r="OT159" s="9"/>
      <c r="OU159" s="9"/>
      <c r="OV159" s="9"/>
      <c r="OW159" s="9"/>
      <c r="OX159" s="9"/>
      <c r="OY159" s="9"/>
      <c r="OZ159" s="9"/>
      <c r="PA159" s="9"/>
      <c r="PB159" s="9"/>
      <c r="PC159" s="9"/>
      <c r="PD159" s="9"/>
      <c r="PE159" s="9"/>
      <c r="PF159" s="9"/>
      <c r="PG159" s="9"/>
      <c r="PH159" s="9"/>
      <c r="PI159" s="9"/>
      <c r="PJ159" s="9"/>
      <c r="PK159" s="9"/>
      <c r="PL159" s="9"/>
      <c r="PM159" s="9"/>
      <c r="PN159" s="9"/>
      <c r="PO159" s="9"/>
      <c r="PP159" s="9"/>
      <c r="PQ159" s="9"/>
      <c r="PR159" s="9"/>
      <c r="PS159" s="9"/>
      <c r="PT159" s="9"/>
      <c r="PU159" s="9"/>
      <c r="PV159" s="9"/>
      <c r="PW159" s="9"/>
      <c r="PX159" s="9"/>
      <c r="PY159" s="9"/>
      <c r="PZ159" s="9"/>
      <c r="QA159" s="9"/>
      <c r="QB159" s="9"/>
      <c r="QC159" s="9"/>
      <c r="QD159" s="9"/>
      <c r="QE159" s="9"/>
      <c r="QF159" s="9"/>
      <c r="QG159" s="9"/>
      <c r="QH159" s="9"/>
      <c r="QI159" s="9"/>
      <c r="QJ159" s="9"/>
      <c r="QK159" s="9"/>
      <c r="QL159" s="9"/>
      <c r="QM159" s="9"/>
      <c r="QN159" s="9"/>
      <c r="QO159" s="9"/>
      <c r="QP159" s="9"/>
      <c r="QQ159" s="9"/>
      <c r="QR159" s="9"/>
      <c r="QS159" s="9"/>
      <c r="QT159" s="9"/>
      <c r="QU159" s="9"/>
      <c r="QV159" s="9"/>
      <c r="QW159" s="9"/>
      <c r="QX159" s="9"/>
      <c r="QY159" s="9"/>
      <c r="QZ159" s="9"/>
      <c r="RA159" s="9"/>
      <c r="RB159" s="9"/>
      <c r="RC159" s="9"/>
      <c r="RD159" s="9"/>
      <c r="RE159" s="9"/>
      <c r="RF159" s="9"/>
      <c r="RG159" s="9"/>
      <c r="RH159" s="9"/>
      <c r="RI159" s="9"/>
      <c r="RJ159" s="9"/>
      <c r="RK159" s="9"/>
      <c r="RL159" s="9"/>
      <c r="RM159" s="9"/>
      <c r="RN159" s="9"/>
      <c r="RO159" s="9"/>
      <c r="RP159" s="9"/>
      <c r="RQ159" s="9"/>
      <c r="RR159" s="9"/>
      <c r="RS159" s="9"/>
      <c r="RT159" s="9"/>
      <c r="RU159" s="9"/>
      <c r="RV159" s="9"/>
      <c r="RW159" s="9"/>
      <c r="RX159" s="9"/>
      <c r="RY159" s="9"/>
      <c r="RZ159" s="9"/>
      <c r="SA159" s="9"/>
      <c r="SB159" s="9"/>
      <c r="SC159" s="9"/>
      <c r="SD159" s="9"/>
      <c r="SE159" s="9"/>
      <c r="SF159" s="9"/>
      <c r="SG159" s="9"/>
      <c r="SH159" s="9"/>
      <c r="SI159" s="9"/>
      <c r="SJ159" s="9"/>
      <c r="SK159" s="9"/>
      <c r="SL159" s="9"/>
      <c r="SM159" s="9"/>
      <c r="SN159" s="9"/>
      <c r="SO159" s="9"/>
      <c r="SP159" s="9"/>
      <c r="SQ159" s="9"/>
      <c r="SR159" s="9"/>
      <c r="SS159" s="9"/>
      <c r="ST159" s="9"/>
      <c r="SU159" s="9"/>
      <c r="SV159" s="9"/>
      <c r="SW159" s="9"/>
      <c r="SX159" s="9"/>
      <c r="SY159" s="9"/>
      <c r="SZ159" s="9"/>
      <c r="TA159" s="9"/>
      <c r="TB159" s="9"/>
      <c r="TC159" s="9"/>
      <c r="TD159" s="9"/>
      <c r="TE159" s="9"/>
      <c r="TF159" s="9"/>
      <c r="TG159" s="9"/>
      <c r="TH159" s="9"/>
      <c r="TI159" s="9"/>
      <c r="TJ159" s="9"/>
      <c r="TK159" s="9"/>
      <c r="TL159" s="9"/>
      <c r="TM159" s="9"/>
      <c r="TN159" s="9"/>
      <c r="TO159" s="9"/>
      <c r="TP159" s="9"/>
      <c r="TQ159" s="9"/>
      <c r="TR159" s="9"/>
      <c r="TS159" s="9"/>
      <c r="TT159" s="9"/>
      <c r="TU159" s="9"/>
      <c r="TV159" s="9"/>
      <c r="TW159" s="9"/>
      <c r="TX159" s="9"/>
      <c r="TY159" s="9"/>
      <c r="TZ159" s="9"/>
      <c r="UA159" s="9"/>
      <c r="UB159" s="9"/>
      <c r="UC159" s="9"/>
      <c r="UD159" s="9"/>
      <c r="UE159" s="9"/>
      <c r="UF159" s="9"/>
      <c r="UG159" s="9"/>
      <c r="UH159" s="9"/>
      <c r="UI159" s="9"/>
      <c r="UJ159" s="9"/>
      <c r="UK159" s="9"/>
      <c r="UL159" s="9"/>
      <c r="UM159" s="9"/>
      <c r="UN159" s="9"/>
      <c r="UO159" s="9"/>
      <c r="UP159" s="9"/>
      <c r="UQ159" s="9"/>
      <c r="UR159" s="9"/>
      <c r="US159" s="9"/>
      <c r="UT159" s="9"/>
      <c r="UU159" s="9"/>
      <c r="UV159" s="9"/>
      <c r="UW159" s="9"/>
      <c r="UX159" s="9"/>
      <c r="UY159" s="9"/>
      <c r="UZ159" s="9"/>
      <c r="VA159" s="9"/>
      <c r="VB159" s="9"/>
      <c r="VC159" s="9"/>
      <c r="VD159" s="9"/>
      <c r="VE159" s="9"/>
      <c r="VF159" s="9"/>
      <c r="VG159" s="9"/>
      <c r="VH159" s="9"/>
      <c r="VI159" s="9"/>
      <c r="VJ159" s="9"/>
      <c r="VK159" s="9"/>
      <c r="VL159" s="9"/>
      <c r="VM159" s="9"/>
      <c r="VN159" s="9"/>
      <c r="VO159" s="9"/>
      <c r="VP159" s="9"/>
      <c r="VQ159" s="9"/>
      <c r="VR159" s="9"/>
      <c r="VS159" s="9"/>
      <c r="VT159" s="9"/>
      <c r="VU159" s="9"/>
      <c r="VV159" s="9"/>
      <c r="VW159" s="9"/>
      <c r="VX159" s="9"/>
      <c r="VY159" s="9"/>
      <c r="VZ159" s="9"/>
      <c r="WA159" s="9"/>
      <c r="WB159" s="9"/>
      <c r="WC159" s="9"/>
      <c r="WD159" s="9"/>
      <c r="WE159" s="9"/>
      <c r="WF159" s="9"/>
      <c r="WG159" s="9"/>
      <c r="WH159" s="9"/>
      <c r="WI159" s="9"/>
      <c r="WJ159" s="9"/>
      <c r="WK159" s="9"/>
      <c r="WL159" s="9"/>
      <c r="WM159" s="9"/>
      <c r="WN159" s="9"/>
      <c r="WO159" s="9"/>
      <c r="WP159" s="9"/>
      <c r="WQ159" s="9"/>
      <c r="WR159" s="9"/>
      <c r="WS159" s="9"/>
      <c r="WT159" s="9"/>
      <c r="WU159" s="9"/>
      <c r="WV159" s="9"/>
      <c r="WW159" s="9"/>
      <c r="WX159" s="9"/>
      <c r="WY159" s="9"/>
      <c r="WZ159" s="9"/>
      <c r="XA159" s="9"/>
      <c r="XB159" s="9"/>
      <c r="XC159" s="9"/>
      <c r="XD159" s="9"/>
      <c r="XE159" s="9"/>
      <c r="XF159" s="9"/>
      <c r="XG159" s="9"/>
      <c r="XH159" s="9"/>
      <c r="XI159" s="9"/>
      <c r="XJ159" s="9"/>
      <c r="XK159" s="9"/>
      <c r="XL159" s="9"/>
      <c r="XM159" s="9"/>
      <c r="XN159" s="9"/>
      <c r="XO159" s="9"/>
      <c r="XP159" s="9"/>
      <c r="XQ159" s="9"/>
      <c r="XR159" s="9"/>
      <c r="XS159" s="9"/>
      <c r="XT159" s="9"/>
      <c r="XU159" s="9"/>
      <c r="XV159" s="9"/>
      <c r="XW159" s="9"/>
      <c r="XX159" s="9"/>
      <c r="XY159" s="9"/>
      <c r="XZ159" s="9"/>
      <c r="YA159" s="9"/>
      <c r="YB159" s="9"/>
      <c r="YC159" s="9"/>
      <c r="YD159" s="9"/>
      <c r="YE159" s="9"/>
      <c r="YF159" s="9"/>
      <c r="YG159" s="9"/>
      <c r="YH159" s="9"/>
      <c r="YI159" s="9"/>
      <c r="YJ159" s="9"/>
      <c r="YK159" s="9"/>
      <c r="YL159" s="9"/>
      <c r="YM159" s="9"/>
      <c r="YN159" s="9"/>
      <c r="YO159" s="9"/>
      <c r="YP159" s="9"/>
      <c r="YQ159" s="9"/>
      <c r="YR159" s="9"/>
      <c r="YS159" s="9"/>
      <c r="YT159" s="9"/>
      <c r="YU159" s="9"/>
      <c r="YV159" s="9"/>
      <c r="YW159" s="9"/>
      <c r="YX159" s="9"/>
      <c r="YY159" s="9"/>
      <c r="YZ159" s="9"/>
      <c r="ZA159" s="9"/>
      <c r="ZB159" s="9"/>
      <c r="ZC159" s="9"/>
      <c r="ZD159" s="9"/>
      <c r="ZE159" s="9"/>
      <c r="ZF159" s="9"/>
      <c r="ZG159" s="9"/>
      <c r="ZH159" s="9"/>
      <c r="ZI159" s="9"/>
      <c r="ZJ159" s="9"/>
      <c r="ZK159" s="9"/>
      <c r="ZL159" s="9"/>
      <c r="ZM159" s="9"/>
      <c r="ZN159" s="9"/>
      <c r="ZO159" s="9"/>
      <c r="ZP159" s="9"/>
      <c r="ZQ159" s="9"/>
      <c r="ZR159" s="9"/>
      <c r="ZS159" s="9"/>
      <c r="ZT159" s="9"/>
      <c r="ZU159" s="9"/>
      <c r="ZV159" s="9"/>
      <c r="ZW159" s="9"/>
      <c r="ZX159" s="9"/>
      <c r="ZY159" s="9"/>
      <c r="ZZ159" s="9"/>
      <c r="AAA159" s="9"/>
      <c r="AAB159" s="9"/>
      <c r="AAC159" s="9"/>
      <c r="AAD159" s="9"/>
      <c r="AAE159" s="9"/>
      <c r="AAF159" s="9"/>
      <c r="AAG159" s="9"/>
      <c r="AAH159" s="9"/>
      <c r="AAI159" s="9"/>
      <c r="AAJ159" s="9"/>
      <c r="AAK159" s="9"/>
      <c r="AAL159" s="9"/>
      <c r="AAM159" s="9"/>
      <c r="AAN159" s="9"/>
      <c r="AAO159" s="9"/>
      <c r="AAP159" s="9"/>
      <c r="AAQ159" s="9"/>
      <c r="AAR159" s="9"/>
      <c r="AAS159" s="9"/>
      <c r="AAT159" s="9"/>
      <c r="AAU159" s="9"/>
      <c r="AAV159" s="9"/>
      <c r="AAW159" s="9"/>
      <c r="AAX159" s="9"/>
      <c r="AAY159" s="9"/>
      <c r="AAZ159" s="9"/>
      <c r="ABA159" s="9"/>
      <c r="ABB159" s="9"/>
      <c r="ABC159" s="9"/>
      <c r="ABD159" s="9"/>
      <c r="ABE159" s="9"/>
      <c r="ABF159" s="9"/>
      <c r="ABG159" s="9"/>
      <c r="ABH159" s="9"/>
      <c r="ABI159" s="9"/>
      <c r="ABJ159" s="9"/>
      <c r="ABK159" s="9"/>
      <c r="ABL159" s="9"/>
      <c r="ABM159" s="9"/>
      <c r="ABN159" s="9"/>
      <c r="ABO159" s="9"/>
      <c r="ABP159" s="9"/>
      <c r="ABQ159" s="9"/>
      <c r="ABR159" s="9"/>
      <c r="ABS159" s="9"/>
      <c r="ABT159" s="9"/>
      <c r="ABU159" s="9"/>
      <c r="ABV159" s="9"/>
      <c r="ABW159" s="9"/>
      <c r="ABX159" s="9"/>
      <c r="ABY159" s="9"/>
      <c r="ABZ159" s="9"/>
      <c r="ACA159" s="9"/>
      <c r="ACB159" s="9"/>
      <c r="ACC159" s="9"/>
      <c r="ACD159" s="9"/>
      <c r="ACE159" s="9"/>
      <c r="ACF159" s="9"/>
      <c r="ACG159" s="9"/>
      <c r="ACH159" s="9"/>
      <c r="ACI159" s="9"/>
      <c r="ACJ159" s="9"/>
      <c r="ACK159" s="9"/>
      <c r="ACL159" s="9"/>
      <c r="ACM159" s="9"/>
      <c r="ACN159" s="9"/>
      <c r="ACO159" s="9"/>
      <c r="ACP159" s="9"/>
      <c r="ACQ159" s="9"/>
      <c r="ACR159" s="9"/>
      <c r="ACS159" s="9"/>
      <c r="ACT159" s="9"/>
      <c r="ACU159" s="9"/>
      <c r="ACV159" s="9"/>
      <c r="ACW159" s="9"/>
      <c r="ACX159" s="9"/>
      <c r="ACY159" s="9"/>
      <c r="ACZ159" s="9"/>
      <c r="ADA159" s="9"/>
      <c r="ADB159" s="9"/>
      <c r="ADC159" s="9"/>
      <c r="ADD159" s="9"/>
      <c r="ADE159" s="9"/>
      <c r="ADF159" s="9"/>
      <c r="ADG159" s="9"/>
      <c r="ADH159" s="9"/>
      <c r="ADI159" s="9"/>
      <c r="ADJ159" s="9"/>
      <c r="ADK159" s="9"/>
      <c r="ADL159" s="9"/>
      <c r="ADM159" s="9"/>
      <c r="ADN159" s="9"/>
      <c r="ADO159" s="9"/>
      <c r="ADP159" s="9"/>
      <c r="ADQ159" s="9"/>
      <c r="ADR159" s="9"/>
      <c r="ADS159" s="9"/>
      <c r="ADT159" s="9"/>
      <c r="ADU159" s="9"/>
      <c r="ADV159" s="9"/>
      <c r="ADW159" s="9"/>
      <c r="ADX159" s="9"/>
      <c r="ADY159" s="9"/>
      <c r="ADZ159" s="9"/>
      <c r="AEA159" s="9"/>
      <c r="AEB159" s="9"/>
      <c r="AEC159" s="9"/>
      <c r="AED159" s="9"/>
      <c r="AEE159" s="9"/>
      <c r="AEF159" s="9"/>
      <c r="AEG159" s="9"/>
      <c r="AEH159" s="9"/>
      <c r="AEI159" s="9"/>
      <c r="AEJ159" s="9"/>
      <c r="AEK159" s="9"/>
      <c r="AEL159" s="9"/>
      <c r="AEM159" s="9"/>
      <c r="AEN159" s="9"/>
      <c r="AEO159" s="9"/>
      <c r="AEP159" s="9"/>
      <c r="AEQ159" s="9"/>
      <c r="AER159" s="9"/>
      <c r="AES159" s="9"/>
      <c r="AET159" s="9"/>
      <c r="AEU159" s="9"/>
      <c r="AEV159" s="9"/>
      <c r="AEW159" s="9"/>
      <c r="AEX159" s="9"/>
      <c r="AEY159" s="9"/>
      <c r="AEZ159" s="9"/>
      <c r="AFA159" s="9"/>
      <c r="AFB159" s="9"/>
      <c r="AFC159" s="9"/>
      <c r="AFD159" s="9"/>
      <c r="AFE159" s="9"/>
      <c r="AFF159" s="9"/>
      <c r="AFG159" s="9"/>
      <c r="AFH159" s="9"/>
      <c r="AFI159" s="9"/>
      <c r="AFJ159" s="9"/>
      <c r="AFK159" s="9"/>
      <c r="AFL159" s="9"/>
      <c r="AFM159" s="9"/>
      <c r="AFN159" s="9"/>
      <c r="AFO159" s="9"/>
      <c r="AFP159" s="9"/>
      <c r="AFQ159" s="9"/>
      <c r="AFR159" s="9"/>
      <c r="AFS159" s="9"/>
      <c r="AFT159" s="9"/>
      <c r="AFU159" s="9"/>
      <c r="AFV159" s="9"/>
      <c r="AFW159" s="9"/>
      <c r="AFX159" s="9"/>
      <c r="AFY159" s="9"/>
      <c r="AFZ159" s="9"/>
      <c r="AGA159" s="9"/>
      <c r="AGB159" s="9"/>
      <c r="AGC159" s="9"/>
      <c r="AGD159" s="9"/>
      <c r="AGE159" s="9"/>
      <c r="AGF159" s="9"/>
      <c r="AGG159" s="9"/>
      <c r="AGH159" s="9"/>
      <c r="AGI159" s="9"/>
      <c r="AGJ159" s="9"/>
      <c r="AGK159" s="9"/>
      <c r="AGL159" s="9"/>
      <c r="AGM159" s="9"/>
      <c r="AGN159" s="9"/>
      <c r="AGO159" s="9"/>
      <c r="AGP159" s="9"/>
      <c r="AGQ159" s="9"/>
      <c r="AGR159" s="9"/>
      <c r="AGS159" s="9"/>
      <c r="AGT159" s="9"/>
      <c r="AGU159" s="9"/>
      <c r="AGV159" s="9"/>
      <c r="AGW159" s="9"/>
      <c r="AGX159" s="9"/>
      <c r="AGY159" s="9"/>
      <c r="AGZ159" s="9"/>
      <c r="AHA159" s="9"/>
      <c r="AHB159" s="9"/>
      <c r="AHC159" s="9"/>
      <c r="AHD159" s="9"/>
      <c r="AHE159" s="9"/>
      <c r="AHF159" s="9"/>
      <c r="AHG159" s="9"/>
      <c r="AHH159" s="9"/>
      <c r="AHI159" s="9"/>
      <c r="AHJ159" s="9"/>
      <c r="AHK159" s="9"/>
      <c r="AHL159" s="9"/>
      <c r="AHM159" s="9"/>
      <c r="AHN159" s="9"/>
      <c r="AHO159" s="9"/>
      <c r="AHP159" s="9"/>
      <c r="AHQ159" s="9"/>
      <c r="AHR159" s="9"/>
      <c r="AHS159" s="9"/>
      <c r="AHT159" s="9"/>
      <c r="AHU159" s="9"/>
      <c r="AHV159" s="9"/>
      <c r="AHW159" s="9"/>
      <c r="AHX159" s="9"/>
      <c r="AHY159" s="9"/>
      <c r="AHZ159" s="9"/>
      <c r="AIA159" s="9"/>
      <c r="AIB159" s="9"/>
      <c r="AIC159" s="9"/>
      <c r="AID159" s="9"/>
      <c r="AIE159" s="9"/>
      <c r="AIF159" s="9"/>
      <c r="AIG159" s="9"/>
      <c r="AIH159" s="9"/>
      <c r="AII159" s="9"/>
      <c r="AIJ159" s="9"/>
      <c r="AIK159" s="9"/>
      <c r="AIL159" s="9"/>
      <c r="AIM159" s="9"/>
      <c r="AIN159" s="9"/>
      <c r="AIO159" s="9"/>
      <c r="AIP159" s="9"/>
      <c r="AIQ159" s="9"/>
      <c r="AIR159" s="9"/>
      <c r="AIS159" s="9"/>
      <c r="AIT159" s="9"/>
      <c r="AIU159" s="9"/>
      <c r="AIV159" s="9"/>
      <c r="AIW159" s="9"/>
      <c r="AIX159" s="9"/>
      <c r="AIY159" s="9"/>
      <c r="AIZ159" s="9"/>
      <c r="AJA159" s="9"/>
      <c r="AJB159" s="9"/>
      <c r="AJC159" s="9"/>
      <c r="AJD159" s="9"/>
      <c r="AJE159" s="9"/>
      <c r="AJF159" s="9"/>
      <c r="AJG159" s="9"/>
      <c r="AJH159" s="9"/>
      <c r="AJI159" s="9"/>
      <c r="AJJ159" s="9"/>
      <c r="AJK159" s="9"/>
      <c r="AJL159" s="9"/>
      <c r="AJM159" s="9"/>
      <c r="AJN159" s="9"/>
      <c r="AJO159" s="9"/>
      <c r="AJP159" s="9"/>
      <c r="AJQ159" s="9"/>
      <c r="AJR159" s="9"/>
      <c r="AJS159" s="9"/>
      <c r="AJT159" s="9"/>
      <c r="AJU159" s="9"/>
      <c r="AJV159" s="9"/>
      <c r="AJW159" s="9"/>
      <c r="AJX159" s="9"/>
      <c r="AJY159" s="9"/>
      <c r="AJZ159" s="9"/>
      <c r="AKA159" s="9"/>
      <c r="AKB159" s="9"/>
      <c r="AKC159" s="9"/>
      <c r="AKD159" s="9"/>
      <c r="AKE159" s="9"/>
      <c r="AKF159" s="9"/>
      <c r="AKG159" s="9"/>
      <c r="AKH159" s="9"/>
      <c r="AKI159" s="9"/>
      <c r="AKJ159" s="9"/>
      <c r="AKK159" s="9"/>
      <c r="AKL159" s="9"/>
      <c r="AKM159" s="9"/>
      <c r="AKN159" s="9"/>
      <c r="AKO159" s="9"/>
      <c r="AKP159" s="9"/>
      <c r="AKQ159" s="9"/>
      <c r="AKR159" s="9"/>
      <c r="AKS159" s="9"/>
      <c r="AKT159" s="9"/>
      <c r="AKU159" s="9"/>
      <c r="AKV159" s="9"/>
      <c r="AKW159" s="9"/>
      <c r="AKX159" s="9"/>
      <c r="AKY159" s="9"/>
      <c r="AKZ159" s="9"/>
      <c r="ALA159" s="9"/>
      <c r="ALB159" s="9"/>
      <c r="ALC159" s="9"/>
      <c r="ALD159" s="9"/>
      <c r="ALE159" s="9"/>
      <c r="ALF159" s="9"/>
      <c r="ALG159" s="9"/>
      <c r="ALH159" s="9"/>
      <c r="ALI159" s="9"/>
      <c r="ALJ159" s="9"/>
      <c r="ALK159" s="9"/>
      <c r="ALL159" s="9"/>
      <c r="ALM159" s="9"/>
      <c r="ALN159" s="9"/>
      <c r="ALO159" s="9"/>
      <c r="ALP159" s="9"/>
      <c r="ALQ159" s="9"/>
      <c r="ALR159" s="9"/>
      <c r="ALS159" s="9"/>
      <c r="ALT159" s="9"/>
      <c r="ALU159" s="9"/>
      <c r="ALV159" s="9"/>
      <c r="ALW159" s="9"/>
      <c r="ALX159" s="9"/>
      <c r="ALY159" s="9"/>
      <c r="ALZ159" s="9"/>
      <c r="AMA159" s="9"/>
      <c r="AMB159" s="9"/>
      <c r="AMC159" s="9"/>
      <c r="AMD159" s="9"/>
      <c r="AME159" s="9"/>
      <c r="AMF159" s="9"/>
      <c r="AMG159" s="9"/>
      <c r="AMH159" s="9"/>
      <c r="AMI159" s="9"/>
      <c r="AMJ159" s="9"/>
      <c r="AMK159" s="9"/>
      <c r="AML159" s="9"/>
      <c r="AMM159" s="9"/>
      <c r="AMN159" s="9"/>
      <c r="AMO159" s="9"/>
    </row>
    <row r="160" spans="1:1030" s="12" customFormat="1" x14ac:dyDescent="0.2">
      <c r="A160" s="9" t="str">
        <f>CONCATENATE(B160,"_",C160)</f>
        <v>cnr2_human__wt</v>
      </c>
      <c r="B160" s="9" t="s">
        <v>183</v>
      </c>
      <c r="C160" s="9" t="s">
        <v>100</v>
      </c>
      <c r="D160" s="9" t="str">
        <f>IFERROR(MID(VLOOKUP($B160,Seqs!$A:$B,2,0),E160,1),"")</f>
        <v>S</v>
      </c>
      <c r="E160" s="9">
        <v>29</v>
      </c>
      <c r="F160" s="9" t="str">
        <f>IFERROR(MID(VLOOKUP($B160,Seqs!$A:$B,2,0),G160,1),"")</f>
        <v>S</v>
      </c>
      <c r="G160" s="9">
        <v>61</v>
      </c>
      <c r="H160" s="9" t="str">
        <f>IFERROR(MID(VLOOKUP($B160,Seqs!$A:$B,2,0),I160,1),"")</f>
        <v>H</v>
      </c>
      <c r="I160" s="109">
        <v>62</v>
      </c>
      <c r="J160" s="9" t="str">
        <f>IFERROR(MID(VLOOKUP($B160,Seqs!$A:$B,2,0),K160,1),"")</f>
        <v>R</v>
      </c>
      <c r="K160" s="109">
        <v>65</v>
      </c>
      <c r="L160" s="9" t="str">
        <f>IFERROR(MID(VLOOKUP($B160,Seqs!$A:$B,2,0),M160,1),"")</f>
        <v>K</v>
      </c>
      <c r="M160" s="9">
        <v>67</v>
      </c>
      <c r="N160" s="9" t="str">
        <f>IFERROR(MID(VLOOKUP($B160,Seqs!$A:$B,2,0),O160,1),"")</f>
        <v>V</v>
      </c>
      <c r="O160" s="9">
        <v>96</v>
      </c>
      <c r="P160" s="9" t="str">
        <f>IFERROR(MID(VLOOKUP($B160,Seqs!$A:$B,2,0),Q160,1),"")</f>
        <v/>
      </c>
      <c r="Q160" s="9" t="s">
        <v>23</v>
      </c>
      <c r="R160" s="9" t="str">
        <f>IFERROR(MID(VLOOKUP($B160,Seqs!$A:$B,2,0),S160,1),"")</f>
        <v/>
      </c>
      <c r="S160" s="9" t="s">
        <v>23</v>
      </c>
      <c r="T160" s="9" t="str">
        <f>IFERROR(MID(VLOOKUP($B160,Seqs!$A:$B,2,0),U160,1),"")</f>
        <v>S</v>
      </c>
      <c r="U160" s="9">
        <v>102</v>
      </c>
      <c r="V160" s="9" t="str">
        <f>IFERROR(MID(VLOOKUP($B160,Seqs!$A:$B,2,0),W160,1),"")</f>
        <v>Y</v>
      </c>
      <c r="W160" s="9">
        <v>137</v>
      </c>
      <c r="X160" s="9" t="str">
        <f>IFERROR(MID(VLOOKUP($B160,Seqs!$A:$B,2,0),Y160,1),"")</f>
        <v>P</v>
      </c>
      <c r="Y160" s="9">
        <v>138</v>
      </c>
      <c r="Z160" s="9" t="str">
        <f>IFERROR(MID(VLOOKUP($B160,Seqs!$A:$B,2,0),AA160,1),"")</f>
        <v>L</v>
      </c>
      <c r="AA160" s="9">
        <v>145</v>
      </c>
      <c r="AB160" s="9" t="str">
        <f>IFERROR(MID(VLOOKUP($B160,Seqs!$A:$B,2,0),AC160,1),"")</f>
        <v>T</v>
      </c>
      <c r="AC160" s="9">
        <v>146</v>
      </c>
      <c r="AD160" s="9" t="str">
        <f>IFERROR(MID(VLOOKUP($B160,Seqs!$A:$B,2,0),AE160,1),"")</f>
        <v>G</v>
      </c>
      <c r="AE160" s="9">
        <v>171</v>
      </c>
      <c r="AF160" s="9" t="str">
        <f>IFERROR(MID(VLOOKUP($B160,Seqs!$A:$B,2,0),AG160,1),"")</f>
        <v/>
      </c>
      <c r="AG160" s="9" t="s">
        <v>23</v>
      </c>
      <c r="AH160" s="9" t="str">
        <f>IFERROR(MID(VLOOKUP($B160,Seqs!$A:$B,2,0),AI160,1),"")</f>
        <v/>
      </c>
      <c r="AI160" s="9" t="s">
        <v>23</v>
      </c>
      <c r="AJ160" s="9" t="str">
        <f>IFERROR(MID(VLOOKUP($B160,Seqs!$A:$B,2,0),AK160,1),"")</f>
        <v>P</v>
      </c>
      <c r="AK160" s="9">
        <v>187</v>
      </c>
      <c r="AL160" s="9" t="str">
        <f>IFERROR(MID(VLOOKUP($B160,Seqs!$A:$B,2,0),AM160,1),"")</f>
        <v>G</v>
      </c>
      <c r="AM160" s="9">
        <v>225</v>
      </c>
      <c r="AN160" s="9" t="str">
        <f>IFERROR(MID(VLOOKUP($B160,Seqs!$A:$B,2,0),AO160,1),"")</f>
        <v>V</v>
      </c>
      <c r="AO160" s="9">
        <v>231</v>
      </c>
      <c r="AP160" s="9" t="str">
        <f>IFERROR(MID(VLOOKUP($B160,Seqs!$A:$B,2,0),AQ160,1),"")</f>
        <v>T</v>
      </c>
      <c r="AQ160" s="9">
        <v>271</v>
      </c>
      <c r="AR160" s="9" t="str">
        <f>IFERROR(MID(VLOOKUP($B160,Seqs!$A:$B,2,0),AS160,1),"")</f>
        <v>S</v>
      </c>
      <c r="AS160" s="9">
        <v>274</v>
      </c>
      <c r="AT160" s="9" t="str">
        <f>IFERROR(MID(VLOOKUP($B160,Seqs!$A:$B,2,0),AU160,1),"")</f>
        <v>R</v>
      </c>
      <c r="AU160" s="9">
        <v>302</v>
      </c>
      <c r="AV160" s="9" t="str">
        <f>IFERROR(MID(VLOOKUP($B160,Seqs!$A:$B,2,0),AW160,1),"")</f>
        <v>S</v>
      </c>
      <c r="AW160" s="9">
        <v>303</v>
      </c>
      <c r="AX160" s="9" t="str">
        <f>IFERROR(MID(VLOOKUP($B160,Seqs!$A:$B,2,0),AY160,1),"")</f>
        <v>K</v>
      </c>
      <c r="AY160" s="9">
        <v>319</v>
      </c>
      <c r="AZ160" s="110" t="str">
        <f>VLOOKUP(B160,Classification!A:D,2,0)</f>
        <v>A</v>
      </c>
      <c r="BA160" s="98" t="str">
        <f>VLOOKUP(B160,Classification!A:D,4,0)</f>
        <v>Cannabinoid</v>
      </c>
      <c r="BB160" s="36" t="b">
        <f>AND(E160&lt;G160,OR(G160&lt;I160,I160="-"),OR(I160&lt;K160,I160="-"),OR(K160&lt;M160,K160="-"),M160&lt;O160,OR(O160&lt;Q160,Q160="-"),OR(Q160&lt;S160,Q160="-"),OR(S160&lt;U160,S160="-"),U160&lt;W160,OR(W160&lt;Y160,Y160="-"),OR(Y160&lt;AA160,Y160="-"),OR(AA160&lt;AC160,AA160="-"),AC160&lt;AE160,OR(AE160&lt;AG160,AG160="-"),OR(AG160&lt;AI160,AG160="-"),OR(AI160&lt;AK160,AI160="-"),AK160&lt;AM160,AM160&lt;AO160,AO160&lt;AQ160,AQ160&lt;AS160,AS160&lt;AU160,OR(AU160&lt;AW160,AW160="-"),OR(AW160&lt;AY160,AW160="-"))</f>
        <v>1</v>
      </c>
      <c r="BC160" s="109">
        <f>_xlfn.AGGREGATE(9,6,CH160:CS160)-_xlfn.AGGREGATE(9,6,BV160:CG160)+12</f>
        <v>265</v>
      </c>
      <c r="BD160" s="40" t="s">
        <v>23</v>
      </c>
      <c r="BE160" s="9" t="s">
        <v>23</v>
      </c>
      <c r="BF160" s="120" t="s">
        <v>23</v>
      </c>
      <c r="BG160" s="51" t="s">
        <v>23</v>
      </c>
      <c r="BH160" s="51" t="s">
        <v>23</v>
      </c>
      <c r="BI160" s="9"/>
      <c r="BJ160" s="111" t="s">
        <v>1293</v>
      </c>
      <c r="BK160" s="112" t="s">
        <v>1293</v>
      </c>
      <c r="BL160" s="112" t="s">
        <v>1293</v>
      </c>
      <c r="BM160" s="112" t="s">
        <v>1293</v>
      </c>
      <c r="BN160" s="112" t="s">
        <v>1293</v>
      </c>
      <c r="BO160" s="112" t="s">
        <v>1293</v>
      </c>
      <c r="BP160" s="112" t="s">
        <v>1293</v>
      </c>
      <c r="BQ160" s="112" t="s">
        <v>1293</v>
      </c>
      <c r="BR160" s="112" t="s">
        <v>1293</v>
      </c>
      <c r="BS160" s="112" t="s">
        <v>1293</v>
      </c>
      <c r="BT160" s="112" t="s">
        <v>1293</v>
      </c>
      <c r="BU160" s="112" t="s">
        <v>1293</v>
      </c>
      <c r="BV160" s="111">
        <f>E160</f>
        <v>29</v>
      </c>
      <c r="BW160" s="113">
        <f>I160</f>
        <v>62</v>
      </c>
      <c r="BX160" s="114">
        <f>M160</f>
        <v>67</v>
      </c>
      <c r="BY160" s="113" t="str">
        <f>Q160</f>
        <v>-</v>
      </c>
      <c r="BZ160" s="114">
        <f>U160</f>
        <v>102</v>
      </c>
      <c r="CA160" s="113">
        <f>Y160</f>
        <v>138</v>
      </c>
      <c r="CB160" s="114">
        <f>AC160</f>
        <v>146</v>
      </c>
      <c r="CC160" s="113" t="str">
        <f>AG160</f>
        <v>-</v>
      </c>
      <c r="CD160" s="114">
        <f>AK160</f>
        <v>187</v>
      </c>
      <c r="CE160" s="113">
        <f>AO160</f>
        <v>231</v>
      </c>
      <c r="CF160" s="114">
        <f>AS160</f>
        <v>274</v>
      </c>
      <c r="CG160" s="113">
        <f>AW160</f>
        <v>303</v>
      </c>
      <c r="CH160" s="111">
        <f>G160</f>
        <v>61</v>
      </c>
      <c r="CI160" s="113">
        <f>K160</f>
        <v>65</v>
      </c>
      <c r="CJ160" s="114">
        <f>O160</f>
        <v>96</v>
      </c>
      <c r="CK160" s="114" t="str">
        <f>S160</f>
        <v>-</v>
      </c>
      <c r="CL160" s="114">
        <f>W160</f>
        <v>137</v>
      </c>
      <c r="CM160" s="114">
        <f>AA160</f>
        <v>145</v>
      </c>
      <c r="CN160" s="114">
        <f>AE160</f>
        <v>171</v>
      </c>
      <c r="CO160" s="114" t="str">
        <f>AI160</f>
        <v>-</v>
      </c>
      <c r="CP160" s="114">
        <f>AM160</f>
        <v>225</v>
      </c>
      <c r="CQ160" s="114">
        <f>AQ160</f>
        <v>271</v>
      </c>
      <c r="CR160" s="114">
        <f>AU160</f>
        <v>302</v>
      </c>
      <c r="CS160" s="114">
        <f>AY160</f>
        <v>319</v>
      </c>
      <c r="CT160" s="109">
        <f>M160-K160</f>
        <v>2</v>
      </c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9"/>
      <c r="JE160" s="9"/>
      <c r="JF160" s="9"/>
      <c r="JG160" s="9"/>
      <c r="JH160" s="9"/>
      <c r="JI160" s="9"/>
      <c r="JJ160" s="9"/>
      <c r="JK160" s="9"/>
      <c r="JL160" s="9"/>
      <c r="JM160" s="9"/>
      <c r="JN160" s="9"/>
      <c r="JO160" s="9"/>
      <c r="JP160" s="9"/>
      <c r="JQ160" s="9"/>
      <c r="JR160" s="9"/>
      <c r="JS160" s="9"/>
      <c r="JT160" s="9"/>
      <c r="JU160" s="9"/>
      <c r="JV160" s="9"/>
      <c r="JW160" s="9"/>
      <c r="JX160" s="9"/>
      <c r="JY160" s="9"/>
      <c r="JZ160" s="9"/>
      <c r="KA160" s="9"/>
      <c r="KB160" s="9"/>
      <c r="KC160" s="9"/>
      <c r="KD160" s="9"/>
      <c r="KE160" s="9"/>
      <c r="KF160" s="9"/>
      <c r="KG160" s="9"/>
      <c r="KH160" s="9"/>
      <c r="KI160" s="9"/>
      <c r="KJ160" s="9"/>
      <c r="KK160" s="9"/>
      <c r="KL160" s="9"/>
      <c r="KM160" s="9"/>
      <c r="KN160" s="9"/>
      <c r="KO160" s="9"/>
      <c r="KP160" s="9"/>
      <c r="KQ160" s="9"/>
      <c r="KR160" s="9"/>
      <c r="KS160" s="9"/>
      <c r="KT160" s="9"/>
      <c r="KU160" s="9"/>
      <c r="KV160" s="9"/>
      <c r="KW160" s="9"/>
      <c r="KX160" s="9"/>
      <c r="KY160" s="9"/>
      <c r="KZ160" s="9"/>
      <c r="LA160" s="9"/>
      <c r="LB160" s="9"/>
      <c r="LC160" s="9"/>
      <c r="LD160" s="9"/>
      <c r="LE160" s="9"/>
      <c r="LF160" s="9"/>
      <c r="LG160" s="9"/>
      <c r="LH160" s="9"/>
      <c r="LI160" s="9"/>
      <c r="LJ160" s="9"/>
      <c r="LK160" s="9"/>
      <c r="LL160" s="9"/>
      <c r="LM160" s="9"/>
      <c r="LN160" s="9"/>
      <c r="LO160" s="9"/>
      <c r="LP160" s="9"/>
      <c r="LQ160" s="9"/>
      <c r="LR160" s="9"/>
      <c r="LS160" s="9"/>
      <c r="LT160" s="9"/>
      <c r="LU160" s="9"/>
      <c r="LV160" s="9"/>
      <c r="LW160" s="9"/>
      <c r="LX160" s="9"/>
      <c r="LY160" s="9"/>
      <c r="LZ160" s="9"/>
      <c r="MA160" s="9"/>
      <c r="MB160" s="9"/>
      <c r="MC160" s="9"/>
      <c r="MD160" s="9"/>
      <c r="ME160" s="9"/>
      <c r="MF160" s="9"/>
      <c r="MG160" s="9"/>
      <c r="MH160" s="9"/>
      <c r="MI160" s="9"/>
      <c r="MJ160" s="9"/>
      <c r="MK160" s="9"/>
      <c r="ML160" s="9"/>
      <c r="MM160" s="9"/>
      <c r="MN160" s="9"/>
      <c r="MO160" s="9"/>
      <c r="MP160" s="9"/>
      <c r="MQ160" s="9"/>
      <c r="MR160" s="9"/>
      <c r="MS160" s="9"/>
      <c r="MT160" s="9"/>
      <c r="MU160" s="9"/>
      <c r="MV160" s="9"/>
      <c r="MW160" s="9"/>
      <c r="MX160" s="9"/>
      <c r="MY160" s="9"/>
      <c r="MZ160" s="9"/>
      <c r="NA160" s="9"/>
      <c r="NB160" s="9"/>
      <c r="NC160" s="9"/>
      <c r="ND160" s="9"/>
      <c r="NE160" s="9"/>
      <c r="NF160" s="9"/>
      <c r="NG160" s="9"/>
      <c r="NH160" s="9"/>
      <c r="NI160" s="9"/>
      <c r="NJ160" s="9"/>
      <c r="NK160" s="9"/>
      <c r="NL160" s="9"/>
      <c r="NM160" s="9"/>
      <c r="NN160" s="9"/>
      <c r="NO160" s="9"/>
      <c r="NP160" s="9"/>
      <c r="NQ160" s="9"/>
      <c r="NR160" s="9"/>
      <c r="NS160" s="9"/>
      <c r="NT160" s="9"/>
      <c r="NU160" s="9"/>
      <c r="NV160" s="9"/>
      <c r="NW160" s="9"/>
      <c r="NX160" s="9"/>
      <c r="NY160" s="9"/>
      <c r="NZ160" s="9"/>
      <c r="OA160" s="9"/>
      <c r="OB160" s="9"/>
      <c r="OC160" s="9"/>
      <c r="OD160" s="9"/>
      <c r="OE160" s="9"/>
      <c r="OF160" s="9"/>
      <c r="OG160" s="9"/>
      <c r="OH160" s="9"/>
      <c r="OI160" s="9"/>
      <c r="OJ160" s="9"/>
      <c r="OK160" s="9"/>
      <c r="OL160" s="9"/>
      <c r="OM160" s="9"/>
      <c r="ON160" s="9"/>
      <c r="OO160" s="9"/>
      <c r="OP160" s="9"/>
      <c r="OQ160" s="9"/>
      <c r="OR160" s="9"/>
      <c r="OS160" s="9"/>
      <c r="OT160" s="9"/>
      <c r="OU160" s="9"/>
      <c r="OV160" s="9"/>
      <c r="OW160" s="9"/>
      <c r="OX160" s="9"/>
      <c r="OY160" s="9"/>
      <c r="OZ160" s="9"/>
      <c r="PA160" s="9"/>
      <c r="PB160" s="9"/>
      <c r="PC160" s="9"/>
      <c r="PD160" s="9"/>
      <c r="PE160" s="9"/>
      <c r="PF160" s="9"/>
      <c r="PG160" s="9"/>
      <c r="PH160" s="9"/>
      <c r="PI160" s="9"/>
      <c r="PJ160" s="9"/>
      <c r="PK160" s="9"/>
      <c r="PL160" s="9"/>
      <c r="PM160" s="9"/>
      <c r="PN160" s="9"/>
      <c r="PO160" s="9"/>
      <c r="PP160" s="9"/>
      <c r="PQ160" s="9"/>
      <c r="PR160" s="9"/>
      <c r="PS160" s="9"/>
      <c r="PT160" s="9"/>
      <c r="PU160" s="9"/>
      <c r="PV160" s="9"/>
      <c r="PW160" s="9"/>
      <c r="PX160" s="9"/>
      <c r="PY160" s="9"/>
      <c r="PZ160" s="9"/>
      <c r="QA160" s="9"/>
      <c r="QB160" s="9"/>
      <c r="QC160" s="9"/>
      <c r="QD160" s="9"/>
      <c r="QE160" s="9"/>
      <c r="QF160" s="9"/>
      <c r="QG160" s="9"/>
      <c r="QH160" s="9"/>
      <c r="QI160" s="9"/>
      <c r="QJ160" s="9"/>
      <c r="QK160" s="9"/>
      <c r="QL160" s="9"/>
      <c r="QM160" s="9"/>
      <c r="QN160" s="9"/>
      <c r="QO160" s="9"/>
      <c r="QP160" s="9"/>
      <c r="QQ160" s="9"/>
      <c r="QR160" s="9"/>
      <c r="QS160" s="9"/>
      <c r="QT160" s="9"/>
      <c r="QU160" s="9"/>
      <c r="QV160" s="9"/>
      <c r="QW160" s="9"/>
      <c r="QX160" s="9"/>
      <c r="QY160" s="9"/>
      <c r="QZ160" s="9"/>
      <c r="RA160" s="9"/>
      <c r="RB160" s="9"/>
      <c r="RC160" s="9"/>
      <c r="RD160" s="9"/>
      <c r="RE160" s="9"/>
      <c r="RF160" s="9"/>
      <c r="RG160" s="9"/>
      <c r="RH160" s="9"/>
      <c r="RI160" s="9"/>
      <c r="RJ160" s="9"/>
      <c r="RK160" s="9"/>
      <c r="RL160" s="9"/>
      <c r="RM160" s="9"/>
      <c r="RN160" s="9"/>
      <c r="RO160" s="9"/>
      <c r="RP160" s="9"/>
      <c r="RQ160" s="9"/>
      <c r="RR160" s="9"/>
      <c r="RS160" s="9"/>
      <c r="RT160" s="9"/>
      <c r="RU160" s="9"/>
      <c r="RV160" s="9"/>
      <c r="RW160" s="9"/>
      <c r="RX160" s="9"/>
      <c r="RY160" s="9"/>
      <c r="RZ160" s="9"/>
      <c r="SA160" s="9"/>
      <c r="SB160" s="9"/>
      <c r="SC160" s="9"/>
      <c r="SD160" s="9"/>
      <c r="SE160" s="9"/>
      <c r="SF160" s="9"/>
      <c r="SG160" s="9"/>
      <c r="SH160" s="9"/>
      <c r="SI160" s="9"/>
      <c r="SJ160" s="9"/>
      <c r="SK160" s="9"/>
      <c r="SL160" s="9"/>
      <c r="SM160" s="9"/>
      <c r="SN160" s="9"/>
      <c r="SO160" s="9"/>
      <c r="SP160" s="9"/>
      <c r="SQ160" s="9"/>
      <c r="SR160" s="9"/>
      <c r="SS160" s="9"/>
      <c r="ST160" s="9"/>
      <c r="SU160" s="9"/>
      <c r="SV160" s="9"/>
      <c r="SW160" s="9"/>
      <c r="SX160" s="9"/>
      <c r="SY160" s="9"/>
      <c r="SZ160" s="9"/>
      <c r="TA160" s="9"/>
      <c r="TB160" s="9"/>
      <c r="TC160" s="9"/>
      <c r="TD160" s="9"/>
      <c r="TE160" s="9"/>
      <c r="TF160" s="9"/>
      <c r="TG160" s="9"/>
      <c r="TH160" s="9"/>
      <c r="TI160" s="9"/>
      <c r="TJ160" s="9"/>
      <c r="TK160" s="9"/>
      <c r="TL160" s="9"/>
      <c r="TM160" s="9"/>
      <c r="TN160" s="9"/>
      <c r="TO160" s="9"/>
      <c r="TP160" s="9"/>
      <c r="TQ160" s="9"/>
      <c r="TR160" s="9"/>
      <c r="TS160" s="9"/>
      <c r="TT160" s="9"/>
      <c r="TU160" s="9"/>
      <c r="TV160" s="9"/>
      <c r="TW160" s="9"/>
      <c r="TX160" s="9"/>
      <c r="TY160" s="9"/>
      <c r="TZ160" s="9"/>
      <c r="UA160" s="9"/>
      <c r="UB160" s="9"/>
      <c r="UC160" s="9"/>
      <c r="UD160" s="9"/>
      <c r="UE160" s="9"/>
      <c r="UF160" s="9"/>
      <c r="UG160" s="9"/>
      <c r="UH160" s="9"/>
      <c r="UI160" s="9"/>
      <c r="UJ160" s="9"/>
      <c r="UK160" s="9"/>
      <c r="UL160" s="9"/>
      <c r="UM160" s="9"/>
      <c r="UN160" s="9"/>
      <c r="UO160" s="9"/>
      <c r="UP160" s="9"/>
      <c r="UQ160" s="9"/>
      <c r="UR160" s="9"/>
      <c r="US160" s="9"/>
      <c r="UT160" s="9"/>
      <c r="UU160" s="9"/>
      <c r="UV160" s="9"/>
      <c r="UW160" s="9"/>
      <c r="UX160" s="9"/>
      <c r="UY160" s="9"/>
      <c r="UZ160" s="9"/>
      <c r="VA160" s="9"/>
      <c r="VB160" s="9"/>
      <c r="VC160" s="9"/>
      <c r="VD160" s="9"/>
      <c r="VE160" s="9"/>
      <c r="VF160" s="9"/>
      <c r="VG160" s="9"/>
      <c r="VH160" s="9"/>
      <c r="VI160" s="9"/>
      <c r="VJ160" s="9"/>
      <c r="VK160" s="9"/>
      <c r="VL160" s="9"/>
      <c r="VM160" s="9"/>
      <c r="VN160" s="9"/>
      <c r="VO160" s="9"/>
      <c r="VP160" s="9"/>
      <c r="VQ160" s="9"/>
      <c r="VR160" s="9"/>
      <c r="VS160" s="9"/>
      <c r="VT160" s="9"/>
      <c r="VU160" s="9"/>
      <c r="VV160" s="9"/>
      <c r="VW160" s="9"/>
      <c r="VX160" s="9"/>
      <c r="VY160" s="9"/>
      <c r="VZ160" s="9"/>
      <c r="WA160" s="9"/>
      <c r="WB160" s="9"/>
      <c r="WC160" s="9"/>
      <c r="WD160" s="9"/>
      <c r="WE160" s="9"/>
      <c r="WF160" s="9"/>
      <c r="WG160" s="9"/>
      <c r="WH160" s="9"/>
      <c r="WI160" s="9"/>
      <c r="WJ160" s="9"/>
      <c r="WK160" s="9"/>
      <c r="WL160" s="9"/>
      <c r="WM160" s="9"/>
      <c r="WN160" s="9"/>
      <c r="WO160" s="9"/>
      <c r="WP160" s="9"/>
      <c r="WQ160" s="9"/>
      <c r="WR160" s="9"/>
      <c r="WS160" s="9"/>
      <c r="WT160" s="9"/>
      <c r="WU160" s="9"/>
      <c r="WV160" s="9"/>
      <c r="WW160" s="9"/>
      <c r="WX160" s="9"/>
      <c r="WY160" s="9"/>
      <c r="WZ160" s="9"/>
      <c r="XA160" s="9"/>
      <c r="XB160" s="9"/>
      <c r="XC160" s="9"/>
      <c r="XD160" s="9"/>
      <c r="XE160" s="9"/>
      <c r="XF160" s="9"/>
      <c r="XG160" s="9"/>
      <c r="XH160" s="9"/>
      <c r="XI160" s="9"/>
      <c r="XJ160" s="9"/>
      <c r="XK160" s="9"/>
      <c r="XL160" s="9"/>
      <c r="XM160" s="9"/>
      <c r="XN160" s="9"/>
      <c r="XO160" s="9"/>
      <c r="XP160" s="9"/>
      <c r="XQ160" s="9"/>
      <c r="XR160" s="9"/>
      <c r="XS160" s="9"/>
      <c r="XT160" s="9"/>
      <c r="XU160" s="9"/>
      <c r="XV160" s="9"/>
      <c r="XW160" s="9"/>
      <c r="XX160" s="9"/>
      <c r="XY160" s="9"/>
      <c r="XZ160" s="9"/>
      <c r="YA160" s="9"/>
      <c r="YB160" s="9"/>
      <c r="YC160" s="9"/>
      <c r="YD160" s="9"/>
      <c r="YE160" s="9"/>
      <c r="YF160" s="9"/>
      <c r="YG160" s="9"/>
      <c r="YH160" s="9"/>
      <c r="YI160" s="9"/>
      <c r="YJ160" s="9"/>
      <c r="YK160" s="9"/>
      <c r="YL160" s="9"/>
      <c r="YM160" s="9"/>
      <c r="YN160" s="9"/>
      <c r="YO160" s="9"/>
      <c r="YP160" s="9"/>
      <c r="YQ160" s="9"/>
      <c r="YR160" s="9"/>
      <c r="YS160" s="9"/>
      <c r="YT160" s="9"/>
      <c r="YU160" s="9"/>
      <c r="YV160" s="9"/>
      <c r="YW160" s="9"/>
      <c r="YX160" s="9"/>
      <c r="YY160" s="9"/>
      <c r="YZ160" s="9"/>
      <c r="ZA160" s="9"/>
      <c r="ZB160" s="9"/>
      <c r="ZC160" s="9"/>
      <c r="ZD160" s="9"/>
      <c r="ZE160" s="9"/>
      <c r="ZF160" s="9"/>
      <c r="ZG160" s="9"/>
      <c r="ZH160" s="9"/>
      <c r="ZI160" s="9"/>
      <c r="ZJ160" s="9"/>
      <c r="ZK160" s="9"/>
      <c r="ZL160" s="9"/>
      <c r="ZM160" s="9"/>
      <c r="ZN160" s="9"/>
      <c r="ZO160" s="9"/>
      <c r="ZP160" s="9"/>
      <c r="ZQ160" s="9"/>
      <c r="ZR160" s="9"/>
      <c r="ZS160" s="9"/>
      <c r="ZT160" s="9"/>
      <c r="ZU160" s="9"/>
      <c r="ZV160" s="9"/>
      <c r="ZW160" s="9"/>
      <c r="ZX160" s="9"/>
      <c r="ZY160" s="9"/>
      <c r="ZZ160" s="9"/>
      <c r="AAA160" s="9"/>
      <c r="AAB160" s="9"/>
      <c r="AAC160" s="9"/>
      <c r="AAD160" s="9"/>
      <c r="AAE160" s="9"/>
      <c r="AAF160" s="9"/>
      <c r="AAG160" s="9"/>
      <c r="AAH160" s="9"/>
      <c r="AAI160" s="9"/>
      <c r="AAJ160" s="9"/>
      <c r="AAK160" s="9"/>
      <c r="AAL160" s="9"/>
      <c r="AAM160" s="9"/>
      <c r="AAN160" s="9"/>
      <c r="AAO160" s="9"/>
      <c r="AAP160" s="9"/>
      <c r="AAQ160" s="9"/>
      <c r="AAR160" s="9"/>
      <c r="AAS160" s="9"/>
      <c r="AAT160" s="9"/>
      <c r="AAU160" s="9"/>
      <c r="AAV160" s="9"/>
      <c r="AAW160" s="9"/>
      <c r="AAX160" s="9"/>
      <c r="AAY160" s="9"/>
      <c r="AAZ160" s="9"/>
      <c r="ABA160" s="9"/>
      <c r="ABB160" s="9"/>
      <c r="ABC160" s="9"/>
      <c r="ABD160" s="9"/>
      <c r="ABE160" s="9"/>
      <c r="ABF160" s="9"/>
      <c r="ABG160" s="9"/>
      <c r="ABH160" s="9"/>
      <c r="ABI160" s="9"/>
      <c r="ABJ160" s="9"/>
      <c r="ABK160" s="9"/>
      <c r="ABL160" s="9"/>
      <c r="ABM160" s="9"/>
      <c r="ABN160" s="9"/>
      <c r="ABO160" s="9"/>
      <c r="ABP160" s="9"/>
      <c r="ABQ160" s="9"/>
      <c r="ABR160" s="9"/>
      <c r="ABS160" s="9"/>
      <c r="ABT160" s="9"/>
      <c r="ABU160" s="9"/>
      <c r="ABV160" s="9"/>
      <c r="ABW160" s="9"/>
      <c r="ABX160" s="9"/>
      <c r="ABY160" s="9"/>
      <c r="ABZ160" s="9"/>
      <c r="ACA160" s="9"/>
      <c r="ACB160" s="9"/>
      <c r="ACC160" s="9"/>
      <c r="ACD160" s="9"/>
      <c r="ACE160" s="9"/>
      <c r="ACF160" s="9"/>
      <c r="ACG160" s="9"/>
      <c r="ACH160" s="9"/>
      <c r="ACI160" s="9"/>
      <c r="ACJ160" s="9"/>
      <c r="ACK160" s="9"/>
      <c r="ACL160" s="9"/>
      <c r="ACM160" s="9"/>
      <c r="ACN160" s="9"/>
      <c r="ACO160" s="9"/>
      <c r="ACP160" s="9"/>
      <c r="ACQ160" s="9"/>
      <c r="ACR160" s="9"/>
      <c r="ACS160" s="9"/>
      <c r="ACT160" s="9"/>
      <c r="ACU160" s="9"/>
      <c r="ACV160" s="9"/>
      <c r="ACW160" s="9"/>
      <c r="ACX160" s="9"/>
      <c r="ACY160" s="9"/>
      <c r="ACZ160" s="9"/>
      <c r="ADA160" s="9"/>
      <c r="ADB160" s="9"/>
      <c r="ADC160" s="9"/>
      <c r="ADD160" s="9"/>
      <c r="ADE160" s="9"/>
      <c r="ADF160" s="9"/>
      <c r="ADG160" s="9"/>
      <c r="ADH160" s="9"/>
      <c r="ADI160" s="9"/>
      <c r="ADJ160" s="9"/>
      <c r="ADK160" s="9"/>
      <c r="ADL160" s="9"/>
      <c r="ADM160" s="9"/>
      <c r="ADN160" s="9"/>
      <c r="ADO160" s="9"/>
      <c r="ADP160" s="9"/>
      <c r="ADQ160" s="9"/>
      <c r="ADR160" s="9"/>
      <c r="ADS160" s="9"/>
      <c r="ADT160" s="9"/>
      <c r="ADU160" s="9"/>
      <c r="ADV160" s="9"/>
      <c r="ADW160" s="9"/>
      <c r="ADX160" s="9"/>
      <c r="ADY160" s="9"/>
      <c r="ADZ160" s="9"/>
      <c r="AEA160" s="9"/>
      <c r="AEB160" s="9"/>
      <c r="AEC160" s="9"/>
      <c r="AED160" s="9"/>
      <c r="AEE160" s="9"/>
      <c r="AEF160" s="9"/>
      <c r="AEG160" s="9"/>
      <c r="AEH160" s="9"/>
      <c r="AEI160" s="9"/>
      <c r="AEJ160" s="9"/>
      <c r="AEK160" s="9"/>
      <c r="AEL160" s="9"/>
      <c r="AEM160" s="9"/>
      <c r="AEN160" s="9"/>
      <c r="AEO160" s="9"/>
      <c r="AEP160" s="9"/>
      <c r="AEQ160" s="9"/>
      <c r="AER160" s="9"/>
      <c r="AES160" s="9"/>
      <c r="AET160" s="9"/>
      <c r="AEU160" s="9"/>
      <c r="AEV160" s="9"/>
      <c r="AEW160" s="9"/>
      <c r="AEX160" s="9"/>
      <c r="AEY160" s="9"/>
      <c r="AEZ160" s="9"/>
      <c r="AFA160" s="9"/>
      <c r="AFB160" s="9"/>
      <c r="AFC160" s="9"/>
      <c r="AFD160" s="9"/>
      <c r="AFE160" s="9"/>
      <c r="AFF160" s="9"/>
      <c r="AFG160" s="9"/>
      <c r="AFH160" s="9"/>
      <c r="AFI160" s="9"/>
      <c r="AFJ160" s="9"/>
      <c r="AFK160" s="9"/>
      <c r="AFL160" s="9"/>
      <c r="AFM160" s="9"/>
      <c r="AFN160" s="9"/>
      <c r="AFO160" s="9"/>
      <c r="AFP160" s="9"/>
      <c r="AFQ160" s="9"/>
      <c r="AFR160" s="9"/>
      <c r="AFS160" s="9"/>
      <c r="AFT160" s="9"/>
      <c r="AFU160" s="9"/>
      <c r="AFV160" s="9"/>
      <c r="AFW160" s="9"/>
      <c r="AFX160" s="9"/>
      <c r="AFY160" s="9"/>
      <c r="AFZ160" s="9"/>
      <c r="AGA160" s="9"/>
      <c r="AGB160" s="9"/>
      <c r="AGC160" s="9"/>
      <c r="AGD160" s="9"/>
      <c r="AGE160" s="9"/>
      <c r="AGF160" s="9"/>
      <c r="AGG160" s="9"/>
      <c r="AGH160" s="9"/>
      <c r="AGI160" s="9"/>
      <c r="AGJ160" s="9"/>
      <c r="AGK160" s="9"/>
      <c r="AGL160" s="9"/>
      <c r="AGM160" s="9"/>
      <c r="AGN160" s="9"/>
      <c r="AGO160" s="9"/>
      <c r="AGP160" s="9"/>
      <c r="AGQ160" s="9"/>
      <c r="AGR160" s="9"/>
      <c r="AGS160" s="9"/>
      <c r="AGT160" s="9"/>
      <c r="AGU160" s="9"/>
      <c r="AGV160" s="9"/>
      <c r="AGW160" s="9"/>
      <c r="AGX160" s="9"/>
      <c r="AGY160" s="9"/>
      <c r="AGZ160" s="9"/>
      <c r="AHA160" s="9"/>
      <c r="AHB160" s="9"/>
      <c r="AHC160" s="9"/>
      <c r="AHD160" s="9"/>
      <c r="AHE160" s="9"/>
      <c r="AHF160" s="9"/>
      <c r="AHG160" s="9"/>
      <c r="AHH160" s="9"/>
      <c r="AHI160" s="9"/>
      <c r="AHJ160" s="9"/>
      <c r="AHK160" s="9"/>
      <c r="AHL160" s="9"/>
      <c r="AHM160" s="9"/>
      <c r="AHN160" s="9"/>
      <c r="AHO160" s="9"/>
      <c r="AHP160" s="9"/>
      <c r="AHQ160" s="9"/>
      <c r="AHR160" s="9"/>
      <c r="AHS160" s="9"/>
      <c r="AHT160" s="9"/>
      <c r="AHU160" s="9"/>
      <c r="AHV160" s="9"/>
      <c r="AHW160" s="9"/>
      <c r="AHX160" s="9"/>
      <c r="AHY160" s="9"/>
      <c r="AHZ160" s="9"/>
      <c r="AIA160" s="9"/>
      <c r="AIB160" s="9"/>
      <c r="AIC160" s="9"/>
      <c r="AID160" s="9"/>
      <c r="AIE160" s="9"/>
      <c r="AIF160" s="9"/>
      <c r="AIG160" s="9"/>
      <c r="AIH160" s="9"/>
      <c r="AII160" s="9"/>
      <c r="AIJ160" s="9"/>
      <c r="AIK160" s="9"/>
      <c r="AIL160" s="9"/>
      <c r="AIM160" s="9"/>
      <c r="AIN160" s="9"/>
      <c r="AIO160" s="9"/>
      <c r="AIP160" s="9"/>
      <c r="AIQ160" s="9"/>
      <c r="AIR160" s="9"/>
      <c r="AIS160" s="9"/>
      <c r="AIT160" s="9"/>
      <c r="AIU160" s="9"/>
      <c r="AIV160" s="9"/>
      <c r="AIW160" s="9"/>
      <c r="AIX160" s="9"/>
      <c r="AIY160" s="9"/>
      <c r="AIZ160" s="9"/>
      <c r="AJA160" s="9"/>
      <c r="AJB160" s="9"/>
      <c r="AJC160" s="9"/>
      <c r="AJD160" s="9"/>
      <c r="AJE160" s="9"/>
      <c r="AJF160" s="9"/>
      <c r="AJG160" s="9"/>
      <c r="AJH160" s="9"/>
      <c r="AJI160" s="9"/>
      <c r="AJJ160" s="9"/>
      <c r="AJK160" s="9"/>
      <c r="AJL160" s="9"/>
      <c r="AJM160" s="9"/>
      <c r="AJN160" s="9"/>
      <c r="AJO160" s="9"/>
      <c r="AJP160" s="9"/>
      <c r="AJQ160" s="9"/>
      <c r="AJR160" s="9"/>
      <c r="AJS160" s="9"/>
      <c r="AJT160" s="9"/>
      <c r="AJU160" s="9"/>
      <c r="AJV160" s="9"/>
      <c r="AJW160" s="9"/>
      <c r="AJX160" s="9"/>
      <c r="AJY160" s="9"/>
      <c r="AJZ160" s="9"/>
      <c r="AKA160" s="9"/>
      <c r="AKB160" s="9"/>
      <c r="AKC160" s="9"/>
      <c r="AKD160" s="9"/>
      <c r="AKE160" s="9"/>
      <c r="AKF160" s="9"/>
      <c r="AKG160" s="9"/>
      <c r="AKH160" s="9"/>
      <c r="AKI160" s="9"/>
      <c r="AKJ160" s="9"/>
      <c r="AKK160" s="9"/>
      <c r="AKL160" s="9"/>
      <c r="AKM160" s="9"/>
      <c r="AKN160" s="9"/>
      <c r="AKO160" s="9"/>
      <c r="AKP160" s="9"/>
      <c r="AKQ160" s="9"/>
      <c r="AKR160" s="9"/>
      <c r="AKS160" s="9"/>
      <c r="AKT160" s="9"/>
      <c r="AKU160" s="9"/>
      <c r="AKV160" s="9"/>
      <c r="AKW160" s="9"/>
      <c r="AKX160" s="9"/>
      <c r="AKY160" s="9"/>
      <c r="AKZ160" s="9"/>
      <c r="ALA160" s="9"/>
      <c r="ALB160" s="9"/>
      <c r="ALC160" s="9"/>
      <c r="ALD160" s="9"/>
      <c r="ALE160" s="9"/>
      <c r="ALF160" s="9"/>
      <c r="ALG160" s="9"/>
      <c r="ALH160" s="9"/>
      <c r="ALI160" s="9"/>
      <c r="ALJ160" s="9"/>
      <c r="ALK160" s="9"/>
      <c r="ALL160" s="9"/>
      <c r="ALM160" s="9"/>
      <c r="ALN160" s="9"/>
      <c r="ALO160" s="9"/>
      <c r="ALP160" s="9"/>
      <c r="ALQ160" s="9"/>
      <c r="ALR160" s="9"/>
      <c r="ALS160" s="9"/>
      <c r="ALT160" s="9"/>
      <c r="ALU160" s="9"/>
      <c r="ALV160" s="9"/>
      <c r="ALW160" s="9"/>
      <c r="ALX160" s="9"/>
      <c r="ALY160" s="9"/>
      <c r="ALZ160" s="9"/>
      <c r="AMA160" s="9"/>
      <c r="AMB160" s="9"/>
      <c r="AMC160" s="9"/>
      <c r="AMD160" s="9"/>
      <c r="AME160" s="9"/>
      <c r="AMF160" s="9"/>
      <c r="AMG160" s="9"/>
      <c r="AMH160" s="9"/>
      <c r="AMI160" s="9"/>
      <c r="AMJ160" s="9"/>
      <c r="AMK160" s="9"/>
      <c r="AML160" s="9"/>
      <c r="AMM160" s="9"/>
      <c r="AMN160" s="9"/>
      <c r="AMO160" s="9"/>
    </row>
    <row r="161" spans="1:1029" s="12" customFormat="1" x14ac:dyDescent="0.2">
      <c r="A161" s="9" t="str">
        <f>CONCATENATE(B161,"_",C161)</f>
        <v>cnr2_human_5ZTY</v>
      </c>
      <c r="B161" s="9" t="s">
        <v>183</v>
      </c>
      <c r="C161" s="9" t="s">
        <v>1582</v>
      </c>
      <c r="D161" s="9" t="str">
        <f>IFERROR(MID(VLOOKUP($B161,Seqs!$A:$B,2,0),E161,1),"")</f>
        <v>S</v>
      </c>
      <c r="E161" s="9">
        <v>29</v>
      </c>
      <c r="F161" s="9" t="str">
        <f>IFERROR(MID(VLOOKUP($B161,Seqs!$A:$B,2,0),G161,1),"")</f>
        <v>S</v>
      </c>
      <c r="G161" s="9">
        <v>61</v>
      </c>
      <c r="H161" s="9" t="str">
        <f>IFERROR(MID(VLOOKUP($B161,Seqs!$A:$B,2,0),I161,1),"")</f>
        <v>H</v>
      </c>
      <c r="I161" s="109">
        <v>62</v>
      </c>
      <c r="J161" s="9" t="str">
        <f>IFERROR(MID(VLOOKUP($B161,Seqs!$A:$B,2,0),K161,1),"")</f>
        <v>R</v>
      </c>
      <c r="K161" s="109">
        <v>65</v>
      </c>
      <c r="L161" s="9" t="str">
        <f>IFERROR(MID(VLOOKUP($B161,Seqs!$A:$B,2,0),M161,1),"")</f>
        <v>K</v>
      </c>
      <c r="M161" s="9">
        <v>67</v>
      </c>
      <c r="N161" s="9" t="str">
        <f>IFERROR(MID(VLOOKUP($B161,Seqs!$A:$B,2,0),O161,1),"")</f>
        <v>V</v>
      </c>
      <c r="O161" s="9">
        <v>96</v>
      </c>
      <c r="P161" s="9" t="str">
        <f>IFERROR(MID(VLOOKUP($B161,Seqs!$A:$B,2,0),Q161,1),"")</f>
        <v/>
      </c>
      <c r="Q161" s="9" t="s">
        <v>23</v>
      </c>
      <c r="R161" s="9" t="str">
        <f>IFERROR(MID(VLOOKUP($B161,Seqs!$A:$B,2,0),S161,1),"")</f>
        <v/>
      </c>
      <c r="S161" s="9" t="s">
        <v>23</v>
      </c>
      <c r="T161" s="9" t="str">
        <f>IFERROR(MID(VLOOKUP($B161,Seqs!$A:$B,2,0),U161,1),"")</f>
        <v>S</v>
      </c>
      <c r="U161" s="9">
        <v>102</v>
      </c>
      <c r="V161" s="9" t="str">
        <f>IFERROR(MID(VLOOKUP($B161,Seqs!$A:$B,2,0),W161,1),"")</f>
        <v>Y</v>
      </c>
      <c r="W161" s="9">
        <v>137</v>
      </c>
      <c r="X161" s="9" t="str">
        <f>IFERROR(MID(VLOOKUP($B161,Seqs!$A:$B,2,0),Y161,1),"")</f>
        <v>P</v>
      </c>
      <c r="Y161" s="9">
        <v>138</v>
      </c>
      <c r="Z161" s="9" t="str">
        <f>IFERROR(MID(VLOOKUP($B161,Seqs!$A:$B,2,0),AA161,1),"")</f>
        <v>L</v>
      </c>
      <c r="AA161" s="9">
        <v>145</v>
      </c>
      <c r="AB161" s="9" t="str">
        <f>IFERROR(MID(VLOOKUP($B161,Seqs!$A:$B,2,0),AC161,1),"")</f>
        <v>T</v>
      </c>
      <c r="AC161" s="9">
        <v>146</v>
      </c>
      <c r="AD161" s="9" t="str">
        <f>IFERROR(MID(VLOOKUP($B161,Seqs!$A:$B,2,0),AE161,1),"")</f>
        <v>G</v>
      </c>
      <c r="AE161" s="9">
        <v>171</v>
      </c>
      <c r="AF161" s="9" t="str">
        <f>IFERROR(MID(VLOOKUP($B161,Seqs!$A:$B,2,0),AG161,1),"")</f>
        <v/>
      </c>
      <c r="AG161" s="9" t="s">
        <v>23</v>
      </c>
      <c r="AH161" s="9" t="str">
        <f>IFERROR(MID(VLOOKUP($B161,Seqs!$A:$B,2,0),AI161,1),"")</f>
        <v/>
      </c>
      <c r="AI161" s="9" t="s">
        <v>23</v>
      </c>
      <c r="AJ161" s="9" t="str">
        <f>IFERROR(MID(VLOOKUP($B161,Seqs!$A:$B,2,0),AK161,1),"")</f>
        <v>P</v>
      </c>
      <c r="AK161" s="9">
        <v>187</v>
      </c>
      <c r="AL161" s="9" t="str">
        <f>IFERROR(MID(VLOOKUP($B161,Seqs!$A:$B,2,0),AM161,1),"")</f>
        <v>V</v>
      </c>
      <c r="AM161" s="9">
        <v>220</v>
      </c>
      <c r="AN161" s="9" t="str">
        <f>IFERROR(MID(VLOOKUP($B161,Seqs!$A:$B,2,0),AO161,1),"")</f>
        <v>M</v>
      </c>
      <c r="AO161" s="9">
        <v>237</v>
      </c>
      <c r="AP161" s="9" t="str">
        <f>IFERROR(MID(VLOOKUP($B161,Seqs!$A:$B,2,0),AQ161,1),"")</f>
        <v>T</v>
      </c>
      <c r="AQ161" s="9">
        <v>271</v>
      </c>
      <c r="AR161" s="9" t="str">
        <f>IFERROR(MID(VLOOKUP($B161,Seqs!$A:$B,2,0),AS161,1),"")</f>
        <v>S</v>
      </c>
      <c r="AS161" s="9">
        <v>274</v>
      </c>
      <c r="AT161" s="9" t="str">
        <f>IFERROR(MID(VLOOKUP($B161,Seqs!$A:$B,2,0),AU161,1),"")</f>
        <v>R</v>
      </c>
      <c r="AU161" s="9">
        <v>302</v>
      </c>
      <c r="AV161" s="9" t="str">
        <f>IFERROR(MID(VLOOKUP($B161,Seqs!$A:$B,2,0),AW161,1),"")</f>
        <v>S</v>
      </c>
      <c r="AW161" s="9">
        <v>303</v>
      </c>
      <c r="AX161" s="9" t="str">
        <f>IFERROR(MID(VLOOKUP($B161,Seqs!$A:$B,2,0),AY161,1),"")</f>
        <v>K</v>
      </c>
      <c r="AY161" s="9">
        <v>319</v>
      </c>
      <c r="AZ161" s="110" t="str">
        <f>VLOOKUP(B161,Classification!A:D,2,0)</f>
        <v>A</v>
      </c>
      <c r="BA161" s="98" t="str">
        <f>VLOOKUP(B161,Classification!A:D,4,0)</f>
        <v>Cannabinoid</v>
      </c>
      <c r="BB161" s="36" t="b">
        <f>AND(E161&lt;G161,OR(G161&lt;I161,I161="-"),OR(I161&lt;K161,I161="-"),OR(K161&lt;M161,K161="-"),M161&lt;O161,OR(O161&lt;Q161,Q161="-"),OR(Q161&lt;S161,Q161="-"),OR(S161&lt;U161,S161="-"),U161&lt;W161,OR(W161&lt;Y161,Y161="-"),OR(Y161&lt;AA161,Y161="-"),OR(AA161&lt;AC161,AA161="-"),AC161&lt;AE161,OR(AE161&lt;AG161,AG161="-"),OR(AG161&lt;AI161,AG161="-"),OR(AI161&lt;AK161,AI161="-"),AK161&lt;AM161,AM161&lt;AO161,AO161&lt;AQ161,AQ161&lt;AS161,AS161&lt;AU161,OR(AU161&lt;AW161,AW161="-"),OR(AW161&lt;AY161,AW161="-"))</f>
        <v>1</v>
      </c>
      <c r="BC161" s="109">
        <f>_xlfn.AGGREGATE(9,6,CH161:CS161)-_xlfn.AGGREGATE(9,6,BV161:CG161)+12</f>
        <v>254</v>
      </c>
      <c r="BD161" s="40" t="s">
        <v>1382</v>
      </c>
      <c r="BE161" s="9" t="s">
        <v>1380</v>
      </c>
      <c r="BF161" s="120">
        <v>2.8</v>
      </c>
      <c r="BG161" s="51" t="s">
        <v>1</v>
      </c>
      <c r="BH161" s="51" t="s">
        <v>1</v>
      </c>
      <c r="BI161" s="9"/>
      <c r="BJ161" s="111" t="s">
        <v>1293</v>
      </c>
      <c r="BK161" s="112" t="s">
        <v>1293</v>
      </c>
      <c r="BL161" s="112" t="s">
        <v>1293</v>
      </c>
      <c r="BM161" s="112" t="s">
        <v>1293</v>
      </c>
      <c r="BN161" s="112" t="s">
        <v>1293</v>
      </c>
      <c r="BO161" s="112" t="s">
        <v>1293</v>
      </c>
      <c r="BP161" s="112" t="s">
        <v>1293</v>
      </c>
      <c r="BQ161" s="112" t="s">
        <v>1293</v>
      </c>
      <c r="BR161" s="112" t="s">
        <v>1293</v>
      </c>
      <c r="BS161" s="112" t="s">
        <v>1293</v>
      </c>
      <c r="BT161" s="112" t="s">
        <v>1293</v>
      </c>
      <c r="BU161" s="112" t="s">
        <v>1293</v>
      </c>
      <c r="BV161" s="111">
        <f>E161</f>
        <v>29</v>
      </c>
      <c r="BW161" s="113">
        <f>I161</f>
        <v>62</v>
      </c>
      <c r="BX161" s="114">
        <f>M161</f>
        <v>67</v>
      </c>
      <c r="BY161" s="113" t="str">
        <f>Q161</f>
        <v>-</v>
      </c>
      <c r="BZ161" s="114">
        <f>U161</f>
        <v>102</v>
      </c>
      <c r="CA161" s="113">
        <f>Y161</f>
        <v>138</v>
      </c>
      <c r="CB161" s="114">
        <f>AC161</f>
        <v>146</v>
      </c>
      <c r="CC161" s="113" t="str">
        <f>AG161</f>
        <v>-</v>
      </c>
      <c r="CD161" s="114">
        <f>AK161</f>
        <v>187</v>
      </c>
      <c r="CE161" s="113">
        <f>AO161</f>
        <v>237</v>
      </c>
      <c r="CF161" s="114">
        <f>AS161</f>
        <v>274</v>
      </c>
      <c r="CG161" s="113">
        <f>AW161</f>
        <v>303</v>
      </c>
      <c r="CH161" s="111">
        <f>G161</f>
        <v>61</v>
      </c>
      <c r="CI161" s="113">
        <f>K161</f>
        <v>65</v>
      </c>
      <c r="CJ161" s="114">
        <f>O161</f>
        <v>96</v>
      </c>
      <c r="CK161" s="114" t="str">
        <f>S161</f>
        <v>-</v>
      </c>
      <c r="CL161" s="114">
        <f>W161</f>
        <v>137</v>
      </c>
      <c r="CM161" s="114">
        <f>AA161</f>
        <v>145</v>
      </c>
      <c r="CN161" s="114">
        <f>AE161</f>
        <v>171</v>
      </c>
      <c r="CO161" s="114" t="str">
        <f>AI161</f>
        <v>-</v>
      </c>
      <c r="CP161" s="114">
        <f>AM161</f>
        <v>220</v>
      </c>
      <c r="CQ161" s="114">
        <f>AQ161</f>
        <v>271</v>
      </c>
      <c r="CR161" s="114">
        <f>AU161</f>
        <v>302</v>
      </c>
      <c r="CS161" s="114">
        <f>AY161</f>
        <v>319</v>
      </c>
      <c r="CT161" s="109">
        <f>M161-K161</f>
        <v>2</v>
      </c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9"/>
      <c r="JE161" s="9"/>
      <c r="JF161" s="9"/>
      <c r="JG161" s="9"/>
      <c r="JH161" s="9"/>
      <c r="JI161" s="9"/>
      <c r="JJ161" s="9"/>
      <c r="JK161" s="9"/>
      <c r="JL161" s="9"/>
      <c r="JM161" s="9"/>
      <c r="JN161" s="9"/>
      <c r="JO161" s="9"/>
      <c r="JP161" s="9"/>
      <c r="JQ161" s="9"/>
      <c r="JR161" s="9"/>
      <c r="JS161" s="9"/>
      <c r="JT161" s="9"/>
      <c r="JU161" s="9"/>
      <c r="JV161" s="9"/>
      <c r="JW161" s="9"/>
      <c r="JX161" s="9"/>
      <c r="JY161" s="9"/>
      <c r="JZ161" s="9"/>
      <c r="KA161" s="9"/>
      <c r="KB161" s="9"/>
      <c r="KC161" s="9"/>
      <c r="KD161" s="9"/>
      <c r="KE161" s="9"/>
      <c r="KF161" s="9"/>
      <c r="KG161" s="9"/>
      <c r="KH161" s="9"/>
      <c r="KI161" s="9"/>
      <c r="KJ161" s="9"/>
      <c r="KK161" s="9"/>
      <c r="KL161" s="9"/>
      <c r="KM161" s="9"/>
      <c r="KN161" s="9"/>
      <c r="KO161" s="9"/>
      <c r="KP161" s="9"/>
      <c r="KQ161" s="9"/>
      <c r="KR161" s="9"/>
      <c r="KS161" s="9"/>
      <c r="KT161" s="9"/>
      <c r="KU161" s="9"/>
      <c r="KV161" s="9"/>
      <c r="KW161" s="9"/>
      <c r="KX161" s="9"/>
      <c r="KY161" s="9"/>
      <c r="KZ161" s="9"/>
      <c r="LA161" s="9"/>
      <c r="LB161" s="9"/>
      <c r="LC161" s="9"/>
      <c r="LD161" s="9"/>
      <c r="LE161" s="9"/>
      <c r="LF161" s="9"/>
      <c r="LG161" s="9"/>
      <c r="LH161" s="9"/>
      <c r="LI161" s="9"/>
      <c r="LJ161" s="9"/>
      <c r="LK161" s="9"/>
      <c r="LL161" s="9"/>
      <c r="LM161" s="9"/>
      <c r="LN161" s="9"/>
      <c r="LO161" s="9"/>
      <c r="LP161" s="9"/>
      <c r="LQ161" s="9"/>
      <c r="LR161" s="9"/>
      <c r="LS161" s="9"/>
      <c r="LT161" s="9"/>
      <c r="LU161" s="9"/>
      <c r="LV161" s="9"/>
      <c r="LW161" s="9"/>
      <c r="LX161" s="9"/>
      <c r="LY161" s="9"/>
      <c r="LZ161" s="9"/>
      <c r="MA161" s="9"/>
      <c r="MB161" s="9"/>
      <c r="MC161" s="9"/>
      <c r="MD161" s="9"/>
      <c r="ME161" s="9"/>
      <c r="MF161" s="9"/>
      <c r="MG161" s="9"/>
      <c r="MH161" s="9"/>
      <c r="MI161" s="9"/>
      <c r="MJ161" s="9"/>
      <c r="MK161" s="9"/>
      <c r="ML161" s="9"/>
      <c r="MM161" s="9"/>
      <c r="MN161" s="9"/>
      <c r="MO161" s="9"/>
      <c r="MP161" s="9"/>
      <c r="MQ161" s="9"/>
      <c r="MR161" s="9"/>
      <c r="MS161" s="9"/>
      <c r="MT161" s="9"/>
      <c r="MU161" s="9"/>
      <c r="MV161" s="9"/>
      <c r="MW161" s="9"/>
      <c r="MX161" s="9"/>
      <c r="MY161" s="9"/>
      <c r="MZ161" s="9"/>
      <c r="NA161" s="9"/>
      <c r="NB161" s="9"/>
      <c r="NC161" s="9"/>
      <c r="ND161" s="9"/>
      <c r="NE161" s="9"/>
      <c r="NF161" s="9"/>
      <c r="NG161" s="9"/>
      <c r="NH161" s="9"/>
      <c r="NI161" s="9"/>
      <c r="NJ161" s="9"/>
      <c r="NK161" s="9"/>
      <c r="NL161" s="9"/>
      <c r="NM161" s="9"/>
      <c r="NN161" s="9"/>
      <c r="NO161" s="9"/>
      <c r="NP161" s="9"/>
      <c r="NQ161" s="9"/>
      <c r="NR161" s="9"/>
      <c r="NS161" s="9"/>
      <c r="NT161" s="9"/>
      <c r="NU161" s="9"/>
      <c r="NV161" s="9"/>
      <c r="NW161" s="9"/>
      <c r="NX161" s="9"/>
      <c r="NY161" s="9"/>
      <c r="NZ161" s="9"/>
      <c r="OA161" s="9"/>
      <c r="OB161" s="9"/>
      <c r="OC161" s="9"/>
      <c r="OD161" s="9"/>
      <c r="OE161" s="9"/>
      <c r="OF161" s="9"/>
      <c r="OG161" s="9"/>
      <c r="OH161" s="9"/>
      <c r="OI161" s="9"/>
      <c r="OJ161" s="9"/>
      <c r="OK161" s="9"/>
      <c r="OL161" s="9"/>
      <c r="OM161" s="9"/>
      <c r="ON161" s="9"/>
      <c r="OO161" s="9"/>
      <c r="OP161" s="9"/>
      <c r="OQ161" s="9"/>
      <c r="OR161" s="9"/>
      <c r="OS161" s="9"/>
      <c r="OT161" s="9"/>
      <c r="OU161" s="9"/>
      <c r="OV161" s="9"/>
      <c r="OW161" s="9"/>
      <c r="OX161" s="9"/>
      <c r="OY161" s="9"/>
      <c r="OZ161" s="9"/>
      <c r="PA161" s="9"/>
      <c r="PB161" s="9"/>
      <c r="PC161" s="9"/>
      <c r="PD161" s="9"/>
      <c r="PE161" s="9"/>
      <c r="PF161" s="9"/>
      <c r="PG161" s="9"/>
      <c r="PH161" s="9"/>
      <c r="PI161" s="9"/>
      <c r="PJ161" s="9"/>
      <c r="PK161" s="9"/>
      <c r="PL161" s="9"/>
      <c r="PM161" s="9"/>
      <c r="PN161" s="9"/>
      <c r="PO161" s="9"/>
      <c r="PP161" s="9"/>
      <c r="PQ161" s="9"/>
      <c r="PR161" s="9"/>
      <c r="PS161" s="9"/>
      <c r="PT161" s="9"/>
      <c r="PU161" s="9"/>
      <c r="PV161" s="9"/>
      <c r="PW161" s="9"/>
      <c r="PX161" s="9"/>
      <c r="PY161" s="9"/>
      <c r="PZ161" s="9"/>
      <c r="QA161" s="9"/>
      <c r="QB161" s="9"/>
      <c r="QC161" s="9"/>
      <c r="QD161" s="9"/>
      <c r="QE161" s="9"/>
      <c r="QF161" s="9"/>
      <c r="QG161" s="9"/>
      <c r="QH161" s="9"/>
      <c r="QI161" s="9"/>
      <c r="QJ161" s="9"/>
      <c r="QK161" s="9"/>
      <c r="QL161" s="9"/>
      <c r="QM161" s="9"/>
      <c r="QN161" s="9"/>
      <c r="QO161" s="9"/>
      <c r="QP161" s="9"/>
      <c r="QQ161" s="9"/>
      <c r="QR161" s="9"/>
      <c r="QS161" s="9"/>
      <c r="QT161" s="9"/>
      <c r="QU161" s="9"/>
      <c r="QV161" s="9"/>
      <c r="QW161" s="9"/>
      <c r="QX161" s="9"/>
      <c r="QY161" s="9"/>
      <c r="QZ161" s="9"/>
      <c r="RA161" s="9"/>
      <c r="RB161" s="9"/>
      <c r="RC161" s="9"/>
      <c r="RD161" s="9"/>
      <c r="RE161" s="9"/>
      <c r="RF161" s="9"/>
      <c r="RG161" s="9"/>
      <c r="RH161" s="9"/>
      <c r="RI161" s="9"/>
      <c r="RJ161" s="9"/>
      <c r="RK161" s="9"/>
      <c r="RL161" s="9"/>
      <c r="RM161" s="9"/>
      <c r="RN161" s="9"/>
      <c r="RO161" s="9"/>
      <c r="RP161" s="9"/>
      <c r="RQ161" s="9"/>
      <c r="RR161" s="9"/>
      <c r="RS161" s="9"/>
      <c r="RT161" s="9"/>
      <c r="RU161" s="9"/>
      <c r="RV161" s="9"/>
      <c r="RW161" s="9"/>
      <c r="RX161" s="9"/>
      <c r="RY161" s="9"/>
      <c r="RZ161" s="9"/>
      <c r="SA161" s="9"/>
      <c r="SB161" s="9"/>
      <c r="SC161" s="9"/>
      <c r="SD161" s="9"/>
      <c r="SE161" s="9"/>
      <c r="SF161" s="9"/>
      <c r="SG161" s="9"/>
      <c r="SH161" s="9"/>
      <c r="SI161" s="9"/>
      <c r="SJ161" s="9"/>
      <c r="SK161" s="9"/>
      <c r="SL161" s="9"/>
      <c r="SM161" s="9"/>
      <c r="SN161" s="9"/>
      <c r="SO161" s="9"/>
      <c r="SP161" s="9"/>
      <c r="SQ161" s="9"/>
      <c r="SR161" s="9"/>
      <c r="SS161" s="9"/>
      <c r="ST161" s="9"/>
      <c r="SU161" s="9"/>
      <c r="SV161" s="9"/>
      <c r="SW161" s="9"/>
      <c r="SX161" s="9"/>
      <c r="SY161" s="9"/>
      <c r="SZ161" s="9"/>
      <c r="TA161" s="9"/>
      <c r="TB161" s="9"/>
      <c r="TC161" s="9"/>
      <c r="TD161" s="9"/>
      <c r="TE161" s="9"/>
      <c r="TF161" s="9"/>
      <c r="TG161" s="9"/>
      <c r="TH161" s="9"/>
      <c r="TI161" s="9"/>
      <c r="TJ161" s="9"/>
      <c r="TK161" s="9"/>
      <c r="TL161" s="9"/>
      <c r="TM161" s="9"/>
      <c r="TN161" s="9"/>
      <c r="TO161" s="9"/>
      <c r="TP161" s="9"/>
      <c r="TQ161" s="9"/>
      <c r="TR161" s="9"/>
      <c r="TS161" s="9"/>
      <c r="TT161" s="9"/>
      <c r="TU161" s="9"/>
      <c r="TV161" s="9"/>
      <c r="TW161" s="9"/>
      <c r="TX161" s="9"/>
      <c r="TY161" s="9"/>
      <c r="TZ161" s="9"/>
      <c r="UA161" s="9"/>
      <c r="UB161" s="9"/>
      <c r="UC161" s="9"/>
      <c r="UD161" s="9"/>
      <c r="UE161" s="9"/>
      <c r="UF161" s="9"/>
      <c r="UG161" s="9"/>
      <c r="UH161" s="9"/>
      <c r="UI161" s="9"/>
      <c r="UJ161" s="9"/>
      <c r="UK161" s="9"/>
      <c r="UL161" s="9"/>
      <c r="UM161" s="9"/>
      <c r="UN161" s="9"/>
      <c r="UO161" s="9"/>
      <c r="UP161" s="9"/>
      <c r="UQ161" s="9"/>
      <c r="UR161" s="9"/>
      <c r="US161" s="9"/>
      <c r="UT161" s="9"/>
      <c r="UU161" s="9"/>
      <c r="UV161" s="9"/>
      <c r="UW161" s="9"/>
      <c r="UX161" s="9"/>
      <c r="UY161" s="9"/>
      <c r="UZ161" s="9"/>
      <c r="VA161" s="9"/>
      <c r="VB161" s="9"/>
      <c r="VC161" s="9"/>
      <c r="VD161" s="9"/>
      <c r="VE161" s="9"/>
      <c r="VF161" s="9"/>
      <c r="VG161" s="9"/>
      <c r="VH161" s="9"/>
      <c r="VI161" s="9"/>
      <c r="VJ161" s="9"/>
      <c r="VK161" s="9"/>
      <c r="VL161" s="9"/>
      <c r="VM161" s="9"/>
      <c r="VN161" s="9"/>
      <c r="VO161" s="9"/>
      <c r="VP161" s="9"/>
      <c r="VQ161" s="9"/>
      <c r="VR161" s="9"/>
      <c r="VS161" s="9"/>
      <c r="VT161" s="9"/>
      <c r="VU161" s="9"/>
      <c r="VV161" s="9"/>
      <c r="VW161" s="9"/>
      <c r="VX161" s="9"/>
      <c r="VY161" s="9"/>
      <c r="VZ161" s="9"/>
      <c r="WA161" s="9"/>
      <c r="WB161" s="9"/>
      <c r="WC161" s="9"/>
      <c r="WD161" s="9"/>
      <c r="WE161" s="9"/>
      <c r="WF161" s="9"/>
      <c r="WG161" s="9"/>
      <c r="WH161" s="9"/>
      <c r="WI161" s="9"/>
      <c r="WJ161" s="9"/>
      <c r="WK161" s="9"/>
      <c r="WL161" s="9"/>
      <c r="WM161" s="9"/>
      <c r="WN161" s="9"/>
      <c r="WO161" s="9"/>
      <c r="WP161" s="9"/>
      <c r="WQ161" s="9"/>
      <c r="WR161" s="9"/>
      <c r="WS161" s="9"/>
      <c r="WT161" s="9"/>
      <c r="WU161" s="9"/>
      <c r="WV161" s="9"/>
      <c r="WW161" s="9"/>
      <c r="WX161" s="9"/>
      <c r="WY161" s="9"/>
      <c r="WZ161" s="9"/>
      <c r="XA161" s="9"/>
      <c r="XB161" s="9"/>
      <c r="XC161" s="9"/>
      <c r="XD161" s="9"/>
      <c r="XE161" s="9"/>
      <c r="XF161" s="9"/>
      <c r="XG161" s="9"/>
      <c r="XH161" s="9"/>
      <c r="XI161" s="9"/>
      <c r="XJ161" s="9"/>
      <c r="XK161" s="9"/>
      <c r="XL161" s="9"/>
      <c r="XM161" s="9"/>
      <c r="XN161" s="9"/>
      <c r="XO161" s="9"/>
      <c r="XP161" s="9"/>
      <c r="XQ161" s="9"/>
      <c r="XR161" s="9"/>
      <c r="XS161" s="9"/>
      <c r="XT161" s="9"/>
      <c r="XU161" s="9"/>
      <c r="XV161" s="9"/>
      <c r="XW161" s="9"/>
      <c r="XX161" s="9"/>
      <c r="XY161" s="9"/>
      <c r="XZ161" s="9"/>
      <c r="YA161" s="9"/>
      <c r="YB161" s="9"/>
      <c r="YC161" s="9"/>
      <c r="YD161" s="9"/>
      <c r="YE161" s="9"/>
      <c r="YF161" s="9"/>
      <c r="YG161" s="9"/>
      <c r="YH161" s="9"/>
      <c r="YI161" s="9"/>
      <c r="YJ161" s="9"/>
      <c r="YK161" s="9"/>
      <c r="YL161" s="9"/>
      <c r="YM161" s="9"/>
      <c r="YN161" s="9"/>
      <c r="YO161" s="9"/>
      <c r="YP161" s="9"/>
      <c r="YQ161" s="9"/>
      <c r="YR161" s="9"/>
      <c r="YS161" s="9"/>
      <c r="YT161" s="9"/>
      <c r="YU161" s="9"/>
      <c r="YV161" s="9"/>
      <c r="YW161" s="9"/>
      <c r="YX161" s="9"/>
      <c r="YY161" s="9"/>
      <c r="YZ161" s="9"/>
      <c r="ZA161" s="9"/>
      <c r="ZB161" s="9"/>
      <c r="ZC161" s="9"/>
      <c r="ZD161" s="9"/>
      <c r="ZE161" s="9"/>
      <c r="ZF161" s="9"/>
      <c r="ZG161" s="9"/>
      <c r="ZH161" s="9"/>
      <c r="ZI161" s="9"/>
      <c r="ZJ161" s="9"/>
      <c r="ZK161" s="9"/>
      <c r="ZL161" s="9"/>
      <c r="ZM161" s="9"/>
      <c r="ZN161" s="9"/>
      <c r="ZO161" s="9"/>
      <c r="ZP161" s="9"/>
      <c r="ZQ161" s="9"/>
      <c r="ZR161" s="9"/>
      <c r="ZS161" s="9"/>
      <c r="ZT161" s="9"/>
      <c r="ZU161" s="9"/>
      <c r="ZV161" s="9"/>
      <c r="ZW161" s="9"/>
      <c r="ZX161" s="9"/>
      <c r="ZY161" s="9"/>
      <c r="ZZ161" s="9"/>
      <c r="AAA161" s="9"/>
      <c r="AAB161" s="9"/>
      <c r="AAC161" s="9"/>
      <c r="AAD161" s="9"/>
      <c r="AAE161" s="9"/>
      <c r="AAF161" s="9"/>
      <c r="AAG161" s="9"/>
      <c r="AAH161" s="9"/>
      <c r="AAI161" s="9"/>
      <c r="AAJ161" s="9"/>
      <c r="AAK161" s="9"/>
      <c r="AAL161" s="9"/>
      <c r="AAM161" s="9"/>
      <c r="AAN161" s="9"/>
      <c r="AAO161" s="9"/>
      <c r="AAP161" s="9"/>
      <c r="AAQ161" s="9"/>
      <c r="AAR161" s="9"/>
      <c r="AAS161" s="9"/>
      <c r="AAT161" s="9"/>
      <c r="AAU161" s="9"/>
      <c r="AAV161" s="9"/>
      <c r="AAW161" s="9"/>
      <c r="AAX161" s="9"/>
      <c r="AAY161" s="9"/>
      <c r="AAZ161" s="9"/>
      <c r="ABA161" s="9"/>
      <c r="ABB161" s="9"/>
      <c r="ABC161" s="9"/>
      <c r="ABD161" s="9"/>
      <c r="ABE161" s="9"/>
      <c r="ABF161" s="9"/>
      <c r="ABG161" s="9"/>
      <c r="ABH161" s="9"/>
      <c r="ABI161" s="9"/>
      <c r="ABJ161" s="9"/>
      <c r="ABK161" s="9"/>
      <c r="ABL161" s="9"/>
      <c r="ABM161" s="9"/>
      <c r="ABN161" s="9"/>
      <c r="ABO161" s="9"/>
      <c r="ABP161" s="9"/>
      <c r="ABQ161" s="9"/>
      <c r="ABR161" s="9"/>
      <c r="ABS161" s="9"/>
      <c r="ABT161" s="9"/>
      <c r="ABU161" s="9"/>
      <c r="ABV161" s="9"/>
      <c r="ABW161" s="9"/>
      <c r="ABX161" s="9"/>
      <c r="ABY161" s="9"/>
      <c r="ABZ161" s="9"/>
      <c r="ACA161" s="9"/>
      <c r="ACB161" s="9"/>
      <c r="ACC161" s="9"/>
      <c r="ACD161" s="9"/>
      <c r="ACE161" s="9"/>
      <c r="ACF161" s="9"/>
      <c r="ACG161" s="9"/>
      <c r="ACH161" s="9"/>
      <c r="ACI161" s="9"/>
      <c r="ACJ161" s="9"/>
      <c r="ACK161" s="9"/>
      <c r="ACL161" s="9"/>
      <c r="ACM161" s="9"/>
      <c r="ACN161" s="9"/>
      <c r="ACO161" s="9"/>
      <c r="ACP161" s="9"/>
      <c r="ACQ161" s="9"/>
      <c r="ACR161" s="9"/>
      <c r="ACS161" s="9"/>
      <c r="ACT161" s="9"/>
      <c r="ACU161" s="9"/>
      <c r="ACV161" s="9"/>
      <c r="ACW161" s="9"/>
      <c r="ACX161" s="9"/>
      <c r="ACY161" s="9"/>
      <c r="ACZ161" s="9"/>
      <c r="ADA161" s="9"/>
      <c r="ADB161" s="9"/>
      <c r="ADC161" s="9"/>
      <c r="ADD161" s="9"/>
      <c r="ADE161" s="9"/>
      <c r="ADF161" s="9"/>
      <c r="ADG161" s="9"/>
      <c r="ADH161" s="9"/>
      <c r="ADI161" s="9"/>
      <c r="ADJ161" s="9"/>
      <c r="ADK161" s="9"/>
      <c r="ADL161" s="9"/>
      <c r="ADM161" s="9"/>
      <c r="ADN161" s="9"/>
      <c r="ADO161" s="9"/>
      <c r="ADP161" s="9"/>
      <c r="ADQ161" s="9"/>
      <c r="ADR161" s="9"/>
      <c r="ADS161" s="9"/>
      <c r="ADT161" s="9"/>
      <c r="ADU161" s="9"/>
      <c r="ADV161" s="9"/>
      <c r="ADW161" s="9"/>
      <c r="ADX161" s="9"/>
      <c r="ADY161" s="9"/>
      <c r="ADZ161" s="9"/>
      <c r="AEA161" s="9"/>
      <c r="AEB161" s="9"/>
      <c r="AEC161" s="9"/>
      <c r="AED161" s="9"/>
      <c r="AEE161" s="9"/>
      <c r="AEF161" s="9"/>
      <c r="AEG161" s="9"/>
      <c r="AEH161" s="9"/>
      <c r="AEI161" s="9"/>
      <c r="AEJ161" s="9"/>
      <c r="AEK161" s="9"/>
      <c r="AEL161" s="9"/>
      <c r="AEM161" s="9"/>
      <c r="AEN161" s="9"/>
      <c r="AEO161" s="9"/>
      <c r="AEP161" s="9"/>
      <c r="AEQ161" s="9"/>
      <c r="AER161" s="9"/>
      <c r="AES161" s="9"/>
      <c r="AET161" s="9"/>
      <c r="AEU161" s="9"/>
      <c r="AEV161" s="9"/>
      <c r="AEW161" s="9"/>
      <c r="AEX161" s="9"/>
      <c r="AEY161" s="9"/>
      <c r="AEZ161" s="9"/>
      <c r="AFA161" s="9"/>
      <c r="AFB161" s="9"/>
      <c r="AFC161" s="9"/>
      <c r="AFD161" s="9"/>
      <c r="AFE161" s="9"/>
      <c r="AFF161" s="9"/>
      <c r="AFG161" s="9"/>
      <c r="AFH161" s="9"/>
      <c r="AFI161" s="9"/>
      <c r="AFJ161" s="9"/>
      <c r="AFK161" s="9"/>
      <c r="AFL161" s="9"/>
      <c r="AFM161" s="9"/>
      <c r="AFN161" s="9"/>
      <c r="AFO161" s="9"/>
      <c r="AFP161" s="9"/>
      <c r="AFQ161" s="9"/>
      <c r="AFR161" s="9"/>
      <c r="AFS161" s="9"/>
      <c r="AFT161" s="9"/>
      <c r="AFU161" s="9"/>
      <c r="AFV161" s="9"/>
      <c r="AFW161" s="9"/>
      <c r="AFX161" s="9"/>
      <c r="AFY161" s="9"/>
      <c r="AFZ161" s="9"/>
      <c r="AGA161" s="9"/>
      <c r="AGB161" s="9"/>
      <c r="AGC161" s="9"/>
      <c r="AGD161" s="9"/>
      <c r="AGE161" s="9"/>
      <c r="AGF161" s="9"/>
      <c r="AGG161" s="9"/>
      <c r="AGH161" s="9"/>
      <c r="AGI161" s="9"/>
      <c r="AGJ161" s="9"/>
      <c r="AGK161" s="9"/>
      <c r="AGL161" s="9"/>
      <c r="AGM161" s="9"/>
      <c r="AGN161" s="9"/>
      <c r="AGO161" s="9"/>
      <c r="AGP161" s="9"/>
      <c r="AGQ161" s="9"/>
      <c r="AGR161" s="9"/>
      <c r="AGS161" s="9"/>
      <c r="AGT161" s="9"/>
      <c r="AGU161" s="9"/>
      <c r="AGV161" s="9"/>
      <c r="AGW161" s="9"/>
      <c r="AGX161" s="9"/>
      <c r="AGY161" s="9"/>
      <c r="AGZ161" s="9"/>
      <c r="AHA161" s="9"/>
      <c r="AHB161" s="9"/>
      <c r="AHC161" s="9"/>
      <c r="AHD161" s="9"/>
      <c r="AHE161" s="9"/>
      <c r="AHF161" s="9"/>
      <c r="AHG161" s="9"/>
      <c r="AHH161" s="9"/>
      <c r="AHI161" s="9"/>
      <c r="AHJ161" s="9"/>
      <c r="AHK161" s="9"/>
      <c r="AHL161" s="9"/>
      <c r="AHM161" s="9"/>
      <c r="AHN161" s="9"/>
      <c r="AHO161" s="9"/>
      <c r="AHP161" s="9"/>
      <c r="AHQ161" s="9"/>
      <c r="AHR161" s="9"/>
      <c r="AHS161" s="9"/>
      <c r="AHT161" s="9"/>
      <c r="AHU161" s="9"/>
      <c r="AHV161" s="9"/>
      <c r="AHW161" s="9"/>
      <c r="AHX161" s="9"/>
      <c r="AHY161" s="9"/>
      <c r="AHZ161" s="9"/>
      <c r="AIA161" s="9"/>
      <c r="AIB161" s="9"/>
      <c r="AIC161" s="9"/>
      <c r="AID161" s="9"/>
      <c r="AIE161" s="9"/>
      <c r="AIF161" s="9"/>
      <c r="AIG161" s="9"/>
      <c r="AIH161" s="9"/>
      <c r="AII161" s="9"/>
      <c r="AIJ161" s="9"/>
      <c r="AIK161" s="9"/>
      <c r="AIL161" s="9"/>
      <c r="AIM161" s="9"/>
      <c r="AIN161" s="9"/>
      <c r="AIO161" s="9"/>
      <c r="AIP161" s="9"/>
      <c r="AIQ161" s="9"/>
      <c r="AIR161" s="9"/>
      <c r="AIS161" s="9"/>
      <c r="AIT161" s="9"/>
      <c r="AIU161" s="9"/>
      <c r="AIV161" s="9"/>
      <c r="AIW161" s="9"/>
      <c r="AIX161" s="9"/>
      <c r="AIY161" s="9"/>
      <c r="AIZ161" s="9"/>
      <c r="AJA161" s="9"/>
      <c r="AJB161" s="9"/>
      <c r="AJC161" s="9"/>
      <c r="AJD161" s="9"/>
      <c r="AJE161" s="9"/>
      <c r="AJF161" s="9"/>
      <c r="AJG161" s="9"/>
      <c r="AJH161" s="9"/>
      <c r="AJI161" s="9"/>
      <c r="AJJ161" s="9"/>
      <c r="AJK161" s="9"/>
      <c r="AJL161" s="9"/>
      <c r="AJM161" s="9"/>
      <c r="AJN161" s="9"/>
      <c r="AJO161" s="9"/>
      <c r="AJP161" s="9"/>
      <c r="AJQ161" s="9"/>
      <c r="AJR161" s="9"/>
      <c r="AJS161" s="9"/>
      <c r="AJT161" s="9"/>
      <c r="AJU161" s="9"/>
      <c r="AJV161" s="9"/>
      <c r="AJW161" s="9"/>
      <c r="AJX161" s="9"/>
      <c r="AJY161" s="9"/>
      <c r="AJZ161" s="9"/>
      <c r="AKA161" s="9"/>
      <c r="AKB161" s="9"/>
      <c r="AKC161" s="9"/>
      <c r="AKD161" s="9"/>
      <c r="AKE161" s="9"/>
      <c r="AKF161" s="9"/>
      <c r="AKG161" s="9"/>
      <c r="AKH161" s="9"/>
      <c r="AKI161" s="9"/>
      <c r="AKJ161" s="9"/>
      <c r="AKK161" s="9"/>
      <c r="AKL161" s="9"/>
      <c r="AKM161" s="9"/>
      <c r="AKN161" s="9"/>
      <c r="AKO161" s="9"/>
      <c r="AKP161" s="9"/>
      <c r="AKQ161" s="9"/>
      <c r="AKR161" s="9"/>
      <c r="AKS161" s="9"/>
      <c r="AKT161" s="9"/>
      <c r="AKU161" s="9"/>
      <c r="AKV161" s="9"/>
      <c r="AKW161" s="9"/>
      <c r="AKX161" s="9"/>
      <c r="AKY161" s="9"/>
      <c r="AKZ161" s="9"/>
      <c r="ALA161" s="9"/>
      <c r="ALB161" s="9"/>
      <c r="ALC161" s="9"/>
      <c r="ALD161" s="9"/>
      <c r="ALE161" s="9"/>
      <c r="ALF161" s="9"/>
      <c r="ALG161" s="9"/>
      <c r="ALH161" s="9"/>
      <c r="ALI161" s="9"/>
      <c r="ALJ161" s="9"/>
      <c r="ALK161" s="9"/>
      <c r="ALL161" s="9"/>
      <c r="ALM161" s="9"/>
      <c r="ALN161" s="9"/>
      <c r="ALO161" s="9"/>
      <c r="ALP161" s="9"/>
      <c r="ALQ161" s="9"/>
      <c r="ALR161" s="9"/>
      <c r="ALS161" s="9"/>
      <c r="ALT161" s="9"/>
      <c r="ALU161" s="9"/>
      <c r="ALV161" s="9"/>
      <c r="ALW161" s="9"/>
      <c r="ALX161" s="9"/>
      <c r="ALY161" s="9"/>
      <c r="ALZ161" s="9"/>
      <c r="AMA161" s="9"/>
      <c r="AMB161" s="9"/>
      <c r="AMC161" s="9"/>
      <c r="AMD161" s="9"/>
      <c r="AME161" s="9"/>
      <c r="AMF161" s="9"/>
      <c r="AMG161" s="9"/>
      <c r="AMH161" s="9"/>
      <c r="AMI161" s="9"/>
      <c r="AMJ161" s="9"/>
      <c r="AMK161" s="9"/>
      <c r="AML161" s="9"/>
      <c r="AMM161" s="9"/>
      <c r="AMN161" s="9"/>
      <c r="AMO161" s="9"/>
    </row>
    <row r="162" spans="1:1029" x14ac:dyDescent="0.2">
      <c r="A162" s="3" t="str">
        <f t="shared" si="699"/>
        <v>cxcr4_human__wt</v>
      </c>
      <c r="B162" s="3" t="s">
        <v>1172</v>
      </c>
      <c r="C162" s="3" t="s">
        <v>100</v>
      </c>
      <c r="D162" s="3" t="str">
        <f>IFERROR(MID(VLOOKUP($B162,Seqs!$A:$B,2,0),E162,1),"")</f>
        <v>R</v>
      </c>
      <c r="E162" s="3">
        <v>30</v>
      </c>
      <c r="F162" s="3" t="str">
        <f>IFERROR(MID(VLOOKUP($B162,Seqs!$A:$B,2,0),G162,1),"")</f>
        <v>Q</v>
      </c>
      <c r="G162" s="3">
        <v>66</v>
      </c>
      <c r="H162" s="3" t="str">
        <f>IFERROR(MID(VLOOKUP($B162,Seqs!$A:$B,2,0),I162,1),"")</f>
        <v>K</v>
      </c>
      <c r="I162" s="23">
        <v>67</v>
      </c>
      <c r="J162" s="3" t="str">
        <f>IFERROR(MID(VLOOKUP($B162,Seqs!$A:$B,2,0),K162,1),"")</f>
        <v>R</v>
      </c>
      <c r="K162" s="23">
        <v>70</v>
      </c>
      <c r="L162" s="3" t="str">
        <f>IFERROR(MID(VLOOKUP($B162,Seqs!$A:$B,2,0),M162,1),"")</f>
        <v>S</v>
      </c>
      <c r="M162" s="3">
        <v>71</v>
      </c>
      <c r="N162" s="3" t="str">
        <f>IFERROR(MID(VLOOKUP($B162,Seqs!$A:$B,2,0),O162,1),"")</f>
        <v>A</v>
      </c>
      <c r="O162" s="3">
        <v>100</v>
      </c>
      <c r="P162" s="3" t="str">
        <f>IFERROR(MID(VLOOKUP($B162,Seqs!$A:$B,2,0),Q162,1),"")</f>
        <v>N</v>
      </c>
      <c r="Q162" s="3">
        <v>101</v>
      </c>
      <c r="R162" s="3" t="str">
        <f>IFERROR(MID(VLOOKUP($B162,Seqs!$A:$B,2,0),S162,1),"")</f>
        <v>F</v>
      </c>
      <c r="S162" s="3">
        <v>104</v>
      </c>
      <c r="T162" s="3" t="str">
        <f>IFERROR(MID(VLOOKUP($B162,Seqs!$A:$B,2,0),U162,1),"")</f>
        <v>G</v>
      </c>
      <c r="U162" s="3">
        <v>105</v>
      </c>
      <c r="V162" s="3" t="str">
        <f>IFERROR(MID(VLOOKUP($B162,Seqs!$A:$B,2,0),W162,1),"")</f>
        <v>H</v>
      </c>
      <c r="W162" s="3">
        <v>140</v>
      </c>
      <c r="X162" s="3" t="str">
        <f>IFERROR(MID(VLOOKUP($B162,Seqs!$A:$B,2,0),Y162,1),"")</f>
        <v>A</v>
      </c>
      <c r="Y162" s="3">
        <v>141</v>
      </c>
      <c r="Z162" s="3" t="str">
        <f>IFERROR(MID(VLOOKUP($B162,Seqs!$A:$B,2,0),AA162,1),"")</f>
        <v>R</v>
      </c>
      <c r="AA162" s="3">
        <v>148</v>
      </c>
      <c r="AB162" s="3" t="str">
        <f>IFERROR(MID(VLOOKUP($B162,Seqs!$A:$B,2,0),AC162,1),"")</f>
        <v>K</v>
      </c>
      <c r="AC162" s="9">
        <v>149</v>
      </c>
      <c r="AD162" s="3" t="str">
        <f>IFERROR(MID(VLOOKUP($B162,Seqs!$A:$B,2,0),AE162,1),"")</f>
        <v>A</v>
      </c>
      <c r="AE162" s="3">
        <v>175</v>
      </c>
      <c r="AF162" s="3" t="str">
        <f>IFERROR(MID(VLOOKUP($B162,Seqs!$A:$B,2,0),AG162,1),"")</f>
        <v>C</v>
      </c>
      <c r="AG162" s="3">
        <v>186</v>
      </c>
      <c r="AH162" s="3" t="str">
        <f>IFERROR(MID(VLOOKUP($B162,Seqs!$A:$B,2,0),AI162,1),"")</f>
        <v>R</v>
      </c>
      <c r="AI162" s="3">
        <v>188</v>
      </c>
      <c r="AJ162" s="3" t="str">
        <f>IFERROR(MID(VLOOKUP($B162,Seqs!$A:$B,2,0),AK162,1),"")</f>
        <v>D</v>
      </c>
      <c r="AK162" s="3">
        <v>193</v>
      </c>
      <c r="AL162" s="3" t="str">
        <f>IFERROR(MID(VLOOKUP($B162,Seqs!$A:$B,2,0),AM162,1),"")</f>
        <v>S</v>
      </c>
      <c r="AM162" s="3">
        <v>229</v>
      </c>
      <c r="AN162" s="3" t="str">
        <f>IFERROR(MID(VLOOKUP($B162,Seqs!$A:$B,2,0),AO162,1),"")</f>
        <v>K</v>
      </c>
      <c r="AO162" s="3">
        <v>234</v>
      </c>
      <c r="AP162" s="3" t="str">
        <f>IFERROR(MID(VLOOKUP($B162,Seqs!$A:$B,2,0),AQ162,1),"")</f>
        <v>E</v>
      </c>
      <c r="AQ162" s="3">
        <v>268</v>
      </c>
      <c r="AR162" s="3" t="str">
        <f>IFERROR(MID(VLOOKUP($B162,Seqs!$A:$B,2,0),AS162,1),"")</f>
        <v>G</v>
      </c>
      <c r="AS162" s="3">
        <v>273</v>
      </c>
      <c r="AT162" s="3" t="str">
        <f>IFERROR(MID(VLOOKUP($B162,Seqs!$A:$B,2,0),AU162,1),"")</f>
        <v>L</v>
      </c>
      <c r="AU162" s="3">
        <v>305</v>
      </c>
      <c r="AV162" s="3" t="str">
        <f>IFERROR(MID(VLOOKUP($B162,Seqs!$A:$B,2,0),AW162,1),"")</f>
        <v>G</v>
      </c>
      <c r="AW162" s="3">
        <v>306</v>
      </c>
      <c r="AX162" s="3" t="str">
        <f>IFERROR(MID(VLOOKUP($B162,Seqs!$A:$B,2,0),AY162,1),"")</f>
        <v>T</v>
      </c>
      <c r="AY162" s="3">
        <v>318</v>
      </c>
      <c r="AZ162" s="77" t="str">
        <f>VLOOKUP(B162,Classification!A:D,2,0)</f>
        <v>A</v>
      </c>
      <c r="BA162" s="94" t="str">
        <f>VLOOKUP(B162,Classification!A:D,4,0)</f>
        <v>Chemokine</v>
      </c>
      <c r="BB162" s="27" t="b">
        <f t="shared" si="700"/>
        <v>1</v>
      </c>
      <c r="BC162" s="23">
        <f t="shared" ref="BC162:BC169" si="841">_xlfn.AGGREGATE(9,6,CH162:CS162)-_xlfn.AGGREGATE(9,6,BV162:CG162)+12</f>
        <v>267</v>
      </c>
      <c r="BD162" s="34" t="s">
        <v>23</v>
      </c>
      <c r="BE162" s="3" t="s">
        <v>23</v>
      </c>
      <c r="BF162" s="119" t="s">
        <v>23</v>
      </c>
      <c r="BG162" s="49" t="s">
        <v>1378</v>
      </c>
      <c r="BH162" s="49" t="s">
        <v>1383</v>
      </c>
      <c r="BI162" s="1"/>
      <c r="BJ162" s="70" t="s">
        <v>1293</v>
      </c>
      <c r="BK162" s="57" t="s">
        <v>1293</v>
      </c>
      <c r="BL162" s="57" t="s">
        <v>1293</v>
      </c>
      <c r="BM162" s="57" t="s">
        <v>1293</v>
      </c>
      <c r="BN162" s="57" t="s">
        <v>1293</v>
      </c>
      <c r="BO162" s="57" t="s">
        <v>1293</v>
      </c>
      <c r="BP162" s="57" t="s">
        <v>1293</v>
      </c>
      <c r="BQ162" s="57" t="s">
        <v>1293</v>
      </c>
      <c r="BR162" s="57" t="s">
        <v>1293</v>
      </c>
      <c r="BS162" s="57" t="s">
        <v>1293</v>
      </c>
      <c r="BT162" s="57" t="s">
        <v>1293</v>
      </c>
      <c r="BU162" s="57" t="s">
        <v>1293</v>
      </c>
      <c r="BV162" s="70">
        <f t="shared" ref="BV162:BV169" si="842">E162</f>
        <v>30</v>
      </c>
      <c r="BW162" s="71">
        <f t="shared" ref="BW162:BW169" si="843">I162</f>
        <v>67</v>
      </c>
      <c r="BX162" s="72">
        <f t="shared" ref="BX162:BX169" si="844">M162</f>
        <v>71</v>
      </c>
      <c r="BY162" s="71">
        <f t="shared" ref="BY162:BY169" si="845">Q162</f>
        <v>101</v>
      </c>
      <c r="BZ162" s="72">
        <f t="shared" ref="BZ162:BZ169" si="846">U162</f>
        <v>105</v>
      </c>
      <c r="CA162" s="71">
        <f t="shared" ref="CA162:CA169" si="847">Y162</f>
        <v>141</v>
      </c>
      <c r="CB162" s="72">
        <f t="shared" ref="CB162:CB169" si="848">AC162</f>
        <v>149</v>
      </c>
      <c r="CC162" s="71">
        <f t="shared" ref="CC162:CC169" si="849">AG162</f>
        <v>186</v>
      </c>
      <c r="CD162" s="72">
        <f t="shared" ref="CD162:CD169" si="850">AK162</f>
        <v>193</v>
      </c>
      <c r="CE162" s="71">
        <f t="shared" ref="CE162:CE169" si="851">AO162</f>
        <v>234</v>
      </c>
      <c r="CF162" s="72">
        <f t="shared" ref="CF162:CF169" si="852">AS162</f>
        <v>273</v>
      </c>
      <c r="CG162" s="71">
        <f t="shared" ref="CG162:CG169" si="853">AW162</f>
        <v>306</v>
      </c>
      <c r="CH162" s="70">
        <f t="shared" ref="CH162:CH169" si="854">G162</f>
        <v>66</v>
      </c>
      <c r="CI162" s="71">
        <f t="shared" ref="CI162:CI169" si="855">K162</f>
        <v>70</v>
      </c>
      <c r="CJ162" s="72">
        <f t="shared" ref="CJ162:CJ169" si="856">O162</f>
        <v>100</v>
      </c>
      <c r="CK162" s="72">
        <f t="shared" ref="CK162:CK169" si="857">S162</f>
        <v>104</v>
      </c>
      <c r="CL162" s="72">
        <f t="shared" ref="CL162:CL169" si="858">W162</f>
        <v>140</v>
      </c>
      <c r="CM162" s="72">
        <f t="shared" ref="CM162:CM169" si="859">AA162</f>
        <v>148</v>
      </c>
      <c r="CN162" s="72">
        <f t="shared" ref="CN162:CN169" si="860">AE162</f>
        <v>175</v>
      </c>
      <c r="CO162" s="72">
        <f t="shared" ref="CO162:CO169" si="861">AI162</f>
        <v>188</v>
      </c>
      <c r="CP162" s="72">
        <f t="shared" ref="CP162:CP169" si="862">AM162</f>
        <v>229</v>
      </c>
      <c r="CQ162" s="72">
        <f t="shared" ref="CQ162:CQ169" si="863">AQ162</f>
        <v>268</v>
      </c>
      <c r="CR162" s="72">
        <f t="shared" ref="CR162:CR169" si="864">AU162</f>
        <v>305</v>
      </c>
      <c r="CS162" s="72">
        <f t="shared" ref="CS162:CS169" si="865">AY162</f>
        <v>318</v>
      </c>
      <c r="CT162" s="23">
        <f t="shared" ref="CT162:CT169" si="866">M162-K162</f>
        <v>1</v>
      </c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  <c r="ADW162" s="1"/>
      <c r="ADX162" s="1"/>
      <c r="ADY162" s="1"/>
      <c r="ADZ162" s="1"/>
      <c r="AEA162" s="1"/>
      <c r="AEB162" s="1"/>
      <c r="AEC162" s="1"/>
      <c r="AED162" s="1"/>
      <c r="AEE162" s="1"/>
      <c r="AEF162" s="1"/>
      <c r="AEG162" s="1"/>
      <c r="AEH162" s="1"/>
      <c r="AEI162" s="1"/>
      <c r="AEJ162" s="1"/>
      <c r="AEK162" s="1"/>
      <c r="AEL162" s="1"/>
      <c r="AEM162" s="1"/>
      <c r="AEN162" s="1"/>
      <c r="AEO162" s="1"/>
      <c r="AEP162" s="1"/>
      <c r="AEQ162" s="1"/>
      <c r="AER162" s="1"/>
      <c r="AES162" s="1"/>
      <c r="AET162" s="1"/>
      <c r="AEU162" s="1"/>
      <c r="AEV162" s="1"/>
      <c r="AEW162" s="1"/>
      <c r="AEX162" s="1"/>
      <c r="AEY162" s="1"/>
      <c r="AEZ162" s="1"/>
      <c r="AFA162" s="1"/>
      <c r="AFB162" s="1"/>
      <c r="AFC162" s="1"/>
      <c r="AFD162" s="1"/>
      <c r="AFE162" s="1"/>
      <c r="AFF162" s="1"/>
      <c r="AFG162" s="1"/>
      <c r="AFH162" s="1"/>
      <c r="AFI162" s="1"/>
      <c r="AFJ162" s="1"/>
      <c r="AFK162" s="1"/>
      <c r="AFL162" s="1"/>
      <c r="AFM162" s="1"/>
      <c r="AFN162" s="1"/>
      <c r="AFO162" s="1"/>
      <c r="AFP162" s="1"/>
      <c r="AFQ162" s="1"/>
      <c r="AFR162" s="1"/>
      <c r="AFS162" s="1"/>
      <c r="AFT162" s="1"/>
      <c r="AFU162" s="1"/>
      <c r="AFV162" s="1"/>
      <c r="AFW162" s="1"/>
      <c r="AFX162" s="1"/>
      <c r="AFY162" s="1"/>
      <c r="AFZ162" s="1"/>
      <c r="AGA162" s="1"/>
      <c r="AGB162" s="1"/>
      <c r="AGC162" s="1"/>
      <c r="AGD162" s="1"/>
      <c r="AGE162" s="1"/>
      <c r="AGF162" s="1"/>
      <c r="AGG162" s="1"/>
      <c r="AGH162" s="1"/>
      <c r="AGI162" s="1"/>
      <c r="AGJ162" s="1"/>
      <c r="AGK162" s="1"/>
      <c r="AGL162" s="1"/>
      <c r="AGM162" s="1"/>
      <c r="AGN162" s="1"/>
      <c r="AGO162" s="1"/>
      <c r="AGP162" s="1"/>
      <c r="AGQ162" s="1"/>
      <c r="AGR162" s="1"/>
      <c r="AGS162" s="1"/>
      <c r="AGT162" s="1"/>
      <c r="AGU162" s="1"/>
      <c r="AGV162" s="1"/>
      <c r="AGW162" s="1"/>
      <c r="AGX162" s="1"/>
      <c r="AGY162" s="1"/>
      <c r="AGZ162" s="1"/>
      <c r="AHA162" s="1"/>
      <c r="AHB162" s="1"/>
      <c r="AHC162" s="1"/>
      <c r="AHD162" s="1"/>
      <c r="AHE162" s="1"/>
      <c r="AHF162" s="1"/>
      <c r="AHG162" s="1"/>
      <c r="AHH162" s="1"/>
      <c r="AHI162" s="1"/>
      <c r="AHJ162" s="1"/>
      <c r="AHK162" s="1"/>
      <c r="AHL162" s="1"/>
      <c r="AHM162" s="1"/>
      <c r="AHN162" s="1"/>
      <c r="AHO162" s="1"/>
      <c r="AHP162" s="1"/>
      <c r="AHQ162" s="1"/>
      <c r="AHR162" s="1"/>
      <c r="AHS162" s="1"/>
      <c r="AHT162" s="1"/>
      <c r="AHU162" s="1"/>
      <c r="AHV162" s="1"/>
      <c r="AHW162" s="1"/>
      <c r="AHX162" s="1"/>
      <c r="AHY162" s="1"/>
      <c r="AHZ162" s="1"/>
      <c r="AIA162" s="1"/>
      <c r="AIB162" s="1"/>
      <c r="AIC162" s="1"/>
      <c r="AID162" s="1"/>
      <c r="AIE162" s="1"/>
      <c r="AIF162" s="1"/>
      <c r="AIG162" s="1"/>
      <c r="AIH162" s="1"/>
      <c r="AII162" s="1"/>
      <c r="AIJ162" s="1"/>
      <c r="AIK162" s="1"/>
      <c r="AIL162" s="1"/>
      <c r="AIM162" s="1"/>
      <c r="AIN162" s="1"/>
      <c r="AIO162" s="1"/>
      <c r="AIP162" s="1"/>
      <c r="AIQ162" s="1"/>
      <c r="AIR162" s="1"/>
      <c r="AIS162" s="1"/>
      <c r="AIT162" s="1"/>
      <c r="AIU162" s="1"/>
      <c r="AIV162" s="1"/>
      <c r="AIW162" s="1"/>
      <c r="AIX162" s="1"/>
      <c r="AIY162" s="1"/>
      <c r="AIZ162" s="1"/>
      <c r="AJA162" s="1"/>
      <c r="AJB162" s="1"/>
      <c r="AJC162" s="1"/>
      <c r="AJD162" s="1"/>
      <c r="AJE162" s="1"/>
      <c r="AJF162" s="1"/>
      <c r="AJG162" s="1"/>
      <c r="AJH162" s="1"/>
      <c r="AJI162" s="1"/>
      <c r="AJJ162" s="1"/>
      <c r="AJK162" s="1"/>
      <c r="AJL162" s="1"/>
      <c r="AJM162" s="1"/>
      <c r="AJN162" s="1"/>
      <c r="AJO162" s="1"/>
      <c r="AJP162" s="1"/>
      <c r="AJQ162" s="1"/>
      <c r="AJR162" s="1"/>
      <c r="AJS162" s="1"/>
      <c r="AJT162" s="1"/>
      <c r="AJU162" s="1"/>
      <c r="AJV162" s="1"/>
      <c r="AJW162" s="1"/>
      <c r="AJX162" s="1"/>
      <c r="AJY162" s="1"/>
      <c r="AJZ162" s="1"/>
      <c r="AKA162" s="1"/>
      <c r="AKB162" s="1"/>
      <c r="AKC162" s="1"/>
      <c r="AKD162" s="1"/>
      <c r="AKE162" s="1"/>
      <c r="AKF162" s="1"/>
      <c r="AKG162" s="1"/>
      <c r="AKH162" s="1"/>
      <c r="AKI162" s="1"/>
      <c r="AKJ162" s="1"/>
      <c r="AKK162" s="1"/>
      <c r="AKL162" s="1"/>
      <c r="AKM162" s="1"/>
      <c r="AKN162" s="1"/>
      <c r="AKO162" s="1"/>
      <c r="AKP162" s="1"/>
      <c r="AKQ162" s="1"/>
      <c r="AKR162" s="1"/>
      <c r="AKS162" s="1"/>
      <c r="AKT162" s="1"/>
      <c r="AKU162" s="1"/>
      <c r="AKV162" s="1"/>
      <c r="AKW162" s="1"/>
      <c r="AKX162" s="1"/>
      <c r="AKY162" s="1"/>
      <c r="AKZ162" s="1"/>
      <c r="ALA162" s="1"/>
      <c r="ALB162" s="1"/>
      <c r="ALC162" s="1"/>
      <c r="ALD162" s="1"/>
      <c r="ALE162" s="1"/>
      <c r="ALF162" s="1"/>
      <c r="ALG162" s="1"/>
      <c r="ALH162" s="1"/>
      <c r="ALI162" s="1"/>
      <c r="ALJ162" s="1"/>
      <c r="ALK162" s="1"/>
      <c r="ALL162" s="1"/>
      <c r="ALM162" s="1"/>
      <c r="ALN162" s="1"/>
      <c r="ALO162" s="1"/>
      <c r="ALP162" s="1"/>
      <c r="ALQ162" s="1"/>
      <c r="ALR162" s="1"/>
      <c r="ALS162" s="1"/>
      <c r="ALT162" s="1"/>
      <c r="ALU162" s="1"/>
      <c r="ALV162" s="1"/>
      <c r="ALW162" s="1"/>
      <c r="ALX162" s="1"/>
      <c r="ALY162" s="1"/>
      <c r="ALZ162" s="1"/>
      <c r="AMA162" s="1"/>
      <c r="AMB162" s="1"/>
      <c r="AMC162" s="1"/>
      <c r="AMD162" s="1"/>
      <c r="AME162" s="1"/>
      <c r="AMF162" s="1"/>
      <c r="AMG162" s="1"/>
      <c r="AMH162" s="1"/>
      <c r="AMI162" s="1"/>
      <c r="AMJ162" s="1"/>
      <c r="AMK162" s="1"/>
      <c r="AML162" s="1"/>
      <c r="AMM162" s="1"/>
      <c r="AMN162" s="1"/>
      <c r="AMO162" s="1"/>
    </row>
    <row r="163" spans="1:1029" x14ac:dyDescent="0.2">
      <c r="A163" s="3" t="str">
        <f t="shared" si="699"/>
        <v>cxcr4_human_3ODU</v>
      </c>
      <c r="B163" s="3" t="s">
        <v>1172</v>
      </c>
      <c r="C163" s="3" t="s">
        <v>63</v>
      </c>
      <c r="D163" s="3" t="str">
        <f>IFERROR(MID(VLOOKUP($B163,Seqs!$A:$B,2,0),E163,1),"")</f>
        <v>A</v>
      </c>
      <c r="E163" s="3">
        <v>34</v>
      </c>
      <c r="F163" s="3" t="str">
        <f>IFERROR(MID(VLOOKUP($B163,Seqs!$A:$B,2,0),G163,1),"")</f>
        <v>Q</v>
      </c>
      <c r="G163" s="3">
        <v>66</v>
      </c>
      <c r="H163" s="3" t="str">
        <f>IFERROR(MID(VLOOKUP($B163,Seqs!$A:$B,2,0),I163,1),"")</f>
        <v/>
      </c>
      <c r="I163" s="23" t="s">
        <v>23</v>
      </c>
      <c r="J163" s="3" t="str">
        <f>IFERROR(MID(VLOOKUP($B163,Seqs!$A:$B,2,0),K163,1),"")</f>
        <v/>
      </c>
      <c r="K163" s="23" t="s">
        <v>23</v>
      </c>
      <c r="L163" s="3" t="str">
        <f>IFERROR(MID(VLOOKUP($B163,Seqs!$A:$B,2,0),M163,1),"")</f>
        <v>S</v>
      </c>
      <c r="M163" s="3">
        <v>71</v>
      </c>
      <c r="N163" s="3" t="str">
        <f>IFERROR(MID(VLOOKUP($B163,Seqs!$A:$B,2,0),O163,1),"")</f>
        <v>A</v>
      </c>
      <c r="O163" s="3">
        <v>100</v>
      </c>
      <c r="P163" s="3" t="str">
        <f>IFERROR(MID(VLOOKUP($B163,Seqs!$A:$B,2,0),Q163,1),"")</f>
        <v>N</v>
      </c>
      <c r="Q163" s="3">
        <v>101</v>
      </c>
      <c r="R163" s="3" t="str">
        <f>IFERROR(MID(VLOOKUP($B163,Seqs!$A:$B,2,0),S163,1),"")</f>
        <v>F</v>
      </c>
      <c r="S163" s="3">
        <v>104</v>
      </c>
      <c r="T163" s="3" t="str">
        <f>IFERROR(MID(VLOOKUP($B163,Seqs!$A:$B,2,0),U163,1),"")</f>
        <v>G</v>
      </c>
      <c r="U163" s="3">
        <v>105</v>
      </c>
      <c r="V163" s="3" t="str">
        <f>IFERROR(MID(VLOOKUP($B163,Seqs!$A:$B,2,0),W163,1),"")</f>
        <v>H</v>
      </c>
      <c r="W163" s="3">
        <v>140</v>
      </c>
      <c r="X163" s="3" t="str">
        <f>IFERROR(MID(VLOOKUP($B163,Seqs!$A:$B,2,0),Y163,1),"")</f>
        <v/>
      </c>
      <c r="Y163" s="3" t="s">
        <v>23</v>
      </c>
      <c r="Z163" s="3" t="str">
        <f>IFERROR(MID(VLOOKUP($B163,Seqs!$A:$B,2,0),AA163,1),"")</f>
        <v/>
      </c>
      <c r="AA163" s="3" t="s">
        <v>23</v>
      </c>
      <c r="AB163" s="3" t="str">
        <f>IFERROR(MID(VLOOKUP($B163,Seqs!$A:$B,2,0),AC163,1),"")</f>
        <v>S</v>
      </c>
      <c r="AC163" s="9">
        <v>144</v>
      </c>
      <c r="AD163" s="3" t="str">
        <f>IFERROR(MID(VLOOKUP($B163,Seqs!$A:$B,2,0),AE163,1),"")</f>
        <v>A</v>
      </c>
      <c r="AE163" s="3">
        <v>175</v>
      </c>
      <c r="AF163" s="3" t="str">
        <f>IFERROR(MID(VLOOKUP($B163,Seqs!$A:$B,2,0),AG163,1),"")</f>
        <v>C</v>
      </c>
      <c r="AG163" s="3">
        <v>186</v>
      </c>
      <c r="AH163" s="3" t="str">
        <f>IFERROR(MID(VLOOKUP($B163,Seqs!$A:$B,2,0),AI163,1),"")</f>
        <v>R</v>
      </c>
      <c r="AI163" s="3">
        <v>188</v>
      </c>
      <c r="AJ163" s="3" t="str">
        <f>IFERROR(MID(VLOOKUP($B163,Seqs!$A:$B,2,0),AK163,1),"")</f>
        <v>D</v>
      </c>
      <c r="AK163" s="3">
        <v>193</v>
      </c>
      <c r="AL163" s="3" t="str">
        <f>IFERROR(MID(VLOOKUP($B163,Seqs!$A:$B,2,0),AM163,1),"")</f>
        <v>K</v>
      </c>
      <c r="AM163" s="3">
        <v>225</v>
      </c>
      <c r="AN163" s="3" t="str">
        <f>IFERROR(MID(VLOOKUP($B163,Seqs!$A:$B,2,0),AO163,1),"")</f>
        <v>G</v>
      </c>
      <c r="AO163" s="3">
        <v>231</v>
      </c>
      <c r="AP163" s="3" t="str">
        <f>IFERROR(MID(VLOOKUP($B163,Seqs!$A:$B,2,0),AQ163,1),"")</f>
        <v>E</v>
      </c>
      <c r="AQ163" s="3">
        <v>268</v>
      </c>
      <c r="AR163" s="3" t="str">
        <f>IFERROR(MID(VLOOKUP($B163,Seqs!$A:$B,2,0),AS163,1),"")</f>
        <v>G</v>
      </c>
      <c r="AS163" s="3">
        <v>273</v>
      </c>
      <c r="AT163" s="3" t="str">
        <f>IFERROR(MID(VLOOKUP($B163,Seqs!$A:$B,2,0),AU163,1),"")</f>
        <v>I</v>
      </c>
      <c r="AU163" s="3">
        <v>300</v>
      </c>
      <c r="AV163" s="3" t="str">
        <f>IFERROR(MID(VLOOKUP($B163,Seqs!$A:$B,2,0),AW163,1),"")</f>
        <v/>
      </c>
      <c r="AW163" s="3" t="s">
        <v>23</v>
      </c>
      <c r="AX163" s="3" t="str">
        <f>IFERROR(MID(VLOOKUP($B163,Seqs!$A:$B,2,0),AY163,1),"")</f>
        <v/>
      </c>
      <c r="AY163" s="3" t="s">
        <v>23</v>
      </c>
      <c r="AZ163" s="77" t="str">
        <f>VLOOKUP(B163,Classification!A:D,2,0)</f>
        <v>A</v>
      </c>
      <c r="BA163" s="94" t="str">
        <f>VLOOKUP(B163,Classification!A:D,4,0)</f>
        <v>Chemokine</v>
      </c>
      <c r="BB163" s="27" t="b">
        <f t="shared" si="700"/>
        <v>1</v>
      </c>
      <c r="BC163" s="23">
        <f t="shared" si="841"/>
        <v>240</v>
      </c>
      <c r="BD163" s="2" t="s">
        <v>1382</v>
      </c>
      <c r="BE163" s="3" t="s">
        <v>1380</v>
      </c>
      <c r="BF163" s="119">
        <v>2.5</v>
      </c>
      <c r="BG163" s="49" t="s">
        <v>1383</v>
      </c>
      <c r="BH163" s="49" t="s">
        <v>1383</v>
      </c>
      <c r="BI163" s="1"/>
      <c r="BJ163" s="70" t="s">
        <v>1293</v>
      </c>
      <c r="BK163" s="57" t="s">
        <v>1293</v>
      </c>
      <c r="BL163" s="57" t="s">
        <v>1293</v>
      </c>
      <c r="BM163" s="57" t="s">
        <v>1293</v>
      </c>
      <c r="BN163" s="57" t="s">
        <v>1293</v>
      </c>
      <c r="BO163" s="57" t="s">
        <v>1293</v>
      </c>
      <c r="BP163" s="57" t="s">
        <v>1293</v>
      </c>
      <c r="BQ163" s="57" t="s">
        <v>1293</v>
      </c>
      <c r="BR163" s="57" t="s">
        <v>1293</v>
      </c>
      <c r="BS163" s="57" t="s">
        <v>1293</v>
      </c>
      <c r="BT163" s="57" t="s">
        <v>1293</v>
      </c>
      <c r="BU163" s="57" t="s">
        <v>1293</v>
      </c>
      <c r="BV163" s="70">
        <f t="shared" si="842"/>
        <v>34</v>
      </c>
      <c r="BW163" s="71" t="str">
        <f t="shared" si="843"/>
        <v>-</v>
      </c>
      <c r="BX163" s="72">
        <f t="shared" si="844"/>
        <v>71</v>
      </c>
      <c r="BY163" s="71">
        <f t="shared" si="845"/>
        <v>101</v>
      </c>
      <c r="BZ163" s="72">
        <f t="shared" si="846"/>
        <v>105</v>
      </c>
      <c r="CA163" s="71" t="str">
        <f t="shared" si="847"/>
        <v>-</v>
      </c>
      <c r="CB163" s="72">
        <f t="shared" si="848"/>
        <v>144</v>
      </c>
      <c r="CC163" s="71">
        <f t="shared" si="849"/>
        <v>186</v>
      </c>
      <c r="CD163" s="72">
        <f t="shared" si="850"/>
        <v>193</v>
      </c>
      <c r="CE163" s="71">
        <f t="shared" si="851"/>
        <v>231</v>
      </c>
      <c r="CF163" s="72">
        <f t="shared" si="852"/>
        <v>273</v>
      </c>
      <c r="CG163" s="71" t="str">
        <f t="shared" si="853"/>
        <v>-</v>
      </c>
      <c r="CH163" s="70">
        <f t="shared" si="854"/>
        <v>66</v>
      </c>
      <c r="CI163" s="71" t="str">
        <f t="shared" si="855"/>
        <v>-</v>
      </c>
      <c r="CJ163" s="72">
        <f t="shared" si="856"/>
        <v>100</v>
      </c>
      <c r="CK163" s="72">
        <f t="shared" si="857"/>
        <v>104</v>
      </c>
      <c r="CL163" s="72">
        <f t="shared" si="858"/>
        <v>140</v>
      </c>
      <c r="CM163" s="72" t="str">
        <f t="shared" si="859"/>
        <v>-</v>
      </c>
      <c r="CN163" s="72">
        <f t="shared" si="860"/>
        <v>175</v>
      </c>
      <c r="CO163" s="72">
        <f t="shared" si="861"/>
        <v>188</v>
      </c>
      <c r="CP163" s="72">
        <f t="shared" si="862"/>
        <v>225</v>
      </c>
      <c r="CQ163" s="72">
        <f t="shared" si="863"/>
        <v>268</v>
      </c>
      <c r="CR163" s="72">
        <f t="shared" si="864"/>
        <v>300</v>
      </c>
      <c r="CS163" s="72" t="str">
        <f t="shared" si="865"/>
        <v>-</v>
      </c>
      <c r="CT163" s="23" t="e">
        <f t="shared" si="866"/>
        <v>#VALUE!</v>
      </c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  <c r="ADW163" s="1"/>
      <c r="ADX163" s="1"/>
      <c r="ADY163" s="1"/>
      <c r="ADZ163" s="1"/>
      <c r="AEA163" s="1"/>
      <c r="AEB163" s="1"/>
      <c r="AEC163" s="1"/>
      <c r="AED163" s="1"/>
      <c r="AEE163" s="1"/>
      <c r="AEF163" s="1"/>
      <c r="AEG163" s="1"/>
      <c r="AEH163" s="1"/>
      <c r="AEI163" s="1"/>
      <c r="AEJ163" s="1"/>
      <c r="AEK163" s="1"/>
      <c r="AEL163" s="1"/>
      <c r="AEM163" s="1"/>
      <c r="AEN163" s="1"/>
      <c r="AEO163" s="1"/>
      <c r="AEP163" s="1"/>
      <c r="AEQ163" s="1"/>
      <c r="AER163" s="1"/>
      <c r="AES163" s="1"/>
      <c r="AET163" s="1"/>
      <c r="AEU163" s="1"/>
      <c r="AEV163" s="1"/>
      <c r="AEW163" s="1"/>
      <c r="AEX163" s="1"/>
      <c r="AEY163" s="1"/>
      <c r="AEZ163" s="1"/>
      <c r="AFA163" s="1"/>
      <c r="AFB163" s="1"/>
      <c r="AFC163" s="1"/>
      <c r="AFD163" s="1"/>
      <c r="AFE163" s="1"/>
      <c r="AFF163" s="1"/>
      <c r="AFG163" s="1"/>
      <c r="AFH163" s="1"/>
      <c r="AFI163" s="1"/>
      <c r="AFJ163" s="1"/>
      <c r="AFK163" s="1"/>
      <c r="AFL163" s="1"/>
      <c r="AFM163" s="1"/>
      <c r="AFN163" s="1"/>
      <c r="AFO163" s="1"/>
      <c r="AFP163" s="1"/>
      <c r="AFQ163" s="1"/>
      <c r="AFR163" s="1"/>
      <c r="AFS163" s="1"/>
      <c r="AFT163" s="1"/>
      <c r="AFU163" s="1"/>
      <c r="AFV163" s="1"/>
      <c r="AFW163" s="1"/>
      <c r="AFX163" s="1"/>
      <c r="AFY163" s="1"/>
      <c r="AFZ163" s="1"/>
      <c r="AGA163" s="1"/>
      <c r="AGB163" s="1"/>
      <c r="AGC163" s="1"/>
      <c r="AGD163" s="1"/>
      <c r="AGE163" s="1"/>
      <c r="AGF163" s="1"/>
      <c r="AGG163" s="1"/>
      <c r="AGH163" s="1"/>
      <c r="AGI163" s="1"/>
      <c r="AGJ163" s="1"/>
      <c r="AGK163" s="1"/>
      <c r="AGL163" s="1"/>
      <c r="AGM163" s="1"/>
      <c r="AGN163" s="1"/>
      <c r="AGO163" s="1"/>
      <c r="AGP163" s="1"/>
      <c r="AGQ163" s="1"/>
      <c r="AGR163" s="1"/>
      <c r="AGS163" s="1"/>
      <c r="AGT163" s="1"/>
      <c r="AGU163" s="1"/>
      <c r="AGV163" s="1"/>
      <c r="AGW163" s="1"/>
      <c r="AGX163" s="1"/>
      <c r="AGY163" s="1"/>
      <c r="AGZ163" s="1"/>
      <c r="AHA163" s="1"/>
      <c r="AHB163" s="1"/>
      <c r="AHC163" s="1"/>
      <c r="AHD163" s="1"/>
      <c r="AHE163" s="1"/>
      <c r="AHF163" s="1"/>
      <c r="AHG163" s="1"/>
      <c r="AHH163" s="1"/>
      <c r="AHI163" s="1"/>
      <c r="AHJ163" s="1"/>
      <c r="AHK163" s="1"/>
      <c r="AHL163" s="1"/>
      <c r="AHM163" s="1"/>
      <c r="AHN163" s="1"/>
      <c r="AHO163" s="1"/>
      <c r="AHP163" s="1"/>
      <c r="AHQ163" s="1"/>
      <c r="AHR163" s="1"/>
      <c r="AHS163" s="1"/>
      <c r="AHT163" s="1"/>
      <c r="AHU163" s="1"/>
      <c r="AHV163" s="1"/>
      <c r="AHW163" s="1"/>
      <c r="AHX163" s="1"/>
      <c r="AHY163" s="1"/>
      <c r="AHZ163" s="1"/>
      <c r="AIA163" s="1"/>
      <c r="AIB163" s="1"/>
      <c r="AIC163" s="1"/>
      <c r="AID163" s="1"/>
      <c r="AIE163" s="1"/>
      <c r="AIF163" s="1"/>
      <c r="AIG163" s="1"/>
      <c r="AIH163" s="1"/>
      <c r="AII163" s="1"/>
      <c r="AIJ163" s="1"/>
      <c r="AIK163" s="1"/>
      <c r="AIL163" s="1"/>
      <c r="AIM163" s="1"/>
      <c r="AIN163" s="1"/>
      <c r="AIO163" s="1"/>
      <c r="AIP163" s="1"/>
      <c r="AIQ163" s="1"/>
      <c r="AIR163" s="1"/>
      <c r="AIS163" s="1"/>
      <c r="AIT163" s="1"/>
      <c r="AIU163" s="1"/>
      <c r="AIV163" s="1"/>
      <c r="AIW163" s="1"/>
      <c r="AIX163" s="1"/>
      <c r="AIY163" s="1"/>
      <c r="AIZ163" s="1"/>
      <c r="AJA163" s="1"/>
      <c r="AJB163" s="1"/>
      <c r="AJC163" s="1"/>
      <c r="AJD163" s="1"/>
      <c r="AJE163" s="1"/>
      <c r="AJF163" s="1"/>
      <c r="AJG163" s="1"/>
      <c r="AJH163" s="1"/>
      <c r="AJI163" s="1"/>
      <c r="AJJ163" s="1"/>
      <c r="AJK163" s="1"/>
      <c r="AJL163" s="1"/>
      <c r="AJM163" s="1"/>
      <c r="AJN163" s="1"/>
      <c r="AJO163" s="1"/>
      <c r="AJP163" s="1"/>
      <c r="AJQ163" s="1"/>
      <c r="AJR163" s="1"/>
      <c r="AJS163" s="1"/>
      <c r="AJT163" s="1"/>
      <c r="AJU163" s="1"/>
      <c r="AJV163" s="1"/>
      <c r="AJW163" s="1"/>
      <c r="AJX163" s="1"/>
      <c r="AJY163" s="1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1"/>
      <c r="AKN163" s="1"/>
      <c r="AKO163" s="1"/>
      <c r="AKP163" s="1"/>
      <c r="AKQ163" s="1"/>
      <c r="AKR163" s="1"/>
      <c r="AKS163" s="1"/>
      <c r="AKT163" s="1"/>
      <c r="AKU163" s="1"/>
      <c r="AKV163" s="1"/>
      <c r="AKW163" s="1"/>
      <c r="AKX163" s="1"/>
      <c r="AKY163" s="1"/>
      <c r="AKZ163" s="1"/>
      <c r="ALA163" s="1"/>
      <c r="ALB163" s="1"/>
      <c r="ALC163" s="1"/>
      <c r="ALD163" s="1"/>
      <c r="ALE163" s="1"/>
      <c r="ALF163" s="1"/>
      <c r="ALG163" s="1"/>
      <c r="ALH163" s="1"/>
      <c r="ALI163" s="1"/>
      <c r="ALJ163" s="1"/>
      <c r="ALK163" s="1"/>
      <c r="ALL163" s="1"/>
      <c r="ALM163" s="1"/>
      <c r="ALN163" s="1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1"/>
      <c r="AMA163" s="1"/>
      <c r="AMB163" s="1"/>
      <c r="AMC163" s="1"/>
      <c r="AMD163" s="1"/>
      <c r="AME163" s="1"/>
      <c r="AMF163" s="1"/>
      <c r="AMG163" s="1"/>
      <c r="AMH163" s="1"/>
      <c r="AMI163" s="1"/>
      <c r="AMJ163" s="1"/>
      <c r="AMK163" s="1"/>
      <c r="AML163" s="1"/>
      <c r="AMM163" s="1"/>
      <c r="AMN163" s="1"/>
      <c r="AMO163" s="1"/>
    </row>
    <row r="164" spans="1:1029" x14ac:dyDescent="0.2">
      <c r="A164" s="3" t="str">
        <f t="shared" si="699"/>
        <v>cxcr4_human_3OE0</v>
      </c>
      <c r="B164" s="3" t="s">
        <v>1172</v>
      </c>
      <c r="C164" s="3" t="s">
        <v>1032</v>
      </c>
      <c r="D164" s="3" t="str">
        <f>IFERROR(MID(VLOOKUP($B164,Seqs!$A:$B,2,0),E164,1),"")</f>
        <v>A</v>
      </c>
      <c r="E164" s="3">
        <v>34</v>
      </c>
      <c r="F164" s="3" t="str">
        <f>IFERROR(MID(VLOOKUP($B164,Seqs!$A:$B,2,0),G164,1),"")</f>
        <v>Q</v>
      </c>
      <c r="G164" s="3">
        <v>66</v>
      </c>
      <c r="H164" s="3" t="str">
        <f>IFERROR(MID(VLOOKUP($B164,Seqs!$A:$B,2,0),I164,1),"")</f>
        <v/>
      </c>
      <c r="I164" s="23" t="s">
        <v>23</v>
      </c>
      <c r="J164" s="3" t="str">
        <f>IFERROR(MID(VLOOKUP($B164,Seqs!$A:$B,2,0),K164,1),"")</f>
        <v/>
      </c>
      <c r="K164" s="23" t="s">
        <v>23</v>
      </c>
      <c r="L164" s="3" t="str">
        <f>IFERROR(MID(VLOOKUP($B164,Seqs!$A:$B,2,0),M164,1),"")</f>
        <v>S</v>
      </c>
      <c r="M164" s="3">
        <v>71</v>
      </c>
      <c r="N164" s="3" t="str">
        <f>IFERROR(MID(VLOOKUP($B164,Seqs!$A:$B,2,0),O164,1),"")</f>
        <v>A</v>
      </c>
      <c r="O164" s="3">
        <v>100</v>
      </c>
      <c r="P164" s="3" t="str">
        <f>IFERROR(MID(VLOOKUP($B164,Seqs!$A:$B,2,0),Q164,1),"")</f>
        <v>N</v>
      </c>
      <c r="Q164" s="3">
        <v>101</v>
      </c>
      <c r="R164" s="3" t="str">
        <f>IFERROR(MID(VLOOKUP($B164,Seqs!$A:$B,2,0),S164,1),"")</f>
        <v>F</v>
      </c>
      <c r="S164" s="3">
        <v>104</v>
      </c>
      <c r="T164" s="3" t="str">
        <f>IFERROR(MID(VLOOKUP($B164,Seqs!$A:$B,2,0),U164,1),"")</f>
        <v>G</v>
      </c>
      <c r="U164" s="3">
        <v>105</v>
      </c>
      <c r="V164" s="3" t="str">
        <f>IFERROR(MID(VLOOKUP($B164,Seqs!$A:$B,2,0),W164,1),"")</f>
        <v>H</v>
      </c>
      <c r="W164" s="3">
        <v>140</v>
      </c>
      <c r="X164" s="3" t="str">
        <f>IFERROR(MID(VLOOKUP($B164,Seqs!$A:$B,2,0),Y164,1),"")</f>
        <v/>
      </c>
      <c r="Y164" s="3" t="s">
        <v>23</v>
      </c>
      <c r="Z164" s="3" t="str">
        <f>IFERROR(MID(VLOOKUP($B164,Seqs!$A:$B,2,0),AA164,1),"")</f>
        <v/>
      </c>
      <c r="AA164" s="3" t="s">
        <v>23</v>
      </c>
      <c r="AB164" s="3" t="str">
        <f>IFERROR(MID(VLOOKUP($B164,Seqs!$A:$B,2,0),AC164,1),"")</f>
        <v>S</v>
      </c>
      <c r="AC164" s="9">
        <v>144</v>
      </c>
      <c r="AD164" s="3" t="str">
        <f>IFERROR(MID(VLOOKUP($B164,Seqs!$A:$B,2,0),AE164,1),"")</f>
        <v>A</v>
      </c>
      <c r="AE164" s="3">
        <v>175</v>
      </c>
      <c r="AF164" s="3" t="str">
        <f>IFERROR(MID(VLOOKUP($B164,Seqs!$A:$B,2,0),AG164,1),"")</f>
        <v>C</v>
      </c>
      <c r="AG164" s="3">
        <v>186</v>
      </c>
      <c r="AH164" s="3" t="str">
        <f>IFERROR(MID(VLOOKUP($B164,Seqs!$A:$B,2,0),AI164,1),"")</f>
        <v>R</v>
      </c>
      <c r="AI164" s="3">
        <v>188</v>
      </c>
      <c r="AJ164" s="3" t="str">
        <f>IFERROR(MID(VLOOKUP($B164,Seqs!$A:$B,2,0),AK164,1),"")</f>
        <v>D</v>
      </c>
      <c r="AK164" s="3">
        <v>193</v>
      </c>
      <c r="AL164" s="3" t="str">
        <f>IFERROR(MID(VLOOKUP($B164,Seqs!$A:$B,2,0),AM164,1),"")</f>
        <v>H</v>
      </c>
      <c r="AM164" s="3">
        <v>228</v>
      </c>
      <c r="AN164" s="3" t="str">
        <f>IFERROR(MID(VLOOKUP($B164,Seqs!$A:$B,2,0),AO164,1),"")</f>
        <v>K</v>
      </c>
      <c r="AO164" s="3">
        <v>239</v>
      </c>
      <c r="AP164" s="3" t="str">
        <f>IFERROR(MID(VLOOKUP($B164,Seqs!$A:$B,2,0),AQ164,1),"")</f>
        <v>E</v>
      </c>
      <c r="AQ164" s="3">
        <v>268</v>
      </c>
      <c r="AR164" s="3" t="str">
        <f>IFERROR(MID(VLOOKUP($B164,Seqs!$A:$B,2,0),AS164,1),"")</f>
        <v>G</v>
      </c>
      <c r="AS164" s="3">
        <v>273</v>
      </c>
      <c r="AT164" s="3" t="str">
        <f>IFERROR(MID(VLOOKUP($B164,Seqs!$A:$B,2,0),AU164,1),"")</f>
        <v>I</v>
      </c>
      <c r="AU164" s="3">
        <v>300</v>
      </c>
      <c r="AV164" s="3" t="str">
        <f>IFERROR(MID(VLOOKUP($B164,Seqs!$A:$B,2,0),AW164,1),"")</f>
        <v/>
      </c>
      <c r="AW164" s="3" t="s">
        <v>23</v>
      </c>
      <c r="AX164" s="3" t="str">
        <f>IFERROR(MID(VLOOKUP($B164,Seqs!$A:$B,2,0),AY164,1),"")</f>
        <v/>
      </c>
      <c r="AY164" s="3" t="s">
        <v>23</v>
      </c>
      <c r="AZ164" s="77" t="str">
        <f>VLOOKUP(B164,Classification!A:D,2,0)</f>
        <v>A</v>
      </c>
      <c r="BA164" s="94" t="str">
        <f>VLOOKUP(B164,Classification!A:D,4,0)</f>
        <v>Chemokine</v>
      </c>
      <c r="BB164" s="27" t="b">
        <f t="shared" si="700"/>
        <v>1</v>
      </c>
      <c r="BC164" s="23">
        <f t="shared" si="841"/>
        <v>235</v>
      </c>
      <c r="BD164" s="4" t="s">
        <v>23</v>
      </c>
      <c r="BE164" s="3" t="s">
        <v>1380</v>
      </c>
      <c r="BF164" s="119">
        <v>2.9</v>
      </c>
      <c r="BG164" s="49" t="s">
        <v>1383</v>
      </c>
      <c r="BH164" s="49" t="s">
        <v>1383</v>
      </c>
      <c r="BI164" s="1"/>
      <c r="BJ164" s="70" t="s">
        <v>1293</v>
      </c>
      <c r="BK164" s="57" t="s">
        <v>1293</v>
      </c>
      <c r="BL164" s="57" t="s">
        <v>1293</v>
      </c>
      <c r="BM164" s="57" t="s">
        <v>1293</v>
      </c>
      <c r="BN164" s="57" t="s">
        <v>1293</v>
      </c>
      <c r="BO164" s="57" t="s">
        <v>1293</v>
      </c>
      <c r="BP164" s="57" t="s">
        <v>1293</v>
      </c>
      <c r="BQ164" s="57" t="s">
        <v>1293</v>
      </c>
      <c r="BR164" s="57" t="s">
        <v>1293</v>
      </c>
      <c r="BS164" s="57" t="s">
        <v>1293</v>
      </c>
      <c r="BT164" s="57" t="s">
        <v>1293</v>
      </c>
      <c r="BU164" s="57" t="s">
        <v>1293</v>
      </c>
      <c r="BV164" s="70">
        <f t="shared" si="842"/>
        <v>34</v>
      </c>
      <c r="BW164" s="71" t="str">
        <f t="shared" si="843"/>
        <v>-</v>
      </c>
      <c r="BX164" s="72">
        <f t="shared" si="844"/>
        <v>71</v>
      </c>
      <c r="BY164" s="71">
        <f t="shared" si="845"/>
        <v>101</v>
      </c>
      <c r="BZ164" s="72">
        <f t="shared" si="846"/>
        <v>105</v>
      </c>
      <c r="CA164" s="71" t="str">
        <f t="shared" si="847"/>
        <v>-</v>
      </c>
      <c r="CB164" s="72">
        <f t="shared" si="848"/>
        <v>144</v>
      </c>
      <c r="CC164" s="71">
        <f t="shared" si="849"/>
        <v>186</v>
      </c>
      <c r="CD164" s="72">
        <f t="shared" si="850"/>
        <v>193</v>
      </c>
      <c r="CE164" s="71">
        <f t="shared" si="851"/>
        <v>239</v>
      </c>
      <c r="CF164" s="72">
        <f t="shared" si="852"/>
        <v>273</v>
      </c>
      <c r="CG164" s="71" t="str">
        <f t="shared" si="853"/>
        <v>-</v>
      </c>
      <c r="CH164" s="70">
        <f t="shared" si="854"/>
        <v>66</v>
      </c>
      <c r="CI164" s="71" t="str">
        <f t="shared" si="855"/>
        <v>-</v>
      </c>
      <c r="CJ164" s="72">
        <f t="shared" si="856"/>
        <v>100</v>
      </c>
      <c r="CK164" s="72">
        <f t="shared" si="857"/>
        <v>104</v>
      </c>
      <c r="CL164" s="72">
        <f t="shared" si="858"/>
        <v>140</v>
      </c>
      <c r="CM164" s="72" t="str">
        <f t="shared" si="859"/>
        <v>-</v>
      </c>
      <c r="CN164" s="72">
        <f t="shared" si="860"/>
        <v>175</v>
      </c>
      <c r="CO164" s="72">
        <f t="shared" si="861"/>
        <v>188</v>
      </c>
      <c r="CP164" s="72">
        <f t="shared" si="862"/>
        <v>228</v>
      </c>
      <c r="CQ164" s="72">
        <f t="shared" si="863"/>
        <v>268</v>
      </c>
      <c r="CR164" s="72">
        <f t="shared" si="864"/>
        <v>300</v>
      </c>
      <c r="CS164" s="72" t="str">
        <f t="shared" si="865"/>
        <v>-</v>
      </c>
      <c r="CT164" s="23" t="e">
        <f t="shared" si="866"/>
        <v>#VALUE!</v>
      </c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  <c r="ADW164" s="1"/>
      <c r="ADX164" s="1"/>
      <c r="ADY164" s="1"/>
      <c r="ADZ164" s="1"/>
      <c r="AEA164" s="1"/>
      <c r="AEB164" s="1"/>
      <c r="AEC164" s="1"/>
      <c r="AED164" s="1"/>
      <c r="AEE164" s="1"/>
      <c r="AEF164" s="1"/>
      <c r="AEG164" s="1"/>
      <c r="AEH164" s="1"/>
      <c r="AEI164" s="1"/>
      <c r="AEJ164" s="1"/>
      <c r="AEK164" s="1"/>
      <c r="AEL164" s="1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1"/>
      <c r="AFA164" s="1"/>
      <c r="AFB164" s="1"/>
      <c r="AFC164" s="1"/>
      <c r="AFD164" s="1"/>
      <c r="AFE164" s="1"/>
      <c r="AFF164" s="1"/>
      <c r="AFG164" s="1"/>
      <c r="AFH164" s="1"/>
      <c r="AFI164" s="1"/>
      <c r="AFJ164" s="1"/>
      <c r="AFK164" s="1"/>
      <c r="AFL164" s="1"/>
      <c r="AFM164" s="1"/>
      <c r="AFN164" s="1"/>
      <c r="AFO164" s="1"/>
      <c r="AFP164" s="1"/>
      <c r="AFQ164" s="1"/>
      <c r="AFR164" s="1"/>
      <c r="AFS164" s="1"/>
      <c r="AFT164" s="1"/>
      <c r="AFU164" s="1"/>
      <c r="AFV164" s="1"/>
      <c r="AFW164" s="1"/>
      <c r="AFX164" s="1"/>
      <c r="AFY164" s="1"/>
      <c r="AFZ164" s="1"/>
      <c r="AGA164" s="1"/>
      <c r="AGB164" s="1"/>
      <c r="AGC164" s="1"/>
      <c r="AGD164" s="1"/>
      <c r="AGE164" s="1"/>
      <c r="AGF164" s="1"/>
      <c r="AGG164" s="1"/>
      <c r="AGH164" s="1"/>
      <c r="AGI164" s="1"/>
      <c r="AGJ164" s="1"/>
      <c r="AGK164" s="1"/>
      <c r="AGL164" s="1"/>
      <c r="AGM164" s="1"/>
      <c r="AGN164" s="1"/>
      <c r="AGO164" s="1"/>
      <c r="AGP164" s="1"/>
      <c r="AGQ164" s="1"/>
      <c r="AGR164" s="1"/>
      <c r="AGS164" s="1"/>
      <c r="AGT164" s="1"/>
      <c r="AGU164" s="1"/>
      <c r="AGV164" s="1"/>
      <c r="AGW164" s="1"/>
      <c r="AGX164" s="1"/>
      <c r="AGY164" s="1"/>
      <c r="AGZ164" s="1"/>
      <c r="AHA164" s="1"/>
      <c r="AHB164" s="1"/>
      <c r="AHC164" s="1"/>
      <c r="AHD164" s="1"/>
      <c r="AHE164" s="1"/>
      <c r="AHF164" s="1"/>
      <c r="AHG164" s="1"/>
      <c r="AHH164" s="1"/>
      <c r="AHI164" s="1"/>
      <c r="AHJ164" s="1"/>
      <c r="AHK164" s="1"/>
      <c r="AHL164" s="1"/>
      <c r="AHM164" s="1"/>
      <c r="AHN164" s="1"/>
      <c r="AHO164" s="1"/>
      <c r="AHP164" s="1"/>
      <c r="AHQ164" s="1"/>
      <c r="AHR164" s="1"/>
      <c r="AHS164" s="1"/>
      <c r="AHT164" s="1"/>
      <c r="AHU164" s="1"/>
      <c r="AHV164" s="1"/>
      <c r="AHW164" s="1"/>
      <c r="AHX164" s="1"/>
      <c r="AHY164" s="1"/>
      <c r="AHZ164" s="1"/>
      <c r="AIA164" s="1"/>
      <c r="AIB164" s="1"/>
      <c r="AIC164" s="1"/>
      <c r="AID164" s="1"/>
      <c r="AIE164" s="1"/>
      <c r="AIF164" s="1"/>
      <c r="AIG164" s="1"/>
      <c r="AIH164" s="1"/>
      <c r="AII164" s="1"/>
      <c r="AIJ164" s="1"/>
      <c r="AIK164" s="1"/>
      <c r="AIL164" s="1"/>
      <c r="AIM164" s="1"/>
      <c r="AIN164" s="1"/>
      <c r="AIO164" s="1"/>
      <c r="AIP164" s="1"/>
      <c r="AIQ164" s="1"/>
      <c r="AIR164" s="1"/>
      <c r="AIS164" s="1"/>
      <c r="AIT164" s="1"/>
      <c r="AIU164" s="1"/>
      <c r="AIV164" s="1"/>
      <c r="AIW164" s="1"/>
      <c r="AIX164" s="1"/>
      <c r="AIY164" s="1"/>
      <c r="AIZ164" s="1"/>
      <c r="AJA164" s="1"/>
      <c r="AJB164" s="1"/>
      <c r="AJC164" s="1"/>
      <c r="AJD164" s="1"/>
      <c r="AJE164" s="1"/>
      <c r="AJF164" s="1"/>
      <c r="AJG164" s="1"/>
      <c r="AJH164" s="1"/>
      <c r="AJI164" s="1"/>
      <c r="AJJ164" s="1"/>
      <c r="AJK164" s="1"/>
      <c r="AJL164" s="1"/>
      <c r="AJM164" s="1"/>
      <c r="AJN164" s="1"/>
      <c r="AJO164" s="1"/>
      <c r="AJP164" s="1"/>
      <c r="AJQ164" s="1"/>
      <c r="AJR164" s="1"/>
      <c r="AJS164" s="1"/>
      <c r="AJT164" s="1"/>
      <c r="AJU164" s="1"/>
      <c r="AJV164" s="1"/>
      <c r="AJW164" s="1"/>
      <c r="AJX164" s="1"/>
      <c r="AJY164" s="1"/>
      <c r="AJZ164" s="1"/>
      <c r="AKA164" s="1"/>
      <c r="AKB164" s="1"/>
      <c r="AKC164" s="1"/>
      <c r="AKD164" s="1"/>
      <c r="AKE164" s="1"/>
      <c r="AKF164" s="1"/>
      <c r="AKG164" s="1"/>
      <c r="AKH164" s="1"/>
      <c r="AKI164" s="1"/>
      <c r="AKJ164" s="1"/>
      <c r="AKK164" s="1"/>
      <c r="AKL164" s="1"/>
      <c r="AKM164" s="1"/>
      <c r="AKN164" s="1"/>
      <c r="AKO164" s="1"/>
      <c r="AKP164" s="1"/>
      <c r="AKQ164" s="1"/>
      <c r="AKR164" s="1"/>
      <c r="AKS164" s="1"/>
      <c r="AKT164" s="1"/>
      <c r="AKU164" s="1"/>
      <c r="AKV164" s="1"/>
      <c r="AKW164" s="1"/>
      <c r="AKX164" s="1"/>
      <c r="AKY164" s="1"/>
      <c r="AKZ164" s="1"/>
      <c r="ALA164" s="1"/>
      <c r="ALB164" s="1"/>
      <c r="ALC164" s="1"/>
      <c r="ALD164" s="1"/>
      <c r="ALE164" s="1"/>
      <c r="ALF164" s="1"/>
      <c r="ALG164" s="1"/>
      <c r="ALH164" s="1"/>
      <c r="ALI164" s="1"/>
      <c r="ALJ164" s="1"/>
      <c r="ALK164" s="1"/>
      <c r="ALL164" s="1"/>
      <c r="ALM164" s="1"/>
      <c r="ALN164" s="1"/>
      <c r="ALO164" s="1"/>
      <c r="ALP164" s="1"/>
      <c r="ALQ164" s="1"/>
      <c r="ALR164" s="1"/>
      <c r="ALS164" s="1"/>
      <c r="ALT164" s="1"/>
      <c r="ALU164" s="1"/>
      <c r="ALV164" s="1"/>
      <c r="ALW164" s="1"/>
      <c r="ALX164" s="1"/>
      <c r="ALY164" s="1"/>
      <c r="ALZ164" s="1"/>
      <c r="AMA164" s="1"/>
      <c r="AMB164" s="1"/>
      <c r="AMC164" s="1"/>
      <c r="AMD164" s="1"/>
      <c r="AME164" s="1"/>
      <c r="AMF164" s="1"/>
      <c r="AMG164" s="1"/>
      <c r="AMH164" s="1"/>
      <c r="AMI164" s="1"/>
      <c r="AMJ164" s="1"/>
      <c r="AMK164" s="1"/>
      <c r="AML164" s="1"/>
      <c r="AMM164" s="1"/>
      <c r="AMN164" s="1"/>
      <c r="AMO164" s="1"/>
    </row>
    <row r="165" spans="1:1029" x14ac:dyDescent="0.2">
      <c r="A165" s="3" t="str">
        <f t="shared" si="699"/>
        <v>cxcr4_human_4RWS</v>
      </c>
      <c r="B165" s="3" t="s">
        <v>1172</v>
      </c>
      <c r="C165" s="3" t="s">
        <v>1053</v>
      </c>
      <c r="D165" s="3" t="str">
        <f>IFERROR(MID(VLOOKUP($B165,Seqs!$A:$B,2,0),E165,1),"")</f>
        <v>R</v>
      </c>
      <c r="E165" s="3">
        <v>30</v>
      </c>
      <c r="F165" s="3" t="str">
        <f>IFERROR(MID(VLOOKUP($B165,Seqs!$A:$B,2,0),G165,1),"")</f>
        <v>Q</v>
      </c>
      <c r="G165" s="3">
        <v>66</v>
      </c>
      <c r="H165" s="3" t="str">
        <f>IFERROR(MID(VLOOKUP($B165,Seqs!$A:$B,2,0),I165,1),"")</f>
        <v/>
      </c>
      <c r="I165" s="23" t="s">
        <v>23</v>
      </c>
      <c r="J165" s="3" t="str">
        <f>IFERROR(MID(VLOOKUP($B165,Seqs!$A:$B,2,0),K165,1),"")</f>
        <v/>
      </c>
      <c r="K165" s="23" t="s">
        <v>23</v>
      </c>
      <c r="L165" s="3" t="str">
        <f>IFERROR(MID(VLOOKUP($B165,Seqs!$A:$B,2,0),M165,1),"")</f>
        <v>S</v>
      </c>
      <c r="M165" s="3">
        <v>71</v>
      </c>
      <c r="N165" s="3" t="str">
        <f>IFERROR(MID(VLOOKUP($B165,Seqs!$A:$B,2,0),O165,1),"")</f>
        <v>A</v>
      </c>
      <c r="O165" s="3">
        <v>100</v>
      </c>
      <c r="P165" s="3" t="str">
        <f>IFERROR(MID(VLOOKUP($B165,Seqs!$A:$B,2,0),Q165,1),"")</f>
        <v>N</v>
      </c>
      <c r="Q165" s="3">
        <v>101</v>
      </c>
      <c r="R165" s="3" t="str">
        <f>IFERROR(MID(VLOOKUP($B165,Seqs!$A:$B,2,0),S165,1),"")</f>
        <v>F</v>
      </c>
      <c r="S165" s="3">
        <v>104</v>
      </c>
      <c r="T165" s="3" t="str">
        <f>IFERROR(MID(VLOOKUP($B165,Seqs!$A:$B,2,0),U165,1),"")</f>
        <v>G</v>
      </c>
      <c r="U165" s="3">
        <v>105</v>
      </c>
      <c r="V165" s="3" t="str">
        <f>IFERROR(MID(VLOOKUP($B165,Seqs!$A:$B,2,0),W165,1),"")</f>
        <v>H</v>
      </c>
      <c r="W165" s="3">
        <v>140</v>
      </c>
      <c r="X165" s="3" t="str">
        <f>IFERROR(MID(VLOOKUP($B165,Seqs!$A:$B,2,0),Y165,1),"")</f>
        <v/>
      </c>
      <c r="Y165" s="3" t="s">
        <v>23</v>
      </c>
      <c r="Z165" s="3" t="str">
        <f>IFERROR(MID(VLOOKUP($B165,Seqs!$A:$B,2,0),AA165,1),"")</f>
        <v/>
      </c>
      <c r="AA165" s="3" t="s">
        <v>23</v>
      </c>
      <c r="AB165" s="3" t="str">
        <f>IFERROR(MID(VLOOKUP($B165,Seqs!$A:$B,2,0),AC165,1),"")</f>
        <v>S</v>
      </c>
      <c r="AC165" s="9">
        <v>144</v>
      </c>
      <c r="AD165" s="3" t="str">
        <f>IFERROR(MID(VLOOKUP($B165,Seqs!$A:$B,2,0),AE165,1),"")</f>
        <v>A</v>
      </c>
      <c r="AE165" s="3">
        <v>175</v>
      </c>
      <c r="AF165" s="3" t="str">
        <f>IFERROR(MID(VLOOKUP($B165,Seqs!$A:$B,2,0),AG165,1),"")</f>
        <v>C</v>
      </c>
      <c r="AG165" s="3">
        <v>186</v>
      </c>
      <c r="AH165" s="3" t="str">
        <f>IFERROR(MID(VLOOKUP($B165,Seqs!$A:$B,2,0),AI165,1),"")</f>
        <v>R</v>
      </c>
      <c r="AI165" s="3">
        <v>188</v>
      </c>
      <c r="AJ165" s="3" t="str">
        <f>IFERROR(MID(VLOOKUP($B165,Seqs!$A:$B,2,0),AK165,1),"")</f>
        <v>D</v>
      </c>
      <c r="AK165" s="3">
        <v>193</v>
      </c>
      <c r="AL165" s="3" t="str">
        <f>IFERROR(MID(VLOOKUP($B165,Seqs!$A:$B,2,0),AM165,1),"")</f>
        <v>S</v>
      </c>
      <c r="AM165" s="3">
        <v>227</v>
      </c>
      <c r="AN165" s="3" t="str">
        <f>IFERROR(MID(VLOOKUP($B165,Seqs!$A:$B,2,0),AO165,1),"")</f>
        <v>K</v>
      </c>
      <c r="AO165" s="3">
        <v>239</v>
      </c>
      <c r="AP165" s="3" t="str">
        <f>IFERROR(MID(VLOOKUP($B165,Seqs!$A:$B,2,0),AQ165,1),"")</f>
        <v>E</v>
      </c>
      <c r="AQ165" s="3">
        <v>268</v>
      </c>
      <c r="AR165" s="3" t="str">
        <f>IFERROR(MID(VLOOKUP($B165,Seqs!$A:$B,2,0),AS165,1),"")</f>
        <v>G</v>
      </c>
      <c r="AS165" s="3">
        <v>273</v>
      </c>
      <c r="AT165" s="3" t="str">
        <f>IFERROR(MID(VLOOKUP($B165,Seqs!$A:$B,2,0),AU165,1),"")</f>
        <v>I</v>
      </c>
      <c r="AU165" s="3">
        <v>300</v>
      </c>
      <c r="AV165" s="3" t="str">
        <f>IFERROR(MID(VLOOKUP($B165,Seqs!$A:$B,2,0),AW165,1),"")</f>
        <v/>
      </c>
      <c r="AW165" s="3" t="s">
        <v>23</v>
      </c>
      <c r="AX165" s="3" t="str">
        <f>IFERROR(MID(VLOOKUP($B165,Seqs!$A:$B,2,0),AY165,1),"")</f>
        <v/>
      </c>
      <c r="AY165" s="3" t="s">
        <v>23</v>
      </c>
      <c r="AZ165" s="77" t="str">
        <f>VLOOKUP(B165,Classification!A:D,2,0)</f>
        <v>A</v>
      </c>
      <c r="BA165" s="94" t="str">
        <f>VLOOKUP(B165,Classification!A:D,4,0)</f>
        <v>Chemokine</v>
      </c>
      <c r="BB165" s="27" t="b">
        <f t="shared" si="700"/>
        <v>1</v>
      </c>
      <c r="BC165" s="23">
        <f t="shared" si="841"/>
        <v>238</v>
      </c>
      <c r="BD165" s="5" t="s">
        <v>23</v>
      </c>
      <c r="BE165" s="3" t="s">
        <v>1380</v>
      </c>
      <c r="BF165" s="119">
        <v>3.1</v>
      </c>
      <c r="BG165" s="49" t="s">
        <v>1383</v>
      </c>
      <c r="BH165" s="49" t="s">
        <v>1383</v>
      </c>
      <c r="BI165" s="1"/>
      <c r="BJ165" s="70" t="s">
        <v>1293</v>
      </c>
      <c r="BK165" s="57" t="s">
        <v>1293</v>
      </c>
      <c r="BL165" s="57" t="s">
        <v>1293</v>
      </c>
      <c r="BM165" s="57" t="s">
        <v>1293</v>
      </c>
      <c r="BN165" s="57" t="s">
        <v>1293</v>
      </c>
      <c r="BO165" s="57" t="s">
        <v>1293</v>
      </c>
      <c r="BP165" s="57" t="s">
        <v>1293</v>
      </c>
      <c r="BQ165" s="57" t="s">
        <v>1293</v>
      </c>
      <c r="BR165" s="57" t="s">
        <v>1293</v>
      </c>
      <c r="BS165" s="57" t="s">
        <v>1293</v>
      </c>
      <c r="BT165" s="57" t="s">
        <v>1293</v>
      </c>
      <c r="BU165" s="57" t="s">
        <v>1293</v>
      </c>
      <c r="BV165" s="70">
        <f t="shared" si="842"/>
        <v>30</v>
      </c>
      <c r="BW165" s="71" t="str">
        <f t="shared" si="843"/>
        <v>-</v>
      </c>
      <c r="BX165" s="72">
        <f t="shared" si="844"/>
        <v>71</v>
      </c>
      <c r="BY165" s="71">
        <f t="shared" si="845"/>
        <v>101</v>
      </c>
      <c r="BZ165" s="72">
        <f t="shared" si="846"/>
        <v>105</v>
      </c>
      <c r="CA165" s="71" t="str">
        <f t="shared" si="847"/>
        <v>-</v>
      </c>
      <c r="CB165" s="72">
        <f t="shared" si="848"/>
        <v>144</v>
      </c>
      <c r="CC165" s="71">
        <f t="shared" si="849"/>
        <v>186</v>
      </c>
      <c r="CD165" s="72">
        <f t="shared" si="850"/>
        <v>193</v>
      </c>
      <c r="CE165" s="71">
        <f t="shared" si="851"/>
        <v>239</v>
      </c>
      <c r="CF165" s="72">
        <f t="shared" si="852"/>
        <v>273</v>
      </c>
      <c r="CG165" s="71" t="str">
        <f t="shared" si="853"/>
        <v>-</v>
      </c>
      <c r="CH165" s="70">
        <f t="shared" si="854"/>
        <v>66</v>
      </c>
      <c r="CI165" s="71" t="str">
        <f t="shared" si="855"/>
        <v>-</v>
      </c>
      <c r="CJ165" s="72">
        <f t="shared" si="856"/>
        <v>100</v>
      </c>
      <c r="CK165" s="72">
        <f t="shared" si="857"/>
        <v>104</v>
      </c>
      <c r="CL165" s="72">
        <f t="shared" si="858"/>
        <v>140</v>
      </c>
      <c r="CM165" s="72" t="str">
        <f t="shared" si="859"/>
        <v>-</v>
      </c>
      <c r="CN165" s="72">
        <f t="shared" si="860"/>
        <v>175</v>
      </c>
      <c r="CO165" s="72">
        <f t="shared" si="861"/>
        <v>188</v>
      </c>
      <c r="CP165" s="72">
        <f t="shared" si="862"/>
        <v>227</v>
      </c>
      <c r="CQ165" s="72">
        <f t="shared" si="863"/>
        <v>268</v>
      </c>
      <c r="CR165" s="72">
        <f t="shared" si="864"/>
        <v>300</v>
      </c>
      <c r="CS165" s="72" t="str">
        <f t="shared" si="865"/>
        <v>-</v>
      </c>
      <c r="CT165" s="23" t="e">
        <f t="shared" si="866"/>
        <v>#VALUE!</v>
      </c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1"/>
      <c r="AEK165" s="1"/>
      <c r="AEL165" s="1"/>
      <c r="AEM165" s="1"/>
      <c r="AEN165" s="1"/>
      <c r="AEO165" s="1"/>
      <c r="AEP165" s="1"/>
      <c r="AEQ165" s="1"/>
      <c r="AER165" s="1"/>
      <c r="AES165" s="1"/>
      <c r="AET165" s="1"/>
      <c r="AEU165" s="1"/>
      <c r="AEV165" s="1"/>
      <c r="AEW165" s="1"/>
      <c r="AEX165" s="1"/>
      <c r="AEY165" s="1"/>
      <c r="AEZ165" s="1"/>
      <c r="AFA165" s="1"/>
      <c r="AFB165" s="1"/>
      <c r="AFC165" s="1"/>
      <c r="AFD165" s="1"/>
      <c r="AFE165" s="1"/>
      <c r="AFF165" s="1"/>
      <c r="AFG165" s="1"/>
      <c r="AFH165" s="1"/>
      <c r="AFI165" s="1"/>
      <c r="AFJ165" s="1"/>
      <c r="AFK165" s="1"/>
      <c r="AFL165" s="1"/>
      <c r="AFM165" s="1"/>
      <c r="AFN165" s="1"/>
      <c r="AFO165" s="1"/>
      <c r="AFP165" s="1"/>
      <c r="AFQ165" s="1"/>
      <c r="AFR165" s="1"/>
      <c r="AFS165" s="1"/>
      <c r="AFT165" s="1"/>
      <c r="AFU165" s="1"/>
      <c r="AFV165" s="1"/>
      <c r="AFW165" s="1"/>
      <c r="AFX165" s="1"/>
      <c r="AFY165" s="1"/>
      <c r="AFZ165" s="1"/>
      <c r="AGA165" s="1"/>
      <c r="AGB165" s="1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1"/>
      <c r="AGP165" s="1"/>
      <c r="AGQ165" s="1"/>
      <c r="AGR165" s="1"/>
      <c r="AGS165" s="1"/>
      <c r="AGT165" s="1"/>
      <c r="AGU165" s="1"/>
      <c r="AGV165" s="1"/>
      <c r="AGW165" s="1"/>
      <c r="AGX165" s="1"/>
      <c r="AGY165" s="1"/>
      <c r="AGZ165" s="1"/>
      <c r="AHA165" s="1"/>
      <c r="AHB165" s="1"/>
      <c r="AHC165" s="1"/>
      <c r="AHD165" s="1"/>
      <c r="AHE165" s="1"/>
      <c r="AHF165" s="1"/>
      <c r="AHG165" s="1"/>
      <c r="AHH165" s="1"/>
      <c r="AHI165" s="1"/>
      <c r="AHJ165" s="1"/>
      <c r="AHK165" s="1"/>
      <c r="AHL165" s="1"/>
      <c r="AHM165" s="1"/>
      <c r="AHN165" s="1"/>
      <c r="AHO165" s="1"/>
      <c r="AHP165" s="1"/>
      <c r="AHQ165" s="1"/>
      <c r="AHR165" s="1"/>
      <c r="AHS165" s="1"/>
      <c r="AHT165" s="1"/>
      <c r="AHU165" s="1"/>
      <c r="AHV165" s="1"/>
      <c r="AHW165" s="1"/>
      <c r="AHX165" s="1"/>
      <c r="AHY165" s="1"/>
      <c r="AHZ165" s="1"/>
      <c r="AIA165" s="1"/>
      <c r="AIB165" s="1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1"/>
      <c r="AIQ165" s="1"/>
      <c r="AIR165" s="1"/>
      <c r="AIS165" s="1"/>
      <c r="AIT165" s="1"/>
      <c r="AIU165" s="1"/>
      <c r="AIV165" s="1"/>
      <c r="AIW165" s="1"/>
      <c r="AIX165" s="1"/>
      <c r="AIY165" s="1"/>
      <c r="AIZ165" s="1"/>
      <c r="AJA165" s="1"/>
      <c r="AJB165" s="1"/>
      <c r="AJC165" s="1"/>
      <c r="AJD165" s="1"/>
      <c r="AJE165" s="1"/>
      <c r="AJF165" s="1"/>
      <c r="AJG165" s="1"/>
      <c r="AJH165" s="1"/>
      <c r="AJI165" s="1"/>
      <c r="AJJ165" s="1"/>
      <c r="AJK165" s="1"/>
      <c r="AJL165" s="1"/>
      <c r="AJM165" s="1"/>
      <c r="AJN165" s="1"/>
      <c r="AJO165" s="1"/>
      <c r="AJP165" s="1"/>
      <c r="AJQ165" s="1"/>
      <c r="AJR165" s="1"/>
      <c r="AJS165" s="1"/>
      <c r="AJT165" s="1"/>
      <c r="AJU165" s="1"/>
      <c r="AJV165" s="1"/>
      <c r="AJW165" s="1"/>
      <c r="AJX165" s="1"/>
      <c r="AJY165" s="1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1"/>
      <c r="AKN165" s="1"/>
      <c r="AKO165" s="1"/>
      <c r="AKP165" s="1"/>
      <c r="AKQ165" s="1"/>
      <c r="AKR165" s="1"/>
      <c r="AKS165" s="1"/>
      <c r="AKT165" s="1"/>
      <c r="AKU165" s="1"/>
      <c r="AKV165" s="1"/>
      <c r="AKW165" s="1"/>
      <c r="AKX165" s="1"/>
      <c r="AKY165" s="1"/>
      <c r="AKZ165" s="1"/>
      <c r="ALA165" s="1"/>
      <c r="ALB165" s="1"/>
      <c r="ALC165" s="1"/>
      <c r="ALD165" s="1"/>
      <c r="ALE165" s="1"/>
      <c r="ALF165" s="1"/>
      <c r="ALG165" s="1"/>
      <c r="ALH165" s="1"/>
      <c r="ALI165" s="1"/>
      <c r="ALJ165" s="1"/>
      <c r="ALK165" s="1"/>
      <c r="ALL165" s="1"/>
      <c r="ALM165" s="1"/>
      <c r="ALN165" s="1"/>
      <c r="ALO165" s="1"/>
      <c r="ALP165" s="1"/>
      <c r="ALQ165" s="1"/>
      <c r="ALR165" s="1"/>
      <c r="ALS165" s="1"/>
      <c r="ALT165" s="1"/>
      <c r="ALU165" s="1"/>
      <c r="ALV165" s="1"/>
      <c r="ALW165" s="1"/>
      <c r="ALX165" s="1"/>
      <c r="ALY165" s="1"/>
      <c r="ALZ165" s="1"/>
      <c r="AMA165" s="1"/>
      <c r="AMB165" s="1"/>
      <c r="AMC165" s="1"/>
      <c r="AMD165" s="1"/>
      <c r="AME165" s="1"/>
      <c r="AMF165" s="1"/>
      <c r="AMG165" s="1"/>
      <c r="AMH165" s="1"/>
      <c r="AMI165" s="1"/>
      <c r="AMJ165" s="1"/>
      <c r="AMK165" s="1"/>
      <c r="AML165" s="1"/>
      <c r="AMM165" s="1"/>
      <c r="AMN165" s="1"/>
      <c r="AMO165" s="1"/>
    </row>
    <row r="166" spans="1:1029" x14ac:dyDescent="0.2">
      <c r="A166" s="3" t="str">
        <f>CONCATENATE(B166,"_",C166)</f>
        <v>drd2_human__wt</v>
      </c>
      <c r="B166" s="3" t="s">
        <v>191</v>
      </c>
      <c r="C166" s="3" t="s">
        <v>100</v>
      </c>
      <c r="D166" s="3" t="str">
        <f>IFERROR(MID(VLOOKUP($B166,Seqs!$A:$B,2,0),E166,1),"")</f>
        <v>R</v>
      </c>
      <c r="E166" s="3">
        <v>31</v>
      </c>
      <c r="F166" s="3" t="str">
        <f>IFERROR(MID(VLOOKUP($B166,Seqs!$A:$B,2,0),G166,1),"")</f>
        <v>E</v>
      </c>
      <c r="G166" s="3">
        <v>62</v>
      </c>
      <c r="H166" s="3" t="str">
        <f>IFERROR(MID(VLOOKUP($B166,Seqs!$A:$B,2,0),I166,1),"")</f>
        <v>K</v>
      </c>
      <c r="I166" s="23">
        <v>63</v>
      </c>
      <c r="J166" s="3" t="str">
        <f>IFERROR(MID(VLOOKUP($B166,Seqs!$A:$B,2,0),K166,1),"")</f>
        <v>Q</v>
      </c>
      <c r="K166" s="23">
        <v>66</v>
      </c>
      <c r="L166" s="3" t="str">
        <f>IFERROR(MID(VLOOKUP($B166,Seqs!$A:$B,2,0),M166,1),"")</f>
        <v>T</v>
      </c>
      <c r="M166" s="3">
        <v>67</v>
      </c>
      <c r="N166" s="3" t="str">
        <f>IFERROR(MID(VLOOKUP($B166,Seqs!$A:$B,2,0),O166,1),"")</f>
        <v>G</v>
      </c>
      <c r="O166" s="3">
        <v>98</v>
      </c>
      <c r="P166" s="3" t="str">
        <f>IFERROR(MID(VLOOKUP($B166,Seqs!$A:$B,2,0),Q166,1),"")</f>
        <v>E</v>
      </c>
      <c r="Q166" s="3">
        <v>99</v>
      </c>
      <c r="R166" s="3" t="str">
        <f>IFERROR(MID(VLOOKUP($B166,Seqs!$A:$B,2,0),S166,1),"")</f>
        <v>F</v>
      </c>
      <c r="S166" s="3">
        <v>102</v>
      </c>
      <c r="T166" s="3" t="str">
        <f>IFERROR(MID(VLOOKUP($B166,Seqs!$A:$B,2,0),U166,1),"")</f>
        <v>S</v>
      </c>
      <c r="U166" s="3">
        <v>103</v>
      </c>
      <c r="V166" s="3" t="str">
        <f>IFERROR(MID(VLOOKUP($B166,Seqs!$A:$B,2,0),W166,1),"")</f>
        <v>M</v>
      </c>
      <c r="W166" s="3">
        <v>138</v>
      </c>
      <c r="X166" s="3" t="str">
        <f>IFERROR(MID(VLOOKUP($B166,Seqs!$A:$B,2,0),Y166,1),"")</f>
        <v>P</v>
      </c>
      <c r="Y166" s="3">
        <v>139</v>
      </c>
      <c r="Z166" s="3" t="str">
        <f>IFERROR(MID(VLOOKUP($B166,Seqs!$A:$B,2,0),AA166,1),"")</f>
        <v>S</v>
      </c>
      <c r="AA166" s="3">
        <v>147</v>
      </c>
      <c r="AB166" s="3" t="str">
        <f>IFERROR(MID(VLOOKUP($B166,Seqs!$A:$B,2,0),AC166,1),"")</f>
        <v>S</v>
      </c>
      <c r="AC166" s="3">
        <v>148</v>
      </c>
      <c r="AD166" s="3" t="str">
        <f>IFERROR(MID(VLOOKUP($B166,Seqs!$A:$B,2,0),AE166,1),"")</f>
        <v>F</v>
      </c>
      <c r="AE166" s="3">
        <v>172</v>
      </c>
      <c r="AF166" s="3" t="str">
        <f>IFERROR(MID(VLOOKUP($B166,Seqs!$A:$B,2,0),AG166,1),"")</f>
        <v>C</v>
      </c>
      <c r="AG166" s="3">
        <v>182</v>
      </c>
      <c r="AH166" s="3" t="str">
        <f>IFERROR(MID(VLOOKUP($B166,Seqs!$A:$B,2,0),AI166,1),"")</f>
        <v>I</v>
      </c>
      <c r="AI166" s="3">
        <v>184</v>
      </c>
      <c r="AJ166" s="3" t="str">
        <f>IFERROR(MID(VLOOKUP($B166,Seqs!$A:$B,2,0),AK166,1),"")</f>
        <v>N</v>
      </c>
      <c r="AK166" s="3">
        <v>186</v>
      </c>
      <c r="AL166" s="3" t="str">
        <f>IFERROR(MID(VLOOKUP($B166,Seqs!$A:$B,2,0),AM166,1),"")</f>
        <v>K</v>
      </c>
      <c r="AM166" s="3">
        <v>226</v>
      </c>
      <c r="AN166" s="3" t="str">
        <f>IFERROR(MID(VLOOKUP($B166,Seqs!$A:$B,2,0),AO166,1),"")</f>
        <v>K</v>
      </c>
      <c r="AO166" s="3">
        <v>362</v>
      </c>
      <c r="AP166" s="3" t="str">
        <f>IFERROR(MID(VLOOKUP($B166,Seqs!$A:$B,2,0),AQ166,1),"")</f>
        <v>C</v>
      </c>
      <c r="AQ166" s="3">
        <v>399</v>
      </c>
      <c r="AR166" s="3" t="str">
        <f>IFERROR(MID(VLOOKUP($B166,Seqs!$A:$B,2,0),AS166,1),"")</f>
        <v>P</v>
      </c>
      <c r="AS166" s="3">
        <v>404</v>
      </c>
      <c r="AT166" s="3" t="str">
        <f>IFERROR(MID(VLOOKUP($B166,Seqs!$A:$B,2,0),AU166,1),"")</f>
        <v>F</v>
      </c>
      <c r="AU166" s="3">
        <v>429</v>
      </c>
      <c r="AV166" s="3" t="str">
        <f>IFERROR(MID(VLOOKUP($B166,Seqs!$A:$B,2,0),AW166,1),"")</f>
        <v>N</v>
      </c>
      <c r="AW166" s="3">
        <v>430</v>
      </c>
      <c r="AX166" s="3" t="str">
        <f>IFERROR(MID(VLOOKUP($B166,Seqs!$A:$B,2,0),AY166,1),"")</f>
        <v>H</v>
      </c>
      <c r="AY166" s="3">
        <v>442</v>
      </c>
      <c r="AZ166" s="77" t="str">
        <f>VLOOKUP(B166,Classification!A:D,2,0)</f>
        <v>A</v>
      </c>
      <c r="BA166" s="94" t="str">
        <f>VLOOKUP(B166,Classification!A:D,4,0)</f>
        <v>Dopamine</v>
      </c>
      <c r="BB166" s="27" t="b">
        <f>AND(E166&lt;G166,OR(G166&lt;I166,I166="-"),OR(I166&lt;K166,I166="-"),OR(K166&lt;M166,K166="-"),M166&lt;O166,OR(O166&lt;Q166,Q166="-"),OR(Q166&lt;S166,Q166="-"),OR(S166&lt;U166,S166="-"),U166&lt;W166,OR(W166&lt;Y166,Y166="-"),OR(Y166&lt;AA166,Y166="-"),OR(AA166&lt;AC166,AA166="-"),AC166&lt;AE166,OR(AE166&lt;AG166,AG166="-"),OR(AG166&lt;AI166,AG166="-"),OR(AI166&lt;AK166,AI166="-"),AK166&lt;AM166,AM166&lt;AO166,AO166&lt;AQ166,AQ166&lt;AS166,AS166&lt;AU166,OR(AU166&lt;AW166,AW166="-"),OR(AW166&lt;AY166,AW166="-"))</f>
        <v>1</v>
      </c>
      <c r="BC166" s="23">
        <f>_xlfn.AGGREGATE(9,6,CH166:CS166)-_xlfn.AGGREGATE(9,6,BV166:CG166)+12</f>
        <v>263</v>
      </c>
      <c r="BD166" s="56" t="s">
        <v>23</v>
      </c>
      <c r="BE166" s="3" t="s">
        <v>23</v>
      </c>
      <c r="BF166" s="119" t="s">
        <v>23</v>
      </c>
      <c r="BG166" s="49" t="s">
        <v>1378</v>
      </c>
      <c r="BH166" s="49" t="s">
        <v>1383</v>
      </c>
      <c r="BI166" s="1"/>
      <c r="BJ166" s="70" t="s">
        <v>1293</v>
      </c>
      <c r="BK166" s="57" t="s">
        <v>1293</v>
      </c>
      <c r="BL166" s="57" t="s">
        <v>1293</v>
      </c>
      <c r="BM166" s="57" t="s">
        <v>1293</v>
      </c>
      <c r="BN166" s="57" t="s">
        <v>1293</v>
      </c>
      <c r="BO166" s="57" t="s">
        <v>1293</v>
      </c>
      <c r="BP166" s="57" t="s">
        <v>1293</v>
      </c>
      <c r="BQ166" s="57" t="s">
        <v>1293</v>
      </c>
      <c r="BR166" s="57" t="s">
        <v>1293</v>
      </c>
      <c r="BS166" s="57" t="s">
        <v>1293</v>
      </c>
      <c r="BT166" s="57" t="s">
        <v>1293</v>
      </c>
      <c r="BU166" s="57" t="s">
        <v>1293</v>
      </c>
      <c r="BV166" s="70">
        <f>E166</f>
        <v>31</v>
      </c>
      <c r="BW166" s="71">
        <f>I166</f>
        <v>63</v>
      </c>
      <c r="BX166" s="72">
        <f>M166</f>
        <v>67</v>
      </c>
      <c r="BY166" s="71">
        <f>Q166</f>
        <v>99</v>
      </c>
      <c r="BZ166" s="72">
        <f>U166</f>
        <v>103</v>
      </c>
      <c r="CA166" s="71">
        <f>Y166</f>
        <v>139</v>
      </c>
      <c r="CB166" s="72">
        <f>AC166</f>
        <v>148</v>
      </c>
      <c r="CC166" s="71">
        <f>AG166</f>
        <v>182</v>
      </c>
      <c r="CD166" s="72">
        <f>AK166</f>
        <v>186</v>
      </c>
      <c r="CE166" s="71">
        <f>AO166</f>
        <v>362</v>
      </c>
      <c r="CF166" s="72">
        <f>AS166</f>
        <v>404</v>
      </c>
      <c r="CG166" s="71">
        <f>AW166</f>
        <v>430</v>
      </c>
      <c r="CH166" s="70">
        <f>G166</f>
        <v>62</v>
      </c>
      <c r="CI166" s="71">
        <f>K166</f>
        <v>66</v>
      </c>
      <c r="CJ166" s="72">
        <f>O166</f>
        <v>98</v>
      </c>
      <c r="CK166" s="72">
        <f>S166</f>
        <v>102</v>
      </c>
      <c r="CL166" s="72">
        <f>W166</f>
        <v>138</v>
      </c>
      <c r="CM166" s="72">
        <f>AA166</f>
        <v>147</v>
      </c>
      <c r="CN166" s="72">
        <f>AE166</f>
        <v>172</v>
      </c>
      <c r="CO166" s="72">
        <f>AI166</f>
        <v>184</v>
      </c>
      <c r="CP166" s="72">
        <f>AM166</f>
        <v>226</v>
      </c>
      <c r="CQ166" s="72">
        <f>AQ166</f>
        <v>399</v>
      </c>
      <c r="CR166" s="72">
        <f>AU166</f>
        <v>429</v>
      </c>
      <c r="CS166" s="72">
        <f>AY166</f>
        <v>442</v>
      </c>
      <c r="CT166" s="23">
        <f>M166-K166</f>
        <v>1</v>
      </c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  <c r="ADW166" s="1"/>
      <c r="ADX166" s="1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1"/>
      <c r="AEM166" s="1"/>
      <c r="AEN166" s="1"/>
      <c r="AEO166" s="1"/>
      <c r="AEP166" s="1"/>
      <c r="AEQ166" s="1"/>
      <c r="AER166" s="1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1"/>
      <c r="AFE166" s="1"/>
      <c r="AFF166" s="1"/>
      <c r="AFG166" s="1"/>
      <c r="AFH166" s="1"/>
      <c r="AFI166" s="1"/>
      <c r="AFJ166" s="1"/>
      <c r="AFK166" s="1"/>
      <c r="AFL166" s="1"/>
      <c r="AFM166" s="1"/>
      <c r="AFN166" s="1"/>
      <c r="AFO166" s="1"/>
      <c r="AFP166" s="1"/>
      <c r="AFQ166" s="1"/>
      <c r="AFR166" s="1"/>
      <c r="AFS166" s="1"/>
      <c r="AFT166" s="1"/>
      <c r="AFU166" s="1"/>
      <c r="AFV166" s="1"/>
      <c r="AFW166" s="1"/>
      <c r="AFX166" s="1"/>
      <c r="AFY166" s="1"/>
      <c r="AFZ166" s="1"/>
      <c r="AGA166" s="1"/>
      <c r="AGB166" s="1"/>
      <c r="AGC166" s="1"/>
      <c r="AGD166" s="1"/>
      <c r="AGE166" s="1"/>
      <c r="AGF166" s="1"/>
      <c r="AGG166" s="1"/>
      <c r="AGH166" s="1"/>
      <c r="AGI166" s="1"/>
      <c r="AGJ166" s="1"/>
      <c r="AGK166" s="1"/>
      <c r="AGL166" s="1"/>
      <c r="AGM166" s="1"/>
      <c r="AGN166" s="1"/>
      <c r="AGO166" s="1"/>
      <c r="AGP166" s="1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1"/>
      <c r="AHD166" s="1"/>
      <c r="AHE166" s="1"/>
      <c r="AHF166" s="1"/>
      <c r="AHG166" s="1"/>
      <c r="AHH166" s="1"/>
      <c r="AHI166" s="1"/>
      <c r="AHJ166" s="1"/>
      <c r="AHK166" s="1"/>
      <c r="AHL166" s="1"/>
      <c r="AHM166" s="1"/>
      <c r="AHN166" s="1"/>
      <c r="AHO166" s="1"/>
      <c r="AHP166" s="1"/>
      <c r="AHQ166" s="1"/>
      <c r="AHR166" s="1"/>
      <c r="AHS166" s="1"/>
      <c r="AHT166" s="1"/>
      <c r="AHU166" s="1"/>
      <c r="AHV166" s="1"/>
      <c r="AHW166" s="1"/>
      <c r="AHX166" s="1"/>
      <c r="AHY166" s="1"/>
      <c r="AHZ166" s="1"/>
      <c r="AIA166" s="1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1"/>
      <c r="AIQ166" s="1"/>
      <c r="AIR166" s="1"/>
      <c r="AIS166" s="1"/>
      <c r="AIT166" s="1"/>
      <c r="AIU166" s="1"/>
      <c r="AIV166" s="1"/>
      <c r="AIW166" s="1"/>
      <c r="AIX166" s="1"/>
      <c r="AIY166" s="1"/>
      <c r="AIZ166" s="1"/>
      <c r="AJA166" s="1"/>
      <c r="AJB166" s="1"/>
      <c r="AJC166" s="1"/>
      <c r="AJD166" s="1"/>
      <c r="AJE166" s="1"/>
      <c r="AJF166" s="1"/>
      <c r="AJG166" s="1"/>
      <c r="AJH166" s="1"/>
      <c r="AJI166" s="1"/>
      <c r="AJJ166" s="1"/>
      <c r="AJK166" s="1"/>
      <c r="AJL166" s="1"/>
      <c r="AJM166" s="1"/>
      <c r="AJN166" s="1"/>
      <c r="AJO166" s="1"/>
      <c r="AJP166" s="1"/>
      <c r="AJQ166" s="1"/>
      <c r="AJR166" s="1"/>
      <c r="AJS166" s="1"/>
      <c r="AJT166" s="1"/>
      <c r="AJU166" s="1"/>
      <c r="AJV166" s="1"/>
      <c r="AJW166" s="1"/>
      <c r="AJX166" s="1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1"/>
      <c r="AKO166" s="1"/>
      <c r="AKP166" s="1"/>
      <c r="AKQ166" s="1"/>
      <c r="AKR166" s="1"/>
      <c r="AKS166" s="1"/>
      <c r="AKT166" s="1"/>
      <c r="AKU166" s="1"/>
      <c r="AKV166" s="1"/>
      <c r="AKW166" s="1"/>
      <c r="AKX166" s="1"/>
      <c r="AKY166" s="1"/>
      <c r="AKZ166" s="1"/>
      <c r="ALA166" s="1"/>
      <c r="ALB166" s="1"/>
      <c r="ALC166" s="1"/>
      <c r="ALD166" s="1"/>
      <c r="ALE166" s="1"/>
      <c r="ALF166" s="1"/>
      <c r="ALG166" s="1"/>
      <c r="ALH166" s="1"/>
      <c r="ALI166" s="1"/>
      <c r="ALJ166" s="1"/>
      <c r="ALK166" s="1"/>
      <c r="ALL166" s="1"/>
      <c r="ALM166" s="1"/>
      <c r="ALN166" s="1"/>
      <c r="ALO166" s="1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1"/>
      <c r="AMA166" s="1"/>
      <c r="AMB166" s="1"/>
      <c r="AMC166" s="1"/>
      <c r="AMD166" s="1"/>
      <c r="AME166" s="1"/>
      <c r="AMF166" s="1"/>
      <c r="AMG166" s="1"/>
      <c r="AMH166" s="1"/>
      <c r="AMI166" s="1"/>
      <c r="AMJ166" s="1"/>
      <c r="AMK166" s="1"/>
      <c r="AML166" s="1"/>
      <c r="AMM166" s="1"/>
      <c r="AMN166" s="1"/>
      <c r="AMO166" s="1"/>
    </row>
    <row r="167" spans="1:1029" x14ac:dyDescent="0.2">
      <c r="A167" s="3" t="str">
        <f>CONCATENATE(B167,"_",C167)</f>
        <v>drd2_human_6CM4</v>
      </c>
      <c r="B167" s="3" t="s">
        <v>191</v>
      </c>
      <c r="C167" s="3" t="s">
        <v>1488</v>
      </c>
      <c r="D167" s="3" t="str">
        <f>IFERROR(MID(VLOOKUP($B167,Seqs!$A:$B,2,0),E167,1),"")</f>
        <v>N</v>
      </c>
      <c r="E167" s="3">
        <v>35</v>
      </c>
      <c r="F167" s="3" t="str">
        <f>IFERROR(MID(VLOOKUP($B167,Seqs!$A:$B,2,0),G167,1),"")</f>
        <v>E</v>
      </c>
      <c r="G167" s="3">
        <v>62</v>
      </c>
      <c r="H167" s="3" t="str">
        <f>IFERROR(MID(VLOOKUP($B167,Seqs!$A:$B,2,0),I167,1),"")</f>
        <v>K</v>
      </c>
      <c r="I167" s="23">
        <v>63</v>
      </c>
      <c r="J167" s="3" t="str">
        <f>IFERROR(MID(VLOOKUP($B167,Seqs!$A:$B,2,0),K167,1),"")</f>
        <v>Q</v>
      </c>
      <c r="K167" s="23">
        <v>66</v>
      </c>
      <c r="L167" s="3" t="str">
        <f>IFERROR(MID(VLOOKUP($B167,Seqs!$A:$B,2,0),M167,1),"")</f>
        <v>T</v>
      </c>
      <c r="M167" s="3">
        <v>67</v>
      </c>
      <c r="N167" s="3" t="str">
        <f>IFERROR(MID(VLOOKUP($B167,Seqs!$A:$B,2,0),O167,1),"")</f>
        <v>G</v>
      </c>
      <c r="O167" s="3">
        <v>98</v>
      </c>
      <c r="P167" s="3" t="str">
        <f>IFERROR(MID(VLOOKUP($B167,Seqs!$A:$B,2,0),Q167,1),"")</f>
        <v>E</v>
      </c>
      <c r="Q167" s="3">
        <v>99</v>
      </c>
      <c r="R167" s="3" t="str">
        <f>IFERROR(MID(VLOOKUP($B167,Seqs!$A:$B,2,0),S167,1),"")</f>
        <v>F</v>
      </c>
      <c r="S167" s="3">
        <v>102</v>
      </c>
      <c r="T167" s="3" t="str">
        <f>IFERROR(MID(VLOOKUP($B167,Seqs!$A:$B,2,0),U167,1),"")</f>
        <v>S</v>
      </c>
      <c r="U167" s="3">
        <v>103</v>
      </c>
      <c r="V167" s="3" t="str">
        <f>IFERROR(MID(VLOOKUP($B167,Seqs!$A:$B,2,0),W167,1),"")</f>
        <v>M</v>
      </c>
      <c r="W167" s="3">
        <v>138</v>
      </c>
      <c r="X167" s="3" t="str">
        <f>IFERROR(MID(VLOOKUP($B167,Seqs!$A:$B,2,0),Y167,1),"")</f>
        <v/>
      </c>
      <c r="Y167" s="3" t="s">
        <v>23</v>
      </c>
      <c r="Z167" s="3" t="str">
        <f>IFERROR(MID(VLOOKUP($B167,Seqs!$A:$B,2,0),AA167,1),"")</f>
        <v/>
      </c>
      <c r="AA167" s="3" t="s">
        <v>23</v>
      </c>
      <c r="AB167" s="3" t="str">
        <f>IFERROR(MID(VLOOKUP($B167,Seqs!$A:$B,2,0),AC167,1),"")</f>
        <v>Y</v>
      </c>
      <c r="AC167" s="3">
        <v>146</v>
      </c>
      <c r="AD167" s="3" t="str">
        <f>IFERROR(MID(VLOOKUP($B167,Seqs!$A:$B,2,0),AE167,1),"")</f>
        <v>F</v>
      </c>
      <c r="AE167" s="3">
        <v>172</v>
      </c>
      <c r="AF167" s="3" t="str">
        <f>IFERROR(MID(VLOOKUP($B167,Seqs!$A:$B,2,0),AG167,1),"")</f>
        <v>C</v>
      </c>
      <c r="AG167" s="3">
        <v>182</v>
      </c>
      <c r="AH167" s="3" t="str">
        <f>IFERROR(MID(VLOOKUP($B167,Seqs!$A:$B,2,0),AI167,1),"")</f>
        <v>I</v>
      </c>
      <c r="AI167" s="3">
        <v>184</v>
      </c>
      <c r="AJ167" s="3" t="str">
        <f>IFERROR(MID(VLOOKUP($B167,Seqs!$A:$B,2,0),AK167,1),"")</f>
        <v>A</v>
      </c>
      <c r="AK167" s="3">
        <v>188</v>
      </c>
      <c r="AL167" s="3" t="str">
        <f>IFERROR(MID(VLOOKUP($B167,Seqs!$A:$B,2,0),AM167,1),"")</f>
        <v>R</v>
      </c>
      <c r="AM167" s="3">
        <v>222</v>
      </c>
      <c r="AN167" s="3" t="str">
        <f>IFERROR(MID(VLOOKUP($B167,Seqs!$A:$B,2,0),AO167,1),"")</f>
        <v>E</v>
      </c>
      <c r="AO167" s="3">
        <v>368</v>
      </c>
      <c r="AP167" s="3" t="str">
        <f>IFERROR(MID(VLOOKUP($B167,Seqs!$A:$B,2,0),AQ167,1),"")</f>
        <v>C</v>
      </c>
      <c r="AQ167" s="3">
        <v>399</v>
      </c>
      <c r="AR167" s="3" t="str">
        <f>IFERROR(MID(VLOOKUP($B167,Seqs!$A:$B,2,0),AS167,1),"")</f>
        <v>P</v>
      </c>
      <c r="AS167" s="3">
        <v>404</v>
      </c>
      <c r="AT167" s="3" t="str">
        <f>IFERROR(MID(VLOOKUP($B167,Seqs!$A:$B,2,0),AU167,1),"")</f>
        <v>F</v>
      </c>
      <c r="AU167" s="3">
        <v>429</v>
      </c>
      <c r="AV167" s="3" t="str">
        <f>IFERROR(MID(VLOOKUP($B167,Seqs!$A:$B,2,0),AW167,1),"")</f>
        <v>N</v>
      </c>
      <c r="AW167" s="3">
        <v>430</v>
      </c>
      <c r="AX167" s="3" t="str">
        <f>IFERROR(MID(VLOOKUP($B167,Seqs!$A:$B,2,0),AY167,1),"")</f>
        <v>H</v>
      </c>
      <c r="AY167" s="3">
        <v>442</v>
      </c>
      <c r="AZ167" s="77" t="str">
        <f>VLOOKUP(B167,Classification!A:D,2,0)</f>
        <v>A</v>
      </c>
      <c r="BA167" s="94" t="str">
        <f>VLOOKUP(B167,Classification!A:D,4,0)</f>
        <v>Dopamine</v>
      </c>
      <c r="BB167" s="27" t="b">
        <f>AND(E167&lt;G167,OR(G167&lt;I167,I167="-"),OR(I167&lt;K167,I167="-"),OR(K167&lt;M167,K167="-"),M167&lt;O167,OR(O167&lt;Q167,Q167="-"),OR(Q167&lt;S167,Q167="-"),OR(S167&lt;U167,S167="-"),U167&lt;W167,OR(W167&lt;Y167,Y167="-"),OR(Y167&lt;AA167,Y167="-"),OR(AA167&lt;AC167,AA167="-"),AC167&lt;AE167,OR(AE167&lt;AG167,AG167="-"),OR(AG167&lt;AI167,AG167="-"),OR(AI167&lt;AK167,AI167="-"),AK167&lt;AM167,AM167&lt;AO167,AO167&lt;AQ167,AQ167&lt;AS167,AS167&lt;AU167,OR(AU167&lt;AW167,AW167="-"),OR(AW167&lt;AY167,AW167="-"))</f>
        <v>1</v>
      </c>
      <c r="BC167" s="23">
        <f>_xlfn.AGGREGATE(9,6,CH167:CS167)-_xlfn.AGGREGATE(9,6,BV167:CG167)+12</f>
        <v>241</v>
      </c>
      <c r="BD167" s="56" t="s">
        <v>1382</v>
      </c>
      <c r="BE167" s="3" t="s">
        <v>1380</v>
      </c>
      <c r="BF167" s="119">
        <v>2.87</v>
      </c>
      <c r="BG167" s="49" t="s">
        <v>1</v>
      </c>
      <c r="BH167" s="49" t="s">
        <v>1</v>
      </c>
      <c r="BI167" s="1"/>
      <c r="BJ167" s="70" t="s">
        <v>1293</v>
      </c>
      <c r="BK167" s="57" t="s">
        <v>1293</v>
      </c>
      <c r="BL167" s="57" t="s">
        <v>1293</v>
      </c>
      <c r="BM167" s="57" t="s">
        <v>1293</v>
      </c>
      <c r="BN167" s="57" t="s">
        <v>1293</v>
      </c>
      <c r="BO167" s="57" t="s">
        <v>1293</v>
      </c>
      <c r="BP167" s="57" t="s">
        <v>1293</v>
      </c>
      <c r="BQ167" s="57" t="s">
        <v>1293</v>
      </c>
      <c r="BR167" s="57" t="s">
        <v>1293</v>
      </c>
      <c r="BS167" s="57" t="s">
        <v>1293</v>
      </c>
      <c r="BT167" s="57" t="s">
        <v>1293</v>
      </c>
      <c r="BU167" s="57" t="s">
        <v>1293</v>
      </c>
      <c r="BV167" s="70">
        <f>E167</f>
        <v>35</v>
      </c>
      <c r="BW167" s="71">
        <f>I167</f>
        <v>63</v>
      </c>
      <c r="BX167" s="72">
        <f>M167</f>
        <v>67</v>
      </c>
      <c r="BY167" s="71">
        <f>Q167</f>
        <v>99</v>
      </c>
      <c r="BZ167" s="72">
        <f>U167</f>
        <v>103</v>
      </c>
      <c r="CA167" s="71" t="str">
        <f>Y167</f>
        <v>-</v>
      </c>
      <c r="CB167" s="72">
        <f>AC167</f>
        <v>146</v>
      </c>
      <c r="CC167" s="71">
        <f>AG167</f>
        <v>182</v>
      </c>
      <c r="CD167" s="72">
        <f>AK167</f>
        <v>188</v>
      </c>
      <c r="CE167" s="71">
        <f>AO167</f>
        <v>368</v>
      </c>
      <c r="CF167" s="72">
        <f>AS167</f>
        <v>404</v>
      </c>
      <c r="CG167" s="71">
        <f>AW167</f>
        <v>430</v>
      </c>
      <c r="CH167" s="70">
        <f>G167</f>
        <v>62</v>
      </c>
      <c r="CI167" s="71">
        <f>K167</f>
        <v>66</v>
      </c>
      <c r="CJ167" s="72">
        <f>O167</f>
        <v>98</v>
      </c>
      <c r="CK167" s="72">
        <f>S167</f>
        <v>102</v>
      </c>
      <c r="CL167" s="72">
        <f>W167</f>
        <v>138</v>
      </c>
      <c r="CM167" s="72" t="str">
        <f>AA167</f>
        <v>-</v>
      </c>
      <c r="CN167" s="72">
        <f>AE167</f>
        <v>172</v>
      </c>
      <c r="CO167" s="72">
        <f>AI167</f>
        <v>184</v>
      </c>
      <c r="CP167" s="72">
        <f>AM167</f>
        <v>222</v>
      </c>
      <c r="CQ167" s="72">
        <f>AQ167</f>
        <v>399</v>
      </c>
      <c r="CR167" s="72">
        <f>AU167</f>
        <v>429</v>
      </c>
      <c r="CS167" s="72">
        <f>AY167</f>
        <v>442</v>
      </c>
      <c r="CT167" s="23">
        <f>M167-K167</f>
        <v>1</v>
      </c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  <c r="ADW167" s="1"/>
      <c r="ADX167" s="1"/>
      <c r="ADY167" s="1"/>
      <c r="ADZ167" s="1"/>
      <c r="AEA167" s="1"/>
      <c r="AEB167" s="1"/>
      <c r="AEC167" s="1"/>
      <c r="AED167" s="1"/>
      <c r="AEE167" s="1"/>
      <c r="AEF167" s="1"/>
      <c r="AEG167" s="1"/>
      <c r="AEH167" s="1"/>
      <c r="AEI167" s="1"/>
      <c r="AEJ167" s="1"/>
      <c r="AEK167" s="1"/>
      <c r="AEL167" s="1"/>
      <c r="AEM167" s="1"/>
      <c r="AEN167" s="1"/>
      <c r="AEO167" s="1"/>
      <c r="AEP167" s="1"/>
      <c r="AEQ167" s="1"/>
      <c r="AER167" s="1"/>
      <c r="AES167" s="1"/>
      <c r="AET167" s="1"/>
      <c r="AEU167" s="1"/>
      <c r="AEV167" s="1"/>
      <c r="AEW167" s="1"/>
      <c r="AEX167" s="1"/>
      <c r="AEY167" s="1"/>
      <c r="AEZ167" s="1"/>
      <c r="AFA167" s="1"/>
      <c r="AFB167" s="1"/>
      <c r="AFC167" s="1"/>
      <c r="AFD167" s="1"/>
      <c r="AFE167" s="1"/>
      <c r="AFF167" s="1"/>
      <c r="AFG167" s="1"/>
      <c r="AFH167" s="1"/>
      <c r="AFI167" s="1"/>
      <c r="AFJ167" s="1"/>
      <c r="AFK167" s="1"/>
      <c r="AFL167" s="1"/>
      <c r="AFM167" s="1"/>
      <c r="AFN167" s="1"/>
      <c r="AFO167" s="1"/>
      <c r="AFP167" s="1"/>
      <c r="AFQ167" s="1"/>
      <c r="AFR167" s="1"/>
      <c r="AFS167" s="1"/>
      <c r="AFT167" s="1"/>
      <c r="AFU167" s="1"/>
      <c r="AFV167" s="1"/>
      <c r="AFW167" s="1"/>
      <c r="AFX167" s="1"/>
      <c r="AFY167" s="1"/>
      <c r="AFZ167" s="1"/>
      <c r="AGA167" s="1"/>
      <c r="AGB167" s="1"/>
      <c r="AGC167" s="1"/>
      <c r="AGD167" s="1"/>
      <c r="AGE167" s="1"/>
      <c r="AGF167" s="1"/>
      <c r="AGG167" s="1"/>
      <c r="AGH167" s="1"/>
      <c r="AGI167" s="1"/>
      <c r="AGJ167" s="1"/>
      <c r="AGK167" s="1"/>
      <c r="AGL167" s="1"/>
      <c r="AGM167" s="1"/>
      <c r="AGN167" s="1"/>
      <c r="AGO167" s="1"/>
      <c r="AGP167" s="1"/>
      <c r="AGQ167" s="1"/>
      <c r="AGR167" s="1"/>
      <c r="AGS167" s="1"/>
      <c r="AGT167" s="1"/>
      <c r="AGU167" s="1"/>
      <c r="AGV167" s="1"/>
      <c r="AGW167" s="1"/>
      <c r="AGX167" s="1"/>
      <c r="AGY167" s="1"/>
      <c r="AGZ167" s="1"/>
      <c r="AHA167" s="1"/>
      <c r="AHB167" s="1"/>
      <c r="AHC167" s="1"/>
      <c r="AHD167" s="1"/>
      <c r="AHE167" s="1"/>
      <c r="AHF167" s="1"/>
      <c r="AHG167" s="1"/>
      <c r="AHH167" s="1"/>
      <c r="AHI167" s="1"/>
      <c r="AHJ167" s="1"/>
      <c r="AHK167" s="1"/>
      <c r="AHL167" s="1"/>
      <c r="AHM167" s="1"/>
      <c r="AHN167" s="1"/>
      <c r="AHO167" s="1"/>
      <c r="AHP167" s="1"/>
      <c r="AHQ167" s="1"/>
      <c r="AHR167" s="1"/>
      <c r="AHS167" s="1"/>
      <c r="AHT167" s="1"/>
      <c r="AHU167" s="1"/>
      <c r="AHV167" s="1"/>
      <c r="AHW167" s="1"/>
      <c r="AHX167" s="1"/>
      <c r="AHY167" s="1"/>
      <c r="AHZ167" s="1"/>
      <c r="AIA167" s="1"/>
      <c r="AIB167" s="1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1"/>
      <c r="AIQ167" s="1"/>
      <c r="AIR167" s="1"/>
      <c r="AIS167" s="1"/>
      <c r="AIT167" s="1"/>
      <c r="AIU167" s="1"/>
      <c r="AIV167" s="1"/>
      <c r="AIW167" s="1"/>
      <c r="AIX167" s="1"/>
      <c r="AIY167" s="1"/>
      <c r="AIZ167" s="1"/>
      <c r="AJA167" s="1"/>
      <c r="AJB167" s="1"/>
      <c r="AJC167" s="1"/>
      <c r="AJD167" s="1"/>
      <c r="AJE167" s="1"/>
      <c r="AJF167" s="1"/>
      <c r="AJG167" s="1"/>
      <c r="AJH167" s="1"/>
      <c r="AJI167" s="1"/>
      <c r="AJJ167" s="1"/>
      <c r="AJK167" s="1"/>
      <c r="AJL167" s="1"/>
      <c r="AJM167" s="1"/>
      <c r="AJN167" s="1"/>
      <c r="AJO167" s="1"/>
      <c r="AJP167" s="1"/>
      <c r="AJQ167" s="1"/>
      <c r="AJR167" s="1"/>
      <c r="AJS167" s="1"/>
      <c r="AJT167" s="1"/>
      <c r="AJU167" s="1"/>
      <c r="AJV167" s="1"/>
      <c r="AJW167" s="1"/>
      <c r="AJX167" s="1"/>
      <c r="AJY167" s="1"/>
      <c r="AJZ167" s="1"/>
      <c r="AKA167" s="1"/>
      <c r="AKB167" s="1"/>
      <c r="AKC167" s="1"/>
      <c r="AKD167" s="1"/>
      <c r="AKE167" s="1"/>
      <c r="AKF167" s="1"/>
      <c r="AKG167" s="1"/>
      <c r="AKH167" s="1"/>
      <c r="AKI167" s="1"/>
      <c r="AKJ167" s="1"/>
      <c r="AKK167" s="1"/>
      <c r="AKL167" s="1"/>
      <c r="AKM167" s="1"/>
      <c r="AKN167" s="1"/>
      <c r="AKO167" s="1"/>
      <c r="AKP167" s="1"/>
      <c r="AKQ167" s="1"/>
      <c r="AKR167" s="1"/>
      <c r="AKS167" s="1"/>
      <c r="AKT167" s="1"/>
      <c r="AKU167" s="1"/>
      <c r="AKV167" s="1"/>
      <c r="AKW167" s="1"/>
      <c r="AKX167" s="1"/>
      <c r="AKY167" s="1"/>
      <c r="AKZ167" s="1"/>
      <c r="ALA167" s="1"/>
      <c r="ALB167" s="1"/>
      <c r="ALC167" s="1"/>
      <c r="ALD167" s="1"/>
      <c r="ALE167" s="1"/>
      <c r="ALF167" s="1"/>
      <c r="ALG167" s="1"/>
      <c r="ALH167" s="1"/>
      <c r="ALI167" s="1"/>
      <c r="ALJ167" s="1"/>
      <c r="ALK167" s="1"/>
      <c r="ALL167" s="1"/>
      <c r="ALM167" s="1"/>
      <c r="ALN167" s="1"/>
      <c r="ALO167" s="1"/>
      <c r="ALP167" s="1"/>
      <c r="ALQ167" s="1"/>
      <c r="ALR167" s="1"/>
      <c r="ALS167" s="1"/>
      <c r="ALT167" s="1"/>
      <c r="ALU167" s="1"/>
      <c r="ALV167" s="1"/>
      <c r="ALW167" s="1"/>
      <c r="ALX167" s="1"/>
      <c r="ALY167" s="1"/>
      <c r="ALZ167" s="1"/>
      <c r="AMA167" s="1"/>
      <c r="AMB167" s="1"/>
      <c r="AMC167" s="1"/>
      <c r="AMD167" s="1"/>
      <c r="AME167" s="1"/>
      <c r="AMF167" s="1"/>
      <c r="AMG167" s="1"/>
      <c r="AMH167" s="1"/>
      <c r="AMI167" s="1"/>
      <c r="AMJ167" s="1"/>
      <c r="AMK167" s="1"/>
      <c r="AML167" s="1"/>
      <c r="AMM167" s="1"/>
      <c r="AMN167" s="1"/>
      <c r="AMO167" s="1"/>
    </row>
    <row r="168" spans="1:1029" x14ac:dyDescent="0.2">
      <c r="A168" s="3" t="str">
        <f t="shared" si="699"/>
        <v>drd3_human__wt</v>
      </c>
      <c r="B168" s="3" t="s">
        <v>192</v>
      </c>
      <c r="C168" s="3" t="s">
        <v>100</v>
      </c>
      <c r="D168" s="3" t="str">
        <f>IFERROR(MID(VLOOKUP($B168,Seqs!$A:$B,2,0),E168,1),"")</f>
        <v>A</v>
      </c>
      <c r="E168" s="3">
        <v>26</v>
      </c>
      <c r="F168" s="3" t="str">
        <f>IFERROR(MID(VLOOKUP($B168,Seqs!$A:$B,2,0),G168,1),"")</f>
        <v>E</v>
      </c>
      <c r="G168" s="3">
        <v>57</v>
      </c>
      <c r="H168" s="3" t="str">
        <f>IFERROR(MID(VLOOKUP($B168,Seqs!$A:$B,2,0),I168,1),"")</f>
        <v>R</v>
      </c>
      <c r="I168" s="23">
        <v>58</v>
      </c>
      <c r="J168" s="3" t="str">
        <f>IFERROR(MID(VLOOKUP($B168,Seqs!$A:$B,2,0),K168,1),"")</f>
        <v>Q</v>
      </c>
      <c r="K168" s="23">
        <v>61</v>
      </c>
      <c r="L168" s="3" t="str">
        <f>IFERROR(MID(VLOOKUP($B168,Seqs!$A:$B,2,0),M168,1),"")</f>
        <v>T</v>
      </c>
      <c r="M168" s="3">
        <v>62</v>
      </c>
      <c r="N168" s="3" t="str">
        <f>IFERROR(MID(VLOOKUP($B168,Seqs!$A:$B,2,0),O168,1),"")</f>
        <v>T</v>
      </c>
      <c r="O168" s="3">
        <v>92</v>
      </c>
      <c r="P168" s="3" t="str">
        <f>IFERROR(MID(VLOOKUP($B168,Seqs!$A:$B,2,0),Q168,1),"")</f>
        <v>V</v>
      </c>
      <c r="Q168" s="3">
        <v>95</v>
      </c>
      <c r="R168" s="3" t="str">
        <f>IFERROR(MID(VLOOKUP($B168,Seqs!$A:$B,2,0),S168,1),"")</f>
        <v>F</v>
      </c>
      <c r="S168" s="3">
        <v>98</v>
      </c>
      <c r="T168" s="3" t="str">
        <f>IFERROR(MID(VLOOKUP($B168,Seqs!$A:$B,2,0),U168,1),"")</f>
        <v>S</v>
      </c>
      <c r="U168" s="3">
        <v>99</v>
      </c>
      <c r="V168" s="3" t="str">
        <f>IFERROR(MID(VLOOKUP($B168,Seqs!$A:$B,2,0),W168,1),"")</f>
        <v>M</v>
      </c>
      <c r="W168" s="3">
        <v>134</v>
      </c>
      <c r="X168" s="3" t="str">
        <f>IFERROR(MID(VLOOKUP($B168,Seqs!$A:$B,2,0),Y168,1),"")</f>
        <v>P</v>
      </c>
      <c r="Y168" s="3">
        <v>135</v>
      </c>
      <c r="Z168" s="3" t="str">
        <f>IFERROR(MID(VLOOKUP($B168,Seqs!$A:$B,2,0),AA168,1),"")</f>
        <v>G</v>
      </c>
      <c r="AA168" s="3">
        <v>143</v>
      </c>
      <c r="AB168" s="3" t="str">
        <f>IFERROR(MID(VLOOKUP($B168,Seqs!$A:$B,2,0),AC168,1),"")</f>
        <v>S</v>
      </c>
      <c r="AC168" s="3">
        <v>146</v>
      </c>
      <c r="AD168" s="3" t="str">
        <f>IFERROR(MID(VLOOKUP($B168,Seqs!$A:$B,2,0),AE168,1),"")</f>
        <v>G</v>
      </c>
      <c r="AE168" s="3">
        <v>171</v>
      </c>
      <c r="AF168" s="3" t="str">
        <f>IFERROR(MID(VLOOKUP($B168,Seqs!$A:$B,2,0),AG168,1),"")</f>
        <v>C</v>
      </c>
      <c r="AG168" s="3">
        <v>181</v>
      </c>
      <c r="AH168" s="3" t="str">
        <f>IFERROR(MID(VLOOKUP($B168,Seqs!$A:$B,2,0),AI168,1),"")</f>
        <v>I</v>
      </c>
      <c r="AI168" s="3">
        <v>183</v>
      </c>
      <c r="AJ168" s="3" t="str">
        <f>IFERROR(MID(VLOOKUP($B168,Seqs!$A:$B,2,0),AK168,1),"")</f>
        <v>N</v>
      </c>
      <c r="AK168" s="3">
        <v>185</v>
      </c>
      <c r="AL168" s="3" t="str">
        <f>IFERROR(MID(VLOOKUP($B168,Seqs!$A:$B,2,0),AM168,1),"")</f>
        <v>R</v>
      </c>
      <c r="AM168" s="3">
        <v>226</v>
      </c>
      <c r="AN168" s="3" t="str">
        <f>IFERROR(MID(VLOOKUP($B168,Seqs!$A:$B,2,0),AO168,1),"")</f>
        <v>R</v>
      </c>
      <c r="AO168" s="3">
        <v>318</v>
      </c>
      <c r="AP168" s="3" t="str">
        <f>IFERROR(MID(VLOOKUP($B168,Seqs!$A:$B,2,0),AQ168,1),"")</f>
        <v>H</v>
      </c>
      <c r="AQ168" s="3">
        <v>354</v>
      </c>
      <c r="AR168" s="3" t="str">
        <f>IFERROR(MID(VLOOKUP($B168,Seqs!$A:$B,2,0),AS168,1),"")</f>
        <v>S</v>
      </c>
      <c r="AS168" s="3">
        <v>361</v>
      </c>
      <c r="AT168" s="3" t="str">
        <f>IFERROR(MID(VLOOKUP($B168,Seqs!$A:$B,2,0),AU168,1),"")</f>
        <v>F</v>
      </c>
      <c r="AU168" s="3">
        <v>386</v>
      </c>
      <c r="AV168" s="3" t="str">
        <f>IFERROR(MID(VLOOKUP($B168,Seqs!$A:$B,2,0),AW168,1),"")</f>
        <v>N</v>
      </c>
      <c r="AW168" s="3">
        <v>387</v>
      </c>
      <c r="AX168" s="3" t="str">
        <f>IFERROR(MID(VLOOKUP($B168,Seqs!$A:$B,2,0),AY168,1),"")</f>
        <v>S</v>
      </c>
      <c r="AY168" s="3">
        <v>399</v>
      </c>
      <c r="AZ168" s="77" t="str">
        <f>VLOOKUP(B168,Classification!A:D,2,0)</f>
        <v>A</v>
      </c>
      <c r="BA168" s="94" t="str">
        <f>VLOOKUP(B168,Classification!A:D,4,0)</f>
        <v>Dopamine</v>
      </c>
      <c r="BB168" s="27" t="b">
        <f t="shared" si="700"/>
        <v>1</v>
      </c>
      <c r="BC168" s="23">
        <f t="shared" si="841"/>
        <v>263</v>
      </c>
      <c r="BD168" s="56" t="s">
        <v>23</v>
      </c>
      <c r="BE168" s="3" t="s">
        <v>23</v>
      </c>
      <c r="BF168" s="119" t="s">
        <v>23</v>
      </c>
      <c r="BG168" s="49" t="s">
        <v>1378</v>
      </c>
      <c r="BH168" s="49" t="s">
        <v>1383</v>
      </c>
      <c r="BI168" s="1"/>
      <c r="BJ168" s="70" t="s">
        <v>1293</v>
      </c>
      <c r="BK168" s="57" t="s">
        <v>1293</v>
      </c>
      <c r="BL168" s="57" t="s">
        <v>1293</v>
      </c>
      <c r="BM168" s="57" t="s">
        <v>1293</v>
      </c>
      <c r="BN168" s="57" t="s">
        <v>1293</v>
      </c>
      <c r="BO168" s="57" t="s">
        <v>1293</v>
      </c>
      <c r="BP168" s="57" t="s">
        <v>1293</v>
      </c>
      <c r="BQ168" s="57" t="s">
        <v>1293</v>
      </c>
      <c r="BR168" s="57" t="s">
        <v>1293</v>
      </c>
      <c r="BS168" s="57" t="s">
        <v>1293</v>
      </c>
      <c r="BT168" s="57" t="s">
        <v>1293</v>
      </c>
      <c r="BU168" s="57" t="s">
        <v>1293</v>
      </c>
      <c r="BV168" s="70">
        <f t="shared" si="842"/>
        <v>26</v>
      </c>
      <c r="BW168" s="71">
        <f t="shared" si="843"/>
        <v>58</v>
      </c>
      <c r="BX168" s="72">
        <f t="shared" si="844"/>
        <v>62</v>
      </c>
      <c r="BY168" s="71">
        <f t="shared" si="845"/>
        <v>95</v>
      </c>
      <c r="BZ168" s="72">
        <f t="shared" si="846"/>
        <v>99</v>
      </c>
      <c r="CA168" s="71">
        <f t="shared" si="847"/>
        <v>135</v>
      </c>
      <c r="CB168" s="72">
        <f t="shared" si="848"/>
        <v>146</v>
      </c>
      <c r="CC168" s="71">
        <f t="shared" si="849"/>
        <v>181</v>
      </c>
      <c r="CD168" s="72">
        <f t="shared" si="850"/>
        <v>185</v>
      </c>
      <c r="CE168" s="71">
        <f t="shared" si="851"/>
        <v>318</v>
      </c>
      <c r="CF168" s="72">
        <f t="shared" si="852"/>
        <v>361</v>
      </c>
      <c r="CG168" s="71">
        <f t="shared" si="853"/>
        <v>387</v>
      </c>
      <c r="CH168" s="70">
        <f t="shared" si="854"/>
        <v>57</v>
      </c>
      <c r="CI168" s="71">
        <f t="shared" si="855"/>
        <v>61</v>
      </c>
      <c r="CJ168" s="72">
        <f t="shared" si="856"/>
        <v>92</v>
      </c>
      <c r="CK168" s="72">
        <f t="shared" si="857"/>
        <v>98</v>
      </c>
      <c r="CL168" s="72">
        <f t="shared" si="858"/>
        <v>134</v>
      </c>
      <c r="CM168" s="72">
        <f t="shared" si="859"/>
        <v>143</v>
      </c>
      <c r="CN168" s="72">
        <f t="shared" si="860"/>
        <v>171</v>
      </c>
      <c r="CO168" s="72">
        <f t="shared" si="861"/>
        <v>183</v>
      </c>
      <c r="CP168" s="72">
        <f t="shared" si="862"/>
        <v>226</v>
      </c>
      <c r="CQ168" s="72">
        <f t="shared" si="863"/>
        <v>354</v>
      </c>
      <c r="CR168" s="72">
        <f t="shared" si="864"/>
        <v>386</v>
      </c>
      <c r="CS168" s="72">
        <f t="shared" si="865"/>
        <v>399</v>
      </c>
      <c r="CT168" s="23">
        <f t="shared" si="866"/>
        <v>1</v>
      </c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  <c r="ADW168" s="1"/>
      <c r="ADX168" s="1"/>
      <c r="ADY168" s="1"/>
      <c r="ADZ168" s="1"/>
      <c r="AEA168" s="1"/>
      <c r="AEB168" s="1"/>
      <c r="AEC168" s="1"/>
      <c r="AED168" s="1"/>
      <c r="AEE168" s="1"/>
      <c r="AEF168" s="1"/>
      <c r="AEG168" s="1"/>
      <c r="AEH168" s="1"/>
      <c r="AEI168" s="1"/>
      <c r="AEJ168" s="1"/>
      <c r="AEK168" s="1"/>
      <c r="AEL168" s="1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1"/>
      <c r="AFN168" s="1"/>
      <c r="AFO168" s="1"/>
      <c r="AFP168" s="1"/>
      <c r="AFQ168" s="1"/>
      <c r="AFR168" s="1"/>
      <c r="AFS168" s="1"/>
      <c r="AFT168" s="1"/>
      <c r="AFU168" s="1"/>
      <c r="AFV168" s="1"/>
      <c r="AFW168" s="1"/>
      <c r="AFX168" s="1"/>
      <c r="AFY168" s="1"/>
      <c r="AFZ168" s="1"/>
      <c r="AGA168" s="1"/>
      <c r="AGB168" s="1"/>
      <c r="AGC168" s="1"/>
      <c r="AGD168" s="1"/>
      <c r="AGE168" s="1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1"/>
      <c r="AHD168" s="1"/>
      <c r="AHE168" s="1"/>
      <c r="AHF168" s="1"/>
      <c r="AHG168" s="1"/>
      <c r="AHH168" s="1"/>
      <c r="AHI168" s="1"/>
      <c r="AHJ168" s="1"/>
      <c r="AHK168" s="1"/>
      <c r="AHL168" s="1"/>
      <c r="AHM168" s="1"/>
      <c r="AHN168" s="1"/>
      <c r="AHO168" s="1"/>
      <c r="AHP168" s="1"/>
      <c r="AHQ168" s="1"/>
      <c r="AHR168" s="1"/>
      <c r="AHS168" s="1"/>
      <c r="AHT168" s="1"/>
      <c r="AHU168" s="1"/>
      <c r="AHV168" s="1"/>
      <c r="AHW168" s="1"/>
      <c r="AHX168" s="1"/>
      <c r="AHY168" s="1"/>
      <c r="AHZ168" s="1"/>
      <c r="AIA168" s="1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1"/>
      <c r="AIQ168" s="1"/>
      <c r="AIR168" s="1"/>
      <c r="AIS168" s="1"/>
      <c r="AIT168" s="1"/>
      <c r="AIU168" s="1"/>
      <c r="AIV168" s="1"/>
      <c r="AIW168" s="1"/>
      <c r="AIX168" s="1"/>
      <c r="AIY168" s="1"/>
      <c r="AIZ168" s="1"/>
      <c r="AJA168" s="1"/>
      <c r="AJB168" s="1"/>
      <c r="AJC168" s="1"/>
      <c r="AJD168" s="1"/>
      <c r="AJE168" s="1"/>
      <c r="AJF168" s="1"/>
      <c r="AJG168" s="1"/>
      <c r="AJH168" s="1"/>
      <c r="AJI168" s="1"/>
      <c r="AJJ168" s="1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1"/>
      <c r="AJX168" s="1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1"/>
      <c r="AKR168" s="1"/>
      <c r="AKS168" s="1"/>
      <c r="AKT168" s="1"/>
      <c r="AKU168" s="1"/>
      <c r="AKV168" s="1"/>
      <c r="AKW168" s="1"/>
      <c r="AKX168" s="1"/>
      <c r="AKY168" s="1"/>
      <c r="AKZ168" s="1"/>
      <c r="ALA168" s="1"/>
      <c r="ALB168" s="1"/>
      <c r="ALC168" s="1"/>
      <c r="ALD168" s="1"/>
      <c r="ALE168" s="1"/>
      <c r="ALF168" s="1"/>
      <c r="ALG168" s="1"/>
      <c r="ALH168" s="1"/>
      <c r="ALI168" s="1"/>
      <c r="ALJ168" s="1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1"/>
      <c r="AMB168" s="1"/>
      <c r="AMC168" s="1"/>
      <c r="AMD168" s="1"/>
      <c r="AME168" s="1"/>
      <c r="AMF168" s="1"/>
      <c r="AMG168" s="1"/>
      <c r="AMH168" s="1"/>
      <c r="AMI168" s="1"/>
      <c r="AMJ168" s="1"/>
      <c r="AMK168" s="1"/>
      <c r="AML168" s="1"/>
      <c r="AMM168" s="1"/>
      <c r="AMN168" s="1"/>
      <c r="AMO168" s="1"/>
    </row>
    <row r="169" spans="1:1029" x14ac:dyDescent="0.2">
      <c r="A169" s="3" t="str">
        <f t="shared" si="699"/>
        <v>drd3_human_3PBL</v>
      </c>
      <c r="B169" s="3" t="s">
        <v>192</v>
      </c>
      <c r="C169" s="3" t="s">
        <v>72</v>
      </c>
      <c r="D169" s="3" t="str">
        <f>IFERROR(MID(VLOOKUP($B169,Seqs!$A:$B,2,0),E169,1),"")</f>
        <v>Y</v>
      </c>
      <c r="E169" s="3">
        <v>32</v>
      </c>
      <c r="F169" s="3" t="str">
        <f>IFERROR(MID(VLOOKUP($B169,Seqs!$A:$B,2,0),G169,1),"")</f>
        <v>E</v>
      </c>
      <c r="G169" s="3">
        <v>57</v>
      </c>
      <c r="H169" s="3" t="str">
        <f>IFERROR(MID(VLOOKUP($B169,Seqs!$A:$B,2,0),I169,1),"")</f>
        <v>R</v>
      </c>
      <c r="I169" s="23">
        <v>58</v>
      </c>
      <c r="J169" s="3" t="str">
        <f>IFERROR(MID(VLOOKUP($B169,Seqs!$A:$B,2,0),K169,1),"")</f>
        <v>Q</v>
      </c>
      <c r="K169" s="23">
        <v>61</v>
      </c>
      <c r="L169" s="3" t="str">
        <f>IFERROR(MID(VLOOKUP($B169,Seqs!$A:$B,2,0),M169,1),"")</f>
        <v>T</v>
      </c>
      <c r="M169" s="3">
        <v>62</v>
      </c>
      <c r="N169" s="3" t="str">
        <f>IFERROR(MID(VLOOKUP($B169,Seqs!$A:$B,2,0),O169,1),"")</f>
        <v>T</v>
      </c>
      <c r="O169" s="3">
        <v>92</v>
      </c>
      <c r="P169" s="3" t="str">
        <f>IFERROR(MID(VLOOKUP($B169,Seqs!$A:$B,2,0),Q169,1),"")</f>
        <v>V</v>
      </c>
      <c r="Q169" s="3">
        <v>95</v>
      </c>
      <c r="R169" s="3" t="str">
        <f>IFERROR(MID(VLOOKUP($B169,Seqs!$A:$B,2,0),S169,1),"")</f>
        <v>F</v>
      </c>
      <c r="S169" s="3">
        <v>98</v>
      </c>
      <c r="T169" s="3" t="str">
        <f>IFERROR(MID(VLOOKUP($B169,Seqs!$A:$B,2,0),U169,1),"")</f>
        <v>S</v>
      </c>
      <c r="U169" s="3">
        <v>99</v>
      </c>
      <c r="V169" s="3" t="str">
        <f>IFERROR(MID(VLOOKUP($B169,Seqs!$A:$B,2,0),W169,1),"")</f>
        <v>M</v>
      </c>
      <c r="W169" s="3">
        <v>134</v>
      </c>
      <c r="X169" s="3" t="str">
        <f>IFERROR(MID(VLOOKUP($B169,Seqs!$A:$B,2,0),Y169,1),"")</f>
        <v>P</v>
      </c>
      <c r="Y169" s="3">
        <v>135</v>
      </c>
      <c r="Z169" s="3" t="str">
        <f>IFERROR(MID(VLOOKUP($B169,Seqs!$A:$B,2,0),AA169,1),"")</f>
        <v>G</v>
      </c>
      <c r="AA169" s="3">
        <v>143</v>
      </c>
      <c r="AB169" s="3" t="str">
        <f>IFERROR(MID(VLOOKUP($B169,Seqs!$A:$B,2,0),AC169,1),"")</f>
        <v>S</v>
      </c>
      <c r="AC169" s="3">
        <v>146</v>
      </c>
      <c r="AD169" s="3" t="str">
        <f>IFERROR(MID(VLOOKUP($B169,Seqs!$A:$B,2,0),AE169,1),"")</f>
        <v>G</v>
      </c>
      <c r="AE169" s="3">
        <v>171</v>
      </c>
      <c r="AF169" s="3" t="str">
        <f>IFERROR(MID(VLOOKUP($B169,Seqs!$A:$B,2,0),AG169,1),"")</f>
        <v>C</v>
      </c>
      <c r="AG169" s="3">
        <v>181</v>
      </c>
      <c r="AH169" s="3" t="str">
        <f>IFERROR(MID(VLOOKUP($B169,Seqs!$A:$B,2,0),AI169,1),"")</f>
        <v>I</v>
      </c>
      <c r="AI169" s="3">
        <v>183</v>
      </c>
      <c r="AJ169" s="3" t="str">
        <f>IFERROR(MID(VLOOKUP($B169,Seqs!$A:$B,2,0),AK169,1),"")</f>
        <v>N</v>
      </c>
      <c r="AK169" s="3">
        <v>185</v>
      </c>
      <c r="AL169" s="3" t="str">
        <f>IFERROR(MID(VLOOKUP($B169,Seqs!$A:$B,2,0),AM169,1),"")</f>
        <v>K</v>
      </c>
      <c r="AM169" s="3">
        <v>216</v>
      </c>
      <c r="AN169" s="3" t="str">
        <f>IFERROR(MID(VLOOKUP($B169,Seqs!$A:$B,2,0),AO169,1),"")</f>
        <v>R</v>
      </c>
      <c r="AO169" s="3">
        <v>323</v>
      </c>
      <c r="AP169" s="3" t="str">
        <f>IFERROR(MID(VLOOKUP($B169,Seqs!$A:$B,2,0),AQ169,1),"")</f>
        <v>H</v>
      </c>
      <c r="AQ169" s="3">
        <v>354</v>
      </c>
      <c r="AR169" s="3" t="str">
        <f>IFERROR(MID(VLOOKUP($B169,Seqs!$A:$B,2,0),AS169,1),"")</f>
        <v>S</v>
      </c>
      <c r="AS169" s="3">
        <v>361</v>
      </c>
      <c r="AT169" s="3" t="str">
        <f>IFERROR(MID(VLOOKUP($B169,Seqs!$A:$B,2,0),AU169,1),"")</f>
        <v>F</v>
      </c>
      <c r="AU169" s="3">
        <v>386</v>
      </c>
      <c r="AV169" s="3" t="str">
        <f>IFERROR(MID(VLOOKUP($B169,Seqs!$A:$B,2,0),AW169,1),"")</f>
        <v>N</v>
      </c>
      <c r="AW169" s="3">
        <v>387</v>
      </c>
      <c r="AX169" s="3" t="str">
        <f>IFERROR(MID(VLOOKUP($B169,Seqs!$A:$B,2,0),AY169,1),"")</f>
        <v>S</v>
      </c>
      <c r="AY169" s="3">
        <v>399</v>
      </c>
      <c r="AZ169" s="77" t="str">
        <f>VLOOKUP(B169,Classification!A:D,2,0)</f>
        <v>A</v>
      </c>
      <c r="BA169" s="94" t="str">
        <f>VLOOKUP(B169,Classification!A:D,4,0)</f>
        <v>Dopamine</v>
      </c>
      <c r="BB169" s="27" t="b">
        <f t="shared" si="700"/>
        <v>1</v>
      </c>
      <c r="BC169" s="23">
        <f t="shared" si="841"/>
        <v>242</v>
      </c>
      <c r="BD169" s="2" t="s">
        <v>1382</v>
      </c>
      <c r="BE169" s="3" t="s">
        <v>1380</v>
      </c>
      <c r="BF169" s="119">
        <v>2.89</v>
      </c>
      <c r="BG169" s="49" t="s">
        <v>1383</v>
      </c>
      <c r="BH169" s="49" t="s">
        <v>1383</v>
      </c>
      <c r="BI169" s="1"/>
      <c r="BJ169" s="70" t="s">
        <v>1293</v>
      </c>
      <c r="BK169" s="57" t="s">
        <v>1293</v>
      </c>
      <c r="BL169" s="57" t="s">
        <v>1293</v>
      </c>
      <c r="BM169" s="57" t="s">
        <v>1293</v>
      </c>
      <c r="BN169" s="57" t="s">
        <v>1293</v>
      </c>
      <c r="BO169" s="57" t="s">
        <v>1293</v>
      </c>
      <c r="BP169" s="57" t="s">
        <v>1293</v>
      </c>
      <c r="BQ169" s="57" t="s">
        <v>1293</v>
      </c>
      <c r="BR169" s="57" t="s">
        <v>1293</v>
      </c>
      <c r="BS169" s="57" t="s">
        <v>1293</v>
      </c>
      <c r="BT169" s="57" t="s">
        <v>1293</v>
      </c>
      <c r="BU169" s="57" t="s">
        <v>1293</v>
      </c>
      <c r="BV169" s="70">
        <f t="shared" si="842"/>
        <v>32</v>
      </c>
      <c r="BW169" s="71">
        <f t="shared" si="843"/>
        <v>58</v>
      </c>
      <c r="BX169" s="72">
        <f t="shared" si="844"/>
        <v>62</v>
      </c>
      <c r="BY169" s="71">
        <f t="shared" si="845"/>
        <v>95</v>
      </c>
      <c r="BZ169" s="72">
        <f t="shared" si="846"/>
        <v>99</v>
      </c>
      <c r="CA169" s="71">
        <f t="shared" si="847"/>
        <v>135</v>
      </c>
      <c r="CB169" s="72">
        <f t="shared" si="848"/>
        <v>146</v>
      </c>
      <c r="CC169" s="71">
        <f t="shared" si="849"/>
        <v>181</v>
      </c>
      <c r="CD169" s="72">
        <f t="shared" si="850"/>
        <v>185</v>
      </c>
      <c r="CE169" s="71">
        <f t="shared" si="851"/>
        <v>323</v>
      </c>
      <c r="CF169" s="72">
        <f t="shared" si="852"/>
        <v>361</v>
      </c>
      <c r="CG169" s="71">
        <f t="shared" si="853"/>
        <v>387</v>
      </c>
      <c r="CH169" s="70">
        <f t="shared" si="854"/>
        <v>57</v>
      </c>
      <c r="CI169" s="71">
        <f t="shared" si="855"/>
        <v>61</v>
      </c>
      <c r="CJ169" s="72">
        <f t="shared" si="856"/>
        <v>92</v>
      </c>
      <c r="CK169" s="72">
        <f t="shared" si="857"/>
        <v>98</v>
      </c>
      <c r="CL169" s="72">
        <f t="shared" si="858"/>
        <v>134</v>
      </c>
      <c r="CM169" s="72">
        <f t="shared" si="859"/>
        <v>143</v>
      </c>
      <c r="CN169" s="72">
        <f t="shared" si="860"/>
        <v>171</v>
      </c>
      <c r="CO169" s="72">
        <f t="shared" si="861"/>
        <v>183</v>
      </c>
      <c r="CP169" s="72">
        <f t="shared" si="862"/>
        <v>216</v>
      </c>
      <c r="CQ169" s="72">
        <f t="shared" si="863"/>
        <v>354</v>
      </c>
      <c r="CR169" s="72">
        <f t="shared" si="864"/>
        <v>386</v>
      </c>
      <c r="CS169" s="72">
        <f t="shared" si="865"/>
        <v>399</v>
      </c>
      <c r="CT169" s="23">
        <f t="shared" si="866"/>
        <v>1</v>
      </c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  <c r="ADW169" s="1"/>
      <c r="ADX169" s="1"/>
      <c r="ADY169" s="1"/>
      <c r="ADZ169" s="1"/>
      <c r="AEA169" s="1"/>
      <c r="AEB169" s="1"/>
      <c r="AEC169" s="1"/>
      <c r="AED169" s="1"/>
      <c r="AEE169" s="1"/>
      <c r="AEF169" s="1"/>
      <c r="AEG169" s="1"/>
      <c r="AEH169" s="1"/>
      <c r="AEI169" s="1"/>
      <c r="AEJ169" s="1"/>
      <c r="AEK169" s="1"/>
      <c r="AEL169" s="1"/>
      <c r="AEM169" s="1"/>
      <c r="AEN169" s="1"/>
      <c r="AEO169" s="1"/>
      <c r="AEP169" s="1"/>
      <c r="AEQ169" s="1"/>
      <c r="AER169" s="1"/>
      <c r="AES169" s="1"/>
      <c r="AET169" s="1"/>
      <c r="AEU169" s="1"/>
      <c r="AEV169" s="1"/>
      <c r="AEW169" s="1"/>
      <c r="AEX169" s="1"/>
      <c r="AEY169" s="1"/>
      <c r="AEZ169" s="1"/>
      <c r="AFA169" s="1"/>
      <c r="AFB169" s="1"/>
      <c r="AFC169" s="1"/>
      <c r="AFD169" s="1"/>
      <c r="AFE169" s="1"/>
      <c r="AFF169" s="1"/>
      <c r="AFG169" s="1"/>
      <c r="AFH169" s="1"/>
      <c r="AFI169" s="1"/>
      <c r="AFJ169" s="1"/>
      <c r="AFK169" s="1"/>
      <c r="AFL169" s="1"/>
      <c r="AFM169" s="1"/>
      <c r="AFN169" s="1"/>
      <c r="AFO169" s="1"/>
      <c r="AFP169" s="1"/>
      <c r="AFQ169" s="1"/>
      <c r="AFR169" s="1"/>
      <c r="AFS169" s="1"/>
      <c r="AFT169" s="1"/>
      <c r="AFU169" s="1"/>
      <c r="AFV169" s="1"/>
      <c r="AFW169" s="1"/>
      <c r="AFX169" s="1"/>
      <c r="AFY169" s="1"/>
      <c r="AFZ169" s="1"/>
      <c r="AGA169" s="1"/>
      <c r="AGB169" s="1"/>
      <c r="AGC169" s="1"/>
      <c r="AGD169" s="1"/>
      <c r="AGE169" s="1"/>
      <c r="AGF169" s="1"/>
      <c r="AGG169" s="1"/>
      <c r="AGH169" s="1"/>
      <c r="AGI169" s="1"/>
      <c r="AGJ169" s="1"/>
      <c r="AGK169" s="1"/>
      <c r="AGL169" s="1"/>
      <c r="AGM169" s="1"/>
      <c r="AGN169" s="1"/>
      <c r="AGO169" s="1"/>
      <c r="AGP169" s="1"/>
      <c r="AGQ169" s="1"/>
      <c r="AGR169" s="1"/>
      <c r="AGS169" s="1"/>
      <c r="AGT169" s="1"/>
      <c r="AGU169" s="1"/>
      <c r="AGV169" s="1"/>
      <c r="AGW169" s="1"/>
      <c r="AGX169" s="1"/>
      <c r="AGY169" s="1"/>
      <c r="AGZ169" s="1"/>
      <c r="AHA169" s="1"/>
      <c r="AHB169" s="1"/>
      <c r="AHC169" s="1"/>
      <c r="AHD169" s="1"/>
      <c r="AHE169" s="1"/>
      <c r="AHF169" s="1"/>
      <c r="AHG169" s="1"/>
      <c r="AHH169" s="1"/>
      <c r="AHI169" s="1"/>
      <c r="AHJ169" s="1"/>
      <c r="AHK169" s="1"/>
      <c r="AHL169" s="1"/>
      <c r="AHM169" s="1"/>
      <c r="AHN169" s="1"/>
      <c r="AHO169" s="1"/>
      <c r="AHP169" s="1"/>
      <c r="AHQ169" s="1"/>
      <c r="AHR169" s="1"/>
      <c r="AHS169" s="1"/>
      <c r="AHT169" s="1"/>
      <c r="AHU169" s="1"/>
      <c r="AHV169" s="1"/>
      <c r="AHW169" s="1"/>
      <c r="AHX169" s="1"/>
      <c r="AHY169" s="1"/>
      <c r="AHZ169" s="1"/>
      <c r="AIA169" s="1"/>
      <c r="AIB169" s="1"/>
      <c r="AIC169" s="1"/>
      <c r="AID169" s="1"/>
      <c r="AIE169" s="1"/>
      <c r="AIF169" s="1"/>
      <c r="AIG169" s="1"/>
      <c r="AIH169" s="1"/>
      <c r="AII169" s="1"/>
      <c r="AIJ169" s="1"/>
      <c r="AIK169" s="1"/>
      <c r="AIL169" s="1"/>
      <c r="AIM169" s="1"/>
      <c r="AIN169" s="1"/>
      <c r="AIO169" s="1"/>
      <c r="AIP169" s="1"/>
      <c r="AIQ169" s="1"/>
      <c r="AIR169" s="1"/>
      <c r="AIS169" s="1"/>
      <c r="AIT169" s="1"/>
      <c r="AIU169" s="1"/>
      <c r="AIV169" s="1"/>
      <c r="AIW169" s="1"/>
      <c r="AIX169" s="1"/>
      <c r="AIY169" s="1"/>
      <c r="AIZ169" s="1"/>
      <c r="AJA169" s="1"/>
      <c r="AJB169" s="1"/>
      <c r="AJC169" s="1"/>
      <c r="AJD169" s="1"/>
      <c r="AJE169" s="1"/>
      <c r="AJF169" s="1"/>
      <c r="AJG169" s="1"/>
      <c r="AJH169" s="1"/>
      <c r="AJI169" s="1"/>
      <c r="AJJ169" s="1"/>
      <c r="AJK169" s="1"/>
      <c r="AJL169" s="1"/>
      <c r="AJM169" s="1"/>
      <c r="AJN169" s="1"/>
      <c r="AJO169" s="1"/>
      <c r="AJP169" s="1"/>
      <c r="AJQ169" s="1"/>
      <c r="AJR169" s="1"/>
      <c r="AJS169" s="1"/>
      <c r="AJT169" s="1"/>
      <c r="AJU169" s="1"/>
      <c r="AJV169" s="1"/>
      <c r="AJW169" s="1"/>
      <c r="AJX169" s="1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1"/>
      <c r="AKO169" s="1"/>
      <c r="AKP169" s="1"/>
      <c r="AKQ169" s="1"/>
      <c r="AKR169" s="1"/>
      <c r="AKS169" s="1"/>
      <c r="AKT169" s="1"/>
      <c r="AKU169" s="1"/>
      <c r="AKV169" s="1"/>
      <c r="AKW169" s="1"/>
      <c r="AKX169" s="1"/>
      <c r="AKY169" s="1"/>
      <c r="AKZ169" s="1"/>
      <c r="ALA169" s="1"/>
      <c r="ALB169" s="1"/>
      <c r="ALC169" s="1"/>
      <c r="ALD169" s="1"/>
      <c r="ALE169" s="1"/>
      <c r="ALF169" s="1"/>
      <c r="ALG169" s="1"/>
      <c r="ALH169" s="1"/>
      <c r="ALI169" s="1"/>
      <c r="ALJ169" s="1"/>
      <c r="ALK169" s="1"/>
      <c r="ALL169" s="1"/>
      <c r="ALM169" s="1"/>
      <c r="ALN169" s="1"/>
      <c r="ALO169" s="1"/>
      <c r="ALP169" s="1"/>
      <c r="ALQ169" s="1"/>
      <c r="ALR169" s="1"/>
      <c r="ALS169" s="1"/>
      <c r="ALT169" s="1"/>
      <c r="ALU169" s="1"/>
      <c r="ALV169" s="1"/>
      <c r="ALW169" s="1"/>
      <c r="ALX169" s="1"/>
      <c r="ALY169" s="1"/>
      <c r="ALZ169" s="1"/>
      <c r="AMA169" s="1"/>
      <c r="AMB169" s="1"/>
      <c r="AMC169" s="1"/>
      <c r="AMD169" s="1"/>
      <c r="AME169" s="1"/>
      <c r="AMF169" s="1"/>
      <c r="AMG169" s="1"/>
      <c r="AMH169" s="1"/>
      <c r="AMI169" s="1"/>
      <c r="AMJ169" s="1"/>
      <c r="AMK169" s="1"/>
      <c r="AML169" s="1"/>
      <c r="AMM169" s="1"/>
      <c r="AMN169" s="1"/>
      <c r="AMO169" s="1"/>
    </row>
    <row r="170" spans="1:1029" x14ac:dyDescent="0.2">
      <c r="A170" s="3" t="str">
        <f>CONCATENATE(B170,"_",C170)</f>
        <v>drd4_human__wt</v>
      </c>
      <c r="B170" s="3" t="s">
        <v>193</v>
      </c>
      <c r="C170" s="3" t="s">
        <v>100</v>
      </c>
      <c r="D170" s="3" t="str">
        <f>IFERROR(MID(VLOOKUP($B170,Seqs!$A:$B,2,0),E170,1),"")</f>
        <v>A</v>
      </c>
      <c r="E170" s="3">
        <v>31</v>
      </c>
      <c r="F170" s="3" t="str">
        <f>IFERROR(MID(VLOOKUP($B170,Seqs!$A:$B,2,0),G170,1),"")</f>
        <v>E</v>
      </c>
      <c r="G170" s="3">
        <v>62</v>
      </c>
      <c r="H170" s="3" t="str">
        <f>IFERROR(MID(VLOOKUP($B170,Seqs!$A:$B,2,0),I170,1),"")</f>
        <v>R</v>
      </c>
      <c r="I170" s="23">
        <v>63</v>
      </c>
      <c r="J170" s="3" t="str">
        <f>IFERROR(MID(VLOOKUP($B170,Seqs!$A:$B,2,0),K170,1),"")</f>
        <v>Q</v>
      </c>
      <c r="K170" s="23">
        <v>66</v>
      </c>
      <c r="L170" s="3" t="str">
        <f>IFERROR(MID(VLOOKUP($B170,Seqs!$A:$B,2,0),M170,1),"")</f>
        <v>T</v>
      </c>
      <c r="M170" s="3">
        <v>67</v>
      </c>
      <c r="N170" s="3" t="str">
        <f>IFERROR(MID(VLOOKUP($B170,Seqs!$A:$B,2,0),O170,1),"")</f>
        <v>Q</v>
      </c>
      <c r="O170" s="3">
        <v>97</v>
      </c>
      <c r="P170" s="3" t="str">
        <f>IFERROR(MID(VLOOKUP($B170,Seqs!$A:$B,2,0),Q170,1),"")</f>
        <v>A</v>
      </c>
      <c r="Q170" s="3">
        <v>100</v>
      </c>
      <c r="R170" s="3" t="str">
        <f>IFERROR(MID(VLOOKUP($B170,Seqs!$A:$B,2,0),S170,1),"")</f>
        <v>L</v>
      </c>
      <c r="S170" s="3">
        <v>103</v>
      </c>
      <c r="T170" s="3" t="str">
        <f>IFERROR(MID(VLOOKUP($B170,Seqs!$A:$B,2,0),U170,1),"")</f>
        <v>S</v>
      </c>
      <c r="U170" s="3">
        <v>104</v>
      </c>
      <c r="V170" s="3" t="str">
        <f>IFERROR(MID(VLOOKUP($B170,Seqs!$A:$B,2,0),W170,1),"")</f>
        <v>V</v>
      </c>
      <c r="W170" s="3">
        <v>139</v>
      </c>
      <c r="X170" s="3" t="str">
        <f>IFERROR(MID(VLOOKUP($B170,Seqs!$A:$B,2,0),Y170,1),"")</f>
        <v>P</v>
      </c>
      <c r="Y170" s="3">
        <v>140</v>
      </c>
      <c r="Z170" s="3" t="str">
        <f>IFERROR(MID(VLOOKUP($B170,Seqs!$A:$B,2,0),AA170,1),"")</f>
        <v>G</v>
      </c>
      <c r="AA170" s="3">
        <v>147</v>
      </c>
      <c r="AB170" s="3" t="str">
        <f>IFERROR(MID(VLOOKUP($B170,Seqs!$A:$B,2,0),AC170,1),"")</f>
        <v>G</v>
      </c>
      <c r="AC170" s="3">
        <v>148</v>
      </c>
      <c r="AD170" s="3" t="str">
        <f>IFERROR(MID(VLOOKUP($B170,Seqs!$A:$B,2,0),AE170,1),"")</f>
        <v>G</v>
      </c>
      <c r="AE170" s="3">
        <v>173</v>
      </c>
      <c r="AF170" s="3" t="str">
        <f>IFERROR(MID(VLOOKUP($B170,Seqs!$A:$B,2,0),AG170,1),"")</f>
        <v>C</v>
      </c>
      <c r="AG170" s="3">
        <v>185</v>
      </c>
      <c r="AH170" s="3" t="str">
        <f>IFERROR(MID(VLOOKUP($B170,Seqs!$A:$B,2,0),AI170,1),"")</f>
        <v>L</v>
      </c>
      <c r="AI170" s="3">
        <v>187</v>
      </c>
      <c r="AJ170" s="3" t="str">
        <f>IFERROR(MID(VLOOKUP($B170,Seqs!$A:$B,2,0),AK170,1),"")</f>
        <v>D</v>
      </c>
      <c r="AK170" s="3">
        <v>189</v>
      </c>
      <c r="AL170" s="3" t="str">
        <f>IFERROR(MID(VLOOKUP($B170,Seqs!$A:$B,2,0),AM170,1),"")</f>
        <v>K</v>
      </c>
      <c r="AM170" s="3">
        <v>229</v>
      </c>
      <c r="AN170" s="3" t="str">
        <f>IFERROR(MID(VLOOKUP($B170,Seqs!$A:$B,2,0),AO170,1),"")</f>
        <v>A</v>
      </c>
      <c r="AO170" s="3">
        <v>383</v>
      </c>
      <c r="AP170" s="3" t="str">
        <f>IFERROR(MID(VLOOKUP($B170,Seqs!$A:$B,2,0),AQ170,1),"")</f>
        <v>C</v>
      </c>
      <c r="AQ170" s="3">
        <v>420</v>
      </c>
      <c r="AR170" s="3" t="str">
        <f>IFERROR(MID(VLOOKUP($B170,Seqs!$A:$B,2,0),AS170,1),"")</f>
        <v>P</v>
      </c>
      <c r="AS170" s="3">
        <v>426</v>
      </c>
      <c r="AT170" s="3" t="str">
        <f>IFERROR(MID(VLOOKUP($B170,Seqs!$A:$B,2,0),AU170,1),"")</f>
        <v>F</v>
      </c>
      <c r="AU170" s="3">
        <v>451</v>
      </c>
      <c r="AV170" s="3" t="str">
        <f>IFERROR(MID(VLOOKUP($B170,Seqs!$A:$B,2,0),AW170,1),"")</f>
        <v>N</v>
      </c>
      <c r="AW170" s="3">
        <v>452</v>
      </c>
      <c r="AX170" s="3" t="str">
        <f>IFERROR(MID(VLOOKUP($B170,Seqs!$A:$B,2,0),AY170,1),"")</f>
        <v>R</v>
      </c>
      <c r="AY170" s="3">
        <v>464</v>
      </c>
      <c r="AZ170" s="77" t="str">
        <f>VLOOKUP(B170,Classification!A:D,2,0)</f>
        <v>A</v>
      </c>
      <c r="BA170" s="94" t="str">
        <f>VLOOKUP(B170,Classification!A:D,4,0)</f>
        <v>Dopamine</v>
      </c>
      <c r="BB170" s="27" t="b">
        <f>AND(E170&lt;G170,OR(G170&lt;I170,I170="-"),OR(I170&lt;K170,I170="-"),OR(K170&lt;M170,K170="-"),M170&lt;O170,OR(O170&lt;Q170,Q170="-"),OR(Q170&lt;S170,Q170="-"),OR(S170&lt;U170,S170="-"),U170&lt;W170,OR(W170&lt;Y170,Y170="-"),OR(Y170&lt;AA170,Y170="-"),OR(AA170&lt;AC170,AA170="-"),AC170&lt;AE170,OR(AE170&lt;AG170,AG170="-"),OR(AG170&lt;AI170,AG170="-"),OR(AI170&lt;AK170,AI170="-"),AK170&lt;AM170,AM170&lt;AO170,AO170&lt;AQ170,AQ170&lt;AS170,AS170&lt;AU170,OR(AU170&lt;AW170,AW170="-"),OR(AW170&lt;AY170,AW170="-"))</f>
        <v>1</v>
      </c>
      <c r="BC170" s="23">
        <f>_xlfn.AGGREGATE(9,6,CH170:CS170)-_xlfn.AGGREGATE(9,6,BV170:CG170)+12</f>
        <v>262</v>
      </c>
      <c r="BD170" s="2" t="s">
        <v>23</v>
      </c>
      <c r="BE170" s="3" t="s">
        <v>1380</v>
      </c>
      <c r="BF170" s="119" t="s">
        <v>23</v>
      </c>
      <c r="BG170" s="49" t="s">
        <v>1383</v>
      </c>
      <c r="BH170" s="49" t="s">
        <v>1383</v>
      </c>
      <c r="BI170" s="1"/>
      <c r="BJ170" s="70" t="s">
        <v>1293</v>
      </c>
      <c r="BK170" s="57" t="s">
        <v>1293</v>
      </c>
      <c r="BL170" s="57" t="s">
        <v>1293</v>
      </c>
      <c r="BM170" s="57" t="s">
        <v>1293</v>
      </c>
      <c r="BN170" s="57" t="s">
        <v>1293</v>
      </c>
      <c r="BO170" s="57" t="s">
        <v>1293</v>
      </c>
      <c r="BP170" s="57" t="s">
        <v>1293</v>
      </c>
      <c r="BQ170" s="57" t="s">
        <v>1293</v>
      </c>
      <c r="BR170" s="57" t="s">
        <v>1293</v>
      </c>
      <c r="BS170" s="57" t="s">
        <v>1293</v>
      </c>
      <c r="BT170" s="57" t="s">
        <v>1293</v>
      </c>
      <c r="BU170" s="57" t="s">
        <v>1293</v>
      </c>
      <c r="BV170" s="70">
        <f>E170</f>
        <v>31</v>
      </c>
      <c r="BW170" s="71">
        <f>I170</f>
        <v>63</v>
      </c>
      <c r="BX170" s="72">
        <f>M170</f>
        <v>67</v>
      </c>
      <c r="BY170" s="71">
        <f>Q170</f>
        <v>100</v>
      </c>
      <c r="BZ170" s="72">
        <f>U170</f>
        <v>104</v>
      </c>
      <c r="CA170" s="71">
        <f>Y170</f>
        <v>140</v>
      </c>
      <c r="CB170" s="72">
        <f>AC170</f>
        <v>148</v>
      </c>
      <c r="CC170" s="71">
        <f>AG170</f>
        <v>185</v>
      </c>
      <c r="CD170" s="72">
        <f>AK170</f>
        <v>189</v>
      </c>
      <c r="CE170" s="71">
        <f>AO170</f>
        <v>383</v>
      </c>
      <c r="CF170" s="72">
        <f>AS170</f>
        <v>426</v>
      </c>
      <c r="CG170" s="71">
        <f>AW170</f>
        <v>452</v>
      </c>
      <c r="CH170" s="70">
        <f>G170</f>
        <v>62</v>
      </c>
      <c r="CI170" s="71">
        <f>K170</f>
        <v>66</v>
      </c>
      <c r="CJ170" s="72">
        <f>O170</f>
        <v>97</v>
      </c>
      <c r="CK170" s="72">
        <f>S170</f>
        <v>103</v>
      </c>
      <c r="CL170" s="72">
        <f>W170</f>
        <v>139</v>
      </c>
      <c r="CM170" s="72">
        <f>AA170</f>
        <v>147</v>
      </c>
      <c r="CN170" s="72">
        <f>AE170</f>
        <v>173</v>
      </c>
      <c r="CO170" s="72">
        <f>AI170</f>
        <v>187</v>
      </c>
      <c r="CP170" s="72">
        <f>AM170</f>
        <v>229</v>
      </c>
      <c r="CQ170" s="72">
        <f>AQ170</f>
        <v>420</v>
      </c>
      <c r="CR170" s="72">
        <f>AU170</f>
        <v>451</v>
      </c>
      <c r="CS170" s="72">
        <f>AY170</f>
        <v>464</v>
      </c>
      <c r="CT170" s="23">
        <f>M170-K170</f>
        <v>1</v>
      </c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  <c r="ADW170" s="1"/>
      <c r="ADX170" s="1"/>
      <c r="ADY170" s="1"/>
      <c r="ADZ170" s="1"/>
      <c r="AEA170" s="1"/>
      <c r="AEB170" s="1"/>
      <c r="AEC170" s="1"/>
      <c r="AED170" s="1"/>
      <c r="AEE170" s="1"/>
      <c r="AEF170" s="1"/>
      <c r="AEG170" s="1"/>
      <c r="AEH170" s="1"/>
      <c r="AEI170" s="1"/>
      <c r="AEJ170" s="1"/>
      <c r="AEK170" s="1"/>
      <c r="AEL170" s="1"/>
      <c r="AEM170" s="1"/>
      <c r="AEN170" s="1"/>
      <c r="AEO170" s="1"/>
      <c r="AEP170" s="1"/>
      <c r="AEQ170" s="1"/>
      <c r="AER170" s="1"/>
      <c r="AES170" s="1"/>
      <c r="AET170" s="1"/>
      <c r="AEU170" s="1"/>
      <c r="AEV170" s="1"/>
      <c r="AEW170" s="1"/>
      <c r="AEX170" s="1"/>
      <c r="AEY170" s="1"/>
      <c r="AEZ170" s="1"/>
      <c r="AFA170" s="1"/>
      <c r="AFB170" s="1"/>
      <c r="AFC170" s="1"/>
      <c r="AFD170" s="1"/>
      <c r="AFE170" s="1"/>
      <c r="AFF170" s="1"/>
      <c r="AFG170" s="1"/>
      <c r="AFH170" s="1"/>
      <c r="AFI170" s="1"/>
      <c r="AFJ170" s="1"/>
      <c r="AFK170" s="1"/>
      <c r="AFL170" s="1"/>
      <c r="AFM170" s="1"/>
      <c r="AFN170" s="1"/>
      <c r="AFO170" s="1"/>
      <c r="AFP170" s="1"/>
      <c r="AFQ170" s="1"/>
      <c r="AFR170" s="1"/>
      <c r="AFS170" s="1"/>
      <c r="AFT170" s="1"/>
      <c r="AFU170" s="1"/>
      <c r="AFV170" s="1"/>
      <c r="AFW170" s="1"/>
      <c r="AFX170" s="1"/>
      <c r="AFY170" s="1"/>
      <c r="AFZ170" s="1"/>
      <c r="AGA170" s="1"/>
      <c r="AGB170" s="1"/>
      <c r="AGC170" s="1"/>
      <c r="AGD170" s="1"/>
      <c r="AGE170" s="1"/>
      <c r="AGF170" s="1"/>
      <c r="AGG170" s="1"/>
      <c r="AGH170" s="1"/>
      <c r="AGI170" s="1"/>
      <c r="AGJ170" s="1"/>
      <c r="AGK170" s="1"/>
      <c r="AGL170" s="1"/>
      <c r="AGM170" s="1"/>
      <c r="AGN170" s="1"/>
      <c r="AGO170" s="1"/>
      <c r="AGP170" s="1"/>
      <c r="AGQ170" s="1"/>
      <c r="AGR170" s="1"/>
      <c r="AGS170" s="1"/>
      <c r="AGT170" s="1"/>
      <c r="AGU170" s="1"/>
      <c r="AGV170" s="1"/>
      <c r="AGW170" s="1"/>
      <c r="AGX170" s="1"/>
      <c r="AGY170" s="1"/>
      <c r="AGZ170" s="1"/>
      <c r="AHA170" s="1"/>
      <c r="AHB170" s="1"/>
      <c r="AHC170" s="1"/>
      <c r="AHD170" s="1"/>
      <c r="AHE170" s="1"/>
      <c r="AHF170" s="1"/>
      <c r="AHG170" s="1"/>
      <c r="AHH170" s="1"/>
      <c r="AHI170" s="1"/>
      <c r="AHJ170" s="1"/>
      <c r="AHK170" s="1"/>
      <c r="AHL170" s="1"/>
      <c r="AHM170" s="1"/>
      <c r="AHN170" s="1"/>
      <c r="AHO170" s="1"/>
      <c r="AHP170" s="1"/>
      <c r="AHQ170" s="1"/>
      <c r="AHR170" s="1"/>
      <c r="AHS170" s="1"/>
      <c r="AHT170" s="1"/>
      <c r="AHU170" s="1"/>
      <c r="AHV170" s="1"/>
      <c r="AHW170" s="1"/>
      <c r="AHX170" s="1"/>
      <c r="AHY170" s="1"/>
      <c r="AHZ170" s="1"/>
      <c r="AIA170" s="1"/>
      <c r="AIB170" s="1"/>
      <c r="AIC170" s="1"/>
      <c r="AID170" s="1"/>
      <c r="AIE170" s="1"/>
      <c r="AIF170" s="1"/>
      <c r="AIG170" s="1"/>
      <c r="AIH170" s="1"/>
      <c r="AII170" s="1"/>
      <c r="AIJ170" s="1"/>
      <c r="AIK170" s="1"/>
      <c r="AIL170" s="1"/>
      <c r="AIM170" s="1"/>
      <c r="AIN170" s="1"/>
      <c r="AIO170" s="1"/>
      <c r="AIP170" s="1"/>
      <c r="AIQ170" s="1"/>
      <c r="AIR170" s="1"/>
      <c r="AIS170" s="1"/>
      <c r="AIT170" s="1"/>
      <c r="AIU170" s="1"/>
      <c r="AIV170" s="1"/>
      <c r="AIW170" s="1"/>
      <c r="AIX170" s="1"/>
      <c r="AIY170" s="1"/>
      <c r="AIZ170" s="1"/>
      <c r="AJA170" s="1"/>
      <c r="AJB170" s="1"/>
      <c r="AJC170" s="1"/>
      <c r="AJD170" s="1"/>
      <c r="AJE170" s="1"/>
      <c r="AJF170" s="1"/>
      <c r="AJG170" s="1"/>
      <c r="AJH170" s="1"/>
      <c r="AJI170" s="1"/>
      <c r="AJJ170" s="1"/>
      <c r="AJK170" s="1"/>
      <c r="AJL170" s="1"/>
      <c r="AJM170" s="1"/>
      <c r="AJN170" s="1"/>
      <c r="AJO170" s="1"/>
      <c r="AJP170" s="1"/>
      <c r="AJQ170" s="1"/>
      <c r="AJR170" s="1"/>
      <c r="AJS170" s="1"/>
      <c r="AJT170" s="1"/>
      <c r="AJU170" s="1"/>
      <c r="AJV170" s="1"/>
      <c r="AJW170" s="1"/>
      <c r="AJX170" s="1"/>
      <c r="AJY170" s="1"/>
      <c r="AJZ170" s="1"/>
      <c r="AKA170" s="1"/>
      <c r="AKB170" s="1"/>
      <c r="AKC170" s="1"/>
      <c r="AKD170" s="1"/>
      <c r="AKE170" s="1"/>
      <c r="AKF170" s="1"/>
      <c r="AKG170" s="1"/>
      <c r="AKH170" s="1"/>
      <c r="AKI170" s="1"/>
      <c r="AKJ170" s="1"/>
      <c r="AKK170" s="1"/>
      <c r="AKL170" s="1"/>
      <c r="AKM170" s="1"/>
      <c r="AKN170" s="1"/>
      <c r="AKO170" s="1"/>
      <c r="AKP170" s="1"/>
      <c r="AKQ170" s="1"/>
      <c r="AKR170" s="1"/>
      <c r="AKS170" s="1"/>
      <c r="AKT170" s="1"/>
      <c r="AKU170" s="1"/>
      <c r="AKV170" s="1"/>
      <c r="AKW170" s="1"/>
      <c r="AKX170" s="1"/>
      <c r="AKY170" s="1"/>
      <c r="AKZ170" s="1"/>
      <c r="ALA170" s="1"/>
      <c r="ALB170" s="1"/>
      <c r="ALC170" s="1"/>
      <c r="ALD170" s="1"/>
      <c r="ALE170" s="1"/>
      <c r="ALF170" s="1"/>
      <c r="ALG170" s="1"/>
      <c r="ALH170" s="1"/>
      <c r="ALI170" s="1"/>
      <c r="ALJ170" s="1"/>
      <c r="ALK170" s="1"/>
      <c r="ALL170" s="1"/>
      <c r="ALM170" s="1"/>
      <c r="ALN170" s="1"/>
      <c r="ALO170" s="1"/>
      <c r="ALP170" s="1"/>
      <c r="ALQ170" s="1"/>
      <c r="ALR170" s="1"/>
      <c r="ALS170" s="1"/>
      <c r="ALT170" s="1"/>
      <c r="ALU170" s="1"/>
      <c r="ALV170" s="1"/>
      <c r="ALW170" s="1"/>
      <c r="ALX170" s="1"/>
      <c r="ALY170" s="1"/>
      <c r="ALZ170" s="1"/>
      <c r="AMA170" s="1"/>
      <c r="AMB170" s="1"/>
      <c r="AMC170" s="1"/>
      <c r="AMD170" s="1"/>
      <c r="AME170" s="1"/>
      <c r="AMF170" s="1"/>
      <c r="AMG170" s="1"/>
      <c r="AMH170" s="1"/>
      <c r="AMI170" s="1"/>
      <c r="AMJ170" s="1"/>
      <c r="AMK170" s="1"/>
      <c r="AML170" s="1"/>
      <c r="AMM170" s="1"/>
      <c r="AMN170" s="1"/>
      <c r="AMO170" s="1"/>
    </row>
    <row r="171" spans="1:1029" x14ac:dyDescent="0.2">
      <c r="A171" s="3" t="str">
        <f>CONCATENATE(B171,"_",C171)</f>
        <v>drd4_human_5WIU</v>
      </c>
      <c r="B171" s="3" t="s">
        <v>193</v>
      </c>
      <c r="C171" s="3" t="s">
        <v>1455</v>
      </c>
      <c r="D171" s="3" t="str">
        <f>IFERROR(MID(VLOOKUP($B171,Seqs!$A:$B,2,0),E171,1),"")</f>
        <v>G</v>
      </c>
      <c r="E171" s="3">
        <v>34</v>
      </c>
      <c r="F171" s="3" t="str">
        <f>IFERROR(MID(VLOOKUP($B171,Seqs!$A:$B,2,0),G171,1),"")</f>
        <v>E</v>
      </c>
      <c r="G171" s="3">
        <v>62</v>
      </c>
      <c r="H171" s="3" t="str">
        <f>IFERROR(MID(VLOOKUP($B171,Seqs!$A:$B,2,0),I171,1),"")</f>
        <v>R</v>
      </c>
      <c r="I171" s="23">
        <v>63</v>
      </c>
      <c r="J171" s="3" t="str">
        <f>IFERROR(MID(VLOOKUP($B171,Seqs!$A:$B,2,0),K171,1),"")</f>
        <v>Q</v>
      </c>
      <c r="K171" s="23">
        <v>66</v>
      </c>
      <c r="L171" s="3" t="str">
        <f>IFERROR(MID(VLOOKUP($B171,Seqs!$A:$B,2,0),M171,1),"")</f>
        <v>T</v>
      </c>
      <c r="M171" s="3">
        <v>67</v>
      </c>
      <c r="N171" s="3" t="str">
        <f>IFERROR(MID(VLOOKUP($B171,Seqs!$A:$B,2,0),O171,1),"")</f>
        <v>Q</v>
      </c>
      <c r="O171" s="3">
        <v>97</v>
      </c>
      <c r="P171" s="3" t="str">
        <f>IFERROR(MID(VLOOKUP($B171,Seqs!$A:$B,2,0),Q171,1),"")</f>
        <v>A</v>
      </c>
      <c r="Q171" s="3">
        <v>100</v>
      </c>
      <c r="R171" s="3" t="str">
        <f>IFERROR(MID(VLOOKUP($B171,Seqs!$A:$B,2,0),S171,1),"")</f>
        <v>L</v>
      </c>
      <c r="S171" s="3">
        <v>103</v>
      </c>
      <c r="T171" s="3" t="str">
        <f>IFERROR(MID(VLOOKUP($B171,Seqs!$A:$B,2,0),U171,1),"")</f>
        <v>S</v>
      </c>
      <c r="U171" s="3">
        <v>104</v>
      </c>
      <c r="V171" s="3" t="str">
        <f>IFERROR(MID(VLOOKUP($B171,Seqs!$A:$B,2,0),W171,1),"")</f>
        <v>V</v>
      </c>
      <c r="W171" s="3">
        <v>139</v>
      </c>
      <c r="X171" s="3" t="str">
        <f>IFERROR(MID(VLOOKUP($B171,Seqs!$A:$B,2,0),Y171,1),"")</f>
        <v/>
      </c>
      <c r="Y171" s="3" t="s">
        <v>23</v>
      </c>
      <c r="Z171" s="3" t="str">
        <f>IFERROR(MID(VLOOKUP($B171,Seqs!$A:$B,2,0),AA171,1),"")</f>
        <v/>
      </c>
      <c r="AA171" s="3" t="s">
        <v>23</v>
      </c>
      <c r="AB171" s="3" t="str">
        <f>IFERROR(MID(VLOOKUP($B171,Seqs!$A:$B,2,0),AC171,1),"")</f>
        <v>R</v>
      </c>
      <c r="AC171" s="3">
        <v>150</v>
      </c>
      <c r="AD171" s="3" t="str">
        <f>IFERROR(MID(VLOOKUP($B171,Seqs!$A:$B,2,0),AE171,1),"")</f>
        <v>G</v>
      </c>
      <c r="AE171" s="3">
        <v>173</v>
      </c>
      <c r="AF171" s="3" t="str">
        <f>IFERROR(MID(VLOOKUP($B171,Seqs!$A:$B,2,0),AG171,1),"")</f>
        <v>C</v>
      </c>
      <c r="AG171" s="3">
        <v>185</v>
      </c>
      <c r="AH171" s="3" t="str">
        <f>IFERROR(MID(VLOOKUP($B171,Seqs!$A:$B,2,0),AI171,1),"")</f>
        <v>L</v>
      </c>
      <c r="AI171" s="3">
        <v>187</v>
      </c>
      <c r="AJ171" s="3" t="str">
        <f>IFERROR(MID(VLOOKUP($B171,Seqs!$A:$B,2,0),AK171,1),"")</f>
        <v>D</v>
      </c>
      <c r="AK171" s="3">
        <v>189</v>
      </c>
      <c r="AL171" s="3" t="str">
        <f>IFERROR(MID(VLOOKUP($B171,Seqs!$A:$B,2,0),AM171,1),"")</f>
        <v>W</v>
      </c>
      <c r="AM171" s="3">
        <v>222</v>
      </c>
      <c r="AN171" s="3" t="str">
        <f>IFERROR(MID(VLOOKUP($B171,Seqs!$A:$B,2,0),AO171,1),"")</f>
        <v>V</v>
      </c>
      <c r="AO171" s="3">
        <v>395</v>
      </c>
      <c r="AP171" s="3" t="str">
        <f>IFERROR(MID(VLOOKUP($B171,Seqs!$A:$B,2,0),AQ171,1),"")</f>
        <v>C</v>
      </c>
      <c r="AQ171" s="3">
        <v>420</v>
      </c>
      <c r="AR171" s="3" t="str">
        <f>IFERROR(MID(VLOOKUP($B171,Seqs!$A:$B,2,0),AS171,1),"")</f>
        <v>P</v>
      </c>
      <c r="AS171" s="3">
        <v>426</v>
      </c>
      <c r="AT171" s="3" t="str">
        <f>IFERROR(MID(VLOOKUP($B171,Seqs!$A:$B,2,0),AU171,1),"")</f>
        <v>F</v>
      </c>
      <c r="AU171" s="3">
        <v>451</v>
      </c>
      <c r="AV171" s="3" t="str">
        <f>IFERROR(MID(VLOOKUP($B171,Seqs!$A:$B,2,0),AW171,1),"")</f>
        <v>N</v>
      </c>
      <c r="AW171" s="3">
        <v>452</v>
      </c>
      <c r="AX171" s="3" t="str">
        <f>IFERROR(MID(VLOOKUP($B171,Seqs!$A:$B,2,0),AY171,1),"")</f>
        <v>R</v>
      </c>
      <c r="AY171" s="3">
        <v>460</v>
      </c>
      <c r="AZ171" s="77" t="str">
        <f>VLOOKUP(B171,Classification!A:D,2,0)</f>
        <v>A</v>
      </c>
      <c r="BA171" s="94" t="str">
        <f>VLOOKUP(B171,Classification!A:D,4,0)</f>
        <v>Dopamine</v>
      </c>
      <c r="BB171" s="27" t="b">
        <f>AND(E171&lt;G171,OR(G171&lt;I171,I171="-"),OR(I171&lt;K171,I171="-"),OR(K171&lt;M171,K171="-"),M171&lt;O171,OR(O171&lt;Q171,Q171="-"),OR(Q171&lt;S171,Q171="-"),OR(S171&lt;U171,S171="-"),U171&lt;W171,OR(W171&lt;Y171,Y171="-"),OR(Y171&lt;AA171,Y171="-"),OR(AA171&lt;AC171,AA171="-"),AC171&lt;AE171,OR(AE171&lt;AG171,AG171="-"),OR(AG171&lt;AI171,AG171="-"),OR(AI171&lt;AK171,AI171="-"),AK171&lt;AM171,AM171&lt;AO171,AO171&lt;AQ171,AQ171&lt;AS171,AS171&lt;AU171,OR(AU171&lt;AW171,AW171="-"),OR(AW171&lt;AY171,AW171="-"))</f>
        <v>1</v>
      </c>
      <c r="BC171" s="23">
        <f>_xlfn.AGGREGATE(9,6,CH171:CS171)-_xlfn.AGGREGATE(9,6,BV171:CG171)+12</f>
        <v>227</v>
      </c>
      <c r="BD171" s="2" t="s">
        <v>23</v>
      </c>
      <c r="BE171" s="3" t="s">
        <v>1380</v>
      </c>
      <c r="BF171" s="119">
        <v>1.96</v>
      </c>
      <c r="BG171" s="49" t="s">
        <v>1</v>
      </c>
      <c r="BH171" s="49" t="s">
        <v>1383</v>
      </c>
      <c r="BI171" s="1"/>
      <c r="BJ171" s="70" t="s">
        <v>1293</v>
      </c>
      <c r="BK171" s="57" t="s">
        <v>1293</v>
      </c>
      <c r="BL171" s="57" t="s">
        <v>1293</v>
      </c>
      <c r="BM171" s="57" t="s">
        <v>1293</v>
      </c>
      <c r="BN171" s="57" t="s">
        <v>1293</v>
      </c>
      <c r="BO171" s="57" t="s">
        <v>1293</v>
      </c>
      <c r="BP171" s="57" t="s">
        <v>1293</v>
      </c>
      <c r="BQ171" s="57" t="s">
        <v>1293</v>
      </c>
      <c r="BR171" s="57" t="s">
        <v>1293</v>
      </c>
      <c r="BS171" s="57" t="s">
        <v>1293</v>
      </c>
      <c r="BT171" s="57" t="s">
        <v>1293</v>
      </c>
      <c r="BU171" s="57" t="s">
        <v>1293</v>
      </c>
      <c r="BV171" s="70">
        <f>E171</f>
        <v>34</v>
      </c>
      <c r="BW171" s="71">
        <f>I171</f>
        <v>63</v>
      </c>
      <c r="BX171" s="72">
        <f>M171</f>
        <v>67</v>
      </c>
      <c r="BY171" s="71">
        <f>Q171</f>
        <v>100</v>
      </c>
      <c r="BZ171" s="72">
        <f>U171</f>
        <v>104</v>
      </c>
      <c r="CA171" s="71" t="str">
        <f>Y171</f>
        <v>-</v>
      </c>
      <c r="CB171" s="72">
        <f>AC171</f>
        <v>150</v>
      </c>
      <c r="CC171" s="71">
        <f>AG171</f>
        <v>185</v>
      </c>
      <c r="CD171" s="72">
        <f>AK171</f>
        <v>189</v>
      </c>
      <c r="CE171" s="71">
        <f>AO171</f>
        <v>395</v>
      </c>
      <c r="CF171" s="72">
        <f>AS171</f>
        <v>426</v>
      </c>
      <c r="CG171" s="71">
        <f>AW171</f>
        <v>452</v>
      </c>
      <c r="CH171" s="70">
        <f>G171</f>
        <v>62</v>
      </c>
      <c r="CI171" s="71">
        <f>K171</f>
        <v>66</v>
      </c>
      <c r="CJ171" s="72">
        <f>O171</f>
        <v>97</v>
      </c>
      <c r="CK171" s="72">
        <f>S171</f>
        <v>103</v>
      </c>
      <c r="CL171" s="72">
        <f>W171</f>
        <v>139</v>
      </c>
      <c r="CM171" s="72" t="str">
        <f>AA171</f>
        <v>-</v>
      </c>
      <c r="CN171" s="72">
        <f>AE171</f>
        <v>173</v>
      </c>
      <c r="CO171" s="72">
        <f>AI171</f>
        <v>187</v>
      </c>
      <c r="CP171" s="72">
        <f>AM171</f>
        <v>222</v>
      </c>
      <c r="CQ171" s="72">
        <f>AQ171</f>
        <v>420</v>
      </c>
      <c r="CR171" s="72">
        <f>AU171</f>
        <v>451</v>
      </c>
      <c r="CS171" s="72">
        <f>AY171</f>
        <v>460</v>
      </c>
      <c r="CT171" s="23">
        <f>M171-K171</f>
        <v>1</v>
      </c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  <c r="ADW171" s="1"/>
      <c r="ADX171" s="1"/>
      <c r="ADY171" s="1"/>
      <c r="ADZ171" s="1"/>
      <c r="AEA171" s="1"/>
      <c r="AEB171" s="1"/>
      <c r="AEC171" s="1"/>
      <c r="AED171" s="1"/>
      <c r="AEE171" s="1"/>
      <c r="AEF171" s="1"/>
      <c r="AEG171" s="1"/>
      <c r="AEH171" s="1"/>
      <c r="AEI171" s="1"/>
      <c r="AEJ171" s="1"/>
      <c r="AEK171" s="1"/>
      <c r="AEL171" s="1"/>
      <c r="AEM171" s="1"/>
      <c r="AEN171" s="1"/>
      <c r="AEO171" s="1"/>
      <c r="AEP171" s="1"/>
      <c r="AEQ171" s="1"/>
      <c r="AER171" s="1"/>
      <c r="AES171" s="1"/>
      <c r="AET171" s="1"/>
      <c r="AEU171" s="1"/>
      <c r="AEV171" s="1"/>
      <c r="AEW171" s="1"/>
      <c r="AEX171" s="1"/>
      <c r="AEY171" s="1"/>
      <c r="AEZ171" s="1"/>
      <c r="AFA171" s="1"/>
      <c r="AFB171" s="1"/>
      <c r="AFC171" s="1"/>
      <c r="AFD171" s="1"/>
      <c r="AFE171" s="1"/>
      <c r="AFF171" s="1"/>
      <c r="AFG171" s="1"/>
      <c r="AFH171" s="1"/>
      <c r="AFI171" s="1"/>
      <c r="AFJ171" s="1"/>
      <c r="AFK171" s="1"/>
      <c r="AFL171" s="1"/>
      <c r="AFM171" s="1"/>
      <c r="AFN171" s="1"/>
      <c r="AFO171" s="1"/>
      <c r="AFP171" s="1"/>
      <c r="AFQ171" s="1"/>
      <c r="AFR171" s="1"/>
      <c r="AFS171" s="1"/>
      <c r="AFT171" s="1"/>
      <c r="AFU171" s="1"/>
      <c r="AFV171" s="1"/>
      <c r="AFW171" s="1"/>
      <c r="AFX171" s="1"/>
      <c r="AFY171" s="1"/>
      <c r="AFZ171" s="1"/>
      <c r="AGA171" s="1"/>
      <c r="AGB171" s="1"/>
      <c r="AGC171" s="1"/>
      <c r="AGD171" s="1"/>
      <c r="AGE171" s="1"/>
      <c r="AGF171" s="1"/>
      <c r="AGG171" s="1"/>
      <c r="AGH171" s="1"/>
      <c r="AGI171" s="1"/>
      <c r="AGJ171" s="1"/>
      <c r="AGK171" s="1"/>
      <c r="AGL171" s="1"/>
      <c r="AGM171" s="1"/>
      <c r="AGN171" s="1"/>
      <c r="AGO171" s="1"/>
      <c r="AGP171" s="1"/>
      <c r="AGQ171" s="1"/>
      <c r="AGR171" s="1"/>
      <c r="AGS171" s="1"/>
      <c r="AGT171" s="1"/>
      <c r="AGU171" s="1"/>
      <c r="AGV171" s="1"/>
      <c r="AGW171" s="1"/>
      <c r="AGX171" s="1"/>
      <c r="AGY171" s="1"/>
      <c r="AGZ171" s="1"/>
      <c r="AHA171" s="1"/>
      <c r="AHB171" s="1"/>
      <c r="AHC171" s="1"/>
      <c r="AHD171" s="1"/>
      <c r="AHE171" s="1"/>
      <c r="AHF171" s="1"/>
      <c r="AHG171" s="1"/>
      <c r="AHH171" s="1"/>
      <c r="AHI171" s="1"/>
      <c r="AHJ171" s="1"/>
      <c r="AHK171" s="1"/>
      <c r="AHL171" s="1"/>
      <c r="AHM171" s="1"/>
      <c r="AHN171" s="1"/>
      <c r="AHO171" s="1"/>
      <c r="AHP171" s="1"/>
      <c r="AHQ171" s="1"/>
      <c r="AHR171" s="1"/>
      <c r="AHS171" s="1"/>
      <c r="AHT171" s="1"/>
      <c r="AHU171" s="1"/>
      <c r="AHV171" s="1"/>
      <c r="AHW171" s="1"/>
      <c r="AHX171" s="1"/>
      <c r="AHY171" s="1"/>
      <c r="AHZ171" s="1"/>
      <c r="AIA171" s="1"/>
      <c r="AIB171" s="1"/>
      <c r="AIC171" s="1"/>
      <c r="AID171" s="1"/>
      <c r="AIE171" s="1"/>
      <c r="AIF171" s="1"/>
      <c r="AIG171" s="1"/>
      <c r="AIH171" s="1"/>
      <c r="AII171" s="1"/>
      <c r="AIJ171" s="1"/>
      <c r="AIK171" s="1"/>
      <c r="AIL171" s="1"/>
      <c r="AIM171" s="1"/>
      <c r="AIN171" s="1"/>
      <c r="AIO171" s="1"/>
      <c r="AIP171" s="1"/>
      <c r="AIQ171" s="1"/>
      <c r="AIR171" s="1"/>
      <c r="AIS171" s="1"/>
      <c r="AIT171" s="1"/>
      <c r="AIU171" s="1"/>
      <c r="AIV171" s="1"/>
      <c r="AIW171" s="1"/>
      <c r="AIX171" s="1"/>
      <c r="AIY171" s="1"/>
      <c r="AIZ171" s="1"/>
      <c r="AJA171" s="1"/>
      <c r="AJB171" s="1"/>
      <c r="AJC171" s="1"/>
      <c r="AJD171" s="1"/>
      <c r="AJE171" s="1"/>
      <c r="AJF171" s="1"/>
      <c r="AJG171" s="1"/>
      <c r="AJH171" s="1"/>
      <c r="AJI171" s="1"/>
      <c r="AJJ171" s="1"/>
      <c r="AJK171" s="1"/>
      <c r="AJL171" s="1"/>
      <c r="AJM171" s="1"/>
      <c r="AJN171" s="1"/>
      <c r="AJO171" s="1"/>
      <c r="AJP171" s="1"/>
      <c r="AJQ171" s="1"/>
      <c r="AJR171" s="1"/>
      <c r="AJS171" s="1"/>
      <c r="AJT171" s="1"/>
      <c r="AJU171" s="1"/>
      <c r="AJV171" s="1"/>
      <c r="AJW171" s="1"/>
      <c r="AJX171" s="1"/>
      <c r="AJY171" s="1"/>
      <c r="AJZ171" s="1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1"/>
      <c r="AKO171" s="1"/>
      <c r="AKP171" s="1"/>
      <c r="AKQ171" s="1"/>
      <c r="AKR171" s="1"/>
      <c r="AKS171" s="1"/>
      <c r="AKT171" s="1"/>
      <c r="AKU171" s="1"/>
      <c r="AKV171" s="1"/>
      <c r="AKW171" s="1"/>
      <c r="AKX171" s="1"/>
      <c r="AKY171" s="1"/>
      <c r="AKZ171" s="1"/>
      <c r="ALA171" s="1"/>
      <c r="ALB171" s="1"/>
      <c r="ALC171" s="1"/>
      <c r="ALD171" s="1"/>
      <c r="ALE171" s="1"/>
      <c r="ALF171" s="1"/>
      <c r="ALG171" s="1"/>
      <c r="ALH171" s="1"/>
      <c r="ALI171" s="1"/>
      <c r="ALJ171" s="1"/>
      <c r="ALK171" s="1"/>
      <c r="ALL171" s="1"/>
      <c r="ALM171" s="1"/>
      <c r="ALN171" s="1"/>
      <c r="ALO171" s="1"/>
      <c r="ALP171" s="1"/>
      <c r="ALQ171" s="1"/>
      <c r="ALR171" s="1"/>
      <c r="ALS171" s="1"/>
      <c r="ALT171" s="1"/>
      <c r="ALU171" s="1"/>
      <c r="ALV171" s="1"/>
      <c r="ALW171" s="1"/>
      <c r="ALX171" s="1"/>
      <c r="ALY171" s="1"/>
      <c r="ALZ171" s="1"/>
      <c r="AMA171" s="1"/>
      <c r="AMB171" s="1"/>
      <c r="AMC171" s="1"/>
      <c r="AMD171" s="1"/>
      <c r="AME171" s="1"/>
      <c r="AMF171" s="1"/>
      <c r="AMG171" s="1"/>
      <c r="AMH171" s="1"/>
      <c r="AMI171" s="1"/>
      <c r="AMJ171" s="1"/>
      <c r="AMK171" s="1"/>
      <c r="AML171" s="1"/>
      <c r="AMM171" s="1"/>
      <c r="AMN171" s="1"/>
      <c r="AMO171" s="1"/>
    </row>
    <row r="172" spans="1:1029" x14ac:dyDescent="0.2">
      <c r="A172" s="3" t="str">
        <f>CONCATENATE(B172,"_",C172)</f>
        <v>drd4_human_5WIV</v>
      </c>
      <c r="B172" s="3" t="s">
        <v>193</v>
      </c>
      <c r="C172" s="3" t="s">
        <v>1457</v>
      </c>
      <c r="D172" s="3" t="str">
        <f>IFERROR(MID(VLOOKUP($B172,Seqs!$A:$B,2,0),E172,1),"")</f>
        <v>G</v>
      </c>
      <c r="E172" s="3">
        <v>32</v>
      </c>
      <c r="F172" s="3" t="str">
        <f>IFERROR(MID(VLOOKUP($B172,Seqs!$A:$B,2,0),G172,1),"")</f>
        <v>E</v>
      </c>
      <c r="G172" s="3">
        <v>62</v>
      </c>
      <c r="H172" s="3" t="str">
        <f>IFERROR(MID(VLOOKUP($B172,Seqs!$A:$B,2,0),I172,1),"")</f>
        <v>R</v>
      </c>
      <c r="I172" s="23">
        <v>63</v>
      </c>
      <c r="J172" s="3" t="str">
        <f>IFERROR(MID(VLOOKUP($B172,Seqs!$A:$B,2,0),K172,1),"")</f>
        <v>Q</v>
      </c>
      <c r="K172" s="23">
        <v>66</v>
      </c>
      <c r="L172" s="3" t="str">
        <f>IFERROR(MID(VLOOKUP($B172,Seqs!$A:$B,2,0),M172,1),"")</f>
        <v>T</v>
      </c>
      <c r="M172" s="3">
        <v>67</v>
      </c>
      <c r="N172" s="3" t="str">
        <f>IFERROR(MID(VLOOKUP($B172,Seqs!$A:$B,2,0),O172,1),"")</f>
        <v>Q</v>
      </c>
      <c r="O172" s="3">
        <v>97</v>
      </c>
      <c r="P172" s="3" t="str">
        <f>IFERROR(MID(VLOOKUP($B172,Seqs!$A:$B,2,0),Q172,1),"")</f>
        <v>A</v>
      </c>
      <c r="Q172" s="3">
        <v>100</v>
      </c>
      <c r="R172" s="3" t="str">
        <f>IFERROR(MID(VLOOKUP($B172,Seqs!$A:$B,2,0),S172,1),"")</f>
        <v>L</v>
      </c>
      <c r="S172" s="3">
        <v>103</v>
      </c>
      <c r="T172" s="3" t="str">
        <f>IFERROR(MID(VLOOKUP($B172,Seqs!$A:$B,2,0),U172,1),"")</f>
        <v>S</v>
      </c>
      <c r="U172" s="3">
        <v>104</v>
      </c>
      <c r="V172" s="3" t="str">
        <f>IFERROR(MID(VLOOKUP($B172,Seqs!$A:$B,2,0),W172,1),"")</f>
        <v>V</v>
      </c>
      <c r="W172" s="3">
        <v>139</v>
      </c>
      <c r="X172" s="3" t="str">
        <f>IFERROR(MID(VLOOKUP($B172,Seqs!$A:$B,2,0),Y172,1),"")</f>
        <v/>
      </c>
      <c r="Y172" s="3" t="s">
        <v>23</v>
      </c>
      <c r="Z172" s="3" t="str">
        <f>IFERROR(MID(VLOOKUP($B172,Seqs!$A:$B,2,0),AA172,1),"")</f>
        <v/>
      </c>
      <c r="AA172" s="3" t="s">
        <v>23</v>
      </c>
      <c r="AB172" s="3" t="str">
        <f>IFERROR(MID(VLOOKUP($B172,Seqs!$A:$B,2,0),AC172,1),"")</f>
        <v>R</v>
      </c>
      <c r="AC172" s="3">
        <v>150</v>
      </c>
      <c r="AD172" s="3" t="str">
        <f>IFERROR(MID(VLOOKUP($B172,Seqs!$A:$B,2,0),AE172,1),"")</f>
        <v>G</v>
      </c>
      <c r="AE172" s="3">
        <v>173</v>
      </c>
      <c r="AF172" s="3" t="str">
        <f>IFERROR(MID(VLOOKUP($B172,Seqs!$A:$B,2,0),AG172,1),"")</f>
        <v>C</v>
      </c>
      <c r="AG172" s="3">
        <v>185</v>
      </c>
      <c r="AH172" s="3" t="str">
        <f>IFERROR(MID(VLOOKUP($B172,Seqs!$A:$B,2,0),AI172,1),"")</f>
        <v>L</v>
      </c>
      <c r="AI172" s="3">
        <v>187</v>
      </c>
      <c r="AJ172" s="3" t="str">
        <f>IFERROR(MID(VLOOKUP($B172,Seqs!$A:$B,2,0),AK172,1),"")</f>
        <v>D</v>
      </c>
      <c r="AK172" s="3">
        <v>189</v>
      </c>
      <c r="AL172" s="3" t="str">
        <f>IFERROR(MID(VLOOKUP($B172,Seqs!$A:$B,2,0),AM172,1),"")</f>
        <v>W</v>
      </c>
      <c r="AM172" s="3">
        <v>222</v>
      </c>
      <c r="AN172" s="3" t="str">
        <f>IFERROR(MID(VLOOKUP($B172,Seqs!$A:$B,2,0),AO172,1),"")</f>
        <v>V</v>
      </c>
      <c r="AO172" s="3">
        <v>395</v>
      </c>
      <c r="AP172" s="3" t="str">
        <f>IFERROR(MID(VLOOKUP($B172,Seqs!$A:$B,2,0),AQ172,1),"")</f>
        <v>C</v>
      </c>
      <c r="AQ172" s="3">
        <v>420</v>
      </c>
      <c r="AR172" s="3" t="str">
        <f>IFERROR(MID(VLOOKUP($B172,Seqs!$A:$B,2,0),AS172,1),"")</f>
        <v>P</v>
      </c>
      <c r="AS172" s="3">
        <v>426</v>
      </c>
      <c r="AT172" s="3" t="str">
        <f>IFERROR(MID(VLOOKUP($B172,Seqs!$A:$B,2,0),AU172,1),"")</f>
        <v>F</v>
      </c>
      <c r="AU172" s="3">
        <v>451</v>
      </c>
      <c r="AV172" s="3" t="str">
        <f>IFERROR(MID(VLOOKUP($B172,Seqs!$A:$B,2,0),AW172,1),"")</f>
        <v>N</v>
      </c>
      <c r="AW172" s="3">
        <v>452</v>
      </c>
      <c r="AX172" s="3" t="str">
        <f>IFERROR(MID(VLOOKUP($B172,Seqs!$A:$B,2,0),AY172,1),"")</f>
        <v>A</v>
      </c>
      <c r="AY172" s="3">
        <v>462</v>
      </c>
      <c r="AZ172" s="77" t="str">
        <f>VLOOKUP(B172,Classification!A:D,2,0)</f>
        <v>A</v>
      </c>
      <c r="BA172" s="94" t="str">
        <f>VLOOKUP(B172,Classification!A:D,4,0)</f>
        <v>Dopamine</v>
      </c>
      <c r="BB172" s="27" t="b">
        <f>AND(E172&lt;G172,OR(G172&lt;I172,I172="-"),OR(I172&lt;K172,I172="-"),OR(K172&lt;M172,K172="-"),M172&lt;O172,OR(O172&lt;Q172,Q172="-"),OR(Q172&lt;S172,Q172="-"),OR(S172&lt;U172,S172="-"),U172&lt;W172,OR(W172&lt;Y172,Y172="-"),OR(Y172&lt;AA172,Y172="-"),OR(AA172&lt;AC172,AA172="-"),AC172&lt;AE172,OR(AE172&lt;AG172,AG172="-"),OR(AG172&lt;AI172,AG172="-"),OR(AI172&lt;AK172,AI172="-"),AK172&lt;AM172,AM172&lt;AO172,AO172&lt;AQ172,AQ172&lt;AS172,AS172&lt;AU172,OR(AU172&lt;AW172,AW172="-"),OR(AW172&lt;AY172,AW172="-"))</f>
        <v>1</v>
      </c>
      <c r="BC172" s="23">
        <f>_xlfn.AGGREGATE(9,6,CH172:CS172)-_xlfn.AGGREGATE(9,6,BV172:CG172)+12</f>
        <v>231</v>
      </c>
      <c r="BD172" s="2" t="s">
        <v>1382</v>
      </c>
      <c r="BE172" s="3" t="s">
        <v>1380</v>
      </c>
      <c r="BF172" s="119">
        <v>2.14</v>
      </c>
      <c r="BG172" s="49" t="s">
        <v>1</v>
      </c>
      <c r="BH172" s="49" t="s">
        <v>1383</v>
      </c>
      <c r="BI172" s="1"/>
      <c r="BJ172" s="70" t="s">
        <v>1293</v>
      </c>
      <c r="BK172" s="57" t="s">
        <v>1293</v>
      </c>
      <c r="BL172" s="57" t="s">
        <v>1293</v>
      </c>
      <c r="BM172" s="57" t="s">
        <v>1293</v>
      </c>
      <c r="BN172" s="57" t="s">
        <v>1293</v>
      </c>
      <c r="BO172" s="57" t="s">
        <v>1293</v>
      </c>
      <c r="BP172" s="57" t="s">
        <v>1293</v>
      </c>
      <c r="BQ172" s="57" t="s">
        <v>1293</v>
      </c>
      <c r="BR172" s="57" t="s">
        <v>1293</v>
      </c>
      <c r="BS172" s="57" t="s">
        <v>1293</v>
      </c>
      <c r="BT172" s="57" t="s">
        <v>1293</v>
      </c>
      <c r="BU172" s="57" t="s">
        <v>1293</v>
      </c>
      <c r="BV172" s="70">
        <f>E172</f>
        <v>32</v>
      </c>
      <c r="BW172" s="71">
        <f>I172</f>
        <v>63</v>
      </c>
      <c r="BX172" s="72">
        <f>M172</f>
        <v>67</v>
      </c>
      <c r="BY172" s="71">
        <f>Q172</f>
        <v>100</v>
      </c>
      <c r="BZ172" s="72">
        <f>U172</f>
        <v>104</v>
      </c>
      <c r="CA172" s="71" t="str">
        <f>Y172</f>
        <v>-</v>
      </c>
      <c r="CB172" s="72">
        <f>AC172</f>
        <v>150</v>
      </c>
      <c r="CC172" s="71">
        <f>AG172</f>
        <v>185</v>
      </c>
      <c r="CD172" s="72">
        <f>AK172</f>
        <v>189</v>
      </c>
      <c r="CE172" s="71">
        <f>AO172</f>
        <v>395</v>
      </c>
      <c r="CF172" s="72">
        <f>AS172</f>
        <v>426</v>
      </c>
      <c r="CG172" s="71">
        <f>AW172</f>
        <v>452</v>
      </c>
      <c r="CH172" s="70">
        <f>G172</f>
        <v>62</v>
      </c>
      <c r="CI172" s="71">
        <f>K172</f>
        <v>66</v>
      </c>
      <c r="CJ172" s="72">
        <f>O172</f>
        <v>97</v>
      </c>
      <c r="CK172" s="72">
        <f>S172</f>
        <v>103</v>
      </c>
      <c r="CL172" s="72">
        <f>W172</f>
        <v>139</v>
      </c>
      <c r="CM172" s="72" t="str">
        <f>AA172</f>
        <v>-</v>
      </c>
      <c r="CN172" s="72">
        <f>AE172</f>
        <v>173</v>
      </c>
      <c r="CO172" s="72">
        <f>AI172</f>
        <v>187</v>
      </c>
      <c r="CP172" s="72">
        <f>AM172</f>
        <v>222</v>
      </c>
      <c r="CQ172" s="72">
        <f>AQ172</f>
        <v>420</v>
      </c>
      <c r="CR172" s="72">
        <f>AU172</f>
        <v>451</v>
      </c>
      <c r="CS172" s="72">
        <f>AY172</f>
        <v>462</v>
      </c>
      <c r="CT172" s="23">
        <f>M172-K172</f>
        <v>1</v>
      </c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  <c r="ADW172" s="1"/>
      <c r="ADX172" s="1"/>
      <c r="ADY172" s="1"/>
      <c r="ADZ172" s="1"/>
      <c r="AEA172" s="1"/>
      <c r="AEB172" s="1"/>
      <c r="AEC172" s="1"/>
      <c r="AED172" s="1"/>
      <c r="AEE172" s="1"/>
      <c r="AEF172" s="1"/>
      <c r="AEG172" s="1"/>
      <c r="AEH172" s="1"/>
      <c r="AEI172" s="1"/>
      <c r="AEJ172" s="1"/>
      <c r="AEK172" s="1"/>
      <c r="AEL172" s="1"/>
      <c r="AEM172" s="1"/>
      <c r="AEN172" s="1"/>
      <c r="AEO172" s="1"/>
      <c r="AEP172" s="1"/>
      <c r="AEQ172" s="1"/>
      <c r="AER172" s="1"/>
      <c r="AES172" s="1"/>
      <c r="AET172" s="1"/>
      <c r="AEU172" s="1"/>
      <c r="AEV172" s="1"/>
      <c r="AEW172" s="1"/>
      <c r="AEX172" s="1"/>
      <c r="AEY172" s="1"/>
      <c r="AEZ172" s="1"/>
      <c r="AFA172" s="1"/>
      <c r="AFB172" s="1"/>
      <c r="AFC172" s="1"/>
      <c r="AFD172" s="1"/>
      <c r="AFE172" s="1"/>
      <c r="AFF172" s="1"/>
      <c r="AFG172" s="1"/>
      <c r="AFH172" s="1"/>
      <c r="AFI172" s="1"/>
      <c r="AFJ172" s="1"/>
      <c r="AFK172" s="1"/>
      <c r="AFL172" s="1"/>
      <c r="AFM172" s="1"/>
      <c r="AFN172" s="1"/>
      <c r="AFO172" s="1"/>
      <c r="AFP172" s="1"/>
      <c r="AFQ172" s="1"/>
      <c r="AFR172" s="1"/>
      <c r="AFS172" s="1"/>
      <c r="AFT172" s="1"/>
      <c r="AFU172" s="1"/>
      <c r="AFV172" s="1"/>
      <c r="AFW172" s="1"/>
      <c r="AFX172" s="1"/>
      <c r="AFY172" s="1"/>
      <c r="AFZ172" s="1"/>
      <c r="AGA172" s="1"/>
      <c r="AGB172" s="1"/>
      <c r="AGC172" s="1"/>
      <c r="AGD172" s="1"/>
      <c r="AGE172" s="1"/>
      <c r="AGF172" s="1"/>
      <c r="AGG172" s="1"/>
      <c r="AGH172" s="1"/>
      <c r="AGI172" s="1"/>
      <c r="AGJ172" s="1"/>
      <c r="AGK172" s="1"/>
      <c r="AGL172" s="1"/>
      <c r="AGM172" s="1"/>
      <c r="AGN172" s="1"/>
      <c r="AGO172" s="1"/>
      <c r="AGP172" s="1"/>
      <c r="AGQ172" s="1"/>
      <c r="AGR172" s="1"/>
      <c r="AGS172" s="1"/>
      <c r="AGT172" s="1"/>
      <c r="AGU172" s="1"/>
      <c r="AGV172" s="1"/>
      <c r="AGW172" s="1"/>
      <c r="AGX172" s="1"/>
      <c r="AGY172" s="1"/>
      <c r="AGZ172" s="1"/>
      <c r="AHA172" s="1"/>
      <c r="AHB172" s="1"/>
      <c r="AHC172" s="1"/>
      <c r="AHD172" s="1"/>
      <c r="AHE172" s="1"/>
      <c r="AHF172" s="1"/>
      <c r="AHG172" s="1"/>
      <c r="AHH172" s="1"/>
      <c r="AHI172" s="1"/>
      <c r="AHJ172" s="1"/>
      <c r="AHK172" s="1"/>
      <c r="AHL172" s="1"/>
      <c r="AHM172" s="1"/>
      <c r="AHN172" s="1"/>
      <c r="AHO172" s="1"/>
      <c r="AHP172" s="1"/>
      <c r="AHQ172" s="1"/>
      <c r="AHR172" s="1"/>
      <c r="AHS172" s="1"/>
      <c r="AHT172" s="1"/>
      <c r="AHU172" s="1"/>
      <c r="AHV172" s="1"/>
      <c r="AHW172" s="1"/>
      <c r="AHX172" s="1"/>
      <c r="AHY172" s="1"/>
      <c r="AHZ172" s="1"/>
      <c r="AIA172" s="1"/>
      <c r="AIB172" s="1"/>
      <c r="AIC172" s="1"/>
      <c r="AID172" s="1"/>
      <c r="AIE172" s="1"/>
      <c r="AIF172" s="1"/>
      <c r="AIG172" s="1"/>
      <c r="AIH172" s="1"/>
      <c r="AII172" s="1"/>
      <c r="AIJ172" s="1"/>
      <c r="AIK172" s="1"/>
      <c r="AIL172" s="1"/>
      <c r="AIM172" s="1"/>
      <c r="AIN172" s="1"/>
      <c r="AIO172" s="1"/>
      <c r="AIP172" s="1"/>
      <c r="AIQ172" s="1"/>
      <c r="AIR172" s="1"/>
      <c r="AIS172" s="1"/>
      <c r="AIT172" s="1"/>
      <c r="AIU172" s="1"/>
      <c r="AIV172" s="1"/>
      <c r="AIW172" s="1"/>
      <c r="AIX172" s="1"/>
      <c r="AIY172" s="1"/>
      <c r="AIZ172" s="1"/>
      <c r="AJA172" s="1"/>
      <c r="AJB172" s="1"/>
      <c r="AJC172" s="1"/>
      <c r="AJD172" s="1"/>
      <c r="AJE172" s="1"/>
      <c r="AJF172" s="1"/>
      <c r="AJG172" s="1"/>
      <c r="AJH172" s="1"/>
      <c r="AJI172" s="1"/>
      <c r="AJJ172" s="1"/>
      <c r="AJK172" s="1"/>
      <c r="AJL172" s="1"/>
      <c r="AJM172" s="1"/>
      <c r="AJN172" s="1"/>
      <c r="AJO172" s="1"/>
      <c r="AJP172" s="1"/>
      <c r="AJQ172" s="1"/>
      <c r="AJR172" s="1"/>
      <c r="AJS172" s="1"/>
      <c r="AJT172" s="1"/>
      <c r="AJU172" s="1"/>
      <c r="AJV172" s="1"/>
      <c r="AJW172" s="1"/>
      <c r="AJX172" s="1"/>
      <c r="AJY172" s="1"/>
      <c r="AJZ172" s="1"/>
      <c r="AKA172" s="1"/>
      <c r="AKB172" s="1"/>
      <c r="AKC172" s="1"/>
      <c r="AKD172" s="1"/>
      <c r="AKE172" s="1"/>
      <c r="AKF172" s="1"/>
      <c r="AKG172" s="1"/>
      <c r="AKH172" s="1"/>
      <c r="AKI172" s="1"/>
      <c r="AKJ172" s="1"/>
      <c r="AKK172" s="1"/>
      <c r="AKL172" s="1"/>
      <c r="AKM172" s="1"/>
      <c r="AKN172" s="1"/>
      <c r="AKO172" s="1"/>
      <c r="AKP172" s="1"/>
      <c r="AKQ172" s="1"/>
      <c r="AKR172" s="1"/>
      <c r="AKS172" s="1"/>
      <c r="AKT172" s="1"/>
      <c r="AKU172" s="1"/>
      <c r="AKV172" s="1"/>
      <c r="AKW172" s="1"/>
      <c r="AKX172" s="1"/>
      <c r="AKY172" s="1"/>
      <c r="AKZ172" s="1"/>
      <c r="ALA172" s="1"/>
      <c r="ALB172" s="1"/>
      <c r="ALC172" s="1"/>
      <c r="ALD172" s="1"/>
      <c r="ALE172" s="1"/>
      <c r="ALF172" s="1"/>
      <c r="ALG172" s="1"/>
      <c r="ALH172" s="1"/>
      <c r="ALI172" s="1"/>
      <c r="ALJ172" s="1"/>
      <c r="ALK172" s="1"/>
      <c r="ALL172" s="1"/>
      <c r="ALM172" s="1"/>
      <c r="ALN172" s="1"/>
      <c r="ALO172" s="1"/>
      <c r="ALP172" s="1"/>
      <c r="ALQ172" s="1"/>
      <c r="ALR172" s="1"/>
      <c r="ALS172" s="1"/>
      <c r="ALT172" s="1"/>
      <c r="ALU172" s="1"/>
      <c r="ALV172" s="1"/>
      <c r="ALW172" s="1"/>
      <c r="ALX172" s="1"/>
      <c r="ALY172" s="1"/>
      <c r="ALZ172" s="1"/>
      <c r="AMA172" s="1"/>
      <c r="AMB172" s="1"/>
      <c r="AMC172" s="1"/>
      <c r="AMD172" s="1"/>
      <c r="AME172" s="1"/>
      <c r="AMF172" s="1"/>
      <c r="AMG172" s="1"/>
      <c r="AMH172" s="1"/>
      <c r="AMI172" s="1"/>
      <c r="AMJ172" s="1"/>
      <c r="AMK172" s="1"/>
      <c r="AML172" s="1"/>
      <c r="AMM172" s="1"/>
      <c r="AMN172" s="1"/>
      <c r="AMO172" s="1"/>
    </row>
    <row r="173" spans="1:1029" x14ac:dyDescent="0.2">
      <c r="A173" s="3" t="str">
        <f t="shared" si="699"/>
        <v>ednrb_human__wt</v>
      </c>
      <c r="B173" s="2" t="s">
        <v>196</v>
      </c>
      <c r="C173" s="2" t="s">
        <v>100</v>
      </c>
      <c r="D173" s="3" t="str">
        <f>IFERROR(MID(VLOOKUP($B173,Seqs!$A:$B,2,0),E173,1),"")</f>
        <v>Q</v>
      </c>
      <c r="E173" s="2">
        <v>91</v>
      </c>
      <c r="F173" s="3" t="str">
        <f>IFERROR(MID(VLOOKUP($B173,Seqs!$A:$B,2,0),G173,1),"")</f>
        <v>N</v>
      </c>
      <c r="G173" s="2">
        <v>129</v>
      </c>
      <c r="H173" s="3" t="str">
        <f>IFERROR(MID(VLOOKUP($B173,Seqs!$A:$B,2,0),I173,1),"")</f>
        <v>K</v>
      </c>
      <c r="I173" s="56">
        <v>130</v>
      </c>
      <c r="J173" s="3" t="str">
        <f>IFERROR(MID(VLOOKUP($B173,Seqs!$A:$B,2,0),K173,1),"")</f>
        <v>N</v>
      </c>
      <c r="K173" s="56">
        <v>134</v>
      </c>
      <c r="L173" s="3" t="str">
        <f>IFERROR(MID(VLOOKUP($B173,Seqs!$A:$B,2,0),M173,1),"")</f>
        <v>G</v>
      </c>
      <c r="M173" s="2">
        <v>135</v>
      </c>
      <c r="N173" s="3" t="str">
        <f>IFERROR(MID(VLOOKUP($B173,Seqs!$A:$B,2,0),O173,1),"")</f>
        <v>A</v>
      </c>
      <c r="O173" s="2">
        <v>164</v>
      </c>
      <c r="P173" s="3" t="str">
        <f>IFERROR(MID(VLOOKUP($B173,Seqs!$A:$B,2,0),Q173,1),"")</f>
        <v>D</v>
      </c>
      <c r="Q173" s="2">
        <v>166</v>
      </c>
      <c r="R173" s="3" t="str">
        <f>IFERROR(MID(VLOOKUP($B173,Seqs!$A:$B,2,0),S173,1),"")</f>
        <v>F</v>
      </c>
      <c r="S173" s="2">
        <v>169</v>
      </c>
      <c r="T173" s="3" t="str">
        <f>IFERROR(MID(VLOOKUP($B173,Seqs!$A:$B,2,0),U173,1),"")</f>
        <v>G</v>
      </c>
      <c r="U173" s="4">
        <v>170</v>
      </c>
      <c r="V173" s="3" t="str">
        <f>IFERROR(MID(VLOOKUP($B173,Seqs!$A:$B,2,0),W173,1),"")</f>
        <v>S</v>
      </c>
      <c r="W173" s="2">
        <v>205</v>
      </c>
      <c r="X173" s="3" t="str">
        <f>IFERROR(MID(VLOOKUP($B173,Seqs!$A:$B,2,0),Y173,1),"")</f>
        <v>W</v>
      </c>
      <c r="Y173" s="2">
        <v>206</v>
      </c>
      <c r="Z173" s="3" t="str">
        <f>IFERROR(MID(VLOOKUP($B173,Seqs!$A:$B,2,0),AA173,1),"")</f>
        <v>G</v>
      </c>
      <c r="AA173" s="2">
        <v>213</v>
      </c>
      <c r="AB173" s="3" t="str">
        <f>IFERROR(MID(VLOOKUP($B173,Seqs!$A:$B,2,0),AC173,1),"")</f>
        <v>V</v>
      </c>
      <c r="AC173" s="40">
        <v>214</v>
      </c>
      <c r="AD173" s="3" t="str">
        <f>IFERROR(MID(VLOOKUP($B173,Seqs!$A:$B,2,0),AE173,1),"")</f>
        <v>F</v>
      </c>
      <c r="AE173" s="2">
        <v>240</v>
      </c>
      <c r="AF173" s="3" t="str">
        <f>IFERROR(MID(VLOOKUP($B173,Seqs!$A:$B,2,0),AG173,1),"")</f>
        <v>C</v>
      </c>
      <c r="AG173" s="2">
        <v>255</v>
      </c>
      <c r="AH173" s="3" t="str">
        <f>IFERROR(MID(VLOOKUP($B173,Seqs!$A:$B,2,0),AI173,1),"")</f>
        <v>L</v>
      </c>
      <c r="AI173" s="2">
        <v>257</v>
      </c>
      <c r="AJ173" s="3" t="str">
        <f>IFERROR(MID(VLOOKUP($B173,Seqs!$A:$B,2,0),AK173,1),"")</f>
        <v>T</v>
      </c>
      <c r="AK173" s="2">
        <v>263</v>
      </c>
      <c r="AL173" s="3" t="str">
        <f>IFERROR(MID(VLOOKUP($B173,Seqs!$A:$B,2,0),AM173,1),"")</f>
        <v>M</v>
      </c>
      <c r="AM173" s="2">
        <v>307</v>
      </c>
      <c r="AN173" s="3" t="str">
        <f>IFERROR(MID(VLOOKUP($B173,Seqs!$A:$B,2,0),AO173,1),"")</f>
        <v>N</v>
      </c>
      <c r="AO173" s="2">
        <v>312</v>
      </c>
      <c r="AP173" s="3" t="str">
        <f>IFERROR(MID(VLOOKUP($B173,Seqs!$A:$B,2,0),AQ173,1),"")</f>
        <v>Y</v>
      </c>
      <c r="AQ173" s="2">
        <v>350</v>
      </c>
      <c r="AR173" s="3" t="str">
        <f>IFERROR(MID(VLOOKUP($B173,Seqs!$A:$B,2,0),AS173,1),"")</f>
        <v>R</v>
      </c>
      <c r="AS173" s="2">
        <v>357</v>
      </c>
      <c r="AT173" s="3" t="str">
        <f>IFERROR(MID(VLOOKUP($B173,Seqs!$A:$B,2,0),AU173,1),"")</f>
        <v>V</v>
      </c>
      <c r="AU173" s="2">
        <v>389</v>
      </c>
      <c r="AV173" s="3" t="str">
        <f>IFERROR(MID(VLOOKUP($B173,Seqs!$A:$B,2,0),AW173,1),"")</f>
        <v>S</v>
      </c>
      <c r="AW173" s="2">
        <v>390</v>
      </c>
      <c r="AX173" s="3" t="str">
        <f>IFERROR(MID(VLOOKUP($B173,Seqs!$A:$B,2,0),AY173,1),"")</f>
        <v>C</v>
      </c>
      <c r="AY173" s="2">
        <v>403</v>
      </c>
      <c r="AZ173" s="77" t="str">
        <f>VLOOKUP(B173,Classification!A:D,2,0)</f>
        <v>A</v>
      </c>
      <c r="BA173" s="94" t="str">
        <f>VLOOKUP(B173,Classification!A:D,4,0)</f>
        <v>Endothelin</v>
      </c>
      <c r="BB173" s="27" t="b">
        <f t="shared" si="700"/>
        <v>1</v>
      </c>
      <c r="BC173" s="2"/>
      <c r="BD173" s="34" t="s">
        <v>23</v>
      </c>
      <c r="BE173" s="3" t="s">
        <v>23</v>
      </c>
      <c r="BF173" s="119" t="s">
        <v>23</v>
      </c>
      <c r="BG173" s="49" t="s">
        <v>1378</v>
      </c>
      <c r="BH173" s="49" t="s">
        <v>1383</v>
      </c>
      <c r="BI173" s="2"/>
      <c r="BJ173" s="70"/>
      <c r="BU173" s="57"/>
      <c r="BV173" s="70"/>
      <c r="BW173" s="57"/>
      <c r="BX173" s="57"/>
      <c r="BY173" s="57"/>
      <c r="BZ173" s="57"/>
      <c r="CA173" s="57"/>
      <c r="CB173" s="57"/>
      <c r="CC173" s="57"/>
      <c r="CD173" s="57"/>
      <c r="CE173" s="57"/>
      <c r="CF173" s="57"/>
      <c r="CG173" s="57"/>
      <c r="CH173" s="70"/>
      <c r="CI173" s="57"/>
      <c r="CJ173" s="57"/>
      <c r="CK173" s="57"/>
      <c r="CL173" s="57"/>
      <c r="CM173" s="57"/>
      <c r="CN173" s="57"/>
      <c r="CO173" s="57"/>
      <c r="CP173" s="57"/>
      <c r="CQ173" s="57"/>
      <c r="CR173" s="57"/>
      <c r="CS173" s="57"/>
      <c r="CT173" s="2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  <c r="ADW173" s="1"/>
      <c r="ADX173" s="1"/>
      <c r="ADY173" s="1"/>
      <c r="ADZ173" s="1"/>
      <c r="AEA173" s="1"/>
      <c r="AEB173" s="1"/>
      <c r="AEC173" s="1"/>
      <c r="AED173" s="1"/>
      <c r="AEE173" s="1"/>
      <c r="AEF173" s="1"/>
      <c r="AEG173" s="1"/>
      <c r="AEH173" s="1"/>
      <c r="AEI173" s="1"/>
      <c r="AEJ173" s="1"/>
      <c r="AEK173" s="1"/>
      <c r="AEL173" s="1"/>
      <c r="AEM173" s="1"/>
      <c r="AEN173" s="1"/>
      <c r="AEO173" s="1"/>
      <c r="AEP173" s="1"/>
      <c r="AEQ173" s="1"/>
      <c r="AER173" s="1"/>
      <c r="AES173" s="1"/>
      <c r="AET173" s="1"/>
      <c r="AEU173" s="1"/>
      <c r="AEV173" s="1"/>
      <c r="AEW173" s="1"/>
      <c r="AEX173" s="1"/>
      <c r="AEY173" s="1"/>
      <c r="AEZ173" s="1"/>
      <c r="AFA173" s="1"/>
      <c r="AFB173" s="1"/>
      <c r="AFC173" s="1"/>
      <c r="AFD173" s="1"/>
      <c r="AFE173" s="1"/>
      <c r="AFF173" s="1"/>
      <c r="AFG173" s="1"/>
      <c r="AFH173" s="1"/>
      <c r="AFI173" s="1"/>
      <c r="AFJ173" s="1"/>
      <c r="AFK173" s="1"/>
      <c r="AFL173" s="1"/>
      <c r="AFM173" s="1"/>
      <c r="AFN173" s="1"/>
      <c r="AFO173" s="1"/>
      <c r="AFP173" s="1"/>
      <c r="AFQ173" s="1"/>
      <c r="AFR173" s="1"/>
      <c r="AFS173" s="1"/>
      <c r="AFT173" s="1"/>
      <c r="AFU173" s="1"/>
      <c r="AFV173" s="1"/>
      <c r="AFW173" s="1"/>
      <c r="AFX173" s="1"/>
      <c r="AFY173" s="1"/>
      <c r="AFZ173" s="1"/>
      <c r="AGA173" s="1"/>
      <c r="AGB173" s="1"/>
      <c r="AGC173" s="1"/>
      <c r="AGD173" s="1"/>
      <c r="AGE173" s="1"/>
      <c r="AGF173" s="1"/>
      <c r="AGG173" s="1"/>
      <c r="AGH173" s="1"/>
      <c r="AGI173" s="1"/>
      <c r="AGJ173" s="1"/>
      <c r="AGK173" s="1"/>
      <c r="AGL173" s="1"/>
      <c r="AGM173" s="1"/>
      <c r="AGN173" s="1"/>
      <c r="AGO173" s="1"/>
      <c r="AGP173" s="1"/>
      <c r="AGQ173" s="1"/>
      <c r="AGR173" s="1"/>
      <c r="AGS173" s="1"/>
      <c r="AGT173" s="1"/>
      <c r="AGU173" s="1"/>
      <c r="AGV173" s="1"/>
      <c r="AGW173" s="1"/>
      <c r="AGX173" s="1"/>
      <c r="AGY173" s="1"/>
      <c r="AGZ173" s="1"/>
      <c r="AHA173" s="1"/>
      <c r="AHB173" s="1"/>
      <c r="AHC173" s="1"/>
      <c r="AHD173" s="1"/>
      <c r="AHE173" s="1"/>
      <c r="AHF173" s="1"/>
      <c r="AHG173" s="1"/>
      <c r="AHH173" s="1"/>
      <c r="AHI173" s="1"/>
      <c r="AHJ173" s="1"/>
      <c r="AHK173" s="1"/>
      <c r="AHL173" s="1"/>
      <c r="AHM173" s="1"/>
      <c r="AHN173" s="1"/>
      <c r="AHO173" s="1"/>
      <c r="AHP173" s="1"/>
      <c r="AHQ173" s="1"/>
      <c r="AHR173" s="1"/>
      <c r="AHS173" s="1"/>
      <c r="AHT173" s="1"/>
      <c r="AHU173" s="1"/>
      <c r="AHV173" s="1"/>
      <c r="AHW173" s="1"/>
      <c r="AHX173" s="1"/>
      <c r="AHY173" s="1"/>
      <c r="AHZ173" s="1"/>
      <c r="AIA173" s="1"/>
      <c r="AIB173" s="1"/>
      <c r="AIC173" s="1"/>
      <c r="AID173" s="1"/>
      <c r="AIE173" s="1"/>
      <c r="AIF173" s="1"/>
      <c r="AIG173" s="1"/>
      <c r="AIH173" s="1"/>
      <c r="AII173" s="1"/>
      <c r="AIJ173" s="1"/>
      <c r="AIK173" s="1"/>
      <c r="AIL173" s="1"/>
      <c r="AIM173" s="1"/>
      <c r="AIN173" s="1"/>
      <c r="AIO173" s="1"/>
      <c r="AIP173" s="1"/>
      <c r="AIQ173" s="1"/>
      <c r="AIR173" s="1"/>
      <c r="AIS173" s="1"/>
      <c r="AIT173" s="1"/>
      <c r="AIU173" s="1"/>
      <c r="AIV173" s="1"/>
      <c r="AIW173" s="1"/>
      <c r="AIX173" s="1"/>
      <c r="AIY173" s="1"/>
      <c r="AIZ173" s="1"/>
      <c r="AJA173" s="1"/>
      <c r="AJB173" s="1"/>
      <c r="AJC173" s="1"/>
      <c r="AJD173" s="1"/>
      <c r="AJE173" s="1"/>
      <c r="AJF173" s="1"/>
      <c r="AJG173" s="1"/>
      <c r="AJH173" s="1"/>
      <c r="AJI173" s="1"/>
      <c r="AJJ173" s="1"/>
      <c r="AJK173" s="1"/>
      <c r="AJL173" s="1"/>
      <c r="AJM173" s="1"/>
      <c r="AJN173" s="1"/>
      <c r="AJO173" s="1"/>
      <c r="AJP173" s="1"/>
      <c r="AJQ173" s="1"/>
      <c r="AJR173" s="1"/>
      <c r="AJS173" s="1"/>
      <c r="AJT173" s="1"/>
      <c r="AJU173" s="1"/>
      <c r="AJV173" s="1"/>
      <c r="AJW173" s="1"/>
      <c r="AJX173" s="1"/>
      <c r="AJY173" s="1"/>
      <c r="AJZ173" s="1"/>
      <c r="AKA173" s="1"/>
      <c r="AKB173" s="1"/>
      <c r="AKC173" s="1"/>
      <c r="AKD173" s="1"/>
      <c r="AKE173" s="1"/>
      <c r="AKF173" s="1"/>
      <c r="AKG173" s="1"/>
      <c r="AKH173" s="1"/>
      <c r="AKI173" s="1"/>
      <c r="AKJ173" s="1"/>
      <c r="AKK173" s="1"/>
      <c r="AKL173" s="1"/>
      <c r="AKM173" s="1"/>
      <c r="AKN173" s="1"/>
      <c r="AKO173" s="1"/>
      <c r="AKP173" s="1"/>
      <c r="AKQ173" s="1"/>
      <c r="AKR173" s="1"/>
      <c r="AKS173" s="1"/>
      <c r="AKT173" s="1"/>
      <c r="AKU173" s="1"/>
      <c r="AKV173" s="1"/>
      <c r="AKW173" s="1"/>
      <c r="AKX173" s="1"/>
      <c r="AKY173" s="1"/>
      <c r="AKZ173" s="1"/>
      <c r="ALA173" s="1"/>
      <c r="ALB173" s="1"/>
      <c r="ALC173" s="1"/>
      <c r="ALD173" s="1"/>
      <c r="ALE173" s="1"/>
      <c r="ALF173" s="1"/>
      <c r="ALG173" s="1"/>
      <c r="ALH173" s="1"/>
      <c r="ALI173" s="1"/>
      <c r="ALJ173" s="1"/>
      <c r="ALK173" s="1"/>
      <c r="ALL173" s="1"/>
      <c r="ALM173" s="1"/>
      <c r="ALN173" s="1"/>
      <c r="ALO173" s="1"/>
      <c r="ALP173" s="1"/>
      <c r="ALQ173" s="1"/>
      <c r="ALR173" s="1"/>
      <c r="ALS173" s="1"/>
      <c r="ALT173" s="1"/>
      <c r="ALU173" s="1"/>
      <c r="ALV173" s="1"/>
      <c r="ALW173" s="1"/>
      <c r="ALX173" s="1"/>
      <c r="ALY173" s="1"/>
      <c r="ALZ173" s="1"/>
      <c r="AMA173" s="1"/>
      <c r="AMB173" s="1"/>
      <c r="AMC173" s="1"/>
      <c r="AMD173" s="1"/>
      <c r="AME173" s="1"/>
      <c r="AMF173" s="1"/>
      <c r="AMG173" s="1"/>
      <c r="AMH173" s="1"/>
      <c r="AMI173" s="1"/>
      <c r="AMJ173" s="1"/>
      <c r="AMK173" s="1"/>
      <c r="AML173" s="1"/>
      <c r="AMM173" s="1"/>
      <c r="AMN173" s="1"/>
      <c r="AMO173" s="1"/>
    </row>
    <row r="174" spans="1:1029" x14ac:dyDescent="0.2">
      <c r="A174" s="3" t="str">
        <f t="shared" si="699"/>
        <v>ednrb_human_5GLH</v>
      </c>
      <c r="B174" s="2" t="s">
        <v>196</v>
      </c>
      <c r="C174" s="2" t="s">
        <v>1334</v>
      </c>
      <c r="D174" s="3" t="str">
        <f>IFERROR(MID(VLOOKUP($B174,Seqs!$A:$B,2,0),E174,1),"")</f>
        <v>K</v>
      </c>
      <c r="E174" s="2">
        <v>97</v>
      </c>
      <c r="F174" s="3" t="str">
        <f>IFERROR(MID(VLOOKUP($B174,Seqs!$A:$B,2,0),G174,1),"")</f>
        <v>N</v>
      </c>
      <c r="G174" s="2">
        <v>129</v>
      </c>
      <c r="H174" s="3" t="str">
        <f>IFERROR(MID(VLOOKUP($B174,Seqs!$A:$B,2,0),I174,1),"")</f>
        <v/>
      </c>
      <c r="I174" s="56" t="s">
        <v>23</v>
      </c>
      <c r="J174" s="3" t="str">
        <f>IFERROR(MID(VLOOKUP($B174,Seqs!$A:$B,2,0),K174,1),"")</f>
        <v/>
      </c>
      <c r="K174" s="56" t="s">
        <v>23</v>
      </c>
      <c r="L174" s="3" t="str">
        <f>IFERROR(MID(VLOOKUP($B174,Seqs!$A:$B,2,0),M174,1),"")</f>
        <v>P</v>
      </c>
      <c r="M174" s="2">
        <v>136</v>
      </c>
      <c r="N174" s="3" t="str">
        <f>IFERROR(MID(VLOOKUP($B174,Seqs!$A:$B,2,0),O174,1),"")</f>
        <v>A</v>
      </c>
      <c r="O174" s="2">
        <v>164</v>
      </c>
      <c r="P174" s="3" t="str">
        <f>IFERROR(MID(VLOOKUP($B174,Seqs!$A:$B,2,0),Q174,1),"")</f>
        <v>D</v>
      </c>
      <c r="Q174" s="2">
        <v>166</v>
      </c>
      <c r="R174" s="3" t="str">
        <f>IFERROR(MID(VLOOKUP($B174,Seqs!$A:$B,2,0),S174,1),"")</f>
        <v>F</v>
      </c>
      <c r="S174" s="2">
        <v>169</v>
      </c>
      <c r="T174" s="3" t="str">
        <f>IFERROR(MID(VLOOKUP($B174,Seqs!$A:$B,2,0),U174,1),"")</f>
        <v>G</v>
      </c>
      <c r="U174" s="4">
        <v>170</v>
      </c>
      <c r="V174" s="3" t="str">
        <f>IFERROR(MID(VLOOKUP($B174,Seqs!$A:$B,2,0),W174,1),"")</f>
        <v>S</v>
      </c>
      <c r="W174" s="2">
        <v>205</v>
      </c>
      <c r="X174" s="3" t="str">
        <f>IFERROR(MID(VLOOKUP($B174,Seqs!$A:$B,2,0),Y174,1),"")</f>
        <v/>
      </c>
      <c r="Y174" s="2" t="s">
        <v>23</v>
      </c>
      <c r="Z174" s="3" t="str">
        <f>IFERROR(MID(VLOOKUP($B174,Seqs!$A:$B,2,0),AA174,1),"")</f>
        <v/>
      </c>
      <c r="AA174" s="2" t="s">
        <v>23</v>
      </c>
      <c r="AB174" s="3" t="str">
        <f>IFERROR(MID(VLOOKUP($B174,Seqs!$A:$B,2,0),AC174,1),"")</f>
        <v>T</v>
      </c>
      <c r="AC174" s="40">
        <v>218</v>
      </c>
      <c r="AD174" s="3" t="str">
        <f>IFERROR(MID(VLOOKUP($B174,Seqs!$A:$B,2,0),AE174,1),"")</f>
        <v>F</v>
      </c>
      <c r="AE174" s="2">
        <v>240</v>
      </c>
      <c r="AF174" s="3" t="str">
        <f>IFERROR(MID(VLOOKUP($B174,Seqs!$A:$B,2,0),AG174,1),"")</f>
        <v>C</v>
      </c>
      <c r="AG174" s="2">
        <v>255</v>
      </c>
      <c r="AH174" s="3" t="str">
        <f>IFERROR(MID(VLOOKUP($B174,Seqs!$A:$B,2,0),AI174,1),"")</f>
        <v>L</v>
      </c>
      <c r="AI174" s="2">
        <v>257</v>
      </c>
      <c r="AJ174" s="3" t="str">
        <f>IFERROR(MID(VLOOKUP($B174,Seqs!$A:$B,2,0),AK174,1),"")</f>
        <v>T</v>
      </c>
      <c r="AK174" s="2">
        <v>263</v>
      </c>
      <c r="AL174" s="3" t="str">
        <f>IFERROR(MID(VLOOKUP($B174,Seqs!$A:$B,2,0),AM174,1),"")</f>
        <v>K</v>
      </c>
      <c r="AM174" s="2">
        <v>303</v>
      </c>
      <c r="AN174" s="3" t="str">
        <f>IFERROR(MID(VLOOKUP($B174,Seqs!$A:$B,2,0),AO174,1),"")</f>
        <v>N</v>
      </c>
      <c r="AO174" s="2">
        <v>312</v>
      </c>
      <c r="AP174" s="3" t="str">
        <f>IFERROR(MID(VLOOKUP($B174,Seqs!$A:$B,2,0),AQ174,1),"")</f>
        <v>Y</v>
      </c>
      <c r="AQ174" s="2">
        <v>350</v>
      </c>
      <c r="AR174" s="3" t="str">
        <f>IFERROR(MID(VLOOKUP($B174,Seqs!$A:$B,2,0),AS174,1),"")</f>
        <v>R</v>
      </c>
      <c r="AS174" s="2">
        <v>357</v>
      </c>
      <c r="AT174" s="3" t="str">
        <f>IFERROR(MID(VLOOKUP($B174,Seqs!$A:$B,2,0),AU174,1),"")</f>
        <v>V</v>
      </c>
      <c r="AU174" s="2">
        <v>389</v>
      </c>
      <c r="AV174" s="3" t="str">
        <f>IFERROR(MID(VLOOKUP($B174,Seqs!$A:$B,2,0),AW174,1),"")</f>
        <v>S</v>
      </c>
      <c r="AW174" s="2">
        <v>390</v>
      </c>
      <c r="AX174" s="3" t="str">
        <f>IFERROR(MID(VLOOKUP($B174,Seqs!$A:$B,2,0),AY174,1),"")</f>
        <v>L</v>
      </c>
      <c r="AY174" s="2">
        <v>401</v>
      </c>
      <c r="AZ174" s="77" t="str">
        <f>VLOOKUP(B174,Classification!A:D,2,0)</f>
        <v>A</v>
      </c>
      <c r="BA174" s="94" t="str">
        <f>VLOOKUP(B174,Classification!A:D,4,0)</f>
        <v>Endothelin</v>
      </c>
      <c r="BB174" s="27" t="b">
        <f t="shared" si="700"/>
        <v>1</v>
      </c>
      <c r="BC174" s="23">
        <f t="shared" ref="BC174:BC226" si="867">_xlfn.AGGREGATE(9,6,CH174:CS174)-_xlfn.AGGREGATE(9,6,BV174:CG174)+12</f>
        <v>255</v>
      </c>
      <c r="BD174" s="2" t="s">
        <v>23</v>
      </c>
      <c r="BE174" s="3" t="s">
        <v>1380</v>
      </c>
      <c r="BF174" s="119">
        <v>2.8</v>
      </c>
      <c r="BG174" s="49" t="s">
        <v>1383</v>
      </c>
      <c r="BH174" s="49" t="s">
        <v>1383</v>
      </c>
      <c r="BI174" s="2"/>
      <c r="BJ174" s="70" t="s">
        <v>1293</v>
      </c>
      <c r="BK174" s="57" t="s">
        <v>1293</v>
      </c>
      <c r="BL174" s="57" t="s">
        <v>1293</v>
      </c>
      <c r="BM174" s="57" t="s">
        <v>1293</v>
      </c>
      <c r="BN174" s="57" t="s">
        <v>1293</v>
      </c>
      <c r="BO174" s="57" t="s">
        <v>1293</v>
      </c>
      <c r="BP174" s="57" t="s">
        <v>1293</v>
      </c>
      <c r="BQ174" s="57" t="s">
        <v>1293</v>
      </c>
      <c r="BR174" s="57" t="s">
        <v>1293</v>
      </c>
      <c r="BS174" s="57" t="s">
        <v>1293</v>
      </c>
      <c r="BT174" s="57" t="s">
        <v>1293</v>
      </c>
      <c r="BU174" s="57" t="s">
        <v>1293</v>
      </c>
      <c r="BV174" s="70">
        <f t="shared" ref="BV174:BV226" si="868">E174</f>
        <v>97</v>
      </c>
      <c r="BW174" s="71" t="str">
        <f t="shared" ref="BW174:BW226" si="869">I174</f>
        <v>-</v>
      </c>
      <c r="BX174" s="72">
        <f t="shared" ref="BX174:BX226" si="870">M174</f>
        <v>136</v>
      </c>
      <c r="BY174" s="71">
        <f t="shared" ref="BY174:BY226" si="871">Q174</f>
        <v>166</v>
      </c>
      <c r="BZ174" s="72">
        <f t="shared" ref="BZ174:BZ226" si="872">U174</f>
        <v>170</v>
      </c>
      <c r="CA174" s="71" t="str">
        <f t="shared" ref="CA174:CA226" si="873">Y174</f>
        <v>-</v>
      </c>
      <c r="CB174" s="72">
        <f t="shared" ref="CB174:CB226" si="874">AC174</f>
        <v>218</v>
      </c>
      <c r="CC174" s="71">
        <f t="shared" ref="CC174:CC226" si="875">AG174</f>
        <v>255</v>
      </c>
      <c r="CD174" s="72">
        <f t="shared" ref="CD174:CD226" si="876">AK174</f>
        <v>263</v>
      </c>
      <c r="CE174" s="71">
        <f t="shared" ref="CE174:CE226" si="877">AO174</f>
        <v>312</v>
      </c>
      <c r="CF174" s="72">
        <f t="shared" ref="CF174:CF226" si="878">AS174</f>
        <v>357</v>
      </c>
      <c r="CG174" s="71">
        <f t="shared" ref="CG174:CG226" si="879">AW174</f>
        <v>390</v>
      </c>
      <c r="CH174" s="70">
        <f t="shared" ref="CH174:CH226" si="880">G174</f>
        <v>129</v>
      </c>
      <c r="CI174" s="71" t="str">
        <f t="shared" ref="CI174:CI226" si="881">K174</f>
        <v>-</v>
      </c>
      <c r="CJ174" s="72">
        <f t="shared" ref="CJ174:CJ226" si="882">O174</f>
        <v>164</v>
      </c>
      <c r="CK174" s="72">
        <f t="shared" ref="CK174:CK226" si="883">S174</f>
        <v>169</v>
      </c>
      <c r="CL174" s="72">
        <f t="shared" ref="CL174:CL226" si="884">W174</f>
        <v>205</v>
      </c>
      <c r="CM174" s="72" t="str">
        <f t="shared" ref="CM174:CM226" si="885">AA174</f>
        <v>-</v>
      </c>
      <c r="CN174" s="72">
        <f t="shared" ref="CN174:CN226" si="886">AE174</f>
        <v>240</v>
      </c>
      <c r="CO174" s="72">
        <f t="shared" ref="CO174:CO226" si="887">AI174</f>
        <v>257</v>
      </c>
      <c r="CP174" s="72">
        <f t="shared" ref="CP174:CP226" si="888">AM174</f>
        <v>303</v>
      </c>
      <c r="CQ174" s="72">
        <f t="shared" ref="CQ174:CQ226" si="889">AQ174</f>
        <v>350</v>
      </c>
      <c r="CR174" s="72">
        <f t="shared" ref="CR174:CR226" si="890">AU174</f>
        <v>389</v>
      </c>
      <c r="CS174" s="72">
        <f t="shared" ref="CS174:CS226" si="891">AY174</f>
        <v>401</v>
      </c>
      <c r="CT174" s="23" t="e">
        <f t="shared" ref="CT174:CT226" si="892">M174-K174</f>
        <v>#VALUE!</v>
      </c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  <c r="ADW174" s="1"/>
      <c r="ADX174" s="1"/>
      <c r="ADY174" s="1"/>
      <c r="ADZ174" s="1"/>
      <c r="AEA174" s="1"/>
      <c r="AEB174" s="1"/>
      <c r="AEC174" s="1"/>
      <c r="AED174" s="1"/>
      <c r="AEE174" s="1"/>
      <c r="AEF174" s="1"/>
      <c r="AEG174" s="1"/>
      <c r="AEH174" s="1"/>
      <c r="AEI174" s="1"/>
      <c r="AEJ174" s="1"/>
      <c r="AEK174" s="1"/>
      <c r="AEL174" s="1"/>
      <c r="AEM174" s="1"/>
      <c r="AEN174" s="1"/>
      <c r="AEO174" s="1"/>
      <c r="AEP174" s="1"/>
      <c r="AEQ174" s="1"/>
      <c r="AER174" s="1"/>
      <c r="AES174" s="1"/>
      <c r="AET174" s="1"/>
      <c r="AEU174" s="1"/>
      <c r="AEV174" s="1"/>
      <c r="AEW174" s="1"/>
      <c r="AEX174" s="1"/>
      <c r="AEY174" s="1"/>
      <c r="AEZ174" s="1"/>
      <c r="AFA174" s="1"/>
      <c r="AFB174" s="1"/>
      <c r="AFC174" s="1"/>
      <c r="AFD174" s="1"/>
      <c r="AFE174" s="1"/>
      <c r="AFF174" s="1"/>
      <c r="AFG174" s="1"/>
      <c r="AFH174" s="1"/>
      <c r="AFI174" s="1"/>
      <c r="AFJ174" s="1"/>
      <c r="AFK174" s="1"/>
      <c r="AFL174" s="1"/>
      <c r="AFM174" s="1"/>
      <c r="AFN174" s="1"/>
      <c r="AFO174" s="1"/>
      <c r="AFP174" s="1"/>
      <c r="AFQ174" s="1"/>
      <c r="AFR174" s="1"/>
      <c r="AFS174" s="1"/>
      <c r="AFT174" s="1"/>
      <c r="AFU174" s="1"/>
      <c r="AFV174" s="1"/>
      <c r="AFW174" s="1"/>
      <c r="AFX174" s="1"/>
      <c r="AFY174" s="1"/>
      <c r="AFZ174" s="1"/>
      <c r="AGA174" s="1"/>
      <c r="AGB174" s="1"/>
      <c r="AGC174" s="1"/>
      <c r="AGD174" s="1"/>
      <c r="AGE174" s="1"/>
      <c r="AGF174" s="1"/>
      <c r="AGG174" s="1"/>
      <c r="AGH174" s="1"/>
      <c r="AGI174" s="1"/>
      <c r="AGJ174" s="1"/>
      <c r="AGK174" s="1"/>
      <c r="AGL174" s="1"/>
      <c r="AGM174" s="1"/>
      <c r="AGN174" s="1"/>
      <c r="AGO174" s="1"/>
      <c r="AGP174" s="1"/>
      <c r="AGQ174" s="1"/>
      <c r="AGR174" s="1"/>
      <c r="AGS174" s="1"/>
      <c r="AGT174" s="1"/>
      <c r="AGU174" s="1"/>
      <c r="AGV174" s="1"/>
      <c r="AGW174" s="1"/>
      <c r="AGX174" s="1"/>
      <c r="AGY174" s="1"/>
      <c r="AGZ174" s="1"/>
      <c r="AHA174" s="1"/>
      <c r="AHB174" s="1"/>
      <c r="AHC174" s="1"/>
      <c r="AHD174" s="1"/>
      <c r="AHE174" s="1"/>
      <c r="AHF174" s="1"/>
      <c r="AHG174" s="1"/>
      <c r="AHH174" s="1"/>
      <c r="AHI174" s="1"/>
      <c r="AHJ174" s="1"/>
      <c r="AHK174" s="1"/>
      <c r="AHL174" s="1"/>
      <c r="AHM174" s="1"/>
      <c r="AHN174" s="1"/>
      <c r="AHO174" s="1"/>
      <c r="AHP174" s="1"/>
      <c r="AHQ174" s="1"/>
      <c r="AHR174" s="1"/>
      <c r="AHS174" s="1"/>
      <c r="AHT174" s="1"/>
      <c r="AHU174" s="1"/>
      <c r="AHV174" s="1"/>
      <c r="AHW174" s="1"/>
      <c r="AHX174" s="1"/>
      <c r="AHY174" s="1"/>
      <c r="AHZ174" s="1"/>
      <c r="AIA174" s="1"/>
      <c r="AIB174" s="1"/>
      <c r="AIC174" s="1"/>
      <c r="AID174" s="1"/>
      <c r="AIE174" s="1"/>
      <c r="AIF174" s="1"/>
      <c r="AIG174" s="1"/>
      <c r="AIH174" s="1"/>
      <c r="AII174" s="1"/>
      <c r="AIJ174" s="1"/>
      <c r="AIK174" s="1"/>
      <c r="AIL174" s="1"/>
      <c r="AIM174" s="1"/>
      <c r="AIN174" s="1"/>
      <c r="AIO174" s="1"/>
      <c r="AIP174" s="1"/>
      <c r="AIQ174" s="1"/>
      <c r="AIR174" s="1"/>
      <c r="AIS174" s="1"/>
      <c r="AIT174" s="1"/>
      <c r="AIU174" s="1"/>
      <c r="AIV174" s="1"/>
      <c r="AIW174" s="1"/>
      <c r="AIX174" s="1"/>
      <c r="AIY174" s="1"/>
      <c r="AIZ174" s="1"/>
      <c r="AJA174" s="1"/>
      <c r="AJB174" s="1"/>
      <c r="AJC174" s="1"/>
      <c r="AJD174" s="1"/>
      <c r="AJE174" s="1"/>
      <c r="AJF174" s="1"/>
      <c r="AJG174" s="1"/>
      <c r="AJH174" s="1"/>
      <c r="AJI174" s="1"/>
      <c r="AJJ174" s="1"/>
      <c r="AJK174" s="1"/>
      <c r="AJL174" s="1"/>
      <c r="AJM174" s="1"/>
      <c r="AJN174" s="1"/>
      <c r="AJO174" s="1"/>
      <c r="AJP174" s="1"/>
      <c r="AJQ174" s="1"/>
      <c r="AJR174" s="1"/>
      <c r="AJS174" s="1"/>
      <c r="AJT174" s="1"/>
      <c r="AJU174" s="1"/>
      <c r="AJV174" s="1"/>
      <c r="AJW174" s="1"/>
      <c r="AJX174" s="1"/>
      <c r="AJY174" s="1"/>
      <c r="AJZ174" s="1"/>
      <c r="AKA174" s="1"/>
      <c r="AKB174" s="1"/>
      <c r="AKC174" s="1"/>
      <c r="AKD174" s="1"/>
      <c r="AKE174" s="1"/>
      <c r="AKF174" s="1"/>
      <c r="AKG174" s="1"/>
      <c r="AKH174" s="1"/>
      <c r="AKI174" s="1"/>
      <c r="AKJ174" s="1"/>
      <c r="AKK174" s="1"/>
      <c r="AKL174" s="1"/>
      <c r="AKM174" s="1"/>
      <c r="AKN174" s="1"/>
      <c r="AKO174" s="1"/>
      <c r="AKP174" s="1"/>
      <c r="AKQ174" s="1"/>
      <c r="AKR174" s="1"/>
      <c r="AKS174" s="1"/>
      <c r="AKT174" s="1"/>
      <c r="AKU174" s="1"/>
      <c r="AKV174" s="1"/>
      <c r="AKW174" s="1"/>
      <c r="AKX174" s="1"/>
      <c r="AKY174" s="1"/>
      <c r="AKZ174" s="1"/>
      <c r="ALA174" s="1"/>
      <c r="ALB174" s="1"/>
      <c r="ALC174" s="1"/>
      <c r="ALD174" s="1"/>
      <c r="ALE174" s="1"/>
      <c r="ALF174" s="1"/>
      <c r="ALG174" s="1"/>
      <c r="ALH174" s="1"/>
      <c r="ALI174" s="1"/>
      <c r="ALJ174" s="1"/>
      <c r="ALK174" s="1"/>
      <c r="ALL174" s="1"/>
      <c r="ALM174" s="1"/>
      <c r="ALN174" s="1"/>
      <c r="ALO174" s="1"/>
      <c r="ALP174" s="1"/>
      <c r="ALQ174" s="1"/>
      <c r="ALR174" s="1"/>
      <c r="ALS174" s="1"/>
      <c r="ALT174" s="1"/>
      <c r="ALU174" s="1"/>
      <c r="ALV174" s="1"/>
      <c r="ALW174" s="1"/>
      <c r="ALX174" s="1"/>
      <c r="ALY174" s="1"/>
      <c r="ALZ174" s="1"/>
      <c r="AMA174" s="1"/>
      <c r="AMB174" s="1"/>
      <c r="AMC174" s="1"/>
      <c r="AMD174" s="1"/>
      <c r="AME174" s="1"/>
      <c r="AMF174" s="1"/>
      <c r="AMG174" s="1"/>
      <c r="AMH174" s="1"/>
      <c r="AMI174" s="1"/>
      <c r="AMJ174" s="1"/>
      <c r="AMK174" s="1"/>
      <c r="AML174" s="1"/>
      <c r="AMM174" s="1"/>
      <c r="AMN174" s="1"/>
      <c r="AMO174" s="1"/>
    </row>
    <row r="175" spans="1:1029" x14ac:dyDescent="0.2">
      <c r="A175" s="3" t="str">
        <f t="shared" si="699"/>
        <v>ednrb_human_5GLI</v>
      </c>
      <c r="B175" s="2" t="s">
        <v>196</v>
      </c>
      <c r="C175" s="2" t="s">
        <v>1333</v>
      </c>
      <c r="D175" s="3" t="str">
        <f>IFERROR(MID(VLOOKUP($B175,Seqs!$A:$B,2,0),E175,1),"")</f>
        <v>Q</v>
      </c>
      <c r="E175" s="2">
        <v>91</v>
      </c>
      <c r="F175" s="3" t="str">
        <f>IFERROR(MID(VLOOKUP($B175,Seqs!$A:$B,2,0),G175,1),"")</f>
        <v>N</v>
      </c>
      <c r="G175" s="2">
        <v>129</v>
      </c>
      <c r="H175" s="3" t="str">
        <f>IFERROR(MID(VLOOKUP($B175,Seqs!$A:$B,2,0),I175,1),"")</f>
        <v>K</v>
      </c>
      <c r="I175" s="56">
        <v>130</v>
      </c>
      <c r="J175" s="3" t="str">
        <f>IFERROR(MID(VLOOKUP($B175,Seqs!$A:$B,2,0),K175,1),"")</f>
        <v>N</v>
      </c>
      <c r="K175" s="56">
        <v>134</v>
      </c>
      <c r="L175" s="3" t="str">
        <f>IFERROR(MID(VLOOKUP($B175,Seqs!$A:$B,2,0),M175,1),"")</f>
        <v>G</v>
      </c>
      <c r="M175" s="2">
        <v>135</v>
      </c>
      <c r="N175" s="3" t="str">
        <f>IFERROR(MID(VLOOKUP($B175,Seqs!$A:$B,2,0),O175,1),"")</f>
        <v>A</v>
      </c>
      <c r="O175" s="2">
        <v>164</v>
      </c>
      <c r="P175" s="3" t="str">
        <f>IFERROR(MID(VLOOKUP($B175,Seqs!$A:$B,2,0),Q175,1),"")</f>
        <v>D</v>
      </c>
      <c r="Q175" s="2">
        <v>166</v>
      </c>
      <c r="R175" s="3" t="str">
        <f>IFERROR(MID(VLOOKUP($B175,Seqs!$A:$B,2,0),S175,1),"")</f>
        <v>F</v>
      </c>
      <c r="S175" s="2">
        <v>169</v>
      </c>
      <c r="T175" s="3" t="str">
        <f>IFERROR(MID(VLOOKUP($B175,Seqs!$A:$B,2,0),U175,1),"")</f>
        <v>G</v>
      </c>
      <c r="U175" s="4">
        <v>170</v>
      </c>
      <c r="V175" s="3" t="str">
        <f>IFERROR(MID(VLOOKUP($B175,Seqs!$A:$B,2,0),W175,1),"")</f>
        <v>S</v>
      </c>
      <c r="W175" s="2">
        <v>205</v>
      </c>
      <c r="X175" s="3" t="str">
        <f>IFERROR(MID(VLOOKUP($B175,Seqs!$A:$B,2,0),Y175,1),"")</f>
        <v/>
      </c>
      <c r="Y175" s="2" t="s">
        <v>23</v>
      </c>
      <c r="Z175" s="3" t="str">
        <f>IFERROR(MID(VLOOKUP($B175,Seqs!$A:$B,2,0),AA175,1),"")</f>
        <v/>
      </c>
      <c r="AA175" s="2" t="s">
        <v>23</v>
      </c>
      <c r="AB175" s="3" t="str">
        <f>IFERROR(MID(VLOOKUP($B175,Seqs!$A:$B,2,0),AC175,1),"")</f>
        <v>K</v>
      </c>
      <c r="AC175" s="40">
        <v>216</v>
      </c>
      <c r="AD175" s="3" t="str">
        <f>IFERROR(MID(VLOOKUP($B175,Seqs!$A:$B,2,0),AE175,1),"")</f>
        <v>F</v>
      </c>
      <c r="AE175" s="2">
        <v>240</v>
      </c>
      <c r="AF175" s="3" t="str">
        <f>IFERROR(MID(VLOOKUP($B175,Seqs!$A:$B,2,0),AG175,1),"")</f>
        <v>C</v>
      </c>
      <c r="AG175" s="2">
        <v>255</v>
      </c>
      <c r="AH175" s="3" t="str">
        <f>IFERROR(MID(VLOOKUP($B175,Seqs!$A:$B,2,0),AI175,1),"")</f>
        <v>L</v>
      </c>
      <c r="AI175" s="2">
        <v>257</v>
      </c>
      <c r="AJ175" s="3" t="str">
        <f>IFERROR(MID(VLOOKUP($B175,Seqs!$A:$B,2,0),AK175,1),"")</f>
        <v>T</v>
      </c>
      <c r="AK175" s="2">
        <v>263</v>
      </c>
      <c r="AL175" s="3" t="str">
        <f>IFERROR(MID(VLOOKUP($B175,Seqs!$A:$B,2,0),AM175,1),"")</f>
        <v>K</v>
      </c>
      <c r="AM175" s="2">
        <v>303</v>
      </c>
      <c r="AN175" s="3" t="str">
        <f>IFERROR(MID(VLOOKUP($B175,Seqs!$A:$B,2,0),AO175,1),"")</f>
        <v>N</v>
      </c>
      <c r="AO175" s="2">
        <v>312</v>
      </c>
      <c r="AP175" s="3" t="str">
        <f>IFERROR(MID(VLOOKUP($B175,Seqs!$A:$B,2,0),AQ175,1),"")</f>
        <v>Y</v>
      </c>
      <c r="AQ175" s="2">
        <v>350</v>
      </c>
      <c r="AR175" s="3" t="str">
        <f>IFERROR(MID(VLOOKUP($B175,Seqs!$A:$B,2,0),AS175,1),"")</f>
        <v>R</v>
      </c>
      <c r="AS175" s="2">
        <v>357</v>
      </c>
      <c r="AT175" s="3" t="str">
        <f>IFERROR(MID(VLOOKUP($B175,Seqs!$A:$B,2,0),AU175,1),"")</f>
        <v>V</v>
      </c>
      <c r="AU175" s="2">
        <v>389</v>
      </c>
      <c r="AV175" s="3" t="str">
        <f>IFERROR(MID(VLOOKUP($B175,Seqs!$A:$B,2,0),AW175,1),"")</f>
        <v>S</v>
      </c>
      <c r="AW175" s="2">
        <v>390</v>
      </c>
      <c r="AX175" s="3" t="str">
        <f>IFERROR(MID(VLOOKUP($B175,Seqs!$A:$B,2,0),AY175,1),"")</f>
        <v>C</v>
      </c>
      <c r="AY175" s="2">
        <v>403</v>
      </c>
      <c r="AZ175" s="77" t="str">
        <f>VLOOKUP(B175,Classification!A:D,2,0)</f>
        <v>A</v>
      </c>
      <c r="BA175" s="94" t="str">
        <f>VLOOKUP(B175,Classification!A:D,4,0)</f>
        <v>Endothelin</v>
      </c>
      <c r="BB175" s="27" t="b">
        <f t="shared" si="700"/>
        <v>1</v>
      </c>
      <c r="BC175" s="23">
        <f t="shared" si="867"/>
        <v>270</v>
      </c>
      <c r="BD175" s="2" t="s">
        <v>23</v>
      </c>
      <c r="BE175" s="3" t="s">
        <v>1380</v>
      </c>
      <c r="BF175" s="119">
        <v>2.5</v>
      </c>
      <c r="BG175" s="49" t="s">
        <v>1383</v>
      </c>
      <c r="BH175" s="49" t="s">
        <v>1383</v>
      </c>
      <c r="BI175" s="2"/>
      <c r="BJ175" s="70" t="s">
        <v>1293</v>
      </c>
      <c r="BK175" s="57" t="s">
        <v>1293</v>
      </c>
      <c r="BL175" s="57" t="s">
        <v>1293</v>
      </c>
      <c r="BM175" s="57" t="s">
        <v>1293</v>
      </c>
      <c r="BN175" s="57" t="s">
        <v>1293</v>
      </c>
      <c r="BO175" s="57" t="s">
        <v>1293</v>
      </c>
      <c r="BP175" s="57" t="s">
        <v>1293</v>
      </c>
      <c r="BQ175" s="57" t="s">
        <v>1293</v>
      </c>
      <c r="BR175" s="57" t="s">
        <v>1293</v>
      </c>
      <c r="BS175" s="57" t="s">
        <v>1293</v>
      </c>
      <c r="BT175" s="57" t="s">
        <v>1293</v>
      </c>
      <c r="BU175" s="57" t="s">
        <v>1293</v>
      </c>
      <c r="BV175" s="70">
        <f t="shared" si="868"/>
        <v>91</v>
      </c>
      <c r="BW175" s="71">
        <f t="shared" si="869"/>
        <v>130</v>
      </c>
      <c r="BX175" s="72">
        <f t="shared" si="870"/>
        <v>135</v>
      </c>
      <c r="BY175" s="71">
        <f t="shared" si="871"/>
        <v>166</v>
      </c>
      <c r="BZ175" s="72">
        <f t="shared" si="872"/>
        <v>170</v>
      </c>
      <c r="CA175" s="71" t="str">
        <f t="shared" si="873"/>
        <v>-</v>
      </c>
      <c r="CB175" s="72">
        <f t="shared" si="874"/>
        <v>216</v>
      </c>
      <c r="CC175" s="71">
        <f t="shared" si="875"/>
        <v>255</v>
      </c>
      <c r="CD175" s="72">
        <f t="shared" si="876"/>
        <v>263</v>
      </c>
      <c r="CE175" s="71">
        <f t="shared" si="877"/>
        <v>312</v>
      </c>
      <c r="CF175" s="72">
        <f t="shared" si="878"/>
        <v>357</v>
      </c>
      <c r="CG175" s="71">
        <f t="shared" si="879"/>
        <v>390</v>
      </c>
      <c r="CH175" s="70">
        <f t="shared" si="880"/>
        <v>129</v>
      </c>
      <c r="CI175" s="71">
        <f t="shared" si="881"/>
        <v>134</v>
      </c>
      <c r="CJ175" s="72">
        <f t="shared" si="882"/>
        <v>164</v>
      </c>
      <c r="CK175" s="72">
        <f t="shared" si="883"/>
        <v>169</v>
      </c>
      <c r="CL175" s="72">
        <f t="shared" si="884"/>
        <v>205</v>
      </c>
      <c r="CM175" s="72" t="str">
        <f t="shared" si="885"/>
        <v>-</v>
      </c>
      <c r="CN175" s="72">
        <f t="shared" si="886"/>
        <v>240</v>
      </c>
      <c r="CO175" s="72">
        <f t="shared" si="887"/>
        <v>257</v>
      </c>
      <c r="CP175" s="72">
        <f t="shared" si="888"/>
        <v>303</v>
      </c>
      <c r="CQ175" s="72">
        <f t="shared" si="889"/>
        <v>350</v>
      </c>
      <c r="CR175" s="72">
        <f t="shared" si="890"/>
        <v>389</v>
      </c>
      <c r="CS175" s="72">
        <f t="shared" si="891"/>
        <v>403</v>
      </c>
      <c r="CT175" s="23">
        <f t="shared" si="892"/>
        <v>1</v>
      </c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1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1"/>
      <c r="AFW175" s="1"/>
      <c r="AFX175" s="1"/>
      <c r="AFY175" s="1"/>
      <c r="AFZ175" s="1"/>
      <c r="AGA175" s="1"/>
      <c r="AGB175" s="1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1"/>
      <c r="AHD175" s="1"/>
      <c r="AHE175" s="1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1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1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1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1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1"/>
      <c r="AKR175" s="1"/>
      <c r="AKS175" s="1"/>
      <c r="AKT175" s="1"/>
      <c r="AKU175" s="1"/>
      <c r="AKV175" s="1"/>
      <c r="AKW175" s="1"/>
      <c r="AKX175" s="1"/>
      <c r="AKY175" s="1"/>
      <c r="AKZ175" s="1"/>
      <c r="ALA175" s="1"/>
      <c r="ALB175" s="1"/>
      <c r="ALC175" s="1"/>
      <c r="ALD175" s="1"/>
      <c r="ALE175" s="1"/>
      <c r="ALF175" s="1"/>
      <c r="ALG175" s="1"/>
      <c r="ALH175" s="1"/>
      <c r="ALI175" s="1"/>
      <c r="ALJ175" s="1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1"/>
      <c r="AMB175" s="1"/>
      <c r="AMC175" s="1"/>
      <c r="AMD175" s="1"/>
      <c r="AME175" s="1"/>
      <c r="AMF175" s="1"/>
      <c r="AMG175" s="1"/>
      <c r="AMH175" s="1"/>
      <c r="AMI175" s="1"/>
      <c r="AMJ175" s="1"/>
      <c r="AMK175" s="1"/>
      <c r="AML175" s="1"/>
      <c r="AMM175" s="1"/>
      <c r="AMN175" s="1"/>
      <c r="AMO175" s="1"/>
    </row>
    <row r="176" spans="1:1029" x14ac:dyDescent="0.2">
      <c r="A176" s="3" t="str">
        <f>CONCATENATE(B176,"_",C176)</f>
        <v>ednrb_human_5X93</v>
      </c>
      <c r="B176" s="2" t="s">
        <v>196</v>
      </c>
      <c r="C176" s="2" t="s">
        <v>1448</v>
      </c>
      <c r="D176" s="3" t="str">
        <f>IFERROR(MID(VLOOKUP($B176,Seqs!$A:$B,2,0),E176,1),"")</f>
        <v>Q</v>
      </c>
      <c r="E176" s="2">
        <v>91</v>
      </c>
      <c r="F176" s="3" t="str">
        <f>IFERROR(MID(VLOOKUP($B176,Seqs!$A:$B,2,0),G176,1),"")</f>
        <v>N</v>
      </c>
      <c r="G176" s="2">
        <v>129</v>
      </c>
      <c r="H176" s="3" t="str">
        <f>IFERROR(MID(VLOOKUP($B176,Seqs!$A:$B,2,0),I176,1),"")</f>
        <v>K</v>
      </c>
      <c r="I176" s="56">
        <v>130</v>
      </c>
      <c r="J176" s="3" t="str">
        <f>IFERROR(MID(VLOOKUP($B176,Seqs!$A:$B,2,0),K176,1),"")</f>
        <v>N</v>
      </c>
      <c r="K176" s="56">
        <v>134</v>
      </c>
      <c r="L176" s="3" t="str">
        <f>IFERROR(MID(VLOOKUP($B176,Seqs!$A:$B,2,0),M176,1),"")</f>
        <v>G</v>
      </c>
      <c r="M176" s="2">
        <v>135</v>
      </c>
      <c r="N176" s="3" t="str">
        <f>IFERROR(MID(VLOOKUP($B176,Seqs!$A:$B,2,0),O176,1),"")</f>
        <v>A</v>
      </c>
      <c r="O176" s="2">
        <v>164</v>
      </c>
      <c r="P176" s="3" t="str">
        <f>IFERROR(MID(VLOOKUP($B176,Seqs!$A:$B,2,0),Q176,1),"")</f>
        <v>D</v>
      </c>
      <c r="Q176" s="2">
        <v>166</v>
      </c>
      <c r="R176" s="3" t="str">
        <f>IFERROR(MID(VLOOKUP($B176,Seqs!$A:$B,2,0),S176,1),"")</f>
        <v>F</v>
      </c>
      <c r="S176" s="2">
        <v>169</v>
      </c>
      <c r="T176" s="3" t="str">
        <f>IFERROR(MID(VLOOKUP($B176,Seqs!$A:$B,2,0),U176,1),"")</f>
        <v>G</v>
      </c>
      <c r="U176" s="4">
        <v>170</v>
      </c>
      <c r="V176" s="3" t="str">
        <f>IFERROR(MID(VLOOKUP($B176,Seqs!$A:$B,2,0),W176,1),"")</f>
        <v>S</v>
      </c>
      <c r="W176" s="2">
        <v>205</v>
      </c>
      <c r="X176" s="3" t="str">
        <f>IFERROR(MID(VLOOKUP($B176,Seqs!$A:$B,2,0),Y176,1),"")</f>
        <v/>
      </c>
      <c r="Y176" s="2" t="s">
        <v>23</v>
      </c>
      <c r="Z176" s="3" t="str">
        <f>IFERROR(MID(VLOOKUP($B176,Seqs!$A:$B,2,0),AA176,1),"")</f>
        <v/>
      </c>
      <c r="AA176" s="2" t="s">
        <v>23</v>
      </c>
      <c r="AB176" s="3" t="str">
        <f>IFERROR(MID(VLOOKUP($B176,Seqs!$A:$B,2,0),AC176,1),"")</f>
        <v>K</v>
      </c>
      <c r="AC176" s="2">
        <v>216</v>
      </c>
      <c r="AD176" s="3" t="str">
        <f>IFERROR(MID(VLOOKUP($B176,Seqs!$A:$B,2,0),AE176,1),"")</f>
        <v>F</v>
      </c>
      <c r="AE176" s="2">
        <v>240</v>
      </c>
      <c r="AF176" s="3" t="str">
        <f>IFERROR(MID(VLOOKUP($B176,Seqs!$A:$B,2,0),AG176,1),"")</f>
        <v>C</v>
      </c>
      <c r="AG176" s="2">
        <v>255</v>
      </c>
      <c r="AH176" s="3" t="str">
        <f>IFERROR(MID(VLOOKUP($B176,Seqs!$A:$B,2,0),AI176,1),"")</f>
        <v>L</v>
      </c>
      <c r="AI176" s="2">
        <v>257</v>
      </c>
      <c r="AJ176" s="3" t="str">
        <f>IFERROR(MID(VLOOKUP($B176,Seqs!$A:$B,2,0),AK176,1),"")</f>
        <v>T</v>
      </c>
      <c r="AK176" s="2">
        <v>263</v>
      </c>
      <c r="AL176" s="3" t="str">
        <f>IFERROR(MID(VLOOKUP($B176,Seqs!$A:$B,2,0),AM176,1),"")</f>
        <v>K</v>
      </c>
      <c r="AM176" s="2">
        <v>303</v>
      </c>
      <c r="AN176" s="3" t="str">
        <f>IFERROR(MID(VLOOKUP($B176,Seqs!$A:$B,2,0),AO176,1),"")</f>
        <v>N</v>
      </c>
      <c r="AO176" s="2">
        <v>312</v>
      </c>
      <c r="AP176" s="3" t="str">
        <f>IFERROR(MID(VLOOKUP($B176,Seqs!$A:$B,2,0),AQ176,1),"")</f>
        <v>Y</v>
      </c>
      <c r="AQ176" s="2">
        <v>350</v>
      </c>
      <c r="AR176" s="3" t="str">
        <f>IFERROR(MID(VLOOKUP($B176,Seqs!$A:$B,2,0),AS176,1),"")</f>
        <v>R</v>
      </c>
      <c r="AS176" s="2">
        <v>357</v>
      </c>
      <c r="AT176" s="3" t="str">
        <f>IFERROR(MID(VLOOKUP($B176,Seqs!$A:$B,2,0),AU176,1),"")</f>
        <v>V</v>
      </c>
      <c r="AU176" s="2">
        <v>389</v>
      </c>
      <c r="AV176" s="3" t="str">
        <f>IFERROR(MID(VLOOKUP($B176,Seqs!$A:$B,2,0),AW176,1),"")</f>
        <v>S</v>
      </c>
      <c r="AW176" s="2">
        <v>390</v>
      </c>
      <c r="AX176" s="3" t="str">
        <f>IFERROR(MID(VLOOKUP($B176,Seqs!$A:$B,2,0),AY176,1),"")</f>
        <v>C</v>
      </c>
      <c r="AY176" s="2">
        <v>403</v>
      </c>
      <c r="AZ176" s="77" t="str">
        <f>VLOOKUP(B176,Classification!A:D,2,0)</f>
        <v>A</v>
      </c>
      <c r="BA176" s="94" t="str">
        <f>VLOOKUP(B176,Classification!A:D,4,0)</f>
        <v>Endothelin</v>
      </c>
      <c r="BB176" s="27" t="b">
        <f>AND(E176&lt;G176,OR(G176&lt;I176,I176="-"),OR(I176&lt;K176,I176="-"),OR(K176&lt;M176,K176="-"),M176&lt;O176,OR(O176&lt;Q176,Q176="-"),OR(Q176&lt;S176,Q176="-"),OR(S176&lt;U176,S176="-"),U176&lt;W176,OR(W176&lt;Y176,Y176="-"),OR(Y176&lt;AA176,Y176="-"),OR(AA176&lt;AC176,AA176="-"),AC176&lt;AE176,OR(AE176&lt;AG176,AG176="-"),OR(AG176&lt;AI176,AG176="-"),OR(AI176&lt;AK176,AI176="-"),AK176&lt;AM176,AM176&lt;AO176,AO176&lt;AQ176,AQ176&lt;AS176,AS176&lt;AU176,OR(AU176&lt;AW176,AW176="-"),OR(AW176&lt;AY176,AW176="-"))</f>
        <v>1</v>
      </c>
      <c r="BC176" s="23">
        <f>_xlfn.AGGREGATE(9,6,CH176:CS176)-_xlfn.AGGREGATE(9,6,BV176:CG176)+12</f>
        <v>270</v>
      </c>
      <c r="BD176" s="2" t="s">
        <v>1382</v>
      </c>
      <c r="BE176" s="3" t="s">
        <v>1380</v>
      </c>
      <c r="BF176" s="119">
        <v>2.2000000000000002</v>
      </c>
      <c r="BG176" s="49" t="s">
        <v>1</v>
      </c>
      <c r="BH176" s="49" t="s">
        <v>1</v>
      </c>
      <c r="BI176" s="2"/>
      <c r="BJ176" s="70" t="s">
        <v>1293</v>
      </c>
      <c r="BK176" s="57" t="s">
        <v>1293</v>
      </c>
      <c r="BL176" s="57" t="s">
        <v>1293</v>
      </c>
      <c r="BM176" s="57" t="s">
        <v>1293</v>
      </c>
      <c r="BN176" s="57" t="s">
        <v>1293</v>
      </c>
      <c r="BO176" s="57" t="s">
        <v>1293</v>
      </c>
      <c r="BP176" s="57" t="s">
        <v>1293</v>
      </c>
      <c r="BQ176" s="57" t="s">
        <v>1293</v>
      </c>
      <c r="BR176" s="57" t="s">
        <v>1293</v>
      </c>
      <c r="BS176" s="57" t="s">
        <v>1293</v>
      </c>
      <c r="BT176" s="57" t="s">
        <v>1293</v>
      </c>
      <c r="BU176" s="57" t="s">
        <v>1293</v>
      </c>
      <c r="BV176" s="70">
        <f>E176</f>
        <v>91</v>
      </c>
      <c r="BW176" s="71">
        <f>I176</f>
        <v>130</v>
      </c>
      <c r="BX176" s="72">
        <f>M176</f>
        <v>135</v>
      </c>
      <c r="BY176" s="71">
        <f>Q176</f>
        <v>166</v>
      </c>
      <c r="BZ176" s="72">
        <f>U176</f>
        <v>170</v>
      </c>
      <c r="CA176" s="71" t="str">
        <f>Y176</f>
        <v>-</v>
      </c>
      <c r="CB176" s="72">
        <f>AC176</f>
        <v>216</v>
      </c>
      <c r="CC176" s="71">
        <f>AG176</f>
        <v>255</v>
      </c>
      <c r="CD176" s="72">
        <f>AK176</f>
        <v>263</v>
      </c>
      <c r="CE176" s="71">
        <f>AO176</f>
        <v>312</v>
      </c>
      <c r="CF176" s="72">
        <f>AS176</f>
        <v>357</v>
      </c>
      <c r="CG176" s="71">
        <f>AW176</f>
        <v>390</v>
      </c>
      <c r="CH176" s="70">
        <f>G176</f>
        <v>129</v>
      </c>
      <c r="CI176" s="71">
        <f>K176</f>
        <v>134</v>
      </c>
      <c r="CJ176" s="72">
        <f>O176</f>
        <v>164</v>
      </c>
      <c r="CK176" s="72">
        <f>S176</f>
        <v>169</v>
      </c>
      <c r="CL176" s="72">
        <f>W176</f>
        <v>205</v>
      </c>
      <c r="CM176" s="72" t="str">
        <f>AA176</f>
        <v>-</v>
      </c>
      <c r="CN176" s="72">
        <f>AE176</f>
        <v>240</v>
      </c>
      <c r="CO176" s="72">
        <f>AI176</f>
        <v>257</v>
      </c>
      <c r="CP176" s="72">
        <f>AM176</f>
        <v>303</v>
      </c>
      <c r="CQ176" s="72">
        <f>AQ176</f>
        <v>350</v>
      </c>
      <c r="CR176" s="72">
        <f>AU176</f>
        <v>389</v>
      </c>
      <c r="CS176" s="72">
        <f>AY176</f>
        <v>403</v>
      </c>
      <c r="CT176" s="23">
        <f>M176-K176</f>
        <v>1</v>
      </c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  <c r="ADW176" s="1"/>
      <c r="ADX176" s="1"/>
      <c r="ADY176" s="1"/>
      <c r="ADZ176" s="1"/>
      <c r="AEA176" s="1"/>
      <c r="AEB176" s="1"/>
      <c r="AEC176" s="1"/>
      <c r="AED176" s="1"/>
      <c r="AEE176" s="1"/>
      <c r="AEF176" s="1"/>
      <c r="AEG176" s="1"/>
      <c r="AEH176" s="1"/>
      <c r="AEI176" s="1"/>
      <c r="AEJ176" s="1"/>
      <c r="AEK176" s="1"/>
      <c r="AEL176" s="1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1"/>
      <c r="AFD176" s="1"/>
      <c r="AFE176" s="1"/>
      <c r="AFF176" s="1"/>
      <c r="AFG176" s="1"/>
      <c r="AFH176" s="1"/>
      <c r="AFI176" s="1"/>
      <c r="AFJ176" s="1"/>
      <c r="AFK176" s="1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1"/>
      <c r="AFW176" s="1"/>
      <c r="AFX176" s="1"/>
      <c r="AFY176" s="1"/>
      <c r="AFZ176" s="1"/>
      <c r="AGA176" s="1"/>
      <c r="AGB176" s="1"/>
      <c r="AGC176" s="1"/>
      <c r="AGD176" s="1"/>
      <c r="AGE176" s="1"/>
      <c r="AGF176" s="1"/>
      <c r="AGG176" s="1"/>
      <c r="AGH176" s="1"/>
      <c r="AGI176" s="1"/>
      <c r="AGJ176" s="1"/>
      <c r="AGK176" s="1"/>
      <c r="AGL176" s="1"/>
      <c r="AGM176" s="1"/>
      <c r="AGN176" s="1"/>
      <c r="AGO176" s="1"/>
      <c r="AGP176" s="1"/>
      <c r="AGQ176" s="1"/>
      <c r="AGR176" s="1"/>
      <c r="AGS176" s="1"/>
      <c r="AGT176" s="1"/>
      <c r="AGU176" s="1"/>
      <c r="AGV176" s="1"/>
      <c r="AGW176" s="1"/>
      <c r="AGX176" s="1"/>
      <c r="AGY176" s="1"/>
      <c r="AGZ176" s="1"/>
      <c r="AHA176" s="1"/>
      <c r="AHB176" s="1"/>
      <c r="AHC176" s="1"/>
      <c r="AHD176" s="1"/>
      <c r="AHE176" s="1"/>
      <c r="AHF176" s="1"/>
      <c r="AHG176" s="1"/>
      <c r="AHH176" s="1"/>
      <c r="AHI176" s="1"/>
      <c r="AHJ176" s="1"/>
      <c r="AHK176" s="1"/>
      <c r="AHL176" s="1"/>
      <c r="AHM176" s="1"/>
      <c r="AHN176" s="1"/>
      <c r="AHO176" s="1"/>
      <c r="AHP176" s="1"/>
      <c r="AHQ176" s="1"/>
      <c r="AHR176" s="1"/>
      <c r="AHS176" s="1"/>
      <c r="AHT176" s="1"/>
      <c r="AHU176" s="1"/>
      <c r="AHV176" s="1"/>
      <c r="AHW176" s="1"/>
      <c r="AHX176" s="1"/>
      <c r="AHY176" s="1"/>
      <c r="AHZ176" s="1"/>
      <c r="AIA176" s="1"/>
      <c r="AIB176" s="1"/>
      <c r="AIC176" s="1"/>
      <c r="AID176" s="1"/>
      <c r="AIE176" s="1"/>
      <c r="AIF176" s="1"/>
      <c r="AIG176" s="1"/>
      <c r="AIH176" s="1"/>
      <c r="AII176" s="1"/>
      <c r="AIJ176" s="1"/>
      <c r="AIK176" s="1"/>
      <c r="AIL176" s="1"/>
      <c r="AIM176" s="1"/>
      <c r="AIN176" s="1"/>
      <c r="AIO176" s="1"/>
      <c r="AIP176" s="1"/>
      <c r="AIQ176" s="1"/>
      <c r="AIR176" s="1"/>
      <c r="AIS176" s="1"/>
      <c r="AIT176" s="1"/>
      <c r="AIU176" s="1"/>
      <c r="AIV176" s="1"/>
      <c r="AIW176" s="1"/>
      <c r="AIX176" s="1"/>
      <c r="AIY176" s="1"/>
      <c r="AIZ176" s="1"/>
      <c r="AJA176" s="1"/>
      <c r="AJB176" s="1"/>
      <c r="AJC176" s="1"/>
      <c r="AJD176" s="1"/>
      <c r="AJE176" s="1"/>
      <c r="AJF176" s="1"/>
      <c r="AJG176" s="1"/>
      <c r="AJH176" s="1"/>
      <c r="AJI176" s="1"/>
      <c r="AJJ176" s="1"/>
      <c r="AJK176" s="1"/>
      <c r="AJL176" s="1"/>
      <c r="AJM176" s="1"/>
      <c r="AJN176" s="1"/>
      <c r="AJO176" s="1"/>
      <c r="AJP176" s="1"/>
      <c r="AJQ176" s="1"/>
      <c r="AJR176" s="1"/>
      <c r="AJS176" s="1"/>
      <c r="AJT176" s="1"/>
      <c r="AJU176" s="1"/>
      <c r="AJV176" s="1"/>
      <c r="AJW176" s="1"/>
      <c r="AJX176" s="1"/>
      <c r="AJY176" s="1"/>
      <c r="AJZ176" s="1"/>
      <c r="AKA176" s="1"/>
      <c r="AKB176" s="1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1"/>
      <c r="AKO176" s="1"/>
      <c r="AKP176" s="1"/>
      <c r="AKQ176" s="1"/>
      <c r="AKR176" s="1"/>
      <c r="AKS176" s="1"/>
      <c r="AKT176" s="1"/>
      <c r="AKU176" s="1"/>
      <c r="AKV176" s="1"/>
      <c r="AKW176" s="1"/>
      <c r="AKX176" s="1"/>
      <c r="AKY176" s="1"/>
      <c r="AKZ176" s="1"/>
      <c r="ALA176" s="1"/>
      <c r="ALB176" s="1"/>
      <c r="ALC176" s="1"/>
      <c r="ALD176" s="1"/>
      <c r="ALE176" s="1"/>
      <c r="ALF176" s="1"/>
      <c r="ALG176" s="1"/>
      <c r="ALH176" s="1"/>
      <c r="ALI176" s="1"/>
      <c r="ALJ176" s="1"/>
      <c r="ALK176" s="1"/>
      <c r="ALL176" s="1"/>
      <c r="ALM176" s="1"/>
      <c r="ALN176" s="1"/>
      <c r="ALO176" s="1"/>
      <c r="ALP176" s="1"/>
      <c r="ALQ176" s="1"/>
      <c r="ALR176" s="1"/>
      <c r="ALS176" s="1"/>
      <c r="ALT176" s="1"/>
      <c r="ALU176" s="1"/>
      <c r="ALV176" s="1"/>
      <c r="ALW176" s="1"/>
      <c r="ALX176" s="1"/>
      <c r="ALY176" s="1"/>
      <c r="ALZ176" s="1"/>
      <c r="AMA176" s="1"/>
      <c r="AMB176" s="1"/>
      <c r="AMC176" s="1"/>
      <c r="AMD176" s="1"/>
      <c r="AME176" s="1"/>
      <c r="AMF176" s="1"/>
      <c r="AMG176" s="1"/>
      <c r="AMH176" s="1"/>
      <c r="AMI176" s="1"/>
      <c r="AMJ176" s="1"/>
      <c r="AMK176" s="1"/>
      <c r="AML176" s="1"/>
      <c r="AMM176" s="1"/>
      <c r="AMN176" s="1"/>
      <c r="AMO176" s="1"/>
    </row>
    <row r="177" spans="1:1029" x14ac:dyDescent="0.2">
      <c r="A177" s="3" t="str">
        <f>CONCATENATE(B177,"_",C177)</f>
        <v>ednrb_human_5XPR</v>
      </c>
      <c r="B177" s="2" t="s">
        <v>196</v>
      </c>
      <c r="C177" s="2" t="s">
        <v>1449</v>
      </c>
      <c r="D177" s="3" t="str">
        <f>IFERROR(MID(VLOOKUP($B177,Seqs!$A:$B,2,0),E177,1),"")</f>
        <v>G</v>
      </c>
      <c r="E177" s="2">
        <v>92</v>
      </c>
      <c r="F177" s="3" t="str">
        <f>IFERROR(MID(VLOOKUP($B177,Seqs!$A:$B,2,0),G177,1),"")</f>
        <v>N</v>
      </c>
      <c r="G177" s="2">
        <v>129</v>
      </c>
      <c r="H177" s="3" t="str">
        <f>IFERROR(MID(VLOOKUP($B177,Seqs!$A:$B,2,0),I177,1),"")</f>
        <v>K</v>
      </c>
      <c r="I177" s="56">
        <v>130</v>
      </c>
      <c r="J177" s="3" t="str">
        <f>IFERROR(MID(VLOOKUP($B177,Seqs!$A:$B,2,0),K177,1),"")</f>
        <v>N</v>
      </c>
      <c r="K177" s="56">
        <v>134</v>
      </c>
      <c r="L177" s="3" t="str">
        <f>IFERROR(MID(VLOOKUP($B177,Seqs!$A:$B,2,0),M177,1),"")</f>
        <v>G</v>
      </c>
      <c r="M177" s="2">
        <v>135</v>
      </c>
      <c r="N177" s="3" t="str">
        <f>IFERROR(MID(VLOOKUP($B177,Seqs!$A:$B,2,0),O177,1),"")</f>
        <v>A</v>
      </c>
      <c r="O177" s="2">
        <v>164</v>
      </c>
      <c r="P177" s="3" t="str">
        <f>IFERROR(MID(VLOOKUP($B177,Seqs!$A:$B,2,0),Q177,1),"")</f>
        <v>D</v>
      </c>
      <c r="Q177" s="2">
        <v>166</v>
      </c>
      <c r="R177" s="3" t="str">
        <f>IFERROR(MID(VLOOKUP($B177,Seqs!$A:$B,2,0),S177,1),"")</f>
        <v>F</v>
      </c>
      <c r="S177" s="2">
        <v>169</v>
      </c>
      <c r="T177" s="3" t="str">
        <f>IFERROR(MID(VLOOKUP($B177,Seqs!$A:$B,2,0),U177,1),"")</f>
        <v>A</v>
      </c>
      <c r="U177" s="4">
        <v>171</v>
      </c>
      <c r="V177" s="3" t="str">
        <f>IFERROR(MID(VLOOKUP($B177,Seqs!$A:$B,2,0),W177,1),"")</f>
        <v>A</v>
      </c>
      <c r="W177" s="2">
        <v>202</v>
      </c>
      <c r="X177" s="3" t="str">
        <f>IFERROR(MID(VLOOKUP($B177,Seqs!$A:$B,2,0),Y177,1),"")</f>
        <v/>
      </c>
      <c r="Y177" s="2" t="s">
        <v>23</v>
      </c>
      <c r="Z177" s="3" t="str">
        <f>IFERROR(MID(VLOOKUP($B177,Seqs!$A:$B,2,0),AA177,1),"")</f>
        <v/>
      </c>
      <c r="AA177" s="2" t="s">
        <v>23</v>
      </c>
      <c r="AB177" s="3" t="str">
        <f>IFERROR(MID(VLOOKUP($B177,Seqs!$A:$B,2,0),AC177,1),"")</f>
        <v>K</v>
      </c>
      <c r="AC177" s="2">
        <v>216</v>
      </c>
      <c r="AD177" s="3" t="str">
        <f>IFERROR(MID(VLOOKUP($B177,Seqs!$A:$B,2,0),AE177,1),"")</f>
        <v>F</v>
      </c>
      <c r="AE177" s="2">
        <v>240</v>
      </c>
      <c r="AF177" s="3" t="str">
        <f>IFERROR(MID(VLOOKUP($B177,Seqs!$A:$B,2,0),AG177,1),"")</f>
        <v>C</v>
      </c>
      <c r="AG177" s="2">
        <v>255</v>
      </c>
      <c r="AH177" s="3" t="str">
        <f>IFERROR(MID(VLOOKUP($B177,Seqs!$A:$B,2,0),AI177,1),"")</f>
        <v>L</v>
      </c>
      <c r="AI177" s="2">
        <v>257</v>
      </c>
      <c r="AJ177" s="3" t="str">
        <f>IFERROR(MID(VLOOKUP($B177,Seqs!$A:$B,2,0),AK177,1),"")</f>
        <v>T</v>
      </c>
      <c r="AK177" s="2">
        <v>263</v>
      </c>
      <c r="AL177" s="3" t="str">
        <f>IFERROR(MID(VLOOKUP($B177,Seqs!$A:$B,2,0),AM177,1),"")</f>
        <v>K</v>
      </c>
      <c r="AM177" s="2">
        <v>303</v>
      </c>
      <c r="AN177" s="3" t="str">
        <f>IFERROR(MID(VLOOKUP($B177,Seqs!$A:$B,2,0),AO177,1),"")</f>
        <v>N</v>
      </c>
      <c r="AO177" s="2">
        <v>312</v>
      </c>
      <c r="AP177" s="3" t="str">
        <f>IFERROR(MID(VLOOKUP($B177,Seqs!$A:$B,2,0),AQ177,1),"")</f>
        <v>L</v>
      </c>
      <c r="AQ177" s="2">
        <v>349</v>
      </c>
      <c r="AR177" s="3" t="str">
        <f>IFERROR(MID(VLOOKUP($B177,Seqs!$A:$B,2,0),AS177,1),"")</f>
        <v>N</v>
      </c>
      <c r="AS177" s="2">
        <v>356</v>
      </c>
      <c r="AT177" s="3" t="str">
        <f>IFERROR(MID(VLOOKUP($B177,Seqs!$A:$B,2,0),AU177,1),"")</f>
        <v>V</v>
      </c>
      <c r="AU177" s="2">
        <v>389</v>
      </c>
      <c r="AV177" s="3" t="str">
        <f>IFERROR(MID(VLOOKUP($B177,Seqs!$A:$B,2,0),AW177,1),"")</f>
        <v>S</v>
      </c>
      <c r="AW177" s="2">
        <v>390</v>
      </c>
      <c r="AX177" s="3" t="str">
        <f>IFERROR(MID(VLOOKUP($B177,Seqs!$A:$B,2,0),AY177,1),"")</f>
        <v>C</v>
      </c>
      <c r="AY177" s="2">
        <v>402</v>
      </c>
      <c r="AZ177" s="77" t="str">
        <f>VLOOKUP(B177,Classification!A:D,2,0)</f>
        <v>A</v>
      </c>
      <c r="BA177" s="94" t="str">
        <f>VLOOKUP(B177,Classification!A:D,4,0)</f>
        <v>Endothelin</v>
      </c>
      <c r="BB177" s="27" t="b">
        <f>AND(E177&lt;G177,OR(G177&lt;I177,I177="-"),OR(I177&lt;K177,I177="-"),OR(K177&lt;M177,K177="-"),M177&lt;O177,OR(O177&lt;Q177,Q177="-"),OR(Q177&lt;S177,Q177="-"),OR(S177&lt;U177,S177="-"),U177&lt;W177,OR(W177&lt;Y177,Y177="-"),OR(Y177&lt;AA177,Y177="-"),OR(AA177&lt;AC177,AA177="-"),AC177&lt;AE177,OR(AE177&lt;AG177,AG177="-"),OR(AG177&lt;AI177,AG177="-"),OR(AI177&lt;AK177,AI177="-"),AK177&lt;AM177,AM177&lt;AO177,AO177&lt;AQ177,AQ177&lt;AS177,AS177&lt;AU177,OR(AU177&lt;AW177,AW177="-"),OR(AW177&lt;AY177,AW177="-"))</f>
        <v>1</v>
      </c>
      <c r="BC177" s="23">
        <f>_xlfn.AGGREGATE(9,6,CH177:CS177)-_xlfn.AGGREGATE(9,6,BV177:CG177)+12</f>
        <v>264</v>
      </c>
      <c r="BD177" s="2" t="s">
        <v>23</v>
      </c>
      <c r="BE177" s="3" t="s">
        <v>1380</v>
      </c>
      <c r="BF177" s="119">
        <v>3.6</v>
      </c>
      <c r="BG177" s="49" t="s">
        <v>1</v>
      </c>
      <c r="BH177" s="49" t="s">
        <v>1</v>
      </c>
      <c r="BI177" s="2"/>
      <c r="BJ177" s="70" t="s">
        <v>1293</v>
      </c>
      <c r="BK177" s="57" t="s">
        <v>1293</v>
      </c>
      <c r="BL177" s="57" t="s">
        <v>1293</v>
      </c>
      <c r="BM177" s="57" t="s">
        <v>1293</v>
      </c>
      <c r="BN177" s="57" t="s">
        <v>1293</v>
      </c>
      <c r="BO177" s="57" t="s">
        <v>1293</v>
      </c>
      <c r="BP177" s="57" t="s">
        <v>1293</v>
      </c>
      <c r="BQ177" s="57" t="s">
        <v>1293</v>
      </c>
      <c r="BR177" s="57" t="s">
        <v>1293</v>
      </c>
      <c r="BS177" s="57" t="s">
        <v>1293</v>
      </c>
      <c r="BT177" s="57" t="s">
        <v>1293</v>
      </c>
      <c r="BU177" s="57" t="s">
        <v>1293</v>
      </c>
      <c r="BV177" s="70">
        <f>E177</f>
        <v>92</v>
      </c>
      <c r="BW177" s="71">
        <f>I177</f>
        <v>130</v>
      </c>
      <c r="BX177" s="72">
        <f>M177</f>
        <v>135</v>
      </c>
      <c r="BY177" s="71">
        <f>Q177</f>
        <v>166</v>
      </c>
      <c r="BZ177" s="72">
        <f>U177</f>
        <v>171</v>
      </c>
      <c r="CA177" s="71" t="str">
        <f>Y177</f>
        <v>-</v>
      </c>
      <c r="CB177" s="72">
        <f>AC177</f>
        <v>216</v>
      </c>
      <c r="CC177" s="71">
        <f>AG177</f>
        <v>255</v>
      </c>
      <c r="CD177" s="72">
        <f>AK177</f>
        <v>263</v>
      </c>
      <c r="CE177" s="71">
        <f>AO177</f>
        <v>312</v>
      </c>
      <c r="CF177" s="72">
        <f>AS177</f>
        <v>356</v>
      </c>
      <c r="CG177" s="71">
        <f>AW177</f>
        <v>390</v>
      </c>
      <c r="CH177" s="70">
        <f>G177</f>
        <v>129</v>
      </c>
      <c r="CI177" s="71">
        <f>K177</f>
        <v>134</v>
      </c>
      <c r="CJ177" s="72">
        <f>O177</f>
        <v>164</v>
      </c>
      <c r="CK177" s="72">
        <f>S177</f>
        <v>169</v>
      </c>
      <c r="CL177" s="72">
        <f>W177</f>
        <v>202</v>
      </c>
      <c r="CM177" s="72" t="str">
        <f>AA177</f>
        <v>-</v>
      </c>
      <c r="CN177" s="72">
        <f>AE177</f>
        <v>240</v>
      </c>
      <c r="CO177" s="72">
        <f>AI177</f>
        <v>257</v>
      </c>
      <c r="CP177" s="72">
        <f>AM177</f>
        <v>303</v>
      </c>
      <c r="CQ177" s="72">
        <f>AQ177</f>
        <v>349</v>
      </c>
      <c r="CR177" s="72">
        <f>AU177</f>
        <v>389</v>
      </c>
      <c r="CS177" s="72">
        <f>AY177</f>
        <v>402</v>
      </c>
      <c r="CT177" s="23">
        <f>M177-K177</f>
        <v>1</v>
      </c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  <c r="ADW177" s="1"/>
      <c r="ADX177" s="1"/>
      <c r="ADY177" s="1"/>
      <c r="ADZ177" s="1"/>
      <c r="AEA177" s="1"/>
      <c r="AEB177" s="1"/>
      <c r="AEC177" s="1"/>
      <c r="AED177" s="1"/>
      <c r="AEE177" s="1"/>
      <c r="AEF177" s="1"/>
      <c r="AEG177" s="1"/>
      <c r="AEH177" s="1"/>
      <c r="AEI177" s="1"/>
      <c r="AEJ177" s="1"/>
      <c r="AEK177" s="1"/>
      <c r="AEL177" s="1"/>
      <c r="AEM177" s="1"/>
      <c r="AEN177" s="1"/>
      <c r="AEO177" s="1"/>
      <c r="AEP177" s="1"/>
      <c r="AEQ177" s="1"/>
      <c r="AER177" s="1"/>
      <c r="AES177" s="1"/>
      <c r="AET177" s="1"/>
      <c r="AEU177" s="1"/>
      <c r="AEV177" s="1"/>
      <c r="AEW177" s="1"/>
      <c r="AEX177" s="1"/>
      <c r="AEY177" s="1"/>
      <c r="AEZ177" s="1"/>
      <c r="AFA177" s="1"/>
      <c r="AFB177" s="1"/>
      <c r="AFC177" s="1"/>
      <c r="AFD177" s="1"/>
      <c r="AFE177" s="1"/>
      <c r="AFF177" s="1"/>
      <c r="AFG177" s="1"/>
      <c r="AFH177" s="1"/>
      <c r="AFI177" s="1"/>
      <c r="AFJ177" s="1"/>
      <c r="AFK177" s="1"/>
      <c r="AFL177" s="1"/>
      <c r="AFM177" s="1"/>
      <c r="AFN177" s="1"/>
      <c r="AFO177" s="1"/>
      <c r="AFP177" s="1"/>
      <c r="AFQ177" s="1"/>
      <c r="AFR177" s="1"/>
      <c r="AFS177" s="1"/>
      <c r="AFT177" s="1"/>
      <c r="AFU177" s="1"/>
      <c r="AFV177" s="1"/>
      <c r="AFW177" s="1"/>
      <c r="AFX177" s="1"/>
      <c r="AFY177" s="1"/>
      <c r="AFZ177" s="1"/>
      <c r="AGA177" s="1"/>
      <c r="AGB177" s="1"/>
      <c r="AGC177" s="1"/>
      <c r="AGD177" s="1"/>
      <c r="AGE177" s="1"/>
      <c r="AGF177" s="1"/>
      <c r="AGG177" s="1"/>
      <c r="AGH177" s="1"/>
      <c r="AGI177" s="1"/>
      <c r="AGJ177" s="1"/>
      <c r="AGK177" s="1"/>
      <c r="AGL177" s="1"/>
      <c r="AGM177" s="1"/>
      <c r="AGN177" s="1"/>
      <c r="AGO177" s="1"/>
      <c r="AGP177" s="1"/>
      <c r="AGQ177" s="1"/>
      <c r="AGR177" s="1"/>
      <c r="AGS177" s="1"/>
      <c r="AGT177" s="1"/>
      <c r="AGU177" s="1"/>
      <c r="AGV177" s="1"/>
      <c r="AGW177" s="1"/>
      <c r="AGX177" s="1"/>
      <c r="AGY177" s="1"/>
      <c r="AGZ177" s="1"/>
      <c r="AHA177" s="1"/>
      <c r="AHB177" s="1"/>
      <c r="AHC177" s="1"/>
      <c r="AHD177" s="1"/>
      <c r="AHE177" s="1"/>
      <c r="AHF177" s="1"/>
      <c r="AHG177" s="1"/>
      <c r="AHH177" s="1"/>
      <c r="AHI177" s="1"/>
      <c r="AHJ177" s="1"/>
      <c r="AHK177" s="1"/>
      <c r="AHL177" s="1"/>
      <c r="AHM177" s="1"/>
      <c r="AHN177" s="1"/>
      <c r="AHO177" s="1"/>
      <c r="AHP177" s="1"/>
      <c r="AHQ177" s="1"/>
      <c r="AHR177" s="1"/>
      <c r="AHS177" s="1"/>
      <c r="AHT177" s="1"/>
      <c r="AHU177" s="1"/>
      <c r="AHV177" s="1"/>
      <c r="AHW177" s="1"/>
      <c r="AHX177" s="1"/>
      <c r="AHY177" s="1"/>
      <c r="AHZ177" s="1"/>
      <c r="AIA177" s="1"/>
      <c r="AIB177" s="1"/>
      <c r="AIC177" s="1"/>
      <c r="AID177" s="1"/>
      <c r="AIE177" s="1"/>
      <c r="AIF177" s="1"/>
      <c r="AIG177" s="1"/>
      <c r="AIH177" s="1"/>
      <c r="AII177" s="1"/>
      <c r="AIJ177" s="1"/>
      <c r="AIK177" s="1"/>
      <c r="AIL177" s="1"/>
      <c r="AIM177" s="1"/>
      <c r="AIN177" s="1"/>
      <c r="AIO177" s="1"/>
      <c r="AIP177" s="1"/>
      <c r="AIQ177" s="1"/>
      <c r="AIR177" s="1"/>
      <c r="AIS177" s="1"/>
      <c r="AIT177" s="1"/>
      <c r="AIU177" s="1"/>
      <c r="AIV177" s="1"/>
      <c r="AIW177" s="1"/>
      <c r="AIX177" s="1"/>
      <c r="AIY177" s="1"/>
      <c r="AIZ177" s="1"/>
      <c r="AJA177" s="1"/>
      <c r="AJB177" s="1"/>
      <c r="AJC177" s="1"/>
      <c r="AJD177" s="1"/>
      <c r="AJE177" s="1"/>
      <c r="AJF177" s="1"/>
      <c r="AJG177" s="1"/>
      <c r="AJH177" s="1"/>
      <c r="AJI177" s="1"/>
      <c r="AJJ177" s="1"/>
      <c r="AJK177" s="1"/>
      <c r="AJL177" s="1"/>
      <c r="AJM177" s="1"/>
      <c r="AJN177" s="1"/>
      <c r="AJO177" s="1"/>
      <c r="AJP177" s="1"/>
      <c r="AJQ177" s="1"/>
      <c r="AJR177" s="1"/>
      <c r="AJS177" s="1"/>
      <c r="AJT177" s="1"/>
      <c r="AJU177" s="1"/>
      <c r="AJV177" s="1"/>
      <c r="AJW177" s="1"/>
      <c r="AJX177" s="1"/>
      <c r="AJY177" s="1"/>
      <c r="AJZ177" s="1"/>
      <c r="AKA177" s="1"/>
      <c r="AKB177" s="1"/>
      <c r="AKC177" s="1"/>
      <c r="AKD177" s="1"/>
      <c r="AKE177" s="1"/>
      <c r="AKF177" s="1"/>
      <c r="AKG177" s="1"/>
      <c r="AKH177" s="1"/>
      <c r="AKI177" s="1"/>
      <c r="AKJ177" s="1"/>
      <c r="AKK177" s="1"/>
      <c r="AKL177" s="1"/>
      <c r="AKM177" s="1"/>
      <c r="AKN177" s="1"/>
      <c r="AKO177" s="1"/>
      <c r="AKP177" s="1"/>
      <c r="AKQ177" s="1"/>
      <c r="AKR177" s="1"/>
      <c r="AKS177" s="1"/>
      <c r="AKT177" s="1"/>
      <c r="AKU177" s="1"/>
      <c r="AKV177" s="1"/>
      <c r="AKW177" s="1"/>
      <c r="AKX177" s="1"/>
      <c r="AKY177" s="1"/>
      <c r="AKZ177" s="1"/>
      <c r="ALA177" s="1"/>
      <c r="ALB177" s="1"/>
      <c r="ALC177" s="1"/>
      <c r="ALD177" s="1"/>
      <c r="ALE177" s="1"/>
      <c r="ALF177" s="1"/>
      <c r="ALG177" s="1"/>
      <c r="ALH177" s="1"/>
      <c r="ALI177" s="1"/>
      <c r="ALJ177" s="1"/>
      <c r="ALK177" s="1"/>
      <c r="ALL177" s="1"/>
      <c r="ALM177" s="1"/>
      <c r="ALN177" s="1"/>
      <c r="ALO177" s="1"/>
      <c r="ALP177" s="1"/>
      <c r="ALQ177" s="1"/>
      <c r="ALR177" s="1"/>
      <c r="ALS177" s="1"/>
      <c r="ALT177" s="1"/>
      <c r="ALU177" s="1"/>
      <c r="ALV177" s="1"/>
      <c r="ALW177" s="1"/>
      <c r="ALX177" s="1"/>
      <c r="ALY177" s="1"/>
      <c r="ALZ177" s="1"/>
      <c r="AMA177" s="1"/>
      <c r="AMB177" s="1"/>
      <c r="AMC177" s="1"/>
      <c r="AMD177" s="1"/>
      <c r="AME177" s="1"/>
      <c r="AMF177" s="1"/>
      <c r="AMG177" s="1"/>
      <c r="AMH177" s="1"/>
      <c r="AMI177" s="1"/>
      <c r="AMJ177" s="1"/>
      <c r="AMK177" s="1"/>
      <c r="AML177" s="1"/>
      <c r="AMM177" s="1"/>
      <c r="AMN177" s="1"/>
      <c r="AMO177" s="1"/>
    </row>
    <row r="178" spans="1:1029" s="12" customFormat="1" x14ac:dyDescent="0.2">
      <c r="A178" s="9" t="str">
        <f>CONCATENATE(B178,"_",C178)</f>
        <v>ednrb_human_6IGL</v>
      </c>
      <c r="B178" s="40" t="s">
        <v>196</v>
      </c>
      <c r="C178" s="40" t="s">
        <v>1548</v>
      </c>
      <c r="D178" s="9" t="str">
        <f>IFERROR(MID(VLOOKUP($B178,Seqs!$A:$B,2,0),E178,1),"")</f>
        <v>K</v>
      </c>
      <c r="E178" s="40">
        <v>97</v>
      </c>
      <c r="F178" s="9" t="str">
        <f>IFERROR(MID(VLOOKUP($B178,Seqs!$A:$B,2,0),G178,1),"")</f>
        <v>N</v>
      </c>
      <c r="G178" s="40">
        <v>129</v>
      </c>
      <c r="H178" s="9" t="str">
        <f>IFERROR(MID(VLOOKUP($B178,Seqs!$A:$B,2,0),I178,1),"")</f>
        <v/>
      </c>
      <c r="I178" s="130" t="s">
        <v>23</v>
      </c>
      <c r="J178" s="9" t="str">
        <f>IFERROR(MID(VLOOKUP($B178,Seqs!$A:$B,2,0),K178,1),"")</f>
        <v/>
      </c>
      <c r="K178" s="130" t="s">
        <v>23</v>
      </c>
      <c r="L178" s="9" t="str">
        <f>IFERROR(MID(VLOOKUP($B178,Seqs!$A:$B,2,0),M178,1),"")</f>
        <v>N</v>
      </c>
      <c r="M178" s="40">
        <v>134</v>
      </c>
      <c r="N178" s="9" t="str">
        <f>IFERROR(MID(VLOOKUP($B178,Seqs!$A:$B,2,0),O178,1),"")</f>
        <v>E</v>
      </c>
      <c r="O178" s="40">
        <v>165</v>
      </c>
      <c r="P178" s="9" t="str">
        <f>IFERROR(MID(VLOOKUP($B178,Seqs!$A:$B,2,0),Q178,1),"")</f>
        <v>D</v>
      </c>
      <c r="Q178" s="40">
        <v>166</v>
      </c>
      <c r="R178" s="9" t="str">
        <f>IFERROR(MID(VLOOKUP($B178,Seqs!$A:$B,2,0),S178,1),"")</f>
        <v>F</v>
      </c>
      <c r="S178" s="40">
        <v>169</v>
      </c>
      <c r="T178" s="9" t="str">
        <f>IFERROR(MID(VLOOKUP($B178,Seqs!$A:$B,2,0),U178,1),"")</f>
        <v>G</v>
      </c>
      <c r="U178" s="11">
        <v>170</v>
      </c>
      <c r="V178" s="9" t="str">
        <f>IFERROR(MID(VLOOKUP($B178,Seqs!$A:$B,2,0),W178,1),"")</f>
        <v>V</v>
      </c>
      <c r="W178" s="40">
        <v>203</v>
      </c>
      <c r="X178" s="9" t="str">
        <f>IFERROR(MID(VLOOKUP($B178,Seqs!$A:$B,2,0),Y178,1),"")</f>
        <v/>
      </c>
      <c r="Y178" s="40" t="s">
        <v>23</v>
      </c>
      <c r="Z178" s="9" t="str">
        <f>IFERROR(MID(VLOOKUP($B178,Seqs!$A:$B,2,0),AA178,1),"")</f>
        <v/>
      </c>
      <c r="AA178" s="40" t="s">
        <v>23</v>
      </c>
      <c r="AB178" s="9" t="str">
        <f>IFERROR(MID(VLOOKUP($B178,Seqs!$A:$B,2,0),AC178,1),"")</f>
        <v>W</v>
      </c>
      <c r="AC178" s="40">
        <v>217</v>
      </c>
      <c r="AD178" s="9" t="str">
        <f>IFERROR(MID(VLOOKUP($B178,Seqs!$A:$B,2,0),AE178,1),"")</f>
        <v>F</v>
      </c>
      <c r="AE178" s="40">
        <v>240</v>
      </c>
      <c r="AF178" s="9" t="str">
        <f>IFERROR(MID(VLOOKUP($B178,Seqs!$A:$B,2,0),AG178,1),"")</f>
        <v>C</v>
      </c>
      <c r="AG178" s="40">
        <v>255</v>
      </c>
      <c r="AH178" s="9" t="str">
        <f>IFERROR(MID(VLOOKUP($B178,Seqs!$A:$B,2,0),AI178,1),"")</f>
        <v>L</v>
      </c>
      <c r="AI178" s="40">
        <v>257</v>
      </c>
      <c r="AJ178" s="9" t="str">
        <f>IFERROR(MID(VLOOKUP($B178,Seqs!$A:$B,2,0),AK178,1),"")</f>
        <v>T</v>
      </c>
      <c r="AK178" s="40">
        <v>263</v>
      </c>
      <c r="AL178" s="9" t="str">
        <f>IFERROR(MID(VLOOKUP($B178,Seqs!$A:$B,2,0),AM178,1),"")</f>
        <v>K</v>
      </c>
      <c r="AM178" s="40">
        <v>303</v>
      </c>
      <c r="AN178" s="9" t="str">
        <f>IFERROR(MID(VLOOKUP($B178,Seqs!$A:$B,2,0),AO178,1),"")</f>
        <v>N</v>
      </c>
      <c r="AO178" s="40">
        <v>312</v>
      </c>
      <c r="AP178" s="9" t="str">
        <f>IFERROR(MID(VLOOKUP($B178,Seqs!$A:$B,2,0),AQ178,1),"")</f>
        <v>Y</v>
      </c>
      <c r="AQ178" s="40">
        <v>350</v>
      </c>
      <c r="AR178" s="9" t="str">
        <f>IFERROR(MID(VLOOKUP($B178,Seqs!$A:$B,2,0),AS178,1),"")</f>
        <v>R</v>
      </c>
      <c r="AS178" s="40">
        <v>357</v>
      </c>
      <c r="AT178" s="9" t="str">
        <f>IFERROR(MID(VLOOKUP($B178,Seqs!$A:$B,2,0),AU178,1),"")</f>
        <v>V</v>
      </c>
      <c r="AU178" s="40">
        <v>389</v>
      </c>
      <c r="AV178" s="9" t="str">
        <f>IFERROR(MID(VLOOKUP($B178,Seqs!$A:$B,2,0),AW178,1),"")</f>
        <v>S</v>
      </c>
      <c r="AW178" s="40">
        <v>390</v>
      </c>
      <c r="AX178" s="9" t="str">
        <f>IFERROR(MID(VLOOKUP($B178,Seqs!$A:$B,2,0),AY178,1),"")</f>
        <v>L</v>
      </c>
      <c r="AY178" s="40">
        <v>401</v>
      </c>
      <c r="AZ178" s="110" t="str">
        <f>VLOOKUP(B178,Classification!A:D,2,0)</f>
        <v>A</v>
      </c>
      <c r="BA178" s="98" t="str">
        <f>VLOOKUP(B178,Classification!A:D,4,0)</f>
        <v>Endothelin</v>
      </c>
      <c r="BB178" s="36" t="b">
        <f>AND(E178&lt;G178,OR(G178&lt;I178,I178="-"),OR(I178&lt;K178,I178="-"),OR(K178&lt;M178,K178="-"),M178&lt;O178,OR(O178&lt;Q178,Q178="-"),OR(Q178&lt;S178,Q178="-"),OR(S178&lt;U178,S178="-"),U178&lt;W178,OR(W178&lt;Y178,Y178="-"),OR(Y178&lt;AA178,Y178="-"),OR(AA178&lt;AC178,AA178="-"),AC178&lt;AE178,OR(AE178&lt;AG178,AG178="-"),OR(AG178&lt;AI178,AG178="-"),OR(AI178&lt;AK178,AI178="-"),AK178&lt;AM178,AM178&lt;AO178,AO178&lt;AQ178,AQ178&lt;AS178,AS178&lt;AU178,OR(AU178&lt;AW178,AW178="-"),OR(AW178&lt;AY178,AW178="-"))</f>
        <v>1</v>
      </c>
      <c r="BC178" s="109">
        <f>_xlfn.AGGREGATE(9,6,CH178:CS178)-_xlfn.AGGREGATE(9,6,BV178:CG178)+12</f>
        <v>257</v>
      </c>
      <c r="BD178" s="40" t="s">
        <v>23</v>
      </c>
      <c r="BE178" s="9" t="s">
        <v>1380</v>
      </c>
      <c r="BF178" s="120">
        <v>2.7</v>
      </c>
      <c r="BG178" s="51" t="s">
        <v>1</v>
      </c>
      <c r="BH178" s="51" t="s">
        <v>1</v>
      </c>
      <c r="BI178" s="40"/>
      <c r="BJ178" s="111" t="s">
        <v>1293</v>
      </c>
      <c r="BK178" s="112" t="s">
        <v>1293</v>
      </c>
      <c r="BL178" s="112" t="s">
        <v>1293</v>
      </c>
      <c r="BM178" s="112" t="s">
        <v>1293</v>
      </c>
      <c r="BN178" s="112" t="s">
        <v>1293</v>
      </c>
      <c r="BO178" s="112" t="s">
        <v>1293</v>
      </c>
      <c r="BP178" s="112" t="s">
        <v>1293</v>
      </c>
      <c r="BQ178" s="112" t="s">
        <v>1293</v>
      </c>
      <c r="BR178" s="112" t="s">
        <v>1293</v>
      </c>
      <c r="BS178" s="112" t="s">
        <v>1293</v>
      </c>
      <c r="BT178" s="112" t="s">
        <v>1293</v>
      </c>
      <c r="BU178" s="112" t="s">
        <v>1293</v>
      </c>
      <c r="BV178" s="111">
        <f>E178</f>
        <v>97</v>
      </c>
      <c r="BW178" s="113" t="str">
        <f>I178</f>
        <v>-</v>
      </c>
      <c r="BX178" s="114">
        <f>M178</f>
        <v>134</v>
      </c>
      <c r="BY178" s="113">
        <f>Q178</f>
        <v>166</v>
      </c>
      <c r="BZ178" s="114">
        <f>U178</f>
        <v>170</v>
      </c>
      <c r="CA178" s="113" t="str">
        <f>Y178</f>
        <v>-</v>
      </c>
      <c r="CB178" s="114">
        <f>AC178</f>
        <v>217</v>
      </c>
      <c r="CC178" s="113">
        <f>AG178</f>
        <v>255</v>
      </c>
      <c r="CD178" s="114">
        <f>AK178</f>
        <v>263</v>
      </c>
      <c r="CE178" s="113">
        <f>AO178</f>
        <v>312</v>
      </c>
      <c r="CF178" s="114">
        <f>AS178</f>
        <v>357</v>
      </c>
      <c r="CG178" s="113">
        <f>AW178</f>
        <v>390</v>
      </c>
      <c r="CH178" s="111">
        <f>G178</f>
        <v>129</v>
      </c>
      <c r="CI178" s="113" t="str">
        <f>K178</f>
        <v>-</v>
      </c>
      <c r="CJ178" s="114">
        <f>O178</f>
        <v>165</v>
      </c>
      <c r="CK178" s="114">
        <f>S178</f>
        <v>169</v>
      </c>
      <c r="CL178" s="114">
        <f>W178</f>
        <v>203</v>
      </c>
      <c r="CM178" s="114" t="str">
        <f>AA178</f>
        <v>-</v>
      </c>
      <c r="CN178" s="114">
        <f>AE178</f>
        <v>240</v>
      </c>
      <c r="CO178" s="114">
        <f>AI178</f>
        <v>257</v>
      </c>
      <c r="CP178" s="114">
        <f>AM178</f>
        <v>303</v>
      </c>
      <c r="CQ178" s="114">
        <f>AQ178</f>
        <v>350</v>
      </c>
      <c r="CR178" s="114">
        <f>AU178</f>
        <v>389</v>
      </c>
      <c r="CS178" s="114">
        <f>AY178</f>
        <v>401</v>
      </c>
      <c r="CT178" s="109" t="e">
        <f>M178-K178</f>
        <v>#VALUE!</v>
      </c>
    </row>
    <row r="179" spans="1:1029" s="12" customFormat="1" x14ac:dyDescent="0.2">
      <c r="A179" s="9" t="str">
        <f>CONCATENATE(B179,"_",C179)</f>
        <v>ednrb_human_6IGK</v>
      </c>
      <c r="B179" s="40" t="s">
        <v>196</v>
      </c>
      <c r="C179" s="40" t="s">
        <v>1549</v>
      </c>
      <c r="D179" s="9" t="str">
        <f>IFERROR(MID(VLOOKUP($B179,Seqs!$A:$B,2,0),E179,1),"")</f>
        <v>K</v>
      </c>
      <c r="E179" s="40">
        <v>97</v>
      </c>
      <c r="F179" s="9" t="str">
        <f>IFERROR(MID(VLOOKUP($B179,Seqs!$A:$B,2,0),G179,1),"")</f>
        <v>N</v>
      </c>
      <c r="G179" s="40">
        <v>129</v>
      </c>
      <c r="H179" s="9" t="str">
        <f>IFERROR(MID(VLOOKUP($B179,Seqs!$A:$B,2,0),I179,1),"")</f>
        <v/>
      </c>
      <c r="I179" s="130" t="s">
        <v>23</v>
      </c>
      <c r="J179" s="9" t="str">
        <f>IFERROR(MID(VLOOKUP($B179,Seqs!$A:$B,2,0),K179,1),"")</f>
        <v/>
      </c>
      <c r="K179" s="130" t="s">
        <v>23</v>
      </c>
      <c r="L179" s="9" t="str">
        <f>IFERROR(MID(VLOOKUP($B179,Seqs!$A:$B,2,0),M179,1),"")</f>
        <v>N</v>
      </c>
      <c r="M179" s="40">
        <v>134</v>
      </c>
      <c r="N179" s="9" t="str">
        <f>IFERROR(MID(VLOOKUP($B179,Seqs!$A:$B,2,0),O179,1),"")</f>
        <v>E</v>
      </c>
      <c r="O179" s="40">
        <v>165</v>
      </c>
      <c r="P179" s="9" t="str">
        <f>IFERROR(MID(VLOOKUP($B179,Seqs!$A:$B,2,0),Q179,1),"")</f>
        <v>D</v>
      </c>
      <c r="Q179" s="40">
        <v>166</v>
      </c>
      <c r="R179" s="9" t="str">
        <f>IFERROR(MID(VLOOKUP($B179,Seqs!$A:$B,2,0),S179,1),"")</f>
        <v>F</v>
      </c>
      <c r="S179" s="40">
        <v>169</v>
      </c>
      <c r="T179" s="9" t="str">
        <f>IFERROR(MID(VLOOKUP($B179,Seqs!$A:$B,2,0),U179,1),"")</f>
        <v>G</v>
      </c>
      <c r="U179" s="11">
        <v>170</v>
      </c>
      <c r="V179" s="9" t="str">
        <f>IFERROR(MID(VLOOKUP($B179,Seqs!$A:$B,2,0),W179,1),"")</f>
        <v>S</v>
      </c>
      <c r="W179" s="40">
        <v>205</v>
      </c>
      <c r="X179" s="9" t="str">
        <f>IFERROR(MID(VLOOKUP($B179,Seqs!$A:$B,2,0),Y179,1),"")</f>
        <v/>
      </c>
      <c r="Y179" s="40" t="s">
        <v>23</v>
      </c>
      <c r="Z179" s="9" t="str">
        <f>IFERROR(MID(VLOOKUP($B179,Seqs!$A:$B,2,0),AA179,1),"")</f>
        <v/>
      </c>
      <c r="AA179" s="40" t="s">
        <v>23</v>
      </c>
      <c r="AB179" s="9" t="str">
        <f>IFERROR(MID(VLOOKUP($B179,Seqs!$A:$B,2,0),AC179,1),"")</f>
        <v>P</v>
      </c>
      <c r="AC179" s="40">
        <v>215</v>
      </c>
      <c r="AD179" s="9" t="str">
        <f>IFERROR(MID(VLOOKUP($B179,Seqs!$A:$B,2,0),AE179,1),"")</f>
        <v>F</v>
      </c>
      <c r="AE179" s="40">
        <v>240</v>
      </c>
      <c r="AF179" s="9" t="str">
        <f>IFERROR(MID(VLOOKUP($B179,Seqs!$A:$B,2,0),AG179,1),"")</f>
        <v>C</v>
      </c>
      <c r="AG179" s="40">
        <v>255</v>
      </c>
      <c r="AH179" s="9" t="str">
        <f>IFERROR(MID(VLOOKUP($B179,Seqs!$A:$B,2,0),AI179,1),"")</f>
        <v>L</v>
      </c>
      <c r="AI179" s="40">
        <v>257</v>
      </c>
      <c r="AJ179" s="9" t="str">
        <f>IFERROR(MID(VLOOKUP($B179,Seqs!$A:$B,2,0),AK179,1),"")</f>
        <v>T</v>
      </c>
      <c r="AK179" s="40">
        <v>263</v>
      </c>
      <c r="AL179" s="9" t="str">
        <f>IFERROR(MID(VLOOKUP($B179,Seqs!$A:$B,2,0),AM179,1),"")</f>
        <v>K</v>
      </c>
      <c r="AM179" s="40">
        <v>303</v>
      </c>
      <c r="AN179" s="9" t="str">
        <f>IFERROR(MID(VLOOKUP($B179,Seqs!$A:$B,2,0),AO179,1),"")</f>
        <v>N</v>
      </c>
      <c r="AO179" s="40">
        <v>312</v>
      </c>
      <c r="AP179" s="9" t="str">
        <f>IFERROR(MID(VLOOKUP($B179,Seqs!$A:$B,2,0),AQ179,1),"")</f>
        <v>Y</v>
      </c>
      <c r="AQ179" s="40">
        <v>350</v>
      </c>
      <c r="AR179" s="9" t="str">
        <f>IFERROR(MID(VLOOKUP($B179,Seqs!$A:$B,2,0),AS179,1),"")</f>
        <v>N</v>
      </c>
      <c r="AS179" s="40">
        <v>356</v>
      </c>
      <c r="AT179" s="9" t="str">
        <f>IFERROR(MID(VLOOKUP($B179,Seqs!$A:$B,2,0),AU179,1),"")</f>
        <v>V</v>
      </c>
      <c r="AU179" s="40">
        <v>389</v>
      </c>
      <c r="AV179" s="9" t="str">
        <f>IFERROR(MID(VLOOKUP($B179,Seqs!$A:$B,2,0),AW179,1),"")</f>
        <v>S</v>
      </c>
      <c r="AW179" s="40">
        <v>390</v>
      </c>
      <c r="AX179" s="9" t="str">
        <f>IFERROR(MID(VLOOKUP($B179,Seqs!$A:$B,2,0),AY179,1),"")</f>
        <v>C</v>
      </c>
      <c r="AY179" s="40">
        <v>402</v>
      </c>
      <c r="AZ179" s="110" t="str">
        <f>VLOOKUP(B179,Classification!A:D,2,0)</f>
        <v>A</v>
      </c>
      <c r="BA179" s="98" t="str">
        <f>VLOOKUP(B179,Classification!A:D,4,0)</f>
        <v>Endothelin</v>
      </c>
      <c r="BB179" s="36" t="b">
        <f>AND(E179&lt;G179,OR(G179&lt;I179,I179="-"),OR(I179&lt;K179,I179="-"),OR(K179&lt;M179,K179="-"),M179&lt;O179,OR(O179&lt;Q179,Q179="-"),OR(Q179&lt;S179,Q179="-"),OR(S179&lt;U179,S179="-"),U179&lt;W179,OR(W179&lt;Y179,Y179="-"),OR(Y179&lt;AA179,Y179="-"),OR(AA179&lt;AC179,AA179="-"),AC179&lt;AE179,OR(AE179&lt;AG179,AG179="-"),OR(AG179&lt;AI179,AG179="-"),OR(AI179&lt;AK179,AI179="-"),AK179&lt;AM179,AM179&lt;AO179,AO179&lt;AQ179,AQ179&lt;AS179,AS179&lt;AU179,OR(AU179&lt;AW179,AW179="-"),OR(AW179&lt;AY179,AW179="-"))</f>
        <v>1</v>
      </c>
      <c r="BC179" s="109">
        <f>_xlfn.AGGREGATE(9,6,CH179:CS179)-_xlfn.AGGREGATE(9,6,BV179:CG179)+12</f>
        <v>263</v>
      </c>
      <c r="BD179" s="40" t="s">
        <v>23</v>
      </c>
      <c r="BE179" s="9" t="s">
        <v>1380</v>
      </c>
      <c r="BF179" s="120">
        <v>2</v>
      </c>
      <c r="BG179" s="51" t="s">
        <v>1</v>
      </c>
      <c r="BH179" s="51" t="s">
        <v>1</v>
      </c>
      <c r="BI179" s="40"/>
      <c r="BJ179" s="111" t="s">
        <v>1293</v>
      </c>
      <c r="BK179" s="112" t="s">
        <v>1293</v>
      </c>
      <c r="BL179" s="112" t="s">
        <v>1293</v>
      </c>
      <c r="BM179" s="112" t="s">
        <v>1293</v>
      </c>
      <c r="BN179" s="112" t="s">
        <v>1293</v>
      </c>
      <c r="BO179" s="112" t="s">
        <v>1293</v>
      </c>
      <c r="BP179" s="112" t="s">
        <v>1293</v>
      </c>
      <c r="BQ179" s="112" t="s">
        <v>1293</v>
      </c>
      <c r="BR179" s="112" t="s">
        <v>1293</v>
      </c>
      <c r="BS179" s="112" t="s">
        <v>1293</v>
      </c>
      <c r="BT179" s="112" t="s">
        <v>1293</v>
      </c>
      <c r="BU179" s="112" t="s">
        <v>1293</v>
      </c>
      <c r="BV179" s="111">
        <f>E179</f>
        <v>97</v>
      </c>
      <c r="BW179" s="113" t="str">
        <f>I179</f>
        <v>-</v>
      </c>
      <c r="BX179" s="114">
        <f>M179</f>
        <v>134</v>
      </c>
      <c r="BY179" s="113">
        <f>Q179</f>
        <v>166</v>
      </c>
      <c r="BZ179" s="114">
        <f>U179</f>
        <v>170</v>
      </c>
      <c r="CA179" s="113" t="str">
        <f>Y179</f>
        <v>-</v>
      </c>
      <c r="CB179" s="114">
        <f>AC179</f>
        <v>215</v>
      </c>
      <c r="CC179" s="113">
        <f>AG179</f>
        <v>255</v>
      </c>
      <c r="CD179" s="114">
        <f>AK179</f>
        <v>263</v>
      </c>
      <c r="CE179" s="113">
        <f>AO179</f>
        <v>312</v>
      </c>
      <c r="CF179" s="114">
        <f>AS179</f>
        <v>356</v>
      </c>
      <c r="CG179" s="113">
        <f>AW179</f>
        <v>390</v>
      </c>
      <c r="CH179" s="111">
        <f>G179</f>
        <v>129</v>
      </c>
      <c r="CI179" s="113" t="str">
        <f>K179</f>
        <v>-</v>
      </c>
      <c r="CJ179" s="114">
        <f>O179</f>
        <v>165</v>
      </c>
      <c r="CK179" s="114">
        <f>S179</f>
        <v>169</v>
      </c>
      <c r="CL179" s="114">
        <f>W179</f>
        <v>205</v>
      </c>
      <c r="CM179" s="114" t="str">
        <f>AA179</f>
        <v>-</v>
      </c>
      <c r="CN179" s="114">
        <f>AE179</f>
        <v>240</v>
      </c>
      <c r="CO179" s="114">
        <f>AI179</f>
        <v>257</v>
      </c>
      <c r="CP179" s="114">
        <f>AM179</f>
        <v>303</v>
      </c>
      <c r="CQ179" s="114">
        <f>AQ179</f>
        <v>350</v>
      </c>
      <c r="CR179" s="114">
        <f>AU179</f>
        <v>389</v>
      </c>
      <c r="CS179" s="114">
        <f>AY179</f>
        <v>402</v>
      </c>
      <c r="CT179" s="109" t="e">
        <f>M179-K179</f>
        <v>#VALUE!</v>
      </c>
    </row>
    <row r="180" spans="1:1029" x14ac:dyDescent="0.2">
      <c r="A180" s="3" t="str">
        <f t="shared" si="699"/>
        <v>ffar1_human__wt</v>
      </c>
      <c r="B180" s="3" t="s">
        <v>1173</v>
      </c>
      <c r="C180" s="3" t="s">
        <v>100</v>
      </c>
      <c r="D180" s="3" t="str">
        <f>IFERROR(MID(VLOOKUP($B180,Seqs!$A:$B,2,0),E180,1),"")</f>
        <v>P</v>
      </c>
      <c r="E180" s="3">
        <v>4</v>
      </c>
      <c r="F180" s="3" t="str">
        <f>IFERROR(MID(VLOOKUP($B180,Seqs!$A:$B,2,0),G180,1),"")</f>
        <v>R</v>
      </c>
      <c r="G180" s="3">
        <v>37</v>
      </c>
      <c r="H180" s="3" t="str">
        <f>IFERROR(MID(VLOOKUP($B180,Seqs!$A:$B,2,0),I180,1),"")</f>
        <v/>
      </c>
      <c r="I180" s="23" t="s">
        <v>23</v>
      </c>
      <c r="J180" s="3" t="str">
        <f>IFERROR(MID(VLOOKUP($B180,Seqs!$A:$B,2,0),K180,1),"")</f>
        <v/>
      </c>
      <c r="K180" s="23" t="s">
        <v>23</v>
      </c>
      <c r="L180" s="3" t="str">
        <f>IFERROR(MID(VLOOKUP($B180,Seqs!$A:$B,2,0),M180,1),"")</f>
        <v>T</v>
      </c>
      <c r="M180" s="3">
        <v>39</v>
      </c>
      <c r="N180" s="3" t="str">
        <f>IFERROR(MID(VLOOKUP($B180,Seqs!$A:$B,2,0),O180,1),"")</f>
        <v>S</v>
      </c>
      <c r="O180" s="3">
        <v>69</v>
      </c>
      <c r="P180" s="3" t="str">
        <f>IFERROR(MID(VLOOKUP($B180,Seqs!$A:$B,2,0),Q180,1),"")</f>
        <v>A</v>
      </c>
      <c r="Q180" s="3">
        <v>71</v>
      </c>
      <c r="R180" s="3" t="str">
        <f>IFERROR(MID(VLOOKUP($B180,Seqs!$A:$B,2,0),S180,1),"")</f>
        <v>L</v>
      </c>
      <c r="S180" s="3">
        <v>74</v>
      </c>
      <c r="T180" s="3" t="str">
        <f>IFERROR(MID(VLOOKUP($B180,Seqs!$A:$B,2,0),U180,1),"")</f>
        <v>P</v>
      </c>
      <c r="U180" s="3">
        <v>75</v>
      </c>
      <c r="V180" s="3" t="str">
        <f>IFERROR(MID(VLOOKUP($B180,Seqs!$A:$B,2,0),W180,1),"")</f>
        <v>F</v>
      </c>
      <c r="W180" s="3">
        <v>110</v>
      </c>
      <c r="X180" s="3" t="str">
        <f>IFERROR(MID(VLOOKUP($B180,Seqs!$A:$B,2,0),Y180,1),"")</f>
        <v>P</v>
      </c>
      <c r="Y180" s="3">
        <v>111</v>
      </c>
      <c r="Z180" s="3" t="str">
        <f>IFERROR(MID(VLOOKUP($B180,Seqs!$A:$B,2,0),AA180,1),"")</f>
        <v>R</v>
      </c>
      <c r="AA180" s="3">
        <v>118</v>
      </c>
      <c r="AB180" s="3" t="str">
        <f>IFERROR(MID(VLOOKUP($B180,Seqs!$A:$B,2,0),AC180,1),"")</f>
        <v>R</v>
      </c>
      <c r="AC180" s="9">
        <v>119</v>
      </c>
      <c r="AD180" s="3" t="str">
        <f>IFERROR(MID(VLOOKUP($B180,Seqs!$A:$B,2,0),AE180,1),"")</f>
        <v>A</v>
      </c>
      <c r="AE180" s="3">
        <v>146</v>
      </c>
      <c r="AF180" s="3" t="str">
        <f>IFERROR(MID(VLOOKUP($B180,Seqs!$A:$B,2,0),AG180,1),"")</f>
        <v>C</v>
      </c>
      <c r="AG180" s="3">
        <v>170</v>
      </c>
      <c r="AH180" s="3" t="str">
        <f>IFERROR(MID(VLOOKUP($B180,Seqs!$A:$B,2,0),AI180,1),"")</f>
        <v>E</v>
      </c>
      <c r="AI180" s="3">
        <v>172</v>
      </c>
      <c r="AJ180" s="3" t="str">
        <f>IFERROR(MID(VLOOKUP($B180,Seqs!$A:$B,2,0),AK180,1),"")</f>
        <v>D</v>
      </c>
      <c r="AK180" s="3">
        <v>175</v>
      </c>
      <c r="AL180" s="3" t="str">
        <f>IFERROR(MID(VLOOKUP($B180,Seqs!$A:$B,2,0),AM180,1),"")</f>
        <v>R</v>
      </c>
      <c r="AM180" s="3">
        <v>211</v>
      </c>
      <c r="AN180" s="3" t="str">
        <f>IFERROR(MID(VLOOKUP($B180,Seqs!$A:$B,2,0),AO180,1),"")</f>
        <v>R</v>
      </c>
      <c r="AO180" s="3">
        <v>217</v>
      </c>
      <c r="AP180" s="3" t="str">
        <f>IFERROR(MID(VLOOKUP($B180,Seqs!$A:$B,2,0),AQ180,1),"")</f>
        <v>Y</v>
      </c>
      <c r="AQ180" s="3">
        <v>250</v>
      </c>
      <c r="AR180" s="3" t="str">
        <f>IFERROR(MID(VLOOKUP($B180,Seqs!$A:$B,2,0),AS180,1),"")</f>
        <v>G</v>
      </c>
      <c r="AS180" s="3">
        <v>255</v>
      </c>
      <c r="AT180" s="3" t="str">
        <f>IFERROR(MID(VLOOKUP($B180,Seqs!$A:$B,2,0),AU180,1),"")</f>
        <v>L</v>
      </c>
      <c r="AU180" s="3">
        <v>279</v>
      </c>
      <c r="AV180" s="3" t="str">
        <f>IFERROR(MID(VLOOKUP($B180,Seqs!$A:$B,2,0),AW180,1),"")</f>
        <v>G</v>
      </c>
      <c r="AW180" s="3">
        <v>280</v>
      </c>
      <c r="AX180" s="3" t="str">
        <f>IFERROR(MID(VLOOKUP($B180,Seqs!$A:$B,2,0),AY180,1),"")</f>
        <v>Q</v>
      </c>
      <c r="AY180" s="3">
        <v>294</v>
      </c>
      <c r="AZ180" s="77" t="str">
        <f>VLOOKUP(B180,Classification!A:D,2,0)</f>
        <v>A</v>
      </c>
      <c r="BA180" s="94" t="str">
        <f>VLOOKUP(B180,Classification!A:D,4,0)</f>
        <v>Freefattyacid</v>
      </c>
      <c r="BB180" s="27" t="b">
        <f t="shared" si="700"/>
        <v>1</v>
      </c>
      <c r="BC180" s="23">
        <f t="shared" si="867"/>
        <v>256</v>
      </c>
      <c r="BD180" s="34" t="s">
        <v>23</v>
      </c>
      <c r="BE180" s="3" t="s">
        <v>23</v>
      </c>
      <c r="BF180" s="119" t="s">
        <v>23</v>
      </c>
      <c r="BG180" s="49" t="s">
        <v>1378</v>
      </c>
      <c r="BH180" s="49" t="s">
        <v>1383</v>
      </c>
      <c r="BI180" s="1"/>
      <c r="BJ180" s="70" t="s">
        <v>1293</v>
      </c>
      <c r="BK180" s="57" t="s">
        <v>1293</v>
      </c>
      <c r="BL180" s="57" t="s">
        <v>1293</v>
      </c>
      <c r="BM180" s="57" t="s">
        <v>1293</v>
      </c>
      <c r="BN180" s="57" t="s">
        <v>1293</v>
      </c>
      <c r="BO180" s="57" t="s">
        <v>1293</v>
      </c>
      <c r="BP180" s="57" t="s">
        <v>1293</v>
      </c>
      <c r="BQ180" s="57" t="s">
        <v>1293</v>
      </c>
      <c r="BR180" s="57" t="s">
        <v>1293</v>
      </c>
      <c r="BS180" s="57" t="s">
        <v>1293</v>
      </c>
      <c r="BT180" s="57" t="s">
        <v>1293</v>
      </c>
      <c r="BU180" s="57" t="s">
        <v>1293</v>
      </c>
      <c r="BV180" s="70">
        <f t="shared" si="868"/>
        <v>4</v>
      </c>
      <c r="BW180" s="71" t="str">
        <f t="shared" si="869"/>
        <v>-</v>
      </c>
      <c r="BX180" s="72">
        <f t="shared" si="870"/>
        <v>39</v>
      </c>
      <c r="BY180" s="71">
        <f t="shared" si="871"/>
        <v>71</v>
      </c>
      <c r="BZ180" s="72">
        <f t="shared" si="872"/>
        <v>75</v>
      </c>
      <c r="CA180" s="71">
        <f t="shared" si="873"/>
        <v>111</v>
      </c>
      <c r="CB180" s="72">
        <f t="shared" si="874"/>
        <v>119</v>
      </c>
      <c r="CC180" s="71">
        <f t="shared" si="875"/>
        <v>170</v>
      </c>
      <c r="CD180" s="72">
        <f t="shared" si="876"/>
        <v>175</v>
      </c>
      <c r="CE180" s="71">
        <f t="shared" si="877"/>
        <v>217</v>
      </c>
      <c r="CF180" s="72">
        <f t="shared" si="878"/>
        <v>255</v>
      </c>
      <c r="CG180" s="71">
        <f t="shared" si="879"/>
        <v>280</v>
      </c>
      <c r="CH180" s="70">
        <f t="shared" si="880"/>
        <v>37</v>
      </c>
      <c r="CI180" s="71" t="str">
        <f t="shared" si="881"/>
        <v>-</v>
      </c>
      <c r="CJ180" s="72">
        <f t="shared" si="882"/>
        <v>69</v>
      </c>
      <c r="CK180" s="72">
        <f t="shared" si="883"/>
        <v>74</v>
      </c>
      <c r="CL180" s="72">
        <f t="shared" si="884"/>
        <v>110</v>
      </c>
      <c r="CM180" s="72">
        <f t="shared" si="885"/>
        <v>118</v>
      </c>
      <c r="CN180" s="72">
        <f t="shared" si="886"/>
        <v>146</v>
      </c>
      <c r="CO180" s="72">
        <f t="shared" si="887"/>
        <v>172</v>
      </c>
      <c r="CP180" s="72">
        <f t="shared" si="888"/>
        <v>211</v>
      </c>
      <c r="CQ180" s="72">
        <f t="shared" si="889"/>
        <v>250</v>
      </c>
      <c r="CR180" s="72">
        <f t="shared" si="890"/>
        <v>279</v>
      </c>
      <c r="CS180" s="72">
        <f t="shared" si="891"/>
        <v>294</v>
      </c>
      <c r="CT180" s="23" t="e">
        <f t="shared" si="892"/>
        <v>#VALUE!</v>
      </c>
    </row>
    <row r="181" spans="1:1029" x14ac:dyDescent="0.2">
      <c r="A181" s="3" t="str">
        <f t="shared" si="699"/>
        <v>ffar1_human_4PHU</v>
      </c>
      <c r="B181" s="3" t="s">
        <v>1173</v>
      </c>
      <c r="C181" s="3" t="s">
        <v>52</v>
      </c>
      <c r="D181" s="3" t="str">
        <f>IFERROR(MID(VLOOKUP($B181,Seqs!$A:$B,2,0),E181,1),"")</f>
        <v>P</v>
      </c>
      <c r="E181" s="3">
        <v>4</v>
      </c>
      <c r="F181" s="3" t="str">
        <f>IFERROR(MID(VLOOKUP($B181,Seqs!$A:$B,2,0),G181,1),"")</f>
        <v>R</v>
      </c>
      <c r="G181" s="3">
        <v>37</v>
      </c>
      <c r="H181" s="3" t="str">
        <f>IFERROR(MID(VLOOKUP($B181,Seqs!$A:$B,2,0),I181,1),"")</f>
        <v/>
      </c>
      <c r="I181" s="23" t="s">
        <v>23</v>
      </c>
      <c r="J181" s="3" t="str">
        <f>IFERROR(MID(VLOOKUP($B181,Seqs!$A:$B,2,0),K181,1),"")</f>
        <v/>
      </c>
      <c r="K181" s="23" t="s">
        <v>23</v>
      </c>
      <c r="L181" s="3" t="str">
        <f>IFERROR(MID(VLOOKUP($B181,Seqs!$A:$B,2,0),M181,1),"")</f>
        <v>T</v>
      </c>
      <c r="M181" s="3">
        <v>39</v>
      </c>
      <c r="N181" s="3" t="str">
        <f>IFERROR(MID(VLOOKUP($B181,Seqs!$A:$B,2,0),O181,1),"")</f>
        <v>S</v>
      </c>
      <c r="O181" s="3">
        <v>69</v>
      </c>
      <c r="P181" s="3" t="str">
        <f>IFERROR(MID(VLOOKUP($B181,Seqs!$A:$B,2,0),Q181,1),"")</f>
        <v>A</v>
      </c>
      <c r="Q181" s="3">
        <v>71</v>
      </c>
      <c r="R181" s="3" t="str">
        <f>IFERROR(MID(VLOOKUP($B181,Seqs!$A:$B,2,0),S181,1),"")</f>
        <v>L</v>
      </c>
      <c r="S181" s="3">
        <v>74</v>
      </c>
      <c r="T181" s="3" t="str">
        <f>IFERROR(MID(VLOOKUP($B181,Seqs!$A:$B,2,0),U181,1),"")</f>
        <v>P</v>
      </c>
      <c r="U181" s="3">
        <v>75</v>
      </c>
      <c r="V181" s="3" t="str">
        <f>IFERROR(MID(VLOOKUP($B181,Seqs!$A:$B,2,0),W181,1),"")</f>
        <v>F</v>
      </c>
      <c r="W181" s="3">
        <v>110</v>
      </c>
      <c r="X181" s="3" t="str">
        <f>IFERROR(MID(VLOOKUP($B181,Seqs!$A:$B,2,0),Y181,1),"")</f>
        <v/>
      </c>
      <c r="Y181" s="3" t="s">
        <v>23</v>
      </c>
      <c r="Z181" s="3" t="str">
        <f>IFERROR(MID(VLOOKUP($B181,Seqs!$A:$B,2,0),AA181,1),"")</f>
        <v/>
      </c>
      <c r="AA181" s="3" t="s">
        <v>23</v>
      </c>
      <c r="AB181" s="3" t="str">
        <f>IFERROR(MID(VLOOKUP($B181,Seqs!$A:$B,2,0),AC181,1),"")</f>
        <v>C</v>
      </c>
      <c r="AC181" s="9">
        <v>121</v>
      </c>
      <c r="AD181" s="3" t="str">
        <f>IFERROR(MID(VLOOKUP($B181,Seqs!$A:$B,2,0),AE181,1),"")</f>
        <v>A</v>
      </c>
      <c r="AE181" s="3">
        <v>146</v>
      </c>
      <c r="AF181" s="3" t="str">
        <f>IFERROR(MID(VLOOKUP($B181,Seqs!$A:$B,2,0),AG181,1),"")</f>
        <v>C</v>
      </c>
      <c r="AG181" s="3">
        <v>170</v>
      </c>
      <c r="AH181" s="3" t="str">
        <f>IFERROR(MID(VLOOKUP($B181,Seqs!$A:$B,2,0),AI181,1),"")</f>
        <v>E</v>
      </c>
      <c r="AI181" s="3">
        <v>172</v>
      </c>
      <c r="AJ181" s="3" t="str">
        <f>IFERROR(MID(VLOOKUP($B181,Seqs!$A:$B,2,0),AK181,1),"")</f>
        <v>D</v>
      </c>
      <c r="AK181" s="3">
        <v>175</v>
      </c>
      <c r="AL181" s="3" t="str">
        <f>IFERROR(MID(VLOOKUP($B181,Seqs!$A:$B,2,0),AM181,1),"")</f>
        <v>R</v>
      </c>
      <c r="AM181" s="3">
        <v>211</v>
      </c>
      <c r="AN181" s="3" t="str">
        <f>IFERROR(MID(VLOOKUP($B181,Seqs!$A:$B,2,0),AO181,1),"")</f>
        <v/>
      </c>
      <c r="AO181" s="3">
        <v>2214</v>
      </c>
      <c r="AP181" s="3" t="str">
        <f>IFERROR(MID(VLOOKUP($B181,Seqs!$A:$B,2,0),AQ181,1),"")</f>
        <v/>
      </c>
      <c r="AQ181" s="3">
        <v>2250</v>
      </c>
      <c r="AR181" s="3" t="str">
        <f>IFERROR(MID(VLOOKUP($B181,Seqs!$A:$B,2,0),AS181,1),"")</f>
        <v/>
      </c>
      <c r="AS181" s="3">
        <v>2255</v>
      </c>
      <c r="AT181" s="3" t="str">
        <f>IFERROR(MID(VLOOKUP($B181,Seqs!$A:$B,2,0),AU181,1),"")</f>
        <v/>
      </c>
      <c r="AU181" s="3">
        <v>2276</v>
      </c>
      <c r="AV181" s="3" t="str">
        <f>IFERROR(MID(VLOOKUP($B181,Seqs!$A:$B,2,0),AW181,1),"")</f>
        <v/>
      </c>
      <c r="AW181" s="3" t="s">
        <v>23</v>
      </c>
      <c r="AX181" s="3" t="str">
        <f>IFERROR(MID(VLOOKUP($B181,Seqs!$A:$B,2,0),AY181,1),"")</f>
        <v/>
      </c>
      <c r="AY181" s="3" t="s">
        <v>23</v>
      </c>
      <c r="AZ181" s="77" t="str">
        <f>VLOOKUP(B181,Classification!A:D,2,0)</f>
        <v>A</v>
      </c>
      <c r="BA181" s="94" t="str">
        <f>VLOOKUP(B181,Classification!A:D,4,0)</f>
        <v>Freefattyacid</v>
      </c>
      <c r="BB181" s="27" t="b">
        <f t="shared" si="700"/>
        <v>1</v>
      </c>
      <c r="BC181" s="23">
        <f t="shared" si="867"/>
        <v>233</v>
      </c>
      <c r="BD181" s="16" t="s">
        <v>23</v>
      </c>
      <c r="BE181" s="3" t="s">
        <v>1438</v>
      </c>
      <c r="BF181" s="119">
        <v>2.33</v>
      </c>
      <c r="BG181" s="49" t="s">
        <v>1383</v>
      </c>
      <c r="BH181" s="49" t="s">
        <v>1383</v>
      </c>
      <c r="BI181" s="1"/>
      <c r="BJ181" s="70" t="s">
        <v>1293</v>
      </c>
      <c r="BK181" s="57" t="s">
        <v>1293</v>
      </c>
      <c r="BL181" s="57" t="s">
        <v>1293</v>
      </c>
      <c r="BM181" s="57" t="s">
        <v>1293</v>
      </c>
      <c r="BN181" s="57" t="s">
        <v>1293</v>
      </c>
      <c r="BO181" s="57" t="s">
        <v>1293</v>
      </c>
      <c r="BP181" s="57" t="s">
        <v>1293</v>
      </c>
      <c r="BQ181" s="57" t="s">
        <v>1293</v>
      </c>
      <c r="BR181" s="57" t="s">
        <v>1293</v>
      </c>
      <c r="BS181" s="57" t="s">
        <v>1293</v>
      </c>
      <c r="BT181" s="57" t="s">
        <v>1293</v>
      </c>
      <c r="BU181" s="57" t="s">
        <v>1293</v>
      </c>
      <c r="BV181" s="70">
        <f t="shared" si="868"/>
        <v>4</v>
      </c>
      <c r="BW181" s="71" t="str">
        <f t="shared" si="869"/>
        <v>-</v>
      </c>
      <c r="BX181" s="72">
        <f t="shared" si="870"/>
        <v>39</v>
      </c>
      <c r="BY181" s="71">
        <f t="shared" si="871"/>
        <v>71</v>
      </c>
      <c r="BZ181" s="72">
        <f t="shared" si="872"/>
        <v>75</v>
      </c>
      <c r="CA181" s="71" t="str">
        <f t="shared" si="873"/>
        <v>-</v>
      </c>
      <c r="CB181" s="72">
        <f t="shared" si="874"/>
        <v>121</v>
      </c>
      <c r="CC181" s="71">
        <f t="shared" si="875"/>
        <v>170</v>
      </c>
      <c r="CD181" s="72">
        <f t="shared" si="876"/>
        <v>175</v>
      </c>
      <c r="CE181" s="71">
        <f t="shared" si="877"/>
        <v>2214</v>
      </c>
      <c r="CF181" s="72">
        <f t="shared" si="878"/>
        <v>2255</v>
      </c>
      <c r="CG181" s="71" t="str">
        <f t="shared" si="879"/>
        <v>-</v>
      </c>
      <c r="CH181" s="70">
        <f t="shared" si="880"/>
        <v>37</v>
      </c>
      <c r="CI181" s="71" t="str">
        <f t="shared" si="881"/>
        <v>-</v>
      </c>
      <c r="CJ181" s="72">
        <f t="shared" si="882"/>
        <v>69</v>
      </c>
      <c r="CK181" s="72">
        <f t="shared" si="883"/>
        <v>74</v>
      </c>
      <c r="CL181" s="72">
        <f t="shared" si="884"/>
        <v>110</v>
      </c>
      <c r="CM181" s="72" t="str">
        <f t="shared" si="885"/>
        <v>-</v>
      </c>
      <c r="CN181" s="72">
        <f t="shared" si="886"/>
        <v>146</v>
      </c>
      <c r="CO181" s="72">
        <f t="shared" si="887"/>
        <v>172</v>
      </c>
      <c r="CP181" s="72">
        <f t="shared" si="888"/>
        <v>211</v>
      </c>
      <c r="CQ181" s="72">
        <f t="shared" si="889"/>
        <v>2250</v>
      </c>
      <c r="CR181" s="72">
        <f t="shared" si="890"/>
        <v>2276</v>
      </c>
      <c r="CS181" s="72" t="str">
        <f t="shared" si="891"/>
        <v>-</v>
      </c>
      <c r="CT181" s="23" t="e">
        <f t="shared" si="892"/>
        <v>#VALUE!</v>
      </c>
    </row>
    <row r="182" spans="1:1029" x14ac:dyDescent="0.2">
      <c r="A182" s="3" t="str">
        <f>CONCATENATE(B182,"_",C182)</f>
        <v>ffar1_human_5KW2</v>
      </c>
      <c r="B182" s="3" t="s">
        <v>1173</v>
      </c>
      <c r="C182" s="3" t="s">
        <v>1505</v>
      </c>
      <c r="D182" s="3" t="str">
        <f>IFERROR(MID(VLOOKUP($B182,Seqs!$A:$B,2,0),E182,1),"")</f>
        <v>P</v>
      </c>
      <c r="E182" s="3">
        <v>4</v>
      </c>
      <c r="F182" s="3" t="str">
        <f>IFERROR(MID(VLOOKUP($B182,Seqs!$A:$B,2,0),G182,1),"")</f>
        <v>A</v>
      </c>
      <c r="G182" s="3">
        <v>32</v>
      </c>
      <c r="H182" s="3" t="str">
        <f>IFERROR(MID(VLOOKUP($B182,Seqs!$A:$B,2,0),I182,1),"")</f>
        <v/>
      </c>
      <c r="I182" s="23" t="s">
        <v>23</v>
      </c>
      <c r="J182" s="3" t="str">
        <f>IFERROR(MID(VLOOKUP($B182,Seqs!$A:$B,2,0),K182,1),"")</f>
        <v/>
      </c>
      <c r="K182" s="23" t="s">
        <v>23</v>
      </c>
      <c r="L182" s="3" t="str">
        <f>IFERROR(MID(VLOOKUP($B182,Seqs!$A:$B,2,0),M182,1),"")</f>
        <v>T</v>
      </c>
      <c r="M182" s="3">
        <v>39</v>
      </c>
      <c r="N182" s="3" t="str">
        <f>IFERROR(MID(VLOOKUP($B182,Seqs!$A:$B,2,0),O182,1),"")</f>
        <v>S</v>
      </c>
      <c r="O182" s="3">
        <v>69</v>
      </c>
      <c r="P182" s="3" t="str">
        <f>IFERROR(MID(VLOOKUP($B182,Seqs!$A:$B,2,0),Q182,1),"")</f>
        <v>A</v>
      </c>
      <c r="Q182" s="3">
        <v>71</v>
      </c>
      <c r="R182" s="3" t="str">
        <f>IFERROR(MID(VLOOKUP($B182,Seqs!$A:$B,2,0),S182,1),"")</f>
        <v>L</v>
      </c>
      <c r="S182" s="3">
        <v>74</v>
      </c>
      <c r="T182" s="3" t="str">
        <f>IFERROR(MID(VLOOKUP($B182,Seqs!$A:$B,2,0),U182,1),"")</f>
        <v>P</v>
      </c>
      <c r="U182" s="3">
        <v>75</v>
      </c>
      <c r="V182" s="3" t="str">
        <f>IFERROR(MID(VLOOKUP($B182,Seqs!$A:$B,2,0),W182,1),"")</f>
        <v>F</v>
      </c>
      <c r="W182" s="3">
        <v>110</v>
      </c>
      <c r="X182" s="3" t="str">
        <f>IFERROR(MID(VLOOKUP($B182,Seqs!$A:$B,2,0),Y182,1),"")</f>
        <v>P</v>
      </c>
      <c r="Y182" s="3">
        <v>111</v>
      </c>
      <c r="Z182" s="3" t="str">
        <f>IFERROR(MID(VLOOKUP($B182,Seqs!$A:$B,2,0),AA182,1),"")</f>
        <v>R</v>
      </c>
      <c r="AA182" s="3">
        <v>118</v>
      </c>
      <c r="AB182" s="3" t="str">
        <f>IFERROR(MID(VLOOKUP($B182,Seqs!$A:$B,2,0),AC182,1),"")</f>
        <v>R</v>
      </c>
      <c r="AC182" s="3">
        <v>119</v>
      </c>
      <c r="AD182" s="3" t="str">
        <f>IFERROR(MID(VLOOKUP($B182,Seqs!$A:$B,2,0),AE182,1),"")</f>
        <v>E</v>
      </c>
      <c r="AE182" s="3">
        <v>145</v>
      </c>
      <c r="AF182" s="3" t="str">
        <f>IFERROR(MID(VLOOKUP($B182,Seqs!$A:$B,2,0),AG182,1),"")</f>
        <v>C</v>
      </c>
      <c r="AG182" s="3">
        <v>170</v>
      </c>
      <c r="AH182" s="3" t="str">
        <f>IFERROR(MID(VLOOKUP($B182,Seqs!$A:$B,2,0),AI182,1),"")</f>
        <v>E</v>
      </c>
      <c r="AI182" s="3">
        <v>172</v>
      </c>
      <c r="AJ182" s="3" t="str">
        <f>IFERROR(MID(VLOOKUP($B182,Seqs!$A:$B,2,0),AK182,1),"")</f>
        <v>G</v>
      </c>
      <c r="AK182" s="3">
        <v>180</v>
      </c>
      <c r="AL182" s="3" t="str">
        <f>IFERROR(MID(VLOOKUP($B182,Seqs!$A:$B,2,0),AM182,1),"")</f>
        <v>R</v>
      </c>
      <c r="AM182" s="3">
        <v>211</v>
      </c>
      <c r="AN182" s="3" t="str">
        <f>IFERROR(MID(VLOOKUP($B182,Seqs!$A:$B,2,0),AO182,1),"")</f>
        <v/>
      </c>
      <c r="AO182" s="3">
        <v>2215</v>
      </c>
      <c r="AP182" s="3" t="str">
        <f>IFERROR(MID(VLOOKUP($B182,Seqs!$A:$B,2,0),AQ182,1),"")</f>
        <v/>
      </c>
      <c r="AQ182" s="3">
        <v>2249</v>
      </c>
      <c r="AR182" s="3" t="str">
        <f>IFERROR(MID(VLOOKUP($B182,Seqs!$A:$B,2,0),AS182,1),"")</f>
        <v/>
      </c>
      <c r="AS182" s="3">
        <v>2254</v>
      </c>
      <c r="AT182" s="3" t="str">
        <f>IFERROR(MID(VLOOKUP($B182,Seqs!$A:$B,2,0),AU182,1),"")</f>
        <v/>
      </c>
      <c r="AU182" s="3">
        <v>2275</v>
      </c>
      <c r="AV182" s="3" t="str">
        <f>IFERROR(MID(VLOOKUP($B182,Seqs!$A:$B,2,0),AW182,1),"")</f>
        <v/>
      </c>
      <c r="AW182" s="3" t="s">
        <v>23</v>
      </c>
      <c r="AX182" s="3" t="str">
        <f>IFERROR(MID(VLOOKUP($B182,Seqs!$A:$B,2,0),AY182,1),"")</f>
        <v/>
      </c>
      <c r="AY182" s="3" t="s">
        <v>23</v>
      </c>
      <c r="AZ182" s="77" t="str">
        <f>VLOOKUP(B182,Classification!A:D,2,0)</f>
        <v>A</v>
      </c>
      <c r="BA182" s="94" t="str">
        <f>VLOOKUP(B182,Classification!A:D,4,0)</f>
        <v>Freefattyacid</v>
      </c>
      <c r="BB182" s="27" t="b">
        <f>AND(E182&lt;G182,OR(G182&lt;I182,I182="-"),OR(I182&lt;K182,I182="-"),OR(K182&lt;M182,K182="-"),M182&lt;O182,OR(O182&lt;Q182,Q182="-"),OR(Q182&lt;S182,Q182="-"),OR(S182&lt;U182,S182="-"),U182&lt;W182,OR(W182&lt;Y182,Y182="-"),OR(Y182&lt;AA182,Y182="-"),OR(AA182&lt;AC182,AA182="-"),AC182&lt;AE182,OR(AE182&lt;AG182,AG182="-"),OR(AG182&lt;AI182,AG182="-"),OR(AI182&lt;AK182,AI182="-"),AK182&lt;AM182,AM182&lt;AO182,AO182&lt;AQ182,AQ182&lt;AS182,AS182&lt;AU182,OR(AU182&lt;AW182,AW182="-"),OR(AW182&lt;AY182,AW182="-"))</f>
        <v>1</v>
      </c>
      <c r="BC182" s="23">
        <f>_xlfn.AGGREGATE(9,6,CH182:CS182)-_xlfn.AGGREGATE(9,6,BV182:CG182)+12</f>
        <v>229</v>
      </c>
      <c r="BD182" s="16" t="s">
        <v>23</v>
      </c>
      <c r="BE182" s="3" t="s">
        <v>1438</v>
      </c>
      <c r="BF182" s="119">
        <v>2.76</v>
      </c>
      <c r="BG182" s="49" t="s">
        <v>1</v>
      </c>
      <c r="BH182" s="49" t="s">
        <v>1</v>
      </c>
      <c r="BI182" s="1"/>
      <c r="BJ182" s="70" t="s">
        <v>1293</v>
      </c>
      <c r="BK182" s="57" t="s">
        <v>1293</v>
      </c>
      <c r="BL182" s="57" t="s">
        <v>1293</v>
      </c>
      <c r="BM182" s="57" t="s">
        <v>1293</v>
      </c>
      <c r="BN182" s="57" t="s">
        <v>1293</v>
      </c>
      <c r="BO182" s="57" t="s">
        <v>1293</v>
      </c>
      <c r="BP182" s="57" t="s">
        <v>1293</v>
      </c>
      <c r="BQ182" s="57" t="s">
        <v>1293</v>
      </c>
      <c r="BR182" s="57" t="s">
        <v>1293</v>
      </c>
      <c r="BS182" s="57" t="s">
        <v>1293</v>
      </c>
      <c r="BT182" s="57" t="s">
        <v>1293</v>
      </c>
      <c r="BU182" s="57" t="s">
        <v>1293</v>
      </c>
      <c r="BV182" s="70">
        <f>E182</f>
        <v>4</v>
      </c>
      <c r="BW182" s="71" t="str">
        <f>I182</f>
        <v>-</v>
      </c>
      <c r="BX182" s="72">
        <f>M182</f>
        <v>39</v>
      </c>
      <c r="BY182" s="71">
        <f>Q182</f>
        <v>71</v>
      </c>
      <c r="BZ182" s="72">
        <f>U182</f>
        <v>75</v>
      </c>
      <c r="CA182" s="71">
        <f>Y182</f>
        <v>111</v>
      </c>
      <c r="CB182" s="72">
        <f>AC182</f>
        <v>119</v>
      </c>
      <c r="CC182" s="71">
        <f>AG182</f>
        <v>170</v>
      </c>
      <c r="CD182" s="72">
        <f>AK182</f>
        <v>180</v>
      </c>
      <c r="CE182" s="71">
        <f>AO182</f>
        <v>2215</v>
      </c>
      <c r="CF182" s="72">
        <f>AS182</f>
        <v>2254</v>
      </c>
      <c r="CG182" s="71" t="str">
        <f>AW182</f>
        <v>-</v>
      </c>
      <c r="CH182" s="70">
        <f>G182</f>
        <v>32</v>
      </c>
      <c r="CI182" s="71" t="str">
        <f>K182</f>
        <v>-</v>
      </c>
      <c r="CJ182" s="72">
        <f>O182</f>
        <v>69</v>
      </c>
      <c r="CK182" s="72">
        <f>S182</f>
        <v>74</v>
      </c>
      <c r="CL182" s="72">
        <f>W182</f>
        <v>110</v>
      </c>
      <c r="CM182" s="72">
        <f>AA182</f>
        <v>118</v>
      </c>
      <c r="CN182" s="72">
        <f>AE182</f>
        <v>145</v>
      </c>
      <c r="CO182" s="72">
        <f>AI182</f>
        <v>172</v>
      </c>
      <c r="CP182" s="72">
        <f>AM182</f>
        <v>211</v>
      </c>
      <c r="CQ182" s="72">
        <f>AQ182</f>
        <v>2249</v>
      </c>
      <c r="CR182" s="72">
        <f>AU182</f>
        <v>2275</v>
      </c>
      <c r="CS182" s="72" t="str">
        <f>AY182</f>
        <v>-</v>
      </c>
      <c r="CT182" s="23" t="e">
        <f>M182-K182</f>
        <v>#VALUE!</v>
      </c>
    </row>
    <row r="183" spans="1:1029" x14ac:dyDescent="0.2">
      <c r="A183" s="3" t="str">
        <f>CONCATENATE(B183,"_",C183)</f>
        <v>ffar1_human_5TZR</v>
      </c>
      <c r="B183" s="3" t="s">
        <v>1173</v>
      </c>
      <c r="C183" s="3" t="s">
        <v>1425</v>
      </c>
      <c r="D183" s="3" t="str">
        <f>IFERROR(MID(VLOOKUP($B183,Seqs!$A:$B,2,0),E183,1),"")</f>
        <v>P</v>
      </c>
      <c r="E183" s="3">
        <v>4</v>
      </c>
      <c r="F183" s="3" t="str">
        <f>IFERROR(MID(VLOOKUP($B183,Seqs!$A:$B,2,0),G183,1),"")</f>
        <v>R</v>
      </c>
      <c r="G183" s="3">
        <v>37</v>
      </c>
      <c r="H183" s="3" t="str">
        <f>IFERROR(MID(VLOOKUP($B183,Seqs!$A:$B,2,0),I183,1),"")</f>
        <v/>
      </c>
      <c r="I183" s="23" t="s">
        <v>23</v>
      </c>
      <c r="J183" s="3" t="str">
        <f>IFERROR(MID(VLOOKUP($B183,Seqs!$A:$B,2,0),K183,1),"")</f>
        <v/>
      </c>
      <c r="K183" s="23" t="s">
        <v>23</v>
      </c>
      <c r="L183" s="3" t="str">
        <f>IFERROR(MID(VLOOKUP($B183,Seqs!$A:$B,2,0),M183,1),"")</f>
        <v>T</v>
      </c>
      <c r="M183" s="3">
        <v>39</v>
      </c>
      <c r="N183" s="3" t="str">
        <f>IFERROR(MID(VLOOKUP($B183,Seqs!$A:$B,2,0),O183,1),"")</f>
        <v>S</v>
      </c>
      <c r="O183" s="3">
        <v>69</v>
      </c>
      <c r="P183" s="3" t="str">
        <f>IFERROR(MID(VLOOKUP($B183,Seqs!$A:$B,2,0),Q183,1),"")</f>
        <v>A</v>
      </c>
      <c r="Q183" s="3">
        <v>71</v>
      </c>
      <c r="R183" s="3" t="str">
        <f>IFERROR(MID(VLOOKUP($B183,Seqs!$A:$B,2,0),S183,1),"")</f>
        <v>L</v>
      </c>
      <c r="S183" s="3">
        <v>74</v>
      </c>
      <c r="T183" s="3" t="str">
        <f>IFERROR(MID(VLOOKUP($B183,Seqs!$A:$B,2,0),U183,1),"")</f>
        <v>P</v>
      </c>
      <c r="U183" s="3">
        <v>75</v>
      </c>
      <c r="V183" s="3" t="str">
        <f>IFERROR(MID(VLOOKUP($B183,Seqs!$A:$B,2,0),W183,1),"")</f>
        <v>F</v>
      </c>
      <c r="W183" s="3">
        <v>110</v>
      </c>
      <c r="X183" s="3" t="str">
        <f>IFERROR(MID(VLOOKUP($B183,Seqs!$A:$B,2,0),Y183,1),"")</f>
        <v/>
      </c>
      <c r="Y183" s="3" t="s">
        <v>23</v>
      </c>
      <c r="Z183" s="3" t="str">
        <f>IFERROR(MID(VLOOKUP($B183,Seqs!$A:$B,2,0),AA183,1),"")</f>
        <v/>
      </c>
      <c r="AA183" s="3" t="s">
        <v>23</v>
      </c>
      <c r="AB183" s="3" t="str">
        <f>IFERROR(MID(VLOOKUP($B183,Seqs!$A:$B,2,0),AC183,1),"")</f>
        <v>C</v>
      </c>
      <c r="AC183" s="3">
        <v>121</v>
      </c>
      <c r="AD183" s="3" t="str">
        <f>IFERROR(MID(VLOOKUP($B183,Seqs!$A:$B,2,0),AE183,1),"")</f>
        <v>A</v>
      </c>
      <c r="AE183" s="3">
        <v>146</v>
      </c>
      <c r="AF183" s="3" t="str">
        <f>IFERROR(MID(VLOOKUP($B183,Seqs!$A:$B,2,0),AG183,1),"")</f>
        <v>C</v>
      </c>
      <c r="AG183" s="3">
        <v>170</v>
      </c>
      <c r="AH183" s="3" t="str">
        <f>IFERROR(MID(VLOOKUP($B183,Seqs!$A:$B,2,0),AI183,1),"")</f>
        <v>E</v>
      </c>
      <c r="AI183" s="3">
        <v>172</v>
      </c>
      <c r="AJ183" s="3" t="str">
        <f>IFERROR(MID(VLOOKUP($B183,Seqs!$A:$B,2,0),AK183,1),"")</f>
        <v>D</v>
      </c>
      <c r="AK183" s="3">
        <v>175</v>
      </c>
      <c r="AL183" s="3" t="str">
        <f>IFERROR(MID(VLOOKUP($B183,Seqs!$A:$B,2,0),AM183,1),"")</f>
        <v>R</v>
      </c>
      <c r="AM183" s="3">
        <v>211</v>
      </c>
      <c r="AN183" s="3" t="str">
        <f>IFERROR(MID(VLOOKUP($B183,Seqs!$A:$B,2,0),AO183,1),"")</f>
        <v/>
      </c>
      <c r="AO183" s="3">
        <v>2214</v>
      </c>
      <c r="AP183" s="3" t="str">
        <f>IFERROR(MID(VLOOKUP($B183,Seqs!$A:$B,2,0),AQ183,1),"")</f>
        <v/>
      </c>
      <c r="AQ183" s="3">
        <v>2250</v>
      </c>
      <c r="AR183" s="3" t="str">
        <f>IFERROR(MID(VLOOKUP($B183,Seqs!$A:$B,2,0),AS183,1),"")</f>
        <v/>
      </c>
      <c r="AS183" s="3">
        <v>2255</v>
      </c>
      <c r="AT183" s="3" t="str">
        <f>IFERROR(MID(VLOOKUP($B183,Seqs!$A:$B,2,0),AU183,1),"")</f>
        <v/>
      </c>
      <c r="AU183" s="3">
        <v>2276</v>
      </c>
      <c r="AV183" s="3" t="str">
        <f>IFERROR(MID(VLOOKUP($B183,Seqs!$A:$B,2,0),AW183,1),"")</f>
        <v/>
      </c>
      <c r="AW183" s="3" t="s">
        <v>23</v>
      </c>
      <c r="AX183" s="3" t="str">
        <f>IFERROR(MID(VLOOKUP($B183,Seqs!$A:$B,2,0),AY183,1),"")</f>
        <v/>
      </c>
      <c r="AY183" s="3" t="s">
        <v>23</v>
      </c>
      <c r="AZ183" s="77" t="str">
        <f>VLOOKUP(B183,Classification!A:D,2,0)</f>
        <v>A</v>
      </c>
      <c r="BA183" s="94" t="str">
        <f>VLOOKUP(B183,Classification!A:D,4,0)</f>
        <v>Freefattyacid</v>
      </c>
      <c r="BB183" s="27" t="b">
        <f>AND(E183&lt;G183,OR(G183&lt;I183,I183="-"),OR(I183&lt;K183,I183="-"),OR(K183&lt;M183,K183="-"),M183&lt;O183,OR(O183&lt;Q183,Q183="-"),OR(Q183&lt;S183,Q183="-"),OR(S183&lt;U183,S183="-"),U183&lt;W183,OR(W183&lt;Y183,Y183="-"),OR(Y183&lt;AA183,Y183="-"),OR(AA183&lt;AC183,AA183="-"),AC183&lt;AE183,OR(AE183&lt;AG183,AG183="-"),OR(AG183&lt;AI183,AG183="-"),OR(AI183&lt;AK183,AI183="-"),AK183&lt;AM183,AM183&lt;AO183,AO183&lt;AQ183,AQ183&lt;AS183,AS183&lt;AU183,OR(AU183&lt;AW183,AW183="-"),OR(AW183&lt;AY183,AW183="-"))</f>
        <v>1</v>
      </c>
      <c r="BC183" s="23">
        <f>_xlfn.AGGREGATE(9,6,CH183:CS183)-_xlfn.AGGREGATE(9,6,BV183:CG183)+12</f>
        <v>233</v>
      </c>
      <c r="BD183" s="16" t="s">
        <v>23</v>
      </c>
      <c r="BE183" s="3" t="s">
        <v>1438</v>
      </c>
      <c r="BF183" s="119">
        <v>2.2000000000000002</v>
      </c>
      <c r="BG183" s="49" t="s">
        <v>1</v>
      </c>
      <c r="BH183" s="49" t="s">
        <v>1</v>
      </c>
      <c r="BI183" s="1"/>
      <c r="BJ183" s="70" t="s">
        <v>1293</v>
      </c>
      <c r="BK183" s="57" t="s">
        <v>1293</v>
      </c>
      <c r="BL183" s="57" t="s">
        <v>1293</v>
      </c>
      <c r="BM183" s="57" t="s">
        <v>1293</v>
      </c>
      <c r="BN183" s="57" t="s">
        <v>1293</v>
      </c>
      <c r="BO183" s="57" t="s">
        <v>1293</v>
      </c>
      <c r="BP183" s="57" t="s">
        <v>1293</v>
      </c>
      <c r="BQ183" s="57" t="s">
        <v>1293</v>
      </c>
      <c r="BR183" s="57" t="s">
        <v>1293</v>
      </c>
      <c r="BS183" s="57" t="s">
        <v>1293</v>
      </c>
      <c r="BT183" s="57" t="s">
        <v>1293</v>
      </c>
      <c r="BU183" s="57" t="s">
        <v>1293</v>
      </c>
      <c r="BV183" s="70">
        <f>E183</f>
        <v>4</v>
      </c>
      <c r="BW183" s="71" t="str">
        <f>I183</f>
        <v>-</v>
      </c>
      <c r="BX183" s="72">
        <f>M183</f>
        <v>39</v>
      </c>
      <c r="BY183" s="71">
        <f>Q183</f>
        <v>71</v>
      </c>
      <c r="BZ183" s="72">
        <f>U183</f>
        <v>75</v>
      </c>
      <c r="CA183" s="71" t="str">
        <f>Y183</f>
        <v>-</v>
      </c>
      <c r="CB183" s="72">
        <f>AC183</f>
        <v>121</v>
      </c>
      <c r="CC183" s="71">
        <f>AG183</f>
        <v>170</v>
      </c>
      <c r="CD183" s="72">
        <f>AK183</f>
        <v>175</v>
      </c>
      <c r="CE183" s="71">
        <f>AO183</f>
        <v>2214</v>
      </c>
      <c r="CF183" s="72">
        <f>AS183</f>
        <v>2255</v>
      </c>
      <c r="CG183" s="71" t="str">
        <f>AW183</f>
        <v>-</v>
      </c>
      <c r="CH183" s="70">
        <f>G183</f>
        <v>37</v>
      </c>
      <c r="CI183" s="71" t="str">
        <f>K183</f>
        <v>-</v>
      </c>
      <c r="CJ183" s="72">
        <f>O183</f>
        <v>69</v>
      </c>
      <c r="CK183" s="72">
        <f>S183</f>
        <v>74</v>
      </c>
      <c r="CL183" s="72">
        <f>W183</f>
        <v>110</v>
      </c>
      <c r="CM183" s="72" t="str">
        <f>AA183</f>
        <v>-</v>
      </c>
      <c r="CN183" s="72">
        <f>AE183</f>
        <v>146</v>
      </c>
      <c r="CO183" s="72">
        <f>AI183</f>
        <v>172</v>
      </c>
      <c r="CP183" s="72">
        <f>AM183</f>
        <v>211</v>
      </c>
      <c r="CQ183" s="72">
        <f>AQ183</f>
        <v>2250</v>
      </c>
      <c r="CR183" s="72">
        <f>AU183</f>
        <v>2276</v>
      </c>
      <c r="CS183" s="72" t="str">
        <f>AY183</f>
        <v>-</v>
      </c>
      <c r="CT183" s="23" t="e">
        <f>M183-K183</f>
        <v>#VALUE!</v>
      </c>
    </row>
    <row r="184" spans="1:1029" x14ac:dyDescent="0.2">
      <c r="A184" s="3" t="str">
        <f>CONCATENATE(B184,"_",C184)</f>
        <v>ffar1_human_5TZY</v>
      </c>
      <c r="B184" s="3" t="s">
        <v>1173</v>
      </c>
      <c r="C184" s="3" t="s">
        <v>1426</v>
      </c>
      <c r="D184" s="3" t="str">
        <f>IFERROR(MID(VLOOKUP($B184,Seqs!$A:$B,2,0),E184,1),"")</f>
        <v>P</v>
      </c>
      <c r="E184" s="3">
        <v>4</v>
      </c>
      <c r="F184" s="3" t="str">
        <f>IFERROR(MID(VLOOKUP($B184,Seqs!$A:$B,2,0),G184,1),"")</f>
        <v>R</v>
      </c>
      <c r="G184" s="3">
        <v>37</v>
      </c>
      <c r="H184" s="3" t="str">
        <f>IFERROR(MID(VLOOKUP($B184,Seqs!$A:$B,2,0),I184,1),"")</f>
        <v/>
      </c>
      <c r="I184" s="23" t="s">
        <v>23</v>
      </c>
      <c r="J184" s="3" t="str">
        <f>IFERROR(MID(VLOOKUP($B184,Seqs!$A:$B,2,0),K184,1),"")</f>
        <v/>
      </c>
      <c r="K184" s="23" t="s">
        <v>23</v>
      </c>
      <c r="L184" s="3" t="str">
        <f>IFERROR(MID(VLOOKUP($B184,Seqs!$A:$B,2,0),M184,1),"")</f>
        <v>T</v>
      </c>
      <c r="M184" s="3">
        <v>39</v>
      </c>
      <c r="N184" s="3" t="str">
        <f>IFERROR(MID(VLOOKUP($B184,Seqs!$A:$B,2,0),O184,1),"")</f>
        <v>A</v>
      </c>
      <c r="O184" s="3">
        <v>68</v>
      </c>
      <c r="P184" s="3" t="str">
        <f>IFERROR(MID(VLOOKUP($B184,Seqs!$A:$B,2,0),Q184,1),"")</f>
        <v>A</v>
      </c>
      <c r="Q184" s="3">
        <v>71</v>
      </c>
      <c r="R184" s="3" t="str">
        <f>IFERROR(MID(VLOOKUP($B184,Seqs!$A:$B,2,0),S184,1),"")</f>
        <v>L</v>
      </c>
      <c r="S184" s="3">
        <v>74</v>
      </c>
      <c r="T184" s="3" t="str">
        <f>IFERROR(MID(VLOOKUP($B184,Seqs!$A:$B,2,0),U184,1),"")</f>
        <v>P</v>
      </c>
      <c r="U184" s="3">
        <v>75</v>
      </c>
      <c r="V184" s="3" t="str">
        <f>IFERROR(MID(VLOOKUP($B184,Seqs!$A:$B,2,0),W184,1),"")</f>
        <v>F</v>
      </c>
      <c r="W184" s="3">
        <v>110</v>
      </c>
      <c r="X184" s="3" t="str">
        <f>IFERROR(MID(VLOOKUP($B184,Seqs!$A:$B,2,0),Y184,1),"")</f>
        <v>P</v>
      </c>
      <c r="Y184" s="3">
        <v>111</v>
      </c>
      <c r="Z184" s="3" t="str">
        <f>IFERROR(MID(VLOOKUP($B184,Seqs!$A:$B,2,0),AA184,1),"")</f>
        <v>R</v>
      </c>
      <c r="AA184" s="3">
        <v>118</v>
      </c>
      <c r="AB184" s="3" t="str">
        <f>IFERROR(MID(VLOOKUP($B184,Seqs!$A:$B,2,0),AC184,1),"")</f>
        <v>R</v>
      </c>
      <c r="AC184" s="3">
        <v>119</v>
      </c>
      <c r="AD184" s="3" t="str">
        <f>IFERROR(MID(VLOOKUP($B184,Seqs!$A:$B,2,0),AE184,1),"")</f>
        <v>A</v>
      </c>
      <c r="AE184" s="3">
        <v>146</v>
      </c>
      <c r="AF184" s="3" t="str">
        <f>IFERROR(MID(VLOOKUP($B184,Seqs!$A:$B,2,0),AG184,1),"")</f>
        <v>C</v>
      </c>
      <c r="AG184" s="3">
        <v>170</v>
      </c>
      <c r="AH184" s="3" t="str">
        <f>IFERROR(MID(VLOOKUP($B184,Seqs!$A:$B,2,0),AI184,1),"")</f>
        <v>E</v>
      </c>
      <c r="AI184" s="3">
        <v>172</v>
      </c>
      <c r="AJ184" s="3" t="str">
        <f>IFERROR(MID(VLOOKUP($B184,Seqs!$A:$B,2,0),AK184,1),"")</f>
        <v>D</v>
      </c>
      <c r="AK184" s="3">
        <v>175</v>
      </c>
      <c r="AL184" s="3" t="str">
        <f>IFERROR(MID(VLOOKUP($B184,Seqs!$A:$B,2,0),AM184,1),"")</f>
        <v>R</v>
      </c>
      <c r="AM184" s="3">
        <v>211</v>
      </c>
      <c r="AN184" s="3" t="str">
        <f>IFERROR(MID(VLOOKUP($B184,Seqs!$A:$B,2,0),AO184,1),"")</f>
        <v/>
      </c>
      <c r="AO184" s="3">
        <v>2215</v>
      </c>
      <c r="AP184" s="3" t="str">
        <f>IFERROR(MID(VLOOKUP($B184,Seqs!$A:$B,2,0),AQ184,1),"")</f>
        <v/>
      </c>
      <c r="AQ184" s="3">
        <v>2250</v>
      </c>
      <c r="AR184" s="3" t="str">
        <f>IFERROR(MID(VLOOKUP($B184,Seqs!$A:$B,2,0),AS184,1),"")</f>
        <v/>
      </c>
      <c r="AS184" s="3">
        <v>2254</v>
      </c>
      <c r="AT184" s="3" t="str">
        <f>IFERROR(MID(VLOOKUP($B184,Seqs!$A:$B,2,0),AU184,1),"")</f>
        <v/>
      </c>
      <c r="AU184" s="3">
        <v>2277</v>
      </c>
      <c r="AV184" s="3" t="str">
        <f>IFERROR(MID(VLOOKUP($B184,Seqs!$A:$B,2,0),AW184,1),"")</f>
        <v/>
      </c>
      <c r="AW184" s="3" t="s">
        <v>23</v>
      </c>
      <c r="AX184" s="3" t="str">
        <f>IFERROR(MID(VLOOKUP($B184,Seqs!$A:$B,2,0),AY184,1),"")</f>
        <v/>
      </c>
      <c r="AY184" s="3" t="s">
        <v>23</v>
      </c>
      <c r="AZ184" s="77" t="str">
        <f>VLOOKUP(B184,Classification!A:D,2,0)</f>
        <v>A</v>
      </c>
      <c r="BA184" s="94" t="str">
        <f>VLOOKUP(B184,Classification!A:D,4,0)</f>
        <v>Freefattyacid</v>
      </c>
      <c r="BB184" s="27" t="b">
        <f>AND(E184&lt;G184,OR(G184&lt;I184,I184="-"),OR(I184&lt;K184,I184="-"),OR(K184&lt;M184,K184="-"),M184&lt;O184,OR(O184&lt;Q184,Q184="-"),OR(Q184&lt;S184,Q184="-"),OR(S184&lt;U184,S184="-"),U184&lt;W184,OR(W184&lt;Y184,Y184="-"),OR(Y184&lt;AA184,Y184="-"),OR(AA184&lt;AC184,AA184="-"),AC184&lt;AE184,OR(AE184&lt;AG184,AG184="-"),OR(AG184&lt;AI184,AG184="-"),OR(AI184&lt;AK184,AI184="-"),AK184&lt;AM184,AM184&lt;AO184,AO184&lt;AQ184,AQ184&lt;AS184,AS184&lt;AU184,OR(AU184&lt;AW184,AW184="-"),OR(AW184&lt;AY184,AW184="-"))</f>
        <v>1</v>
      </c>
      <c r="BC184" s="23">
        <f>_xlfn.AGGREGATE(9,6,CH184:CS184)-_xlfn.AGGREGATE(9,6,BV184:CG184)+12</f>
        <v>242</v>
      </c>
      <c r="BD184" s="16" t="s">
        <v>1439</v>
      </c>
      <c r="BE184" s="3" t="s">
        <v>1438</v>
      </c>
      <c r="BF184" s="119">
        <v>3.22</v>
      </c>
      <c r="BG184" s="49" t="s">
        <v>1</v>
      </c>
      <c r="BH184" s="49" t="s">
        <v>1</v>
      </c>
      <c r="BI184" s="1"/>
      <c r="BJ184" s="70" t="s">
        <v>1293</v>
      </c>
      <c r="BK184" s="57" t="s">
        <v>1293</v>
      </c>
      <c r="BL184" s="57" t="s">
        <v>1293</v>
      </c>
      <c r="BM184" s="57" t="s">
        <v>1293</v>
      </c>
      <c r="BN184" s="57" t="s">
        <v>1293</v>
      </c>
      <c r="BO184" s="57" t="s">
        <v>1293</v>
      </c>
      <c r="BP184" s="57" t="s">
        <v>1293</v>
      </c>
      <c r="BQ184" s="57" t="s">
        <v>1293</v>
      </c>
      <c r="BR184" s="57" t="s">
        <v>1293</v>
      </c>
      <c r="BS184" s="57" t="s">
        <v>1293</v>
      </c>
      <c r="BT184" s="57" t="s">
        <v>1293</v>
      </c>
      <c r="BU184" s="57" t="s">
        <v>1293</v>
      </c>
      <c r="BV184" s="70">
        <f>E184</f>
        <v>4</v>
      </c>
      <c r="BW184" s="71" t="str">
        <f>I184</f>
        <v>-</v>
      </c>
      <c r="BX184" s="72">
        <f>M184</f>
        <v>39</v>
      </c>
      <c r="BY184" s="71">
        <f>Q184</f>
        <v>71</v>
      </c>
      <c r="BZ184" s="72">
        <f>U184</f>
        <v>75</v>
      </c>
      <c r="CA184" s="71">
        <f>Y184</f>
        <v>111</v>
      </c>
      <c r="CB184" s="72">
        <f>AC184</f>
        <v>119</v>
      </c>
      <c r="CC184" s="71">
        <f>AG184</f>
        <v>170</v>
      </c>
      <c r="CD184" s="72">
        <f>AK184</f>
        <v>175</v>
      </c>
      <c r="CE184" s="71">
        <f>AO184</f>
        <v>2215</v>
      </c>
      <c r="CF184" s="72">
        <f>AS184</f>
        <v>2254</v>
      </c>
      <c r="CG184" s="71" t="str">
        <f>AW184</f>
        <v>-</v>
      </c>
      <c r="CH184" s="70">
        <f>G184</f>
        <v>37</v>
      </c>
      <c r="CI184" s="71" t="str">
        <f>K184</f>
        <v>-</v>
      </c>
      <c r="CJ184" s="72">
        <f>O184</f>
        <v>68</v>
      </c>
      <c r="CK184" s="72">
        <f>S184</f>
        <v>74</v>
      </c>
      <c r="CL184" s="72">
        <f>W184</f>
        <v>110</v>
      </c>
      <c r="CM184" s="72">
        <f>AA184</f>
        <v>118</v>
      </c>
      <c r="CN184" s="72">
        <f>AE184</f>
        <v>146</v>
      </c>
      <c r="CO184" s="72">
        <f>AI184</f>
        <v>172</v>
      </c>
      <c r="CP184" s="72">
        <f>AM184</f>
        <v>211</v>
      </c>
      <c r="CQ184" s="72">
        <f>AQ184</f>
        <v>2250</v>
      </c>
      <c r="CR184" s="72">
        <f>AU184</f>
        <v>2277</v>
      </c>
      <c r="CS184" s="72" t="str">
        <f>AY184</f>
        <v>-</v>
      </c>
      <c r="CT184" s="23" t="e">
        <f>M184-K184</f>
        <v>#VALUE!</v>
      </c>
    </row>
    <row r="185" spans="1:1029" x14ac:dyDescent="0.2">
      <c r="A185" s="3" t="str">
        <f t="shared" si="699"/>
        <v>hrh1_human__wt</v>
      </c>
      <c r="B185" s="3" t="s">
        <v>278</v>
      </c>
      <c r="C185" s="3" t="s">
        <v>100</v>
      </c>
      <c r="D185" s="3" t="str">
        <f>IFERROR(MID(VLOOKUP($B185,Seqs!$A:$B,2,0),E185,1),"")</f>
        <v>P</v>
      </c>
      <c r="E185" s="3">
        <v>29</v>
      </c>
      <c r="F185" s="3" t="str">
        <f>IFERROR(MID(VLOOKUP($B185,Seqs!$A:$B,2,0),G185,1),"")</f>
        <v>E</v>
      </c>
      <c r="G185" s="3">
        <v>55</v>
      </c>
      <c r="H185" s="3" t="str">
        <f>IFERROR(MID(VLOOKUP($B185,Seqs!$A:$B,2,0),I185,1),"")</f>
        <v>R</v>
      </c>
      <c r="I185" s="23">
        <v>56</v>
      </c>
      <c r="J185" s="3" t="str">
        <f>IFERROR(MID(VLOOKUP($B185,Seqs!$A:$B,2,0),K185,1),"")</f>
        <v>H</v>
      </c>
      <c r="K185" s="23">
        <v>59</v>
      </c>
      <c r="L185" s="3" t="str">
        <f>IFERROR(MID(VLOOKUP($B185,Seqs!$A:$B,2,0),M185,1),"")</f>
        <v>T</v>
      </c>
      <c r="M185" s="3">
        <v>60</v>
      </c>
      <c r="N185" s="3" t="str">
        <f>IFERROR(MID(VLOOKUP($B185,Seqs!$A:$B,2,0),O185,1),"")</f>
        <v>M</v>
      </c>
      <c r="O185" s="3">
        <v>90</v>
      </c>
      <c r="P185" s="3" t="str">
        <f>IFERROR(MID(VLOOKUP($B185,Seqs!$A:$B,2,0),Q185,1),"")</f>
        <v>K</v>
      </c>
      <c r="Q185" s="3">
        <v>92</v>
      </c>
      <c r="R185" s="3" t="str">
        <f>IFERROR(MID(VLOOKUP($B185,Seqs!$A:$B,2,0),S185,1),"")</f>
        <v>L</v>
      </c>
      <c r="S185" s="3">
        <v>95</v>
      </c>
      <c r="T185" s="3" t="str">
        <f>IFERROR(MID(VLOOKUP($B185,Seqs!$A:$B,2,0),U185,1),"")</f>
        <v>G</v>
      </c>
      <c r="U185" s="3">
        <v>96</v>
      </c>
      <c r="V185" s="3" t="str">
        <f>IFERROR(MID(VLOOKUP($B185,Seqs!$A:$B,2,0),W185,1),"")</f>
        <v>Q</v>
      </c>
      <c r="W185" s="3">
        <v>131</v>
      </c>
      <c r="X185" s="3" t="str">
        <f>IFERROR(MID(VLOOKUP($B185,Seqs!$A:$B,2,0),Y185,1),"")</f>
        <v>P</v>
      </c>
      <c r="Y185" s="3">
        <v>132</v>
      </c>
      <c r="Z185" s="3" t="str">
        <f>IFERROR(MID(VLOOKUP($B185,Seqs!$A:$B,2,0),AA185,1),"")</f>
        <v>R</v>
      </c>
      <c r="AA185" s="3">
        <v>139</v>
      </c>
      <c r="AB185" s="3" t="str">
        <f>IFERROR(MID(VLOOKUP($B185,Seqs!$A:$B,2,0),AC185,1),"")</f>
        <v>T</v>
      </c>
      <c r="AC185" s="9">
        <v>140</v>
      </c>
      <c r="AD185" s="3" t="str">
        <f>IFERROR(MID(VLOOKUP($B185,Seqs!$A:$B,2,0),AE185,1),"")</f>
        <v>G</v>
      </c>
      <c r="AE185" s="3">
        <v>164</v>
      </c>
      <c r="AF185" s="3" t="str">
        <f>IFERROR(MID(VLOOKUP($B185,Seqs!$A:$B,2,0),AG185,1),"")</f>
        <v>C</v>
      </c>
      <c r="AG185" s="3">
        <v>180</v>
      </c>
      <c r="AH185" s="3" t="str">
        <f>IFERROR(MID(VLOOKUP($B185,Seqs!$A:$B,2,0),AI185,1),"")</f>
        <v>T</v>
      </c>
      <c r="AI185" s="3">
        <v>182</v>
      </c>
      <c r="AJ185" s="3" t="str">
        <f>IFERROR(MID(VLOOKUP($B185,Seqs!$A:$B,2,0),AK185,1),"")</f>
        <v>V</v>
      </c>
      <c r="AK185" s="3">
        <v>187</v>
      </c>
      <c r="AL185" s="3" t="str">
        <f>IFERROR(MID(VLOOKUP($B185,Seqs!$A:$B,2,0),AM185,1),"")</f>
        <v>N</v>
      </c>
      <c r="AM185" s="3">
        <v>228</v>
      </c>
      <c r="AN185" s="3" t="str">
        <f>IFERROR(MID(VLOOKUP($B185,Seqs!$A:$B,2,0),AO185,1),"")</f>
        <v>G</v>
      </c>
      <c r="AO185" s="3">
        <v>404</v>
      </c>
      <c r="AP185" s="3" t="str">
        <f>IFERROR(MID(VLOOKUP($B185,Seqs!$A:$B,2,0),AQ185,1),"")</f>
        <v>C</v>
      </c>
      <c r="AQ185" s="3">
        <v>441</v>
      </c>
      <c r="AR185" s="3" t="str">
        <f>IFERROR(MID(VLOOKUP($B185,Seqs!$A:$B,2,0),AS185,1),"")</f>
        <v>N</v>
      </c>
      <c r="AS185" s="3">
        <v>446</v>
      </c>
      <c r="AT185" s="3" t="str">
        <f>IFERROR(MID(VLOOKUP($B185,Seqs!$A:$B,2,0),AU185,1),"")</f>
        <v>C</v>
      </c>
      <c r="AU185" s="3">
        <v>471</v>
      </c>
      <c r="AV185" s="3" t="str">
        <f>IFERROR(MID(VLOOKUP($B185,Seqs!$A:$B,2,0),AW185,1),"")</f>
        <v>N</v>
      </c>
      <c r="AW185" s="3">
        <v>472</v>
      </c>
      <c r="AX185" s="3" t="str">
        <f>IFERROR(MID(VLOOKUP($B185,Seqs!$A:$B,2,0),AY185,1),"")</f>
        <v>H</v>
      </c>
      <c r="AY185" s="3">
        <v>484</v>
      </c>
      <c r="AZ185" s="77" t="str">
        <f>VLOOKUP(B185,Classification!A:D,2,0)</f>
        <v>A</v>
      </c>
      <c r="BA185" s="94" t="str">
        <f>VLOOKUP(B185,Classification!A:D,4,0)</f>
        <v>Histamine</v>
      </c>
      <c r="BB185" s="27" t="b">
        <f t="shared" si="700"/>
        <v>1</v>
      </c>
      <c r="BC185" s="23">
        <f t="shared" si="867"/>
        <v>257</v>
      </c>
      <c r="BD185" s="34" t="s">
        <v>23</v>
      </c>
      <c r="BE185" s="3" t="s">
        <v>23</v>
      </c>
      <c r="BF185" s="119" t="s">
        <v>23</v>
      </c>
      <c r="BG185" s="49" t="s">
        <v>1378</v>
      </c>
      <c r="BH185" s="49" t="s">
        <v>1383</v>
      </c>
      <c r="BI185" s="1"/>
      <c r="BJ185" s="70" t="s">
        <v>1293</v>
      </c>
      <c r="BK185" s="57" t="s">
        <v>1293</v>
      </c>
      <c r="BL185" s="57" t="s">
        <v>1293</v>
      </c>
      <c r="BM185" s="57" t="s">
        <v>1293</v>
      </c>
      <c r="BN185" s="57" t="s">
        <v>1293</v>
      </c>
      <c r="BO185" s="57" t="s">
        <v>1293</v>
      </c>
      <c r="BP185" s="57" t="s">
        <v>1293</v>
      </c>
      <c r="BQ185" s="57" t="s">
        <v>1293</v>
      </c>
      <c r="BR185" s="57" t="s">
        <v>1293</v>
      </c>
      <c r="BS185" s="57" t="s">
        <v>1293</v>
      </c>
      <c r="BT185" s="57" t="s">
        <v>1293</v>
      </c>
      <c r="BU185" s="57" t="s">
        <v>1293</v>
      </c>
      <c r="BV185" s="70">
        <f t="shared" si="868"/>
        <v>29</v>
      </c>
      <c r="BW185" s="71">
        <f t="shared" si="869"/>
        <v>56</v>
      </c>
      <c r="BX185" s="72">
        <f t="shared" si="870"/>
        <v>60</v>
      </c>
      <c r="BY185" s="71">
        <f t="shared" si="871"/>
        <v>92</v>
      </c>
      <c r="BZ185" s="72">
        <f t="shared" si="872"/>
        <v>96</v>
      </c>
      <c r="CA185" s="71">
        <f t="shared" si="873"/>
        <v>132</v>
      </c>
      <c r="CB185" s="72">
        <f t="shared" si="874"/>
        <v>140</v>
      </c>
      <c r="CC185" s="71">
        <f t="shared" si="875"/>
        <v>180</v>
      </c>
      <c r="CD185" s="72">
        <f t="shared" si="876"/>
        <v>187</v>
      </c>
      <c r="CE185" s="71">
        <f t="shared" si="877"/>
        <v>404</v>
      </c>
      <c r="CF185" s="72">
        <f t="shared" si="878"/>
        <v>446</v>
      </c>
      <c r="CG185" s="71">
        <f t="shared" si="879"/>
        <v>472</v>
      </c>
      <c r="CH185" s="70">
        <f t="shared" si="880"/>
        <v>55</v>
      </c>
      <c r="CI185" s="71">
        <f t="shared" si="881"/>
        <v>59</v>
      </c>
      <c r="CJ185" s="72">
        <f t="shared" si="882"/>
        <v>90</v>
      </c>
      <c r="CK185" s="72">
        <f t="shared" si="883"/>
        <v>95</v>
      </c>
      <c r="CL185" s="72">
        <f t="shared" si="884"/>
        <v>131</v>
      </c>
      <c r="CM185" s="72">
        <f t="shared" si="885"/>
        <v>139</v>
      </c>
      <c r="CN185" s="72">
        <f t="shared" si="886"/>
        <v>164</v>
      </c>
      <c r="CO185" s="72">
        <f t="shared" si="887"/>
        <v>182</v>
      </c>
      <c r="CP185" s="72">
        <f t="shared" si="888"/>
        <v>228</v>
      </c>
      <c r="CQ185" s="72">
        <f t="shared" si="889"/>
        <v>441</v>
      </c>
      <c r="CR185" s="72">
        <f t="shared" si="890"/>
        <v>471</v>
      </c>
      <c r="CS185" s="72">
        <f t="shared" si="891"/>
        <v>484</v>
      </c>
      <c r="CT185" s="23">
        <f t="shared" si="892"/>
        <v>1</v>
      </c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  <c r="ADW185" s="1"/>
      <c r="ADX185" s="1"/>
      <c r="ADY185" s="1"/>
      <c r="ADZ185" s="1"/>
      <c r="AEA185" s="1"/>
      <c r="AEB185" s="1"/>
      <c r="AEC185" s="1"/>
      <c r="AED185" s="1"/>
      <c r="AEE185" s="1"/>
      <c r="AEF185" s="1"/>
      <c r="AEG185" s="1"/>
      <c r="AEH185" s="1"/>
      <c r="AEI185" s="1"/>
      <c r="AEJ185" s="1"/>
      <c r="AEK185" s="1"/>
      <c r="AEL185" s="1"/>
      <c r="AEM185" s="1"/>
      <c r="AEN185" s="1"/>
      <c r="AEO185" s="1"/>
      <c r="AEP185" s="1"/>
      <c r="AEQ185" s="1"/>
      <c r="AER185" s="1"/>
      <c r="AES185" s="1"/>
      <c r="AET185" s="1"/>
      <c r="AEU185" s="1"/>
      <c r="AEV185" s="1"/>
      <c r="AEW185" s="1"/>
      <c r="AEX185" s="1"/>
      <c r="AEY185" s="1"/>
      <c r="AEZ185" s="1"/>
      <c r="AFA185" s="1"/>
      <c r="AFB185" s="1"/>
      <c r="AFC185" s="1"/>
      <c r="AFD185" s="1"/>
      <c r="AFE185" s="1"/>
      <c r="AFF185" s="1"/>
      <c r="AFG185" s="1"/>
      <c r="AFH185" s="1"/>
      <c r="AFI185" s="1"/>
      <c r="AFJ185" s="1"/>
      <c r="AFK185" s="1"/>
      <c r="AFL185" s="1"/>
      <c r="AFM185" s="1"/>
      <c r="AFN185" s="1"/>
      <c r="AFO185" s="1"/>
      <c r="AFP185" s="1"/>
      <c r="AFQ185" s="1"/>
      <c r="AFR185" s="1"/>
      <c r="AFS185" s="1"/>
      <c r="AFT185" s="1"/>
      <c r="AFU185" s="1"/>
      <c r="AFV185" s="1"/>
      <c r="AFW185" s="1"/>
      <c r="AFX185" s="1"/>
      <c r="AFY185" s="1"/>
      <c r="AFZ185" s="1"/>
      <c r="AGA185" s="1"/>
      <c r="AGB185" s="1"/>
      <c r="AGC185" s="1"/>
      <c r="AGD185" s="1"/>
      <c r="AGE185" s="1"/>
      <c r="AGF185" s="1"/>
      <c r="AGG185" s="1"/>
      <c r="AGH185" s="1"/>
      <c r="AGI185" s="1"/>
      <c r="AGJ185" s="1"/>
      <c r="AGK185" s="1"/>
      <c r="AGL185" s="1"/>
      <c r="AGM185" s="1"/>
      <c r="AGN185" s="1"/>
      <c r="AGO185" s="1"/>
      <c r="AGP185" s="1"/>
      <c r="AGQ185" s="1"/>
      <c r="AGR185" s="1"/>
      <c r="AGS185" s="1"/>
      <c r="AGT185" s="1"/>
      <c r="AGU185" s="1"/>
      <c r="AGV185" s="1"/>
      <c r="AGW185" s="1"/>
      <c r="AGX185" s="1"/>
      <c r="AGY185" s="1"/>
      <c r="AGZ185" s="1"/>
      <c r="AHA185" s="1"/>
      <c r="AHB185" s="1"/>
      <c r="AHC185" s="1"/>
      <c r="AHD185" s="1"/>
      <c r="AHE185" s="1"/>
      <c r="AHF185" s="1"/>
      <c r="AHG185" s="1"/>
      <c r="AHH185" s="1"/>
      <c r="AHI185" s="1"/>
      <c r="AHJ185" s="1"/>
      <c r="AHK185" s="1"/>
      <c r="AHL185" s="1"/>
      <c r="AHM185" s="1"/>
      <c r="AHN185" s="1"/>
      <c r="AHO185" s="1"/>
      <c r="AHP185" s="1"/>
      <c r="AHQ185" s="1"/>
      <c r="AHR185" s="1"/>
      <c r="AHS185" s="1"/>
      <c r="AHT185" s="1"/>
      <c r="AHU185" s="1"/>
      <c r="AHV185" s="1"/>
      <c r="AHW185" s="1"/>
      <c r="AHX185" s="1"/>
      <c r="AHY185" s="1"/>
      <c r="AHZ185" s="1"/>
      <c r="AIA185" s="1"/>
      <c r="AIB185" s="1"/>
      <c r="AIC185" s="1"/>
      <c r="AID185" s="1"/>
      <c r="AIE185" s="1"/>
      <c r="AIF185" s="1"/>
      <c r="AIG185" s="1"/>
      <c r="AIH185" s="1"/>
      <c r="AII185" s="1"/>
      <c r="AIJ185" s="1"/>
      <c r="AIK185" s="1"/>
      <c r="AIL185" s="1"/>
      <c r="AIM185" s="1"/>
      <c r="AIN185" s="1"/>
      <c r="AIO185" s="1"/>
      <c r="AIP185" s="1"/>
      <c r="AIQ185" s="1"/>
      <c r="AIR185" s="1"/>
      <c r="AIS185" s="1"/>
      <c r="AIT185" s="1"/>
      <c r="AIU185" s="1"/>
      <c r="AIV185" s="1"/>
      <c r="AIW185" s="1"/>
      <c r="AIX185" s="1"/>
      <c r="AIY185" s="1"/>
      <c r="AIZ185" s="1"/>
      <c r="AJA185" s="1"/>
      <c r="AJB185" s="1"/>
      <c r="AJC185" s="1"/>
      <c r="AJD185" s="1"/>
      <c r="AJE185" s="1"/>
      <c r="AJF185" s="1"/>
      <c r="AJG185" s="1"/>
      <c r="AJH185" s="1"/>
      <c r="AJI185" s="1"/>
      <c r="AJJ185" s="1"/>
      <c r="AJK185" s="1"/>
      <c r="AJL185" s="1"/>
      <c r="AJM185" s="1"/>
      <c r="AJN185" s="1"/>
      <c r="AJO185" s="1"/>
      <c r="AJP185" s="1"/>
      <c r="AJQ185" s="1"/>
      <c r="AJR185" s="1"/>
      <c r="AJS185" s="1"/>
      <c r="AJT185" s="1"/>
      <c r="AJU185" s="1"/>
      <c r="AJV185" s="1"/>
      <c r="AJW185" s="1"/>
      <c r="AJX185" s="1"/>
      <c r="AJY185" s="1"/>
      <c r="AJZ185" s="1"/>
      <c r="AKA185" s="1"/>
      <c r="AKB185" s="1"/>
      <c r="AKC185" s="1"/>
      <c r="AKD185" s="1"/>
      <c r="AKE185" s="1"/>
      <c r="AKF185" s="1"/>
      <c r="AKG185" s="1"/>
      <c r="AKH185" s="1"/>
      <c r="AKI185" s="1"/>
      <c r="AKJ185" s="1"/>
      <c r="AKK185" s="1"/>
      <c r="AKL185" s="1"/>
      <c r="AKM185" s="1"/>
      <c r="AKN185" s="1"/>
      <c r="AKO185" s="1"/>
      <c r="AKP185" s="1"/>
      <c r="AKQ185" s="1"/>
      <c r="AKR185" s="1"/>
      <c r="AKS185" s="1"/>
      <c r="AKT185" s="1"/>
      <c r="AKU185" s="1"/>
      <c r="AKV185" s="1"/>
      <c r="AKW185" s="1"/>
      <c r="AKX185" s="1"/>
      <c r="AKY185" s="1"/>
      <c r="AKZ185" s="1"/>
      <c r="ALA185" s="1"/>
      <c r="ALB185" s="1"/>
      <c r="ALC185" s="1"/>
      <c r="ALD185" s="1"/>
      <c r="ALE185" s="1"/>
      <c r="ALF185" s="1"/>
      <c r="ALG185" s="1"/>
      <c r="ALH185" s="1"/>
      <c r="ALI185" s="1"/>
      <c r="ALJ185" s="1"/>
      <c r="ALK185" s="1"/>
      <c r="ALL185" s="1"/>
      <c r="ALM185" s="1"/>
      <c r="ALN185" s="1"/>
      <c r="ALO185" s="1"/>
      <c r="ALP185" s="1"/>
      <c r="ALQ185" s="1"/>
      <c r="ALR185" s="1"/>
      <c r="ALS185" s="1"/>
      <c r="ALT185" s="1"/>
      <c r="ALU185" s="1"/>
      <c r="ALV185" s="1"/>
      <c r="ALW185" s="1"/>
      <c r="ALX185" s="1"/>
      <c r="ALY185" s="1"/>
      <c r="ALZ185" s="1"/>
      <c r="AMA185" s="1"/>
      <c r="AMB185" s="1"/>
      <c r="AMC185" s="1"/>
      <c r="AMD185" s="1"/>
      <c r="AME185" s="1"/>
      <c r="AMF185" s="1"/>
      <c r="AMG185" s="1"/>
      <c r="AMH185" s="1"/>
      <c r="AMI185" s="1"/>
      <c r="AMJ185" s="1"/>
      <c r="AMK185" s="1"/>
      <c r="AML185" s="1"/>
      <c r="AMM185" s="1"/>
      <c r="AMN185" s="1"/>
      <c r="AMO185" s="1"/>
    </row>
    <row r="186" spans="1:1029" x14ac:dyDescent="0.2">
      <c r="A186" s="3" t="str">
        <f t="shared" si="699"/>
        <v>hrh1_human_3RZE</v>
      </c>
      <c r="B186" s="3" t="s">
        <v>278</v>
      </c>
      <c r="C186" s="3" t="s">
        <v>73</v>
      </c>
      <c r="D186" s="3" t="str">
        <f>IFERROR(MID(VLOOKUP($B186,Seqs!$A:$B,2,0),E186,1),"")</f>
        <v>V</v>
      </c>
      <c r="E186" s="3">
        <v>33</v>
      </c>
      <c r="F186" s="3" t="str">
        <f>IFERROR(MID(VLOOKUP($B186,Seqs!$A:$B,2,0),G186,1),"")</f>
        <v>E</v>
      </c>
      <c r="G186" s="3">
        <v>55</v>
      </c>
      <c r="H186" s="3" t="str">
        <f>IFERROR(MID(VLOOKUP($B186,Seqs!$A:$B,2,0),I186,1),"")</f>
        <v>R</v>
      </c>
      <c r="I186" s="23">
        <v>56</v>
      </c>
      <c r="J186" s="3" t="str">
        <f>IFERROR(MID(VLOOKUP($B186,Seqs!$A:$B,2,0),K186,1),"")</f>
        <v>H</v>
      </c>
      <c r="K186" s="23">
        <v>59</v>
      </c>
      <c r="L186" s="3" t="str">
        <f>IFERROR(MID(VLOOKUP($B186,Seqs!$A:$B,2,0),M186,1),"")</f>
        <v>T</v>
      </c>
      <c r="M186" s="3">
        <v>60</v>
      </c>
      <c r="N186" s="3" t="str">
        <f>IFERROR(MID(VLOOKUP($B186,Seqs!$A:$B,2,0),O186,1),"")</f>
        <v>M</v>
      </c>
      <c r="O186" s="3">
        <v>90</v>
      </c>
      <c r="P186" s="3" t="str">
        <f>IFERROR(MID(VLOOKUP($B186,Seqs!$A:$B,2,0),Q186,1),"")</f>
        <v>K</v>
      </c>
      <c r="Q186" s="3">
        <v>92</v>
      </c>
      <c r="R186" s="3" t="str">
        <f>IFERROR(MID(VLOOKUP($B186,Seqs!$A:$B,2,0),S186,1),"")</f>
        <v>L</v>
      </c>
      <c r="S186" s="3">
        <v>95</v>
      </c>
      <c r="T186" s="3" t="str">
        <f>IFERROR(MID(VLOOKUP($B186,Seqs!$A:$B,2,0),U186,1),"")</f>
        <v>G</v>
      </c>
      <c r="U186" s="3">
        <v>96</v>
      </c>
      <c r="V186" s="3" t="str">
        <f>IFERROR(MID(VLOOKUP($B186,Seqs!$A:$B,2,0),W186,1),"")</f>
        <v>Q</v>
      </c>
      <c r="W186" s="3">
        <v>131</v>
      </c>
      <c r="X186" s="3" t="str">
        <f>IFERROR(MID(VLOOKUP($B186,Seqs!$A:$B,2,0),Y186,1),"")</f>
        <v/>
      </c>
      <c r="Y186" s="3" t="s">
        <v>23</v>
      </c>
      <c r="Z186" s="3" t="str">
        <f>IFERROR(MID(VLOOKUP($B186,Seqs!$A:$B,2,0),AA186,1),"")</f>
        <v/>
      </c>
      <c r="AA186" s="3" t="s">
        <v>23</v>
      </c>
      <c r="AB186" s="3" t="str">
        <f>IFERROR(MID(VLOOKUP($B186,Seqs!$A:$B,2,0),AC186,1),"")</f>
        <v>T</v>
      </c>
      <c r="AC186" s="9">
        <v>140</v>
      </c>
      <c r="AD186" s="3" t="str">
        <f>IFERROR(MID(VLOOKUP($B186,Seqs!$A:$B,2,0),AE186,1),"")</f>
        <v>G</v>
      </c>
      <c r="AE186" s="3">
        <v>164</v>
      </c>
      <c r="AF186" s="3" t="str">
        <f>IFERROR(MID(VLOOKUP($B186,Seqs!$A:$B,2,0),AG186,1),"")</f>
        <v>C</v>
      </c>
      <c r="AG186" s="3">
        <v>180</v>
      </c>
      <c r="AH186" s="3" t="str">
        <f>IFERROR(MID(VLOOKUP($B186,Seqs!$A:$B,2,0),AI186,1),"")</f>
        <v>T</v>
      </c>
      <c r="AI186" s="3">
        <v>182</v>
      </c>
      <c r="AJ186" s="3" t="str">
        <f>IFERROR(MID(VLOOKUP($B186,Seqs!$A:$B,2,0),AK186,1),"")</f>
        <v>V</v>
      </c>
      <c r="AK186" s="3">
        <v>187</v>
      </c>
      <c r="AL186" s="3" t="str">
        <f>IFERROR(MID(VLOOKUP($B186,Seqs!$A:$B,2,0),AM186,1),"")</f>
        <v>V</v>
      </c>
      <c r="AM186" s="3">
        <v>217</v>
      </c>
      <c r="AN186" s="3" t="str">
        <f>IFERROR(MID(VLOOKUP($B186,Seqs!$A:$B,2,0),AO186,1),"")</f>
        <v>N</v>
      </c>
      <c r="AO186" s="3">
        <v>408</v>
      </c>
      <c r="AP186" s="3" t="str">
        <f>IFERROR(MID(VLOOKUP($B186,Seqs!$A:$B,2,0),AQ186,1),"")</f>
        <v>C</v>
      </c>
      <c r="AQ186" s="3">
        <v>441</v>
      </c>
      <c r="AR186" s="3" t="str">
        <f>IFERROR(MID(VLOOKUP($B186,Seqs!$A:$B,2,0),AS186,1),"")</f>
        <v>N</v>
      </c>
      <c r="AS186" s="3">
        <v>446</v>
      </c>
      <c r="AT186" s="3" t="str">
        <f>IFERROR(MID(VLOOKUP($B186,Seqs!$A:$B,2,0),AU186,1),"")</f>
        <v>C</v>
      </c>
      <c r="AU186" s="3">
        <v>471</v>
      </c>
      <c r="AV186" s="3" t="str">
        <f>IFERROR(MID(VLOOKUP($B186,Seqs!$A:$B,2,0),AW186,1),"")</f>
        <v>N</v>
      </c>
      <c r="AW186" s="3">
        <v>472</v>
      </c>
      <c r="AX186" s="3" t="str">
        <f>IFERROR(MID(VLOOKUP($B186,Seqs!$A:$B,2,0),AY186,1),"")</f>
        <v>H</v>
      </c>
      <c r="AY186" s="3">
        <v>484</v>
      </c>
      <c r="AZ186" s="77" t="str">
        <f>VLOOKUP(B186,Classification!A:D,2,0)</f>
        <v>A</v>
      </c>
      <c r="BA186" s="94" t="str">
        <f>VLOOKUP(B186,Classification!A:D,4,0)</f>
        <v>Histamine</v>
      </c>
      <c r="BB186" s="27" t="b">
        <f t="shared" si="700"/>
        <v>1</v>
      </c>
      <c r="BC186" s="23">
        <f t="shared" si="867"/>
        <v>231</v>
      </c>
      <c r="BD186" s="16" t="s">
        <v>1382</v>
      </c>
      <c r="BE186" s="3" t="s">
        <v>1380</v>
      </c>
      <c r="BF186" s="119">
        <v>3.1</v>
      </c>
      <c r="BG186" s="49" t="s">
        <v>1383</v>
      </c>
      <c r="BH186" s="49" t="s">
        <v>1383</v>
      </c>
      <c r="BI186" s="1"/>
      <c r="BJ186" s="70" t="s">
        <v>1293</v>
      </c>
      <c r="BK186" s="57" t="s">
        <v>1293</v>
      </c>
      <c r="BL186" s="57" t="s">
        <v>1293</v>
      </c>
      <c r="BM186" s="57" t="s">
        <v>1293</v>
      </c>
      <c r="BN186" s="57" t="s">
        <v>1293</v>
      </c>
      <c r="BO186" s="57" t="s">
        <v>1293</v>
      </c>
      <c r="BP186" s="57" t="s">
        <v>1293</v>
      </c>
      <c r="BQ186" s="57" t="s">
        <v>1293</v>
      </c>
      <c r="BR186" s="57" t="s">
        <v>1293</v>
      </c>
      <c r="BS186" s="57" t="s">
        <v>1293</v>
      </c>
      <c r="BT186" s="57" t="s">
        <v>1293</v>
      </c>
      <c r="BU186" s="57" t="s">
        <v>1293</v>
      </c>
      <c r="BV186" s="70">
        <f t="shared" si="868"/>
        <v>33</v>
      </c>
      <c r="BW186" s="71">
        <f t="shared" si="869"/>
        <v>56</v>
      </c>
      <c r="BX186" s="72">
        <f t="shared" si="870"/>
        <v>60</v>
      </c>
      <c r="BY186" s="71">
        <f t="shared" si="871"/>
        <v>92</v>
      </c>
      <c r="BZ186" s="72">
        <f t="shared" si="872"/>
        <v>96</v>
      </c>
      <c r="CA186" s="71" t="str">
        <f t="shared" si="873"/>
        <v>-</v>
      </c>
      <c r="CB186" s="72">
        <f t="shared" si="874"/>
        <v>140</v>
      </c>
      <c r="CC186" s="71">
        <f t="shared" si="875"/>
        <v>180</v>
      </c>
      <c r="CD186" s="72">
        <f t="shared" si="876"/>
        <v>187</v>
      </c>
      <c r="CE186" s="71">
        <f t="shared" si="877"/>
        <v>408</v>
      </c>
      <c r="CF186" s="72">
        <f t="shared" si="878"/>
        <v>446</v>
      </c>
      <c r="CG186" s="71">
        <f t="shared" si="879"/>
        <v>472</v>
      </c>
      <c r="CH186" s="70">
        <f t="shared" si="880"/>
        <v>55</v>
      </c>
      <c r="CI186" s="71">
        <f t="shared" si="881"/>
        <v>59</v>
      </c>
      <c r="CJ186" s="72">
        <f t="shared" si="882"/>
        <v>90</v>
      </c>
      <c r="CK186" s="72">
        <f t="shared" si="883"/>
        <v>95</v>
      </c>
      <c r="CL186" s="72">
        <f t="shared" si="884"/>
        <v>131</v>
      </c>
      <c r="CM186" s="72" t="str">
        <f t="shared" si="885"/>
        <v>-</v>
      </c>
      <c r="CN186" s="72">
        <f t="shared" si="886"/>
        <v>164</v>
      </c>
      <c r="CO186" s="72">
        <f t="shared" si="887"/>
        <v>182</v>
      </c>
      <c r="CP186" s="72">
        <f t="shared" si="888"/>
        <v>217</v>
      </c>
      <c r="CQ186" s="72">
        <f t="shared" si="889"/>
        <v>441</v>
      </c>
      <c r="CR186" s="72">
        <f t="shared" si="890"/>
        <v>471</v>
      </c>
      <c r="CS186" s="72">
        <f t="shared" si="891"/>
        <v>484</v>
      </c>
      <c r="CT186" s="23">
        <f t="shared" si="892"/>
        <v>1</v>
      </c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  <c r="ADW186" s="1"/>
      <c r="ADX186" s="1"/>
      <c r="ADY186" s="1"/>
      <c r="ADZ186" s="1"/>
      <c r="AEA186" s="1"/>
      <c r="AEB186" s="1"/>
      <c r="AEC186" s="1"/>
      <c r="AED186" s="1"/>
      <c r="AEE186" s="1"/>
      <c r="AEF186" s="1"/>
      <c r="AEG186" s="1"/>
      <c r="AEH186" s="1"/>
      <c r="AEI186" s="1"/>
      <c r="AEJ186" s="1"/>
      <c r="AEK186" s="1"/>
      <c r="AEL186" s="1"/>
      <c r="AEM186" s="1"/>
      <c r="AEN186" s="1"/>
      <c r="AEO186" s="1"/>
      <c r="AEP186" s="1"/>
      <c r="AEQ186" s="1"/>
      <c r="AER186" s="1"/>
      <c r="AES186" s="1"/>
      <c r="AET186" s="1"/>
      <c r="AEU186" s="1"/>
      <c r="AEV186" s="1"/>
      <c r="AEW186" s="1"/>
      <c r="AEX186" s="1"/>
      <c r="AEY186" s="1"/>
      <c r="AEZ186" s="1"/>
      <c r="AFA186" s="1"/>
      <c r="AFB186" s="1"/>
      <c r="AFC186" s="1"/>
      <c r="AFD186" s="1"/>
      <c r="AFE186" s="1"/>
      <c r="AFF186" s="1"/>
      <c r="AFG186" s="1"/>
      <c r="AFH186" s="1"/>
      <c r="AFI186" s="1"/>
      <c r="AFJ186" s="1"/>
      <c r="AFK186" s="1"/>
      <c r="AFL186" s="1"/>
      <c r="AFM186" s="1"/>
      <c r="AFN186" s="1"/>
      <c r="AFO186" s="1"/>
      <c r="AFP186" s="1"/>
      <c r="AFQ186" s="1"/>
      <c r="AFR186" s="1"/>
      <c r="AFS186" s="1"/>
      <c r="AFT186" s="1"/>
      <c r="AFU186" s="1"/>
      <c r="AFV186" s="1"/>
      <c r="AFW186" s="1"/>
      <c r="AFX186" s="1"/>
      <c r="AFY186" s="1"/>
      <c r="AFZ186" s="1"/>
      <c r="AGA186" s="1"/>
      <c r="AGB186" s="1"/>
      <c r="AGC186" s="1"/>
      <c r="AGD186" s="1"/>
      <c r="AGE186" s="1"/>
      <c r="AGF186" s="1"/>
      <c r="AGG186" s="1"/>
      <c r="AGH186" s="1"/>
      <c r="AGI186" s="1"/>
      <c r="AGJ186" s="1"/>
      <c r="AGK186" s="1"/>
      <c r="AGL186" s="1"/>
      <c r="AGM186" s="1"/>
      <c r="AGN186" s="1"/>
      <c r="AGO186" s="1"/>
      <c r="AGP186" s="1"/>
      <c r="AGQ186" s="1"/>
      <c r="AGR186" s="1"/>
      <c r="AGS186" s="1"/>
      <c r="AGT186" s="1"/>
      <c r="AGU186" s="1"/>
      <c r="AGV186" s="1"/>
      <c r="AGW186" s="1"/>
      <c r="AGX186" s="1"/>
      <c r="AGY186" s="1"/>
      <c r="AGZ186" s="1"/>
      <c r="AHA186" s="1"/>
      <c r="AHB186" s="1"/>
      <c r="AHC186" s="1"/>
      <c r="AHD186" s="1"/>
      <c r="AHE186" s="1"/>
      <c r="AHF186" s="1"/>
      <c r="AHG186" s="1"/>
      <c r="AHH186" s="1"/>
      <c r="AHI186" s="1"/>
      <c r="AHJ186" s="1"/>
      <c r="AHK186" s="1"/>
      <c r="AHL186" s="1"/>
      <c r="AHM186" s="1"/>
      <c r="AHN186" s="1"/>
      <c r="AHO186" s="1"/>
      <c r="AHP186" s="1"/>
      <c r="AHQ186" s="1"/>
      <c r="AHR186" s="1"/>
      <c r="AHS186" s="1"/>
      <c r="AHT186" s="1"/>
      <c r="AHU186" s="1"/>
      <c r="AHV186" s="1"/>
      <c r="AHW186" s="1"/>
      <c r="AHX186" s="1"/>
      <c r="AHY186" s="1"/>
      <c r="AHZ186" s="1"/>
      <c r="AIA186" s="1"/>
      <c r="AIB186" s="1"/>
      <c r="AIC186" s="1"/>
      <c r="AID186" s="1"/>
      <c r="AIE186" s="1"/>
      <c r="AIF186" s="1"/>
      <c r="AIG186" s="1"/>
      <c r="AIH186" s="1"/>
      <c r="AII186" s="1"/>
      <c r="AIJ186" s="1"/>
      <c r="AIK186" s="1"/>
      <c r="AIL186" s="1"/>
      <c r="AIM186" s="1"/>
      <c r="AIN186" s="1"/>
      <c r="AIO186" s="1"/>
      <c r="AIP186" s="1"/>
      <c r="AIQ186" s="1"/>
      <c r="AIR186" s="1"/>
      <c r="AIS186" s="1"/>
      <c r="AIT186" s="1"/>
      <c r="AIU186" s="1"/>
      <c r="AIV186" s="1"/>
      <c r="AIW186" s="1"/>
      <c r="AIX186" s="1"/>
      <c r="AIY186" s="1"/>
      <c r="AIZ186" s="1"/>
      <c r="AJA186" s="1"/>
      <c r="AJB186" s="1"/>
      <c r="AJC186" s="1"/>
      <c r="AJD186" s="1"/>
      <c r="AJE186" s="1"/>
      <c r="AJF186" s="1"/>
      <c r="AJG186" s="1"/>
      <c r="AJH186" s="1"/>
      <c r="AJI186" s="1"/>
      <c r="AJJ186" s="1"/>
      <c r="AJK186" s="1"/>
      <c r="AJL186" s="1"/>
      <c r="AJM186" s="1"/>
      <c r="AJN186" s="1"/>
      <c r="AJO186" s="1"/>
      <c r="AJP186" s="1"/>
      <c r="AJQ186" s="1"/>
      <c r="AJR186" s="1"/>
      <c r="AJS186" s="1"/>
      <c r="AJT186" s="1"/>
      <c r="AJU186" s="1"/>
      <c r="AJV186" s="1"/>
      <c r="AJW186" s="1"/>
      <c r="AJX186" s="1"/>
      <c r="AJY186" s="1"/>
      <c r="AJZ186" s="1"/>
      <c r="AKA186" s="1"/>
      <c r="AKB186" s="1"/>
      <c r="AKC186" s="1"/>
      <c r="AKD186" s="1"/>
      <c r="AKE186" s="1"/>
      <c r="AKF186" s="1"/>
      <c r="AKG186" s="1"/>
      <c r="AKH186" s="1"/>
      <c r="AKI186" s="1"/>
      <c r="AKJ186" s="1"/>
      <c r="AKK186" s="1"/>
      <c r="AKL186" s="1"/>
      <c r="AKM186" s="1"/>
      <c r="AKN186" s="1"/>
      <c r="AKO186" s="1"/>
      <c r="AKP186" s="1"/>
      <c r="AKQ186" s="1"/>
      <c r="AKR186" s="1"/>
      <c r="AKS186" s="1"/>
      <c r="AKT186" s="1"/>
      <c r="AKU186" s="1"/>
      <c r="AKV186" s="1"/>
      <c r="AKW186" s="1"/>
      <c r="AKX186" s="1"/>
      <c r="AKY186" s="1"/>
      <c r="AKZ186" s="1"/>
      <c r="ALA186" s="1"/>
      <c r="ALB186" s="1"/>
      <c r="ALC186" s="1"/>
      <c r="ALD186" s="1"/>
      <c r="ALE186" s="1"/>
      <c r="ALF186" s="1"/>
      <c r="ALG186" s="1"/>
      <c r="ALH186" s="1"/>
      <c r="ALI186" s="1"/>
      <c r="ALJ186" s="1"/>
      <c r="ALK186" s="1"/>
      <c r="ALL186" s="1"/>
      <c r="ALM186" s="1"/>
      <c r="ALN186" s="1"/>
      <c r="ALO186" s="1"/>
      <c r="ALP186" s="1"/>
      <c r="ALQ186" s="1"/>
      <c r="ALR186" s="1"/>
      <c r="ALS186" s="1"/>
      <c r="ALT186" s="1"/>
      <c r="ALU186" s="1"/>
      <c r="ALV186" s="1"/>
      <c r="ALW186" s="1"/>
      <c r="ALX186" s="1"/>
      <c r="ALY186" s="1"/>
      <c r="ALZ186" s="1"/>
      <c r="AMA186" s="1"/>
      <c r="AMB186" s="1"/>
      <c r="AMC186" s="1"/>
      <c r="AMD186" s="1"/>
      <c r="AME186" s="1"/>
      <c r="AMF186" s="1"/>
      <c r="AMG186" s="1"/>
      <c r="AMH186" s="1"/>
      <c r="AMI186" s="1"/>
      <c r="AMJ186" s="1"/>
      <c r="AMK186" s="1"/>
      <c r="AML186" s="1"/>
      <c r="AMM186" s="1"/>
      <c r="AMN186" s="1"/>
      <c r="AMO186" s="1"/>
    </row>
    <row r="187" spans="1:1029" x14ac:dyDescent="0.2">
      <c r="A187" s="3" t="str">
        <f t="shared" ref="A187:A232" si="893">CONCATENATE(B187,"_",C187)</f>
        <v>lpar1_human__wt</v>
      </c>
      <c r="B187" s="3" t="s">
        <v>103</v>
      </c>
      <c r="C187" s="3" t="s">
        <v>100</v>
      </c>
      <c r="D187" s="3" t="str">
        <f>IFERROR(MID(VLOOKUP($B187,Seqs!$A:$B,2,0),E187,1),"")</f>
        <v>T</v>
      </c>
      <c r="E187" s="3">
        <v>47</v>
      </c>
      <c r="F187" s="3" t="str">
        <f>IFERROR(MID(VLOOKUP($B187,Seqs!$A:$B,2,0),G187,1),"")</f>
        <v>N</v>
      </c>
      <c r="G187" s="3">
        <v>77</v>
      </c>
      <c r="H187" s="3" t="str">
        <f>IFERROR(MID(VLOOKUP($B187,Seqs!$A:$B,2,0),I187,1),"")</f>
        <v>R</v>
      </c>
      <c r="I187" s="23">
        <v>78</v>
      </c>
      <c r="J187" s="3" t="str">
        <f>IFERROR(MID(VLOOKUP($B187,Seqs!$A:$B,2,0),K187,1),"")</f>
        <v>H</v>
      </c>
      <c r="K187" s="23">
        <v>81</v>
      </c>
      <c r="L187" s="3" t="str">
        <f>IFERROR(MID(VLOOKUP($B187,Seqs!$A:$B,2,0),M187,1),"")</f>
        <v>F</v>
      </c>
      <c r="M187" s="3">
        <v>82</v>
      </c>
      <c r="N187" s="3" t="str">
        <f>IFERROR(MID(VLOOKUP($B187,Seqs!$A:$B,2,0),O187,1),"")</f>
        <v>N</v>
      </c>
      <c r="O187" s="3">
        <v>108</v>
      </c>
      <c r="P187" s="3" t="str">
        <f>IFERROR(MID(VLOOKUP($B187,Seqs!$A:$B,2,0),Q187,1),"")</f>
        <v>G</v>
      </c>
      <c r="Q187" s="3">
        <v>110</v>
      </c>
      <c r="R187" s="3" t="str">
        <f>IFERROR(MID(VLOOKUP($B187,Seqs!$A:$B,2,0),S187,1),"")</f>
        <v>L</v>
      </c>
      <c r="S187" s="3">
        <v>116</v>
      </c>
      <c r="T187" s="3" t="str">
        <f>IFERROR(MID(VLOOKUP($B187,Seqs!$A:$B,2,0),U187,1),"")</f>
        <v>T</v>
      </c>
      <c r="U187" s="3">
        <v>117</v>
      </c>
      <c r="V187" s="3" t="str">
        <f>IFERROR(MID(VLOOKUP($B187,Seqs!$A:$B,2,0),W187,1),"")</f>
        <v>R</v>
      </c>
      <c r="W187" s="3">
        <v>152</v>
      </c>
      <c r="X187" s="3" t="str">
        <f>IFERROR(MID(VLOOKUP($B187,Seqs!$A:$B,2,0),Y187,1),"")</f>
        <v>M</v>
      </c>
      <c r="Y187" s="105">
        <v>153</v>
      </c>
      <c r="Z187" s="3" t="str">
        <f>IFERROR(MID(VLOOKUP($B187,Seqs!$A:$B,2,0),AA187,1),"")</f>
        <v>M</v>
      </c>
      <c r="AA187" s="105">
        <v>159</v>
      </c>
      <c r="AB187" s="3" t="str">
        <f>IFERROR(MID(VLOOKUP($B187,Seqs!$A:$B,2,0),AC187,1),"")</f>
        <v>S</v>
      </c>
      <c r="AC187" s="105">
        <v>160</v>
      </c>
      <c r="AD187" s="3" t="str">
        <f>IFERROR(MID(VLOOKUP($B187,Seqs!$A:$B,2,0),AE187,1),"")</f>
        <v>G</v>
      </c>
      <c r="AE187" s="3">
        <v>185</v>
      </c>
      <c r="AF187" s="3" t="str">
        <f>IFERROR(MID(VLOOKUP($B187,Seqs!$A:$B,2,0),AG187,1),"")</f>
        <v/>
      </c>
      <c r="AG187" s="3" t="s">
        <v>23</v>
      </c>
      <c r="AH187" s="3" t="str">
        <f>IFERROR(MID(VLOOKUP($B187,Seqs!$A:$B,2,0),AI187,1),"")</f>
        <v/>
      </c>
      <c r="AI187" s="3" t="s">
        <v>23</v>
      </c>
      <c r="AJ187" s="3" t="str">
        <f>IFERROR(MID(VLOOKUP($B187,Seqs!$A:$B,2,0),AK187,1),"")</f>
        <v>S</v>
      </c>
      <c r="AK187" s="3">
        <v>203</v>
      </c>
      <c r="AL187" s="3" t="str">
        <f>IFERROR(MID(VLOOKUP($B187,Seqs!$A:$B,2,0),AM187,1),"")</f>
        <v>S</v>
      </c>
      <c r="AM187" s="3">
        <v>240</v>
      </c>
      <c r="AN187" s="3" t="str">
        <f>IFERROR(MID(VLOOKUP($B187,Seqs!$A:$B,2,0),AO187,1),"")</f>
        <v>G</v>
      </c>
      <c r="AO187" s="3">
        <v>245</v>
      </c>
      <c r="AP187" s="3" t="str">
        <f>IFERROR(MID(VLOOKUP($B187,Seqs!$A:$B,2,0),AQ187,1),"")</f>
        <v>C</v>
      </c>
      <c r="AQ187" s="3">
        <v>284</v>
      </c>
      <c r="AR187" s="3" t="str">
        <f>IFERROR(MID(VLOOKUP($B187,Seqs!$A:$B,2,0),AS187,1),"")</f>
        <v>D</v>
      </c>
      <c r="AS187" s="3">
        <v>288</v>
      </c>
      <c r="AT187" s="3" t="str">
        <f>IFERROR(MID(VLOOKUP($B187,Seqs!$A:$B,2,0),AU187,1),"")</f>
        <v>R</v>
      </c>
      <c r="AU187" s="3">
        <v>314</v>
      </c>
      <c r="AV187" s="3" t="str">
        <f>IFERROR(MID(VLOOKUP($B187,Seqs!$A:$B,2,0),AW187,1),"")</f>
        <v>D</v>
      </c>
      <c r="AW187" s="3">
        <v>315</v>
      </c>
      <c r="AX187" s="3" t="str">
        <f>IFERROR(MID(VLOOKUP($B187,Seqs!$A:$B,2,0),AY187,1),"")</f>
        <v>C</v>
      </c>
      <c r="AY187" s="3">
        <v>327</v>
      </c>
      <c r="AZ187" s="77" t="str">
        <f>VLOOKUP(B187,Classification!A:D,2,0)</f>
        <v>A</v>
      </c>
      <c r="BA187" s="94" t="str">
        <f>VLOOKUP(B187,Classification!A:D,4,0)</f>
        <v>Lysophospholipid(LPA)</v>
      </c>
      <c r="BB187" s="27" t="b">
        <f t="shared" ref="BB187:BB232" si="894">AND(E187&lt;G187,OR(G187&lt;I187,I187="-"),OR(I187&lt;K187,I187="-"),OR(K187&lt;M187,K187="-"),M187&lt;O187,OR(O187&lt;Q187,Q187="-"),OR(Q187&lt;S187,Q187="-"),OR(S187&lt;U187,S187="-"),U187&lt;W187,OR(W187&lt;Y187,Y187="-"),OR(Y187&lt;AA187,Y187="-"),OR(AA187&lt;AC187,AA187="-"),AC187&lt;AE187,OR(AE187&lt;AG187,AG187="-"),OR(AG187&lt;AI187,AG187="-"),OR(AI187&lt;AK187,AI187="-"),AK187&lt;AM187,AM187&lt;AO187,AO187&lt;AQ187,AQ187&lt;AS187,AS187&lt;AU187,OR(AU187&lt;AW187,AW187="-"),OR(AW187&lt;AY187,AW187="-"))</f>
        <v>1</v>
      </c>
      <c r="BC187" s="23">
        <f t="shared" si="867"/>
        <v>257</v>
      </c>
      <c r="BD187" s="56" t="s">
        <v>23</v>
      </c>
      <c r="BE187" s="3" t="s">
        <v>23</v>
      </c>
      <c r="BF187" s="119" t="s">
        <v>23</v>
      </c>
      <c r="BG187" s="49" t="s">
        <v>1378</v>
      </c>
      <c r="BH187" s="49" t="s">
        <v>1383</v>
      </c>
      <c r="BI187" s="1"/>
      <c r="BJ187" s="70" t="s">
        <v>1293</v>
      </c>
      <c r="BK187" s="57" t="s">
        <v>1293</v>
      </c>
      <c r="BL187" s="57" t="s">
        <v>1293</v>
      </c>
      <c r="BM187" s="57" t="s">
        <v>1293</v>
      </c>
      <c r="BN187" s="57" t="s">
        <v>1293</v>
      </c>
      <c r="BO187" s="57" t="s">
        <v>1293</v>
      </c>
      <c r="BP187" s="57" t="s">
        <v>1293</v>
      </c>
      <c r="BQ187" s="57" t="s">
        <v>1293</v>
      </c>
      <c r="BR187" s="57" t="s">
        <v>1293</v>
      </c>
      <c r="BS187" s="57" t="s">
        <v>1293</v>
      </c>
      <c r="BT187" s="57" t="s">
        <v>1293</v>
      </c>
      <c r="BU187" s="57" t="s">
        <v>1293</v>
      </c>
      <c r="BV187" s="70">
        <f t="shared" si="868"/>
        <v>47</v>
      </c>
      <c r="BW187" s="71">
        <f t="shared" si="869"/>
        <v>78</v>
      </c>
      <c r="BX187" s="72">
        <f t="shared" si="870"/>
        <v>82</v>
      </c>
      <c r="BY187" s="71">
        <f t="shared" si="871"/>
        <v>110</v>
      </c>
      <c r="BZ187" s="72">
        <f t="shared" si="872"/>
        <v>117</v>
      </c>
      <c r="CA187" s="71">
        <f t="shared" si="873"/>
        <v>153</v>
      </c>
      <c r="CB187" s="72">
        <f t="shared" si="874"/>
        <v>160</v>
      </c>
      <c r="CC187" s="71" t="str">
        <f t="shared" si="875"/>
        <v>-</v>
      </c>
      <c r="CD187" s="72">
        <f t="shared" si="876"/>
        <v>203</v>
      </c>
      <c r="CE187" s="71">
        <f t="shared" si="877"/>
        <v>245</v>
      </c>
      <c r="CF187" s="72">
        <f t="shared" si="878"/>
        <v>288</v>
      </c>
      <c r="CG187" s="71">
        <f t="shared" si="879"/>
        <v>315</v>
      </c>
      <c r="CH187" s="70">
        <f t="shared" si="880"/>
        <v>77</v>
      </c>
      <c r="CI187" s="71">
        <f t="shared" si="881"/>
        <v>81</v>
      </c>
      <c r="CJ187" s="72">
        <f t="shared" si="882"/>
        <v>108</v>
      </c>
      <c r="CK187" s="72">
        <f t="shared" si="883"/>
        <v>116</v>
      </c>
      <c r="CL187" s="72">
        <f t="shared" si="884"/>
        <v>152</v>
      </c>
      <c r="CM187" s="72">
        <f t="shared" si="885"/>
        <v>159</v>
      </c>
      <c r="CN187" s="72">
        <f t="shared" si="886"/>
        <v>185</v>
      </c>
      <c r="CO187" s="72" t="str">
        <f t="shared" si="887"/>
        <v>-</v>
      </c>
      <c r="CP187" s="72">
        <f t="shared" si="888"/>
        <v>240</v>
      </c>
      <c r="CQ187" s="72">
        <f t="shared" si="889"/>
        <v>284</v>
      </c>
      <c r="CR187" s="72">
        <f t="shared" si="890"/>
        <v>314</v>
      </c>
      <c r="CS187" s="72">
        <f t="shared" si="891"/>
        <v>327</v>
      </c>
      <c r="CT187" s="23">
        <f t="shared" si="892"/>
        <v>1</v>
      </c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  <c r="ADW187" s="1"/>
      <c r="ADX187" s="1"/>
      <c r="ADY187" s="1"/>
      <c r="ADZ187" s="1"/>
      <c r="AEA187" s="1"/>
      <c r="AEB187" s="1"/>
      <c r="AEC187" s="1"/>
      <c r="AED187" s="1"/>
      <c r="AEE187" s="1"/>
      <c r="AEF187" s="1"/>
      <c r="AEG187" s="1"/>
      <c r="AEH187" s="1"/>
      <c r="AEI187" s="1"/>
      <c r="AEJ187" s="1"/>
      <c r="AEK187" s="1"/>
      <c r="AEL187" s="1"/>
      <c r="AEM187" s="1"/>
      <c r="AEN187" s="1"/>
      <c r="AEO187" s="1"/>
      <c r="AEP187" s="1"/>
      <c r="AEQ187" s="1"/>
      <c r="AER187" s="1"/>
      <c r="AES187" s="1"/>
      <c r="AET187" s="1"/>
      <c r="AEU187" s="1"/>
      <c r="AEV187" s="1"/>
      <c r="AEW187" s="1"/>
      <c r="AEX187" s="1"/>
      <c r="AEY187" s="1"/>
      <c r="AEZ187" s="1"/>
      <c r="AFA187" s="1"/>
      <c r="AFB187" s="1"/>
      <c r="AFC187" s="1"/>
      <c r="AFD187" s="1"/>
      <c r="AFE187" s="1"/>
      <c r="AFF187" s="1"/>
      <c r="AFG187" s="1"/>
      <c r="AFH187" s="1"/>
      <c r="AFI187" s="1"/>
      <c r="AFJ187" s="1"/>
      <c r="AFK187" s="1"/>
      <c r="AFL187" s="1"/>
      <c r="AFM187" s="1"/>
      <c r="AFN187" s="1"/>
      <c r="AFO187" s="1"/>
      <c r="AFP187" s="1"/>
      <c r="AFQ187" s="1"/>
      <c r="AFR187" s="1"/>
      <c r="AFS187" s="1"/>
      <c r="AFT187" s="1"/>
      <c r="AFU187" s="1"/>
      <c r="AFV187" s="1"/>
      <c r="AFW187" s="1"/>
      <c r="AFX187" s="1"/>
      <c r="AFY187" s="1"/>
      <c r="AFZ187" s="1"/>
      <c r="AGA187" s="1"/>
      <c r="AGB187" s="1"/>
      <c r="AGC187" s="1"/>
      <c r="AGD187" s="1"/>
      <c r="AGE187" s="1"/>
      <c r="AGF187" s="1"/>
      <c r="AGG187" s="1"/>
      <c r="AGH187" s="1"/>
      <c r="AGI187" s="1"/>
      <c r="AGJ187" s="1"/>
      <c r="AGK187" s="1"/>
      <c r="AGL187" s="1"/>
      <c r="AGM187" s="1"/>
      <c r="AGN187" s="1"/>
      <c r="AGO187" s="1"/>
      <c r="AGP187" s="1"/>
      <c r="AGQ187" s="1"/>
      <c r="AGR187" s="1"/>
      <c r="AGS187" s="1"/>
      <c r="AGT187" s="1"/>
      <c r="AGU187" s="1"/>
      <c r="AGV187" s="1"/>
      <c r="AGW187" s="1"/>
      <c r="AGX187" s="1"/>
      <c r="AGY187" s="1"/>
      <c r="AGZ187" s="1"/>
      <c r="AHA187" s="1"/>
      <c r="AHB187" s="1"/>
      <c r="AHC187" s="1"/>
      <c r="AHD187" s="1"/>
      <c r="AHE187" s="1"/>
      <c r="AHF187" s="1"/>
      <c r="AHG187" s="1"/>
      <c r="AHH187" s="1"/>
      <c r="AHI187" s="1"/>
      <c r="AHJ187" s="1"/>
      <c r="AHK187" s="1"/>
      <c r="AHL187" s="1"/>
      <c r="AHM187" s="1"/>
      <c r="AHN187" s="1"/>
      <c r="AHO187" s="1"/>
      <c r="AHP187" s="1"/>
      <c r="AHQ187" s="1"/>
      <c r="AHR187" s="1"/>
      <c r="AHS187" s="1"/>
      <c r="AHT187" s="1"/>
      <c r="AHU187" s="1"/>
      <c r="AHV187" s="1"/>
      <c r="AHW187" s="1"/>
      <c r="AHX187" s="1"/>
      <c r="AHY187" s="1"/>
      <c r="AHZ187" s="1"/>
      <c r="AIA187" s="1"/>
      <c r="AIB187" s="1"/>
      <c r="AIC187" s="1"/>
      <c r="AID187" s="1"/>
      <c r="AIE187" s="1"/>
      <c r="AIF187" s="1"/>
      <c r="AIG187" s="1"/>
      <c r="AIH187" s="1"/>
      <c r="AII187" s="1"/>
      <c r="AIJ187" s="1"/>
      <c r="AIK187" s="1"/>
      <c r="AIL187" s="1"/>
      <c r="AIM187" s="1"/>
      <c r="AIN187" s="1"/>
      <c r="AIO187" s="1"/>
      <c r="AIP187" s="1"/>
      <c r="AIQ187" s="1"/>
      <c r="AIR187" s="1"/>
      <c r="AIS187" s="1"/>
      <c r="AIT187" s="1"/>
      <c r="AIU187" s="1"/>
      <c r="AIV187" s="1"/>
      <c r="AIW187" s="1"/>
      <c r="AIX187" s="1"/>
      <c r="AIY187" s="1"/>
      <c r="AIZ187" s="1"/>
      <c r="AJA187" s="1"/>
      <c r="AJB187" s="1"/>
      <c r="AJC187" s="1"/>
      <c r="AJD187" s="1"/>
      <c r="AJE187" s="1"/>
      <c r="AJF187" s="1"/>
      <c r="AJG187" s="1"/>
      <c r="AJH187" s="1"/>
      <c r="AJI187" s="1"/>
      <c r="AJJ187" s="1"/>
      <c r="AJK187" s="1"/>
      <c r="AJL187" s="1"/>
      <c r="AJM187" s="1"/>
      <c r="AJN187" s="1"/>
      <c r="AJO187" s="1"/>
      <c r="AJP187" s="1"/>
      <c r="AJQ187" s="1"/>
      <c r="AJR187" s="1"/>
      <c r="AJS187" s="1"/>
      <c r="AJT187" s="1"/>
      <c r="AJU187" s="1"/>
      <c r="AJV187" s="1"/>
      <c r="AJW187" s="1"/>
      <c r="AJX187" s="1"/>
      <c r="AJY187" s="1"/>
      <c r="AJZ187" s="1"/>
      <c r="AKA187" s="1"/>
      <c r="AKB187" s="1"/>
      <c r="AKC187" s="1"/>
      <c r="AKD187" s="1"/>
      <c r="AKE187" s="1"/>
      <c r="AKF187" s="1"/>
      <c r="AKG187" s="1"/>
      <c r="AKH187" s="1"/>
      <c r="AKI187" s="1"/>
      <c r="AKJ187" s="1"/>
      <c r="AKK187" s="1"/>
      <c r="AKL187" s="1"/>
      <c r="AKM187" s="1"/>
      <c r="AKN187" s="1"/>
      <c r="AKO187" s="1"/>
      <c r="AKP187" s="1"/>
      <c r="AKQ187" s="1"/>
      <c r="AKR187" s="1"/>
      <c r="AKS187" s="1"/>
      <c r="AKT187" s="1"/>
      <c r="AKU187" s="1"/>
      <c r="AKV187" s="1"/>
      <c r="AKW187" s="1"/>
      <c r="AKX187" s="1"/>
      <c r="AKY187" s="1"/>
      <c r="AKZ187" s="1"/>
      <c r="ALA187" s="1"/>
      <c r="ALB187" s="1"/>
      <c r="ALC187" s="1"/>
      <c r="ALD187" s="1"/>
      <c r="ALE187" s="1"/>
      <c r="ALF187" s="1"/>
      <c r="ALG187" s="1"/>
      <c r="ALH187" s="1"/>
      <c r="ALI187" s="1"/>
      <c r="ALJ187" s="1"/>
      <c r="ALK187" s="1"/>
      <c r="ALL187" s="1"/>
      <c r="ALM187" s="1"/>
      <c r="ALN187" s="1"/>
      <c r="ALO187" s="1"/>
      <c r="ALP187" s="1"/>
      <c r="ALQ187" s="1"/>
      <c r="ALR187" s="1"/>
      <c r="ALS187" s="1"/>
      <c r="ALT187" s="1"/>
      <c r="ALU187" s="1"/>
      <c r="ALV187" s="1"/>
      <c r="ALW187" s="1"/>
      <c r="ALX187" s="1"/>
      <c r="ALY187" s="1"/>
      <c r="ALZ187" s="1"/>
      <c r="AMA187" s="1"/>
      <c r="AMB187" s="1"/>
      <c r="AMC187" s="1"/>
      <c r="AMD187" s="1"/>
      <c r="AME187" s="1"/>
      <c r="AMF187" s="1"/>
      <c r="AMG187" s="1"/>
      <c r="AMH187" s="1"/>
      <c r="AMI187" s="1"/>
      <c r="AMJ187" s="1"/>
      <c r="AMK187" s="1"/>
      <c r="AML187" s="1"/>
      <c r="AMM187" s="1"/>
      <c r="AMN187" s="1"/>
      <c r="AMO187" s="1"/>
    </row>
    <row r="188" spans="1:1029" x14ac:dyDescent="0.2">
      <c r="A188" s="3" t="str">
        <f t="shared" si="893"/>
        <v>lpar1_human_4Z34</v>
      </c>
      <c r="B188" s="3" t="s">
        <v>103</v>
      </c>
      <c r="C188" s="3" t="s">
        <v>1057</v>
      </c>
      <c r="D188" s="3" t="str">
        <f>IFERROR(MID(VLOOKUP($B188,Seqs!$A:$B,2,0),E188,1),"")</f>
        <v>T</v>
      </c>
      <c r="E188" s="3">
        <v>47</v>
      </c>
      <c r="F188" s="3" t="str">
        <f>IFERROR(MID(VLOOKUP($B188,Seqs!$A:$B,2,0),G188,1),"")</f>
        <v>N</v>
      </c>
      <c r="G188" s="3">
        <v>77</v>
      </c>
      <c r="H188" s="3" t="str">
        <f>IFERROR(MID(VLOOKUP($B188,Seqs!$A:$B,2,0),I188,1),"")</f>
        <v>R</v>
      </c>
      <c r="I188" s="23">
        <v>78</v>
      </c>
      <c r="J188" s="3" t="str">
        <f>IFERROR(MID(VLOOKUP($B188,Seqs!$A:$B,2,0),K188,1),"")</f>
        <v>H</v>
      </c>
      <c r="K188" s="23">
        <v>81</v>
      </c>
      <c r="L188" s="3" t="str">
        <f>IFERROR(MID(VLOOKUP($B188,Seqs!$A:$B,2,0),M188,1),"")</f>
        <v>F</v>
      </c>
      <c r="M188" s="3">
        <v>82</v>
      </c>
      <c r="N188" s="3" t="str">
        <f>IFERROR(MID(VLOOKUP($B188,Seqs!$A:$B,2,0),O188,1),"")</f>
        <v>N</v>
      </c>
      <c r="O188" s="3">
        <v>108</v>
      </c>
      <c r="P188" s="3" t="str">
        <f>IFERROR(MID(VLOOKUP($B188,Seqs!$A:$B,2,0),Q188,1),"")</f>
        <v>G</v>
      </c>
      <c r="Q188" s="3">
        <v>110</v>
      </c>
      <c r="R188" s="3" t="str">
        <f>IFERROR(MID(VLOOKUP($B188,Seqs!$A:$B,2,0),S188,1),"")</f>
        <v>L</v>
      </c>
      <c r="S188" s="3">
        <v>116</v>
      </c>
      <c r="T188" s="3" t="str">
        <f>IFERROR(MID(VLOOKUP($B188,Seqs!$A:$B,2,0),U188,1),"")</f>
        <v>T</v>
      </c>
      <c r="U188" s="3">
        <v>117</v>
      </c>
      <c r="V188" s="3" t="str">
        <f>IFERROR(MID(VLOOKUP($B188,Seqs!$A:$B,2,0),W188,1),"")</f>
        <v>R</v>
      </c>
      <c r="W188" s="3">
        <v>152</v>
      </c>
      <c r="X188" s="3" t="str">
        <f>IFERROR(MID(VLOOKUP($B188,Seqs!$A:$B,2,0),Y188,1),"")</f>
        <v/>
      </c>
      <c r="Y188" s="3" t="s">
        <v>23</v>
      </c>
      <c r="Z188" s="3" t="str">
        <f>IFERROR(MID(VLOOKUP($B188,Seqs!$A:$B,2,0),AA188,1),"")</f>
        <v/>
      </c>
      <c r="AA188" s="3" t="s">
        <v>23</v>
      </c>
      <c r="AB188" s="3" t="str">
        <f>IFERROR(MID(VLOOKUP($B188,Seqs!$A:$B,2,0),AC188,1),"")</f>
        <v>T</v>
      </c>
      <c r="AC188" s="9">
        <v>157</v>
      </c>
      <c r="AD188" s="3" t="str">
        <f>IFERROR(MID(VLOOKUP($B188,Seqs!$A:$B,2,0),AE188,1),"")</f>
        <v>G</v>
      </c>
      <c r="AE188" s="3">
        <v>185</v>
      </c>
      <c r="AF188" s="3" t="str">
        <f>IFERROR(MID(VLOOKUP($B188,Seqs!$A:$B,2,0),AG188,1),"")</f>
        <v/>
      </c>
      <c r="AG188" s="3" t="s">
        <v>23</v>
      </c>
      <c r="AH188" s="3" t="str">
        <f>IFERROR(MID(VLOOKUP($B188,Seqs!$A:$B,2,0),AI188,1),"")</f>
        <v/>
      </c>
      <c r="AI188" s="3" t="s">
        <v>23</v>
      </c>
      <c r="AJ188" s="3" t="str">
        <f>IFERROR(MID(VLOOKUP($B188,Seqs!$A:$B,2,0),AK188,1),"")</f>
        <v>S</v>
      </c>
      <c r="AK188" s="3">
        <v>203</v>
      </c>
      <c r="AL188" s="3" t="str">
        <f>IFERROR(MID(VLOOKUP($B188,Seqs!$A:$B,2,0),AM188,1),"")</f>
        <v>R</v>
      </c>
      <c r="AM188" s="3">
        <v>235</v>
      </c>
      <c r="AN188" s="3" t="str">
        <f>IFERROR(MID(VLOOKUP($B188,Seqs!$A:$B,2,0),AO188,1),"")</f>
        <v>G</v>
      </c>
      <c r="AO188" s="3">
        <v>245</v>
      </c>
      <c r="AP188" s="3" t="str">
        <f>IFERROR(MID(VLOOKUP($B188,Seqs!$A:$B,2,0),AQ188,1),"")</f>
        <v>C</v>
      </c>
      <c r="AQ188" s="3">
        <v>284</v>
      </c>
      <c r="AR188" s="3" t="str">
        <f>IFERROR(MID(VLOOKUP($B188,Seqs!$A:$B,2,0),AS188,1),"")</f>
        <v>E</v>
      </c>
      <c r="AS188" s="3">
        <v>293</v>
      </c>
      <c r="AT188" s="3" t="str">
        <f>IFERROR(MID(VLOOKUP($B188,Seqs!$A:$B,2,0),AU188,1),"")</f>
        <v>R</v>
      </c>
      <c r="AU188" s="3">
        <v>314</v>
      </c>
      <c r="AV188" s="3" t="str">
        <f>IFERROR(MID(VLOOKUP($B188,Seqs!$A:$B,2,0),AW188,1),"")</f>
        <v>D</v>
      </c>
      <c r="AW188" s="3">
        <v>315</v>
      </c>
      <c r="AX188" s="3" t="str">
        <f>IFERROR(MID(VLOOKUP($B188,Seqs!$A:$B,2,0),AY188,1),"")</f>
        <v>C</v>
      </c>
      <c r="AY188" s="3">
        <v>327</v>
      </c>
      <c r="AZ188" s="77" t="str">
        <f>VLOOKUP(B188,Classification!A:D,2,0)</f>
        <v>A</v>
      </c>
      <c r="BA188" s="94" t="str">
        <f>VLOOKUP(B188,Classification!A:D,4,0)</f>
        <v>Lysophospholipid(LPA)</v>
      </c>
      <c r="BB188" s="27" t="b">
        <f t="shared" si="894"/>
        <v>1</v>
      </c>
      <c r="BC188" s="23">
        <f t="shared" si="867"/>
        <v>244</v>
      </c>
      <c r="BD188" s="16" t="s">
        <v>23</v>
      </c>
      <c r="BE188" s="3" t="s">
        <v>1380</v>
      </c>
      <c r="BF188" s="119">
        <v>3</v>
      </c>
      <c r="BG188" s="49" t="s">
        <v>1383</v>
      </c>
      <c r="BH188" s="49" t="s">
        <v>1383</v>
      </c>
      <c r="BI188" s="1"/>
      <c r="BJ188" s="70" t="s">
        <v>1293</v>
      </c>
      <c r="BK188" s="57" t="s">
        <v>1293</v>
      </c>
      <c r="BL188" s="57" t="s">
        <v>1293</v>
      </c>
      <c r="BM188" s="57" t="s">
        <v>1293</v>
      </c>
      <c r="BN188" s="57" t="s">
        <v>1293</v>
      </c>
      <c r="BO188" s="57" t="s">
        <v>1293</v>
      </c>
      <c r="BP188" s="57" t="s">
        <v>1293</v>
      </c>
      <c r="BQ188" s="57" t="s">
        <v>1293</v>
      </c>
      <c r="BR188" s="57" t="s">
        <v>1293</v>
      </c>
      <c r="BS188" s="57" t="s">
        <v>1293</v>
      </c>
      <c r="BT188" s="57" t="s">
        <v>1293</v>
      </c>
      <c r="BU188" s="57" t="s">
        <v>1293</v>
      </c>
      <c r="BV188" s="70">
        <f t="shared" si="868"/>
        <v>47</v>
      </c>
      <c r="BW188" s="71">
        <f t="shared" si="869"/>
        <v>78</v>
      </c>
      <c r="BX188" s="72">
        <f t="shared" si="870"/>
        <v>82</v>
      </c>
      <c r="BY188" s="71">
        <f t="shared" si="871"/>
        <v>110</v>
      </c>
      <c r="BZ188" s="72">
        <f t="shared" si="872"/>
        <v>117</v>
      </c>
      <c r="CA188" s="71" t="str">
        <f t="shared" si="873"/>
        <v>-</v>
      </c>
      <c r="CB188" s="72">
        <f t="shared" si="874"/>
        <v>157</v>
      </c>
      <c r="CC188" s="71" t="str">
        <f t="shared" si="875"/>
        <v>-</v>
      </c>
      <c r="CD188" s="72">
        <f t="shared" si="876"/>
        <v>203</v>
      </c>
      <c r="CE188" s="71">
        <f t="shared" si="877"/>
        <v>245</v>
      </c>
      <c r="CF188" s="72">
        <f t="shared" si="878"/>
        <v>293</v>
      </c>
      <c r="CG188" s="71">
        <f t="shared" si="879"/>
        <v>315</v>
      </c>
      <c r="CH188" s="70">
        <f t="shared" si="880"/>
        <v>77</v>
      </c>
      <c r="CI188" s="71">
        <f t="shared" si="881"/>
        <v>81</v>
      </c>
      <c r="CJ188" s="72">
        <f t="shared" si="882"/>
        <v>108</v>
      </c>
      <c r="CK188" s="72">
        <f t="shared" si="883"/>
        <v>116</v>
      </c>
      <c r="CL188" s="72">
        <f t="shared" si="884"/>
        <v>152</v>
      </c>
      <c r="CM188" s="72" t="str">
        <f t="shared" si="885"/>
        <v>-</v>
      </c>
      <c r="CN188" s="72">
        <f t="shared" si="886"/>
        <v>185</v>
      </c>
      <c r="CO188" s="72" t="str">
        <f t="shared" si="887"/>
        <v>-</v>
      </c>
      <c r="CP188" s="72">
        <f t="shared" si="888"/>
        <v>235</v>
      </c>
      <c r="CQ188" s="72">
        <f t="shared" si="889"/>
        <v>284</v>
      </c>
      <c r="CR188" s="72">
        <f t="shared" si="890"/>
        <v>314</v>
      </c>
      <c r="CS188" s="72">
        <f t="shared" si="891"/>
        <v>327</v>
      </c>
      <c r="CT188" s="23">
        <f t="shared" si="892"/>
        <v>1</v>
      </c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  <c r="ADW188" s="1"/>
      <c r="ADX188" s="1"/>
      <c r="ADY188" s="1"/>
      <c r="ADZ188" s="1"/>
      <c r="AEA188" s="1"/>
      <c r="AEB188" s="1"/>
      <c r="AEC188" s="1"/>
      <c r="AED188" s="1"/>
      <c r="AEE188" s="1"/>
      <c r="AEF188" s="1"/>
      <c r="AEG188" s="1"/>
      <c r="AEH188" s="1"/>
      <c r="AEI188" s="1"/>
      <c r="AEJ188" s="1"/>
      <c r="AEK188" s="1"/>
      <c r="AEL188" s="1"/>
      <c r="AEM188" s="1"/>
      <c r="AEN188" s="1"/>
      <c r="AEO188" s="1"/>
      <c r="AEP188" s="1"/>
      <c r="AEQ188" s="1"/>
      <c r="AER188" s="1"/>
      <c r="AES188" s="1"/>
      <c r="AET188" s="1"/>
      <c r="AEU188" s="1"/>
      <c r="AEV188" s="1"/>
      <c r="AEW188" s="1"/>
      <c r="AEX188" s="1"/>
      <c r="AEY188" s="1"/>
      <c r="AEZ188" s="1"/>
      <c r="AFA188" s="1"/>
      <c r="AFB188" s="1"/>
      <c r="AFC188" s="1"/>
      <c r="AFD188" s="1"/>
      <c r="AFE188" s="1"/>
      <c r="AFF188" s="1"/>
      <c r="AFG188" s="1"/>
      <c r="AFH188" s="1"/>
      <c r="AFI188" s="1"/>
      <c r="AFJ188" s="1"/>
      <c r="AFK188" s="1"/>
      <c r="AFL188" s="1"/>
      <c r="AFM188" s="1"/>
      <c r="AFN188" s="1"/>
      <c r="AFO188" s="1"/>
      <c r="AFP188" s="1"/>
      <c r="AFQ188" s="1"/>
      <c r="AFR188" s="1"/>
      <c r="AFS188" s="1"/>
      <c r="AFT188" s="1"/>
      <c r="AFU188" s="1"/>
      <c r="AFV188" s="1"/>
      <c r="AFW188" s="1"/>
      <c r="AFX188" s="1"/>
      <c r="AFY188" s="1"/>
      <c r="AFZ188" s="1"/>
      <c r="AGA188" s="1"/>
      <c r="AGB188" s="1"/>
      <c r="AGC188" s="1"/>
      <c r="AGD188" s="1"/>
      <c r="AGE188" s="1"/>
      <c r="AGF188" s="1"/>
      <c r="AGG188" s="1"/>
      <c r="AGH188" s="1"/>
      <c r="AGI188" s="1"/>
      <c r="AGJ188" s="1"/>
      <c r="AGK188" s="1"/>
      <c r="AGL188" s="1"/>
      <c r="AGM188" s="1"/>
      <c r="AGN188" s="1"/>
      <c r="AGO188" s="1"/>
      <c r="AGP188" s="1"/>
      <c r="AGQ188" s="1"/>
      <c r="AGR188" s="1"/>
      <c r="AGS188" s="1"/>
      <c r="AGT188" s="1"/>
      <c r="AGU188" s="1"/>
      <c r="AGV188" s="1"/>
      <c r="AGW188" s="1"/>
      <c r="AGX188" s="1"/>
      <c r="AGY188" s="1"/>
      <c r="AGZ188" s="1"/>
      <c r="AHA188" s="1"/>
      <c r="AHB188" s="1"/>
      <c r="AHC188" s="1"/>
      <c r="AHD188" s="1"/>
      <c r="AHE188" s="1"/>
      <c r="AHF188" s="1"/>
      <c r="AHG188" s="1"/>
      <c r="AHH188" s="1"/>
      <c r="AHI188" s="1"/>
      <c r="AHJ188" s="1"/>
      <c r="AHK188" s="1"/>
      <c r="AHL188" s="1"/>
      <c r="AHM188" s="1"/>
      <c r="AHN188" s="1"/>
      <c r="AHO188" s="1"/>
      <c r="AHP188" s="1"/>
      <c r="AHQ188" s="1"/>
      <c r="AHR188" s="1"/>
      <c r="AHS188" s="1"/>
      <c r="AHT188" s="1"/>
      <c r="AHU188" s="1"/>
      <c r="AHV188" s="1"/>
      <c r="AHW188" s="1"/>
      <c r="AHX188" s="1"/>
      <c r="AHY188" s="1"/>
      <c r="AHZ188" s="1"/>
      <c r="AIA188" s="1"/>
      <c r="AIB188" s="1"/>
      <c r="AIC188" s="1"/>
      <c r="AID188" s="1"/>
      <c r="AIE188" s="1"/>
      <c r="AIF188" s="1"/>
      <c r="AIG188" s="1"/>
      <c r="AIH188" s="1"/>
      <c r="AII188" s="1"/>
      <c r="AIJ188" s="1"/>
      <c r="AIK188" s="1"/>
      <c r="AIL188" s="1"/>
      <c r="AIM188" s="1"/>
      <c r="AIN188" s="1"/>
      <c r="AIO188" s="1"/>
      <c r="AIP188" s="1"/>
      <c r="AIQ188" s="1"/>
      <c r="AIR188" s="1"/>
      <c r="AIS188" s="1"/>
      <c r="AIT188" s="1"/>
      <c r="AIU188" s="1"/>
      <c r="AIV188" s="1"/>
      <c r="AIW188" s="1"/>
      <c r="AIX188" s="1"/>
      <c r="AIY188" s="1"/>
      <c r="AIZ188" s="1"/>
      <c r="AJA188" s="1"/>
      <c r="AJB188" s="1"/>
      <c r="AJC188" s="1"/>
      <c r="AJD188" s="1"/>
      <c r="AJE188" s="1"/>
      <c r="AJF188" s="1"/>
      <c r="AJG188" s="1"/>
      <c r="AJH188" s="1"/>
      <c r="AJI188" s="1"/>
      <c r="AJJ188" s="1"/>
      <c r="AJK188" s="1"/>
      <c r="AJL188" s="1"/>
      <c r="AJM188" s="1"/>
      <c r="AJN188" s="1"/>
      <c r="AJO188" s="1"/>
      <c r="AJP188" s="1"/>
      <c r="AJQ188" s="1"/>
      <c r="AJR188" s="1"/>
      <c r="AJS188" s="1"/>
      <c r="AJT188" s="1"/>
      <c r="AJU188" s="1"/>
      <c r="AJV188" s="1"/>
      <c r="AJW188" s="1"/>
      <c r="AJX188" s="1"/>
      <c r="AJY188" s="1"/>
      <c r="AJZ188" s="1"/>
      <c r="AKA188" s="1"/>
      <c r="AKB188" s="1"/>
      <c r="AKC188" s="1"/>
      <c r="AKD188" s="1"/>
      <c r="AKE188" s="1"/>
      <c r="AKF188" s="1"/>
      <c r="AKG188" s="1"/>
      <c r="AKH188" s="1"/>
      <c r="AKI188" s="1"/>
      <c r="AKJ188" s="1"/>
      <c r="AKK188" s="1"/>
      <c r="AKL188" s="1"/>
      <c r="AKM188" s="1"/>
      <c r="AKN188" s="1"/>
      <c r="AKO188" s="1"/>
      <c r="AKP188" s="1"/>
      <c r="AKQ188" s="1"/>
      <c r="AKR188" s="1"/>
      <c r="AKS188" s="1"/>
      <c r="AKT188" s="1"/>
      <c r="AKU188" s="1"/>
      <c r="AKV188" s="1"/>
      <c r="AKW188" s="1"/>
      <c r="AKX188" s="1"/>
      <c r="AKY188" s="1"/>
      <c r="AKZ188" s="1"/>
      <c r="ALA188" s="1"/>
      <c r="ALB188" s="1"/>
      <c r="ALC188" s="1"/>
      <c r="ALD188" s="1"/>
      <c r="ALE188" s="1"/>
      <c r="ALF188" s="1"/>
      <c r="ALG188" s="1"/>
      <c r="ALH188" s="1"/>
      <c r="ALI188" s="1"/>
      <c r="ALJ188" s="1"/>
      <c r="ALK188" s="1"/>
      <c r="ALL188" s="1"/>
      <c r="ALM188" s="1"/>
      <c r="ALN188" s="1"/>
      <c r="ALO188" s="1"/>
      <c r="ALP188" s="1"/>
      <c r="ALQ188" s="1"/>
      <c r="ALR188" s="1"/>
      <c r="ALS188" s="1"/>
      <c r="ALT188" s="1"/>
      <c r="ALU188" s="1"/>
      <c r="ALV188" s="1"/>
      <c r="ALW188" s="1"/>
      <c r="ALX188" s="1"/>
      <c r="ALY188" s="1"/>
      <c r="ALZ188" s="1"/>
      <c r="AMA188" s="1"/>
      <c r="AMB188" s="1"/>
      <c r="AMC188" s="1"/>
      <c r="AMD188" s="1"/>
      <c r="AME188" s="1"/>
      <c r="AMF188" s="1"/>
      <c r="AMG188" s="1"/>
      <c r="AMH188" s="1"/>
      <c r="AMI188" s="1"/>
      <c r="AMJ188" s="1"/>
      <c r="AMK188" s="1"/>
      <c r="AML188" s="1"/>
      <c r="AMM188" s="1"/>
      <c r="AMN188" s="1"/>
      <c r="AMO188" s="1"/>
    </row>
    <row r="189" spans="1:1029" x14ac:dyDescent="0.2">
      <c r="A189" s="3" t="str">
        <f t="shared" si="893"/>
        <v>lpar1_human_4Z35</v>
      </c>
      <c r="B189" s="3" t="s">
        <v>103</v>
      </c>
      <c r="C189" s="3" t="s">
        <v>89</v>
      </c>
      <c r="D189" s="3" t="str">
        <f>IFERROR(MID(VLOOKUP($B189,Seqs!$A:$B,2,0),E189,1),"")</f>
        <v>T</v>
      </c>
      <c r="E189" s="3">
        <v>47</v>
      </c>
      <c r="F189" s="3" t="str">
        <f>IFERROR(MID(VLOOKUP($B189,Seqs!$A:$B,2,0),G189,1),"")</f>
        <v>N</v>
      </c>
      <c r="G189" s="3">
        <v>77</v>
      </c>
      <c r="H189" s="3" t="str">
        <f>IFERROR(MID(VLOOKUP($B189,Seqs!$A:$B,2,0),I189,1),"")</f>
        <v>R</v>
      </c>
      <c r="I189" s="23">
        <v>78</v>
      </c>
      <c r="J189" s="3" t="str">
        <f>IFERROR(MID(VLOOKUP($B189,Seqs!$A:$B,2,0),K189,1),"")</f>
        <v>H</v>
      </c>
      <c r="K189" s="23">
        <v>81</v>
      </c>
      <c r="L189" s="3" t="str">
        <f>IFERROR(MID(VLOOKUP($B189,Seqs!$A:$B,2,0),M189,1),"")</f>
        <v>F</v>
      </c>
      <c r="M189" s="3">
        <v>82</v>
      </c>
      <c r="N189" s="3" t="str">
        <f>IFERROR(MID(VLOOKUP($B189,Seqs!$A:$B,2,0),O189,1),"")</f>
        <v>N</v>
      </c>
      <c r="O189" s="3">
        <v>108</v>
      </c>
      <c r="P189" s="3" t="str">
        <f>IFERROR(MID(VLOOKUP($B189,Seqs!$A:$B,2,0),Q189,1),"")</f>
        <v>G</v>
      </c>
      <c r="Q189" s="3">
        <v>110</v>
      </c>
      <c r="R189" s="3" t="str">
        <f>IFERROR(MID(VLOOKUP($B189,Seqs!$A:$B,2,0),S189,1),"")</f>
        <v>L</v>
      </c>
      <c r="S189" s="3">
        <v>116</v>
      </c>
      <c r="T189" s="3" t="str">
        <f>IFERROR(MID(VLOOKUP($B189,Seqs!$A:$B,2,0),U189,1),"")</f>
        <v>T</v>
      </c>
      <c r="U189" s="3">
        <v>117</v>
      </c>
      <c r="V189" s="3" t="str">
        <f>IFERROR(MID(VLOOKUP($B189,Seqs!$A:$B,2,0),W189,1),"")</f>
        <v>R</v>
      </c>
      <c r="W189" s="3">
        <v>152</v>
      </c>
      <c r="X189" s="3" t="str">
        <f>IFERROR(MID(VLOOKUP($B189,Seqs!$A:$B,2,0),Y189,1),"")</f>
        <v/>
      </c>
      <c r="Y189" s="3" t="s">
        <v>23</v>
      </c>
      <c r="Z189" s="3" t="str">
        <f>IFERROR(MID(VLOOKUP($B189,Seqs!$A:$B,2,0),AA189,1),"")</f>
        <v/>
      </c>
      <c r="AA189" s="3" t="s">
        <v>23</v>
      </c>
      <c r="AB189" s="3" t="str">
        <f>IFERROR(MID(VLOOKUP($B189,Seqs!$A:$B,2,0),AC189,1),"")</f>
        <v>T</v>
      </c>
      <c r="AC189" s="9">
        <v>157</v>
      </c>
      <c r="AD189" s="3" t="str">
        <f>IFERROR(MID(VLOOKUP($B189,Seqs!$A:$B,2,0),AE189,1),"")</f>
        <v>G</v>
      </c>
      <c r="AE189" s="3">
        <v>185</v>
      </c>
      <c r="AF189" s="3" t="str">
        <f>IFERROR(MID(VLOOKUP($B189,Seqs!$A:$B,2,0),AG189,1),"")</f>
        <v/>
      </c>
      <c r="AG189" s="3" t="s">
        <v>23</v>
      </c>
      <c r="AH189" s="3" t="str">
        <f>IFERROR(MID(VLOOKUP($B189,Seqs!$A:$B,2,0),AI189,1),"")</f>
        <v/>
      </c>
      <c r="AI189" s="3" t="s">
        <v>23</v>
      </c>
      <c r="AJ189" s="3" t="str">
        <f>IFERROR(MID(VLOOKUP($B189,Seqs!$A:$B,2,0),AK189,1),"")</f>
        <v>S</v>
      </c>
      <c r="AK189" s="3">
        <v>203</v>
      </c>
      <c r="AL189" s="3" t="str">
        <f>IFERROR(MID(VLOOKUP($B189,Seqs!$A:$B,2,0),AM189,1),"")</f>
        <v>R</v>
      </c>
      <c r="AM189" s="3">
        <v>235</v>
      </c>
      <c r="AN189" s="3" t="str">
        <f>IFERROR(MID(VLOOKUP($B189,Seqs!$A:$B,2,0),AO189,1),"")</f>
        <v>G</v>
      </c>
      <c r="AO189" s="3">
        <v>245</v>
      </c>
      <c r="AP189" s="3" t="str">
        <f>IFERROR(MID(VLOOKUP($B189,Seqs!$A:$B,2,0),AQ189,1),"")</f>
        <v>C</v>
      </c>
      <c r="AQ189" s="3">
        <v>284</v>
      </c>
      <c r="AR189" s="3" t="str">
        <f>IFERROR(MID(VLOOKUP($B189,Seqs!$A:$B,2,0),AS189,1),"")</f>
        <v>E</v>
      </c>
      <c r="AS189" s="3">
        <v>293</v>
      </c>
      <c r="AT189" s="3" t="str">
        <f>IFERROR(MID(VLOOKUP($B189,Seqs!$A:$B,2,0),AU189,1),"")</f>
        <v>R</v>
      </c>
      <c r="AU189" s="3">
        <v>314</v>
      </c>
      <c r="AV189" s="3" t="str">
        <f>IFERROR(MID(VLOOKUP($B189,Seqs!$A:$B,2,0),AW189,1),"")</f>
        <v>D</v>
      </c>
      <c r="AW189" s="3">
        <v>315</v>
      </c>
      <c r="AX189" s="3" t="str">
        <f>IFERROR(MID(VLOOKUP($B189,Seqs!$A:$B,2,0),AY189,1),"")</f>
        <v>C</v>
      </c>
      <c r="AY189" s="3">
        <v>327</v>
      </c>
      <c r="AZ189" s="77" t="str">
        <f>VLOOKUP(B189,Classification!A:D,2,0)</f>
        <v>A</v>
      </c>
      <c r="BA189" s="94" t="str">
        <f>VLOOKUP(B189,Classification!A:D,4,0)</f>
        <v>Lysophospholipid(LPA)</v>
      </c>
      <c r="BB189" s="27" t="b">
        <f t="shared" si="894"/>
        <v>1</v>
      </c>
      <c r="BC189" s="23">
        <f t="shared" si="867"/>
        <v>244</v>
      </c>
      <c r="BD189" s="5" t="s">
        <v>1382</v>
      </c>
      <c r="BE189" s="3" t="s">
        <v>1380</v>
      </c>
      <c r="BF189" s="119">
        <v>2.9</v>
      </c>
      <c r="BG189" s="49" t="s">
        <v>1383</v>
      </c>
      <c r="BH189" s="49" t="s">
        <v>1383</v>
      </c>
      <c r="BI189" s="1"/>
      <c r="BJ189" s="70" t="s">
        <v>1293</v>
      </c>
      <c r="BK189" s="57" t="s">
        <v>1293</v>
      </c>
      <c r="BL189" s="57" t="s">
        <v>1293</v>
      </c>
      <c r="BM189" s="57" t="s">
        <v>1293</v>
      </c>
      <c r="BN189" s="57" t="s">
        <v>1293</v>
      </c>
      <c r="BO189" s="57" t="s">
        <v>1293</v>
      </c>
      <c r="BP189" s="57" t="s">
        <v>1293</v>
      </c>
      <c r="BQ189" s="57" t="s">
        <v>1293</v>
      </c>
      <c r="BR189" s="57" t="s">
        <v>1293</v>
      </c>
      <c r="BS189" s="57" t="s">
        <v>1293</v>
      </c>
      <c r="BT189" s="57" t="s">
        <v>1293</v>
      </c>
      <c r="BU189" s="57" t="s">
        <v>1293</v>
      </c>
      <c r="BV189" s="70">
        <f t="shared" si="868"/>
        <v>47</v>
      </c>
      <c r="BW189" s="71">
        <f t="shared" si="869"/>
        <v>78</v>
      </c>
      <c r="BX189" s="72">
        <f t="shared" si="870"/>
        <v>82</v>
      </c>
      <c r="BY189" s="71">
        <f t="shared" si="871"/>
        <v>110</v>
      </c>
      <c r="BZ189" s="72">
        <f t="shared" si="872"/>
        <v>117</v>
      </c>
      <c r="CA189" s="71" t="str">
        <f t="shared" si="873"/>
        <v>-</v>
      </c>
      <c r="CB189" s="72">
        <f t="shared" si="874"/>
        <v>157</v>
      </c>
      <c r="CC189" s="71" t="str">
        <f t="shared" si="875"/>
        <v>-</v>
      </c>
      <c r="CD189" s="72">
        <f t="shared" si="876"/>
        <v>203</v>
      </c>
      <c r="CE189" s="71">
        <f t="shared" si="877"/>
        <v>245</v>
      </c>
      <c r="CF189" s="72">
        <f t="shared" si="878"/>
        <v>293</v>
      </c>
      <c r="CG189" s="71">
        <f t="shared" si="879"/>
        <v>315</v>
      </c>
      <c r="CH189" s="70">
        <f t="shared" si="880"/>
        <v>77</v>
      </c>
      <c r="CI189" s="71">
        <f t="shared" si="881"/>
        <v>81</v>
      </c>
      <c r="CJ189" s="72">
        <f t="shared" si="882"/>
        <v>108</v>
      </c>
      <c r="CK189" s="72">
        <f t="shared" si="883"/>
        <v>116</v>
      </c>
      <c r="CL189" s="72">
        <f t="shared" si="884"/>
        <v>152</v>
      </c>
      <c r="CM189" s="72" t="str">
        <f t="shared" si="885"/>
        <v>-</v>
      </c>
      <c r="CN189" s="72">
        <f t="shared" si="886"/>
        <v>185</v>
      </c>
      <c r="CO189" s="72" t="str">
        <f t="shared" si="887"/>
        <v>-</v>
      </c>
      <c r="CP189" s="72">
        <f t="shared" si="888"/>
        <v>235</v>
      </c>
      <c r="CQ189" s="72">
        <f t="shared" si="889"/>
        <v>284</v>
      </c>
      <c r="CR189" s="72">
        <f t="shared" si="890"/>
        <v>314</v>
      </c>
      <c r="CS189" s="72">
        <f t="shared" si="891"/>
        <v>327</v>
      </c>
      <c r="CT189" s="23">
        <f t="shared" si="892"/>
        <v>1</v>
      </c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  <c r="ADW189" s="1"/>
      <c r="ADX189" s="1"/>
      <c r="ADY189" s="1"/>
      <c r="ADZ189" s="1"/>
      <c r="AEA189" s="1"/>
      <c r="AEB189" s="1"/>
      <c r="AEC189" s="1"/>
      <c r="AED189" s="1"/>
      <c r="AEE189" s="1"/>
      <c r="AEF189" s="1"/>
      <c r="AEG189" s="1"/>
      <c r="AEH189" s="1"/>
      <c r="AEI189" s="1"/>
      <c r="AEJ189" s="1"/>
      <c r="AEK189" s="1"/>
      <c r="AEL189" s="1"/>
      <c r="AEM189" s="1"/>
      <c r="AEN189" s="1"/>
      <c r="AEO189" s="1"/>
      <c r="AEP189" s="1"/>
      <c r="AEQ189" s="1"/>
      <c r="AER189" s="1"/>
      <c r="AES189" s="1"/>
      <c r="AET189" s="1"/>
      <c r="AEU189" s="1"/>
      <c r="AEV189" s="1"/>
      <c r="AEW189" s="1"/>
      <c r="AEX189" s="1"/>
      <c r="AEY189" s="1"/>
      <c r="AEZ189" s="1"/>
      <c r="AFA189" s="1"/>
      <c r="AFB189" s="1"/>
      <c r="AFC189" s="1"/>
      <c r="AFD189" s="1"/>
      <c r="AFE189" s="1"/>
      <c r="AFF189" s="1"/>
      <c r="AFG189" s="1"/>
      <c r="AFH189" s="1"/>
      <c r="AFI189" s="1"/>
      <c r="AFJ189" s="1"/>
      <c r="AFK189" s="1"/>
      <c r="AFL189" s="1"/>
      <c r="AFM189" s="1"/>
      <c r="AFN189" s="1"/>
      <c r="AFO189" s="1"/>
      <c r="AFP189" s="1"/>
      <c r="AFQ189" s="1"/>
      <c r="AFR189" s="1"/>
      <c r="AFS189" s="1"/>
      <c r="AFT189" s="1"/>
      <c r="AFU189" s="1"/>
      <c r="AFV189" s="1"/>
      <c r="AFW189" s="1"/>
      <c r="AFX189" s="1"/>
      <c r="AFY189" s="1"/>
      <c r="AFZ189" s="1"/>
      <c r="AGA189" s="1"/>
      <c r="AGB189" s="1"/>
      <c r="AGC189" s="1"/>
      <c r="AGD189" s="1"/>
      <c r="AGE189" s="1"/>
      <c r="AGF189" s="1"/>
      <c r="AGG189" s="1"/>
      <c r="AGH189" s="1"/>
      <c r="AGI189" s="1"/>
      <c r="AGJ189" s="1"/>
      <c r="AGK189" s="1"/>
      <c r="AGL189" s="1"/>
      <c r="AGM189" s="1"/>
      <c r="AGN189" s="1"/>
      <c r="AGO189" s="1"/>
      <c r="AGP189" s="1"/>
      <c r="AGQ189" s="1"/>
      <c r="AGR189" s="1"/>
      <c r="AGS189" s="1"/>
      <c r="AGT189" s="1"/>
      <c r="AGU189" s="1"/>
      <c r="AGV189" s="1"/>
      <c r="AGW189" s="1"/>
      <c r="AGX189" s="1"/>
      <c r="AGY189" s="1"/>
      <c r="AGZ189" s="1"/>
      <c r="AHA189" s="1"/>
      <c r="AHB189" s="1"/>
      <c r="AHC189" s="1"/>
      <c r="AHD189" s="1"/>
      <c r="AHE189" s="1"/>
      <c r="AHF189" s="1"/>
      <c r="AHG189" s="1"/>
      <c r="AHH189" s="1"/>
      <c r="AHI189" s="1"/>
      <c r="AHJ189" s="1"/>
      <c r="AHK189" s="1"/>
      <c r="AHL189" s="1"/>
      <c r="AHM189" s="1"/>
      <c r="AHN189" s="1"/>
      <c r="AHO189" s="1"/>
      <c r="AHP189" s="1"/>
      <c r="AHQ189" s="1"/>
      <c r="AHR189" s="1"/>
      <c r="AHS189" s="1"/>
      <c r="AHT189" s="1"/>
      <c r="AHU189" s="1"/>
      <c r="AHV189" s="1"/>
      <c r="AHW189" s="1"/>
      <c r="AHX189" s="1"/>
      <c r="AHY189" s="1"/>
      <c r="AHZ189" s="1"/>
      <c r="AIA189" s="1"/>
      <c r="AIB189" s="1"/>
      <c r="AIC189" s="1"/>
      <c r="AID189" s="1"/>
      <c r="AIE189" s="1"/>
      <c r="AIF189" s="1"/>
      <c r="AIG189" s="1"/>
      <c r="AIH189" s="1"/>
      <c r="AII189" s="1"/>
      <c r="AIJ189" s="1"/>
      <c r="AIK189" s="1"/>
      <c r="AIL189" s="1"/>
      <c r="AIM189" s="1"/>
      <c r="AIN189" s="1"/>
      <c r="AIO189" s="1"/>
      <c r="AIP189" s="1"/>
      <c r="AIQ189" s="1"/>
      <c r="AIR189" s="1"/>
      <c r="AIS189" s="1"/>
      <c r="AIT189" s="1"/>
      <c r="AIU189" s="1"/>
      <c r="AIV189" s="1"/>
      <c r="AIW189" s="1"/>
      <c r="AIX189" s="1"/>
      <c r="AIY189" s="1"/>
      <c r="AIZ189" s="1"/>
      <c r="AJA189" s="1"/>
      <c r="AJB189" s="1"/>
      <c r="AJC189" s="1"/>
      <c r="AJD189" s="1"/>
      <c r="AJE189" s="1"/>
      <c r="AJF189" s="1"/>
      <c r="AJG189" s="1"/>
      <c r="AJH189" s="1"/>
      <c r="AJI189" s="1"/>
      <c r="AJJ189" s="1"/>
      <c r="AJK189" s="1"/>
      <c r="AJL189" s="1"/>
      <c r="AJM189" s="1"/>
      <c r="AJN189" s="1"/>
      <c r="AJO189" s="1"/>
      <c r="AJP189" s="1"/>
      <c r="AJQ189" s="1"/>
      <c r="AJR189" s="1"/>
      <c r="AJS189" s="1"/>
      <c r="AJT189" s="1"/>
      <c r="AJU189" s="1"/>
      <c r="AJV189" s="1"/>
      <c r="AJW189" s="1"/>
      <c r="AJX189" s="1"/>
      <c r="AJY189" s="1"/>
      <c r="AJZ189" s="1"/>
      <c r="AKA189" s="1"/>
      <c r="AKB189" s="1"/>
      <c r="AKC189" s="1"/>
      <c r="AKD189" s="1"/>
      <c r="AKE189" s="1"/>
      <c r="AKF189" s="1"/>
      <c r="AKG189" s="1"/>
      <c r="AKH189" s="1"/>
      <c r="AKI189" s="1"/>
      <c r="AKJ189" s="1"/>
      <c r="AKK189" s="1"/>
      <c r="AKL189" s="1"/>
      <c r="AKM189" s="1"/>
      <c r="AKN189" s="1"/>
      <c r="AKO189" s="1"/>
      <c r="AKP189" s="1"/>
      <c r="AKQ189" s="1"/>
      <c r="AKR189" s="1"/>
      <c r="AKS189" s="1"/>
      <c r="AKT189" s="1"/>
      <c r="AKU189" s="1"/>
      <c r="AKV189" s="1"/>
      <c r="AKW189" s="1"/>
      <c r="AKX189" s="1"/>
      <c r="AKY189" s="1"/>
      <c r="AKZ189" s="1"/>
      <c r="ALA189" s="1"/>
      <c r="ALB189" s="1"/>
      <c r="ALC189" s="1"/>
      <c r="ALD189" s="1"/>
      <c r="ALE189" s="1"/>
      <c r="ALF189" s="1"/>
      <c r="ALG189" s="1"/>
      <c r="ALH189" s="1"/>
      <c r="ALI189" s="1"/>
      <c r="ALJ189" s="1"/>
      <c r="ALK189" s="1"/>
      <c r="ALL189" s="1"/>
      <c r="ALM189" s="1"/>
      <c r="ALN189" s="1"/>
      <c r="ALO189" s="1"/>
      <c r="ALP189" s="1"/>
      <c r="ALQ189" s="1"/>
      <c r="ALR189" s="1"/>
      <c r="ALS189" s="1"/>
      <c r="ALT189" s="1"/>
      <c r="ALU189" s="1"/>
      <c r="ALV189" s="1"/>
      <c r="ALW189" s="1"/>
      <c r="ALX189" s="1"/>
      <c r="ALY189" s="1"/>
      <c r="ALZ189" s="1"/>
      <c r="AMA189" s="1"/>
      <c r="AMB189" s="1"/>
      <c r="AMC189" s="1"/>
      <c r="AMD189" s="1"/>
      <c r="AME189" s="1"/>
      <c r="AMF189" s="1"/>
      <c r="AMG189" s="1"/>
      <c r="AMH189" s="1"/>
      <c r="AMI189" s="1"/>
      <c r="AMJ189" s="1"/>
      <c r="AMK189" s="1"/>
      <c r="AML189" s="1"/>
      <c r="AMM189" s="1"/>
      <c r="AMN189" s="1"/>
      <c r="AMO189" s="1"/>
    </row>
    <row r="190" spans="1:1029" x14ac:dyDescent="0.2">
      <c r="A190" s="3" t="str">
        <f t="shared" si="893"/>
        <v>lpar1_human_4Z36</v>
      </c>
      <c r="B190" s="3" t="s">
        <v>103</v>
      </c>
      <c r="C190" s="3" t="s">
        <v>1058</v>
      </c>
      <c r="D190" s="3" t="str">
        <f>IFERROR(MID(VLOOKUP($B190,Seqs!$A:$B,2,0),E190,1),"")</f>
        <v>T</v>
      </c>
      <c r="E190" s="3">
        <v>47</v>
      </c>
      <c r="F190" s="3" t="str">
        <f>IFERROR(MID(VLOOKUP($B190,Seqs!$A:$B,2,0),G190,1),"")</f>
        <v>N</v>
      </c>
      <c r="G190" s="3">
        <v>77</v>
      </c>
      <c r="H190" s="3" t="str">
        <f>IFERROR(MID(VLOOKUP($B190,Seqs!$A:$B,2,0),I190,1),"")</f>
        <v>R</v>
      </c>
      <c r="I190" s="23">
        <v>78</v>
      </c>
      <c r="J190" s="3" t="str">
        <f>IFERROR(MID(VLOOKUP($B190,Seqs!$A:$B,2,0),K190,1),"")</f>
        <v>H</v>
      </c>
      <c r="K190" s="23">
        <v>81</v>
      </c>
      <c r="L190" s="3" t="str">
        <f>IFERROR(MID(VLOOKUP($B190,Seqs!$A:$B,2,0),M190,1),"")</f>
        <v>F</v>
      </c>
      <c r="M190" s="3">
        <v>82</v>
      </c>
      <c r="N190" s="3" t="str">
        <f>IFERROR(MID(VLOOKUP($B190,Seqs!$A:$B,2,0),O190,1),"")</f>
        <v>N</v>
      </c>
      <c r="O190" s="3">
        <v>108</v>
      </c>
      <c r="P190" s="3" t="str">
        <f>IFERROR(MID(VLOOKUP($B190,Seqs!$A:$B,2,0),Q190,1),"")</f>
        <v>G</v>
      </c>
      <c r="Q190" s="3">
        <v>110</v>
      </c>
      <c r="R190" s="3" t="str">
        <f>IFERROR(MID(VLOOKUP($B190,Seqs!$A:$B,2,0),S190,1),"")</f>
        <v>L</v>
      </c>
      <c r="S190" s="3">
        <v>116</v>
      </c>
      <c r="T190" s="3" t="str">
        <f>IFERROR(MID(VLOOKUP($B190,Seqs!$A:$B,2,0),U190,1),"")</f>
        <v>T</v>
      </c>
      <c r="U190" s="3">
        <v>117</v>
      </c>
      <c r="V190" s="3" t="str">
        <f>IFERROR(MID(VLOOKUP($B190,Seqs!$A:$B,2,0),W190,1),"")</f>
        <v>R</v>
      </c>
      <c r="W190" s="3">
        <v>152</v>
      </c>
      <c r="X190" s="3" t="str">
        <f>IFERROR(MID(VLOOKUP($B190,Seqs!$A:$B,2,0),Y190,1),"")</f>
        <v/>
      </c>
      <c r="Y190" s="3" t="s">
        <v>23</v>
      </c>
      <c r="Z190" s="3" t="str">
        <f>IFERROR(MID(VLOOKUP($B190,Seqs!$A:$B,2,0),AA190,1),"")</f>
        <v/>
      </c>
      <c r="AA190" s="3" t="s">
        <v>23</v>
      </c>
      <c r="AB190" s="3" t="str">
        <f>IFERROR(MID(VLOOKUP($B190,Seqs!$A:$B,2,0),AC190,1),"")</f>
        <v>T</v>
      </c>
      <c r="AC190" s="9">
        <v>157</v>
      </c>
      <c r="AD190" s="3" t="str">
        <f>IFERROR(MID(VLOOKUP($B190,Seqs!$A:$B,2,0),AE190,1),"")</f>
        <v>G</v>
      </c>
      <c r="AE190" s="3">
        <v>185</v>
      </c>
      <c r="AF190" s="3" t="str">
        <f>IFERROR(MID(VLOOKUP($B190,Seqs!$A:$B,2,0),AG190,1),"")</f>
        <v/>
      </c>
      <c r="AG190" s="3" t="s">
        <v>23</v>
      </c>
      <c r="AH190" s="3" t="str">
        <f>IFERROR(MID(VLOOKUP($B190,Seqs!$A:$B,2,0),AI190,1),"")</f>
        <v/>
      </c>
      <c r="AI190" s="3" t="s">
        <v>23</v>
      </c>
      <c r="AJ190" s="3" t="str">
        <f>IFERROR(MID(VLOOKUP($B190,Seqs!$A:$B,2,0),AK190,1),"")</f>
        <v>S</v>
      </c>
      <c r="AK190" s="3">
        <v>203</v>
      </c>
      <c r="AL190" s="3" t="str">
        <f>IFERROR(MID(VLOOKUP($B190,Seqs!$A:$B,2,0),AM190,1),"")</f>
        <v>R</v>
      </c>
      <c r="AM190" s="3">
        <v>235</v>
      </c>
      <c r="AN190" s="3" t="str">
        <f>IFERROR(MID(VLOOKUP($B190,Seqs!$A:$B,2,0),AO190,1),"")</f>
        <v>G</v>
      </c>
      <c r="AO190" s="3">
        <v>245</v>
      </c>
      <c r="AP190" s="3" t="str">
        <f>IFERROR(MID(VLOOKUP($B190,Seqs!$A:$B,2,0),AQ190,1),"")</f>
        <v>C</v>
      </c>
      <c r="AQ190" s="3">
        <v>284</v>
      </c>
      <c r="AR190" s="3" t="str">
        <f>IFERROR(MID(VLOOKUP($B190,Seqs!$A:$B,2,0),AS190,1),"")</f>
        <v>E</v>
      </c>
      <c r="AS190" s="3">
        <v>293</v>
      </c>
      <c r="AT190" s="3" t="str">
        <f>IFERROR(MID(VLOOKUP($B190,Seqs!$A:$B,2,0),AU190,1),"")</f>
        <v>R</v>
      </c>
      <c r="AU190" s="3">
        <v>314</v>
      </c>
      <c r="AV190" s="3" t="str">
        <f>IFERROR(MID(VLOOKUP($B190,Seqs!$A:$B,2,0),AW190,1),"")</f>
        <v>D</v>
      </c>
      <c r="AW190" s="3">
        <v>315</v>
      </c>
      <c r="AX190" s="3" t="str">
        <f>IFERROR(MID(VLOOKUP($B190,Seqs!$A:$B,2,0),AY190,1),"")</f>
        <v>C</v>
      </c>
      <c r="AY190" s="3">
        <v>327</v>
      </c>
      <c r="AZ190" s="77" t="str">
        <f>VLOOKUP(B190,Classification!A:D,2,0)</f>
        <v>A</v>
      </c>
      <c r="BA190" s="94" t="str">
        <f>VLOOKUP(B190,Classification!A:D,4,0)</f>
        <v>Lysophospholipid(LPA)</v>
      </c>
      <c r="BB190" s="27" t="b">
        <f t="shared" si="894"/>
        <v>1</v>
      </c>
      <c r="BC190" s="23">
        <f t="shared" si="867"/>
        <v>244</v>
      </c>
      <c r="BD190" s="5" t="s">
        <v>23</v>
      </c>
      <c r="BE190" s="3" t="s">
        <v>1380</v>
      </c>
      <c r="BF190" s="119">
        <v>2.9</v>
      </c>
      <c r="BG190" s="49" t="s">
        <v>1383</v>
      </c>
      <c r="BH190" s="49" t="s">
        <v>1383</v>
      </c>
      <c r="BI190" s="1"/>
      <c r="BJ190" s="70" t="s">
        <v>1293</v>
      </c>
      <c r="BK190" s="57" t="s">
        <v>1293</v>
      </c>
      <c r="BL190" s="57" t="s">
        <v>1293</v>
      </c>
      <c r="BM190" s="57" t="s">
        <v>1293</v>
      </c>
      <c r="BN190" s="57" t="s">
        <v>1293</v>
      </c>
      <c r="BO190" s="57" t="s">
        <v>1293</v>
      </c>
      <c r="BP190" s="57" t="s">
        <v>1293</v>
      </c>
      <c r="BQ190" s="57" t="s">
        <v>1293</v>
      </c>
      <c r="BR190" s="57" t="s">
        <v>1293</v>
      </c>
      <c r="BS190" s="57" t="s">
        <v>1293</v>
      </c>
      <c r="BT190" s="57" t="s">
        <v>1293</v>
      </c>
      <c r="BU190" s="57" t="s">
        <v>1293</v>
      </c>
      <c r="BV190" s="70">
        <f t="shared" si="868"/>
        <v>47</v>
      </c>
      <c r="BW190" s="71">
        <f t="shared" si="869"/>
        <v>78</v>
      </c>
      <c r="BX190" s="72">
        <f t="shared" si="870"/>
        <v>82</v>
      </c>
      <c r="BY190" s="71">
        <f t="shared" si="871"/>
        <v>110</v>
      </c>
      <c r="BZ190" s="72">
        <f t="shared" si="872"/>
        <v>117</v>
      </c>
      <c r="CA190" s="71" t="str">
        <f t="shared" si="873"/>
        <v>-</v>
      </c>
      <c r="CB190" s="72">
        <f t="shared" si="874"/>
        <v>157</v>
      </c>
      <c r="CC190" s="71" t="str">
        <f t="shared" si="875"/>
        <v>-</v>
      </c>
      <c r="CD190" s="72">
        <f t="shared" si="876"/>
        <v>203</v>
      </c>
      <c r="CE190" s="71">
        <f t="shared" si="877"/>
        <v>245</v>
      </c>
      <c r="CF190" s="72">
        <f t="shared" si="878"/>
        <v>293</v>
      </c>
      <c r="CG190" s="71">
        <f t="shared" si="879"/>
        <v>315</v>
      </c>
      <c r="CH190" s="70">
        <f t="shared" si="880"/>
        <v>77</v>
      </c>
      <c r="CI190" s="71">
        <f t="shared" si="881"/>
        <v>81</v>
      </c>
      <c r="CJ190" s="72">
        <f t="shared" si="882"/>
        <v>108</v>
      </c>
      <c r="CK190" s="72">
        <f t="shared" si="883"/>
        <v>116</v>
      </c>
      <c r="CL190" s="72">
        <f t="shared" si="884"/>
        <v>152</v>
      </c>
      <c r="CM190" s="72" t="str">
        <f t="shared" si="885"/>
        <v>-</v>
      </c>
      <c r="CN190" s="72">
        <f t="shared" si="886"/>
        <v>185</v>
      </c>
      <c r="CO190" s="72" t="str">
        <f t="shared" si="887"/>
        <v>-</v>
      </c>
      <c r="CP190" s="72">
        <f t="shared" si="888"/>
        <v>235</v>
      </c>
      <c r="CQ190" s="72">
        <f t="shared" si="889"/>
        <v>284</v>
      </c>
      <c r="CR190" s="72">
        <f t="shared" si="890"/>
        <v>314</v>
      </c>
      <c r="CS190" s="72">
        <f t="shared" si="891"/>
        <v>327</v>
      </c>
      <c r="CT190" s="23">
        <f t="shared" si="892"/>
        <v>1</v>
      </c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  <c r="ADW190" s="1"/>
      <c r="ADX190" s="1"/>
      <c r="ADY190" s="1"/>
      <c r="ADZ190" s="1"/>
      <c r="AEA190" s="1"/>
      <c r="AEB190" s="1"/>
      <c r="AEC190" s="1"/>
      <c r="AED190" s="1"/>
      <c r="AEE190" s="1"/>
      <c r="AEF190" s="1"/>
      <c r="AEG190" s="1"/>
      <c r="AEH190" s="1"/>
      <c r="AEI190" s="1"/>
      <c r="AEJ190" s="1"/>
      <c r="AEK190" s="1"/>
      <c r="AEL190" s="1"/>
      <c r="AEM190" s="1"/>
      <c r="AEN190" s="1"/>
      <c r="AEO190" s="1"/>
      <c r="AEP190" s="1"/>
      <c r="AEQ190" s="1"/>
      <c r="AER190" s="1"/>
      <c r="AES190" s="1"/>
      <c r="AET190" s="1"/>
      <c r="AEU190" s="1"/>
      <c r="AEV190" s="1"/>
      <c r="AEW190" s="1"/>
      <c r="AEX190" s="1"/>
      <c r="AEY190" s="1"/>
      <c r="AEZ190" s="1"/>
      <c r="AFA190" s="1"/>
      <c r="AFB190" s="1"/>
      <c r="AFC190" s="1"/>
      <c r="AFD190" s="1"/>
      <c r="AFE190" s="1"/>
      <c r="AFF190" s="1"/>
      <c r="AFG190" s="1"/>
      <c r="AFH190" s="1"/>
      <c r="AFI190" s="1"/>
      <c r="AFJ190" s="1"/>
      <c r="AFK190" s="1"/>
      <c r="AFL190" s="1"/>
      <c r="AFM190" s="1"/>
      <c r="AFN190" s="1"/>
      <c r="AFO190" s="1"/>
      <c r="AFP190" s="1"/>
      <c r="AFQ190" s="1"/>
      <c r="AFR190" s="1"/>
      <c r="AFS190" s="1"/>
      <c r="AFT190" s="1"/>
      <c r="AFU190" s="1"/>
      <c r="AFV190" s="1"/>
      <c r="AFW190" s="1"/>
      <c r="AFX190" s="1"/>
      <c r="AFY190" s="1"/>
      <c r="AFZ190" s="1"/>
      <c r="AGA190" s="1"/>
      <c r="AGB190" s="1"/>
      <c r="AGC190" s="1"/>
      <c r="AGD190" s="1"/>
      <c r="AGE190" s="1"/>
      <c r="AGF190" s="1"/>
      <c r="AGG190" s="1"/>
      <c r="AGH190" s="1"/>
      <c r="AGI190" s="1"/>
      <c r="AGJ190" s="1"/>
      <c r="AGK190" s="1"/>
      <c r="AGL190" s="1"/>
      <c r="AGM190" s="1"/>
      <c r="AGN190" s="1"/>
      <c r="AGO190" s="1"/>
      <c r="AGP190" s="1"/>
      <c r="AGQ190" s="1"/>
      <c r="AGR190" s="1"/>
      <c r="AGS190" s="1"/>
      <c r="AGT190" s="1"/>
      <c r="AGU190" s="1"/>
      <c r="AGV190" s="1"/>
      <c r="AGW190" s="1"/>
      <c r="AGX190" s="1"/>
      <c r="AGY190" s="1"/>
      <c r="AGZ190" s="1"/>
      <c r="AHA190" s="1"/>
      <c r="AHB190" s="1"/>
      <c r="AHC190" s="1"/>
      <c r="AHD190" s="1"/>
      <c r="AHE190" s="1"/>
      <c r="AHF190" s="1"/>
      <c r="AHG190" s="1"/>
      <c r="AHH190" s="1"/>
      <c r="AHI190" s="1"/>
      <c r="AHJ190" s="1"/>
      <c r="AHK190" s="1"/>
      <c r="AHL190" s="1"/>
      <c r="AHM190" s="1"/>
      <c r="AHN190" s="1"/>
      <c r="AHO190" s="1"/>
      <c r="AHP190" s="1"/>
      <c r="AHQ190" s="1"/>
      <c r="AHR190" s="1"/>
      <c r="AHS190" s="1"/>
      <c r="AHT190" s="1"/>
      <c r="AHU190" s="1"/>
      <c r="AHV190" s="1"/>
      <c r="AHW190" s="1"/>
      <c r="AHX190" s="1"/>
      <c r="AHY190" s="1"/>
      <c r="AHZ190" s="1"/>
      <c r="AIA190" s="1"/>
      <c r="AIB190" s="1"/>
      <c r="AIC190" s="1"/>
      <c r="AID190" s="1"/>
      <c r="AIE190" s="1"/>
      <c r="AIF190" s="1"/>
      <c r="AIG190" s="1"/>
      <c r="AIH190" s="1"/>
      <c r="AII190" s="1"/>
      <c r="AIJ190" s="1"/>
      <c r="AIK190" s="1"/>
      <c r="AIL190" s="1"/>
      <c r="AIM190" s="1"/>
      <c r="AIN190" s="1"/>
      <c r="AIO190" s="1"/>
      <c r="AIP190" s="1"/>
      <c r="AIQ190" s="1"/>
      <c r="AIR190" s="1"/>
      <c r="AIS190" s="1"/>
      <c r="AIT190" s="1"/>
      <c r="AIU190" s="1"/>
      <c r="AIV190" s="1"/>
      <c r="AIW190" s="1"/>
      <c r="AIX190" s="1"/>
      <c r="AIY190" s="1"/>
      <c r="AIZ190" s="1"/>
      <c r="AJA190" s="1"/>
      <c r="AJB190" s="1"/>
      <c r="AJC190" s="1"/>
      <c r="AJD190" s="1"/>
      <c r="AJE190" s="1"/>
      <c r="AJF190" s="1"/>
      <c r="AJG190" s="1"/>
      <c r="AJH190" s="1"/>
      <c r="AJI190" s="1"/>
      <c r="AJJ190" s="1"/>
      <c r="AJK190" s="1"/>
      <c r="AJL190" s="1"/>
      <c r="AJM190" s="1"/>
      <c r="AJN190" s="1"/>
      <c r="AJO190" s="1"/>
      <c r="AJP190" s="1"/>
      <c r="AJQ190" s="1"/>
      <c r="AJR190" s="1"/>
      <c r="AJS190" s="1"/>
      <c r="AJT190" s="1"/>
      <c r="AJU190" s="1"/>
      <c r="AJV190" s="1"/>
      <c r="AJW190" s="1"/>
      <c r="AJX190" s="1"/>
      <c r="AJY190" s="1"/>
      <c r="AJZ190" s="1"/>
      <c r="AKA190" s="1"/>
      <c r="AKB190" s="1"/>
      <c r="AKC190" s="1"/>
      <c r="AKD190" s="1"/>
      <c r="AKE190" s="1"/>
      <c r="AKF190" s="1"/>
      <c r="AKG190" s="1"/>
      <c r="AKH190" s="1"/>
      <c r="AKI190" s="1"/>
      <c r="AKJ190" s="1"/>
      <c r="AKK190" s="1"/>
      <c r="AKL190" s="1"/>
      <c r="AKM190" s="1"/>
      <c r="AKN190" s="1"/>
      <c r="AKO190" s="1"/>
      <c r="AKP190" s="1"/>
      <c r="AKQ190" s="1"/>
      <c r="AKR190" s="1"/>
      <c r="AKS190" s="1"/>
      <c r="AKT190" s="1"/>
      <c r="AKU190" s="1"/>
      <c r="AKV190" s="1"/>
      <c r="AKW190" s="1"/>
      <c r="AKX190" s="1"/>
      <c r="AKY190" s="1"/>
      <c r="AKZ190" s="1"/>
      <c r="ALA190" s="1"/>
      <c r="ALB190" s="1"/>
      <c r="ALC190" s="1"/>
      <c r="ALD190" s="1"/>
      <c r="ALE190" s="1"/>
      <c r="ALF190" s="1"/>
      <c r="ALG190" s="1"/>
      <c r="ALH190" s="1"/>
      <c r="ALI190" s="1"/>
      <c r="ALJ190" s="1"/>
      <c r="ALK190" s="1"/>
      <c r="ALL190" s="1"/>
      <c r="ALM190" s="1"/>
      <c r="ALN190" s="1"/>
      <c r="ALO190" s="1"/>
      <c r="ALP190" s="1"/>
      <c r="ALQ190" s="1"/>
      <c r="ALR190" s="1"/>
      <c r="ALS190" s="1"/>
      <c r="ALT190" s="1"/>
      <c r="ALU190" s="1"/>
      <c r="ALV190" s="1"/>
      <c r="ALW190" s="1"/>
      <c r="ALX190" s="1"/>
      <c r="ALY190" s="1"/>
      <c r="ALZ190" s="1"/>
      <c r="AMA190" s="1"/>
      <c r="AMB190" s="1"/>
      <c r="AMC190" s="1"/>
      <c r="AMD190" s="1"/>
      <c r="AME190" s="1"/>
      <c r="AMF190" s="1"/>
      <c r="AMG190" s="1"/>
      <c r="AMH190" s="1"/>
      <c r="AMI190" s="1"/>
      <c r="AMJ190" s="1"/>
      <c r="AMK190" s="1"/>
      <c r="AML190" s="1"/>
      <c r="AMM190" s="1"/>
      <c r="AMN190" s="1"/>
      <c r="AMO190" s="1"/>
    </row>
    <row r="191" spans="1:1029" x14ac:dyDescent="0.2">
      <c r="A191" s="9" t="str">
        <f t="shared" ref="A191" si="895">CONCATENATE(B191,"_",C191)</f>
        <v>nk1r_human__wt</v>
      </c>
      <c r="B191" s="9" t="s">
        <v>314</v>
      </c>
      <c r="C191" s="131" t="s">
        <v>100</v>
      </c>
      <c r="D191" s="9" t="str">
        <f>IFERROR(MID(VLOOKUP($B191,Seqs!$A:$B,2,0),E191,1),"")</f>
        <v>P</v>
      </c>
      <c r="E191" s="105">
        <v>28</v>
      </c>
      <c r="F191" s="9" t="str">
        <f>IFERROR(MID(VLOOKUP($B191,Seqs!$A:$B,2,0),G191,1),"")</f>
        <v>H</v>
      </c>
      <c r="G191" s="9">
        <v>60</v>
      </c>
      <c r="H191" s="9" t="str">
        <f>IFERROR(MID(VLOOKUP($B191,Seqs!$A:$B,2,0),I191,1),"")</f>
        <v>K</v>
      </c>
      <c r="I191" s="109">
        <v>61</v>
      </c>
      <c r="J191" s="9" t="str">
        <f>IFERROR(MID(VLOOKUP($B191,Seqs!$A:$B,2,0),K191,1),"")</f>
        <v>R</v>
      </c>
      <c r="K191" s="109">
        <v>64</v>
      </c>
      <c r="L191" s="9" t="str">
        <f>IFERROR(MID(VLOOKUP($B191,Seqs!$A:$B,2,0),M191,1),"")</f>
        <v>T</v>
      </c>
      <c r="M191" s="9">
        <v>65</v>
      </c>
      <c r="N191" s="9" t="str">
        <f>IFERROR(MID(VLOOKUP($B191,Seqs!$A:$B,2,0),O191,1),"")</f>
        <v>N</v>
      </c>
      <c r="O191" s="105">
        <v>96</v>
      </c>
      <c r="P191" s="9" t="str">
        <f>IFERROR(MID(VLOOKUP($B191,Seqs!$A:$B,2,0),Q191,1),"")</f>
        <v>E</v>
      </c>
      <c r="Q191" s="9">
        <v>97</v>
      </c>
      <c r="R191" s="9" t="str">
        <f>IFERROR(MID(VLOOKUP($B191,Seqs!$A:$B,2,0),S191,1),"")</f>
        <v>Y</v>
      </c>
      <c r="S191" s="9">
        <v>100</v>
      </c>
      <c r="T191" s="9" t="str">
        <f>IFERROR(MID(VLOOKUP($B191,Seqs!$A:$B,2,0),U191,1),"")</f>
        <v>G</v>
      </c>
      <c r="U191" s="9">
        <v>101</v>
      </c>
      <c r="V191" s="9" t="str">
        <f>IFERROR(MID(VLOOKUP($B191,Seqs!$A:$B,2,0),W191,1),"")</f>
        <v>H</v>
      </c>
      <c r="W191" s="9">
        <v>136</v>
      </c>
      <c r="X191" s="9" t="str">
        <f>IFERROR(MID(VLOOKUP($B191,Seqs!$A:$B,2,0),Y191,1),"")</f>
        <v/>
      </c>
      <c r="Y191" s="9" t="s">
        <v>23</v>
      </c>
      <c r="Z191" s="9" t="str">
        <f>IFERROR(MID(VLOOKUP($B191,Seqs!$A:$B,2,0),AA191,1),"")</f>
        <v/>
      </c>
      <c r="AA191" s="9" t="s">
        <v>23</v>
      </c>
      <c r="AB191" s="9" t="str">
        <f>IFERROR(MID(VLOOKUP($B191,Seqs!$A:$B,2,0),AC191,1),"")</f>
        <v>S</v>
      </c>
      <c r="AC191" s="9">
        <v>143</v>
      </c>
      <c r="AD191" s="9" t="str">
        <f>IFERROR(MID(VLOOKUP($B191,Seqs!$A:$B,2,0),AE191,1),"")</f>
        <v>S</v>
      </c>
      <c r="AE191" s="9">
        <v>169</v>
      </c>
      <c r="AF191" s="9" t="str">
        <f>IFERROR(MID(VLOOKUP($B191,Seqs!$A:$B,2,0),AG191,1),"")</f>
        <v>C</v>
      </c>
      <c r="AG191" s="9">
        <v>180</v>
      </c>
      <c r="AH191" s="9" t="str">
        <f>IFERROR(MID(VLOOKUP($B191,Seqs!$A:$B,2,0),AI191,1),"")</f>
        <v>I</v>
      </c>
      <c r="AI191" s="9">
        <v>182</v>
      </c>
      <c r="AJ191" s="9" t="str">
        <f>IFERROR(MID(VLOOKUP($B191,Seqs!$A:$B,2,0),AK191,1),"")</f>
        <v>P</v>
      </c>
      <c r="AK191" s="9">
        <v>188</v>
      </c>
      <c r="AL191" s="9" t="str">
        <f>IFERROR(MID(VLOOKUP($B191,Seqs!$A:$B,2,0),AM191,1),"")</f>
        <v>D</v>
      </c>
      <c r="AM191" s="9">
        <v>231</v>
      </c>
      <c r="AN191" s="9" t="str">
        <f>IFERROR(MID(VLOOKUP($B191,Seqs!$A:$B,2,0),AO191,1),"")</f>
        <v>R</v>
      </c>
      <c r="AO191" s="9">
        <v>235</v>
      </c>
      <c r="AP191" s="9" t="str">
        <f>IFERROR(MID(VLOOKUP($B191,Seqs!$A:$B,2,0),AQ191,1),"")</f>
        <v>N</v>
      </c>
      <c r="AQ191" s="9">
        <v>274</v>
      </c>
      <c r="AR191" s="9" t="str">
        <f>IFERROR(MID(VLOOKUP($B191,Seqs!$A:$B,2,0),AS191,1),"")</f>
        <v>F</v>
      </c>
      <c r="AS191" s="105">
        <v>282</v>
      </c>
      <c r="AT191" s="9" t="str">
        <f>IFERROR(MID(VLOOKUP($B191,Seqs!$A:$B,2,0),AU191,1),"")</f>
        <v>L</v>
      </c>
      <c r="AU191" s="9">
        <v>308</v>
      </c>
      <c r="AV191" s="9" t="str">
        <f>IFERROR(MID(VLOOKUP($B191,Seqs!$A:$B,2,0),AW191,1),"")</f>
        <v>N</v>
      </c>
      <c r="AW191" s="9">
        <v>309</v>
      </c>
      <c r="AX191" s="9" t="str">
        <f>IFERROR(MID(VLOOKUP($B191,Seqs!$A:$B,2,0),AY191,1),"")</f>
        <v>F</v>
      </c>
      <c r="AY191" s="9">
        <v>320</v>
      </c>
      <c r="AZ191" s="110" t="str">
        <f>VLOOKUP(B191,Classification!A:D,2,0)</f>
        <v>A</v>
      </c>
      <c r="BA191" s="98" t="str">
        <f>VLOOKUP(B191,Classification!A:D,4,0)</f>
        <v>Tachykinin</v>
      </c>
      <c r="BB191" s="36" t="b">
        <f t="shared" ref="BB191" si="896">AND(E191&lt;G191,OR(G191&lt;I191,I191="-"),OR(I191&lt;K191,I191="-"),OR(K191&lt;M191,K191="-"),M191&lt;O191,OR(O191&lt;Q191,Q191="-"),OR(Q191&lt;S191,Q191="-"),OR(S191&lt;U191,S191="-"),U191&lt;W191,OR(W191&lt;Y191,Y191="-"),OR(Y191&lt;AA191,Y191="-"),OR(AA191&lt;AC191,AA191="-"),AC191&lt;AE191,OR(AE191&lt;AG191,AG191="-"),OR(AG191&lt;AI191,AG191="-"),OR(AI191&lt;AK191,AI191="-"),AK191&lt;AM191,AM191&lt;AO191,AO191&lt;AQ191,AQ191&lt;AS191,AS191&lt;AU191,OR(AU191&lt;AW191,AW191="-"),OR(AW191&lt;AY191,AW191="-"))</f>
        <v>1</v>
      </c>
      <c r="BC191" s="109">
        <f t="shared" ref="BC191" si="897">_xlfn.AGGREGATE(9,6,CH191:CS191)-_xlfn.AGGREGATE(9,6,BV191:CG191)+12</f>
        <v>263</v>
      </c>
      <c r="BD191" s="13" t="s">
        <v>23</v>
      </c>
      <c r="BE191" s="9" t="s">
        <v>23</v>
      </c>
      <c r="BF191" s="120" t="s">
        <v>23</v>
      </c>
      <c r="BG191" s="51" t="s">
        <v>1383</v>
      </c>
      <c r="BH191" s="51" t="s">
        <v>1383</v>
      </c>
      <c r="BI191" s="12"/>
      <c r="BJ191" s="111" t="s">
        <v>1293</v>
      </c>
      <c r="BK191" s="112" t="s">
        <v>1293</v>
      </c>
      <c r="BL191" s="112" t="s">
        <v>1293</v>
      </c>
      <c r="BM191" s="112" t="s">
        <v>1293</v>
      </c>
      <c r="BN191" s="112" t="s">
        <v>1293</v>
      </c>
      <c r="BO191" s="112" t="s">
        <v>1293</v>
      </c>
      <c r="BP191" s="112" t="s">
        <v>1293</v>
      </c>
      <c r="BQ191" s="112" t="s">
        <v>1293</v>
      </c>
      <c r="BR191" s="112" t="s">
        <v>1293</v>
      </c>
      <c r="BS191" s="112" t="s">
        <v>1293</v>
      </c>
      <c r="BT191" s="112" t="s">
        <v>1293</v>
      </c>
      <c r="BU191" s="112" t="s">
        <v>1293</v>
      </c>
      <c r="BV191" s="111">
        <f t="shared" ref="BV191" si="898">E191</f>
        <v>28</v>
      </c>
      <c r="BW191" s="113">
        <f t="shared" ref="BW191" si="899">I191</f>
        <v>61</v>
      </c>
      <c r="BX191" s="114">
        <f t="shared" ref="BX191" si="900">M191</f>
        <v>65</v>
      </c>
      <c r="BY191" s="113">
        <f t="shared" ref="BY191" si="901">Q191</f>
        <v>97</v>
      </c>
      <c r="BZ191" s="114">
        <f t="shared" ref="BZ191" si="902">U191</f>
        <v>101</v>
      </c>
      <c r="CA191" s="113" t="str">
        <f t="shared" ref="CA191" si="903">Y191</f>
        <v>-</v>
      </c>
      <c r="CB191" s="114">
        <f t="shared" ref="CB191" si="904">AC191</f>
        <v>143</v>
      </c>
      <c r="CC191" s="113">
        <f t="shared" ref="CC191" si="905">AG191</f>
        <v>180</v>
      </c>
      <c r="CD191" s="114">
        <f t="shared" ref="CD191" si="906">AK191</f>
        <v>188</v>
      </c>
      <c r="CE191" s="113">
        <f t="shared" ref="CE191" si="907">AO191</f>
        <v>235</v>
      </c>
      <c r="CF191" s="114">
        <f t="shared" ref="CF191" si="908">AS191</f>
        <v>282</v>
      </c>
      <c r="CG191" s="113">
        <f t="shared" ref="CG191" si="909">AW191</f>
        <v>309</v>
      </c>
      <c r="CH191" s="111">
        <f t="shared" ref="CH191" si="910">G191</f>
        <v>60</v>
      </c>
      <c r="CI191" s="113">
        <f t="shared" ref="CI191" si="911">K191</f>
        <v>64</v>
      </c>
      <c r="CJ191" s="114">
        <f t="shared" ref="CJ191" si="912">O191</f>
        <v>96</v>
      </c>
      <c r="CK191" s="114">
        <f t="shared" ref="CK191" si="913">S191</f>
        <v>100</v>
      </c>
      <c r="CL191" s="114">
        <f t="shared" ref="CL191" si="914">W191</f>
        <v>136</v>
      </c>
      <c r="CM191" s="114" t="str">
        <f t="shared" ref="CM191" si="915">AA191</f>
        <v>-</v>
      </c>
      <c r="CN191" s="114">
        <f t="shared" ref="CN191" si="916">AE191</f>
        <v>169</v>
      </c>
      <c r="CO191" s="114">
        <f t="shared" ref="CO191" si="917">AI191</f>
        <v>182</v>
      </c>
      <c r="CP191" s="114">
        <f t="shared" ref="CP191" si="918">AM191</f>
        <v>231</v>
      </c>
      <c r="CQ191" s="114">
        <f t="shared" ref="CQ191" si="919">AQ191</f>
        <v>274</v>
      </c>
      <c r="CR191" s="114">
        <f t="shared" ref="CR191" si="920">AU191</f>
        <v>308</v>
      </c>
      <c r="CS191" s="114">
        <f t="shared" ref="CS191" si="921">AY191</f>
        <v>320</v>
      </c>
      <c r="CT191" s="109">
        <f t="shared" ref="CT191" si="922">M191-K191</f>
        <v>1</v>
      </c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  <c r="ADW191" s="1"/>
      <c r="ADX191" s="1"/>
      <c r="ADY191" s="1"/>
      <c r="ADZ191" s="1"/>
      <c r="AEA191" s="1"/>
      <c r="AEB191" s="1"/>
      <c r="AEC191" s="1"/>
      <c r="AED191" s="1"/>
      <c r="AEE191" s="1"/>
      <c r="AEF191" s="1"/>
      <c r="AEG191" s="1"/>
      <c r="AEH191" s="1"/>
      <c r="AEI191" s="1"/>
      <c r="AEJ191" s="1"/>
      <c r="AEK191" s="1"/>
      <c r="AEL191" s="1"/>
      <c r="AEM191" s="1"/>
      <c r="AEN191" s="1"/>
      <c r="AEO191" s="1"/>
      <c r="AEP191" s="1"/>
      <c r="AEQ191" s="1"/>
      <c r="AER191" s="1"/>
      <c r="AES191" s="1"/>
      <c r="AET191" s="1"/>
      <c r="AEU191" s="1"/>
      <c r="AEV191" s="1"/>
      <c r="AEW191" s="1"/>
      <c r="AEX191" s="1"/>
      <c r="AEY191" s="1"/>
      <c r="AEZ191" s="1"/>
      <c r="AFA191" s="1"/>
      <c r="AFB191" s="1"/>
      <c r="AFC191" s="1"/>
      <c r="AFD191" s="1"/>
      <c r="AFE191" s="1"/>
      <c r="AFF191" s="1"/>
      <c r="AFG191" s="1"/>
      <c r="AFH191" s="1"/>
      <c r="AFI191" s="1"/>
      <c r="AFJ191" s="1"/>
      <c r="AFK191" s="1"/>
      <c r="AFL191" s="1"/>
      <c r="AFM191" s="1"/>
      <c r="AFN191" s="1"/>
      <c r="AFO191" s="1"/>
      <c r="AFP191" s="1"/>
      <c r="AFQ191" s="1"/>
      <c r="AFR191" s="1"/>
      <c r="AFS191" s="1"/>
      <c r="AFT191" s="1"/>
      <c r="AFU191" s="1"/>
      <c r="AFV191" s="1"/>
      <c r="AFW191" s="1"/>
      <c r="AFX191" s="1"/>
      <c r="AFY191" s="1"/>
      <c r="AFZ191" s="1"/>
      <c r="AGA191" s="1"/>
      <c r="AGB191" s="1"/>
      <c r="AGC191" s="1"/>
      <c r="AGD191" s="1"/>
      <c r="AGE191" s="1"/>
      <c r="AGF191" s="1"/>
      <c r="AGG191" s="1"/>
      <c r="AGH191" s="1"/>
      <c r="AGI191" s="1"/>
      <c r="AGJ191" s="1"/>
      <c r="AGK191" s="1"/>
      <c r="AGL191" s="1"/>
      <c r="AGM191" s="1"/>
      <c r="AGN191" s="1"/>
      <c r="AGO191" s="1"/>
      <c r="AGP191" s="1"/>
      <c r="AGQ191" s="1"/>
      <c r="AGR191" s="1"/>
      <c r="AGS191" s="1"/>
      <c r="AGT191" s="1"/>
      <c r="AGU191" s="1"/>
      <c r="AGV191" s="1"/>
      <c r="AGW191" s="1"/>
      <c r="AGX191" s="1"/>
      <c r="AGY191" s="1"/>
      <c r="AGZ191" s="1"/>
      <c r="AHA191" s="1"/>
      <c r="AHB191" s="1"/>
      <c r="AHC191" s="1"/>
      <c r="AHD191" s="1"/>
      <c r="AHE191" s="1"/>
      <c r="AHF191" s="1"/>
      <c r="AHG191" s="1"/>
      <c r="AHH191" s="1"/>
      <c r="AHI191" s="1"/>
      <c r="AHJ191" s="1"/>
      <c r="AHK191" s="1"/>
      <c r="AHL191" s="1"/>
      <c r="AHM191" s="1"/>
      <c r="AHN191" s="1"/>
      <c r="AHO191" s="1"/>
      <c r="AHP191" s="1"/>
      <c r="AHQ191" s="1"/>
      <c r="AHR191" s="1"/>
      <c r="AHS191" s="1"/>
      <c r="AHT191" s="1"/>
      <c r="AHU191" s="1"/>
      <c r="AHV191" s="1"/>
      <c r="AHW191" s="1"/>
      <c r="AHX191" s="1"/>
      <c r="AHY191" s="1"/>
      <c r="AHZ191" s="1"/>
      <c r="AIA191" s="1"/>
      <c r="AIB191" s="1"/>
      <c r="AIC191" s="1"/>
      <c r="AID191" s="1"/>
      <c r="AIE191" s="1"/>
      <c r="AIF191" s="1"/>
      <c r="AIG191" s="1"/>
      <c r="AIH191" s="1"/>
      <c r="AII191" s="1"/>
      <c r="AIJ191" s="1"/>
      <c r="AIK191" s="1"/>
      <c r="AIL191" s="1"/>
      <c r="AIM191" s="1"/>
      <c r="AIN191" s="1"/>
      <c r="AIO191" s="1"/>
      <c r="AIP191" s="1"/>
      <c r="AIQ191" s="1"/>
      <c r="AIR191" s="1"/>
      <c r="AIS191" s="1"/>
      <c r="AIT191" s="1"/>
      <c r="AIU191" s="1"/>
      <c r="AIV191" s="1"/>
      <c r="AIW191" s="1"/>
      <c r="AIX191" s="1"/>
      <c r="AIY191" s="1"/>
      <c r="AIZ191" s="1"/>
      <c r="AJA191" s="1"/>
      <c r="AJB191" s="1"/>
      <c r="AJC191" s="1"/>
      <c r="AJD191" s="1"/>
      <c r="AJE191" s="1"/>
      <c r="AJF191" s="1"/>
      <c r="AJG191" s="1"/>
      <c r="AJH191" s="1"/>
      <c r="AJI191" s="1"/>
      <c r="AJJ191" s="1"/>
      <c r="AJK191" s="1"/>
      <c r="AJL191" s="1"/>
      <c r="AJM191" s="1"/>
      <c r="AJN191" s="1"/>
      <c r="AJO191" s="1"/>
      <c r="AJP191" s="1"/>
      <c r="AJQ191" s="1"/>
      <c r="AJR191" s="1"/>
      <c r="AJS191" s="1"/>
      <c r="AJT191" s="1"/>
      <c r="AJU191" s="1"/>
      <c r="AJV191" s="1"/>
      <c r="AJW191" s="1"/>
      <c r="AJX191" s="1"/>
      <c r="AJY191" s="1"/>
      <c r="AJZ191" s="1"/>
      <c r="AKA191" s="1"/>
      <c r="AKB191" s="1"/>
      <c r="AKC191" s="1"/>
      <c r="AKD191" s="1"/>
      <c r="AKE191" s="1"/>
      <c r="AKF191" s="1"/>
      <c r="AKG191" s="1"/>
      <c r="AKH191" s="1"/>
      <c r="AKI191" s="1"/>
      <c r="AKJ191" s="1"/>
      <c r="AKK191" s="1"/>
      <c r="AKL191" s="1"/>
      <c r="AKM191" s="1"/>
      <c r="AKN191" s="1"/>
      <c r="AKO191" s="1"/>
      <c r="AKP191" s="1"/>
      <c r="AKQ191" s="1"/>
      <c r="AKR191" s="1"/>
      <c r="AKS191" s="1"/>
      <c r="AKT191" s="1"/>
      <c r="AKU191" s="1"/>
      <c r="AKV191" s="1"/>
      <c r="AKW191" s="1"/>
      <c r="AKX191" s="1"/>
      <c r="AKY191" s="1"/>
      <c r="AKZ191" s="1"/>
      <c r="ALA191" s="1"/>
      <c r="ALB191" s="1"/>
      <c r="ALC191" s="1"/>
      <c r="ALD191" s="1"/>
      <c r="ALE191" s="1"/>
      <c r="ALF191" s="1"/>
      <c r="ALG191" s="1"/>
      <c r="ALH191" s="1"/>
      <c r="ALI191" s="1"/>
      <c r="ALJ191" s="1"/>
      <c r="ALK191" s="1"/>
      <c r="ALL191" s="1"/>
      <c r="ALM191" s="1"/>
      <c r="ALN191" s="1"/>
      <c r="ALO191" s="1"/>
      <c r="ALP191" s="1"/>
      <c r="ALQ191" s="1"/>
      <c r="ALR191" s="1"/>
      <c r="ALS191" s="1"/>
      <c r="ALT191" s="1"/>
      <c r="ALU191" s="1"/>
      <c r="ALV191" s="1"/>
      <c r="ALW191" s="1"/>
      <c r="ALX191" s="1"/>
      <c r="ALY191" s="1"/>
      <c r="ALZ191" s="1"/>
      <c r="AMA191" s="1"/>
      <c r="AMB191" s="1"/>
      <c r="AMC191" s="1"/>
      <c r="AMD191" s="1"/>
      <c r="AME191" s="1"/>
      <c r="AMF191" s="1"/>
      <c r="AMG191" s="1"/>
      <c r="AMH191" s="1"/>
      <c r="AMI191" s="1"/>
      <c r="AMJ191" s="1"/>
      <c r="AMK191" s="1"/>
      <c r="AML191" s="1"/>
      <c r="AMM191" s="1"/>
      <c r="AMN191" s="1"/>
      <c r="AMO191" s="1"/>
    </row>
    <row r="192" spans="1:1029" x14ac:dyDescent="0.2">
      <c r="A192" s="9" t="str">
        <f t="shared" ref="A192" si="923">CONCATENATE(B192,"_",C192)</f>
        <v>nk1r_human_6E59</v>
      </c>
      <c r="B192" s="9" t="s">
        <v>314</v>
      </c>
      <c r="C192" s="132" t="s">
        <v>1555</v>
      </c>
      <c r="D192" s="9" t="str">
        <f>IFERROR(MID(VLOOKUP($B192,Seqs!$A:$B,2,0),E192,1),"")</f>
        <v>V</v>
      </c>
      <c r="E192" s="9">
        <v>33</v>
      </c>
      <c r="F192" s="9" t="str">
        <f>IFERROR(MID(VLOOKUP($B192,Seqs!$A:$B,2,0),G192,1),"")</f>
        <v>H</v>
      </c>
      <c r="G192" s="9">
        <v>60</v>
      </c>
      <c r="H192" s="9" t="str">
        <f>IFERROR(MID(VLOOKUP($B192,Seqs!$A:$B,2,0),I192,1),"")</f>
        <v/>
      </c>
      <c r="I192" s="109" t="s">
        <v>23</v>
      </c>
      <c r="J192" s="9" t="str">
        <f>IFERROR(MID(VLOOKUP($B192,Seqs!$A:$B,2,0),K192,1),"")</f>
        <v/>
      </c>
      <c r="K192" s="109" t="s">
        <v>23</v>
      </c>
      <c r="L192" s="9" t="str">
        <f>IFERROR(MID(VLOOKUP($B192,Seqs!$A:$B,2,0),M192,1),"")</f>
        <v>T</v>
      </c>
      <c r="M192" s="9">
        <v>65</v>
      </c>
      <c r="N192" s="9" t="str">
        <f>IFERROR(MID(VLOOKUP($B192,Seqs!$A:$B,2,0),O192,1),"")</f>
        <v>V</v>
      </c>
      <c r="O192" s="9">
        <v>94</v>
      </c>
      <c r="P192" s="9" t="str">
        <f>IFERROR(MID(VLOOKUP($B192,Seqs!$A:$B,2,0),Q192,1),"")</f>
        <v>E</v>
      </c>
      <c r="Q192" s="9">
        <v>97</v>
      </c>
      <c r="R192" s="9" t="str">
        <f>IFERROR(MID(VLOOKUP($B192,Seqs!$A:$B,2,0),S192,1),"")</f>
        <v>Y</v>
      </c>
      <c r="S192" s="9">
        <v>100</v>
      </c>
      <c r="T192" s="9" t="str">
        <f>IFERROR(MID(VLOOKUP($B192,Seqs!$A:$B,2,0),U192,1),"")</f>
        <v>F</v>
      </c>
      <c r="U192" s="9">
        <v>103</v>
      </c>
      <c r="V192" s="9" t="str">
        <f>IFERROR(MID(VLOOKUP($B192,Seqs!$A:$B,2,0),W192,1),"")</f>
        <v>H</v>
      </c>
      <c r="W192" s="9">
        <v>136</v>
      </c>
      <c r="X192" s="9" t="str">
        <f>IFERROR(MID(VLOOKUP($B192,Seqs!$A:$B,2,0),Y192,1),"")</f>
        <v/>
      </c>
      <c r="Y192" s="9" t="s">
        <v>23</v>
      </c>
      <c r="Z192" s="9" t="str">
        <f>IFERROR(MID(VLOOKUP($B192,Seqs!$A:$B,2,0),AA192,1),"")</f>
        <v/>
      </c>
      <c r="AA192" s="9" t="s">
        <v>23</v>
      </c>
      <c r="AB192" s="9" t="str">
        <f>IFERROR(MID(VLOOKUP($B192,Seqs!$A:$B,2,0),AC192,1),"")</f>
        <v>S</v>
      </c>
      <c r="AC192" s="9">
        <v>143</v>
      </c>
      <c r="AD192" s="9" t="str">
        <f>IFERROR(MID(VLOOKUP($B192,Seqs!$A:$B,2,0),AE192,1),"")</f>
        <v>S</v>
      </c>
      <c r="AE192" s="9">
        <v>169</v>
      </c>
      <c r="AF192" s="9" t="str">
        <f>IFERROR(MID(VLOOKUP($B192,Seqs!$A:$B,2,0),AG192,1),"")</f>
        <v>C</v>
      </c>
      <c r="AG192" s="9">
        <v>180</v>
      </c>
      <c r="AH192" s="9" t="str">
        <f>IFERROR(MID(VLOOKUP($B192,Seqs!$A:$B,2,0),AI192,1),"")</f>
        <v>I</v>
      </c>
      <c r="AI192" s="9">
        <v>182</v>
      </c>
      <c r="AJ192" s="9" t="str">
        <f>IFERROR(MID(VLOOKUP($B192,Seqs!$A:$B,2,0),AK192,1),"")</f>
        <v>P</v>
      </c>
      <c r="AK192" s="9">
        <v>188</v>
      </c>
      <c r="AL192" s="9" t="str">
        <f>IFERROR(MID(VLOOKUP($B192,Seqs!$A:$B,2,0),AM192,1),"")</f>
        <v>W</v>
      </c>
      <c r="AM192" s="9">
        <v>224</v>
      </c>
      <c r="AN192" s="9" t="str">
        <f>IFERROR(MID(VLOOKUP($B192,Seqs!$A:$B,2,0),AO192,1),"")</f>
        <v>E</v>
      </c>
      <c r="AO192" s="9">
        <v>238</v>
      </c>
      <c r="AP192" s="9" t="str">
        <f>IFERROR(MID(VLOOKUP($B192,Seqs!$A:$B,2,0),AQ192,1),"")</f>
        <v>N</v>
      </c>
      <c r="AQ192" s="9">
        <v>274</v>
      </c>
      <c r="AR192" s="9" t="str">
        <f>IFERROR(MID(VLOOKUP($B192,Seqs!$A:$B,2,0),AS192,1),"")</f>
        <v>I</v>
      </c>
      <c r="AS192" s="9">
        <v>283</v>
      </c>
      <c r="AT192" s="9" t="str">
        <f>IFERROR(MID(VLOOKUP($B192,Seqs!$A:$B,2,0),AU192,1),"")</f>
        <v>L</v>
      </c>
      <c r="AU192" s="9">
        <v>308</v>
      </c>
      <c r="AV192" s="9" t="str">
        <f>IFERROR(MID(VLOOKUP($B192,Seqs!$A:$B,2,0),AW192,1),"")</f>
        <v>N</v>
      </c>
      <c r="AW192" s="9">
        <v>309</v>
      </c>
      <c r="AX192" s="9" t="str">
        <f>IFERROR(MID(VLOOKUP($B192,Seqs!$A:$B,2,0),AY192,1),"")</f>
        <v>H</v>
      </c>
      <c r="AY192" s="9">
        <v>318</v>
      </c>
      <c r="AZ192" s="110" t="str">
        <f>VLOOKUP(B192,Classification!A:D,2,0)</f>
        <v>A</v>
      </c>
      <c r="BA192" s="98" t="str">
        <f>VLOOKUP(B192,Classification!A:D,4,0)</f>
        <v>Tachykinin</v>
      </c>
      <c r="BB192" s="36" t="b">
        <f t="shared" ref="BB192" si="924">AND(E192&lt;G192,OR(G192&lt;I192,I192="-"),OR(I192&lt;K192,I192="-"),OR(K192&lt;M192,K192="-"),M192&lt;O192,OR(O192&lt;Q192,Q192="-"),OR(Q192&lt;S192,Q192="-"),OR(S192&lt;U192,S192="-"),U192&lt;W192,OR(W192&lt;Y192,Y192="-"),OR(Y192&lt;AA192,Y192="-"),OR(AA192&lt;AC192,AA192="-"),AC192&lt;AE192,OR(AE192&lt;AG192,AG192="-"),OR(AG192&lt;AI192,AG192="-"),OR(AI192&lt;AK192,AI192="-"),AK192&lt;AM192,AM192&lt;AO192,AO192&lt;AQ192,AQ192&lt;AS192,AS192&lt;AU192,OR(AU192&lt;AW192,AW192="-"),OR(AW192&lt;AY192,AW192="-"))</f>
        <v>1</v>
      </c>
      <c r="BC192" s="109">
        <f t="shared" ref="BC192" si="925">_xlfn.AGGREGATE(9,6,CH192:CS192)-_xlfn.AGGREGATE(9,6,BV192:CG192)+12</f>
        <v>238</v>
      </c>
      <c r="BD192" s="13" t="s">
        <v>23</v>
      </c>
      <c r="BE192" s="9" t="s">
        <v>1380</v>
      </c>
      <c r="BF192" s="120">
        <v>3.4</v>
      </c>
      <c r="BG192" s="51" t="s">
        <v>1</v>
      </c>
      <c r="BH192" s="51" t="s">
        <v>1</v>
      </c>
      <c r="BI192" s="12"/>
      <c r="BJ192" s="111" t="s">
        <v>1293</v>
      </c>
      <c r="BK192" s="112" t="s">
        <v>1293</v>
      </c>
      <c r="BL192" s="112" t="s">
        <v>1293</v>
      </c>
      <c r="BM192" s="112" t="s">
        <v>1293</v>
      </c>
      <c r="BN192" s="112" t="s">
        <v>1293</v>
      </c>
      <c r="BO192" s="112" t="s">
        <v>1293</v>
      </c>
      <c r="BP192" s="112" t="s">
        <v>1293</v>
      </c>
      <c r="BQ192" s="112" t="s">
        <v>1293</v>
      </c>
      <c r="BR192" s="112" t="s">
        <v>1293</v>
      </c>
      <c r="BS192" s="112" t="s">
        <v>1293</v>
      </c>
      <c r="BT192" s="112" t="s">
        <v>1293</v>
      </c>
      <c r="BU192" s="112" t="s">
        <v>1293</v>
      </c>
      <c r="BV192" s="111">
        <f t="shared" ref="BV192" si="926">E192</f>
        <v>33</v>
      </c>
      <c r="BW192" s="113" t="str">
        <f t="shared" ref="BW192" si="927">I192</f>
        <v>-</v>
      </c>
      <c r="BX192" s="114">
        <f t="shared" ref="BX192" si="928">M192</f>
        <v>65</v>
      </c>
      <c r="BY192" s="113">
        <f t="shared" ref="BY192" si="929">Q192</f>
        <v>97</v>
      </c>
      <c r="BZ192" s="114">
        <f t="shared" ref="BZ192" si="930">U192</f>
        <v>103</v>
      </c>
      <c r="CA192" s="113" t="str">
        <f t="shared" ref="CA192" si="931">Y192</f>
        <v>-</v>
      </c>
      <c r="CB192" s="114">
        <f t="shared" ref="CB192" si="932">AC192</f>
        <v>143</v>
      </c>
      <c r="CC192" s="113">
        <f t="shared" ref="CC192" si="933">AG192</f>
        <v>180</v>
      </c>
      <c r="CD192" s="114">
        <f t="shared" ref="CD192" si="934">AK192</f>
        <v>188</v>
      </c>
      <c r="CE192" s="113">
        <f t="shared" ref="CE192" si="935">AO192</f>
        <v>238</v>
      </c>
      <c r="CF192" s="114">
        <f t="shared" ref="CF192" si="936">AS192</f>
        <v>283</v>
      </c>
      <c r="CG192" s="113">
        <f t="shared" ref="CG192" si="937">AW192</f>
        <v>309</v>
      </c>
      <c r="CH192" s="111">
        <f t="shared" ref="CH192" si="938">G192</f>
        <v>60</v>
      </c>
      <c r="CI192" s="113" t="str">
        <f t="shared" ref="CI192" si="939">K192</f>
        <v>-</v>
      </c>
      <c r="CJ192" s="114">
        <f t="shared" ref="CJ192" si="940">O192</f>
        <v>94</v>
      </c>
      <c r="CK192" s="114">
        <f t="shared" ref="CK192" si="941">S192</f>
        <v>100</v>
      </c>
      <c r="CL192" s="114">
        <f t="shared" ref="CL192" si="942">W192</f>
        <v>136</v>
      </c>
      <c r="CM192" s="114" t="str">
        <f t="shared" ref="CM192" si="943">AA192</f>
        <v>-</v>
      </c>
      <c r="CN192" s="114">
        <f t="shared" ref="CN192" si="944">AE192</f>
        <v>169</v>
      </c>
      <c r="CO192" s="114">
        <f t="shared" ref="CO192" si="945">AI192</f>
        <v>182</v>
      </c>
      <c r="CP192" s="114">
        <f t="shared" ref="CP192" si="946">AM192</f>
        <v>224</v>
      </c>
      <c r="CQ192" s="114">
        <f t="shared" ref="CQ192" si="947">AQ192</f>
        <v>274</v>
      </c>
      <c r="CR192" s="114">
        <f t="shared" ref="CR192" si="948">AU192</f>
        <v>308</v>
      </c>
      <c r="CS192" s="114">
        <f t="shared" ref="CS192" si="949">AY192</f>
        <v>318</v>
      </c>
      <c r="CT192" s="109" t="e">
        <f t="shared" ref="CT192" si="950">M192-K192</f>
        <v>#VALUE!</v>
      </c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  <c r="ADW192" s="1"/>
      <c r="ADX192" s="1"/>
      <c r="ADY192" s="1"/>
      <c r="ADZ192" s="1"/>
      <c r="AEA192" s="1"/>
      <c r="AEB192" s="1"/>
      <c r="AEC192" s="1"/>
      <c r="AED192" s="1"/>
      <c r="AEE192" s="1"/>
      <c r="AEF192" s="1"/>
      <c r="AEG192" s="1"/>
      <c r="AEH192" s="1"/>
      <c r="AEI192" s="1"/>
      <c r="AEJ192" s="1"/>
      <c r="AEK192" s="1"/>
      <c r="AEL192" s="1"/>
      <c r="AEM192" s="1"/>
      <c r="AEN192" s="1"/>
      <c r="AEO192" s="1"/>
      <c r="AEP192" s="1"/>
      <c r="AEQ192" s="1"/>
      <c r="AER192" s="1"/>
      <c r="AES192" s="1"/>
      <c r="AET192" s="1"/>
      <c r="AEU192" s="1"/>
      <c r="AEV192" s="1"/>
      <c r="AEW192" s="1"/>
      <c r="AEX192" s="1"/>
      <c r="AEY192" s="1"/>
      <c r="AEZ192" s="1"/>
      <c r="AFA192" s="1"/>
      <c r="AFB192" s="1"/>
      <c r="AFC192" s="1"/>
      <c r="AFD192" s="1"/>
      <c r="AFE192" s="1"/>
      <c r="AFF192" s="1"/>
      <c r="AFG192" s="1"/>
      <c r="AFH192" s="1"/>
      <c r="AFI192" s="1"/>
      <c r="AFJ192" s="1"/>
      <c r="AFK192" s="1"/>
      <c r="AFL192" s="1"/>
      <c r="AFM192" s="1"/>
      <c r="AFN192" s="1"/>
      <c r="AFO192" s="1"/>
      <c r="AFP192" s="1"/>
      <c r="AFQ192" s="1"/>
      <c r="AFR192" s="1"/>
      <c r="AFS192" s="1"/>
      <c r="AFT192" s="1"/>
      <c r="AFU192" s="1"/>
      <c r="AFV192" s="1"/>
      <c r="AFW192" s="1"/>
      <c r="AFX192" s="1"/>
      <c r="AFY192" s="1"/>
      <c r="AFZ192" s="1"/>
      <c r="AGA192" s="1"/>
      <c r="AGB192" s="1"/>
      <c r="AGC192" s="1"/>
      <c r="AGD192" s="1"/>
      <c r="AGE192" s="1"/>
      <c r="AGF192" s="1"/>
      <c r="AGG192" s="1"/>
      <c r="AGH192" s="1"/>
      <c r="AGI192" s="1"/>
      <c r="AGJ192" s="1"/>
      <c r="AGK192" s="1"/>
      <c r="AGL192" s="1"/>
      <c r="AGM192" s="1"/>
      <c r="AGN192" s="1"/>
      <c r="AGO192" s="1"/>
      <c r="AGP192" s="1"/>
      <c r="AGQ192" s="1"/>
      <c r="AGR192" s="1"/>
      <c r="AGS192" s="1"/>
      <c r="AGT192" s="1"/>
      <c r="AGU192" s="1"/>
      <c r="AGV192" s="1"/>
      <c r="AGW192" s="1"/>
      <c r="AGX192" s="1"/>
      <c r="AGY192" s="1"/>
      <c r="AGZ192" s="1"/>
      <c r="AHA192" s="1"/>
      <c r="AHB192" s="1"/>
      <c r="AHC192" s="1"/>
      <c r="AHD192" s="1"/>
      <c r="AHE192" s="1"/>
      <c r="AHF192" s="1"/>
      <c r="AHG192" s="1"/>
      <c r="AHH192" s="1"/>
      <c r="AHI192" s="1"/>
      <c r="AHJ192" s="1"/>
      <c r="AHK192" s="1"/>
      <c r="AHL192" s="1"/>
      <c r="AHM192" s="1"/>
      <c r="AHN192" s="1"/>
      <c r="AHO192" s="1"/>
      <c r="AHP192" s="1"/>
      <c r="AHQ192" s="1"/>
      <c r="AHR192" s="1"/>
      <c r="AHS192" s="1"/>
      <c r="AHT192" s="1"/>
      <c r="AHU192" s="1"/>
      <c r="AHV192" s="1"/>
      <c r="AHW192" s="1"/>
      <c r="AHX192" s="1"/>
      <c r="AHY192" s="1"/>
      <c r="AHZ192" s="1"/>
      <c r="AIA192" s="1"/>
      <c r="AIB192" s="1"/>
      <c r="AIC192" s="1"/>
      <c r="AID192" s="1"/>
      <c r="AIE192" s="1"/>
      <c r="AIF192" s="1"/>
      <c r="AIG192" s="1"/>
      <c r="AIH192" s="1"/>
      <c r="AII192" s="1"/>
      <c r="AIJ192" s="1"/>
      <c r="AIK192" s="1"/>
      <c r="AIL192" s="1"/>
      <c r="AIM192" s="1"/>
      <c r="AIN192" s="1"/>
      <c r="AIO192" s="1"/>
      <c r="AIP192" s="1"/>
      <c r="AIQ192" s="1"/>
      <c r="AIR192" s="1"/>
      <c r="AIS192" s="1"/>
      <c r="AIT192" s="1"/>
      <c r="AIU192" s="1"/>
      <c r="AIV192" s="1"/>
      <c r="AIW192" s="1"/>
      <c r="AIX192" s="1"/>
      <c r="AIY192" s="1"/>
      <c r="AIZ192" s="1"/>
      <c r="AJA192" s="1"/>
      <c r="AJB192" s="1"/>
      <c r="AJC192" s="1"/>
      <c r="AJD192" s="1"/>
      <c r="AJE192" s="1"/>
      <c r="AJF192" s="1"/>
      <c r="AJG192" s="1"/>
      <c r="AJH192" s="1"/>
      <c r="AJI192" s="1"/>
      <c r="AJJ192" s="1"/>
      <c r="AJK192" s="1"/>
      <c r="AJL192" s="1"/>
      <c r="AJM192" s="1"/>
      <c r="AJN192" s="1"/>
      <c r="AJO192" s="1"/>
      <c r="AJP192" s="1"/>
      <c r="AJQ192" s="1"/>
      <c r="AJR192" s="1"/>
      <c r="AJS192" s="1"/>
      <c r="AJT192" s="1"/>
      <c r="AJU192" s="1"/>
      <c r="AJV192" s="1"/>
      <c r="AJW192" s="1"/>
      <c r="AJX192" s="1"/>
      <c r="AJY192" s="1"/>
      <c r="AJZ192" s="1"/>
      <c r="AKA192" s="1"/>
      <c r="AKB192" s="1"/>
      <c r="AKC192" s="1"/>
      <c r="AKD192" s="1"/>
      <c r="AKE192" s="1"/>
      <c r="AKF192" s="1"/>
      <c r="AKG192" s="1"/>
      <c r="AKH192" s="1"/>
      <c r="AKI192" s="1"/>
      <c r="AKJ192" s="1"/>
      <c r="AKK192" s="1"/>
      <c r="AKL192" s="1"/>
      <c r="AKM192" s="1"/>
      <c r="AKN192" s="1"/>
      <c r="AKO192" s="1"/>
      <c r="AKP192" s="1"/>
      <c r="AKQ192" s="1"/>
      <c r="AKR192" s="1"/>
      <c r="AKS192" s="1"/>
      <c r="AKT192" s="1"/>
      <c r="AKU192" s="1"/>
      <c r="AKV192" s="1"/>
      <c r="AKW192" s="1"/>
      <c r="AKX192" s="1"/>
      <c r="AKY192" s="1"/>
      <c r="AKZ192" s="1"/>
      <c r="ALA192" s="1"/>
      <c r="ALB192" s="1"/>
      <c r="ALC192" s="1"/>
      <c r="ALD192" s="1"/>
      <c r="ALE192" s="1"/>
      <c r="ALF192" s="1"/>
      <c r="ALG192" s="1"/>
      <c r="ALH192" s="1"/>
      <c r="ALI192" s="1"/>
      <c r="ALJ192" s="1"/>
      <c r="ALK192" s="1"/>
      <c r="ALL192" s="1"/>
      <c r="ALM192" s="1"/>
      <c r="ALN192" s="1"/>
      <c r="ALO192" s="1"/>
      <c r="ALP192" s="1"/>
      <c r="ALQ192" s="1"/>
      <c r="ALR192" s="1"/>
      <c r="ALS192" s="1"/>
      <c r="ALT192" s="1"/>
      <c r="ALU192" s="1"/>
      <c r="ALV192" s="1"/>
      <c r="ALW192" s="1"/>
      <c r="ALX192" s="1"/>
      <c r="ALY192" s="1"/>
      <c r="ALZ192" s="1"/>
      <c r="AMA192" s="1"/>
      <c r="AMB192" s="1"/>
      <c r="AMC192" s="1"/>
      <c r="AMD192" s="1"/>
      <c r="AME192" s="1"/>
      <c r="AMF192" s="1"/>
      <c r="AMG192" s="1"/>
      <c r="AMH192" s="1"/>
      <c r="AMI192" s="1"/>
      <c r="AMJ192" s="1"/>
      <c r="AMK192" s="1"/>
      <c r="AML192" s="1"/>
      <c r="AMM192" s="1"/>
      <c r="AMN192" s="1"/>
      <c r="AMO192" s="1"/>
    </row>
    <row r="193" spans="1:1029" x14ac:dyDescent="0.2">
      <c r="A193" s="9" t="str">
        <f t="shared" ref="A193" si="951">CONCATENATE(B193,"_",C193)</f>
        <v>nk1r_human_6HLL</v>
      </c>
      <c r="B193" s="9" t="s">
        <v>314</v>
      </c>
      <c r="C193" s="132" t="s">
        <v>1566</v>
      </c>
      <c r="D193" s="9" t="str">
        <f>IFERROR(MID(VLOOKUP($B193,Seqs!$A:$B,2,0),E193,1),"")</f>
        <v>P</v>
      </c>
      <c r="E193" s="9">
        <v>28</v>
      </c>
      <c r="F193" s="9" t="str">
        <f>IFERROR(MID(VLOOKUP($B193,Seqs!$A:$B,2,0),G193,1),"")</f>
        <v>A</v>
      </c>
      <c r="G193" s="9">
        <v>59</v>
      </c>
      <c r="H193" s="9" t="str">
        <f>IFERROR(MID(VLOOKUP($B193,Seqs!$A:$B,2,0),I193,1),"")</f>
        <v>K</v>
      </c>
      <c r="I193" s="109">
        <v>61</v>
      </c>
      <c r="J193" s="9" t="str">
        <f>IFERROR(MID(VLOOKUP($B193,Seqs!$A:$B,2,0),K193,1),"")</f>
        <v>R</v>
      </c>
      <c r="K193" s="109">
        <v>64</v>
      </c>
      <c r="L193" s="9" t="str">
        <f>IFERROR(MID(VLOOKUP($B193,Seqs!$A:$B,2,0),M193,1),"")</f>
        <v>T</v>
      </c>
      <c r="M193" s="9">
        <v>65</v>
      </c>
      <c r="N193" s="9" t="str">
        <f>IFERROR(MID(VLOOKUP($B193,Seqs!$A:$B,2,0),O193,1),"")</f>
        <v>N</v>
      </c>
      <c r="O193" s="9">
        <v>96</v>
      </c>
      <c r="P193" s="9" t="str">
        <f>IFERROR(MID(VLOOKUP($B193,Seqs!$A:$B,2,0),Q193,1),"")</f>
        <v>E</v>
      </c>
      <c r="Q193" s="9">
        <v>97</v>
      </c>
      <c r="R193" s="9" t="str">
        <f>IFERROR(MID(VLOOKUP($B193,Seqs!$A:$B,2,0),S193,1),"")</f>
        <v>Y</v>
      </c>
      <c r="S193" s="9">
        <v>100</v>
      </c>
      <c r="T193" s="9" t="str">
        <f>IFERROR(MID(VLOOKUP($B193,Seqs!$A:$B,2,0),U193,1),"")</f>
        <v>G</v>
      </c>
      <c r="U193" s="9">
        <v>101</v>
      </c>
      <c r="V193" s="9" t="str">
        <f>IFERROR(MID(VLOOKUP($B193,Seqs!$A:$B,2,0),W193,1),"")</f>
        <v>H</v>
      </c>
      <c r="W193" s="9">
        <v>136</v>
      </c>
      <c r="X193" s="9" t="str">
        <f>IFERROR(MID(VLOOKUP($B193,Seqs!$A:$B,2,0),Y193,1),"")</f>
        <v/>
      </c>
      <c r="Y193" s="9" t="s">
        <v>23</v>
      </c>
      <c r="Z193" s="9" t="str">
        <f>IFERROR(MID(VLOOKUP($B193,Seqs!$A:$B,2,0),AA193,1),"")</f>
        <v/>
      </c>
      <c r="AA193" s="9" t="s">
        <v>23</v>
      </c>
      <c r="AB193" s="9" t="str">
        <f>IFERROR(MID(VLOOKUP($B193,Seqs!$A:$B,2,0),AC193,1),"")</f>
        <v>S</v>
      </c>
      <c r="AC193" s="9">
        <v>143</v>
      </c>
      <c r="AD193" s="9" t="str">
        <f>IFERROR(MID(VLOOKUP($B193,Seqs!$A:$B,2,0),AE193,1),"")</f>
        <v>S</v>
      </c>
      <c r="AE193" s="9">
        <v>169</v>
      </c>
      <c r="AF193" s="9" t="str">
        <f>IFERROR(MID(VLOOKUP($B193,Seqs!$A:$B,2,0),AG193,1),"")</f>
        <v>C</v>
      </c>
      <c r="AG193" s="9">
        <v>180</v>
      </c>
      <c r="AH193" s="9" t="str">
        <f>IFERROR(MID(VLOOKUP($B193,Seqs!$A:$B,2,0),AI193,1),"")</f>
        <v>I</v>
      </c>
      <c r="AI193" s="9">
        <v>182</v>
      </c>
      <c r="AJ193" s="9" t="str">
        <f>IFERROR(MID(VLOOKUP($B193,Seqs!$A:$B,2,0),AK193,1),"")</f>
        <v>K</v>
      </c>
      <c r="AK193" s="9">
        <v>190</v>
      </c>
      <c r="AL193" s="9" t="str">
        <f>IFERROR(MID(VLOOKUP($B193,Seqs!$A:$B,2,0),AM193,1),"")</f>
        <v>S</v>
      </c>
      <c r="AM193" s="9">
        <v>226</v>
      </c>
      <c r="AN193" s="9" t="str">
        <f>IFERROR(MID(VLOOKUP($B193,Seqs!$A:$B,2,0),AO193,1),"")</f>
        <v>E</v>
      </c>
      <c r="AO193" s="9">
        <v>238</v>
      </c>
      <c r="AP193" s="9" t="str">
        <f>IFERROR(MID(VLOOKUP($B193,Seqs!$A:$B,2,0),AQ193,1),"")</f>
        <v>L</v>
      </c>
      <c r="AQ193" s="9">
        <v>270</v>
      </c>
      <c r="AR193" s="9" t="str">
        <f>IFERROR(MID(VLOOKUP($B193,Seqs!$A:$B,2,0),AS193,1),"")</f>
        <v>I</v>
      </c>
      <c r="AS193" s="9">
        <v>283</v>
      </c>
      <c r="AT193" s="9" t="str">
        <f>IFERROR(MID(VLOOKUP($B193,Seqs!$A:$B,2,0),AU193,1),"")</f>
        <v>L</v>
      </c>
      <c r="AU193" s="9">
        <v>308</v>
      </c>
      <c r="AV193" s="9" t="str">
        <f>IFERROR(MID(VLOOKUP($B193,Seqs!$A:$B,2,0),AW193,1),"")</f>
        <v>N</v>
      </c>
      <c r="AW193" s="9">
        <v>309</v>
      </c>
      <c r="AX193" s="9" t="str">
        <f>IFERROR(MID(VLOOKUP($B193,Seqs!$A:$B,2,0),AY193,1),"")</f>
        <v>F</v>
      </c>
      <c r="AY193" s="9">
        <v>320</v>
      </c>
      <c r="AZ193" s="110" t="str">
        <f>VLOOKUP(B193,Classification!A:D,2,0)</f>
        <v>A</v>
      </c>
      <c r="BA193" s="98" t="str">
        <f>VLOOKUP(B193,Classification!A:D,4,0)</f>
        <v>Tachykinin</v>
      </c>
      <c r="BB193" s="36" t="b">
        <f t="shared" ref="BB193" si="952">AND(E193&lt;G193,OR(G193&lt;I193,I193="-"),OR(I193&lt;K193,I193="-"),OR(K193&lt;M193,K193="-"),M193&lt;O193,OR(O193&lt;Q193,Q193="-"),OR(Q193&lt;S193,Q193="-"),OR(S193&lt;U193,S193="-"),U193&lt;W193,OR(W193&lt;Y193,Y193="-"),OR(Y193&lt;AA193,Y193="-"),OR(AA193&lt;AC193,AA193="-"),AC193&lt;AE193,OR(AE193&lt;AG193,AG193="-"),OR(AG193&lt;AI193,AG193="-"),OR(AI193&lt;AK193,AI193="-"),AK193&lt;AM193,AM193&lt;AO193,AO193&lt;AQ193,AQ193&lt;AS193,AS193&lt;AU193,OR(AU193&lt;AW193,AW193="-"),OR(AW193&lt;AY193,AW193="-"))</f>
        <v>1</v>
      </c>
      <c r="BC193" s="109">
        <f t="shared" ref="BC193" si="953">_xlfn.AGGREGATE(9,6,CH193:CS193)-_xlfn.AGGREGATE(9,6,BV193:CG193)+12</f>
        <v>247</v>
      </c>
      <c r="BD193" s="13" t="s">
        <v>23</v>
      </c>
      <c r="BE193" s="9" t="s">
        <v>1380</v>
      </c>
      <c r="BF193" s="120">
        <v>3.27</v>
      </c>
      <c r="BG193" s="51" t="s">
        <v>1</v>
      </c>
      <c r="BH193" s="51" t="s">
        <v>1</v>
      </c>
      <c r="BI193" s="12"/>
      <c r="BJ193" s="111" t="s">
        <v>1293</v>
      </c>
      <c r="BK193" s="112" t="s">
        <v>1293</v>
      </c>
      <c r="BL193" s="112" t="s">
        <v>1293</v>
      </c>
      <c r="BM193" s="112" t="s">
        <v>1293</v>
      </c>
      <c r="BN193" s="112" t="s">
        <v>1293</v>
      </c>
      <c r="BO193" s="112" t="s">
        <v>1293</v>
      </c>
      <c r="BP193" s="112" t="s">
        <v>1293</v>
      </c>
      <c r="BQ193" s="112" t="s">
        <v>1293</v>
      </c>
      <c r="BR193" s="112" t="s">
        <v>1293</v>
      </c>
      <c r="BS193" s="112" t="s">
        <v>1293</v>
      </c>
      <c r="BT193" s="112" t="s">
        <v>1293</v>
      </c>
      <c r="BU193" s="112" t="s">
        <v>1293</v>
      </c>
      <c r="BV193" s="111">
        <f t="shared" ref="BV193" si="954">E193</f>
        <v>28</v>
      </c>
      <c r="BW193" s="113">
        <f t="shared" ref="BW193" si="955">I193</f>
        <v>61</v>
      </c>
      <c r="BX193" s="114">
        <f t="shared" ref="BX193" si="956">M193</f>
        <v>65</v>
      </c>
      <c r="BY193" s="113">
        <f t="shared" ref="BY193" si="957">Q193</f>
        <v>97</v>
      </c>
      <c r="BZ193" s="114">
        <f t="shared" ref="BZ193" si="958">U193</f>
        <v>101</v>
      </c>
      <c r="CA193" s="113" t="str">
        <f t="shared" ref="CA193" si="959">Y193</f>
        <v>-</v>
      </c>
      <c r="CB193" s="114">
        <f t="shared" ref="CB193" si="960">AC193</f>
        <v>143</v>
      </c>
      <c r="CC193" s="113">
        <f t="shared" ref="CC193" si="961">AG193</f>
        <v>180</v>
      </c>
      <c r="CD193" s="114">
        <f t="shared" ref="CD193" si="962">AK193</f>
        <v>190</v>
      </c>
      <c r="CE193" s="113">
        <f t="shared" ref="CE193" si="963">AO193</f>
        <v>238</v>
      </c>
      <c r="CF193" s="114">
        <f t="shared" ref="CF193" si="964">AS193</f>
        <v>283</v>
      </c>
      <c r="CG193" s="113">
        <f t="shared" ref="CG193" si="965">AW193</f>
        <v>309</v>
      </c>
      <c r="CH193" s="111">
        <f t="shared" ref="CH193" si="966">G193</f>
        <v>59</v>
      </c>
      <c r="CI193" s="113">
        <f t="shared" ref="CI193" si="967">K193</f>
        <v>64</v>
      </c>
      <c r="CJ193" s="114">
        <f t="shared" ref="CJ193" si="968">O193</f>
        <v>96</v>
      </c>
      <c r="CK193" s="114">
        <f t="shared" ref="CK193" si="969">S193</f>
        <v>100</v>
      </c>
      <c r="CL193" s="114">
        <f t="shared" ref="CL193" si="970">W193</f>
        <v>136</v>
      </c>
      <c r="CM193" s="114" t="str">
        <f t="shared" ref="CM193" si="971">AA193</f>
        <v>-</v>
      </c>
      <c r="CN193" s="114">
        <f t="shared" ref="CN193" si="972">AE193</f>
        <v>169</v>
      </c>
      <c r="CO193" s="114">
        <f t="shared" ref="CO193" si="973">AI193</f>
        <v>182</v>
      </c>
      <c r="CP193" s="114">
        <f t="shared" ref="CP193" si="974">AM193</f>
        <v>226</v>
      </c>
      <c r="CQ193" s="114">
        <f t="shared" ref="CQ193" si="975">AQ193</f>
        <v>270</v>
      </c>
      <c r="CR193" s="114">
        <f t="shared" ref="CR193" si="976">AU193</f>
        <v>308</v>
      </c>
      <c r="CS193" s="114">
        <f t="shared" ref="CS193" si="977">AY193</f>
        <v>320</v>
      </c>
      <c r="CT193" s="109">
        <f t="shared" ref="CT193" si="978">M193-K193</f>
        <v>1</v>
      </c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  <c r="ADW193" s="1"/>
      <c r="ADX193" s="1"/>
      <c r="ADY193" s="1"/>
      <c r="ADZ193" s="1"/>
      <c r="AEA193" s="1"/>
      <c r="AEB193" s="1"/>
      <c r="AEC193" s="1"/>
      <c r="AED193" s="1"/>
      <c r="AEE193" s="1"/>
      <c r="AEF193" s="1"/>
      <c r="AEG193" s="1"/>
      <c r="AEH193" s="1"/>
      <c r="AEI193" s="1"/>
      <c r="AEJ193" s="1"/>
      <c r="AEK193" s="1"/>
      <c r="AEL193" s="1"/>
      <c r="AEM193" s="1"/>
      <c r="AEN193" s="1"/>
      <c r="AEO193" s="1"/>
      <c r="AEP193" s="1"/>
      <c r="AEQ193" s="1"/>
      <c r="AER193" s="1"/>
      <c r="AES193" s="1"/>
      <c r="AET193" s="1"/>
      <c r="AEU193" s="1"/>
      <c r="AEV193" s="1"/>
      <c r="AEW193" s="1"/>
      <c r="AEX193" s="1"/>
      <c r="AEY193" s="1"/>
      <c r="AEZ193" s="1"/>
      <c r="AFA193" s="1"/>
      <c r="AFB193" s="1"/>
      <c r="AFC193" s="1"/>
      <c r="AFD193" s="1"/>
      <c r="AFE193" s="1"/>
      <c r="AFF193" s="1"/>
      <c r="AFG193" s="1"/>
      <c r="AFH193" s="1"/>
      <c r="AFI193" s="1"/>
      <c r="AFJ193" s="1"/>
      <c r="AFK193" s="1"/>
      <c r="AFL193" s="1"/>
      <c r="AFM193" s="1"/>
      <c r="AFN193" s="1"/>
      <c r="AFO193" s="1"/>
      <c r="AFP193" s="1"/>
      <c r="AFQ193" s="1"/>
      <c r="AFR193" s="1"/>
      <c r="AFS193" s="1"/>
      <c r="AFT193" s="1"/>
      <c r="AFU193" s="1"/>
      <c r="AFV193" s="1"/>
      <c r="AFW193" s="1"/>
      <c r="AFX193" s="1"/>
      <c r="AFY193" s="1"/>
      <c r="AFZ193" s="1"/>
      <c r="AGA193" s="1"/>
      <c r="AGB193" s="1"/>
      <c r="AGC193" s="1"/>
      <c r="AGD193" s="1"/>
      <c r="AGE193" s="1"/>
      <c r="AGF193" s="1"/>
      <c r="AGG193" s="1"/>
      <c r="AGH193" s="1"/>
      <c r="AGI193" s="1"/>
      <c r="AGJ193" s="1"/>
      <c r="AGK193" s="1"/>
      <c r="AGL193" s="1"/>
      <c r="AGM193" s="1"/>
      <c r="AGN193" s="1"/>
      <c r="AGO193" s="1"/>
      <c r="AGP193" s="1"/>
      <c r="AGQ193" s="1"/>
      <c r="AGR193" s="1"/>
      <c r="AGS193" s="1"/>
      <c r="AGT193" s="1"/>
      <c r="AGU193" s="1"/>
      <c r="AGV193" s="1"/>
      <c r="AGW193" s="1"/>
      <c r="AGX193" s="1"/>
      <c r="AGY193" s="1"/>
      <c r="AGZ193" s="1"/>
      <c r="AHA193" s="1"/>
      <c r="AHB193" s="1"/>
      <c r="AHC193" s="1"/>
      <c r="AHD193" s="1"/>
      <c r="AHE193" s="1"/>
      <c r="AHF193" s="1"/>
      <c r="AHG193" s="1"/>
      <c r="AHH193" s="1"/>
      <c r="AHI193" s="1"/>
      <c r="AHJ193" s="1"/>
      <c r="AHK193" s="1"/>
      <c r="AHL193" s="1"/>
      <c r="AHM193" s="1"/>
      <c r="AHN193" s="1"/>
      <c r="AHO193" s="1"/>
      <c r="AHP193" s="1"/>
      <c r="AHQ193" s="1"/>
      <c r="AHR193" s="1"/>
      <c r="AHS193" s="1"/>
      <c r="AHT193" s="1"/>
      <c r="AHU193" s="1"/>
      <c r="AHV193" s="1"/>
      <c r="AHW193" s="1"/>
      <c r="AHX193" s="1"/>
      <c r="AHY193" s="1"/>
      <c r="AHZ193" s="1"/>
      <c r="AIA193" s="1"/>
      <c r="AIB193" s="1"/>
      <c r="AIC193" s="1"/>
      <c r="AID193" s="1"/>
      <c r="AIE193" s="1"/>
      <c r="AIF193" s="1"/>
      <c r="AIG193" s="1"/>
      <c r="AIH193" s="1"/>
      <c r="AII193" s="1"/>
      <c r="AIJ193" s="1"/>
      <c r="AIK193" s="1"/>
      <c r="AIL193" s="1"/>
      <c r="AIM193" s="1"/>
      <c r="AIN193" s="1"/>
      <c r="AIO193" s="1"/>
      <c r="AIP193" s="1"/>
      <c r="AIQ193" s="1"/>
      <c r="AIR193" s="1"/>
      <c r="AIS193" s="1"/>
      <c r="AIT193" s="1"/>
      <c r="AIU193" s="1"/>
      <c r="AIV193" s="1"/>
      <c r="AIW193" s="1"/>
      <c r="AIX193" s="1"/>
      <c r="AIY193" s="1"/>
      <c r="AIZ193" s="1"/>
      <c r="AJA193" s="1"/>
      <c r="AJB193" s="1"/>
      <c r="AJC193" s="1"/>
      <c r="AJD193" s="1"/>
      <c r="AJE193" s="1"/>
      <c r="AJF193" s="1"/>
      <c r="AJG193" s="1"/>
      <c r="AJH193" s="1"/>
      <c r="AJI193" s="1"/>
      <c r="AJJ193" s="1"/>
      <c r="AJK193" s="1"/>
      <c r="AJL193" s="1"/>
      <c r="AJM193" s="1"/>
      <c r="AJN193" s="1"/>
      <c r="AJO193" s="1"/>
      <c r="AJP193" s="1"/>
      <c r="AJQ193" s="1"/>
      <c r="AJR193" s="1"/>
      <c r="AJS193" s="1"/>
      <c r="AJT193" s="1"/>
      <c r="AJU193" s="1"/>
      <c r="AJV193" s="1"/>
      <c r="AJW193" s="1"/>
      <c r="AJX193" s="1"/>
      <c r="AJY193" s="1"/>
      <c r="AJZ193" s="1"/>
      <c r="AKA193" s="1"/>
      <c r="AKB193" s="1"/>
      <c r="AKC193" s="1"/>
      <c r="AKD193" s="1"/>
      <c r="AKE193" s="1"/>
      <c r="AKF193" s="1"/>
      <c r="AKG193" s="1"/>
      <c r="AKH193" s="1"/>
      <c r="AKI193" s="1"/>
      <c r="AKJ193" s="1"/>
      <c r="AKK193" s="1"/>
      <c r="AKL193" s="1"/>
      <c r="AKM193" s="1"/>
      <c r="AKN193" s="1"/>
      <c r="AKO193" s="1"/>
      <c r="AKP193" s="1"/>
      <c r="AKQ193" s="1"/>
      <c r="AKR193" s="1"/>
      <c r="AKS193" s="1"/>
      <c r="AKT193" s="1"/>
      <c r="AKU193" s="1"/>
      <c r="AKV193" s="1"/>
      <c r="AKW193" s="1"/>
      <c r="AKX193" s="1"/>
      <c r="AKY193" s="1"/>
      <c r="AKZ193" s="1"/>
      <c r="ALA193" s="1"/>
      <c r="ALB193" s="1"/>
      <c r="ALC193" s="1"/>
      <c r="ALD193" s="1"/>
      <c r="ALE193" s="1"/>
      <c r="ALF193" s="1"/>
      <c r="ALG193" s="1"/>
      <c r="ALH193" s="1"/>
      <c r="ALI193" s="1"/>
      <c r="ALJ193" s="1"/>
      <c r="ALK193" s="1"/>
      <c r="ALL193" s="1"/>
      <c r="ALM193" s="1"/>
      <c r="ALN193" s="1"/>
      <c r="ALO193" s="1"/>
      <c r="ALP193" s="1"/>
      <c r="ALQ193" s="1"/>
      <c r="ALR193" s="1"/>
      <c r="ALS193" s="1"/>
      <c r="ALT193" s="1"/>
      <c r="ALU193" s="1"/>
      <c r="ALV193" s="1"/>
      <c r="ALW193" s="1"/>
      <c r="ALX193" s="1"/>
      <c r="ALY193" s="1"/>
      <c r="ALZ193" s="1"/>
      <c r="AMA193" s="1"/>
      <c r="AMB193" s="1"/>
      <c r="AMC193" s="1"/>
      <c r="AMD193" s="1"/>
      <c r="AME193" s="1"/>
      <c r="AMF193" s="1"/>
      <c r="AMG193" s="1"/>
      <c r="AMH193" s="1"/>
      <c r="AMI193" s="1"/>
      <c r="AMJ193" s="1"/>
      <c r="AMK193" s="1"/>
      <c r="AML193" s="1"/>
      <c r="AMM193" s="1"/>
      <c r="AMN193" s="1"/>
      <c r="AMO193" s="1"/>
    </row>
    <row r="194" spans="1:1029" x14ac:dyDescent="0.2">
      <c r="A194" s="9" t="str">
        <f t="shared" ref="A194" si="979">CONCATENATE(B194,"_",C194)</f>
        <v>nk1r_human_6HLO</v>
      </c>
      <c r="B194" s="9" t="s">
        <v>314</v>
      </c>
      <c r="C194" s="132" t="s">
        <v>1567</v>
      </c>
      <c r="D194" s="9" t="str">
        <f>IFERROR(MID(VLOOKUP($B194,Seqs!$A:$B,2,0),E194,1),"")</f>
        <v>P</v>
      </c>
      <c r="E194" s="9">
        <v>28</v>
      </c>
      <c r="F194" s="9" t="str">
        <f>IFERROR(MID(VLOOKUP($B194,Seqs!$A:$B,2,0),G194,1),"")</f>
        <v>H</v>
      </c>
      <c r="G194" s="9">
        <v>60</v>
      </c>
      <c r="H194" s="9" t="str">
        <f>IFERROR(MID(VLOOKUP($B194,Seqs!$A:$B,2,0),I194,1),"")</f>
        <v>K</v>
      </c>
      <c r="I194" s="109">
        <v>61</v>
      </c>
      <c r="J194" s="9" t="str">
        <f>IFERROR(MID(VLOOKUP($B194,Seqs!$A:$B,2,0),K194,1),"")</f>
        <v>R</v>
      </c>
      <c r="K194" s="109">
        <v>64</v>
      </c>
      <c r="L194" s="9" t="str">
        <f>IFERROR(MID(VLOOKUP($B194,Seqs!$A:$B,2,0),M194,1),"")</f>
        <v>T</v>
      </c>
      <c r="M194" s="9">
        <v>65</v>
      </c>
      <c r="N194" s="9" t="str">
        <f>IFERROR(MID(VLOOKUP($B194,Seqs!$A:$B,2,0),O194,1),"")</f>
        <v>H</v>
      </c>
      <c r="O194" s="9">
        <v>95</v>
      </c>
      <c r="P194" s="9" t="str">
        <f>IFERROR(MID(VLOOKUP($B194,Seqs!$A:$B,2,0),Q194,1),"")</f>
        <v>E</v>
      </c>
      <c r="Q194" s="9">
        <v>97</v>
      </c>
      <c r="R194" s="9" t="str">
        <f>IFERROR(MID(VLOOKUP($B194,Seqs!$A:$B,2,0),S194,1),"")</f>
        <v>Y</v>
      </c>
      <c r="S194" s="9">
        <v>100</v>
      </c>
      <c r="T194" s="9" t="str">
        <f>IFERROR(MID(VLOOKUP($B194,Seqs!$A:$B,2,0),U194,1),"")</f>
        <v>G</v>
      </c>
      <c r="U194" s="9">
        <v>101</v>
      </c>
      <c r="V194" s="9" t="str">
        <f>IFERROR(MID(VLOOKUP($B194,Seqs!$A:$B,2,0),W194,1),"")</f>
        <v>H</v>
      </c>
      <c r="W194" s="9">
        <v>136</v>
      </c>
      <c r="X194" s="9" t="str">
        <f>IFERROR(MID(VLOOKUP($B194,Seqs!$A:$B,2,0),Y194,1),"")</f>
        <v/>
      </c>
      <c r="Y194" s="9" t="s">
        <v>23</v>
      </c>
      <c r="Z194" s="9" t="str">
        <f>IFERROR(MID(VLOOKUP($B194,Seqs!$A:$B,2,0),AA194,1),"")</f>
        <v/>
      </c>
      <c r="AA194" s="9" t="s">
        <v>23</v>
      </c>
      <c r="AB194" s="9" t="str">
        <f>IFERROR(MID(VLOOKUP($B194,Seqs!$A:$B,2,0),AC194,1),"")</f>
        <v>S</v>
      </c>
      <c r="AC194" s="9">
        <v>143</v>
      </c>
      <c r="AD194" s="9" t="str">
        <f>IFERROR(MID(VLOOKUP($B194,Seqs!$A:$B,2,0),AE194,1),"")</f>
        <v>S</v>
      </c>
      <c r="AE194" s="9">
        <v>169</v>
      </c>
      <c r="AF194" s="9" t="str">
        <f>IFERROR(MID(VLOOKUP($B194,Seqs!$A:$B,2,0),AG194,1),"")</f>
        <v>C</v>
      </c>
      <c r="AG194" s="9">
        <v>180</v>
      </c>
      <c r="AH194" s="9" t="str">
        <f>IFERROR(MID(VLOOKUP($B194,Seqs!$A:$B,2,0),AI194,1),"")</f>
        <v>I</v>
      </c>
      <c r="AI194" s="9">
        <v>182</v>
      </c>
      <c r="AJ194" s="9" t="str">
        <f>IFERROR(MID(VLOOKUP($B194,Seqs!$A:$B,2,0),AK194,1),"")</f>
        <v>K</v>
      </c>
      <c r="AK194" s="9">
        <v>190</v>
      </c>
      <c r="AL194" s="9" t="str">
        <f>IFERROR(MID(VLOOKUP($B194,Seqs!$A:$B,2,0),AM194,1),"")</f>
        <v>S</v>
      </c>
      <c r="AM194" s="9">
        <v>226</v>
      </c>
      <c r="AN194" s="9" t="str">
        <f>IFERROR(MID(VLOOKUP($B194,Seqs!$A:$B,2,0),AO194,1),"")</f>
        <v>E</v>
      </c>
      <c r="AO194" s="9">
        <v>238</v>
      </c>
      <c r="AP194" s="9" t="str">
        <f>IFERROR(MID(VLOOKUP($B194,Seqs!$A:$B,2,0),AQ194,1),"")</f>
        <v>N</v>
      </c>
      <c r="AQ194" s="9">
        <v>274</v>
      </c>
      <c r="AR194" s="9" t="str">
        <f>IFERROR(MID(VLOOKUP($B194,Seqs!$A:$B,2,0),AS194,1),"")</f>
        <v>F</v>
      </c>
      <c r="AS194" s="9">
        <v>282</v>
      </c>
      <c r="AT194" s="9" t="str">
        <f>IFERROR(MID(VLOOKUP($B194,Seqs!$A:$B,2,0),AU194,1),"")</f>
        <v>L</v>
      </c>
      <c r="AU194" s="9">
        <v>308</v>
      </c>
      <c r="AV194" s="9" t="str">
        <f>IFERROR(MID(VLOOKUP($B194,Seqs!$A:$B,2,0),AW194,1),"")</f>
        <v>N</v>
      </c>
      <c r="AW194" s="9">
        <v>309</v>
      </c>
      <c r="AX194" s="9" t="str">
        <f>IFERROR(MID(VLOOKUP($B194,Seqs!$A:$B,2,0),AY194,1),"")</f>
        <v>F</v>
      </c>
      <c r="AY194" s="9">
        <v>320</v>
      </c>
      <c r="AZ194" s="110" t="str">
        <f>VLOOKUP(B194,Classification!A:D,2,0)</f>
        <v>A</v>
      </c>
      <c r="BA194" s="98" t="str">
        <f>VLOOKUP(B194,Classification!A:D,4,0)</f>
        <v>Tachykinin</v>
      </c>
      <c r="BB194" s="36" t="b">
        <f t="shared" ref="BB194" si="980">AND(E194&lt;G194,OR(G194&lt;I194,I194="-"),OR(I194&lt;K194,I194="-"),OR(K194&lt;M194,K194="-"),M194&lt;O194,OR(O194&lt;Q194,Q194="-"),OR(Q194&lt;S194,Q194="-"),OR(S194&lt;U194,S194="-"),U194&lt;W194,OR(W194&lt;Y194,Y194="-"),OR(Y194&lt;AA194,Y194="-"),OR(AA194&lt;AC194,AA194="-"),AC194&lt;AE194,OR(AE194&lt;AG194,AG194="-"),OR(AG194&lt;AI194,AG194="-"),OR(AI194&lt;AK194,AI194="-"),AK194&lt;AM194,AM194&lt;AO194,AO194&lt;AQ194,AQ194&lt;AS194,AS194&lt;AU194,OR(AU194&lt;AW194,AW194="-"),OR(AW194&lt;AY194,AW194="-"))</f>
        <v>1</v>
      </c>
      <c r="BC194" s="109">
        <f t="shared" ref="BC194" si="981">_xlfn.AGGREGATE(9,6,CH194:CS194)-_xlfn.AGGREGATE(9,6,BV194:CG194)+12</f>
        <v>252</v>
      </c>
      <c r="BD194" s="13" t="s">
        <v>23</v>
      </c>
      <c r="BE194" s="9" t="s">
        <v>1380</v>
      </c>
      <c r="BF194" s="120">
        <v>2.4</v>
      </c>
      <c r="BG194" s="51" t="s">
        <v>1</v>
      </c>
      <c r="BH194" s="51" t="s">
        <v>1</v>
      </c>
      <c r="BI194" s="12"/>
      <c r="BJ194" s="111" t="s">
        <v>1293</v>
      </c>
      <c r="BK194" s="112" t="s">
        <v>1293</v>
      </c>
      <c r="BL194" s="112" t="s">
        <v>1293</v>
      </c>
      <c r="BM194" s="112" t="s">
        <v>1293</v>
      </c>
      <c r="BN194" s="112" t="s">
        <v>1293</v>
      </c>
      <c r="BO194" s="112" t="s">
        <v>1293</v>
      </c>
      <c r="BP194" s="112" t="s">
        <v>1293</v>
      </c>
      <c r="BQ194" s="112" t="s">
        <v>1293</v>
      </c>
      <c r="BR194" s="112" t="s">
        <v>1293</v>
      </c>
      <c r="BS194" s="112" t="s">
        <v>1293</v>
      </c>
      <c r="BT194" s="112" t="s">
        <v>1293</v>
      </c>
      <c r="BU194" s="112" t="s">
        <v>1293</v>
      </c>
      <c r="BV194" s="111">
        <f t="shared" ref="BV194" si="982">E194</f>
        <v>28</v>
      </c>
      <c r="BW194" s="113">
        <f t="shared" ref="BW194" si="983">I194</f>
        <v>61</v>
      </c>
      <c r="BX194" s="114">
        <f t="shared" ref="BX194" si="984">M194</f>
        <v>65</v>
      </c>
      <c r="BY194" s="113">
        <f t="shared" ref="BY194" si="985">Q194</f>
        <v>97</v>
      </c>
      <c r="BZ194" s="114">
        <f t="shared" ref="BZ194" si="986">U194</f>
        <v>101</v>
      </c>
      <c r="CA194" s="113" t="str">
        <f t="shared" ref="CA194" si="987">Y194</f>
        <v>-</v>
      </c>
      <c r="CB194" s="114">
        <f t="shared" ref="CB194" si="988">AC194</f>
        <v>143</v>
      </c>
      <c r="CC194" s="113">
        <f t="shared" ref="CC194" si="989">AG194</f>
        <v>180</v>
      </c>
      <c r="CD194" s="114">
        <f t="shared" ref="CD194" si="990">AK194</f>
        <v>190</v>
      </c>
      <c r="CE194" s="113">
        <f t="shared" ref="CE194" si="991">AO194</f>
        <v>238</v>
      </c>
      <c r="CF194" s="114">
        <f t="shared" ref="CF194" si="992">AS194</f>
        <v>282</v>
      </c>
      <c r="CG194" s="113">
        <f t="shared" ref="CG194" si="993">AW194</f>
        <v>309</v>
      </c>
      <c r="CH194" s="111">
        <f t="shared" ref="CH194" si="994">G194</f>
        <v>60</v>
      </c>
      <c r="CI194" s="113">
        <f t="shared" ref="CI194" si="995">K194</f>
        <v>64</v>
      </c>
      <c r="CJ194" s="114">
        <f t="shared" ref="CJ194" si="996">O194</f>
        <v>95</v>
      </c>
      <c r="CK194" s="114">
        <f t="shared" ref="CK194" si="997">S194</f>
        <v>100</v>
      </c>
      <c r="CL194" s="114">
        <f t="shared" ref="CL194" si="998">W194</f>
        <v>136</v>
      </c>
      <c r="CM194" s="114" t="str">
        <f t="shared" ref="CM194" si="999">AA194</f>
        <v>-</v>
      </c>
      <c r="CN194" s="114">
        <f t="shared" ref="CN194" si="1000">AE194</f>
        <v>169</v>
      </c>
      <c r="CO194" s="114">
        <f t="shared" ref="CO194" si="1001">AI194</f>
        <v>182</v>
      </c>
      <c r="CP194" s="114">
        <f t="shared" ref="CP194" si="1002">AM194</f>
        <v>226</v>
      </c>
      <c r="CQ194" s="114">
        <f t="shared" ref="CQ194" si="1003">AQ194</f>
        <v>274</v>
      </c>
      <c r="CR194" s="114">
        <f t="shared" ref="CR194" si="1004">AU194</f>
        <v>308</v>
      </c>
      <c r="CS194" s="114">
        <f t="shared" ref="CS194" si="1005">AY194</f>
        <v>320</v>
      </c>
      <c r="CT194" s="109">
        <f t="shared" ref="CT194" si="1006">M194-K194</f>
        <v>1</v>
      </c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  <c r="ADW194" s="1"/>
      <c r="ADX194" s="1"/>
      <c r="ADY194" s="1"/>
      <c r="ADZ194" s="1"/>
      <c r="AEA194" s="1"/>
      <c r="AEB194" s="1"/>
      <c r="AEC194" s="1"/>
      <c r="AED194" s="1"/>
      <c r="AEE194" s="1"/>
      <c r="AEF194" s="1"/>
      <c r="AEG194" s="1"/>
      <c r="AEH194" s="1"/>
      <c r="AEI194" s="1"/>
      <c r="AEJ194" s="1"/>
      <c r="AEK194" s="1"/>
      <c r="AEL194" s="1"/>
      <c r="AEM194" s="1"/>
      <c r="AEN194" s="1"/>
      <c r="AEO194" s="1"/>
      <c r="AEP194" s="1"/>
      <c r="AEQ194" s="1"/>
      <c r="AER194" s="1"/>
      <c r="AES194" s="1"/>
      <c r="AET194" s="1"/>
      <c r="AEU194" s="1"/>
      <c r="AEV194" s="1"/>
      <c r="AEW194" s="1"/>
      <c r="AEX194" s="1"/>
      <c r="AEY194" s="1"/>
      <c r="AEZ194" s="1"/>
      <c r="AFA194" s="1"/>
      <c r="AFB194" s="1"/>
      <c r="AFC194" s="1"/>
      <c r="AFD194" s="1"/>
      <c r="AFE194" s="1"/>
      <c r="AFF194" s="1"/>
      <c r="AFG194" s="1"/>
      <c r="AFH194" s="1"/>
      <c r="AFI194" s="1"/>
      <c r="AFJ194" s="1"/>
      <c r="AFK194" s="1"/>
      <c r="AFL194" s="1"/>
      <c r="AFM194" s="1"/>
      <c r="AFN194" s="1"/>
      <c r="AFO194" s="1"/>
      <c r="AFP194" s="1"/>
      <c r="AFQ194" s="1"/>
      <c r="AFR194" s="1"/>
      <c r="AFS194" s="1"/>
      <c r="AFT194" s="1"/>
      <c r="AFU194" s="1"/>
      <c r="AFV194" s="1"/>
      <c r="AFW194" s="1"/>
      <c r="AFX194" s="1"/>
      <c r="AFY194" s="1"/>
      <c r="AFZ194" s="1"/>
      <c r="AGA194" s="1"/>
      <c r="AGB194" s="1"/>
      <c r="AGC194" s="1"/>
      <c r="AGD194" s="1"/>
      <c r="AGE194" s="1"/>
      <c r="AGF194" s="1"/>
      <c r="AGG194" s="1"/>
      <c r="AGH194" s="1"/>
      <c r="AGI194" s="1"/>
      <c r="AGJ194" s="1"/>
      <c r="AGK194" s="1"/>
      <c r="AGL194" s="1"/>
      <c r="AGM194" s="1"/>
      <c r="AGN194" s="1"/>
      <c r="AGO194" s="1"/>
      <c r="AGP194" s="1"/>
      <c r="AGQ194" s="1"/>
      <c r="AGR194" s="1"/>
      <c r="AGS194" s="1"/>
      <c r="AGT194" s="1"/>
      <c r="AGU194" s="1"/>
      <c r="AGV194" s="1"/>
      <c r="AGW194" s="1"/>
      <c r="AGX194" s="1"/>
      <c r="AGY194" s="1"/>
      <c r="AGZ194" s="1"/>
      <c r="AHA194" s="1"/>
      <c r="AHB194" s="1"/>
      <c r="AHC194" s="1"/>
      <c r="AHD194" s="1"/>
      <c r="AHE194" s="1"/>
      <c r="AHF194" s="1"/>
      <c r="AHG194" s="1"/>
      <c r="AHH194" s="1"/>
      <c r="AHI194" s="1"/>
      <c r="AHJ194" s="1"/>
      <c r="AHK194" s="1"/>
      <c r="AHL194" s="1"/>
      <c r="AHM194" s="1"/>
      <c r="AHN194" s="1"/>
      <c r="AHO194" s="1"/>
      <c r="AHP194" s="1"/>
      <c r="AHQ194" s="1"/>
      <c r="AHR194" s="1"/>
      <c r="AHS194" s="1"/>
      <c r="AHT194" s="1"/>
      <c r="AHU194" s="1"/>
      <c r="AHV194" s="1"/>
      <c r="AHW194" s="1"/>
      <c r="AHX194" s="1"/>
      <c r="AHY194" s="1"/>
      <c r="AHZ194" s="1"/>
      <c r="AIA194" s="1"/>
      <c r="AIB194" s="1"/>
      <c r="AIC194" s="1"/>
      <c r="AID194" s="1"/>
      <c r="AIE194" s="1"/>
      <c r="AIF194" s="1"/>
      <c r="AIG194" s="1"/>
      <c r="AIH194" s="1"/>
      <c r="AII194" s="1"/>
      <c r="AIJ194" s="1"/>
      <c r="AIK194" s="1"/>
      <c r="AIL194" s="1"/>
      <c r="AIM194" s="1"/>
      <c r="AIN194" s="1"/>
      <c r="AIO194" s="1"/>
      <c r="AIP194" s="1"/>
      <c r="AIQ194" s="1"/>
      <c r="AIR194" s="1"/>
      <c r="AIS194" s="1"/>
      <c r="AIT194" s="1"/>
      <c r="AIU194" s="1"/>
      <c r="AIV194" s="1"/>
      <c r="AIW194" s="1"/>
      <c r="AIX194" s="1"/>
      <c r="AIY194" s="1"/>
      <c r="AIZ194" s="1"/>
      <c r="AJA194" s="1"/>
      <c r="AJB194" s="1"/>
      <c r="AJC194" s="1"/>
      <c r="AJD194" s="1"/>
      <c r="AJE194" s="1"/>
      <c r="AJF194" s="1"/>
      <c r="AJG194" s="1"/>
      <c r="AJH194" s="1"/>
      <c r="AJI194" s="1"/>
      <c r="AJJ194" s="1"/>
      <c r="AJK194" s="1"/>
      <c r="AJL194" s="1"/>
      <c r="AJM194" s="1"/>
      <c r="AJN194" s="1"/>
      <c r="AJO194" s="1"/>
      <c r="AJP194" s="1"/>
      <c r="AJQ194" s="1"/>
      <c r="AJR194" s="1"/>
      <c r="AJS194" s="1"/>
      <c r="AJT194" s="1"/>
      <c r="AJU194" s="1"/>
      <c r="AJV194" s="1"/>
      <c r="AJW194" s="1"/>
      <c r="AJX194" s="1"/>
      <c r="AJY194" s="1"/>
      <c r="AJZ194" s="1"/>
      <c r="AKA194" s="1"/>
      <c r="AKB194" s="1"/>
      <c r="AKC194" s="1"/>
      <c r="AKD194" s="1"/>
      <c r="AKE194" s="1"/>
      <c r="AKF194" s="1"/>
      <c r="AKG194" s="1"/>
      <c r="AKH194" s="1"/>
      <c r="AKI194" s="1"/>
      <c r="AKJ194" s="1"/>
      <c r="AKK194" s="1"/>
      <c r="AKL194" s="1"/>
      <c r="AKM194" s="1"/>
      <c r="AKN194" s="1"/>
      <c r="AKO194" s="1"/>
      <c r="AKP194" s="1"/>
      <c r="AKQ194" s="1"/>
      <c r="AKR194" s="1"/>
      <c r="AKS194" s="1"/>
      <c r="AKT194" s="1"/>
      <c r="AKU194" s="1"/>
      <c r="AKV194" s="1"/>
      <c r="AKW194" s="1"/>
      <c r="AKX194" s="1"/>
      <c r="AKY194" s="1"/>
      <c r="AKZ194" s="1"/>
      <c r="ALA194" s="1"/>
      <c r="ALB194" s="1"/>
      <c r="ALC194" s="1"/>
      <c r="ALD194" s="1"/>
      <c r="ALE194" s="1"/>
      <c r="ALF194" s="1"/>
      <c r="ALG194" s="1"/>
      <c r="ALH194" s="1"/>
      <c r="ALI194" s="1"/>
      <c r="ALJ194" s="1"/>
      <c r="ALK194" s="1"/>
      <c r="ALL194" s="1"/>
      <c r="ALM194" s="1"/>
      <c r="ALN194" s="1"/>
      <c r="ALO194" s="1"/>
      <c r="ALP194" s="1"/>
      <c r="ALQ194" s="1"/>
      <c r="ALR194" s="1"/>
      <c r="ALS194" s="1"/>
      <c r="ALT194" s="1"/>
      <c r="ALU194" s="1"/>
      <c r="ALV194" s="1"/>
      <c r="ALW194" s="1"/>
      <c r="ALX194" s="1"/>
      <c r="ALY194" s="1"/>
      <c r="ALZ194" s="1"/>
      <c r="AMA194" s="1"/>
      <c r="AMB194" s="1"/>
      <c r="AMC194" s="1"/>
      <c r="AMD194" s="1"/>
      <c r="AME194" s="1"/>
      <c r="AMF194" s="1"/>
      <c r="AMG194" s="1"/>
      <c r="AMH194" s="1"/>
      <c r="AMI194" s="1"/>
      <c r="AMJ194" s="1"/>
      <c r="AMK194" s="1"/>
      <c r="AML194" s="1"/>
      <c r="AMM194" s="1"/>
      <c r="AMN194" s="1"/>
      <c r="AMO194" s="1"/>
    </row>
    <row r="195" spans="1:1029" x14ac:dyDescent="0.2">
      <c r="A195" s="9" t="str">
        <f t="shared" ref="A195" si="1007">CONCATENATE(B195,"_",C195)</f>
        <v>nk1r_human_6HLP</v>
      </c>
      <c r="B195" s="9" t="s">
        <v>314</v>
      </c>
      <c r="C195" s="132" t="s">
        <v>1568</v>
      </c>
      <c r="D195" s="9" t="str">
        <f>IFERROR(MID(VLOOKUP($B195,Seqs!$A:$B,2,0),E195,1),"")</f>
        <v>P</v>
      </c>
      <c r="E195" s="9">
        <v>28</v>
      </c>
      <c r="F195" s="9" t="str">
        <f>IFERROR(MID(VLOOKUP($B195,Seqs!$A:$B,2,0),G195,1),"")</f>
        <v>H</v>
      </c>
      <c r="G195" s="9">
        <v>60</v>
      </c>
      <c r="H195" s="9" t="str">
        <f>IFERROR(MID(VLOOKUP($B195,Seqs!$A:$B,2,0),I195,1),"")</f>
        <v>K</v>
      </c>
      <c r="I195" s="109">
        <v>61</v>
      </c>
      <c r="J195" s="9" t="str">
        <f>IFERROR(MID(VLOOKUP($B195,Seqs!$A:$B,2,0),K195,1),"")</f>
        <v>R</v>
      </c>
      <c r="K195" s="109">
        <v>64</v>
      </c>
      <c r="L195" s="9" t="str">
        <f>IFERROR(MID(VLOOKUP($B195,Seqs!$A:$B,2,0),M195,1),"")</f>
        <v>T</v>
      </c>
      <c r="M195" s="9">
        <v>65</v>
      </c>
      <c r="N195" s="9" t="str">
        <f>IFERROR(MID(VLOOKUP($B195,Seqs!$A:$B,2,0),O195,1),"")</f>
        <v>H</v>
      </c>
      <c r="O195" s="9">
        <v>95</v>
      </c>
      <c r="P195" s="9" t="str">
        <f>IFERROR(MID(VLOOKUP($B195,Seqs!$A:$B,2,0),Q195,1),"")</f>
        <v>E</v>
      </c>
      <c r="Q195" s="9">
        <v>97</v>
      </c>
      <c r="R195" s="9" t="str">
        <f>IFERROR(MID(VLOOKUP($B195,Seqs!$A:$B,2,0),S195,1),"")</f>
        <v>Y</v>
      </c>
      <c r="S195" s="9">
        <v>100</v>
      </c>
      <c r="T195" s="9" t="str">
        <f>IFERROR(MID(VLOOKUP($B195,Seqs!$A:$B,2,0),U195,1),"")</f>
        <v>G</v>
      </c>
      <c r="U195" s="9">
        <v>101</v>
      </c>
      <c r="V195" s="9" t="str">
        <f>IFERROR(MID(VLOOKUP($B195,Seqs!$A:$B,2,0),W195,1),"")</f>
        <v>H</v>
      </c>
      <c r="W195" s="9">
        <v>136</v>
      </c>
      <c r="X195" s="9" t="str">
        <f>IFERROR(MID(VLOOKUP($B195,Seqs!$A:$B,2,0),Y195,1),"")</f>
        <v/>
      </c>
      <c r="Y195" s="9" t="s">
        <v>23</v>
      </c>
      <c r="Z195" s="9" t="str">
        <f>IFERROR(MID(VLOOKUP($B195,Seqs!$A:$B,2,0),AA195,1),"")</f>
        <v/>
      </c>
      <c r="AA195" s="9" t="s">
        <v>23</v>
      </c>
      <c r="AB195" s="9" t="str">
        <f>IFERROR(MID(VLOOKUP($B195,Seqs!$A:$B,2,0),AC195,1),"")</f>
        <v>S</v>
      </c>
      <c r="AC195" s="9">
        <v>143</v>
      </c>
      <c r="AD195" s="9" t="str">
        <f>IFERROR(MID(VLOOKUP($B195,Seqs!$A:$B,2,0),AE195,1),"")</f>
        <v>S</v>
      </c>
      <c r="AE195" s="9">
        <v>169</v>
      </c>
      <c r="AF195" s="9" t="str">
        <f>IFERROR(MID(VLOOKUP($B195,Seqs!$A:$B,2,0),AG195,1),"")</f>
        <v>C</v>
      </c>
      <c r="AG195" s="9">
        <v>180</v>
      </c>
      <c r="AH195" s="9" t="str">
        <f>IFERROR(MID(VLOOKUP($B195,Seqs!$A:$B,2,0),AI195,1),"")</f>
        <v>I</v>
      </c>
      <c r="AI195" s="9">
        <v>182</v>
      </c>
      <c r="AJ195" s="9" t="str">
        <f>IFERROR(MID(VLOOKUP($B195,Seqs!$A:$B,2,0),AK195,1),"")</f>
        <v>K</v>
      </c>
      <c r="AK195" s="9">
        <v>190</v>
      </c>
      <c r="AL195" s="9" t="str">
        <f>IFERROR(MID(VLOOKUP($B195,Seqs!$A:$B,2,0),AM195,1),"")</f>
        <v>S</v>
      </c>
      <c r="AM195" s="9">
        <v>226</v>
      </c>
      <c r="AN195" s="9" t="str">
        <f>IFERROR(MID(VLOOKUP($B195,Seqs!$A:$B,2,0),AO195,1),"")</f>
        <v>E</v>
      </c>
      <c r="AO195" s="9">
        <v>238</v>
      </c>
      <c r="AP195" s="9" t="str">
        <f>IFERROR(MID(VLOOKUP($B195,Seqs!$A:$B,2,0),AQ195,1),"")</f>
        <v>N</v>
      </c>
      <c r="AQ195" s="9">
        <v>274</v>
      </c>
      <c r="AR195" s="9" t="str">
        <f>IFERROR(MID(VLOOKUP($B195,Seqs!$A:$B,2,0),AS195,1),"")</f>
        <v>F</v>
      </c>
      <c r="AS195" s="9">
        <v>282</v>
      </c>
      <c r="AT195" s="9" t="str">
        <f>IFERROR(MID(VLOOKUP($B195,Seqs!$A:$B,2,0),AU195,1),"")</f>
        <v>L</v>
      </c>
      <c r="AU195" s="9">
        <v>308</v>
      </c>
      <c r="AV195" s="9" t="str">
        <f>IFERROR(MID(VLOOKUP($B195,Seqs!$A:$B,2,0),AW195,1),"")</f>
        <v>N</v>
      </c>
      <c r="AW195" s="9">
        <v>309</v>
      </c>
      <c r="AX195" s="9" t="str">
        <f>IFERROR(MID(VLOOKUP($B195,Seqs!$A:$B,2,0),AY195,1),"")</f>
        <v>F</v>
      </c>
      <c r="AY195" s="9">
        <v>320</v>
      </c>
      <c r="AZ195" s="110" t="str">
        <f>VLOOKUP(B195,Classification!A:D,2,0)</f>
        <v>A</v>
      </c>
      <c r="BA195" s="98" t="str">
        <f>VLOOKUP(B195,Classification!A:D,4,0)</f>
        <v>Tachykinin</v>
      </c>
      <c r="BB195" s="36" t="b">
        <f t="shared" ref="BB195" si="1008">AND(E195&lt;G195,OR(G195&lt;I195,I195="-"),OR(I195&lt;K195,I195="-"),OR(K195&lt;M195,K195="-"),M195&lt;O195,OR(O195&lt;Q195,Q195="-"),OR(Q195&lt;S195,Q195="-"),OR(S195&lt;U195,S195="-"),U195&lt;W195,OR(W195&lt;Y195,Y195="-"),OR(Y195&lt;AA195,Y195="-"),OR(AA195&lt;AC195,AA195="-"),AC195&lt;AE195,OR(AE195&lt;AG195,AG195="-"),OR(AG195&lt;AI195,AG195="-"),OR(AI195&lt;AK195,AI195="-"),AK195&lt;AM195,AM195&lt;AO195,AO195&lt;AQ195,AQ195&lt;AS195,AS195&lt;AU195,OR(AU195&lt;AW195,AW195="-"),OR(AW195&lt;AY195,AW195="-"))</f>
        <v>1</v>
      </c>
      <c r="BC195" s="109">
        <f t="shared" ref="BC195" si="1009">_xlfn.AGGREGATE(9,6,CH195:CS195)-_xlfn.AGGREGATE(9,6,BV195:CG195)+12</f>
        <v>252</v>
      </c>
      <c r="BD195" s="13" t="s">
        <v>1382</v>
      </c>
      <c r="BE195" s="9" t="s">
        <v>1380</v>
      </c>
      <c r="BF195" s="120">
        <v>2.2000000000000002</v>
      </c>
      <c r="BG195" s="51" t="s">
        <v>1</v>
      </c>
      <c r="BH195" s="51" t="s">
        <v>1</v>
      </c>
      <c r="BI195" s="12"/>
      <c r="BJ195" s="111" t="s">
        <v>1293</v>
      </c>
      <c r="BK195" s="112" t="s">
        <v>1293</v>
      </c>
      <c r="BL195" s="112" t="s">
        <v>1293</v>
      </c>
      <c r="BM195" s="112" t="s">
        <v>1293</v>
      </c>
      <c r="BN195" s="112" t="s">
        <v>1293</v>
      </c>
      <c r="BO195" s="112" t="s">
        <v>1293</v>
      </c>
      <c r="BP195" s="112" t="s">
        <v>1293</v>
      </c>
      <c r="BQ195" s="112" t="s">
        <v>1293</v>
      </c>
      <c r="BR195" s="112" t="s">
        <v>1293</v>
      </c>
      <c r="BS195" s="112" t="s">
        <v>1293</v>
      </c>
      <c r="BT195" s="112" t="s">
        <v>1293</v>
      </c>
      <c r="BU195" s="112" t="s">
        <v>1293</v>
      </c>
      <c r="BV195" s="111">
        <f t="shared" ref="BV195" si="1010">E195</f>
        <v>28</v>
      </c>
      <c r="BW195" s="113">
        <f t="shared" ref="BW195" si="1011">I195</f>
        <v>61</v>
      </c>
      <c r="BX195" s="114">
        <f t="shared" ref="BX195" si="1012">M195</f>
        <v>65</v>
      </c>
      <c r="BY195" s="113">
        <f t="shared" ref="BY195" si="1013">Q195</f>
        <v>97</v>
      </c>
      <c r="BZ195" s="114">
        <f t="shared" ref="BZ195" si="1014">U195</f>
        <v>101</v>
      </c>
      <c r="CA195" s="113" t="str">
        <f t="shared" ref="CA195" si="1015">Y195</f>
        <v>-</v>
      </c>
      <c r="CB195" s="114">
        <f t="shared" ref="CB195" si="1016">AC195</f>
        <v>143</v>
      </c>
      <c r="CC195" s="113">
        <f t="shared" ref="CC195" si="1017">AG195</f>
        <v>180</v>
      </c>
      <c r="CD195" s="114">
        <f t="shared" ref="CD195" si="1018">AK195</f>
        <v>190</v>
      </c>
      <c r="CE195" s="113">
        <f t="shared" ref="CE195" si="1019">AO195</f>
        <v>238</v>
      </c>
      <c r="CF195" s="114">
        <f t="shared" ref="CF195" si="1020">AS195</f>
        <v>282</v>
      </c>
      <c r="CG195" s="113">
        <f t="shared" ref="CG195" si="1021">AW195</f>
        <v>309</v>
      </c>
      <c r="CH195" s="111">
        <f t="shared" ref="CH195" si="1022">G195</f>
        <v>60</v>
      </c>
      <c r="CI195" s="113">
        <f t="shared" ref="CI195" si="1023">K195</f>
        <v>64</v>
      </c>
      <c r="CJ195" s="114">
        <f t="shared" ref="CJ195" si="1024">O195</f>
        <v>95</v>
      </c>
      <c r="CK195" s="114">
        <f t="shared" ref="CK195" si="1025">S195</f>
        <v>100</v>
      </c>
      <c r="CL195" s="114">
        <f t="shared" ref="CL195" si="1026">W195</f>
        <v>136</v>
      </c>
      <c r="CM195" s="114" t="str">
        <f t="shared" ref="CM195" si="1027">AA195</f>
        <v>-</v>
      </c>
      <c r="CN195" s="114">
        <f t="shared" ref="CN195" si="1028">AE195</f>
        <v>169</v>
      </c>
      <c r="CO195" s="114">
        <f t="shared" ref="CO195" si="1029">AI195</f>
        <v>182</v>
      </c>
      <c r="CP195" s="114">
        <f t="shared" ref="CP195" si="1030">AM195</f>
        <v>226</v>
      </c>
      <c r="CQ195" s="114">
        <f t="shared" ref="CQ195" si="1031">AQ195</f>
        <v>274</v>
      </c>
      <c r="CR195" s="114">
        <f t="shared" ref="CR195" si="1032">AU195</f>
        <v>308</v>
      </c>
      <c r="CS195" s="114">
        <f t="shared" ref="CS195" si="1033">AY195</f>
        <v>320</v>
      </c>
      <c r="CT195" s="109">
        <f t="shared" ref="CT195" si="1034">M195-K195</f>
        <v>1</v>
      </c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  <c r="ADW195" s="1"/>
      <c r="ADX195" s="1"/>
      <c r="ADY195" s="1"/>
      <c r="ADZ195" s="1"/>
      <c r="AEA195" s="1"/>
      <c r="AEB195" s="1"/>
      <c r="AEC195" s="1"/>
      <c r="AED195" s="1"/>
      <c r="AEE195" s="1"/>
      <c r="AEF195" s="1"/>
      <c r="AEG195" s="1"/>
      <c r="AEH195" s="1"/>
      <c r="AEI195" s="1"/>
      <c r="AEJ195" s="1"/>
      <c r="AEK195" s="1"/>
      <c r="AEL195" s="1"/>
      <c r="AEM195" s="1"/>
      <c r="AEN195" s="1"/>
      <c r="AEO195" s="1"/>
      <c r="AEP195" s="1"/>
      <c r="AEQ195" s="1"/>
      <c r="AER195" s="1"/>
      <c r="AES195" s="1"/>
      <c r="AET195" s="1"/>
      <c r="AEU195" s="1"/>
      <c r="AEV195" s="1"/>
      <c r="AEW195" s="1"/>
      <c r="AEX195" s="1"/>
      <c r="AEY195" s="1"/>
      <c r="AEZ195" s="1"/>
      <c r="AFA195" s="1"/>
      <c r="AFB195" s="1"/>
      <c r="AFC195" s="1"/>
      <c r="AFD195" s="1"/>
      <c r="AFE195" s="1"/>
      <c r="AFF195" s="1"/>
      <c r="AFG195" s="1"/>
      <c r="AFH195" s="1"/>
      <c r="AFI195" s="1"/>
      <c r="AFJ195" s="1"/>
      <c r="AFK195" s="1"/>
      <c r="AFL195" s="1"/>
      <c r="AFM195" s="1"/>
      <c r="AFN195" s="1"/>
      <c r="AFO195" s="1"/>
      <c r="AFP195" s="1"/>
      <c r="AFQ195" s="1"/>
      <c r="AFR195" s="1"/>
      <c r="AFS195" s="1"/>
      <c r="AFT195" s="1"/>
      <c r="AFU195" s="1"/>
      <c r="AFV195" s="1"/>
      <c r="AFW195" s="1"/>
      <c r="AFX195" s="1"/>
      <c r="AFY195" s="1"/>
      <c r="AFZ195" s="1"/>
      <c r="AGA195" s="1"/>
      <c r="AGB195" s="1"/>
      <c r="AGC195" s="1"/>
      <c r="AGD195" s="1"/>
      <c r="AGE195" s="1"/>
      <c r="AGF195" s="1"/>
      <c r="AGG195" s="1"/>
      <c r="AGH195" s="1"/>
      <c r="AGI195" s="1"/>
      <c r="AGJ195" s="1"/>
      <c r="AGK195" s="1"/>
      <c r="AGL195" s="1"/>
      <c r="AGM195" s="1"/>
      <c r="AGN195" s="1"/>
      <c r="AGO195" s="1"/>
      <c r="AGP195" s="1"/>
      <c r="AGQ195" s="1"/>
      <c r="AGR195" s="1"/>
      <c r="AGS195" s="1"/>
      <c r="AGT195" s="1"/>
      <c r="AGU195" s="1"/>
      <c r="AGV195" s="1"/>
      <c r="AGW195" s="1"/>
      <c r="AGX195" s="1"/>
      <c r="AGY195" s="1"/>
      <c r="AGZ195" s="1"/>
      <c r="AHA195" s="1"/>
      <c r="AHB195" s="1"/>
      <c r="AHC195" s="1"/>
      <c r="AHD195" s="1"/>
      <c r="AHE195" s="1"/>
      <c r="AHF195" s="1"/>
      <c r="AHG195" s="1"/>
      <c r="AHH195" s="1"/>
      <c r="AHI195" s="1"/>
      <c r="AHJ195" s="1"/>
      <c r="AHK195" s="1"/>
      <c r="AHL195" s="1"/>
      <c r="AHM195" s="1"/>
      <c r="AHN195" s="1"/>
      <c r="AHO195" s="1"/>
      <c r="AHP195" s="1"/>
      <c r="AHQ195" s="1"/>
      <c r="AHR195" s="1"/>
      <c r="AHS195" s="1"/>
      <c r="AHT195" s="1"/>
      <c r="AHU195" s="1"/>
      <c r="AHV195" s="1"/>
      <c r="AHW195" s="1"/>
      <c r="AHX195" s="1"/>
      <c r="AHY195" s="1"/>
      <c r="AHZ195" s="1"/>
      <c r="AIA195" s="1"/>
      <c r="AIB195" s="1"/>
      <c r="AIC195" s="1"/>
      <c r="AID195" s="1"/>
      <c r="AIE195" s="1"/>
      <c r="AIF195" s="1"/>
      <c r="AIG195" s="1"/>
      <c r="AIH195" s="1"/>
      <c r="AII195" s="1"/>
      <c r="AIJ195" s="1"/>
      <c r="AIK195" s="1"/>
      <c r="AIL195" s="1"/>
      <c r="AIM195" s="1"/>
      <c r="AIN195" s="1"/>
      <c r="AIO195" s="1"/>
      <c r="AIP195" s="1"/>
      <c r="AIQ195" s="1"/>
      <c r="AIR195" s="1"/>
      <c r="AIS195" s="1"/>
      <c r="AIT195" s="1"/>
      <c r="AIU195" s="1"/>
      <c r="AIV195" s="1"/>
      <c r="AIW195" s="1"/>
      <c r="AIX195" s="1"/>
      <c r="AIY195" s="1"/>
      <c r="AIZ195" s="1"/>
      <c r="AJA195" s="1"/>
      <c r="AJB195" s="1"/>
      <c r="AJC195" s="1"/>
      <c r="AJD195" s="1"/>
      <c r="AJE195" s="1"/>
      <c r="AJF195" s="1"/>
      <c r="AJG195" s="1"/>
      <c r="AJH195" s="1"/>
      <c r="AJI195" s="1"/>
      <c r="AJJ195" s="1"/>
      <c r="AJK195" s="1"/>
      <c r="AJL195" s="1"/>
      <c r="AJM195" s="1"/>
      <c r="AJN195" s="1"/>
      <c r="AJO195" s="1"/>
      <c r="AJP195" s="1"/>
      <c r="AJQ195" s="1"/>
      <c r="AJR195" s="1"/>
      <c r="AJS195" s="1"/>
      <c r="AJT195" s="1"/>
      <c r="AJU195" s="1"/>
      <c r="AJV195" s="1"/>
      <c r="AJW195" s="1"/>
      <c r="AJX195" s="1"/>
      <c r="AJY195" s="1"/>
      <c r="AJZ195" s="1"/>
      <c r="AKA195" s="1"/>
      <c r="AKB195" s="1"/>
      <c r="AKC195" s="1"/>
      <c r="AKD195" s="1"/>
      <c r="AKE195" s="1"/>
      <c r="AKF195" s="1"/>
      <c r="AKG195" s="1"/>
      <c r="AKH195" s="1"/>
      <c r="AKI195" s="1"/>
      <c r="AKJ195" s="1"/>
      <c r="AKK195" s="1"/>
      <c r="AKL195" s="1"/>
      <c r="AKM195" s="1"/>
      <c r="AKN195" s="1"/>
      <c r="AKO195" s="1"/>
      <c r="AKP195" s="1"/>
      <c r="AKQ195" s="1"/>
      <c r="AKR195" s="1"/>
      <c r="AKS195" s="1"/>
      <c r="AKT195" s="1"/>
      <c r="AKU195" s="1"/>
      <c r="AKV195" s="1"/>
      <c r="AKW195" s="1"/>
      <c r="AKX195" s="1"/>
      <c r="AKY195" s="1"/>
      <c r="AKZ195" s="1"/>
      <c r="ALA195" s="1"/>
      <c r="ALB195" s="1"/>
      <c r="ALC195" s="1"/>
      <c r="ALD195" s="1"/>
      <c r="ALE195" s="1"/>
      <c r="ALF195" s="1"/>
      <c r="ALG195" s="1"/>
      <c r="ALH195" s="1"/>
      <c r="ALI195" s="1"/>
      <c r="ALJ195" s="1"/>
      <c r="ALK195" s="1"/>
      <c r="ALL195" s="1"/>
      <c r="ALM195" s="1"/>
      <c r="ALN195" s="1"/>
      <c r="ALO195" s="1"/>
      <c r="ALP195" s="1"/>
      <c r="ALQ195" s="1"/>
      <c r="ALR195" s="1"/>
      <c r="ALS195" s="1"/>
      <c r="ALT195" s="1"/>
      <c r="ALU195" s="1"/>
      <c r="ALV195" s="1"/>
      <c r="ALW195" s="1"/>
      <c r="ALX195" s="1"/>
      <c r="ALY195" s="1"/>
      <c r="ALZ195" s="1"/>
      <c r="AMA195" s="1"/>
      <c r="AMB195" s="1"/>
      <c r="AMC195" s="1"/>
      <c r="AMD195" s="1"/>
      <c r="AME195" s="1"/>
      <c r="AMF195" s="1"/>
      <c r="AMG195" s="1"/>
      <c r="AMH195" s="1"/>
      <c r="AMI195" s="1"/>
      <c r="AMJ195" s="1"/>
      <c r="AMK195" s="1"/>
      <c r="AML195" s="1"/>
      <c r="AMM195" s="1"/>
      <c r="AMN195" s="1"/>
      <c r="AMO195" s="1"/>
    </row>
    <row r="196" spans="1:1029" x14ac:dyDescent="0.2">
      <c r="A196" s="9" t="str">
        <f t="shared" ref="A196" si="1035">CONCATENATE(B196,"_",C196)</f>
        <v>nk1r_human_6J20</v>
      </c>
      <c r="B196" s="9" t="s">
        <v>314</v>
      </c>
      <c r="C196" s="132" t="s">
        <v>1589</v>
      </c>
      <c r="D196" s="9" t="str">
        <f>IFERROR(MID(VLOOKUP($B196,Seqs!$A:$B,2,0),E196,1),"")</f>
        <v>P</v>
      </c>
      <c r="E196" s="9">
        <v>28</v>
      </c>
      <c r="F196" s="9" t="str">
        <f>IFERROR(MID(VLOOKUP($B196,Seqs!$A:$B,2,0),G196,1),"")</f>
        <v>A</v>
      </c>
      <c r="G196" s="9">
        <v>59</v>
      </c>
      <c r="H196" s="9" t="str">
        <f>IFERROR(MID(VLOOKUP($B196,Seqs!$A:$B,2,0),I196,1),"")</f>
        <v/>
      </c>
      <c r="I196" s="109" t="s">
        <v>23</v>
      </c>
      <c r="J196" s="9" t="str">
        <f>IFERROR(MID(VLOOKUP($B196,Seqs!$A:$B,2,0),K196,1),"")</f>
        <v/>
      </c>
      <c r="K196" s="109" t="s">
        <v>23</v>
      </c>
      <c r="L196" s="9" t="str">
        <f>IFERROR(MID(VLOOKUP($B196,Seqs!$A:$B,2,0),M196,1),"")</f>
        <v>V</v>
      </c>
      <c r="M196" s="9">
        <v>66</v>
      </c>
      <c r="N196" s="9" t="str">
        <f>IFERROR(MID(VLOOKUP($B196,Seqs!$A:$B,2,0),O196,1),"")</f>
        <v>N</v>
      </c>
      <c r="O196" s="9">
        <v>96</v>
      </c>
      <c r="P196" s="9" t="str">
        <f>IFERROR(MID(VLOOKUP($B196,Seqs!$A:$B,2,0),Q196,1),"")</f>
        <v>E</v>
      </c>
      <c r="Q196" s="9">
        <v>97</v>
      </c>
      <c r="R196" s="9" t="str">
        <f>IFERROR(MID(VLOOKUP($B196,Seqs!$A:$B,2,0),S196,1),"")</f>
        <v>Y</v>
      </c>
      <c r="S196" s="9">
        <v>100</v>
      </c>
      <c r="T196" s="9" t="str">
        <f>IFERROR(MID(VLOOKUP($B196,Seqs!$A:$B,2,0),U196,1),"")</f>
        <v>G</v>
      </c>
      <c r="U196" s="9">
        <v>101</v>
      </c>
      <c r="V196" s="9" t="str">
        <f>IFERROR(MID(VLOOKUP($B196,Seqs!$A:$B,2,0),W196,1),"")</f>
        <v>H</v>
      </c>
      <c r="W196" s="9">
        <v>136</v>
      </c>
      <c r="X196" s="9" t="str">
        <f>IFERROR(MID(VLOOKUP($B196,Seqs!$A:$B,2,0),Y196,1),"")</f>
        <v/>
      </c>
      <c r="Y196" s="9" t="s">
        <v>23</v>
      </c>
      <c r="Z196" s="9" t="str">
        <f>IFERROR(MID(VLOOKUP($B196,Seqs!$A:$B,2,0),AA196,1),"")</f>
        <v/>
      </c>
      <c r="AA196" s="9" t="s">
        <v>23</v>
      </c>
      <c r="AB196" s="9" t="str">
        <f>IFERROR(MID(VLOOKUP($B196,Seqs!$A:$B,2,0),AC196,1),"")</f>
        <v>S</v>
      </c>
      <c r="AC196" s="9">
        <v>143</v>
      </c>
      <c r="AD196" s="9" t="str">
        <f>IFERROR(MID(VLOOKUP($B196,Seqs!$A:$B,2,0),AE196,1),"")</f>
        <v>S</v>
      </c>
      <c r="AE196" s="9">
        <v>169</v>
      </c>
      <c r="AF196" s="9" t="str">
        <f>IFERROR(MID(VLOOKUP($B196,Seqs!$A:$B,2,0),AG196,1),"")</f>
        <v>C</v>
      </c>
      <c r="AG196" s="9">
        <v>180</v>
      </c>
      <c r="AH196" s="9" t="str">
        <f>IFERROR(MID(VLOOKUP($B196,Seqs!$A:$B,2,0),AI196,1),"")</f>
        <v>I</v>
      </c>
      <c r="AI196" s="9">
        <v>182</v>
      </c>
      <c r="AJ196" s="9" t="str">
        <f>IFERROR(MID(VLOOKUP($B196,Seqs!$A:$B,2,0),AK196,1),"")</f>
        <v>K</v>
      </c>
      <c r="AK196" s="9">
        <v>190</v>
      </c>
      <c r="AL196" s="9" t="str">
        <f>IFERROR(MID(VLOOKUP($B196,Seqs!$A:$B,2,0),AM196,1),"")</f>
        <v>A</v>
      </c>
      <c r="AM196" s="9">
        <v>225</v>
      </c>
      <c r="AN196" s="9" t="str">
        <f>IFERROR(MID(VLOOKUP($B196,Seqs!$A:$B,2,0),AO196,1),"")</f>
        <v>S</v>
      </c>
      <c r="AO196" s="9">
        <v>241</v>
      </c>
      <c r="AP196" s="9" t="str">
        <f>IFERROR(MID(VLOOKUP($B196,Seqs!$A:$B,2,0),AQ196,1),"")</f>
        <v>N</v>
      </c>
      <c r="AQ196" s="9">
        <v>274</v>
      </c>
      <c r="AR196" s="9" t="str">
        <f>IFERROR(MID(VLOOKUP($B196,Seqs!$A:$B,2,0),AS196,1),"")</f>
        <v>I</v>
      </c>
      <c r="AS196" s="9">
        <v>283</v>
      </c>
      <c r="AT196" s="9" t="str">
        <f>IFERROR(MID(VLOOKUP($B196,Seqs!$A:$B,2,0),AU196,1),"")</f>
        <v>L</v>
      </c>
      <c r="AU196" s="9">
        <v>308</v>
      </c>
      <c r="AV196" s="9" t="str">
        <f>IFERROR(MID(VLOOKUP($B196,Seqs!$A:$B,2,0),AW196,1),"")</f>
        <v>N</v>
      </c>
      <c r="AW196" s="9">
        <v>309</v>
      </c>
      <c r="AX196" s="9" t="str">
        <f>IFERROR(MID(VLOOKUP($B196,Seqs!$A:$B,2,0),AY196,1),"")</f>
        <v>A</v>
      </c>
      <c r="AY196" s="9">
        <v>319</v>
      </c>
      <c r="AZ196" s="110" t="str">
        <f>VLOOKUP(B196,Classification!A:D,2,0)</f>
        <v>A</v>
      </c>
      <c r="BA196" s="98" t="str">
        <f>VLOOKUP(B196,Classification!A:D,4,0)</f>
        <v>Tachykinin</v>
      </c>
      <c r="BB196" s="36" t="b">
        <f t="shared" ref="BB196" si="1036">AND(E196&lt;G196,OR(G196&lt;I196,I196="-"),OR(I196&lt;K196,I196="-"),OR(K196&lt;M196,K196="-"),M196&lt;O196,OR(O196&lt;Q196,Q196="-"),OR(Q196&lt;S196,Q196="-"),OR(S196&lt;U196,S196="-"),U196&lt;W196,OR(W196&lt;Y196,Y196="-"),OR(Y196&lt;AA196,Y196="-"),OR(AA196&lt;AC196,AA196="-"),AC196&lt;AE196,OR(AE196&lt;AG196,AG196="-"),OR(AG196&lt;AI196,AG196="-"),OR(AI196&lt;AK196,AI196="-"),AK196&lt;AM196,AM196&lt;AO196,AO196&lt;AQ196,AQ196&lt;AS196,AS196&lt;AU196,OR(AU196&lt;AW196,AW196="-"),OR(AW196&lt;AY196,AW196="-"))</f>
        <v>1</v>
      </c>
      <c r="BC196" s="109">
        <f t="shared" ref="BC196" si="1037">_xlfn.AGGREGATE(9,6,CH196:CS196)-_xlfn.AGGREGATE(9,6,BV196:CG196)+12</f>
        <v>242</v>
      </c>
      <c r="BD196" s="13" t="s">
        <v>23</v>
      </c>
      <c r="BE196" s="9" t="s">
        <v>1380</v>
      </c>
      <c r="BF196" s="120">
        <v>2.7</v>
      </c>
      <c r="BG196" s="51" t="s">
        <v>1</v>
      </c>
      <c r="BH196" s="51" t="s">
        <v>1</v>
      </c>
      <c r="BI196" s="12"/>
      <c r="BJ196" s="111" t="s">
        <v>1293</v>
      </c>
      <c r="BK196" s="112" t="s">
        <v>1293</v>
      </c>
      <c r="BL196" s="112" t="s">
        <v>1293</v>
      </c>
      <c r="BM196" s="112" t="s">
        <v>1293</v>
      </c>
      <c r="BN196" s="112" t="s">
        <v>1293</v>
      </c>
      <c r="BO196" s="112" t="s">
        <v>1293</v>
      </c>
      <c r="BP196" s="112" t="s">
        <v>1293</v>
      </c>
      <c r="BQ196" s="112" t="s">
        <v>1293</v>
      </c>
      <c r="BR196" s="112" t="s">
        <v>1293</v>
      </c>
      <c r="BS196" s="112" t="s">
        <v>1293</v>
      </c>
      <c r="BT196" s="112" t="s">
        <v>1293</v>
      </c>
      <c r="BU196" s="112" t="s">
        <v>1293</v>
      </c>
      <c r="BV196" s="111">
        <f t="shared" ref="BV196" si="1038">E196</f>
        <v>28</v>
      </c>
      <c r="BW196" s="113" t="str">
        <f t="shared" ref="BW196" si="1039">I196</f>
        <v>-</v>
      </c>
      <c r="BX196" s="114">
        <f t="shared" ref="BX196" si="1040">M196</f>
        <v>66</v>
      </c>
      <c r="BY196" s="113">
        <f t="shared" ref="BY196" si="1041">Q196</f>
        <v>97</v>
      </c>
      <c r="BZ196" s="114">
        <f t="shared" ref="BZ196" si="1042">U196</f>
        <v>101</v>
      </c>
      <c r="CA196" s="113" t="str">
        <f t="shared" ref="CA196" si="1043">Y196</f>
        <v>-</v>
      </c>
      <c r="CB196" s="114">
        <f t="shared" ref="CB196" si="1044">AC196</f>
        <v>143</v>
      </c>
      <c r="CC196" s="113">
        <f t="shared" ref="CC196" si="1045">AG196</f>
        <v>180</v>
      </c>
      <c r="CD196" s="114">
        <f t="shared" ref="CD196" si="1046">AK196</f>
        <v>190</v>
      </c>
      <c r="CE196" s="113">
        <f t="shared" ref="CE196" si="1047">AO196</f>
        <v>241</v>
      </c>
      <c r="CF196" s="114">
        <f t="shared" ref="CF196" si="1048">AS196</f>
        <v>283</v>
      </c>
      <c r="CG196" s="113">
        <f t="shared" ref="CG196" si="1049">AW196</f>
        <v>309</v>
      </c>
      <c r="CH196" s="111">
        <f t="shared" ref="CH196" si="1050">G196</f>
        <v>59</v>
      </c>
      <c r="CI196" s="113" t="str">
        <f t="shared" ref="CI196" si="1051">K196</f>
        <v>-</v>
      </c>
      <c r="CJ196" s="114">
        <f t="shared" ref="CJ196" si="1052">O196</f>
        <v>96</v>
      </c>
      <c r="CK196" s="114">
        <f t="shared" ref="CK196" si="1053">S196</f>
        <v>100</v>
      </c>
      <c r="CL196" s="114">
        <f t="shared" ref="CL196" si="1054">W196</f>
        <v>136</v>
      </c>
      <c r="CM196" s="114" t="str">
        <f t="shared" ref="CM196" si="1055">AA196</f>
        <v>-</v>
      </c>
      <c r="CN196" s="114">
        <f t="shared" ref="CN196" si="1056">AE196</f>
        <v>169</v>
      </c>
      <c r="CO196" s="114">
        <f t="shared" ref="CO196" si="1057">AI196</f>
        <v>182</v>
      </c>
      <c r="CP196" s="114">
        <f t="shared" ref="CP196" si="1058">AM196</f>
        <v>225</v>
      </c>
      <c r="CQ196" s="114">
        <f t="shared" ref="CQ196" si="1059">AQ196</f>
        <v>274</v>
      </c>
      <c r="CR196" s="114">
        <f t="shared" ref="CR196" si="1060">AU196</f>
        <v>308</v>
      </c>
      <c r="CS196" s="114">
        <f t="shared" ref="CS196" si="1061">AY196</f>
        <v>319</v>
      </c>
      <c r="CT196" s="109" t="e">
        <f t="shared" ref="CT196" si="1062">M196-K196</f>
        <v>#VALUE!</v>
      </c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  <c r="ADW196" s="1"/>
      <c r="ADX196" s="1"/>
      <c r="ADY196" s="1"/>
      <c r="ADZ196" s="1"/>
      <c r="AEA196" s="1"/>
      <c r="AEB196" s="1"/>
      <c r="AEC196" s="1"/>
      <c r="AED196" s="1"/>
      <c r="AEE196" s="1"/>
      <c r="AEF196" s="1"/>
      <c r="AEG196" s="1"/>
      <c r="AEH196" s="1"/>
      <c r="AEI196" s="1"/>
      <c r="AEJ196" s="1"/>
      <c r="AEK196" s="1"/>
      <c r="AEL196" s="1"/>
      <c r="AEM196" s="1"/>
      <c r="AEN196" s="1"/>
      <c r="AEO196" s="1"/>
      <c r="AEP196" s="1"/>
      <c r="AEQ196" s="1"/>
      <c r="AER196" s="1"/>
      <c r="AES196" s="1"/>
      <c r="AET196" s="1"/>
      <c r="AEU196" s="1"/>
      <c r="AEV196" s="1"/>
      <c r="AEW196" s="1"/>
      <c r="AEX196" s="1"/>
      <c r="AEY196" s="1"/>
      <c r="AEZ196" s="1"/>
      <c r="AFA196" s="1"/>
      <c r="AFB196" s="1"/>
      <c r="AFC196" s="1"/>
      <c r="AFD196" s="1"/>
      <c r="AFE196" s="1"/>
      <c r="AFF196" s="1"/>
      <c r="AFG196" s="1"/>
      <c r="AFH196" s="1"/>
      <c r="AFI196" s="1"/>
      <c r="AFJ196" s="1"/>
      <c r="AFK196" s="1"/>
      <c r="AFL196" s="1"/>
      <c r="AFM196" s="1"/>
      <c r="AFN196" s="1"/>
      <c r="AFO196" s="1"/>
      <c r="AFP196" s="1"/>
      <c r="AFQ196" s="1"/>
      <c r="AFR196" s="1"/>
      <c r="AFS196" s="1"/>
      <c r="AFT196" s="1"/>
      <c r="AFU196" s="1"/>
      <c r="AFV196" s="1"/>
      <c r="AFW196" s="1"/>
      <c r="AFX196" s="1"/>
      <c r="AFY196" s="1"/>
      <c r="AFZ196" s="1"/>
      <c r="AGA196" s="1"/>
      <c r="AGB196" s="1"/>
      <c r="AGC196" s="1"/>
      <c r="AGD196" s="1"/>
      <c r="AGE196" s="1"/>
      <c r="AGF196" s="1"/>
      <c r="AGG196" s="1"/>
      <c r="AGH196" s="1"/>
      <c r="AGI196" s="1"/>
      <c r="AGJ196" s="1"/>
      <c r="AGK196" s="1"/>
      <c r="AGL196" s="1"/>
      <c r="AGM196" s="1"/>
      <c r="AGN196" s="1"/>
      <c r="AGO196" s="1"/>
      <c r="AGP196" s="1"/>
      <c r="AGQ196" s="1"/>
      <c r="AGR196" s="1"/>
      <c r="AGS196" s="1"/>
      <c r="AGT196" s="1"/>
      <c r="AGU196" s="1"/>
      <c r="AGV196" s="1"/>
      <c r="AGW196" s="1"/>
      <c r="AGX196" s="1"/>
      <c r="AGY196" s="1"/>
      <c r="AGZ196" s="1"/>
      <c r="AHA196" s="1"/>
      <c r="AHB196" s="1"/>
      <c r="AHC196" s="1"/>
      <c r="AHD196" s="1"/>
      <c r="AHE196" s="1"/>
      <c r="AHF196" s="1"/>
      <c r="AHG196" s="1"/>
      <c r="AHH196" s="1"/>
      <c r="AHI196" s="1"/>
      <c r="AHJ196" s="1"/>
      <c r="AHK196" s="1"/>
      <c r="AHL196" s="1"/>
      <c r="AHM196" s="1"/>
      <c r="AHN196" s="1"/>
      <c r="AHO196" s="1"/>
      <c r="AHP196" s="1"/>
      <c r="AHQ196" s="1"/>
      <c r="AHR196" s="1"/>
      <c r="AHS196" s="1"/>
      <c r="AHT196" s="1"/>
      <c r="AHU196" s="1"/>
      <c r="AHV196" s="1"/>
      <c r="AHW196" s="1"/>
      <c r="AHX196" s="1"/>
      <c r="AHY196" s="1"/>
      <c r="AHZ196" s="1"/>
      <c r="AIA196" s="1"/>
      <c r="AIB196" s="1"/>
      <c r="AIC196" s="1"/>
      <c r="AID196" s="1"/>
      <c r="AIE196" s="1"/>
      <c r="AIF196" s="1"/>
      <c r="AIG196" s="1"/>
      <c r="AIH196" s="1"/>
      <c r="AII196" s="1"/>
      <c r="AIJ196" s="1"/>
      <c r="AIK196" s="1"/>
      <c r="AIL196" s="1"/>
      <c r="AIM196" s="1"/>
      <c r="AIN196" s="1"/>
      <c r="AIO196" s="1"/>
      <c r="AIP196" s="1"/>
      <c r="AIQ196" s="1"/>
      <c r="AIR196" s="1"/>
      <c r="AIS196" s="1"/>
      <c r="AIT196" s="1"/>
      <c r="AIU196" s="1"/>
      <c r="AIV196" s="1"/>
      <c r="AIW196" s="1"/>
      <c r="AIX196" s="1"/>
      <c r="AIY196" s="1"/>
      <c r="AIZ196" s="1"/>
      <c r="AJA196" s="1"/>
      <c r="AJB196" s="1"/>
      <c r="AJC196" s="1"/>
      <c r="AJD196" s="1"/>
      <c r="AJE196" s="1"/>
      <c r="AJF196" s="1"/>
      <c r="AJG196" s="1"/>
      <c r="AJH196" s="1"/>
      <c r="AJI196" s="1"/>
      <c r="AJJ196" s="1"/>
      <c r="AJK196" s="1"/>
      <c r="AJL196" s="1"/>
      <c r="AJM196" s="1"/>
      <c r="AJN196" s="1"/>
      <c r="AJO196" s="1"/>
      <c r="AJP196" s="1"/>
      <c r="AJQ196" s="1"/>
      <c r="AJR196" s="1"/>
      <c r="AJS196" s="1"/>
      <c r="AJT196" s="1"/>
      <c r="AJU196" s="1"/>
      <c r="AJV196" s="1"/>
      <c r="AJW196" s="1"/>
      <c r="AJX196" s="1"/>
      <c r="AJY196" s="1"/>
      <c r="AJZ196" s="1"/>
      <c r="AKA196" s="1"/>
      <c r="AKB196" s="1"/>
      <c r="AKC196" s="1"/>
      <c r="AKD196" s="1"/>
      <c r="AKE196" s="1"/>
      <c r="AKF196" s="1"/>
      <c r="AKG196" s="1"/>
      <c r="AKH196" s="1"/>
      <c r="AKI196" s="1"/>
      <c r="AKJ196" s="1"/>
      <c r="AKK196" s="1"/>
      <c r="AKL196" s="1"/>
      <c r="AKM196" s="1"/>
      <c r="AKN196" s="1"/>
      <c r="AKO196" s="1"/>
      <c r="AKP196" s="1"/>
      <c r="AKQ196" s="1"/>
      <c r="AKR196" s="1"/>
      <c r="AKS196" s="1"/>
      <c r="AKT196" s="1"/>
      <c r="AKU196" s="1"/>
      <c r="AKV196" s="1"/>
      <c r="AKW196" s="1"/>
      <c r="AKX196" s="1"/>
      <c r="AKY196" s="1"/>
      <c r="AKZ196" s="1"/>
      <c r="ALA196" s="1"/>
      <c r="ALB196" s="1"/>
      <c r="ALC196" s="1"/>
      <c r="ALD196" s="1"/>
      <c r="ALE196" s="1"/>
      <c r="ALF196" s="1"/>
      <c r="ALG196" s="1"/>
      <c r="ALH196" s="1"/>
      <c r="ALI196" s="1"/>
      <c r="ALJ196" s="1"/>
      <c r="ALK196" s="1"/>
      <c r="ALL196" s="1"/>
      <c r="ALM196" s="1"/>
      <c r="ALN196" s="1"/>
      <c r="ALO196" s="1"/>
      <c r="ALP196" s="1"/>
      <c r="ALQ196" s="1"/>
      <c r="ALR196" s="1"/>
      <c r="ALS196" s="1"/>
      <c r="ALT196" s="1"/>
      <c r="ALU196" s="1"/>
      <c r="ALV196" s="1"/>
      <c r="ALW196" s="1"/>
      <c r="ALX196" s="1"/>
      <c r="ALY196" s="1"/>
      <c r="ALZ196" s="1"/>
      <c r="AMA196" s="1"/>
      <c r="AMB196" s="1"/>
      <c r="AMC196" s="1"/>
      <c r="AMD196" s="1"/>
      <c r="AME196" s="1"/>
      <c r="AMF196" s="1"/>
      <c r="AMG196" s="1"/>
      <c r="AMH196" s="1"/>
      <c r="AMI196" s="1"/>
      <c r="AMJ196" s="1"/>
      <c r="AMK196" s="1"/>
      <c r="AML196" s="1"/>
      <c r="AMM196" s="1"/>
      <c r="AMN196" s="1"/>
      <c r="AMO196" s="1"/>
    </row>
    <row r="197" spans="1:1029" x14ac:dyDescent="0.2">
      <c r="A197" s="9" t="str">
        <f t="shared" ref="A197" si="1063">CONCATENATE(B197,"_",C197)</f>
        <v>nk1r_human_6J21</v>
      </c>
      <c r="B197" s="9" t="s">
        <v>314</v>
      </c>
      <c r="C197" s="132" t="s">
        <v>1590</v>
      </c>
      <c r="D197" s="9" t="str">
        <f>IFERROR(MID(VLOOKUP($B197,Seqs!$A:$B,2,0),E197,1),"")</f>
        <v>P</v>
      </c>
      <c r="E197" s="9">
        <v>28</v>
      </c>
      <c r="F197" s="9" t="str">
        <f>IFERROR(MID(VLOOKUP($B197,Seqs!$A:$B,2,0),G197,1),"")</f>
        <v>A</v>
      </c>
      <c r="G197" s="9">
        <v>59</v>
      </c>
      <c r="H197" s="9" t="str">
        <f>IFERROR(MID(VLOOKUP($B197,Seqs!$A:$B,2,0),I197,1),"")</f>
        <v/>
      </c>
      <c r="I197" s="109" t="s">
        <v>23</v>
      </c>
      <c r="J197" s="9" t="str">
        <f>IFERROR(MID(VLOOKUP($B197,Seqs!$A:$B,2,0),K197,1),"")</f>
        <v/>
      </c>
      <c r="K197" s="109" t="s">
        <v>23</v>
      </c>
      <c r="L197" s="9" t="str">
        <f>IFERROR(MID(VLOOKUP($B197,Seqs!$A:$B,2,0),M197,1),"")</f>
        <v>T</v>
      </c>
      <c r="M197" s="9">
        <v>65</v>
      </c>
      <c r="N197" s="9" t="str">
        <f>IFERROR(MID(VLOOKUP($B197,Seqs!$A:$B,2,0),O197,1),"")</f>
        <v>N</v>
      </c>
      <c r="O197" s="9">
        <v>96</v>
      </c>
      <c r="P197" s="9" t="str">
        <f>IFERROR(MID(VLOOKUP($B197,Seqs!$A:$B,2,0),Q197,1),"")</f>
        <v>E</v>
      </c>
      <c r="Q197" s="9">
        <v>97</v>
      </c>
      <c r="R197" s="9" t="str">
        <f>IFERROR(MID(VLOOKUP($B197,Seqs!$A:$B,2,0),S197,1),"")</f>
        <v>Y</v>
      </c>
      <c r="S197" s="9">
        <v>100</v>
      </c>
      <c r="T197" s="9" t="str">
        <f>IFERROR(MID(VLOOKUP($B197,Seqs!$A:$B,2,0),U197,1),"")</f>
        <v>G</v>
      </c>
      <c r="U197" s="9">
        <v>101</v>
      </c>
      <c r="V197" s="9" t="str">
        <f>IFERROR(MID(VLOOKUP($B197,Seqs!$A:$B,2,0),W197,1),"")</f>
        <v>H</v>
      </c>
      <c r="W197" s="9">
        <v>136</v>
      </c>
      <c r="X197" s="9" t="str">
        <f>IFERROR(MID(VLOOKUP($B197,Seqs!$A:$B,2,0),Y197,1),"")</f>
        <v/>
      </c>
      <c r="Y197" s="9" t="s">
        <v>23</v>
      </c>
      <c r="Z197" s="9" t="str">
        <f>IFERROR(MID(VLOOKUP($B197,Seqs!$A:$B,2,0),AA197,1),"")</f>
        <v/>
      </c>
      <c r="AA197" s="9" t="s">
        <v>23</v>
      </c>
      <c r="AB197" s="9" t="str">
        <f>IFERROR(MID(VLOOKUP($B197,Seqs!$A:$B,2,0),AC197,1),"")</f>
        <v>S</v>
      </c>
      <c r="AC197" s="9">
        <v>143</v>
      </c>
      <c r="AD197" s="9" t="str">
        <f>IFERROR(MID(VLOOKUP($B197,Seqs!$A:$B,2,0),AE197,1),"")</f>
        <v>S</v>
      </c>
      <c r="AE197" s="9">
        <v>169</v>
      </c>
      <c r="AF197" s="9" t="str">
        <f>IFERROR(MID(VLOOKUP($B197,Seqs!$A:$B,2,0),AG197,1),"")</f>
        <v>C</v>
      </c>
      <c r="AG197" s="9">
        <v>180</v>
      </c>
      <c r="AH197" s="9" t="str">
        <f>IFERROR(MID(VLOOKUP($B197,Seqs!$A:$B,2,0),AI197,1),"")</f>
        <v>I</v>
      </c>
      <c r="AI197" s="9">
        <v>182</v>
      </c>
      <c r="AJ197" s="9" t="str">
        <f>IFERROR(MID(VLOOKUP($B197,Seqs!$A:$B,2,0),AK197,1),"")</f>
        <v>I</v>
      </c>
      <c r="AK197" s="9">
        <v>191</v>
      </c>
      <c r="AL197" s="9" t="str">
        <f>IFERROR(MID(VLOOKUP($B197,Seqs!$A:$B,2,0),AM197,1),"")</f>
        <v>A</v>
      </c>
      <c r="AM197" s="9">
        <v>225</v>
      </c>
      <c r="AN197" s="9" t="str">
        <f>IFERROR(MID(VLOOKUP($B197,Seqs!$A:$B,2,0),AO197,1),"")</f>
        <v>A</v>
      </c>
      <c r="AO197" s="9">
        <v>242</v>
      </c>
      <c r="AP197" s="9" t="str">
        <f>IFERROR(MID(VLOOKUP($B197,Seqs!$A:$B,2,0),AQ197,1),"")</f>
        <v>N</v>
      </c>
      <c r="AQ197" s="9">
        <v>274</v>
      </c>
      <c r="AR197" s="9" t="str">
        <f>IFERROR(MID(VLOOKUP($B197,Seqs!$A:$B,2,0),AS197,1),"")</f>
        <v>F</v>
      </c>
      <c r="AS197" s="9">
        <v>282</v>
      </c>
      <c r="AT197" s="9" t="str">
        <f>IFERROR(MID(VLOOKUP($B197,Seqs!$A:$B,2,0),AU197,1),"")</f>
        <v>L</v>
      </c>
      <c r="AU197" s="9">
        <v>308</v>
      </c>
      <c r="AV197" s="9" t="str">
        <f>IFERROR(MID(VLOOKUP($B197,Seqs!$A:$B,2,0),AW197,1),"")</f>
        <v>N</v>
      </c>
      <c r="AW197" s="9">
        <v>309</v>
      </c>
      <c r="AX197" s="9" t="str">
        <f>IFERROR(MID(VLOOKUP($B197,Seqs!$A:$B,2,0),AY197,1),"")</f>
        <v>A</v>
      </c>
      <c r="AY197" s="9">
        <v>319</v>
      </c>
      <c r="AZ197" s="110" t="str">
        <f>VLOOKUP(B197,Classification!A:D,2,0)</f>
        <v>A</v>
      </c>
      <c r="BA197" s="98" t="str">
        <f>VLOOKUP(B197,Classification!A:D,4,0)</f>
        <v>Tachykinin</v>
      </c>
      <c r="BB197" s="36" t="b">
        <f t="shared" ref="BB197" si="1064">AND(E197&lt;G197,OR(G197&lt;I197,I197="-"),OR(I197&lt;K197,I197="-"),OR(K197&lt;M197,K197="-"),M197&lt;O197,OR(O197&lt;Q197,Q197="-"),OR(Q197&lt;S197,Q197="-"),OR(S197&lt;U197,S197="-"),U197&lt;W197,OR(W197&lt;Y197,Y197="-"),OR(Y197&lt;AA197,Y197="-"),OR(AA197&lt;AC197,AA197="-"),AC197&lt;AE197,OR(AE197&lt;AG197,AG197="-"),OR(AG197&lt;AI197,AG197="-"),OR(AI197&lt;AK197,AI197="-"),AK197&lt;AM197,AM197&lt;AO197,AO197&lt;AQ197,AQ197&lt;AS197,AS197&lt;AU197,OR(AU197&lt;AW197,AW197="-"),OR(AW197&lt;AY197,AW197="-"))</f>
        <v>1</v>
      </c>
      <c r="BC197" s="109">
        <f t="shared" ref="BC197" si="1065">_xlfn.AGGREGATE(9,6,CH197:CS197)-_xlfn.AGGREGATE(9,6,BV197:CG197)+12</f>
        <v>242</v>
      </c>
      <c r="BD197" s="13" t="s">
        <v>23</v>
      </c>
      <c r="BE197" s="9" t="s">
        <v>1380</v>
      </c>
      <c r="BF197" s="120">
        <v>3.2</v>
      </c>
      <c r="BG197" s="51" t="s">
        <v>1</v>
      </c>
      <c r="BH197" s="51" t="s">
        <v>1</v>
      </c>
      <c r="BI197" s="12"/>
      <c r="BJ197" s="111" t="s">
        <v>1293</v>
      </c>
      <c r="BK197" s="112" t="s">
        <v>1293</v>
      </c>
      <c r="BL197" s="112" t="s">
        <v>1293</v>
      </c>
      <c r="BM197" s="112" t="s">
        <v>1293</v>
      </c>
      <c r="BN197" s="112" t="s">
        <v>1293</v>
      </c>
      <c r="BO197" s="112" t="s">
        <v>1293</v>
      </c>
      <c r="BP197" s="112" t="s">
        <v>1293</v>
      </c>
      <c r="BQ197" s="112" t="s">
        <v>1293</v>
      </c>
      <c r="BR197" s="112" t="s">
        <v>1293</v>
      </c>
      <c r="BS197" s="112" t="s">
        <v>1293</v>
      </c>
      <c r="BT197" s="112" t="s">
        <v>1293</v>
      </c>
      <c r="BU197" s="112" t="s">
        <v>1293</v>
      </c>
      <c r="BV197" s="111">
        <f t="shared" ref="BV197" si="1066">E197</f>
        <v>28</v>
      </c>
      <c r="BW197" s="113" t="str">
        <f t="shared" ref="BW197" si="1067">I197</f>
        <v>-</v>
      </c>
      <c r="BX197" s="114">
        <f t="shared" ref="BX197" si="1068">M197</f>
        <v>65</v>
      </c>
      <c r="BY197" s="113">
        <f t="shared" ref="BY197" si="1069">Q197</f>
        <v>97</v>
      </c>
      <c r="BZ197" s="114">
        <f t="shared" ref="BZ197" si="1070">U197</f>
        <v>101</v>
      </c>
      <c r="CA197" s="113" t="str">
        <f t="shared" ref="CA197" si="1071">Y197</f>
        <v>-</v>
      </c>
      <c r="CB197" s="114">
        <f t="shared" ref="CB197" si="1072">AC197</f>
        <v>143</v>
      </c>
      <c r="CC197" s="113">
        <f t="shared" ref="CC197" si="1073">AG197</f>
        <v>180</v>
      </c>
      <c r="CD197" s="114">
        <f t="shared" ref="CD197" si="1074">AK197</f>
        <v>191</v>
      </c>
      <c r="CE197" s="113">
        <f t="shared" ref="CE197" si="1075">AO197</f>
        <v>242</v>
      </c>
      <c r="CF197" s="114">
        <f t="shared" ref="CF197" si="1076">AS197</f>
        <v>282</v>
      </c>
      <c r="CG197" s="113">
        <f t="shared" ref="CG197" si="1077">AW197</f>
        <v>309</v>
      </c>
      <c r="CH197" s="111">
        <f t="shared" ref="CH197" si="1078">G197</f>
        <v>59</v>
      </c>
      <c r="CI197" s="113" t="str">
        <f t="shared" ref="CI197" si="1079">K197</f>
        <v>-</v>
      </c>
      <c r="CJ197" s="114">
        <f t="shared" ref="CJ197" si="1080">O197</f>
        <v>96</v>
      </c>
      <c r="CK197" s="114">
        <f t="shared" ref="CK197" si="1081">S197</f>
        <v>100</v>
      </c>
      <c r="CL197" s="114">
        <f t="shared" ref="CL197" si="1082">W197</f>
        <v>136</v>
      </c>
      <c r="CM197" s="114" t="str">
        <f t="shared" ref="CM197" si="1083">AA197</f>
        <v>-</v>
      </c>
      <c r="CN197" s="114">
        <f t="shared" ref="CN197" si="1084">AE197</f>
        <v>169</v>
      </c>
      <c r="CO197" s="114">
        <f t="shared" ref="CO197" si="1085">AI197</f>
        <v>182</v>
      </c>
      <c r="CP197" s="114">
        <f t="shared" ref="CP197" si="1086">AM197</f>
        <v>225</v>
      </c>
      <c r="CQ197" s="114">
        <f t="shared" ref="CQ197" si="1087">AQ197</f>
        <v>274</v>
      </c>
      <c r="CR197" s="114">
        <f t="shared" ref="CR197" si="1088">AU197</f>
        <v>308</v>
      </c>
      <c r="CS197" s="114">
        <f t="shared" ref="CS197" si="1089">AY197</f>
        <v>319</v>
      </c>
      <c r="CT197" s="109" t="e">
        <f t="shared" ref="CT197" si="1090">M197-K197</f>
        <v>#VALUE!</v>
      </c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  <c r="ADW197" s="1"/>
      <c r="ADX197" s="1"/>
      <c r="ADY197" s="1"/>
      <c r="ADZ197" s="1"/>
      <c r="AEA197" s="1"/>
      <c r="AEB197" s="1"/>
      <c r="AEC197" s="1"/>
      <c r="AED197" s="1"/>
      <c r="AEE197" s="1"/>
      <c r="AEF197" s="1"/>
      <c r="AEG197" s="1"/>
      <c r="AEH197" s="1"/>
      <c r="AEI197" s="1"/>
      <c r="AEJ197" s="1"/>
      <c r="AEK197" s="1"/>
      <c r="AEL197" s="1"/>
      <c r="AEM197" s="1"/>
      <c r="AEN197" s="1"/>
      <c r="AEO197" s="1"/>
      <c r="AEP197" s="1"/>
      <c r="AEQ197" s="1"/>
      <c r="AER197" s="1"/>
      <c r="AES197" s="1"/>
      <c r="AET197" s="1"/>
      <c r="AEU197" s="1"/>
      <c r="AEV197" s="1"/>
      <c r="AEW197" s="1"/>
      <c r="AEX197" s="1"/>
      <c r="AEY197" s="1"/>
      <c r="AEZ197" s="1"/>
      <c r="AFA197" s="1"/>
      <c r="AFB197" s="1"/>
      <c r="AFC197" s="1"/>
      <c r="AFD197" s="1"/>
      <c r="AFE197" s="1"/>
      <c r="AFF197" s="1"/>
      <c r="AFG197" s="1"/>
      <c r="AFH197" s="1"/>
      <c r="AFI197" s="1"/>
      <c r="AFJ197" s="1"/>
      <c r="AFK197" s="1"/>
      <c r="AFL197" s="1"/>
      <c r="AFM197" s="1"/>
      <c r="AFN197" s="1"/>
      <c r="AFO197" s="1"/>
      <c r="AFP197" s="1"/>
      <c r="AFQ197" s="1"/>
      <c r="AFR197" s="1"/>
      <c r="AFS197" s="1"/>
      <c r="AFT197" s="1"/>
      <c r="AFU197" s="1"/>
      <c r="AFV197" s="1"/>
      <c r="AFW197" s="1"/>
      <c r="AFX197" s="1"/>
      <c r="AFY197" s="1"/>
      <c r="AFZ197" s="1"/>
      <c r="AGA197" s="1"/>
      <c r="AGB197" s="1"/>
      <c r="AGC197" s="1"/>
      <c r="AGD197" s="1"/>
      <c r="AGE197" s="1"/>
      <c r="AGF197" s="1"/>
      <c r="AGG197" s="1"/>
      <c r="AGH197" s="1"/>
      <c r="AGI197" s="1"/>
      <c r="AGJ197" s="1"/>
      <c r="AGK197" s="1"/>
      <c r="AGL197" s="1"/>
      <c r="AGM197" s="1"/>
      <c r="AGN197" s="1"/>
      <c r="AGO197" s="1"/>
      <c r="AGP197" s="1"/>
      <c r="AGQ197" s="1"/>
      <c r="AGR197" s="1"/>
      <c r="AGS197" s="1"/>
      <c r="AGT197" s="1"/>
      <c r="AGU197" s="1"/>
      <c r="AGV197" s="1"/>
      <c r="AGW197" s="1"/>
      <c r="AGX197" s="1"/>
      <c r="AGY197" s="1"/>
      <c r="AGZ197" s="1"/>
      <c r="AHA197" s="1"/>
      <c r="AHB197" s="1"/>
      <c r="AHC197" s="1"/>
      <c r="AHD197" s="1"/>
      <c r="AHE197" s="1"/>
      <c r="AHF197" s="1"/>
      <c r="AHG197" s="1"/>
      <c r="AHH197" s="1"/>
      <c r="AHI197" s="1"/>
      <c r="AHJ197" s="1"/>
      <c r="AHK197" s="1"/>
      <c r="AHL197" s="1"/>
      <c r="AHM197" s="1"/>
      <c r="AHN197" s="1"/>
      <c r="AHO197" s="1"/>
      <c r="AHP197" s="1"/>
      <c r="AHQ197" s="1"/>
      <c r="AHR197" s="1"/>
      <c r="AHS197" s="1"/>
      <c r="AHT197" s="1"/>
      <c r="AHU197" s="1"/>
      <c r="AHV197" s="1"/>
      <c r="AHW197" s="1"/>
      <c r="AHX197" s="1"/>
      <c r="AHY197" s="1"/>
      <c r="AHZ197" s="1"/>
      <c r="AIA197" s="1"/>
      <c r="AIB197" s="1"/>
      <c r="AIC197" s="1"/>
      <c r="AID197" s="1"/>
      <c r="AIE197" s="1"/>
      <c r="AIF197" s="1"/>
      <c r="AIG197" s="1"/>
      <c r="AIH197" s="1"/>
      <c r="AII197" s="1"/>
      <c r="AIJ197" s="1"/>
      <c r="AIK197" s="1"/>
      <c r="AIL197" s="1"/>
      <c r="AIM197" s="1"/>
      <c r="AIN197" s="1"/>
      <c r="AIO197" s="1"/>
      <c r="AIP197" s="1"/>
      <c r="AIQ197" s="1"/>
      <c r="AIR197" s="1"/>
      <c r="AIS197" s="1"/>
      <c r="AIT197" s="1"/>
      <c r="AIU197" s="1"/>
      <c r="AIV197" s="1"/>
      <c r="AIW197" s="1"/>
      <c r="AIX197" s="1"/>
      <c r="AIY197" s="1"/>
      <c r="AIZ197" s="1"/>
      <c r="AJA197" s="1"/>
      <c r="AJB197" s="1"/>
      <c r="AJC197" s="1"/>
      <c r="AJD197" s="1"/>
      <c r="AJE197" s="1"/>
      <c r="AJF197" s="1"/>
      <c r="AJG197" s="1"/>
      <c r="AJH197" s="1"/>
      <c r="AJI197" s="1"/>
      <c r="AJJ197" s="1"/>
      <c r="AJK197" s="1"/>
      <c r="AJL197" s="1"/>
      <c r="AJM197" s="1"/>
      <c r="AJN197" s="1"/>
      <c r="AJO197" s="1"/>
      <c r="AJP197" s="1"/>
      <c r="AJQ197" s="1"/>
      <c r="AJR197" s="1"/>
      <c r="AJS197" s="1"/>
      <c r="AJT197" s="1"/>
      <c r="AJU197" s="1"/>
      <c r="AJV197" s="1"/>
      <c r="AJW197" s="1"/>
      <c r="AJX197" s="1"/>
      <c r="AJY197" s="1"/>
      <c r="AJZ197" s="1"/>
      <c r="AKA197" s="1"/>
      <c r="AKB197" s="1"/>
      <c r="AKC197" s="1"/>
      <c r="AKD197" s="1"/>
      <c r="AKE197" s="1"/>
      <c r="AKF197" s="1"/>
      <c r="AKG197" s="1"/>
      <c r="AKH197" s="1"/>
      <c r="AKI197" s="1"/>
      <c r="AKJ197" s="1"/>
      <c r="AKK197" s="1"/>
      <c r="AKL197" s="1"/>
      <c r="AKM197" s="1"/>
      <c r="AKN197" s="1"/>
      <c r="AKO197" s="1"/>
      <c r="AKP197" s="1"/>
      <c r="AKQ197" s="1"/>
      <c r="AKR197" s="1"/>
      <c r="AKS197" s="1"/>
      <c r="AKT197" s="1"/>
      <c r="AKU197" s="1"/>
      <c r="AKV197" s="1"/>
      <c r="AKW197" s="1"/>
      <c r="AKX197" s="1"/>
      <c r="AKY197" s="1"/>
      <c r="AKZ197" s="1"/>
      <c r="ALA197" s="1"/>
      <c r="ALB197" s="1"/>
      <c r="ALC197" s="1"/>
      <c r="ALD197" s="1"/>
      <c r="ALE197" s="1"/>
      <c r="ALF197" s="1"/>
      <c r="ALG197" s="1"/>
      <c r="ALH197" s="1"/>
      <c r="ALI197" s="1"/>
      <c r="ALJ197" s="1"/>
      <c r="ALK197" s="1"/>
      <c r="ALL197" s="1"/>
      <c r="ALM197" s="1"/>
      <c r="ALN197" s="1"/>
      <c r="ALO197" s="1"/>
      <c r="ALP197" s="1"/>
      <c r="ALQ197" s="1"/>
      <c r="ALR197" s="1"/>
      <c r="ALS197" s="1"/>
      <c r="ALT197" s="1"/>
      <c r="ALU197" s="1"/>
      <c r="ALV197" s="1"/>
      <c r="ALW197" s="1"/>
      <c r="ALX197" s="1"/>
      <c r="ALY197" s="1"/>
      <c r="ALZ197" s="1"/>
      <c r="AMA197" s="1"/>
      <c r="AMB197" s="1"/>
      <c r="AMC197" s="1"/>
      <c r="AMD197" s="1"/>
      <c r="AME197" s="1"/>
      <c r="AMF197" s="1"/>
      <c r="AMG197" s="1"/>
      <c r="AMH197" s="1"/>
      <c r="AMI197" s="1"/>
      <c r="AMJ197" s="1"/>
      <c r="AMK197" s="1"/>
      <c r="AML197" s="1"/>
      <c r="AMM197" s="1"/>
      <c r="AMN197" s="1"/>
      <c r="AMO197" s="1"/>
    </row>
    <row r="198" spans="1:1029" s="12" customFormat="1" x14ac:dyDescent="0.2">
      <c r="A198" s="9" t="str">
        <f>CONCATENATE(B198,"_",C198)</f>
        <v>npy1r_human__wt</v>
      </c>
      <c r="B198" s="9" t="s">
        <v>325</v>
      </c>
      <c r="C198" s="9" t="s">
        <v>100</v>
      </c>
      <c r="D198" s="9" t="str">
        <f>IFERROR(MID(VLOOKUP($B198,Seqs!$A:$B,2,0),E198,1),"")</f>
        <v>P</v>
      </c>
      <c r="E198" s="9">
        <v>36</v>
      </c>
      <c r="F198" s="9" t="str">
        <f>IFERROR(MID(VLOOKUP($B198,Seqs!$A:$B,2,0),G198,1),"")</f>
        <v>Q</v>
      </c>
      <c r="G198" s="9">
        <v>68</v>
      </c>
      <c r="H198" s="9" t="str">
        <f>IFERROR(MID(VLOOKUP($B198,Seqs!$A:$B,2,0),I198,1),"")</f>
        <v>K</v>
      </c>
      <c r="I198" s="109">
        <v>69</v>
      </c>
      <c r="J198" s="9" t="str">
        <f>IFERROR(MID(VLOOKUP($B198,Seqs!$A:$B,2,0),K198,1),"")</f>
        <v>R</v>
      </c>
      <c r="K198" s="109">
        <v>72</v>
      </c>
      <c r="L198" s="9" t="str">
        <f>IFERROR(MID(VLOOKUP($B198,Seqs!$A:$B,2,0),M198,1),"")</f>
        <v>N</v>
      </c>
      <c r="M198" s="9">
        <v>73</v>
      </c>
      <c r="N198" s="9" t="str">
        <f>IFERROR(MID(VLOOKUP($B198,Seqs!$A:$B,2,0),O198,1),"")</f>
        <v>D</v>
      </c>
      <c r="O198" s="9">
        <v>104</v>
      </c>
      <c r="P198" s="9" t="str">
        <f>IFERROR(MID(VLOOKUP($B198,Seqs!$A:$B,2,0),Q198,1),"")</f>
        <v>H</v>
      </c>
      <c r="Q198" s="9">
        <v>105</v>
      </c>
      <c r="R198" s="9" t="str">
        <f>IFERROR(MID(VLOOKUP($B198,Seqs!$A:$B,2,0),S198,1),"")</f>
        <v>F</v>
      </c>
      <c r="S198" s="9">
        <v>108</v>
      </c>
      <c r="T198" s="9" t="str">
        <f>IFERROR(MID(VLOOKUP($B198,Seqs!$A:$B,2,0),U198,1),"")</f>
        <v>G</v>
      </c>
      <c r="U198" s="9">
        <v>109</v>
      </c>
      <c r="V198" s="9" t="str">
        <f>IFERROR(MID(VLOOKUP($B198,Seqs!$A:$B,2,0),W198,1),"")</f>
        <v>N</v>
      </c>
      <c r="W198" s="9">
        <v>144</v>
      </c>
      <c r="X198" s="9" t="str">
        <f>IFERROR(MID(VLOOKUP($B198,Seqs!$A:$B,2,0),Y198,1),"")</f>
        <v/>
      </c>
      <c r="Y198" s="9" t="s">
        <v>23</v>
      </c>
      <c r="Z198" s="9" t="str">
        <f>IFERROR(MID(VLOOKUP($B198,Seqs!$A:$B,2,0),AA198,1),"")</f>
        <v/>
      </c>
      <c r="AA198" s="9" t="s">
        <v>23</v>
      </c>
      <c r="AB198" s="9" t="str">
        <f>IFERROR(MID(VLOOKUP($B198,Seqs!$A:$B,2,0),AC198,1),"")</f>
        <v>N</v>
      </c>
      <c r="AC198" s="9">
        <v>151</v>
      </c>
      <c r="AD198" s="9" t="str">
        <f>IFERROR(MID(VLOOKUP($B198,Seqs!$A:$B,2,0),AE198,1),"")</f>
        <v>Q</v>
      </c>
      <c r="AE198" s="9">
        <v>177</v>
      </c>
      <c r="AF198" s="9" t="str">
        <f>IFERROR(MID(VLOOKUP($B198,Seqs!$A:$B,2,0),AG198,1),"")</f>
        <v>C</v>
      </c>
      <c r="AG198" s="9">
        <v>198</v>
      </c>
      <c r="AH198" s="9" t="str">
        <f>IFERROR(MID(VLOOKUP($B198,Seqs!$A:$B,2,0),AI198,1),"")</f>
        <v>D</v>
      </c>
      <c r="AI198" s="9">
        <v>200</v>
      </c>
      <c r="AJ198" s="9" t="str">
        <f>IFERROR(MID(VLOOKUP($B198,Seqs!$A:$B,2,0),AK198,1),"")</f>
        <v>S</v>
      </c>
      <c r="AK198" s="9">
        <v>204</v>
      </c>
      <c r="AL198" s="9" t="str">
        <f>IFERROR(MID(VLOOKUP($B198,Seqs!$A:$B,2,0),AM198,1),"")</f>
        <v>M</v>
      </c>
      <c r="AM198" s="9">
        <v>245</v>
      </c>
      <c r="AN198" s="9" t="str">
        <f>IFERROR(MID(VLOOKUP($B198,Seqs!$A:$B,2,0),AO198,1),"")</f>
        <v>D</v>
      </c>
      <c r="AO198" s="9">
        <v>250</v>
      </c>
      <c r="AP198" s="9" t="str">
        <f>IFERROR(MID(VLOOKUP($B198,Seqs!$A:$B,2,0),AQ198,1),"")</f>
        <v>N</v>
      </c>
      <c r="AQ198" s="9">
        <v>289</v>
      </c>
      <c r="AR198" s="9" t="str">
        <f>IFERROR(MID(VLOOKUP($B198,Seqs!$A:$B,2,0),AS198,1),"")</f>
        <v>T</v>
      </c>
      <c r="AS198" s="9">
        <v>295</v>
      </c>
      <c r="AT198" s="9" t="str">
        <f>IFERROR(MID(VLOOKUP($B198,Seqs!$A:$B,2,0),AU198,1),"")</f>
        <v>L</v>
      </c>
      <c r="AU198" s="9">
        <v>323</v>
      </c>
      <c r="AV198" s="9" t="str">
        <f>IFERROR(MID(VLOOKUP($B198,Seqs!$A:$B,2,0),AW198,1),"")</f>
        <v>N</v>
      </c>
      <c r="AW198" s="9">
        <v>324</v>
      </c>
      <c r="AX198" s="9" t="str">
        <f>IFERROR(MID(VLOOKUP($B198,Seqs!$A:$B,2,0),AY198,1),"")</f>
        <v>F</v>
      </c>
      <c r="AY198" s="9">
        <v>335</v>
      </c>
      <c r="AZ198" s="110" t="str">
        <f>VLOOKUP(B198,Classification!A:D,2,0)</f>
        <v>A</v>
      </c>
      <c r="BA198" s="98" t="str">
        <f>VLOOKUP(B198,Classification!A:D,4,0)</f>
        <v>NeuropeptideY</v>
      </c>
      <c r="BB198" s="36" t="b">
        <f>AND(E198&lt;G198,OR(G198&lt;I198,I198="-"),OR(I198&lt;K198,I198="-"),OR(K198&lt;M198,K198="-"),M198&lt;O198,OR(O198&lt;Q198,Q198="-"),OR(Q198&lt;S198,Q198="-"),OR(S198&lt;U198,S198="-"),U198&lt;W198,OR(W198&lt;Y198,Y198="-"),OR(Y198&lt;AA198,Y198="-"),OR(AA198&lt;AC198,AA198="-"),AC198&lt;AE198,OR(AE198&lt;AG198,AG198="-"),OR(AG198&lt;AI198,AG198="-"),OR(AI198&lt;AK198,AI198="-"),AK198&lt;AM198,AM198&lt;AO198,AO198&lt;AQ198,AQ198&lt;AS198,AS198&lt;AU198,OR(AU198&lt;AW198,AW198="-"),OR(AW198&lt;AY198,AW198="-"))</f>
        <v>1</v>
      </c>
      <c r="BC198" s="109">
        <f>_xlfn.AGGREGATE(9,6,CH198:CS198)-_xlfn.AGGREGATE(9,6,BV198:CG198)+12</f>
        <v>263</v>
      </c>
      <c r="BD198" s="13" t="s">
        <v>23</v>
      </c>
      <c r="BE198" s="9" t="s">
        <v>1380</v>
      </c>
      <c r="BF198" s="120" t="s">
        <v>23</v>
      </c>
      <c r="BG198" s="51" t="s">
        <v>1383</v>
      </c>
      <c r="BH198" s="51" t="s">
        <v>1383</v>
      </c>
      <c r="BJ198" s="111" t="s">
        <v>1293</v>
      </c>
      <c r="BK198" s="112" t="s">
        <v>1293</v>
      </c>
      <c r="BL198" s="112" t="s">
        <v>1293</v>
      </c>
      <c r="BM198" s="112" t="s">
        <v>1293</v>
      </c>
      <c r="BN198" s="112" t="s">
        <v>1293</v>
      </c>
      <c r="BO198" s="112" t="s">
        <v>1293</v>
      </c>
      <c r="BP198" s="112" t="s">
        <v>1293</v>
      </c>
      <c r="BQ198" s="112" t="s">
        <v>1293</v>
      </c>
      <c r="BR198" s="112" t="s">
        <v>1293</v>
      </c>
      <c r="BS198" s="112" t="s">
        <v>1293</v>
      </c>
      <c r="BT198" s="112" t="s">
        <v>1293</v>
      </c>
      <c r="BU198" s="112" t="s">
        <v>1293</v>
      </c>
      <c r="BV198" s="111">
        <f>E198</f>
        <v>36</v>
      </c>
      <c r="BW198" s="113">
        <f>I198</f>
        <v>69</v>
      </c>
      <c r="BX198" s="114">
        <f>M198</f>
        <v>73</v>
      </c>
      <c r="BY198" s="113">
        <f>Q198</f>
        <v>105</v>
      </c>
      <c r="BZ198" s="114">
        <f>U198</f>
        <v>109</v>
      </c>
      <c r="CA198" s="113" t="str">
        <f>Y198</f>
        <v>-</v>
      </c>
      <c r="CB198" s="114">
        <f>AC198</f>
        <v>151</v>
      </c>
      <c r="CC198" s="113">
        <f>AG198</f>
        <v>198</v>
      </c>
      <c r="CD198" s="114">
        <f>AK198</f>
        <v>204</v>
      </c>
      <c r="CE198" s="113">
        <f>AO198</f>
        <v>250</v>
      </c>
      <c r="CF198" s="114">
        <f>AS198</f>
        <v>295</v>
      </c>
      <c r="CG198" s="113">
        <f>AW198</f>
        <v>324</v>
      </c>
      <c r="CH198" s="111">
        <f>G198</f>
        <v>68</v>
      </c>
      <c r="CI198" s="113">
        <f>K198</f>
        <v>72</v>
      </c>
      <c r="CJ198" s="114">
        <f>O198</f>
        <v>104</v>
      </c>
      <c r="CK198" s="114">
        <f>S198</f>
        <v>108</v>
      </c>
      <c r="CL198" s="114">
        <f>W198</f>
        <v>144</v>
      </c>
      <c r="CM198" s="114" t="str">
        <f>AA198</f>
        <v>-</v>
      </c>
      <c r="CN198" s="114">
        <f>AE198</f>
        <v>177</v>
      </c>
      <c r="CO198" s="114">
        <f>AI198</f>
        <v>200</v>
      </c>
      <c r="CP198" s="114">
        <f>AM198</f>
        <v>245</v>
      </c>
      <c r="CQ198" s="114">
        <f>AQ198</f>
        <v>289</v>
      </c>
      <c r="CR198" s="114">
        <f>AU198</f>
        <v>323</v>
      </c>
      <c r="CS198" s="114">
        <f>AY198</f>
        <v>335</v>
      </c>
      <c r="CT198" s="109">
        <f>M198-K198</f>
        <v>1</v>
      </c>
    </row>
    <row r="199" spans="1:1029" s="12" customFormat="1" x14ac:dyDescent="0.2">
      <c r="A199" s="9" t="str">
        <f>CONCATENATE(B199,"_",C199)</f>
        <v>npy1r_human_5ZBH</v>
      </c>
      <c r="B199" s="9" t="s">
        <v>325</v>
      </c>
      <c r="C199" s="9" t="s">
        <v>1503</v>
      </c>
      <c r="D199" s="9" t="str">
        <f>IFERROR(MID(VLOOKUP($B199,Seqs!$A:$B,2,0),E199,1),"")</f>
        <v>P</v>
      </c>
      <c r="E199" s="9">
        <v>36</v>
      </c>
      <c r="F199" s="9" t="str">
        <f>IFERROR(MID(VLOOKUP($B199,Seqs!$A:$B,2,0),G199,1),"")</f>
        <v>Q</v>
      </c>
      <c r="G199" s="9">
        <v>68</v>
      </c>
      <c r="H199" s="9" t="str">
        <f>IFERROR(MID(VLOOKUP($B199,Seqs!$A:$B,2,0),I199,1),"")</f>
        <v>K</v>
      </c>
      <c r="I199" s="109">
        <v>69</v>
      </c>
      <c r="J199" s="9" t="str">
        <f>IFERROR(MID(VLOOKUP($B199,Seqs!$A:$B,2,0),K199,1),"")</f>
        <v>R</v>
      </c>
      <c r="K199" s="109">
        <v>72</v>
      </c>
      <c r="L199" s="9" t="str">
        <f>IFERROR(MID(VLOOKUP($B199,Seqs!$A:$B,2,0),M199,1),"")</f>
        <v>N</v>
      </c>
      <c r="M199" s="9">
        <v>73</v>
      </c>
      <c r="N199" s="9" t="str">
        <f>IFERROR(MID(VLOOKUP($B199,Seqs!$A:$B,2,0),O199,1),"")</f>
        <v>M</v>
      </c>
      <c r="O199" s="9">
        <v>103</v>
      </c>
      <c r="P199" s="9" t="str">
        <f>IFERROR(MID(VLOOKUP($B199,Seqs!$A:$B,2,0),Q199,1),"")</f>
        <v>H</v>
      </c>
      <c r="Q199" s="9">
        <v>105</v>
      </c>
      <c r="R199" s="9" t="str">
        <f>IFERROR(MID(VLOOKUP($B199,Seqs!$A:$B,2,0),S199,1),"")</f>
        <v>F</v>
      </c>
      <c r="S199" s="9">
        <v>108</v>
      </c>
      <c r="T199" s="9" t="str">
        <f>IFERROR(MID(VLOOKUP($B199,Seqs!$A:$B,2,0),U199,1),"")</f>
        <v>G</v>
      </c>
      <c r="U199" s="9">
        <v>109</v>
      </c>
      <c r="V199" s="9" t="str">
        <f>IFERROR(MID(VLOOKUP($B199,Seqs!$A:$B,2,0),W199,1),"")</f>
        <v>N</v>
      </c>
      <c r="W199" s="9">
        <v>144</v>
      </c>
      <c r="X199" s="9" t="str">
        <f>IFERROR(MID(VLOOKUP($B199,Seqs!$A:$B,2,0),Y199,1),"")</f>
        <v/>
      </c>
      <c r="Y199" s="9" t="s">
        <v>23</v>
      </c>
      <c r="Z199" s="9" t="str">
        <f>IFERROR(MID(VLOOKUP($B199,Seqs!$A:$B,2,0),AA199,1),"")</f>
        <v/>
      </c>
      <c r="AA199" s="9" t="s">
        <v>23</v>
      </c>
      <c r="AB199" s="9" t="str">
        <f>IFERROR(MID(VLOOKUP($B199,Seqs!$A:$B,2,0),AC199,1),"")</f>
        <v>N</v>
      </c>
      <c r="AC199" s="9">
        <v>151</v>
      </c>
      <c r="AD199" s="9" t="str">
        <f>IFERROR(MID(VLOOKUP($B199,Seqs!$A:$B,2,0),AE199,1),"")</f>
        <v>Y</v>
      </c>
      <c r="AE199" s="9">
        <v>176</v>
      </c>
      <c r="AF199" s="9" t="str">
        <f>IFERROR(MID(VLOOKUP($B199,Seqs!$A:$B,2,0),AG199,1),"")</f>
        <v>C</v>
      </c>
      <c r="AG199" s="9">
        <v>198</v>
      </c>
      <c r="AH199" s="9" t="str">
        <f>IFERROR(MID(VLOOKUP($B199,Seqs!$A:$B,2,0),AI199,1),"")</f>
        <v>D</v>
      </c>
      <c r="AI199" s="9">
        <v>200</v>
      </c>
      <c r="AJ199" s="9" t="str">
        <f>IFERROR(MID(VLOOKUP($B199,Seqs!$A:$B,2,0),AK199,1),"")</f>
        <v>S</v>
      </c>
      <c r="AK199" s="9">
        <v>204</v>
      </c>
      <c r="AL199" s="9" t="str">
        <f>IFERROR(MID(VLOOKUP($B199,Seqs!$A:$B,2,0),AM199,1),"")</f>
        <v>R</v>
      </c>
      <c r="AM199" s="9">
        <v>241</v>
      </c>
      <c r="AN199" s="9" t="str">
        <f>IFERROR(MID(VLOOKUP($B199,Seqs!$A:$B,2,0),AO199,1),"")</f>
        <v>Y</v>
      </c>
      <c r="AO199" s="9">
        <v>253</v>
      </c>
      <c r="AP199" s="9" t="str">
        <f>IFERROR(MID(VLOOKUP($B199,Seqs!$A:$B,2,0),AQ199,1),"")</f>
        <v>N</v>
      </c>
      <c r="AQ199" s="9">
        <v>289</v>
      </c>
      <c r="AR199" s="9" t="str">
        <f>IFERROR(MID(VLOOKUP($B199,Seqs!$A:$B,2,0),AS199,1),"")</f>
        <v>T</v>
      </c>
      <c r="AS199" s="9">
        <v>295</v>
      </c>
      <c r="AT199" s="9" t="str">
        <f>IFERROR(MID(VLOOKUP($B199,Seqs!$A:$B,2,0),AU199,1),"")</f>
        <v>L</v>
      </c>
      <c r="AU199" s="9">
        <v>323</v>
      </c>
      <c r="AV199" s="9" t="str">
        <f>IFERROR(MID(VLOOKUP($B199,Seqs!$A:$B,2,0),AW199,1),"")</f>
        <v>N</v>
      </c>
      <c r="AW199" s="9">
        <v>324</v>
      </c>
      <c r="AX199" s="9" t="str">
        <f>IFERROR(MID(VLOOKUP($B199,Seqs!$A:$B,2,0),AY199,1),"")</f>
        <v>F</v>
      </c>
      <c r="AY199" s="9">
        <v>335</v>
      </c>
      <c r="AZ199" s="110" t="str">
        <f>VLOOKUP(B199,Classification!A:D,2,0)</f>
        <v>A</v>
      </c>
      <c r="BA199" s="98" t="str">
        <f>VLOOKUP(B199,Classification!A:D,4,0)</f>
        <v>NeuropeptideY</v>
      </c>
      <c r="BB199" s="36" t="b">
        <f>AND(E199&lt;G199,OR(G199&lt;I199,I199="-"),OR(I199&lt;K199,I199="-"),OR(K199&lt;M199,K199="-"),M199&lt;O199,OR(O199&lt;Q199,Q199="-"),OR(Q199&lt;S199,Q199="-"),OR(S199&lt;U199,S199="-"),U199&lt;W199,OR(W199&lt;Y199,Y199="-"),OR(Y199&lt;AA199,Y199="-"),OR(AA199&lt;AC199,AA199="-"),AC199&lt;AE199,OR(AE199&lt;AG199,AG199="-"),OR(AG199&lt;AI199,AG199="-"),OR(AI199&lt;AK199,AI199="-"),AK199&lt;AM199,AM199&lt;AO199,AO199&lt;AQ199,AQ199&lt;AS199,AS199&lt;AU199,OR(AU199&lt;AW199,AW199="-"),OR(AW199&lt;AY199,AW199="-"))</f>
        <v>1</v>
      </c>
      <c r="BC199" s="109">
        <f>_xlfn.AGGREGATE(9,6,CH199:CS199)-_xlfn.AGGREGATE(9,6,BV199:CG199)+12</f>
        <v>254</v>
      </c>
      <c r="BD199" s="13" t="s">
        <v>1382</v>
      </c>
      <c r="BE199" s="9" t="s">
        <v>1380</v>
      </c>
      <c r="BF199" s="120">
        <v>3</v>
      </c>
      <c r="BG199" s="51" t="s">
        <v>1</v>
      </c>
      <c r="BH199" s="51" t="s">
        <v>1</v>
      </c>
      <c r="BJ199" s="111" t="s">
        <v>1293</v>
      </c>
      <c r="BK199" s="112" t="s">
        <v>1293</v>
      </c>
      <c r="BL199" s="112" t="s">
        <v>1293</v>
      </c>
      <c r="BM199" s="112" t="s">
        <v>1293</v>
      </c>
      <c r="BN199" s="112" t="s">
        <v>1293</v>
      </c>
      <c r="BO199" s="112" t="s">
        <v>1293</v>
      </c>
      <c r="BP199" s="112" t="s">
        <v>1293</v>
      </c>
      <c r="BQ199" s="112" t="s">
        <v>1293</v>
      </c>
      <c r="BR199" s="112" t="s">
        <v>1293</v>
      </c>
      <c r="BS199" s="112" t="s">
        <v>1293</v>
      </c>
      <c r="BT199" s="112" t="s">
        <v>1293</v>
      </c>
      <c r="BU199" s="112" t="s">
        <v>1293</v>
      </c>
      <c r="BV199" s="111">
        <f>E199</f>
        <v>36</v>
      </c>
      <c r="BW199" s="113">
        <f>I199</f>
        <v>69</v>
      </c>
      <c r="BX199" s="114">
        <f>M199</f>
        <v>73</v>
      </c>
      <c r="BY199" s="113">
        <f>Q199</f>
        <v>105</v>
      </c>
      <c r="BZ199" s="114">
        <f>U199</f>
        <v>109</v>
      </c>
      <c r="CA199" s="113" t="str">
        <f>Y199</f>
        <v>-</v>
      </c>
      <c r="CB199" s="114">
        <f>AC199</f>
        <v>151</v>
      </c>
      <c r="CC199" s="113">
        <f>AG199</f>
        <v>198</v>
      </c>
      <c r="CD199" s="114">
        <f>AK199</f>
        <v>204</v>
      </c>
      <c r="CE199" s="113">
        <f>AO199</f>
        <v>253</v>
      </c>
      <c r="CF199" s="114">
        <f>AS199</f>
        <v>295</v>
      </c>
      <c r="CG199" s="113">
        <f>AW199</f>
        <v>324</v>
      </c>
      <c r="CH199" s="111">
        <f>G199</f>
        <v>68</v>
      </c>
      <c r="CI199" s="113">
        <f>K199</f>
        <v>72</v>
      </c>
      <c r="CJ199" s="114">
        <f>O199</f>
        <v>103</v>
      </c>
      <c r="CK199" s="114">
        <f>S199</f>
        <v>108</v>
      </c>
      <c r="CL199" s="114">
        <f>W199</f>
        <v>144</v>
      </c>
      <c r="CM199" s="114" t="str">
        <f>AA199</f>
        <v>-</v>
      </c>
      <c r="CN199" s="114">
        <f>AE199</f>
        <v>176</v>
      </c>
      <c r="CO199" s="114">
        <f>AI199</f>
        <v>200</v>
      </c>
      <c r="CP199" s="114">
        <f>AM199</f>
        <v>241</v>
      </c>
      <c r="CQ199" s="114">
        <f>AQ199</f>
        <v>289</v>
      </c>
      <c r="CR199" s="114">
        <f>AU199</f>
        <v>323</v>
      </c>
      <c r="CS199" s="114">
        <f>AY199</f>
        <v>335</v>
      </c>
      <c r="CT199" s="109">
        <f>M199-K199</f>
        <v>1</v>
      </c>
    </row>
    <row r="200" spans="1:1029" s="12" customFormat="1" x14ac:dyDescent="0.2">
      <c r="A200" s="9" t="str">
        <f>CONCATENATE(B200,"_",C200)</f>
        <v>npy1r_human_5ZBQ</v>
      </c>
      <c r="B200" s="9" t="s">
        <v>325</v>
      </c>
      <c r="C200" s="9" t="s">
        <v>1502</v>
      </c>
      <c r="D200" s="9" t="str">
        <f>IFERROR(MID(VLOOKUP($B200,Seqs!$A:$B,2,0),E200,1),"")</f>
        <v>P</v>
      </c>
      <c r="E200" s="9">
        <v>36</v>
      </c>
      <c r="F200" s="9" t="str">
        <f>IFERROR(MID(VLOOKUP($B200,Seqs!$A:$B,2,0),G200,1),"")</f>
        <v>Q</v>
      </c>
      <c r="G200" s="9">
        <v>68</v>
      </c>
      <c r="H200" s="9" t="str">
        <f>IFERROR(MID(VLOOKUP($B200,Seqs!$A:$B,2,0),I200,1),"")</f>
        <v/>
      </c>
      <c r="I200" s="109" t="s">
        <v>23</v>
      </c>
      <c r="J200" s="9" t="str">
        <f>IFERROR(MID(VLOOKUP($B200,Seqs!$A:$B,2,0),K200,1),"")</f>
        <v/>
      </c>
      <c r="K200" s="109" t="s">
        <v>23</v>
      </c>
      <c r="L200" s="9" t="str">
        <f>IFERROR(MID(VLOOKUP($B200,Seqs!$A:$B,2,0),M200,1),"")</f>
        <v>V</v>
      </c>
      <c r="M200" s="9">
        <v>74</v>
      </c>
      <c r="N200" s="9" t="str">
        <f>IFERROR(MID(VLOOKUP($B200,Seqs!$A:$B,2,0),O200,1),"")</f>
        <v>D</v>
      </c>
      <c r="O200" s="9">
        <v>104</v>
      </c>
      <c r="P200" s="9" t="str">
        <f>IFERROR(MID(VLOOKUP($B200,Seqs!$A:$B,2,0),Q200,1),"")</f>
        <v>W</v>
      </c>
      <c r="Q200" s="9">
        <v>106</v>
      </c>
      <c r="R200" s="9" t="str">
        <f>IFERROR(MID(VLOOKUP($B200,Seqs!$A:$B,2,0),S200,1),"")</f>
        <v>F</v>
      </c>
      <c r="S200" s="9">
        <v>108</v>
      </c>
      <c r="T200" s="9" t="str">
        <f>IFERROR(MID(VLOOKUP($B200,Seqs!$A:$B,2,0),U200,1),"")</f>
        <v>G</v>
      </c>
      <c r="U200" s="9">
        <v>109</v>
      </c>
      <c r="V200" s="9" t="str">
        <f>IFERROR(MID(VLOOKUP($B200,Seqs!$A:$B,2,0),W200,1),"")</f>
        <v>I</v>
      </c>
      <c r="W200" s="9">
        <v>143</v>
      </c>
      <c r="X200" s="9" t="str">
        <f>IFERROR(MID(VLOOKUP($B200,Seqs!$A:$B,2,0),Y200,1),"")</f>
        <v/>
      </c>
      <c r="Y200" s="9" t="s">
        <v>23</v>
      </c>
      <c r="Z200" s="9" t="str">
        <f>IFERROR(MID(VLOOKUP($B200,Seqs!$A:$B,2,0),AA200,1),"")</f>
        <v/>
      </c>
      <c r="AA200" s="9" t="s">
        <v>23</v>
      </c>
      <c r="AB200" s="9" t="str">
        <f>IFERROR(MID(VLOOKUP($B200,Seqs!$A:$B,2,0),AC200,1),"")</f>
        <v>N</v>
      </c>
      <c r="AC200" s="9">
        <v>151</v>
      </c>
      <c r="AD200" s="9" t="str">
        <f>IFERROR(MID(VLOOKUP($B200,Seqs!$A:$B,2,0),AE200,1),"")</f>
        <v>Q</v>
      </c>
      <c r="AE200" s="9">
        <v>177</v>
      </c>
      <c r="AF200" s="9" t="str">
        <f>IFERROR(MID(VLOOKUP($B200,Seqs!$A:$B,2,0),AG200,1),"")</f>
        <v>C</v>
      </c>
      <c r="AG200" s="9">
        <v>198</v>
      </c>
      <c r="AH200" s="9" t="str">
        <f>IFERROR(MID(VLOOKUP($B200,Seqs!$A:$B,2,0),AI200,1),"")</f>
        <v>D</v>
      </c>
      <c r="AI200" s="9">
        <v>200</v>
      </c>
      <c r="AJ200" s="9" t="str">
        <f>IFERROR(MID(VLOOKUP($B200,Seqs!$A:$B,2,0),AK200,1),"")</f>
        <v>S</v>
      </c>
      <c r="AK200" s="9">
        <v>204</v>
      </c>
      <c r="AL200" s="9" t="str">
        <f>IFERROR(MID(VLOOKUP($B200,Seqs!$A:$B,2,0),AM200,1),"")</f>
        <v>R</v>
      </c>
      <c r="AM200" s="9">
        <v>241</v>
      </c>
      <c r="AN200" s="9" t="str">
        <f>IFERROR(MID(VLOOKUP($B200,Seqs!$A:$B,2,0),AO200,1),"")</f>
        <v>T</v>
      </c>
      <c r="AO200" s="9">
        <v>258</v>
      </c>
      <c r="AP200" s="9" t="str">
        <f>IFERROR(MID(VLOOKUP($B200,Seqs!$A:$B,2,0),AQ200,1),"")</f>
        <v>N</v>
      </c>
      <c r="AQ200" s="9">
        <v>289</v>
      </c>
      <c r="AR200" s="9" t="str">
        <f>IFERROR(MID(VLOOKUP($B200,Seqs!$A:$B,2,0),AS200,1),"")</f>
        <v>T</v>
      </c>
      <c r="AS200" s="9">
        <v>295</v>
      </c>
      <c r="AT200" s="9" t="str">
        <f>IFERROR(MID(VLOOKUP($B200,Seqs!$A:$B,2,0),AU200,1),"")</f>
        <v>L</v>
      </c>
      <c r="AU200" s="9">
        <v>323</v>
      </c>
      <c r="AV200" s="9" t="str">
        <f>IFERROR(MID(VLOOKUP($B200,Seqs!$A:$B,2,0),AW200,1),"")</f>
        <v>N</v>
      </c>
      <c r="AW200" s="9">
        <v>324</v>
      </c>
      <c r="AX200" s="9" t="str">
        <f>IFERROR(MID(VLOOKUP($B200,Seqs!$A:$B,2,0),AY200,1),"")</f>
        <v>F</v>
      </c>
      <c r="AY200" s="9">
        <v>335</v>
      </c>
      <c r="AZ200" s="110" t="str">
        <f>VLOOKUP(B200,Classification!A:D,2,0)</f>
        <v>A</v>
      </c>
      <c r="BA200" s="98" t="str">
        <f>VLOOKUP(B200,Classification!A:D,4,0)</f>
        <v>NeuropeptideY</v>
      </c>
      <c r="BB200" s="36" t="b">
        <f>AND(E200&lt;G200,OR(G200&lt;I200,I200="-"),OR(I200&lt;K200,I200="-"),OR(K200&lt;M200,K200="-"),M200&lt;O200,OR(O200&lt;Q200,Q200="-"),OR(Q200&lt;S200,Q200="-"),OR(S200&lt;U200,S200="-"),U200&lt;W200,OR(W200&lt;Y200,Y200="-"),OR(Y200&lt;AA200,Y200="-"),OR(AA200&lt;AC200,AA200="-"),AC200&lt;AE200,OR(AE200&lt;AG200,AG200="-"),OR(AG200&lt;AI200,AG200="-"),OR(AI200&lt;AK200,AI200="-"),AK200&lt;AM200,AM200&lt;AO200,AO200&lt;AQ200,AQ200&lt;AS200,AS200&lt;AU200,OR(AU200&lt;AW200,AW200="-"),OR(AW200&lt;AY200,AW200="-"))</f>
        <v>1</v>
      </c>
      <c r="BC200" s="109">
        <f>_xlfn.AGGREGATE(9,6,CH200:CS200)-_xlfn.AGGREGATE(9,6,BV200:CG200)+12</f>
        <v>245</v>
      </c>
      <c r="BD200" s="13" t="s">
        <v>23</v>
      </c>
      <c r="BE200" s="9" t="s">
        <v>1380</v>
      </c>
      <c r="BF200" s="120">
        <v>2.7</v>
      </c>
      <c r="BG200" s="51" t="s">
        <v>1</v>
      </c>
      <c r="BH200" s="51" t="s">
        <v>1</v>
      </c>
      <c r="BJ200" s="111" t="s">
        <v>1293</v>
      </c>
      <c r="BK200" s="112" t="s">
        <v>1293</v>
      </c>
      <c r="BL200" s="112" t="s">
        <v>1293</v>
      </c>
      <c r="BM200" s="112" t="s">
        <v>1293</v>
      </c>
      <c r="BN200" s="112" t="s">
        <v>1293</v>
      </c>
      <c r="BO200" s="112" t="s">
        <v>1293</v>
      </c>
      <c r="BP200" s="112" t="s">
        <v>1293</v>
      </c>
      <c r="BQ200" s="112" t="s">
        <v>1293</v>
      </c>
      <c r="BR200" s="112" t="s">
        <v>1293</v>
      </c>
      <c r="BS200" s="112" t="s">
        <v>1293</v>
      </c>
      <c r="BT200" s="112" t="s">
        <v>1293</v>
      </c>
      <c r="BU200" s="112" t="s">
        <v>1293</v>
      </c>
      <c r="BV200" s="111">
        <f>E200</f>
        <v>36</v>
      </c>
      <c r="BW200" s="113" t="str">
        <f>I200</f>
        <v>-</v>
      </c>
      <c r="BX200" s="114">
        <f>M200</f>
        <v>74</v>
      </c>
      <c r="BY200" s="113">
        <f>Q200</f>
        <v>106</v>
      </c>
      <c r="BZ200" s="114">
        <f>U200</f>
        <v>109</v>
      </c>
      <c r="CA200" s="113" t="str">
        <f>Y200</f>
        <v>-</v>
      </c>
      <c r="CB200" s="114">
        <f>AC200</f>
        <v>151</v>
      </c>
      <c r="CC200" s="113">
        <f>AG200</f>
        <v>198</v>
      </c>
      <c r="CD200" s="114">
        <f>AK200</f>
        <v>204</v>
      </c>
      <c r="CE200" s="113">
        <f>AO200</f>
        <v>258</v>
      </c>
      <c r="CF200" s="114">
        <f>AS200</f>
        <v>295</v>
      </c>
      <c r="CG200" s="113">
        <f>AW200</f>
        <v>324</v>
      </c>
      <c r="CH200" s="111">
        <f>G200</f>
        <v>68</v>
      </c>
      <c r="CI200" s="113" t="str">
        <f>K200</f>
        <v>-</v>
      </c>
      <c r="CJ200" s="114">
        <f>O200</f>
        <v>104</v>
      </c>
      <c r="CK200" s="114">
        <f>S200</f>
        <v>108</v>
      </c>
      <c r="CL200" s="114">
        <f>W200</f>
        <v>143</v>
      </c>
      <c r="CM200" s="114" t="str">
        <f>AA200</f>
        <v>-</v>
      </c>
      <c r="CN200" s="114">
        <f>AE200</f>
        <v>177</v>
      </c>
      <c r="CO200" s="114">
        <f>AI200</f>
        <v>200</v>
      </c>
      <c r="CP200" s="114">
        <f>AM200</f>
        <v>241</v>
      </c>
      <c r="CQ200" s="114">
        <f>AQ200</f>
        <v>289</v>
      </c>
      <c r="CR200" s="114">
        <f>AU200</f>
        <v>323</v>
      </c>
      <c r="CS200" s="114">
        <f>AY200</f>
        <v>335</v>
      </c>
      <c r="CT200" s="109" t="e">
        <f>M200-K200</f>
        <v>#VALUE!</v>
      </c>
    </row>
    <row r="201" spans="1:1029" x14ac:dyDescent="0.2">
      <c r="A201" s="3" t="str">
        <f t="shared" si="893"/>
        <v>ntr1_rat__wt</v>
      </c>
      <c r="B201" s="3" t="s">
        <v>914</v>
      </c>
      <c r="C201" s="3" t="s">
        <v>100</v>
      </c>
      <c r="D201" s="3" t="str">
        <f>IFERROR(MID(VLOOKUP($B201,Seqs!$A:$B,2,0),E201,1),"")</f>
        <v>I</v>
      </c>
      <c r="E201" s="3">
        <v>61</v>
      </c>
      <c r="F201" s="3" t="str">
        <f>IFERROR(MID(VLOOKUP($B201,Seqs!$A:$B,2,0),G201,1),"")</f>
        <v>K</v>
      </c>
      <c r="G201" s="3">
        <v>92</v>
      </c>
      <c r="H201" s="3" t="str">
        <f>IFERROR(MID(VLOOKUP($B201,Seqs!$A:$B,2,0),I201,1),"")</f>
        <v>K</v>
      </c>
      <c r="I201" s="23">
        <v>93</v>
      </c>
      <c r="J201" s="3" t="str">
        <f>IFERROR(MID(VLOOKUP($B201,Seqs!$A:$B,2,0),K201,1),"")</f>
        <v>Q</v>
      </c>
      <c r="K201" s="23">
        <v>96</v>
      </c>
      <c r="L201" s="3" t="str">
        <f>IFERROR(MID(VLOOKUP($B201,Seqs!$A:$B,2,0),M201,1),"")</f>
        <v>S</v>
      </c>
      <c r="M201" s="3">
        <v>97</v>
      </c>
      <c r="N201" s="3" t="str">
        <f>IFERROR(MID(VLOOKUP($B201,Seqs!$A:$B,2,0),O201,1),"")</f>
        <v>V</v>
      </c>
      <c r="O201" s="3">
        <v>131</v>
      </c>
      <c r="P201" s="3" t="str">
        <f>IFERROR(MID(VLOOKUP($B201,Seqs!$A:$B,2,0),Q201,1),"")</f>
        <v>P</v>
      </c>
      <c r="Q201" s="3">
        <v>134</v>
      </c>
      <c r="R201" s="3" t="str">
        <f>IFERROR(MID(VLOOKUP($B201,Seqs!$A:$B,2,0),S201,1),"")</f>
        <v>F</v>
      </c>
      <c r="S201" s="3">
        <v>137</v>
      </c>
      <c r="T201" s="3" t="str">
        <f>IFERROR(MID(VLOOKUP($B201,Seqs!$A:$B,2,0),U201,1),"")</f>
        <v>G</v>
      </c>
      <c r="U201" s="3">
        <v>138</v>
      </c>
      <c r="V201" s="3" t="str">
        <f>IFERROR(MID(VLOOKUP($B201,Seqs!$A:$B,2,0),W201,1),"")</f>
        <v>H</v>
      </c>
      <c r="W201" s="3">
        <v>173</v>
      </c>
      <c r="X201" s="3" t="str">
        <f>IFERROR(MID(VLOOKUP($B201,Seqs!$A:$B,2,0),Y201,1),"")</f>
        <v>P</v>
      </c>
      <c r="Y201" s="3">
        <v>174</v>
      </c>
      <c r="Z201" s="3" t="str">
        <f>IFERROR(MID(VLOOKUP($B201,Seqs!$A:$B,2,0),AA201,1),"")</f>
        <v>M</v>
      </c>
      <c r="AA201" s="3">
        <v>181</v>
      </c>
      <c r="AB201" s="3" t="str">
        <f>IFERROR(MID(VLOOKUP($B201,Seqs!$A:$B,2,0),AC201,1),"")</f>
        <v>S</v>
      </c>
      <c r="AC201" s="9">
        <v>182</v>
      </c>
      <c r="AD201" s="3" t="str">
        <f>IFERROR(MID(VLOOKUP($B201,Seqs!$A:$B,2,0),AE201,1),"")</f>
        <v>M</v>
      </c>
      <c r="AE201" s="3">
        <v>208</v>
      </c>
      <c r="AF201" s="3" t="str">
        <f>IFERROR(MID(VLOOKUP($B201,Seqs!$A:$B,2,0),AG201,1),"")</f>
        <v>C</v>
      </c>
      <c r="AG201" s="3">
        <v>225</v>
      </c>
      <c r="AH201" s="3" t="str">
        <f>IFERROR(MID(VLOOKUP($B201,Seqs!$A:$B,2,0),AI201,1),"")</f>
        <v>P</v>
      </c>
      <c r="AI201" s="3">
        <v>227</v>
      </c>
      <c r="AJ201" s="3" t="str">
        <f>IFERROR(MID(VLOOKUP($B201,Seqs!$A:$B,2,0),AK201,1),"")</f>
        <v>T</v>
      </c>
      <c r="AK201" s="3">
        <v>231</v>
      </c>
      <c r="AL201" s="3" t="str">
        <f>IFERROR(MID(VLOOKUP($B201,Seqs!$A:$B,2,0),AM201,1),"")</f>
        <v>G</v>
      </c>
      <c r="AM201" s="3">
        <v>275</v>
      </c>
      <c r="AN201" s="3" t="str">
        <f>IFERROR(MID(VLOOKUP($B201,Seqs!$A:$B,2,0),AO201,1),"")</f>
        <v>P</v>
      </c>
      <c r="AO201" s="3">
        <v>297</v>
      </c>
      <c r="AP201" s="3" t="str">
        <f>IFERROR(MID(VLOOKUP($B201,Seqs!$A:$B,2,0),AQ201,1),"")</f>
        <v>I</v>
      </c>
      <c r="AQ201" s="3">
        <v>334</v>
      </c>
      <c r="AR201" s="3" t="str">
        <f>IFERROR(MID(VLOOKUP($B201,Seqs!$A:$B,2,0),AS201,1),"")</f>
        <v>T</v>
      </c>
      <c r="AS201" s="3">
        <v>340</v>
      </c>
      <c r="AT201" s="3" t="str">
        <f>IFERROR(MID(VLOOKUP($B201,Seqs!$A:$B,2,0),AU201,1),"")</f>
        <v>V</v>
      </c>
      <c r="AU201" s="3">
        <v>372</v>
      </c>
      <c r="AV201" s="3" t="str">
        <f>IFERROR(MID(VLOOKUP($B201,Seqs!$A:$B,2,0),AW201,1),"")</f>
        <v>S</v>
      </c>
      <c r="AW201" s="3">
        <v>373</v>
      </c>
      <c r="AX201" s="3" t="str">
        <f>IFERROR(MID(VLOOKUP($B201,Seqs!$A:$B,2,0),AY201,1),"")</f>
        <v>L</v>
      </c>
      <c r="AY201" s="3">
        <v>384</v>
      </c>
      <c r="AZ201" s="77" t="str">
        <f>VLOOKUP(B201,Classification!A:D,2,0)</f>
        <v>A</v>
      </c>
      <c r="BA201" s="94" t="str">
        <f>VLOOKUP(B201,Classification!A:D,4,0)</f>
        <v>Neurotensin</v>
      </c>
      <c r="BB201" s="27" t="b">
        <f t="shared" si="894"/>
        <v>1</v>
      </c>
      <c r="BC201" s="23">
        <f t="shared" si="867"/>
        <v>277</v>
      </c>
      <c r="BD201" s="56" t="s">
        <v>23</v>
      </c>
      <c r="BE201" s="3" t="s">
        <v>23</v>
      </c>
      <c r="BF201" s="119" t="s">
        <v>23</v>
      </c>
      <c r="BG201" s="49" t="s">
        <v>1378</v>
      </c>
      <c r="BH201" s="49" t="s">
        <v>1383</v>
      </c>
      <c r="BI201" s="3" t="s">
        <v>1170</v>
      </c>
      <c r="BJ201" s="70" t="s">
        <v>1293</v>
      </c>
      <c r="BK201" s="57" t="s">
        <v>1293</v>
      </c>
      <c r="BL201" s="57" t="s">
        <v>1293</v>
      </c>
      <c r="BM201" s="57" t="s">
        <v>1293</v>
      </c>
      <c r="BN201" s="57" t="s">
        <v>1293</v>
      </c>
      <c r="BO201" s="57" t="s">
        <v>1293</v>
      </c>
      <c r="BP201" s="57" t="s">
        <v>1293</v>
      </c>
      <c r="BQ201" s="57" t="s">
        <v>1293</v>
      </c>
      <c r="BR201" s="57" t="s">
        <v>1293</v>
      </c>
      <c r="BS201" s="57" t="s">
        <v>1293</v>
      </c>
      <c r="BT201" s="57" t="s">
        <v>1293</v>
      </c>
      <c r="BU201" s="57" t="s">
        <v>1293</v>
      </c>
      <c r="BV201" s="70">
        <f t="shared" si="868"/>
        <v>61</v>
      </c>
      <c r="BW201" s="71">
        <f t="shared" si="869"/>
        <v>93</v>
      </c>
      <c r="BX201" s="72">
        <f t="shared" si="870"/>
        <v>97</v>
      </c>
      <c r="BY201" s="71">
        <f t="shared" si="871"/>
        <v>134</v>
      </c>
      <c r="BZ201" s="72">
        <f t="shared" si="872"/>
        <v>138</v>
      </c>
      <c r="CA201" s="71">
        <f t="shared" si="873"/>
        <v>174</v>
      </c>
      <c r="CB201" s="72">
        <f t="shared" si="874"/>
        <v>182</v>
      </c>
      <c r="CC201" s="71">
        <f t="shared" si="875"/>
        <v>225</v>
      </c>
      <c r="CD201" s="72">
        <f t="shared" si="876"/>
        <v>231</v>
      </c>
      <c r="CE201" s="71">
        <f t="shared" si="877"/>
        <v>297</v>
      </c>
      <c r="CF201" s="72">
        <f t="shared" si="878"/>
        <v>340</v>
      </c>
      <c r="CG201" s="71">
        <f t="shared" si="879"/>
        <v>373</v>
      </c>
      <c r="CH201" s="70">
        <f t="shared" si="880"/>
        <v>92</v>
      </c>
      <c r="CI201" s="71">
        <f t="shared" si="881"/>
        <v>96</v>
      </c>
      <c r="CJ201" s="72">
        <f t="shared" si="882"/>
        <v>131</v>
      </c>
      <c r="CK201" s="72">
        <f t="shared" si="883"/>
        <v>137</v>
      </c>
      <c r="CL201" s="72">
        <f t="shared" si="884"/>
        <v>173</v>
      </c>
      <c r="CM201" s="72">
        <f t="shared" si="885"/>
        <v>181</v>
      </c>
      <c r="CN201" s="72">
        <f t="shared" si="886"/>
        <v>208</v>
      </c>
      <c r="CO201" s="72">
        <f t="shared" si="887"/>
        <v>227</v>
      </c>
      <c r="CP201" s="72">
        <f t="shared" si="888"/>
        <v>275</v>
      </c>
      <c r="CQ201" s="72">
        <f t="shared" si="889"/>
        <v>334</v>
      </c>
      <c r="CR201" s="72">
        <f t="shared" si="890"/>
        <v>372</v>
      </c>
      <c r="CS201" s="72">
        <f t="shared" si="891"/>
        <v>384</v>
      </c>
      <c r="CT201" s="23">
        <f t="shared" si="892"/>
        <v>1</v>
      </c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  <c r="ADW201" s="1"/>
      <c r="ADX201" s="1"/>
      <c r="ADY201" s="1"/>
      <c r="ADZ201" s="1"/>
      <c r="AEA201" s="1"/>
      <c r="AEB201" s="1"/>
      <c r="AEC201" s="1"/>
      <c r="AED201" s="1"/>
      <c r="AEE201" s="1"/>
      <c r="AEF201" s="1"/>
      <c r="AEG201" s="1"/>
      <c r="AEH201" s="1"/>
      <c r="AEI201" s="1"/>
      <c r="AEJ201" s="1"/>
      <c r="AEK201" s="1"/>
      <c r="AEL201" s="1"/>
      <c r="AEM201" s="1"/>
      <c r="AEN201" s="1"/>
      <c r="AEO201" s="1"/>
      <c r="AEP201" s="1"/>
      <c r="AEQ201" s="1"/>
      <c r="AER201" s="1"/>
      <c r="AES201" s="1"/>
      <c r="AET201" s="1"/>
      <c r="AEU201" s="1"/>
      <c r="AEV201" s="1"/>
      <c r="AEW201" s="1"/>
      <c r="AEX201" s="1"/>
      <c r="AEY201" s="1"/>
      <c r="AEZ201" s="1"/>
      <c r="AFA201" s="1"/>
      <c r="AFB201" s="1"/>
      <c r="AFC201" s="1"/>
      <c r="AFD201" s="1"/>
      <c r="AFE201" s="1"/>
      <c r="AFF201" s="1"/>
      <c r="AFG201" s="1"/>
      <c r="AFH201" s="1"/>
      <c r="AFI201" s="1"/>
      <c r="AFJ201" s="1"/>
      <c r="AFK201" s="1"/>
      <c r="AFL201" s="1"/>
      <c r="AFM201" s="1"/>
      <c r="AFN201" s="1"/>
      <c r="AFO201" s="1"/>
      <c r="AFP201" s="1"/>
      <c r="AFQ201" s="1"/>
      <c r="AFR201" s="1"/>
      <c r="AFS201" s="1"/>
      <c r="AFT201" s="1"/>
      <c r="AFU201" s="1"/>
      <c r="AFV201" s="1"/>
      <c r="AFW201" s="1"/>
      <c r="AFX201" s="1"/>
      <c r="AFY201" s="1"/>
      <c r="AFZ201" s="1"/>
      <c r="AGA201" s="1"/>
      <c r="AGB201" s="1"/>
      <c r="AGC201" s="1"/>
      <c r="AGD201" s="1"/>
      <c r="AGE201" s="1"/>
      <c r="AGF201" s="1"/>
      <c r="AGG201" s="1"/>
      <c r="AGH201" s="1"/>
      <c r="AGI201" s="1"/>
      <c r="AGJ201" s="1"/>
      <c r="AGK201" s="1"/>
      <c r="AGL201" s="1"/>
      <c r="AGM201" s="1"/>
      <c r="AGN201" s="1"/>
      <c r="AGO201" s="1"/>
      <c r="AGP201" s="1"/>
      <c r="AGQ201" s="1"/>
      <c r="AGR201" s="1"/>
      <c r="AGS201" s="1"/>
      <c r="AGT201" s="1"/>
      <c r="AGU201" s="1"/>
      <c r="AGV201" s="1"/>
      <c r="AGW201" s="1"/>
      <c r="AGX201" s="1"/>
      <c r="AGY201" s="1"/>
      <c r="AGZ201" s="1"/>
      <c r="AHA201" s="1"/>
      <c r="AHB201" s="1"/>
      <c r="AHC201" s="1"/>
      <c r="AHD201" s="1"/>
      <c r="AHE201" s="1"/>
      <c r="AHF201" s="1"/>
      <c r="AHG201" s="1"/>
      <c r="AHH201" s="1"/>
      <c r="AHI201" s="1"/>
      <c r="AHJ201" s="1"/>
      <c r="AHK201" s="1"/>
      <c r="AHL201" s="1"/>
      <c r="AHM201" s="1"/>
      <c r="AHN201" s="1"/>
      <c r="AHO201" s="1"/>
      <c r="AHP201" s="1"/>
      <c r="AHQ201" s="1"/>
      <c r="AHR201" s="1"/>
      <c r="AHS201" s="1"/>
      <c r="AHT201" s="1"/>
      <c r="AHU201" s="1"/>
      <c r="AHV201" s="1"/>
      <c r="AHW201" s="1"/>
      <c r="AHX201" s="1"/>
      <c r="AHY201" s="1"/>
      <c r="AHZ201" s="1"/>
      <c r="AIA201" s="1"/>
      <c r="AIB201" s="1"/>
      <c r="AIC201" s="1"/>
      <c r="AID201" s="1"/>
      <c r="AIE201" s="1"/>
      <c r="AIF201" s="1"/>
      <c r="AIG201" s="1"/>
      <c r="AIH201" s="1"/>
      <c r="AII201" s="1"/>
      <c r="AIJ201" s="1"/>
      <c r="AIK201" s="1"/>
      <c r="AIL201" s="1"/>
      <c r="AIM201" s="1"/>
      <c r="AIN201" s="1"/>
      <c r="AIO201" s="1"/>
      <c r="AIP201" s="1"/>
      <c r="AIQ201" s="1"/>
      <c r="AIR201" s="1"/>
      <c r="AIS201" s="1"/>
      <c r="AIT201" s="1"/>
      <c r="AIU201" s="1"/>
      <c r="AIV201" s="1"/>
      <c r="AIW201" s="1"/>
      <c r="AIX201" s="1"/>
      <c r="AIY201" s="1"/>
      <c r="AIZ201" s="1"/>
      <c r="AJA201" s="1"/>
      <c r="AJB201" s="1"/>
      <c r="AJC201" s="1"/>
      <c r="AJD201" s="1"/>
      <c r="AJE201" s="1"/>
      <c r="AJF201" s="1"/>
      <c r="AJG201" s="1"/>
      <c r="AJH201" s="1"/>
      <c r="AJI201" s="1"/>
      <c r="AJJ201" s="1"/>
      <c r="AJK201" s="1"/>
      <c r="AJL201" s="1"/>
      <c r="AJM201" s="1"/>
      <c r="AJN201" s="1"/>
      <c r="AJO201" s="1"/>
      <c r="AJP201" s="1"/>
      <c r="AJQ201" s="1"/>
      <c r="AJR201" s="1"/>
      <c r="AJS201" s="1"/>
      <c r="AJT201" s="1"/>
      <c r="AJU201" s="1"/>
      <c r="AJV201" s="1"/>
      <c r="AJW201" s="1"/>
      <c r="AJX201" s="1"/>
      <c r="AJY201" s="1"/>
      <c r="AJZ201" s="1"/>
      <c r="AKA201" s="1"/>
      <c r="AKB201" s="1"/>
      <c r="AKC201" s="1"/>
      <c r="AKD201" s="1"/>
      <c r="AKE201" s="1"/>
      <c r="AKF201" s="1"/>
      <c r="AKG201" s="1"/>
      <c r="AKH201" s="1"/>
      <c r="AKI201" s="1"/>
      <c r="AKJ201" s="1"/>
      <c r="AKK201" s="1"/>
      <c r="AKL201" s="1"/>
      <c r="AKM201" s="1"/>
      <c r="AKN201" s="1"/>
      <c r="AKO201" s="1"/>
      <c r="AKP201" s="1"/>
      <c r="AKQ201" s="1"/>
      <c r="AKR201" s="1"/>
      <c r="AKS201" s="1"/>
      <c r="AKT201" s="1"/>
      <c r="AKU201" s="1"/>
      <c r="AKV201" s="1"/>
      <c r="AKW201" s="1"/>
      <c r="AKX201" s="1"/>
      <c r="AKY201" s="1"/>
      <c r="AKZ201" s="1"/>
      <c r="ALA201" s="1"/>
      <c r="ALB201" s="1"/>
      <c r="ALC201" s="1"/>
      <c r="ALD201" s="1"/>
      <c r="ALE201" s="1"/>
      <c r="ALF201" s="1"/>
      <c r="ALG201" s="1"/>
      <c r="ALH201" s="1"/>
      <c r="ALI201" s="1"/>
      <c r="ALJ201" s="1"/>
      <c r="ALK201" s="1"/>
      <c r="ALL201" s="1"/>
      <c r="ALM201" s="1"/>
      <c r="ALN201" s="1"/>
      <c r="ALO201" s="1"/>
      <c r="ALP201" s="1"/>
      <c r="ALQ201" s="1"/>
      <c r="ALR201" s="1"/>
      <c r="ALS201" s="1"/>
      <c r="ALT201" s="1"/>
      <c r="ALU201" s="1"/>
      <c r="ALV201" s="1"/>
      <c r="ALW201" s="1"/>
      <c r="ALX201" s="1"/>
      <c r="ALY201" s="1"/>
      <c r="ALZ201" s="1"/>
      <c r="AMA201" s="1"/>
      <c r="AMB201" s="1"/>
      <c r="AMC201" s="1"/>
      <c r="AMD201" s="1"/>
      <c r="AME201" s="1"/>
      <c r="AMF201" s="1"/>
      <c r="AMG201" s="1"/>
      <c r="AMH201" s="1"/>
      <c r="AMI201" s="1"/>
      <c r="AMJ201" s="1"/>
      <c r="AMK201" s="1"/>
      <c r="AML201" s="1"/>
      <c r="AMM201" s="1"/>
      <c r="AMN201" s="1"/>
      <c r="AMO201" s="1"/>
    </row>
    <row r="202" spans="1:1029" x14ac:dyDescent="0.2">
      <c r="A202" s="3" t="str">
        <f t="shared" si="893"/>
        <v>ntr1_rat_4BUO</v>
      </c>
      <c r="B202" s="3" t="s">
        <v>914</v>
      </c>
      <c r="C202" s="3" t="s">
        <v>1338</v>
      </c>
      <c r="D202" s="3" t="str">
        <f>IFERROR(MID(VLOOKUP($B202,Seqs!$A:$B,2,0),E202,1),"")</f>
        <v>I</v>
      </c>
      <c r="E202" s="3">
        <v>61</v>
      </c>
      <c r="F202" s="3" t="str">
        <f>IFERROR(MID(VLOOKUP($B202,Seqs!$A:$B,2,0),G202,1),"")</f>
        <v>R</v>
      </c>
      <c r="G202" s="3">
        <v>91</v>
      </c>
      <c r="H202" s="3" t="str">
        <f>IFERROR(MID(VLOOKUP($B202,Seqs!$A:$B,2,0),I202,1),"")</f>
        <v/>
      </c>
      <c r="I202" s="23" t="s">
        <v>23</v>
      </c>
      <c r="J202" s="3" t="str">
        <f>IFERROR(MID(VLOOKUP($B202,Seqs!$A:$B,2,0),K202,1),"")</f>
        <v/>
      </c>
      <c r="K202" s="23" t="s">
        <v>23</v>
      </c>
      <c r="L202" s="3" t="str">
        <f>IFERROR(MID(VLOOKUP($B202,Seqs!$A:$B,2,0),M202,1),"")</f>
        <v>S</v>
      </c>
      <c r="M202" s="3">
        <v>97</v>
      </c>
      <c r="N202" s="3" t="str">
        <f>IFERROR(MID(VLOOKUP($B202,Seqs!$A:$B,2,0),O202,1),"")</f>
        <v>V</v>
      </c>
      <c r="O202" s="3">
        <v>131</v>
      </c>
      <c r="P202" s="3" t="str">
        <f>IFERROR(MID(VLOOKUP($B202,Seqs!$A:$B,2,0),Q202,1),"")</f>
        <v>P</v>
      </c>
      <c r="Q202" s="3">
        <v>134</v>
      </c>
      <c r="R202" s="3" t="str">
        <f>IFERROR(MID(VLOOKUP($B202,Seqs!$A:$B,2,0),S202,1),"")</f>
        <v>F</v>
      </c>
      <c r="S202" s="3">
        <v>137</v>
      </c>
      <c r="T202" s="3" t="str">
        <f>IFERROR(MID(VLOOKUP($B202,Seqs!$A:$B,2,0),U202,1),"")</f>
        <v>G</v>
      </c>
      <c r="U202" s="3">
        <v>138</v>
      </c>
      <c r="V202" s="3" t="str">
        <f>IFERROR(MID(VLOOKUP($B202,Seqs!$A:$B,2,0),W202,1),"")</f>
        <v>H</v>
      </c>
      <c r="W202" s="3">
        <v>173</v>
      </c>
      <c r="X202" s="3" t="str">
        <f>IFERROR(MID(VLOOKUP($B202,Seqs!$A:$B,2,0),Y202,1),"")</f>
        <v/>
      </c>
      <c r="Y202" s="3" t="s">
        <v>23</v>
      </c>
      <c r="Z202" s="3" t="str">
        <f>IFERROR(MID(VLOOKUP($B202,Seqs!$A:$B,2,0),AA202,1),"")</f>
        <v/>
      </c>
      <c r="AA202" s="3" t="s">
        <v>23</v>
      </c>
      <c r="AB202" s="3" t="str">
        <f>IFERROR(MID(VLOOKUP($B202,Seqs!$A:$B,2,0),AC202,1),"")</f>
        <v>S</v>
      </c>
      <c r="AC202" s="9">
        <v>182</v>
      </c>
      <c r="AD202" s="3" t="str">
        <f>IFERROR(MID(VLOOKUP($B202,Seqs!$A:$B,2,0),AE202,1),"")</f>
        <v>M</v>
      </c>
      <c r="AE202" s="3">
        <v>208</v>
      </c>
      <c r="AF202" s="3" t="str">
        <f>IFERROR(MID(VLOOKUP($B202,Seqs!$A:$B,2,0),AG202,1),"")</f>
        <v>C</v>
      </c>
      <c r="AG202" s="3">
        <v>225</v>
      </c>
      <c r="AH202" s="3" t="str">
        <f>IFERROR(MID(VLOOKUP($B202,Seqs!$A:$B,2,0),AI202,1),"")</f>
        <v>P</v>
      </c>
      <c r="AI202" s="3">
        <v>227</v>
      </c>
      <c r="AJ202" s="3" t="str">
        <f>IFERROR(MID(VLOOKUP($B202,Seqs!$A:$B,2,0),AK202,1),"")</f>
        <v>T</v>
      </c>
      <c r="AK202" s="3">
        <v>231</v>
      </c>
      <c r="AL202" s="3" t="str">
        <f>IFERROR(MID(VLOOKUP($B202,Seqs!$A:$B,2,0),AM202,1),"")</f>
        <v>Q</v>
      </c>
      <c r="AM202" s="3">
        <v>270</v>
      </c>
      <c r="AN202" s="3" t="str">
        <f>IFERROR(MID(VLOOKUP($B202,Seqs!$A:$B,2,0),AO202,1),"")</f>
        <v>G</v>
      </c>
      <c r="AO202" s="3">
        <v>298</v>
      </c>
      <c r="AP202" s="3" t="str">
        <f>IFERROR(MID(VLOOKUP($B202,Seqs!$A:$B,2,0),AQ202,1),"")</f>
        <v>I</v>
      </c>
      <c r="AQ202" s="3">
        <v>334</v>
      </c>
      <c r="AR202" s="3" t="str">
        <f>IFERROR(MID(VLOOKUP($B202,Seqs!$A:$B,2,0),AS202,1),"")</f>
        <v>T</v>
      </c>
      <c r="AS202" s="3">
        <v>340</v>
      </c>
      <c r="AT202" s="3" t="str">
        <f>IFERROR(MID(VLOOKUP($B202,Seqs!$A:$B,2,0),AU202,1),"")</f>
        <v>V</v>
      </c>
      <c r="AU202" s="3">
        <v>372</v>
      </c>
      <c r="AV202" s="3" t="str">
        <f>IFERROR(MID(VLOOKUP($B202,Seqs!$A:$B,2,0),AW202,1),"")</f>
        <v>S</v>
      </c>
      <c r="AW202" s="3">
        <v>373</v>
      </c>
      <c r="AX202" s="3" t="str">
        <f>IFERROR(MID(VLOOKUP($B202,Seqs!$A:$B,2,0),AY202,1),"")</f>
        <v>L</v>
      </c>
      <c r="AY202" s="3">
        <v>384</v>
      </c>
      <c r="AZ202" s="77" t="str">
        <f>VLOOKUP(B202,Classification!A:D,2,0)</f>
        <v>A</v>
      </c>
      <c r="BA202" s="94" t="str">
        <f>VLOOKUP(B202,Classification!A:D,4,0)</f>
        <v>Neurotensin</v>
      </c>
      <c r="BB202" s="27" t="b">
        <f t="shared" si="894"/>
        <v>1</v>
      </c>
      <c r="BC202" s="23">
        <f t="shared" si="867"/>
        <v>260</v>
      </c>
      <c r="BD202" s="16" t="s">
        <v>1382</v>
      </c>
      <c r="BE202" s="3" t="s">
        <v>1380</v>
      </c>
      <c r="BF202" s="119">
        <v>2.75</v>
      </c>
      <c r="BG202" s="49" t="s">
        <v>1383</v>
      </c>
      <c r="BH202" s="49" t="s">
        <v>1383</v>
      </c>
      <c r="BI202" s="1"/>
      <c r="BJ202" s="70" t="s">
        <v>1293</v>
      </c>
      <c r="BK202" s="57" t="s">
        <v>1293</v>
      </c>
      <c r="BL202" s="57" t="s">
        <v>1293</v>
      </c>
      <c r="BM202" s="57" t="s">
        <v>1293</v>
      </c>
      <c r="BN202" s="57" t="s">
        <v>1293</v>
      </c>
      <c r="BO202" s="57" t="s">
        <v>1293</v>
      </c>
      <c r="BP202" s="57" t="s">
        <v>1293</v>
      </c>
      <c r="BQ202" s="57" t="s">
        <v>1293</v>
      </c>
      <c r="BR202" s="57" t="s">
        <v>1293</v>
      </c>
      <c r="BS202" s="57" t="s">
        <v>1293</v>
      </c>
      <c r="BT202" s="57" t="s">
        <v>1293</v>
      </c>
      <c r="BU202" s="57" t="s">
        <v>1293</v>
      </c>
      <c r="BV202" s="70">
        <f t="shared" si="868"/>
        <v>61</v>
      </c>
      <c r="BW202" s="71" t="str">
        <f t="shared" si="869"/>
        <v>-</v>
      </c>
      <c r="BX202" s="72">
        <f t="shared" si="870"/>
        <v>97</v>
      </c>
      <c r="BY202" s="71">
        <f t="shared" si="871"/>
        <v>134</v>
      </c>
      <c r="BZ202" s="72">
        <f t="shared" si="872"/>
        <v>138</v>
      </c>
      <c r="CA202" s="71" t="str">
        <f t="shared" si="873"/>
        <v>-</v>
      </c>
      <c r="CB202" s="72">
        <f t="shared" si="874"/>
        <v>182</v>
      </c>
      <c r="CC202" s="71">
        <f t="shared" si="875"/>
        <v>225</v>
      </c>
      <c r="CD202" s="72">
        <f t="shared" si="876"/>
        <v>231</v>
      </c>
      <c r="CE202" s="71">
        <f t="shared" si="877"/>
        <v>298</v>
      </c>
      <c r="CF202" s="72">
        <f t="shared" si="878"/>
        <v>340</v>
      </c>
      <c r="CG202" s="71">
        <f t="shared" si="879"/>
        <v>373</v>
      </c>
      <c r="CH202" s="70">
        <f t="shared" si="880"/>
        <v>91</v>
      </c>
      <c r="CI202" s="71" t="str">
        <f t="shared" si="881"/>
        <v>-</v>
      </c>
      <c r="CJ202" s="72">
        <f t="shared" si="882"/>
        <v>131</v>
      </c>
      <c r="CK202" s="72">
        <f t="shared" si="883"/>
        <v>137</v>
      </c>
      <c r="CL202" s="72">
        <f t="shared" si="884"/>
        <v>173</v>
      </c>
      <c r="CM202" s="72" t="str">
        <f t="shared" si="885"/>
        <v>-</v>
      </c>
      <c r="CN202" s="72">
        <f t="shared" si="886"/>
        <v>208</v>
      </c>
      <c r="CO202" s="72">
        <f t="shared" si="887"/>
        <v>227</v>
      </c>
      <c r="CP202" s="72">
        <f t="shared" si="888"/>
        <v>270</v>
      </c>
      <c r="CQ202" s="72">
        <f t="shared" si="889"/>
        <v>334</v>
      </c>
      <c r="CR202" s="72">
        <f t="shared" si="890"/>
        <v>372</v>
      </c>
      <c r="CS202" s="72">
        <f t="shared" si="891"/>
        <v>384</v>
      </c>
      <c r="CT202" s="23" t="e">
        <f t="shared" si="892"/>
        <v>#VALUE!</v>
      </c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  <c r="ADW202" s="1"/>
      <c r="ADX202" s="1"/>
      <c r="ADY202" s="1"/>
      <c r="ADZ202" s="1"/>
      <c r="AEA202" s="1"/>
      <c r="AEB202" s="1"/>
      <c r="AEC202" s="1"/>
      <c r="AED202" s="1"/>
      <c r="AEE202" s="1"/>
      <c r="AEF202" s="1"/>
      <c r="AEG202" s="1"/>
      <c r="AEH202" s="1"/>
      <c r="AEI202" s="1"/>
      <c r="AEJ202" s="1"/>
      <c r="AEK202" s="1"/>
      <c r="AEL202" s="1"/>
      <c r="AEM202" s="1"/>
      <c r="AEN202" s="1"/>
      <c r="AEO202" s="1"/>
      <c r="AEP202" s="1"/>
      <c r="AEQ202" s="1"/>
      <c r="AER202" s="1"/>
      <c r="AES202" s="1"/>
      <c r="AET202" s="1"/>
      <c r="AEU202" s="1"/>
      <c r="AEV202" s="1"/>
      <c r="AEW202" s="1"/>
      <c r="AEX202" s="1"/>
      <c r="AEY202" s="1"/>
      <c r="AEZ202" s="1"/>
      <c r="AFA202" s="1"/>
      <c r="AFB202" s="1"/>
      <c r="AFC202" s="1"/>
      <c r="AFD202" s="1"/>
      <c r="AFE202" s="1"/>
      <c r="AFF202" s="1"/>
      <c r="AFG202" s="1"/>
      <c r="AFH202" s="1"/>
      <c r="AFI202" s="1"/>
      <c r="AFJ202" s="1"/>
      <c r="AFK202" s="1"/>
      <c r="AFL202" s="1"/>
      <c r="AFM202" s="1"/>
      <c r="AFN202" s="1"/>
      <c r="AFO202" s="1"/>
      <c r="AFP202" s="1"/>
      <c r="AFQ202" s="1"/>
      <c r="AFR202" s="1"/>
      <c r="AFS202" s="1"/>
      <c r="AFT202" s="1"/>
      <c r="AFU202" s="1"/>
      <c r="AFV202" s="1"/>
      <c r="AFW202" s="1"/>
      <c r="AFX202" s="1"/>
      <c r="AFY202" s="1"/>
      <c r="AFZ202" s="1"/>
      <c r="AGA202" s="1"/>
      <c r="AGB202" s="1"/>
      <c r="AGC202" s="1"/>
      <c r="AGD202" s="1"/>
      <c r="AGE202" s="1"/>
      <c r="AGF202" s="1"/>
      <c r="AGG202" s="1"/>
      <c r="AGH202" s="1"/>
      <c r="AGI202" s="1"/>
      <c r="AGJ202" s="1"/>
      <c r="AGK202" s="1"/>
      <c r="AGL202" s="1"/>
      <c r="AGM202" s="1"/>
      <c r="AGN202" s="1"/>
      <c r="AGO202" s="1"/>
      <c r="AGP202" s="1"/>
      <c r="AGQ202" s="1"/>
      <c r="AGR202" s="1"/>
      <c r="AGS202" s="1"/>
      <c r="AGT202" s="1"/>
      <c r="AGU202" s="1"/>
      <c r="AGV202" s="1"/>
      <c r="AGW202" s="1"/>
      <c r="AGX202" s="1"/>
      <c r="AGY202" s="1"/>
      <c r="AGZ202" s="1"/>
      <c r="AHA202" s="1"/>
      <c r="AHB202" s="1"/>
      <c r="AHC202" s="1"/>
      <c r="AHD202" s="1"/>
      <c r="AHE202" s="1"/>
      <c r="AHF202" s="1"/>
      <c r="AHG202" s="1"/>
      <c r="AHH202" s="1"/>
      <c r="AHI202" s="1"/>
      <c r="AHJ202" s="1"/>
      <c r="AHK202" s="1"/>
      <c r="AHL202" s="1"/>
      <c r="AHM202" s="1"/>
      <c r="AHN202" s="1"/>
      <c r="AHO202" s="1"/>
      <c r="AHP202" s="1"/>
      <c r="AHQ202" s="1"/>
      <c r="AHR202" s="1"/>
      <c r="AHS202" s="1"/>
      <c r="AHT202" s="1"/>
      <c r="AHU202" s="1"/>
      <c r="AHV202" s="1"/>
      <c r="AHW202" s="1"/>
      <c r="AHX202" s="1"/>
      <c r="AHY202" s="1"/>
      <c r="AHZ202" s="1"/>
      <c r="AIA202" s="1"/>
      <c r="AIB202" s="1"/>
      <c r="AIC202" s="1"/>
      <c r="AID202" s="1"/>
      <c r="AIE202" s="1"/>
      <c r="AIF202" s="1"/>
      <c r="AIG202" s="1"/>
      <c r="AIH202" s="1"/>
      <c r="AII202" s="1"/>
      <c r="AIJ202" s="1"/>
      <c r="AIK202" s="1"/>
      <c r="AIL202" s="1"/>
      <c r="AIM202" s="1"/>
      <c r="AIN202" s="1"/>
      <c r="AIO202" s="1"/>
      <c r="AIP202" s="1"/>
      <c r="AIQ202" s="1"/>
      <c r="AIR202" s="1"/>
      <c r="AIS202" s="1"/>
      <c r="AIT202" s="1"/>
      <c r="AIU202" s="1"/>
      <c r="AIV202" s="1"/>
      <c r="AIW202" s="1"/>
      <c r="AIX202" s="1"/>
      <c r="AIY202" s="1"/>
      <c r="AIZ202" s="1"/>
      <c r="AJA202" s="1"/>
      <c r="AJB202" s="1"/>
      <c r="AJC202" s="1"/>
      <c r="AJD202" s="1"/>
      <c r="AJE202" s="1"/>
      <c r="AJF202" s="1"/>
      <c r="AJG202" s="1"/>
      <c r="AJH202" s="1"/>
      <c r="AJI202" s="1"/>
      <c r="AJJ202" s="1"/>
      <c r="AJK202" s="1"/>
      <c r="AJL202" s="1"/>
      <c r="AJM202" s="1"/>
      <c r="AJN202" s="1"/>
      <c r="AJO202" s="1"/>
      <c r="AJP202" s="1"/>
      <c r="AJQ202" s="1"/>
      <c r="AJR202" s="1"/>
      <c r="AJS202" s="1"/>
      <c r="AJT202" s="1"/>
      <c r="AJU202" s="1"/>
      <c r="AJV202" s="1"/>
      <c r="AJW202" s="1"/>
      <c r="AJX202" s="1"/>
      <c r="AJY202" s="1"/>
      <c r="AJZ202" s="1"/>
      <c r="AKA202" s="1"/>
      <c r="AKB202" s="1"/>
      <c r="AKC202" s="1"/>
      <c r="AKD202" s="1"/>
      <c r="AKE202" s="1"/>
      <c r="AKF202" s="1"/>
      <c r="AKG202" s="1"/>
      <c r="AKH202" s="1"/>
      <c r="AKI202" s="1"/>
      <c r="AKJ202" s="1"/>
      <c r="AKK202" s="1"/>
      <c r="AKL202" s="1"/>
      <c r="AKM202" s="1"/>
      <c r="AKN202" s="1"/>
      <c r="AKO202" s="1"/>
      <c r="AKP202" s="1"/>
      <c r="AKQ202" s="1"/>
      <c r="AKR202" s="1"/>
      <c r="AKS202" s="1"/>
      <c r="AKT202" s="1"/>
      <c r="AKU202" s="1"/>
      <c r="AKV202" s="1"/>
      <c r="AKW202" s="1"/>
      <c r="AKX202" s="1"/>
      <c r="AKY202" s="1"/>
      <c r="AKZ202" s="1"/>
      <c r="ALA202" s="1"/>
      <c r="ALB202" s="1"/>
      <c r="ALC202" s="1"/>
      <c r="ALD202" s="1"/>
      <c r="ALE202" s="1"/>
      <c r="ALF202" s="1"/>
      <c r="ALG202" s="1"/>
      <c r="ALH202" s="1"/>
      <c r="ALI202" s="1"/>
      <c r="ALJ202" s="1"/>
      <c r="ALK202" s="1"/>
      <c r="ALL202" s="1"/>
      <c r="ALM202" s="1"/>
      <c r="ALN202" s="1"/>
      <c r="ALO202" s="1"/>
      <c r="ALP202" s="1"/>
      <c r="ALQ202" s="1"/>
      <c r="ALR202" s="1"/>
      <c r="ALS202" s="1"/>
      <c r="ALT202" s="1"/>
      <c r="ALU202" s="1"/>
      <c r="ALV202" s="1"/>
      <c r="ALW202" s="1"/>
      <c r="ALX202" s="1"/>
      <c r="ALY202" s="1"/>
      <c r="ALZ202" s="1"/>
      <c r="AMA202" s="1"/>
      <c r="AMB202" s="1"/>
      <c r="AMC202" s="1"/>
      <c r="AMD202" s="1"/>
      <c r="AME202" s="1"/>
      <c r="AMF202" s="1"/>
      <c r="AMG202" s="1"/>
      <c r="AMH202" s="1"/>
      <c r="AMI202" s="1"/>
      <c r="AMJ202" s="1"/>
      <c r="AMK202" s="1"/>
      <c r="AML202" s="1"/>
      <c r="AMM202" s="1"/>
      <c r="AMN202" s="1"/>
      <c r="AMO202" s="1"/>
    </row>
    <row r="203" spans="1:1029" x14ac:dyDescent="0.2">
      <c r="A203" s="3" t="str">
        <f t="shared" si="893"/>
        <v>ntr1_rat_4GRV</v>
      </c>
      <c r="B203" s="3" t="s">
        <v>914</v>
      </c>
      <c r="C203" s="3" t="s">
        <v>50</v>
      </c>
      <c r="D203" s="3" t="str">
        <f>IFERROR(MID(VLOOKUP($B203,Seqs!$A:$B,2,0),E203,1),"")</f>
        <v>I</v>
      </c>
      <c r="E203" s="3">
        <v>61</v>
      </c>
      <c r="F203" s="3" t="str">
        <f>IFERROR(MID(VLOOKUP($B203,Seqs!$A:$B,2,0),G203,1),"")</f>
        <v>T</v>
      </c>
      <c r="G203" s="3">
        <v>88</v>
      </c>
      <c r="H203" s="3" t="str">
        <f>IFERROR(MID(VLOOKUP($B203,Seqs!$A:$B,2,0),I203,1),"")</f>
        <v/>
      </c>
      <c r="I203" s="23" t="s">
        <v>23</v>
      </c>
      <c r="J203" s="3" t="str">
        <f>IFERROR(MID(VLOOKUP($B203,Seqs!$A:$B,2,0),K203,1),"")</f>
        <v/>
      </c>
      <c r="K203" s="23" t="s">
        <v>23</v>
      </c>
      <c r="L203" s="3" t="str">
        <f>IFERROR(MID(VLOOKUP($B203,Seqs!$A:$B,2,0),M203,1),"")</f>
        <v>Q</v>
      </c>
      <c r="M203" s="3">
        <v>99</v>
      </c>
      <c r="N203" s="3" t="str">
        <f>IFERROR(MID(VLOOKUP($B203,Seqs!$A:$B,2,0),O203,1),"")</f>
        <v>V</v>
      </c>
      <c r="O203" s="3">
        <v>131</v>
      </c>
      <c r="P203" s="3" t="str">
        <f>IFERROR(MID(VLOOKUP($B203,Seqs!$A:$B,2,0),Q203,1),"")</f>
        <v>P</v>
      </c>
      <c r="Q203" s="3">
        <v>134</v>
      </c>
      <c r="R203" s="3" t="str">
        <f>IFERROR(MID(VLOOKUP($B203,Seqs!$A:$B,2,0),S203,1),"")</f>
        <v>F</v>
      </c>
      <c r="S203" s="3">
        <v>137</v>
      </c>
      <c r="T203" s="3" t="str">
        <f>IFERROR(MID(VLOOKUP($B203,Seqs!$A:$B,2,0),U203,1),"")</f>
        <v>G</v>
      </c>
      <c r="U203" s="3">
        <v>138</v>
      </c>
      <c r="V203" s="3" t="str">
        <f>IFERROR(MID(VLOOKUP($B203,Seqs!$A:$B,2,0),W203,1),"")</f>
        <v>H</v>
      </c>
      <c r="W203" s="3">
        <v>173</v>
      </c>
      <c r="X203" s="3" t="str">
        <f>IFERROR(MID(VLOOKUP($B203,Seqs!$A:$B,2,0),Y203,1),"")</f>
        <v/>
      </c>
      <c r="Y203" s="3" t="s">
        <v>23</v>
      </c>
      <c r="Z203" s="3" t="str">
        <f>IFERROR(MID(VLOOKUP($B203,Seqs!$A:$B,2,0),AA203,1),"")</f>
        <v/>
      </c>
      <c r="AA203" s="3" t="s">
        <v>23</v>
      </c>
      <c r="AB203" s="3" t="str">
        <f>IFERROR(MID(VLOOKUP($B203,Seqs!$A:$B,2,0),AC203,1),"")</f>
        <v>T</v>
      </c>
      <c r="AC203" s="9">
        <v>186</v>
      </c>
      <c r="AD203" s="3" t="str">
        <f>IFERROR(MID(VLOOKUP($B203,Seqs!$A:$B,2,0),AE203,1),"")</f>
        <v>M</v>
      </c>
      <c r="AE203" s="3">
        <v>208</v>
      </c>
      <c r="AF203" s="3" t="str">
        <f>IFERROR(MID(VLOOKUP($B203,Seqs!$A:$B,2,0),AG203,1),"")</f>
        <v>C</v>
      </c>
      <c r="AG203" s="3">
        <v>225</v>
      </c>
      <c r="AH203" s="3" t="str">
        <f>IFERROR(MID(VLOOKUP($B203,Seqs!$A:$B,2,0),AI203,1),"")</f>
        <v>P</v>
      </c>
      <c r="AI203" s="3">
        <v>227</v>
      </c>
      <c r="AJ203" s="3" t="str">
        <f>IFERROR(MID(VLOOKUP($B203,Seqs!$A:$B,2,0),AK203,1),"")</f>
        <v>T</v>
      </c>
      <c r="AK203" s="3">
        <v>231</v>
      </c>
      <c r="AL203" s="3" t="str">
        <f>IFERROR(MID(VLOOKUP($B203,Seqs!$A:$B,2,0),AM203,1),"")</f>
        <v>T</v>
      </c>
      <c r="AM203" s="3">
        <v>265</v>
      </c>
      <c r="AN203" s="3" t="str">
        <f>IFERROR(MID(VLOOKUP($B203,Seqs!$A:$B,2,0),AO203,1),"")</f>
        <v>A</v>
      </c>
      <c r="AO203" s="3">
        <v>302</v>
      </c>
      <c r="AP203" s="3" t="str">
        <f>IFERROR(MID(VLOOKUP($B203,Seqs!$A:$B,2,0),AQ203,1),"")</f>
        <v>I</v>
      </c>
      <c r="AQ203" s="3">
        <v>334</v>
      </c>
      <c r="AR203" s="3" t="str">
        <f>IFERROR(MID(VLOOKUP($B203,Seqs!$A:$B,2,0),AS203,1),"")</f>
        <v>T</v>
      </c>
      <c r="AS203" s="3">
        <v>340</v>
      </c>
      <c r="AT203" s="3" t="str">
        <f>IFERROR(MID(VLOOKUP($B203,Seqs!$A:$B,2,0),AU203,1),"")</f>
        <v>S</v>
      </c>
      <c r="AU203" s="3">
        <v>361</v>
      </c>
      <c r="AV203" s="3" t="str">
        <f>IFERROR(MID(VLOOKUP($B203,Seqs!$A:$B,2,0),AW203,1),"")</f>
        <v/>
      </c>
      <c r="AW203" s="3" t="s">
        <v>23</v>
      </c>
      <c r="AX203" s="3" t="str">
        <f>IFERROR(MID(VLOOKUP($B203,Seqs!$A:$B,2,0),AY203,1),"")</f>
        <v/>
      </c>
      <c r="AY203" s="3" t="s">
        <v>23</v>
      </c>
      <c r="AZ203" s="77" t="str">
        <f>VLOOKUP(B203,Classification!A:D,2,0)</f>
        <v>A</v>
      </c>
      <c r="BA203" s="94" t="str">
        <f>VLOOKUP(B203,Classification!A:D,4,0)</f>
        <v>Neurotensin</v>
      </c>
      <c r="BB203" s="27" t="b">
        <f t="shared" si="894"/>
        <v>1</v>
      </c>
      <c r="BC203" s="23">
        <f t="shared" si="867"/>
        <v>220</v>
      </c>
      <c r="BD203" s="5" t="s">
        <v>23</v>
      </c>
      <c r="BE203" s="3" t="s">
        <v>1438</v>
      </c>
      <c r="BF203" s="119">
        <v>2.8</v>
      </c>
      <c r="BG203" s="49" t="s">
        <v>1383</v>
      </c>
      <c r="BH203" s="49" t="s">
        <v>1383</v>
      </c>
      <c r="BI203" s="1"/>
      <c r="BJ203" s="70" t="s">
        <v>1293</v>
      </c>
      <c r="BK203" s="57" t="s">
        <v>1293</v>
      </c>
      <c r="BL203" s="57" t="s">
        <v>1293</v>
      </c>
      <c r="BM203" s="57" t="s">
        <v>1293</v>
      </c>
      <c r="BN203" s="57" t="s">
        <v>1293</v>
      </c>
      <c r="BO203" s="57" t="s">
        <v>1293</v>
      </c>
      <c r="BP203" s="57" t="s">
        <v>1293</v>
      </c>
      <c r="BQ203" s="57" t="s">
        <v>1293</v>
      </c>
      <c r="BR203" s="57" t="s">
        <v>1293</v>
      </c>
      <c r="BS203" s="57" t="s">
        <v>1293</v>
      </c>
      <c r="BT203" s="57" t="s">
        <v>1293</v>
      </c>
      <c r="BU203" s="57" t="s">
        <v>1293</v>
      </c>
      <c r="BV203" s="70">
        <f t="shared" si="868"/>
        <v>61</v>
      </c>
      <c r="BW203" s="71" t="str">
        <f t="shared" si="869"/>
        <v>-</v>
      </c>
      <c r="BX203" s="72">
        <f t="shared" si="870"/>
        <v>99</v>
      </c>
      <c r="BY203" s="71">
        <f t="shared" si="871"/>
        <v>134</v>
      </c>
      <c r="BZ203" s="72">
        <f t="shared" si="872"/>
        <v>138</v>
      </c>
      <c r="CA203" s="71" t="str">
        <f t="shared" si="873"/>
        <v>-</v>
      </c>
      <c r="CB203" s="72">
        <f t="shared" si="874"/>
        <v>186</v>
      </c>
      <c r="CC203" s="71">
        <f t="shared" si="875"/>
        <v>225</v>
      </c>
      <c r="CD203" s="72">
        <f t="shared" si="876"/>
        <v>231</v>
      </c>
      <c r="CE203" s="71">
        <f t="shared" si="877"/>
        <v>302</v>
      </c>
      <c r="CF203" s="72">
        <f t="shared" si="878"/>
        <v>340</v>
      </c>
      <c r="CG203" s="71" t="str">
        <f t="shared" si="879"/>
        <v>-</v>
      </c>
      <c r="CH203" s="70">
        <f t="shared" si="880"/>
        <v>88</v>
      </c>
      <c r="CI203" s="71" t="str">
        <f t="shared" si="881"/>
        <v>-</v>
      </c>
      <c r="CJ203" s="72">
        <f t="shared" si="882"/>
        <v>131</v>
      </c>
      <c r="CK203" s="72">
        <f t="shared" si="883"/>
        <v>137</v>
      </c>
      <c r="CL203" s="72">
        <f t="shared" si="884"/>
        <v>173</v>
      </c>
      <c r="CM203" s="72" t="str">
        <f t="shared" si="885"/>
        <v>-</v>
      </c>
      <c r="CN203" s="72">
        <f t="shared" si="886"/>
        <v>208</v>
      </c>
      <c r="CO203" s="72">
        <f t="shared" si="887"/>
        <v>227</v>
      </c>
      <c r="CP203" s="72">
        <f t="shared" si="888"/>
        <v>265</v>
      </c>
      <c r="CQ203" s="72">
        <f t="shared" si="889"/>
        <v>334</v>
      </c>
      <c r="CR203" s="72">
        <f t="shared" si="890"/>
        <v>361</v>
      </c>
      <c r="CS203" s="72" t="str">
        <f t="shared" si="891"/>
        <v>-</v>
      </c>
      <c r="CT203" s="23" t="e">
        <f t="shared" si="892"/>
        <v>#VALUE!</v>
      </c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  <c r="ADW203" s="1"/>
      <c r="ADX203" s="1"/>
      <c r="ADY203" s="1"/>
      <c r="ADZ203" s="1"/>
      <c r="AEA203" s="1"/>
      <c r="AEB203" s="1"/>
      <c r="AEC203" s="1"/>
      <c r="AED203" s="1"/>
      <c r="AEE203" s="1"/>
      <c r="AEF203" s="1"/>
      <c r="AEG203" s="1"/>
      <c r="AEH203" s="1"/>
      <c r="AEI203" s="1"/>
      <c r="AEJ203" s="1"/>
      <c r="AEK203" s="1"/>
      <c r="AEL203" s="1"/>
      <c r="AEM203" s="1"/>
      <c r="AEN203" s="1"/>
      <c r="AEO203" s="1"/>
      <c r="AEP203" s="1"/>
      <c r="AEQ203" s="1"/>
      <c r="AER203" s="1"/>
      <c r="AES203" s="1"/>
      <c r="AET203" s="1"/>
      <c r="AEU203" s="1"/>
      <c r="AEV203" s="1"/>
      <c r="AEW203" s="1"/>
      <c r="AEX203" s="1"/>
      <c r="AEY203" s="1"/>
      <c r="AEZ203" s="1"/>
      <c r="AFA203" s="1"/>
      <c r="AFB203" s="1"/>
      <c r="AFC203" s="1"/>
      <c r="AFD203" s="1"/>
      <c r="AFE203" s="1"/>
      <c r="AFF203" s="1"/>
      <c r="AFG203" s="1"/>
      <c r="AFH203" s="1"/>
      <c r="AFI203" s="1"/>
      <c r="AFJ203" s="1"/>
      <c r="AFK203" s="1"/>
      <c r="AFL203" s="1"/>
      <c r="AFM203" s="1"/>
      <c r="AFN203" s="1"/>
      <c r="AFO203" s="1"/>
      <c r="AFP203" s="1"/>
      <c r="AFQ203" s="1"/>
      <c r="AFR203" s="1"/>
      <c r="AFS203" s="1"/>
      <c r="AFT203" s="1"/>
      <c r="AFU203" s="1"/>
      <c r="AFV203" s="1"/>
      <c r="AFW203" s="1"/>
      <c r="AFX203" s="1"/>
      <c r="AFY203" s="1"/>
      <c r="AFZ203" s="1"/>
      <c r="AGA203" s="1"/>
      <c r="AGB203" s="1"/>
      <c r="AGC203" s="1"/>
      <c r="AGD203" s="1"/>
      <c r="AGE203" s="1"/>
      <c r="AGF203" s="1"/>
      <c r="AGG203" s="1"/>
      <c r="AGH203" s="1"/>
      <c r="AGI203" s="1"/>
      <c r="AGJ203" s="1"/>
      <c r="AGK203" s="1"/>
      <c r="AGL203" s="1"/>
      <c r="AGM203" s="1"/>
      <c r="AGN203" s="1"/>
      <c r="AGO203" s="1"/>
      <c r="AGP203" s="1"/>
      <c r="AGQ203" s="1"/>
      <c r="AGR203" s="1"/>
      <c r="AGS203" s="1"/>
      <c r="AGT203" s="1"/>
      <c r="AGU203" s="1"/>
      <c r="AGV203" s="1"/>
      <c r="AGW203" s="1"/>
      <c r="AGX203" s="1"/>
      <c r="AGY203" s="1"/>
      <c r="AGZ203" s="1"/>
      <c r="AHA203" s="1"/>
      <c r="AHB203" s="1"/>
      <c r="AHC203" s="1"/>
      <c r="AHD203" s="1"/>
      <c r="AHE203" s="1"/>
      <c r="AHF203" s="1"/>
      <c r="AHG203" s="1"/>
      <c r="AHH203" s="1"/>
      <c r="AHI203" s="1"/>
      <c r="AHJ203" s="1"/>
      <c r="AHK203" s="1"/>
      <c r="AHL203" s="1"/>
      <c r="AHM203" s="1"/>
      <c r="AHN203" s="1"/>
      <c r="AHO203" s="1"/>
      <c r="AHP203" s="1"/>
      <c r="AHQ203" s="1"/>
      <c r="AHR203" s="1"/>
      <c r="AHS203" s="1"/>
      <c r="AHT203" s="1"/>
      <c r="AHU203" s="1"/>
      <c r="AHV203" s="1"/>
      <c r="AHW203" s="1"/>
      <c r="AHX203" s="1"/>
      <c r="AHY203" s="1"/>
      <c r="AHZ203" s="1"/>
      <c r="AIA203" s="1"/>
      <c r="AIB203" s="1"/>
      <c r="AIC203" s="1"/>
      <c r="AID203" s="1"/>
      <c r="AIE203" s="1"/>
      <c r="AIF203" s="1"/>
      <c r="AIG203" s="1"/>
      <c r="AIH203" s="1"/>
      <c r="AII203" s="1"/>
      <c r="AIJ203" s="1"/>
      <c r="AIK203" s="1"/>
      <c r="AIL203" s="1"/>
      <c r="AIM203" s="1"/>
      <c r="AIN203" s="1"/>
      <c r="AIO203" s="1"/>
      <c r="AIP203" s="1"/>
      <c r="AIQ203" s="1"/>
      <c r="AIR203" s="1"/>
      <c r="AIS203" s="1"/>
      <c r="AIT203" s="1"/>
      <c r="AIU203" s="1"/>
      <c r="AIV203" s="1"/>
      <c r="AIW203" s="1"/>
      <c r="AIX203" s="1"/>
      <c r="AIY203" s="1"/>
      <c r="AIZ203" s="1"/>
      <c r="AJA203" s="1"/>
      <c r="AJB203" s="1"/>
      <c r="AJC203" s="1"/>
      <c r="AJD203" s="1"/>
      <c r="AJE203" s="1"/>
      <c r="AJF203" s="1"/>
      <c r="AJG203" s="1"/>
      <c r="AJH203" s="1"/>
      <c r="AJI203" s="1"/>
      <c r="AJJ203" s="1"/>
      <c r="AJK203" s="1"/>
      <c r="AJL203" s="1"/>
      <c r="AJM203" s="1"/>
      <c r="AJN203" s="1"/>
      <c r="AJO203" s="1"/>
      <c r="AJP203" s="1"/>
      <c r="AJQ203" s="1"/>
      <c r="AJR203" s="1"/>
      <c r="AJS203" s="1"/>
      <c r="AJT203" s="1"/>
      <c r="AJU203" s="1"/>
      <c r="AJV203" s="1"/>
      <c r="AJW203" s="1"/>
      <c r="AJX203" s="1"/>
      <c r="AJY203" s="1"/>
      <c r="AJZ203" s="1"/>
      <c r="AKA203" s="1"/>
      <c r="AKB203" s="1"/>
      <c r="AKC203" s="1"/>
      <c r="AKD203" s="1"/>
      <c r="AKE203" s="1"/>
      <c r="AKF203" s="1"/>
      <c r="AKG203" s="1"/>
      <c r="AKH203" s="1"/>
      <c r="AKI203" s="1"/>
      <c r="AKJ203" s="1"/>
      <c r="AKK203" s="1"/>
      <c r="AKL203" s="1"/>
      <c r="AKM203" s="1"/>
      <c r="AKN203" s="1"/>
      <c r="AKO203" s="1"/>
      <c r="AKP203" s="1"/>
      <c r="AKQ203" s="1"/>
      <c r="AKR203" s="1"/>
      <c r="AKS203" s="1"/>
      <c r="AKT203" s="1"/>
      <c r="AKU203" s="1"/>
      <c r="AKV203" s="1"/>
      <c r="AKW203" s="1"/>
      <c r="AKX203" s="1"/>
      <c r="AKY203" s="1"/>
      <c r="AKZ203" s="1"/>
      <c r="ALA203" s="1"/>
      <c r="ALB203" s="1"/>
      <c r="ALC203" s="1"/>
      <c r="ALD203" s="1"/>
      <c r="ALE203" s="1"/>
      <c r="ALF203" s="1"/>
      <c r="ALG203" s="1"/>
      <c r="ALH203" s="1"/>
      <c r="ALI203" s="1"/>
      <c r="ALJ203" s="1"/>
      <c r="ALK203" s="1"/>
      <c r="ALL203" s="1"/>
      <c r="ALM203" s="1"/>
      <c r="ALN203" s="1"/>
      <c r="ALO203" s="1"/>
      <c r="ALP203" s="1"/>
      <c r="ALQ203" s="1"/>
      <c r="ALR203" s="1"/>
      <c r="ALS203" s="1"/>
      <c r="ALT203" s="1"/>
      <c r="ALU203" s="1"/>
      <c r="ALV203" s="1"/>
      <c r="ALW203" s="1"/>
      <c r="ALX203" s="1"/>
      <c r="ALY203" s="1"/>
      <c r="ALZ203" s="1"/>
      <c r="AMA203" s="1"/>
      <c r="AMB203" s="1"/>
      <c r="AMC203" s="1"/>
      <c r="AMD203" s="1"/>
      <c r="AME203" s="1"/>
      <c r="AMF203" s="1"/>
      <c r="AMG203" s="1"/>
      <c r="AMH203" s="1"/>
      <c r="AMI203" s="1"/>
      <c r="AMJ203" s="1"/>
      <c r="AMK203" s="1"/>
      <c r="AML203" s="1"/>
      <c r="AMM203" s="1"/>
      <c r="AMN203" s="1"/>
      <c r="AMO203" s="1"/>
    </row>
    <row r="204" spans="1:1029" x14ac:dyDescent="0.2">
      <c r="A204" s="3" t="str">
        <f t="shared" si="893"/>
        <v>ntr1_rat_4XEE</v>
      </c>
      <c r="B204" s="3" t="s">
        <v>914</v>
      </c>
      <c r="C204" s="3" t="s">
        <v>1356</v>
      </c>
      <c r="D204" s="3" t="str">
        <f>IFERROR(MID(VLOOKUP($B204,Seqs!$A:$B,2,0),E204,1),"")</f>
        <v>I</v>
      </c>
      <c r="E204" s="3">
        <v>61</v>
      </c>
      <c r="F204" s="3" t="str">
        <f>IFERROR(MID(VLOOKUP($B204,Seqs!$A:$B,2,0),G204,1),"")</f>
        <v>R</v>
      </c>
      <c r="G204" s="3">
        <v>91</v>
      </c>
      <c r="H204" s="3" t="str">
        <f>IFERROR(MID(VLOOKUP($B204,Seqs!$A:$B,2,0),I204,1),"")</f>
        <v/>
      </c>
      <c r="I204" s="23" t="s">
        <v>23</v>
      </c>
      <c r="J204" s="3" t="str">
        <f>IFERROR(MID(VLOOKUP($B204,Seqs!$A:$B,2,0),K204,1),"")</f>
        <v/>
      </c>
      <c r="K204" s="23" t="s">
        <v>23</v>
      </c>
      <c r="L204" s="3" t="str">
        <f>IFERROR(MID(VLOOKUP($B204,Seqs!$A:$B,2,0),M204,1),"")</f>
        <v>S</v>
      </c>
      <c r="M204" s="3">
        <v>100</v>
      </c>
      <c r="N204" s="3" t="str">
        <f>IFERROR(MID(VLOOKUP($B204,Seqs!$A:$B,2,0),O204,1),"")</f>
        <v>V</v>
      </c>
      <c r="O204" s="3">
        <v>131</v>
      </c>
      <c r="P204" s="3" t="str">
        <f>IFERROR(MID(VLOOKUP($B204,Seqs!$A:$B,2,0),Q204,1),"")</f>
        <v>P</v>
      </c>
      <c r="Q204" s="3">
        <v>134</v>
      </c>
      <c r="R204" s="3" t="str">
        <f>IFERROR(MID(VLOOKUP($B204,Seqs!$A:$B,2,0),S204,1),"")</f>
        <v>F</v>
      </c>
      <c r="S204" s="3">
        <v>137</v>
      </c>
      <c r="T204" s="3" t="str">
        <f>IFERROR(MID(VLOOKUP($B204,Seqs!$A:$B,2,0),U204,1),"")</f>
        <v>G</v>
      </c>
      <c r="U204" s="3">
        <v>138</v>
      </c>
      <c r="V204" s="3" t="str">
        <f>IFERROR(MID(VLOOKUP($B204,Seqs!$A:$B,2,0),W204,1),"")</f>
        <v>H</v>
      </c>
      <c r="W204" s="3">
        <v>173</v>
      </c>
      <c r="X204" s="3" t="str">
        <f>IFERROR(MID(VLOOKUP($B204,Seqs!$A:$B,2,0),Y204,1),"")</f>
        <v>P</v>
      </c>
      <c r="Y204" s="3">
        <v>174</v>
      </c>
      <c r="Z204" s="3" t="str">
        <f>IFERROR(MID(VLOOKUP($B204,Seqs!$A:$B,2,0),AA204,1),"")</f>
        <v>M</v>
      </c>
      <c r="AA204" s="3">
        <v>181</v>
      </c>
      <c r="AB204" s="3" t="str">
        <f>IFERROR(MID(VLOOKUP($B204,Seqs!$A:$B,2,0),AC204,1),"")</f>
        <v>S</v>
      </c>
      <c r="AC204" s="9">
        <v>182</v>
      </c>
      <c r="AD204" s="3" t="str">
        <f>IFERROR(MID(VLOOKUP($B204,Seqs!$A:$B,2,0),AE204,1),"")</f>
        <v>M</v>
      </c>
      <c r="AE204" s="3">
        <v>208</v>
      </c>
      <c r="AF204" s="3" t="str">
        <f>IFERROR(MID(VLOOKUP($B204,Seqs!$A:$B,2,0),AG204,1),"")</f>
        <v>C</v>
      </c>
      <c r="AG204" s="3">
        <v>225</v>
      </c>
      <c r="AH204" s="3" t="str">
        <f>IFERROR(MID(VLOOKUP($B204,Seqs!$A:$B,2,0),AI204,1),"")</f>
        <v>P</v>
      </c>
      <c r="AI204" s="3">
        <v>227</v>
      </c>
      <c r="AJ204" s="3" t="str">
        <f>IFERROR(MID(VLOOKUP($B204,Seqs!$A:$B,2,0),AK204,1),"")</f>
        <v>T</v>
      </c>
      <c r="AK204" s="3">
        <v>231</v>
      </c>
      <c r="AL204" s="3" t="str">
        <f>IFERROR(MID(VLOOKUP($B204,Seqs!$A:$B,2,0),AM204,1),"")</f>
        <v>V</v>
      </c>
      <c r="AM204" s="3">
        <v>268</v>
      </c>
      <c r="AN204" s="3" t="str">
        <f>IFERROR(MID(VLOOKUP($B204,Seqs!$A:$B,2,0),AO204,1),"")</f>
        <v>Q</v>
      </c>
      <c r="AO204" s="3">
        <v>301</v>
      </c>
      <c r="AP204" s="3" t="str">
        <f>IFERROR(MID(VLOOKUP($B204,Seqs!$A:$B,2,0),AQ204,1),"")</f>
        <v>I</v>
      </c>
      <c r="AQ204" s="3">
        <v>334</v>
      </c>
      <c r="AR204" s="3" t="str">
        <f>IFERROR(MID(VLOOKUP($B204,Seqs!$A:$B,2,0),AS204,1),"")</f>
        <v>T</v>
      </c>
      <c r="AS204" s="3">
        <v>340</v>
      </c>
      <c r="AT204" s="3" t="str">
        <f>IFERROR(MID(VLOOKUP($B204,Seqs!$A:$B,2,0),AU204,1),"")</f>
        <v>I</v>
      </c>
      <c r="AU204" s="3">
        <v>364</v>
      </c>
      <c r="AV204" s="3" t="str">
        <f>IFERROR(MID(VLOOKUP($B204,Seqs!$A:$B,2,0),AW204,1),"")</f>
        <v/>
      </c>
      <c r="AW204" s="3" t="s">
        <v>23</v>
      </c>
      <c r="AX204" s="3" t="str">
        <f>IFERROR(MID(VLOOKUP($B204,Seqs!$A:$B,2,0),AY204,1),"")</f>
        <v/>
      </c>
      <c r="AY204" s="3" t="s">
        <v>23</v>
      </c>
      <c r="AZ204" s="77" t="str">
        <f>VLOOKUP(B204,Classification!A:D,2,0)</f>
        <v>A</v>
      </c>
      <c r="BA204" s="94" t="str">
        <f>VLOOKUP(B204,Classification!A:D,4,0)</f>
        <v>Neurotensin</v>
      </c>
      <c r="BB204" s="27" t="b">
        <f t="shared" si="894"/>
        <v>1</v>
      </c>
      <c r="BC204" s="23">
        <f t="shared" si="867"/>
        <v>240</v>
      </c>
      <c r="BD204" s="4" t="s">
        <v>23</v>
      </c>
      <c r="BE204" s="3" t="s">
        <v>1438</v>
      </c>
      <c r="BF204" s="119">
        <v>2.9</v>
      </c>
      <c r="BG204" s="49" t="s">
        <v>1383</v>
      </c>
      <c r="BH204" s="49" t="s">
        <v>1383</v>
      </c>
      <c r="BI204" s="1"/>
      <c r="BJ204" s="70" t="s">
        <v>1293</v>
      </c>
      <c r="BK204" s="57" t="s">
        <v>1293</v>
      </c>
      <c r="BL204" s="57" t="s">
        <v>1293</v>
      </c>
      <c r="BM204" s="57" t="s">
        <v>1293</v>
      </c>
      <c r="BN204" s="57" t="s">
        <v>1293</v>
      </c>
      <c r="BO204" s="57" t="s">
        <v>1293</v>
      </c>
      <c r="BP204" s="57" t="s">
        <v>1293</v>
      </c>
      <c r="BQ204" s="57" t="s">
        <v>1293</v>
      </c>
      <c r="BR204" s="57" t="s">
        <v>1293</v>
      </c>
      <c r="BS204" s="57" t="s">
        <v>1293</v>
      </c>
      <c r="BT204" s="57" t="s">
        <v>1293</v>
      </c>
      <c r="BU204" s="57" t="s">
        <v>1293</v>
      </c>
      <c r="BV204" s="70">
        <f t="shared" si="868"/>
        <v>61</v>
      </c>
      <c r="BW204" s="71" t="str">
        <f t="shared" si="869"/>
        <v>-</v>
      </c>
      <c r="BX204" s="72">
        <f t="shared" si="870"/>
        <v>100</v>
      </c>
      <c r="BY204" s="71">
        <f t="shared" si="871"/>
        <v>134</v>
      </c>
      <c r="BZ204" s="72">
        <f t="shared" si="872"/>
        <v>138</v>
      </c>
      <c r="CA204" s="71">
        <f t="shared" si="873"/>
        <v>174</v>
      </c>
      <c r="CB204" s="72">
        <f t="shared" si="874"/>
        <v>182</v>
      </c>
      <c r="CC204" s="71">
        <f t="shared" si="875"/>
        <v>225</v>
      </c>
      <c r="CD204" s="72">
        <f t="shared" si="876"/>
        <v>231</v>
      </c>
      <c r="CE204" s="71">
        <f t="shared" si="877"/>
        <v>301</v>
      </c>
      <c r="CF204" s="72">
        <f t="shared" si="878"/>
        <v>340</v>
      </c>
      <c r="CG204" s="71" t="str">
        <f t="shared" si="879"/>
        <v>-</v>
      </c>
      <c r="CH204" s="70">
        <f t="shared" si="880"/>
        <v>91</v>
      </c>
      <c r="CI204" s="71" t="str">
        <f t="shared" si="881"/>
        <v>-</v>
      </c>
      <c r="CJ204" s="72">
        <f t="shared" si="882"/>
        <v>131</v>
      </c>
      <c r="CK204" s="72">
        <f t="shared" si="883"/>
        <v>137</v>
      </c>
      <c r="CL204" s="72">
        <f t="shared" si="884"/>
        <v>173</v>
      </c>
      <c r="CM204" s="72">
        <f t="shared" si="885"/>
        <v>181</v>
      </c>
      <c r="CN204" s="72">
        <f t="shared" si="886"/>
        <v>208</v>
      </c>
      <c r="CO204" s="72">
        <f t="shared" si="887"/>
        <v>227</v>
      </c>
      <c r="CP204" s="72">
        <f t="shared" si="888"/>
        <v>268</v>
      </c>
      <c r="CQ204" s="72">
        <f t="shared" si="889"/>
        <v>334</v>
      </c>
      <c r="CR204" s="72">
        <f t="shared" si="890"/>
        <v>364</v>
      </c>
      <c r="CS204" s="72" t="str">
        <f t="shared" si="891"/>
        <v>-</v>
      </c>
      <c r="CT204" s="23" t="e">
        <f t="shared" si="892"/>
        <v>#VALUE!</v>
      </c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  <c r="ADW204" s="1"/>
      <c r="ADX204" s="1"/>
      <c r="ADY204" s="1"/>
      <c r="ADZ204" s="1"/>
      <c r="AEA204" s="1"/>
      <c r="AEB204" s="1"/>
      <c r="AEC204" s="1"/>
      <c r="AED204" s="1"/>
      <c r="AEE204" s="1"/>
      <c r="AEF204" s="1"/>
      <c r="AEG204" s="1"/>
      <c r="AEH204" s="1"/>
      <c r="AEI204" s="1"/>
      <c r="AEJ204" s="1"/>
      <c r="AEK204" s="1"/>
      <c r="AEL204" s="1"/>
      <c r="AEM204" s="1"/>
      <c r="AEN204" s="1"/>
      <c r="AEO204" s="1"/>
      <c r="AEP204" s="1"/>
      <c r="AEQ204" s="1"/>
      <c r="AER204" s="1"/>
      <c r="AES204" s="1"/>
      <c r="AET204" s="1"/>
      <c r="AEU204" s="1"/>
      <c r="AEV204" s="1"/>
      <c r="AEW204" s="1"/>
      <c r="AEX204" s="1"/>
      <c r="AEY204" s="1"/>
      <c r="AEZ204" s="1"/>
      <c r="AFA204" s="1"/>
      <c r="AFB204" s="1"/>
      <c r="AFC204" s="1"/>
      <c r="AFD204" s="1"/>
      <c r="AFE204" s="1"/>
      <c r="AFF204" s="1"/>
      <c r="AFG204" s="1"/>
      <c r="AFH204" s="1"/>
      <c r="AFI204" s="1"/>
      <c r="AFJ204" s="1"/>
      <c r="AFK204" s="1"/>
      <c r="AFL204" s="1"/>
      <c r="AFM204" s="1"/>
      <c r="AFN204" s="1"/>
      <c r="AFO204" s="1"/>
      <c r="AFP204" s="1"/>
      <c r="AFQ204" s="1"/>
      <c r="AFR204" s="1"/>
      <c r="AFS204" s="1"/>
      <c r="AFT204" s="1"/>
      <c r="AFU204" s="1"/>
      <c r="AFV204" s="1"/>
      <c r="AFW204" s="1"/>
      <c r="AFX204" s="1"/>
      <c r="AFY204" s="1"/>
      <c r="AFZ204" s="1"/>
      <c r="AGA204" s="1"/>
      <c r="AGB204" s="1"/>
      <c r="AGC204" s="1"/>
      <c r="AGD204" s="1"/>
      <c r="AGE204" s="1"/>
      <c r="AGF204" s="1"/>
      <c r="AGG204" s="1"/>
      <c r="AGH204" s="1"/>
      <c r="AGI204" s="1"/>
      <c r="AGJ204" s="1"/>
      <c r="AGK204" s="1"/>
      <c r="AGL204" s="1"/>
      <c r="AGM204" s="1"/>
      <c r="AGN204" s="1"/>
      <c r="AGO204" s="1"/>
      <c r="AGP204" s="1"/>
      <c r="AGQ204" s="1"/>
      <c r="AGR204" s="1"/>
      <c r="AGS204" s="1"/>
      <c r="AGT204" s="1"/>
      <c r="AGU204" s="1"/>
      <c r="AGV204" s="1"/>
      <c r="AGW204" s="1"/>
      <c r="AGX204" s="1"/>
      <c r="AGY204" s="1"/>
      <c r="AGZ204" s="1"/>
      <c r="AHA204" s="1"/>
      <c r="AHB204" s="1"/>
      <c r="AHC204" s="1"/>
      <c r="AHD204" s="1"/>
      <c r="AHE204" s="1"/>
      <c r="AHF204" s="1"/>
      <c r="AHG204" s="1"/>
      <c r="AHH204" s="1"/>
      <c r="AHI204" s="1"/>
      <c r="AHJ204" s="1"/>
      <c r="AHK204" s="1"/>
      <c r="AHL204" s="1"/>
      <c r="AHM204" s="1"/>
      <c r="AHN204" s="1"/>
      <c r="AHO204" s="1"/>
      <c r="AHP204" s="1"/>
      <c r="AHQ204" s="1"/>
      <c r="AHR204" s="1"/>
      <c r="AHS204" s="1"/>
      <c r="AHT204" s="1"/>
      <c r="AHU204" s="1"/>
      <c r="AHV204" s="1"/>
      <c r="AHW204" s="1"/>
      <c r="AHX204" s="1"/>
      <c r="AHY204" s="1"/>
      <c r="AHZ204" s="1"/>
      <c r="AIA204" s="1"/>
      <c r="AIB204" s="1"/>
      <c r="AIC204" s="1"/>
      <c r="AID204" s="1"/>
      <c r="AIE204" s="1"/>
      <c r="AIF204" s="1"/>
      <c r="AIG204" s="1"/>
      <c r="AIH204" s="1"/>
      <c r="AII204" s="1"/>
      <c r="AIJ204" s="1"/>
      <c r="AIK204" s="1"/>
      <c r="AIL204" s="1"/>
      <c r="AIM204" s="1"/>
      <c r="AIN204" s="1"/>
      <c r="AIO204" s="1"/>
      <c r="AIP204" s="1"/>
      <c r="AIQ204" s="1"/>
      <c r="AIR204" s="1"/>
      <c r="AIS204" s="1"/>
      <c r="AIT204" s="1"/>
      <c r="AIU204" s="1"/>
      <c r="AIV204" s="1"/>
      <c r="AIW204" s="1"/>
      <c r="AIX204" s="1"/>
      <c r="AIY204" s="1"/>
      <c r="AIZ204" s="1"/>
      <c r="AJA204" s="1"/>
      <c r="AJB204" s="1"/>
      <c r="AJC204" s="1"/>
      <c r="AJD204" s="1"/>
      <c r="AJE204" s="1"/>
      <c r="AJF204" s="1"/>
      <c r="AJG204" s="1"/>
      <c r="AJH204" s="1"/>
      <c r="AJI204" s="1"/>
      <c r="AJJ204" s="1"/>
      <c r="AJK204" s="1"/>
      <c r="AJL204" s="1"/>
      <c r="AJM204" s="1"/>
      <c r="AJN204" s="1"/>
      <c r="AJO204" s="1"/>
      <c r="AJP204" s="1"/>
      <c r="AJQ204" s="1"/>
      <c r="AJR204" s="1"/>
      <c r="AJS204" s="1"/>
      <c r="AJT204" s="1"/>
      <c r="AJU204" s="1"/>
      <c r="AJV204" s="1"/>
      <c r="AJW204" s="1"/>
      <c r="AJX204" s="1"/>
      <c r="AJY204" s="1"/>
      <c r="AJZ204" s="1"/>
      <c r="AKA204" s="1"/>
      <c r="AKB204" s="1"/>
      <c r="AKC204" s="1"/>
      <c r="AKD204" s="1"/>
      <c r="AKE204" s="1"/>
      <c r="AKF204" s="1"/>
      <c r="AKG204" s="1"/>
      <c r="AKH204" s="1"/>
      <c r="AKI204" s="1"/>
      <c r="AKJ204" s="1"/>
      <c r="AKK204" s="1"/>
      <c r="AKL204" s="1"/>
      <c r="AKM204" s="1"/>
      <c r="AKN204" s="1"/>
      <c r="AKO204" s="1"/>
      <c r="AKP204" s="1"/>
      <c r="AKQ204" s="1"/>
      <c r="AKR204" s="1"/>
      <c r="AKS204" s="1"/>
      <c r="AKT204" s="1"/>
      <c r="AKU204" s="1"/>
      <c r="AKV204" s="1"/>
      <c r="AKW204" s="1"/>
      <c r="AKX204" s="1"/>
      <c r="AKY204" s="1"/>
      <c r="AKZ204" s="1"/>
      <c r="ALA204" s="1"/>
      <c r="ALB204" s="1"/>
      <c r="ALC204" s="1"/>
      <c r="ALD204" s="1"/>
      <c r="ALE204" s="1"/>
      <c r="ALF204" s="1"/>
      <c r="ALG204" s="1"/>
      <c r="ALH204" s="1"/>
      <c r="ALI204" s="1"/>
      <c r="ALJ204" s="1"/>
      <c r="ALK204" s="1"/>
      <c r="ALL204" s="1"/>
      <c r="ALM204" s="1"/>
      <c r="ALN204" s="1"/>
      <c r="ALO204" s="1"/>
      <c r="ALP204" s="1"/>
      <c r="ALQ204" s="1"/>
      <c r="ALR204" s="1"/>
      <c r="ALS204" s="1"/>
      <c r="ALT204" s="1"/>
      <c r="ALU204" s="1"/>
      <c r="ALV204" s="1"/>
      <c r="ALW204" s="1"/>
      <c r="ALX204" s="1"/>
      <c r="ALY204" s="1"/>
      <c r="ALZ204" s="1"/>
      <c r="AMA204" s="1"/>
      <c r="AMB204" s="1"/>
      <c r="AMC204" s="1"/>
      <c r="AMD204" s="1"/>
      <c r="AME204" s="1"/>
      <c r="AMF204" s="1"/>
      <c r="AMG204" s="1"/>
      <c r="AMH204" s="1"/>
      <c r="AMI204" s="1"/>
      <c r="AMJ204" s="1"/>
      <c r="AMK204" s="1"/>
      <c r="AML204" s="1"/>
      <c r="AMM204" s="1"/>
      <c r="AMN204" s="1"/>
      <c r="AMO204" s="1"/>
    </row>
    <row r="205" spans="1:1029" x14ac:dyDescent="0.2">
      <c r="A205" s="3" t="str">
        <f t="shared" si="893"/>
        <v>ntr1_rat_4XES</v>
      </c>
      <c r="B205" s="3" t="s">
        <v>914</v>
      </c>
      <c r="C205" s="3" t="s">
        <v>1357</v>
      </c>
      <c r="D205" s="3" t="str">
        <f>IFERROR(MID(VLOOKUP($B205,Seqs!$A:$B,2,0),E205,1),"")</f>
        <v>I</v>
      </c>
      <c r="E205" s="3">
        <v>61</v>
      </c>
      <c r="F205" s="3" t="str">
        <f>IFERROR(MID(VLOOKUP($B205,Seqs!$A:$B,2,0),G205,1),"")</f>
        <v>K</v>
      </c>
      <c r="G205" s="3">
        <v>92</v>
      </c>
      <c r="H205" s="3" t="str">
        <f>IFERROR(MID(VLOOKUP($B205,Seqs!$A:$B,2,0),I205,1),"")</f>
        <v/>
      </c>
      <c r="I205" s="23" t="s">
        <v>23</v>
      </c>
      <c r="J205" s="3" t="str">
        <f>IFERROR(MID(VLOOKUP($B205,Seqs!$A:$B,2,0),K205,1),"")</f>
        <v/>
      </c>
      <c r="K205" s="23" t="s">
        <v>23</v>
      </c>
      <c r="L205" s="3" t="str">
        <f>IFERROR(MID(VLOOKUP($B205,Seqs!$A:$B,2,0),M205,1),"")</f>
        <v>S</v>
      </c>
      <c r="M205" s="3">
        <v>97</v>
      </c>
      <c r="N205" s="3" t="str">
        <f>IFERROR(MID(VLOOKUP($B205,Seqs!$A:$B,2,0),O205,1),"")</f>
        <v>V</v>
      </c>
      <c r="O205" s="3">
        <v>131</v>
      </c>
      <c r="P205" s="3" t="str">
        <f>IFERROR(MID(VLOOKUP($B205,Seqs!$A:$B,2,0),Q205,1),"")</f>
        <v>P</v>
      </c>
      <c r="Q205" s="3">
        <v>134</v>
      </c>
      <c r="R205" s="3" t="str">
        <f>IFERROR(MID(VLOOKUP($B205,Seqs!$A:$B,2,0),S205,1),"")</f>
        <v>F</v>
      </c>
      <c r="S205" s="3">
        <v>137</v>
      </c>
      <c r="T205" s="3" t="str">
        <f>IFERROR(MID(VLOOKUP($B205,Seqs!$A:$B,2,0),U205,1),"")</f>
        <v>G</v>
      </c>
      <c r="U205" s="3">
        <v>138</v>
      </c>
      <c r="V205" s="3" t="str">
        <f>IFERROR(MID(VLOOKUP($B205,Seqs!$A:$B,2,0),W205,1),"")</f>
        <v>H</v>
      </c>
      <c r="W205" s="3">
        <v>173</v>
      </c>
      <c r="X205" s="3" t="str">
        <f>IFERROR(MID(VLOOKUP($B205,Seqs!$A:$B,2,0),Y205,1),"")</f>
        <v>P</v>
      </c>
      <c r="Y205" s="3">
        <v>174</v>
      </c>
      <c r="Z205" s="3" t="str">
        <f>IFERROR(MID(VLOOKUP($B205,Seqs!$A:$B,2,0),AA205,1),"")</f>
        <v>M</v>
      </c>
      <c r="AA205" s="3">
        <v>181</v>
      </c>
      <c r="AB205" s="3" t="str">
        <f>IFERROR(MID(VLOOKUP($B205,Seqs!$A:$B,2,0),AC205,1),"")</f>
        <v>S</v>
      </c>
      <c r="AC205" s="9">
        <v>182</v>
      </c>
      <c r="AD205" s="3" t="str">
        <f>IFERROR(MID(VLOOKUP($B205,Seqs!$A:$B,2,0),AE205,1),"")</f>
        <v>M</v>
      </c>
      <c r="AE205" s="3">
        <v>208</v>
      </c>
      <c r="AF205" s="3" t="str">
        <f>IFERROR(MID(VLOOKUP($B205,Seqs!$A:$B,2,0),AG205,1),"")</f>
        <v>C</v>
      </c>
      <c r="AG205" s="3">
        <v>225</v>
      </c>
      <c r="AH205" s="3" t="str">
        <f>IFERROR(MID(VLOOKUP($B205,Seqs!$A:$B,2,0),AI205,1),"")</f>
        <v>P</v>
      </c>
      <c r="AI205" s="3">
        <v>227</v>
      </c>
      <c r="AJ205" s="3" t="str">
        <f>IFERROR(MID(VLOOKUP($B205,Seqs!$A:$B,2,0),AK205,1),"")</f>
        <v>T</v>
      </c>
      <c r="AK205" s="3">
        <v>231</v>
      </c>
      <c r="AL205" s="3" t="str">
        <f>IFERROR(MID(VLOOKUP($B205,Seqs!$A:$B,2,0),AM205,1),"")</f>
        <v>V</v>
      </c>
      <c r="AM205" s="3">
        <v>268</v>
      </c>
      <c r="AN205" s="3" t="str">
        <f>IFERROR(MID(VLOOKUP($B205,Seqs!$A:$B,2,0),AO205,1),"")</f>
        <v>A</v>
      </c>
      <c r="AO205" s="3">
        <v>302</v>
      </c>
      <c r="AP205" s="3" t="str">
        <f>IFERROR(MID(VLOOKUP($B205,Seqs!$A:$B,2,0),AQ205,1),"")</f>
        <v>I</v>
      </c>
      <c r="AQ205" s="3">
        <v>334</v>
      </c>
      <c r="AR205" s="3" t="str">
        <f>IFERROR(MID(VLOOKUP($B205,Seqs!$A:$B,2,0),AS205,1),"")</f>
        <v>T</v>
      </c>
      <c r="AS205" s="3">
        <v>340</v>
      </c>
      <c r="AT205" s="3" t="str">
        <f>IFERROR(MID(VLOOKUP($B205,Seqs!$A:$B,2,0),AU205,1),"")</f>
        <v>I</v>
      </c>
      <c r="AU205" s="3">
        <v>364</v>
      </c>
      <c r="AV205" s="3" t="str">
        <f>IFERROR(MID(VLOOKUP($B205,Seqs!$A:$B,2,0),AW205,1),"")</f>
        <v/>
      </c>
      <c r="AW205" s="3" t="s">
        <v>23</v>
      </c>
      <c r="AX205" s="3" t="str">
        <f>IFERROR(MID(VLOOKUP($B205,Seqs!$A:$B,2,0),AY205,1),"")</f>
        <v/>
      </c>
      <c r="AY205" s="3" t="s">
        <v>23</v>
      </c>
      <c r="AZ205" s="77" t="str">
        <f>VLOOKUP(B205,Classification!A:D,2,0)</f>
        <v>A</v>
      </c>
      <c r="BA205" s="94" t="str">
        <f>VLOOKUP(B205,Classification!A:D,4,0)</f>
        <v>Neurotensin</v>
      </c>
      <c r="BB205" s="27" t="b">
        <f t="shared" si="894"/>
        <v>1</v>
      </c>
      <c r="BC205" s="23">
        <f t="shared" si="867"/>
        <v>243</v>
      </c>
      <c r="BD205" s="5" t="s">
        <v>1439</v>
      </c>
      <c r="BE205" s="3" t="s">
        <v>1438</v>
      </c>
      <c r="BF205" s="119">
        <v>2.6</v>
      </c>
      <c r="BG205" s="49" t="s">
        <v>1383</v>
      </c>
      <c r="BH205" s="49" t="s">
        <v>1383</v>
      </c>
      <c r="BI205" s="1"/>
      <c r="BJ205" s="70" t="s">
        <v>1293</v>
      </c>
      <c r="BK205" s="57" t="s">
        <v>1293</v>
      </c>
      <c r="BL205" s="57" t="s">
        <v>1293</v>
      </c>
      <c r="BM205" s="57" t="s">
        <v>1293</v>
      </c>
      <c r="BN205" s="57" t="s">
        <v>1293</v>
      </c>
      <c r="BO205" s="57" t="s">
        <v>1293</v>
      </c>
      <c r="BP205" s="57" t="s">
        <v>1293</v>
      </c>
      <c r="BQ205" s="57" t="s">
        <v>1293</v>
      </c>
      <c r="BR205" s="57" t="s">
        <v>1293</v>
      </c>
      <c r="BS205" s="57" t="s">
        <v>1293</v>
      </c>
      <c r="BT205" s="57" t="s">
        <v>1293</v>
      </c>
      <c r="BU205" s="57" t="s">
        <v>1293</v>
      </c>
      <c r="BV205" s="70">
        <f t="shared" si="868"/>
        <v>61</v>
      </c>
      <c r="BW205" s="71" t="str">
        <f t="shared" si="869"/>
        <v>-</v>
      </c>
      <c r="BX205" s="72">
        <f t="shared" si="870"/>
        <v>97</v>
      </c>
      <c r="BY205" s="71">
        <f t="shared" si="871"/>
        <v>134</v>
      </c>
      <c r="BZ205" s="72">
        <f t="shared" si="872"/>
        <v>138</v>
      </c>
      <c r="CA205" s="71">
        <f t="shared" si="873"/>
        <v>174</v>
      </c>
      <c r="CB205" s="72">
        <f t="shared" si="874"/>
        <v>182</v>
      </c>
      <c r="CC205" s="71">
        <f t="shared" si="875"/>
        <v>225</v>
      </c>
      <c r="CD205" s="72">
        <f t="shared" si="876"/>
        <v>231</v>
      </c>
      <c r="CE205" s="71">
        <f t="shared" si="877"/>
        <v>302</v>
      </c>
      <c r="CF205" s="72">
        <f t="shared" si="878"/>
        <v>340</v>
      </c>
      <c r="CG205" s="71" t="str">
        <f t="shared" si="879"/>
        <v>-</v>
      </c>
      <c r="CH205" s="70">
        <f t="shared" si="880"/>
        <v>92</v>
      </c>
      <c r="CI205" s="71" t="str">
        <f t="shared" si="881"/>
        <v>-</v>
      </c>
      <c r="CJ205" s="72">
        <f t="shared" si="882"/>
        <v>131</v>
      </c>
      <c r="CK205" s="72">
        <f t="shared" si="883"/>
        <v>137</v>
      </c>
      <c r="CL205" s="72">
        <f t="shared" si="884"/>
        <v>173</v>
      </c>
      <c r="CM205" s="72">
        <f t="shared" si="885"/>
        <v>181</v>
      </c>
      <c r="CN205" s="72">
        <f t="shared" si="886"/>
        <v>208</v>
      </c>
      <c r="CO205" s="72">
        <f t="shared" si="887"/>
        <v>227</v>
      </c>
      <c r="CP205" s="72">
        <f t="shared" si="888"/>
        <v>268</v>
      </c>
      <c r="CQ205" s="72">
        <f t="shared" si="889"/>
        <v>334</v>
      </c>
      <c r="CR205" s="72">
        <f t="shared" si="890"/>
        <v>364</v>
      </c>
      <c r="CS205" s="72" t="str">
        <f t="shared" si="891"/>
        <v>-</v>
      </c>
      <c r="CT205" s="23" t="e">
        <f t="shared" si="892"/>
        <v>#VALUE!</v>
      </c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  <c r="ADW205" s="1"/>
      <c r="ADX205" s="1"/>
      <c r="ADY205" s="1"/>
      <c r="ADZ205" s="1"/>
      <c r="AEA205" s="1"/>
      <c r="AEB205" s="1"/>
      <c r="AEC205" s="1"/>
      <c r="AED205" s="1"/>
      <c r="AEE205" s="1"/>
      <c r="AEF205" s="1"/>
      <c r="AEG205" s="1"/>
      <c r="AEH205" s="1"/>
      <c r="AEI205" s="1"/>
      <c r="AEJ205" s="1"/>
      <c r="AEK205" s="1"/>
      <c r="AEL205" s="1"/>
      <c r="AEM205" s="1"/>
      <c r="AEN205" s="1"/>
      <c r="AEO205" s="1"/>
      <c r="AEP205" s="1"/>
      <c r="AEQ205" s="1"/>
      <c r="AER205" s="1"/>
      <c r="AES205" s="1"/>
      <c r="AET205" s="1"/>
      <c r="AEU205" s="1"/>
      <c r="AEV205" s="1"/>
      <c r="AEW205" s="1"/>
      <c r="AEX205" s="1"/>
      <c r="AEY205" s="1"/>
      <c r="AEZ205" s="1"/>
      <c r="AFA205" s="1"/>
      <c r="AFB205" s="1"/>
      <c r="AFC205" s="1"/>
      <c r="AFD205" s="1"/>
      <c r="AFE205" s="1"/>
      <c r="AFF205" s="1"/>
      <c r="AFG205" s="1"/>
      <c r="AFH205" s="1"/>
      <c r="AFI205" s="1"/>
      <c r="AFJ205" s="1"/>
      <c r="AFK205" s="1"/>
      <c r="AFL205" s="1"/>
      <c r="AFM205" s="1"/>
      <c r="AFN205" s="1"/>
      <c r="AFO205" s="1"/>
      <c r="AFP205" s="1"/>
      <c r="AFQ205" s="1"/>
      <c r="AFR205" s="1"/>
      <c r="AFS205" s="1"/>
      <c r="AFT205" s="1"/>
      <c r="AFU205" s="1"/>
      <c r="AFV205" s="1"/>
      <c r="AFW205" s="1"/>
      <c r="AFX205" s="1"/>
      <c r="AFY205" s="1"/>
      <c r="AFZ205" s="1"/>
      <c r="AGA205" s="1"/>
      <c r="AGB205" s="1"/>
      <c r="AGC205" s="1"/>
      <c r="AGD205" s="1"/>
      <c r="AGE205" s="1"/>
      <c r="AGF205" s="1"/>
      <c r="AGG205" s="1"/>
      <c r="AGH205" s="1"/>
      <c r="AGI205" s="1"/>
      <c r="AGJ205" s="1"/>
      <c r="AGK205" s="1"/>
      <c r="AGL205" s="1"/>
      <c r="AGM205" s="1"/>
      <c r="AGN205" s="1"/>
      <c r="AGO205" s="1"/>
      <c r="AGP205" s="1"/>
      <c r="AGQ205" s="1"/>
      <c r="AGR205" s="1"/>
      <c r="AGS205" s="1"/>
      <c r="AGT205" s="1"/>
      <c r="AGU205" s="1"/>
      <c r="AGV205" s="1"/>
      <c r="AGW205" s="1"/>
      <c r="AGX205" s="1"/>
      <c r="AGY205" s="1"/>
      <c r="AGZ205" s="1"/>
      <c r="AHA205" s="1"/>
      <c r="AHB205" s="1"/>
      <c r="AHC205" s="1"/>
      <c r="AHD205" s="1"/>
      <c r="AHE205" s="1"/>
      <c r="AHF205" s="1"/>
      <c r="AHG205" s="1"/>
      <c r="AHH205" s="1"/>
      <c r="AHI205" s="1"/>
      <c r="AHJ205" s="1"/>
      <c r="AHK205" s="1"/>
      <c r="AHL205" s="1"/>
      <c r="AHM205" s="1"/>
      <c r="AHN205" s="1"/>
      <c r="AHO205" s="1"/>
      <c r="AHP205" s="1"/>
      <c r="AHQ205" s="1"/>
      <c r="AHR205" s="1"/>
      <c r="AHS205" s="1"/>
      <c r="AHT205" s="1"/>
      <c r="AHU205" s="1"/>
      <c r="AHV205" s="1"/>
      <c r="AHW205" s="1"/>
      <c r="AHX205" s="1"/>
      <c r="AHY205" s="1"/>
      <c r="AHZ205" s="1"/>
      <c r="AIA205" s="1"/>
      <c r="AIB205" s="1"/>
      <c r="AIC205" s="1"/>
      <c r="AID205" s="1"/>
      <c r="AIE205" s="1"/>
      <c r="AIF205" s="1"/>
      <c r="AIG205" s="1"/>
      <c r="AIH205" s="1"/>
      <c r="AII205" s="1"/>
      <c r="AIJ205" s="1"/>
      <c r="AIK205" s="1"/>
      <c r="AIL205" s="1"/>
      <c r="AIM205" s="1"/>
      <c r="AIN205" s="1"/>
      <c r="AIO205" s="1"/>
      <c r="AIP205" s="1"/>
      <c r="AIQ205" s="1"/>
      <c r="AIR205" s="1"/>
      <c r="AIS205" s="1"/>
      <c r="AIT205" s="1"/>
      <c r="AIU205" s="1"/>
      <c r="AIV205" s="1"/>
      <c r="AIW205" s="1"/>
      <c r="AIX205" s="1"/>
      <c r="AIY205" s="1"/>
      <c r="AIZ205" s="1"/>
      <c r="AJA205" s="1"/>
      <c r="AJB205" s="1"/>
      <c r="AJC205" s="1"/>
      <c r="AJD205" s="1"/>
      <c r="AJE205" s="1"/>
      <c r="AJF205" s="1"/>
      <c r="AJG205" s="1"/>
      <c r="AJH205" s="1"/>
      <c r="AJI205" s="1"/>
      <c r="AJJ205" s="1"/>
      <c r="AJK205" s="1"/>
      <c r="AJL205" s="1"/>
      <c r="AJM205" s="1"/>
      <c r="AJN205" s="1"/>
      <c r="AJO205" s="1"/>
      <c r="AJP205" s="1"/>
      <c r="AJQ205" s="1"/>
      <c r="AJR205" s="1"/>
      <c r="AJS205" s="1"/>
      <c r="AJT205" s="1"/>
      <c r="AJU205" s="1"/>
      <c r="AJV205" s="1"/>
      <c r="AJW205" s="1"/>
      <c r="AJX205" s="1"/>
      <c r="AJY205" s="1"/>
      <c r="AJZ205" s="1"/>
      <c r="AKA205" s="1"/>
      <c r="AKB205" s="1"/>
      <c r="AKC205" s="1"/>
      <c r="AKD205" s="1"/>
      <c r="AKE205" s="1"/>
      <c r="AKF205" s="1"/>
      <c r="AKG205" s="1"/>
      <c r="AKH205" s="1"/>
      <c r="AKI205" s="1"/>
      <c r="AKJ205" s="1"/>
      <c r="AKK205" s="1"/>
      <c r="AKL205" s="1"/>
      <c r="AKM205" s="1"/>
      <c r="AKN205" s="1"/>
      <c r="AKO205" s="1"/>
      <c r="AKP205" s="1"/>
      <c r="AKQ205" s="1"/>
      <c r="AKR205" s="1"/>
      <c r="AKS205" s="1"/>
      <c r="AKT205" s="1"/>
      <c r="AKU205" s="1"/>
      <c r="AKV205" s="1"/>
      <c r="AKW205" s="1"/>
      <c r="AKX205" s="1"/>
      <c r="AKY205" s="1"/>
      <c r="AKZ205" s="1"/>
      <c r="ALA205" s="1"/>
      <c r="ALB205" s="1"/>
      <c r="ALC205" s="1"/>
      <c r="ALD205" s="1"/>
      <c r="ALE205" s="1"/>
      <c r="ALF205" s="1"/>
      <c r="ALG205" s="1"/>
      <c r="ALH205" s="1"/>
      <c r="ALI205" s="1"/>
      <c r="ALJ205" s="1"/>
      <c r="ALK205" s="1"/>
      <c r="ALL205" s="1"/>
      <c r="ALM205" s="1"/>
      <c r="ALN205" s="1"/>
      <c r="ALO205" s="1"/>
      <c r="ALP205" s="1"/>
      <c r="ALQ205" s="1"/>
      <c r="ALR205" s="1"/>
      <c r="ALS205" s="1"/>
      <c r="ALT205" s="1"/>
      <c r="ALU205" s="1"/>
      <c r="ALV205" s="1"/>
      <c r="ALW205" s="1"/>
      <c r="ALX205" s="1"/>
      <c r="ALY205" s="1"/>
      <c r="ALZ205" s="1"/>
      <c r="AMA205" s="1"/>
      <c r="AMB205" s="1"/>
      <c r="AMC205" s="1"/>
      <c r="AMD205" s="1"/>
      <c r="AME205" s="1"/>
      <c r="AMF205" s="1"/>
      <c r="AMG205" s="1"/>
      <c r="AMH205" s="1"/>
      <c r="AMI205" s="1"/>
      <c r="AMJ205" s="1"/>
      <c r="AMK205" s="1"/>
      <c r="AML205" s="1"/>
      <c r="AMM205" s="1"/>
      <c r="AMN205" s="1"/>
      <c r="AMO205" s="1"/>
    </row>
    <row r="206" spans="1:1029" x14ac:dyDescent="0.2">
      <c r="A206" s="3" t="str">
        <f>CONCATENATE(B206,"_",C206)</f>
        <v>ntr1_rat_5T04</v>
      </c>
      <c r="B206" s="3" t="s">
        <v>914</v>
      </c>
      <c r="C206" s="3" t="s">
        <v>1391</v>
      </c>
      <c r="D206" s="3" t="str">
        <f>IFERROR(MID(VLOOKUP($B206,Seqs!$A:$B,2,0),E206,1),"")</f>
        <v>I</v>
      </c>
      <c r="E206" s="3">
        <v>61</v>
      </c>
      <c r="F206" s="3" t="str">
        <f>IFERROR(MID(VLOOKUP($B206,Seqs!$A:$B,2,0),G206,1),"")</f>
        <v>T</v>
      </c>
      <c r="G206" s="3">
        <v>88</v>
      </c>
      <c r="H206" s="3" t="str">
        <f>IFERROR(MID(VLOOKUP($B206,Seqs!$A:$B,2,0),I206,1),"")</f>
        <v/>
      </c>
      <c r="I206" s="23" t="s">
        <v>23</v>
      </c>
      <c r="J206" s="3" t="str">
        <f>IFERROR(MID(VLOOKUP($B206,Seqs!$A:$B,2,0),K206,1),"")</f>
        <v/>
      </c>
      <c r="K206" s="23" t="s">
        <v>23</v>
      </c>
      <c r="L206" s="3" t="str">
        <f>IFERROR(MID(VLOOKUP($B206,Seqs!$A:$B,2,0),M206,1),"")</f>
        <v>H</v>
      </c>
      <c r="M206" s="3">
        <v>103</v>
      </c>
      <c r="N206" s="3" t="str">
        <f>IFERROR(MID(VLOOKUP($B206,Seqs!$A:$B,2,0),O206,1),"")</f>
        <v>V</v>
      </c>
      <c r="O206" s="3">
        <v>131</v>
      </c>
      <c r="P206" s="3" t="str">
        <f>IFERROR(MID(VLOOKUP($B206,Seqs!$A:$B,2,0),Q206,1),"")</f>
        <v>P</v>
      </c>
      <c r="Q206" s="3">
        <v>134</v>
      </c>
      <c r="R206" s="3" t="str">
        <f>IFERROR(MID(VLOOKUP($B206,Seqs!$A:$B,2,0),S206,1),"")</f>
        <v>F</v>
      </c>
      <c r="S206" s="3">
        <v>137</v>
      </c>
      <c r="T206" s="3" t="str">
        <f>IFERROR(MID(VLOOKUP($B206,Seqs!$A:$B,2,0),U206,1),"")</f>
        <v>G</v>
      </c>
      <c r="U206" s="3">
        <v>138</v>
      </c>
      <c r="V206" s="3" t="str">
        <f>IFERROR(MID(VLOOKUP($B206,Seqs!$A:$B,2,0),W206,1),"")</f>
        <v>H</v>
      </c>
      <c r="W206" s="3">
        <v>173</v>
      </c>
      <c r="X206" s="3" t="str">
        <f>IFERROR(MID(VLOOKUP($B206,Seqs!$A:$B,2,0),Y206,1),"")</f>
        <v>P</v>
      </c>
      <c r="Y206" s="3">
        <v>174</v>
      </c>
      <c r="Z206" s="3" t="str">
        <f>IFERROR(MID(VLOOKUP($B206,Seqs!$A:$B,2,0),AA206,1),"")</f>
        <v>M</v>
      </c>
      <c r="AA206" s="3">
        <v>181</v>
      </c>
      <c r="AB206" s="3" t="str">
        <f>IFERROR(MID(VLOOKUP($B206,Seqs!$A:$B,2,0),AC206,1),"")</f>
        <v>S</v>
      </c>
      <c r="AC206" s="3">
        <v>182</v>
      </c>
      <c r="AD206" s="3" t="str">
        <f>IFERROR(MID(VLOOKUP($B206,Seqs!$A:$B,2,0),AE206,1),"")</f>
        <v>M</v>
      </c>
      <c r="AE206" s="3">
        <v>208</v>
      </c>
      <c r="AF206" s="3" t="str">
        <f>IFERROR(MID(VLOOKUP($B206,Seqs!$A:$B,2,0),AG206,1),"")</f>
        <v>C</v>
      </c>
      <c r="AG206" s="3">
        <v>225</v>
      </c>
      <c r="AH206" s="3" t="str">
        <f>IFERROR(MID(VLOOKUP($B206,Seqs!$A:$B,2,0),AI206,1),"")</f>
        <v>P</v>
      </c>
      <c r="AI206" s="3">
        <v>227</v>
      </c>
      <c r="AJ206" s="3" t="str">
        <f>IFERROR(MID(VLOOKUP($B206,Seqs!$A:$B,2,0),AK206,1),"")</f>
        <v>T</v>
      </c>
      <c r="AK206" s="3">
        <v>231</v>
      </c>
      <c r="AL206" s="3" t="str">
        <f>IFERROR(MID(VLOOKUP($B206,Seqs!$A:$B,2,0),AM206,1),"")</f>
        <v>V</v>
      </c>
      <c r="AM206" s="3">
        <v>268</v>
      </c>
      <c r="AN206" s="3" t="str">
        <f>IFERROR(MID(VLOOKUP($B206,Seqs!$A:$B,2,0),AO206,1),"")</f>
        <v>P</v>
      </c>
      <c r="AO206" s="3">
        <v>297</v>
      </c>
      <c r="AP206" s="3" t="str">
        <f>IFERROR(MID(VLOOKUP($B206,Seqs!$A:$B,2,0),AQ206,1),"")</f>
        <v>I</v>
      </c>
      <c r="AQ206" s="3">
        <v>334</v>
      </c>
      <c r="AR206" s="3" t="str">
        <f>IFERROR(MID(VLOOKUP($B206,Seqs!$A:$B,2,0),AS206,1),"")</f>
        <v>T</v>
      </c>
      <c r="AS206" s="3">
        <v>340</v>
      </c>
      <c r="AT206" s="3" t="str">
        <f>IFERROR(MID(VLOOKUP($B206,Seqs!$A:$B,2,0),AU206,1),"")</f>
        <v>I</v>
      </c>
      <c r="AU206" s="3">
        <v>364</v>
      </c>
      <c r="AV206" s="3" t="str">
        <f>IFERROR(MID(VLOOKUP($B206,Seqs!$A:$B,2,0),AW206,1),"")</f>
        <v/>
      </c>
      <c r="AW206" s="3" t="s">
        <v>23</v>
      </c>
      <c r="AX206" s="3" t="str">
        <f>IFERROR(MID(VLOOKUP($B206,Seqs!$A:$B,2,0),AY206,1),"")</f>
        <v/>
      </c>
      <c r="AY206" s="3" t="s">
        <v>23</v>
      </c>
      <c r="AZ206" s="77" t="str">
        <f>VLOOKUP(B206,Classification!A:D,2,0)</f>
        <v>A</v>
      </c>
      <c r="BA206" s="94" t="str">
        <f>VLOOKUP(B206,Classification!A:D,4,0)</f>
        <v>Neurotensin</v>
      </c>
      <c r="BB206" s="27" t="b">
        <f>AND(E206&lt;G206,OR(G206&lt;I206,I206="-"),OR(I206&lt;K206,I206="-"),OR(K206&lt;M206,K206="-"),M206&lt;O206,OR(O206&lt;Q206,Q206="-"),OR(Q206&lt;S206,Q206="-"),OR(S206&lt;U206,S206="-"),U206&lt;W206,OR(W206&lt;Y206,Y206="-"),OR(Y206&lt;AA206,Y206="-"),OR(AA206&lt;AC206,AA206="-"),AC206&lt;AE206,OR(AE206&lt;AG206,AG206="-"),OR(AG206&lt;AI206,AG206="-"),OR(AI206&lt;AK206,AI206="-"),AK206&lt;AM206,AM206&lt;AO206,AO206&lt;AQ206,AQ206&lt;AS206,AS206&lt;AU206,OR(AU206&lt;AW206,AW206="-"),OR(AW206&lt;AY206,AW206="-"))</f>
        <v>1</v>
      </c>
      <c r="BC206" s="23">
        <f>_xlfn.AGGREGATE(9,6,CH206:CS206)-_xlfn.AGGREGATE(9,6,BV206:CG206)+12</f>
        <v>238</v>
      </c>
      <c r="BD206" s="5" t="s">
        <v>1381</v>
      </c>
      <c r="BE206" s="3" t="s">
        <v>1297</v>
      </c>
      <c r="BF206" s="119">
        <v>3.3</v>
      </c>
      <c r="BG206" s="49" t="s">
        <v>1383</v>
      </c>
      <c r="BH206" s="49" t="s">
        <v>1383</v>
      </c>
      <c r="BI206" s="1"/>
      <c r="BJ206" s="70" t="s">
        <v>1293</v>
      </c>
      <c r="BK206" s="57" t="s">
        <v>1293</v>
      </c>
      <c r="BL206" s="57" t="s">
        <v>1293</v>
      </c>
      <c r="BM206" s="57" t="s">
        <v>1293</v>
      </c>
      <c r="BN206" s="57" t="s">
        <v>1293</v>
      </c>
      <c r="BO206" s="57" t="s">
        <v>1293</v>
      </c>
      <c r="BP206" s="57" t="s">
        <v>1293</v>
      </c>
      <c r="BQ206" s="57" t="s">
        <v>1293</v>
      </c>
      <c r="BR206" s="57" t="s">
        <v>1293</v>
      </c>
      <c r="BS206" s="57" t="s">
        <v>1293</v>
      </c>
      <c r="BT206" s="57" t="s">
        <v>1293</v>
      </c>
      <c r="BU206" s="57" t="s">
        <v>1293</v>
      </c>
      <c r="BV206" s="70">
        <f>E206</f>
        <v>61</v>
      </c>
      <c r="BW206" s="71" t="str">
        <f>I206</f>
        <v>-</v>
      </c>
      <c r="BX206" s="72">
        <f>M206</f>
        <v>103</v>
      </c>
      <c r="BY206" s="71">
        <f>Q206</f>
        <v>134</v>
      </c>
      <c r="BZ206" s="72">
        <f>U206</f>
        <v>138</v>
      </c>
      <c r="CA206" s="71">
        <f>Y206</f>
        <v>174</v>
      </c>
      <c r="CB206" s="72">
        <f>AC206</f>
        <v>182</v>
      </c>
      <c r="CC206" s="71">
        <f>AG206</f>
        <v>225</v>
      </c>
      <c r="CD206" s="72">
        <f>AK206</f>
        <v>231</v>
      </c>
      <c r="CE206" s="71">
        <f>AO206</f>
        <v>297</v>
      </c>
      <c r="CF206" s="72">
        <f>AS206</f>
        <v>340</v>
      </c>
      <c r="CG206" s="71" t="str">
        <f>AW206</f>
        <v>-</v>
      </c>
      <c r="CH206" s="70">
        <f>G206</f>
        <v>88</v>
      </c>
      <c r="CI206" s="71" t="str">
        <f>K206</f>
        <v>-</v>
      </c>
      <c r="CJ206" s="72">
        <f>O206</f>
        <v>131</v>
      </c>
      <c r="CK206" s="72">
        <f>S206</f>
        <v>137</v>
      </c>
      <c r="CL206" s="72">
        <f>W206</f>
        <v>173</v>
      </c>
      <c r="CM206" s="72">
        <f>AA206</f>
        <v>181</v>
      </c>
      <c r="CN206" s="72">
        <f>AE206</f>
        <v>208</v>
      </c>
      <c r="CO206" s="72">
        <f>AI206</f>
        <v>227</v>
      </c>
      <c r="CP206" s="72">
        <f>AM206</f>
        <v>268</v>
      </c>
      <c r="CQ206" s="72">
        <f>AQ206</f>
        <v>334</v>
      </c>
      <c r="CR206" s="72">
        <f>AU206</f>
        <v>364</v>
      </c>
      <c r="CS206" s="72" t="str">
        <f>AY206</f>
        <v>-</v>
      </c>
      <c r="CT206" s="23" t="e">
        <f>M206-K206</f>
        <v>#VALUE!</v>
      </c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  <c r="ADW206" s="1"/>
      <c r="ADX206" s="1"/>
      <c r="ADY206" s="1"/>
      <c r="ADZ206" s="1"/>
      <c r="AEA206" s="1"/>
      <c r="AEB206" s="1"/>
      <c r="AEC206" s="1"/>
      <c r="AED206" s="1"/>
      <c r="AEE206" s="1"/>
      <c r="AEF206" s="1"/>
      <c r="AEG206" s="1"/>
      <c r="AEH206" s="1"/>
      <c r="AEI206" s="1"/>
      <c r="AEJ206" s="1"/>
      <c r="AEK206" s="1"/>
      <c r="AEL206" s="1"/>
      <c r="AEM206" s="1"/>
      <c r="AEN206" s="1"/>
      <c r="AEO206" s="1"/>
      <c r="AEP206" s="1"/>
      <c r="AEQ206" s="1"/>
      <c r="AER206" s="1"/>
      <c r="AES206" s="1"/>
      <c r="AET206" s="1"/>
      <c r="AEU206" s="1"/>
      <c r="AEV206" s="1"/>
      <c r="AEW206" s="1"/>
      <c r="AEX206" s="1"/>
      <c r="AEY206" s="1"/>
      <c r="AEZ206" s="1"/>
      <c r="AFA206" s="1"/>
      <c r="AFB206" s="1"/>
      <c r="AFC206" s="1"/>
      <c r="AFD206" s="1"/>
      <c r="AFE206" s="1"/>
      <c r="AFF206" s="1"/>
      <c r="AFG206" s="1"/>
      <c r="AFH206" s="1"/>
      <c r="AFI206" s="1"/>
      <c r="AFJ206" s="1"/>
      <c r="AFK206" s="1"/>
      <c r="AFL206" s="1"/>
      <c r="AFM206" s="1"/>
      <c r="AFN206" s="1"/>
      <c r="AFO206" s="1"/>
      <c r="AFP206" s="1"/>
      <c r="AFQ206" s="1"/>
      <c r="AFR206" s="1"/>
      <c r="AFS206" s="1"/>
      <c r="AFT206" s="1"/>
      <c r="AFU206" s="1"/>
      <c r="AFV206" s="1"/>
      <c r="AFW206" s="1"/>
      <c r="AFX206" s="1"/>
      <c r="AFY206" s="1"/>
      <c r="AFZ206" s="1"/>
      <c r="AGA206" s="1"/>
      <c r="AGB206" s="1"/>
      <c r="AGC206" s="1"/>
      <c r="AGD206" s="1"/>
      <c r="AGE206" s="1"/>
      <c r="AGF206" s="1"/>
      <c r="AGG206" s="1"/>
      <c r="AGH206" s="1"/>
      <c r="AGI206" s="1"/>
      <c r="AGJ206" s="1"/>
      <c r="AGK206" s="1"/>
      <c r="AGL206" s="1"/>
      <c r="AGM206" s="1"/>
      <c r="AGN206" s="1"/>
      <c r="AGO206" s="1"/>
      <c r="AGP206" s="1"/>
      <c r="AGQ206" s="1"/>
      <c r="AGR206" s="1"/>
      <c r="AGS206" s="1"/>
      <c r="AGT206" s="1"/>
      <c r="AGU206" s="1"/>
      <c r="AGV206" s="1"/>
      <c r="AGW206" s="1"/>
      <c r="AGX206" s="1"/>
      <c r="AGY206" s="1"/>
      <c r="AGZ206" s="1"/>
      <c r="AHA206" s="1"/>
      <c r="AHB206" s="1"/>
      <c r="AHC206" s="1"/>
      <c r="AHD206" s="1"/>
      <c r="AHE206" s="1"/>
      <c r="AHF206" s="1"/>
      <c r="AHG206" s="1"/>
      <c r="AHH206" s="1"/>
      <c r="AHI206" s="1"/>
      <c r="AHJ206" s="1"/>
      <c r="AHK206" s="1"/>
      <c r="AHL206" s="1"/>
      <c r="AHM206" s="1"/>
      <c r="AHN206" s="1"/>
      <c r="AHO206" s="1"/>
      <c r="AHP206" s="1"/>
      <c r="AHQ206" s="1"/>
      <c r="AHR206" s="1"/>
      <c r="AHS206" s="1"/>
      <c r="AHT206" s="1"/>
      <c r="AHU206" s="1"/>
      <c r="AHV206" s="1"/>
      <c r="AHW206" s="1"/>
      <c r="AHX206" s="1"/>
      <c r="AHY206" s="1"/>
      <c r="AHZ206" s="1"/>
      <c r="AIA206" s="1"/>
      <c r="AIB206" s="1"/>
      <c r="AIC206" s="1"/>
      <c r="AID206" s="1"/>
      <c r="AIE206" s="1"/>
      <c r="AIF206" s="1"/>
      <c r="AIG206" s="1"/>
      <c r="AIH206" s="1"/>
      <c r="AII206" s="1"/>
      <c r="AIJ206" s="1"/>
      <c r="AIK206" s="1"/>
      <c r="AIL206" s="1"/>
      <c r="AIM206" s="1"/>
      <c r="AIN206" s="1"/>
      <c r="AIO206" s="1"/>
      <c r="AIP206" s="1"/>
      <c r="AIQ206" s="1"/>
      <c r="AIR206" s="1"/>
      <c r="AIS206" s="1"/>
      <c r="AIT206" s="1"/>
      <c r="AIU206" s="1"/>
      <c r="AIV206" s="1"/>
      <c r="AIW206" s="1"/>
      <c r="AIX206" s="1"/>
      <c r="AIY206" s="1"/>
      <c r="AIZ206" s="1"/>
      <c r="AJA206" s="1"/>
      <c r="AJB206" s="1"/>
      <c r="AJC206" s="1"/>
      <c r="AJD206" s="1"/>
      <c r="AJE206" s="1"/>
      <c r="AJF206" s="1"/>
      <c r="AJG206" s="1"/>
      <c r="AJH206" s="1"/>
      <c r="AJI206" s="1"/>
      <c r="AJJ206" s="1"/>
      <c r="AJK206" s="1"/>
      <c r="AJL206" s="1"/>
      <c r="AJM206" s="1"/>
      <c r="AJN206" s="1"/>
      <c r="AJO206" s="1"/>
      <c r="AJP206" s="1"/>
      <c r="AJQ206" s="1"/>
      <c r="AJR206" s="1"/>
      <c r="AJS206" s="1"/>
      <c r="AJT206" s="1"/>
      <c r="AJU206" s="1"/>
      <c r="AJV206" s="1"/>
      <c r="AJW206" s="1"/>
      <c r="AJX206" s="1"/>
      <c r="AJY206" s="1"/>
      <c r="AJZ206" s="1"/>
      <c r="AKA206" s="1"/>
      <c r="AKB206" s="1"/>
      <c r="AKC206" s="1"/>
      <c r="AKD206" s="1"/>
      <c r="AKE206" s="1"/>
      <c r="AKF206" s="1"/>
      <c r="AKG206" s="1"/>
      <c r="AKH206" s="1"/>
      <c r="AKI206" s="1"/>
      <c r="AKJ206" s="1"/>
      <c r="AKK206" s="1"/>
      <c r="AKL206" s="1"/>
      <c r="AKM206" s="1"/>
      <c r="AKN206" s="1"/>
      <c r="AKO206" s="1"/>
      <c r="AKP206" s="1"/>
      <c r="AKQ206" s="1"/>
      <c r="AKR206" s="1"/>
      <c r="AKS206" s="1"/>
      <c r="AKT206" s="1"/>
      <c r="AKU206" s="1"/>
      <c r="AKV206" s="1"/>
      <c r="AKW206" s="1"/>
      <c r="AKX206" s="1"/>
      <c r="AKY206" s="1"/>
      <c r="AKZ206" s="1"/>
      <c r="ALA206" s="1"/>
      <c r="ALB206" s="1"/>
      <c r="ALC206" s="1"/>
      <c r="ALD206" s="1"/>
      <c r="ALE206" s="1"/>
      <c r="ALF206" s="1"/>
      <c r="ALG206" s="1"/>
      <c r="ALH206" s="1"/>
      <c r="ALI206" s="1"/>
      <c r="ALJ206" s="1"/>
      <c r="ALK206" s="1"/>
      <c r="ALL206" s="1"/>
      <c r="ALM206" s="1"/>
      <c r="ALN206" s="1"/>
      <c r="ALO206" s="1"/>
      <c r="ALP206" s="1"/>
      <c r="ALQ206" s="1"/>
      <c r="ALR206" s="1"/>
      <c r="ALS206" s="1"/>
      <c r="ALT206" s="1"/>
      <c r="ALU206" s="1"/>
      <c r="ALV206" s="1"/>
      <c r="ALW206" s="1"/>
      <c r="ALX206" s="1"/>
      <c r="ALY206" s="1"/>
      <c r="ALZ206" s="1"/>
      <c r="AMA206" s="1"/>
      <c r="AMB206" s="1"/>
      <c r="AMC206" s="1"/>
      <c r="AMD206" s="1"/>
      <c r="AME206" s="1"/>
      <c r="AMF206" s="1"/>
      <c r="AMG206" s="1"/>
      <c r="AMH206" s="1"/>
      <c r="AMI206" s="1"/>
      <c r="AMJ206" s="1"/>
      <c r="AMK206" s="1"/>
      <c r="AML206" s="1"/>
      <c r="AMM206" s="1"/>
      <c r="AMN206" s="1"/>
      <c r="AMO206" s="1"/>
    </row>
    <row r="207" spans="1:1029" x14ac:dyDescent="0.2">
      <c r="A207" s="3" t="str">
        <f t="shared" si="893"/>
        <v>oprd_human__wt</v>
      </c>
      <c r="B207" s="3" t="s">
        <v>335</v>
      </c>
      <c r="C207" s="3" t="s">
        <v>100</v>
      </c>
      <c r="D207" s="3" t="str">
        <f>IFERROR(MID(VLOOKUP($B207,Seqs!$A:$B,2,0),E207,1),"")</f>
        <v>G</v>
      </c>
      <c r="E207" s="3">
        <v>39</v>
      </c>
      <c r="F207" s="3" t="str">
        <f>IFERROR(MID(VLOOKUP($B207,Seqs!$A:$B,2,0),G207,1),"")</f>
        <v>Y</v>
      </c>
      <c r="G207" s="3">
        <v>77</v>
      </c>
      <c r="H207" s="3" t="str">
        <f>IFERROR(MID(VLOOKUP($B207,Seqs!$A:$B,2,0),I207,1),"")</f>
        <v>T</v>
      </c>
      <c r="I207" s="23">
        <v>78</v>
      </c>
      <c r="J207" s="3" t="str">
        <f>IFERROR(MID(VLOOKUP($B207,Seqs!$A:$B,2,0),K207,1),"")</f>
        <v>K</v>
      </c>
      <c r="K207" s="23">
        <v>81</v>
      </c>
      <c r="L207" s="3" t="str">
        <f>IFERROR(MID(VLOOKUP($B207,Seqs!$A:$B,2,0),M207,1),"")</f>
        <v>T</v>
      </c>
      <c r="M207" s="3">
        <v>82</v>
      </c>
      <c r="N207" s="3" t="str">
        <f>IFERROR(MID(VLOOKUP($B207,Seqs!$A:$B,2,0),O207,1),"")</f>
        <v>M</v>
      </c>
      <c r="O207" s="3">
        <v>111</v>
      </c>
      <c r="P207" s="3" t="str">
        <f>IFERROR(MID(VLOOKUP($B207,Seqs!$A:$B,2,0),Q207,1),"")</f>
        <v>T</v>
      </c>
      <c r="Q207" s="3">
        <v>113</v>
      </c>
      <c r="R207" s="3" t="str">
        <f>IFERROR(MID(VLOOKUP($B207,Seqs!$A:$B,2,0),S207,1),"")</f>
        <v>F</v>
      </c>
      <c r="S207" s="3">
        <v>116</v>
      </c>
      <c r="T207" s="3" t="str">
        <f>IFERROR(MID(VLOOKUP($B207,Seqs!$A:$B,2,0),U207,1),"")</f>
        <v>G</v>
      </c>
      <c r="U207" s="3">
        <v>117</v>
      </c>
      <c r="V207" s="3" t="str">
        <f>IFERROR(MID(VLOOKUP($B207,Seqs!$A:$B,2,0),W207,1),"")</f>
        <v>H</v>
      </c>
      <c r="W207" s="3">
        <v>152</v>
      </c>
      <c r="X207" s="3" t="str">
        <f>IFERROR(MID(VLOOKUP($B207,Seqs!$A:$B,2,0),Y207,1),"")</f>
        <v>P</v>
      </c>
      <c r="Y207" s="3">
        <v>153</v>
      </c>
      <c r="Z207" s="3" t="str">
        <f>IFERROR(MID(VLOOKUP($B207,Seqs!$A:$B,2,0),AA207,1),"")</f>
        <v>R</v>
      </c>
      <c r="AA207" s="3">
        <v>160</v>
      </c>
      <c r="AB207" s="3" t="str">
        <f>IFERROR(MID(VLOOKUP($B207,Seqs!$A:$B,2,0),AC207,1),"")</f>
        <v>T</v>
      </c>
      <c r="AC207" s="9">
        <v>161</v>
      </c>
      <c r="AD207" s="3" t="str">
        <f>IFERROR(MID(VLOOKUP($B207,Seqs!$A:$B,2,0),AE207,1),"")</f>
        <v>A</v>
      </c>
      <c r="AE207" s="3">
        <v>187</v>
      </c>
      <c r="AF207" s="3" t="str">
        <f>IFERROR(MID(VLOOKUP($B207,Seqs!$A:$B,2,0),AG207,1),"")</f>
        <v>C</v>
      </c>
      <c r="AG207" s="3">
        <v>198</v>
      </c>
      <c r="AH207" s="3" t="str">
        <f>IFERROR(MID(VLOOKUP($B207,Seqs!$A:$B,2,0),AI207,1),"")</f>
        <v>L</v>
      </c>
      <c r="AI207" s="3">
        <v>200</v>
      </c>
      <c r="AJ207" s="3" t="str">
        <f>IFERROR(MID(VLOOKUP($B207,Seqs!$A:$B,2,0),AK207,1),"")</f>
        <v>S</v>
      </c>
      <c r="AK207" s="3">
        <v>206</v>
      </c>
      <c r="AL207" s="3" t="str">
        <f>IFERROR(MID(VLOOKUP($B207,Seqs!$A:$B,2,0),AM207,1),"")</f>
        <v>V</v>
      </c>
      <c r="AM207" s="3">
        <v>243</v>
      </c>
      <c r="AN207" s="3" t="str">
        <f>IFERROR(MID(VLOOKUP($B207,Seqs!$A:$B,2,0),AO207,1),"")</f>
        <v>S</v>
      </c>
      <c r="AO207" s="3">
        <v>249</v>
      </c>
      <c r="AP207" s="3" t="str">
        <f>IFERROR(MID(VLOOKUP($B207,Seqs!$A:$B,2,0),AQ207,1),"")</f>
        <v>V</v>
      </c>
      <c r="AQ207" s="3">
        <v>287</v>
      </c>
      <c r="AR207" s="3" t="str">
        <f>IFERROR(MID(VLOOKUP($B207,Seqs!$A:$B,2,0),AS207,1),"")</f>
        <v>D</v>
      </c>
      <c r="AS207" s="3">
        <v>293</v>
      </c>
      <c r="AT207" s="3" t="str">
        <f>IFERROR(MID(VLOOKUP($B207,Seqs!$A:$B,2,0),AU207,1),"")</f>
        <v>L</v>
      </c>
      <c r="AU207" s="3">
        <v>321</v>
      </c>
      <c r="AV207" s="3" t="str">
        <f>IFERROR(MID(VLOOKUP($B207,Seqs!$A:$B,2,0),AW207,1),"")</f>
        <v>D</v>
      </c>
      <c r="AW207" s="3">
        <v>322</v>
      </c>
      <c r="AX207" s="3" t="str">
        <f>IFERROR(MID(VLOOKUP($B207,Seqs!$A:$B,2,0),AY207,1),"")</f>
        <v>K</v>
      </c>
      <c r="AY207" s="3">
        <v>335</v>
      </c>
      <c r="AZ207" s="77" t="str">
        <f>VLOOKUP(B207,Classification!A:D,2,0)</f>
        <v>A</v>
      </c>
      <c r="BA207" s="94" t="str">
        <f>VLOOKUP(B207,Classification!A:D,4,0)</f>
        <v>Opioid</v>
      </c>
      <c r="BB207" s="27" t="b">
        <f t="shared" si="894"/>
        <v>1</v>
      </c>
      <c r="BC207" s="23">
        <f t="shared" si="867"/>
        <v>271</v>
      </c>
      <c r="BD207" s="56" t="s">
        <v>23</v>
      </c>
      <c r="BE207" s="3" t="s">
        <v>23</v>
      </c>
      <c r="BF207" s="119" t="s">
        <v>23</v>
      </c>
      <c r="BG207" s="49" t="s">
        <v>1378</v>
      </c>
      <c r="BH207" s="49" t="s">
        <v>1383</v>
      </c>
      <c r="BI207" s="1"/>
      <c r="BJ207" s="70" t="s">
        <v>1293</v>
      </c>
      <c r="BK207" s="57" t="s">
        <v>1293</v>
      </c>
      <c r="BL207" s="57" t="s">
        <v>1293</v>
      </c>
      <c r="BM207" s="57" t="s">
        <v>1293</v>
      </c>
      <c r="BN207" s="57" t="s">
        <v>1293</v>
      </c>
      <c r="BO207" s="57" t="s">
        <v>1293</v>
      </c>
      <c r="BP207" s="57" t="s">
        <v>1293</v>
      </c>
      <c r="BQ207" s="57" t="s">
        <v>1293</v>
      </c>
      <c r="BR207" s="57" t="s">
        <v>1293</v>
      </c>
      <c r="BS207" s="57" t="s">
        <v>1293</v>
      </c>
      <c r="BT207" s="57" t="s">
        <v>1293</v>
      </c>
      <c r="BU207" s="57" t="s">
        <v>1293</v>
      </c>
      <c r="BV207" s="70">
        <f t="shared" si="868"/>
        <v>39</v>
      </c>
      <c r="BW207" s="71">
        <f t="shared" si="869"/>
        <v>78</v>
      </c>
      <c r="BX207" s="72">
        <f t="shared" si="870"/>
        <v>82</v>
      </c>
      <c r="BY207" s="71">
        <f t="shared" si="871"/>
        <v>113</v>
      </c>
      <c r="BZ207" s="72">
        <f t="shared" si="872"/>
        <v>117</v>
      </c>
      <c r="CA207" s="71">
        <f t="shared" si="873"/>
        <v>153</v>
      </c>
      <c r="CB207" s="72">
        <f t="shared" si="874"/>
        <v>161</v>
      </c>
      <c r="CC207" s="71">
        <f t="shared" si="875"/>
        <v>198</v>
      </c>
      <c r="CD207" s="72">
        <f t="shared" si="876"/>
        <v>206</v>
      </c>
      <c r="CE207" s="71">
        <f t="shared" si="877"/>
        <v>249</v>
      </c>
      <c r="CF207" s="72">
        <f t="shared" si="878"/>
        <v>293</v>
      </c>
      <c r="CG207" s="71">
        <f t="shared" si="879"/>
        <v>322</v>
      </c>
      <c r="CH207" s="70">
        <f t="shared" si="880"/>
        <v>77</v>
      </c>
      <c r="CI207" s="71">
        <f t="shared" si="881"/>
        <v>81</v>
      </c>
      <c r="CJ207" s="72">
        <f t="shared" si="882"/>
        <v>111</v>
      </c>
      <c r="CK207" s="72">
        <f t="shared" si="883"/>
        <v>116</v>
      </c>
      <c r="CL207" s="72">
        <f t="shared" si="884"/>
        <v>152</v>
      </c>
      <c r="CM207" s="72">
        <f t="shared" si="885"/>
        <v>160</v>
      </c>
      <c r="CN207" s="72">
        <f t="shared" si="886"/>
        <v>187</v>
      </c>
      <c r="CO207" s="72">
        <f t="shared" si="887"/>
        <v>200</v>
      </c>
      <c r="CP207" s="72">
        <f t="shared" si="888"/>
        <v>243</v>
      </c>
      <c r="CQ207" s="72">
        <f t="shared" si="889"/>
        <v>287</v>
      </c>
      <c r="CR207" s="72">
        <f t="shared" si="890"/>
        <v>321</v>
      </c>
      <c r="CS207" s="72">
        <f t="shared" si="891"/>
        <v>335</v>
      </c>
      <c r="CT207" s="23">
        <f t="shared" si="892"/>
        <v>1</v>
      </c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  <c r="ADW207" s="1"/>
      <c r="ADX207" s="1"/>
      <c r="ADY207" s="1"/>
      <c r="ADZ207" s="1"/>
      <c r="AEA207" s="1"/>
      <c r="AEB207" s="1"/>
      <c r="AEC207" s="1"/>
      <c r="AED207" s="1"/>
      <c r="AEE207" s="1"/>
      <c r="AEF207" s="1"/>
      <c r="AEG207" s="1"/>
      <c r="AEH207" s="1"/>
      <c r="AEI207" s="1"/>
      <c r="AEJ207" s="1"/>
      <c r="AEK207" s="1"/>
      <c r="AEL207" s="1"/>
      <c r="AEM207" s="1"/>
      <c r="AEN207" s="1"/>
      <c r="AEO207" s="1"/>
      <c r="AEP207" s="1"/>
      <c r="AEQ207" s="1"/>
      <c r="AER207" s="1"/>
      <c r="AES207" s="1"/>
      <c r="AET207" s="1"/>
      <c r="AEU207" s="1"/>
      <c r="AEV207" s="1"/>
      <c r="AEW207" s="1"/>
      <c r="AEX207" s="1"/>
      <c r="AEY207" s="1"/>
      <c r="AEZ207" s="1"/>
      <c r="AFA207" s="1"/>
      <c r="AFB207" s="1"/>
      <c r="AFC207" s="1"/>
      <c r="AFD207" s="1"/>
      <c r="AFE207" s="1"/>
      <c r="AFF207" s="1"/>
      <c r="AFG207" s="1"/>
      <c r="AFH207" s="1"/>
      <c r="AFI207" s="1"/>
      <c r="AFJ207" s="1"/>
      <c r="AFK207" s="1"/>
      <c r="AFL207" s="1"/>
      <c r="AFM207" s="1"/>
      <c r="AFN207" s="1"/>
      <c r="AFO207" s="1"/>
      <c r="AFP207" s="1"/>
      <c r="AFQ207" s="1"/>
      <c r="AFR207" s="1"/>
      <c r="AFS207" s="1"/>
      <c r="AFT207" s="1"/>
      <c r="AFU207" s="1"/>
      <c r="AFV207" s="1"/>
      <c r="AFW207" s="1"/>
      <c r="AFX207" s="1"/>
      <c r="AFY207" s="1"/>
      <c r="AFZ207" s="1"/>
      <c r="AGA207" s="1"/>
      <c r="AGB207" s="1"/>
      <c r="AGC207" s="1"/>
      <c r="AGD207" s="1"/>
      <c r="AGE207" s="1"/>
      <c r="AGF207" s="1"/>
      <c r="AGG207" s="1"/>
      <c r="AGH207" s="1"/>
      <c r="AGI207" s="1"/>
      <c r="AGJ207" s="1"/>
      <c r="AGK207" s="1"/>
      <c r="AGL207" s="1"/>
      <c r="AGM207" s="1"/>
      <c r="AGN207" s="1"/>
      <c r="AGO207" s="1"/>
      <c r="AGP207" s="1"/>
      <c r="AGQ207" s="1"/>
      <c r="AGR207" s="1"/>
      <c r="AGS207" s="1"/>
      <c r="AGT207" s="1"/>
      <c r="AGU207" s="1"/>
      <c r="AGV207" s="1"/>
      <c r="AGW207" s="1"/>
      <c r="AGX207" s="1"/>
      <c r="AGY207" s="1"/>
      <c r="AGZ207" s="1"/>
      <c r="AHA207" s="1"/>
      <c r="AHB207" s="1"/>
      <c r="AHC207" s="1"/>
      <c r="AHD207" s="1"/>
      <c r="AHE207" s="1"/>
      <c r="AHF207" s="1"/>
      <c r="AHG207" s="1"/>
      <c r="AHH207" s="1"/>
      <c r="AHI207" s="1"/>
      <c r="AHJ207" s="1"/>
      <c r="AHK207" s="1"/>
      <c r="AHL207" s="1"/>
      <c r="AHM207" s="1"/>
      <c r="AHN207" s="1"/>
      <c r="AHO207" s="1"/>
      <c r="AHP207" s="1"/>
      <c r="AHQ207" s="1"/>
      <c r="AHR207" s="1"/>
      <c r="AHS207" s="1"/>
      <c r="AHT207" s="1"/>
      <c r="AHU207" s="1"/>
      <c r="AHV207" s="1"/>
      <c r="AHW207" s="1"/>
      <c r="AHX207" s="1"/>
      <c r="AHY207" s="1"/>
      <c r="AHZ207" s="1"/>
      <c r="AIA207" s="1"/>
      <c r="AIB207" s="1"/>
      <c r="AIC207" s="1"/>
      <c r="AID207" s="1"/>
      <c r="AIE207" s="1"/>
      <c r="AIF207" s="1"/>
      <c r="AIG207" s="1"/>
      <c r="AIH207" s="1"/>
      <c r="AII207" s="1"/>
      <c r="AIJ207" s="1"/>
      <c r="AIK207" s="1"/>
      <c r="AIL207" s="1"/>
      <c r="AIM207" s="1"/>
      <c r="AIN207" s="1"/>
      <c r="AIO207" s="1"/>
      <c r="AIP207" s="1"/>
      <c r="AIQ207" s="1"/>
      <c r="AIR207" s="1"/>
      <c r="AIS207" s="1"/>
      <c r="AIT207" s="1"/>
      <c r="AIU207" s="1"/>
      <c r="AIV207" s="1"/>
      <c r="AIW207" s="1"/>
      <c r="AIX207" s="1"/>
      <c r="AIY207" s="1"/>
      <c r="AIZ207" s="1"/>
      <c r="AJA207" s="1"/>
      <c r="AJB207" s="1"/>
      <c r="AJC207" s="1"/>
      <c r="AJD207" s="1"/>
      <c r="AJE207" s="1"/>
      <c r="AJF207" s="1"/>
      <c r="AJG207" s="1"/>
      <c r="AJH207" s="1"/>
      <c r="AJI207" s="1"/>
      <c r="AJJ207" s="1"/>
      <c r="AJK207" s="1"/>
      <c r="AJL207" s="1"/>
      <c r="AJM207" s="1"/>
      <c r="AJN207" s="1"/>
      <c r="AJO207" s="1"/>
      <c r="AJP207" s="1"/>
      <c r="AJQ207" s="1"/>
      <c r="AJR207" s="1"/>
      <c r="AJS207" s="1"/>
      <c r="AJT207" s="1"/>
      <c r="AJU207" s="1"/>
      <c r="AJV207" s="1"/>
      <c r="AJW207" s="1"/>
      <c r="AJX207" s="1"/>
      <c r="AJY207" s="1"/>
      <c r="AJZ207" s="1"/>
      <c r="AKA207" s="1"/>
      <c r="AKB207" s="1"/>
      <c r="AKC207" s="1"/>
      <c r="AKD207" s="1"/>
      <c r="AKE207" s="1"/>
      <c r="AKF207" s="1"/>
      <c r="AKG207" s="1"/>
      <c r="AKH207" s="1"/>
      <c r="AKI207" s="1"/>
      <c r="AKJ207" s="1"/>
      <c r="AKK207" s="1"/>
      <c r="AKL207" s="1"/>
      <c r="AKM207" s="1"/>
      <c r="AKN207" s="1"/>
      <c r="AKO207" s="1"/>
      <c r="AKP207" s="1"/>
      <c r="AKQ207" s="1"/>
      <c r="AKR207" s="1"/>
      <c r="AKS207" s="1"/>
      <c r="AKT207" s="1"/>
      <c r="AKU207" s="1"/>
      <c r="AKV207" s="1"/>
      <c r="AKW207" s="1"/>
      <c r="AKX207" s="1"/>
      <c r="AKY207" s="1"/>
      <c r="AKZ207" s="1"/>
      <c r="ALA207" s="1"/>
      <c r="ALB207" s="1"/>
      <c r="ALC207" s="1"/>
      <c r="ALD207" s="1"/>
      <c r="ALE207" s="1"/>
      <c r="ALF207" s="1"/>
      <c r="ALG207" s="1"/>
      <c r="ALH207" s="1"/>
      <c r="ALI207" s="1"/>
      <c r="ALJ207" s="1"/>
      <c r="ALK207" s="1"/>
      <c r="ALL207" s="1"/>
      <c r="ALM207" s="1"/>
      <c r="ALN207" s="1"/>
      <c r="ALO207" s="1"/>
      <c r="ALP207" s="1"/>
      <c r="ALQ207" s="1"/>
      <c r="ALR207" s="1"/>
      <c r="ALS207" s="1"/>
      <c r="ALT207" s="1"/>
      <c r="ALU207" s="1"/>
      <c r="ALV207" s="1"/>
      <c r="ALW207" s="1"/>
      <c r="ALX207" s="1"/>
      <c r="ALY207" s="1"/>
      <c r="ALZ207" s="1"/>
      <c r="AMA207" s="1"/>
      <c r="AMB207" s="1"/>
      <c r="AMC207" s="1"/>
      <c r="AMD207" s="1"/>
      <c r="AME207" s="1"/>
      <c r="AMF207" s="1"/>
      <c r="AMG207" s="1"/>
      <c r="AMH207" s="1"/>
      <c r="AMI207" s="1"/>
      <c r="AMJ207" s="1"/>
      <c r="AMK207" s="1"/>
      <c r="AML207" s="1"/>
      <c r="AMM207" s="1"/>
      <c r="AMN207" s="1"/>
      <c r="AMO207" s="1"/>
    </row>
    <row r="208" spans="1:1029" x14ac:dyDescent="0.2">
      <c r="A208" s="3" t="str">
        <f t="shared" si="893"/>
        <v>oprd_human_4N6H</v>
      </c>
      <c r="B208" s="3" t="s">
        <v>335</v>
      </c>
      <c r="C208" s="3" t="s">
        <v>87</v>
      </c>
      <c r="D208" s="3" t="str">
        <f>IFERROR(MID(VLOOKUP($B208,Seqs!$A:$B,2,0),E208,1),"")</f>
        <v>G</v>
      </c>
      <c r="E208" s="3">
        <v>39</v>
      </c>
      <c r="F208" s="3" t="str">
        <f>IFERROR(MID(VLOOKUP($B208,Seqs!$A:$B,2,0),G208,1),"")</f>
        <v>Y</v>
      </c>
      <c r="G208" s="3">
        <v>77</v>
      </c>
      <c r="H208" s="3" t="str">
        <f>IFERROR(MID(VLOOKUP($B208,Seqs!$A:$B,2,0),I208,1),"")</f>
        <v>T</v>
      </c>
      <c r="I208" s="23">
        <v>78</v>
      </c>
      <c r="J208" s="3" t="str">
        <f>IFERROR(MID(VLOOKUP($B208,Seqs!$A:$B,2,0),K208,1),"")</f>
        <v>K</v>
      </c>
      <c r="K208" s="23">
        <v>81</v>
      </c>
      <c r="L208" s="3" t="str">
        <f>IFERROR(MID(VLOOKUP($B208,Seqs!$A:$B,2,0),M208,1),"")</f>
        <v>T</v>
      </c>
      <c r="M208" s="3">
        <v>82</v>
      </c>
      <c r="N208" s="3" t="str">
        <f>IFERROR(MID(VLOOKUP($B208,Seqs!$A:$B,2,0),O208,1),"")</f>
        <v>M</v>
      </c>
      <c r="O208" s="3">
        <v>111</v>
      </c>
      <c r="P208" s="3" t="str">
        <f>IFERROR(MID(VLOOKUP($B208,Seqs!$A:$B,2,0),Q208,1),"")</f>
        <v>T</v>
      </c>
      <c r="Q208" s="3">
        <v>113</v>
      </c>
      <c r="R208" s="3" t="str">
        <f>IFERROR(MID(VLOOKUP($B208,Seqs!$A:$B,2,0),S208,1),"")</f>
        <v>F</v>
      </c>
      <c r="S208" s="3">
        <v>116</v>
      </c>
      <c r="T208" s="3" t="str">
        <f>IFERROR(MID(VLOOKUP($B208,Seqs!$A:$B,2,0),U208,1),"")</f>
        <v>G</v>
      </c>
      <c r="U208" s="3">
        <v>117</v>
      </c>
      <c r="V208" s="3" t="str">
        <f>IFERROR(MID(VLOOKUP($B208,Seqs!$A:$B,2,0),W208,1),"")</f>
        <v>H</v>
      </c>
      <c r="W208" s="3">
        <v>152</v>
      </c>
      <c r="X208" s="3" t="str">
        <f>IFERROR(MID(VLOOKUP($B208,Seqs!$A:$B,2,0),Y208,1),"")</f>
        <v>P</v>
      </c>
      <c r="Y208" s="3">
        <v>153</v>
      </c>
      <c r="Z208" s="3" t="str">
        <f>IFERROR(MID(VLOOKUP($B208,Seqs!$A:$B,2,0),AA208,1),"")</f>
        <v>R</v>
      </c>
      <c r="AA208" s="3">
        <v>160</v>
      </c>
      <c r="AB208" s="3" t="str">
        <f>IFERROR(MID(VLOOKUP($B208,Seqs!$A:$B,2,0),AC208,1),"")</f>
        <v>T</v>
      </c>
      <c r="AC208" s="9">
        <v>161</v>
      </c>
      <c r="AD208" s="3" t="str">
        <f>IFERROR(MID(VLOOKUP($B208,Seqs!$A:$B,2,0),AE208,1),"")</f>
        <v>A</v>
      </c>
      <c r="AE208" s="3">
        <v>187</v>
      </c>
      <c r="AF208" s="3" t="str">
        <f>IFERROR(MID(VLOOKUP($B208,Seqs!$A:$B,2,0),AG208,1),"")</f>
        <v>C</v>
      </c>
      <c r="AG208" s="3">
        <v>198</v>
      </c>
      <c r="AH208" s="3" t="str">
        <f>IFERROR(MID(VLOOKUP($B208,Seqs!$A:$B,2,0),AI208,1),"")</f>
        <v>L</v>
      </c>
      <c r="AI208" s="3">
        <v>200</v>
      </c>
      <c r="AJ208" s="3" t="str">
        <f>IFERROR(MID(VLOOKUP($B208,Seqs!$A:$B,2,0),AK208,1),"")</f>
        <v>S</v>
      </c>
      <c r="AK208" s="3">
        <v>206</v>
      </c>
      <c r="AL208" s="3" t="str">
        <f>IFERROR(MID(VLOOKUP($B208,Seqs!$A:$B,2,0),AM208,1),"")</f>
        <v>V</v>
      </c>
      <c r="AM208" s="3">
        <v>243</v>
      </c>
      <c r="AN208" s="3" t="str">
        <f>IFERROR(MID(VLOOKUP($B208,Seqs!$A:$B,2,0),AO208,1),"")</f>
        <v>S</v>
      </c>
      <c r="AO208" s="3">
        <v>249</v>
      </c>
      <c r="AP208" s="3" t="str">
        <f>IFERROR(MID(VLOOKUP($B208,Seqs!$A:$B,2,0),AQ208,1),"")</f>
        <v>V</v>
      </c>
      <c r="AQ208" s="3">
        <v>287</v>
      </c>
      <c r="AR208" s="3" t="str">
        <f>IFERROR(MID(VLOOKUP($B208,Seqs!$A:$B,2,0),AS208,1),"")</f>
        <v>D</v>
      </c>
      <c r="AS208" s="3">
        <v>293</v>
      </c>
      <c r="AT208" s="3" t="str">
        <f>IFERROR(MID(VLOOKUP($B208,Seqs!$A:$B,2,0),AU208,1),"")</f>
        <v>L</v>
      </c>
      <c r="AU208" s="3">
        <v>321</v>
      </c>
      <c r="AV208" s="3" t="str">
        <f>IFERROR(MID(VLOOKUP($B208,Seqs!$A:$B,2,0),AW208,1),"")</f>
        <v>D</v>
      </c>
      <c r="AW208" s="3">
        <v>322</v>
      </c>
      <c r="AX208" s="3" t="str">
        <f>IFERROR(MID(VLOOKUP($B208,Seqs!$A:$B,2,0),AY208,1),"")</f>
        <v>K</v>
      </c>
      <c r="AY208" s="3">
        <v>335</v>
      </c>
      <c r="AZ208" s="77" t="str">
        <f>VLOOKUP(B208,Classification!A:D,2,0)</f>
        <v>A</v>
      </c>
      <c r="BA208" s="94" t="str">
        <f>VLOOKUP(B208,Classification!A:D,4,0)</f>
        <v>Opioid</v>
      </c>
      <c r="BB208" s="27" t="b">
        <f t="shared" si="894"/>
        <v>1</v>
      </c>
      <c r="BC208" s="23">
        <f t="shared" si="867"/>
        <v>271</v>
      </c>
      <c r="BD208" s="16" t="s">
        <v>1382</v>
      </c>
      <c r="BE208" s="3" t="s">
        <v>1380</v>
      </c>
      <c r="BF208" s="119">
        <v>1.8</v>
      </c>
      <c r="BG208" s="49" t="s">
        <v>1383</v>
      </c>
      <c r="BH208" s="49" t="s">
        <v>1383</v>
      </c>
      <c r="BJ208" s="70" t="s">
        <v>1293</v>
      </c>
      <c r="BK208" s="57" t="s">
        <v>1293</v>
      </c>
      <c r="BL208" s="57" t="s">
        <v>1293</v>
      </c>
      <c r="BM208" s="57" t="s">
        <v>1293</v>
      </c>
      <c r="BN208" s="57" t="s">
        <v>1293</v>
      </c>
      <c r="BO208" s="57" t="s">
        <v>1293</v>
      </c>
      <c r="BP208" s="57" t="s">
        <v>1293</v>
      </c>
      <c r="BQ208" s="57" t="s">
        <v>1293</v>
      </c>
      <c r="BR208" s="57" t="s">
        <v>1293</v>
      </c>
      <c r="BS208" s="57" t="s">
        <v>1293</v>
      </c>
      <c r="BT208" s="57" t="s">
        <v>1293</v>
      </c>
      <c r="BU208" s="57" t="s">
        <v>1293</v>
      </c>
      <c r="BV208" s="70">
        <f t="shared" si="868"/>
        <v>39</v>
      </c>
      <c r="BW208" s="71">
        <f t="shared" si="869"/>
        <v>78</v>
      </c>
      <c r="BX208" s="72">
        <f t="shared" si="870"/>
        <v>82</v>
      </c>
      <c r="BY208" s="71">
        <f t="shared" si="871"/>
        <v>113</v>
      </c>
      <c r="BZ208" s="72">
        <f t="shared" si="872"/>
        <v>117</v>
      </c>
      <c r="CA208" s="71">
        <f t="shared" si="873"/>
        <v>153</v>
      </c>
      <c r="CB208" s="72">
        <f t="shared" si="874"/>
        <v>161</v>
      </c>
      <c r="CC208" s="71">
        <f t="shared" si="875"/>
        <v>198</v>
      </c>
      <c r="CD208" s="72">
        <f t="shared" si="876"/>
        <v>206</v>
      </c>
      <c r="CE208" s="71">
        <f t="shared" si="877"/>
        <v>249</v>
      </c>
      <c r="CF208" s="72">
        <f t="shared" si="878"/>
        <v>293</v>
      </c>
      <c r="CG208" s="71">
        <f t="shared" si="879"/>
        <v>322</v>
      </c>
      <c r="CH208" s="70">
        <f t="shared" si="880"/>
        <v>77</v>
      </c>
      <c r="CI208" s="71">
        <f t="shared" si="881"/>
        <v>81</v>
      </c>
      <c r="CJ208" s="72">
        <f t="shared" si="882"/>
        <v>111</v>
      </c>
      <c r="CK208" s="72">
        <f t="shared" si="883"/>
        <v>116</v>
      </c>
      <c r="CL208" s="72">
        <f t="shared" si="884"/>
        <v>152</v>
      </c>
      <c r="CM208" s="72">
        <f t="shared" si="885"/>
        <v>160</v>
      </c>
      <c r="CN208" s="72">
        <f t="shared" si="886"/>
        <v>187</v>
      </c>
      <c r="CO208" s="72">
        <f t="shared" si="887"/>
        <v>200</v>
      </c>
      <c r="CP208" s="72">
        <f t="shared" si="888"/>
        <v>243</v>
      </c>
      <c r="CQ208" s="72">
        <f t="shared" si="889"/>
        <v>287</v>
      </c>
      <c r="CR208" s="72">
        <f t="shared" si="890"/>
        <v>321</v>
      </c>
      <c r="CS208" s="72">
        <f t="shared" si="891"/>
        <v>335</v>
      </c>
      <c r="CT208" s="23">
        <f t="shared" si="892"/>
        <v>1</v>
      </c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  <c r="ADW208" s="1"/>
      <c r="ADX208" s="1"/>
      <c r="ADY208" s="1"/>
      <c r="ADZ208" s="1"/>
      <c r="AEA208" s="1"/>
      <c r="AEB208" s="1"/>
      <c r="AEC208" s="1"/>
      <c r="AED208" s="1"/>
      <c r="AEE208" s="1"/>
      <c r="AEF208" s="1"/>
      <c r="AEG208" s="1"/>
      <c r="AEH208" s="1"/>
      <c r="AEI208" s="1"/>
      <c r="AEJ208" s="1"/>
      <c r="AEK208" s="1"/>
      <c r="AEL208" s="1"/>
      <c r="AEM208" s="1"/>
      <c r="AEN208" s="1"/>
      <c r="AEO208" s="1"/>
      <c r="AEP208" s="1"/>
      <c r="AEQ208" s="1"/>
      <c r="AER208" s="1"/>
      <c r="AES208" s="1"/>
      <c r="AET208" s="1"/>
      <c r="AEU208" s="1"/>
      <c r="AEV208" s="1"/>
      <c r="AEW208" s="1"/>
      <c r="AEX208" s="1"/>
      <c r="AEY208" s="1"/>
      <c r="AEZ208" s="1"/>
      <c r="AFA208" s="1"/>
      <c r="AFB208" s="1"/>
      <c r="AFC208" s="1"/>
      <c r="AFD208" s="1"/>
      <c r="AFE208" s="1"/>
      <c r="AFF208" s="1"/>
      <c r="AFG208" s="1"/>
      <c r="AFH208" s="1"/>
      <c r="AFI208" s="1"/>
      <c r="AFJ208" s="1"/>
      <c r="AFK208" s="1"/>
      <c r="AFL208" s="1"/>
      <c r="AFM208" s="1"/>
      <c r="AFN208" s="1"/>
      <c r="AFO208" s="1"/>
      <c r="AFP208" s="1"/>
      <c r="AFQ208" s="1"/>
      <c r="AFR208" s="1"/>
      <c r="AFS208" s="1"/>
      <c r="AFT208" s="1"/>
      <c r="AFU208" s="1"/>
      <c r="AFV208" s="1"/>
      <c r="AFW208" s="1"/>
      <c r="AFX208" s="1"/>
      <c r="AFY208" s="1"/>
      <c r="AFZ208" s="1"/>
      <c r="AGA208" s="1"/>
      <c r="AGB208" s="1"/>
      <c r="AGC208" s="1"/>
      <c r="AGD208" s="1"/>
      <c r="AGE208" s="1"/>
      <c r="AGF208" s="1"/>
      <c r="AGG208" s="1"/>
      <c r="AGH208" s="1"/>
      <c r="AGI208" s="1"/>
      <c r="AGJ208" s="1"/>
      <c r="AGK208" s="1"/>
      <c r="AGL208" s="1"/>
      <c r="AGM208" s="1"/>
      <c r="AGN208" s="1"/>
      <c r="AGO208" s="1"/>
      <c r="AGP208" s="1"/>
      <c r="AGQ208" s="1"/>
      <c r="AGR208" s="1"/>
      <c r="AGS208" s="1"/>
      <c r="AGT208" s="1"/>
      <c r="AGU208" s="1"/>
      <c r="AGV208" s="1"/>
      <c r="AGW208" s="1"/>
      <c r="AGX208" s="1"/>
      <c r="AGY208" s="1"/>
      <c r="AGZ208" s="1"/>
      <c r="AHA208" s="1"/>
      <c r="AHB208" s="1"/>
      <c r="AHC208" s="1"/>
      <c r="AHD208" s="1"/>
      <c r="AHE208" s="1"/>
      <c r="AHF208" s="1"/>
      <c r="AHG208" s="1"/>
      <c r="AHH208" s="1"/>
      <c r="AHI208" s="1"/>
      <c r="AHJ208" s="1"/>
      <c r="AHK208" s="1"/>
      <c r="AHL208" s="1"/>
      <c r="AHM208" s="1"/>
      <c r="AHN208" s="1"/>
      <c r="AHO208" s="1"/>
      <c r="AHP208" s="1"/>
      <c r="AHQ208" s="1"/>
      <c r="AHR208" s="1"/>
      <c r="AHS208" s="1"/>
      <c r="AHT208" s="1"/>
      <c r="AHU208" s="1"/>
      <c r="AHV208" s="1"/>
      <c r="AHW208" s="1"/>
      <c r="AHX208" s="1"/>
      <c r="AHY208" s="1"/>
      <c r="AHZ208" s="1"/>
      <c r="AIA208" s="1"/>
      <c r="AIB208" s="1"/>
      <c r="AIC208" s="1"/>
      <c r="AID208" s="1"/>
      <c r="AIE208" s="1"/>
      <c r="AIF208" s="1"/>
      <c r="AIG208" s="1"/>
      <c r="AIH208" s="1"/>
      <c r="AII208" s="1"/>
      <c r="AIJ208" s="1"/>
      <c r="AIK208" s="1"/>
      <c r="AIL208" s="1"/>
      <c r="AIM208" s="1"/>
      <c r="AIN208" s="1"/>
      <c r="AIO208" s="1"/>
      <c r="AIP208" s="1"/>
      <c r="AIQ208" s="1"/>
      <c r="AIR208" s="1"/>
      <c r="AIS208" s="1"/>
      <c r="AIT208" s="1"/>
      <c r="AIU208" s="1"/>
      <c r="AIV208" s="1"/>
      <c r="AIW208" s="1"/>
      <c r="AIX208" s="1"/>
      <c r="AIY208" s="1"/>
      <c r="AIZ208" s="1"/>
      <c r="AJA208" s="1"/>
      <c r="AJB208" s="1"/>
      <c r="AJC208" s="1"/>
      <c r="AJD208" s="1"/>
      <c r="AJE208" s="1"/>
      <c r="AJF208" s="1"/>
      <c r="AJG208" s="1"/>
      <c r="AJH208" s="1"/>
      <c r="AJI208" s="1"/>
      <c r="AJJ208" s="1"/>
      <c r="AJK208" s="1"/>
      <c r="AJL208" s="1"/>
      <c r="AJM208" s="1"/>
      <c r="AJN208" s="1"/>
      <c r="AJO208" s="1"/>
      <c r="AJP208" s="1"/>
      <c r="AJQ208" s="1"/>
      <c r="AJR208" s="1"/>
      <c r="AJS208" s="1"/>
      <c r="AJT208" s="1"/>
      <c r="AJU208" s="1"/>
      <c r="AJV208" s="1"/>
      <c r="AJW208" s="1"/>
      <c r="AJX208" s="1"/>
      <c r="AJY208" s="1"/>
      <c r="AJZ208" s="1"/>
      <c r="AKA208" s="1"/>
      <c r="AKB208" s="1"/>
      <c r="AKC208" s="1"/>
      <c r="AKD208" s="1"/>
      <c r="AKE208" s="1"/>
      <c r="AKF208" s="1"/>
      <c r="AKG208" s="1"/>
      <c r="AKH208" s="1"/>
      <c r="AKI208" s="1"/>
      <c r="AKJ208" s="1"/>
      <c r="AKK208" s="1"/>
      <c r="AKL208" s="1"/>
      <c r="AKM208" s="1"/>
      <c r="AKN208" s="1"/>
      <c r="AKO208" s="1"/>
      <c r="AKP208" s="1"/>
      <c r="AKQ208" s="1"/>
      <c r="AKR208" s="1"/>
      <c r="AKS208" s="1"/>
      <c r="AKT208" s="1"/>
      <c r="AKU208" s="1"/>
      <c r="AKV208" s="1"/>
      <c r="AKW208" s="1"/>
      <c r="AKX208" s="1"/>
      <c r="AKY208" s="1"/>
      <c r="AKZ208" s="1"/>
      <c r="ALA208" s="1"/>
      <c r="ALB208" s="1"/>
      <c r="ALC208" s="1"/>
      <c r="ALD208" s="1"/>
      <c r="ALE208" s="1"/>
      <c r="ALF208" s="1"/>
      <c r="ALG208" s="1"/>
      <c r="ALH208" s="1"/>
      <c r="ALI208" s="1"/>
      <c r="ALJ208" s="1"/>
      <c r="ALK208" s="1"/>
      <c r="ALL208" s="1"/>
      <c r="ALM208" s="1"/>
      <c r="ALN208" s="1"/>
      <c r="ALO208" s="1"/>
      <c r="ALP208" s="1"/>
      <c r="ALQ208" s="1"/>
      <c r="ALR208" s="1"/>
      <c r="ALS208" s="1"/>
      <c r="ALT208" s="1"/>
      <c r="ALU208" s="1"/>
      <c r="ALV208" s="1"/>
      <c r="ALW208" s="1"/>
      <c r="ALX208" s="1"/>
      <c r="ALY208" s="1"/>
      <c r="ALZ208" s="1"/>
      <c r="AMA208" s="1"/>
      <c r="AMB208" s="1"/>
      <c r="AMC208" s="1"/>
      <c r="AMD208" s="1"/>
      <c r="AME208" s="1"/>
      <c r="AMF208" s="1"/>
      <c r="AMG208" s="1"/>
      <c r="AMH208" s="1"/>
      <c r="AMI208" s="1"/>
      <c r="AMJ208" s="1"/>
      <c r="AMK208" s="1"/>
      <c r="AML208" s="1"/>
      <c r="AMM208" s="1"/>
      <c r="AMN208" s="1"/>
      <c r="AMO208" s="1"/>
    </row>
    <row r="209" spans="1:1030" s="2" customFormat="1" x14ac:dyDescent="0.2">
      <c r="A209" s="3" t="str">
        <f t="shared" si="893"/>
        <v>oprd_human_4RWD</v>
      </c>
      <c r="B209" s="1" t="s">
        <v>335</v>
      </c>
      <c r="C209" s="1" t="s">
        <v>1344</v>
      </c>
      <c r="D209" s="3" t="str">
        <f>IFERROR(MID(VLOOKUP($B209,Seqs!$A:$B,2,0),E209,1),"")</f>
        <v>A</v>
      </c>
      <c r="E209" s="3">
        <v>43</v>
      </c>
      <c r="F209" s="3" t="str">
        <f>IFERROR(MID(VLOOKUP($B209,Seqs!$A:$B,2,0),G209,1),"")</f>
        <v>Y</v>
      </c>
      <c r="G209" s="3">
        <v>77</v>
      </c>
      <c r="H209" s="3" t="str">
        <f>IFERROR(MID(VLOOKUP($B209,Seqs!$A:$B,2,0),I209,1),"")</f>
        <v>T</v>
      </c>
      <c r="I209" s="23">
        <v>78</v>
      </c>
      <c r="J209" s="3" t="str">
        <f>IFERROR(MID(VLOOKUP($B209,Seqs!$A:$B,2,0),K209,1),"")</f>
        <v>K</v>
      </c>
      <c r="K209" s="23">
        <v>81</v>
      </c>
      <c r="L209" s="3" t="str">
        <f>IFERROR(MID(VLOOKUP($B209,Seqs!$A:$B,2,0),M209,1),"")</f>
        <v>T</v>
      </c>
      <c r="M209" s="3">
        <v>82</v>
      </c>
      <c r="N209" s="3" t="str">
        <f>IFERROR(MID(VLOOKUP($B209,Seqs!$A:$B,2,0),O209,1),"")</f>
        <v>M</v>
      </c>
      <c r="O209" s="3">
        <v>111</v>
      </c>
      <c r="P209" s="3" t="str">
        <f>IFERROR(MID(VLOOKUP($B209,Seqs!$A:$B,2,0),Q209,1),"")</f>
        <v>T</v>
      </c>
      <c r="Q209" s="3">
        <v>113</v>
      </c>
      <c r="R209" s="3" t="str">
        <f>IFERROR(MID(VLOOKUP($B209,Seqs!$A:$B,2,0),S209,1),"")</f>
        <v>F</v>
      </c>
      <c r="S209" s="3">
        <v>116</v>
      </c>
      <c r="T209" s="3" t="str">
        <f>IFERROR(MID(VLOOKUP($B209,Seqs!$A:$B,2,0),U209,1),"")</f>
        <v>G</v>
      </c>
      <c r="U209" s="3">
        <v>117</v>
      </c>
      <c r="V209" s="3" t="str">
        <f>IFERROR(MID(VLOOKUP($B209,Seqs!$A:$B,2,0),W209,1),"")</f>
        <v>H</v>
      </c>
      <c r="W209" s="3">
        <v>152</v>
      </c>
      <c r="X209" s="3" t="str">
        <f>IFERROR(MID(VLOOKUP($B209,Seqs!$A:$B,2,0),Y209,1),"")</f>
        <v>P</v>
      </c>
      <c r="Y209" s="3">
        <v>153</v>
      </c>
      <c r="Z209" s="3" t="str">
        <f>IFERROR(MID(VLOOKUP($B209,Seqs!$A:$B,2,0),AA209,1),"")</f>
        <v>R</v>
      </c>
      <c r="AA209" s="3">
        <v>160</v>
      </c>
      <c r="AB209" s="3" t="str">
        <f>IFERROR(MID(VLOOKUP($B209,Seqs!$A:$B,2,0),AC209,1),"")</f>
        <v>T</v>
      </c>
      <c r="AC209" s="9">
        <v>161</v>
      </c>
      <c r="AD209" s="3" t="str">
        <f>IFERROR(MID(VLOOKUP($B209,Seqs!$A:$B,2,0),AE209,1),"")</f>
        <v>A</v>
      </c>
      <c r="AE209" s="3">
        <v>187</v>
      </c>
      <c r="AF209" s="3" t="str">
        <f>IFERROR(MID(VLOOKUP($B209,Seqs!$A:$B,2,0),AG209,1),"")</f>
        <v>C</v>
      </c>
      <c r="AG209" s="3">
        <v>198</v>
      </c>
      <c r="AH209" s="3" t="str">
        <f>IFERROR(MID(VLOOKUP($B209,Seqs!$A:$B,2,0),AI209,1),"")</f>
        <v>L</v>
      </c>
      <c r="AI209" s="3">
        <v>200</v>
      </c>
      <c r="AJ209" s="3" t="str">
        <f>IFERROR(MID(VLOOKUP($B209,Seqs!$A:$B,2,0),AK209,1),"")</f>
        <v>S</v>
      </c>
      <c r="AK209" s="3">
        <v>206</v>
      </c>
      <c r="AL209" s="3" t="str">
        <f>IFERROR(MID(VLOOKUP($B209,Seqs!$A:$B,2,0),AM209,1),"")</f>
        <v>V</v>
      </c>
      <c r="AM209" s="3">
        <v>243</v>
      </c>
      <c r="AN209" s="3" t="str">
        <f>IFERROR(MID(VLOOKUP($B209,Seqs!$A:$B,2,0),AO209,1),"")</f>
        <v>S</v>
      </c>
      <c r="AO209" s="3">
        <v>249</v>
      </c>
      <c r="AP209" s="3" t="str">
        <f>IFERROR(MID(VLOOKUP($B209,Seqs!$A:$B,2,0),AQ209,1),"")</f>
        <v>V</v>
      </c>
      <c r="AQ209" s="3">
        <v>287</v>
      </c>
      <c r="AR209" s="3" t="str">
        <f>IFERROR(MID(VLOOKUP($B209,Seqs!$A:$B,2,0),AS209,1),"")</f>
        <v>D</v>
      </c>
      <c r="AS209" s="3">
        <v>293</v>
      </c>
      <c r="AT209" s="3" t="str">
        <f>IFERROR(MID(VLOOKUP($B209,Seqs!$A:$B,2,0),AU209,1),"")</f>
        <v>L</v>
      </c>
      <c r="AU209" s="3">
        <v>321</v>
      </c>
      <c r="AV209" s="3" t="str">
        <f>IFERROR(MID(VLOOKUP($B209,Seqs!$A:$B,2,0),AW209,1),"")</f>
        <v>D</v>
      </c>
      <c r="AW209" s="3">
        <v>322</v>
      </c>
      <c r="AX209" s="3" t="str">
        <f>IFERROR(MID(VLOOKUP($B209,Seqs!$A:$B,2,0),AY209,1),"")</f>
        <v>C</v>
      </c>
      <c r="AY209" s="3">
        <v>333</v>
      </c>
      <c r="AZ209" s="77" t="str">
        <f>VLOOKUP(B209,Classification!A:D,2,0)</f>
        <v>A</v>
      </c>
      <c r="BA209" s="94" t="str">
        <f>VLOOKUP(B209,Classification!A:D,4,0)</f>
        <v>Opioid</v>
      </c>
      <c r="BB209" s="27" t="b">
        <f t="shared" si="894"/>
        <v>1</v>
      </c>
      <c r="BC209" s="23">
        <f t="shared" si="867"/>
        <v>265</v>
      </c>
      <c r="BD209" s="16" t="s">
        <v>23</v>
      </c>
      <c r="BE209" s="3" t="s">
        <v>1380</v>
      </c>
      <c r="BF209" s="119">
        <v>2.7</v>
      </c>
      <c r="BG209" s="49" t="s">
        <v>1383</v>
      </c>
      <c r="BH209" s="49" t="s">
        <v>1383</v>
      </c>
      <c r="BI209" s="3"/>
      <c r="BJ209" s="70" t="s">
        <v>1293</v>
      </c>
      <c r="BK209" s="57" t="s">
        <v>1293</v>
      </c>
      <c r="BL209" s="57" t="s">
        <v>1293</v>
      </c>
      <c r="BM209" s="57" t="s">
        <v>1293</v>
      </c>
      <c r="BN209" s="57" t="s">
        <v>1293</v>
      </c>
      <c r="BO209" s="57" t="s">
        <v>1293</v>
      </c>
      <c r="BP209" s="57" t="s">
        <v>1293</v>
      </c>
      <c r="BQ209" s="57" t="s">
        <v>1293</v>
      </c>
      <c r="BR209" s="57" t="s">
        <v>1293</v>
      </c>
      <c r="BS209" s="57" t="s">
        <v>1293</v>
      </c>
      <c r="BT209" s="57" t="s">
        <v>1293</v>
      </c>
      <c r="BU209" s="57" t="s">
        <v>1293</v>
      </c>
      <c r="BV209" s="70">
        <f t="shared" si="868"/>
        <v>43</v>
      </c>
      <c r="BW209" s="71">
        <f t="shared" si="869"/>
        <v>78</v>
      </c>
      <c r="BX209" s="72">
        <f t="shared" si="870"/>
        <v>82</v>
      </c>
      <c r="BY209" s="71">
        <f t="shared" si="871"/>
        <v>113</v>
      </c>
      <c r="BZ209" s="72">
        <f t="shared" si="872"/>
        <v>117</v>
      </c>
      <c r="CA209" s="71">
        <f t="shared" si="873"/>
        <v>153</v>
      </c>
      <c r="CB209" s="72">
        <f t="shared" si="874"/>
        <v>161</v>
      </c>
      <c r="CC209" s="71">
        <f t="shared" si="875"/>
        <v>198</v>
      </c>
      <c r="CD209" s="72">
        <f t="shared" si="876"/>
        <v>206</v>
      </c>
      <c r="CE209" s="71">
        <f t="shared" si="877"/>
        <v>249</v>
      </c>
      <c r="CF209" s="72">
        <f t="shared" si="878"/>
        <v>293</v>
      </c>
      <c r="CG209" s="71">
        <f t="shared" si="879"/>
        <v>322</v>
      </c>
      <c r="CH209" s="70">
        <f t="shared" si="880"/>
        <v>77</v>
      </c>
      <c r="CI209" s="71">
        <f t="shared" si="881"/>
        <v>81</v>
      </c>
      <c r="CJ209" s="72">
        <f t="shared" si="882"/>
        <v>111</v>
      </c>
      <c r="CK209" s="72">
        <f t="shared" si="883"/>
        <v>116</v>
      </c>
      <c r="CL209" s="72">
        <f t="shared" si="884"/>
        <v>152</v>
      </c>
      <c r="CM209" s="72">
        <f t="shared" si="885"/>
        <v>160</v>
      </c>
      <c r="CN209" s="72">
        <f t="shared" si="886"/>
        <v>187</v>
      </c>
      <c r="CO209" s="72">
        <f t="shared" si="887"/>
        <v>200</v>
      </c>
      <c r="CP209" s="72">
        <f t="shared" si="888"/>
        <v>243</v>
      </c>
      <c r="CQ209" s="72">
        <f t="shared" si="889"/>
        <v>287</v>
      </c>
      <c r="CR209" s="72">
        <f t="shared" si="890"/>
        <v>321</v>
      </c>
      <c r="CS209" s="72">
        <f t="shared" si="891"/>
        <v>333</v>
      </c>
      <c r="CT209" s="23">
        <f t="shared" si="892"/>
        <v>1</v>
      </c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  <c r="ADW209" s="1"/>
      <c r="ADX209" s="1"/>
      <c r="ADY209" s="1"/>
      <c r="ADZ209" s="1"/>
      <c r="AEA209" s="1"/>
      <c r="AEB209" s="1"/>
      <c r="AEC209" s="1"/>
      <c r="AED209" s="1"/>
      <c r="AEE209" s="1"/>
      <c r="AEF209" s="1"/>
      <c r="AEG209" s="1"/>
      <c r="AEH209" s="1"/>
      <c r="AEI209" s="1"/>
      <c r="AEJ209" s="1"/>
      <c r="AEK209" s="1"/>
      <c r="AEL209" s="1"/>
      <c r="AEM209" s="1"/>
      <c r="AEN209" s="1"/>
      <c r="AEO209" s="1"/>
      <c r="AEP209" s="1"/>
      <c r="AEQ209" s="1"/>
      <c r="AER209" s="1"/>
      <c r="AES209" s="1"/>
      <c r="AET209" s="1"/>
      <c r="AEU209" s="1"/>
      <c r="AEV209" s="1"/>
      <c r="AEW209" s="1"/>
      <c r="AEX209" s="1"/>
      <c r="AEY209" s="1"/>
      <c r="AEZ209" s="1"/>
      <c r="AFA209" s="1"/>
      <c r="AFB209" s="1"/>
      <c r="AFC209" s="1"/>
      <c r="AFD209" s="1"/>
      <c r="AFE209" s="1"/>
      <c r="AFF209" s="1"/>
      <c r="AFG209" s="1"/>
      <c r="AFH209" s="1"/>
      <c r="AFI209" s="1"/>
      <c r="AFJ209" s="1"/>
      <c r="AFK209" s="1"/>
      <c r="AFL209" s="1"/>
      <c r="AFM209" s="1"/>
      <c r="AFN209" s="1"/>
      <c r="AFO209" s="1"/>
      <c r="AFP209" s="1"/>
      <c r="AFQ209" s="1"/>
      <c r="AFR209" s="1"/>
      <c r="AFS209" s="1"/>
      <c r="AFT209" s="1"/>
      <c r="AFU209" s="1"/>
      <c r="AFV209" s="1"/>
      <c r="AFW209" s="1"/>
      <c r="AFX209" s="1"/>
      <c r="AFY209" s="1"/>
      <c r="AFZ209" s="1"/>
      <c r="AGA209" s="1"/>
      <c r="AGB209" s="1"/>
      <c r="AGC209" s="1"/>
      <c r="AGD209" s="1"/>
      <c r="AGE209" s="1"/>
      <c r="AGF209" s="1"/>
      <c r="AGG209" s="1"/>
      <c r="AGH209" s="1"/>
      <c r="AGI209" s="1"/>
      <c r="AGJ209" s="1"/>
      <c r="AGK209" s="1"/>
      <c r="AGL209" s="1"/>
      <c r="AGM209" s="1"/>
      <c r="AGN209" s="1"/>
      <c r="AGO209" s="1"/>
      <c r="AGP209" s="1"/>
      <c r="AGQ209" s="1"/>
      <c r="AGR209" s="1"/>
      <c r="AGS209" s="1"/>
      <c r="AGT209" s="1"/>
      <c r="AGU209" s="1"/>
      <c r="AGV209" s="1"/>
      <c r="AGW209" s="1"/>
      <c r="AGX209" s="1"/>
      <c r="AGY209" s="1"/>
      <c r="AGZ209" s="1"/>
      <c r="AHA209" s="1"/>
      <c r="AHB209" s="1"/>
      <c r="AHC209" s="1"/>
      <c r="AHD209" s="1"/>
      <c r="AHE209" s="1"/>
      <c r="AHF209" s="1"/>
      <c r="AHG209" s="1"/>
      <c r="AHH209" s="1"/>
      <c r="AHI209" s="1"/>
      <c r="AHJ209" s="1"/>
      <c r="AHK209" s="1"/>
      <c r="AHL209" s="1"/>
      <c r="AHM209" s="1"/>
      <c r="AHN209" s="1"/>
      <c r="AHO209" s="1"/>
      <c r="AHP209" s="1"/>
      <c r="AHQ209" s="1"/>
      <c r="AHR209" s="1"/>
      <c r="AHS209" s="1"/>
      <c r="AHT209" s="1"/>
      <c r="AHU209" s="1"/>
      <c r="AHV209" s="1"/>
      <c r="AHW209" s="1"/>
      <c r="AHX209" s="1"/>
      <c r="AHY209" s="1"/>
      <c r="AHZ209" s="1"/>
      <c r="AIA209" s="1"/>
      <c r="AIB209" s="1"/>
      <c r="AIC209" s="1"/>
      <c r="AID209" s="1"/>
      <c r="AIE209" s="1"/>
      <c r="AIF209" s="1"/>
      <c r="AIG209" s="1"/>
      <c r="AIH209" s="1"/>
      <c r="AII209" s="1"/>
      <c r="AIJ209" s="1"/>
      <c r="AIK209" s="1"/>
      <c r="AIL209" s="1"/>
      <c r="AIM209" s="1"/>
      <c r="AIN209" s="1"/>
      <c r="AIO209" s="1"/>
      <c r="AIP209" s="1"/>
      <c r="AIQ209" s="1"/>
      <c r="AIR209" s="1"/>
      <c r="AIS209" s="1"/>
      <c r="AIT209" s="1"/>
      <c r="AIU209" s="1"/>
      <c r="AIV209" s="1"/>
      <c r="AIW209" s="1"/>
      <c r="AIX209" s="1"/>
      <c r="AIY209" s="1"/>
      <c r="AIZ209" s="1"/>
      <c r="AJA209" s="1"/>
      <c r="AJB209" s="1"/>
      <c r="AJC209" s="1"/>
      <c r="AJD209" s="1"/>
      <c r="AJE209" s="1"/>
      <c r="AJF209" s="1"/>
      <c r="AJG209" s="1"/>
      <c r="AJH209" s="1"/>
      <c r="AJI209" s="1"/>
      <c r="AJJ209" s="1"/>
      <c r="AJK209" s="1"/>
      <c r="AJL209" s="1"/>
      <c r="AJM209" s="1"/>
      <c r="AJN209" s="1"/>
      <c r="AJO209" s="1"/>
      <c r="AJP209" s="1"/>
      <c r="AJQ209" s="1"/>
      <c r="AJR209" s="1"/>
      <c r="AJS209" s="1"/>
      <c r="AJT209" s="1"/>
      <c r="AJU209" s="1"/>
      <c r="AJV209" s="1"/>
      <c r="AJW209" s="1"/>
      <c r="AJX209" s="1"/>
      <c r="AJY209" s="1"/>
      <c r="AJZ209" s="1"/>
      <c r="AKA209" s="1"/>
      <c r="AKB209" s="1"/>
      <c r="AKC209" s="1"/>
      <c r="AKD209" s="1"/>
      <c r="AKE209" s="1"/>
      <c r="AKF209" s="1"/>
      <c r="AKG209" s="1"/>
      <c r="AKH209" s="1"/>
      <c r="AKI209" s="1"/>
      <c r="AKJ209" s="1"/>
      <c r="AKK209" s="1"/>
      <c r="AKL209" s="1"/>
      <c r="AKM209" s="1"/>
      <c r="AKN209" s="1"/>
      <c r="AKO209" s="1"/>
      <c r="AKP209" s="1"/>
      <c r="AKQ209" s="1"/>
      <c r="AKR209" s="1"/>
      <c r="AKS209" s="1"/>
      <c r="AKT209" s="1"/>
      <c r="AKU209" s="1"/>
      <c r="AKV209" s="1"/>
      <c r="AKW209" s="1"/>
      <c r="AKX209" s="1"/>
      <c r="AKY209" s="1"/>
      <c r="AKZ209" s="1"/>
      <c r="ALA209" s="1"/>
      <c r="ALB209" s="1"/>
      <c r="ALC209" s="1"/>
      <c r="ALD209" s="1"/>
      <c r="ALE209" s="1"/>
      <c r="ALF209" s="1"/>
      <c r="ALG209" s="1"/>
      <c r="ALH209" s="1"/>
      <c r="ALI209" s="1"/>
      <c r="ALJ209" s="1"/>
      <c r="ALK209" s="1"/>
      <c r="ALL209" s="1"/>
      <c r="ALM209" s="1"/>
      <c r="ALN209" s="1"/>
      <c r="ALO209" s="1"/>
      <c r="ALP209" s="1"/>
      <c r="ALQ209" s="1"/>
      <c r="ALR209" s="1"/>
      <c r="ALS209" s="1"/>
      <c r="ALT209" s="1"/>
      <c r="ALU209" s="1"/>
      <c r="ALV209" s="1"/>
      <c r="ALW209" s="1"/>
      <c r="ALX209" s="1"/>
      <c r="ALY209" s="1"/>
      <c r="ALZ209" s="1"/>
      <c r="AMA209" s="1"/>
      <c r="AMB209" s="1"/>
      <c r="AMC209" s="1"/>
      <c r="AMD209" s="1"/>
      <c r="AME209" s="1"/>
      <c r="AMF209" s="1"/>
      <c r="AMG209" s="1"/>
      <c r="AMH209" s="1"/>
      <c r="AMI209" s="1"/>
      <c r="AMJ209" s="1"/>
      <c r="AMK209" s="1"/>
      <c r="AML209" s="1"/>
      <c r="AMM209" s="1"/>
      <c r="AMN209" s="1"/>
      <c r="AMO209" s="1"/>
      <c r="AMP209" s="1"/>
    </row>
    <row r="210" spans="1:1030" s="2" customFormat="1" x14ac:dyDescent="0.2">
      <c r="A210" s="3" t="str">
        <f t="shared" si="893"/>
        <v>oprd_mouse__wt</v>
      </c>
      <c r="B210" s="3" t="s">
        <v>916</v>
      </c>
      <c r="C210" s="3" t="s">
        <v>100</v>
      </c>
      <c r="D210" s="3" t="str">
        <f>IFERROR(MID(VLOOKUP($B210,Seqs!$A:$B,2,0),E210,1),"")</f>
        <v>R</v>
      </c>
      <c r="E210" s="3">
        <v>41</v>
      </c>
      <c r="F210" s="3" t="str">
        <f>IFERROR(MID(VLOOKUP($B210,Seqs!$A:$B,2,0),G210,1),"")</f>
        <v>Y</v>
      </c>
      <c r="G210" s="3">
        <v>77</v>
      </c>
      <c r="H210" s="3" t="str">
        <f>IFERROR(MID(VLOOKUP($B210,Seqs!$A:$B,2,0),I210,1),"")</f>
        <v>T</v>
      </c>
      <c r="I210" s="23">
        <v>78</v>
      </c>
      <c r="J210" s="3" t="str">
        <f>IFERROR(MID(VLOOKUP($B210,Seqs!$A:$B,2,0),K210,1),"")</f>
        <v>K</v>
      </c>
      <c r="K210" s="23">
        <v>81</v>
      </c>
      <c r="L210" s="3" t="str">
        <f>IFERROR(MID(VLOOKUP($B210,Seqs!$A:$B,2,0),M210,1),"")</f>
        <v>T</v>
      </c>
      <c r="M210" s="3">
        <v>82</v>
      </c>
      <c r="N210" s="3" t="str">
        <f>IFERROR(MID(VLOOKUP($B210,Seqs!$A:$B,2,0),O210,1),"")</f>
        <v>M</v>
      </c>
      <c r="O210" s="3">
        <v>111</v>
      </c>
      <c r="P210" s="3" t="str">
        <f>IFERROR(MID(VLOOKUP($B210,Seqs!$A:$B,2,0),Q210,1),"")</f>
        <v>T</v>
      </c>
      <c r="Q210" s="3">
        <v>113</v>
      </c>
      <c r="R210" s="3" t="str">
        <f>IFERROR(MID(VLOOKUP($B210,Seqs!$A:$B,2,0),S210,1),"")</f>
        <v>F</v>
      </c>
      <c r="S210" s="3">
        <v>116</v>
      </c>
      <c r="T210" s="3" t="str">
        <f>IFERROR(MID(VLOOKUP($B210,Seqs!$A:$B,2,0),U210,1),"")</f>
        <v>G</v>
      </c>
      <c r="U210" s="3">
        <v>117</v>
      </c>
      <c r="V210" s="3" t="str">
        <f>IFERROR(MID(VLOOKUP($B210,Seqs!$A:$B,2,0),W210,1),"")</f>
        <v>H</v>
      </c>
      <c r="W210" s="3">
        <v>152</v>
      </c>
      <c r="X210" s="3" t="str">
        <f>IFERROR(MID(VLOOKUP($B210,Seqs!$A:$B,2,0),Y210,1),"")</f>
        <v>P</v>
      </c>
      <c r="Y210" s="3">
        <v>153</v>
      </c>
      <c r="Z210" s="3" t="str">
        <f>IFERROR(MID(VLOOKUP($B210,Seqs!$A:$B,2,0),AA210,1),"")</f>
        <v>R</v>
      </c>
      <c r="AA210" s="3">
        <v>160</v>
      </c>
      <c r="AB210" s="3" t="str">
        <f>IFERROR(MID(VLOOKUP($B210,Seqs!$A:$B,2,0),AC210,1),"")</f>
        <v>T</v>
      </c>
      <c r="AC210" s="9">
        <v>161</v>
      </c>
      <c r="AD210" s="3" t="str">
        <f>IFERROR(MID(VLOOKUP($B210,Seqs!$A:$B,2,0),AE210,1),"")</f>
        <v>A</v>
      </c>
      <c r="AE210" s="3">
        <v>187</v>
      </c>
      <c r="AF210" s="3" t="str">
        <f>IFERROR(MID(VLOOKUP($B210,Seqs!$A:$B,2,0),AG210,1),"")</f>
        <v>C</v>
      </c>
      <c r="AG210" s="3">
        <v>198</v>
      </c>
      <c r="AH210" s="3" t="str">
        <f>IFERROR(MID(VLOOKUP($B210,Seqs!$A:$B,2,0),AI210,1),"")</f>
        <v>L</v>
      </c>
      <c r="AI210" s="3">
        <v>200</v>
      </c>
      <c r="AJ210" s="3" t="str">
        <f>IFERROR(MID(VLOOKUP($B210,Seqs!$A:$B,2,0),AK210,1),"")</f>
        <v>S</v>
      </c>
      <c r="AK210" s="3">
        <v>206</v>
      </c>
      <c r="AL210" s="3" t="str">
        <f>IFERROR(MID(VLOOKUP($B210,Seqs!$A:$B,2,0),AM210,1),"")</f>
        <v>V</v>
      </c>
      <c r="AM210" s="3">
        <v>243</v>
      </c>
      <c r="AN210" s="3" t="str">
        <f>IFERROR(MID(VLOOKUP($B210,Seqs!$A:$B,2,0),AO210,1),"")</f>
        <v>S</v>
      </c>
      <c r="AO210" s="3">
        <v>249</v>
      </c>
      <c r="AP210" s="3" t="str">
        <f>IFERROR(MID(VLOOKUP($B210,Seqs!$A:$B,2,0),AQ210,1),"")</f>
        <v>V</v>
      </c>
      <c r="AQ210" s="3">
        <v>287</v>
      </c>
      <c r="AR210" s="3" t="str">
        <f>IFERROR(MID(VLOOKUP($B210,Seqs!$A:$B,2,0),AS210,1),"")</f>
        <v>D</v>
      </c>
      <c r="AS210" s="3">
        <v>293</v>
      </c>
      <c r="AT210" s="3" t="str">
        <f>IFERROR(MID(VLOOKUP($B210,Seqs!$A:$B,2,0),AU210,1),"")</f>
        <v>L</v>
      </c>
      <c r="AU210" s="3">
        <v>321</v>
      </c>
      <c r="AV210" s="3" t="str">
        <f>IFERROR(MID(VLOOKUP($B210,Seqs!$A:$B,2,0),AW210,1),"")</f>
        <v>D</v>
      </c>
      <c r="AW210" s="3">
        <v>322</v>
      </c>
      <c r="AX210" s="3" t="str">
        <f>IFERROR(MID(VLOOKUP($B210,Seqs!$A:$B,2,0),AY210,1),"")</f>
        <v>T</v>
      </c>
      <c r="AY210" s="3">
        <v>335</v>
      </c>
      <c r="AZ210" s="77" t="str">
        <f>VLOOKUP(B210,Classification!A:D,2,0)</f>
        <v>A</v>
      </c>
      <c r="BA210" s="94" t="str">
        <f>VLOOKUP(B210,Classification!A:D,4,0)</f>
        <v>Opioid</v>
      </c>
      <c r="BB210" s="27" t="b">
        <f t="shared" si="894"/>
        <v>1</v>
      </c>
      <c r="BC210" s="23">
        <f t="shared" si="867"/>
        <v>269</v>
      </c>
      <c r="BD210" s="56" t="s">
        <v>23</v>
      </c>
      <c r="BE210" s="3" t="s">
        <v>23</v>
      </c>
      <c r="BF210" s="119" t="s">
        <v>23</v>
      </c>
      <c r="BG210" s="49" t="s">
        <v>1378</v>
      </c>
      <c r="BH210" s="49" t="s">
        <v>1383</v>
      </c>
      <c r="BI210" s="1"/>
      <c r="BJ210" s="70" t="s">
        <v>1293</v>
      </c>
      <c r="BK210" s="57" t="s">
        <v>1293</v>
      </c>
      <c r="BL210" s="57" t="s">
        <v>1293</v>
      </c>
      <c r="BM210" s="57" t="s">
        <v>1293</v>
      </c>
      <c r="BN210" s="57" t="s">
        <v>1293</v>
      </c>
      <c r="BO210" s="57" t="s">
        <v>1293</v>
      </c>
      <c r="BP210" s="57" t="s">
        <v>1293</v>
      </c>
      <c r="BQ210" s="57" t="s">
        <v>1293</v>
      </c>
      <c r="BR210" s="57" t="s">
        <v>1293</v>
      </c>
      <c r="BS210" s="57" t="s">
        <v>1293</v>
      </c>
      <c r="BT210" s="57" t="s">
        <v>1293</v>
      </c>
      <c r="BU210" s="57" t="s">
        <v>1293</v>
      </c>
      <c r="BV210" s="70">
        <f t="shared" si="868"/>
        <v>41</v>
      </c>
      <c r="BW210" s="71">
        <f t="shared" si="869"/>
        <v>78</v>
      </c>
      <c r="BX210" s="72">
        <f t="shared" si="870"/>
        <v>82</v>
      </c>
      <c r="BY210" s="71">
        <f t="shared" si="871"/>
        <v>113</v>
      </c>
      <c r="BZ210" s="72">
        <f t="shared" si="872"/>
        <v>117</v>
      </c>
      <c r="CA210" s="71">
        <f t="shared" si="873"/>
        <v>153</v>
      </c>
      <c r="CB210" s="72">
        <f t="shared" si="874"/>
        <v>161</v>
      </c>
      <c r="CC210" s="71">
        <f t="shared" si="875"/>
        <v>198</v>
      </c>
      <c r="CD210" s="72">
        <f t="shared" si="876"/>
        <v>206</v>
      </c>
      <c r="CE210" s="71">
        <f t="shared" si="877"/>
        <v>249</v>
      </c>
      <c r="CF210" s="72">
        <f t="shared" si="878"/>
        <v>293</v>
      </c>
      <c r="CG210" s="71">
        <f t="shared" si="879"/>
        <v>322</v>
      </c>
      <c r="CH210" s="70">
        <f t="shared" si="880"/>
        <v>77</v>
      </c>
      <c r="CI210" s="71">
        <f t="shared" si="881"/>
        <v>81</v>
      </c>
      <c r="CJ210" s="72">
        <f t="shared" si="882"/>
        <v>111</v>
      </c>
      <c r="CK210" s="72">
        <f t="shared" si="883"/>
        <v>116</v>
      </c>
      <c r="CL210" s="72">
        <f t="shared" si="884"/>
        <v>152</v>
      </c>
      <c r="CM210" s="72">
        <f t="shared" si="885"/>
        <v>160</v>
      </c>
      <c r="CN210" s="72">
        <f t="shared" si="886"/>
        <v>187</v>
      </c>
      <c r="CO210" s="72">
        <f t="shared" si="887"/>
        <v>200</v>
      </c>
      <c r="CP210" s="72">
        <f t="shared" si="888"/>
        <v>243</v>
      </c>
      <c r="CQ210" s="72">
        <f t="shared" si="889"/>
        <v>287</v>
      </c>
      <c r="CR210" s="72">
        <f t="shared" si="890"/>
        <v>321</v>
      </c>
      <c r="CS210" s="72">
        <f t="shared" si="891"/>
        <v>335</v>
      </c>
      <c r="CT210" s="23">
        <f t="shared" si="892"/>
        <v>1</v>
      </c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  <c r="ADW210" s="1"/>
      <c r="ADX210" s="1"/>
      <c r="ADY210" s="1"/>
      <c r="ADZ210" s="1"/>
      <c r="AEA210" s="1"/>
      <c r="AEB210" s="1"/>
      <c r="AEC210" s="1"/>
      <c r="AED210" s="1"/>
      <c r="AEE210" s="1"/>
      <c r="AEF210" s="1"/>
      <c r="AEG210" s="1"/>
      <c r="AEH210" s="1"/>
      <c r="AEI210" s="1"/>
      <c r="AEJ210" s="1"/>
      <c r="AEK210" s="1"/>
      <c r="AEL210" s="1"/>
      <c r="AEM210" s="1"/>
      <c r="AEN210" s="1"/>
      <c r="AEO210" s="1"/>
      <c r="AEP210" s="1"/>
      <c r="AEQ210" s="1"/>
      <c r="AER210" s="1"/>
      <c r="AES210" s="1"/>
      <c r="AET210" s="1"/>
      <c r="AEU210" s="1"/>
      <c r="AEV210" s="1"/>
      <c r="AEW210" s="1"/>
      <c r="AEX210" s="1"/>
      <c r="AEY210" s="1"/>
      <c r="AEZ210" s="1"/>
      <c r="AFA210" s="1"/>
      <c r="AFB210" s="1"/>
      <c r="AFC210" s="1"/>
      <c r="AFD210" s="1"/>
      <c r="AFE210" s="1"/>
      <c r="AFF210" s="1"/>
      <c r="AFG210" s="1"/>
      <c r="AFH210" s="1"/>
      <c r="AFI210" s="1"/>
      <c r="AFJ210" s="1"/>
      <c r="AFK210" s="1"/>
      <c r="AFL210" s="1"/>
      <c r="AFM210" s="1"/>
      <c r="AFN210" s="1"/>
      <c r="AFO210" s="1"/>
      <c r="AFP210" s="1"/>
      <c r="AFQ210" s="1"/>
      <c r="AFR210" s="1"/>
      <c r="AFS210" s="1"/>
      <c r="AFT210" s="1"/>
      <c r="AFU210" s="1"/>
      <c r="AFV210" s="1"/>
      <c r="AFW210" s="1"/>
      <c r="AFX210" s="1"/>
      <c r="AFY210" s="1"/>
      <c r="AFZ210" s="1"/>
      <c r="AGA210" s="1"/>
      <c r="AGB210" s="1"/>
      <c r="AGC210" s="1"/>
      <c r="AGD210" s="1"/>
      <c r="AGE210" s="1"/>
      <c r="AGF210" s="1"/>
      <c r="AGG210" s="1"/>
      <c r="AGH210" s="1"/>
      <c r="AGI210" s="1"/>
      <c r="AGJ210" s="1"/>
      <c r="AGK210" s="1"/>
      <c r="AGL210" s="1"/>
      <c r="AGM210" s="1"/>
      <c r="AGN210" s="1"/>
      <c r="AGO210" s="1"/>
      <c r="AGP210" s="1"/>
      <c r="AGQ210" s="1"/>
      <c r="AGR210" s="1"/>
      <c r="AGS210" s="1"/>
      <c r="AGT210" s="1"/>
      <c r="AGU210" s="1"/>
      <c r="AGV210" s="1"/>
      <c r="AGW210" s="1"/>
      <c r="AGX210" s="1"/>
      <c r="AGY210" s="1"/>
      <c r="AGZ210" s="1"/>
      <c r="AHA210" s="1"/>
      <c r="AHB210" s="1"/>
      <c r="AHC210" s="1"/>
      <c r="AHD210" s="1"/>
      <c r="AHE210" s="1"/>
      <c r="AHF210" s="1"/>
      <c r="AHG210" s="1"/>
      <c r="AHH210" s="1"/>
      <c r="AHI210" s="1"/>
      <c r="AHJ210" s="1"/>
      <c r="AHK210" s="1"/>
      <c r="AHL210" s="1"/>
      <c r="AHM210" s="1"/>
      <c r="AHN210" s="1"/>
      <c r="AHO210" s="1"/>
      <c r="AHP210" s="1"/>
      <c r="AHQ210" s="1"/>
      <c r="AHR210" s="1"/>
      <c r="AHS210" s="1"/>
      <c r="AHT210" s="1"/>
      <c r="AHU210" s="1"/>
      <c r="AHV210" s="1"/>
      <c r="AHW210" s="1"/>
      <c r="AHX210" s="1"/>
      <c r="AHY210" s="1"/>
      <c r="AHZ210" s="1"/>
      <c r="AIA210" s="1"/>
      <c r="AIB210" s="1"/>
      <c r="AIC210" s="1"/>
      <c r="AID210" s="1"/>
      <c r="AIE210" s="1"/>
      <c r="AIF210" s="1"/>
      <c r="AIG210" s="1"/>
      <c r="AIH210" s="1"/>
      <c r="AII210" s="1"/>
      <c r="AIJ210" s="1"/>
      <c r="AIK210" s="1"/>
      <c r="AIL210" s="1"/>
      <c r="AIM210" s="1"/>
      <c r="AIN210" s="1"/>
      <c r="AIO210" s="1"/>
      <c r="AIP210" s="1"/>
      <c r="AIQ210" s="1"/>
      <c r="AIR210" s="1"/>
      <c r="AIS210" s="1"/>
      <c r="AIT210" s="1"/>
      <c r="AIU210" s="1"/>
      <c r="AIV210" s="1"/>
      <c r="AIW210" s="1"/>
      <c r="AIX210" s="1"/>
      <c r="AIY210" s="1"/>
      <c r="AIZ210" s="1"/>
      <c r="AJA210" s="1"/>
      <c r="AJB210" s="1"/>
      <c r="AJC210" s="1"/>
      <c r="AJD210" s="1"/>
      <c r="AJE210" s="1"/>
      <c r="AJF210" s="1"/>
      <c r="AJG210" s="1"/>
      <c r="AJH210" s="1"/>
      <c r="AJI210" s="1"/>
      <c r="AJJ210" s="1"/>
      <c r="AJK210" s="1"/>
      <c r="AJL210" s="1"/>
      <c r="AJM210" s="1"/>
      <c r="AJN210" s="1"/>
      <c r="AJO210" s="1"/>
      <c r="AJP210" s="1"/>
      <c r="AJQ210" s="1"/>
      <c r="AJR210" s="1"/>
      <c r="AJS210" s="1"/>
      <c r="AJT210" s="1"/>
      <c r="AJU210" s="1"/>
      <c r="AJV210" s="1"/>
      <c r="AJW210" s="1"/>
      <c r="AJX210" s="1"/>
      <c r="AJY210" s="1"/>
      <c r="AJZ210" s="1"/>
      <c r="AKA210" s="1"/>
      <c r="AKB210" s="1"/>
      <c r="AKC210" s="1"/>
      <c r="AKD210" s="1"/>
      <c r="AKE210" s="1"/>
      <c r="AKF210" s="1"/>
      <c r="AKG210" s="1"/>
      <c r="AKH210" s="1"/>
      <c r="AKI210" s="1"/>
      <c r="AKJ210" s="1"/>
      <c r="AKK210" s="1"/>
      <c r="AKL210" s="1"/>
      <c r="AKM210" s="1"/>
      <c r="AKN210" s="1"/>
      <c r="AKO210" s="1"/>
      <c r="AKP210" s="1"/>
      <c r="AKQ210" s="1"/>
      <c r="AKR210" s="1"/>
      <c r="AKS210" s="1"/>
      <c r="AKT210" s="1"/>
      <c r="AKU210" s="1"/>
      <c r="AKV210" s="1"/>
      <c r="AKW210" s="1"/>
      <c r="AKX210" s="1"/>
      <c r="AKY210" s="1"/>
      <c r="AKZ210" s="1"/>
      <c r="ALA210" s="1"/>
      <c r="ALB210" s="1"/>
      <c r="ALC210" s="1"/>
      <c r="ALD210" s="1"/>
      <c r="ALE210" s="1"/>
      <c r="ALF210" s="1"/>
      <c r="ALG210" s="1"/>
      <c r="ALH210" s="1"/>
      <c r="ALI210" s="1"/>
      <c r="ALJ210" s="1"/>
      <c r="ALK210" s="1"/>
      <c r="ALL210" s="1"/>
      <c r="ALM210" s="1"/>
      <c r="ALN210" s="1"/>
      <c r="ALO210" s="1"/>
      <c r="ALP210" s="1"/>
      <c r="ALQ210" s="1"/>
      <c r="ALR210" s="1"/>
      <c r="ALS210" s="1"/>
      <c r="ALT210" s="1"/>
      <c r="ALU210" s="1"/>
      <c r="ALV210" s="1"/>
      <c r="ALW210" s="1"/>
      <c r="ALX210" s="1"/>
      <c r="ALY210" s="1"/>
      <c r="ALZ210" s="1"/>
      <c r="AMA210" s="1"/>
      <c r="AMB210" s="1"/>
      <c r="AMC210" s="1"/>
      <c r="AMD210" s="1"/>
      <c r="AME210" s="1"/>
      <c r="AMF210" s="1"/>
      <c r="AMG210" s="1"/>
      <c r="AMH210" s="1"/>
      <c r="AMI210" s="1"/>
      <c r="AMJ210" s="1"/>
      <c r="AMK210" s="1"/>
      <c r="AML210" s="1"/>
      <c r="AMM210" s="1"/>
      <c r="AMN210" s="1"/>
      <c r="AMO210" s="1"/>
      <c r="AMP210" s="1"/>
    </row>
    <row r="211" spans="1:1030" s="2" customFormat="1" x14ac:dyDescent="0.2">
      <c r="A211" s="3" t="str">
        <f t="shared" si="893"/>
        <v>oprd_mouse_4EJ4</v>
      </c>
      <c r="B211" s="3" t="s">
        <v>916</v>
      </c>
      <c r="C211" s="3" t="s">
        <v>64</v>
      </c>
      <c r="D211" s="3" t="str">
        <f>IFERROR(MID(VLOOKUP($B211,Seqs!$A:$B,2,0),E211,1),"")</f>
        <v>R</v>
      </c>
      <c r="E211" s="3">
        <v>41</v>
      </c>
      <c r="F211" s="3" t="str">
        <f>IFERROR(MID(VLOOKUP($B211,Seqs!$A:$B,2,0),G211,1),"")</f>
        <v>Y</v>
      </c>
      <c r="G211" s="3">
        <v>77</v>
      </c>
      <c r="H211" s="3" t="str">
        <f>IFERROR(MID(VLOOKUP($B211,Seqs!$A:$B,2,0),I211,1),"")</f>
        <v>T</v>
      </c>
      <c r="I211" s="23">
        <v>78</v>
      </c>
      <c r="J211" s="3" t="str">
        <f>IFERROR(MID(VLOOKUP($B211,Seqs!$A:$B,2,0),K211,1),"")</f>
        <v>K</v>
      </c>
      <c r="K211" s="23">
        <v>81</v>
      </c>
      <c r="L211" s="3" t="str">
        <f>IFERROR(MID(VLOOKUP($B211,Seqs!$A:$B,2,0),M211,1),"")</f>
        <v>T</v>
      </c>
      <c r="M211" s="3">
        <v>82</v>
      </c>
      <c r="N211" s="3" t="str">
        <f>IFERROR(MID(VLOOKUP($B211,Seqs!$A:$B,2,0),O211,1),"")</f>
        <v>M</v>
      </c>
      <c r="O211" s="3">
        <v>111</v>
      </c>
      <c r="P211" s="3" t="str">
        <f>IFERROR(MID(VLOOKUP($B211,Seqs!$A:$B,2,0),Q211,1),"")</f>
        <v>T</v>
      </c>
      <c r="Q211" s="3">
        <v>113</v>
      </c>
      <c r="R211" s="3" t="str">
        <f>IFERROR(MID(VLOOKUP($B211,Seqs!$A:$B,2,0),S211,1),"")</f>
        <v>F</v>
      </c>
      <c r="S211" s="3">
        <v>116</v>
      </c>
      <c r="T211" s="3" t="str">
        <f>IFERROR(MID(VLOOKUP($B211,Seqs!$A:$B,2,0),U211,1),"")</f>
        <v>G</v>
      </c>
      <c r="U211" s="3">
        <v>117</v>
      </c>
      <c r="V211" s="3" t="str">
        <f>IFERROR(MID(VLOOKUP($B211,Seqs!$A:$B,2,0),W211,1),"")</f>
        <v>H</v>
      </c>
      <c r="W211" s="3">
        <v>152</v>
      </c>
      <c r="X211" s="3" t="str">
        <f>IFERROR(MID(VLOOKUP($B211,Seqs!$A:$B,2,0),Y211,1),"")</f>
        <v>P</v>
      </c>
      <c r="Y211" s="3">
        <v>153</v>
      </c>
      <c r="Z211" s="3" t="str">
        <f>IFERROR(MID(VLOOKUP($B211,Seqs!$A:$B,2,0),AA211,1),"")</f>
        <v>R</v>
      </c>
      <c r="AA211" s="3">
        <v>160</v>
      </c>
      <c r="AB211" s="3" t="str">
        <f>IFERROR(MID(VLOOKUP($B211,Seqs!$A:$B,2,0),AC211,1),"")</f>
        <v>T</v>
      </c>
      <c r="AC211" s="9">
        <v>161</v>
      </c>
      <c r="AD211" s="3" t="str">
        <f>IFERROR(MID(VLOOKUP($B211,Seqs!$A:$B,2,0),AE211,1),"")</f>
        <v>A</v>
      </c>
      <c r="AE211" s="3">
        <v>187</v>
      </c>
      <c r="AF211" s="3" t="str">
        <f>IFERROR(MID(VLOOKUP($B211,Seqs!$A:$B,2,0),AG211,1),"")</f>
        <v>C</v>
      </c>
      <c r="AG211" s="3">
        <v>198</v>
      </c>
      <c r="AH211" s="3" t="str">
        <f>IFERROR(MID(VLOOKUP($B211,Seqs!$A:$B,2,0),AI211,1),"")</f>
        <v>L</v>
      </c>
      <c r="AI211" s="3">
        <v>200</v>
      </c>
      <c r="AJ211" s="3" t="str">
        <f>IFERROR(MID(VLOOKUP($B211,Seqs!$A:$B,2,0),AK211,1),"")</f>
        <v>S</v>
      </c>
      <c r="AK211" s="3">
        <v>206</v>
      </c>
      <c r="AL211" s="3" t="str">
        <f>IFERROR(MID(VLOOKUP($B211,Seqs!$A:$B,2,0),AM211,1),"")</f>
        <v>L</v>
      </c>
      <c r="AM211" s="3">
        <v>238</v>
      </c>
      <c r="AN211" s="3" t="str">
        <f>IFERROR(MID(VLOOKUP($B211,Seqs!$A:$B,2,0),AO211,1),"")</f>
        <v>R</v>
      </c>
      <c r="AO211" s="3">
        <v>258</v>
      </c>
      <c r="AP211" s="3" t="str">
        <f>IFERROR(MID(VLOOKUP($B211,Seqs!$A:$B,2,0),AQ211,1),"")</f>
        <v>V</v>
      </c>
      <c r="AQ211" s="3">
        <v>287</v>
      </c>
      <c r="AR211" s="3" t="str">
        <f>IFERROR(MID(VLOOKUP($B211,Seqs!$A:$B,2,0),AS211,1),"")</f>
        <v>D</v>
      </c>
      <c r="AS211" s="3">
        <v>293</v>
      </c>
      <c r="AT211" s="3" t="str">
        <f>IFERROR(MID(VLOOKUP($B211,Seqs!$A:$B,2,0),AU211,1),"")</f>
        <v>L</v>
      </c>
      <c r="AU211" s="3">
        <v>321</v>
      </c>
      <c r="AV211" s="3" t="str">
        <f>IFERROR(MID(VLOOKUP($B211,Seqs!$A:$B,2,0),AW211,1),"")</f>
        <v>D</v>
      </c>
      <c r="AW211" s="3">
        <v>322</v>
      </c>
      <c r="AX211" s="3" t="str">
        <f>IFERROR(MID(VLOOKUP($B211,Seqs!$A:$B,2,0),AY211,1),"")</f>
        <v>C</v>
      </c>
      <c r="AY211" s="3">
        <v>328</v>
      </c>
      <c r="AZ211" s="77" t="str">
        <f>VLOOKUP(B211,Classification!A:D,2,0)</f>
        <v>A</v>
      </c>
      <c r="BA211" s="94" t="str">
        <f>VLOOKUP(B211,Classification!A:D,4,0)</f>
        <v>Opioid</v>
      </c>
      <c r="BB211" s="27" t="b">
        <f t="shared" si="894"/>
        <v>1</v>
      </c>
      <c r="BC211" s="23">
        <f t="shared" si="867"/>
        <v>248</v>
      </c>
      <c r="BD211" s="2" t="s">
        <v>1382</v>
      </c>
      <c r="BE211" s="3" t="s">
        <v>1380</v>
      </c>
      <c r="BF211" s="119">
        <v>3.4</v>
      </c>
      <c r="BG211" s="49" t="s">
        <v>1383</v>
      </c>
      <c r="BH211" s="49" t="s">
        <v>1383</v>
      </c>
      <c r="BI211" s="1"/>
      <c r="BJ211" s="70" t="s">
        <v>1293</v>
      </c>
      <c r="BK211" s="57" t="s">
        <v>1293</v>
      </c>
      <c r="BL211" s="57" t="s">
        <v>1293</v>
      </c>
      <c r="BM211" s="57" t="s">
        <v>1293</v>
      </c>
      <c r="BN211" s="57" t="s">
        <v>1293</v>
      </c>
      <c r="BO211" s="57" t="s">
        <v>1293</v>
      </c>
      <c r="BP211" s="57" t="s">
        <v>1293</v>
      </c>
      <c r="BQ211" s="57" t="s">
        <v>1293</v>
      </c>
      <c r="BR211" s="57" t="s">
        <v>1293</v>
      </c>
      <c r="BS211" s="57" t="s">
        <v>1293</v>
      </c>
      <c r="BT211" s="57" t="s">
        <v>1293</v>
      </c>
      <c r="BU211" s="57" t="s">
        <v>1293</v>
      </c>
      <c r="BV211" s="70">
        <f t="shared" si="868"/>
        <v>41</v>
      </c>
      <c r="BW211" s="71">
        <f t="shared" si="869"/>
        <v>78</v>
      </c>
      <c r="BX211" s="72">
        <f t="shared" si="870"/>
        <v>82</v>
      </c>
      <c r="BY211" s="71">
        <f t="shared" si="871"/>
        <v>113</v>
      </c>
      <c r="BZ211" s="72">
        <f t="shared" si="872"/>
        <v>117</v>
      </c>
      <c r="CA211" s="71">
        <f t="shared" si="873"/>
        <v>153</v>
      </c>
      <c r="CB211" s="72">
        <f t="shared" si="874"/>
        <v>161</v>
      </c>
      <c r="CC211" s="71">
        <f t="shared" si="875"/>
        <v>198</v>
      </c>
      <c r="CD211" s="72">
        <f t="shared" si="876"/>
        <v>206</v>
      </c>
      <c r="CE211" s="71">
        <f t="shared" si="877"/>
        <v>258</v>
      </c>
      <c r="CF211" s="72">
        <f t="shared" si="878"/>
        <v>293</v>
      </c>
      <c r="CG211" s="71">
        <f t="shared" si="879"/>
        <v>322</v>
      </c>
      <c r="CH211" s="70">
        <f t="shared" si="880"/>
        <v>77</v>
      </c>
      <c r="CI211" s="71">
        <f t="shared" si="881"/>
        <v>81</v>
      </c>
      <c r="CJ211" s="72">
        <f t="shared" si="882"/>
        <v>111</v>
      </c>
      <c r="CK211" s="72">
        <f t="shared" si="883"/>
        <v>116</v>
      </c>
      <c r="CL211" s="72">
        <f t="shared" si="884"/>
        <v>152</v>
      </c>
      <c r="CM211" s="72">
        <f t="shared" si="885"/>
        <v>160</v>
      </c>
      <c r="CN211" s="72">
        <f t="shared" si="886"/>
        <v>187</v>
      </c>
      <c r="CO211" s="72">
        <f t="shared" si="887"/>
        <v>200</v>
      </c>
      <c r="CP211" s="72">
        <f t="shared" si="888"/>
        <v>238</v>
      </c>
      <c r="CQ211" s="72">
        <f t="shared" si="889"/>
        <v>287</v>
      </c>
      <c r="CR211" s="72">
        <f t="shared" si="890"/>
        <v>321</v>
      </c>
      <c r="CS211" s="72">
        <f t="shared" si="891"/>
        <v>328</v>
      </c>
      <c r="CT211" s="23">
        <f t="shared" si="892"/>
        <v>1</v>
      </c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  <c r="ADW211" s="1"/>
      <c r="ADX211" s="1"/>
      <c r="ADY211" s="1"/>
      <c r="ADZ211" s="1"/>
      <c r="AEA211" s="1"/>
      <c r="AEB211" s="1"/>
      <c r="AEC211" s="1"/>
      <c r="AED211" s="1"/>
      <c r="AEE211" s="1"/>
      <c r="AEF211" s="1"/>
      <c r="AEG211" s="1"/>
      <c r="AEH211" s="1"/>
      <c r="AEI211" s="1"/>
      <c r="AEJ211" s="1"/>
      <c r="AEK211" s="1"/>
      <c r="AEL211" s="1"/>
      <c r="AEM211" s="1"/>
      <c r="AEN211" s="1"/>
      <c r="AEO211" s="1"/>
      <c r="AEP211" s="1"/>
      <c r="AEQ211" s="1"/>
      <c r="AER211" s="1"/>
      <c r="AES211" s="1"/>
      <c r="AET211" s="1"/>
      <c r="AEU211" s="1"/>
      <c r="AEV211" s="1"/>
      <c r="AEW211" s="1"/>
      <c r="AEX211" s="1"/>
      <c r="AEY211" s="1"/>
      <c r="AEZ211" s="1"/>
      <c r="AFA211" s="1"/>
      <c r="AFB211" s="1"/>
      <c r="AFC211" s="1"/>
      <c r="AFD211" s="1"/>
      <c r="AFE211" s="1"/>
      <c r="AFF211" s="1"/>
      <c r="AFG211" s="1"/>
      <c r="AFH211" s="1"/>
      <c r="AFI211" s="1"/>
      <c r="AFJ211" s="1"/>
      <c r="AFK211" s="1"/>
      <c r="AFL211" s="1"/>
      <c r="AFM211" s="1"/>
      <c r="AFN211" s="1"/>
      <c r="AFO211" s="1"/>
      <c r="AFP211" s="1"/>
      <c r="AFQ211" s="1"/>
      <c r="AFR211" s="1"/>
      <c r="AFS211" s="1"/>
      <c r="AFT211" s="1"/>
      <c r="AFU211" s="1"/>
      <c r="AFV211" s="1"/>
      <c r="AFW211" s="1"/>
      <c r="AFX211" s="1"/>
      <c r="AFY211" s="1"/>
      <c r="AFZ211" s="1"/>
      <c r="AGA211" s="1"/>
      <c r="AGB211" s="1"/>
      <c r="AGC211" s="1"/>
      <c r="AGD211" s="1"/>
      <c r="AGE211" s="1"/>
      <c r="AGF211" s="1"/>
      <c r="AGG211" s="1"/>
      <c r="AGH211" s="1"/>
      <c r="AGI211" s="1"/>
      <c r="AGJ211" s="1"/>
      <c r="AGK211" s="1"/>
      <c r="AGL211" s="1"/>
      <c r="AGM211" s="1"/>
      <c r="AGN211" s="1"/>
      <c r="AGO211" s="1"/>
      <c r="AGP211" s="1"/>
      <c r="AGQ211" s="1"/>
      <c r="AGR211" s="1"/>
      <c r="AGS211" s="1"/>
      <c r="AGT211" s="1"/>
      <c r="AGU211" s="1"/>
      <c r="AGV211" s="1"/>
      <c r="AGW211" s="1"/>
      <c r="AGX211" s="1"/>
      <c r="AGY211" s="1"/>
      <c r="AGZ211" s="1"/>
      <c r="AHA211" s="1"/>
      <c r="AHB211" s="1"/>
      <c r="AHC211" s="1"/>
      <c r="AHD211" s="1"/>
      <c r="AHE211" s="1"/>
      <c r="AHF211" s="1"/>
      <c r="AHG211" s="1"/>
      <c r="AHH211" s="1"/>
      <c r="AHI211" s="1"/>
      <c r="AHJ211" s="1"/>
      <c r="AHK211" s="1"/>
      <c r="AHL211" s="1"/>
      <c r="AHM211" s="1"/>
      <c r="AHN211" s="1"/>
      <c r="AHO211" s="1"/>
      <c r="AHP211" s="1"/>
      <c r="AHQ211" s="1"/>
      <c r="AHR211" s="1"/>
      <c r="AHS211" s="1"/>
      <c r="AHT211" s="1"/>
      <c r="AHU211" s="1"/>
      <c r="AHV211" s="1"/>
      <c r="AHW211" s="1"/>
      <c r="AHX211" s="1"/>
      <c r="AHY211" s="1"/>
      <c r="AHZ211" s="1"/>
      <c r="AIA211" s="1"/>
      <c r="AIB211" s="1"/>
      <c r="AIC211" s="1"/>
      <c r="AID211" s="1"/>
      <c r="AIE211" s="1"/>
      <c r="AIF211" s="1"/>
      <c r="AIG211" s="1"/>
      <c r="AIH211" s="1"/>
      <c r="AII211" s="1"/>
      <c r="AIJ211" s="1"/>
      <c r="AIK211" s="1"/>
      <c r="AIL211" s="1"/>
      <c r="AIM211" s="1"/>
      <c r="AIN211" s="1"/>
      <c r="AIO211" s="1"/>
      <c r="AIP211" s="1"/>
      <c r="AIQ211" s="1"/>
      <c r="AIR211" s="1"/>
      <c r="AIS211" s="1"/>
      <c r="AIT211" s="1"/>
      <c r="AIU211" s="1"/>
      <c r="AIV211" s="1"/>
      <c r="AIW211" s="1"/>
      <c r="AIX211" s="1"/>
      <c r="AIY211" s="1"/>
      <c r="AIZ211" s="1"/>
      <c r="AJA211" s="1"/>
      <c r="AJB211" s="1"/>
      <c r="AJC211" s="1"/>
      <c r="AJD211" s="1"/>
      <c r="AJE211" s="1"/>
      <c r="AJF211" s="1"/>
      <c r="AJG211" s="1"/>
      <c r="AJH211" s="1"/>
      <c r="AJI211" s="1"/>
      <c r="AJJ211" s="1"/>
      <c r="AJK211" s="1"/>
      <c r="AJL211" s="1"/>
      <c r="AJM211" s="1"/>
      <c r="AJN211" s="1"/>
      <c r="AJO211" s="1"/>
      <c r="AJP211" s="1"/>
      <c r="AJQ211" s="1"/>
      <c r="AJR211" s="1"/>
      <c r="AJS211" s="1"/>
      <c r="AJT211" s="1"/>
      <c r="AJU211" s="1"/>
      <c r="AJV211" s="1"/>
      <c r="AJW211" s="1"/>
      <c r="AJX211" s="1"/>
      <c r="AJY211" s="1"/>
      <c r="AJZ211" s="1"/>
      <c r="AKA211" s="1"/>
      <c r="AKB211" s="1"/>
      <c r="AKC211" s="1"/>
      <c r="AKD211" s="1"/>
      <c r="AKE211" s="1"/>
      <c r="AKF211" s="1"/>
      <c r="AKG211" s="1"/>
      <c r="AKH211" s="1"/>
      <c r="AKI211" s="1"/>
      <c r="AKJ211" s="1"/>
      <c r="AKK211" s="1"/>
      <c r="AKL211" s="1"/>
      <c r="AKM211" s="1"/>
      <c r="AKN211" s="1"/>
      <c r="AKO211" s="1"/>
      <c r="AKP211" s="1"/>
      <c r="AKQ211" s="1"/>
      <c r="AKR211" s="1"/>
      <c r="AKS211" s="1"/>
      <c r="AKT211" s="1"/>
      <c r="AKU211" s="1"/>
      <c r="AKV211" s="1"/>
      <c r="AKW211" s="1"/>
      <c r="AKX211" s="1"/>
      <c r="AKY211" s="1"/>
      <c r="AKZ211" s="1"/>
      <c r="ALA211" s="1"/>
      <c r="ALB211" s="1"/>
      <c r="ALC211" s="1"/>
      <c r="ALD211" s="1"/>
      <c r="ALE211" s="1"/>
      <c r="ALF211" s="1"/>
      <c r="ALG211" s="1"/>
      <c r="ALH211" s="1"/>
      <c r="ALI211" s="1"/>
      <c r="ALJ211" s="1"/>
      <c r="ALK211" s="1"/>
      <c r="ALL211" s="1"/>
      <c r="ALM211" s="1"/>
      <c r="ALN211" s="1"/>
      <c r="ALO211" s="1"/>
      <c r="ALP211" s="1"/>
      <c r="ALQ211" s="1"/>
      <c r="ALR211" s="1"/>
      <c r="ALS211" s="1"/>
      <c r="ALT211" s="1"/>
      <c r="ALU211" s="1"/>
      <c r="ALV211" s="1"/>
      <c r="ALW211" s="1"/>
      <c r="ALX211" s="1"/>
      <c r="ALY211" s="1"/>
      <c r="ALZ211" s="1"/>
      <c r="AMA211" s="1"/>
      <c r="AMB211" s="1"/>
      <c r="AMC211" s="1"/>
      <c r="AMD211" s="1"/>
      <c r="AME211" s="1"/>
      <c r="AMF211" s="1"/>
      <c r="AMG211" s="1"/>
      <c r="AMH211" s="1"/>
      <c r="AMI211" s="1"/>
      <c r="AMJ211" s="1"/>
      <c r="AMK211" s="1"/>
      <c r="AML211" s="1"/>
      <c r="AMM211" s="1"/>
      <c r="AMN211" s="1"/>
      <c r="AMO211" s="1"/>
      <c r="AMP211" s="1"/>
    </row>
    <row r="212" spans="1:1030" x14ac:dyDescent="0.2">
      <c r="A212" s="3" t="str">
        <f t="shared" si="893"/>
        <v>oprk_human__wt</v>
      </c>
      <c r="B212" s="3" t="s">
        <v>336</v>
      </c>
      <c r="C212" s="3" t="s">
        <v>100</v>
      </c>
      <c r="D212" s="3" t="str">
        <f>IFERROR(MID(VLOOKUP($B212,Seqs!$A:$B,2,0),E212,1),"")</f>
        <v>A</v>
      </c>
      <c r="E212" s="3">
        <v>57</v>
      </c>
      <c r="F212" s="3" t="str">
        <f>IFERROR(MID(VLOOKUP($B212,Seqs!$A:$B,2,0),G212,1),"")</f>
        <v>Y</v>
      </c>
      <c r="G212" s="3">
        <v>87</v>
      </c>
      <c r="H212" s="3" t="str">
        <f>IFERROR(MID(VLOOKUP($B212,Seqs!$A:$B,2,0),I212,1),"")</f>
        <v>T</v>
      </c>
      <c r="I212" s="23">
        <v>88</v>
      </c>
      <c r="J212" s="3" t="str">
        <f>IFERROR(MID(VLOOKUP($B212,Seqs!$A:$B,2,0),K212,1),"")</f>
        <v>K</v>
      </c>
      <c r="K212" s="23">
        <v>91</v>
      </c>
      <c r="L212" s="3" t="str">
        <f>IFERROR(MID(VLOOKUP($B212,Seqs!$A:$B,2,0),M212,1),"")</f>
        <v>T</v>
      </c>
      <c r="M212" s="3">
        <v>92</v>
      </c>
      <c r="N212" s="3" t="str">
        <f>IFERROR(MID(VLOOKUP($B212,Seqs!$A:$B,2,0),O212,1),"")</f>
        <v>N</v>
      </c>
      <c r="O212" s="105">
        <v>122</v>
      </c>
      <c r="P212" s="3" t="str">
        <f>IFERROR(MID(VLOOKUP($B212,Seqs!$A:$B,2,0),Q212,1),"")</f>
        <v>S</v>
      </c>
      <c r="Q212" s="3">
        <v>123</v>
      </c>
      <c r="R212" s="3" t="str">
        <f>IFERROR(MID(VLOOKUP($B212,Seqs!$A:$B,2,0),S212,1),"")</f>
        <v>F</v>
      </c>
      <c r="S212" s="3">
        <v>126</v>
      </c>
      <c r="T212" s="3" t="str">
        <f>IFERROR(MID(VLOOKUP($B212,Seqs!$A:$B,2,0),U212,1),"")</f>
        <v>G</v>
      </c>
      <c r="U212" s="3">
        <v>127</v>
      </c>
      <c r="V212" s="3" t="str">
        <f>IFERROR(MID(VLOOKUP($B212,Seqs!$A:$B,2,0),W212,1),"")</f>
        <v>H</v>
      </c>
      <c r="W212" s="3">
        <v>162</v>
      </c>
      <c r="X212" s="3" t="str">
        <f>IFERROR(MID(VLOOKUP($B212,Seqs!$A:$B,2,0),Y212,1),"")</f>
        <v>P</v>
      </c>
      <c r="Y212" s="3">
        <v>163</v>
      </c>
      <c r="Z212" s="3" t="str">
        <f>IFERROR(MID(VLOOKUP($B212,Seqs!$A:$B,2,0),AA212,1),"")</f>
        <v>R</v>
      </c>
      <c r="AA212" s="3">
        <v>170</v>
      </c>
      <c r="AB212" s="3" t="str">
        <f>IFERROR(MID(VLOOKUP($B212,Seqs!$A:$B,2,0),AC212,1),"")</f>
        <v>T</v>
      </c>
      <c r="AC212" s="9">
        <v>171</v>
      </c>
      <c r="AD212" s="3" t="str">
        <f>IFERROR(MID(VLOOKUP($B212,Seqs!$A:$B,2,0),AE212,1),"")</f>
        <v>G</v>
      </c>
      <c r="AE212" s="3">
        <v>197</v>
      </c>
      <c r="AF212" s="3" t="str">
        <f>IFERROR(MID(VLOOKUP($B212,Seqs!$A:$B,2,0),AG212,1),"")</f>
        <v>C</v>
      </c>
      <c r="AG212" s="3">
        <v>210</v>
      </c>
      <c r="AH212" s="3" t="str">
        <f>IFERROR(MID(VLOOKUP($B212,Seqs!$A:$B,2,0),AI212,1),"")</f>
        <v>L</v>
      </c>
      <c r="AI212" s="3">
        <v>212</v>
      </c>
      <c r="AJ212" s="3" t="str">
        <f>IFERROR(MID(VLOOKUP($B212,Seqs!$A:$B,2,0),AK212,1),"")</f>
        <v>D</v>
      </c>
      <c r="AK212" s="105">
        <v>218</v>
      </c>
      <c r="AL212" s="3" t="str">
        <f>IFERROR(MID(VLOOKUP($B212,Seqs!$A:$B,2,0),AM212,1),"")</f>
        <v>V</v>
      </c>
      <c r="AM212" s="3">
        <v>256</v>
      </c>
      <c r="AN212" s="3" t="str">
        <f>IFERROR(MID(VLOOKUP($B212,Seqs!$A:$B,2,0),AO212,1),"")</f>
        <v>S</v>
      </c>
      <c r="AO212" s="3">
        <v>262</v>
      </c>
      <c r="AP212" s="3" t="str">
        <f>IFERROR(MID(VLOOKUP($B212,Seqs!$A:$B,2,0),AQ212,1),"")</f>
        <v>G</v>
      </c>
      <c r="AQ212" s="3">
        <v>300</v>
      </c>
      <c r="AR212" s="3" t="str">
        <f>IFERROR(MID(VLOOKUP($B212,Seqs!$A:$B,2,0),AS212,1),"")</f>
        <v>S</v>
      </c>
      <c r="AS212" s="3">
        <v>305</v>
      </c>
      <c r="AT212" s="3" t="str">
        <f>IFERROR(MID(VLOOKUP($B212,Seqs!$A:$B,2,0),AU212,1),"")</f>
        <v>L</v>
      </c>
      <c r="AU212" s="3">
        <v>333</v>
      </c>
      <c r="AV212" s="3" t="str">
        <f>IFERROR(MID(VLOOKUP($B212,Seqs!$A:$B,2,0),AW212,1),"")</f>
        <v>D</v>
      </c>
      <c r="AW212" s="3">
        <v>334</v>
      </c>
      <c r="AX212" s="3" t="str">
        <f>IFERROR(MID(VLOOKUP($B212,Seqs!$A:$B,2,0),AY212,1),"")</f>
        <v>F</v>
      </c>
      <c r="AY212" s="3">
        <v>346</v>
      </c>
      <c r="AZ212" s="77" t="str">
        <f>VLOOKUP(B212,Classification!A:D,2,0)</f>
        <v>A</v>
      </c>
      <c r="BA212" s="94" t="str">
        <f>VLOOKUP(B212,Classification!A:D,4,0)</f>
        <v>Opioid</v>
      </c>
      <c r="BB212" s="27" t="b">
        <f t="shared" si="894"/>
        <v>1</v>
      </c>
      <c r="BC212" s="23">
        <f t="shared" si="867"/>
        <v>264</v>
      </c>
      <c r="BD212" s="56" t="s">
        <v>23</v>
      </c>
      <c r="BE212" s="3" t="s">
        <v>23</v>
      </c>
      <c r="BF212" s="119" t="s">
        <v>23</v>
      </c>
      <c r="BG212" s="49" t="s">
        <v>1378</v>
      </c>
      <c r="BH212" s="49" t="s">
        <v>1383</v>
      </c>
      <c r="BI212" s="1"/>
      <c r="BJ212" s="70" t="s">
        <v>1293</v>
      </c>
      <c r="BK212" s="57" t="s">
        <v>1293</v>
      </c>
      <c r="BL212" s="57" t="s">
        <v>1293</v>
      </c>
      <c r="BM212" s="57" t="s">
        <v>1293</v>
      </c>
      <c r="BN212" s="57" t="s">
        <v>1293</v>
      </c>
      <c r="BO212" s="57" t="s">
        <v>1293</v>
      </c>
      <c r="BP212" s="57" t="s">
        <v>1293</v>
      </c>
      <c r="BQ212" s="57" t="s">
        <v>1293</v>
      </c>
      <c r="BR212" s="57" t="s">
        <v>1293</v>
      </c>
      <c r="BS212" s="57" t="s">
        <v>1293</v>
      </c>
      <c r="BT212" s="57" t="s">
        <v>1293</v>
      </c>
      <c r="BU212" s="57" t="s">
        <v>1293</v>
      </c>
      <c r="BV212" s="70">
        <f t="shared" si="868"/>
        <v>57</v>
      </c>
      <c r="BW212" s="71">
        <f t="shared" si="869"/>
        <v>88</v>
      </c>
      <c r="BX212" s="72">
        <f t="shared" si="870"/>
        <v>92</v>
      </c>
      <c r="BY212" s="71">
        <f t="shared" si="871"/>
        <v>123</v>
      </c>
      <c r="BZ212" s="72">
        <f t="shared" si="872"/>
        <v>127</v>
      </c>
      <c r="CA212" s="71">
        <f t="shared" si="873"/>
        <v>163</v>
      </c>
      <c r="CB212" s="72">
        <f t="shared" si="874"/>
        <v>171</v>
      </c>
      <c r="CC212" s="71">
        <f t="shared" si="875"/>
        <v>210</v>
      </c>
      <c r="CD212" s="72">
        <f t="shared" si="876"/>
        <v>218</v>
      </c>
      <c r="CE212" s="71">
        <f t="shared" si="877"/>
        <v>262</v>
      </c>
      <c r="CF212" s="72">
        <f t="shared" si="878"/>
        <v>305</v>
      </c>
      <c r="CG212" s="71">
        <f t="shared" si="879"/>
        <v>334</v>
      </c>
      <c r="CH212" s="70">
        <f t="shared" si="880"/>
        <v>87</v>
      </c>
      <c r="CI212" s="71">
        <f t="shared" si="881"/>
        <v>91</v>
      </c>
      <c r="CJ212" s="72">
        <f t="shared" si="882"/>
        <v>122</v>
      </c>
      <c r="CK212" s="72">
        <f t="shared" si="883"/>
        <v>126</v>
      </c>
      <c r="CL212" s="72">
        <f t="shared" si="884"/>
        <v>162</v>
      </c>
      <c r="CM212" s="72">
        <f t="shared" si="885"/>
        <v>170</v>
      </c>
      <c r="CN212" s="72">
        <f t="shared" si="886"/>
        <v>197</v>
      </c>
      <c r="CO212" s="72">
        <f t="shared" si="887"/>
        <v>212</v>
      </c>
      <c r="CP212" s="72">
        <f t="shared" si="888"/>
        <v>256</v>
      </c>
      <c r="CQ212" s="72">
        <f t="shared" si="889"/>
        <v>300</v>
      </c>
      <c r="CR212" s="72">
        <f t="shared" si="890"/>
        <v>333</v>
      </c>
      <c r="CS212" s="72">
        <f t="shared" si="891"/>
        <v>346</v>
      </c>
      <c r="CT212" s="23">
        <f t="shared" si="892"/>
        <v>1</v>
      </c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  <c r="ADW212" s="1"/>
      <c r="ADX212" s="1"/>
      <c r="ADY212" s="1"/>
      <c r="ADZ212" s="1"/>
      <c r="AEA212" s="1"/>
      <c r="AEB212" s="1"/>
      <c r="AEC212" s="1"/>
      <c r="AED212" s="1"/>
      <c r="AEE212" s="1"/>
      <c r="AEF212" s="1"/>
      <c r="AEG212" s="1"/>
      <c r="AEH212" s="1"/>
      <c r="AEI212" s="1"/>
      <c r="AEJ212" s="1"/>
      <c r="AEK212" s="1"/>
      <c r="AEL212" s="1"/>
      <c r="AEM212" s="1"/>
      <c r="AEN212" s="1"/>
      <c r="AEO212" s="1"/>
      <c r="AEP212" s="1"/>
      <c r="AEQ212" s="1"/>
      <c r="AER212" s="1"/>
      <c r="AES212" s="1"/>
      <c r="AET212" s="1"/>
      <c r="AEU212" s="1"/>
      <c r="AEV212" s="1"/>
      <c r="AEW212" s="1"/>
      <c r="AEX212" s="1"/>
      <c r="AEY212" s="1"/>
      <c r="AEZ212" s="1"/>
      <c r="AFA212" s="1"/>
      <c r="AFB212" s="1"/>
      <c r="AFC212" s="1"/>
      <c r="AFD212" s="1"/>
      <c r="AFE212" s="1"/>
      <c r="AFF212" s="1"/>
      <c r="AFG212" s="1"/>
      <c r="AFH212" s="1"/>
      <c r="AFI212" s="1"/>
      <c r="AFJ212" s="1"/>
      <c r="AFK212" s="1"/>
      <c r="AFL212" s="1"/>
      <c r="AFM212" s="1"/>
      <c r="AFN212" s="1"/>
      <c r="AFO212" s="1"/>
      <c r="AFP212" s="1"/>
      <c r="AFQ212" s="1"/>
      <c r="AFR212" s="1"/>
      <c r="AFS212" s="1"/>
      <c r="AFT212" s="1"/>
      <c r="AFU212" s="1"/>
      <c r="AFV212" s="1"/>
      <c r="AFW212" s="1"/>
      <c r="AFX212" s="1"/>
      <c r="AFY212" s="1"/>
      <c r="AFZ212" s="1"/>
      <c r="AGA212" s="1"/>
      <c r="AGB212" s="1"/>
      <c r="AGC212" s="1"/>
      <c r="AGD212" s="1"/>
      <c r="AGE212" s="1"/>
      <c r="AGF212" s="1"/>
      <c r="AGG212" s="1"/>
      <c r="AGH212" s="1"/>
      <c r="AGI212" s="1"/>
      <c r="AGJ212" s="1"/>
      <c r="AGK212" s="1"/>
      <c r="AGL212" s="1"/>
      <c r="AGM212" s="1"/>
      <c r="AGN212" s="1"/>
      <c r="AGO212" s="1"/>
      <c r="AGP212" s="1"/>
      <c r="AGQ212" s="1"/>
      <c r="AGR212" s="1"/>
      <c r="AGS212" s="1"/>
      <c r="AGT212" s="1"/>
      <c r="AGU212" s="1"/>
      <c r="AGV212" s="1"/>
      <c r="AGW212" s="1"/>
      <c r="AGX212" s="1"/>
      <c r="AGY212" s="1"/>
      <c r="AGZ212" s="1"/>
      <c r="AHA212" s="1"/>
      <c r="AHB212" s="1"/>
      <c r="AHC212" s="1"/>
      <c r="AHD212" s="1"/>
      <c r="AHE212" s="1"/>
      <c r="AHF212" s="1"/>
      <c r="AHG212" s="1"/>
      <c r="AHH212" s="1"/>
      <c r="AHI212" s="1"/>
      <c r="AHJ212" s="1"/>
      <c r="AHK212" s="1"/>
      <c r="AHL212" s="1"/>
      <c r="AHM212" s="1"/>
      <c r="AHN212" s="1"/>
      <c r="AHO212" s="1"/>
      <c r="AHP212" s="1"/>
      <c r="AHQ212" s="1"/>
      <c r="AHR212" s="1"/>
      <c r="AHS212" s="1"/>
      <c r="AHT212" s="1"/>
      <c r="AHU212" s="1"/>
      <c r="AHV212" s="1"/>
      <c r="AHW212" s="1"/>
      <c r="AHX212" s="1"/>
      <c r="AHY212" s="1"/>
      <c r="AHZ212" s="1"/>
      <c r="AIA212" s="1"/>
      <c r="AIB212" s="1"/>
      <c r="AIC212" s="1"/>
      <c r="AID212" s="1"/>
      <c r="AIE212" s="1"/>
      <c r="AIF212" s="1"/>
      <c r="AIG212" s="1"/>
      <c r="AIH212" s="1"/>
      <c r="AII212" s="1"/>
      <c r="AIJ212" s="1"/>
      <c r="AIK212" s="1"/>
      <c r="AIL212" s="1"/>
      <c r="AIM212" s="1"/>
      <c r="AIN212" s="1"/>
      <c r="AIO212" s="1"/>
      <c r="AIP212" s="1"/>
      <c r="AIQ212" s="1"/>
      <c r="AIR212" s="1"/>
      <c r="AIS212" s="1"/>
      <c r="AIT212" s="1"/>
      <c r="AIU212" s="1"/>
      <c r="AIV212" s="1"/>
      <c r="AIW212" s="1"/>
      <c r="AIX212" s="1"/>
      <c r="AIY212" s="1"/>
      <c r="AIZ212" s="1"/>
      <c r="AJA212" s="1"/>
      <c r="AJB212" s="1"/>
      <c r="AJC212" s="1"/>
      <c r="AJD212" s="1"/>
      <c r="AJE212" s="1"/>
      <c r="AJF212" s="1"/>
      <c r="AJG212" s="1"/>
      <c r="AJH212" s="1"/>
      <c r="AJI212" s="1"/>
      <c r="AJJ212" s="1"/>
      <c r="AJK212" s="1"/>
      <c r="AJL212" s="1"/>
      <c r="AJM212" s="1"/>
      <c r="AJN212" s="1"/>
      <c r="AJO212" s="1"/>
      <c r="AJP212" s="1"/>
      <c r="AJQ212" s="1"/>
      <c r="AJR212" s="1"/>
      <c r="AJS212" s="1"/>
      <c r="AJT212" s="1"/>
      <c r="AJU212" s="1"/>
      <c r="AJV212" s="1"/>
      <c r="AJW212" s="1"/>
      <c r="AJX212" s="1"/>
      <c r="AJY212" s="1"/>
      <c r="AJZ212" s="1"/>
      <c r="AKA212" s="1"/>
      <c r="AKB212" s="1"/>
      <c r="AKC212" s="1"/>
      <c r="AKD212" s="1"/>
      <c r="AKE212" s="1"/>
      <c r="AKF212" s="1"/>
      <c r="AKG212" s="1"/>
      <c r="AKH212" s="1"/>
      <c r="AKI212" s="1"/>
      <c r="AKJ212" s="1"/>
      <c r="AKK212" s="1"/>
      <c r="AKL212" s="1"/>
      <c r="AKM212" s="1"/>
      <c r="AKN212" s="1"/>
      <c r="AKO212" s="1"/>
      <c r="AKP212" s="1"/>
      <c r="AKQ212" s="1"/>
      <c r="AKR212" s="1"/>
      <c r="AKS212" s="1"/>
      <c r="AKT212" s="1"/>
      <c r="AKU212" s="1"/>
      <c r="AKV212" s="1"/>
      <c r="AKW212" s="1"/>
      <c r="AKX212" s="1"/>
      <c r="AKY212" s="1"/>
      <c r="AKZ212" s="1"/>
      <c r="ALA212" s="1"/>
      <c r="ALB212" s="1"/>
      <c r="ALC212" s="1"/>
      <c r="ALD212" s="1"/>
      <c r="ALE212" s="1"/>
      <c r="ALF212" s="1"/>
      <c r="ALG212" s="1"/>
      <c r="ALH212" s="1"/>
      <c r="ALI212" s="1"/>
      <c r="ALJ212" s="1"/>
      <c r="ALK212" s="1"/>
      <c r="ALL212" s="1"/>
      <c r="ALM212" s="1"/>
      <c r="ALN212" s="1"/>
      <c r="ALO212" s="1"/>
      <c r="ALP212" s="1"/>
      <c r="ALQ212" s="1"/>
      <c r="ALR212" s="1"/>
      <c r="ALS212" s="1"/>
      <c r="ALT212" s="1"/>
      <c r="ALU212" s="1"/>
      <c r="ALV212" s="1"/>
      <c r="ALW212" s="1"/>
      <c r="ALX212" s="1"/>
      <c r="ALY212" s="1"/>
      <c r="ALZ212" s="1"/>
      <c r="AMA212" s="1"/>
      <c r="AMB212" s="1"/>
      <c r="AMC212" s="1"/>
      <c r="AMD212" s="1"/>
      <c r="AME212" s="1"/>
      <c r="AMF212" s="1"/>
      <c r="AMG212" s="1"/>
      <c r="AMH212" s="1"/>
      <c r="AMI212" s="1"/>
      <c r="AMJ212" s="1"/>
      <c r="AMK212" s="1"/>
      <c r="AML212" s="1"/>
      <c r="AMM212" s="1"/>
      <c r="AMN212" s="1"/>
      <c r="AMO212" s="1"/>
    </row>
    <row r="213" spans="1:1030" x14ac:dyDescent="0.2">
      <c r="A213" s="3" t="str">
        <f t="shared" si="893"/>
        <v>oprk_human_4DJH</v>
      </c>
      <c r="B213" s="3" t="s">
        <v>336</v>
      </c>
      <c r="C213" s="3" t="s">
        <v>88</v>
      </c>
      <c r="D213" s="3" t="str">
        <f>IFERROR(MID(VLOOKUP($B213,Seqs!$A:$B,2,0),E213,1),"")</f>
        <v>A</v>
      </c>
      <c r="E213" s="3">
        <v>57</v>
      </c>
      <c r="F213" s="3" t="str">
        <f>IFERROR(MID(VLOOKUP($B213,Seqs!$A:$B,2,0),G213,1),"")</f>
        <v>Y</v>
      </c>
      <c r="G213" s="3">
        <v>87</v>
      </c>
      <c r="H213" s="3" t="str">
        <f>IFERROR(MID(VLOOKUP($B213,Seqs!$A:$B,2,0),I213,1),"")</f>
        <v>T</v>
      </c>
      <c r="I213" s="23">
        <v>88</v>
      </c>
      <c r="J213" s="3" t="str">
        <f>IFERROR(MID(VLOOKUP($B213,Seqs!$A:$B,2,0),K213,1),"")</f>
        <v>K</v>
      </c>
      <c r="K213" s="23">
        <v>91</v>
      </c>
      <c r="L213" s="3" t="str">
        <f>IFERROR(MID(VLOOKUP($B213,Seqs!$A:$B,2,0),M213,1),"")</f>
        <v>T</v>
      </c>
      <c r="M213" s="3">
        <v>92</v>
      </c>
      <c r="N213" s="3" t="str">
        <f>IFERROR(MID(VLOOKUP($B213,Seqs!$A:$B,2,0),O213,1),"")</f>
        <v>N</v>
      </c>
      <c r="O213" s="3">
        <v>122</v>
      </c>
      <c r="P213" s="3" t="str">
        <f>IFERROR(MID(VLOOKUP($B213,Seqs!$A:$B,2,0),Q213,1),"")</f>
        <v>S</v>
      </c>
      <c r="Q213" s="3">
        <v>123</v>
      </c>
      <c r="R213" s="3" t="str">
        <f>IFERROR(MID(VLOOKUP($B213,Seqs!$A:$B,2,0),S213,1),"")</f>
        <v>F</v>
      </c>
      <c r="S213" s="3">
        <v>126</v>
      </c>
      <c r="T213" s="3" t="str">
        <f>IFERROR(MID(VLOOKUP($B213,Seqs!$A:$B,2,0),U213,1),"")</f>
        <v>G</v>
      </c>
      <c r="U213" s="3">
        <v>127</v>
      </c>
      <c r="V213" s="3" t="str">
        <f>IFERROR(MID(VLOOKUP($B213,Seqs!$A:$B,2,0),W213,1),"")</f>
        <v>H</v>
      </c>
      <c r="W213" s="3">
        <v>162</v>
      </c>
      <c r="X213" s="3" t="str">
        <f>IFERROR(MID(VLOOKUP($B213,Seqs!$A:$B,2,0),Y213,1),"")</f>
        <v/>
      </c>
      <c r="Y213" s="3" t="s">
        <v>23</v>
      </c>
      <c r="Z213" s="3" t="str">
        <f>IFERROR(MID(VLOOKUP($B213,Seqs!$A:$B,2,0),AA213,1),"")</f>
        <v/>
      </c>
      <c r="AA213" s="3" t="s">
        <v>23</v>
      </c>
      <c r="AB213" s="3" t="str">
        <f>IFERROR(MID(VLOOKUP($B213,Seqs!$A:$B,2,0),AC213,1),"")</f>
        <v>R</v>
      </c>
      <c r="AC213" s="9">
        <v>170</v>
      </c>
      <c r="AD213" s="3" t="str">
        <f>IFERROR(MID(VLOOKUP($B213,Seqs!$A:$B,2,0),AE213,1),"")</f>
        <v>G</v>
      </c>
      <c r="AE213" s="3">
        <v>197</v>
      </c>
      <c r="AF213" s="3" t="str">
        <f>IFERROR(MID(VLOOKUP($B213,Seqs!$A:$B,2,0),AG213,1),"")</f>
        <v>C</v>
      </c>
      <c r="AG213" s="3">
        <v>210</v>
      </c>
      <c r="AH213" s="3" t="str">
        <f>IFERROR(MID(VLOOKUP($B213,Seqs!$A:$B,2,0),AI213,1),"")</f>
        <v>L</v>
      </c>
      <c r="AI213" s="3">
        <v>212</v>
      </c>
      <c r="AJ213" s="3" t="str">
        <f>IFERROR(MID(VLOOKUP($B213,Seqs!$A:$B,2,0),AK213,1),"")</f>
        <v>D</v>
      </c>
      <c r="AK213" s="3">
        <v>218</v>
      </c>
      <c r="AL213" s="3" t="str">
        <f>IFERROR(MID(VLOOKUP($B213,Seqs!$A:$B,2,0),AM213,1),"")</f>
        <v>V</v>
      </c>
      <c r="AM213" s="3">
        <v>256</v>
      </c>
      <c r="AN213" s="3" t="str">
        <f>IFERROR(MID(VLOOKUP($B213,Seqs!$A:$B,2,0),AO213,1),"")</f>
        <v>R</v>
      </c>
      <c r="AO213" s="3">
        <v>267</v>
      </c>
      <c r="AP213" s="3" t="str">
        <f>IFERROR(MID(VLOOKUP($B213,Seqs!$A:$B,2,0),AQ213,1),"")</f>
        <v>G</v>
      </c>
      <c r="AQ213" s="3">
        <v>300</v>
      </c>
      <c r="AR213" s="3" t="str">
        <f>IFERROR(MID(VLOOKUP($B213,Seqs!$A:$B,2,0),AS213,1),"")</f>
        <v>A</v>
      </c>
      <c r="AS213" s="3">
        <v>308</v>
      </c>
      <c r="AT213" s="3" t="str">
        <f>IFERROR(MID(VLOOKUP($B213,Seqs!$A:$B,2,0),AU213,1),"")</f>
        <v>L</v>
      </c>
      <c r="AU213" s="3">
        <v>333</v>
      </c>
      <c r="AV213" s="3" t="str">
        <f>IFERROR(MID(VLOOKUP($B213,Seqs!$A:$B,2,0),AW213,1),"")</f>
        <v>D</v>
      </c>
      <c r="AW213" s="3">
        <v>334</v>
      </c>
      <c r="AX213" s="3" t="str">
        <f>IFERROR(MID(VLOOKUP($B213,Seqs!$A:$B,2,0),AY213,1),"")</f>
        <v>F</v>
      </c>
      <c r="AY213" s="3">
        <v>346</v>
      </c>
      <c r="AZ213" s="77" t="str">
        <f>VLOOKUP(B213,Classification!A:D,2,0)</f>
        <v>A</v>
      </c>
      <c r="BA213" s="94" t="str">
        <f>VLOOKUP(B213,Classification!A:D,4,0)</f>
        <v>Opioid</v>
      </c>
      <c r="BB213" s="27" t="b">
        <f t="shared" si="894"/>
        <v>1</v>
      </c>
      <c r="BC213" s="23">
        <f t="shared" si="867"/>
        <v>250</v>
      </c>
      <c r="BD213" s="2" t="s">
        <v>1382</v>
      </c>
      <c r="BE213" s="3" t="s">
        <v>1380</v>
      </c>
      <c r="BF213" s="119">
        <v>2.9</v>
      </c>
      <c r="BG213" s="49" t="s">
        <v>1383</v>
      </c>
      <c r="BH213" s="49" t="s">
        <v>1383</v>
      </c>
      <c r="BI213" s="1"/>
      <c r="BJ213" s="70" t="s">
        <v>1293</v>
      </c>
      <c r="BK213" s="57" t="s">
        <v>1293</v>
      </c>
      <c r="BL213" s="57" t="s">
        <v>1293</v>
      </c>
      <c r="BM213" s="57" t="s">
        <v>1293</v>
      </c>
      <c r="BN213" s="57" t="s">
        <v>1293</v>
      </c>
      <c r="BO213" s="57" t="s">
        <v>1293</v>
      </c>
      <c r="BP213" s="57" t="s">
        <v>1293</v>
      </c>
      <c r="BQ213" s="57" t="s">
        <v>1293</v>
      </c>
      <c r="BR213" s="57" t="s">
        <v>1293</v>
      </c>
      <c r="BS213" s="57" t="s">
        <v>1293</v>
      </c>
      <c r="BT213" s="57" t="s">
        <v>1293</v>
      </c>
      <c r="BU213" s="57" t="s">
        <v>1293</v>
      </c>
      <c r="BV213" s="70">
        <f t="shared" si="868"/>
        <v>57</v>
      </c>
      <c r="BW213" s="71">
        <f t="shared" si="869"/>
        <v>88</v>
      </c>
      <c r="BX213" s="72">
        <f t="shared" si="870"/>
        <v>92</v>
      </c>
      <c r="BY213" s="71">
        <f t="shared" si="871"/>
        <v>123</v>
      </c>
      <c r="BZ213" s="72">
        <f t="shared" si="872"/>
        <v>127</v>
      </c>
      <c r="CA213" s="71" t="str">
        <f t="shared" si="873"/>
        <v>-</v>
      </c>
      <c r="CB213" s="72">
        <f t="shared" si="874"/>
        <v>170</v>
      </c>
      <c r="CC213" s="71">
        <f t="shared" si="875"/>
        <v>210</v>
      </c>
      <c r="CD213" s="72">
        <f t="shared" si="876"/>
        <v>218</v>
      </c>
      <c r="CE213" s="71">
        <f t="shared" si="877"/>
        <v>267</v>
      </c>
      <c r="CF213" s="72">
        <f t="shared" si="878"/>
        <v>308</v>
      </c>
      <c r="CG213" s="71">
        <f t="shared" si="879"/>
        <v>334</v>
      </c>
      <c r="CH213" s="70">
        <f t="shared" si="880"/>
        <v>87</v>
      </c>
      <c r="CI213" s="71">
        <f t="shared" si="881"/>
        <v>91</v>
      </c>
      <c r="CJ213" s="72">
        <f t="shared" si="882"/>
        <v>122</v>
      </c>
      <c r="CK213" s="72">
        <f t="shared" si="883"/>
        <v>126</v>
      </c>
      <c r="CL213" s="72">
        <f t="shared" si="884"/>
        <v>162</v>
      </c>
      <c r="CM213" s="72" t="str">
        <f t="shared" si="885"/>
        <v>-</v>
      </c>
      <c r="CN213" s="72">
        <f t="shared" si="886"/>
        <v>197</v>
      </c>
      <c r="CO213" s="72">
        <f t="shared" si="887"/>
        <v>212</v>
      </c>
      <c r="CP213" s="72">
        <f t="shared" si="888"/>
        <v>256</v>
      </c>
      <c r="CQ213" s="72">
        <f t="shared" si="889"/>
        <v>300</v>
      </c>
      <c r="CR213" s="72">
        <f t="shared" si="890"/>
        <v>333</v>
      </c>
      <c r="CS213" s="72">
        <f t="shared" si="891"/>
        <v>346</v>
      </c>
      <c r="CT213" s="23">
        <f t="shared" si="892"/>
        <v>1</v>
      </c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  <c r="ADW213" s="1"/>
      <c r="ADX213" s="1"/>
      <c r="ADY213" s="1"/>
      <c r="ADZ213" s="1"/>
      <c r="AEA213" s="1"/>
      <c r="AEB213" s="1"/>
      <c r="AEC213" s="1"/>
      <c r="AED213" s="1"/>
      <c r="AEE213" s="1"/>
      <c r="AEF213" s="1"/>
      <c r="AEG213" s="1"/>
      <c r="AEH213" s="1"/>
      <c r="AEI213" s="1"/>
      <c r="AEJ213" s="1"/>
      <c r="AEK213" s="1"/>
      <c r="AEL213" s="1"/>
      <c r="AEM213" s="1"/>
      <c r="AEN213" s="1"/>
      <c r="AEO213" s="1"/>
      <c r="AEP213" s="1"/>
      <c r="AEQ213" s="1"/>
      <c r="AER213" s="1"/>
      <c r="AES213" s="1"/>
      <c r="AET213" s="1"/>
      <c r="AEU213" s="1"/>
      <c r="AEV213" s="1"/>
      <c r="AEW213" s="1"/>
      <c r="AEX213" s="1"/>
      <c r="AEY213" s="1"/>
      <c r="AEZ213" s="1"/>
      <c r="AFA213" s="1"/>
      <c r="AFB213" s="1"/>
      <c r="AFC213" s="1"/>
      <c r="AFD213" s="1"/>
      <c r="AFE213" s="1"/>
      <c r="AFF213" s="1"/>
      <c r="AFG213" s="1"/>
      <c r="AFH213" s="1"/>
      <c r="AFI213" s="1"/>
      <c r="AFJ213" s="1"/>
      <c r="AFK213" s="1"/>
      <c r="AFL213" s="1"/>
      <c r="AFM213" s="1"/>
      <c r="AFN213" s="1"/>
      <c r="AFO213" s="1"/>
      <c r="AFP213" s="1"/>
      <c r="AFQ213" s="1"/>
      <c r="AFR213" s="1"/>
      <c r="AFS213" s="1"/>
      <c r="AFT213" s="1"/>
      <c r="AFU213" s="1"/>
      <c r="AFV213" s="1"/>
      <c r="AFW213" s="1"/>
      <c r="AFX213" s="1"/>
      <c r="AFY213" s="1"/>
      <c r="AFZ213" s="1"/>
      <c r="AGA213" s="1"/>
      <c r="AGB213" s="1"/>
      <c r="AGC213" s="1"/>
      <c r="AGD213" s="1"/>
      <c r="AGE213" s="1"/>
      <c r="AGF213" s="1"/>
      <c r="AGG213" s="1"/>
      <c r="AGH213" s="1"/>
      <c r="AGI213" s="1"/>
      <c r="AGJ213" s="1"/>
      <c r="AGK213" s="1"/>
      <c r="AGL213" s="1"/>
      <c r="AGM213" s="1"/>
      <c r="AGN213" s="1"/>
      <c r="AGO213" s="1"/>
      <c r="AGP213" s="1"/>
      <c r="AGQ213" s="1"/>
      <c r="AGR213" s="1"/>
      <c r="AGS213" s="1"/>
      <c r="AGT213" s="1"/>
      <c r="AGU213" s="1"/>
      <c r="AGV213" s="1"/>
      <c r="AGW213" s="1"/>
      <c r="AGX213" s="1"/>
      <c r="AGY213" s="1"/>
      <c r="AGZ213" s="1"/>
      <c r="AHA213" s="1"/>
      <c r="AHB213" s="1"/>
      <c r="AHC213" s="1"/>
      <c r="AHD213" s="1"/>
      <c r="AHE213" s="1"/>
      <c r="AHF213" s="1"/>
      <c r="AHG213" s="1"/>
      <c r="AHH213" s="1"/>
      <c r="AHI213" s="1"/>
      <c r="AHJ213" s="1"/>
      <c r="AHK213" s="1"/>
      <c r="AHL213" s="1"/>
      <c r="AHM213" s="1"/>
      <c r="AHN213" s="1"/>
      <c r="AHO213" s="1"/>
      <c r="AHP213" s="1"/>
      <c r="AHQ213" s="1"/>
      <c r="AHR213" s="1"/>
      <c r="AHS213" s="1"/>
      <c r="AHT213" s="1"/>
      <c r="AHU213" s="1"/>
      <c r="AHV213" s="1"/>
      <c r="AHW213" s="1"/>
      <c r="AHX213" s="1"/>
      <c r="AHY213" s="1"/>
      <c r="AHZ213" s="1"/>
      <c r="AIA213" s="1"/>
      <c r="AIB213" s="1"/>
      <c r="AIC213" s="1"/>
      <c r="AID213" s="1"/>
      <c r="AIE213" s="1"/>
      <c r="AIF213" s="1"/>
      <c r="AIG213" s="1"/>
      <c r="AIH213" s="1"/>
      <c r="AII213" s="1"/>
      <c r="AIJ213" s="1"/>
      <c r="AIK213" s="1"/>
      <c r="AIL213" s="1"/>
      <c r="AIM213" s="1"/>
      <c r="AIN213" s="1"/>
      <c r="AIO213" s="1"/>
      <c r="AIP213" s="1"/>
      <c r="AIQ213" s="1"/>
      <c r="AIR213" s="1"/>
      <c r="AIS213" s="1"/>
      <c r="AIT213" s="1"/>
      <c r="AIU213" s="1"/>
      <c r="AIV213" s="1"/>
      <c r="AIW213" s="1"/>
      <c r="AIX213" s="1"/>
      <c r="AIY213" s="1"/>
      <c r="AIZ213" s="1"/>
      <c r="AJA213" s="1"/>
      <c r="AJB213" s="1"/>
      <c r="AJC213" s="1"/>
      <c r="AJD213" s="1"/>
      <c r="AJE213" s="1"/>
      <c r="AJF213" s="1"/>
      <c r="AJG213" s="1"/>
      <c r="AJH213" s="1"/>
      <c r="AJI213" s="1"/>
      <c r="AJJ213" s="1"/>
      <c r="AJK213" s="1"/>
      <c r="AJL213" s="1"/>
      <c r="AJM213" s="1"/>
      <c r="AJN213" s="1"/>
      <c r="AJO213" s="1"/>
      <c r="AJP213" s="1"/>
      <c r="AJQ213" s="1"/>
      <c r="AJR213" s="1"/>
      <c r="AJS213" s="1"/>
      <c r="AJT213" s="1"/>
      <c r="AJU213" s="1"/>
      <c r="AJV213" s="1"/>
      <c r="AJW213" s="1"/>
      <c r="AJX213" s="1"/>
      <c r="AJY213" s="1"/>
      <c r="AJZ213" s="1"/>
      <c r="AKA213" s="1"/>
      <c r="AKB213" s="1"/>
      <c r="AKC213" s="1"/>
      <c r="AKD213" s="1"/>
      <c r="AKE213" s="1"/>
      <c r="AKF213" s="1"/>
      <c r="AKG213" s="1"/>
      <c r="AKH213" s="1"/>
      <c r="AKI213" s="1"/>
      <c r="AKJ213" s="1"/>
      <c r="AKK213" s="1"/>
      <c r="AKL213" s="1"/>
      <c r="AKM213" s="1"/>
      <c r="AKN213" s="1"/>
      <c r="AKO213" s="1"/>
      <c r="AKP213" s="1"/>
      <c r="AKQ213" s="1"/>
      <c r="AKR213" s="1"/>
      <c r="AKS213" s="1"/>
      <c r="AKT213" s="1"/>
      <c r="AKU213" s="1"/>
      <c r="AKV213" s="1"/>
      <c r="AKW213" s="1"/>
      <c r="AKX213" s="1"/>
      <c r="AKY213" s="1"/>
      <c r="AKZ213" s="1"/>
      <c r="ALA213" s="1"/>
      <c r="ALB213" s="1"/>
      <c r="ALC213" s="1"/>
      <c r="ALD213" s="1"/>
      <c r="ALE213" s="1"/>
      <c r="ALF213" s="1"/>
      <c r="ALG213" s="1"/>
      <c r="ALH213" s="1"/>
      <c r="ALI213" s="1"/>
      <c r="ALJ213" s="1"/>
      <c r="ALK213" s="1"/>
      <c r="ALL213" s="1"/>
      <c r="ALM213" s="1"/>
      <c r="ALN213" s="1"/>
      <c r="ALO213" s="1"/>
      <c r="ALP213" s="1"/>
      <c r="ALQ213" s="1"/>
      <c r="ALR213" s="1"/>
      <c r="ALS213" s="1"/>
      <c r="ALT213" s="1"/>
      <c r="ALU213" s="1"/>
      <c r="ALV213" s="1"/>
      <c r="ALW213" s="1"/>
      <c r="ALX213" s="1"/>
      <c r="ALY213" s="1"/>
      <c r="ALZ213" s="1"/>
      <c r="AMA213" s="1"/>
      <c r="AMB213" s="1"/>
      <c r="AMC213" s="1"/>
      <c r="AMD213" s="1"/>
      <c r="AME213" s="1"/>
      <c r="AMF213" s="1"/>
      <c r="AMG213" s="1"/>
      <c r="AMH213" s="1"/>
      <c r="AMI213" s="1"/>
      <c r="AMJ213" s="1"/>
      <c r="AMK213" s="1"/>
      <c r="AML213" s="1"/>
      <c r="AMM213" s="1"/>
      <c r="AMN213" s="1"/>
      <c r="AMO213" s="1"/>
    </row>
    <row r="214" spans="1:1030" x14ac:dyDescent="0.2">
      <c r="A214" s="3" t="str">
        <f>CONCATENATE(B214,"_",C214)</f>
        <v>oprk_human_6B73</v>
      </c>
      <c r="B214" s="3" t="s">
        <v>336</v>
      </c>
      <c r="C214" s="3" t="s">
        <v>1475</v>
      </c>
      <c r="D214" s="3" t="str">
        <f>IFERROR(MID(VLOOKUP($B214,Seqs!$A:$B,2,0),E214,1),"")</f>
        <v>A</v>
      </c>
      <c r="E214" s="3">
        <v>57</v>
      </c>
      <c r="F214" s="3" t="str">
        <f>IFERROR(MID(VLOOKUP($B214,Seqs!$A:$B,2,0),G214,1),"")</f>
        <v>Y</v>
      </c>
      <c r="G214" s="3">
        <v>87</v>
      </c>
      <c r="H214" s="3" t="str">
        <f>IFERROR(MID(VLOOKUP($B214,Seqs!$A:$B,2,0),I214,1),"")</f>
        <v/>
      </c>
      <c r="I214" s="23" t="s">
        <v>23</v>
      </c>
      <c r="J214" s="3" t="str">
        <f>IFERROR(MID(VLOOKUP($B214,Seqs!$A:$B,2,0),K214,1),"")</f>
        <v/>
      </c>
      <c r="K214" s="23" t="s">
        <v>23</v>
      </c>
      <c r="L214" s="3" t="str">
        <f>IFERROR(MID(VLOOKUP($B214,Seqs!$A:$B,2,0),M214,1),"")</f>
        <v>T</v>
      </c>
      <c r="M214" s="3">
        <v>92</v>
      </c>
      <c r="N214" s="3" t="str">
        <f>IFERROR(MID(VLOOKUP($B214,Seqs!$A:$B,2,0),O214,1),"")</f>
        <v>N</v>
      </c>
      <c r="O214" s="3">
        <v>122</v>
      </c>
      <c r="P214" s="3" t="str">
        <f>IFERROR(MID(VLOOKUP($B214,Seqs!$A:$B,2,0),Q214,1),"")</f>
        <v>S</v>
      </c>
      <c r="Q214" s="3">
        <v>123</v>
      </c>
      <c r="R214" s="3" t="str">
        <f>IFERROR(MID(VLOOKUP($B214,Seqs!$A:$B,2,0),S214,1),"")</f>
        <v>F</v>
      </c>
      <c r="S214" s="3">
        <v>126</v>
      </c>
      <c r="T214" s="3" t="str">
        <f>IFERROR(MID(VLOOKUP($B214,Seqs!$A:$B,2,0),U214,1),"")</f>
        <v>G</v>
      </c>
      <c r="U214" s="3">
        <v>127</v>
      </c>
      <c r="V214" s="3" t="str">
        <f>IFERROR(MID(VLOOKUP($B214,Seqs!$A:$B,2,0),W214,1),"")</f>
        <v>H</v>
      </c>
      <c r="W214" s="3">
        <v>162</v>
      </c>
      <c r="X214" s="3" t="str">
        <f>IFERROR(MID(VLOOKUP($B214,Seqs!$A:$B,2,0),Y214,1),"")</f>
        <v>P</v>
      </c>
      <c r="Y214" s="3">
        <v>163</v>
      </c>
      <c r="Z214" s="3" t="str">
        <f>IFERROR(MID(VLOOKUP($B214,Seqs!$A:$B,2,0),AA214,1),"")</f>
        <v>R</v>
      </c>
      <c r="AA214" s="3">
        <v>170</v>
      </c>
      <c r="AB214" s="3" t="str">
        <f>IFERROR(MID(VLOOKUP($B214,Seqs!$A:$B,2,0),AC214,1),"")</f>
        <v>T</v>
      </c>
      <c r="AC214" s="3">
        <v>171</v>
      </c>
      <c r="AD214" s="3" t="str">
        <f>IFERROR(MID(VLOOKUP($B214,Seqs!$A:$B,2,0),AE214,1),"")</f>
        <v>G</v>
      </c>
      <c r="AE214" s="3">
        <v>197</v>
      </c>
      <c r="AF214" s="3" t="str">
        <f>IFERROR(MID(VLOOKUP($B214,Seqs!$A:$B,2,0),AG214,1),"")</f>
        <v>C</v>
      </c>
      <c r="AG214" s="3">
        <v>210</v>
      </c>
      <c r="AH214" s="3" t="str">
        <f>IFERROR(MID(VLOOKUP($B214,Seqs!$A:$B,2,0),AI214,1),"")</f>
        <v>L</v>
      </c>
      <c r="AI214" s="3">
        <v>212</v>
      </c>
      <c r="AJ214" s="3" t="str">
        <f>IFERROR(MID(VLOOKUP($B214,Seqs!$A:$B,2,0),AK214,1),"")</f>
        <v>W</v>
      </c>
      <c r="AK214" s="3">
        <v>221</v>
      </c>
      <c r="AL214" s="3" t="str">
        <f>IFERROR(MID(VLOOKUP($B214,Seqs!$A:$B,2,0),AM214,1),"")</f>
        <v>S</v>
      </c>
      <c r="AM214" s="3">
        <v>255</v>
      </c>
      <c r="AN214" s="3" t="str">
        <f>IFERROR(MID(VLOOKUP($B214,Seqs!$A:$B,2,0),AO214,1),"")</f>
        <v>S</v>
      </c>
      <c r="AO214" s="3">
        <v>262</v>
      </c>
      <c r="AP214" s="3" t="str">
        <f>IFERROR(MID(VLOOKUP($B214,Seqs!$A:$B,2,0),AQ214,1),"")</f>
        <v>G</v>
      </c>
      <c r="AQ214" s="3">
        <v>300</v>
      </c>
      <c r="AR214" s="3" t="str">
        <f>IFERROR(MID(VLOOKUP($B214,Seqs!$A:$B,2,0),AS214,1),"")</f>
        <v>S</v>
      </c>
      <c r="AS214" s="3">
        <v>305</v>
      </c>
      <c r="AT214" s="3" t="str">
        <f>IFERROR(MID(VLOOKUP($B214,Seqs!$A:$B,2,0),AU214,1),"")</f>
        <v>I</v>
      </c>
      <c r="AU214" s="3">
        <v>328</v>
      </c>
      <c r="AV214" s="3" t="str">
        <f>IFERROR(MID(VLOOKUP($B214,Seqs!$A:$B,2,0),AW214,1),"")</f>
        <v/>
      </c>
      <c r="AW214" s="3" t="s">
        <v>23</v>
      </c>
      <c r="AX214" s="3" t="str">
        <f>IFERROR(MID(VLOOKUP($B214,Seqs!$A:$B,2,0),AY214,1),"")</f>
        <v/>
      </c>
      <c r="AY214" s="3" t="s">
        <v>23</v>
      </c>
      <c r="AZ214" s="77" t="str">
        <f>VLOOKUP(B214,Classification!A:D,2,0)</f>
        <v>A</v>
      </c>
      <c r="BA214" s="94" t="str">
        <f>VLOOKUP(B214,Classification!A:D,4,0)</f>
        <v>Opioid</v>
      </c>
      <c r="BB214" s="27" t="b">
        <f>AND(E214&lt;G214,OR(G214&lt;I214,I214="-"),OR(I214&lt;K214,I214="-"),OR(K214&lt;M214,K214="-"),M214&lt;O214,OR(O214&lt;Q214,Q214="-"),OR(Q214&lt;S214,Q214="-"),OR(S214&lt;U214,S214="-"),U214&lt;W214,OR(W214&lt;Y214,Y214="-"),OR(Y214&lt;AA214,Y214="-"),OR(AA214&lt;AC214,AA214="-"),AC214&lt;AE214,OR(AE214&lt;AG214,AG214="-"),OR(AG214&lt;AI214,AG214="-"),OR(AI214&lt;AK214,AI214="-"),AK214&lt;AM214,AM214&lt;AO214,AO214&lt;AQ214,AQ214&lt;AS214,AS214&lt;AU214,OR(AU214&lt;AW214,AW214="-"),OR(AW214&lt;AY214,AW214="-"))</f>
        <v>1</v>
      </c>
      <c r="BC214" s="23">
        <f>_xlfn.AGGREGATE(9,6,CH214:CS214)-_xlfn.AGGREGATE(9,6,BV214:CG214)+12</f>
        <v>240</v>
      </c>
      <c r="BD214" s="2" t="s">
        <v>1381</v>
      </c>
      <c r="BE214" s="3" t="s">
        <v>1297</v>
      </c>
      <c r="BF214" s="119">
        <v>3.1</v>
      </c>
      <c r="BG214" s="49" t="s">
        <v>1</v>
      </c>
      <c r="BH214" s="49" t="s">
        <v>1</v>
      </c>
      <c r="BI214" s="1"/>
      <c r="BJ214" s="70" t="s">
        <v>1293</v>
      </c>
      <c r="BK214" s="57" t="s">
        <v>1293</v>
      </c>
      <c r="BL214" s="57" t="s">
        <v>1293</v>
      </c>
      <c r="BM214" s="57" t="s">
        <v>1293</v>
      </c>
      <c r="BN214" s="57" t="s">
        <v>1293</v>
      </c>
      <c r="BO214" s="57" t="s">
        <v>1293</v>
      </c>
      <c r="BP214" s="57" t="s">
        <v>1293</v>
      </c>
      <c r="BQ214" s="57" t="s">
        <v>1293</v>
      </c>
      <c r="BR214" s="57" t="s">
        <v>1293</v>
      </c>
      <c r="BS214" s="57" t="s">
        <v>1293</v>
      </c>
      <c r="BT214" s="57" t="s">
        <v>1293</v>
      </c>
      <c r="BU214" s="57" t="s">
        <v>1293</v>
      </c>
      <c r="BV214" s="70">
        <f>E214</f>
        <v>57</v>
      </c>
      <c r="BW214" s="71" t="str">
        <f>I214</f>
        <v>-</v>
      </c>
      <c r="BX214" s="72">
        <f>M214</f>
        <v>92</v>
      </c>
      <c r="BY214" s="71">
        <f>Q214</f>
        <v>123</v>
      </c>
      <c r="BZ214" s="72">
        <f>U214</f>
        <v>127</v>
      </c>
      <c r="CA214" s="71">
        <f>Y214</f>
        <v>163</v>
      </c>
      <c r="CB214" s="72">
        <f>AC214</f>
        <v>171</v>
      </c>
      <c r="CC214" s="71">
        <f>AG214</f>
        <v>210</v>
      </c>
      <c r="CD214" s="72">
        <f>AK214</f>
        <v>221</v>
      </c>
      <c r="CE214" s="71">
        <f>AO214</f>
        <v>262</v>
      </c>
      <c r="CF214" s="72">
        <f>AS214</f>
        <v>305</v>
      </c>
      <c r="CG214" s="71" t="str">
        <f>AW214</f>
        <v>-</v>
      </c>
      <c r="CH214" s="70">
        <f>G214</f>
        <v>87</v>
      </c>
      <c r="CI214" s="71" t="str">
        <f>K214</f>
        <v>-</v>
      </c>
      <c r="CJ214" s="72">
        <f>O214</f>
        <v>122</v>
      </c>
      <c r="CK214" s="72">
        <f>S214</f>
        <v>126</v>
      </c>
      <c r="CL214" s="72">
        <f>W214</f>
        <v>162</v>
      </c>
      <c r="CM214" s="72">
        <f>AA214</f>
        <v>170</v>
      </c>
      <c r="CN214" s="72">
        <f>AE214</f>
        <v>197</v>
      </c>
      <c r="CO214" s="72">
        <f>AI214</f>
        <v>212</v>
      </c>
      <c r="CP214" s="72">
        <f>AM214</f>
        <v>255</v>
      </c>
      <c r="CQ214" s="72">
        <f>AQ214</f>
        <v>300</v>
      </c>
      <c r="CR214" s="72">
        <f>AU214</f>
        <v>328</v>
      </c>
      <c r="CS214" s="72" t="str">
        <f>AY214</f>
        <v>-</v>
      </c>
      <c r="CT214" s="23" t="e">
        <f>M214-K214</f>
        <v>#VALUE!</v>
      </c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  <c r="ADW214" s="1"/>
      <c r="ADX214" s="1"/>
      <c r="ADY214" s="1"/>
      <c r="ADZ214" s="1"/>
      <c r="AEA214" s="1"/>
      <c r="AEB214" s="1"/>
      <c r="AEC214" s="1"/>
      <c r="AED214" s="1"/>
      <c r="AEE214" s="1"/>
      <c r="AEF214" s="1"/>
      <c r="AEG214" s="1"/>
      <c r="AEH214" s="1"/>
      <c r="AEI214" s="1"/>
      <c r="AEJ214" s="1"/>
      <c r="AEK214" s="1"/>
      <c r="AEL214" s="1"/>
      <c r="AEM214" s="1"/>
      <c r="AEN214" s="1"/>
      <c r="AEO214" s="1"/>
      <c r="AEP214" s="1"/>
      <c r="AEQ214" s="1"/>
      <c r="AER214" s="1"/>
      <c r="AES214" s="1"/>
      <c r="AET214" s="1"/>
      <c r="AEU214" s="1"/>
      <c r="AEV214" s="1"/>
      <c r="AEW214" s="1"/>
      <c r="AEX214" s="1"/>
      <c r="AEY214" s="1"/>
      <c r="AEZ214" s="1"/>
      <c r="AFA214" s="1"/>
      <c r="AFB214" s="1"/>
      <c r="AFC214" s="1"/>
      <c r="AFD214" s="1"/>
      <c r="AFE214" s="1"/>
      <c r="AFF214" s="1"/>
      <c r="AFG214" s="1"/>
      <c r="AFH214" s="1"/>
      <c r="AFI214" s="1"/>
      <c r="AFJ214" s="1"/>
      <c r="AFK214" s="1"/>
      <c r="AFL214" s="1"/>
      <c r="AFM214" s="1"/>
      <c r="AFN214" s="1"/>
      <c r="AFO214" s="1"/>
      <c r="AFP214" s="1"/>
      <c r="AFQ214" s="1"/>
      <c r="AFR214" s="1"/>
      <c r="AFS214" s="1"/>
      <c r="AFT214" s="1"/>
      <c r="AFU214" s="1"/>
      <c r="AFV214" s="1"/>
      <c r="AFW214" s="1"/>
      <c r="AFX214" s="1"/>
      <c r="AFY214" s="1"/>
      <c r="AFZ214" s="1"/>
      <c r="AGA214" s="1"/>
      <c r="AGB214" s="1"/>
      <c r="AGC214" s="1"/>
      <c r="AGD214" s="1"/>
      <c r="AGE214" s="1"/>
      <c r="AGF214" s="1"/>
      <c r="AGG214" s="1"/>
      <c r="AGH214" s="1"/>
      <c r="AGI214" s="1"/>
      <c r="AGJ214" s="1"/>
      <c r="AGK214" s="1"/>
      <c r="AGL214" s="1"/>
      <c r="AGM214" s="1"/>
      <c r="AGN214" s="1"/>
      <c r="AGO214" s="1"/>
      <c r="AGP214" s="1"/>
      <c r="AGQ214" s="1"/>
      <c r="AGR214" s="1"/>
      <c r="AGS214" s="1"/>
      <c r="AGT214" s="1"/>
      <c r="AGU214" s="1"/>
      <c r="AGV214" s="1"/>
      <c r="AGW214" s="1"/>
      <c r="AGX214" s="1"/>
      <c r="AGY214" s="1"/>
      <c r="AGZ214" s="1"/>
      <c r="AHA214" s="1"/>
      <c r="AHB214" s="1"/>
      <c r="AHC214" s="1"/>
      <c r="AHD214" s="1"/>
      <c r="AHE214" s="1"/>
      <c r="AHF214" s="1"/>
      <c r="AHG214" s="1"/>
      <c r="AHH214" s="1"/>
      <c r="AHI214" s="1"/>
      <c r="AHJ214" s="1"/>
      <c r="AHK214" s="1"/>
      <c r="AHL214" s="1"/>
      <c r="AHM214" s="1"/>
      <c r="AHN214" s="1"/>
      <c r="AHO214" s="1"/>
      <c r="AHP214" s="1"/>
      <c r="AHQ214" s="1"/>
      <c r="AHR214" s="1"/>
      <c r="AHS214" s="1"/>
      <c r="AHT214" s="1"/>
      <c r="AHU214" s="1"/>
      <c r="AHV214" s="1"/>
      <c r="AHW214" s="1"/>
      <c r="AHX214" s="1"/>
      <c r="AHY214" s="1"/>
      <c r="AHZ214" s="1"/>
      <c r="AIA214" s="1"/>
      <c r="AIB214" s="1"/>
      <c r="AIC214" s="1"/>
      <c r="AID214" s="1"/>
      <c r="AIE214" s="1"/>
      <c r="AIF214" s="1"/>
      <c r="AIG214" s="1"/>
      <c r="AIH214" s="1"/>
      <c r="AII214" s="1"/>
      <c r="AIJ214" s="1"/>
      <c r="AIK214" s="1"/>
      <c r="AIL214" s="1"/>
      <c r="AIM214" s="1"/>
      <c r="AIN214" s="1"/>
      <c r="AIO214" s="1"/>
      <c r="AIP214" s="1"/>
      <c r="AIQ214" s="1"/>
      <c r="AIR214" s="1"/>
      <c r="AIS214" s="1"/>
      <c r="AIT214" s="1"/>
      <c r="AIU214" s="1"/>
      <c r="AIV214" s="1"/>
      <c r="AIW214" s="1"/>
      <c r="AIX214" s="1"/>
      <c r="AIY214" s="1"/>
      <c r="AIZ214" s="1"/>
      <c r="AJA214" s="1"/>
      <c r="AJB214" s="1"/>
      <c r="AJC214" s="1"/>
      <c r="AJD214" s="1"/>
      <c r="AJE214" s="1"/>
      <c r="AJF214" s="1"/>
      <c r="AJG214" s="1"/>
      <c r="AJH214" s="1"/>
      <c r="AJI214" s="1"/>
      <c r="AJJ214" s="1"/>
      <c r="AJK214" s="1"/>
      <c r="AJL214" s="1"/>
      <c r="AJM214" s="1"/>
      <c r="AJN214" s="1"/>
      <c r="AJO214" s="1"/>
      <c r="AJP214" s="1"/>
      <c r="AJQ214" s="1"/>
      <c r="AJR214" s="1"/>
      <c r="AJS214" s="1"/>
      <c r="AJT214" s="1"/>
      <c r="AJU214" s="1"/>
      <c r="AJV214" s="1"/>
      <c r="AJW214" s="1"/>
      <c r="AJX214" s="1"/>
      <c r="AJY214" s="1"/>
      <c r="AJZ214" s="1"/>
      <c r="AKA214" s="1"/>
      <c r="AKB214" s="1"/>
      <c r="AKC214" s="1"/>
      <c r="AKD214" s="1"/>
      <c r="AKE214" s="1"/>
      <c r="AKF214" s="1"/>
      <c r="AKG214" s="1"/>
      <c r="AKH214" s="1"/>
      <c r="AKI214" s="1"/>
      <c r="AKJ214" s="1"/>
      <c r="AKK214" s="1"/>
      <c r="AKL214" s="1"/>
      <c r="AKM214" s="1"/>
      <c r="AKN214" s="1"/>
      <c r="AKO214" s="1"/>
      <c r="AKP214" s="1"/>
      <c r="AKQ214" s="1"/>
      <c r="AKR214" s="1"/>
      <c r="AKS214" s="1"/>
      <c r="AKT214" s="1"/>
      <c r="AKU214" s="1"/>
      <c r="AKV214" s="1"/>
      <c r="AKW214" s="1"/>
      <c r="AKX214" s="1"/>
      <c r="AKY214" s="1"/>
      <c r="AKZ214" s="1"/>
      <c r="ALA214" s="1"/>
      <c r="ALB214" s="1"/>
      <c r="ALC214" s="1"/>
      <c r="ALD214" s="1"/>
      <c r="ALE214" s="1"/>
      <c r="ALF214" s="1"/>
      <c r="ALG214" s="1"/>
      <c r="ALH214" s="1"/>
      <c r="ALI214" s="1"/>
      <c r="ALJ214" s="1"/>
      <c r="ALK214" s="1"/>
      <c r="ALL214" s="1"/>
      <c r="ALM214" s="1"/>
      <c r="ALN214" s="1"/>
      <c r="ALO214" s="1"/>
      <c r="ALP214" s="1"/>
      <c r="ALQ214" s="1"/>
      <c r="ALR214" s="1"/>
      <c r="ALS214" s="1"/>
      <c r="ALT214" s="1"/>
      <c r="ALU214" s="1"/>
      <c r="ALV214" s="1"/>
      <c r="ALW214" s="1"/>
      <c r="ALX214" s="1"/>
      <c r="ALY214" s="1"/>
      <c r="ALZ214" s="1"/>
      <c r="AMA214" s="1"/>
      <c r="AMB214" s="1"/>
      <c r="AMC214" s="1"/>
      <c r="AMD214" s="1"/>
      <c r="AME214" s="1"/>
      <c r="AMF214" s="1"/>
      <c r="AMG214" s="1"/>
      <c r="AMH214" s="1"/>
      <c r="AMI214" s="1"/>
      <c r="AMJ214" s="1"/>
      <c r="AMK214" s="1"/>
      <c r="AML214" s="1"/>
      <c r="AMM214" s="1"/>
      <c r="AMN214" s="1"/>
      <c r="AMO214" s="1"/>
    </row>
    <row r="215" spans="1:1030" x14ac:dyDescent="0.2">
      <c r="A215" s="3" t="str">
        <f t="shared" si="893"/>
        <v>oprm_mouse__wt</v>
      </c>
      <c r="B215" s="3" t="s">
        <v>918</v>
      </c>
      <c r="C215" s="3" t="s">
        <v>100</v>
      </c>
      <c r="D215" s="3" t="str">
        <f>IFERROR(MID(VLOOKUP($B215,Seqs!$A:$B,2,0),E215,1),"")</f>
        <v>M</v>
      </c>
      <c r="E215" s="3">
        <v>65</v>
      </c>
      <c r="F215" s="3" t="str">
        <f>IFERROR(MID(VLOOKUP($B215,Seqs!$A:$B,2,0),G215,1),"")</f>
        <v>Y</v>
      </c>
      <c r="G215" s="3">
        <v>96</v>
      </c>
      <c r="H215" s="3" t="str">
        <f>IFERROR(MID(VLOOKUP($B215,Seqs!$A:$B,2,0),I215,1),"")</f>
        <v>T</v>
      </c>
      <c r="I215" s="23">
        <v>97</v>
      </c>
      <c r="J215" s="3" t="str">
        <f>IFERROR(MID(VLOOKUP($B215,Seqs!$A:$B,2,0),K215,1),"")</f>
        <v>K</v>
      </c>
      <c r="K215" s="23">
        <v>100</v>
      </c>
      <c r="L215" s="3" t="str">
        <f>IFERROR(MID(VLOOKUP($B215,Seqs!$A:$B,2,0),M215,1),"")</f>
        <v>T</v>
      </c>
      <c r="M215" s="3">
        <v>101</v>
      </c>
      <c r="N215" s="3" t="str">
        <f>IFERROR(MID(VLOOKUP($B215,Seqs!$A:$B,2,0),O215,1),"")</f>
        <v>M</v>
      </c>
      <c r="O215" s="3">
        <v>130</v>
      </c>
      <c r="P215" s="3" t="str">
        <f>IFERROR(MID(VLOOKUP($B215,Seqs!$A:$B,2,0),Q215,1),"")</f>
        <v>T</v>
      </c>
      <c r="Q215" s="3">
        <v>132</v>
      </c>
      <c r="R215" s="3" t="str">
        <f>IFERROR(MID(VLOOKUP($B215,Seqs!$A:$B,2,0),S215,1),"")</f>
        <v>F</v>
      </c>
      <c r="S215" s="3">
        <v>135</v>
      </c>
      <c r="T215" s="3" t="str">
        <f>IFERROR(MID(VLOOKUP($B215,Seqs!$A:$B,2,0),U215,1),"")</f>
        <v>G</v>
      </c>
      <c r="U215" s="3">
        <v>136</v>
      </c>
      <c r="V215" s="3" t="str">
        <f>IFERROR(MID(VLOOKUP($B215,Seqs!$A:$B,2,0),W215,1),"")</f>
        <v>H</v>
      </c>
      <c r="W215" s="3">
        <v>171</v>
      </c>
      <c r="X215" s="3" t="str">
        <f>IFERROR(MID(VLOOKUP($B215,Seqs!$A:$B,2,0),Y215,1),"")</f>
        <v>P</v>
      </c>
      <c r="Y215" s="3">
        <v>172</v>
      </c>
      <c r="Z215" s="3" t="str">
        <f>IFERROR(MID(VLOOKUP($B215,Seqs!$A:$B,2,0),AA215,1),"")</f>
        <v>R</v>
      </c>
      <c r="AA215" s="3">
        <v>179</v>
      </c>
      <c r="AB215" s="3" t="str">
        <f>IFERROR(MID(VLOOKUP($B215,Seqs!$A:$B,2,0),AC215,1),"")</f>
        <v>T</v>
      </c>
      <c r="AC215" s="3">
        <v>180</v>
      </c>
      <c r="AD215" s="3" t="str">
        <f>IFERROR(MID(VLOOKUP($B215,Seqs!$A:$B,2,0),AE215,1),"")</f>
        <v>A</v>
      </c>
      <c r="AE215" s="3">
        <v>206</v>
      </c>
      <c r="AF215" s="3" t="str">
        <f>IFERROR(MID(VLOOKUP($B215,Seqs!$A:$B,2,0),AG215,1),"")</f>
        <v>C</v>
      </c>
      <c r="AG215" s="3">
        <v>217</v>
      </c>
      <c r="AH215" s="3" t="str">
        <f>IFERROR(MID(VLOOKUP($B215,Seqs!$A:$B,2,0),AI215,1),"")</f>
        <v>L</v>
      </c>
      <c r="AI215" s="3">
        <v>219</v>
      </c>
      <c r="AJ215" s="3" t="str">
        <f>IFERROR(MID(VLOOKUP($B215,Seqs!$A:$B,2,0),AK215,1),"")</f>
        <v>T</v>
      </c>
      <c r="AK215" s="3">
        <v>225</v>
      </c>
      <c r="AL215" s="3" t="str">
        <f>IFERROR(MID(VLOOKUP($B215,Seqs!$A:$B,2,0),AM215,1),"")</f>
        <v>V</v>
      </c>
      <c r="AM215" s="3">
        <v>262</v>
      </c>
      <c r="AN215" s="3" t="str">
        <f>IFERROR(MID(VLOOKUP($B215,Seqs!$A:$B,2,0),AO215,1),"")</f>
        <v>S</v>
      </c>
      <c r="AO215" s="3">
        <v>268</v>
      </c>
      <c r="AP215" s="3" t="str">
        <f>IFERROR(MID(VLOOKUP($B215,Seqs!$A:$B,2,0),AQ215,1),"")</f>
        <v>I</v>
      </c>
      <c r="AQ215" s="3">
        <v>306</v>
      </c>
      <c r="AR215" s="3" t="str">
        <f>IFERROR(MID(VLOOKUP($B215,Seqs!$A:$B,2,0),AS215,1),"")</f>
        <v>T</v>
      </c>
      <c r="AS215" s="3">
        <v>311</v>
      </c>
      <c r="AT215" s="3" t="str">
        <f>IFERROR(MID(VLOOKUP($B215,Seqs!$A:$B,2,0),AU215,1),"")</f>
        <v>L</v>
      </c>
      <c r="AU215" s="3">
        <v>339</v>
      </c>
      <c r="AV215" s="3" t="str">
        <f>IFERROR(MID(VLOOKUP($B215,Seqs!$A:$B,2,0),AW215,1),"")</f>
        <v>D</v>
      </c>
      <c r="AW215" s="3">
        <v>340</v>
      </c>
      <c r="AX215" s="3" t="str">
        <f>IFERROR(MID(VLOOKUP($B215,Seqs!$A:$B,2,0),AY215,1),"")</f>
        <v>I</v>
      </c>
      <c r="AY215" s="3">
        <v>352</v>
      </c>
      <c r="AZ215" s="77" t="str">
        <f>VLOOKUP(B215,Classification!A:D,2,0)</f>
        <v>A</v>
      </c>
      <c r="BA215" s="94" t="str">
        <f>VLOOKUP(B215,Classification!A:D,4,0)</f>
        <v>Opioid</v>
      </c>
      <c r="BB215" s="27" t="b">
        <f t="shared" si="894"/>
        <v>1</v>
      </c>
      <c r="BC215" s="23">
        <f t="shared" si="867"/>
        <v>263</v>
      </c>
      <c r="BD215" s="56" t="s">
        <v>23</v>
      </c>
      <c r="BE215" s="3" t="s">
        <v>23</v>
      </c>
      <c r="BF215" s="119" t="s">
        <v>23</v>
      </c>
      <c r="BG215" s="49" t="s">
        <v>1378</v>
      </c>
      <c r="BH215" s="49" t="s">
        <v>1383</v>
      </c>
      <c r="BI215" s="1"/>
      <c r="BJ215" s="70" t="s">
        <v>1293</v>
      </c>
      <c r="BK215" s="57" t="s">
        <v>1293</v>
      </c>
      <c r="BL215" s="57" t="s">
        <v>1293</v>
      </c>
      <c r="BM215" s="57" t="s">
        <v>1293</v>
      </c>
      <c r="BN215" s="57" t="s">
        <v>1293</v>
      </c>
      <c r="BO215" s="57" t="s">
        <v>1293</v>
      </c>
      <c r="BP215" s="57" t="s">
        <v>1293</v>
      </c>
      <c r="BQ215" s="57" t="s">
        <v>1293</v>
      </c>
      <c r="BR215" s="57" t="s">
        <v>1293</v>
      </c>
      <c r="BS215" s="57" t="s">
        <v>1293</v>
      </c>
      <c r="BT215" s="57" t="s">
        <v>1293</v>
      </c>
      <c r="BU215" s="57" t="s">
        <v>1293</v>
      </c>
      <c r="BV215" s="70">
        <f t="shared" si="868"/>
        <v>65</v>
      </c>
      <c r="BW215" s="71">
        <f t="shared" si="869"/>
        <v>97</v>
      </c>
      <c r="BX215" s="72">
        <f t="shared" si="870"/>
        <v>101</v>
      </c>
      <c r="BY215" s="71">
        <f t="shared" si="871"/>
        <v>132</v>
      </c>
      <c r="BZ215" s="72">
        <f t="shared" si="872"/>
        <v>136</v>
      </c>
      <c r="CA215" s="71">
        <f t="shared" si="873"/>
        <v>172</v>
      </c>
      <c r="CB215" s="72">
        <f t="shared" si="874"/>
        <v>180</v>
      </c>
      <c r="CC215" s="71">
        <f t="shared" si="875"/>
        <v>217</v>
      </c>
      <c r="CD215" s="72">
        <f t="shared" si="876"/>
        <v>225</v>
      </c>
      <c r="CE215" s="71">
        <f t="shared" si="877"/>
        <v>268</v>
      </c>
      <c r="CF215" s="72">
        <f t="shared" si="878"/>
        <v>311</v>
      </c>
      <c r="CG215" s="71">
        <f t="shared" si="879"/>
        <v>340</v>
      </c>
      <c r="CH215" s="70">
        <f t="shared" si="880"/>
        <v>96</v>
      </c>
      <c r="CI215" s="71">
        <f t="shared" si="881"/>
        <v>100</v>
      </c>
      <c r="CJ215" s="72">
        <f t="shared" si="882"/>
        <v>130</v>
      </c>
      <c r="CK215" s="72">
        <f t="shared" si="883"/>
        <v>135</v>
      </c>
      <c r="CL215" s="72">
        <f t="shared" si="884"/>
        <v>171</v>
      </c>
      <c r="CM215" s="72">
        <f t="shared" si="885"/>
        <v>179</v>
      </c>
      <c r="CN215" s="72">
        <f t="shared" si="886"/>
        <v>206</v>
      </c>
      <c r="CO215" s="72">
        <f t="shared" si="887"/>
        <v>219</v>
      </c>
      <c r="CP215" s="72">
        <f t="shared" si="888"/>
        <v>262</v>
      </c>
      <c r="CQ215" s="72">
        <f t="shared" si="889"/>
        <v>306</v>
      </c>
      <c r="CR215" s="72">
        <f t="shared" si="890"/>
        <v>339</v>
      </c>
      <c r="CS215" s="72">
        <f t="shared" si="891"/>
        <v>352</v>
      </c>
      <c r="CT215" s="23">
        <f t="shared" si="892"/>
        <v>1</v>
      </c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  <c r="ADW215" s="1"/>
      <c r="ADX215" s="1"/>
      <c r="ADY215" s="1"/>
      <c r="ADZ215" s="1"/>
      <c r="AEA215" s="1"/>
      <c r="AEB215" s="1"/>
      <c r="AEC215" s="1"/>
      <c r="AED215" s="1"/>
      <c r="AEE215" s="1"/>
      <c r="AEF215" s="1"/>
      <c r="AEG215" s="1"/>
      <c r="AEH215" s="1"/>
      <c r="AEI215" s="1"/>
      <c r="AEJ215" s="1"/>
      <c r="AEK215" s="1"/>
      <c r="AEL215" s="1"/>
      <c r="AEM215" s="1"/>
      <c r="AEN215" s="1"/>
      <c r="AEO215" s="1"/>
      <c r="AEP215" s="1"/>
      <c r="AEQ215" s="1"/>
      <c r="AER215" s="1"/>
      <c r="AES215" s="1"/>
      <c r="AET215" s="1"/>
      <c r="AEU215" s="1"/>
      <c r="AEV215" s="1"/>
      <c r="AEW215" s="1"/>
      <c r="AEX215" s="1"/>
      <c r="AEY215" s="1"/>
      <c r="AEZ215" s="1"/>
      <c r="AFA215" s="1"/>
      <c r="AFB215" s="1"/>
      <c r="AFC215" s="1"/>
      <c r="AFD215" s="1"/>
      <c r="AFE215" s="1"/>
      <c r="AFF215" s="1"/>
      <c r="AFG215" s="1"/>
      <c r="AFH215" s="1"/>
      <c r="AFI215" s="1"/>
      <c r="AFJ215" s="1"/>
      <c r="AFK215" s="1"/>
      <c r="AFL215" s="1"/>
      <c r="AFM215" s="1"/>
      <c r="AFN215" s="1"/>
      <c r="AFO215" s="1"/>
      <c r="AFP215" s="1"/>
      <c r="AFQ215" s="1"/>
      <c r="AFR215" s="1"/>
      <c r="AFS215" s="1"/>
      <c r="AFT215" s="1"/>
      <c r="AFU215" s="1"/>
      <c r="AFV215" s="1"/>
      <c r="AFW215" s="1"/>
      <c r="AFX215" s="1"/>
      <c r="AFY215" s="1"/>
      <c r="AFZ215" s="1"/>
      <c r="AGA215" s="1"/>
      <c r="AGB215" s="1"/>
      <c r="AGC215" s="1"/>
      <c r="AGD215" s="1"/>
      <c r="AGE215" s="1"/>
      <c r="AGF215" s="1"/>
      <c r="AGG215" s="1"/>
      <c r="AGH215" s="1"/>
      <c r="AGI215" s="1"/>
      <c r="AGJ215" s="1"/>
      <c r="AGK215" s="1"/>
      <c r="AGL215" s="1"/>
      <c r="AGM215" s="1"/>
      <c r="AGN215" s="1"/>
      <c r="AGO215" s="1"/>
      <c r="AGP215" s="1"/>
      <c r="AGQ215" s="1"/>
      <c r="AGR215" s="1"/>
      <c r="AGS215" s="1"/>
      <c r="AGT215" s="1"/>
      <c r="AGU215" s="1"/>
      <c r="AGV215" s="1"/>
      <c r="AGW215" s="1"/>
      <c r="AGX215" s="1"/>
      <c r="AGY215" s="1"/>
      <c r="AGZ215" s="1"/>
      <c r="AHA215" s="1"/>
      <c r="AHB215" s="1"/>
      <c r="AHC215" s="1"/>
      <c r="AHD215" s="1"/>
      <c r="AHE215" s="1"/>
      <c r="AHF215" s="1"/>
      <c r="AHG215" s="1"/>
      <c r="AHH215" s="1"/>
      <c r="AHI215" s="1"/>
      <c r="AHJ215" s="1"/>
      <c r="AHK215" s="1"/>
      <c r="AHL215" s="1"/>
      <c r="AHM215" s="1"/>
      <c r="AHN215" s="1"/>
      <c r="AHO215" s="1"/>
      <c r="AHP215" s="1"/>
      <c r="AHQ215" s="1"/>
      <c r="AHR215" s="1"/>
      <c r="AHS215" s="1"/>
      <c r="AHT215" s="1"/>
      <c r="AHU215" s="1"/>
      <c r="AHV215" s="1"/>
      <c r="AHW215" s="1"/>
      <c r="AHX215" s="1"/>
      <c r="AHY215" s="1"/>
      <c r="AHZ215" s="1"/>
      <c r="AIA215" s="1"/>
      <c r="AIB215" s="1"/>
      <c r="AIC215" s="1"/>
      <c r="AID215" s="1"/>
      <c r="AIE215" s="1"/>
      <c r="AIF215" s="1"/>
      <c r="AIG215" s="1"/>
      <c r="AIH215" s="1"/>
      <c r="AII215" s="1"/>
      <c r="AIJ215" s="1"/>
      <c r="AIK215" s="1"/>
      <c r="AIL215" s="1"/>
      <c r="AIM215" s="1"/>
      <c r="AIN215" s="1"/>
      <c r="AIO215" s="1"/>
      <c r="AIP215" s="1"/>
      <c r="AIQ215" s="1"/>
      <c r="AIR215" s="1"/>
      <c r="AIS215" s="1"/>
      <c r="AIT215" s="1"/>
      <c r="AIU215" s="1"/>
      <c r="AIV215" s="1"/>
      <c r="AIW215" s="1"/>
      <c r="AIX215" s="1"/>
      <c r="AIY215" s="1"/>
      <c r="AIZ215" s="1"/>
      <c r="AJA215" s="1"/>
      <c r="AJB215" s="1"/>
      <c r="AJC215" s="1"/>
      <c r="AJD215" s="1"/>
      <c r="AJE215" s="1"/>
      <c r="AJF215" s="1"/>
      <c r="AJG215" s="1"/>
      <c r="AJH215" s="1"/>
      <c r="AJI215" s="1"/>
      <c r="AJJ215" s="1"/>
      <c r="AJK215" s="1"/>
      <c r="AJL215" s="1"/>
      <c r="AJM215" s="1"/>
      <c r="AJN215" s="1"/>
      <c r="AJO215" s="1"/>
      <c r="AJP215" s="1"/>
      <c r="AJQ215" s="1"/>
      <c r="AJR215" s="1"/>
      <c r="AJS215" s="1"/>
      <c r="AJT215" s="1"/>
      <c r="AJU215" s="1"/>
      <c r="AJV215" s="1"/>
      <c r="AJW215" s="1"/>
      <c r="AJX215" s="1"/>
      <c r="AJY215" s="1"/>
      <c r="AJZ215" s="1"/>
      <c r="AKA215" s="1"/>
      <c r="AKB215" s="1"/>
      <c r="AKC215" s="1"/>
      <c r="AKD215" s="1"/>
      <c r="AKE215" s="1"/>
      <c r="AKF215" s="1"/>
      <c r="AKG215" s="1"/>
      <c r="AKH215" s="1"/>
      <c r="AKI215" s="1"/>
      <c r="AKJ215" s="1"/>
      <c r="AKK215" s="1"/>
      <c r="AKL215" s="1"/>
      <c r="AKM215" s="1"/>
      <c r="AKN215" s="1"/>
      <c r="AKO215" s="1"/>
      <c r="AKP215" s="1"/>
      <c r="AKQ215" s="1"/>
      <c r="AKR215" s="1"/>
      <c r="AKS215" s="1"/>
      <c r="AKT215" s="1"/>
      <c r="AKU215" s="1"/>
      <c r="AKV215" s="1"/>
      <c r="AKW215" s="1"/>
      <c r="AKX215" s="1"/>
      <c r="AKY215" s="1"/>
      <c r="AKZ215" s="1"/>
      <c r="ALA215" s="1"/>
      <c r="ALB215" s="1"/>
      <c r="ALC215" s="1"/>
      <c r="ALD215" s="1"/>
      <c r="ALE215" s="1"/>
      <c r="ALF215" s="1"/>
      <c r="ALG215" s="1"/>
      <c r="ALH215" s="1"/>
      <c r="ALI215" s="1"/>
      <c r="ALJ215" s="1"/>
      <c r="ALK215" s="1"/>
      <c r="ALL215" s="1"/>
      <c r="ALM215" s="1"/>
      <c r="ALN215" s="1"/>
      <c r="ALO215" s="1"/>
      <c r="ALP215" s="1"/>
      <c r="ALQ215" s="1"/>
      <c r="ALR215" s="1"/>
      <c r="ALS215" s="1"/>
      <c r="ALT215" s="1"/>
      <c r="ALU215" s="1"/>
      <c r="ALV215" s="1"/>
      <c r="ALW215" s="1"/>
      <c r="ALX215" s="1"/>
      <c r="ALY215" s="1"/>
      <c r="ALZ215" s="1"/>
      <c r="AMA215" s="1"/>
      <c r="AMB215" s="1"/>
      <c r="AMC215" s="1"/>
      <c r="AMD215" s="1"/>
      <c r="AME215" s="1"/>
      <c r="AMF215" s="1"/>
      <c r="AMG215" s="1"/>
      <c r="AMH215" s="1"/>
      <c r="AMI215" s="1"/>
      <c r="AMJ215" s="1"/>
      <c r="AMK215" s="1"/>
      <c r="AML215" s="1"/>
      <c r="AMM215" s="1"/>
      <c r="AMN215" s="1"/>
      <c r="AMO215" s="1"/>
    </row>
    <row r="216" spans="1:1030" x14ac:dyDescent="0.2">
      <c r="A216" s="3" t="str">
        <f t="shared" si="893"/>
        <v>oprm_mouse_4DKL</v>
      </c>
      <c r="B216" s="3" t="s">
        <v>918</v>
      </c>
      <c r="C216" s="3" t="s">
        <v>65</v>
      </c>
      <c r="D216" s="3" t="str">
        <f>IFERROR(MID(VLOOKUP($B216,Seqs!$A:$B,2,0),E216,1),"")</f>
        <v>M</v>
      </c>
      <c r="E216" s="3">
        <v>65</v>
      </c>
      <c r="F216" s="3" t="str">
        <f>IFERROR(MID(VLOOKUP($B216,Seqs!$A:$B,2,0),G216,1),"")</f>
        <v>Y</v>
      </c>
      <c r="G216" s="3">
        <v>96</v>
      </c>
      <c r="H216" s="3" t="str">
        <f>IFERROR(MID(VLOOKUP($B216,Seqs!$A:$B,2,0),I216,1),"")</f>
        <v>T</v>
      </c>
      <c r="I216" s="23">
        <v>97</v>
      </c>
      <c r="J216" s="3" t="str">
        <f>IFERROR(MID(VLOOKUP($B216,Seqs!$A:$B,2,0),K216,1),"")</f>
        <v>K</v>
      </c>
      <c r="K216" s="23">
        <v>100</v>
      </c>
      <c r="L216" s="3" t="str">
        <f>IFERROR(MID(VLOOKUP($B216,Seqs!$A:$B,2,0),M216,1),"")</f>
        <v>T</v>
      </c>
      <c r="M216" s="3">
        <v>101</v>
      </c>
      <c r="N216" s="3" t="str">
        <f>IFERROR(MID(VLOOKUP($B216,Seqs!$A:$B,2,0),O216,1),"")</f>
        <v>M</v>
      </c>
      <c r="O216" s="3">
        <v>130</v>
      </c>
      <c r="P216" s="3" t="str">
        <f>IFERROR(MID(VLOOKUP($B216,Seqs!$A:$B,2,0),Q216,1),"")</f>
        <v>T</v>
      </c>
      <c r="Q216" s="3">
        <v>132</v>
      </c>
      <c r="R216" s="3" t="str">
        <f>IFERROR(MID(VLOOKUP($B216,Seqs!$A:$B,2,0),S216,1),"")</f>
        <v>F</v>
      </c>
      <c r="S216" s="3">
        <v>135</v>
      </c>
      <c r="T216" s="3" t="str">
        <f>IFERROR(MID(VLOOKUP($B216,Seqs!$A:$B,2,0),U216,1),"")</f>
        <v>G</v>
      </c>
      <c r="U216" s="3">
        <v>136</v>
      </c>
      <c r="V216" s="3" t="str">
        <f>IFERROR(MID(VLOOKUP($B216,Seqs!$A:$B,2,0),W216,1),"")</f>
        <v>H</v>
      </c>
      <c r="W216" s="3">
        <v>171</v>
      </c>
      <c r="X216" s="3" t="str">
        <f>IFERROR(MID(VLOOKUP($B216,Seqs!$A:$B,2,0),Y216,1),"")</f>
        <v>P</v>
      </c>
      <c r="Y216" s="3">
        <v>172</v>
      </c>
      <c r="Z216" s="3" t="str">
        <f>IFERROR(MID(VLOOKUP($B216,Seqs!$A:$B,2,0),AA216,1),"")</f>
        <v>R</v>
      </c>
      <c r="AA216" s="3">
        <v>179</v>
      </c>
      <c r="AB216" s="3" t="str">
        <f>IFERROR(MID(VLOOKUP($B216,Seqs!$A:$B,2,0),AC216,1),"")</f>
        <v>T</v>
      </c>
      <c r="AC216" s="3">
        <v>180</v>
      </c>
      <c r="AD216" s="3" t="str">
        <f>IFERROR(MID(VLOOKUP($B216,Seqs!$A:$B,2,0),AE216,1),"")</f>
        <v>A</v>
      </c>
      <c r="AE216" s="3">
        <v>206</v>
      </c>
      <c r="AF216" s="3" t="str">
        <f>IFERROR(MID(VLOOKUP($B216,Seqs!$A:$B,2,0),AG216,1),"")</f>
        <v>C</v>
      </c>
      <c r="AG216" s="3">
        <v>217</v>
      </c>
      <c r="AH216" s="3" t="str">
        <f>IFERROR(MID(VLOOKUP($B216,Seqs!$A:$B,2,0),AI216,1),"")</f>
        <v>L</v>
      </c>
      <c r="AI216" s="3">
        <v>219</v>
      </c>
      <c r="AJ216" s="3" t="str">
        <f>IFERROR(MID(VLOOKUP($B216,Seqs!$A:$B,2,0),AK216,1),"")</f>
        <v>T</v>
      </c>
      <c r="AK216" s="3">
        <v>225</v>
      </c>
      <c r="AL216" s="3" t="str">
        <f>IFERROR(MID(VLOOKUP($B216,Seqs!$A:$B,2,0),AM216,1),"")</f>
        <v>L</v>
      </c>
      <c r="AM216" s="3">
        <v>257</v>
      </c>
      <c r="AN216" s="3" t="str">
        <f>IFERROR(MID(VLOOKUP($B216,Seqs!$A:$B,2,0),AO216,1),"")</f>
        <v>N</v>
      </c>
      <c r="AO216" s="3">
        <v>274</v>
      </c>
      <c r="AP216" s="3" t="str">
        <f>IFERROR(MID(VLOOKUP($B216,Seqs!$A:$B,2,0),AQ216,1),"")</f>
        <v>I</v>
      </c>
      <c r="AQ216" s="3">
        <v>306</v>
      </c>
      <c r="AR216" s="3" t="str">
        <f>IFERROR(MID(VLOOKUP($B216,Seqs!$A:$B,2,0),AS216,1),"")</f>
        <v>T</v>
      </c>
      <c r="AS216" s="3">
        <v>311</v>
      </c>
      <c r="AT216" s="3" t="str">
        <f>IFERROR(MID(VLOOKUP($B216,Seqs!$A:$B,2,0),AU216,1),"")</f>
        <v>L</v>
      </c>
      <c r="AU216" s="3">
        <v>339</v>
      </c>
      <c r="AV216" s="3" t="str">
        <f>IFERROR(MID(VLOOKUP($B216,Seqs!$A:$B,2,0),AW216,1),"")</f>
        <v>D</v>
      </c>
      <c r="AW216" s="3">
        <v>340</v>
      </c>
      <c r="AX216" s="3" t="str">
        <f>IFERROR(MID(VLOOKUP($B216,Seqs!$A:$B,2,0),AY216,1),"")</f>
        <v>I</v>
      </c>
      <c r="AY216" s="3">
        <v>352</v>
      </c>
      <c r="AZ216" s="77" t="str">
        <f>VLOOKUP(B216,Classification!A:D,2,0)</f>
        <v>A</v>
      </c>
      <c r="BA216" s="94" t="str">
        <f>VLOOKUP(B216,Classification!A:D,4,0)</f>
        <v>Opioid</v>
      </c>
      <c r="BB216" s="27" t="b">
        <f t="shared" si="894"/>
        <v>1</v>
      </c>
      <c r="BC216" s="23">
        <f t="shared" si="867"/>
        <v>252</v>
      </c>
      <c r="BD216" s="2" t="s">
        <v>1382</v>
      </c>
      <c r="BE216" s="3" t="s">
        <v>1380</v>
      </c>
      <c r="BF216" s="119">
        <v>2.8</v>
      </c>
      <c r="BG216" s="49" t="s">
        <v>1383</v>
      </c>
      <c r="BH216" s="49" t="s">
        <v>1383</v>
      </c>
      <c r="BI216" s="1"/>
      <c r="BJ216" s="70" t="s">
        <v>1293</v>
      </c>
      <c r="BK216" s="57" t="s">
        <v>1293</v>
      </c>
      <c r="BL216" s="57" t="s">
        <v>1293</v>
      </c>
      <c r="BM216" s="57" t="s">
        <v>1293</v>
      </c>
      <c r="BN216" s="57" t="s">
        <v>1293</v>
      </c>
      <c r="BO216" s="57" t="s">
        <v>1293</v>
      </c>
      <c r="BP216" s="57" t="s">
        <v>1293</v>
      </c>
      <c r="BQ216" s="57" t="s">
        <v>1293</v>
      </c>
      <c r="BR216" s="57" t="s">
        <v>1293</v>
      </c>
      <c r="BS216" s="57" t="s">
        <v>1293</v>
      </c>
      <c r="BT216" s="57" t="s">
        <v>1293</v>
      </c>
      <c r="BU216" s="57" t="s">
        <v>1293</v>
      </c>
      <c r="BV216" s="70">
        <f t="shared" si="868"/>
        <v>65</v>
      </c>
      <c r="BW216" s="71">
        <f t="shared" si="869"/>
        <v>97</v>
      </c>
      <c r="BX216" s="72">
        <f t="shared" si="870"/>
        <v>101</v>
      </c>
      <c r="BY216" s="71">
        <f t="shared" si="871"/>
        <v>132</v>
      </c>
      <c r="BZ216" s="72">
        <f t="shared" si="872"/>
        <v>136</v>
      </c>
      <c r="CA216" s="71">
        <f t="shared" si="873"/>
        <v>172</v>
      </c>
      <c r="CB216" s="72">
        <f t="shared" si="874"/>
        <v>180</v>
      </c>
      <c r="CC216" s="71">
        <f t="shared" si="875"/>
        <v>217</v>
      </c>
      <c r="CD216" s="72">
        <f t="shared" si="876"/>
        <v>225</v>
      </c>
      <c r="CE216" s="71">
        <f t="shared" si="877"/>
        <v>274</v>
      </c>
      <c r="CF216" s="72">
        <f t="shared" si="878"/>
        <v>311</v>
      </c>
      <c r="CG216" s="71">
        <f t="shared" si="879"/>
        <v>340</v>
      </c>
      <c r="CH216" s="70">
        <f t="shared" si="880"/>
        <v>96</v>
      </c>
      <c r="CI216" s="71">
        <f t="shared" si="881"/>
        <v>100</v>
      </c>
      <c r="CJ216" s="72">
        <f t="shared" si="882"/>
        <v>130</v>
      </c>
      <c r="CK216" s="72">
        <f t="shared" si="883"/>
        <v>135</v>
      </c>
      <c r="CL216" s="72">
        <f t="shared" si="884"/>
        <v>171</v>
      </c>
      <c r="CM216" s="72">
        <f t="shared" si="885"/>
        <v>179</v>
      </c>
      <c r="CN216" s="72">
        <f t="shared" si="886"/>
        <v>206</v>
      </c>
      <c r="CO216" s="72">
        <f t="shared" si="887"/>
        <v>219</v>
      </c>
      <c r="CP216" s="72">
        <f t="shared" si="888"/>
        <v>257</v>
      </c>
      <c r="CQ216" s="72">
        <f t="shared" si="889"/>
        <v>306</v>
      </c>
      <c r="CR216" s="72">
        <f t="shared" si="890"/>
        <v>339</v>
      </c>
      <c r="CS216" s="72">
        <f t="shared" si="891"/>
        <v>352</v>
      </c>
      <c r="CT216" s="23">
        <f t="shared" si="892"/>
        <v>1</v>
      </c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  <c r="ADW216" s="1"/>
      <c r="ADX216" s="1"/>
      <c r="ADY216" s="1"/>
      <c r="ADZ216" s="1"/>
      <c r="AEA216" s="1"/>
      <c r="AEB216" s="1"/>
      <c r="AEC216" s="1"/>
      <c r="AED216" s="1"/>
      <c r="AEE216" s="1"/>
      <c r="AEF216" s="1"/>
      <c r="AEG216" s="1"/>
      <c r="AEH216" s="1"/>
      <c r="AEI216" s="1"/>
      <c r="AEJ216" s="1"/>
      <c r="AEK216" s="1"/>
      <c r="AEL216" s="1"/>
      <c r="AEM216" s="1"/>
      <c r="AEN216" s="1"/>
      <c r="AEO216" s="1"/>
      <c r="AEP216" s="1"/>
      <c r="AEQ216" s="1"/>
      <c r="AER216" s="1"/>
      <c r="AES216" s="1"/>
      <c r="AET216" s="1"/>
      <c r="AEU216" s="1"/>
      <c r="AEV216" s="1"/>
      <c r="AEW216" s="1"/>
      <c r="AEX216" s="1"/>
      <c r="AEY216" s="1"/>
      <c r="AEZ216" s="1"/>
      <c r="AFA216" s="1"/>
      <c r="AFB216" s="1"/>
      <c r="AFC216" s="1"/>
      <c r="AFD216" s="1"/>
      <c r="AFE216" s="1"/>
      <c r="AFF216" s="1"/>
      <c r="AFG216" s="1"/>
      <c r="AFH216" s="1"/>
      <c r="AFI216" s="1"/>
      <c r="AFJ216" s="1"/>
      <c r="AFK216" s="1"/>
      <c r="AFL216" s="1"/>
      <c r="AFM216" s="1"/>
      <c r="AFN216" s="1"/>
      <c r="AFO216" s="1"/>
      <c r="AFP216" s="1"/>
      <c r="AFQ216" s="1"/>
      <c r="AFR216" s="1"/>
      <c r="AFS216" s="1"/>
      <c r="AFT216" s="1"/>
      <c r="AFU216" s="1"/>
      <c r="AFV216" s="1"/>
      <c r="AFW216" s="1"/>
      <c r="AFX216" s="1"/>
      <c r="AFY216" s="1"/>
      <c r="AFZ216" s="1"/>
      <c r="AGA216" s="1"/>
      <c r="AGB216" s="1"/>
      <c r="AGC216" s="1"/>
      <c r="AGD216" s="1"/>
      <c r="AGE216" s="1"/>
      <c r="AGF216" s="1"/>
      <c r="AGG216" s="1"/>
      <c r="AGH216" s="1"/>
      <c r="AGI216" s="1"/>
      <c r="AGJ216" s="1"/>
      <c r="AGK216" s="1"/>
      <c r="AGL216" s="1"/>
      <c r="AGM216" s="1"/>
      <c r="AGN216" s="1"/>
      <c r="AGO216" s="1"/>
      <c r="AGP216" s="1"/>
      <c r="AGQ216" s="1"/>
      <c r="AGR216" s="1"/>
      <c r="AGS216" s="1"/>
      <c r="AGT216" s="1"/>
      <c r="AGU216" s="1"/>
      <c r="AGV216" s="1"/>
      <c r="AGW216" s="1"/>
      <c r="AGX216" s="1"/>
      <c r="AGY216" s="1"/>
      <c r="AGZ216" s="1"/>
      <c r="AHA216" s="1"/>
      <c r="AHB216" s="1"/>
      <c r="AHC216" s="1"/>
      <c r="AHD216" s="1"/>
      <c r="AHE216" s="1"/>
      <c r="AHF216" s="1"/>
      <c r="AHG216" s="1"/>
      <c r="AHH216" s="1"/>
      <c r="AHI216" s="1"/>
      <c r="AHJ216" s="1"/>
      <c r="AHK216" s="1"/>
      <c r="AHL216" s="1"/>
      <c r="AHM216" s="1"/>
      <c r="AHN216" s="1"/>
      <c r="AHO216" s="1"/>
      <c r="AHP216" s="1"/>
      <c r="AHQ216" s="1"/>
      <c r="AHR216" s="1"/>
      <c r="AHS216" s="1"/>
      <c r="AHT216" s="1"/>
      <c r="AHU216" s="1"/>
      <c r="AHV216" s="1"/>
      <c r="AHW216" s="1"/>
      <c r="AHX216" s="1"/>
      <c r="AHY216" s="1"/>
      <c r="AHZ216" s="1"/>
      <c r="AIA216" s="1"/>
      <c r="AIB216" s="1"/>
      <c r="AIC216" s="1"/>
      <c r="AID216" s="1"/>
      <c r="AIE216" s="1"/>
      <c r="AIF216" s="1"/>
      <c r="AIG216" s="1"/>
      <c r="AIH216" s="1"/>
      <c r="AII216" s="1"/>
      <c r="AIJ216" s="1"/>
      <c r="AIK216" s="1"/>
      <c r="AIL216" s="1"/>
      <c r="AIM216" s="1"/>
      <c r="AIN216" s="1"/>
      <c r="AIO216" s="1"/>
      <c r="AIP216" s="1"/>
      <c r="AIQ216" s="1"/>
      <c r="AIR216" s="1"/>
      <c r="AIS216" s="1"/>
      <c r="AIT216" s="1"/>
      <c r="AIU216" s="1"/>
      <c r="AIV216" s="1"/>
      <c r="AIW216" s="1"/>
      <c r="AIX216" s="1"/>
      <c r="AIY216" s="1"/>
      <c r="AIZ216" s="1"/>
      <c r="AJA216" s="1"/>
      <c r="AJB216" s="1"/>
      <c r="AJC216" s="1"/>
      <c r="AJD216" s="1"/>
      <c r="AJE216" s="1"/>
      <c r="AJF216" s="1"/>
      <c r="AJG216" s="1"/>
      <c r="AJH216" s="1"/>
      <c r="AJI216" s="1"/>
      <c r="AJJ216" s="1"/>
      <c r="AJK216" s="1"/>
      <c r="AJL216" s="1"/>
      <c r="AJM216" s="1"/>
      <c r="AJN216" s="1"/>
      <c r="AJO216" s="1"/>
      <c r="AJP216" s="1"/>
      <c r="AJQ216" s="1"/>
      <c r="AJR216" s="1"/>
      <c r="AJS216" s="1"/>
      <c r="AJT216" s="1"/>
      <c r="AJU216" s="1"/>
      <c r="AJV216" s="1"/>
      <c r="AJW216" s="1"/>
      <c r="AJX216" s="1"/>
      <c r="AJY216" s="1"/>
      <c r="AJZ216" s="1"/>
      <c r="AKA216" s="1"/>
      <c r="AKB216" s="1"/>
      <c r="AKC216" s="1"/>
      <c r="AKD216" s="1"/>
      <c r="AKE216" s="1"/>
      <c r="AKF216" s="1"/>
      <c r="AKG216" s="1"/>
      <c r="AKH216" s="1"/>
      <c r="AKI216" s="1"/>
      <c r="AKJ216" s="1"/>
      <c r="AKK216" s="1"/>
      <c r="AKL216" s="1"/>
      <c r="AKM216" s="1"/>
      <c r="AKN216" s="1"/>
      <c r="AKO216" s="1"/>
      <c r="AKP216" s="1"/>
      <c r="AKQ216" s="1"/>
      <c r="AKR216" s="1"/>
      <c r="AKS216" s="1"/>
      <c r="AKT216" s="1"/>
      <c r="AKU216" s="1"/>
      <c r="AKV216" s="1"/>
      <c r="AKW216" s="1"/>
      <c r="AKX216" s="1"/>
      <c r="AKY216" s="1"/>
      <c r="AKZ216" s="1"/>
      <c r="ALA216" s="1"/>
      <c r="ALB216" s="1"/>
      <c r="ALC216" s="1"/>
      <c r="ALD216" s="1"/>
      <c r="ALE216" s="1"/>
      <c r="ALF216" s="1"/>
      <c r="ALG216" s="1"/>
      <c r="ALH216" s="1"/>
      <c r="ALI216" s="1"/>
      <c r="ALJ216" s="1"/>
      <c r="ALK216" s="1"/>
      <c r="ALL216" s="1"/>
      <c r="ALM216" s="1"/>
      <c r="ALN216" s="1"/>
      <c r="ALO216" s="1"/>
      <c r="ALP216" s="1"/>
      <c r="ALQ216" s="1"/>
      <c r="ALR216" s="1"/>
      <c r="ALS216" s="1"/>
      <c r="ALT216" s="1"/>
      <c r="ALU216" s="1"/>
      <c r="ALV216" s="1"/>
      <c r="ALW216" s="1"/>
      <c r="ALX216" s="1"/>
      <c r="ALY216" s="1"/>
      <c r="ALZ216" s="1"/>
      <c r="AMA216" s="1"/>
      <c r="AMB216" s="1"/>
      <c r="AMC216" s="1"/>
      <c r="AMD216" s="1"/>
      <c r="AME216" s="1"/>
      <c r="AMF216" s="1"/>
      <c r="AMG216" s="1"/>
      <c r="AMH216" s="1"/>
      <c r="AMI216" s="1"/>
      <c r="AMJ216" s="1"/>
      <c r="AMK216" s="1"/>
      <c r="AML216" s="1"/>
      <c r="AMM216" s="1"/>
      <c r="AMN216" s="1"/>
      <c r="AMO216" s="1"/>
    </row>
    <row r="217" spans="1:1030" x14ac:dyDescent="0.2">
      <c r="A217" s="3" t="str">
        <f t="shared" si="893"/>
        <v>oprm_mouse_5C1M</v>
      </c>
      <c r="B217" s="3" t="s">
        <v>918</v>
      </c>
      <c r="C217" s="3" t="s">
        <v>84</v>
      </c>
      <c r="D217" s="3" t="str">
        <f>IFERROR(MID(VLOOKUP($B217,Seqs!$A:$B,2,0),E217,1),"")</f>
        <v>M</v>
      </c>
      <c r="E217" s="3">
        <v>65</v>
      </c>
      <c r="F217" s="3" t="str">
        <f>IFERROR(MID(VLOOKUP($B217,Seqs!$A:$B,2,0),G217,1),"")</f>
        <v>Y</v>
      </c>
      <c r="G217" s="3">
        <v>96</v>
      </c>
      <c r="H217" s="3" t="str">
        <f>IFERROR(MID(VLOOKUP($B217,Seqs!$A:$B,2,0),I217,1),"")</f>
        <v/>
      </c>
      <c r="I217" s="23" t="s">
        <v>23</v>
      </c>
      <c r="J217" s="3" t="str">
        <f>IFERROR(MID(VLOOKUP($B217,Seqs!$A:$B,2,0),K217,1),"")</f>
        <v/>
      </c>
      <c r="K217" s="23" t="s">
        <v>23</v>
      </c>
      <c r="L217" s="3" t="str">
        <f>IFERROR(MID(VLOOKUP($B217,Seqs!$A:$B,2,0),M217,1),"")</f>
        <v>T</v>
      </c>
      <c r="M217" s="3">
        <v>101</v>
      </c>
      <c r="N217" s="3" t="str">
        <f>IFERROR(MID(VLOOKUP($B217,Seqs!$A:$B,2,0),O217,1),"")</f>
        <v>M</v>
      </c>
      <c r="O217" s="3">
        <v>130</v>
      </c>
      <c r="P217" s="3" t="str">
        <f>IFERROR(MID(VLOOKUP($B217,Seqs!$A:$B,2,0),Q217,1),"")</f>
        <v>T</v>
      </c>
      <c r="Q217" s="3">
        <v>132</v>
      </c>
      <c r="R217" s="3" t="str">
        <f>IFERROR(MID(VLOOKUP($B217,Seqs!$A:$B,2,0),S217,1),"")</f>
        <v>F</v>
      </c>
      <c r="S217" s="3">
        <v>135</v>
      </c>
      <c r="T217" s="3" t="str">
        <f>IFERROR(MID(VLOOKUP($B217,Seqs!$A:$B,2,0),U217,1),"")</f>
        <v>G</v>
      </c>
      <c r="U217" s="3">
        <v>136</v>
      </c>
      <c r="V217" s="3" t="str">
        <f>IFERROR(MID(VLOOKUP($B217,Seqs!$A:$B,2,0),W217,1),"")</f>
        <v>H</v>
      </c>
      <c r="W217" s="3">
        <v>171</v>
      </c>
      <c r="X217" s="3" t="str">
        <f>IFERROR(MID(VLOOKUP($B217,Seqs!$A:$B,2,0),Y217,1),"")</f>
        <v>P</v>
      </c>
      <c r="Y217" s="3">
        <v>172</v>
      </c>
      <c r="Z217" s="3" t="str">
        <f>IFERROR(MID(VLOOKUP($B217,Seqs!$A:$B,2,0),AA217,1),"")</f>
        <v>R</v>
      </c>
      <c r="AA217" s="3">
        <v>179</v>
      </c>
      <c r="AB217" s="3" t="str">
        <f>IFERROR(MID(VLOOKUP($B217,Seqs!$A:$B,2,0),AC217,1),"")</f>
        <v>T</v>
      </c>
      <c r="AC217" s="3">
        <v>180</v>
      </c>
      <c r="AD217" s="3" t="str">
        <f>IFERROR(MID(VLOOKUP($B217,Seqs!$A:$B,2,0),AE217,1),"")</f>
        <v>A</v>
      </c>
      <c r="AE217" s="3">
        <v>206</v>
      </c>
      <c r="AF217" s="3" t="str">
        <f>IFERROR(MID(VLOOKUP($B217,Seqs!$A:$B,2,0),AG217,1),"")</f>
        <v>C</v>
      </c>
      <c r="AG217" s="3">
        <v>217</v>
      </c>
      <c r="AH217" s="3" t="str">
        <f>IFERROR(MID(VLOOKUP($B217,Seqs!$A:$B,2,0),AI217,1),"")</f>
        <v>L</v>
      </c>
      <c r="AI217" s="3">
        <v>219</v>
      </c>
      <c r="AJ217" s="3" t="str">
        <f>IFERROR(MID(VLOOKUP($B217,Seqs!$A:$B,2,0),AK217,1),"")</f>
        <v>T</v>
      </c>
      <c r="AK217" s="3">
        <v>225</v>
      </c>
      <c r="AL217" s="3" t="str">
        <f>IFERROR(MID(VLOOKUP($B217,Seqs!$A:$B,2,0),AM217,1),"")</f>
        <v>V</v>
      </c>
      <c r="AM217" s="3">
        <v>262</v>
      </c>
      <c r="AN217" s="3" t="str">
        <f>IFERROR(MID(VLOOKUP($B217,Seqs!$A:$B,2,0),AO217,1),"")</f>
        <v>S</v>
      </c>
      <c r="AO217" s="3">
        <v>268</v>
      </c>
      <c r="AP217" s="3" t="str">
        <f>IFERROR(MID(VLOOKUP($B217,Seqs!$A:$B,2,0),AQ217,1),"")</f>
        <v>I</v>
      </c>
      <c r="AQ217" s="3">
        <v>306</v>
      </c>
      <c r="AR217" s="3" t="str">
        <f>IFERROR(MID(VLOOKUP($B217,Seqs!$A:$B,2,0),AS217,1),"")</f>
        <v>T</v>
      </c>
      <c r="AS217" s="3">
        <v>311</v>
      </c>
      <c r="AT217" s="3" t="str">
        <f>IFERROR(MID(VLOOKUP($B217,Seqs!$A:$B,2,0),AU217,1),"")</f>
        <v>P</v>
      </c>
      <c r="AU217" s="3">
        <v>333</v>
      </c>
      <c r="AV217" s="3" t="str">
        <f>IFERROR(MID(VLOOKUP($B217,Seqs!$A:$B,2,0),AW217,1),"")</f>
        <v/>
      </c>
      <c r="AW217" s="3" t="s">
        <v>23</v>
      </c>
      <c r="AX217" s="3" t="str">
        <f>IFERROR(MID(VLOOKUP($B217,Seqs!$A:$B,2,0),AY217,1),"")</f>
        <v/>
      </c>
      <c r="AY217" s="3" t="s">
        <v>23</v>
      </c>
      <c r="AZ217" s="77" t="str">
        <f>VLOOKUP(B217,Classification!A:D,2,0)</f>
        <v>A</v>
      </c>
      <c r="BA217" s="94" t="str">
        <f>VLOOKUP(B217,Classification!A:D,4,0)</f>
        <v>Opioid</v>
      </c>
      <c r="BB217" s="27" t="b">
        <f t="shared" si="894"/>
        <v>1</v>
      </c>
      <c r="BC217" s="23">
        <f t="shared" si="867"/>
        <v>242</v>
      </c>
      <c r="BD217" s="5" t="s">
        <v>1381</v>
      </c>
      <c r="BE217" s="3" t="s">
        <v>1297</v>
      </c>
      <c r="BF217" s="119">
        <v>2.1</v>
      </c>
      <c r="BG217" s="49" t="s">
        <v>1383</v>
      </c>
      <c r="BH217" s="49" t="s">
        <v>1383</v>
      </c>
      <c r="BI217" s="1"/>
      <c r="BJ217" s="70" t="s">
        <v>1293</v>
      </c>
      <c r="BK217" s="57" t="s">
        <v>1293</v>
      </c>
      <c r="BL217" s="57" t="s">
        <v>1293</v>
      </c>
      <c r="BM217" s="57" t="s">
        <v>1293</v>
      </c>
      <c r="BN217" s="57" t="s">
        <v>1293</v>
      </c>
      <c r="BO217" s="57" t="s">
        <v>1293</v>
      </c>
      <c r="BP217" s="57" t="s">
        <v>1293</v>
      </c>
      <c r="BQ217" s="57" t="s">
        <v>1293</v>
      </c>
      <c r="BR217" s="57" t="s">
        <v>1293</v>
      </c>
      <c r="BS217" s="57" t="s">
        <v>1293</v>
      </c>
      <c r="BT217" s="57" t="s">
        <v>1293</v>
      </c>
      <c r="BU217" s="57" t="s">
        <v>1293</v>
      </c>
      <c r="BV217" s="70">
        <f t="shared" si="868"/>
        <v>65</v>
      </c>
      <c r="BW217" s="71" t="str">
        <f t="shared" si="869"/>
        <v>-</v>
      </c>
      <c r="BX217" s="72">
        <f t="shared" si="870"/>
        <v>101</v>
      </c>
      <c r="BY217" s="71">
        <f t="shared" si="871"/>
        <v>132</v>
      </c>
      <c r="BZ217" s="72">
        <f t="shared" si="872"/>
        <v>136</v>
      </c>
      <c r="CA217" s="71">
        <f t="shared" si="873"/>
        <v>172</v>
      </c>
      <c r="CB217" s="72">
        <f t="shared" si="874"/>
        <v>180</v>
      </c>
      <c r="CC217" s="71">
        <f t="shared" si="875"/>
        <v>217</v>
      </c>
      <c r="CD217" s="72">
        <f t="shared" si="876"/>
        <v>225</v>
      </c>
      <c r="CE217" s="71">
        <f t="shared" si="877"/>
        <v>268</v>
      </c>
      <c r="CF217" s="72">
        <f t="shared" si="878"/>
        <v>311</v>
      </c>
      <c r="CG217" s="71" t="str">
        <f t="shared" si="879"/>
        <v>-</v>
      </c>
      <c r="CH217" s="70">
        <f t="shared" si="880"/>
        <v>96</v>
      </c>
      <c r="CI217" s="71" t="str">
        <f t="shared" si="881"/>
        <v>-</v>
      </c>
      <c r="CJ217" s="72">
        <f t="shared" si="882"/>
        <v>130</v>
      </c>
      <c r="CK217" s="72">
        <f t="shared" si="883"/>
        <v>135</v>
      </c>
      <c r="CL217" s="72">
        <f t="shared" si="884"/>
        <v>171</v>
      </c>
      <c r="CM217" s="72">
        <f t="shared" si="885"/>
        <v>179</v>
      </c>
      <c r="CN217" s="72">
        <f t="shared" si="886"/>
        <v>206</v>
      </c>
      <c r="CO217" s="72">
        <f t="shared" si="887"/>
        <v>219</v>
      </c>
      <c r="CP217" s="72">
        <f t="shared" si="888"/>
        <v>262</v>
      </c>
      <c r="CQ217" s="72">
        <f t="shared" si="889"/>
        <v>306</v>
      </c>
      <c r="CR217" s="72">
        <f t="shared" si="890"/>
        <v>333</v>
      </c>
      <c r="CS217" s="72" t="str">
        <f t="shared" si="891"/>
        <v>-</v>
      </c>
      <c r="CT217" s="23" t="e">
        <f t="shared" si="892"/>
        <v>#VALUE!</v>
      </c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  <c r="ADW217" s="1"/>
      <c r="ADX217" s="1"/>
      <c r="ADY217" s="1"/>
      <c r="ADZ217" s="1"/>
      <c r="AEA217" s="1"/>
      <c r="AEB217" s="1"/>
      <c r="AEC217" s="1"/>
      <c r="AED217" s="1"/>
      <c r="AEE217" s="1"/>
      <c r="AEF217" s="1"/>
      <c r="AEG217" s="1"/>
      <c r="AEH217" s="1"/>
      <c r="AEI217" s="1"/>
      <c r="AEJ217" s="1"/>
      <c r="AEK217" s="1"/>
      <c r="AEL217" s="1"/>
      <c r="AEM217" s="1"/>
      <c r="AEN217" s="1"/>
      <c r="AEO217" s="1"/>
      <c r="AEP217" s="1"/>
      <c r="AEQ217" s="1"/>
      <c r="AER217" s="1"/>
      <c r="AES217" s="1"/>
      <c r="AET217" s="1"/>
      <c r="AEU217" s="1"/>
      <c r="AEV217" s="1"/>
      <c r="AEW217" s="1"/>
      <c r="AEX217" s="1"/>
      <c r="AEY217" s="1"/>
      <c r="AEZ217" s="1"/>
      <c r="AFA217" s="1"/>
      <c r="AFB217" s="1"/>
      <c r="AFC217" s="1"/>
      <c r="AFD217" s="1"/>
      <c r="AFE217" s="1"/>
      <c r="AFF217" s="1"/>
      <c r="AFG217" s="1"/>
      <c r="AFH217" s="1"/>
      <c r="AFI217" s="1"/>
      <c r="AFJ217" s="1"/>
      <c r="AFK217" s="1"/>
      <c r="AFL217" s="1"/>
      <c r="AFM217" s="1"/>
      <c r="AFN217" s="1"/>
      <c r="AFO217" s="1"/>
      <c r="AFP217" s="1"/>
      <c r="AFQ217" s="1"/>
      <c r="AFR217" s="1"/>
      <c r="AFS217" s="1"/>
      <c r="AFT217" s="1"/>
      <c r="AFU217" s="1"/>
      <c r="AFV217" s="1"/>
      <c r="AFW217" s="1"/>
      <c r="AFX217" s="1"/>
      <c r="AFY217" s="1"/>
      <c r="AFZ217" s="1"/>
      <c r="AGA217" s="1"/>
      <c r="AGB217" s="1"/>
      <c r="AGC217" s="1"/>
      <c r="AGD217" s="1"/>
      <c r="AGE217" s="1"/>
      <c r="AGF217" s="1"/>
      <c r="AGG217" s="1"/>
      <c r="AGH217" s="1"/>
      <c r="AGI217" s="1"/>
      <c r="AGJ217" s="1"/>
      <c r="AGK217" s="1"/>
      <c r="AGL217" s="1"/>
      <c r="AGM217" s="1"/>
      <c r="AGN217" s="1"/>
      <c r="AGO217" s="1"/>
      <c r="AGP217" s="1"/>
      <c r="AGQ217" s="1"/>
      <c r="AGR217" s="1"/>
      <c r="AGS217" s="1"/>
      <c r="AGT217" s="1"/>
      <c r="AGU217" s="1"/>
      <c r="AGV217" s="1"/>
      <c r="AGW217" s="1"/>
      <c r="AGX217" s="1"/>
      <c r="AGY217" s="1"/>
      <c r="AGZ217" s="1"/>
      <c r="AHA217" s="1"/>
      <c r="AHB217" s="1"/>
      <c r="AHC217" s="1"/>
      <c r="AHD217" s="1"/>
      <c r="AHE217" s="1"/>
      <c r="AHF217" s="1"/>
      <c r="AHG217" s="1"/>
      <c r="AHH217" s="1"/>
      <c r="AHI217" s="1"/>
      <c r="AHJ217" s="1"/>
      <c r="AHK217" s="1"/>
      <c r="AHL217" s="1"/>
      <c r="AHM217" s="1"/>
      <c r="AHN217" s="1"/>
      <c r="AHO217" s="1"/>
      <c r="AHP217" s="1"/>
      <c r="AHQ217" s="1"/>
      <c r="AHR217" s="1"/>
      <c r="AHS217" s="1"/>
      <c r="AHT217" s="1"/>
      <c r="AHU217" s="1"/>
      <c r="AHV217" s="1"/>
      <c r="AHW217" s="1"/>
      <c r="AHX217" s="1"/>
      <c r="AHY217" s="1"/>
      <c r="AHZ217" s="1"/>
      <c r="AIA217" s="1"/>
      <c r="AIB217" s="1"/>
      <c r="AIC217" s="1"/>
      <c r="AID217" s="1"/>
      <c r="AIE217" s="1"/>
      <c r="AIF217" s="1"/>
      <c r="AIG217" s="1"/>
      <c r="AIH217" s="1"/>
      <c r="AII217" s="1"/>
      <c r="AIJ217" s="1"/>
      <c r="AIK217" s="1"/>
      <c r="AIL217" s="1"/>
      <c r="AIM217" s="1"/>
      <c r="AIN217" s="1"/>
      <c r="AIO217" s="1"/>
      <c r="AIP217" s="1"/>
      <c r="AIQ217" s="1"/>
      <c r="AIR217" s="1"/>
      <c r="AIS217" s="1"/>
      <c r="AIT217" s="1"/>
      <c r="AIU217" s="1"/>
      <c r="AIV217" s="1"/>
      <c r="AIW217" s="1"/>
      <c r="AIX217" s="1"/>
      <c r="AIY217" s="1"/>
      <c r="AIZ217" s="1"/>
      <c r="AJA217" s="1"/>
      <c r="AJB217" s="1"/>
      <c r="AJC217" s="1"/>
      <c r="AJD217" s="1"/>
      <c r="AJE217" s="1"/>
      <c r="AJF217" s="1"/>
      <c r="AJG217" s="1"/>
      <c r="AJH217" s="1"/>
      <c r="AJI217" s="1"/>
      <c r="AJJ217" s="1"/>
      <c r="AJK217" s="1"/>
      <c r="AJL217" s="1"/>
      <c r="AJM217" s="1"/>
      <c r="AJN217" s="1"/>
      <c r="AJO217" s="1"/>
      <c r="AJP217" s="1"/>
      <c r="AJQ217" s="1"/>
      <c r="AJR217" s="1"/>
      <c r="AJS217" s="1"/>
      <c r="AJT217" s="1"/>
      <c r="AJU217" s="1"/>
      <c r="AJV217" s="1"/>
      <c r="AJW217" s="1"/>
      <c r="AJX217" s="1"/>
      <c r="AJY217" s="1"/>
      <c r="AJZ217" s="1"/>
      <c r="AKA217" s="1"/>
      <c r="AKB217" s="1"/>
      <c r="AKC217" s="1"/>
      <c r="AKD217" s="1"/>
      <c r="AKE217" s="1"/>
      <c r="AKF217" s="1"/>
      <c r="AKG217" s="1"/>
      <c r="AKH217" s="1"/>
      <c r="AKI217" s="1"/>
      <c r="AKJ217" s="1"/>
      <c r="AKK217" s="1"/>
      <c r="AKL217" s="1"/>
      <c r="AKM217" s="1"/>
      <c r="AKN217" s="1"/>
      <c r="AKO217" s="1"/>
      <c r="AKP217" s="1"/>
      <c r="AKQ217" s="1"/>
      <c r="AKR217" s="1"/>
      <c r="AKS217" s="1"/>
      <c r="AKT217" s="1"/>
      <c r="AKU217" s="1"/>
      <c r="AKV217" s="1"/>
      <c r="AKW217" s="1"/>
      <c r="AKX217" s="1"/>
      <c r="AKY217" s="1"/>
      <c r="AKZ217" s="1"/>
      <c r="ALA217" s="1"/>
      <c r="ALB217" s="1"/>
      <c r="ALC217" s="1"/>
      <c r="ALD217" s="1"/>
      <c r="ALE217" s="1"/>
      <c r="ALF217" s="1"/>
      <c r="ALG217" s="1"/>
      <c r="ALH217" s="1"/>
      <c r="ALI217" s="1"/>
      <c r="ALJ217" s="1"/>
      <c r="ALK217" s="1"/>
      <c r="ALL217" s="1"/>
      <c r="ALM217" s="1"/>
      <c r="ALN217" s="1"/>
      <c r="ALO217" s="1"/>
      <c r="ALP217" s="1"/>
      <c r="ALQ217" s="1"/>
      <c r="ALR217" s="1"/>
      <c r="ALS217" s="1"/>
      <c r="ALT217" s="1"/>
      <c r="ALU217" s="1"/>
      <c r="ALV217" s="1"/>
      <c r="ALW217" s="1"/>
      <c r="ALX217" s="1"/>
      <c r="ALY217" s="1"/>
      <c r="ALZ217" s="1"/>
      <c r="AMA217" s="1"/>
      <c r="AMB217" s="1"/>
      <c r="AMC217" s="1"/>
      <c r="AMD217" s="1"/>
      <c r="AME217" s="1"/>
      <c r="AMF217" s="1"/>
      <c r="AMG217" s="1"/>
      <c r="AMH217" s="1"/>
      <c r="AMI217" s="1"/>
      <c r="AMJ217" s="1"/>
      <c r="AMK217" s="1"/>
      <c r="AML217" s="1"/>
      <c r="AMM217" s="1"/>
      <c r="AMN217" s="1"/>
      <c r="AMO217" s="1"/>
    </row>
    <row r="218" spans="1:1030" x14ac:dyDescent="0.2">
      <c r="A218" s="3" t="str">
        <f>CONCATENATE(B218,"_",C218)</f>
        <v>oprm_mouse_6DDE</v>
      </c>
      <c r="B218" s="3" t="s">
        <v>918</v>
      </c>
      <c r="C218" s="3" t="s">
        <v>1515</v>
      </c>
      <c r="D218" s="3" t="str">
        <f>IFERROR(MID(VLOOKUP($B218,Seqs!$A:$B,2,0),E218,1),"")</f>
        <v>T</v>
      </c>
      <c r="E218" s="3">
        <v>67</v>
      </c>
      <c r="F218" s="3" t="str">
        <f>IFERROR(MID(VLOOKUP($B218,Seqs!$A:$B,2,0),G218,1),"")</f>
        <v>K</v>
      </c>
      <c r="G218" s="3">
        <v>98</v>
      </c>
      <c r="H218" s="3" t="str">
        <f>IFERROR(MID(VLOOKUP($B218,Seqs!$A:$B,2,0),I218,1),"")</f>
        <v/>
      </c>
      <c r="I218" s="23" t="s">
        <v>23</v>
      </c>
      <c r="J218" s="3" t="str">
        <f>IFERROR(MID(VLOOKUP($B218,Seqs!$A:$B,2,0),K218,1),"")</f>
        <v/>
      </c>
      <c r="K218" s="23" t="s">
        <v>23</v>
      </c>
      <c r="L218" s="3" t="str">
        <f>IFERROR(MID(VLOOKUP($B218,Seqs!$A:$B,2,0),M218,1),"")</f>
        <v>A</v>
      </c>
      <c r="M218" s="3">
        <v>102</v>
      </c>
      <c r="N218" s="3" t="str">
        <f>IFERROR(MID(VLOOKUP($B218,Seqs!$A:$B,2,0),O218,1),"")</f>
        <v>G</v>
      </c>
      <c r="O218" s="3">
        <v>131</v>
      </c>
      <c r="P218" s="3" t="str">
        <f>IFERROR(MID(VLOOKUP($B218,Seqs!$A:$B,2,0),Q218,1),"")</f>
        <v>T</v>
      </c>
      <c r="Q218" s="3">
        <v>132</v>
      </c>
      <c r="R218" s="3" t="str">
        <f>IFERROR(MID(VLOOKUP($B218,Seqs!$A:$B,2,0),S218,1),"")</f>
        <v>F</v>
      </c>
      <c r="S218" s="3">
        <v>135</v>
      </c>
      <c r="T218" s="3" t="str">
        <f>IFERROR(MID(VLOOKUP($B218,Seqs!$A:$B,2,0),U218,1),"")</f>
        <v>G</v>
      </c>
      <c r="U218" s="3">
        <v>136</v>
      </c>
      <c r="V218" s="3" t="str">
        <f>IFERROR(MID(VLOOKUP($B218,Seqs!$A:$B,2,0),W218,1),"")</f>
        <v>H</v>
      </c>
      <c r="W218" s="3">
        <v>171</v>
      </c>
      <c r="X218" s="3" t="str">
        <f>IFERROR(MID(VLOOKUP($B218,Seqs!$A:$B,2,0),Y218,1),"")</f>
        <v>P</v>
      </c>
      <c r="Y218" s="3">
        <v>172</v>
      </c>
      <c r="Z218" s="3" t="str">
        <f>IFERROR(MID(VLOOKUP($B218,Seqs!$A:$B,2,0),AA218,1),"")</f>
        <v>R</v>
      </c>
      <c r="AA218" s="3">
        <v>179</v>
      </c>
      <c r="AB218" s="3" t="str">
        <f>IFERROR(MID(VLOOKUP($B218,Seqs!$A:$B,2,0),AC218,1),"")</f>
        <v>T</v>
      </c>
      <c r="AC218" s="3">
        <v>180</v>
      </c>
      <c r="AD218" s="3" t="str">
        <f>IFERROR(MID(VLOOKUP($B218,Seqs!$A:$B,2,0),AE218,1),"")</f>
        <v>F</v>
      </c>
      <c r="AE218" s="3">
        <v>204</v>
      </c>
      <c r="AF218" s="3" t="str">
        <f>IFERROR(MID(VLOOKUP($B218,Seqs!$A:$B,2,0),AG218,1),"")</f>
        <v>C</v>
      </c>
      <c r="AG218" s="3">
        <v>217</v>
      </c>
      <c r="AH218" s="3" t="str">
        <f>IFERROR(MID(VLOOKUP($B218,Seqs!$A:$B,2,0),AI218,1),"")</f>
        <v>L</v>
      </c>
      <c r="AI218" s="3">
        <v>219</v>
      </c>
      <c r="AJ218" s="3" t="str">
        <f>IFERROR(MID(VLOOKUP($B218,Seqs!$A:$B,2,0),AK218,1),"")</f>
        <v>Y</v>
      </c>
      <c r="AK218" s="3">
        <v>227</v>
      </c>
      <c r="AL218" s="3" t="str">
        <f>IFERROR(MID(VLOOKUP($B218,Seqs!$A:$B,2,0),AM218,1),"")</f>
        <v>V</v>
      </c>
      <c r="AM218" s="3">
        <v>262</v>
      </c>
      <c r="AN218" s="3" t="str">
        <f>IFERROR(MID(VLOOKUP($B218,Seqs!$A:$B,2,0),AO218,1),"")</f>
        <v>S</v>
      </c>
      <c r="AO218" s="3">
        <v>268</v>
      </c>
      <c r="AP218" s="3" t="str">
        <f>IFERROR(MID(VLOOKUP($B218,Seqs!$A:$B,2,0),AQ218,1),"")</f>
        <v>I</v>
      </c>
      <c r="AQ218" s="3">
        <v>306</v>
      </c>
      <c r="AR218" s="3" t="str">
        <f>IFERROR(MID(VLOOKUP($B218,Seqs!$A:$B,2,0),AS218,1),"")</f>
        <v>F</v>
      </c>
      <c r="AS218" s="3">
        <v>313</v>
      </c>
      <c r="AT218" s="3" t="str">
        <f>IFERROR(MID(VLOOKUP($B218,Seqs!$A:$B,2,0),AU218,1),"")</f>
        <v>Y</v>
      </c>
      <c r="AU218" s="3">
        <v>336</v>
      </c>
      <c r="AV218" s="3" t="str">
        <f>IFERROR(MID(VLOOKUP($B218,Seqs!$A:$B,2,0),AW218,1),"")</f>
        <v/>
      </c>
      <c r="AW218" s="3" t="s">
        <v>23</v>
      </c>
      <c r="AX218" s="3" t="str">
        <f>IFERROR(MID(VLOOKUP($B218,Seqs!$A:$B,2,0),AY218,1),"")</f>
        <v/>
      </c>
      <c r="AY218" s="3" t="s">
        <v>23</v>
      </c>
      <c r="AZ218" s="77" t="str">
        <f>VLOOKUP(B218,Classification!A:D,2,0)</f>
        <v>A</v>
      </c>
      <c r="BA218" s="94" t="str">
        <f>VLOOKUP(B218,Classification!A:D,4,0)</f>
        <v>Opioid</v>
      </c>
      <c r="BB218" s="27" t="b">
        <f>AND(E218&lt;G218,OR(G218&lt;I218,I218="-"),OR(I218&lt;K218,I218="-"),OR(K218&lt;M218,K218="-"),M218&lt;O218,OR(O218&lt;Q218,Q218="-"),OR(Q218&lt;S218,Q218="-"),OR(S218&lt;U218,S218="-"),U218&lt;W218,OR(W218&lt;Y218,Y218="-"),OR(Y218&lt;AA218,Y218="-"),OR(AA218&lt;AC218,AA218="-"),AC218&lt;AE218,OR(AE218&lt;AG218,AG218="-"),OR(AG218&lt;AI218,AG218="-"),OR(AI218&lt;AK218,AI218="-"),AK218&lt;AM218,AM218&lt;AO218,AO218&lt;AQ218,AQ218&lt;AS218,AS218&lt;AU218,OR(AU218&lt;AW218,AW218="-"),OR(AW218&lt;AY218,AW218="-"))</f>
        <v>1</v>
      </c>
      <c r="BC218" s="23">
        <f>_xlfn.AGGREGATE(9,6,CH218:CS218)-_xlfn.AGGREGATE(9,6,BV218:CG218)+12</f>
        <v>239</v>
      </c>
      <c r="BD218" s="5" t="s">
        <v>23</v>
      </c>
      <c r="BE218" s="3" t="s">
        <v>1297</v>
      </c>
      <c r="BF218" s="119">
        <v>3.5</v>
      </c>
      <c r="BG218" s="49" t="s">
        <v>1432</v>
      </c>
      <c r="BH218" s="49" t="s">
        <v>1432</v>
      </c>
      <c r="BI218" s="1"/>
      <c r="BJ218" s="70" t="s">
        <v>1293</v>
      </c>
      <c r="BK218" s="57" t="s">
        <v>1293</v>
      </c>
      <c r="BL218" s="57" t="s">
        <v>1293</v>
      </c>
      <c r="BM218" s="57" t="s">
        <v>1293</v>
      </c>
      <c r="BN218" s="57" t="s">
        <v>1293</v>
      </c>
      <c r="BO218" s="57" t="s">
        <v>1293</v>
      </c>
      <c r="BP218" s="57" t="s">
        <v>1293</v>
      </c>
      <c r="BQ218" s="57" t="s">
        <v>1293</v>
      </c>
      <c r="BR218" s="57" t="s">
        <v>1293</v>
      </c>
      <c r="BS218" s="57" t="s">
        <v>1293</v>
      </c>
      <c r="BT218" s="57" t="s">
        <v>1293</v>
      </c>
      <c r="BU218" s="57" t="s">
        <v>1293</v>
      </c>
      <c r="BV218" s="70">
        <f>E218</f>
        <v>67</v>
      </c>
      <c r="BW218" s="71" t="str">
        <f>I218</f>
        <v>-</v>
      </c>
      <c r="BX218" s="72">
        <f>M218</f>
        <v>102</v>
      </c>
      <c r="BY218" s="71">
        <f>Q218</f>
        <v>132</v>
      </c>
      <c r="BZ218" s="72">
        <f>U218</f>
        <v>136</v>
      </c>
      <c r="CA218" s="71">
        <f>Y218</f>
        <v>172</v>
      </c>
      <c r="CB218" s="72">
        <f>AC218</f>
        <v>180</v>
      </c>
      <c r="CC218" s="71">
        <f>AG218</f>
        <v>217</v>
      </c>
      <c r="CD218" s="72">
        <f>AK218</f>
        <v>227</v>
      </c>
      <c r="CE218" s="71">
        <f>AO218</f>
        <v>268</v>
      </c>
      <c r="CF218" s="72">
        <f>AS218</f>
        <v>313</v>
      </c>
      <c r="CG218" s="71" t="str">
        <f>AW218</f>
        <v>-</v>
      </c>
      <c r="CH218" s="70">
        <f>G218</f>
        <v>98</v>
      </c>
      <c r="CI218" s="71" t="str">
        <f>K218</f>
        <v>-</v>
      </c>
      <c r="CJ218" s="72">
        <f>O218</f>
        <v>131</v>
      </c>
      <c r="CK218" s="72">
        <f>S218</f>
        <v>135</v>
      </c>
      <c r="CL218" s="72">
        <f>W218</f>
        <v>171</v>
      </c>
      <c r="CM218" s="72">
        <f>AA218</f>
        <v>179</v>
      </c>
      <c r="CN218" s="72">
        <f>AE218</f>
        <v>204</v>
      </c>
      <c r="CO218" s="72">
        <f>AI218</f>
        <v>219</v>
      </c>
      <c r="CP218" s="72">
        <f>AM218</f>
        <v>262</v>
      </c>
      <c r="CQ218" s="72">
        <f>AQ218</f>
        <v>306</v>
      </c>
      <c r="CR218" s="72">
        <f>AU218</f>
        <v>336</v>
      </c>
      <c r="CS218" s="72" t="str">
        <f>AY218</f>
        <v>-</v>
      </c>
      <c r="CT218" s="23" t="e">
        <f>M218-K218</f>
        <v>#VALUE!</v>
      </c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  <c r="ADW218" s="1"/>
      <c r="ADX218" s="1"/>
      <c r="ADY218" s="1"/>
      <c r="ADZ218" s="1"/>
      <c r="AEA218" s="1"/>
      <c r="AEB218" s="1"/>
      <c r="AEC218" s="1"/>
      <c r="AED218" s="1"/>
      <c r="AEE218" s="1"/>
      <c r="AEF218" s="1"/>
      <c r="AEG218" s="1"/>
      <c r="AEH218" s="1"/>
      <c r="AEI218" s="1"/>
      <c r="AEJ218" s="1"/>
      <c r="AEK218" s="1"/>
      <c r="AEL218" s="1"/>
      <c r="AEM218" s="1"/>
      <c r="AEN218" s="1"/>
      <c r="AEO218" s="1"/>
      <c r="AEP218" s="1"/>
      <c r="AEQ218" s="1"/>
      <c r="AER218" s="1"/>
      <c r="AES218" s="1"/>
      <c r="AET218" s="1"/>
      <c r="AEU218" s="1"/>
      <c r="AEV218" s="1"/>
      <c r="AEW218" s="1"/>
      <c r="AEX218" s="1"/>
      <c r="AEY218" s="1"/>
      <c r="AEZ218" s="1"/>
      <c r="AFA218" s="1"/>
      <c r="AFB218" s="1"/>
      <c r="AFC218" s="1"/>
      <c r="AFD218" s="1"/>
      <c r="AFE218" s="1"/>
      <c r="AFF218" s="1"/>
      <c r="AFG218" s="1"/>
      <c r="AFH218" s="1"/>
      <c r="AFI218" s="1"/>
      <c r="AFJ218" s="1"/>
      <c r="AFK218" s="1"/>
      <c r="AFL218" s="1"/>
      <c r="AFM218" s="1"/>
      <c r="AFN218" s="1"/>
      <c r="AFO218" s="1"/>
      <c r="AFP218" s="1"/>
      <c r="AFQ218" s="1"/>
      <c r="AFR218" s="1"/>
      <c r="AFS218" s="1"/>
      <c r="AFT218" s="1"/>
      <c r="AFU218" s="1"/>
      <c r="AFV218" s="1"/>
      <c r="AFW218" s="1"/>
      <c r="AFX218" s="1"/>
      <c r="AFY218" s="1"/>
      <c r="AFZ218" s="1"/>
      <c r="AGA218" s="1"/>
      <c r="AGB218" s="1"/>
      <c r="AGC218" s="1"/>
      <c r="AGD218" s="1"/>
      <c r="AGE218" s="1"/>
      <c r="AGF218" s="1"/>
      <c r="AGG218" s="1"/>
      <c r="AGH218" s="1"/>
      <c r="AGI218" s="1"/>
      <c r="AGJ218" s="1"/>
      <c r="AGK218" s="1"/>
      <c r="AGL218" s="1"/>
      <c r="AGM218" s="1"/>
      <c r="AGN218" s="1"/>
      <c r="AGO218" s="1"/>
      <c r="AGP218" s="1"/>
      <c r="AGQ218" s="1"/>
      <c r="AGR218" s="1"/>
      <c r="AGS218" s="1"/>
      <c r="AGT218" s="1"/>
      <c r="AGU218" s="1"/>
      <c r="AGV218" s="1"/>
      <c r="AGW218" s="1"/>
      <c r="AGX218" s="1"/>
      <c r="AGY218" s="1"/>
      <c r="AGZ218" s="1"/>
      <c r="AHA218" s="1"/>
      <c r="AHB218" s="1"/>
      <c r="AHC218" s="1"/>
      <c r="AHD218" s="1"/>
      <c r="AHE218" s="1"/>
      <c r="AHF218" s="1"/>
      <c r="AHG218" s="1"/>
      <c r="AHH218" s="1"/>
      <c r="AHI218" s="1"/>
      <c r="AHJ218" s="1"/>
      <c r="AHK218" s="1"/>
      <c r="AHL218" s="1"/>
      <c r="AHM218" s="1"/>
      <c r="AHN218" s="1"/>
      <c r="AHO218" s="1"/>
      <c r="AHP218" s="1"/>
      <c r="AHQ218" s="1"/>
      <c r="AHR218" s="1"/>
      <c r="AHS218" s="1"/>
      <c r="AHT218" s="1"/>
      <c r="AHU218" s="1"/>
      <c r="AHV218" s="1"/>
      <c r="AHW218" s="1"/>
      <c r="AHX218" s="1"/>
      <c r="AHY218" s="1"/>
      <c r="AHZ218" s="1"/>
      <c r="AIA218" s="1"/>
      <c r="AIB218" s="1"/>
      <c r="AIC218" s="1"/>
      <c r="AID218" s="1"/>
      <c r="AIE218" s="1"/>
      <c r="AIF218" s="1"/>
      <c r="AIG218" s="1"/>
      <c r="AIH218" s="1"/>
      <c r="AII218" s="1"/>
      <c r="AIJ218" s="1"/>
      <c r="AIK218" s="1"/>
      <c r="AIL218" s="1"/>
      <c r="AIM218" s="1"/>
      <c r="AIN218" s="1"/>
      <c r="AIO218" s="1"/>
      <c r="AIP218" s="1"/>
      <c r="AIQ218" s="1"/>
      <c r="AIR218" s="1"/>
      <c r="AIS218" s="1"/>
      <c r="AIT218" s="1"/>
      <c r="AIU218" s="1"/>
      <c r="AIV218" s="1"/>
      <c r="AIW218" s="1"/>
      <c r="AIX218" s="1"/>
      <c r="AIY218" s="1"/>
      <c r="AIZ218" s="1"/>
      <c r="AJA218" s="1"/>
      <c r="AJB218" s="1"/>
      <c r="AJC218" s="1"/>
      <c r="AJD218" s="1"/>
      <c r="AJE218" s="1"/>
      <c r="AJF218" s="1"/>
      <c r="AJG218" s="1"/>
      <c r="AJH218" s="1"/>
      <c r="AJI218" s="1"/>
      <c r="AJJ218" s="1"/>
      <c r="AJK218" s="1"/>
      <c r="AJL218" s="1"/>
      <c r="AJM218" s="1"/>
      <c r="AJN218" s="1"/>
      <c r="AJO218" s="1"/>
      <c r="AJP218" s="1"/>
      <c r="AJQ218" s="1"/>
      <c r="AJR218" s="1"/>
      <c r="AJS218" s="1"/>
      <c r="AJT218" s="1"/>
      <c r="AJU218" s="1"/>
      <c r="AJV218" s="1"/>
      <c r="AJW218" s="1"/>
      <c r="AJX218" s="1"/>
      <c r="AJY218" s="1"/>
      <c r="AJZ218" s="1"/>
      <c r="AKA218" s="1"/>
      <c r="AKB218" s="1"/>
      <c r="AKC218" s="1"/>
      <c r="AKD218" s="1"/>
      <c r="AKE218" s="1"/>
      <c r="AKF218" s="1"/>
      <c r="AKG218" s="1"/>
      <c r="AKH218" s="1"/>
      <c r="AKI218" s="1"/>
      <c r="AKJ218" s="1"/>
      <c r="AKK218" s="1"/>
      <c r="AKL218" s="1"/>
      <c r="AKM218" s="1"/>
      <c r="AKN218" s="1"/>
      <c r="AKO218" s="1"/>
      <c r="AKP218" s="1"/>
      <c r="AKQ218" s="1"/>
      <c r="AKR218" s="1"/>
      <c r="AKS218" s="1"/>
      <c r="AKT218" s="1"/>
      <c r="AKU218" s="1"/>
      <c r="AKV218" s="1"/>
      <c r="AKW218" s="1"/>
      <c r="AKX218" s="1"/>
      <c r="AKY218" s="1"/>
      <c r="AKZ218" s="1"/>
      <c r="ALA218" s="1"/>
      <c r="ALB218" s="1"/>
      <c r="ALC218" s="1"/>
      <c r="ALD218" s="1"/>
      <c r="ALE218" s="1"/>
      <c r="ALF218" s="1"/>
      <c r="ALG218" s="1"/>
      <c r="ALH218" s="1"/>
      <c r="ALI218" s="1"/>
      <c r="ALJ218" s="1"/>
      <c r="ALK218" s="1"/>
      <c r="ALL218" s="1"/>
      <c r="ALM218" s="1"/>
      <c r="ALN218" s="1"/>
      <c r="ALO218" s="1"/>
      <c r="ALP218" s="1"/>
      <c r="ALQ218" s="1"/>
      <c r="ALR218" s="1"/>
      <c r="ALS218" s="1"/>
      <c r="ALT218" s="1"/>
      <c r="ALU218" s="1"/>
      <c r="ALV218" s="1"/>
      <c r="ALW218" s="1"/>
      <c r="ALX218" s="1"/>
      <c r="ALY218" s="1"/>
      <c r="ALZ218" s="1"/>
      <c r="AMA218" s="1"/>
      <c r="AMB218" s="1"/>
      <c r="AMC218" s="1"/>
      <c r="AMD218" s="1"/>
      <c r="AME218" s="1"/>
      <c r="AMF218" s="1"/>
      <c r="AMG218" s="1"/>
      <c r="AMH218" s="1"/>
      <c r="AMI218" s="1"/>
      <c r="AMJ218" s="1"/>
      <c r="AMK218" s="1"/>
      <c r="AML218" s="1"/>
      <c r="AMM218" s="1"/>
      <c r="AMN218" s="1"/>
      <c r="AMO218" s="1"/>
    </row>
    <row r="219" spans="1:1030" x14ac:dyDescent="0.2">
      <c r="A219" s="3" t="str">
        <f>CONCATENATE(B219,"_",C219)</f>
        <v>oprm_mouse_6DDF</v>
      </c>
      <c r="B219" s="3" t="s">
        <v>918</v>
      </c>
      <c r="C219" s="3" t="s">
        <v>1516</v>
      </c>
      <c r="D219" s="3" t="str">
        <f>IFERROR(MID(VLOOKUP($B219,Seqs!$A:$B,2,0),E219,1),"")</f>
        <v>T</v>
      </c>
      <c r="E219" s="3">
        <v>67</v>
      </c>
      <c r="F219" s="3" t="str">
        <f>IFERROR(MID(VLOOKUP($B219,Seqs!$A:$B,2,0),G219,1),"")</f>
        <v>K</v>
      </c>
      <c r="G219" s="3">
        <v>98</v>
      </c>
      <c r="H219" s="3" t="str">
        <f>IFERROR(MID(VLOOKUP($B219,Seqs!$A:$B,2,0),I219,1),"")</f>
        <v/>
      </c>
      <c r="I219" s="23" t="s">
        <v>23</v>
      </c>
      <c r="J219" s="3" t="str">
        <f>IFERROR(MID(VLOOKUP($B219,Seqs!$A:$B,2,0),K219,1),"")</f>
        <v/>
      </c>
      <c r="K219" s="23" t="s">
        <v>23</v>
      </c>
      <c r="L219" s="3" t="str">
        <f>IFERROR(MID(VLOOKUP($B219,Seqs!$A:$B,2,0),M219,1),"")</f>
        <v>A</v>
      </c>
      <c r="M219" s="3">
        <v>102</v>
      </c>
      <c r="N219" s="3" t="str">
        <f>IFERROR(MID(VLOOKUP($B219,Seqs!$A:$B,2,0),O219,1),"")</f>
        <v>G</v>
      </c>
      <c r="O219" s="3">
        <v>131</v>
      </c>
      <c r="P219" s="3" t="str">
        <f>IFERROR(MID(VLOOKUP($B219,Seqs!$A:$B,2,0),Q219,1),"")</f>
        <v>T</v>
      </c>
      <c r="Q219" s="3">
        <v>132</v>
      </c>
      <c r="R219" s="3" t="str">
        <f>IFERROR(MID(VLOOKUP($B219,Seqs!$A:$B,2,0),S219,1),"")</f>
        <v>F</v>
      </c>
      <c r="S219" s="3">
        <v>135</v>
      </c>
      <c r="T219" s="3" t="str">
        <f>IFERROR(MID(VLOOKUP($B219,Seqs!$A:$B,2,0),U219,1),"")</f>
        <v>G</v>
      </c>
      <c r="U219" s="3">
        <v>136</v>
      </c>
      <c r="V219" s="3" t="str">
        <f>IFERROR(MID(VLOOKUP($B219,Seqs!$A:$B,2,0),W219,1),"")</f>
        <v>H</v>
      </c>
      <c r="W219" s="3">
        <v>171</v>
      </c>
      <c r="X219" s="3" t="str">
        <f>IFERROR(MID(VLOOKUP($B219,Seqs!$A:$B,2,0),Y219,1),"")</f>
        <v>P</v>
      </c>
      <c r="Y219" s="3">
        <v>172</v>
      </c>
      <c r="Z219" s="3" t="str">
        <f>IFERROR(MID(VLOOKUP($B219,Seqs!$A:$B,2,0),AA219,1),"")</f>
        <v>R</v>
      </c>
      <c r="AA219" s="3">
        <v>179</v>
      </c>
      <c r="AB219" s="3" t="str">
        <f>IFERROR(MID(VLOOKUP($B219,Seqs!$A:$B,2,0),AC219,1),"")</f>
        <v>T</v>
      </c>
      <c r="AC219" s="3">
        <v>180</v>
      </c>
      <c r="AD219" s="3" t="str">
        <f>IFERROR(MID(VLOOKUP($B219,Seqs!$A:$B,2,0),AE219,1),"")</f>
        <v>F</v>
      </c>
      <c r="AE219" s="3">
        <v>204</v>
      </c>
      <c r="AF219" s="3" t="str">
        <f>IFERROR(MID(VLOOKUP($B219,Seqs!$A:$B,2,0),AG219,1),"")</f>
        <v>C</v>
      </c>
      <c r="AG219" s="3">
        <v>217</v>
      </c>
      <c r="AH219" s="3" t="str">
        <f>IFERROR(MID(VLOOKUP($B219,Seqs!$A:$B,2,0),AI219,1),"")</f>
        <v>L</v>
      </c>
      <c r="AI219" s="3">
        <v>219</v>
      </c>
      <c r="AJ219" s="3" t="str">
        <f>IFERROR(MID(VLOOKUP($B219,Seqs!$A:$B,2,0),AK219,1),"")</f>
        <v>Y</v>
      </c>
      <c r="AK219" s="3">
        <v>227</v>
      </c>
      <c r="AL219" s="3" t="str">
        <f>IFERROR(MID(VLOOKUP($B219,Seqs!$A:$B,2,0),AM219,1),"")</f>
        <v>V</v>
      </c>
      <c r="AM219" s="3">
        <v>262</v>
      </c>
      <c r="AN219" s="3" t="str">
        <f>IFERROR(MID(VLOOKUP($B219,Seqs!$A:$B,2,0),AO219,1),"")</f>
        <v>S</v>
      </c>
      <c r="AO219" s="3">
        <v>268</v>
      </c>
      <c r="AP219" s="3" t="str">
        <f>IFERROR(MID(VLOOKUP($B219,Seqs!$A:$B,2,0),AQ219,1),"")</f>
        <v>I</v>
      </c>
      <c r="AQ219" s="3">
        <v>306</v>
      </c>
      <c r="AR219" s="3" t="str">
        <f>IFERROR(MID(VLOOKUP($B219,Seqs!$A:$B,2,0),AS219,1),"")</f>
        <v>F</v>
      </c>
      <c r="AS219" s="3">
        <v>313</v>
      </c>
      <c r="AT219" s="3" t="str">
        <f>IFERROR(MID(VLOOKUP($B219,Seqs!$A:$B,2,0),AU219,1),"")</f>
        <v>Y</v>
      </c>
      <c r="AU219" s="3">
        <v>336</v>
      </c>
      <c r="AV219" s="3" t="str">
        <f>IFERROR(MID(VLOOKUP($B219,Seqs!$A:$B,2,0),AW219,1),"")</f>
        <v/>
      </c>
      <c r="AW219" s="3" t="s">
        <v>23</v>
      </c>
      <c r="AX219" s="3" t="str">
        <f>IFERROR(MID(VLOOKUP($B219,Seqs!$A:$B,2,0),AY219,1),"")</f>
        <v/>
      </c>
      <c r="AY219" s="3" t="s">
        <v>23</v>
      </c>
      <c r="AZ219" s="77" t="str">
        <f>VLOOKUP(B219,Classification!A:D,2,0)</f>
        <v>A</v>
      </c>
      <c r="BA219" s="94" t="str">
        <f>VLOOKUP(B219,Classification!A:D,4,0)</f>
        <v>Opioid</v>
      </c>
      <c r="BB219" s="27" t="b">
        <f>AND(E219&lt;G219,OR(G219&lt;I219,I219="-"),OR(I219&lt;K219,I219="-"),OR(K219&lt;M219,K219="-"),M219&lt;O219,OR(O219&lt;Q219,Q219="-"),OR(Q219&lt;S219,Q219="-"),OR(S219&lt;U219,S219="-"),U219&lt;W219,OR(W219&lt;Y219,Y219="-"),OR(Y219&lt;AA219,Y219="-"),OR(AA219&lt;AC219,AA219="-"),AC219&lt;AE219,OR(AE219&lt;AG219,AG219="-"),OR(AG219&lt;AI219,AG219="-"),OR(AI219&lt;AK219,AI219="-"),AK219&lt;AM219,AM219&lt;AO219,AO219&lt;AQ219,AQ219&lt;AS219,AS219&lt;AU219,OR(AU219&lt;AW219,AW219="-"),OR(AW219&lt;AY219,AW219="-"))</f>
        <v>1</v>
      </c>
      <c r="BC219" s="23">
        <f>_xlfn.AGGREGATE(9,6,CH219:CS219)-_xlfn.AGGREGATE(9,6,BV219:CG219)+12</f>
        <v>239</v>
      </c>
      <c r="BD219" s="5" t="s">
        <v>23</v>
      </c>
      <c r="BE219" s="3" t="s">
        <v>1297</v>
      </c>
      <c r="BF219" s="119">
        <v>4.5</v>
      </c>
      <c r="BG219" s="49" t="s">
        <v>1432</v>
      </c>
      <c r="BH219" s="49" t="s">
        <v>1432</v>
      </c>
      <c r="BI219" s="1"/>
      <c r="BJ219" s="70" t="s">
        <v>1293</v>
      </c>
      <c r="BK219" s="57" t="s">
        <v>1293</v>
      </c>
      <c r="BL219" s="57" t="s">
        <v>1293</v>
      </c>
      <c r="BM219" s="57" t="s">
        <v>1293</v>
      </c>
      <c r="BN219" s="57" t="s">
        <v>1293</v>
      </c>
      <c r="BO219" s="57" t="s">
        <v>1293</v>
      </c>
      <c r="BP219" s="57" t="s">
        <v>1293</v>
      </c>
      <c r="BQ219" s="57" t="s">
        <v>1293</v>
      </c>
      <c r="BR219" s="57" t="s">
        <v>1293</v>
      </c>
      <c r="BS219" s="57" t="s">
        <v>1293</v>
      </c>
      <c r="BT219" s="57" t="s">
        <v>1293</v>
      </c>
      <c r="BU219" s="57" t="s">
        <v>1293</v>
      </c>
      <c r="BV219" s="70">
        <f>E219</f>
        <v>67</v>
      </c>
      <c r="BW219" s="71" t="str">
        <f>I219</f>
        <v>-</v>
      </c>
      <c r="BX219" s="72">
        <f>M219</f>
        <v>102</v>
      </c>
      <c r="BY219" s="71">
        <f>Q219</f>
        <v>132</v>
      </c>
      <c r="BZ219" s="72">
        <f>U219</f>
        <v>136</v>
      </c>
      <c r="CA219" s="71">
        <f>Y219</f>
        <v>172</v>
      </c>
      <c r="CB219" s="72">
        <f>AC219</f>
        <v>180</v>
      </c>
      <c r="CC219" s="71">
        <f>AG219</f>
        <v>217</v>
      </c>
      <c r="CD219" s="72">
        <f>AK219</f>
        <v>227</v>
      </c>
      <c r="CE219" s="71">
        <f>AO219</f>
        <v>268</v>
      </c>
      <c r="CF219" s="72">
        <f>AS219</f>
        <v>313</v>
      </c>
      <c r="CG219" s="71" t="str">
        <f>AW219</f>
        <v>-</v>
      </c>
      <c r="CH219" s="70">
        <f>G219</f>
        <v>98</v>
      </c>
      <c r="CI219" s="71" t="str">
        <f>K219</f>
        <v>-</v>
      </c>
      <c r="CJ219" s="72">
        <f>O219</f>
        <v>131</v>
      </c>
      <c r="CK219" s="72">
        <f>S219</f>
        <v>135</v>
      </c>
      <c r="CL219" s="72">
        <f>W219</f>
        <v>171</v>
      </c>
      <c r="CM219" s="72">
        <f>AA219</f>
        <v>179</v>
      </c>
      <c r="CN219" s="72">
        <f>AE219</f>
        <v>204</v>
      </c>
      <c r="CO219" s="72">
        <f>AI219</f>
        <v>219</v>
      </c>
      <c r="CP219" s="72">
        <f>AM219</f>
        <v>262</v>
      </c>
      <c r="CQ219" s="72">
        <f>AQ219</f>
        <v>306</v>
      </c>
      <c r="CR219" s="72">
        <f>AU219</f>
        <v>336</v>
      </c>
      <c r="CS219" s="72" t="str">
        <f>AY219</f>
        <v>-</v>
      </c>
      <c r="CT219" s="23" t="e">
        <f>M219-K219</f>
        <v>#VALUE!</v>
      </c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  <c r="ADW219" s="1"/>
      <c r="ADX219" s="1"/>
      <c r="ADY219" s="1"/>
      <c r="ADZ219" s="1"/>
      <c r="AEA219" s="1"/>
      <c r="AEB219" s="1"/>
      <c r="AEC219" s="1"/>
      <c r="AED219" s="1"/>
      <c r="AEE219" s="1"/>
      <c r="AEF219" s="1"/>
      <c r="AEG219" s="1"/>
      <c r="AEH219" s="1"/>
      <c r="AEI219" s="1"/>
      <c r="AEJ219" s="1"/>
      <c r="AEK219" s="1"/>
      <c r="AEL219" s="1"/>
      <c r="AEM219" s="1"/>
      <c r="AEN219" s="1"/>
      <c r="AEO219" s="1"/>
      <c r="AEP219" s="1"/>
      <c r="AEQ219" s="1"/>
      <c r="AER219" s="1"/>
      <c r="AES219" s="1"/>
      <c r="AET219" s="1"/>
      <c r="AEU219" s="1"/>
      <c r="AEV219" s="1"/>
      <c r="AEW219" s="1"/>
      <c r="AEX219" s="1"/>
      <c r="AEY219" s="1"/>
      <c r="AEZ219" s="1"/>
      <c r="AFA219" s="1"/>
      <c r="AFB219" s="1"/>
      <c r="AFC219" s="1"/>
      <c r="AFD219" s="1"/>
      <c r="AFE219" s="1"/>
      <c r="AFF219" s="1"/>
      <c r="AFG219" s="1"/>
      <c r="AFH219" s="1"/>
      <c r="AFI219" s="1"/>
      <c r="AFJ219" s="1"/>
      <c r="AFK219" s="1"/>
      <c r="AFL219" s="1"/>
      <c r="AFM219" s="1"/>
      <c r="AFN219" s="1"/>
      <c r="AFO219" s="1"/>
      <c r="AFP219" s="1"/>
      <c r="AFQ219" s="1"/>
      <c r="AFR219" s="1"/>
      <c r="AFS219" s="1"/>
      <c r="AFT219" s="1"/>
      <c r="AFU219" s="1"/>
      <c r="AFV219" s="1"/>
      <c r="AFW219" s="1"/>
      <c r="AFX219" s="1"/>
      <c r="AFY219" s="1"/>
      <c r="AFZ219" s="1"/>
      <c r="AGA219" s="1"/>
      <c r="AGB219" s="1"/>
      <c r="AGC219" s="1"/>
      <c r="AGD219" s="1"/>
      <c r="AGE219" s="1"/>
      <c r="AGF219" s="1"/>
      <c r="AGG219" s="1"/>
      <c r="AGH219" s="1"/>
      <c r="AGI219" s="1"/>
      <c r="AGJ219" s="1"/>
      <c r="AGK219" s="1"/>
      <c r="AGL219" s="1"/>
      <c r="AGM219" s="1"/>
      <c r="AGN219" s="1"/>
      <c r="AGO219" s="1"/>
      <c r="AGP219" s="1"/>
      <c r="AGQ219" s="1"/>
      <c r="AGR219" s="1"/>
      <c r="AGS219" s="1"/>
      <c r="AGT219" s="1"/>
      <c r="AGU219" s="1"/>
      <c r="AGV219" s="1"/>
      <c r="AGW219" s="1"/>
      <c r="AGX219" s="1"/>
      <c r="AGY219" s="1"/>
      <c r="AGZ219" s="1"/>
      <c r="AHA219" s="1"/>
      <c r="AHB219" s="1"/>
      <c r="AHC219" s="1"/>
      <c r="AHD219" s="1"/>
      <c r="AHE219" s="1"/>
      <c r="AHF219" s="1"/>
      <c r="AHG219" s="1"/>
      <c r="AHH219" s="1"/>
      <c r="AHI219" s="1"/>
      <c r="AHJ219" s="1"/>
      <c r="AHK219" s="1"/>
      <c r="AHL219" s="1"/>
      <c r="AHM219" s="1"/>
      <c r="AHN219" s="1"/>
      <c r="AHO219" s="1"/>
      <c r="AHP219" s="1"/>
      <c r="AHQ219" s="1"/>
      <c r="AHR219" s="1"/>
      <c r="AHS219" s="1"/>
      <c r="AHT219" s="1"/>
      <c r="AHU219" s="1"/>
      <c r="AHV219" s="1"/>
      <c r="AHW219" s="1"/>
      <c r="AHX219" s="1"/>
      <c r="AHY219" s="1"/>
      <c r="AHZ219" s="1"/>
      <c r="AIA219" s="1"/>
      <c r="AIB219" s="1"/>
      <c r="AIC219" s="1"/>
      <c r="AID219" s="1"/>
      <c r="AIE219" s="1"/>
      <c r="AIF219" s="1"/>
      <c r="AIG219" s="1"/>
      <c r="AIH219" s="1"/>
      <c r="AII219" s="1"/>
      <c r="AIJ219" s="1"/>
      <c r="AIK219" s="1"/>
      <c r="AIL219" s="1"/>
      <c r="AIM219" s="1"/>
      <c r="AIN219" s="1"/>
      <c r="AIO219" s="1"/>
      <c r="AIP219" s="1"/>
      <c r="AIQ219" s="1"/>
      <c r="AIR219" s="1"/>
      <c r="AIS219" s="1"/>
      <c r="AIT219" s="1"/>
      <c r="AIU219" s="1"/>
      <c r="AIV219" s="1"/>
      <c r="AIW219" s="1"/>
      <c r="AIX219" s="1"/>
      <c r="AIY219" s="1"/>
      <c r="AIZ219" s="1"/>
      <c r="AJA219" s="1"/>
      <c r="AJB219" s="1"/>
      <c r="AJC219" s="1"/>
      <c r="AJD219" s="1"/>
      <c r="AJE219" s="1"/>
      <c r="AJF219" s="1"/>
      <c r="AJG219" s="1"/>
      <c r="AJH219" s="1"/>
      <c r="AJI219" s="1"/>
      <c r="AJJ219" s="1"/>
      <c r="AJK219" s="1"/>
      <c r="AJL219" s="1"/>
      <c r="AJM219" s="1"/>
      <c r="AJN219" s="1"/>
      <c r="AJO219" s="1"/>
      <c r="AJP219" s="1"/>
      <c r="AJQ219" s="1"/>
      <c r="AJR219" s="1"/>
      <c r="AJS219" s="1"/>
      <c r="AJT219" s="1"/>
      <c r="AJU219" s="1"/>
      <c r="AJV219" s="1"/>
      <c r="AJW219" s="1"/>
      <c r="AJX219" s="1"/>
      <c r="AJY219" s="1"/>
      <c r="AJZ219" s="1"/>
      <c r="AKA219" s="1"/>
      <c r="AKB219" s="1"/>
      <c r="AKC219" s="1"/>
      <c r="AKD219" s="1"/>
      <c r="AKE219" s="1"/>
      <c r="AKF219" s="1"/>
      <c r="AKG219" s="1"/>
      <c r="AKH219" s="1"/>
      <c r="AKI219" s="1"/>
      <c r="AKJ219" s="1"/>
      <c r="AKK219" s="1"/>
      <c r="AKL219" s="1"/>
      <c r="AKM219" s="1"/>
      <c r="AKN219" s="1"/>
      <c r="AKO219" s="1"/>
      <c r="AKP219" s="1"/>
      <c r="AKQ219" s="1"/>
      <c r="AKR219" s="1"/>
      <c r="AKS219" s="1"/>
      <c r="AKT219" s="1"/>
      <c r="AKU219" s="1"/>
      <c r="AKV219" s="1"/>
      <c r="AKW219" s="1"/>
      <c r="AKX219" s="1"/>
      <c r="AKY219" s="1"/>
      <c r="AKZ219" s="1"/>
      <c r="ALA219" s="1"/>
      <c r="ALB219" s="1"/>
      <c r="ALC219" s="1"/>
      <c r="ALD219" s="1"/>
      <c r="ALE219" s="1"/>
      <c r="ALF219" s="1"/>
      <c r="ALG219" s="1"/>
      <c r="ALH219" s="1"/>
      <c r="ALI219" s="1"/>
      <c r="ALJ219" s="1"/>
      <c r="ALK219" s="1"/>
      <c r="ALL219" s="1"/>
      <c r="ALM219" s="1"/>
      <c r="ALN219" s="1"/>
      <c r="ALO219" s="1"/>
      <c r="ALP219" s="1"/>
      <c r="ALQ219" s="1"/>
      <c r="ALR219" s="1"/>
      <c r="ALS219" s="1"/>
      <c r="ALT219" s="1"/>
      <c r="ALU219" s="1"/>
      <c r="ALV219" s="1"/>
      <c r="ALW219" s="1"/>
      <c r="ALX219" s="1"/>
      <c r="ALY219" s="1"/>
      <c r="ALZ219" s="1"/>
      <c r="AMA219" s="1"/>
      <c r="AMB219" s="1"/>
      <c r="AMC219" s="1"/>
      <c r="AMD219" s="1"/>
      <c r="AME219" s="1"/>
      <c r="AMF219" s="1"/>
      <c r="AMG219" s="1"/>
      <c r="AMH219" s="1"/>
      <c r="AMI219" s="1"/>
      <c r="AMJ219" s="1"/>
      <c r="AMK219" s="1"/>
      <c r="AML219" s="1"/>
      <c r="AMM219" s="1"/>
      <c r="AMN219" s="1"/>
      <c r="AMO219" s="1"/>
    </row>
    <row r="220" spans="1:1030" x14ac:dyDescent="0.2">
      <c r="A220" s="3" t="str">
        <f t="shared" si="893"/>
        <v>oprx_human__wt</v>
      </c>
      <c r="B220" s="3" t="s">
        <v>1174</v>
      </c>
      <c r="C220" s="3" t="s">
        <v>100</v>
      </c>
      <c r="D220" s="3" t="str">
        <f>IFERROR(MID(VLOOKUP($B220,Seqs!$A:$B,2,0),E220,1),"")</f>
        <v>L</v>
      </c>
      <c r="E220" s="3">
        <v>48</v>
      </c>
      <c r="F220" s="3" t="str">
        <f>IFERROR(MID(VLOOKUP($B220,Seqs!$A:$B,2,0),G220,1),"")</f>
        <v>H</v>
      </c>
      <c r="G220" s="3">
        <v>79</v>
      </c>
      <c r="H220" s="3" t="str">
        <f>IFERROR(MID(VLOOKUP($B220,Seqs!$A:$B,2,0),I220,1),"")</f>
        <v>T</v>
      </c>
      <c r="I220" s="23">
        <v>80</v>
      </c>
      <c r="J220" s="3" t="str">
        <f>IFERROR(MID(VLOOKUP($B220,Seqs!$A:$B,2,0),K220,1),"")</f>
        <v>K</v>
      </c>
      <c r="K220" s="23">
        <v>83</v>
      </c>
      <c r="L220" s="3" t="str">
        <f>IFERROR(MID(VLOOKUP($B220,Seqs!$A:$B,2,0),M220,1),"")</f>
        <v>T</v>
      </c>
      <c r="M220" s="3">
        <v>84</v>
      </c>
      <c r="N220" s="3" t="str">
        <f>IFERROR(MID(VLOOKUP($B220,Seqs!$A:$B,2,0),O220,1),"")</f>
        <v>L</v>
      </c>
      <c r="O220" s="3">
        <v>113</v>
      </c>
      <c r="P220" s="3" t="str">
        <f>IFERROR(MID(VLOOKUP($B220,Seqs!$A:$B,2,0),Q220,1),"")</f>
        <v>F</v>
      </c>
      <c r="Q220" s="3">
        <v>115</v>
      </c>
      <c r="R220" s="3" t="str">
        <f>IFERROR(MID(VLOOKUP($B220,Seqs!$A:$B,2,0),S220,1),"")</f>
        <v>F</v>
      </c>
      <c r="S220" s="3">
        <v>118</v>
      </c>
      <c r="T220" s="3" t="str">
        <f>IFERROR(MID(VLOOKUP($B220,Seqs!$A:$B,2,0),U220,1),"")</f>
        <v>G</v>
      </c>
      <c r="U220" s="3">
        <v>119</v>
      </c>
      <c r="V220" s="3" t="str">
        <f>IFERROR(MID(VLOOKUP($B220,Seqs!$A:$B,2,0),W220,1),"")</f>
        <v>H</v>
      </c>
      <c r="W220" s="3">
        <v>154</v>
      </c>
      <c r="X220" s="3" t="str">
        <f>IFERROR(MID(VLOOKUP($B220,Seqs!$A:$B,2,0),Y220,1),"")</f>
        <v>P</v>
      </c>
      <c r="Y220" s="3">
        <v>155</v>
      </c>
      <c r="Z220" s="3" t="str">
        <f>IFERROR(MID(VLOOKUP($B220,Seqs!$A:$B,2,0),AA220,1),"")</f>
        <v>R</v>
      </c>
      <c r="AA220" s="3">
        <v>162</v>
      </c>
      <c r="AB220" s="3" t="str">
        <f>IFERROR(MID(VLOOKUP($B220,Seqs!$A:$B,2,0),AC220,1),"")</f>
        <v>T</v>
      </c>
      <c r="AC220" s="9">
        <v>163</v>
      </c>
      <c r="AD220" s="3" t="str">
        <f>IFERROR(MID(VLOOKUP($B220,Seqs!$A:$B,2,0),AE220,1),"")</f>
        <v>G</v>
      </c>
      <c r="AE220" s="3">
        <v>189</v>
      </c>
      <c r="AF220" s="3" t="str">
        <f>IFERROR(MID(VLOOKUP($B220,Seqs!$A:$B,2,0),AG220,1),"")</f>
        <v>C</v>
      </c>
      <c r="AG220" s="3">
        <v>200</v>
      </c>
      <c r="AH220" s="3" t="str">
        <f>IFERROR(MID(VLOOKUP($B220,Seqs!$A:$B,2,0),AI220,1),"")</f>
        <v>V</v>
      </c>
      <c r="AI220" s="3">
        <v>202</v>
      </c>
      <c r="AJ220" s="3" t="str">
        <f>IFERROR(MID(VLOOKUP($B220,Seqs!$A:$B,2,0),AK220,1),"")</f>
        <v>Q</v>
      </c>
      <c r="AK220" s="3">
        <v>208</v>
      </c>
      <c r="AL220" s="3" t="str">
        <f>IFERROR(MID(VLOOKUP($B220,Seqs!$A:$B,2,0),AM220,1),"")</f>
        <v>V</v>
      </c>
      <c r="AM220" s="3">
        <v>245</v>
      </c>
      <c r="AN220" s="3" t="str">
        <f>IFERROR(MID(VLOOKUP($B220,Seqs!$A:$B,2,0),AO220,1),"")</f>
        <v>S</v>
      </c>
      <c r="AO220" s="3">
        <v>251</v>
      </c>
      <c r="AP220" s="3" t="str">
        <f>IFERROR(MID(VLOOKUP($B220,Seqs!$A:$B,2,0),AQ220,1),"")</f>
        <v>G</v>
      </c>
      <c r="AQ220" s="3">
        <v>289</v>
      </c>
      <c r="AR220" s="3" t="str">
        <f>IFERROR(MID(VLOOKUP($B220,Seqs!$A:$B,2,0),AS220,1),"")</f>
        <v>S</v>
      </c>
      <c r="AS220" s="3">
        <v>294</v>
      </c>
      <c r="AT220" s="3" t="str">
        <f>IFERROR(MID(VLOOKUP($B220,Seqs!$A:$B,2,0),AU220,1),"")</f>
        <v>L</v>
      </c>
      <c r="AU220" s="3">
        <v>322</v>
      </c>
      <c r="AV220" s="3" t="str">
        <f>IFERROR(MID(VLOOKUP($B220,Seqs!$A:$B,2,0),AW220,1),"")</f>
        <v>D</v>
      </c>
      <c r="AW220" s="3">
        <v>323</v>
      </c>
      <c r="AX220" s="3" t="str">
        <f>IFERROR(MID(VLOOKUP($B220,Seqs!$A:$B,2,0),AY220,1),"")</f>
        <v>C</v>
      </c>
      <c r="AY220" s="3">
        <v>335</v>
      </c>
      <c r="AZ220" s="77" t="str">
        <f>VLOOKUP(B220,Classification!A:D,2,0)</f>
        <v>A</v>
      </c>
      <c r="BA220" s="94" t="str">
        <f>VLOOKUP(B220,Classification!A:D,4,0)</f>
        <v>Opioid</v>
      </c>
      <c r="BB220" s="27" t="b">
        <f t="shared" si="894"/>
        <v>1</v>
      </c>
      <c r="BC220" s="23">
        <f t="shared" si="867"/>
        <v>263</v>
      </c>
      <c r="BD220" s="56" t="s">
        <v>23</v>
      </c>
      <c r="BE220" s="3" t="s">
        <v>23</v>
      </c>
      <c r="BF220" s="119" t="s">
        <v>23</v>
      </c>
      <c r="BG220" s="49" t="s">
        <v>1378</v>
      </c>
      <c r="BH220" s="49" t="s">
        <v>1383</v>
      </c>
      <c r="BI220" s="1"/>
      <c r="BJ220" s="70" t="s">
        <v>1293</v>
      </c>
      <c r="BK220" s="57" t="s">
        <v>1293</v>
      </c>
      <c r="BL220" s="57" t="s">
        <v>1293</v>
      </c>
      <c r="BM220" s="57" t="s">
        <v>1293</v>
      </c>
      <c r="BN220" s="57" t="s">
        <v>1293</v>
      </c>
      <c r="BO220" s="57" t="s">
        <v>1293</v>
      </c>
      <c r="BP220" s="57" t="s">
        <v>1293</v>
      </c>
      <c r="BQ220" s="57" t="s">
        <v>1293</v>
      </c>
      <c r="BR220" s="57" t="s">
        <v>1293</v>
      </c>
      <c r="BS220" s="57" t="s">
        <v>1293</v>
      </c>
      <c r="BT220" s="57" t="s">
        <v>1293</v>
      </c>
      <c r="BU220" s="57" t="s">
        <v>1293</v>
      </c>
      <c r="BV220" s="70">
        <f t="shared" si="868"/>
        <v>48</v>
      </c>
      <c r="BW220" s="71">
        <f t="shared" si="869"/>
        <v>80</v>
      </c>
      <c r="BX220" s="72">
        <f t="shared" si="870"/>
        <v>84</v>
      </c>
      <c r="BY220" s="71">
        <f t="shared" si="871"/>
        <v>115</v>
      </c>
      <c r="BZ220" s="72">
        <f t="shared" si="872"/>
        <v>119</v>
      </c>
      <c r="CA220" s="71">
        <f t="shared" si="873"/>
        <v>155</v>
      </c>
      <c r="CB220" s="72">
        <f t="shared" si="874"/>
        <v>163</v>
      </c>
      <c r="CC220" s="71">
        <f t="shared" si="875"/>
        <v>200</v>
      </c>
      <c r="CD220" s="72">
        <f t="shared" si="876"/>
        <v>208</v>
      </c>
      <c r="CE220" s="71">
        <f t="shared" si="877"/>
        <v>251</v>
      </c>
      <c r="CF220" s="72">
        <f t="shared" si="878"/>
        <v>294</v>
      </c>
      <c r="CG220" s="71">
        <f t="shared" si="879"/>
        <v>323</v>
      </c>
      <c r="CH220" s="70">
        <f t="shared" si="880"/>
        <v>79</v>
      </c>
      <c r="CI220" s="71">
        <f t="shared" si="881"/>
        <v>83</v>
      </c>
      <c r="CJ220" s="72">
        <f t="shared" si="882"/>
        <v>113</v>
      </c>
      <c r="CK220" s="72">
        <f t="shared" si="883"/>
        <v>118</v>
      </c>
      <c r="CL220" s="72">
        <f t="shared" si="884"/>
        <v>154</v>
      </c>
      <c r="CM220" s="72">
        <f t="shared" si="885"/>
        <v>162</v>
      </c>
      <c r="CN220" s="72">
        <f t="shared" si="886"/>
        <v>189</v>
      </c>
      <c r="CO220" s="72">
        <f t="shared" si="887"/>
        <v>202</v>
      </c>
      <c r="CP220" s="72">
        <f t="shared" si="888"/>
        <v>245</v>
      </c>
      <c r="CQ220" s="72">
        <f t="shared" si="889"/>
        <v>289</v>
      </c>
      <c r="CR220" s="72">
        <f t="shared" si="890"/>
        <v>322</v>
      </c>
      <c r="CS220" s="72">
        <f t="shared" si="891"/>
        <v>335</v>
      </c>
      <c r="CT220" s="23">
        <f t="shared" si="892"/>
        <v>1</v>
      </c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  <c r="ADW220" s="1"/>
      <c r="ADX220" s="1"/>
      <c r="ADY220" s="1"/>
      <c r="ADZ220" s="1"/>
      <c r="AEA220" s="1"/>
      <c r="AEB220" s="1"/>
      <c r="AEC220" s="1"/>
      <c r="AED220" s="1"/>
      <c r="AEE220" s="1"/>
      <c r="AEF220" s="1"/>
      <c r="AEG220" s="1"/>
      <c r="AEH220" s="1"/>
      <c r="AEI220" s="1"/>
      <c r="AEJ220" s="1"/>
      <c r="AEK220" s="1"/>
      <c r="AEL220" s="1"/>
      <c r="AEM220" s="1"/>
      <c r="AEN220" s="1"/>
      <c r="AEO220" s="1"/>
      <c r="AEP220" s="1"/>
      <c r="AEQ220" s="1"/>
      <c r="AER220" s="1"/>
      <c r="AES220" s="1"/>
      <c r="AET220" s="1"/>
      <c r="AEU220" s="1"/>
      <c r="AEV220" s="1"/>
      <c r="AEW220" s="1"/>
      <c r="AEX220" s="1"/>
      <c r="AEY220" s="1"/>
      <c r="AEZ220" s="1"/>
      <c r="AFA220" s="1"/>
      <c r="AFB220" s="1"/>
      <c r="AFC220" s="1"/>
      <c r="AFD220" s="1"/>
      <c r="AFE220" s="1"/>
      <c r="AFF220" s="1"/>
      <c r="AFG220" s="1"/>
      <c r="AFH220" s="1"/>
      <c r="AFI220" s="1"/>
      <c r="AFJ220" s="1"/>
      <c r="AFK220" s="1"/>
      <c r="AFL220" s="1"/>
      <c r="AFM220" s="1"/>
      <c r="AFN220" s="1"/>
      <c r="AFO220" s="1"/>
      <c r="AFP220" s="1"/>
      <c r="AFQ220" s="1"/>
      <c r="AFR220" s="1"/>
      <c r="AFS220" s="1"/>
      <c r="AFT220" s="1"/>
      <c r="AFU220" s="1"/>
      <c r="AFV220" s="1"/>
      <c r="AFW220" s="1"/>
      <c r="AFX220" s="1"/>
      <c r="AFY220" s="1"/>
      <c r="AFZ220" s="1"/>
      <c r="AGA220" s="1"/>
      <c r="AGB220" s="1"/>
      <c r="AGC220" s="1"/>
      <c r="AGD220" s="1"/>
      <c r="AGE220" s="1"/>
      <c r="AGF220" s="1"/>
      <c r="AGG220" s="1"/>
      <c r="AGH220" s="1"/>
      <c r="AGI220" s="1"/>
      <c r="AGJ220" s="1"/>
      <c r="AGK220" s="1"/>
      <c r="AGL220" s="1"/>
      <c r="AGM220" s="1"/>
      <c r="AGN220" s="1"/>
      <c r="AGO220" s="1"/>
      <c r="AGP220" s="1"/>
      <c r="AGQ220" s="1"/>
      <c r="AGR220" s="1"/>
      <c r="AGS220" s="1"/>
      <c r="AGT220" s="1"/>
      <c r="AGU220" s="1"/>
      <c r="AGV220" s="1"/>
      <c r="AGW220" s="1"/>
      <c r="AGX220" s="1"/>
      <c r="AGY220" s="1"/>
      <c r="AGZ220" s="1"/>
      <c r="AHA220" s="1"/>
      <c r="AHB220" s="1"/>
      <c r="AHC220" s="1"/>
      <c r="AHD220" s="1"/>
      <c r="AHE220" s="1"/>
      <c r="AHF220" s="1"/>
      <c r="AHG220" s="1"/>
      <c r="AHH220" s="1"/>
      <c r="AHI220" s="1"/>
      <c r="AHJ220" s="1"/>
      <c r="AHK220" s="1"/>
      <c r="AHL220" s="1"/>
      <c r="AHM220" s="1"/>
      <c r="AHN220" s="1"/>
      <c r="AHO220" s="1"/>
      <c r="AHP220" s="1"/>
      <c r="AHQ220" s="1"/>
      <c r="AHR220" s="1"/>
      <c r="AHS220" s="1"/>
      <c r="AHT220" s="1"/>
      <c r="AHU220" s="1"/>
      <c r="AHV220" s="1"/>
      <c r="AHW220" s="1"/>
      <c r="AHX220" s="1"/>
      <c r="AHY220" s="1"/>
      <c r="AHZ220" s="1"/>
      <c r="AIA220" s="1"/>
      <c r="AIB220" s="1"/>
      <c r="AIC220" s="1"/>
      <c r="AID220" s="1"/>
      <c r="AIE220" s="1"/>
      <c r="AIF220" s="1"/>
      <c r="AIG220" s="1"/>
      <c r="AIH220" s="1"/>
      <c r="AII220" s="1"/>
      <c r="AIJ220" s="1"/>
      <c r="AIK220" s="1"/>
      <c r="AIL220" s="1"/>
      <c r="AIM220" s="1"/>
      <c r="AIN220" s="1"/>
      <c r="AIO220" s="1"/>
      <c r="AIP220" s="1"/>
      <c r="AIQ220" s="1"/>
      <c r="AIR220" s="1"/>
      <c r="AIS220" s="1"/>
      <c r="AIT220" s="1"/>
      <c r="AIU220" s="1"/>
      <c r="AIV220" s="1"/>
      <c r="AIW220" s="1"/>
      <c r="AIX220" s="1"/>
      <c r="AIY220" s="1"/>
      <c r="AIZ220" s="1"/>
      <c r="AJA220" s="1"/>
      <c r="AJB220" s="1"/>
      <c r="AJC220" s="1"/>
      <c r="AJD220" s="1"/>
      <c r="AJE220" s="1"/>
      <c r="AJF220" s="1"/>
      <c r="AJG220" s="1"/>
      <c r="AJH220" s="1"/>
      <c r="AJI220" s="1"/>
      <c r="AJJ220" s="1"/>
      <c r="AJK220" s="1"/>
      <c r="AJL220" s="1"/>
      <c r="AJM220" s="1"/>
      <c r="AJN220" s="1"/>
      <c r="AJO220" s="1"/>
      <c r="AJP220" s="1"/>
      <c r="AJQ220" s="1"/>
      <c r="AJR220" s="1"/>
      <c r="AJS220" s="1"/>
      <c r="AJT220" s="1"/>
      <c r="AJU220" s="1"/>
      <c r="AJV220" s="1"/>
      <c r="AJW220" s="1"/>
      <c r="AJX220" s="1"/>
      <c r="AJY220" s="1"/>
      <c r="AJZ220" s="1"/>
      <c r="AKA220" s="1"/>
      <c r="AKB220" s="1"/>
      <c r="AKC220" s="1"/>
      <c r="AKD220" s="1"/>
      <c r="AKE220" s="1"/>
      <c r="AKF220" s="1"/>
      <c r="AKG220" s="1"/>
      <c r="AKH220" s="1"/>
      <c r="AKI220" s="1"/>
      <c r="AKJ220" s="1"/>
      <c r="AKK220" s="1"/>
      <c r="AKL220" s="1"/>
      <c r="AKM220" s="1"/>
      <c r="AKN220" s="1"/>
      <c r="AKO220" s="1"/>
      <c r="AKP220" s="1"/>
      <c r="AKQ220" s="1"/>
      <c r="AKR220" s="1"/>
      <c r="AKS220" s="1"/>
      <c r="AKT220" s="1"/>
      <c r="AKU220" s="1"/>
      <c r="AKV220" s="1"/>
      <c r="AKW220" s="1"/>
      <c r="AKX220" s="1"/>
      <c r="AKY220" s="1"/>
      <c r="AKZ220" s="1"/>
      <c r="ALA220" s="1"/>
      <c r="ALB220" s="1"/>
      <c r="ALC220" s="1"/>
      <c r="ALD220" s="1"/>
      <c r="ALE220" s="1"/>
      <c r="ALF220" s="1"/>
      <c r="ALG220" s="1"/>
      <c r="ALH220" s="1"/>
      <c r="ALI220" s="1"/>
      <c r="ALJ220" s="1"/>
      <c r="ALK220" s="1"/>
      <c r="ALL220" s="1"/>
      <c r="ALM220" s="1"/>
      <c r="ALN220" s="1"/>
      <c r="ALO220" s="1"/>
      <c r="ALP220" s="1"/>
      <c r="ALQ220" s="1"/>
      <c r="ALR220" s="1"/>
      <c r="ALS220" s="1"/>
      <c r="ALT220" s="1"/>
      <c r="ALU220" s="1"/>
      <c r="ALV220" s="1"/>
      <c r="ALW220" s="1"/>
      <c r="ALX220" s="1"/>
      <c r="ALY220" s="1"/>
      <c r="ALZ220" s="1"/>
      <c r="AMA220" s="1"/>
      <c r="AMB220" s="1"/>
      <c r="AMC220" s="1"/>
      <c r="AMD220" s="1"/>
      <c r="AME220" s="1"/>
      <c r="AMF220" s="1"/>
      <c r="AMG220" s="1"/>
      <c r="AMH220" s="1"/>
      <c r="AMI220" s="1"/>
      <c r="AMJ220" s="1"/>
      <c r="AMK220" s="1"/>
      <c r="AML220" s="1"/>
      <c r="AMM220" s="1"/>
      <c r="AMN220" s="1"/>
      <c r="AMO220" s="1"/>
    </row>
    <row r="221" spans="1:1030" x14ac:dyDescent="0.2">
      <c r="A221" s="3" t="str">
        <f t="shared" si="893"/>
        <v>oprx_human_4EA3</v>
      </c>
      <c r="B221" s="3" t="s">
        <v>1174</v>
      </c>
      <c r="C221" s="3" t="s">
        <v>67</v>
      </c>
      <c r="D221" s="3" t="str">
        <f>IFERROR(MID(VLOOKUP($B221,Seqs!$A:$B,2,0),E221,1),"")</f>
        <v>L</v>
      </c>
      <c r="E221" s="3">
        <v>48</v>
      </c>
      <c r="F221" s="3" t="str">
        <f>IFERROR(MID(VLOOKUP($B221,Seqs!$A:$B,2,0),G221,1),"")</f>
        <v>H</v>
      </c>
      <c r="G221" s="3">
        <v>79</v>
      </c>
      <c r="H221" s="3" t="str">
        <f>IFERROR(MID(VLOOKUP($B221,Seqs!$A:$B,2,0),I221,1),"")</f>
        <v/>
      </c>
      <c r="I221" s="23" t="s">
        <v>23</v>
      </c>
      <c r="J221" s="3" t="str">
        <f>IFERROR(MID(VLOOKUP($B221,Seqs!$A:$B,2,0),K221,1),"")</f>
        <v/>
      </c>
      <c r="K221" s="23" t="s">
        <v>23</v>
      </c>
      <c r="L221" s="3" t="str">
        <f>IFERROR(MID(VLOOKUP($B221,Seqs!$A:$B,2,0),M221,1),"")</f>
        <v>T</v>
      </c>
      <c r="M221" s="3">
        <v>84</v>
      </c>
      <c r="N221" s="3" t="str">
        <f>IFERROR(MID(VLOOKUP($B221,Seqs!$A:$B,2,0),O221,1),"")</f>
        <v>L</v>
      </c>
      <c r="O221" s="3">
        <v>113</v>
      </c>
      <c r="P221" s="3" t="str">
        <f>IFERROR(MID(VLOOKUP($B221,Seqs!$A:$B,2,0),Q221,1),"")</f>
        <v>F</v>
      </c>
      <c r="Q221" s="3">
        <v>115</v>
      </c>
      <c r="R221" s="3" t="str">
        <f>IFERROR(MID(VLOOKUP($B221,Seqs!$A:$B,2,0),S221,1),"")</f>
        <v>F</v>
      </c>
      <c r="S221" s="3">
        <v>118</v>
      </c>
      <c r="T221" s="3" t="str">
        <f>IFERROR(MID(VLOOKUP($B221,Seqs!$A:$B,2,0),U221,1),"")</f>
        <v>G</v>
      </c>
      <c r="U221" s="3">
        <v>119</v>
      </c>
      <c r="V221" s="3" t="str">
        <f>IFERROR(MID(VLOOKUP($B221,Seqs!$A:$B,2,0),W221,1),"")</f>
        <v>H</v>
      </c>
      <c r="W221" s="3">
        <v>154</v>
      </c>
      <c r="X221" s="3" t="str">
        <f>IFERROR(MID(VLOOKUP($B221,Seqs!$A:$B,2,0),Y221,1),"")</f>
        <v/>
      </c>
      <c r="Y221" s="3" t="s">
        <v>23</v>
      </c>
      <c r="Z221" s="3" t="str">
        <f>IFERROR(MID(VLOOKUP($B221,Seqs!$A:$B,2,0),AA221,1),"")</f>
        <v/>
      </c>
      <c r="AA221" s="3" t="s">
        <v>23</v>
      </c>
      <c r="AB221" s="3" t="str">
        <f>IFERROR(MID(VLOOKUP($B221,Seqs!$A:$B,2,0),AC221,1),"")</f>
        <v>T</v>
      </c>
      <c r="AC221" s="9">
        <v>163</v>
      </c>
      <c r="AD221" s="3" t="str">
        <f>IFERROR(MID(VLOOKUP($B221,Seqs!$A:$B,2,0),AE221,1),"")</f>
        <v>G</v>
      </c>
      <c r="AE221" s="3">
        <v>189</v>
      </c>
      <c r="AF221" s="3" t="str">
        <f>IFERROR(MID(VLOOKUP($B221,Seqs!$A:$B,2,0),AG221,1),"")</f>
        <v>C</v>
      </c>
      <c r="AG221" s="3">
        <v>200</v>
      </c>
      <c r="AH221" s="3" t="str">
        <f>IFERROR(MID(VLOOKUP($B221,Seqs!$A:$B,2,0),AI221,1),"")</f>
        <v>V</v>
      </c>
      <c r="AI221" s="3">
        <v>202</v>
      </c>
      <c r="AJ221" s="3" t="str">
        <f>IFERROR(MID(VLOOKUP($B221,Seqs!$A:$B,2,0),AK221,1),"")</f>
        <v>Q</v>
      </c>
      <c r="AK221" s="3">
        <v>208</v>
      </c>
      <c r="AL221" s="3" t="str">
        <f>IFERROR(MID(VLOOKUP($B221,Seqs!$A:$B,2,0),AM221,1),"")</f>
        <v>L</v>
      </c>
      <c r="AM221" s="3">
        <v>242</v>
      </c>
      <c r="AN221" s="3" t="str">
        <f>IFERROR(MID(VLOOKUP($B221,Seqs!$A:$B,2,0),AO221,1),"")</f>
        <v>S</v>
      </c>
      <c r="AO221" s="3">
        <v>251</v>
      </c>
      <c r="AP221" s="3" t="str">
        <f>IFERROR(MID(VLOOKUP($B221,Seqs!$A:$B,2,0),AQ221,1),"")</f>
        <v>G</v>
      </c>
      <c r="AQ221" s="3">
        <v>289</v>
      </c>
      <c r="AR221" s="3" t="str">
        <f>IFERROR(MID(VLOOKUP($B221,Seqs!$A:$B,2,0),AS221,1),"")</f>
        <v>S</v>
      </c>
      <c r="AS221" s="3">
        <v>294</v>
      </c>
      <c r="AT221" s="3" t="str">
        <f>IFERROR(MID(VLOOKUP($B221,Seqs!$A:$B,2,0),AU221,1),"")</f>
        <v>L</v>
      </c>
      <c r="AU221" s="3">
        <v>322</v>
      </c>
      <c r="AV221" s="3" t="str">
        <f>IFERROR(MID(VLOOKUP($B221,Seqs!$A:$B,2,0),AW221,1),"")</f>
        <v>D</v>
      </c>
      <c r="AW221" s="3">
        <v>323</v>
      </c>
      <c r="AX221" s="3" t="str">
        <f>IFERROR(MID(VLOOKUP($B221,Seqs!$A:$B,2,0),AY221,1),"")</f>
        <v>R</v>
      </c>
      <c r="AY221" s="3">
        <v>331</v>
      </c>
      <c r="AZ221" s="77" t="str">
        <f>VLOOKUP(B221,Classification!A:D,2,0)</f>
        <v>A</v>
      </c>
      <c r="BA221" s="94" t="str">
        <f>VLOOKUP(B221,Classification!A:D,4,0)</f>
        <v>Opioid</v>
      </c>
      <c r="BB221" s="27" t="b">
        <f t="shared" si="894"/>
        <v>1</v>
      </c>
      <c r="BC221" s="23">
        <f t="shared" si="867"/>
        <v>246</v>
      </c>
      <c r="BD221" s="5" t="s">
        <v>23</v>
      </c>
      <c r="BE221" s="3" t="s">
        <v>1380</v>
      </c>
      <c r="BF221" s="119">
        <v>3.01</v>
      </c>
      <c r="BG221" s="49" t="s">
        <v>1383</v>
      </c>
      <c r="BH221" s="49" t="s">
        <v>1383</v>
      </c>
      <c r="BI221" s="1"/>
      <c r="BJ221" s="70" t="s">
        <v>1293</v>
      </c>
      <c r="BK221" s="57" t="s">
        <v>1293</v>
      </c>
      <c r="BL221" s="57" t="s">
        <v>1293</v>
      </c>
      <c r="BM221" s="57" t="s">
        <v>1293</v>
      </c>
      <c r="BN221" s="57" t="s">
        <v>1293</v>
      </c>
      <c r="BO221" s="57" t="s">
        <v>1293</v>
      </c>
      <c r="BP221" s="57" t="s">
        <v>1293</v>
      </c>
      <c r="BQ221" s="57" t="s">
        <v>1293</v>
      </c>
      <c r="BR221" s="57" t="s">
        <v>1293</v>
      </c>
      <c r="BS221" s="57" t="s">
        <v>1293</v>
      </c>
      <c r="BT221" s="57" t="s">
        <v>1293</v>
      </c>
      <c r="BU221" s="57" t="s">
        <v>1293</v>
      </c>
      <c r="BV221" s="70">
        <f t="shared" si="868"/>
        <v>48</v>
      </c>
      <c r="BW221" s="71" t="str">
        <f t="shared" si="869"/>
        <v>-</v>
      </c>
      <c r="BX221" s="72">
        <f t="shared" si="870"/>
        <v>84</v>
      </c>
      <c r="BY221" s="71">
        <f t="shared" si="871"/>
        <v>115</v>
      </c>
      <c r="BZ221" s="72">
        <f t="shared" si="872"/>
        <v>119</v>
      </c>
      <c r="CA221" s="71" t="str">
        <f t="shared" si="873"/>
        <v>-</v>
      </c>
      <c r="CB221" s="72">
        <f t="shared" si="874"/>
        <v>163</v>
      </c>
      <c r="CC221" s="71">
        <f t="shared" si="875"/>
        <v>200</v>
      </c>
      <c r="CD221" s="72">
        <f t="shared" si="876"/>
        <v>208</v>
      </c>
      <c r="CE221" s="71">
        <f t="shared" si="877"/>
        <v>251</v>
      </c>
      <c r="CF221" s="72">
        <f t="shared" si="878"/>
        <v>294</v>
      </c>
      <c r="CG221" s="71">
        <f t="shared" si="879"/>
        <v>323</v>
      </c>
      <c r="CH221" s="70">
        <f t="shared" si="880"/>
        <v>79</v>
      </c>
      <c r="CI221" s="71" t="str">
        <f t="shared" si="881"/>
        <v>-</v>
      </c>
      <c r="CJ221" s="72">
        <f t="shared" si="882"/>
        <v>113</v>
      </c>
      <c r="CK221" s="72">
        <f t="shared" si="883"/>
        <v>118</v>
      </c>
      <c r="CL221" s="72">
        <f t="shared" si="884"/>
        <v>154</v>
      </c>
      <c r="CM221" s="72" t="str">
        <f t="shared" si="885"/>
        <v>-</v>
      </c>
      <c r="CN221" s="72">
        <f t="shared" si="886"/>
        <v>189</v>
      </c>
      <c r="CO221" s="72">
        <f t="shared" si="887"/>
        <v>202</v>
      </c>
      <c r="CP221" s="72">
        <f t="shared" si="888"/>
        <v>242</v>
      </c>
      <c r="CQ221" s="72">
        <f t="shared" si="889"/>
        <v>289</v>
      </c>
      <c r="CR221" s="72">
        <f t="shared" si="890"/>
        <v>322</v>
      </c>
      <c r="CS221" s="72">
        <f t="shared" si="891"/>
        <v>331</v>
      </c>
      <c r="CT221" s="23" t="e">
        <f t="shared" si="892"/>
        <v>#VALUE!</v>
      </c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  <c r="ADW221" s="1"/>
      <c r="ADX221" s="1"/>
      <c r="ADY221" s="1"/>
      <c r="ADZ221" s="1"/>
      <c r="AEA221" s="1"/>
      <c r="AEB221" s="1"/>
      <c r="AEC221" s="1"/>
      <c r="AED221" s="1"/>
      <c r="AEE221" s="1"/>
      <c r="AEF221" s="1"/>
      <c r="AEG221" s="1"/>
      <c r="AEH221" s="1"/>
      <c r="AEI221" s="1"/>
      <c r="AEJ221" s="1"/>
      <c r="AEK221" s="1"/>
      <c r="AEL221" s="1"/>
      <c r="AEM221" s="1"/>
      <c r="AEN221" s="1"/>
      <c r="AEO221" s="1"/>
      <c r="AEP221" s="1"/>
      <c r="AEQ221" s="1"/>
      <c r="AER221" s="1"/>
      <c r="AES221" s="1"/>
      <c r="AET221" s="1"/>
      <c r="AEU221" s="1"/>
      <c r="AEV221" s="1"/>
      <c r="AEW221" s="1"/>
      <c r="AEX221" s="1"/>
      <c r="AEY221" s="1"/>
      <c r="AEZ221" s="1"/>
      <c r="AFA221" s="1"/>
      <c r="AFB221" s="1"/>
      <c r="AFC221" s="1"/>
      <c r="AFD221" s="1"/>
      <c r="AFE221" s="1"/>
      <c r="AFF221" s="1"/>
      <c r="AFG221" s="1"/>
      <c r="AFH221" s="1"/>
      <c r="AFI221" s="1"/>
      <c r="AFJ221" s="1"/>
      <c r="AFK221" s="1"/>
      <c r="AFL221" s="1"/>
      <c r="AFM221" s="1"/>
      <c r="AFN221" s="1"/>
      <c r="AFO221" s="1"/>
      <c r="AFP221" s="1"/>
      <c r="AFQ221" s="1"/>
      <c r="AFR221" s="1"/>
      <c r="AFS221" s="1"/>
      <c r="AFT221" s="1"/>
      <c r="AFU221" s="1"/>
      <c r="AFV221" s="1"/>
      <c r="AFW221" s="1"/>
      <c r="AFX221" s="1"/>
      <c r="AFY221" s="1"/>
      <c r="AFZ221" s="1"/>
      <c r="AGA221" s="1"/>
      <c r="AGB221" s="1"/>
      <c r="AGC221" s="1"/>
      <c r="AGD221" s="1"/>
      <c r="AGE221" s="1"/>
      <c r="AGF221" s="1"/>
      <c r="AGG221" s="1"/>
      <c r="AGH221" s="1"/>
      <c r="AGI221" s="1"/>
      <c r="AGJ221" s="1"/>
      <c r="AGK221" s="1"/>
      <c r="AGL221" s="1"/>
      <c r="AGM221" s="1"/>
      <c r="AGN221" s="1"/>
      <c r="AGO221" s="1"/>
      <c r="AGP221" s="1"/>
      <c r="AGQ221" s="1"/>
      <c r="AGR221" s="1"/>
      <c r="AGS221" s="1"/>
      <c r="AGT221" s="1"/>
      <c r="AGU221" s="1"/>
      <c r="AGV221" s="1"/>
      <c r="AGW221" s="1"/>
      <c r="AGX221" s="1"/>
      <c r="AGY221" s="1"/>
      <c r="AGZ221" s="1"/>
      <c r="AHA221" s="1"/>
      <c r="AHB221" s="1"/>
      <c r="AHC221" s="1"/>
      <c r="AHD221" s="1"/>
      <c r="AHE221" s="1"/>
      <c r="AHF221" s="1"/>
      <c r="AHG221" s="1"/>
      <c r="AHH221" s="1"/>
      <c r="AHI221" s="1"/>
      <c r="AHJ221" s="1"/>
      <c r="AHK221" s="1"/>
      <c r="AHL221" s="1"/>
      <c r="AHM221" s="1"/>
      <c r="AHN221" s="1"/>
      <c r="AHO221" s="1"/>
      <c r="AHP221" s="1"/>
      <c r="AHQ221" s="1"/>
      <c r="AHR221" s="1"/>
      <c r="AHS221" s="1"/>
      <c r="AHT221" s="1"/>
      <c r="AHU221" s="1"/>
      <c r="AHV221" s="1"/>
      <c r="AHW221" s="1"/>
      <c r="AHX221" s="1"/>
      <c r="AHY221" s="1"/>
      <c r="AHZ221" s="1"/>
      <c r="AIA221" s="1"/>
      <c r="AIB221" s="1"/>
      <c r="AIC221" s="1"/>
      <c r="AID221" s="1"/>
      <c r="AIE221" s="1"/>
      <c r="AIF221" s="1"/>
      <c r="AIG221" s="1"/>
      <c r="AIH221" s="1"/>
      <c r="AII221" s="1"/>
      <c r="AIJ221" s="1"/>
      <c r="AIK221" s="1"/>
      <c r="AIL221" s="1"/>
      <c r="AIM221" s="1"/>
      <c r="AIN221" s="1"/>
      <c r="AIO221" s="1"/>
      <c r="AIP221" s="1"/>
      <c r="AIQ221" s="1"/>
      <c r="AIR221" s="1"/>
      <c r="AIS221" s="1"/>
      <c r="AIT221" s="1"/>
      <c r="AIU221" s="1"/>
      <c r="AIV221" s="1"/>
      <c r="AIW221" s="1"/>
      <c r="AIX221" s="1"/>
      <c r="AIY221" s="1"/>
      <c r="AIZ221" s="1"/>
      <c r="AJA221" s="1"/>
      <c r="AJB221" s="1"/>
      <c r="AJC221" s="1"/>
      <c r="AJD221" s="1"/>
      <c r="AJE221" s="1"/>
      <c r="AJF221" s="1"/>
      <c r="AJG221" s="1"/>
      <c r="AJH221" s="1"/>
      <c r="AJI221" s="1"/>
      <c r="AJJ221" s="1"/>
      <c r="AJK221" s="1"/>
      <c r="AJL221" s="1"/>
      <c r="AJM221" s="1"/>
      <c r="AJN221" s="1"/>
      <c r="AJO221" s="1"/>
      <c r="AJP221" s="1"/>
      <c r="AJQ221" s="1"/>
      <c r="AJR221" s="1"/>
      <c r="AJS221" s="1"/>
      <c r="AJT221" s="1"/>
      <c r="AJU221" s="1"/>
      <c r="AJV221" s="1"/>
      <c r="AJW221" s="1"/>
      <c r="AJX221" s="1"/>
      <c r="AJY221" s="1"/>
      <c r="AJZ221" s="1"/>
      <c r="AKA221" s="1"/>
      <c r="AKB221" s="1"/>
      <c r="AKC221" s="1"/>
      <c r="AKD221" s="1"/>
      <c r="AKE221" s="1"/>
      <c r="AKF221" s="1"/>
      <c r="AKG221" s="1"/>
      <c r="AKH221" s="1"/>
      <c r="AKI221" s="1"/>
      <c r="AKJ221" s="1"/>
      <c r="AKK221" s="1"/>
      <c r="AKL221" s="1"/>
      <c r="AKM221" s="1"/>
      <c r="AKN221" s="1"/>
      <c r="AKO221" s="1"/>
      <c r="AKP221" s="1"/>
      <c r="AKQ221" s="1"/>
      <c r="AKR221" s="1"/>
      <c r="AKS221" s="1"/>
      <c r="AKT221" s="1"/>
      <c r="AKU221" s="1"/>
      <c r="AKV221" s="1"/>
      <c r="AKW221" s="1"/>
      <c r="AKX221" s="1"/>
      <c r="AKY221" s="1"/>
      <c r="AKZ221" s="1"/>
      <c r="ALA221" s="1"/>
      <c r="ALB221" s="1"/>
      <c r="ALC221" s="1"/>
      <c r="ALD221" s="1"/>
      <c r="ALE221" s="1"/>
      <c r="ALF221" s="1"/>
      <c r="ALG221" s="1"/>
      <c r="ALH221" s="1"/>
      <c r="ALI221" s="1"/>
      <c r="ALJ221" s="1"/>
      <c r="ALK221" s="1"/>
      <c r="ALL221" s="1"/>
      <c r="ALM221" s="1"/>
      <c r="ALN221" s="1"/>
      <c r="ALO221" s="1"/>
      <c r="ALP221" s="1"/>
      <c r="ALQ221" s="1"/>
      <c r="ALR221" s="1"/>
      <c r="ALS221" s="1"/>
      <c r="ALT221" s="1"/>
      <c r="ALU221" s="1"/>
      <c r="ALV221" s="1"/>
      <c r="ALW221" s="1"/>
      <c r="ALX221" s="1"/>
      <c r="ALY221" s="1"/>
      <c r="ALZ221" s="1"/>
      <c r="AMA221" s="1"/>
      <c r="AMB221" s="1"/>
      <c r="AMC221" s="1"/>
      <c r="AMD221" s="1"/>
      <c r="AME221" s="1"/>
      <c r="AMF221" s="1"/>
      <c r="AMG221" s="1"/>
      <c r="AMH221" s="1"/>
      <c r="AMI221" s="1"/>
      <c r="AMJ221" s="1"/>
      <c r="AMK221" s="1"/>
      <c r="AML221" s="1"/>
      <c r="AMM221" s="1"/>
      <c r="AMN221" s="1"/>
      <c r="AMO221" s="1"/>
    </row>
    <row r="222" spans="1:1030" x14ac:dyDescent="0.2">
      <c r="A222" s="3" t="str">
        <f t="shared" si="893"/>
        <v>oprx_human_5DHG</v>
      </c>
      <c r="B222" s="3" t="s">
        <v>1174</v>
      </c>
      <c r="C222" s="3" t="s">
        <v>1361</v>
      </c>
      <c r="D222" s="3" t="str">
        <f>IFERROR(MID(VLOOKUP($B222,Seqs!$A:$B,2,0),E222,1),"")</f>
        <v>L</v>
      </c>
      <c r="E222" s="3">
        <v>48</v>
      </c>
      <c r="F222" s="3" t="str">
        <f>IFERROR(MID(VLOOKUP($B222,Seqs!$A:$B,2,0),G222,1),"")</f>
        <v>H</v>
      </c>
      <c r="G222" s="3">
        <v>79</v>
      </c>
      <c r="H222" s="3" t="str">
        <f>IFERROR(MID(VLOOKUP($B222,Seqs!$A:$B,2,0),I222,1),"")</f>
        <v/>
      </c>
      <c r="I222" s="23" t="s">
        <v>23</v>
      </c>
      <c r="J222" s="3" t="str">
        <f>IFERROR(MID(VLOOKUP($B222,Seqs!$A:$B,2,0),K222,1),"")</f>
        <v/>
      </c>
      <c r="K222" s="23" t="s">
        <v>23</v>
      </c>
      <c r="L222" s="3" t="str">
        <f>IFERROR(MID(VLOOKUP($B222,Seqs!$A:$B,2,0),M222,1),"")</f>
        <v>T</v>
      </c>
      <c r="M222" s="3">
        <v>84</v>
      </c>
      <c r="N222" s="3" t="str">
        <f>IFERROR(MID(VLOOKUP($B222,Seqs!$A:$B,2,0),O222,1),"")</f>
        <v>L</v>
      </c>
      <c r="O222" s="3">
        <v>113</v>
      </c>
      <c r="P222" s="3" t="str">
        <f>IFERROR(MID(VLOOKUP($B222,Seqs!$A:$B,2,0),Q222,1),"")</f>
        <v>F</v>
      </c>
      <c r="Q222" s="3">
        <v>115</v>
      </c>
      <c r="R222" s="3" t="str">
        <f>IFERROR(MID(VLOOKUP($B222,Seqs!$A:$B,2,0),S222,1),"")</f>
        <v>F</v>
      </c>
      <c r="S222" s="3">
        <v>118</v>
      </c>
      <c r="T222" s="3" t="str">
        <f>IFERROR(MID(VLOOKUP($B222,Seqs!$A:$B,2,0),U222,1),"")</f>
        <v>G</v>
      </c>
      <c r="U222" s="3">
        <v>119</v>
      </c>
      <c r="V222" s="3" t="str">
        <f>IFERROR(MID(VLOOKUP($B222,Seqs!$A:$B,2,0),W222,1),"")</f>
        <v>H</v>
      </c>
      <c r="W222" s="3">
        <v>154</v>
      </c>
      <c r="X222" s="3" t="str">
        <f>IFERROR(MID(VLOOKUP($B222,Seqs!$A:$B,2,0),Y222,1),"")</f>
        <v/>
      </c>
      <c r="Y222" s="3" t="s">
        <v>23</v>
      </c>
      <c r="Z222" s="3" t="str">
        <f>IFERROR(MID(VLOOKUP($B222,Seqs!$A:$B,2,0),AA222,1),"")</f>
        <v/>
      </c>
      <c r="AA222" s="3" t="s">
        <v>23</v>
      </c>
      <c r="AB222" s="3" t="str">
        <f>IFERROR(MID(VLOOKUP($B222,Seqs!$A:$B,2,0),AC222,1),"")</f>
        <v>T</v>
      </c>
      <c r="AC222" s="9">
        <v>163</v>
      </c>
      <c r="AD222" s="3" t="str">
        <f>IFERROR(MID(VLOOKUP($B222,Seqs!$A:$B,2,0),AE222,1),"")</f>
        <v>G</v>
      </c>
      <c r="AE222" s="3">
        <v>189</v>
      </c>
      <c r="AF222" s="3" t="str">
        <f>IFERROR(MID(VLOOKUP($B222,Seqs!$A:$B,2,0),AG222,1),"")</f>
        <v>C</v>
      </c>
      <c r="AG222" s="3">
        <v>200</v>
      </c>
      <c r="AH222" s="3" t="str">
        <f>IFERROR(MID(VLOOKUP($B222,Seqs!$A:$B,2,0),AI222,1),"")</f>
        <v>V</v>
      </c>
      <c r="AI222" s="3">
        <v>202</v>
      </c>
      <c r="AJ222" s="3" t="str">
        <f>IFERROR(MID(VLOOKUP($B222,Seqs!$A:$B,2,0),AK222,1),"")</f>
        <v>Q</v>
      </c>
      <c r="AK222" s="3">
        <v>208</v>
      </c>
      <c r="AL222" s="3" t="str">
        <f>IFERROR(MID(VLOOKUP($B222,Seqs!$A:$B,2,0),AM222,1),"")</f>
        <v>L</v>
      </c>
      <c r="AM222" s="3">
        <v>242</v>
      </c>
      <c r="AN222" s="3" t="str">
        <f>IFERROR(MID(VLOOKUP($B222,Seqs!$A:$B,2,0),AO222,1),"")</f>
        <v>S</v>
      </c>
      <c r="AO222" s="3">
        <v>251</v>
      </c>
      <c r="AP222" s="3" t="str">
        <f>IFERROR(MID(VLOOKUP($B222,Seqs!$A:$B,2,0),AQ222,1),"")</f>
        <v>G</v>
      </c>
      <c r="AQ222" s="3">
        <v>289</v>
      </c>
      <c r="AR222" s="3" t="str">
        <f>IFERROR(MID(VLOOKUP($B222,Seqs!$A:$B,2,0),AS222,1),"")</f>
        <v>S</v>
      </c>
      <c r="AS222" s="3">
        <v>294</v>
      </c>
      <c r="AT222" s="3" t="str">
        <f>IFERROR(MID(VLOOKUP($B222,Seqs!$A:$B,2,0),AU222,1),"")</f>
        <v>L</v>
      </c>
      <c r="AU222" s="3">
        <v>322</v>
      </c>
      <c r="AV222" s="3" t="str">
        <f>IFERROR(MID(VLOOKUP($B222,Seqs!$A:$B,2,0),AW222,1),"")</f>
        <v>D</v>
      </c>
      <c r="AW222" s="3">
        <v>323</v>
      </c>
      <c r="AX222" s="3" t="str">
        <f>IFERROR(MID(VLOOKUP($B222,Seqs!$A:$B,2,0),AY222,1),"")</f>
        <v>F</v>
      </c>
      <c r="AY222" s="3">
        <v>333</v>
      </c>
      <c r="AZ222" s="77" t="str">
        <f>VLOOKUP(B222,Classification!A:D,2,0)</f>
        <v>A</v>
      </c>
      <c r="BA222" s="94" t="str">
        <f>VLOOKUP(B222,Classification!A:D,4,0)</f>
        <v>Opioid</v>
      </c>
      <c r="BB222" s="27" t="b">
        <f t="shared" si="894"/>
        <v>1</v>
      </c>
      <c r="BC222" s="23">
        <f t="shared" si="867"/>
        <v>248</v>
      </c>
      <c r="BD222" s="16" t="s">
        <v>1382</v>
      </c>
      <c r="BE222" s="3" t="s">
        <v>1380</v>
      </c>
      <c r="BF222" s="119">
        <v>3</v>
      </c>
      <c r="BG222" s="49" t="s">
        <v>1287</v>
      </c>
      <c r="BH222" s="49" t="s">
        <v>1383</v>
      </c>
      <c r="BI222" s="1"/>
      <c r="BJ222" s="70" t="s">
        <v>1293</v>
      </c>
      <c r="BK222" s="57" t="s">
        <v>1293</v>
      </c>
      <c r="BL222" s="57" t="s">
        <v>1293</v>
      </c>
      <c r="BM222" s="57" t="s">
        <v>1293</v>
      </c>
      <c r="BN222" s="57" t="s">
        <v>1293</v>
      </c>
      <c r="BO222" s="57" t="s">
        <v>1293</v>
      </c>
      <c r="BP222" s="57" t="s">
        <v>1293</v>
      </c>
      <c r="BQ222" s="57" t="s">
        <v>1293</v>
      </c>
      <c r="BR222" s="57" t="s">
        <v>1293</v>
      </c>
      <c r="BS222" s="57" t="s">
        <v>1293</v>
      </c>
      <c r="BT222" s="57" t="s">
        <v>1293</v>
      </c>
      <c r="BU222" s="57" t="s">
        <v>1293</v>
      </c>
      <c r="BV222" s="70">
        <f t="shared" si="868"/>
        <v>48</v>
      </c>
      <c r="BW222" s="71" t="str">
        <f t="shared" si="869"/>
        <v>-</v>
      </c>
      <c r="BX222" s="72">
        <f t="shared" si="870"/>
        <v>84</v>
      </c>
      <c r="BY222" s="71">
        <f t="shared" si="871"/>
        <v>115</v>
      </c>
      <c r="BZ222" s="72">
        <f t="shared" si="872"/>
        <v>119</v>
      </c>
      <c r="CA222" s="71" t="str">
        <f t="shared" si="873"/>
        <v>-</v>
      </c>
      <c r="CB222" s="72">
        <f t="shared" si="874"/>
        <v>163</v>
      </c>
      <c r="CC222" s="71">
        <f t="shared" si="875"/>
        <v>200</v>
      </c>
      <c r="CD222" s="72">
        <f t="shared" si="876"/>
        <v>208</v>
      </c>
      <c r="CE222" s="71">
        <f t="shared" si="877"/>
        <v>251</v>
      </c>
      <c r="CF222" s="72">
        <f t="shared" si="878"/>
        <v>294</v>
      </c>
      <c r="CG222" s="71">
        <f t="shared" si="879"/>
        <v>323</v>
      </c>
      <c r="CH222" s="70">
        <f t="shared" si="880"/>
        <v>79</v>
      </c>
      <c r="CI222" s="71" t="str">
        <f t="shared" si="881"/>
        <v>-</v>
      </c>
      <c r="CJ222" s="72">
        <f t="shared" si="882"/>
        <v>113</v>
      </c>
      <c r="CK222" s="72">
        <f t="shared" si="883"/>
        <v>118</v>
      </c>
      <c r="CL222" s="72">
        <f t="shared" si="884"/>
        <v>154</v>
      </c>
      <c r="CM222" s="72" t="str">
        <f t="shared" si="885"/>
        <v>-</v>
      </c>
      <c r="CN222" s="72">
        <f t="shared" si="886"/>
        <v>189</v>
      </c>
      <c r="CO222" s="72">
        <f t="shared" si="887"/>
        <v>202</v>
      </c>
      <c r="CP222" s="72">
        <f t="shared" si="888"/>
        <v>242</v>
      </c>
      <c r="CQ222" s="72">
        <f t="shared" si="889"/>
        <v>289</v>
      </c>
      <c r="CR222" s="72">
        <f t="shared" si="890"/>
        <v>322</v>
      </c>
      <c r="CS222" s="72">
        <f t="shared" si="891"/>
        <v>333</v>
      </c>
      <c r="CT222" s="23" t="e">
        <f t="shared" si="892"/>
        <v>#VALUE!</v>
      </c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  <c r="ADW222" s="1"/>
      <c r="ADX222" s="1"/>
      <c r="ADY222" s="1"/>
      <c r="ADZ222" s="1"/>
      <c r="AEA222" s="1"/>
      <c r="AEB222" s="1"/>
      <c r="AEC222" s="1"/>
      <c r="AED222" s="1"/>
      <c r="AEE222" s="1"/>
      <c r="AEF222" s="1"/>
      <c r="AEG222" s="1"/>
      <c r="AEH222" s="1"/>
      <c r="AEI222" s="1"/>
      <c r="AEJ222" s="1"/>
      <c r="AEK222" s="1"/>
      <c r="AEL222" s="1"/>
      <c r="AEM222" s="1"/>
      <c r="AEN222" s="1"/>
      <c r="AEO222" s="1"/>
      <c r="AEP222" s="1"/>
      <c r="AEQ222" s="1"/>
      <c r="AER222" s="1"/>
      <c r="AES222" s="1"/>
      <c r="AET222" s="1"/>
      <c r="AEU222" s="1"/>
      <c r="AEV222" s="1"/>
      <c r="AEW222" s="1"/>
      <c r="AEX222" s="1"/>
      <c r="AEY222" s="1"/>
      <c r="AEZ222" s="1"/>
      <c r="AFA222" s="1"/>
      <c r="AFB222" s="1"/>
      <c r="AFC222" s="1"/>
      <c r="AFD222" s="1"/>
      <c r="AFE222" s="1"/>
      <c r="AFF222" s="1"/>
      <c r="AFG222" s="1"/>
      <c r="AFH222" s="1"/>
      <c r="AFI222" s="1"/>
      <c r="AFJ222" s="1"/>
      <c r="AFK222" s="1"/>
      <c r="AFL222" s="1"/>
      <c r="AFM222" s="1"/>
      <c r="AFN222" s="1"/>
      <c r="AFO222" s="1"/>
      <c r="AFP222" s="1"/>
      <c r="AFQ222" s="1"/>
      <c r="AFR222" s="1"/>
      <c r="AFS222" s="1"/>
      <c r="AFT222" s="1"/>
      <c r="AFU222" s="1"/>
      <c r="AFV222" s="1"/>
      <c r="AFW222" s="1"/>
      <c r="AFX222" s="1"/>
      <c r="AFY222" s="1"/>
      <c r="AFZ222" s="1"/>
      <c r="AGA222" s="1"/>
      <c r="AGB222" s="1"/>
      <c r="AGC222" s="1"/>
      <c r="AGD222" s="1"/>
      <c r="AGE222" s="1"/>
      <c r="AGF222" s="1"/>
      <c r="AGG222" s="1"/>
      <c r="AGH222" s="1"/>
      <c r="AGI222" s="1"/>
      <c r="AGJ222" s="1"/>
      <c r="AGK222" s="1"/>
      <c r="AGL222" s="1"/>
      <c r="AGM222" s="1"/>
      <c r="AGN222" s="1"/>
      <c r="AGO222" s="1"/>
      <c r="AGP222" s="1"/>
      <c r="AGQ222" s="1"/>
      <c r="AGR222" s="1"/>
      <c r="AGS222" s="1"/>
      <c r="AGT222" s="1"/>
      <c r="AGU222" s="1"/>
      <c r="AGV222" s="1"/>
      <c r="AGW222" s="1"/>
      <c r="AGX222" s="1"/>
      <c r="AGY222" s="1"/>
      <c r="AGZ222" s="1"/>
      <c r="AHA222" s="1"/>
      <c r="AHB222" s="1"/>
      <c r="AHC222" s="1"/>
      <c r="AHD222" s="1"/>
      <c r="AHE222" s="1"/>
      <c r="AHF222" s="1"/>
      <c r="AHG222" s="1"/>
      <c r="AHH222" s="1"/>
      <c r="AHI222" s="1"/>
      <c r="AHJ222" s="1"/>
      <c r="AHK222" s="1"/>
      <c r="AHL222" s="1"/>
      <c r="AHM222" s="1"/>
      <c r="AHN222" s="1"/>
      <c r="AHO222" s="1"/>
      <c r="AHP222" s="1"/>
      <c r="AHQ222" s="1"/>
      <c r="AHR222" s="1"/>
      <c r="AHS222" s="1"/>
      <c r="AHT222" s="1"/>
      <c r="AHU222" s="1"/>
      <c r="AHV222" s="1"/>
      <c r="AHW222" s="1"/>
      <c r="AHX222" s="1"/>
      <c r="AHY222" s="1"/>
      <c r="AHZ222" s="1"/>
      <c r="AIA222" s="1"/>
      <c r="AIB222" s="1"/>
      <c r="AIC222" s="1"/>
      <c r="AID222" s="1"/>
      <c r="AIE222" s="1"/>
      <c r="AIF222" s="1"/>
      <c r="AIG222" s="1"/>
      <c r="AIH222" s="1"/>
      <c r="AII222" s="1"/>
      <c r="AIJ222" s="1"/>
      <c r="AIK222" s="1"/>
      <c r="AIL222" s="1"/>
      <c r="AIM222" s="1"/>
      <c r="AIN222" s="1"/>
      <c r="AIO222" s="1"/>
      <c r="AIP222" s="1"/>
      <c r="AIQ222" s="1"/>
      <c r="AIR222" s="1"/>
      <c r="AIS222" s="1"/>
      <c r="AIT222" s="1"/>
      <c r="AIU222" s="1"/>
      <c r="AIV222" s="1"/>
      <c r="AIW222" s="1"/>
      <c r="AIX222" s="1"/>
      <c r="AIY222" s="1"/>
      <c r="AIZ222" s="1"/>
      <c r="AJA222" s="1"/>
      <c r="AJB222" s="1"/>
      <c r="AJC222" s="1"/>
      <c r="AJD222" s="1"/>
      <c r="AJE222" s="1"/>
      <c r="AJF222" s="1"/>
      <c r="AJG222" s="1"/>
      <c r="AJH222" s="1"/>
      <c r="AJI222" s="1"/>
      <c r="AJJ222" s="1"/>
      <c r="AJK222" s="1"/>
      <c r="AJL222" s="1"/>
      <c r="AJM222" s="1"/>
      <c r="AJN222" s="1"/>
      <c r="AJO222" s="1"/>
      <c r="AJP222" s="1"/>
      <c r="AJQ222" s="1"/>
      <c r="AJR222" s="1"/>
      <c r="AJS222" s="1"/>
      <c r="AJT222" s="1"/>
      <c r="AJU222" s="1"/>
      <c r="AJV222" s="1"/>
      <c r="AJW222" s="1"/>
      <c r="AJX222" s="1"/>
      <c r="AJY222" s="1"/>
      <c r="AJZ222" s="1"/>
      <c r="AKA222" s="1"/>
      <c r="AKB222" s="1"/>
      <c r="AKC222" s="1"/>
      <c r="AKD222" s="1"/>
      <c r="AKE222" s="1"/>
      <c r="AKF222" s="1"/>
      <c r="AKG222" s="1"/>
      <c r="AKH222" s="1"/>
      <c r="AKI222" s="1"/>
      <c r="AKJ222" s="1"/>
      <c r="AKK222" s="1"/>
      <c r="AKL222" s="1"/>
      <c r="AKM222" s="1"/>
      <c r="AKN222" s="1"/>
      <c r="AKO222" s="1"/>
      <c r="AKP222" s="1"/>
      <c r="AKQ222" s="1"/>
      <c r="AKR222" s="1"/>
      <c r="AKS222" s="1"/>
      <c r="AKT222" s="1"/>
      <c r="AKU222" s="1"/>
      <c r="AKV222" s="1"/>
      <c r="AKW222" s="1"/>
      <c r="AKX222" s="1"/>
      <c r="AKY222" s="1"/>
      <c r="AKZ222" s="1"/>
      <c r="ALA222" s="1"/>
      <c r="ALB222" s="1"/>
      <c r="ALC222" s="1"/>
      <c r="ALD222" s="1"/>
      <c r="ALE222" s="1"/>
      <c r="ALF222" s="1"/>
      <c r="ALG222" s="1"/>
      <c r="ALH222" s="1"/>
      <c r="ALI222" s="1"/>
      <c r="ALJ222" s="1"/>
      <c r="ALK222" s="1"/>
      <c r="ALL222" s="1"/>
      <c r="ALM222" s="1"/>
      <c r="ALN222" s="1"/>
      <c r="ALO222" s="1"/>
      <c r="ALP222" s="1"/>
      <c r="ALQ222" s="1"/>
      <c r="ALR222" s="1"/>
      <c r="ALS222" s="1"/>
      <c r="ALT222" s="1"/>
      <c r="ALU222" s="1"/>
      <c r="ALV222" s="1"/>
      <c r="ALW222" s="1"/>
      <c r="ALX222" s="1"/>
      <c r="ALY222" s="1"/>
      <c r="ALZ222" s="1"/>
      <c r="AMA222" s="1"/>
      <c r="AMB222" s="1"/>
      <c r="AMC222" s="1"/>
      <c r="AMD222" s="1"/>
      <c r="AME222" s="1"/>
      <c r="AMF222" s="1"/>
      <c r="AMG222" s="1"/>
      <c r="AMH222" s="1"/>
      <c r="AMI222" s="1"/>
      <c r="AMJ222" s="1"/>
      <c r="AMK222" s="1"/>
      <c r="AML222" s="1"/>
      <c r="AMM222" s="1"/>
      <c r="AMN222" s="1"/>
      <c r="AMO222" s="1"/>
    </row>
    <row r="223" spans="1:1030" x14ac:dyDescent="0.2">
      <c r="A223" s="3" t="str">
        <f t="shared" si="893"/>
        <v>oprx_human_5DHH</v>
      </c>
      <c r="B223" s="3" t="s">
        <v>1174</v>
      </c>
      <c r="C223" s="3" t="s">
        <v>1362</v>
      </c>
      <c r="D223" s="3" t="str">
        <f>IFERROR(MID(VLOOKUP($B223,Seqs!$A:$B,2,0),E223,1),"")</f>
        <v>L</v>
      </c>
      <c r="E223" s="3">
        <v>48</v>
      </c>
      <c r="F223" s="3" t="str">
        <f>IFERROR(MID(VLOOKUP($B223,Seqs!$A:$B,2,0),G223,1),"")</f>
        <v>H</v>
      </c>
      <c r="G223" s="3">
        <v>79</v>
      </c>
      <c r="H223" s="3" t="str">
        <f>IFERROR(MID(VLOOKUP($B223,Seqs!$A:$B,2,0),I223,1),"")</f>
        <v/>
      </c>
      <c r="I223" s="23" t="s">
        <v>23</v>
      </c>
      <c r="J223" s="3" t="str">
        <f>IFERROR(MID(VLOOKUP($B223,Seqs!$A:$B,2,0),K223,1),"")</f>
        <v/>
      </c>
      <c r="K223" s="23" t="s">
        <v>23</v>
      </c>
      <c r="L223" s="3" t="str">
        <f>IFERROR(MID(VLOOKUP($B223,Seqs!$A:$B,2,0),M223,1),"")</f>
        <v>T</v>
      </c>
      <c r="M223" s="3">
        <v>84</v>
      </c>
      <c r="N223" s="3" t="str">
        <f>IFERROR(MID(VLOOKUP($B223,Seqs!$A:$B,2,0),O223,1),"")</f>
        <v>L</v>
      </c>
      <c r="O223" s="3">
        <v>113</v>
      </c>
      <c r="P223" s="3" t="str">
        <f>IFERROR(MID(VLOOKUP($B223,Seqs!$A:$B,2,0),Q223,1),"")</f>
        <v>F</v>
      </c>
      <c r="Q223" s="3">
        <v>115</v>
      </c>
      <c r="R223" s="3" t="str">
        <f>IFERROR(MID(VLOOKUP($B223,Seqs!$A:$B,2,0),S223,1),"")</f>
        <v>F</v>
      </c>
      <c r="S223" s="3">
        <v>118</v>
      </c>
      <c r="T223" s="3" t="str">
        <f>IFERROR(MID(VLOOKUP($B223,Seqs!$A:$B,2,0),U223,1),"")</f>
        <v>G</v>
      </c>
      <c r="U223" s="3">
        <v>119</v>
      </c>
      <c r="V223" s="3" t="str">
        <f>IFERROR(MID(VLOOKUP($B223,Seqs!$A:$B,2,0),W223,1),"")</f>
        <v>H</v>
      </c>
      <c r="W223" s="3">
        <v>154</v>
      </c>
      <c r="X223" s="3" t="str">
        <f>IFERROR(MID(VLOOKUP($B223,Seqs!$A:$B,2,0),Y223,1),"")</f>
        <v/>
      </c>
      <c r="Y223" s="3" t="s">
        <v>23</v>
      </c>
      <c r="Z223" s="3" t="str">
        <f>IFERROR(MID(VLOOKUP($B223,Seqs!$A:$B,2,0),AA223,1),"")</f>
        <v/>
      </c>
      <c r="AA223" s="3" t="s">
        <v>23</v>
      </c>
      <c r="AB223" s="3" t="str">
        <f>IFERROR(MID(VLOOKUP($B223,Seqs!$A:$B,2,0),AC223,1),"")</f>
        <v>T</v>
      </c>
      <c r="AC223" s="9">
        <v>163</v>
      </c>
      <c r="AD223" s="3" t="str">
        <f>IFERROR(MID(VLOOKUP($B223,Seqs!$A:$B,2,0),AE223,1),"")</f>
        <v>G</v>
      </c>
      <c r="AE223" s="3">
        <v>189</v>
      </c>
      <c r="AF223" s="3" t="str">
        <f>IFERROR(MID(VLOOKUP($B223,Seqs!$A:$B,2,0),AG223,1),"")</f>
        <v>C</v>
      </c>
      <c r="AG223" s="3">
        <v>200</v>
      </c>
      <c r="AH223" s="3" t="str">
        <f>IFERROR(MID(VLOOKUP($B223,Seqs!$A:$B,2,0),AI223,1),"")</f>
        <v>V</v>
      </c>
      <c r="AI223" s="3">
        <v>202</v>
      </c>
      <c r="AJ223" s="3" t="str">
        <f>IFERROR(MID(VLOOKUP($B223,Seqs!$A:$B,2,0),AK223,1),"")</f>
        <v>Q</v>
      </c>
      <c r="AK223" s="3">
        <v>208</v>
      </c>
      <c r="AL223" s="3" t="str">
        <f>IFERROR(MID(VLOOKUP($B223,Seqs!$A:$B,2,0),AM223,1),"")</f>
        <v>L</v>
      </c>
      <c r="AM223" s="3">
        <v>242</v>
      </c>
      <c r="AN223" s="3" t="str">
        <f>IFERROR(MID(VLOOKUP($B223,Seqs!$A:$B,2,0),AO223,1),"")</f>
        <v>S</v>
      </c>
      <c r="AO223" s="3">
        <v>251</v>
      </c>
      <c r="AP223" s="3" t="str">
        <f>IFERROR(MID(VLOOKUP($B223,Seqs!$A:$B,2,0),AQ223,1),"")</f>
        <v>G</v>
      </c>
      <c r="AQ223" s="3">
        <v>289</v>
      </c>
      <c r="AR223" s="3" t="str">
        <f>IFERROR(MID(VLOOKUP($B223,Seqs!$A:$B,2,0),AS223,1),"")</f>
        <v>S</v>
      </c>
      <c r="AS223" s="3">
        <v>294</v>
      </c>
      <c r="AT223" s="3" t="str">
        <f>IFERROR(MID(VLOOKUP($B223,Seqs!$A:$B,2,0),AU223,1),"")</f>
        <v>L</v>
      </c>
      <c r="AU223" s="3">
        <v>322</v>
      </c>
      <c r="AV223" s="3" t="str">
        <f>IFERROR(MID(VLOOKUP($B223,Seqs!$A:$B,2,0),AW223,1),"")</f>
        <v>D</v>
      </c>
      <c r="AW223" s="3">
        <v>323</v>
      </c>
      <c r="AX223" s="3" t="str">
        <f>IFERROR(MID(VLOOKUP($B223,Seqs!$A:$B,2,0),AY223,1),"")</f>
        <v>R</v>
      </c>
      <c r="AY223" s="3">
        <v>331</v>
      </c>
      <c r="AZ223" s="77" t="str">
        <f>VLOOKUP(B223,Classification!A:D,2,0)</f>
        <v>A</v>
      </c>
      <c r="BA223" s="94" t="str">
        <f>VLOOKUP(B223,Classification!A:D,4,0)</f>
        <v>Opioid</v>
      </c>
      <c r="BB223" s="27" t="b">
        <f t="shared" si="894"/>
        <v>1</v>
      </c>
      <c r="BC223" s="23">
        <f t="shared" si="867"/>
        <v>246</v>
      </c>
      <c r="BD223" s="5" t="s">
        <v>23</v>
      </c>
      <c r="BE223" s="3" t="s">
        <v>1380</v>
      </c>
      <c r="BF223" s="119">
        <v>3</v>
      </c>
      <c r="BG223" s="49" t="s">
        <v>1</v>
      </c>
      <c r="BH223" s="49" t="s">
        <v>1383</v>
      </c>
      <c r="BI223" s="1" t="s">
        <v>1366</v>
      </c>
      <c r="BJ223" s="70" t="s">
        <v>1293</v>
      </c>
      <c r="BK223" s="57" t="s">
        <v>1293</v>
      </c>
      <c r="BL223" s="57" t="s">
        <v>1293</v>
      </c>
      <c r="BM223" s="57" t="s">
        <v>1293</v>
      </c>
      <c r="BN223" s="57" t="s">
        <v>1293</v>
      </c>
      <c r="BO223" s="57" t="s">
        <v>1293</v>
      </c>
      <c r="BP223" s="57" t="s">
        <v>1293</v>
      </c>
      <c r="BQ223" s="57" t="s">
        <v>1293</v>
      </c>
      <c r="BR223" s="57" t="s">
        <v>1293</v>
      </c>
      <c r="BS223" s="57" t="s">
        <v>1293</v>
      </c>
      <c r="BT223" s="57" t="s">
        <v>1293</v>
      </c>
      <c r="BU223" s="57" t="s">
        <v>1293</v>
      </c>
      <c r="BV223" s="70">
        <f t="shared" si="868"/>
        <v>48</v>
      </c>
      <c r="BW223" s="71" t="str">
        <f t="shared" si="869"/>
        <v>-</v>
      </c>
      <c r="BX223" s="72">
        <f t="shared" si="870"/>
        <v>84</v>
      </c>
      <c r="BY223" s="71">
        <f t="shared" si="871"/>
        <v>115</v>
      </c>
      <c r="BZ223" s="72">
        <f t="shared" si="872"/>
        <v>119</v>
      </c>
      <c r="CA223" s="71" t="str">
        <f t="shared" si="873"/>
        <v>-</v>
      </c>
      <c r="CB223" s="72">
        <f t="shared" si="874"/>
        <v>163</v>
      </c>
      <c r="CC223" s="71">
        <f t="shared" si="875"/>
        <v>200</v>
      </c>
      <c r="CD223" s="72">
        <f t="shared" si="876"/>
        <v>208</v>
      </c>
      <c r="CE223" s="71">
        <f t="shared" si="877"/>
        <v>251</v>
      </c>
      <c r="CF223" s="72">
        <f t="shared" si="878"/>
        <v>294</v>
      </c>
      <c r="CG223" s="71">
        <f t="shared" si="879"/>
        <v>323</v>
      </c>
      <c r="CH223" s="70">
        <f t="shared" si="880"/>
        <v>79</v>
      </c>
      <c r="CI223" s="71" t="str">
        <f t="shared" si="881"/>
        <v>-</v>
      </c>
      <c r="CJ223" s="72">
        <f t="shared" si="882"/>
        <v>113</v>
      </c>
      <c r="CK223" s="72">
        <f t="shared" si="883"/>
        <v>118</v>
      </c>
      <c r="CL223" s="72">
        <f t="shared" si="884"/>
        <v>154</v>
      </c>
      <c r="CM223" s="72" t="str">
        <f t="shared" si="885"/>
        <v>-</v>
      </c>
      <c r="CN223" s="72">
        <f t="shared" si="886"/>
        <v>189</v>
      </c>
      <c r="CO223" s="72">
        <f t="shared" si="887"/>
        <v>202</v>
      </c>
      <c r="CP223" s="72">
        <f t="shared" si="888"/>
        <v>242</v>
      </c>
      <c r="CQ223" s="72">
        <f t="shared" si="889"/>
        <v>289</v>
      </c>
      <c r="CR223" s="72">
        <f t="shared" si="890"/>
        <v>322</v>
      </c>
      <c r="CS223" s="72">
        <f t="shared" si="891"/>
        <v>331</v>
      </c>
      <c r="CT223" s="23" t="e">
        <f t="shared" si="892"/>
        <v>#VALUE!</v>
      </c>
    </row>
    <row r="224" spans="1:1030" x14ac:dyDescent="0.2">
      <c r="A224" s="3" t="str">
        <f t="shared" si="893"/>
        <v>opsd_bovin__wt</v>
      </c>
      <c r="B224" s="3" t="s">
        <v>920</v>
      </c>
      <c r="C224" s="3" t="s">
        <v>100</v>
      </c>
      <c r="D224" s="3" t="str">
        <f>IFERROR(MID(VLOOKUP($B224,Seqs!$A:$B,2,0),E224,1),"")</f>
        <v>E</v>
      </c>
      <c r="E224" s="105">
        <v>33</v>
      </c>
      <c r="F224" s="3" t="str">
        <f>IFERROR(MID(VLOOKUP($B224,Seqs!$A:$B,2,0),G224,1),"")</f>
        <v>H</v>
      </c>
      <c r="G224" s="3">
        <v>65</v>
      </c>
      <c r="H224" s="3" t="str">
        <f>IFERROR(MID(VLOOKUP($B224,Seqs!$A:$B,2,0),I224,1),"")</f>
        <v>K</v>
      </c>
      <c r="I224" s="23">
        <v>66</v>
      </c>
      <c r="J224" s="3" t="str">
        <f>IFERROR(MID(VLOOKUP($B224,Seqs!$A:$B,2,0),K224,1),"")</f>
        <v>R</v>
      </c>
      <c r="K224" s="23">
        <v>69</v>
      </c>
      <c r="L224" s="3" t="str">
        <f>IFERROR(MID(VLOOKUP($B224,Seqs!$A:$B,2,0),M224,1),"")</f>
        <v>T</v>
      </c>
      <c r="M224" s="3">
        <v>70</v>
      </c>
      <c r="N224" s="3" t="str">
        <f>IFERROR(MID(VLOOKUP($B224,Seqs!$A:$B,2,0),O224,1),"")</f>
        <v>H</v>
      </c>
      <c r="O224" s="3">
        <v>100</v>
      </c>
      <c r="P224" s="3" t="str">
        <f>IFERROR(MID(VLOOKUP($B224,Seqs!$A:$B,2,0),Q224,1),"")</f>
        <v>Y</v>
      </c>
      <c r="Q224" s="3">
        <v>102</v>
      </c>
      <c r="R224" s="3" t="str">
        <f>IFERROR(MID(VLOOKUP($B224,Seqs!$A:$B,2,0),S224,1),"")</f>
        <v>F</v>
      </c>
      <c r="S224" s="3">
        <v>105</v>
      </c>
      <c r="T224" s="3" t="str">
        <f>IFERROR(MID(VLOOKUP($B224,Seqs!$A:$B,2,0),U224,1),"")</f>
        <v>G</v>
      </c>
      <c r="U224" s="3">
        <v>106</v>
      </c>
      <c r="V224" s="3" t="str">
        <f>IFERROR(MID(VLOOKUP($B224,Seqs!$A:$B,2,0),W224,1),"")</f>
        <v>K</v>
      </c>
      <c r="W224" s="3">
        <v>141</v>
      </c>
      <c r="X224" s="3" t="str">
        <f>IFERROR(MID(VLOOKUP($B224,Seqs!$A:$B,2,0),Y224,1),"")</f>
        <v>P</v>
      </c>
      <c r="Y224" s="3">
        <v>142</v>
      </c>
      <c r="Z224" s="3" t="str">
        <f>IFERROR(MID(VLOOKUP($B224,Seqs!$A:$B,2,0),AA224,1),"")</f>
        <v>F</v>
      </c>
      <c r="AA224" s="105">
        <v>148</v>
      </c>
      <c r="AB224" s="3" t="str">
        <f>IFERROR(MID(VLOOKUP($B224,Seqs!$A:$B,2,0),AC224,1),"")</f>
        <v>G</v>
      </c>
      <c r="AC224" s="105">
        <v>149</v>
      </c>
      <c r="AD224" s="3" t="str">
        <f>IFERROR(MID(VLOOKUP($B224,Seqs!$A:$B,2,0),AE224,1),"")</f>
        <v>V</v>
      </c>
      <c r="AE224" s="3">
        <v>173</v>
      </c>
      <c r="AF224" s="3" t="str">
        <f>IFERROR(MID(VLOOKUP($B224,Seqs!$A:$B,2,0),AG224,1),"")</f>
        <v>C</v>
      </c>
      <c r="AG224" s="3">
        <v>187</v>
      </c>
      <c r="AH224" s="3" t="str">
        <f>IFERROR(MID(VLOOKUP($B224,Seqs!$A:$B,2,0),AI224,1),"")</f>
        <v>I</v>
      </c>
      <c r="AI224" s="3">
        <v>189</v>
      </c>
      <c r="AJ224" s="3" t="str">
        <f>IFERROR(MID(VLOOKUP($B224,Seqs!$A:$B,2,0),AK224,1),"")</f>
        <v>N</v>
      </c>
      <c r="AK224" s="3">
        <v>199</v>
      </c>
      <c r="AL224" s="3" t="str">
        <f>IFERROR(MID(VLOOKUP($B224,Seqs!$A:$B,2,0),AM224,1),"")</f>
        <v>Q</v>
      </c>
      <c r="AM224" s="3">
        <v>237</v>
      </c>
      <c r="AN224" s="3" t="str">
        <f>IFERROR(MID(VLOOKUP($B224,Seqs!$A:$B,2,0),AO224,1),"")</f>
        <v>A</v>
      </c>
      <c r="AO224" s="3">
        <v>241</v>
      </c>
      <c r="AP224" s="3" t="str">
        <f>IFERROR(MID(VLOOKUP($B224,Seqs!$A:$B,2,0),AQ224,1),"")</f>
        <v>H</v>
      </c>
      <c r="AQ224" s="3">
        <v>278</v>
      </c>
      <c r="AR224" s="3" t="str">
        <f>IFERROR(MID(VLOOKUP($B224,Seqs!$A:$B,2,0),AS224,1),"")</f>
        <v>G</v>
      </c>
      <c r="AS224" s="3">
        <v>284</v>
      </c>
      <c r="AT224" s="3" t="str">
        <f>IFERROR(MID(VLOOKUP($B224,Seqs!$A:$B,2,0),AU224,1),"")</f>
        <v>M</v>
      </c>
      <c r="AU224" s="3">
        <v>309</v>
      </c>
      <c r="AV224" s="3" t="str">
        <f>IFERROR(MID(VLOOKUP($B224,Seqs!$A:$B,2,0),AW224,1),"")</f>
        <v>N</v>
      </c>
      <c r="AW224" s="3">
        <v>310</v>
      </c>
      <c r="AX224" s="3" t="str">
        <f>IFERROR(MID(VLOOKUP($B224,Seqs!$A:$B,2,0),AY224,1),"")</f>
        <v>C</v>
      </c>
      <c r="AY224" s="3">
        <v>322</v>
      </c>
      <c r="AZ224" s="77" t="str">
        <f>VLOOKUP(B224,Classification!A:D,2,0)</f>
        <v>A</v>
      </c>
      <c r="BA224" s="94" t="str">
        <f>VLOOKUP(B224,Classification!A:D,4,0)</f>
        <v>Opsins</v>
      </c>
      <c r="BB224" s="27" t="b">
        <f t="shared" si="894"/>
        <v>1</v>
      </c>
      <c r="BC224" s="23">
        <f t="shared" si="867"/>
        <v>259</v>
      </c>
      <c r="BD224" s="34" t="s">
        <v>23</v>
      </c>
      <c r="BE224" s="3" t="s">
        <v>23</v>
      </c>
      <c r="BF224" s="119" t="s">
        <v>23</v>
      </c>
      <c r="BG224" s="49" t="s">
        <v>1378</v>
      </c>
      <c r="BH224" s="49" t="s">
        <v>1383</v>
      </c>
      <c r="BI224" s="1"/>
      <c r="BJ224" s="70" t="s">
        <v>1293</v>
      </c>
      <c r="BK224" s="57" t="s">
        <v>1293</v>
      </c>
      <c r="BL224" s="57" t="s">
        <v>1293</v>
      </c>
      <c r="BM224" s="57" t="s">
        <v>1293</v>
      </c>
      <c r="BN224" s="57" t="s">
        <v>1293</v>
      </c>
      <c r="BO224" s="57" t="s">
        <v>1293</v>
      </c>
      <c r="BP224" s="57" t="s">
        <v>1293</v>
      </c>
      <c r="BQ224" s="57" t="s">
        <v>1293</v>
      </c>
      <c r="BR224" s="57" t="s">
        <v>1293</v>
      </c>
      <c r="BS224" s="57" t="s">
        <v>1293</v>
      </c>
      <c r="BT224" s="57" t="s">
        <v>1293</v>
      </c>
      <c r="BU224" s="57" t="s">
        <v>1293</v>
      </c>
      <c r="BV224" s="70">
        <f t="shared" si="868"/>
        <v>33</v>
      </c>
      <c r="BW224" s="71">
        <f t="shared" si="869"/>
        <v>66</v>
      </c>
      <c r="BX224" s="72">
        <f t="shared" si="870"/>
        <v>70</v>
      </c>
      <c r="BY224" s="71">
        <f t="shared" si="871"/>
        <v>102</v>
      </c>
      <c r="BZ224" s="72">
        <f t="shared" si="872"/>
        <v>106</v>
      </c>
      <c r="CA224" s="71">
        <f t="shared" si="873"/>
        <v>142</v>
      </c>
      <c r="CB224" s="72">
        <f t="shared" si="874"/>
        <v>149</v>
      </c>
      <c r="CC224" s="71">
        <f t="shared" si="875"/>
        <v>187</v>
      </c>
      <c r="CD224" s="72">
        <f t="shared" si="876"/>
        <v>199</v>
      </c>
      <c r="CE224" s="71">
        <f t="shared" si="877"/>
        <v>241</v>
      </c>
      <c r="CF224" s="72">
        <f t="shared" si="878"/>
        <v>284</v>
      </c>
      <c r="CG224" s="71">
        <f t="shared" si="879"/>
        <v>310</v>
      </c>
      <c r="CH224" s="70">
        <f t="shared" si="880"/>
        <v>65</v>
      </c>
      <c r="CI224" s="71">
        <f t="shared" si="881"/>
        <v>69</v>
      </c>
      <c r="CJ224" s="72">
        <f t="shared" si="882"/>
        <v>100</v>
      </c>
      <c r="CK224" s="72">
        <f t="shared" si="883"/>
        <v>105</v>
      </c>
      <c r="CL224" s="72">
        <f t="shared" si="884"/>
        <v>141</v>
      </c>
      <c r="CM224" s="72">
        <f t="shared" si="885"/>
        <v>148</v>
      </c>
      <c r="CN224" s="72">
        <f t="shared" si="886"/>
        <v>173</v>
      </c>
      <c r="CO224" s="72">
        <f t="shared" si="887"/>
        <v>189</v>
      </c>
      <c r="CP224" s="72">
        <f t="shared" si="888"/>
        <v>237</v>
      </c>
      <c r="CQ224" s="72">
        <f t="shared" si="889"/>
        <v>278</v>
      </c>
      <c r="CR224" s="72">
        <f t="shared" si="890"/>
        <v>309</v>
      </c>
      <c r="CS224" s="72">
        <f t="shared" si="891"/>
        <v>322</v>
      </c>
      <c r="CT224" s="23">
        <f t="shared" si="892"/>
        <v>1</v>
      </c>
    </row>
    <row r="225" spans="1:1030" x14ac:dyDescent="0.2">
      <c r="A225" s="3" t="str">
        <f t="shared" si="893"/>
        <v>opsd_bovin_1GZM</v>
      </c>
      <c r="B225" s="3" t="s">
        <v>920</v>
      </c>
      <c r="C225" s="3" t="s">
        <v>1343</v>
      </c>
      <c r="D225" s="3" t="str">
        <f>IFERROR(MID(VLOOKUP($B225,Seqs!$A:$B,2,0),E225,1),"")</f>
        <v>E</v>
      </c>
      <c r="E225" s="105">
        <v>33</v>
      </c>
      <c r="F225" s="3" t="str">
        <f>IFERROR(MID(VLOOKUP($B225,Seqs!$A:$B,2,0),G225,1),"")</f>
        <v>H</v>
      </c>
      <c r="G225" s="3">
        <v>65</v>
      </c>
      <c r="H225" s="3" t="str">
        <f>IFERROR(MID(VLOOKUP($B225,Seqs!$A:$B,2,0),I225,1),"")</f>
        <v>K</v>
      </c>
      <c r="I225" s="23">
        <v>66</v>
      </c>
      <c r="J225" s="3" t="str">
        <f>IFERROR(MID(VLOOKUP($B225,Seqs!$A:$B,2,0),K225,1),"")</f>
        <v>R</v>
      </c>
      <c r="K225" s="23">
        <v>69</v>
      </c>
      <c r="L225" s="3" t="str">
        <f>IFERROR(MID(VLOOKUP($B225,Seqs!$A:$B,2,0),M225,1),"")</f>
        <v>T</v>
      </c>
      <c r="M225" s="3">
        <v>70</v>
      </c>
      <c r="N225" s="3" t="str">
        <f>IFERROR(MID(VLOOKUP($B225,Seqs!$A:$B,2,0),O225,1),"")</f>
        <v>H</v>
      </c>
      <c r="O225" s="3">
        <v>100</v>
      </c>
      <c r="P225" s="3" t="str">
        <f>IFERROR(MID(VLOOKUP($B225,Seqs!$A:$B,2,0),Q225,1),"")</f>
        <v>Y</v>
      </c>
      <c r="Q225" s="3">
        <v>102</v>
      </c>
      <c r="R225" s="3" t="str">
        <f>IFERROR(MID(VLOOKUP($B225,Seqs!$A:$B,2,0),S225,1),"")</f>
        <v>F</v>
      </c>
      <c r="S225" s="3">
        <v>105</v>
      </c>
      <c r="T225" s="3" t="str">
        <f>IFERROR(MID(VLOOKUP($B225,Seqs!$A:$B,2,0),U225,1),"")</f>
        <v>G</v>
      </c>
      <c r="U225" s="3">
        <v>106</v>
      </c>
      <c r="V225" s="3" t="str">
        <f>IFERROR(MID(VLOOKUP($B225,Seqs!$A:$B,2,0),W225,1),"")</f>
        <v>K</v>
      </c>
      <c r="W225" s="3">
        <v>141</v>
      </c>
      <c r="X225" s="3" t="str">
        <f>IFERROR(MID(VLOOKUP($B225,Seqs!$A:$B,2,0),Y225,1),"")</f>
        <v/>
      </c>
      <c r="Y225" s="3" t="s">
        <v>23</v>
      </c>
      <c r="Z225" s="3" t="str">
        <f>IFERROR(MID(VLOOKUP($B225,Seqs!$A:$B,2,0),AA225,1),"")</f>
        <v/>
      </c>
      <c r="AA225" s="3" t="s">
        <v>23</v>
      </c>
      <c r="AB225" s="3" t="str">
        <f>IFERROR(MID(VLOOKUP($B225,Seqs!$A:$B,2,0),AC225,1),"")</f>
        <v>G</v>
      </c>
      <c r="AC225" s="9">
        <v>149</v>
      </c>
      <c r="AD225" s="3" t="str">
        <f>IFERROR(MID(VLOOKUP($B225,Seqs!$A:$B,2,0),AE225,1),"")</f>
        <v>V</v>
      </c>
      <c r="AE225" s="3">
        <v>173</v>
      </c>
      <c r="AF225" s="3" t="str">
        <f>IFERROR(MID(VLOOKUP($B225,Seqs!$A:$B,2,0),AG225,1),"")</f>
        <v>C</v>
      </c>
      <c r="AG225" s="3">
        <v>187</v>
      </c>
      <c r="AH225" s="3" t="str">
        <f>IFERROR(MID(VLOOKUP($B225,Seqs!$A:$B,2,0),AI225,1),"")</f>
        <v>I</v>
      </c>
      <c r="AI225" s="3">
        <v>189</v>
      </c>
      <c r="AJ225" s="3" t="str">
        <f>IFERROR(MID(VLOOKUP($B225,Seqs!$A:$B,2,0),AK225,1),"")</f>
        <v>N</v>
      </c>
      <c r="AK225" s="3">
        <v>199</v>
      </c>
      <c r="AL225" s="3" t="str">
        <f>IFERROR(MID(VLOOKUP($B225,Seqs!$A:$B,2,0),AM225,1),"")</f>
        <v>A</v>
      </c>
      <c r="AM225" s="3">
        <v>233</v>
      </c>
      <c r="AN225" s="3" t="str">
        <f>IFERROR(MID(VLOOKUP($B225,Seqs!$A:$B,2,0),AO225,1),"")</f>
        <v>A</v>
      </c>
      <c r="AO225" s="3">
        <v>241</v>
      </c>
      <c r="AP225" s="3" t="str">
        <f>IFERROR(MID(VLOOKUP($B225,Seqs!$A:$B,2,0),AQ225,1),"")</f>
        <v>H</v>
      </c>
      <c r="AQ225" s="3">
        <v>278</v>
      </c>
      <c r="AR225" s="3" t="str">
        <f>IFERROR(MID(VLOOKUP($B225,Seqs!$A:$B,2,0),AS225,1),"")</f>
        <v>G</v>
      </c>
      <c r="AS225" s="3">
        <v>284</v>
      </c>
      <c r="AT225" s="3" t="str">
        <f>IFERROR(MID(VLOOKUP($B225,Seqs!$A:$B,2,0),AU225,1),"")</f>
        <v>M</v>
      </c>
      <c r="AU225" s="3">
        <v>309</v>
      </c>
      <c r="AV225" s="3" t="str">
        <f>IFERROR(MID(VLOOKUP($B225,Seqs!$A:$B,2,0),AW225,1),"")</f>
        <v>N</v>
      </c>
      <c r="AW225" s="3">
        <v>310</v>
      </c>
      <c r="AX225" s="3" t="str">
        <f>IFERROR(MID(VLOOKUP($B225,Seqs!$A:$B,2,0),AY225,1),"")</f>
        <v>C</v>
      </c>
      <c r="AY225" s="3">
        <v>322</v>
      </c>
      <c r="AZ225" s="77" t="str">
        <f>VLOOKUP(B225,Classification!A:D,2,0)</f>
        <v>A</v>
      </c>
      <c r="BA225" s="94" t="str">
        <f>VLOOKUP(B225,Classification!A:D,4,0)</f>
        <v>Opsins</v>
      </c>
      <c r="BB225" s="27" t="b">
        <f t="shared" si="894"/>
        <v>1</v>
      </c>
      <c r="BC225" s="23">
        <f t="shared" si="867"/>
        <v>249</v>
      </c>
      <c r="BD225" s="56" t="s">
        <v>1382</v>
      </c>
      <c r="BE225" s="3" t="s">
        <v>1380</v>
      </c>
      <c r="BF225" s="119">
        <v>2.65</v>
      </c>
      <c r="BG225" s="49" t="s">
        <v>1383</v>
      </c>
      <c r="BH225" s="49" t="s">
        <v>1383</v>
      </c>
      <c r="BI225" s="1"/>
      <c r="BJ225" s="70" t="s">
        <v>1293</v>
      </c>
      <c r="BK225" s="57" t="s">
        <v>1293</v>
      </c>
      <c r="BL225" s="57" t="s">
        <v>1293</v>
      </c>
      <c r="BM225" s="57" t="s">
        <v>1293</v>
      </c>
      <c r="BN225" s="57" t="s">
        <v>1293</v>
      </c>
      <c r="BO225" s="57" t="s">
        <v>1293</v>
      </c>
      <c r="BP225" s="57" t="s">
        <v>1293</v>
      </c>
      <c r="BQ225" s="57" t="s">
        <v>1293</v>
      </c>
      <c r="BR225" s="57" t="s">
        <v>1293</v>
      </c>
      <c r="BS225" s="57" t="s">
        <v>1293</v>
      </c>
      <c r="BT225" s="57" t="s">
        <v>1293</v>
      </c>
      <c r="BU225" s="57" t="s">
        <v>1293</v>
      </c>
      <c r="BV225" s="70">
        <f t="shared" si="868"/>
        <v>33</v>
      </c>
      <c r="BW225" s="71">
        <f t="shared" si="869"/>
        <v>66</v>
      </c>
      <c r="BX225" s="72">
        <f t="shared" si="870"/>
        <v>70</v>
      </c>
      <c r="BY225" s="71">
        <f t="shared" si="871"/>
        <v>102</v>
      </c>
      <c r="BZ225" s="72">
        <f t="shared" si="872"/>
        <v>106</v>
      </c>
      <c r="CA225" s="71" t="str">
        <f t="shared" si="873"/>
        <v>-</v>
      </c>
      <c r="CB225" s="72">
        <f t="shared" si="874"/>
        <v>149</v>
      </c>
      <c r="CC225" s="71">
        <f t="shared" si="875"/>
        <v>187</v>
      </c>
      <c r="CD225" s="72">
        <f t="shared" si="876"/>
        <v>199</v>
      </c>
      <c r="CE225" s="71">
        <f t="shared" si="877"/>
        <v>241</v>
      </c>
      <c r="CF225" s="72">
        <f t="shared" si="878"/>
        <v>284</v>
      </c>
      <c r="CG225" s="71">
        <f t="shared" si="879"/>
        <v>310</v>
      </c>
      <c r="CH225" s="70">
        <f t="shared" si="880"/>
        <v>65</v>
      </c>
      <c r="CI225" s="71">
        <f t="shared" si="881"/>
        <v>69</v>
      </c>
      <c r="CJ225" s="72">
        <f t="shared" si="882"/>
        <v>100</v>
      </c>
      <c r="CK225" s="72">
        <f t="shared" si="883"/>
        <v>105</v>
      </c>
      <c r="CL225" s="72">
        <f t="shared" si="884"/>
        <v>141</v>
      </c>
      <c r="CM225" s="72" t="str">
        <f t="shared" si="885"/>
        <v>-</v>
      </c>
      <c r="CN225" s="72">
        <f t="shared" si="886"/>
        <v>173</v>
      </c>
      <c r="CO225" s="72">
        <f t="shared" si="887"/>
        <v>189</v>
      </c>
      <c r="CP225" s="72">
        <f t="shared" si="888"/>
        <v>233</v>
      </c>
      <c r="CQ225" s="72">
        <f t="shared" si="889"/>
        <v>278</v>
      </c>
      <c r="CR225" s="72">
        <f t="shared" si="890"/>
        <v>309</v>
      </c>
      <c r="CS225" s="72">
        <f t="shared" si="891"/>
        <v>322</v>
      </c>
      <c r="CT225" s="23">
        <f t="shared" si="892"/>
        <v>1</v>
      </c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</row>
    <row r="226" spans="1:1030" x14ac:dyDescent="0.2">
      <c r="A226" s="3" t="str">
        <f t="shared" si="893"/>
        <v>opsd_bovin_1U19</v>
      </c>
      <c r="B226" s="3" t="s">
        <v>920</v>
      </c>
      <c r="C226" s="3" t="s">
        <v>53</v>
      </c>
      <c r="D226" s="3" t="str">
        <f>IFERROR(MID(VLOOKUP($B226,Seqs!$A:$B,2,0),E226,1),"")</f>
        <v>E</v>
      </c>
      <c r="E226" s="105">
        <v>33</v>
      </c>
      <c r="F226" s="3" t="str">
        <f>IFERROR(MID(VLOOKUP($B226,Seqs!$A:$B,2,0),G226,1),"")</f>
        <v>H</v>
      </c>
      <c r="G226" s="3">
        <v>65</v>
      </c>
      <c r="H226" s="3" t="str">
        <f>IFERROR(MID(VLOOKUP($B226,Seqs!$A:$B,2,0),I226,1),"")</f>
        <v>K</v>
      </c>
      <c r="I226" s="23">
        <v>66</v>
      </c>
      <c r="J226" s="3" t="str">
        <f>IFERROR(MID(VLOOKUP($B226,Seqs!$A:$B,2,0),K226,1),"")</f>
        <v>R</v>
      </c>
      <c r="K226" s="23">
        <v>69</v>
      </c>
      <c r="L226" s="3" t="str">
        <f>IFERROR(MID(VLOOKUP($B226,Seqs!$A:$B,2,0),M226,1),"")</f>
        <v>T</v>
      </c>
      <c r="M226" s="3">
        <v>70</v>
      </c>
      <c r="N226" s="3" t="str">
        <f>IFERROR(MID(VLOOKUP($B226,Seqs!$A:$B,2,0),O226,1),"")</f>
        <v>H</v>
      </c>
      <c r="O226" s="3">
        <v>100</v>
      </c>
      <c r="P226" s="3" t="str">
        <f>IFERROR(MID(VLOOKUP($B226,Seqs!$A:$B,2,0),Q226,1),"")</f>
        <v>Y</v>
      </c>
      <c r="Q226" s="3">
        <v>102</v>
      </c>
      <c r="R226" s="3" t="str">
        <f>IFERROR(MID(VLOOKUP($B226,Seqs!$A:$B,2,0),S226,1),"")</f>
        <v>F</v>
      </c>
      <c r="S226" s="3">
        <v>105</v>
      </c>
      <c r="T226" s="3" t="str">
        <f>IFERROR(MID(VLOOKUP($B226,Seqs!$A:$B,2,0),U226,1),"")</f>
        <v>G</v>
      </c>
      <c r="U226" s="3">
        <v>106</v>
      </c>
      <c r="V226" s="3" t="str">
        <f>IFERROR(MID(VLOOKUP($B226,Seqs!$A:$B,2,0),W226,1),"")</f>
        <v>K</v>
      </c>
      <c r="W226" s="3">
        <v>141</v>
      </c>
      <c r="X226" s="3" t="str">
        <f>IFERROR(MID(VLOOKUP($B226,Seqs!$A:$B,2,0),Y226,1),"")</f>
        <v/>
      </c>
      <c r="Y226" s="3" t="s">
        <v>23</v>
      </c>
      <c r="Z226" s="3" t="str">
        <f>IFERROR(MID(VLOOKUP($B226,Seqs!$A:$B,2,0),AA226,1),"")</f>
        <v/>
      </c>
      <c r="AA226" s="3" t="s">
        <v>23</v>
      </c>
      <c r="AB226" s="3" t="str">
        <f>IFERROR(MID(VLOOKUP($B226,Seqs!$A:$B,2,0),AC226,1),"")</f>
        <v>G</v>
      </c>
      <c r="AC226" s="9">
        <v>149</v>
      </c>
      <c r="AD226" s="3" t="str">
        <f>IFERROR(MID(VLOOKUP($B226,Seqs!$A:$B,2,0),AE226,1),"")</f>
        <v>V</v>
      </c>
      <c r="AE226" s="3">
        <v>173</v>
      </c>
      <c r="AF226" s="3" t="str">
        <f>IFERROR(MID(VLOOKUP($B226,Seqs!$A:$B,2,0),AG226,1),"")</f>
        <v>C</v>
      </c>
      <c r="AG226" s="3">
        <v>187</v>
      </c>
      <c r="AH226" s="3" t="str">
        <f>IFERROR(MID(VLOOKUP($B226,Seqs!$A:$B,2,0),AI226,1),"")</f>
        <v>I</v>
      </c>
      <c r="AI226" s="3">
        <v>189</v>
      </c>
      <c r="AJ226" s="3" t="str">
        <f>IFERROR(MID(VLOOKUP($B226,Seqs!$A:$B,2,0),AK226,1),"")</f>
        <v>N</v>
      </c>
      <c r="AK226" s="3">
        <v>199</v>
      </c>
      <c r="AL226" s="3" t="str">
        <f>IFERROR(MID(VLOOKUP($B226,Seqs!$A:$B,2,0),AM226,1),"")</f>
        <v>Q</v>
      </c>
      <c r="AM226" s="3">
        <v>225</v>
      </c>
      <c r="AN226" s="3" t="str">
        <f>IFERROR(MID(VLOOKUP($B226,Seqs!$A:$B,2,0),AO226,1),"")</f>
        <v>T</v>
      </c>
      <c r="AO226" s="3">
        <v>243</v>
      </c>
      <c r="AP226" s="3" t="str">
        <f>IFERROR(MID(VLOOKUP($B226,Seqs!$A:$B,2,0),AQ226,1),"")</f>
        <v>H</v>
      </c>
      <c r="AQ226" s="3">
        <v>278</v>
      </c>
      <c r="AR226" s="3" t="str">
        <f>IFERROR(MID(VLOOKUP($B226,Seqs!$A:$B,2,0),AS226,1),"")</f>
        <v>G</v>
      </c>
      <c r="AS226" s="3">
        <v>284</v>
      </c>
      <c r="AT226" s="3" t="str">
        <f>IFERROR(MID(VLOOKUP($B226,Seqs!$A:$B,2,0),AU226,1),"")</f>
        <v>M</v>
      </c>
      <c r="AU226" s="3">
        <v>309</v>
      </c>
      <c r="AV226" s="3" t="str">
        <f>IFERROR(MID(VLOOKUP($B226,Seqs!$A:$B,2,0),AW226,1),"")</f>
        <v>N</v>
      </c>
      <c r="AW226" s="3">
        <v>310</v>
      </c>
      <c r="AX226" s="3" t="str">
        <f>IFERROR(MID(VLOOKUP($B226,Seqs!$A:$B,2,0),AY226,1),"")</f>
        <v>C</v>
      </c>
      <c r="AY226" s="3">
        <v>322</v>
      </c>
      <c r="AZ226" s="77" t="str">
        <f>VLOOKUP(B226,Classification!A:D,2,0)</f>
        <v>A</v>
      </c>
      <c r="BA226" s="94" t="str">
        <f>VLOOKUP(B226,Classification!A:D,4,0)</f>
        <v>Opsins</v>
      </c>
      <c r="BB226" s="27" t="b">
        <f t="shared" si="894"/>
        <v>1</v>
      </c>
      <c r="BC226" s="23">
        <f t="shared" si="867"/>
        <v>239</v>
      </c>
      <c r="BD226" s="74" t="s">
        <v>23</v>
      </c>
      <c r="BE226" s="3" t="s">
        <v>1380</v>
      </c>
      <c r="BF226" s="119">
        <v>2.2000000000000002</v>
      </c>
      <c r="BG226" s="49" t="s">
        <v>1</v>
      </c>
      <c r="BH226" s="49" t="s">
        <v>1383</v>
      </c>
      <c r="BI226" s="1"/>
      <c r="BJ226" s="70" t="s">
        <v>1293</v>
      </c>
      <c r="BK226" s="57" t="s">
        <v>1293</v>
      </c>
      <c r="BL226" s="57" t="s">
        <v>1293</v>
      </c>
      <c r="BM226" s="57" t="s">
        <v>1293</v>
      </c>
      <c r="BN226" s="57" t="s">
        <v>1293</v>
      </c>
      <c r="BO226" s="57" t="s">
        <v>1293</v>
      </c>
      <c r="BP226" s="57" t="s">
        <v>1293</v>
      </c>
      <c r="BQ226" s="57" t="s">
        <v>1293</v>
      </c>
      <c r="BR226" s="57" t="s">
        <v>1293</v>
      </c>
      <c r="BS226" s="57" t="s">
        <v>1293</v>
      </c>
      <c r="BT226" s="57" t="s">
        <v>1293</v>
      </c>
      <c r="BU226" s="57" t="s">
        <v>1293</v>
      </c>
      <c r="BV226" s="70">
        <f t="shared" si="868"/>
        <v>33</v>
      </c>
      <c r="BW226" s="71">
        <f t="shared" si="869"/>
        <v>66</v>
      </c>
      <c r="BX226" s="72">
        <f t="shared" si="870"/>
        <v>70</v>
      </c>
      <c r="BY226" s="71">
        <f t="shared" si="871"/>
        <v>102</v>
      </c>
      <c r="BZ226" s="72">
        <f t="shared" si="872"/>
        <v>106</v>
      </c>
      <c r="CA226" s="71" t="str">
        <f t="shared" si="873"/>
        <v>-</v>
      </c>
      <c r="CB226" s="72">
        <f t="shared" si="874"/>
        <v>149</v>
      </c>
      <c r="CC226" s="71">
        <f t="shared" si="875"/>
        <v>187</v>
      </c>
      <c r="CD226" s="72">
        <f t="shared" si="876"/>
        <v>199</v>
      </c>
      <c r="CE226" s="71">
        <f t="shared" si="877"/>
        <v>243</v>
      </c>
      <c r="CF226" s="72">
        <f t="shared" si="878"/>
        <v>284</v>
      </c>
      <c r="CG226" s="71">
        <f t="shared" si="879"/>
        <v>310</v>
      </c>
      <c r="CH226" s="70">
        <f t="shared" si="880"/>
        <v>65</v>
      </c>
      <c r="CI226" s="71">
        <f t="shared" si="881"/>
        <v>69</v>
      </c>
      <c r="CJ226" s="72">
        <f t="shared" si="882"/>
        <v>100</v>
      </c>
      <c r="CK226" s="72">
        <f t="shared" si="883"/>
        <v>105</v>
      </c>
      <c r="CL226" s="72">
        <f t="shared" si="884"/>
        <v>141</v>
      </c>
      <c r="CM226" s="72" t="str">
        <f t="shared" si="885"/>
        <v>-</v>
      </c>
      <c r="CN226" s="72">
        <f t="shared" si="886"/>
        <v>173</v>
      </c>
      <c r="CO226" s="72">
        <f t="shared" si="887"/>
        <v>189</v>
      </c>
      <c r="CP226" s="72">
        <f t="shared" si="888"/>
        <v>225</v>
      </c>
      <c r="CQ226" s="72">
        <f t="shared" si="889"/>
        <v>278</v>
      </c>
      <c r="CR226" s="72">
        <f t="shared" si="890"/>
        <v>309</v>
      </c>
      <c r="CS226" s="72">
        <f t="shared" si="891"/>
        <v>322</v>
      </c>
      <c r="CT226" s="23">
        <f t="shared" si="892"/>
        <v>1</v>
      </c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</row>
    <row r="227" spans="1:1030" x14ac:dyDescent="0.2">
      <c r="A227" s="3" t="str">
        <f t="shared" si="893"/>
        <v>opsd_bovin_2X72</v>
      </c>
      <c r="B227" s="2" t="s">
        <v>920</v>
      </c>
      <c r="C227" s="3" t="s">
        <v>1375</v>
      </c>
      <c r="D227" s="3" t="str">
        <f>IFERROR(MID(VLOOKUP($B227,Seqs!$A:$B,2,0),E227,1),"")</f>
        <v>E</v>
      </c>
      <c r="E227" s="105">
        <v>33</v>
      </c>
      <c r="F227" s="3" t="str">
        <f>IFERROR(MID(VLOOKUP($B227,Seqs!$A:$B,2,0),G227,1),"")</f>
        <v>H</v>
      </c>
      <c r="G227" s="3">
        <v>65</v>
      </c>
      <c r="H227" s="3" t="str">
        <f>IFERROR(MID(VLOOKUP($B227,Seqs!$A:$B,2,0),I227,1),"")</f>
        <v>K</v>
      </c>
      <c r="I227" s="23">
        <v>66</v>
      </c>
      <c r="J227" s="3" t="str">
        <f>IFERROR(MID(VLOOKUP($B227,Seqs!$A:$B,2,0),K227,1),"")</f>
        <v>R</v>
      </c>
      <c r="K227" s="23">
        <v>69</v>
      </c>
      <c r="L227" s="3" t="str">
        <f>IFERROR(MID(VLOOKUP($B227,Seqs!$A:$B,2,0),M227,1),"")</f>
        <v>T</v>
      </c>
      <c r="M227" s="3">
        <v>70</v>
      </c>
      <c r="N227" s="3" t="str">
        <f>IFERROR(MID(VLOOKUP($B227,Seqs!$A:$B,2,0),O227,1),"")</f>
        <v>H</v>
      </c>
      <c r="O227" s="3">
        <v>100</v>
      </c>
      <c r="P227" s="3" t="str">
        <f>IFERROR(MID(VLOOKUP($B227,Seqs!$A:$B,2,0),Q227,1),"")</f>
        <v>Y</v>
      </c>
      <c r="Q227" s="3">
        <v>102</v>
      </c>
      <c r="R227" s="3" t="str">
        <f>IFERROR(MID(VLOOKUP($B227,Seqs!$A:$B,2,0),S227,1),"")</f>
        <v>F</v>
      </c>
      <c r="S227" s="3">
        <v>105</v>
      </c>
      <c r="T227" s="3" t="str">
        <f>IFERROR(MID(VLOOKUP($B227,Seqs!$A:$B,2,0),U227,1),"")</f>
        <v>G</v>
      </c>
      <c r="U227" s="3">
        <v>106</v>
      </c>
      <c r="V227" s="3" t="str">
        <f>IFERROR(MID(VLOOKUP($B227,Seqs!$A:$B,2,0),W227,1),"")</f>
        <v>K</v>
      </c>
      <c r="W227" s="3">
        <v>141</v>
      </c>
      <c r="X227" s="3" t="str">
        <f>IFERROR(MID(VLOOKUP($B227,Seqs!$A:$B,2,0),Y227,1),"")</f>
        <v/>
      </c>
      <c r="Y227" s="3" t="s">
        <v>23</v>
      </c>
      <c r="Z227" s="3" t="str">
        <f>IFERROR(MID(VLOOKUP($B227,Seqs!$A:$B,2,0),AA227,1),"")</f>
        <v/>
      </c>
      <c r="AA227" s="3" t="s">
        <v>23</v>
      </c>
      <c r="AB227" s="3" t="str">
        <f>IFERROR(MID(VLOOKUP($B227,Seqs!$A:$B,2,0),AC227,1),"")</f>
        <v>G</v>
      </c>
      <c r="AC227" s="9">
        <v>149</v>
      </c>
      <c r="AD227" s="3" t="str">
        <f>IFERROR(MID(VLOOKUP($B227,Seqs!$A:$B,2,0),AE227,1),"")</f>
        <v>V</v>
      </c>
      <c r="AE227" s="3">
        <v>173</v>
      </c>
      <c r="AF227" s="3" t="str">
        <f>IFERROR(MID(VLOOKUP($B227,Seqs!$A:$B,2,0),AG227,1),"")</f>
        <v>C</v>
      </c>
      <c r="AG227" s="3">
        <v>187</v>
      </c>
      <c r="AH227" s="3" t="str">
        <f>IFERROR(MID(VLOOKUP($B227,Seqs!$A:$B,2,0),AI227,1),"")</f>
        <v>I</v>
      </c>
      <c r="AI227" s="3">
        <v>189</v>
      </c>
      <c r="AJ227" s="3" t="str">
        <f>IFERROR(MID(VLOOKUP($B227,Seqs!$A:$B,2,0),AK227,1),"")</f>
        <v>N</v>
      </c>
      <c r="AK227" s="3">
        <v>199</v>
      </c>
      <c r="AL227" s="3" t="str">
        <f>IFERROR(MID(VLOOKUP($B227,Seqs!$A:$B,2,0),AM227,1),"")</f>
        <v>Q</v>
      </c>
      <c r="AM227" s="3">
        <v>237</v>
      </c>
      <c r="AN227" s="3" t="str">
        <f>IFERROR(MID(VLOOKUP($B227,Seqs!$A:$B,2,0),AO227,1),"")</f>
        <v>A</v>
      </c>
      <c r="AO227" s="3">
        <v>241</v>
      </c>
      <c r="AP227" s="3" t="str">
        <f>IFERROR(MID(VLOOKUP($B227,Seqs!$A:$B,2,0),AQ227,1),"")</f>
        <v>H</v>
      </c>
      <c r="AQ227" s="3">
        <v>278</v>
      </c>
      <c r="AR227" s="3" t="str">
        <f>IFERROR(MID(VLOOKUP($B227,Seqs!$A:$B,2,0),AS227,1),"")</f>
        <v>G</v>
      </c>
      <c r="AS227" s="3">
        <v>284</v>
      </c>
      <c r="AT227" s="3" t="str">
        <f>IFERROR(MID(VLOOKUP($B227,Seqs!$A:$B,2,0),AU227,1),"")</f>
        <v>M</v>
      </c>
      <c r="AU227" s="3">
        <v>309</v>
      </c>
      <c r="AV227" s="3" t="str">
        <f>IFERROR(MID(VLOOKUP($B227,Seqs!$A:$B,2,0),AW227,1),"")</f>
        <v>N</v>
      </c>
      <c r="AW227" s="3">
        <v>310</v>
      </c>
      <c r="AX227" s="3" t="str">
        <f>IFERROR(MID(VLOOKUP($B227,Seqs!$A:$B,2,0),AY227,1),"")</f>
        <v>C</v>
      </c>
      <c r="AY227" s="3">
        <v>322</v>
      </c>
      <c r="AZ227" s="77" t="str">
        <f>VLOOKUP(B227,Classification!A:D,2,0)</f>
        <v>A</v>
      </c>
      <c r="BA227" s="94" t="str">
        <f>VLOOKUP(B227,Classification!A:D,4,0)</f>
        <v>Opsins</v>
      </c>
      <c r="BB227" s="27" t="b">
        <f>AND(E227&lt;G227,OR(G227&lt;I227,I227="-"),OR(I227&lt;K227,I227="-"),OR(K227&lt;M227,K227="-"),M227&lt;O227,OR(O227&lt;Q227,Q227="-"),OR(Q227&lt;S227,Q227="-"),OR(S227&lt;U227,S227="-"),U227&lt;W227,OR(W227&lt;Y227,Y227="-"),OR(Y227&lt;AA227,Y227="-"),OR(AA227&lt;AC227,AA227="-"),AC227&lt;AE227,OR(AE227&lt;AG227,AG227="-"),OR(AG227&lt;AI227,AG227="-"),OR(AI227&lt;AK227,AI227="-"),AK227&lt;AM227,AM227&lt;AO227,AO227&lt;AQ227,AQ227&lt;AS227,AS227&lt;AU227,OR(AU227&lt;AW227,AW227="-"),OR(AW227&lt;AY227,AW227="-"))</f>
        <v>1</v>
      </c>
      <c r="BC227" s="23">
        <f>_xlfn.AGGREGATE(9,6,CH227:CS227)-_xlfn.AGGREGATE(9,6,BV227:CG227)+12</f>
        <v>253</v>
      </c>
      <c r="BD227" s="56" t="s">
        <v>23</v>
      </c>
      <c r="BE227" s="3" t="s">
        <v>1297</v>
      </c>
      <c r="BF227" s="119">
        <v>3</v>
      </c>
      <c r="BG227" s="49" t="s">
        <v>1383</v>
      </c>
      <c r="BH227" s="49" t="s">
        <v>1383</v>
      </c>
      <c r="BI227" s="1"/>
      <c r="BJ227" s="70" t="s">
        <v>1293</v>
      </c>
      <c r="BK227" s="57" t="s">
        <v>1293</v>
      </c>
      <c r="BL227" s="57" t="s">
        <v>1293</v>
      </c>
      <c r="BM227" s="57" t="s">
        <v>1293</v>
      </c>
      <c r="BN227" s="57" t="s">
        <v>1293</v>
      </c>
      <c r="BO227" s="57" t="s">
        <v>1293</v>
      </c>
      <c r="BP227" s="57" t="s">
        <v>1293</v>
      </c>
      <c r="BQ227" s="57" t="s">
        <v>1293</v>
      </c>
      <c r="BR227" s="57" t="s">
        <v>1293</v>
      </c>
      <c r="BS227" s="57" t="s">
        <v>1293</v>
      </c>
      <c r="BT227" s="57" t="s">
        <v>1293</v>
      </c>
      <c r="BU227" s="57" t="s">
        <v>1293</v>
      </c>
      <c r="BV227" s="70">
        <f>E227</f>
        <v>33</v>
      </c>
      <c r="BW227" s="71">
        <f>I227</f>
        <v>66</v>
      </c>
      <c r="BX227" s="72">
        <f>M227</f>
        <v>70</v>
      </c>
      <c r="BY227" s="71">
        <f>Q227</f>
        <v>102</v>
      </c>
      <c r="BZ227" s="72">
        <f>U227</f>
        <v>106</v>
      </c>
      <c r="CA227" s="71" t="str">
        <f>Y227</f>
        <v>-</v>
      </c>
      <c r="CB227" s="72">
        <f>AC227</f>
        <v>149</v>
      </c>
      <c r="CC227" s="71">
        <f>AG227</f>
        <v>187</v>
      </c>
      <c r="CD227" s="72">
        <f>AK227</f>
        <v>199</v>
      </c>
      <c r="CE227" s="71">
        <f>AO227</f>
        <v>241</v>
      </c>
      <c r="CF227" s="72">
        <f>AS227</f>
        <v>284</v>
      </c>
      <c r="CG227" s="71">
        <f>AW227</f>
        <v>310</v>
      </c>
      <c r="CH227" s="70">
        <f>G227</f>
        <v>65</v>
      </c>
      <c r="CI227" s="71">
        <f>K227</f>
        <v>69</v>
      </c>
      <c r="CJ227" s="72">
        <f>O227</f>
        <v>100</v>
      </c>
      <c r="CK227" s="72">
        <f>S227</f>
        <v>105</v>
      </c>
      <c r="CL227" s="72">
        <f>W227</f>
        <v>141</v>
      </c>
      <c r="CM227" s="72" t="str">
        <f>AA227</f>
        <v>-</v>
      </c>
      <c r="CN227" s="72">
        <f>AE227</f>
        <v>173</v>
      </c>
      <c r="CO227" s="72">
        <f>AI227</f>
        <v>189</v>
      </c>
      <c r="CP227" s="72">
        <f>AM227</f>
        <v>237</v>
      </c>
      <c r="CQ227" s="72">
        <f>AQ227</f>
        <v>278</v>
      </c>
      <c r="CR227" s="72">
        <f>AU227</f>
        <v>309</v>
      </c>
      <c r="CS227" s="72">
        <f>AY227</f>
        <v>322</v>
      </c>
      <c r="CT227" s="23">
        <f>M227-K227</f>
        <v>1</v>
      </c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Q227" s="6"/>
      <c r="KR227" s="6"/>
      <c r="KS227" s="6"/>
      <c r="KT227" s="6"/>
      <c r="KU227" s="6"/>
      <c r="KV227" s="6"/>
      <c r="KW227" s="6"/>
      <c r="KX227" s="6"/>
      <c r="KY227" s="6"/>
      <c r="KZ227" s="6"/>
      <c r="LA227" s="6"/>
      <c r="LB227" s="6"/>
      <c r="LC227" s="6"/>
      <c r="LD227" s="6"/>
      <c r="LE227" s="6"/>
      <c r="LF227" s="6"/>
      <c r="LG227" s="6"/>
      <c r="LH227" s="6"/>
      <c r="LI227" s="6"/>
      <c r="LJ227" s="6"/>
      <c r="LK227" s="6"/>
      <c r="LL227" s="6"/>
      <c r="LM227" s="6"/>
      <c r="LN227" s="6"/>
      <c r="LO227" s="6"/>
      <c r="LP227" s="6"/>
      <c r="LQ227" s="6"/>
      <c r="LR227" s="6"/>
      <c r="LS227" s="6"/>
      <c r="LT227" s="6"/>
      <c r="LU227" s="6"/>
      <c r="LV227" s="6"/>
      <c r="LW227" s="6"/>
      <c r="LX227" s="6"/>
      <c r="LY227" s="6"/>
      <c r="LZ227" s="6"/>
      <c r="MA227" s="6"/>
      <c r="MB227" s="6"/>
      <c r="MC227" s="6"/>
      <c r="MD227" s="6"/>
      <c r="ME227" s="6"/>
      <c r="MF227" s="6"/>
      <c r="MG227" s="6"/>
      <c r="MH227" s="6"/>
      <c r="MI227" s="6"/>
      <c r="MJ227" s="6"/>
      <c r="MK227" s="6"/>
      <c r="ML227" s="6"/>
      <c r="MM227" s="6"/>
      <c r="MN227" s="6"/>
      <c r="MO227" s="6"/>
      <c r="MP227" s="6"/>
      <c r="MQ227" s="6"/>
      <c r="MR227" s="6"/>
      <c r="MS227" s="6"/>
      <c r="MT227" s="6"/>
      <c r="MU227" s="6"/>
      <c r="MV227" s="6"/>
      <c r="MW227" s="6"/>
      <c r="MX227" s="6"/>
      <c r="MY227" s="6"/>
      <c r="MZ227" s="6"/>
      <c r="NA227" s="6"/>
      <c r="NB227" s="6"/>
      <c r="NC227" s="6"/>
      <c r="ND227" s="6"/>
      <c r="NE227" s="6"/>
      <c r="NF227" s="6"/>
      <c r="NG227" s="6"/>
      <c r="NH227" s="6"/>
      <c r="NI227" s="6"/>
      <c r="NJ227" s="6"/>
      <c r="NK227" s="6"/>
      <c r="NL227" s="6"/>
      <c r="NM227" s="6"/>
      <c r="NN227" s="6"/>
      <c r="NO227" s="6"/>
      <c r="NP227" s="6"/>
      <c r="NQ227" s="6"/>
      <c r="NR227" s="6"/>
      <c r="NS227" s="6"/>
      <c r="NT227" s="6"/>
      <c r="NU227" s="6"/>
      <c r="NV227" s="6"/>
      <c r="NW227" s="6"/>
      <c r="NX227" s="6"/>
      <c r="NY227" s="6"/>
      <c r="NZ227" s="6"/>
      <c r="OA227" s="6"/>
      <c r="OB227" s="6"/>
      <c r="OC227" s="6"/>
      <c r="OD227" s="6"/>
      <c r="OE227" s="6"/>
      <c r="OF227" s="6"/>
      <c r="OG227" s="6"/>
      <c r="OH227" s="6"/>
      <c r="OI227" s="6"/>
      <c r="OJ227" s="6"/>
      <c r="OK227" s="6"/>
      <c r="OL227" s="6"/>
      <c r="OM227" s="6"/>
      <c r="ON227" s="6"/>
      <c r="OO227" s="6"/>
      <c r="OP227" s="6"/>
      <c r="OQ227" s="6"/>
      <c r="OR227" s="6"/>
      <c r="OS227" s="6"/>
      <c r="OT227" s="6"/>
      <c r="OU227" s="6"/>
      <c r="OV227" s="6"/>
      <c r="OW227" s="6"/>
      <c r="OX227" s="6"/>
      <c r="OY227" s="6"/>
      <c r="OZ227" s="6"/>
      <c r="PA227" s="6"/>
      <c r="PB227" s="6"/>
      <c r="PC227" s="6"/>
      <c r="PD227" s="6"/>
      <c r="PE227" s="6"/>
      <c r="PF227" s="6"/>
      <c r="PG227" s="6"/>
      <c r="PH227" s="6"/>
      <c r="PI227" s="6"/>
      <c r="PJ227" s="6"/>
      <c r="PK227" s="6"/>
      <c r="PL227" s="6"/>
      <c r="PM227" s="6"/>
      <c r="PN227" s="6"/>
      <c r="PO227" s="6"/>
      <c r="PP227" s="6"/>
      <c r="PQ227" s="6"/>
      <c r="PR227" s="6"/>
      <c r="PS227" s="6"/>
      <c r="PT227" s="6"/>
      <c r="PU227" s="6"/>
      <c r="PV227" s="6"/>
      <c r="PW227" s="6"/>
      <c r="PX227" s="6"/>
      <c r="PY227" s="6"/>
      <c r="PZ227" s="6"/>
      <c r="QA227" s="6"/>
      <c r="QB227" s="6"/>
      <c r="QC227" s="6"/>
      <c r="QD227" s="6"/>
      <c r="QE227" s="6"/>
      <c r="QF227" s="6"/>
      <c r="QG227" s="6"/>
      <c r="QH227" s="6"/>
      <c r="QI227" s="6"/>
      <c r="QJ227" s="6"/>
      <c r="QK227" s="6"/>
      <c r="QL227" s="6"/>
      <c r="QM227" s="6"/>
      <c r="QN227" s="6"/>
      <c r="QO227" s="6"/>
      <c r="QP227" s="6"/>
      <c r="QQ227" s="6"/>
      <c r="QR227" s="6"/>
      <c r="QS227" s="6"/>
      <c r="QT227" s="6"/>
      <c r="QU227" s="6"/>
      <c r="QV227" s="6"/>
      <c r="QW227" s="6"/>
      <c r="QX227" s="6"/>
      <c r="QY227" s="6"/>
      <c r="QZ227" s="6"/>
      <c r="RA227" s="6"/>
      <c r="RB227" s="6"/>
      <c r="RC227" s="6"/>
      <c r="RD227" s="6"/>
      <c r="RE227" s="6"/>
      <c r="RF227" s="6"/>
      <c r="RG227" s="6"/>
      <c r="RH227" s="6"/>
      <c r="RI227" s="6"/>
      <c r="RJ227" s="6"/>
      <c r="RK227" s="6"/>
      <c r="RL227" s="6"/>
      <c r="RM227" s="6"/>
      <c r="RN227" s="6"/>
      <c r="RO227" s="6"/>
      <c r="RP227" s="6"/>
      <c r="RQ227" s="6"/>
      <c r="RR227" s="6"/>
      <c r="RS227" s="6"/>
      <c r="RT227" s="6"/>
      <c r="RU227" s="6"/>
      <c r="RV227" s="6"/>
      <c r="RW227" s="6"/>
      <c r="RX227" s="6"/>
      <c r="RY227" s="6"/>
      <c r="RZ227" s="6"/>
      <c r="SA227" s="6"/>
      <c r="SB227" s="6"/>
      <c r="SC227" s="6"/>
      <c r="SD227" s="6"/>
      <c r="SE227" s="6"/>
      <c r="SF227" s="6"/>
      <c r="SG227" s="6"/>
      <c r="SH227" s="6"/>
      <c r="SI227" s="6"/>
      <c r="SJ227" s="6"/>
      <c r="SK227" s="6"/>
      <c r="SL227" s="6"/>
      <c r="SM227" s="6"/>
      <c r="SN227" s="6"/>
      <c r="SO227" s="6"/>
      <c r="SP227" s="6"/>
      <c r="SQ227" s="6"/>
      <c r="SR227" s="6"/>
      <c r="SS227" s="6"/>
      <c r="ST227" s="6"/>
      <c r="SU227" s="6"/>
      <c r="SV227" s="6"/>
      <c r="SW227" s="6"/>
      <c r="SX227" s="6"/>
      <c r="SY227" s="6"/>
      <c r="SZ227" s="6"/>
      <c r="TA227" s="6"/>
      <c r="TB227" s="6"/>
      <c r="TC227" s="6"/>
      <c r="TD227" s="6"/>
      <c r="TE227" s="6"/>
      <c r="TF227" s="6"/>
      <c r="TG227" s="6"/>
      <c r="TH227" s="6"/>
      <c r="TI227" s="6"/>
      <c r="TJ227" s="6"/>
      <c r="TK227" s="6"/>
      <c r="TL227" s="6"/>
      <c r="TM227" s="6"/>
      <c r="TN227" s="6"/>
      <c r="TO227" s="6"/>
      <c r="TP227" s="6"/>
      <c r="TQ227" s="6"/>
      <c r="TR227" s="6"/>
      <c r="TS227" s="6"/>
      <c r="TT227" s="6"/>
      <c r="TU227" s="6"/>
      <c r="TV227" s="6"/>
      <c r="TW227" s="6"/>
      <c r="TX227" s="6"/>
      <c r="TY227" s="6"/>
      <c r="TZ227" s="6"/>
      <c r="UA227" s="6"/>
      <c r="UB227" s="6"/>
      <c r="UC227" s="6"/>
      <c r="UD227" s="6"/>
      <c r="UE227" s="6"/>
      <c r="UF227" s="6"/>
      <c r="UG227" s="6"/>
      <c r="UH227" s="6"/>
      <c r="UI227" s="6"/>
      <c r="UJ227" s="6"/>
      <c r="UK227" s="6"/>
      <c r="UL227" s="6"/>
      <c r="UM227" s="6"/>
      <c r="UN227" s="6"/>
      <c r="UO227" s="6"/>
      <c r="UP227" s="6"/>
      <c r="UQ227" s="6"/>
      <c r="UR227" s="6"/>
      <c r="US227" s="6"/>
      <c r="UT227" s="6"/>
      <c r="UU227" s="6"/>
      <c r="UV227" s="6"/>
      <c r="UW227" s="6"/>
      <c r="UX227" s="6"/>
      <c r="UY227" s="6"/>
      <c r="UZ227" s="6"/>
      <c r="VA227" s="6"/>
      <c r="VB227" s="6"/>
      <c r="VC227" s="6"/>
      <c r="VD227" s="6"/>
      <c r="VE227" s="6"/>
      <c r="VF227" s="6"/>
      <c r="VG227" s="6"/>
      <c r="VH227" s="6"/>
      <c r="VI227" s="6"/>
      <c r="VJ227" s="6"/>
      <c r="VK227" s="6"/>
      <c r="VL227" s="6"/>
      <c r="VM227" s="6"/>
      <c r="VN227" s="6"/>
      <c r="VO227" s="6"/>
      <c r="VP227" s="6"/>
      <c r="VQ227" s="6"/>
      <c r="VR227" s="6"/>
      <c r="VS227" s="6"/>
      <c r="VT227" s="6"/>
      <c r="VU227" s="6"/>
      <c r="VV227" s="6"/>
      <c r="VW227" s="6"/>
      <c r="VX227" s="6"/>
      <c r="VY227" s="6"/>
      <c r="VZ227" s="6"/>
      <c r="WA227" s="6"/>
      <c r="WB227" s="6"/>
      <c r="WC227" s="6"/>
      <c r="WD227" s="6"/>
      <c r="WE227" s="6"/>
      <c r="WF227" s="6"/>
      <c r="WG227" s="6"/>
      <c r="WH227" s="6"/>
      <c r="WI227" s="6"/>
      <c r="WJ227" s="6"/>
      <c r="WK227" s="6"/>
      <c r="WL227" s="6"/>
      <c r="WM227" s="6"/>
      <c r="WN227" s="6"/>
      <c r="WO227" s="6"/>
      <c r="WP227" s="6"/>
      <c r="WQ227" s="6"/>
      <c r="WR227" s="6"/>
      <c r="WS227" s="6"/>
      <c r="WT227" s="6"/>
      <c r="WU227" s="6"/>
      <c r="WV227" s="6"/>
      <c r="WW227" s="6"/>
      <c r="WX227" s="6"/>
      <c r="WY227" s="6"/>
      <c r="WZ227" s="6"/>
      <c r="XA227" s="6"/>
      <c r="XB227" s="6"/>
      <c r="XC227" s="6"/>
      <c r="XD227" s="6"/>
      <c r="XE227" s="6"/>
      <c r="XF227" s="6"/>
      <c r="XG227" s="6"/>
      <c r="XH227" s="6"/>
      <c r="XI227" s="6"/>
      <c r="XJ227" s="6"/>
      <c r="XK227" s="6"/>
      <c r="XL227" s="6"/>
      <c r="XM227" s="6"/>
      <c r="XN227" s="6"/>
      <c r="XO227" s="6"/>
      <c r="XP227" s="6"/>
      <c r="XQ227" s="6"/>
      <c r="XR227" s="6"/>
      <c r="XS227" s="6"/>
      <c r="XT227" s="6"/>
      <c r="XU227" s="6"/>
      <c r="XV227" s="6"/>
      <c r="XW227" s="6"/>
      <c r="XX227" s="6"/>
      <c r="XY227" s="6"/>
      <c r="XZ227" s="6"/>
      <c r="YA227" s="6"/>
      <c r="YB227" s="6"/>
      <c r="YC227" s="6"/>
      <c r="YD227" s="6"/>
      <c r="YE227" s="6"/>
      <c r="YF227" s="6"/>
      <c r="YG227" s="6"/>
      <c r="YH227" s="6"/>
      <c r="YI227" s="6"/>
      <c r="YJ227" s="6"/>
      <c r="YK227" s="6"/>
      <c r="YL227" s="6"/>
      <c r="YM227" s="6"/>
      <c r="YN227" s="6"/>
      <c r="YO227" s="6"/>
      <c r="YP227" s="6"/>
      <c r="YQ227" s="6"/>
      <c r="YR227" s="6"/>
      <c r="YS227" s="6"/>
      <c r="YT227" s="6"/>
      <c r="YU227" s="6"/>
      <c r="YV227" s="6"/>
      <c r="YW227" s="6"/>
      <c r="YX227" s="6"/>
      <c r="YY227" s="6"/>
      <c r="YZ227" s="6"/>
      <c r="ZA227" s="6"/>
      <c r="ZB227" s="6"/>
      <c r="ZC227" s="6"/>
      <c r="ZD227" s="6"/>
      <c r="ZE227" s="6"/>
      <c r="ZF227" s="6"/>
      <c r="ZG227" s="6"/>
      <c r="ZH227" s="6"/>
      <c r="ZI227" s="6"/>
      <c r="ZJ227" s="6"/>
      <c r="ZK227" s="6"/>
      <c r="ZL227" s="6"/>
      <c r="ZM227" s="6"/>
      <c r="ZN227" s="6"/>
      <c r="ZO227" s="6"/>
      <c r="ZP227" s="6"/>
      <c r="ZQ227" s="6"/>
      <c r="ZR227" s="6"/>
      <c r="ZS227" s="6"/>
      <c r="ZT227" s="6"/>
      <c r="ZU227" s="6"/>
      <c r="ZV227" s="6"/>
      <c r="ZW227" s="6"/>
      <c r="ZX227" s="6"/>
      <c r="ZY227" s="6"/>
      <c r="ZZ227" s="6"/>
      <c r="AAA227" s="6"/>
      <c r="AAB227" s="6"/>
      <c r="AAC227" s="6"/>
      <c r="AAD227" s="6"/>
      <c r="AAE227" s="6"/>
      <c r="AAF227" s="6"/>
      <c r="AAG227" s="6"/>
      <c r="AAH227" s="6"/>
      <c r="AAI227" s="6"/>
      <c r="AAJ227" s="6"/>
      <c r="AAK227" s="6"/>
      <c r="AAL227" s="6"/>
      <c r="AAM227" s="6"/>
      <c r="AAN227" s="6"/>
      <c r="AAO227" s="6"/>
      <c r="AAP227" s="6"/>
      <c r="AAQ227" s="6"/>
      <c r="AAR227" s="6"/>
      <c r="AAS227" s="6"/>
      <c r="AAT227" s="6"/>
      <c r="AAU227" s="6"/>
      <c r="AAV227" s="6"/>
      <c r="AAW227" s="6"/>
      <c r="AAX227" s="6"/>
      <c r="AAY227" s="6"/>
      <c r="AAZ227" s="6"/>
      <c r="ABA227" s="6"/>
      <c r="ABB227" s="6"/>
      <c r="ABC227" s="6"/>
      <c r="ABD227" s="6"/>
      <c r="ABE227" s="6"/>
      <c r="ABF227" s="6"/>
      <c r="ABG227" s="6"/>
      <c r="ABH227" s="6"/>
      <c r="ABI227" s="6"/>
      <c r="ABJ227" s="6"/>
      <c r="ABK227" s="6"/>
      <c r="ABL227" s="6"/>
      <c r="ABM227" s="6"/>
      <c r="ABN227" s="6"/>
      <c r="ABO227" s="6"/>
      <c r="ABP227" s="6"/>
      <c r="ABQ227" s="6"/>
      <c r="ABR227" s="6"/>
      <c r="ABS227" s="6"/>
      <c r="ABT227" s="6"/>
      <c r="ABU227" s="6"/>
      <c r="ABV227" s="6"/>
      <c r="ABW227" s="6"/>
      <c r="ABX227" s="6"/>
      <c r="ABY227" s="6"/>
      <c r="ABZ227" s="6"/>
      <c r="ACA227" s="6"/>
      <c r="ACB227" s="6"/>
      <c r="ACC227" s="6"/>
      <c r="ACD227" s="6"/>
      <c r="ACE227" s="6"/>
      <c r="ACF227" s="6"/>
      <c r="ACG227" s="6"/>
      <c r="ACH227" s="6"/>
      <c r="ACI227" s="6"/>
      <c r="ACJ227" s="6"/>
      <c r="ACK227" s="6"/>
      <c r="ACL227" s="6"/>
      <c r="ACM227" s="6"/>
      <c r="ACN227" s="6"/>
      <c r="ACO227" s="6"/>
      <c r="ACP227" s="6"/>
      <c r="ACQ227" s="6"/>
      <c r="ACR227" s="6"/>
      <c r="ACS227" s="6"/>
      <c r="ACT227" s="6"/>
      <c r="ACU227" s="6"/>
      <c r="ACV227" s="6"/>
      <c r="ACW227" s="6"/>
      <c r="ACX227" s="6"/>
      <c r="ACY227" s="6"/>
      <c r="ACZ227" s="6"/>
      <c r="ADA227" s="6"/>
      <c r="ADB227" s="6"/>
      <c r="ADC227" s="6"/>
      <c r="ADD227" s="6"/>
      <c r="ADE227" s="6"/>
      <c r="ADF227" s="6"/>
      <c r="ADG227" s="6"/>
      <c r="ADH227" s="6"/>
      <c r="ADI227" s="6"/>
      <c r="ADJ227" s="6"/>
      <c r="ADK227" s="6"/>
      <c r="ADL227" s="6"/>
      <c r="ADM227" s="6"/>
      <c r="ADN227" s="6"/>
      <c r="ADO227" s="6"/>
      <c r="ADP227" s="6"/>
      <c r="ADQ227" s="6"/>
      <c r="ADR227" s="6"/>
      <c r="ADS227" s="6"/>
      <c r="ADT227" s="6"/>
      <c r="ADU227" s="6"/>
      <c r="ADV227" s="6"/>
      <c r="ADW227" s="6"/>
      <c r="ADX227" s="6"/>
      <c r="ADY227" s="6"/>
      <c r="ADZ227" s="6"/>
      <c r="AEA227" s="6"/>
      <c r="AEB227" s="6"/>
      <c r="AEC227" s="6"/>
      <c r="AED227" s="6"/>
      <c r="AEE227" s="6"/>
      <c r="AEF227" s="6"/>
      <c r="AEG227" s="6"/>
      <c r="AEH227" s="6"/>
      <c r="AEI227" s="6"/>
      <c r="AEJ227" s="6"/>
      <c r="AEK227" s="6"/>
      <c r="AEL227" s="6"/>
      <c r="AEM227" s="6"/>
      <c r="AEN227" s="6"/>
      <c r="AEO227" s="6"/>
      <c r="AEP227" s="6"/>
      <c r="AEQ227" s="6"/>
      <c r="AER227" s="6"/>
      <c r="AES227" s="6"/>
      <c r="AET227" s="6"/>
      <c r="AEU227" s="6"/>
      <c r="AEV227" s="6"/>
      <c r="AEW227" s="6"/>
      <c r="AEX227" s="6"/>
      <c r="AEY227" s="6"/>
      <c r="AEZ227" s="6"/>
      <c r="AFA227" s="6"/>
      <c r="AFB227" s="6"/>
      <c r="AFC227" s="6"/>
      <c r="AFD227" s="6"/>
      <c r="AFE227" s="6"/>
      <c r="AFF227" s="6"/>
      <c r="AFG227" s="6"/>
      <c r="AFH227" s="6"/>
      <c r="AFI227" s="6"/>
      <c r="AFJ227" s="6"/>
      <c r="AFK227" s="6"/>
      <c r="AFL227" s="6"/>
      <c r="AFM227" s="6"/>
      <c r="AFN227" s="6"/>
      <c r="AFO227" s="6"/>
      <c r="AFP227" s="6"/>
      <c r="AFQ227" s="6"/>
      <c r="AFR227" s="6"/>
      <c r="AFS227" s="6"/>
      <c r="AFT227" s="6"/>
      <c r="AFU227" s="6"/>
      <c r="AFV227" s="6"/>
      <c r="AFW227" s="6"/>
      <c r="AFX227" s="6"/>
      <c r="AFY227" s="6"/>
      <c r="AFZ227" s="6"/>
      <c r="AGA227" s="6"/>
      <c r="AGB227" s="6"/>
      <c r="AGC227" s="6"/>
      <c r="AGD227" s="6"/>
      <c r="AGE227" s="6"/>
      <c r="AGF227" s="6"/>
      <c r="AGG227" s="6"/>
      <c r="AGH227" s="6"/>
      <c r="AGI227" s="6"/>
      <c r="AGJ227" s="6"/>
      <c r="AGK227" s="6"/>
      <c r="AGL227" s="6"/>
      <c r="AGM227" s="6"/>
      <c r="AGN227" s="6"/>
      <c r="AGO227" s="6"/>
      <c r="AGP227" s="6"/>
      <c r="AGQ227" s="6"/>
      <c r="AGR227" s="6"/>
      <c r="AGS227" s="6"/>
      <c r="AGT227" s="6"/>
      <c r="AGU227" s="6"/>
      <c r="AGV227" s="6"/>
      <c r="AGW227" s="6"/>
      <c r="AGX227" s="6"/>
      <c r="AGY227" s="6"/>
      <c r="AGZ227" s="6"/>
      <c r="AHA227" s="6"/>
      <c r="AHB227" s="6"/>
      <c r="AHC227" s="6"/>
      <c r="AHD227" s="6"/>
      <c r="AHE227" s="6"/>
      <c r="AHF227" s="6"/>
      <c r="AHG227" s="6"/>
      <c r="AHH227" s="6"/>
      <c r="AHI227" s="6"/>
      <c r="AHJ227" s="6"/>
      <c r="AHK227" s="6"/>
      <c r="AHL227" s="6"/>
      <c r="AHM227" s="6"/>
      <c r="AHN227" s="6"/>
      <c r="AHO227" s="6"/>
      <c r="AHP227" s="6"/>
      <c r="AHQ227" s="6"/>
      <c r="AHR227" s="6"/>
      <c r="AHS227" s="6"/>
      <c r="AHT227" s="6"/>
      <c r="AHU227" s="6"/>
      <c r="AHV227" s="6"/>
      <c r="AHW227" s="6"/>
      <c r="AHX227" s="6"/>
      <c r="AHY227" s="6"/>
      <c r="AHZ227" s="6"/>
      <c r="AIA227" s="6"/>
      <c r="AIB227" s="6"/>
      <c r="AIC227" s="6"/>
      <c r="AID227" s="6"/>
      <c r="AIE227" s="6"/>
      <c r="AIF227" s="6"/>
      <c r="AIG227" s="6"/>
      <c r="AIH227" s="6"/>
      <c r="AII227" s="6"/>
      <c r="AIJ227" s="6"/>
      <c r="AIK227" s="6"/>
      <c r="AIL227" s="6"/>
      <c r="AIM227" s="6"/>
      <c r="AIN227" s="6"/>
      <c r="AIO227" s="6"/>
      <c r="AIP227" s="6"/>
      <c r="AIQ227" s="6"/>
      <c r="AIR227" s="6"/>
      <c r="AIS227" s="6"/>
      <c r="AIT227" s="6"/>
      <c r="AIU227" s="6"/>
      <c r="AIV227" s="6"/>
      <c r="AIW227" s="6"/>
      <c r="AIX227" s="6"/>
      <c r="AIY227" s="6"/>
      <c r="AIZ227" s="6"/>
      <c r="AJA227" s="6"/>
      <c r="AJB227" s="6"/>
      <c r="AJC227" s="6"/>
      <c r="AJD227" s="6"/>
      <c r="AJE227" s="6"/>
      <c r="AJF227" s="6"/>
      <c r="AJG227" s="6"/>
      <c r="AJH227" s="6"/>
      <c r="AJI227" s="6"/>
      <c r="AJJ227" s="6"/>
      <c r="AJK227" s="6"/>
      <c r="AJL227" s="6"/>
      <c r="AJM227" s="6"/>
      <c r="AJN227" s="6"/>
      <c r="AJO227" s="6"/>
      <c r="AJP227" s="6"/>
      <c r="AJQ227" s="6"/>
      <c r="AJR227" s="6"/>
      <c r="AJS227" s="6"/>
      <c r="AJT227" s="6"/>
      <c r="AJU227" s="6"/>
      <c r="AJV227" s="6"/>
      <c r="AJW227" s="6"/>
      <c r="AJX227" s="6"/>
      <c r="AJY227" s="6"/>
      <c r="AJZ227" s="6"/>
      <c r="AKA227" s="6"/>
      <c r="AKB227" s="6"/>
      <c r="AKC227" s="6"/>
      <c r="AKD227" s="6"/>
      <c r="AKE227" s="6"/>
      <c r="AKF227" s="6"/>
      <c r="AKG227" s="6"/>
      <c r="AKH227" s="6"/>
      <c r="AKI227" s="6"/>
      <c r="AKJ227" s="6"/>
      <c r="AKK227" s="6"/>
      <c r="AKL227" s="6"/>
      <c r="AKM227" s="6"/>
      <c r="AKN227" s="6"/>
      <c r="AKO227" s="6"/>
      <c r="AKP227" s="6"/>
      <c r="AKQ227" s="6"/>
      <c r="AKR227" s="6"/>
      <c r="AKS227" s="6"/>
      <c r="AKT227" s="6"/>
      <c r="AKU227" s="6"/>
      <c r="AKV227" s="6"/>
      <c r="AKW227" s="6"/>
      <c r="AKX227" s="6"/>
      <c r="AKY227" s="6"/>
      <c r="AKZ227" s="6"/>
      <c r="ALA227" s="6"/>
      <c r="ALB227" s="6"/>
      <c r="ALC227" s="6"/>
      <c r="ALD227" s="6"/>
      <c r="ALE227" s="6"/>
      <c r="ALF227" s="6"/>
      <c r="ALG227" s="6"/>
      <c r="ALH227" s="6"/>
      <c r="ALI227" s="6"/>
      <c r="ALJ227" s="6"/>
      <c r="ALK227" s="6"/>
      <c r="ALL227" s="6"/>
      <c r="ALM227" s="6"/>
      <c r="ALN227" s="6"/>
      <c r="ALO227" s="6"/>
      <c r="ALP227" s="6"/>
      <c r="ALQ227" s="6"/>
      <c r="ALR227" s="6"/>
      <c r="ALS227" s="6"/>
      <c r="ALT227" s="6"/>
      <c r="ALU227" s="6"/>
      <c r="ALV227" s="6"/>
      <c r="ALW227" s="6"/>
      <c r="ALX227" s="6"/>
      <c r="ALY227" s="6"/>
      <c r="ALZ227" s="6"/>
      <c r="AMA227" s="6"/>
      <c r="AMB227" s="6"/>
      <c r="AMC227" s="6"/>
      <c r="AMD227" s="6"/>
      <c r="AME227" s="6"/>
      <c r="AMF227" s="6"/>
      <c r="AMG227" s="6"/>
      <c r="AMH227" s="6"/>
      <c r="AMI227" s="6"/>
      <c r="AMJ227" s="6"/>
      <c r="AMK227" s="6"/>
      <c r="AML227" s="6"/>
      <c r="AMM227" s="6"/>
      <c r="AMN227" s="6"/>
      <c r="AMO227" s="6"/>
      <c r="AMP227" s="6"/>
    </row>
    <row r="228" spans="1:1030" x14ac:dyDescent="0.2">
      <c r="A228" s="3" t="str">
        <f t="shared" si="893"/>
        <v>opsd_bovin_3DQB</v>
      </c>
      <c r="B228" s="3" t="s">
        <v>920</v>
      </c>
      <c r="C228" s="3" t="s">
        <v>54</v>
      </c>
      <c r="D228" s="3" t="str">
        <f>IFERROR(MID(VLOOKUP($B228,Seqs!$A:$B,2,0),E228,1),"")</f>
        <v>E</v>
      </c>
      <c r="E228" s="105">
        <v>33</v>
      </c>
      <c r="F228" s="3" t="str">
        <f>IFERROR(MID(VLOOKUP($B228,Seqs!$A:$B,2,0),G228,1),"")</f>
        <v>H</v>
      </c>
      <c r="G228" s="3">
        <v>65</v>
      </c>
      <c r="H228" s="3" t="str">
        <f>IFERROR(MID(VLOOKUP($B228,Seqs!$A:$B,2,0),I228,1),"")</f>
        <v>K</v>
      </c>
      <c r="I228" s="23">
        <v>66</v>
      </c>
      <c r="J228" s="3" t="str">
        <f>IFERROR(MID(VLOOKUP($B228,Seqs!$A:$B,2,0),K228,1),"")</f>
        <v>R</v>
      </c>
      <c r="K228" s="23">
        <v>69</v>
      </c>
      <c r="L228" s="3" t="str">
        <f>IFERROR(MID(VLOOKUP($B228,Seqs!$A:$B,2,0),M228,1),"")</f>
        <v>T</v>
      </c>
      <c r="M228" s="3">
        <v>70</v>
      </c>
      <c r="N228" s="3" t="str">
        <f>IFERROR(MID(VLOOKUP($B228,Seqs!$A:$B,2,0),O228,1),"")</f>
        <v>H</v>
      </c>
      <c r="O228" s="3">
        <v>100</v>
      </c>
      <c r="P228" s="3" t="str">
        <f>IFERROR(MID(VLOOKUP($B228,Seqs!$A:$B,2,0),Q228,1),"")</f>
        <v>Y</v>
      </c>
      <c r="Q228" s="3">
        <v>102</v>
      </c>
      <c r="R228" s="3" t="str">
        <f>IFERROR(MID(VLOOKUP($B228,Seqs!$A:$B,2,0),S228,1),"")</f>
        <v>F</v>
      </c>
      <c r="S228" s="3">
        <v>105</v>
      </c>
      <c r="T228" s="3" t="str">
        <f>IFERROR(MID(VLOOKUP($B228,Seqs!$A:$B,2,0),U228,1),"")</f>
        <v>G</v>
      </c>
      <c r="U228" s="3">
        <v>106</v>
      </c>
      <c r="V228" s="3" t="str">
        <f>IFERROR(MID(VLOOKUP($B228,Seqs!$A:$B,2,0),W228,1),"")</f>
        <v>K</v>
      </c>
      <c r="W228" s="3">
        <v>141</v>
      </c>
      <c r="X228" s="3" t="str">
        <f>IFERROR(MID(VLOOKUP($B228,Seqs!$A:$B,2,0),Y228,1),"")</f>
        <v/>
      </c>
      <c r="Y228" s="3" t="s">
        <v>23</v>
      </c>
      <c r="Z228" s="3" t="str">
        <f>IFERROR(MID(VLOOKUP($B228,Seqs!$A:$B,2,0),AA228,1),"")</f>
        <v/>
      </c>
      <c r="AA228" s="3" t="s">
        <v>23</v>
      </c>
      <c r="AB228" s="3" t="str">
        <f>IFERROR(MID(VLOOKUP($B228,Seqs!$A:$B,2,0),AC228,1),"")</f>
        <v>G</v>
      </c>
      <c r="AC228" s="9">
        <v>149</v>
      </c>
      <c r="AD228" s="3" t="str">
        <f>IFERROR(MID(VLOOKUP($B228,Seqs!$A:$B,2,0),AE228,1),"")</f>
        <v>V</v>
      </c>
      <c r="AE228" s="3">
        <v>173</v>
      </c>
      <c r="AF228" s="3" t="str">
        <f>IFERROR(MID(VLOOKUP($B228,Seqs!$A:$B,2,0),AG228,1),"")</f>
        <v>C</v>
      </c>
      <c r="AG228" s="3">
        <v>187</v>
      </c>
      <c r="AH228" s="3" t="str">
        <f>IFERROR(MID(VLOOKUP($B228,Seqs!$A:$B,2,0),AI228,1),"")</f>
        <v>I</v>
      </c>
      <c r="AI228" s="3">
        <v>189</v>
      </c>
      <c r="AJ228" s="3" t="str">
        <f>IFERROR(MID(VLOOKUP($B228,Seqs!$A:$B,2,0),AK228,1),"")</f>
        <v>N</v>
      </c>
      <c r="AK228" s="3">
        <v>199</v>
      </c>
      <c r="AL228" s="3" t="str">
        <f>IFERROR(MID(VLOOKUP($B228,Seqs!$A:$B,2,0),AM228,1),"")</f>
        <v>Q</v>
      </c>
      <c r="AM228" s="3">
        <v>237</v>
      </c>
      <c r="AN228" s="3" t="str">
        <f>IFERROR(MID(VLOOKUP($B228,Seqs!$A:$B,2,0),AO228,1),"")</f>
        <v>A</v>
      </c>
      <c r="AO228" s="3">
        <v>241</v>
      </c>
      <c r="AP228" s="3" t="str">
        <f>IFERROR(MID(VLOOKUP($B228,Seqs!$A:$B,2,0),AQ228,1),"")</f>
        <v>H</v>
      </c>
      <c r="AQ228" s="3">
        <v>278</v>
      </c>
      <c r="AR228" s="3" t="str">
        <f>IFERROR(MID(VLOOKUP($B228,Seqs!$A:$B,2,0),AS228,1),"")</f>
        <v>G</v>
      </c>
      <c r="AS228" s="3">
        <v>284</v>
      </c>
      <c r="AT228" s="3" t="str">
        <f>IFERROR(MID(VLOOKUP($B228,Seqs!$A:$B,2,0),AU228,1),"")</f>
        <v>M</v>
      </c>
      <c r="AU228" s="3">
        <v>309</v>
      </c>
      <c r="AV228" s="3" t="str">
        <f>IFERROR(MID(VLOOKUP($B228,Seqs!$A:$B,2,0),AW228,1),"")</f>
        <v>N</v>
      </c>
      <c r="AW228" s="3">
        <v>310</v>
      </c>
      <c r="AX228" s="3" t="str">
        <f>IFERROR(MID(VLOOKUP($B228,Seqs!$A:$B,2,0),AY228,1),"")</f>
        <v>C</v>
      </c>
      <c r="AY228" s="3">
        <v>322</v>
      </c>
      <c r="AZ228" s="77" t="str">
        <f>VLOOKUP(B228,Classification!A:D,2,0)</f>
        <v>A</v>
      </c>
      <c r="BA228" s="94" t="str">
        <f>VLOOKUP(B228,Classification!A:D,4,0)</f>
        <v>Opsins</v>
      </c>
      <c r="BB228" s="27" t="b">
        <f t="shared" si="894"/>
        <v>1</v>
      </c>
      <c r="BC228" s="23">
        <f>_xlfn.AGGREGATE(9,6,CH228:CS228)-_xlfn.AGGREGATE(9,6,BV228:CG228)+12</f>
        <v>253</v>
      </c>
      <c r="BD228" s="74" t="s">
        <v>23</v>
      </c>
      <c r="BE228" s="3" t="s">
        <v>1297</v>
      </c>
      <c r="BF228" s="119">
        <v>3.2</v>
      </c>
      <c r="BG228" s="49" t="s">
        <v>1383</v>
      </c>
      <c r="BH228" s="49" t="s">
        <v>1383</v>
      </c>
      <c r="BI228" s="1"/>
      <c r="BJ228" s="70" t="s">
        <v>1293</v>
      </c>
      <c r="BK228" s="57" t="s">
        <v>1293</v>
      </c>
      <c r="BL228" s="57" t="s">
        <v>1293</v>
      </c>
      <c r="BM228" s="57" t="s">
        <v>1293</v>
      </c>
      <c r="BN228" s="57" t="s">
        <v>1293</v>
      </c>
      <c r="BO228" s="57" t="s">
        <v>1293</v>
      </c>
      <c r="BP228" s="57" t="s">
        <v>1293</v>
      </c>
      <c r="BQ228" s="57" t="s">
        <v>1293</v>
      </c>
      <c r="BR228" s="57" t="s">
        <v>1293</v>
      </c>
      <c r="BS228" s="57" t="s">
        <v>1293</v>
      </c>
      <c r="BT228" s="57" t="s">
        <v>1293</v>
      </c>
      <c r="BU228" s="57" t="s">
        <v>1293</v>
      </c>
      <c r="BV228" s="70">
        <f>E228</f>
        <v>33</v>
      </c>
      <c r="BW228" s="71">
        <f>I228</f>
        <v>66</v>
      </c>
      <c r="BX228" s="72">
        <f>M228</f>
        <v>70</v>
      </c>
      <c r="BY228" s="71">
        <f>Q228</f>
        <v>102</v>
      </c>
      <c r="BZ228" s="72">
        <f>U228</f>
        <v>106</v>
      </c>
      <c r="CA228" s="71" t="str">
        <f>Y228</f>
        <v>-</v>
      </c>
      <c r="CB228" s="72">
        <f>AC228</f>
        <v>149</v>
      </c>
      <c r="CC228" s="71">
        <f>AG228</f>
        <v>187</v>
      </c>
      <c r="CD228" s="72">
        <f>AK228</f>
        <v>199</v>
      </c>
      <c r="CE228" s="71">
        <f>AO228</f>
        <v>241</v>
      </c>
      <c r="CF228" s="72">
        <f>AS228</f>
        <v>284</v>
      </c>
      <c r="CG228" s="71">
        <f>AW228</f>
        <v>310</v>
      </c>
      <c r="CH228" s="70">
        <f>G228</f>
        <v>65</v>
      </c>
      <c r="CI228" s="71">
        <f>K228</f>
        <v>69</v>
      </c>
      <c r="CJ228" s="72">
        <f>O228</f>
        <v>100</v>
      </c>
      <c r="CK228" s="72">
        <f>S228</f>
        <v>105</v>
      </c>
      <c r="CL228" s="72">
        <f>W228</f>
        <v>141</v>
      </c>
      <c r="CM228" s="72" t="str">
        <f>AA228</f>
        <v>-</v>
      </c>
      <c r="CN228" s="72">
        <f>AE228</f>
        <v>173</v>
      </c>
      <c r="CO228" s="72">
        <f>AI228</f>
        <v>189</v>
      </c>
      <c r="CP228" s="72">
        <f>AM228</f>
        <v>237</v>
      </c>
      <c r="CQ228" s="72">
        <f>AQ228</f>
        <v>278</v>
      </c>
      <c r="CR228" s="72">
        <f>AU228</f>
        <v>309</v>
      </c>
      <c r="CS228" s="72">
        <f>AY228</f>
        <v>322</v>
      </c>
      <c r="CT228" s="23">
        <f>M228-K228</f>
        <v>1</v>
      </c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</row>
    <row r="229" spans="1:1030" x14ac:dyDescent="0.2">
      <c r="A229" s="3" t="str">
        <f t="shared" si="893"/>
        <v>opsd_bovin_3PQR</v>
      </c>
      <c r="B229" s="3" t="s">
        <v>920</v>
      </c>
      <c r="C229" s="3" t="s">
        <v>1033</v>
      </c>
      <c r="D229" s="3" t="str">
        <f>IFERROR(MID(VLOOKUP($B229,Seqs!$A:$B,2,0),E229,1),"")</f>
        <v>E</v>
      </c>
      <c r="E229" s="105">
        <v>33</v>
      </c>
      <c r="F229" s="3" t="str">
        <f>IFERROR(MID(VLOOKUP($B229,Seqs!$A:$B,2,0),G229,1),"")</f>
        <v>H</v>
      </c>
      <c r="G229" s="3">
        <v>65</v>
      </c>
      <c r="H229" s="3" t="str">
        <f>IFERROR(MID(VLOOKUP($B229,Seqs!$A:$B,2,0),I229,1),"")</f>
        <v>K</v>
      </c>
      <c r="I229" s="23">
        <v>66</v>
      </c>
      <c r="J229" s="3" t="str">
        <f>IFERROR(MID(VLOOKUP($B229,Seqs!$A:$B,2,0),K229,1),"")</f>
        <v>R</v>
      </c>
      <c r="K229" s="23">
        <v>69</v>
      </c>
      <c r="L229" s="3" t="str">
        <f>IFERROR(MID(VLOOKUP($B229,Seqs!$A:$B,2,0),M229,1),"")</f>
        <v>T</v>
      </c>
      <c r="M229" s="3">
        <v>70</v>
      </c>
      <c r="N229" s="3" t="str">
        <f>IFERROR(MID(VLOOKUP($B229,Seqs!$A:$B,2,0),O229,1),"")</f>
        <v>H</v>
      </c>
      <c r="O229" s="3">
        <v>100</v>
      </c>
      <c r="P229" s="3" t="str">
        <f>IFERROR(MID(VLOOKUP($B229,Seqs!$A:$B,2,0),Q229,1),"")</f>
        <v>Y</v>
      </c>
      <c r="Q229" s="3">
        <v>102</v>
      </c>
      <c r="R229" s="3" t="str">
        <f>IFERROR(MID(VLOOKUP($B229,Seqs!$A:$B,2,0),S229,1),"")</f>
        <v>F</v>
      </c>
      <c r="S229" s="3">
        <v>105</v>
      </c>
      <c r="T229" s="3" t="str">
        <f>IFERROR(MID(VLOOKUP($B229,Seqs!$A:$B,2,0),U229,1),"")</f>
        <v>G</v>
      </c>
      <c r="U229" s="3">
        <v>106</v>
      </c>
      <c r="V229" s="3" t="str">
        <f>IFERROR(MID(VLOOKUP($B229,Seqs!$A:$B,2,0),W229,1),"")</f>
        <v>K</v>
      </c>
      <c r="W229" s="3">
        <v>141</v>
      </c>
      <c r="X229" s="3" t="str">
        <f>IFERROR(MID(VLOOKUP($B229,Seqs!$A:$B,2,0),Y229,1),"")</f>
        <v/>
      </c>
      <c r="Y229" s="3" t="s">
        <v>23</v>
      </c>
      <c r="Z229" s="3" t="str">
        <f>IFERROR(MID(VLOOKUP($B229,Seqs!$A:$B,2,0),AA229,1),"")</f>
        <v/>
      </c>
      <c r="AA229" s="3" t="s">
        <v>23</v>
      </c>
      <c r="AB229" s="3" t="str">
        <f>IFERROR(MID(VLOOKUP($B229,Seqs!$A:$B,2,0),AC229,1),"")</f>
        <v>G</v>
      </c>
      <c r="AC229" s="9">
        <v>149</v>
      </c>
      <c r="AD229" s="3" t="str">
        <f>IFERROR(MID(VLOOKUP($B229,Seqs!$A:$B,2,0),AE229,1),"")</f>
        <v>V</v>
      </c>
      <c r="AE229" s="3">
        <v>173</v>
      </c>
      <c r="AF229" s="3" t="str">
        <f>IFERROR(MID(VLOOKUP($B229,Seqs!$A:$B,2,0),AG229,1),"")</f>
        <v>C</v>
      </c>
      <c r="AG229" s="3">
        <v>187</v>
      </c>
      <c r="AH229" s="3" t="str">
        <f>IFERROR(MID(VLOOKUP($B229,Seqs!$A:$B,2,0),AI229,1),"")</f>
        <v>I</v>
      </c>
      <c r="AI229" s="3">
        <v>189</v>
      </c>
      <c r="AJ229" s="3" t="str">
        <f>IFERROR(MID(VLOOKUP($B229,Seqs!$A:$B,2,0),AK229,1),"")</f>
        <v>N</v>
      </c>
      <c r="AK229" s="3">
        <v>199</v>
      </c>
      <c r="AL229" s="3" t="str">
        <f>IFERROR(MID(VLOOKUP($B229,Seqs!$A:$B,2,0),AM229,1),"")</f>
        <v>Q</v>
      </c>
      <c r="AM229" s="3">
        <v>237</v>
      </c>
      <c r="AN229" s="3" t="str">
        <f>IFERROR(MID(VLOOKUP($B229,Seqs!$A:$B,2,0),AO229,1),"")</f>
        <v>A</v>
      </c>
      <c r="AO229" s="3">
        <v>241</v>
      </c>
      <c r="AP229" s="3" t="str">
        <f>IFERROR(MID(VLOOKUP($B229,Seqs!$A:$B,2,0),AQ229,1),"")</f>
        <v>H</v>
      </c>
      <c r="AQ229" s="3">
        <v>278</v>
      </c>
      <c r="AR229" s="3" t="str">
        <f>IFERROR(MID(VLOOKUP($B229,Seqs!$A:$B,2,0),AS229,1),"")</f>
        <v>G</v>
      </c>
      <c r="AS229" s="3">
        <v>284</v>
      </c>
      <c r="AT229" s="3" t="str">
        <f>IFERROR(MID(VLOOKUP($B229,Seqs!$A:$B,2,0),AU229,1),"")</f>
        <v>M</v>
      </c>
      <c r="AU229" s="3">
        <v>309</v>
      </c>
      <c r="AV229" s="3" t="str">
        <f>IFERROR(MID(VLOOKUP($B229,Seqs!$A:$B,2,0),AW229,1),"")</f>
        <v>N</v>
      </c>
      <c r="AW229" s="3">
        <v>310</v>
      </c>
      <c r="AX229" s="3" t="str">
        <f>IFERROR(MID(VLOOKUP($B229,Seqs!$A:$B,2,0),AY229,1),"")</f>
        <v>C</v>
      </c>
      <c r="AY229" s="3">
        <v>322</v>
      </c>
      <c r="AZ229" s="77" t="str">
        <f>VLOOKUP(B229,Classification!A:D,2,0)</f>
        <v>A</v>
      </c>
      <c r="BA229" s="94" t="str">
        <f>VLOOKUP(B229,Classification!A:D,4,0)</f>
        <v>Opsins</v>
      </c>
      <c r="BB229" s="27" t="b">
        <f t="shared" si="894"/>
        <v>1</v>
      </c>
      <c r="BC229" s="23">
        <f>_xlfn.AGGREGATE(9,6,CH229:CS229)-_xlfn.AGGREGATE(9,6,BV229:CG229)+12</f>
        <v>253</v>
      </c>
      <c r="BD229" s="4" t="s">
        <v>23</v>
      </c>
      <c r="BE229" s="3" t="s">
        <v>1297</v>
      </c>
      <c r="BF229" s="119">
        <v>2.85</v>
      </c>
      <c r="BG229" s="49" t="s">
        <v>1383</v>
      </c>
      <c r="BH229" s="49" t="s">
        <v>1383</v>
      </c>
      <c r="BI229" s="1"/>
      <c r="BJ229" s="70" t="s">
        <v>1293</v>
      </c>
      <c r="BK229" s="57" t="s">
        <v>1293</v>
      </c>
      <c r="BL229" s="57" t="s">
        <v>1293</v>
      </c>
      <c r="BM229" s="57" t="s">
        <v>1293</v>
      </c>
      <c r="BN229" s="57" t="s">
        <v>1293</v>
      </c>
      <c r="BO229" s="57" t="s">
        <v>1293</v>
      </c>
      <c r="BP229" s="57" t="s">
        <v>1293</v>
      </c>
      <c r="BQ229" s="57" t="s">
        <v>1293</v>
      </c>
      <c r="BR229" s="57" t="s">
        <v>1293</v>
      </c>
      <c r="BS229" s="57" t="s">
        <v>1293</v>
      </c>
      <c r="BT229" s="57" t="s">
        <v>1293</v>
      </c>
      <c r="BU229" s="57" t="s">
        <v>1293</v>
      </c>
      <c r="BV229" s="70">
        <f>E229</f>
        <v>33</v>
      </c>
      <c r="BW229" s="71">
        <f>I229</f>
        <v>66</v>
      </c>
      <c r="BX229" s="72">
        <f>M229</f>
        <v>70</v>
      </c>
      <c r="BY229" s="71">
        <f>Q229</f>
        <v>102</v>
      </c>
      <c r="BZ229" s="72">
        <f>U229</f>
        <v>106</v>
      </c>
      <c r="CA229" s="71" t="str">
        <f>Y229</f>
        <v>-</v>
      </c>
      <c r="CB229" s="72">
        <f>AC229</f>
        <v>149</v>
      </c>
      <c r="CC229" s="71">
        <f>AG229</f>
        <v>187</v>
      </c>
      <c r="CD229" s="72">
        <f>AK229</f>
        <v>199</v>
      </c>
      <c r="CE229" s="71">
        <f>AO229</f>
        <v>241</v>
      </c>
      <c r="CF229" s="72">
        <f>AS229</f>
        <v>284</v>
      </c>
      <c r="CG229" s="71">
        <f>AW229</f>
        <v>310</v>
      </c>
      <c r="CH229" s="70">
        <f>G229</f>
        <v>65</v>
      </c>
      <c r="CI229" s="71">
        <f>K229</f>
        <v>69</v>
      </c>
      <c r="CJ229" s="72">
        <f>O229</f>
        <v>100</v>
      </c>
      <c r="CK229" s="72">
        <f>S229</f>
        <v>105</v>
      </c>
      <c r="CL229" s="72">
        <f>W229</f>
        <v>141</v>
      </c>
      <c r="CM229" s="72" t="str">
        <f>AA229</f>
        <v>-</v>
      </c>
      <c r="CN229" s="72">
        <f>AE229</f>
        <v>173</v>
      </c>
      <c r="CO229" s="72">
        <f>AI229</f>
        <v>189</v>
      </c>
      <c r="CP229" s="72">
        <f>AM229</f>
        <v>237</v>
      </c>
      <c r="CQ229" s="72">
        <f>AQ229</f>
        <v>278</v>
      </c>
      <c r="CR229" s="72">
        <f>AU229</f>
        <v>309</v>
      </c>
      <c r="CS229" s="72">
        <f>AY229</f>
        <v>322</v>
      </c>
      <c r="CT229" s="23">
        <f>M229-K229</f>
        <v>1</v>
      </c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</row>
    <row r="230" spans="1:1030" x14ac:dyDescent="0.2">
      <c r="A230" s="3" t="str">
        <f t="shared" si="893"/>
        <v>opsd_bovin_4A4M</v>
      </c>
      <c r="B230" s="2" t="s">
        <v>920</v>
      </c>
      <c r="C230" s="3" t="s">
        <v>1376</v>
      </c>
      <c r="D230" s="3" t="str">
        <f>IFERROR(MID(VLOOKUP($B230,Seqs!$A:$B,2,0),E230,1),"")</f>
        <v>E</v>
      </c>
      <c r="E230" s="105">
        <v>33</v>
      </c>
      <c r="F230" s="3" t="str">
        <f>IFERROR(MID(VLOOKUP($B230,Seqs!$A:$B,2,0),G230,1),"")</f>
        <v>H</v>
      </c>
      <c r="G230" s="3">
        <v>65</v>
      </c>
      <c r="H230" s="3" t="str">
        <f>IFERROR(MID(VLOOKUP($B230,Seqs!$A:$B,2,0),I230,1),"")</f>
        <v>K</v>
      </c>
      <c r="I230" s="23">
        <v>66</v>
      </c>
      <c r="J230" s="3" t="str">
        <f>IFERROR(MID(VLOOKUP($B230,Seqs!$A:$B,2,0),K230,1),"")</f>
        <v>R</v>
      </c>
      <c r="K230" s="23">
        <v>69</v>
      </c>
      <c r="L230" s="3" t="str">
        <f>IFERROR(MID(VLOOKUP($B230,Seqs!$A:$B,2,0),M230,1),"")</f>
        <v>T</v>
      </c>
      <c r="M230" s="3">
        <v>70</v>
      </c>
      <c r="N230" s="3" t="str">
        <f>IFERROR(MID(VLOOKUP($B230,Seqs!$A:$B,2,0),O230,1),"")</f>
        <v>H</v>
      </c>
      <c r="O230" s="3">
        <v>100</v>
      </c>
      <c r="P230" s="3" t="str">
        <f>IFERROR(MID(VLOOKUP($B230,Seqs!$A:$B,2,0),Q230,1),"")</f>
        <v>Y</v>
      </c>
      <c r="Q230" s="3">
        <v>102</v>
      </c>
      <c r="R230" s="3" t="str">
        <f>IFERROR(MID(VLOOKUP($B230,Seqs!$A:$B,2,0),S230,1),"")</f>
        <v>F</v>
      </c>
      <c r="S230" s="3">
        <v>105</v>
      </c>
      <c r="T230" s="3" t="str">
        <f>IFERROR(MID(VLOOKUP($B230,Seqs!$A:$B,2,0),U230,1),"")</f>
        <v>G</v>
      </c>
      <c r="U230" s="3">
        <v>106</v>
      </c>
      <c r="V230" s="3" t="str">
        <f>IFERROR(MID(VLOOKUP($B230,Seqs!$A:$B,2,0),W230,1),"")</f>
        <v>K</v>
      </c>
      <c r="W230" s="3">
        <v>141</v>
      </c>
      <c r="X230" s="3" t="str">
        <f>IFERROR(MID(VLOOKUP($B230,Seqs!$A:$B,2,0),Y230,1),"")</f>
        <v/>
      </c>
      <c r="Y230" s="3" t="s">
        <v>23</v>
      </c>
      <c r="Z230" s="3" t="str">
        <f>IFERROR(MID(VLOOKUP($B230,Seqs!$A:$B,2,0),AA230,1),"")</f>
        <v/>
      </c>
      <c r="AA230" s="3" t="s">
        <v>23</v>
      </c>
      <c r="AB230" s="3" t="str">
        <f>IFERROR(MID(VLOOKUP($B230,Seqs!$A:$B,2,0),AC230,1),"")</f>
        <v>G</v>
      </c>
      <c r="AC230" s="9">
        <v>149</v>
      </c>
      <c r="AD230" s="3" t="str">
        <f>IFERROR(MID(VLOOKUP($B230,Seqs!$A:$B,2,0),AE230,1),"")</f>
        <v>V</v>
      </c>
      <c r="AE230" s="3">
        <v>173</v>
      </c>
      <c r="AF230" s="3" t="str">
        <f>IFERROR(MID(VLOOKUP($B230,Seqs!$A:$B,2,0),AG230,1),"")</f>
        <v>C</v>
      </c>
      <c r="AG230" s="3">
        <v>187</v>
      </c>
      <c r="AH230" s="3" t="str">
        <f>IFERROR(MID(VLOOKUP($B230,Seqs!$A:$B,2,0),AI230,1),"")</f>
        <v>I</v>
      </c>
      <c r="AI230" s="3">
        <v>189</v>
      </c>
      <c r="AJ230" s="3" t="str">
        <f>IFERROR(MID(VLOOKUP($B230,Seqs!$A:$B,2,0),AK230,1),"")</f>
        <v>N</v>
      </c>
      <c r="AK230" s="3">
        <v>199</v>
      </c>
      <c r="AL230" s="3" t="str">
        <f>IFERROR(MID(VLOOKUP($B230,Seqs!$A:$B,2,0),AM230,1),"")</f>
        <v>Q</v>
      </c>
      <c r="AM230" s="3">
        <v>237</v>
      </c>
      <c r="AN230" s="3" t="str">
        <f>IFERROR(MID(VLOOKUP($B230,Seqs!$A:$B,2,0),AO230,1),"")</f>
        <v>A</v>
      </c>
      <c r="AO230" s="3">
        <v>241</v>
      </c>
      <c r="AP230" s="3" t="str">
        <f>IFERROR(MID(VLOOKUP($B230,Seqs!$A:$B,2,0),AQ230,1),"")</f>
        <v>H</v>
      </c>
      <c r="AQ230" s="3">
        <v>278</v>
      </c>
      <c r="AR230" s="3" t="str">
        <f>IFERROR(MID(VLOOKUP($B230,Seqs!$A:$B,2,0),AS230,1),"")</f>
        <v>G</v>
      </c>
      <c r="AS230" s="3">
        <v>284</v>
      </c>
      <c r="AT230" s="3" t="str">
        <f>IFERROR(MID(VLOOKUP($B230,Seqs!$A:$B,2,0),AU230,1),"")</f>
        <v>M</v>
      </c>
      <c r="AU230" s="3">
        <v>309</v>
      </c>
      <c r="AV230" s="3" t="str">
        <f>IFERROR(MID(VLOOKUP($B230,Seqs!$A:$B,2,0),AW230,1),"")</f>
        <v>N</v>
      </c>
      <c r="AW230" s="3">
        <v>310</v>
      </c>
      <c r="AX230" s="3" t="str">
        <f>IFERROR(MID(VLOOKUP($B230,Seqs!$A:$B,2,0),AY230,1),"")</f>
        <v>C</v>
      </c>
      <c r="AY230" s="3">
        <v>322</v>
      </c>
      <c r="AZ230" s="77" t="str">
        <f>VLOOKUP(B230,Classification!A:D,2,0)</f>
        <v>A</v>
      </c>
      <c r="BA230" s="94" t="str">
        <f>VLOOKUP(B230,Classification!A:D,4,0)</f>
        <v>Opsins</v>
      </c>
      <c r="BB230" s="27" t="b">
        <f>AND(E230&lt;G230,OR(G230&lt;I230,I230="-"),OR(I230&lt;K230,I230="-"),OR(K230&lt;M230,K230="-"),M230&lt;O230,OR(O230&lt;Q230,Q230="-"),OR(Q230&lt;S230,Q230="-"),OR(S230&lt;U230,S230="-"),U230&lt;W230,OR(W230&lt;Y230,Y230="-"),OR(Y230&lt;AA230,Y230="-"),OR(AA230&lt;AC230,AA230="-"),AC230&lt;AE230,OR(AE230&lt;AG230,AG230="-"),OR(AG230&lt;AI230,AG230="-"),OR(AI230&lt;AK230,AI230="-"),AK230&lt;AM230,AM230&lt;AO230,AO230&lt;AQ230,AQ230&lt;AS230,AS230&lt;AU230,OR(AU230&lt;AW230,AW230="-"),OR(AW230&lt;AY230,AW230="-"))</f>
        <v>1</v>
      </c>
      <c r="BC230" s="23">
        <f>_xlfn.AGGREGATE(9,6,CH230:CS230)-_xlfn.AGGREGATE(9,6,BV230:CG230)+12</f>
        <v>253</v>
      </c>
      <c r="BD230" s="4" t="s">
        <v>23</v>
      </c>
      <c r="BE230" s="3" t="s">
        <v>1297</v>
      </c>
      <c r="BF230" s="119">
        <v>3.3</v>
      </c>
      <c r="BG230" s="49" t="s">
        <v>1383</v>
      </c>
      <c r="BH230" s="49" t="s">
        <v>1383</v>
      </c>
      <c r="BI230" s="1"/>
      <c r="BJ230" s="70" t="s">
        <v>1293</v>
      </c>
      <c r="BK230" s="57" t="s">
        <v>1293</v>
      </c>
      <c r="BL230" s="57" t="s">
        <v>1293</v>
      </c>
      <c r="BM230" s="57" t="s">
        <v>1293</v>
      </c>
      <c r="BN230" s="57" t="s">
        <v>1293</v>
      </c>
      <c r="BO230" s="57" t="s">
        <v>1293</v>
      </c>
      <c r="BP230" s="57" t="s">
        <v>1293</v>
      </c>
      <c r="BQ230" s="57" t="s">
        <v>1293</v>
      </c>
      <c r="BR230" s="57" t="s">
        <v>1293</v>
      </c>
      <c r="BS230" s="57" t="s">
        <v>1293</v>
      </c>
      <c r="BT230" s="57" t="s">
        <v>1293</v>
      </c>
      <c r="BU230" s="57" t="s">
        <v>1293</v>
      </c>
      <c r="BV230" s="70">
        <f>E230</f>
        <v>33</v>
      </c>
      <c r="BW230" s="71">
        <f>I230</f>
        <v>66</v>
      </c>
      <c r="BX230" s="72">
        <f>M230</f>
        <v>70</v>
      </c>
      <c r="BY230" s="71">
        <f>Q230</f>
        <v>102</v>
      </c>
      <c r="BZ230" s="72">
        <f>U230</f>
        <v>106</v>
      </c>
      <c r="CA230" s="71" t="str">
        <f>Y230</f>
        <v>-</v>
      </c>
      <c r="CB230" s="72">
        <f>AC230</f>
        <v>149</v>
      </c>
      <c r="CC230" s="71">
        <f>AG230</f>
        <v>187</v>
      </c>
      <c r="CD230" s="72">
        <f>AK230</f>
        <v>199</v>
      </c>
      <c r="CE230" s="71">
        <f>AO230</f>
        <v>241</v>
      </c>
      <c r="CF230" s="72">
        <f>AS230</f>
        <v>284</v>
      </c>
      <c r="CG230" s="71">
        <f>AW230</f>
        <v>310</v>
      </c>
      <c r="CH230" s="70">
        <f>G230</f>
        <v>65</v>
      </c>
      <c r="CI230" s="71">
        <f>K230</f>
        <v>69</v>
      </c>
      <c r="CJ230" s="72">
        <f>O230</f>
        <v>100</v>
      </c>
      <c r="CK230" s="72">
        <f>S230</f>
        <v>105</v>
      </c>
      <c r="CL230" s="72">
        <f>W230</f>
        <v>141</v>
      </c>
      <c r="CM230" s="72" t="str">
        <f>AA230</f>
        <v>-</v>
      </c>
      <c r="CN230" s="72">
        <f>AE230</f>
        <v>173</v>
      </c>
      <c r="CO230" s="72">
        <f>AI230</f>
        <v>189</v>
      </c>
      <c r="CP230" s="72">
        <f>AM230</f>
        <v>237</v>
      </c>
      <c r="CQ230" s="72">
        <f>AQ230</f>
        <v>278</v>
      </c>
      <c r="CR230" s="72">
        <f>AU230</f>
        <v>309</v>
      </c>
      <c r="CS230" s="72">
        <f>AY230</f>
        <v>322</v>
      </c>
      <c r="CT230" s="23">
        <f>M230-K230</f>
        <v>1</v>
      </c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6"/>
      <c r="KV230" s="6"/>
      <c r="KW230" s="6"/>
      <c r="KX230" s="6"/>
      <c r="KY230" s="6"/>
      <c r="KZ230" s="6"/>
      <c r="LA230" s="6"/>
      <c r="LB230" s="6"/>
      <c r="LC230" s="6"/>
      <c r="LD230" s="6"/>
      <c r="LE230" s="6"/>
      <c r="LF230" s="6"/>
      <c r="LG230" s="6"/>
      <c r="LH230" s="6"/>
      <c r="LI230" s="6"/>
      <c r="LJ230" s="6"/>
      <c r="LK230" s="6"/>
      <c r="LL230" s="6"/>
      <c r="LM230" s="6"/>
      <c r="LN230" s="6"/>
      <c r="LO230" s="6"/>
      <c r="LP230" s="6"/>
      <c r="LQ230" s="6"/>
      <c r="LR230" s="6"/>
      <c r="LS230" s="6"/>
      <c r="LT230" s="6"/>
      <c r="LU230" s="6"/>
      <c r="LV230" s="6"/>
      <c r="LW230" s="6"/>
      <c r="LX230" s="6"/>
      <c r="LY230" s="6"/>
      <c r="LZ230" s="6"/>
      <c r="MA230" s="6"/>
      <c r="MB230" s="6"/>
      <c r="MC230" s="6"/>
      <c r="MD230" s="6"/>
      <c r="ME230" s="6"/>
      <c r="MF230" s="6"/>
      <c r="MG230" s="6"/>
      <c r="MH230" s="6"/>
      <c r="MI230" s="6"/>
      <c r="MJ230" s="6"/>
      <c r="MK230" s="6"/>
      <c r="ML230" s="6"/>
      <c r="MM230" s="6"/>
      <c r="MN230" s="6"/>
      <c r="MO230" s="6"/>
      <c r="MP230" s="6"/>
      <c r="MQ230" s="6"/>
      <c r="MR230" s="6"/>
      <c r="MS230" s="6"/>
      <c r="MT230" s="6"/>
      <c r="MU230" s="6"/>
      <c r="MV230" s="6"/>
      <c r="MW230" s="6"/>
      <c r="MX230" s="6"/>
      <c r="MY230" s="6"/>
      <c r="MZ230" s="6"/>
      <c r="NA230" s="6"/>
      <c r="NB230" s="6"/>
      <c r="NC230" s="6"/>
      <c r="ND230" s="6"/>
      <c r="NE230" s="6"/>
      <c r="NF230" s="6"/>
      <c r="NG230" s="6"/>
      <c r="NH230" s="6"/>
      <c r="NI230" s="6"/>
      <c r="NJ230" s="6"/>
      <c r="NK230" s="6"/>
      <c r="NL230" s="6"/>
      <c r="NM230" s="6"/>
      <c r="NN230" s="6"/>
      <c r="NO230" s="6"/>
      <c r="NP230" s="6"/>
      <c r="NQ230" s="6"/>
      <c r="NR230" s="6"/>
      <c r="NS230" s="6"/>
      <c r="NT230" s="6"/>
      <c r="NU230" s="6"/>
      <c r="NV230" s="6"/>
      <c r="NW230" s="6"/>
      <c r="NX230" s="6"/>
      <c r="NY230" s="6"/>
      <c r="NZ230" s="6"/>
      <c r="OA230" s="6"/>
      <c r="OB230" s="6"/>
      <c r="OC230" s="6"/>
      <c r="OD230" s="6"/>
      <c r="OE230" s="6"/>
      <c r="OF230" s="6"/>
      <c r="OG230" s="6"/>
      <c r="OH230" s="6"/>
      <c r="OI230" s="6"/>
      <c r="OJ230" s="6"/>
      <c r="OK230" s="6"/>
      <c r="OL230" s="6"/>
      <c r="OM230" s="6"/>
      <c r="ON230" s="6"/>
      <c r="OO230" s="6"/>
      <c r="OP230" s="6"/>
      <c r="OQ230" s="6"/>
      <c r="OR230" s="6"/>
      <c r="OS230" s="6"/>
      <c r="OT230" s="6"/>
      <c r="OU230" s="6"/>
      <c r="OV230" s="6"/>
      <c r="OW230" s="6"/>
      <c r="OX230" s="6"/>
      <c r="OY230" s="6"/>
      <c r="OZ230" s="6"/>
      <c r="PA230" s="6"/>
      <c r="PB230" s="6"/>
      <c r="PC230" s="6"/>
      <c r="PD230" s="6"/>
      <c r="PE230" s="6"/>
      <c r="PF230" s="6"/>
      <c r="PG230" s="6"/>
      <c r="PH230" s="6"/>
      <c r="PI230" s="6"/>
      <c r="PJ230" s="6"/>
      <c r="PK230" s="6"/>
      <c r="PL230" s="6"/>
      <c r="PM230" s="6"/>
      <c r="PN230" s="6"/>
      <c r="PO230" s="6"/>
      <c r="PP230" s="6"/>
      <c r="PQ230" s="6"/>
      <c r="PR230" s="6"/>
      <c r="PS230" s="6"/>
      <c r="PT230" s="6"/>
      <c r="PU230" s="6"/>
      <c r="PV230" s="6"/>
      <c r="PW230" s="6"/>
      <c r="PX230" s="6"/>
      <c r="PY230" s="6"/>
      <c r="PZ230" s="6"/>
      <c r="QA230" s="6"/>
      <c r="QB230" s="6"/>
      <c r="QC230" s="6"/>
      <c r="QD230" s="6"/>
      <c r="QE230" s="6"/>
      <c r="QF230" s="6"/>
      <c r="QG230" s="6"/>
      <c r="QH230" s="6"/>
      <c r="QI230" s="6"/>
      <c r="QJ230" s="6"/>
      <c r="QK230" s="6"/>
      <c r="QL230" s="6"/>
      <c r="QM230" s="6"/>
      <c r="QN230" s="6"/>
      <c r="QO230" s="6"/>
      <c r="QP230" s="6"/>
      <c r="QQ230" s="6"/>
      <c r="QR230" s="6"/>
      <c r="QS230" s="6"/>
      <c r="QT230" s="6"/>
      <c r="QU230" s="6"/>
      <c r="QV230" s="6"/>
      <c r="QW230" s="6"/>
      <c r="QX230" s="6"/>
      <c r="QY230" s="6"/>
      <c r="QZ230" s="6"/>
      <c r="RA230" s="6"/>
      <c r="RB230" s="6"/>
      <c r="RC230" s="6"/>
      <c r="RD230" s="6"/>
      <c r="RE230" s="6"/>
      <c r="RF230" s="6"/>
      <c r="RG230" s="6"/>
      <c r="RH230" s="6"/>
      <c r="RI230" s="6"/>
      <c r="RJ230" s="6"/>
      <c r="RK230" s="6"/>
      <c r="RL230" s="6"/>
      <c r="RM230" s="6"/>
      <c r="RN230" s="6"/>
      <c r="RO230" s="6"/>
      <c r="RP230" s="6"/>
      <c r="RQ230" s="6"/>
      <c r="RR230" s="6"/>
      <c r="RS230" s="6"/>
      <c r="RT230" s="6"/>
      <c r="RU230" s="6"/>
      <c r="RV230" s="6"/>
      <c r="RW230" s="6"/>
      <c r="RX230" s="6"/>
      <c r="RY230" s="6"/>
      <c r="RZ230" s="6"/>
      <c r="SA230" s="6"/>
      <c r="SB230" s="6"/>
      <c r="SC230" s="6"/>
      <c r="SD230" s="6"/>
      <c r="SE230" s="6"/>
      <c r="SF230" s="6"/>
      <c r="SG230" s="6"/>
      <c r="SH230" s="6"/>
      <c r="SI230" s="6"/>
      <c r="SJ230" s="6"/>
      <c r="SK230" s="6"/>
      <c r="SL230" s="6"/>
      <c r="SM230" s="6"/>
      <c r="SN230" s="6"/>
      <c r="SO230" s="6"/>
      <c r="SP230" s="6"/>
      <c r="SQ230" s="6"/>
      <c r="SR230" s="6"/>
      <c r="SS230" s="6"/>
      <c r="ST230" s="6"/>
      <c r="SU230" s="6"/>
      <c r="SV230" s="6"/>
      <c r="SW230" s="6"/>
      <c r="SX230" s="6"/>
      <c r="SY230" s="6"/>
      <c r="SZ230" s="6"/>
      <c r="TA230" s="6"/>
      <c r="TB230" s="6"/>
      <c r="TC230" s="6"/>
      <c r="TD230" s="6"/>
      <c r="TE230" s="6"/>
      <c r="TF230" s="6"/>
      <c r="TG230" s="6"/>
      <c r="TH230" s="6"/>
      <c r="TI230" s="6"/>
      <c r="TJ230" s="6"/>
      <c r="TK230" s="6"/>
      <c r="TL230" s="6"/>
      <c r="TM230" s="6"/>
      <c r="TN230" s="6"/>
      <c r="TO230" s="6"/>
      <c r="TP230" s="6"/>
      <c r="TQ230" s="6"/>
      <c r="TR230" s="6"/>
      <c r="TS230" s="6"/>
      <c r="TT230" s="6"/>
      <c r="TU230" s="6"/>
      <c r="TV230" s="6"/>
      <c r="TW230" s="6"/>
      <c r="TX230" s="6"/>
      <c r="TY230" s="6"/>
      <c r="TZ230" s="6"/>
      <c r="UA230" s="6"/>
      <c r="UB230" s="6"/>
      <c r="UC230" s="6"/>
      <c r="UD230" s="6"/>
      <c r="UE230" s="6"/>
      <c r="UF230" s="6"/>
      <c r="UG230" s="6"/>
      <c r="UH230" s="6"/>
      <c r="UI230" s="6"/>
      <c r="UJ230" s="6"/>
      <c r="UK230" s="6"/>
      <c r="UL230" s="6"/>
      <c r="UM230" s="6"/>
      <c r="UN230" s="6"/>
      <c r="UO230" s="6"/>
      <c r="UP230" s="6"/>
      <c r="UQ230" s="6"/>
      <c r="UR230" s="6"/>
      <c r="US230" s="6"/>
      <c r="UT230" s="6"/>
      <c r="UU230" s="6"/>
      <c r="UV230" s="6"/>
      <c r="UW230" s="6"/>
      <c r="UX230" s="6"/>
      <c r="UY230" s="6"/>
      <c r="UZ230" s="6"/>
      <c r="VA230" s="6"/>
      <c r="VB230" s="6"/>
      <c r="VC230" s="6"/>
      <c r="VD230" s="6"/>
      <c r="VE230" s="6"/>
      <c r="VF230" s="6"/>
      <c r="VG230" s="6"/>
      <c r="VH230" s="6"/>
      <c r="VI230" s="6"/>
      <c r="VJ230" s="6"/>
      <c r="VK230" s="6"/>
      <c r="VL230" s="6"/>
      <c r="VM230" s="6"/>
      <c r="VN230" s="6"/>
      <c r="VO230" s="6"/>
      <c r="VP230" s="6"/>
      <c r="VQ230" s="6"/>
      <c r="VR230" s="6"/>
      <c r="VS230" s="6"/>
      <c r="VT230" s="6"/>
      <c r="VU230" s="6"/>
      <c r="VV230" s="6"/>
      <c r="VW230" s="6"/>
      <c r="VX230" s="6"/>
      <c r="VY230" s="6"/>
      <c r="VZ230" s="6"/>
      <c r="WA230" s="6"/>
      <c r="WB230" s="6"/>
      <c r="WC230" s="6"/>
      <c r="WD230" s="6"/>
      <c r="WE230" s="6"/>
      <c r="WF230" s="6"/>
      <c r="WG230" s="6"/>
      <c r="WH230" s="6"/>
      <c r="WI230" s="6"/>
      <c r="WJ230" s="6"/>
      <c r="WK230" s="6"/>
      <c r="WL230" s="6"/>
      <c r="WM230" s="6"/>
      <c r="WN230" s="6"/>
      <c r="WO230" s="6"/>
      <c r="WP230" s="6"/>
      <c r="WQ230" s="6"/>
      <c r="WR230" s="6"/>
      <c r="WS230" s="6"/>
      <c r="WT230" s="6"/>
      <c r="WU230" s="6"/>
      <c r="WV230" s="6"/>
      <c r="WW230" s="6"/>
      <c r="WX230" s="6"/>
      <c r="WY230" s="6"/>
      <c r="WZ230" s="6"/>
      <c r="XA230" s="6"/>
      <c r="XB230" s="6"/>
      <c r="XC230" s="6"/>
      <c r="XD230" s="6"/>
      <c r="XE230" s="6"/>
      <c r="XF230" s="6"/>
      <c r="XG230" s="6"/>
      <c r="XH230" s="6"/>
      <c r="XI230" s="6"/>
      <c r="XJ230" s="6"/>
      <c r="XK230" s="6"/>
      <c r="XL230" s="6"/>
      <c r="XM230" s="6"/>
      <c r="XN230" s="6"/>
      <c r="XO230" s="6"/>
      <c r="XP230" s="6"/>
      <c r="XQ230" s="6"/>
      <c r="XR230" s="6"/>
      <c r="XS230" s="6"/>
      <c r="XT230" s="6"/>
      <c r="XU230" s="6"/>
      <c r="XV230" s="6"/>
      <c r="XW230" s="6"/>
      <c r="XX230" s="6"/>
      <c r="XY230" s="6"/>
      <c r="XZ230" s="6"/>
      <c r="YA230" s="6"/>
      <c r="YB230" s="6"/>
      <c r="YC230" s="6"/>
      <c r="YD230" s="6"/>
      <c r="YE230" s="6"/>
      <c r="YF230" s="6"/>
      <c r="YG230" s="6"/>
      <c r="YH230" s="6"/>
      <c r="YI230" s="6"/>
      <c r="YJ230" s="6"/>
      <c r="YK230" s="6"/>
      <c r="YL230" s="6"/>
      <c r="YM230" s="6"/>
      <c r="YN230" s="6"/>
      <c r="YO230" s="6"/>
      <c r="YP230" s="6"/>
      <c r="YQ230" s="6"/>
      <c r="YR230" s="6"/>
      <c r="YS230" s="6"/>
      <c r="YT230" s="6"/>
      <c r="YU230" s="6"/>
      <c r="YV230" s="6"/>
      <c r="YW230" s="6"/>
      <c r="YX230" s="6"/>
      <c r="YY230" s="6"/>
      <c r="YZ230" s="6"/>
      <c r="ZA230" s="6"/>
      <c r="ZB230" s="6"/>
      <c r="ZC230" s="6"/>
      <c r="ZD230" s="6"/>
      <c r="ZE230" s="6"/>
      <c r="ZF230" s="6"/>
      <c r="ZG230" s="6"/>
      <c r="ZH230" s="6"/>
      <c r="ZI230" s="6"/>
      <c r="ZJ230" s="6"/>
      <c r="ZK230" s="6"/>
      <c r="ZL230" s="6"/>
      <c r="ZM230" s="6"/>
      <c r="ZN230" s="6"/>
      <c r="ZO230" s="6"/>
      <c r="ZP230" s="6"/>
      <c r="ZQ230" s="6"/>
      <c r="ZR230" s="6"/>
      <c r="ZS230" s="6"/>
      <c r="ZT230" s="6"/>
      <c r="ZU230" s="6"/>
      <c r="ZV230" s="6"/>
      <c r="ZW230" s="6"/>
      <c r="ZX230" s="6"/>
      <c r="ZY230" s="6"/>
      <c r="ZZ230" s="6"/>
      <c r="AAA230" s="6"/>
      <c r="AAB230" s="6"/>
      <c r="AAC230" s="6"/>
      <c r="AAD230" s="6"/>
      <c r="AAE230" s="6"/>
      <c r="AAF230" s="6"/>
      <c r="AAG230" s="6"/>
      <c r="AAH230" s="6"/>
      <c r="AAI230" s="6"/>
      <c r="AAJ230" s="6"/>
      <c r="AAK230" s="6"/>
      <c r="AAL230" s="6"/>
      <c r="AAM230" s="6"/>
      <c r="AAN230" s="6"/>
      <c r="AAO230" s="6"/>
      <c r="AAP230" s="6"/>
      <c r="AAQ230" s="6"/>
      <c r="AAR230" s="6"/>
      <c r="AAS230" s="6"/>
      <c r="AAT230" s="6"/>
      <c r="AAU230" s="6"/>
      <c r="AAV230" s="6"/>
      <c r="AAW230" s="6"/>
      <c r="AAX230" s="6"/>
      <c r="AAY230" s="6"/>
      <c r="AAZ230" s="6"/>
      <c r="ABA230" s="6"/>
      <c r="ABB230" s="6"/>
      <c r="ABC230" s="6"/>
      <c r="ABD230" s="6"/>
      <c r="ABE230" s="6"/>
      <c r="ABF230" s="6"/>
      <c r="ABG230" s="6"/>
      <c r="ABH230" s="6"/>
      <c r="ABI230" s="6"/>
      <c r="ABJ230" s="6"/>
      <c r="ABK230" s="6"/>
      <c r="ABL230" s="6"/>
      <c r="ABM230" s="6"/>
      <c r="ABN230" s="6"/>
      <c r="ABO230" s="6"/>
      <c r="ABP230" s="6"/>
      <c r="ABQ230" s="6"/>
      <c r="ABR230" s="6"/>
      <c r="ABS230" s="6"/>
      <c r="ABT230" s="6"/>
      <c r="ABU230" s="6"/>
      <c r="ABV230" s="6"/>
      <c r="ABW230" s="6"/>
      <c r="ABX230" s="6"/>
      <c r="ABY230" s="6"/>
      <c r="ABZ230" s="6"/>
      <c r="ACA230" s="6"/>
      <c r="ACB230" s="6"/>
      <c r="ACC230" s="6"/>
      <c r="ACD230" s="6"/>
      <c r="ACE230" s="6"/>
      <c r="ACF230" s="6"/>
      <c r="ACG230" s="6"/>
      <c r="ACH230" s="6"/>
      <c r="ACI230" s="6"/>
      <c r="ACJ230" s="6"/>
      <c r="ACK230" s="6"/>
      <c r="ACL230" s="6"/>
      <c r="ACM230" s="6"/>
      <c r="ACN230" s="6"/>
      <c r="ACO230" s="6"/>
      <c r="ACP230" s="6"/>
      <c r="ACQ230" s="6"/>
      <c r="ACR230" s="6"/>
      <c r="ACS230" s="6"/>
      <c r="ACT230" s="6"/>
      <c r="ACU230" s="6"/>
      <c r="ACV230" s="6"/>
      <c r="ACW230" s="6"/>
      <c r="ACX230" s="6"/>
      <c r="ACY230" s="6"/>
      <c r="ACZ230" s="6"/>
      <c r="ADA230" s="6"/>
      <c r="ADB230" s="6"/>
      <c r="ADC230" s="6"/>
      <c r="ADD230" s="6"/>
      <c r="ADE230" s="6"/>
      <c r="ADF230" s="6"/>
      <c r="ADG230" s="6"/>
      <c r="ADH230" s="6"/>
      <c r="ADI230" s="6"/>
      <c r="ADJ230" s="6"/>
      <c r="ADK230" s="6"/>
      <c r="ADL230" s="6"/>
      <c r="ADM230" s="6"/>
      <c r="ADN230" s="6"/>
      <c r="ADO230" s="6"/>
      <c r="ADP230" s="6"/>
      <c r="ADQ230" s="6"/>
      <c r="ADR230" s="6"/>
      <c r="ADS230" s="6"/>
      <c r="ADT230" s="6"/>
      <c r="ADU230" s="6"/>
      <c r="ADV230" s="6"/>
      <c r="ADW230" s="6"/>
      <c r="ADX230" s="6"/>
      <c r="ADY230" s="6"/>
      <c r="ADZ230" s="6"/>
      <c r="AEA230" s="6"/>
      <c r="AEB230" s="6"/>
      <c r="AEC230" s="6"/>
      <c r="AED230" s="6"/>
      <c r="AEE230" s="6"/>
      <c r="AEF230" s="6"/>
      <c r="AEG230" s="6"/>
      <c r="AEH230" s="6"/>
      <c r="AEI230" s="6"/>
      <c r="AEJ230" s="6"/>
      <c r="AEK230" s="6"/>
      <c r="AEL230" s="6"/>
      <c r="AEM230" s="6"/>
      <c r="AEN230" s="6"/>
      <c r="AEO230" s="6"/>
      <c r="AEP230" s="6"/>
      <c r="AEQ230" s="6"/>
      <c r="AER230" s="6"/>
      <c r="AES230" s="6"/>
      <c r="AET230" s="6"/>
      <c r="AEU230" s="6"/>
      <c r="AEV230" s="6"/>
      <c r="AEW230" s="6"/>
      <c r="AEX230" s="6"/>
      <c r="AEY230" s="6"/>
      <c r="AEZ230" s="6"/>
      <c r="AFA230" s="6"/>
      <c r="AFB230" s="6"/>
      <c r="AFC230" s="6"/>
      <c r="AFD230" s="6"/>
      <c r="AFE230" s="6"/>
      <c r="AFF230" s="6"/>
      <c r="AFG230" s="6"/>
      <c r="AFH230" s="6"/>
      <c r="AFI230" s="6"/>
      <c r="AFJ230" s="6"/>
      <c r="AFK230" s="6"/>
      <c r="AFL230" s="6"/>
      <c r="AFM230" s="6"/>
      <c r="AFN230" s="6"/>
      <c r="AFO230" s="6"/>
      <c r="AFP230" s="6"/>
      <c r="AFQ230" s="6"/>
      <c r="AFR230" s="6"/>
      <c r="AFS230" s="6"/>
      <c r="AFT230" s="6"/>
      <c r="AFU230" s="6"/>
      <c r="AFV230" s="6"/>
      <c r="AFW230" s="6"/>
      <c r="AFX230" s="6"/>
      <c r="AFY230" s="6"/>
      <c r="AFZ230" s="6"/>
      <c r="AGA230" s="6"/>
      <c r="AGB230" s="6"/>
      <c r="AGC230" s="6"/>
      <c r="AGD230" s="6"/>
      <c r="AGE230" s="6"/>
      <c r="AGF230" s="6"/>
      <c r="AGG230" s="6"/>
      <c r="AGH230" s="6"/>
      <c r="AGI230" s="6"/>
      <c r="AGJ230" s="6"/>
      <c r="AGK230" s="6"/>
      <c r="AGL230" s="6"/>
      <c r="AGM230" s="6"/>
      <c r="AGN230" s="6"/>
      <c r="AGO230" s="6"/>
      <c r="AGP230" s="6"/>
      <c r="AGQ230" s="6"/>
      <c r="AGR230" s="6"/>
      <c r="AGS230" s="6"/>
      <c r="AGT230" s="6"/>
      <c r="AGU230" s="6"/>
      <c r="AGV230" s="6"/>
      <c r="AGW230" s="6"/>
      <c r="AGX230" s="6"/>
      <c r="AGY230" s="6"/>
      <c r="AGZ230" s="6"/>
      <c r="AHA230" s="6"/>
      <c r="AHB230" s="6"/>
      <c r="AHC230" s="6"/>
      <c r="AHD230" s="6"/>
      <c r="AHE230" s="6"/>
      <c r="AHF230" s="6"/>
      <c r="AHG230" s="6"/>
      <c r="AHH230" s="6"/>
      <c r="AHI230" s="6"/>
      <c r="AHJ230" s="6"/>
      <c r="AHK230" s="6"/>
      <c r="AHL230" s="6"/>
      <c r="AHM230" s="6"/>
      <c r="AHN230" s="6"/>
      <c r="AHO230" s="6"/>
      <c r="AHP230" s="6"/>
      <c r="AHQ230" s="6"/>
      <c r="AHR230" s="6"/>
      <c r="AHS230" s="6"/>
      <c r="AHT230" s="6"/>
      <c r="AHU230" s="6"/>
      <c r="AHV230" s="6"/>
      <c r="AHW230" s="6"/>
      <c r="AHX230" s="6"/>
      <c r="AHY230" s="6"/>
      <c r="AHZ230" s="6"/>
      <c r="AIA230" s="6"/>
      <c r="AIB230" s="6"/>
      <c r="AIC230" s="6"/>
      <c r="AID230" s="6"/>
      <c r="AIE230" s="6"/>
      <c r="AIF230" s="6"/>
      <c r="AIG230" s="6"/>
      <c r="AIH230" s="6"/>
      <c r="AII230" s="6"/>
      <c r="AIJ230" s="6"/>
      <c r="AIK230" s="6"/>
      <c r="AIL230" s="6"/>
      <c r="AIM230" s="6"/>
      <c r="AIN230" s="6"/>
      <c r="AIO230" s="6"/>
      <c r="AIP230" s="6"/>
      <c r="AIQ230" s="6"/>
      <c r="AIR230" s="6"/>
      <c r="AIS230" s="6"/>
      <c r="AIT230" s="6"/>
      <c r="AIU230" s="6"/>
      <c r="AIV230" s="6"/>
      <c r="AIW230" s="6"/>
      <c r="AIX230" s="6"/>
      <c r="AIY230" s="6"/>
      <c r="AIZ230" s="6"/>
      <c r="AJA230" s="6"/>
      <c r="AJB230" s="6"/>
      <c r="AJC230" s="6"/>
      <c r="AJD230" s="6"/>
      <c r="AJE230" s="6"/>
      <c r="AJF230" s="6"/>
      <c r="AJG230" s="6"/>
      <c r="AJH230" s="6"/>
      <c r="AJI230" s="6"/>
      <c r="AJJ230" s="6"/>
      <c r="AJK230" s="6"/>
      <c r="AJL230" s="6"/>
      <c r="AJM230" s="6"/>
      <c r="AJN230" s="6"/>
      <c r="AJO230" s="6"/>
      <c r="AJP230" s="6"/>
      <c r="AJQ230" s="6"/>
      <c r="AJR230" s="6"/>
      <c r="AJS230" s="6"/>
      <c r="AJT230" s="6"/>
      <c r="AJU230" s="6"/>
      <c r="AJV230" s="6"/>
      <c r="AJW230" s="6"/>
      <c r="AJX230" s="6"/>
      <c r="AJY230" s="6"/>
      <c r="AJZ230" s="6"/>
      <c r="AKA230" s="6"/>
      <c r="AKB230" s="6"/>
      <c r="AKC230" s="6"/>
      <c r="AKD230" s="6"/>
      <c r="AKE230" s="6"/>
      <c r="AKF230" s="6"/>
      <c r="AKG230" s="6"/>
      <c r="AKH230" s="6"/>
      <c r="AKI230" s="6"/>
      <c r="AKJ230" s="6"/>
      <c r="AKK230" s="6"/>
      <c r="AKL230" s="6"/>
      <c r="AKM230" s="6"/>
      <c r="AKN230" s="6"/>
      <c r="AKO230" s="6"/>
      <c r="AKP230" s="6"/>
      <c r="AKQ230" s="6"/>
      <c r="AKR230" s="6"/>
      <c r="AKS230" s="6"/>
      <c r="AKT230" s="6"/>
      <c r="AKU230" s="6"/>
      <c r="AKV230" s="6"/>
      <c r="AKW230" s="6"/>
      <c r="AKX230" s="6"/>
      <c r="AKY230" s="6"/>
      <c r="AKZ230" s="6"/>
      <c r="ALA230" s="6"/>
      <c r="ALB230" s="6"/>
      <c r="ALC230" s="6"/>
      <c r="ALD230" s="6"/>
      <c r="ALE230" s="6"/>
      <c r="ALF230" s="6"/>
      <c r="ALG230" s="6"/>
      <c r="ALH230" s="6"/>
      <c r="ALI230" s="6"/>
      <c r="ALJ230" s="6"/>
      <c r="ALK230" s="6"/>
      <c r="ALL230" s="6"/>
      <c r="ALM230" s="6"/>
      <c r="ALN230" s="6"/>
      <c r="ALO230" s="6"/>
      <c r="ALP230" s="6"/>
      <c r="ALQ230" s="6"/>
      <c r="ALR230" s="6"/>
      <c r="ALS230" s="6"/>
      <c r="ALT230" s="6"/>
      <c r="ALU230" s="6"/>
      <c r="ALV230" s="6"/>
      <c r="ALW230" s="6"/>
      <c r="ALX230" s="6"/>
      <c r="ALY230" s="6"/>
      <c r="ALZ230" s="6"/>
      <c r="AMA230" s="6"/>
      <c r="AMB230" s="6"/>
      <c r="AMC230" s="6"/>
      <c r="AMD230" s="6"/>
      <c r="AME230" s="6"/>
      <c r="AMF230" s="6"/>
      <c r="AMG230" s="6"/>
      <c r="AMH230" s="6"/>
      <c r="AMI230" s="6"/>
      <c r="AMJ230" s="6"/>
      <c r="AMK230" s="6"/>
      <c r="AML230" s="6"/>
      <c r="AMM230" s="6"/>
      <c r="AMN230" s="6"/>
      <c r="AMO230" s="6"/>
      <c r="AMP230" s="6"/>
    </row>
    <row r="231" spans="1:1030" x14ac:dyDescent="0.2">
      <c r="A231" s="3" t="str">
        <f t="shared" si="893"/>
        <v>opsd_bovin_4J4Q</v>
      </c>
      <c r="B231" s="3" t="s">
        <v>920</v>
      </c>
      <c r="C231" s="3" t="s">
        <v>1044</v>
      </c>
      <c r="D231" s="3" t="str">
        <f>IFERROR(MID(VLOOKUP($B231,Seqs!$A:$B,2,0),E231,1),"")</f>
        <v>E</v>
      </c>
      <c r="E231" s="105">
        <v>33</v>
      </c>
      <c r="F231" s="3" t="str">
        <f>IFERROR(MID(VLOOKUP($B231,Seqs!$A:$B,2,0),G231,1),"")</f>
        <v>H</v>
      </c>
      <c r="G231" s="3">
        <v>65</v>
      </c>
      <c r="H231" s="3" t="str">
        <f>IFERROR(MID(VLOOKUP($B231,Seqs!$A:$B,2,0),I231,1),"")</f>
        <v>K</v>
      </c>
      <c r="I231" s="23">
        <v>66</v>
      </c>
      <c r="J231" s="3" t="str">
        <f>IFERROR(MID(VLOOKUP($B231,Seqs!$A:$B,2,0),K231,1),"")</f>
        <v>R</v>
      </c>
      <c r="K231" s="23">
        <v>69</v>
      </c>
      <c r="L231" s="3" t="str">
        <f>IFERROR(MID(VLOOKUP($B231,Seqs!$A:$B,2,0),M231,1),"")</f>
        <v>T</v>
      </c>
      <c r="M231" s="3">
        <v>70</v>
      </c>
      <c r="N231" s="3" t="str">
        <f>IFERROR(MID(VLOOKUP($B231,Seqs!$A:$B,2,0),O231,1),"")</f>
        <v>H</v>
      </c>
      <c r="O231" s="3">
        <v>100</v>
      </c>
      <c r="P231" s="3" t="str">
        <f>IFERROR(MID(VLOOKUP($B231,Seqs!$A:$B,2,0),Q231,1),"")</f>
        <v>Y</v>
      </c>
      <c r="Q231" s="3">
        <v>102</v>
      </c>
      <c r="R231" s="3" t="str">
        <f>IFERROR(MID(VLOOKUP($B231,Seqs!$A:$B,2,0),S231,1),"")</f>
        <v>F</v>
      </c>
      <c r="S231" s="3">
        <v>105</v>
      </c>
      <c r="T231" s="3" t="str">
        <f>IFERROR(MID(VLOOKUP($B231,Seqs!$A:$B,2,0),U231,1),"")</f>
        <v>G</v>
      </c>
      <c r="U231" s="3">
        <v>106</v>
      </c>
      <c r="V231" s="3" t="str">
        <f>IFERROR(MID(VLOOKUP($B231,Seqs!$A:$B,2,0),W231,1),"")</f>
        <v>K</v>
      </c>
      <c r="W231" s="3">
        <v>141</v>
      </c>
      <c r="X231" s="3" t="str">
        <f>IFERROR(MID(VLOOKUP($B231,Seqs!$A:$B,2,0),Y231,1),"")</f>
        <v/>
      </c>
      <c r="Y231" s="3" t="s">
        <v>23</v>
      </c>
      <c r="Z231" s="3" t="str">
        <f>IFERROR(MID(VLOOKUP($B231,Seqs!$A:$B,2,0),AA231,1),"")</f>
        <v/>
      </c>
      <c r="AA231" s="3" t="s">
        <v>23</v>
      </c>
      <c r="AB231" s="3" t="str">
        <f>IFERROR(MID(VLOOKUP($B231,Seqs!$A:$B,2,0),AC231,1),"")</f>
        <v>G</v>
      </c>
      <c r="AC231" s="9">
        <v>149</v>
      </c>
      <c r="AD231" s="3" t="str">
        <f>IFERROR(MID(VLOOKUP($B231,Seqs!$A:$B,2,0),AE231,1),"")</f>
        <v>V</v>
      </c>
      <c r="AE231" s="3">
        <v>173</v>
      </c>
      <c r="AF231" s="3" t="str">
        <f>IFERROR(MID(VLOOKUP($B231,Seqs!$A:$B,2,0),AG231,1),"")</f>
        <v>C</v>
      </c>
      <c r="AG231" s="3">
        <v>187</v>
      </c>
      <c r="AH231" s="3" t="str">
        <f>IFERROR(MID(VLOOKUP($B231,Seqs!$A:$B,2,0),AI231,1),"")</f>
        <v>I</v>
      </c>
      <c r="AI231" s="3">
        <v>189</v>
      </c>
      <c r="AJ231" s="3" t="str">
        <f>IFERROR(MID(VLOOKUP($B231,Seqs!$A:$B,2,0),AK231,1),"")</f>
        <v>N</v>
      </c>
      <c r="AK231" s="3">
        <v>199</v>
      </c>
      <c r="AL231" s="3" t="str">
        <f>IFERROR(MID(VLOOKUP($B231,Seqs!$A:$B,2,0),AM231,1),"")</f>
        <v>Q</v>
      </c>
      <c r="AM231" s="3">
        <v>237</v>
      </c>
      <c r="AN231" s="3" t="str">
        <f>IFERROR(MID(VLOOKUP($B231,Seqs!$A:$B,2,0),AO231,1),"")</f>
        <v>A</v>
      </c>
      <c r="AO231" s="3">
        <v>241</v>
      </c>
      <c r="AP231" s="3" t="str">
        <f>IFERROR(MID(VLOOKUP($B231,Seqs!$A:$B,2,0),AQ231,1),"")</f>
        <v>H</v>
      </c>
      <c r="AQ231" s="3">
        <v>278</v>
      </c>
      <c r="AR231" s="3" t="str">
        <f>IFERROR(MID(VLOOKUP($B231,Seqs!$A:$B,2,0),AS231,1),"")</f>
        <v>G</v>
      </c>
      <c r="AS231" s="3">
        <v>284</v>
      </c>
      <c r="AT231" s="3" t="str">
        <f>IFERROR(MID(VLOOKUP($B231,Seqs!$A:$B,2,0),AU231,1),"")</f>
        <v>M</v>
      </c>
      <c r="AU231" s="3">
        <v>309</v>
      </c>
      <c r="AV231" s="3" t="str">
        <f>IFERROR(MID(VLOOKUP($B231,Seqs!$A:$B,2,0),AW231,1),"")</f>
        <v>N</v>
      </c>
      <c r="AW231" s="3">
        <v>310</v>
      </c>
      <c r="AX231" s="3" t="str">
        <f>IFERROR(MID(VLOOKUP($B231,Seqs!$A:$B,2,0),AY231,1),"")</f>
        <v>C</v>
      </c>
      <c r="AY231" s="3">
        <v>322</v>
      </c>
      <c r="AZ231" s="77" t="str">
        <f>VLOOKUP(B231,Classification!A:D,2,0)</f>
        <v>A</v>
      </c>
      <c r="BA231" s="94" t="str">
        <f>VLOOKUP(B231,Classification!A:D,4,0)</f>
        <v>Opsins</v>
      </c>
      <c r="BB231" s="27" t="b">
        <f t="shared" si="894"/>
        <v>1</v>
      </c>
      <c r="BC231" s="23">
        <f t="shared" ref="BC231:BC292" si="1091">_xlfn.AGGREGATE(9,6,CH231:CS231)-_xlfn.AGGREGATE(9,6,BV231:CG231)+12</f>
        <v>253</v>
      </c>
      <c r="BD231" s="4" t="s">
        <v>23</v>
      </c>
      <c r="BE231" s="3" t="s">
        <v>1297</v>
      </c>
      <c r="BF231" s="119">
        <v>2.65</v>
      </c>
      <c r="BG231" s="49" t="s">
        <v>1383</v>
      </c>
      <c r="BH231" s="49" t="s">
        <v>1383</v>
      </c>
      <c r="BI231" s="1"/>
      <c r="BJ231" s="70" t="s">
        <v>1293</v>
      </c>
      <c r="BK231" s="57" t="s">
        <v>1293</v>
      </c>
      <c r="BL231" s="57" t="s">
        <v>1293</v>
      </c>
      <c r="BM231" s="57" t="s">
        <v>1293</v>
      </c>
      <c r="BN231" s="57" t="s">
        <v>1293</v>
      </c>
      <c r="BO231" s="57" t="s">
        <v>1293</v>
      </c>
      <c r="BP231" s="57" t="s">
        <v>1293</v>
      </c>
      <c r="BQ231" s="57" t="s">
        <v>1293</v>
      </c>
      <c r="BR231" s="57" t="s">
        <v>1293</v>
      </c>
      <c r="BS231" s="57" t="s">
        <v>1293</v>
      </c>
      <c r="BT231" s="57" t="s">
        <v>1293</v>
      </c>
      <c r="BU231" s="57" t="s">
        <v>1293</v>
      </c>
      <c r="BV231" s="70">
        <f t="shared" ref="BV231:BV292" si="1092">E231</f>
        <v>33</v>
      </c>
      <c r="BW231" s="71">
        <f t="shared" ref="BW231:BW292" si="1093">I231</f>
        <v>66</v>
      </c>
      <c r="BX231" s="72">
        <f t="shared" ref="BX231:BX292" si="1094">M231</f>
        <v>70</v>
      </c>
      <c r="BY231" s="71">
        <f t="shared" ref="BY231:BY292" si="1095">Q231</f>
        <v>102</v>
      </c>
      <c r="BZ231" s="72">
        <f t="shared" ref="BZ231:BZ292" si="1096">U231</f>
        <v>106</v>
      </c>
      <c r="CA231" s="71" t="str">
        <f t="shared" ref="CA231:CA292" si="1097">Y231</f>
        <v>-</v>
      </c>
      <c r="CB231" s="72">
        <f t="shared" ref="CB231:CB292" si="1098">AC231</f>
        <v>149</v>
      </c>
      <c r="CC231" s="71">
        <f t="shared" ref="CC231:CC292" si="1099">AG231</f>
        <v>187</v>
      </c>
      <c r="CD231" s="72">
        <f t="shared" ref="CD231:CD292" si="1100">AK231</f>
        <v>199</v>
      </c>
      <c r="CE231" s="71">
        <f t="shared" ref="CE231:CE292" si="1101">AO231</f>
        <v>241</v>
      </c>
      <c r="CF231" s="72">
        <f t="shared" ref="CF231:CF292" si="1102">AS231</f>
        <v>284</v>
      </c>
      <c r="CG231" s="71">
        <f t="shared" ref="CG231:CG292" si="1103">AW231</f>
        <v>310</v>
      </c>
      <c r="CH231" s="70">
        <f t="shared" ref="CH231:CH292" si="1104">G231</f>
        <v>65</v>
      </c>
      <c r="CI231" s="71">
        <f t="shared" ref="CI231:CI292" si="1105">K231</f>
        <v>69</v>
      </c>
      <c r="CJ231" s="72">
        <f t="shared" ref="CJ231:CJ292" si="1106">O231</f>
        <v>100</v>
      </c>
      <c r="CK231" s="72">
        <f t="shared" ref="CK231:CK292" si="1107">S231</f>
        <v>105</v>
      </c>
      <c r="CL231" s="72">
        <f t="shared" ref="CL231:CL292" si="1108">W231</f>
        <v>141</v>
      </c>
      <c r="CM231" s="72" t="str">
        <f t="shared" ref="CM231:CM292" si="1109">AA231</f>
        <v>-</v>
      </c>
      <c r="CN231" s="72">
        <f t="shared" ref="CN231:CN292" si="1110">AE231</f>
        <v>173</v>
      </c>
      <c r="CO231" s="72">
        <f t="shared" ref="CO231:CO292" si="1111">AI231</f>
        <v>189</v>
      </c>
      <c r="CP231" s="72">
        <f t="shared" ref="CP231:CP292" si="1112">AM231</f>
        <v>237</v>
      </c>
      <c r="CQ231" s="72">
        <f t="shared" ref="CQ231:CQ292" si="1113">AQ231</f>
        <v>278</v>
      </c>
      <c r="CR231" s="72">
        <f t="shared" ref="CR231:CR292" si="1114">AU231</f>
        <v>309</v>
      </c>
      <c r="CS231" s="72">
        <f t="shared" ref="CS231:CS292" si="1115">AY231</f>
        <v>322</v>
      </c>
      <c r="CT231" s="23">
        <f t="shared" ref="CT231:CT292" si="1116">M231-K231</f>
        <v>1</v>
      </c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</row>
    <row r="232" spans="1:1030" x14ac:dyDescent="0.2">
      <c r="A232" s="3" t="str">
        <f t="shared" si="893"/>
        <v>opsd_bovin_5DYS</v>
      </c>
      <c r="B232" s="3" t="s">
        <v>920</v>
      </c>
      <c r="C232" s="3" t="s">
        <v>1363</v>
      </c>
      <c r="D232" s="3" t="str">
        <f>IFERROR(MID(VLOOKUP($B232,Seqs!$A:$B,2,0),E232,1),"")</f>
        <v>E</v>
      </c>
      <c r="E232" s="105">
        <v>33</v>
      </c>
      <c r="F232" s="3" t="str">
        <f>IFERROR(MID(VLOOKUP($B232,Seqs!$A:$B,2,0),G232,1),"")</f>
        <v>H</v>
      </c>
      <c r="G232" s="3">
        <v>65</v>
      </c>
      <c r="H232" s="3" t="str">
        <f>IFERROR(MID(VLOOKUP($B232,Seqs!$A:$B,2,0),I232,1),"")</f>
        <v>K</v>
      </c>
      <c r="I232" s="23">
        <v>66</v>
      </c>
      <c r="J232" s="3" t="str">
        <f>IFERROR(MID(VLOOKUP($B232,Seqs!$A:$B,2,0),K232,1),"")</f>
        <v>R</v>
      </c>
      <c r="K232" s="23">
        <v>69</v>
      </c>
      <c r="L232" s="3" t="str">
        <f>IFERROR(MID(VLOOKUP($B232,Seqs!$A:$B,2,0),M232,1),"")</f>
        <v>T</v>
      </c>
      <c r="M232" s="3">
        <v>70</v>
      </c>
      <c r="N232" s="3" t="str">
        <f>IFERROR(MID(VLOOKUP($B232,Seqs!$A:$B,2,0),O232,1),"")</f>
        <v>H</v>
      </c>
      <c r="O232" s="3">
        <v>100</v>
      </c>
      <c r="P232" s="3" t="str">
        <f>IFERROR(MID(VLOOKUP($B232,Seqs!$A:$B,2,0),Q232,1),"")</f>
        <v>Y</v>
      </c>
      <c r="Q232" s="3">
        <v>102</v>
      </c>
      <c r="R232" s="3" t="str">
        <f>IFERROR(MID(VLOOKUP($B232,Seqs!$A:$B,2,0),S232,1),"")</f>
        <v>F</v>
      </c>
      <c r="S232" s="3">
        <v>105</v>
      </c>
      <c r="T232" s="3" t="str">
        <f>IFERROR(MID(VLOOKUP($B232,Seqs!$A:$B,2,0),U232,1),"")</f>
        <v>G</v>
      </c>
      <c r="U232" s="3">
        <v>106</v>
      </c>
      <c r="V232" s="3" t="str">
        <f>IFERROR(MID(VLOOKUP($B232,Seqs!$A:$B,2,0),W232,1),"")</f>
        <v>K</v>
      </c>
      <c r="W232" s="3">
        <v>141</v>
      </c>
      <c r="X232" s="3" t="str">
        <f>IFERROR(MID(VLOOKUP($B232,Seqs!$A:$B,2,0),Y232,1),"")</f>
        <v/>
      </c>
      <c r="Y232" s="3" t="s">
        <v>23</v>
      </c>
      <c r="Z232" s="3" t="str">
        <f>IFERROR(MID(VLOOKUP($B232,Seqs!$A:$B,2,0),AA232,1),"")</f>
        <v/>
      </c>
      <c r="AA232" s="3" t="s">
        <v>23</v>
      </c>
      <c r="AB232" s="3" t="str">
        <f>IFERROR(MID(VLOOKUP($B232,Seqs!$A:$B,2,0),AC232,1),"")</f>
        <v>G</v>
      </c>
      <c r="AC232" s="9">
        <v>149</v>
      </c>
      <c r="AD232" s="3" t="str">
        <f>IFERROR(MID(VLOOKUP($B232,Seqs!$A:$B,2,0),AE232,1),"")</f>
        <v>V</v>
      </c>
      <c r="AE232" s="3">
        <v>173</v>
      </c>
      <c r="AF232" s="3" t="str">
        <f>IFERROR(MID(VLOOKUP($B232,Seqs!$A:$B,2,0),AG232,1),"")</f>
        <v>C</v>
      </c>
      <c r="AG232" s="3">
        <v>187</v>
      </c>
      <c r="AH232" s="3" t="str">
        <f>IFERROR(MID(VLOOKUP($B232,Seqs!$A:$B,2,0),AI232,1),"")</f>
        <v>I</v>
      </c>
      <c r="AI232" s="3">
        <v>189</v>
      </c>
      <c r="AJ232" s="3" t="str">
        <f>IFERROR(MID(VLOOKUP($B232,Seqs!$A:$B,2,0),AK232,1),"")</f>
        <v>N</v>
      </c>
      <c r="AK232" s="3">
        <v>199</v>
      </c>
      <c r="AL232" s="3" t="str">
        <f>IFERROR(MID(VLOOKUP($B232,Seqs!$A:$B,2,0),AM232,1),"")</f>
        <v>Q</v>
      </c>
      <c r="AM232" s="3">
        <v>237</v>
      </c>
      <c r="AN232" s="3" t="str">
        <f>IFERROR(MID(VLOOKUP($B232,Seqs!$A:$B,2,0),AO232,1),"")</f>
        <v>A</v>
      </c>
      <c r="AO232" s="3">
        <v>241</v>
      </c>
      <c r="AP232" s="3" t="str">
        <f>IFERROR(MID(VLOOKUP($B232,Seqs!$A:$B,2,0),AQ232,1),"")</f>
        <v>H</v>
      </c>
      <c r="AQ232" s="3">
        <v>278</v>
      </c>
      <c r="AR232" s="3" t="str">
        <f>IFERROR(MID(VLOOKUP($B232,Seqs!$A:$B,2,0),AS232,1),"")</f>
        <v>G</v>
      </c>
      <c r="AS232" s="3">
        <v>284</v>
      </c>
      <c r="AT232" s="3" t="str">
        <f>IFERROR(MID(VLOOKUP($B232,Seqs!$A:$B,2,0),AU232,1),"")</f>
        <v>M</v>
      </c>
      <c r="AU232" s="3">
        <v>309</v>
      </c>
      <c r="AV232" s="3" t="str">
        <f>IFERROR(MID(VLOOKUP($B232,Seqs!$A:$B,2,0),AW232,1),"")</f>
        <v>N</v>
      </c>
      <c r="AW232" s="3">
        <v>310</v>
      </c>
      <c r="AX232" s="3" t="str">
        <f>IFERROR(MID(VLOOKUP($B232,Seqs!$A:$B,2,0),AY232,1),"")</f>
        <v>C</v>
      </c>
      <c r="AY232" s="3">
        <v>322</v>
      </c>
      <c r="AZ232" s="77" t="str">
        <f>VLOOKUP(B232,Classification!A:D,2,0)</f>
        <v>A</v>
      </c>
      <c r="BA232" s="94" t="str">
        <f>VLOOKUP(B232,Classification!A:D,4,0)</f>
        <v>Opsins</v>
      </c>
      <c r="BB232" s="27" t="b">
        <f t="shared" si="894"/>
        <v>1</v>
      </c>
      <c r="BC232" s="23">
        <f t="shared" si="1091"/>
        <v>253</v>
      </c>
      <c r="BD232" s="5" t="s">
        <v>1381</v>
      </c>
      <c r="BE232" s="3" t="s">
        <v>1297</v>
      </c>
      <c r="BF232" s="119">
        <v>2.2999999999999998</v>
      </c>
      <c r="BG232" s="49" t="s">
        <v>1383</v>
      </c>
      <c r="BH232" s="49" t="s">
        <v>1383</v>
      </c>
      <c r="BI232" s="1"/>
      <c r="BJ232" s="70" t="s">
        <v>1293</v>
      </c>
      <c r="BK232" s="57" t="s">
        <v>1293</v>
      </c>
      <c r="BL232" s="57" t="s">
        <v>1293</v>
      </c>
      <c r="BM232" s="57" t="s">
        <v>1293</v>
      </c>
      <c r="BN232" s="57" t="s">
        <v>1293</v>
      </c>
      <c r="BO232" s="57" t="s">
        <v>1293</v>
      </c>
      <c r="BP232" s="57" t="s">
        <v>1293</v>
      </c>
      <c r="BQ232" s="57" t="s">
        <v>1293</v>
      </c>
      <c r="BR232" s="57" t="s">
        <v>1293</v>
      </c>
      <c r="BS232" s="57" t="s">
        <v>1293</v>
      </c>
      <c r="BT232" s="57" t="s">
        <v>1293</v>
      </c>
      <c r="BU232" s="57" t="s">
        <v>1293</v>
      </c>
      <c r="BV232" s="70">
        <f t="shared" si="1092"/>
        <v>33</v>
      </c>
      <c r="BW232" s="71">
        <f t="shared" si="1093"/>
        <v>66</v>
      </c>
      <c r="BX232" s="72">
        <f t="shared" si="1094"/>
        <v>70</v>
      </c>
      <c r="BY232" s="71">
        <f t="shared" si="1095"/>
        <v>102</v>
      </c>
      <c r="BZ232" s="72">
        <f t="shared" si="1096"/>
        <v>106</v>
      </c>
      <c r="CA232" s="71" t="str">
        <f t="shared" si="1097"/>
        <v>-</v>
      </c>
      <c r="CB232" s="72">
        <f t="shared" si="1098"/>
        <v>149</v>
      </c>
      <c r="CC232" s="71">
        <f t="shared" si="1099"/>
        <v>187</v>
      </c>
      <c r="CD232" s="72">
        <f t="shared" si="1100"/>
        <v>199</v>
      </c>
      <c r="CE232" s="71">
        <f t="shared" si="1101"/>
        <v>241</v>
      </c>
      <c r="CF232" s="72">
        <f t="shared" si="1102"/>
        <v>284</v>
      </c>
      <c r="CG232" s="71">
        <f t="shared" si="1103"/>
        <v>310</v>
      </c>
      <c r="CH232" s="70">
        <f t="shared" si="1104"/>
        <v>65</v>
      </c>
      <c r="CI232" s="71">
        <f t="shared" si="1105"/>
        <v>69</v>
      </c>
      <c r="CJ232" s="72">
        <f t="shared" si="1106"/>
        <v>100</v>
      </c>
      <c r="CK232" s="72">
        <f t="shared" si="1107"/>
        <v>105</v>
      </c>
      <c r="CL232" s="72">
        <f t="shared" si="1108"/>
        <v>141</v>
      </c>
      <c r="CM232" s="72" t="str">
        <f t="shared" si="1109"/>
        <v>-</v>
      </c>
      <c r="CN232" s="72">
        <f t="shared" si="1110"/>
        <v>173</v>
      </c>
      <c r="CO232" s="72">
        <f t="shared" si="1111"/>
        <v>189</v>
      </c>
      <c r="CP232" s="72">
        <f t="shared" si="1112"/>
        <v>237</v>
      </c>
      <c r="CQ232" s="72">
        <f t="shared" si="1113"/>
        <v>278</v>
      </c>
      <c r="CR232" s="72">
        <f t="shared" si="1114"/>
        <v>309</v>
      </c>
      <c r="CS232" s="72">
        <f t="shared" si="1115"/>
        <v>322</v>
      </c>
      <c r="CT232" s="23">
        <f t="shared" si="1116"/>
        <v>1</v>
      </c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</row>
    <row r="233" spans="1:1030" x14ac:dyDescent="0.2">
      <c r="A233" s="3" t="str">
        <f t="shared" ref="A233:A312" si="1117">CONCATENATE(B233,"_",C233)</f>
        <v>opsd_bovin_5EN0</v>
      </c>
      <c r="B233" s="3" t="s">
        <v>920</v>
      </c>
      <c r="C233" s="3" t="s">
        <v>1364</v>
      </c>
      <c r="D233" s="3" t="str">
        <f>IFERROR(MID(VLOOKUP($B233,Seqs!$A:$B,2,0),E233,1),"")</f>
        <v>E</v>
      </c>
      <c r="E233" s="105">
        <v>33</v>
      </c>
      <c r="F233" s="3" t="str">
        <f>IFERROR(MID(VLOOKUP($B233,Seqs!$A:$B,2,0),G233,1),"")</f>
        <v>H</v>
      </c>
      <c r="G233" s="3">
        <v>65</v>
      </c>
      <c r="H233" s="3" t="str">
        <f>IFERROR(MID(VLOOKUP($B233,Seqs!$A:$B,2,0),I233,1),"")</f>
        <v>K</v>
      </c>
      <c r="I233" s="23">
        <v>66</v>
      </c>
      <c r="J233" s="3" t="str">
        <f>IFERROR(MID(VLOOKUP($B233,Seqs!$A:$B,2,0),K233,1),"")</f>
        <v>R</v>
      </c>
      <c r="K233" s="23">
        <v>69</v>
      </c>
      <c r="L233" s="3" t="str">
        <f>IFERROR(MID(VLOOKUP($B233,Seqs!$A:$B,2,0),M233,1),"")</f>
        <v>T</v>
      </c>
      <c r="M233" s="3">
        <v>70</v>
      </c>
      <c r="N233" s="3" t="str">
        <f>IFERROR(MID(VLOOKUP($B233,Seqs!$A:$B,2,0),O233,1),"")</f>
        <v>H</v>
      </c>
      <c r="O233" s="3">
        <v>100</v>
      </c>
      <c r="P233" s="3" t="str">
        <f>IFERROR(MID(VLOOKUP($B233,Seqs!$A:$B,2,0),Q233,1),"")</f>
        <v>Y</v>
      </c>
      <c r="Q233" s="3">
        <v>102</v>
      </c>
      <c r="R233" s="3" t="str">
        <f>IFERROR(MID(VLOOKUP($B233,Seqs!$A:$B,2,0),S233,1),"")</f>
        <v>F</v>
      </c>
      <c r="S233" s="3">
        <v>105</v>
      </c>
      <c r="T233" s="3" t="str">
        <f>IFERROR(MID(VLOOKUP($B233,Seqs!$A:$B,2,0),U233,1),"")</f>
        <v>G</v>
      </c>
      <c r="U233" s="3">
        <v>106</v>
      </c>
      <c r="V233" s="3" t="str">
        <f>IFERROR(MID(VLOOKUP($B233,Seqs!$A:$B,2,0),W233,1),"")</f>
        <v>K</v>
      </c>
      <c r="W233" s="3">
        <v>141</v>
      </c>
      <c r="X233" s="3" t="str">
        <f>IFERROR(MID(VLOOKUP($B233,Seqs!$A:$B,2,0),Y233,1),"")</f>
        <v/>
      </c>
      <c r="Y233" s="3" t="s">
        <v>23</v>
      </c>
      <c r="Z233" s="3" t="str">
        <f>IFERROR(MID(VLOOKUP($B233,Seqs!$A:$B,2,0),AA233,1),"")</f>
        <v/>
      </c>
      <c r="AA233" s="3" t="s">
        <v>23</v>
      </c>
      <c r="AB233" s="3" t="str">
        <f>IFERROR(MID(VLOOKUP($B233,Seqs!$A:$B,2,0),AC233,1),"")</f>
        <v>G</v>
      </c>
      <c r="AC233" s="9">
        <v>149</v>
      </c>
      <c r="AD233" s="3" t="str">
        <f>IFERROR(MID(VLOOKUP($B233,Seqs!$A:$B,2,0),AE233,1),"")</f>
        <v>V</v>
      </c>
      <c r="AE233" s="3">
        <v>173</v>
      </c>
      <c r="AF233" s="3" t="str">
        <f>IFERROR(MID(VLOOKUP($B233,Seqs!$A:$B,2,0),AG233,1),"")</f>
        <v>C</v>
      </c>
      <c r="AG233" s="3">
        <v>187</v>
      </c>
      <c r="AH233" s="3" t="str">
        <f>IFERROR(MID(VLOOKUP($B233,Seqs!$A:$B,2,0),AI233,1),"")</f>
        <v>I</v>
      </c>
      <c r="AI233" s="3">
        <v>189</v>
      </c>
      <c r="AJ233" s="3" t="str">
        <f>IFERROR(MID(VLOOKUP($B233,Seqs!$A:$B,2,0),AK233,1),"")</f>
        <v>N</v>
      </c>
      <c r="AK233" s="3">
        <v>199</v>
      </c>
      <c r="AL233" s="3" t="str">
        <f>IFERROR(MID(VLOOKUP($B233,Seqs!$A:$B,2,0),AM233,1),"")</f>
        <v>Q</v>
      </c>
      <c r="AM233" s="3">
        <v>237</v>
      </c>
      <c r="AN233" s="3" t="str">
        <f>IFERROR(MID(VLOOKUP($B233,Seqs!$A:$B,2,0),AO233,1),"")</f>
        <v>A</v>
      </c>
      <c r="AO233" s="3">
        <v>241</v>
      </c>
      <c r="AP233" s="3" t="str">
        <f>IFERROR(MID(VLOOKUP($B233,Seqs!$A:$B,2,0),AQ233,1),"")</f>
        <v>H</v>
      </c>
      <c r="AQ233" s="3">
        <v>278</v>
      </c>
      <c r="AR233" s="3" t="str">
        <f>IFERROR(MID(VLOOKUP($B233,Seqs!$A:$B,2,0),AS233,1),"")</f>
        <v>G</v>
      </c>
      <c r="AS233" s="3">
        <v>284</v>
      </c>
      <c r="AT233" s="3" t="str">
        <f>IFERROR(MID(VLOOKUP($B233,Seqs!$A:$B,2,0),AU233,1),"")</f>
        <v>M</v>
      </c>
      <c r="AU233" s="3">
        <v>309</v>
      </c>
      <c r="AV233" s="3" t="str">
        <f>IFERROR(MID(VLOOKUP($B233,Seqs!$A:$B,2,0),AW233,1),"")</f>
        <v>N</v>
      </c>
      <c r="AW233" s="3">
        <v>310</v>
      </c>
      <c r="AX233" s="3" t="str">
        <f>IFERROR(MID(VLOOKUP($B233,Seqs!$A:$B,2,0),AY233,1),"")</f>
        <v>C</v>
      </c>
      <c r="AY233" s="3">
        <v>322</v>
      </c>
      <c r="AZ233" s="77" t="str">
        <f>VLOOKUP(B233,Classification!A:D,2,0)</f>
        <v>A</v>
      </c>
      <c r="BA233" s="94" t="str">
        <f>VLOOKUP(B233,Classification!A:D,4,0)</f>
        <v>Opsins</v>
      </c>
      <c r="BB233" s="27" t="b">
        <f t="shared" ref="BB233:BB312" si="1118">AND(E233&lt;G233,OR(G233&lt;I233,I233="-"),OR(I233&lt;K233,I233="-"),OR(K233&lt;M233,K233="-"),M233&lt;O233,OR(O233&lt;Q233,Q233="-"),OR(Q233&lt;S233,Q233="-"),OR(S233&lt;U233,S233="-"),U233&lt;W233,OR(W233&lt;Y233,Y233="-"),OR(Y233&lt;AA233,Y233="-"),OR(AA233&lt;AC233,AA233="-"),AC233&lt;AE233,OR(AE233&lt;AG233,AG233="-"),OR(AG233&lt;AI233,AG233="-"),OR(AI233&lt;AK233,AI233="-"),AK233&lt;AM233,AM233&lt;AO233,AO233&lt;AQ233,AQ233&lt;AS233,AS233&lt;AU233,OR(AU233&lt;AW233,AW233="-"),OR(AW233&lt;AY233,AW233="-"))</f>
        <v>1</v>
      </c>
      <c r="BC233" s="23">
        <f t="shared" si="1091"/>
        <v>253</v>
      </c>
      <c r="BD233" s="4" t="s">
        <v>23</v>
      </c>
      <c r="BE233" s="3" t="s">
        <v>1297</v>
      </c>
      <c r="BF233" s="119">
        <v>2.81</v>
      </c>
      <c r="BG233" s="49" t="s">
        <v>1383</v>
      </c>
      <c r="BH233" s="49" t="s">
        <v>1383</v>
      </c>
      <c r="BI233" s="1"/>
      <c r="BJ233" s="70" t="s">
        <v>1293</v>
      </c>
      <c r="BK233" s="57" t="s">
        <v>1293</v>
      </c>
      <c r="BL233" s="57" t="s">
        <v>1293</v>
      </c>
      <c r="BM233" s="57" t="s">
        <v>1293</v>
      </c>
      <c r="BN233" s="57" t="s">
        <v>1293</v>
      </c>
      <c r="BO233" s="57" t="s">
        <v>1293</v>
      </c>
      <c r="BP233" s="57" t="s">
        <v>1293</v>
      </c>
      <c r="BQ233" s="57" t="s">
        <v>1293</v>
      </c>
      <c r="BR233" s="57" t="s">
        <v>1293</v>
      </c>
      <c r="BS233" s="57" t="s">
        <v>1293</v>
      </c>
      <c r="BT233" s="57" t="s">
        <v>1293</v>
      </c>
      <c r="BU233" s="57" t="s">
        <v>1293</v>
      </c>
      <c r="BV233" s="70">
        <f t="shared" si="1092"/>
        <v>33</v>
      </c>
      <c r="BW233" s="71">
        <f t="shared" si="1093"/>
        <v>66</v>
      </c>
      <c r="BX233" s="72">
        <f t="shared" si="1094"/>
        <v>70</v>
      </c>
      <c r="BY233" s="71">
        <f t="shared" si="1095"/>
        <v>102</v>
      </c>
      <c r="BZ233" s="72">
        <f t="shared" si="1096"/>
        <v>106</v>
      </c>
      <c r="CA233" s="71" t="str">
        <f t="shared" si="1097"/>
        <v>-</v>
      </c>
      <c r="CB233" s="72">
        <f t="shared" si="1098"/>
        <v>149</v>
      </c>
      <c r="CC233" s="71">
        <f t="shared" si="1099"/>
        <v>187</v>
      </c>
      <c r="CD233" s="72">
        <f t="shared" si="1100"/>
        <v>199</v>
      </c>
      <c r="CE233" s="71">
        <f t="shared" si="1101"/>
        <v>241</v>
      </c>
      <c r="CF233" s="72">
        <f t="shared" si="1102"/>
        <v>284</v>
      </c>
      <c r="CG233" s="71">
        <f t="shared" si="1103"/>
        <v>310</v>
      </c>
      <c r="CH233" s="70">
        <f t="shared" si="1104"/>
        <v>65</v>
      </c>
      <c r="CI233" s="71">
        <f t="shared" si="1105"/>
        <v>69</v>
      </c>
      <c r="CJ233" s="72">
        <f t="shared" si="1106"/>
        <v>100</v>
      </c>
      <c r="CK233" s="72">
        <f t="shared" si="1107"/>
        <v>105</v>
      </c>
      <c r="CL233" s="72">
        <f t="shared" si="1108"/>
        <v>141</v>
      </c>
      <c r="CM233" s="72" t="str">
        <f t="shared" si="1109"/>
        <v>-</v>
      </c>
      <c r="CN233" s="72">
        <f t="shared" si="1110"/>
        <v>173</v>
      </c>
      <c r="CO233" s="72">
        <f t="shared" si="1111"/>
        <v>189</v>
      </c>
      <c r="CP233" s="72">
        <f t="shared" si="1112"/>
        <v>237</v>
      </c>
      <c r="CQ233" s="72">
        <f t="shared" si="1113"/>
        <v>278</v>
      </c>
      <c r="CR233" s="72">
        <f t="shared" si="1114"/>
        <v>309</v>
      </c>
      <c r="CS233" s="72">
        <f t="shared" si="1115"/>
        <v>322</v>
      </c>
      <c r="CT233" s="23">
        <f t="shared" si="1116"/>
        <v>1</v>
      </c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</row>
    <row r="234" spans="1:1030" x14ac:dyDescent="0.2">
      <c r="A234" s="3" t="str">
        <f t="shared" ref="A234:A244" si="1119">CONCATENATE(B234,"_",C234)</f>
        <v>opsd_bovin_5TE3</v>
      </c>
      <c r="B234" s="3" t="s">
        <v>920</v>
      </c>
      <c r="C234" s="3" t="s">
        <v>1406</v>
      </c>
      <c r="D234" s="3" t="str">
        <f>IFERROR(MID(VLOOKUP($B234,Seqs!$A:$B,2,0),E234,1),"")</f>
        <v>E</v>
      </c>
      <c r="E234" s="105">
        <v>33</v>
      </c>
      <c r="F234" s="3" t="str">
        <f>IFERROR(MID(VLOOKUP($B234,Seqs!$A:$B,2,0),G234,1),"")</f>
        <v>H</v>
      </c>
      <c r="G234" s="3">
        <v>65</v>
      </c>
      <c r="H234" s="3" t="str">
        <f>IFERROR(MID(VLOOKUP($B234,Seqs!$A:$B,2,0),I234,1),"")</f>
        <v>K</v>
      </c>
      <c r="I234" s="23">
        <v>66</v>
      </c>
      <c r="J234" s="3" t="str">
        <f>IFERROR(MID(VLOOKUP($B234,Seqs!$A:$B,2,0),K234,1),"")</f>
        <v>R</v>
      </c>
      <c r="K234" s="23">
        <v>69</v>
      </c>
      <c r="L234" s="3" t="str">
        <f>IFERROR(MID(VLOOKUP($B234,Seqs!$A:$B,2,0),M234,1),"")</f>
        <v>T</v>
      </c>
      <c r="M234" s="3">
        <v>70</v>
      </c>
      <c r="N234" s="3" t="str">
        <f>IFERROR(MID(VLOOKUP($B234,Seqs!$A:$B,2,0),O234,1),"")</f>
        <v>H</v>
      </c>
      <c r="O234" s="3">
        <v>100</v>
      </c>
      <c r="P234" s="3" t="str">
        <f>IFERROR(MID(VLOOKUP($B234,Seqs!$A:$B,2,0),Q234,1),"")</f>
        <v>Y</v>
      </c>
      <c r="Q234" s="3">
        <v>102</v>
      </c>
      <c r="R234" s="3" t="str">
        <f>IFERROR(MID(VLOOKUP($B234,Seqs!$A:$B,2,0),S234,1),"")</f>
        <v>F</v>
      </c>
      <c r="S234" s="3">
        <v>105</v>
      </c>
      <c r="T234" s="3" t="str">
        <f>IFERROR(MID(VLOOKUP($B234,Seqs!$A:$B,2,0),U234,1),"")</f>
        <v>G</v>
      </c>
      <c r="U234" s="3">
        <v>106</v>
      </c>
      <c r="V234" s="3" t="str">
        <f>IFERROR(MID(VLOOKUP($B234,Seqs!$A:$B,2,0),W234,1),"")</f>
        <v>K</v>
      </c>
      <c r="W234" s="3">
        <v>141</v>
      </c>
      <c r="X234" s="3" t="str">
        <f>IFERROR(MID(VLOOKUP($B234,Seqs!$A:$B,2,0),Y234,1),"")</f>
        <v/>
      </c>
      <c r="Y234" s="3" t="s">
        <v>23</v>
      </c>
      <c r="Z234" s="3" t="str">
        <f>IFERROR(MID(VLOOKUP($B234,Seqs!$A:$B,2,0),AA234,1),"")</f>
        <v/>
      </c>
      <c r="AA234" s="3" t="s">
        <v>23</v>
      </c>
      <c r="AB234" s="3" t="str">
        <f>IFERROR(MID(VLOOKUP($B234,Seqs!$A:$B,2,0),AC234,1),"")</f>
        <v>G</v>
      </c>
      <c r="AC234" s="3">
        <v>149</v>
      </c>
      <c r="AD234" s="3" t="str">
        <f>IFERROR(MID(VLOOKUP($B234,Seqs!$A:$B,2,0),AE234,1),"")</f>
        <v>V</v>
      </c>
      <c r="AE234" s="3">
        <v>173</v>
      </c>
      <c r="AF234" s="3" t="str">
        <f>IFERROR(MID(VLOOKUP($B234,Seqs!$A:$B,2,0),AG234,1),"")</f>
        <v>C</v>
      </c>
      <c r="AG234" s="3">
        <v>187</v>
      </c>
      <c r="AH234" s="3" t="str">
        <f>IFERROR(MID(VLOOKUP($B234,Seqs!$A:$B,2,0),AI234,1),"")</f>
        <v>I</v>
      </c>
      <c r="AI234" s="3">
        <v>189</v>
      </c>
      <c r="AJ234" s="3" t="str">
        <f>IFERROR(MID(VLOOKUP($B234,Seqs!$A:$B,2,0),AK234,1),"")</f>
        <v>N</v>
      </c>
      <c r="AK234" s="3">
        <v>199</v>
      </c>
      <c r="AL234" s="3" t="str">
        <f>IFERROR(MID(VLOOKUP($B234,Seqs!$A:$B,2,0),AM234,1),"")</f>
        <v>Q</v>
      </c>
      <c r="AM234" s="3">
        <v>237</v>
      </c>
      <c r="AN234" s="3" t="str">
        <f>IFERROR(MID(VLOOKUP($B234,Seqs!$A:$B,2,0),AO234,1),"")</f>
        <v>A</v>
      </c>
      <c r="AO234" s="3">
        <v>241</v>
      </c>
      <c r="AP234" s="3" t="str">
        <f>IFERROR(MID(VLOOKUP($B234,Seqs!$A:$B,2,0),AQ234,1),"")</f>
        <v>H</v>
      </c>
      <c r="AQ234" s="3">
        <v>278</v>
      </c>
      <c r="AR234" s="3" t="str">
        <f>IFERROR(MID(VLOOKUP($B234,Seqs!$A:$B,2,0),AS234,1),"")</f>
        <v>G</v>
      </c>
      <c r="AS234" s="3">
        <v>284</v>
      </c>
      <c r="AT234" s="3" t="str">
        <f>IFERROR(MID(VLOOKUP($B234,Seqs!$A:$B,2,0),AU234,1),"")</f>
        <v>M</v>
      </c>
      <c r="AU234" s="3">
        <v>309</v>
      </c>
      <c r="AV234" s="3" t="str">
        <f>IFERROR(MID(VLOOKUP($B234,Seqs!$A:$B,2,0),AW234,1),"")</f>
        <v>N</v>
      </c>
      <c r="AW234" s="3">
        <v>310</v>
      </c>
      <c r="AX234" s="3" t="str">
        <f>IFERROR(MID(VLOOKUP($B234,Seqs!$A:$B,2,0),AY234,1),"")</f>
        <v>C</v>
      </c>
      <c r="AY234" s="3">
        <v>322</v>
      </c>
      <c r="AZ234" s="77" t="str">
        <f>VLOOKUP(B234,Classification!A:D,2,0)</f>
        <v>A</v>
      </c>
      <c r="BA234" s="94" t="str">
        <f>VLOOKUP(B234,Classification!A:D,4,0)</f>
        <v>Opsins</v>
      </c>
      <c r="BB234" s="27" t="b">
        <f t="shared" ref="BB234:BB244" si="1120">AND(E234&lt;G234,OR(G234&lt;I234,I234="-"),OR(I234&lt;K234,I234="-"),OR(K234&lt;M234,K234="-"),M234&lt;O234,OR(O234&lt;Q234,Q234="-"),OR(Q234&lt;S234,Q234="-"),OR(S234&lt;U234,S234="-"),U234&lt;W234,OR(W234&lt;Y234,Y234="-"),OR(Y234&lt;AA234,Y234="-"),OR(AA234&lt;AC234,AA234="-"),AC234&lt;AE234,OR(AE234&lt;AG234,AG234="-"),OR(AG234&lt;AI234,AG234="-"),OR(AI234&lt;AK234,AI234="-"),AK234&lt;AM234,AM234&lt;AO234,AO234&lt;AQ234,AQ234&lt;AS234,AS234&lt;AU234,OR(AU234&lt;AW234,AW234="-"),OR(AW234&lt;AY234,AW234="-"))</f>
        <v>1</v>
      </c>
      <c r="BC234" s="23">
        <f t="shared" ref="BC234:BC244" si="1121">_xlfn.AGGREGATE(9,6,CH234:CS234)-_xlfn.AGGREGATE(9,6,BV234:CG234)+12</f>
        <v>253</v>
      </c>
      <c r="BD234" s="2" t="s">
        <v>23</v>
      </c>
      <c r="BE234" s="3" t="s">
        <v>1297</v>
      </c>
      <c r="BF234" s="119">
        <v>2.7</v>
      </c>
      <c r="BG234" s="49" t="s">
        <v>1</v>
      </c>
      <c r="BH234" s="49" t="s">
        <v>1383</v>
      </c>
      <c r="BI234" s="1"/>
      <c r="BJ234" s="70" t="s">
        <v>1293</v>
      </c>
      <c r="BK234" s="57" t="s">
        <v>1293</v>
      </c>
      <c r="BL234" s="57" t="s">
        <v>1293</v>
      </c>
      <c r="BM234" s="57" t="s">
        <v>1293</v>
      </c>
      <c r="BN234" s="57" t="s">
        <v>1293</v>
      </c>
      <c r="BO234" s="57" t="s">
        <v>1293</v>
      </c>
      <c r="BP234" s="57" t="s">
        <v>1293</v>
      </c>
      <c r="BQ234" s="57" t="s">
        <v>1293</v>
      </c>
      <c r="BR234" s="57" t="s">
        <v>1293</v>
      </c>
      <c r="BS234" s="57" t="s">
        <v>1293</v>
      </c>
      <c r="BT234" s="57" t="s">
        <v>1293</v>
      </c>
      <c r="BU234" s="57" t="s">
        <v>1293</v>
      </c>
      <c r="BV234" s="70">
        <f t="shared" ref="BV234:BV244" si="1122">E234</f>
        <v>33</v>
      </c>
      <c r="BW234" s="71">
        <f t="shared" ref="BW234:BW244" si="1123">I234</f>
        <v>66</v>
      </c>
      <c r="BX234" s="72">
        <f t="shared" ref="BX234:BX244" si="1124">M234</f>
        <v>70</v>
      </c>
      <c r="BY234" s="71">
        <f t="shared" ref="BY234:BY244" si="1125">Q234</f>
        <v>102</v>
      </c>
      <c r="BZ234" s="72">
        <f t="shared" ref="BZ234:BZ244" si="1126">U234</f>
        <v>106</v>
      </c>
      <c r="CA234" s="71" t="str">
        <f t="shared" ref="CA234:CA244" si="1127">Y234</f>
        <v>-</v>
      </c>
      <c r="CB234" s="72">
        <f t="shared" ref="CB234:CB244" si="1128">AC234</f>
        <v>149</v>
      </c>
      <c r="CC234" s="71">
        <f t="shared" ref="CC234:CC244" si="1129">AG234</f>
        <v>187</v>
      </c>
      <c r="CD234" s="72">
        <f t="shared" ref="CD234:CD244" si="1130">AK234</f>
        <v>199</v>
      </c>
      <c r="CE234" s="71">
        <f t="shared" ref="CE234:CE244" si="1131">AO234</f>
        <v>241</v>
      </c>
      <c r="CF234" s="72">
        <f t="shared" ref="CF234:CF244" si="1132">AS234</f>
        <v>284</v>
      </c>
      <c r="CG234" s="71">
        <f t="shared" ref="CG234:CG244" si="1133">AW234</f>
        <v>310</v>
      </c>
      <c r="CH234" s="70">
        <f t="shared" ref="CH234:CH244" si="1134">G234</f>
        <v>65</v>
      </c>
      <c r="CI234" s="71">
        <f t="shared" ref="CI234:CI244" si="1135">K234</f>
        <v>69</v>
      </c>
      <c r="CJ234" s="72">
        <f t="shared" ref="CJ234:CJ244" si="1136">O234</f>
        <v>100</v>
      </c>
      <c r="CK234" s="72">
        <f t="shared" ref="CK234:CK244" si="1137">S234</f>
        <v>105</v>
      </c>
      <c r="CL234" s="72">
        <f t="shared" ref="CL234:CL244" si="1138">W234</f>
        <v>141</v>
      </c>
      <c r="CM234" s="72" t="str">
        <f t="shared" ref="CM234:CM244" si="1139">AA234</f>
        <v>-</v>
      </c>
      <c r="CN234" s="72">
        <f t="shared" ref="CN234:CN244" si="1140">AE234</f>
        <v>173</v>
      </c>
      <c r="CO234" s="72">
        <f t="shared" ref="CO234:CO244" si="1141">AI234</f>
        <v>189</v>
      </c>
      <c r="CP234" s="72">
        <f t="shared" ref="CP234:CP244" si="1142">AM234</f>
        <v>237</v>
      </c>
      <c r="CQ234" s="72">
        <f t="shared" ref="CQ234:CQ244" si="1143">AQ234</f>
        <v>278</v>
      </c>
      <c r="CR234" s="72">
        <f t="shared" ref="CR234:CR244" si="1144">AU234</f>
        <v>309</v>
      </c>
      <c r="CS234" s="72">
        <f t="shared" ref="CS234:CS244" si="1145">AY234</f>
        <v>322</v>
      </c>
      <c r="CT234" s="23">
        <f t="shared" ref="CT234:CT244" si="1146">M234-K234</f>
        <v>1</v>
      </c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</row>
    <row r="235" spans="1:1030" x14ac:dyDescent="0.2">
      <c r="A235" s="3" t="str">
        <f t="shared" si="1119"/>
        <v>opsd_bovin_5TE5</v>
      </c>
      <c r="B235" s="3" t="s">
        <v>920</v>
      </c>
      <c r="C235" s="3" t="s">
        <v>1407</v>
      </c>
      <c r="D235" s="3" t="str">
        <f>IFERROR(MID(VLOOKUP($B235,Seqs!$A:$B,2,0),E235,1),"")</f>
        <v>Q</v>
      </c>
      <c r="E235" s="3">
        <v>36</v>
      </c>
      <c r="F235" s="3" t="str">
        <f>IFERROR(MID(VLOOKUP($B235,Seqs!$A:$B,2,0),G235,1),"")</f>
        <v>H</v>
      </c>
      <c r="G235" s="3">
        <v>65</v>
      </c>
      <c r="H235" s="3" t="str">
        <f>IFERROR(MID(VLOOKUP($B235,Seqs!$A:$B,2,0),I235,1),"")</f>
        <v>K</v>
      </c>
      <c r="I235" s="23">
        <v>66</v>
      </c>
      <c r="J235" s="3" t="str">
        <f>IFERROR(MID(VLOOKUP($B235,Seqs!$A:$B,2,0),K235,1),"")</f>
        <v>R</v>
      </c>
      <c r="K235" s="23">
        <v>69</v>
      </c>
      <c r="L235" s="3" t="str">
        <f>IFERROR(MID(VLOOKUP($B235,Seqs!$A:$B,2,0),M235,1),"")</f>
        <v>T</v>
      </c>
      <c r="M235" s="3">
        <v>70</v>
      </c>
      <c r="N235" s="3" t="str">
        <f>IFERROR(MID(VLOOKUP($B235,Seqs!$A:$B,2,0),O235,1),"")</f>
        <v>G</v>
      </c>
      <c r="O235" s="3">
        <v>101</v>
      </c>
      <c r="P235" s="3" t="str">
        <f>IFERROR(MID(VLOOKUP($B235,Seqs!$A:$B,2,0),Q235,1),"")</f>
        <v>Y</v>
      </c>
      <c r="Q235" s="3">
        <v>102</v>
      </c>
      <c r="R235" s="3" t="str">
        <f>IFERROR(MID(VLOOKUP($B235,Seqs!$A:$B,2,0),S235,1),"")</f>
        <v>F</v>
      </c>
      <c r="S235" s="3">
        <v>105</v>
      </c>
      <c r="T235" s="3" t="str">
        <f>IFERROR(MID(VLOOKUP($B235,Seqs!$A:$B,2,0),U235,1),"")</f>
        <v>G</v>
      </c>
      <c r="U235" s="3">
        <v>106</v>
      </c>
      <c r="V235" s="3" t="str">
        <f>IFERROR(MID(VLOOKUP($B235,Seqs!$A:$B,2,0),W235,1),"")</f>
        <v>K</v>
      </c>
      <c r="W235" s="3">
        <v>141</v>
      </c>
      <c r="X235" s="3" t="str">
        <f>IFERROR(MID(VLOOKUP($B235,Seqs!$A:$B,2,0),Y235,1),"")</f>
        <v/>
      </c>
      <c r="Y235" s="3" t="s">
        <v>23</v>
      </c>
      <c r="Z235" s="3" t="str">
        <f>IFERROR(MID(VLOOKUP($B235,Seqs!$A:$B,2,0),AA235,1),"")</f>
        <v/>
      </c>
      <c r="AA235" s="3" t="s">
        <v>23</v>
      </c>
      <c r="AB235" s="3" t="str">
        <f>IFERROR(MID(VLOOKUP($B235,Seqs!$A:$B,2,0),AC235,1),"")</f>
        <v>G</v>
      </c>
      <c r="AC235" s="3">
        <v>149</v>
      </c>
      <c r="AD235" s="3" t="str">
        <f>IFERROR(MID(VLOOKUP($B235,Seqs!$A:$B,2,0),AE235,1),"")</f>
        <v>V</v>
      </c>
      <c r="AE235" s="3">
        <v>173</v>
      </c>
      <c r="AF235" s="3" t="str">
        <f>IFERROR(MID(VLOOKUP($B235,Seqs!$A:$B,2,0),AG235,1),"")</f>
        <v>C</v>
      </c>
      <c r="AG235" s="3">
        <v>187</v>
      </c>
      <c r="AH235" s="3" t="str">
        <f>IFERROR(MID(VLOOKUP($B235,Seqs!$A:$B,2,0),AI235,1),"")</f>
        <v>I</v>
      </c>
      <c r="AI235" s="3">
        <v>189</v>
      </c>
      <c r="AJ235" s="3" t="str">
        <f>IFERROR(MID(VLOOKUP($B235,Seqs!$A:$B,2,0),AK235,1),"")</f>
        <v>S</v>
      </c>
      <c r="AK235" s="3">
        <v>202</v>
      </c>
      <c r="AL235" s="3" t="str">
        <f>IFERROR(MID(VLOOKUP($B235,Seqs!$A:$B,2,0),AM235,1),"")</f>
        <v>L</v>
      </c>
      <c r="AM235" s="3">
        <v>226</v>
      </c>
      <c r="AN235" s="3" t="str">
        <f>IFERROR(MID(VLOOKUP($B235,Seqs!$A:$B,2,0),AO235,1),"")</f>
        <v>T</v>
      </c>
      <c r="AO235" s="3">
        <v>243</v>
      </c>
      <c r="AP235" s="3" t="str">
        <f>IFERROR(MID(VLOOKUP($B235,Seqs!$A:$B,2,0),AQ235,1),"")</f>
        <v>H</v>
      </c>
      <c r="AQ235" s="3">
        <v>278</v>
      </c>
      <c r="AR235" s="3" t="str">
        <f>IFERROR(MID(VLOOKUP($B235,Seqs!$A:$B,2,0),AS235,1),"")</f>
        <v>P</v>
      </c>
      <c r="AS235" s="3">
        <v>285</v>
      </c>
      <c r="AT235" s="3" t="str">
        <f>IFERROR(MID(VLOOKUP($B235,Seqs!$A:$B,2,0),AU235,1),"")</f>
        <v>M</v>
      </c>
      <c r="AU235" s="3">
        <v>309</v>
      </c>
      <c r="AV235" s="3" t="str">
        <f>IFERROR(MID(VLOOKUP($B235,Seqs!$A:$B,2,0),AW235,1),"")</f>
        <v>N</v>
      </c>
      <c r="AW235" s="3">
        <v>310</v>
      </c>
      <c r="AX235" s="3" t="str">
        <f>IFERROR(MID(VLOOKUP($B235,Seqs!$A:$B,2,0),AY235,1),"")</f>
        <v>C</v>
      </c>
      <c r="AY235" s="3">
        <v>323</v>
      </c>
      <c r="AZ235" s="77" t="str">
        <f>VLOOKUP(B235,Classification!A:D,2,0)</f>
        <v>A</v>
      </c>
      <c r="BA235" s="94" t="str">
        <f>VLOOKUP(B235,Classification!A:D,4,0)</f>
        <v>Opsins</v>
      </c>
      <c r="BB235" s="27" t="b">
        <f t="shared" si="1120"/>
        <v>1</v>
      </c>
      <c r="BC235" s="23">
        <f t="shared" si="1121"/>
        <v>235</v>
      </c>
      <c r="BD235" s="2" t="s">
        <v>23</v>
      </c>
      <c r="BE235" s="3" t="s">
        <v>1380</v>
      </c>
      <c r="BF235" s="119">
        <v>4.01</v>
      </c>
      <c r="BG235" s="49" t="s">
        <v>1383</v>
      </c>
      <c r="BH235" s="49" t="s">
        <v>1383</v>
      </c>
      <c r="BI235" s="1"/>
      <c r="BJ235" s="70" t="s">
        <v>1293</v>
      </c>
      <c r="BK235" s="57" t="s">
        <v>1293</v>
      </c>
      <c r="BL235" s="57" t="s">
        <v>1293</v>
      </c>
      <c r="BM235" s="57" t="s">
        <v>1293</v>
      </c>
      <c r="BN235" s="57" t="s">
        <v>1293</v>
      </c>
      <c r="BO235" s="57" t="s">
        <v>1293</v>
      </c>
      <c r="BP235" s="57" t="s">
        <v>1293</v>
      </c>
      <c r="BQ235" s="57" t="s">
        <v>1293</v>
      </c>
      <c r="BR235" s="57" t="s">
        <v>1293</v>
      </c>
      <c r="BS235" s="57" t="s">
        <v>1293</v>
      </c>
      <c r="BT235" s="57" t="s">
        <v>1293</v>
      </c>
      <c r="BU235" s="57" t="s">
        <v>1293</v>
      </c>
      <c r="BV235" s="70">
        <f t="shared" si="1122"/>
        <v>36</v>
      </c>
      <c r="BW235" s="71">
        <f t="shared" si="1123"/>
        <v>66</v>
      </c>
      <c r="BX235" s="72">
        <f t="shared" si="1124"/>
        <v>70</v>
      </c>
      <c r="BY235" s="71">
        <f t="shared" si="1125"/>
        <v>102</v>
      </c>
      <c r="BZ235" s="72">
        <f t="shared" si="1126"/>
        <v>106</v>
      </c>
      <c r="CA235" s="71" t="str">
        <f t="shared" si="1127"/>
        <v>-</v>
      </c>
      <c r="CB235" s="72">
        <f t="shared" si="1128"/>
        <v>149</v>
      </c>
      <c r="CC235" s="71">
        <f t="shared" si="1129"/>
        <v>187</v>
      </c>
      <c r="CD235" s="72">
        <f t="shared" si="1130"/>
        <v>202</v>
      </c>
      <c r="CE235" s="71">
        <f t="shared" si="1131"/>
        <v>243</v>
      </c>
      <c r="CF235" s="72">
        <f t="shared" si="1132"/>
        <v>285</v>
      </c>
      <c r="CG235" s="71">
        <f t="shared" si="1133"/>
        <v>310</v>
      </c>
      <c r="CH235" s="70">
        <f t="shared" si="1134"/>
        <v>65</v>
      </c>
      <c r="CI235" s="71">
        <f t="shared" si="1135"/>
        <v>69</v>
      </c>
      <c r="CJ235" s="72">
        <f t="shared" si="1136"/>
        <v>101</v>
      </c>
      <c r="CK235" s="72">
        <f t="shared" si="1137"/>
        <v>105</v>
      </c>
      <c r="CL235" s="72">
        <f t="shared" si="1138"/>
        <v>141</v>
      </c>
      <c r="CM235" s="72" t="str">
        <f t="shared" si="1139"/>
        <v>-</v>
      </c>
      <c r="CN235" s="72">
        <f t="shared" si="1140"/>
        <v>173</v>
      </c>
      <c r="CO235" s="72">
        <f t="shared" si="1141"/>
        <v>189</v>
      </c>
      <c r="CP235" s="72">
        <f t="shared" si="1142"/>
        <v>226</v>
      </c>
      <c r="CQ235" s="72">
        <f t="shared" si="1143"/>
        <v>278</v>
      </c>
      <c r="CR235" s="72">
        <f t="shared" si="1144"/>
        <v>309</v>
      </c>
      <c r="CS235" s="72">
        <f t="shared" si="1145"/>
        <v>323</v>
      </c>
      <c r="CT235" s="23">
        <f t="shared" si="1146"/>
        <v>1</v>
      </c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</row>
    <row r="236" spans="1:1030" x14ac:dyDescent="0.2">
      <c r="A236" s="3" t="str">
        <f t="shared" si="1119"/>
        <v>opsd_bovin_5WKT</v>
      </c>
      <c r="B236" s="3" t="s">
        <v>920</v>
      </c>
      <c r="C236" s="3" t="s">
        <v>1461</v>
      </c>
      <c r="D236" s="3" t="str">
        <f>IFERROR(MID(VLOOKUP($B236,Seqs!$A:$B,2,0),E236,1),"")</f>
        <v>E</v>
      </c>
      <c r="E236" s="3">
        <v>33</v>
      </c>
      <c r="F236" s="3" t="str">
        <f>IFERROR(MID(VLOOKUP($B236,Seqs!$A:$B,2,0),G236,1),"")</f>
        <v>Q</v>
      </c>
      <c r="G236" s="3">
        <v>64</v>
      </c>
      <c r="H236" s="3" t="str">
        <f>IFERROR(MID(VLOOKUP($B236,Seqs!$A:$B,2,0),I236,1),"")</f>
        <v>K</v>
      </c>
      <c r="I236" s="23">
        <v>66</v>
      </c>
      <c r="J236" s="3" t="str">
        <f>IFERROR(MID(VLOOKUP($B236,Seqs!$A:$B,2,0),K236,1),"")</f>
        <v>R</v>
      </c>
      <c r="K236" s="23">
        <v>69</v>
      </c>
      <c r="L236" s="3" t="str">
        <f>IFERROR(MID(VLOOKUP($B236,Seqs!$A:$B,2,0),M236,1),"")</f>
        <v>N</v>
      </c>
      <c r="M236" s="3">
        <v>73</v>
      </c>
      <c r="N236" s="3" t="str">
        <f>IFERROR(MID(VLOOKUP($B236,Seqs!$A:$B,2,0),O236,1),"")</f>
        <v>G</v>
      </c>
      <c r="O236" s="3">
        <v>101</v>
      </c>
      <c r="P236" s="3" t="str">
        <f>IFERROR(MID(VLOOKUP($B236,Seqs!$A:$B,2,0),Q236,1),"")</f>
        <v>Y</v>
      </c>
      <c r="Q236" s="3">
        <v>102</v>
      </c>
      <c r="R236" s="3" t="str">
        <f>IFERROR(MID(VLOOKUP($B236,Seqs!$A:$B,2,0),S236,1),"")</f>
        <v>G</v>
      </c>
      <c r="S236" s="3">
        <v>106</v>
      </c>
      <c r="T236" s="3" t="str">
        <f>IFERROR(MID(VLOOKUP($B236,Seqs!$A:$B,2,0),U236,1),"")</f>
        <v>P</v>
      </c>
      <c r="U236" s="3">
        <v>107</v>
      </c>
      <c r="V236" s="3" t="str">
        <f>IFERROR(MID(VLOOKUP($B236,Seqs!$A:$B,2,0),W236,1),"")</f>
        <v>K</v>
      </c>
      <c r="W236" s="3">
        <v>141</v>
      </c>
      <c r="X236" s="3" t="str">
        <f>IFERROR(MID(VLOOKUP($B236,Seqs!$A:$B,2,0),Y236,1),"")</f>
        <v/>
      </c>
      <c r="Y236" s="3" t="s">
        <v>23</v>
      </c>
      <c r="Z236" s="3" t="str">
        <f>IFERROR(MID(VLOOKUP($B236,Seqs!$A:$B,2,0),AA236,1),"")</f>
        <v/>
      </c>
      <c r="AA236" s="3" t="s">
        <v>23</v>
      </c>
      <c r="AB236" s="3" t="str">
        <f>IFERROR(MID(VLOOKUP($B236,Seqs!$A:$B,2,0),AC236,1),"")</f>
        <v>G</v>
      </c>
      <c r="AC236" s="3">
        <v>149</v>
      </c>
      <c r="AD236" s="3" t="str">
        <f>IFERROR(MID(VLOOKUP($B236,Seqs!$A:$B,2,0),AE236,1),"")</f>
        <v>V</v>
      </c>
      <c r="AE236" s="3">
        <v>173</v>
      </c>
      <c r="AF236" s="3" t="str">
        <f>IFERROR(MID(VLOOKUP($B236,Seqs!$A:$B,2,0),AG236,1),"")</f>
        <v>C</v>
      </c>
      <c r="AG236" s="3">
        <v>187</v>
      </c>
      <c r="AH236" s="3" t="str">
        <f>IFERROR(MID(VLOOKUP($B236,Seqs!$A:$B,2,0),AI236,1),"")</f>
        <v>I</v>
      </c>
      <c r="AI236" s="3">
        <v>189</v>
      </c>
      <c r="AJ236" s="3" t="str">
        <f>IFERROR(MID(VLOOKUP($B236,Seqs!$A:$B,2,0),AK236,1),"")</f>
        <v>N</v>
      </c>
      <c r="AK236" s="3">
        <v>199</v>
      </c>
      <c r="AL236" s="3" t="str">
        <f>IFERROR(MID(VLOOKUP($B236,Seqs!$A:$B,2,0),AM236,1),"")</f>
        <v>Q</v>
      </c>
      <c r="AM236" s="3">
        <v>236</v>
      </c>
      <c r="AN236" s="3" t="str">
        <f>IFERROR(MID(VLOOKUP($B236,Seqs!$A:$B,2,0),AO236,1),"")</f>
        <v>S</v>
      </c>
      <c r="AO236" s="3">
        <v>240</v>
      </c>
      <c r="AP236" s="3" t="str">
        <f>IFERROR(MID(VLOOKUP($B236,Seqs!$A:$B,2,0),AQ236,1),"")</f>
        <v>H</v>
      </c>
      <c r="AQ236" s="3">
        <v>278</v>
      </c>
      <c r="AR236" s="3" t="str">
        <f>IFERROR(MID(VLOOKUP($B236,Seqs!$A:$B,2,0),AS236,1),"")</f>
        <v>G</v>
      </c>
      <c r="AS236" s="3">
        <v>284</v>
      </c>
      <c r="AT236" s="3" t="str">
        <f>IFERROR(MID(VLOOKUP($B236,Seqs!$A:$B,2,0),AU236,1),"")</f>
        <v>M</v>
      </c>
      <c r="AU236" s="3">
        <v>309</v>
      </c>
      <c r="AV236" s="3" t="str">
        <f>IFERROR(MID(VLOOKUP($B236,Seqs!$A:$B,2,0),AW236,1),"")</f>
        <v>N</v>
      </c>
      <c r="AW236" s="3">
        <v>310</v>
      </c>
      <c r="AX236" s="3" t="str">
        <f>IFERROR(MID(VLOOKUP($B236,Seqs!$A:$B,2,0),AY236,1),"")</f>
        <v>C</v>
      </c>
      <c r="AY236" s="3">
        <v>322</v>
      </c>
      <c r="AZ236" s="77" t="str">
        <f>VLOOKUP(B236,Classification!A:D,2,0)</f>
        <v>A</v>
      </c>
      <c r="BA236" s="94" t="str">
        <f>VLOOKUP(B236,Classification!A:D,4,0)</f>
        <v>Opsins</v>
      </c>
      <c r="BB236" s="27" t="b">
        <f t="shared" si="1120"/>
        <v>1</v>
      </c>
      <c r="BC236" s="23">
        <f t="shared" si="1121"/>
        <v>250</v>
      </c>
      <c r="BD236" s="2" t="s">
        <v>23</v>
      </c>
      <c r="BE236" s="3" t="s">
        <v>1297</v>
      </c>
      <c r="BF236" s="119">
        <v>3.2</v>
      </c>
      <c r="BG236" s="49" t="s">
        <v>1</v>
      </c>
      <c r="BH236" s="49" t="s">
        <v>1</v>
      </c>
      <c r="BI236" s="1"/>
      <c r="BJ236" s="70" t="s">
        <v>1293</v>
      </c>
      <c r="BK236" s="57" t="s">
        <v>1293</v>
      </c>
      <c r="BL236" s="57" t="s">
        <v>1293</v>
      </c>
      <c r="BM236" s="57" t="s">
        <v>1293</v>
      </c>
      <c r="BN236" s="57" t="s">
        <v>1293</v>
      </c>
      <c r="BO236" s="57" t="s">
        <v>1293</v>
      </c>
      <c r="BP236" s="57" t="s">
        <v>1293</v>
      </c>
      <c r="BQ236" s="57" t="s">
        <v>1293</v>
      </c>
      <c r="BR236" s="57" t="s">
        <v>1293</v>
      </c>
      <c r="BS236" s="57" t="s">
        <v>1293</v>
      </c>
      <c r="BT236" s="57" t="s">
        <v>1293</v>
      </c>
      <c r="BU236" s="57" t="s">
        <v>1293</v>
      </c>
      <c r="BV236" s="70">
        <f t="shared" si="1122"/>
        <v>33</v>
      </c>
      <c r="BW236" s="71">
        <f t="shared" si="1123"/>
        <v>66</v>
      </c>
      <c r="BX236" s="72">
        <f t="shared" si="1124"/>
        <v>73</v>
      </c>
      <c r="BY236" s="71">
        <f t="shared" si="1125"/>
        <v>102</v>
      </c>
      <c r="BZ236" s="72">
        <f t="shared" si="1126"/>
        <v>107</v>
      </c>
      <c r="CA236" s="71" t="str">
        <f t="shared" si="1127"/>
        <v>-</v>
      </c>
      <c r="CB236" s="72">
        <f t="shared" si="1128"/>
        <v>149</v>
      </c>
      <c r="CC236" s="71">
        <f t="shared" si="1129"/>
        <v>187</v>
      </c>
      <c r="CD236" s="72">
        <f t="shared" si="1130"/>
        <v>199</v>
      </c>
      <c r="CE236" s="71">
        <f t="shared" si="1131"/>
        <v>240</v>
      </c>
      <c r="CF236" s="72">
        <f t="shared" si="1132"/>
        <v>284</v>
      </c>
      <c r="CG236" s="71">
        <f t="shared" si="1133"/>
        <v>310</v>
      </c>
      <c r="CH236" s="70">
        <f t="shared" si="1134"/>
        <v>64</v>
      </c>
      <c r="CI236" s="71">
        <f t="shared" si="1135"/>
        <v>69</v>
      </c>
      <c r="CJ236" s="72">
        <f t="shared" si="1136"/>
        <v>101</v>
      </c>
      <c r="CK236" s="72">
        <f t="shared" si="1137"/>
        <v>106</v>
      </c>
      <c r="CL236" s="72">
        <f t="shared" si="1138"/>
        <v>141</v>
      </c>
      <c r="CM236" s="72" t="str">
        <f t="shared" si="1139"/>
        <v>-</v>
      </c>
      <c r="CN236" s="72">
        <f t="shared" si="1140"/>
        <v>173</v>
      </c>
      <c r="CO236" s="72">
        <f t="shared" si="1141"/>
        <v>189</v>
      </c>
      <c r="CP236" s="72">
        <f t="shared" si="1142"/>
        <v>236</v>
      </c>
      <c r="CQ236" s="72">
        <f t="shared" si="1143"/>
        <v>278</v>
      </c>
      <c r="CR236" s="72">
        <f t="shared" si="1144"/>
        <v>309</v>
      </c>
      <c r="CS236" s="72">
        <f t="shared" si="1145"/>
        <v>322</v>
      </c>
      <c r="CT236" s="23">
        <f t="shared" si="1146"/>
        <v>4</v>
      </c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</row>
    <row r="237" spans="1:1030" x14ac:dyDescent="0.2">
      <c r="A237" s="3" t="str">
        <f t="shared" si="1119"/>
        <v>opsd_bovin_6FK6</v>
      </c>
      <c r="B237" s="3" t="s">
        <v>920</v>
      </c>
      <c r="C237" s="3" t="s">
        <v>1494</v>
      </c>
      <c r="D237" s="3" t="str">
        <f>IFERROR(MID(VLOOKUP($B237,Seqs!$A:$B,2,0),E237,1),"")</f>
        <v>E</v>
      </c>
      <c r="E237" s="3">
        <v>33</v>
      </c>
      <c r="F237" s="3" t="str">
        <f>IFERROR(MID(VLOOKUP($B237,Seqs!$A:$B,2,0),G237,1),"")</f>
        <v>Q</v>
      </c>
      <c r="G237" s="3">
        <v>64</v>
      </c>
      <c r="H237" s="3" t="str">
        <f>IFERROR(MID(VLOOKUP($B237,Seqs!$A:$B,2,0),I237,1),"")</f>
        <v>K</v>
      </c>
      <c r="I237" s="23">
        <v>66</v>
      </c>
      <c r="J237" s="3" t="str">
        <f>IFERROR(MID(VLOOKUP($B237,Seqs!$A:$B,2,0),K237,1),"")</f>
        <v>R</v>
      </c>
      <c r="K237" s="23">
        <v>69</v>
      </c>
      <c r="L237" s="3" t="str">
        <f>IFERROR(MID(VLOOKUP($B237,Seqs!$A:$B,2,0),M237,1),"")</f>
        <v>N</v>
      </c>
      <c r="M237" s="3">
        <v>73</v>
      </c>
      <c r="N237" s="3" t="str">
        <f>IFERROR(MID(VLOOKUP($B237,Seqs!$A:$B,2,0),O237,1),"")</f>
        <v>G</v>
      </c>
      <c r="O237" s="3">
        <v>101</v>
      </c>
      <c r="P237" s="3" t="str">
        <f>IFERROR(MID(VLOOKUP($B237,Seqs!$A:$B,2,0),Q237,1),"")</f>
        <v>Y</v>
      </c>
      <c r="Q237" s="3">
        <v>102</v>
      </c>
      <c r="R237" s="3" t="str">
        <f>IFERROR(MID(VLOOKUP($B237,Seqs!$A:$B,2,0),S237,1),"")</f>
        <v>G</v>
      </c>
      <c r="S237" s="3">
        <v>106</v>
      </c>
      <c r="T237" s="3" t="str">
        <f>IFERROR(MID(VLOOKUP($B237,Seqs!$A:$B,2,0),U237,1),"")</f>
        <v>P</v>
      </c>
      <c r="U237" s="3">
        <v>107</v>
      </c>
      <c r="V237" s="3" t="str">
        <f>IFERROR(MID(VLOOKUP($B237,Seqs!$A:$B,2,0),W237,1),"")</f>
        <v>K</v>
      </c>
      <c r="W237" s="3">
        <v>141</v>
      </c>
      <c r="X237" s="3" t="str">
        <f>IFERROR(MID(VLOOKUP($B237,Seqs!$A:$B,2,0),Y237,1),"")</f>
        <v/>
      </c>
      <c r="Y237" s="3" t="s">
        <v>23</v>
      </c>
      <c r="Z237" s="3" t="str">
        <f>IFERROR(MID(VLOOKUP($B237,Seqs!$A:$B,2,0),AA237,1),"")</f>
        <v/>
      </c>
      <c r="AA237" s="3" t="s">
        <v>23</v>
      </c>
      <c r="AB237" s="3" t="str">
        <f>IFERROR(MID(VLOOKUP($B237,Seqs!$A:$B,2,0),AC237,1),"")</f>
        <v>G</v>
      </c>
      <c r="AC237" s="3">
        <v>149</v>
      </c>
      <c r="AD237" s="3" t="str">
        <f>IFERROR(MID(VLOOKUP($B237,Seqs!$A:$B,2,0),AE237,1),"")</f>
        <v>V</v>
      </c>
      <c r="AE237" s="3">
        <v>173</v>
      </c>
      <c r="AF237" s="3" t="str">
        <f>IFERROR(MID(VLOOKUP($B237,Seqs!$A:$B,2,0),AG237,1),"")</f>
        <v>C</v>
      </c>
      <c r="AG237" s="3">
        <v>187</v>
      </c>
      <c r="AH237" s="3" t="str">
        <f>IFERROR(MID(VLOOKUP($B237,Seqs!$A:$B,2,0),AI237,1),"")</f>
        <v>I</v>
      </c>
      <c r="AI237" s="3">
        <v>189</v>
      </c>
      <c r="AJ237" s="3" t="str">
        <f>IFERROR(MID(VLOOKUP($B237,Seqs!$A:$B,2,0),AK237,1),"")</f>
        <v>N</v>
      </c>
      <c r="AK237" s="3">
        <v>199</v>
      </c>
      <c r="AL237" s="3" t="str">
        <f>IFERROR(MID(VLOOKUP($B237,Seqs!$A:$B,2,0),AM237,1),"")</f>
        <v>Q</v>
      </c>
      <c r="AM237" s="3">
        <v>236</v>
      </c>
      <c r="AN237" s="3" t="str">
        <f>IFERROR(MID(VLOOKUP($B237,Seqs!$A:$B,2,0),AO237,1),"")</f>
        <v>S</v>
      </c>
      <c r="AO237" s="3">
        <v>240</v>
      </c>
      <c r="AP237" s="3" t="str">
        <f>IFERROR(MID(VLOOKUP($B237,Seqs!$A:$B,2,0),AQ237,1),"")</f>
        <v>H</v>
      </c>
      <c r="AQ237" s="3">
        <v>278</v>
      </c>
      <c r="AR237" s="3" t="str">
        <f>IFERROR(MID(VLOOKUP($B237,Seqs!$A:$B,2,0),AS237,1),"")</f>
        <v>G</v>
      </c>
      <c r="AS237" s="3">
        <v>284</v>
      </c>
      <c r="AT237" s="3" t="str">
        <f>IFERROR(MID(VLOOKUP($B237,Seqs!$A:$B,2,0),AU237,1),"")</f>
        <v>M</v>
      </c>
      <c r="AU237" s="3">
        <v>309</v>
      </c>
      <c r="AV237" s="3" t="str">
        <f>IFERROR(MID(VLOOKUP($B237,Seqs!$A:$B,2,0),AW237,1),"")</f>
        <v>N</v>
      </c>
      <c r="AW237" s="3">
        <v>310</v>
      </c>
      <c r="AX237" s="3" t="str">
        <f>IFERROR(MID(VLOOKUP($B237,Seqs!$A:$B,2,0),AY237,1),"")</f>
        <v>C</v>
      </c>
      <c r="AY237" s="3">
        <v>322</v>
      </c>
      <c r="AZ237" s="77" t="str">
        <f>VLOOKUP(B237,Classification!A:D,2,0)</f>
        <v>A</v>
      </c>
      <c r="BA237" s="94" t="str">
        <f>VLOOKUP(B237,Classification!A:D,4,0)</f>
        <v>Opsins</v>
      </c>
      <c r="BB237" s="27" t="b">
        <f t="shared" si="1120"/>
        <v>1</v>
      </c>
      <c r="BC237" s="23">
        <f t="shared" si="1121"/>
        <v>250</v>
      </c>
      <c r="BD237" s="2" t="s">
        <v>23</v>
      </c>
      <c r="BE237" s="3" t="s">
        <v>1297</v>
      </c>
      <c r="BF237" s="119">
        <v>2.36</v>
      </c>
      <c r="BG237" s="49" t="s">
        <v>1</v>
      </c>
      <c r="BH237" s="49" t="s">
        <v>1</v>
      </c>
      <c r="BI237" s="1"/>
      <c r="BJ237" s="70" t="s">
        <v>1293</v>
      </c>
      <c r="BK237" s="57" t="s">
        <v>1293</v>
      </c>
      <c r="BL237" s="57" t="s">
        <v>1293</v>
      </c>
      <c r="BM237" s="57" t="s">
        <v>1293</v>
      </c>
      <c r="BN237" s="57" t="s">
        <v>1293</v>
      </c>
      <c r="BO237" s="57" t="s">
        <v>1293</v>
      </c>
      <c r="BP237" s="57" t="s">
        <v>1293</v>
      </c>
      <c r="BQ237" s="57" t="s">
        <v>1293</v>
      </c>
      <c r="BR237" s="57" t="s">
        <v>1293</v>
      </c>
      <c r="BS237" s="57" t="s">
        <v>1293</v>
      </c>
      <c r="BT237" s="57" t="s">
        <v>1293</v>
      </c>
      <c r="BU237" s="57" t="s">
        <v>1293</v>
      </c>
      <c r="BV237" s="70">
        <f t="shared" si="1122"/>
        <v>33</v>
      </c>
      <c r="BW237" s="71">
        <f t="shared" si="1123"/>
        <v>66</v>
      </c>
      <c r="BX237" s="72">
        <f t="shared" si="1124"/>
        <v>73</v>
      </c>
      <c r="BY237" s="71">
        <f t="shared" si="1125"/>
        <v>102</v>
      </c>
      <c r="BZ237" s="72">
        <f t="shared" si="1126"/>
        <v>107</v>
      </c>
      <c r="CA237" s="71" t="str">
        <f t="shared" si="1127"/>
        <v>-</v>
      </c>
      <c r="CB237" s="72">
        <f t="shared" si="1128"/>
        <v>149</v>
      </c>
      <c r="CC237" s="71">
        <f t="shared" si="1129"/>
        <v>187</v>
      </c>
      <c r="CD237" s="72">
        <f t="shared" si="1130"/>
        <v>199</v>
      </c>
      <c r="CE237" s="71">
        <f t="shared" si="1131"/>
        <v>240</v>
      </c>
      <c r="CF237" s="72">
        <f t="shared" si="1132"/>
        <v>284</v>
      </c>
      <c r="CG237" s="71">
        <f t="shared" si="1133"/>
        <v>310</v>
      </c>
      <c r="CH237" s="70">
        <f t="shared" si="1134"/>
        <v>64</v>
      </c>
      <c r="CI237" s="71">
        <f t="shared" si="1135"/>
        <v>69</v>
      </c>
      <c r="CJ237" s="72">
        <f t="shared" si="1136"/>
        <v>101</v>
      </c>
      <c r="CK237" s="72">
        <f t="shared" si="1137"/>
        <v>106</v>
      </c>
      <c r="CL237" s="72">
        <f t="shared" si="1138"/>
        <v>141</v>
      </c>
      <c r="CM237" s="72" t="str">
        <f t="shared" si="1139"/>
        <v>-</v>
      </c>
      <c r="CN237" s="72">
        <f t="shared" si="1140"/>
        <v>173</v>
      </c>
      <c r="CO237" s="72">
        <f t="shared" si="1141"/>
        <v>189</v>
      </c>
      <c r="CP237" s="72">
        <f t="shared" si="1142"/>
        <v>236</v>
      </c>
      <c r="CQ237" s="72">
        <f t="shared" si="1143"/>
        <v>278</v>
      </c>
      <c r="CR237" s="72">
        <f t="shared" si="1144"/>
        <v>309</v>
      </c>
      <c r="CS237" s="72">
        <f t="shared" si="1145"/>
        <v>322</v>
      </c>
      <c r="CT237" s="23">
        <f t="shared" si="1146"/>
        <v>4</v>
      </c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</row>
    <row r="238" spans="1:1030" x14ac:dyDescent="0.2">
      <c r="A238" s="3" t="str">
        <f t="shared" si="1119"/>
        <v>opsd_bovin_6FK7</v>
      </c>
      <c r="B238" s="3" t="s">
        <v>920</v>
      </c>
      <c r="C238" s="3" t="s">
        <v>1495</v>
      </c>
      <c r="D238" s="3" t="str">
        <f>IFERROR(MID(VLOOKUP($B238,Seqs!$A:$B,2,0),E238,1),"")</f>
        <v>E</v>
      </c>
      <c r="E238" s="3">
        <v>33</v>
      </c>
      <c r="F238" s="3" t="str">
        <f>IFERROR(MID(VLOOKUP($B238,Seqs!$A:$B,2,0),G238,1),"")</f>
        <v>Q</v>
      </c>
      <c r="G238" s="3">
        <v>64</v>
      </c>
      <c r="H238" s="3" t="str">
        <f>IFERROR(MID(VLOOKUP($B238,Seqs!$A:$B,2,0),I238,1),"")</f>
        <v>K</v>
      </c>
      <c r="I238" s="23">
        <v>66</v>
      </c>
      <c r="J238" s="3" t="str">
        <f>IFERROR(MID(VLOOKUP($B238,Seqs!$A:$B,2,0),K238,1),"")</f>
        <v>R</v>
      </c>
      <c r="K238" s="23">
        <v>69</v>
      </c>
      <c r="L238" s="3" t="str">
        <f>IFERROR(MID(VLOOKUP($B238,Seqs!$A:$B,2,0),M238,1),"")</f>
        <v>N</v>
      </c>
      <c r="M238" s="3">
        <v>73</v>
      </c>
      <c r="N238" s="3" t="str">
        <f>IFERROR(MID(VLOOKUP($B238,Seqs!$A:$B,2,0),O238,1),"")</f>
        <v>G</v>
      </c>
      <c r="O238" s="3">
        <v>101</v>
      </c>
      <c r="P238" s="3" t="str">
        <f>IFERROR(MID(VLOOKUP($B238,Seqs!$A:$B,2,0),Q238,1),"")</f>
        <v>Y</v>
      </c>
      <c r="Q238" s="3">
        <v>102</v>
      </c>
      <c r="R238" s="3" t="str">
        <f>IFERROR(MID(VLOOKUP($B238,Seqs!$A:$B,2,0),S238,1),"")</f>
        <v>G</v>
      </c>
      <c r="S238" s="3">
        <v>106</v>
      </c>
      <c r="T238" s="3" t="str">
        <f>IFERROR(MID(VLOOKUP($B238,Seqs!$A:$B,2,0),U238,1),"")</f>
        <v>P</v>
      </c>
      <c r="U238" s="3">
        <v>107</v>
      </c>
      <c r="V238" s="3" t="str">
        <f>IFERROR(MID(VLOOKUP($B238,Seqs!$A:$B,2,0),W238,1),"")</f>
        <v>K</v>
      </c>
      <c r="W238" s="3">
        <v>141</v>
      </c>
      <c r="X238" s="3" t="str">
        <f>IFERROR(MID(VLOOKUP($B238,Seqs!$A:$B,2,0),Y238,1),"")</f>
        <v/>
      </c>
      <c r="Y238" s="3" t="s">
        <v>23</v>
      </c>
      <c r="Z238" s="3" t="str">
        <f>IFERROR(MID(VLOOKUP($B238,Seqs!$A:$B,2,0),AA238,1),"")</f>
        <v/>
      </c>
      <c r="AA238" s="3" t="s">
        <v>23</v>
      </c>
      <c r="AB238" s="3" t="str">
        <f>IFERROR(MID(VLOOKUP($B238,Seqs!$A:$B,2,0),AC238,1),"")</f>
        <v>G</v>
      </c>
      <c r="AC238" s="3">
        <v>149</v>
      </c>
      <c r="AD238" s="3" t="str">
        <f>IFERROR(MID(VLOOKUP($B238,Seqs!$A:$B,2,0),AE238,1),"")</f>
        <v>V</v>
      </c>
      <c r="AE238" s="3">
        <v>173</v>
      </c>
      <c r="AF238" s="3" t="str">
        <f>IFERROR(MID(VLOOKUP($B238,Seqs!$A:$B,2,0),AG238,1),"")</f>
        <v>C</v>
      </c>
      <c r="AG238" s="3">
        <v>187</v>
      </c>
      <c r="AH238" s="3" t="str">
        <f>IFERROR(MID(VLOOKUP($B238,Seqs!$A:$B,2,0),AI238,1),"")</f>
        <v>I</v>
      </c>
      <c r="AI238" s="3">
        <v>189</v>
      </c>
      <c r="AJ238" s="3" t="str">
        <f>IFERROR(MID(VLOOKUP($B238,Seqs!$A:$B,2,0),AK238,1),"")</f>
        <v>N</v>
      </c>
      <c r="AK238" s="3">
        <v>199</v>
      </c>
      <c r="AL238" s="3" t="str">
        <f>IFERROR(MID(VLOOKUP($B238,Seqs!$A:$B,2,0),AM238,1),"")</f>
        <v>Q</v>
      </c>
      <c r="AM238" s="3">
        <v>236</v>
      </c>
      <c r="AN238" s="3" t="str">
        <f>IFERROR(MID(VLOOKUP($B238,Seqs!$A:$B,2,0),AO238,1),"")</f>
        <v>S</v>
      </c>
      <c r="AO238" s="3">
        <v>240</v>
      </c>
      <c r="AP238" s="3" t="str">
        <f>IFERROR(MID(VLOOKUP($B238,Seqs!$A:$B,2,0),AQ238,1),"")</f>
        <v>H</v>
      </c>
      <c r="AQ238" s="3">
        <v>278</v>
      </c>
      <c r="AR238" s="3" t="str">
        <f>IFERROR(MID(VLOOKUP($B238,Seqs!$A:$B,2,0),AS238,1),"")</f>
        <v>G</v>
      </c>
      <c r="AS238" s="3">
        <v>284</v>
      </c>
      <c r="AT238" s="3" t="str">
        <f>IFERROR(MID(VLOOKUP($B238,Seqs!$A:$B,2,0),AU238,1),"")</f>
        <v>M</v>
      </c>
      <c r="AU238" s="3">
        <v>309</v>
      </c>
      <c r="AV238" s="3" t="str">
        <f>IFERROR(MID(VLOOKUP($B238,Seqs!$A:$B,2,0),AW238,1),"")</f>
        <v>N</v>
      </c>
      <c r="AW238" s="3">
        <v>310</v>
      </c>
      <c r="AX238" s="3" t="str">
        <f>IFERROR(MID(VLOOKUP($B238,Seqs!$A:$B,2,0),AY238,1),"")</f>
        <v>C</v>
      </c>
      <c r="AY238" s="3">
        <v>322</v>
      </c>
      <c r="AZ238" s="77" t="str">
        <f>VLOOKUP(B238,Classification!A:D,2,0)</f>
        <v>A</v>
      </c>
      <c r="BA238" s="94" t="str">
        <f>VLOOKUP(B238,Classification!A:D,4,0)</f>
        <v>Opsins</v>
      </c>
      <c r="BB238" s="27" t="b">
        <f t="shared" si="1120"/>
        <v>1</v>
      </c>
      <c r="BC238" s="23">
        <f t="shared" si="1121"/>
        <v>250</v>
      </c>
      <c r="BD238" s="2" t="s">
        <v>23</v>
      </c>
      <c r="BE238" s="3" t="s">
        <v>1297</v>
      </c>
      <c r="BF238" s="119">
        <v>2.62</v>
      </c>
      <c r="BG238" s="49" t="s">
        <v>1</v>
      </c>
      <c r="BH238" s="49" t="s">
        <v>1</v>
      </c>
      <c r="BI238" s="1"/>
      <c r="BJ238" s="70" t="s">
        <v>1293</v>
      </c>
      <c r="BK238" s="57" t="s">
        <v>1293</v>
      </c>
      <c r="BL238" s="57" t="s">
        <v>1293</v>
      </c>
      <c r="BM238" s="57" t="s">
        <v>1293</v>
      </c>
      <c r="BN238" s="57" t="s">
        <v>1293</v>
      </c>
      <c r="BO238" s="57" t="s">
        <v>1293</v>
      </c>
      <c r="BP238" s="57" t="s">
        <v>1293</v>
      </c>
      <c r="BQ238" s="57" t="s">
        <v>1293</v>
      </c>
      <c r="BR238" s="57" t="s">
        <v>1293</v>
      </c>
      <c r="BS238" s="57" t="s">
        <v>1293</v>
      </c>
      <c r="BT238" s="57" t="s">
        <v>1293</v>
      </c>
      <c r="BU238" s="57" t="s">
        <v>1293</v>
      </c>
      <c r="BV238" s="70">
        <f t="shared" si="1122"/>
        <v>33</v>
      </c>
      <c r="BW238" s="71">
        <f t="shared" si="1123"/>
        <v>66</v>
      </c>
      <c r="BX238" s="72">
        <f t="shared" si="1124"/>
        <v>73</v>
      </c>
      <c r="BY238" s="71">
        <f t="shared" si="1125"/>
        <v>102</v>
      </c>
      <c r="BZ238" s="72">
        <f t="shared" si="1126"/>
        <v>107</v>
      </c>
      <c r="CA238" s="71" t="str">
        <f t="shared" si="1127"/>
        <v>-</v>
      </c>
      <c r="CB238" s="72">
        <f t="shared" si="1128"/>
        <v>149</v>
      </c>
      <c r="CC238" s="71">
        <f t="shared" si="1129"/>
        <v>187</v>
      </c>
      <c r="CD238" s="72">
        <f t="shared" si="1130"/>
        <v>199</v>
      </c>
      <c r="CE238" s="71">
        <f t="shared" si="1131"/>
        <v>240</v>
      </c>
      <c r="CF238" s="72">
        <f t="shared" si="1132"/>
        <v>284</v>
      </c>
      <c r="CG238" s="71">
        <f t="shared" si="1133"/>
        <v>310</v>
      </c>
      <c r="CH238" s="70">
        <f t="shared" si="1134"/>
        <v>64</v>
      </c>
      <c r="CI238" s="71">
        <f t="shared" si="1135"/>
        <v>69</v>
      </c>
      <c r="CJ238" s="72">
        <f t="shared" si="1136"/>
        <v>101</v>
      </c>
      <c r="CK238" s="72">
        <f t="shared" si="1137"/>
        <v>106</v>
      </c>
      <c r="CL238" s="72">
        <f t="shared" si="1138"/>
        <v>141</v>
      </c>
      <c r="CM238" s="72" t="str">
        <f t="shared" si="1139"/>
        <v>-</v>
      </c>
      <c r="CN238" s="72">
        <f t="shared" si="1140"/>
        <v>173</v>
      </c>
      <c r="CO238" s="72">
        <f t="shared" si="1141"/>
        <v>189</v>
      </c>
      <c r="CP238" s="72">
        <f t="shared" si="1142"/>
        <v>236</v>
      </c>
      <c r="CQ238" s="72">
        <f t="shared" si="1143"/>
        <v>278</v>
      </c>
      <c r="CR238" s="72">
        <f t="shared" si="1144"/>
        <v>309</v>
      </c>
      <c r="CS238" s="72">
        <f t="shared" si="1145"/>
        <v>322</v>
      </c>
      <c r="CT238" s="23">
        <f t="shared" si="1146"/>
        <v>4</v>
      </c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</row>
    <row r="239" spans="1:1030" x14ac:dyDescent="0.2">
      <c r="A239" s="3" t="str">
        <f t="shared" si="1119"/>
        <v>opsd_bovin_6FK8</v>
      </c>
      <c r="B239" s="3" t="s">
        <v>920</v>
      </c>
      <c r="C239" s="3" t="s">
        <v>1496</v>
      </c>
      <c r="D239" s="3" t="str">
        <f>IFERROR(MID(VLOOKUP($B239,Seqs!$A:$B,2,0),E239,1),"")</f>
        <v>E</v>
      </c>
      <c r="E239" s="3">
        <v>33</v>
      </c>
      <c r="F239" s="3" t="str">
        <f>IFERROR(MID(VLOOKUP($B239,Seqs!$A:$B,2,0),G239,1),"")</f>
        <v>Q</v>
      </c>
      <c r="G239" s="3">
        <v>64</v>
      </c>
      <c r="H239" s="3" t="str">
        <f>IFERROR(MID(VLOOKUP($B239,Seqs!$A:$B,2,0),I239,1),"")</f>
        <v>K</v>
      </c>
      <c r="I239" s="23">
        <v>66</v>
      </c>
      <c r="J239" s="3" t="str">
        <f>IFERROR(MID(VLOOKUP($B239,Seqs!$A:$B,2,0),K239,1),"")</f>
        <v>R</v>
      </c>
      <c r="K239" s="23">
        <v>69</v>
      </c>
      <c r="L239" s="3" t="str">
        <f>IFERROR(MID(VLOOKUP($B239,Seqs!$A:$B,2,0),M239,1),"")</f>
        <v>N</v>
      </c>
      <c r="M239" s="3">
        <v>73</v>
      </c>
      <c r="N239" s="3" t="str">
        <f>IFERROR(MID(VLOOKUP($B239,Seqs!$A:$B,2,0),O239,1),"")</f>
        <v>G</v>
      </c>
      <c r="O239" s="3">
        <v>101</v>
      </c>
      <c r="P239" s="3" t="str">
        <f>IFERROR(MID(VLOOKUP($B239,Seqs!$A:$B,2,0),Q239,1),"")</f>
        <v>Y</v>
      </c>
      <c r="Q239" s="3">
        <v>102</v>
      </c>
      <c r="R239" s="3" t="str">
        <f>IFERROR(MID(VLOOKUP($B239,Seqs!$A:$B,2,0),S239,1),"")</f>
        <v>G</v>
      </c>
      <c r="S239" s="3">
        <v>106</v>
      </c>
      <c r="T239" s="3" t="str">
        <f>IFERROR(MID(VLOOKUP($B239,Seqs!$A:$B,2,0),U239,1),"")</f>
        <v>P</v>
      </c>
      <c r="U239" s="3">
        <v>107</v>
      </c>
      <c r="V239" s="3" t="str">
        <f>IFERROR(MID(VLOOKUP($B239,Seqs!$A:$B,2,0),W239,1),"")</f>
        <v>K</v>
      </c>
      <c r="W239" s="3">
        <v>141</v>
      </c>
      <c r="X239" s="3" t="str">
        <f>IFERROR(MID(VLOOKUP($B239,Seqs!$A:$B,2,0),Y239,1),"")</f>
        <v/>
      </c>
      <c r="Y239" s="3" t="s">
        <v>23</v>
      </c>
      <c r="Z239" s="3" t="str">
        <f>IFERROR(MID(VLOOKUP($B239,Seqs!$A:$B,2,0),AA239,1),"")</f>
        <v/>
      </c>
      <c r="AA239" s="3" t="s">
        <v>23</v>
      </c>
      <c r="AB239" s="3" t="str">
        <f>IFERROR(MID(VLOOKUP($B239,Seqs!$A:$B,2,0),AC239,1),"")</f>
        <v>G</v>
      </c>
      <c r="AC239" s="3">
        <v>149</v>
      </c>
      <c r="AD239" s="3" t="str">
        <f>IFERROR(MID(VLOOKUP($B239,Seqs!$A:$B,2,0),AE239,1),"")</f>
        <v>V</v>
      </c>
      <c r="AE239" s="3">
        <v>173</v>
      </c>
      <c r="AF239" s="3" t="str">
        <f>IFERROR(MID(VLOOKUP($B239,Seqs!$A:$B,2,0),AG239,1),"")</f>
        <v>C</v>
      </c>
      <c r="AG239" s="3">
        <v>187</v>
      </c>
      <c r="AH239" s="3" t="str">
        <f>IFERROR(MID(VLOOKUP($B239,Seqs!$A:$B,2,0),AI239,1),"")</f>
        <v>I</v>
      </c>
      <c r="AI239" s="3">
        <v>189</v>
      </c>
      <c r="AJ239" s="3" t="str">
        <f>IFERROR(MID(VLOOKUP($B239,Seqs!$A:$B,2,0),AK239,1),"")</f>
        <v>N</v>
      </c>
      <c r="AK239" s="3">
        <v>199</v>
      </c>
      <c r="AL239" s="3" t="str">
        <f>IFERROR(MID(VLOOKUP($B239,Seqs!$A:$B,2,0),AM239,1),"")</f>
        <v>Q</v>
      </c>
      <c r="AM239" s="3">
        <v>236</v>
      </c>
      <c r="AN239" s="3" t="str">
        <f>IFERROR(MID(VLOOKUP($B239,Seqs!$A:$B,2,0),AO239,1),"")</f>
        <v>S</v>
      </c>
      <c r="AO239" s="3">
        <v>240</v>
      </c>
      <c r="AP239" s="3" t="str">
        <f>IFERROR(MID(VLOOKUP($B239,Seqs!$A:$B,2,0),AQ239,1),"")</f>
        <v>H</v>
      </c>
      <c r="AQ239" s="3">
        <v>278</v>
      </c>
      <c r="AR239" s="3" t="str">
        <f>IFERROR(MID(VLOOKUP($B239,Seqs!$A:$B,2,0),AS239,1),"")</f>
        <v>G</v>
      </c>
      <c r="AS239" s="3">
        <v>284</v>
      </c>
      <c r="AT239" s="3" t="str">
        <f>IFERROR(MID(VLOOKUP($B239,Seqs!$A:$B,2,0),AU239,1),"")</f>
        <v>M</v>
      </c>
      <c r="AU239" s="3">
        <v>309</v>
      </c>
      <c r="AV239" s="3" t="str">
        <f>IFERROR(MID(VLOOKUP($B239,Seqs!$A:$B,2,0),AW239,1),"")</f>
        <v>N</v>
      </c>
      <c r="AW239" s="3">
        <v>310</v>
      </c>
      <c r="AX239" s="3" t="str">
        <f>IFERROR(MID(VLOOKUP($B239,Seqs!$A:$B,2,0),AY239,1),"")</f>
        <v>C</v>
      </c>
      <c r="AY239" s="3">
        <v>322</v>
      </c>
      <c r="AZ239" s="77" t="str">
        <f>VLOOKUP(B239,Classification!A:D,2,0)</f>
        <v>A</v>
      </c>
      <c r="BA239" s="94" t="str">
        <f>VLOOKUP(B239,Classification!A:D,4,0)</f>
        <v>Opsins</v>
      </c>
      <c r="BB239" s="27" t="b">
        <f t="shared" si="1120"/>
        <v>1</v>
      </c>
      <c r="BC239" s="23">
        <f t="shared" si="1121"/>
        <v>250</v>
      </c>
      <c r="BD239" s="2" t="s">
        <v>23</v>
      </c>
      <c r="BE239" s="3" t="s">
        <v>1297</v>
      </c>
      <c r="BF239" s="119">
        <v>2.87</v>
      </c>
      <c r="BG239" s="49" t="s">
        <v>1</v>
      </c>
      <c r="BH239" s="49" t="s">
        <v>1</v>
      </c>
      <c r="BI239" s="1"/>
      <c r="BJ239" s="70" t="s">
        <v>1293</v>
      </c>
      <c r="BK239" s="57" t="s">
        <v>1293</v>
      </c>
      <c r="BL239" s="57" t="s">
        <v>1293</v>
      </c>
      <c r="BM239" s="57" t="s">
        <v>1293</v>
      </c>
      <c r="BN239" s="57" t="s">
        <v>1293</v>
      </c>
      <c r="BO239" s="57" t="s">
        <v>1293</v>
      </c>
      <c r="BP239" s="57" t="s">
        <v>1293</v>
      </c>
      <c r="BQ239" s="57" t="s">
        <v>1293</v>
      </c>
      <c r="BR239" s="57" t="s">
        <v>1293</v>
      </c>
      <c r="BS239" s="57" t="s">
        <v>1293</v>
      </c>
      <c r="BT239" s="57" t="s">
        <v>1293</v>
      </c>
      <c r="BU239" s="57" t="s">
        <v>1293</v>
      </c>
      <c r="BV239" s="70">
        <f t="shared" si="1122"/>
        <v>33</v>
      </c>
      <c r="BW239" s="71">
        <f t="shared" si="1123"/>
        <v>66</v>
      </c>
      <c r="BX239" s="72">
        <f t="shared" si="1124"/>
        <v>73</v>
      </c>
      <c r="BY239" s="71">
        <f t="shared" si="1125"/>
        <v>102</v>
      </c>
      <c r="BZ239" s="72">
        <f t="shared" si="1126"/>
        <v>107</v>
      </c>
      <c r="CA239" s="71" t="str">
        <f t="shared" si="1127"/>
        <v>-</v>
      </c>
      <c r="CB239" s="72">
        <f t="shared" si="1128"/>
        <v>149</v>
      </c>
      <c r="CC239" s="71">
        <f t="shared" si="1129"/>
        <v>187</v>
      </c>
      <c r="CD239" s="72">
        <f t="shared" si="1130"/>
        <v>199</v>
      </c>
      <c r="CE239" s="71">
        <f t="shared" si="1131"/>
        <v>240</v>
      </c>
      <c r="CF239" s="72">
        <f t="shared" si="1132"/>
        <v>284</v>
      </c>
      <c r="CG239" s="71">
        <f t="shared" si="1133"/>
        <v>310</v>
      </c>
      <c r="CH239" s="70">
        <f t="shared" si="1134"/>
        <v>64</v>
      </c>
      <c r="CI239" s="71">
        <f t="shared" si="1135"/>
        <v>69</v>
      </c>
      <c r="CJ239" s="72">
        <f t="shared" si="1136"/>
        <v>101</v>
      </c>
      <c r="CK239" s="72">
        <f t="shared" si="1137"/>
        <v>106</v>
      </c>
      <c r="CL239" s="72">
        <f t="shared" si="1138"/>
        <v>141</v>
      </c>
      <c r="CM239" s="72" t="str">
        <f t="shared" si="1139"/>
        <v>-</v>
      </c>
      <c r="CN239" s="72">
        <f t="shared" si="1140"/>
        <v>173</v>
      </c>
      <c r="CO239" s="72">
        <f t="shared" si="1141"/>
        <v>189</v>
      </c>
      <c r="CP239" s="72">
        <f t="shared" si="1142"/>
        <v>236</v>
      </c>
      <c r="CQ239" s="72">
        <f t="shared" si="1143"/>
        <v>278</v>
      </c>
      <c r="CR239" s="72">
        <f t="shared" si="1144"/>
        <v>309</v>
      </c>
      <c r="CS239" s="72">
        <f t="shared" si="1145"/>
        <v>322</v>
      </c>
      <c r="CT239" s="23">
        <f t="shared" si="1146"/>
        <v>4</v>
      </c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</row>
    <row r="240" spans="1:1030" x14ac:dyDescent="0.2">
      <c r="A240" s="3" t="str">
        <f t="shared" si="1119"/>
        <v>opsd_bovin_6FK9</v>
      </c>
      <c r="B240" s="3" t="s">
        <v>920</v>
      </c>
      <c r="C240" s="3" t="s">
        <v>1497</v>
      </c>
      <c r="D240" s="3" t="str">
        <f>IFERROR(MID(VLOOKUP($B240,Seqs!$A:$B,2,0),E240,1),"")</f>
        <v>E</v>
      </c>
      <c r="E240" s="3">
        <v>33</v>
      </c>
      <c r="F240" s="3" t="str">
        <f>IFERROR(MID(VLOOKUP($B240,Seqs!$A:$B,2,0),G240,1),"")</f>
        <v>Q</v>
      </c>
      <c r="G240" s="3">
        <v>64</v>
      </c>
      <c r="H240" s="3" t="str">
        <f>IFERROR(MID(VLOOKUP($B240,Seqs!$A:$B,2,0),I240,1),"")</f>
        <v>K</v>
      </c>
      <c r="I240" s="23">
        <v>66</v>
      </c>
      <c r="J240" s="3" t="str">
        <f>IFERROR(MID(VLOOKUP($B240,Seqs!$A:$B,2,0),K240,1),"")</f>
        <v>R</v>
      </c>
      <c r="K240" s="23">
        <v>69</v>
      </c>
      <c r="L240" s="3" t="str">
        <f>IFERROR(MID(VLOOKUP($B240,Seqs!$A:$B,2,0),M240,1),"")</f>
        <v>N</v>
      </c>
      <c r="M240" s="3">
        <v>73</v>
      </c>
      <c r="N240" s="3" t="str">
        <f>IFERROR(MID(VLOOKUP($B240,Seqs!$A:$B,2,0),O240,1),"")</f>
        <v>G</v>
      </c>
      <c r="O240" s="3">
        <v>101</v>
      </c>
      <c r="P240" s="3" t="str">
        <f>IFERROR(MID(VLOOKUP($B240,Seqs!$A:$B,2,0),Q240,1),"")</f>
        <v>Y</v>
      </c>
      <c r="Q240" s="3">
        <v>102</v>
      </c>
      <c r="R240" s="3" t="str">
        <f>IFERROR(MID(VLOOKUP($B240,Seqs!$A:$B,2,0),S240,1),"")</f>
        <v>G</v>
      </c>
      <c r="S240" s="3">
        <v>106</v>
      </c>
      <c r="T240" s="3" t="str">
        <f>IFERROR(MID(VLOOKUP($B240,Seqs!$A:$B,2,0),U240,1),"")</f>
        <v>P</v>
      </c>
      <c r="U240" s="3">
        <v>107</v>
      </c>
      <c r="V240" s="3" t="str">
        <f>IFERROR(MID(VLOOKUP($B240,Seqs!$A:$B,2,0),W240,1),"")</f>
        <v>K</v>
      </c>
      <c r="W240" s="3">
        <v>141</v>
      </c>
      <c r="X240" s="3" t="str">
        <f>IFERROR(MID(VLOOKUP($B240,Seqs!$A:$B,2,0),Y240,1),"")</f>
        <v/>
      </c>
      <c r="Y240" s="3" t="s">
        <v>23</v>
      </c>
      <c r="Z240" s="3" t="str">
        <f>IFERROR(MID(VLOOKUP($B240,Seqs!$A:$B,2,0),AA240,1),"")</f>
        <v/>
      </c>
      <c r="AA240" s="3" t="s">
        <v>23</v>
      </c>
      <c r="AB240" s="3" t="str">
        <f>IFERROR(MID(VLOOKUP($B240,Seqs!$A:$B,2,0),AC240,1),"")</f>
        <v>G</v>
      </c>
      <c r="AC240" s="3">
        <v>149</v>
      </c>
      <c r="AD240" s="3" t="str">
        <f>IFERROR(MID(VLOOKUP($B240,Seqs!$A:$B,2,0),AE240,1),"")</f>
        <v>V</v>
      </c>
      <c r="AE240" s="3">
        <v>173</v>
      </c>
      <c r="AF240" s="3" t="str">
        <f>IFERROR(MID(VLOOKUP($B240,Seqs!$A:$B,2,0),AG240,1),"")</f>
        <v>C</v>
      </c>
      <c r="AG240" s="3">
        <v>187</v>
      </c>
      <c r="AH240" s="3" t="str">
        <f>IFERROR(MID(VLOOKUP($B240,Seqs!$A:$B,2,0),AI240,1),"")</f>
        <v>I</v>
      </c>
      <c r="AI240" s="3">
        <v>189</v>
      </c>
      <c r="AJ240" s="3" t="str">
        <f>IFERROR(MID(VLOOKUP($B240,Seqs!$A:$B,2,0),AK240,1),"")</f>
        <v>N</v>
      </c>
      <c r="AK240" s="3">
        <v>199</v>
      </c>
      <c r="AL240" s="3" t="str">
        <f>IFERROR(MID(VLOOKUP($B240,Seqs!$A:$B,2,0),AM240,1),"")</f>
        <v>Q</v>
      </c>
      <c r="AM240" s="3">
        <v>236</v>
      </c>
      <c r="AN240" s="3" t="str">
        <f>IFERROR(MID(VLOOKUP($B240,Seqs!$A:$B,2,0),AO240,1),"")</f>
        <v>S</v>
      </c>
      <c r="AO240" s="3">
        <v>240</v>
      </c>
      <c r="AP240" s="3" t="str">
        <f>IFERROR(MID(VLOOKUP($B240,Seqs!$A:$B,2,0),AQ240,1),"")</f>
        <v>H</v>
      </c>
      <c r="AQ240" s="3">
        <v>278</v>
      </c>
      <c r="AR240" s="3" t="str">
        <f>IFERROR(MID(VLOOKUP($B240,Seqs!$A:$B,2,0),AS240,1),"")</f>
        <v>G</v>
      </c>
      <c r="AS240" s="3">
        <v>284</v>
      </c>
      <c r="AT240" s="3" t="str">
        <f>IFERROR(MID(VLOOKUP($B240,Seqs!$A:$B,2,0),AU240,1),"")</f>
        <v>M</v>
      </c>
      <c r="AU240" s="3">
        <v>309</v>
      </c>
      <c r="AV240" s="3" t="str">
        <f>IFERROR(MID(VLOOKUP($B240,Seqs!$A:$B,2,0),AW240,1),"")</f>
        <v>N</v>
      </c>
      <c r="AW240" s="3">
        <v>310</v>
      </c>
      <c r="AX240" s="3" t="str">
        <f>IFERROR(MID(VLOOKUP($B240,Seqs!$A:$B,2,0),AY240,1),"")</f>
        <v>C</v>
      </c>
      <c r="AY240" s="3">
        <v>322</v>
      </c>
      <c r="AZ240" s="77" t="str">
        <f>VLOOKUP(B240,Classification!A:D,2,0)</f>
        <v>A</v>
      </c>
      <c r="BA240" s="94" t="str">
        <f>VLOOKUP(B240,Classification!A:D,4,0)</f>
        <v>Opsins</v>
      </c>
      <c r="BB240" s="27" t="b">
        <f t="shared" si="1120"/>
        <v>1</v>
      </c>
      <c r="BC240" s="23">
        <f t="shared" si="1121"/>
        <v>250</v>
      </c>
      <c r="BD240" s="2" t="s">
        <v>23</v>
      </c>
      <c r="BE240" s="3" t="s">
        <v>1297</v>
      </c>
      <c r="BF240" s="119">
        <v>2.63</v>
      </c>
      <c r="BG240" s="49" t="s">
        <v>1</v>
      </c>
      <c r="BH240" s="49" t="s">
        <v>1</v>
      </c>
      <c r="BI240" s="1"/>
      <c r="BJ240" s="70" t="s">
        <v>1293</v>
      </c>
      <c r="BK240" s="57" t="s">
        <v>1293</v>
      </c>
      <c r="BL240" s="57" t="s">
        <v>1293</v>
      </c>
      <c r="BM240" s="57" t="s">
        <v>1293</v>
      </c>
      <c r="BN240" s="57" t="s">
        <v>1293</v>
      </c>
      <c r="BO240" s="57" t="s">
        <v>1293</v>
      </c>
      <c r="BP240" s="57" t="s">
        <v>1293</v>
      </c>
      <c r="BQ240" s="57" t="s">
        <v>1293</v>
      </c>
      <c r="BR240" s="57" t="s">
        <v>1293</v>
      </c>
      <c r="BS240" s="57" t="s">
        <v>1293</v>
      </c>
      <c r="BT240" s="57" t="s">
        <v>1293</v>
      </c>
      <c r="BU240" s="57" t="s">
        <v>1293</v>
      </c>
      <c r="BV240" s="70">
        <f t="shared" si="1122"/>
        <v>33</v>
      </c>
      <c r="BW240" s="71">
        <f t="shared" si="1123"/>
        <v>66</v>
      </c>
      <c r="BX240" s="72">
        <f t="shared" si="1124"/>
        <v>73</v>
      </c>
      <c r="BY240" s="71">
        <f t="shared" si="1125"/>
        <v>102</v>
      </c>
      <c r="BZ240" s="72">
        <f t="shared" si="1126"/>
        <v>107</v>
      </c>
      <c r="CA240" s="71" t="str">
        <f t="shared" si="1127"/>
        <v>-</v>
      </c>
      <c r="CB240" s="72">
        <f t="shared" si="1128"/>
        <v>149</v>
      </c>
      <c r="CC240" s="71">
        <f t="shared" si="1129"/>
        <v>187</v>
      </c>
      <c r="CD240" s="72">
        <f t="shared" si="1130"/>
        <v>199</v>
      </c>
      <c r="CE240" s="71">
        <f t="shared" si="1131"/>
        <v>240</v>
      </c>
      <c r="CF240" s="72">
        <f t="shared" si="1132"/>
        <v>284</v>
      </c>
      <c r="CG240" s="71">
        <f t="shared" si="1133"/>
        <v>310</v>
      </c>
      <c r="CH240" s="70">
        <f t="shared" si="1134"/>
        <v>64</v>
      </c>
      <c r="CI240" s="71">
        <f t="shared" si="1135"/>
        <v>69</v>
      </c>
      <c r="CJ240" s="72">
        <f t="shared" si="1136"/>
        <v>101</v>
      </c>
      <c r="CK240" s="72">
        <f t="shared" si="1137"/>
        <v>106</v>
      </c>
      <c r="CL240" s="72">
        <f t="shared" si="1138"/>
        <v>141</v>
      </c>
      <c r="CM240" s="72" t="str">
        <f t="shared" si="1139"/>
        <v>-</v>
      </c>
      <c r="CN240" s="72">
        <f t="shared" si="1140"/>
        <v>173</v>
      </c>
      <c r="CO240" s="72">
        <f t="shared" si="1141"/>
        <v>189</v>
      </c>
      <c r="CP240" s="72">
        <f t="shared" si="1142"/>
        <v>236</v>
      </c>
      <c r="CQ240" s="72">
        <f t="shared" si="1143"/>
        <v>278</v>
      </c>
      <c r="CR240" s="72">
        <f t="shared" si="1144"/>
        <v>309</v>
      </c>
      <c r="CS240" s="72">
        <f t="shared" si="1145"/>
        <v>322</v>
      </c>
      <c r="CT240" s="23">
        <f t="shared" si="1146"/>
        <v>4</v>
      </c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</row>
    <row r="241" spans="1:1030" x14ac:dyDescent="0.2">
      <c r="A241" s="3" t="str">
        <f t="shared" si="1119"/>
        <v>opsd_bovin_6FKA</v>
      </c>
      <c r="B241" s="3" t="s">
        <v>920</v>
      </c>
      <c r="C241" s="3" t="s">
        <v>1498</v>
      </c>
      <c r="D241" s="3" t="str">
        <f>IFERROR(MID(VLOOKUP($B241,Seqs!$A:$B,2,0),E241,1),"")</f>
        <v>E</v>
      </c>
      <c r="E241" s="3">
        <v>33</v>
      </c>
      <c r="F241" s="3" t="str">
        <f>IFERROR(MID(VLOOKUP($B241,Seqs!$A:$B,2,0),G241,1),"")</f>
        <v>Q</v>
      </c>
      <c r="G241" s="3">
        <v>64</v>
      </c>
      <c r="H241" s="3" t="str">
        <f>IFERROR(MID(VLOOKUP($B241,Seqs!$A:$B,2,0),I241,1),"")</f>
        <v>K</v>
      </c>
      <c r="I241" s="23">
        <v>66</v>
      </c>
      <c r="J241" s="3" t="str">
        <f>IFERROR(MID(VLOOKUP($B241,Seqs!$A:$B,2,0),K241,1),"")</f>
        <v>R</v>
      </c>
      <c r="K241" s="23">
        <v>69</v>
      </c>
      <c r="L241" s="3" t="str">
        <f>IFERROR(MID(VLOOKUP($B241,Seqs!$A:$B,2,0),M241,1),"")</f>
        <v>N</v>
      </c>
      <c r="M241" s="3">
        <v>73</v>
      </c>
      <c r="N241" s="3" t="str">
        <f>IFERROR(MID(VLOOKUP($B241,Seqs!$A:$B,2,0),O241,1),"")</f>
        <v>G</v>
      </c>
      <c r="O241" s="3">
        <v>101</v>
      </c>
      <c r="P241" s="3" t="str">
        <f>IFERROR(MID(VLOOKUP($B241,Seqs!$A:$B,2,0),Q241,1),"")</f>
        <v>Y</v>
      </c>
      <c r="Q241" s="3">
        <v>102</v>
      </c>
      <c r="R241" s="3" t="str">
        <f>IFERROR(MID(VLOOKUP($B241,Seqs!$A:$B,2,0),S241,1),"")</f>
        <v>G</v>
      </c>
      <c r="S241" s="3">
        <v>106</v>
      </c>
      <c r="T241" s="3" t="str">
        <f>IFERROR(MID(VLOOKUP($B241,Seqs!$A:$B,2,0),U241,1),"")</f>
        <v>P</v>
      </c>
      <c r="U241" s="3">
        <v>107</v>
      </c>
      <c r="V241" s="3" t="str">
        <f>IFERROR(MID(VLOOKUP($B241,Seqs!$A:$B,2,0),W241,1),"")</f>
        <v>K</v>
      </c>
      <c r="W241" s="3">
        <v>141</v>
      </c>
      <c r="X241" s="3" t="str">
        <f>IFERROR(MID(VLOOKUP($B241,Seqs!$A:$B,2,0),Y241,1),"")</f>
        <v/>
      </c>
      <c r="Y241" s="3" t="s">
        <v>23</v>
      </c>
      <c r="Z241" s="3" t="str">
        <f>IFERROR(MID(VLOOKUP($B241,Seqs!$A:$B,2,0),AA241,1),"")</f>
        <v/>
      </c>
      <c r="AA241" s="3" t="s">
        <v>23</v>
      </c>
      <c r="AB241" s="3" t="str">
        <f>IFERROR(MID(VLOOKUP($B241,Seqs!$A:$B,2,0),AC241,1),"")</f>
        <v>G</v>
      </c>
      <c r="AC241" s="3">
        <v>149</v>
      </c>
      <c r="AD241" s="3" t="str">
        <f>IFERROR(MID(VLOOKUP($B241,Seqs!$A:$B,2,0),AE241,1),"")</f>
        <v>V</v>
      </c>
      <c r="AE241" s="3">
        <v>173</v>
      </c>
      <c r="AF241" s="3" t="str">
        <f>IFERROR(MID(VLOOKUP($B241,Seqs!$A:$B,2,0),AG241,1),"")</f>
        <v>C</v>
      </c>
      <c r="AG241" s="3">
        <v>187</v>
      </c>
      <c r="AH241" s="3" t="str">
        <f>IFERROR(MID(VLOOKUP($B241,Seqs!$A:$B,2,0),AI241,1),"")</f>
        <v>I</v>
      </c>
      <c r="AI241" s="3">
        <v>189</v>
      </c>
      <c r="AJ241" s="3" t="str">
        <f>IFERROR(MID(VLOOKUP($B241,Seqs!$A:$B,2,0),AK241,1),"")</f>
        <v>N</v>
      </c>
      <c r="AK241" s="3">
        <v>199</v>
      </c>
      <c r="AL241" s="3" t="str">
        <f>IFERROR(MID(VLOOKUP($B241,Seqs!$A:$B,2,0),AM241,1),"")</f>
        <v>Q</v>
      </c>
      <c r="AM241" s="3">
        <v>236</v>
      </c>
      <c r="AN241" s="3" t="str">
        <f>IFERROR(MID(VLOOKUP($B241,Seqs!$A:$B,2,0),AO241,1),"")</f>
        <v>S</v>
      </c>
      <c r="AO241" s="3">
        <v>240</v>
      </c>
      <c r="AP241" s="3" t="str">
        <f>IFERROR(MID(VLOOKUP($B241,Seqs!$A:$B,2,0),AQ241,1),"")</f>
        <v>H</v>
      </c>
      <c r="AQ241" s="3">
        <v>278</v>
      </c>
      <c r="AR241" s="3" t="str">
        <f>IFERROR(MID(VLOOKUP($B241,Seqs!$A:$B,2,0),AS241,1),"")</f>
        <v>G</v>
      </c>
      <c r="AS241" s="3">
        <v>284</v>
      </c>
      <c r="AT241" s="3" t="str">
        <f>IFERROR(MID(VLOOKUP($B241,Seqs!$A:$B,2,0),AU241,1),"")</f>
        <v>M</v>
      </c>
      <c r="AU241" s="3">
        <v>309</v>
      </c>
      <c r="AV241" s="3" t="str">
        <f>IFERROR(MID(VLOOKUP($B241,Seqs!$A:$B,2,0),AW241,1),"")</f>
        <v>N</v>
      </c>
      <c r="AW241" s="3">
        <v>310</v>
      </c>
      <c r="AX241" s="3" t="str">
        <f>IFERROR(MID(VLOOKUP($B241,Seqs!$A:$B,2,0),AY241,1),"")</f>
        <v>C</v>
      </c>
      <c r="AY241" s="3">
        <v>322</v>
      </c>
      <c r="AZ241" s="77" t="str">
        <f>VLOOKUP(B241,Classification!A:D,2,0)</f>
        <v>A</v>
      </c>
      <c r="BA241" s="94" t="str">
        <f>VLOOKUP(B241,Classification!A:D,4,0)</f>
        <v>Opsins</v>
      </c>
      <c r="BB241" s="27" t="b">
        <f t="shared" si="1120"/>
        <v>1</v>
      </c>
      <c r="BC241" s="23">
        <f t="shared" si="1121"/>
        <v>250</v>
      </c>
      <c r="BD241" s="2" t="s">
        <v>23</v>
      </c>
      <c r="BE241" s="3" t="s">
        <v>1297</v>
      </c>
      <c r="BF241" s="119">
        <v>2.7</v>
      </c>
      <c r="BG241" s="49" t="s">
        <v>1</v>
      </c>
      <c r="BH241" s="49" t="s">
        <v>1</v>
      </c>
      <c r="BI241" s="1"/>
      <c r="BJ241" s="70" t="s">
        <v>1293</v>
      </c>
      <c r="BK241" s="57" t="s">
        <v>1293</v>
      </c>
      <c r="BL241" s="57" t="s">
        <v>1293</v>
      </c>
      <c r="BM241" s="57" t="s">
        <v>1293</v>
      </c>
      <c r="BN241" s="57" t="s">
        <v>1293</v>
      </c>
      <c r="BO241" s="57" t="s">
        <v>1293</v>
      </c>
      <c r="BP241" s="57" t="s">
        <v>1293</v>
      </c>
      <c r="BQ241" s="57" t="s">
        <v>1293</v>
      </c>
      <c r="BR241" s="57" t="s">
        <v>1293</v>
      </c>
      <c r="BS241" s="57" t="s">
        <v>1293</v>
      </c>
      <c r="BT241" s="57" t="s">
        <v>1293</v>
      </c>
      <c r="BU241" s="57" t="s">
        <v>1293</v>
      </c>
      <c r="BV241" s="70">
        <f t="shared" si="1122"/>
        <v>33</v>
      </c>
      <c r="BW241" s="71">
        <f t="shared" si="1123"/>
        <v>66</v>
      </c>
      <c r="BX241" s="72">
        <f t="shared" si="1124"/>
        <v>73</v>
      </c>
      <c r="BY241" s="71">
        <f t="shared" si="1125"/>
        <v>102</v>
      </c>
      <c r="BZ241" s="72">
        <f t="shared" si="1126"/>
        <v>107</v>
      </c>
      <c r="CA241" s="71" t="str">
        <f t="shared" si="1127"/>
        <v>-</v>
      </c>
      <c r="CB241" s="72">
        <f t="shared" si="1128"/>
        <v>149</v>
      </c>
      <c r="CC241" s="71">
        <f t="shared" si="1129"/>
        <v>187</v>
      </c>
      <c r="CD241" s="72">
        <f t="shared" si="1130"/>
        <v>199</v>
      </c>
      <c r="CE241" s="71">
        <f t="shared" si="1131"/>
        <v>240</v>
      </c>
      <c r="CF241" s="72">
        <f t="shared" si="1132"/>
        <v>284</v>
      </c>
      <c r="CG241" s="71">
        <f t="shared" si="1133"/>
        <v>310</v>
      </c>
      <c r="CH241" s="70">
        <f t="shared" si="1134"/>
        <v>64</v>
      </c>
      <c r="CI241" s="71">
        <f t="shared" si="1135"/>
        <v>69</v>
      </c>
      <c r="CJ241" s="72">
        <f t="shared" si="1136"/>
        <v>101</v>
      </c>
      <c r="CK241" s="72">
        <f t="shared" si="1137"/>
        <v>106</v>
      </c>
      <c r="CL241" s="72">
        <f t="shared" si="1138"/>
        <v>141</v>
      </c>
      <c r="CM241" s="72" t="str">
        <f t="shared" si="1139"/>
        <v>-</v>
      </c>
      <c r="CN241" s="72">
        <f t="shared" si="1140"/>
        <v>173</v>
      </c>
      <c r="CO241" s="72">
        <f t="shared" si="1141"/>
        <v>189</v>
      </c>
      <c r="CP241" s="72">
        <f t="shared" si="1142"/>
        <v>236</v>
      </c>
      <c r="CQ241" s="72">
        <f t="shared" si="1143"/>
        <v>278</v>
      </c>
      <c r="CR241" s="72">
        <f t="shared" si="1144"/>
        <v>309</v>
      </c>
      <c r="CS241" s="72">
        <f t="shared" si="1145"/>
        <v>322</v>
      </c>
      <c r="CT241" s="23">
        <f t="shared" si="1146"/>
        <v>4</v>
      </c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</row>
    <row r="242" spans="1:1030" x14ac:dyDescent="0.2">
      <c r="A242" s="3" t="str">
        <f t="shared" si="1119"/>
        <v>opsd_bovin_6FKB</v>
      </c>
      <c r="B242" s="3" t="s">
        <v>920</v>
      </c>
      <c r="C242" s="3" t="s">
        <v>1499</v>
      </c>
      <c r="D242" s="3" t="str">
        <f>IFERROR(MID(VLOOKUP($B242,Seqs!$A:$B,2,0),E242,1),"")</f>
        <v>E</v>
      </c>
      <c r="E242" s="3">
        <v>33</v>
      </c>
      <c r="F242" s="3" t="str">
        <f>IFERROR(MID(VLOOKUP($B242,Seqs!$A:$B,2,0),G242,1),"")</f>
        <v>Q</v>
      </c>
      <c r="G242" s="3">
        <v>64</v>
      </c>
      <c r="H242" s="3" t="str">
        <f>IFERROR(MID(VLOOKUP($B242,Seqs!$A:$B,2,0),I242,1),"")</f>
        <v>K</v>
      </c>
      <c r="I242" s="23">
        <v>66</v>
      </c>
      <c r="J242" s="3" t="str">
        <f>IFERROR(MID(VLOOKUP($B242,Seqs!$A:$B,2,0),K242,1),"")</f>
        <v>R</v>
      </c>
      <c r="K242" s="23">
        <v>69</v>
      </c>
      <c r="L242" s="3" t="str">
        <f>IFERROR(MID(VLOOKUP($B242,Seqs!$A:$B,2,0),M242,1),"")</f>
        <v>N</v>
      </c>
      <c r="M242" s="3">
        <v>73</v>
      </c>
      <c r="N242" s="3" t="str">
        <f>IFERROR(MID(VLOOKUP($B242,Seqs!$A:$B,2,0),O242,1),"")</f>
        <v>G</v>
      </c>
      <c r="O242" s="3">
        <v>101</v>
      </c>
      <c r="P242" s="3" t="str">
        <f>IFERROR(MID(VLOOKUP($B242,Seqs!$A:$B,2,0),Q242,1),"")</f>
        <v>Y</v>
      </c>
      <c r="Q242" s="3">
        <v>102</v>
      </c>
      <c r="R242" s="3" t="str">
        <f>IFERROR(MID(VLOOKUP($B242,Seqs!$A:$B,2,0),S242,1),"")</f>
        <v>G</v>
      </c>
      <c r="S242" s="3">
        <v>106</v>
      </c>
      <c r="T242" s="3" t="str">
        <f>IFERROR(MID(VLOOKUP($B242,Seqs!$A:$B,2,0),U242,1),"")</f>
        <v>P</v>
      </c>
      <c r="U242" s="3">
        <v>107</v>
      </c>
      <c r="V242" s="3" t="str">
        <f>IFERROR(MID(VLOOKUP($B242,Seqs!$A:$B,2,0),W242,1),"")</f>
        <v>K</v>
      </c>
      <c r="W242" s="3">
        <v>141</v>
      </c>
      <c r="X242" s="3" t="str">
        <f>IFERROR(MID(VLOOKUP($B242,Seqs!$A:$B,2,0),Y242,1),"")</f>
        <v/>
      </c>
      <c r="Y242" s="3" t="s">
        <v>23</v>
      </c>
      <c r="Z242" s="3" t="str">
        <f>IFERROR(MID(VLOOKUP($B242,Seqs!$A:$B,2,0),AA242,1),"")</f>
        <v/>
      </c>
      <c r="AA242" s="3" t="s">
        <v>23</v>
      </c>
      <c r="AB242" s="3" t="str">
        <f>IFERROR(MID(VLOOKUP($B242,Seqs!$A:$B,2,0),AC242,1),"")</f>
        <v>G</v>
      </c>
      <c r="AC242" s="3">
        <v>149</v>
      </c>
      <c r="AD242" s="3" t="str">
        <f>IFERROR(MID(VLOOKUP($B242,Seqs!$A:$B,2,0),AE242,1),"")</f>
        <v>V</v>
      </c>
      <c r="AE242" s="3">
        <v>173</v>
      </c>
      <c r="AF242" s="3" t="str">
        <f>IFERROR(MID(VLOOKUP($B242,Seqs!$A:$B,2,0),AG242,1),"")</f>
        <v>C</v>
      </c>
      <c r="AG242" s="3">
        <v>187</v>
      </c>
      <c r="AH242" s="3" t="str">
        <f>IFERROR(MID(VLOOKUP($B242,Seqs!$A:$B,2,0),AI242,1),"")</f>
        <v>I</v>
      </c>
      <c r="AI242" s="3">
        <v>189</v>
      </c>
      <c r="AJ242" s="3" t="str">
        <f>IFERROR(MID(VLOOKUP($B242,Seqs!$A:$B,2,0),AK242,1),"")</f>
        <v>N</v>
      </c>
      <c r="AK242" s="3">
        <v>199</v>
      </c>
      <c r="AL242" s="3" t="str">
        <f>IFERROR(MID(VLOOKUP($B242,Seqs!$A:$B,2,0),AM242,1),"")</f>
        <v>Q</v>
      </c>
      <c r="AM242" s="3">
        <v>236</v>
      </c>
      <c r="AN242" s="3" t="str">
        <f>IFERROR(MID(VLOOKUP($B242,Seqs!$A:$B,2,0),AO242,1),"")</f>
        <v>S</v>
      </c>
      <c r="AO242" s="3">
        <v>240</v>
      </c>
      <c r="AP242" s="3" t="str">
        <f>IFERROR(MID(VLOOKUP($B242,Seqs!$A:$B,2,0),AQ242,1),"")</f>
        <v>H</v>
      </c>
      <c r="AQ242" s="3">
        <v>278</v>
      </c>
      <c r="AR242" s="3" t="str">
        <f>IFERROR(MID(VLOOKUP($B242,Seqs!$A:$B,2,0),AS242,1),"")</f>
        <v>G</v>
      </c>
      <c r="AS242" s="3">
        <v>284</v>
      </c>
      <c r="AT242" s="3" t="str">
        <f>IFERROR(MID(VLOOKUP($B242,Seqs!$A:$B,2,0),AU242,1),"")</f>
        <v>M</v>
      </c>
      <c r="AU242" s="3">
        <v>309</v>
      </c>
      <c r="AV242" s="3" t="str">
        <f>IFERROR(MID(VLOOKUP($B242,Seqs!$A:$B,2,0),AW242,1),"")</f>
        <v>N</v>
      </c>
      <c r="AW242" s="3">
        <v>310</v>
      </c>
      <c r="AX242" s="3" t="str">
        <f>IFERROR(MID(VLOOKUP($B242,Seqs!$A:$B,2,0),AY242,1),"")</f>
        <v>C</v>
      </c>
      <c r="AY242" s="3">
        <v>322</v>
      </c>
      <c r="AZ242" s="77" t="str">
        <f>VLOOKUP(B242,Classification!A:D,2,0)</f>
        <v>A</v>
      </c>
      <c r="BA242" s="94" t="str">
        <f>VLOOKUP(B242,Classification!A:D,4,0)</f>
        <v>Opsins</v>
      </c>
      <c r="BB242" s="27" t="b">
        <f t="shared" si="1120"/>
        <v>1</v>
      </c>
      <c r="BC242" s="23">
        <f t="shared" si="1121"/>
        <v>250</v>
      </c>
      <c r="BD242" s="2" t="s">
        <v>23</v>
      </c>
      <c r="BE242" s="3" t="s">
        <v>1297</v>
      </c>
      <c r="BF242" s="119">
        <v>3.03</v>
      </c>
      <c r="BG242" s="49" t="s">
        <v>1</v>
      </c>
      <c r="BH242" s="49" t="s">
        <v>1</v>
      </c>
      <c r="BI242" s="1"/>
      <c r="BJ242" s="70" t="s">
        <v>1293</v>
      </c>
      <c r="BK242" s="57" t="s">
        <v>1293</v>
      </c>
      <c r="BL242" s="57" t="s">
        <v>1293</v>
      </c>
      <c r="BM242" s="57" t="s">
        <v>1293</v>
      </c>
      <c r="BN242" s="57" t="s">
        <v>1293</v>
      </c>
      <c r="BO242" s="57" t="s">
        <v>1293</v>
      </c>
      <c r="BP242" s="57" t="s">
        <v>1293</v>
      </c>
      <c r="BQ242" s="57" t="s">
        <v>1293</v>
      </c>
      <c r="BR242" s="57" t="s">
        <v>1293</v>
      </c>
      <c r="BS242" s="57" t="s">
        <v>1293</v>
      </c>
      <c r="BT242" s="57" t="s">
        <v>1293</v>
      </c>
      <c r="BU242" s="57" t="s">
        <v>1293</v>
      </c>
      <c r="BV242" s="70">
        <f t="shared" si="1122"/>
        <v>33</v>
      </c>
      <c r="BW242" s="71">
        <f t="shared" si="1123"/>
        <v>66</v>
      </c>
      <c r="BX242" s="72">
        <f t="shared" si="1124"/>
        <v>73</v>
      </c>
      <c r="BY242" s="71">
        <f t="shared" si="1125"/>
        <v>102</v>
      </c>
      <c r="BZ242" s="72">
        <f t="shared" si="1126"/>
        <v>107</v>
      </c>
      <c r="CA242" s="71" t="str">
        <f t="shared" si="1127"/>
        <v>-</v>
      </c>
      <c r="CB242" s="72">
        <f t="shared" si="1128"/>
        <v>149</v>
      </c>
      <c r="CC242" s="71">
        <f t="shared" si="1129"/>
        <v>187</v>
      </c>
      <c r="CD242" s="72">
        <f t="shared" si="1130"/>
        <v>199</v>
      </c>
      <c r="CE242" s="71">
        <f t="shared" si="1131"/>
        <v>240</v>
      </c>
      <c r="CF242" s="72">
        <f t="shared" si="1132"/>
        <v>284</v>
      </c>
      <c r="CG242" s="71">
        <f t="shared" si="1133"/>
        <v>310</v>
      </c>
      <c r="CH242" s="70">
        <f t="shared" si="1134"/>
        <v>64</v>
      </c>
      <c r="CI242" s="71">
        <f t="shared" si="1135"/>
        <v>69</v>
      </c>
      <c r="CJ242" s="72">
        <f t="shared" si="1136"/>
        <v>101</v>
      </c>
      <c r="CK242" s="72">
        <f t="shared" si="1137"/>
        <v>106</v>
      </c>
      <c r="CL242" s="72">
        <f t="shared" si="1138"/>
        <v>141</v>
      </c>
      <c r="CM242" s="72" t="str">
        <f t="shared" si="1139"/>
        <v>-</v>
      </c>
      <c r="CN242" s="72">
        <f t="shared" si="1140"/>
        <v>173</v>
      </c>
      <c r="CO242" s="72">
        <f t="shared" si="1141"/>
        <v>189</v>
      </c>
      <c r="CP242" s="72">
        <f t="shared" si="1142"/>
        <v>236</v>
      </c>
      <c r="CQ242" s="72">
        <f t="shared" si="1143"/>
        <v>278</v>
      </c>
      <c r="CR242" s="72">
        <f t="shared" si="1144"/>
        <v>309</v>
      </c>
      <c r="CS242" s="72">
        <f t="shared" si="1145"/>
        <v>322</v>
      </c>
      <c r="CT242" s="23">
        <f t="shared" si="1146"/>
        <v>4</v>
      </c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</row>
    <row r="243" spans="1:1030" x14ac:dyDescent="0.2">
      <c r="A243" s="3" t="str">
        <f t="shared" si="1119"/>
        <v>opsd_bovin_6FKC</v>
      </c>
      <c r="B243" s="3" t="s">
        <v>920</v>
      </c>
      <c r="C243" s="3" t="s">
        <v>1500</v>
      </c>
      <c r="D243" s="3" t="str">
        <f>IFERROR(MID(VLOOKUP($B243,Seqs!$A:$B,2,0),E243,1),"")</f>
        <v>E</v>
      </c>
      <c r="E243" s="3">
        <v>33</v>
      </c>
      <c r="F243" s="3" t="str">
        <f>IFERROR(MID(VLOOKUP($B243,Seqs!$A:$B,2,0),G243,1),"")</f>
        <v>Q</v>
      </c>
      <c r="G243" s="3">
        <v>64</v>
      </c>
      <c r="H243" s="3" t="str">
        <f>IFERROR(MID(VLOOKUP($B243,Seqs!$A:$B,2,0),I243,1),"")</f>
        <v>K</v>
      </c>
      <c r="I243" s="23">
        <v>66</v>
      </c>
      <c r="J243" s="3" t="str">
        <f>IFERROR(MID(VLOOKUP($B243,Seqs!$A:$B,2,0),K243,1),"")</f>
        <v>R</v>
      </c>
      <c r="K243" s="23">
        <v>69</v>
      </c>
      <c r="L243" s="3" t="str">
        <f>IFERROR(MID(VLOOKUP($B243,Seqs!$A:$B,2,0),M243,1),"")</f>
        <v>N</v>
      </c>
      <c r="M243" s="3">
        <v>73</v>
      </c>
      <c r="N243" s="3" t="str">
        <f>IFERROR(MID(VLOOKUP($B243,Seqs!$A:$B,2,0),O243,1),"")</f>
        <v>G</v>
      </c>
      <c r="O243" s="3">
        <v>101</v>
      </c>
      <c r="P243" s="3" t="str">
        <f>IFERROR(MID(VLOOKUP($B243,Seqs!$A:$B,2,0),Q243,1),"")</f>
        <v>Y</v>
      </c>
      <c r="Q243" s="3">
        <v>102</v>
      </c>
      <c r="R243" s="3" t="str">
        <f>IFERROR(MID(VLOOKUP($B243,Seqs!$A:$B,2,0),S243,1),"")</f>
        <v>G</v>
      </c>
      <c r="S243" s="3">
        <v>106</v>
      </c>
      <c r="T243" s="3" t="str">
        <f>IFERROR(MID(VLOOKUP($B243,Seqs!$A:$B,2,0),U243,1),"")</f>
        <v>P</v>
      </c>
      <c r="U243" s="3">
        <v>107</v>
      </c>
      <c r="V243" s="3" t="str">
        <f>IFERROR(MID(VLOOKUP($B243,Seqs!$A:$B,2,0),W243,1),"")</f>
        <v>K</v>
      </c>
      <c r="W243" s="3">
        <v>141</v>
      </c>
      <c r="X243" s="3" t="str">
        <f>IFERROR(MID(VLOOKUP($B243,Seqs!$A:$B,2,0),Y243,1),"")</f>
        <v/>
      </c>
      <c r="Y243" s="3" t="s">
        <v>23</v>
      </c>
      <c r="Z243" s="3" t="str">
        <f>IFERROR(MID(VLOOKUP($B243,Seqs!$A:$B,2,0),AA243,1),"")</f>
        <v/>
      </c>
      <c r="AA243" s="3" t="s">
        <v>23</v>
      </c>
      <c r="AB243" s="3" t="str">
        <f>IFERROR(MID(VLOOKUP($B243,Seqs!$A:$B,2,0),AC243,1),"")</f>
        <v>G</v>
      </c>
      <c r="AC243" s="3">
        <v>149</v>
      </c>
      <c r="AD243" s="3" t="str">
        <f>IFERROR(MID(VLOOKUP($B243,Seqs!$A:$B,2,0),AE243,1),"")</f>
        <v>V</v>
      </c>
      <c r="AE243" s="3">
        <v>173</v>
      </c>
      <c r="AF243" s="3" t="str">
        <f>IFERROR(MID(VLOOKUP($B243,Seqs!$A:$B,2,0),AG243,1),"")</f>
        <v>C</v>
      </c>
      <c r="AG243" s="3">
        <v>187</v>
      </c>
      <c r="AH243" s="3" t="str">
        <f>IFERROR(MID(VLOOKUP($B243,Seqs!$A:$B,2,0),AI243,1),"")</f>
        <v>I</v>
      </c>
      <c r="AI243" s="3">
        <v>189</v>
      </c>
      <c r="AJ243" s="3" t="str">
        <f>IFERROR(MID(VLOOKUP($B243,Seqs!$A:$B,2,0),AK243,1),"")</f>
        <v>N</v>
      </c>
      <c r="AK243" s="3">
        <v>199</v>
      </c>
      <c r="AL243" s="3" t="str">
        <f>IFERROR(MID(VLOOKUP($B243,Seqs!$A:$B,2,0),AM243,1),"")</f>
        <v>Q</v>
      </c>
      <c r="AM243" s="3">
        <v>236</v>
      </c>
      <c r="AN243" s="3" t="str">
        <f>IFERROR(MID(VLOOKUP($B243,Seqs!$A:$B,2,0),AO243,1),"")</f>
        <v>S</v>
      </c>
      <c r="AO243" s="3">
        <v>240</v>
      </c>
      <c r="AP243" s="3" t="str">
        <f>IFERROR(MID(VLOOKUP($B243,Seqs!$A:$B,2,0),AQ243,1),"")</f>
        <v>H</v>
      </c>
      <c r="AQ243" s="3">
        <v>278</v>
      </c>
      <c r="AR243" s="3" t="str">
        <f>IFERROR(MID(VLOOKUP($B243,Seqs!$A:$B,2,0),AS243,1),"")</f>
        <v>G</v>
      </c>
      <c r="AS243" s="3">
        <v>284</v>
      </c>
      <c r="AT243" s="3" t="str">
        <f>IFERROR(MID(VLOOKUP($B243,Seqs!$A:$B,2,0),AU243,1),"")</f>
        <v>M</v>
      </c>
      <c r="AU243" s="3">
        <v>309</v>
      </c>
      <c r="AV243" s="3" t="str">
        <f>IFERROR(MID(VLOOKUP($B243,Seqs!$A:$B,2,0),AW243,1),"")</f>
        <v>N</v>
      </c>
      <c r="AW243" s="3">
        <v>310</v>
      </c>
      <c r="AX243" s="3" t="str">
        <f>IFERROR(MID(VLOOKUP($B243,Seqs!$A:$B,2,0),AY243,1),"")</f>
        <v>C</v>
      </c>
      <c r="AY243" s="3">
        <v>322</v>
      </c>
      <c r="AZ243" s="77" t="str">
        <f>VLOOKUP(B243,Classification!A:D,2,0)</f>
        <v>A</v>
      </c>
      <c r="BA243" s="94" t="str">
        <f>VLOOKUP(B243,Classification!A:D,4,0)</f>
        <v>Opsins</v>
      </c>
      <c r="BB243" s="27" t="b">
        <f t="shared" si="1120"/>
        <v>1</v>
      </c>
      <c r="BC243" s="23">
        <f t="shared" si="1121"/>
        <v>250</v>
      </c>
      <c r="BD243" s="2" t="s">
        <v>23</v>
      </c>
      <c r="BE243" s="3" t="s">
        <v>1297</v>
      </c>
      <c r="BF243" s="119">
        <v>2.46</v>
      </c>
      <c r="BG243" s="49" t="s">
        <v>1</v>
      </c>
      <c r="BH243" s="49" t="s">
        <v>1</v>
      </c>
      <c r="BI243" s="1"/>
      <c r="BJ243" s="70" t="s">
        <v>1293</v>
      </c>
      <c r="BK243" s="57" t="s">
        <v>1293</v>
      </c>
      <c r="BL243" s="57" t="s">
        <v>1293</v>
      </c>
      <c r="BM243" s="57" t="s">
        <v>1293</v>
      </c>
      <c r="BN243" s="57" t="s">
        <v>1293</v>
      </c>
      <c r="BO243" s="57" t="s">
        <v>1293</v>
      </c>
      <c r="BP243" s="57" t="s">
        <v>1293</v>
      </c>
      <c r="BQ243" s="57" t="s">
        <v>1293</v>
      </c>
      <c r="BR243" s="57" t="s">
        <v>1293</v>
      </c>
      <c r="BS243" s="57" t="s">
        <v>1293</v>
      </c>
      <c r="BT243" s="57" t="s">
        <v>1293</v>
      </c>
      <c r="BU243" s="57" t="s">
        <v>1293</v>
      </c>
      <c r="BV243" s="70">
        <f t="shared" si="1122"/>
        <v>33</v>
      </c>
      <c r="BW243" s="71">
        <f t="shared" si="1123"/>
        <v>66</v>
      </c>
      <c r="BX243" s="72">
        <f t="shared" si="1124"/>
        <v>73</v>
      </c>
      <c r="BY243" s="71">
        <f t="shared" si="1125"/>
        <v>102</v>
      </c>
      <c r="BZ243" s="72">
        <f t="shared" si="1126"/>
        <v>107</v>
      </c>
      <c r="CA243" s="71" t="str">
        <f t="shared" si="1127"/>
        <v>-</v>
      </c>
      <c r="CB243" s="72">
        <f t="shared" si="1128"/>
        <v>149</v>
      </c>
      <c r="CC243" s="71">
        <f t="shared" si="1129"/>
        <v>187</v>
      </c>
      <c r="CD243" s="72">
        <f t="shared" si="1130"/>
        <v>199</v>
      </c>
      <c r="CE243" s="71">
        <f t="shared" si="1131"/>
        <v>240</v>
      </c>
      <c r="CF243" s="72">
        <f t="shared" si="1132"/>
        <v>284</v>
      </c>
      <c r="CG243" s="71">
        <f t="shared" si="1133"/>
        <v>310</v>
      </c>
      <c r="CH243" s="70">
        <f t="shared" si="1134"/>
        <v>64</v>
      </c>
      <c r="CI243" s="71">
        <f t="shared" si="1135"/>
        <v>69</v>
      </c>
      <c r="CJ243" s="72">
        <f t="shared" si="1136"/>
        <v>101</v>
      </c>
      <c r="CK243" s="72">
        <f t="shared" si="1137"/>
        <v>106</v>
      </c>
      <c r="CL243" s="72">
        <f t="shared" si="1138"/>
        <v>141</v>
      </c>
      <c r="CM243" s="72" t="str">
        <f t="shared" si="1139"/>
        <v>-</v>
      </c>
      <c r="CN243" s="72">
        <f t="shared" si="1140"/>
        <v>173</v>
      </c>
      <c r="CO243" s="72">
        <f t="shared" si="1141"/>
        <v>189</v>
      </c>
      <c r="CP243" s="72">
        <f t="shared" si="1142"/>
        <v>236</v>
      </c>
      <c r="CQ243" s="72">
        <f t="shared" si="1143"/>
        <v>278</v>
      </c>
      <c r="CR243" s="72">
        <f t="shared" si="1144"/>
        <v>309</v>
      </c>
      <c r="CS243" s="72">
        <f t="shared" si="1145"/>
        <v>322</v>
      </c>
      <c r="CT243" s="23">
        <f t="shared" si="1146"/>
        <v>4</v>
      </c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</row>
    <row r="244" spans="1:1030" x14ac:dyDescent="0.2">
      <c r="A244" s="3" t="str">
        <f t="shared" si="1119"/>
        <v>opsd_bovin_6FKD</v>
      </c>
      <c r="B244" s="3" t="s">
        <v>920</v>
      </c>
      <c r="C244" s="3" t="s">
        <v>1501</v>
      </c>
      <c r="D244" s="3" t="str">
        <f>IFERROR(MID(VLOOKUP($B244,Seqs!$A:$B,2,0),E244,1),"")</f>
        <v>E</v>
      </c>
      <c r="E244" s="3">
        <v>33</v>
      </c>
      <c r="F244" s="3" t="str">
        <f>IFERROR(MID(VLOOKUP($B244,Seqs!$A:$B,2,0),G244,1),"")</f>
        <v>Q</v>
      </c>
      <c r="G244" s="3">
        <v>64</v>
      </c>
      <c r="H244" s="3" t="str">
        <f>IFERROR(MID(VLOOKUP($B244,Seqs!$A:$B,2,0),I244,1),"")</f>
        <v>K</v>
      </c>
      <c r="I244" s="23">
        <v>66</v>
      </c>
      <c r="J244" s="3" t="str">
        <f>IFERROR(MID(VLOOKUP($B244,Seqs!$A:$B,2,0),K244,1),"")</f>
        <v>R</v>
      </c>
      <c r="K244" s="23">
        <v>69</v>
      </c>
      <c r="L244" s="3" t="str">
        <f>IFERROR(MID(VLOOKUP($B244,Seqs!$A:$B,2,0),M244,1),"")</f>
        <v>N</v>
      </c>
      <c r="M244" s="3">
        <v>73</v>
      </c>
      <c r="N244" s="3" t="str">
        <f>IFERROR(MID(VLOOKUP($B244,Seqs!$A:$B,2,0),O244,1),"")</f>
        <v>G</v>
      </c>
      <c r="O244" s="3">
        <v>101</v>
      </c>
      <c r="P244" s="3" t="str">
        <f>IFERROR(MID(VLOOKUP($B244,Seqs!$A:$B,2,0),Q244,1),"")</f>
        <v>Y</v>
      </c>
      <c r="Q244" s="3">
        <v>102</v>
      </c>
      <c r="R244" s="3" t="str">
        <f>IFERROR(MID(VLOOKUP($B244,Seqs!$A:$B,2,0),S244,1),"")</f>
        <v>G</v>
      </c>
      <c r="S244" s="3">
        <v>106</v>
      </c>
      <c r="T244" s="3" t="str">
        <f>IFERROR(MID(VLOOKUP($B244,Seqs!$A:$B,2,0),U244,1),"")</f>
        <v>P</v>
      </c>
      <c r="U244" s="3">
        <v>107</v>
      </c>
      <c r="V244" s="3" t="str">
        <f>IFERROR(MID(VLOOKUP($B244,Seqs!$A:$B,2,0),W244,1),"")</f>
        <v>K</v>
      </c>
      <c r="W244" s="3">
        <v>141</v>
      </c>
      <c r="X244" s="3" t="str">
        <f>IFERROR(MID(VLOOKUP($B244,Seqs!$A:$B,2,0),Y244,1),"")</f>
        <v/>
      </c>
      <c r="Y244" s="3" t="s">
        <v>23</v>
      </c>
      <c r="Z244" s="3" t="str">
        <f>IFERROR(MID(VLOOKUP($B244,Seqs!$A:$B,2,0),AA244,1),"")</f>
        <v/>
      </c>
      <c r="AA244" s="3" t="s">
        <v>23</v>
      </c>
      <c r="AB244" s="3" t="str">
        <f>IFERROR(MID(VLOOKUP($B244,Seqs!$A:$B,2,0),AC244,1),"")</f>
        <v>G</v>
      </c>
      <c r="AC244" s="3">
        <v>149</v>
      </c>
      <c r="AD244" s="3" t="str">
        <f>IFERROR(MID(VLOOKUP($B244,Seqs!$A:$B,2,0),AE244,1),"")</f>
        <v>V</v>
      </c>
      <c r="AE244" s="3">
        <v>173</v>
      </c>
      <c r="AF244" s="3" t="str">
        <f>IFERROR(MID(VLOOKUP($B244,Seqs!$A:$B,2,0),AG244,1),"")</f>
        <v>C</v>
      </c>
      <c r="AG244" s="3">
        <v>187</v>
      </c>
      <c r="AH244" s="3" t="str">
        <f>IFERROR(MID(VLOOKUP($B244,Seqs!$A:$B,2,0),AI244,1),"")</f>
        <v>I</v>
      </c>
      <c r="AI244" s="3">
        <v>189</v>
      </c>
      <c r="AJ244" s="3" t="str">
        <f>IFERROR(MID(VLOOKUP($B244,Seqs!$A:$B,2,0),AK244,1),"")</f>
        <v>N</v>
      </c>
      <c r="AK244" s="3">
        <v>199</v>
      </c>
      <c r="AL244" s="3" t="str">
        <f>IFERROR(MID(VLOOKUP($B244,Seqs!$A:$B,2,0),AM244,1),"")</f>
        <v>Q</v>
      </c>
      <c r="AM244" s="3">
        <v>236</v>
      </c>
      <c r="AN244" s="3" t="str">
        <f>IFERROR(MID(VLOOKUP($B244,Seqs!$A:$B,2,0),AO244,1),"")</f>
        <v>S</v>
      </c>
      <c r="AO244" s="3">
        <v>240</v>
      </c>
      <c r="AP244" s="3" t="str">
        <f>IFERROR(MID(VLOOKUP($B244,Seqs!$A:$B,2,0),AQ244,1),"")</f>
        <v>H</v>
      </c>
      <c r="AQ244" s="3">
        <v>278</v>
      </c>
      <c r="AR244" s="3" t="str">
        <f>IFERROR(MID(VLOOKUP($B244,Seqs!$A:$B,2,0),AS244,1),"")</f>
        <v>G</v>
      </c>
      <c r="AS244" s="3">
        <v>284</v>
      </c>
      <c r="AT244" s="3" t="str">
        <f>IFERROR(MID(VLOOKUP($B244,Seqs!$A:$B,2,0),AU244,1),"")</f>
        <v>M</v>
      </c>
      <c r="AU244" s="3">
        <v>309</v>
      </c>
      <c r="AV244" s="3" t="str">
        <f>IFERROR(MID(VLOOKUP($B244,Seqs!$A:$B,2,0),AW244,1),"")</f>
        <v>N</v>
      </c>
      <c r="AW244" s="3">
        <v>310</v>
      </c>
      <c r="AX244" s="3" t="str">
        <f>IFERROR(MID(VLOOKUP($B244,Seqs!$A:$B,2,0),AY244,1),"")</f>
        <v>C</v>
      </c>
      <c r="AY244" s="3">
        <v>322</v>
      </c>
      <c r="AZ244" s="77" t="str">
        <f>VLOOKUP(B244,Classification!A:D,2,0)</f>
        <v>A</v>
      </c>
      <c r="BA244" s="94" t="str">
        <f>VLOOKUP(B244,Classification!A:D,4,0)</f>
        <v>Opsins</v>
      </c>
      <c r="BB244" s="27" t="b">
        <f t="shared" si="1120"/>
        <v>1</v>
      </c>
      <c r="BC244" s="23">
        <f t="shared" si="1121"/>
        <v>250</v>
      </c>
      <c r="BD244" s="2" t="s">
        <v>23</v>
      </c>
      <c r="BE244" s="3" t="s">
        <v>1297</v>
      </c>
      <c r="BF244" s="119">
        <v>2.4900000000000002</v>
      </c>
      <c r="BG244" s="49" t="s">
        <v>1</v>
      </c>
      <c r="BH244" s="49" t="s">
        <v>1</v>
      </c>
      <c r="BI244" s="1"/>
      <c r="BJ244" s="70" t="s">
        <v>1293</v>
      </c>
      <c r="BK244" s="57" t="s">
        <v>1293</v>
      </c>
      <c r="BL244" s="57" t="s">
        <v>1293</v>
      </c>
      <c r="BM244" s="57" t="s">
        <v>1293</v>
      </c>
      <c r="BN244" s="57" t="s">
        <v>1293</v>
      </c>
      <c r="BO244" s="57" t="s">
        <v>1293</v>
      </c>
      <c r="BP244" s="57" t="s">
        <v>1293</v>
      </c>
      <c r="BQ244" s="57" t="s">
        <v>1293</v>
      </c>
      <c r="BR244" s="57" t="s">
        <v>1293</v>
      </c>
      <c r="BS244" s="57" t="s">
        <v>1293</v>
      </c>
      <c r="BT244" s="57" t="s">
        <v>1293</v>
      </c>
      <c r="BU244" s="57" t="s">
        <v>1293</v>
      </c>
      <c r="BV244" s="70">
        <f t="shared" si="1122"/>
        <v>33</v>
      </c>
      <c r="BW244" s="71">
        <f t="shared" si="1123"/>
        <v>66</v>
      </c>
      <c r="BX244" s="72">
        <f t="shared" si="1124"/>
        <v>73</v>
      </c>
      <c r="BY244" s="71">
        <f t="shared" si="1125"/>
        <v>102</v>
      </c>
      <c r="BZ244" s="72">
        <f t="shared" si="1126"/>
        <v>107</v>
      </c>
      <c r="CA244" s="71" t="str">
        <f t="shared" si="1127"/>
        <v>-</v>
      </c>
      <c r="CB244" s="72">
        <f t="shared" si="1128"/>
        <v>149</v>
      </c>
      <c r="CC244" s="71">
        <f t="shared" si="1129"/>
        <v>187</v>
      </c>
      <c r="CD244" s="72">
        <f t="shared" si="1130"/>
        <v>199</v>
      </c>
      <c r="CE244" s="71">
        <f t="shared" si="1131"/>
        <v>240</v>
      </c>
      <c r="CF244" s="72">
        <f t="shared" si="1132"/>
        <v>284</v>
      </c>
      <c r="CG244" s="71">
        <f t="shared" si="1133"/>
        <v>310</v>
      </c>
      <c r="CH244" s="70">
        <f t="shared" si="1134"/>
        <v>64</v>
      </c>
      <c r="CI244" s="71">
        <f t="shared" si="1135"/>
        <v>69</v>
      </c>
      <c r="CJ244" s="72">
        <f t="shared" si="1136"/>
        <v>101</v>
      </c>
      <c r="CK244" s="72">
        <f t="shared" si="1137"/>
        <v>106</v>
      </c>
      <c r="CL244" s="72">
        <f t="shared" si="1138"/>
        <v>141</v>
      </c>
      <c r="CM244" s="72" t="str">
        <f t="shared" si="1139"/>
        <v>-</v>
      </c>
      <c r="CN244" s="72">
        <f t="shared" si="1140"/>
        <v>173</v>
      </c>
      <c r="CO244" s="72">
        <f t="shared" si="1141"/>
        <v>189</v>
      </c>
      <c r="CP244" s="72">
        <f t="shared" si="1142"/>
        <v>236</v>
      </c>
      <c r="CQ244" s="72">
        <f t="shared" si="1143"/>
        <v>278</v>
      </c>
      <c r="CR244" s="72">
        <f t="shared" si="1144"/>
        <v>309</v>
      </c>
      <c r="CS244" s="72">
        <f t="shared" si="1145"/>
        <v>322</v>
      </c>
      <c r="CT244" s="23">
        <f t="shared" si="1146"/>
        <v>4</v>
      </c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</row>
    <row r="245" spans="1:1030" x14ac:dyDescent="0.2">
      <c r="A245" s="3" t="str">
        <f t="shared" ref="A245" si="1147">CONCATENATE(B245,"_",C245)</f>
        <v>opsd_bovin_6FUF</v>
      </c>
      <c r="B245" s="3" t="s">
        <v>920</v>
      </c>
      <c r="C245" s="3" t="s">
        <v>1537</v>
      </c>
      <c r="D245" s="3" t="str">
        <f>IFERROR(MID(VLOOKUP($B245,Seqs!$A:$B,2,0),E245,1),"")</f>
        <v>E</v>
      </c>
      <c r="E245" s="3">
        <v>33</v>
      </c>
      <c r="F245" s="3" t="str">
        <f>IFERROR(MID(VLOOKUP($B245,Seqs!$A:$B,2,0),G245,1),"")</f>
        <v>H</v>
      </c>
      <c r="G245" s="3">
        <v>65</v>
      </c>
      <c r="H245" s="3" t="str">
        <f>IFERROR(MID(VLOOKUP($B245,Seqs!$A:$B,2,0),I245,1),"")</f>
        <v>K</v>
      </c>
      <c r="I245" s="23">
        <v>66</v>
      </c>
      <c r="J245" s="3" t="str">
        <f>IFERROR(MID(VLOOKUP($B245,Seqs!$A:$B,2,0),K245,1),"")</f>
        <v>R</v>
      </c>
      <c r="K245" s="23">
        <v>69</v>
      </c>
      <c r="L245" s="3" t="str">
        <f>IFERROR(MID(VLOOKUP($B245,Seqs!$A:$B,2,0),M245,1),"")</f>
        <v>N</v>
      </c>
      <c r="M245" s="3">
        <v>73</v>
      </c>
      <c r="N245" s="3" t="str">
        <f>IFERROR(MID(VLOOKUP($B245,Seqs!$A:$B,2,0),O245,1),"")</f>
        <v>G</v>
      </c>
      <c r="O245" s="3">
        <v>101</v>
      </c>
      <c r="P245" s="3" t="str">
        <f>IFERROR(MID(VLOOKUP($B245,Seqs!$A:$B,2,0),Q245,1),"")</f>
        <v>Y</v>
      </c>
      <c r="Q245" s="3">
        <v>102</v>
      </c>
      <c r="R245" s="3" t="str">
        <f>IFERROR(MID(VLOOKUP($B245,Seqs!$A:$B,2,0),S245,1),"")</f>
        <v>G</v>
      </c>
      <c r="S245" s="3">
        <v>106</v>
      </c>
      <c r="T245" s="3" t="str">
        <f>IFERROR(MID(VLOOKUP($B245,Seqs!$A:$B,2,0),U245,1),"")</f>
        <v>P</v>
      </c>
      <c r="U245" s="3">
        <v>107</v>
      </c>
      <c r="V245" s="3" t="str">
        <f>IFERROR(MID(VLOOKUP($B245,Seqs!$A:$B,2,0),W245,1),"")</f>
        <v>K</v>
      </c>
      <c r="W245" s="3">
        <v>141</v>
      </c>
      <c r="X245" s="3" t="str">
        <f>IFERROR(MID(VLOOKUP($B245,Seqs!$A:$B,2,0),Y245,1),"")</f>
        <v/>
      </c>
      <c r="Y245" s="3" t="s">
        <v>23</v>
      </c>
      <c r="Z245" s="3" t="str">
        <f>IFERROR(MID(VLOOKUP($B245,Seqs!$A:$B,2,0),AA245,1),"")</f>
        <v/>
      </c>
      <c r="AA245" s="3" t="s">
        <v>23</v>
      </c>
      <c r="AB245" s="3" t="str">
        <f>IFERROR(MID(VLOOKUP($B245,Seqs!$A:$B,2,0),AC245,1),"")</f>
        <v>G</v>
      </c>
      <c r="AC245" s="3">
        <v>149</v>
      </c>
      <c r="AD245" s="3" t="str">
        <f>IFERROR(MID(VLOOKUP($B245,Seqs!$A:$B,2,0),AE245,1),"")</f>
        <v>V</v>
      </c>
      <c r="AE245" s="3">
        <v>173</v>
      </c>
      <c r="AF245" s="3" t="str">
        <f>IFERROR(MID(VLOOKUP($B245,Seqs!$A:$B,2,0),AG245,1),"")</f>
        <v>C</v>
      </c>
      <c r="AG245" s="3">
        <v>187</v>
      </c>
      <c r="AH245" s="3" t="str">
        <f>IFERROR(MID(VLOOKUP($B245,Seqs!$A:$B,2,0),AI245,1),"")</f>
        <v>I</v>
      </c>
      <c r="AI245" s="3">
        <v>189</v>
      </c>
      <c r="AJ245" s="3" t="str">
        <f>IFERROR(MID(VLOOKUP($B245,Seqs!$A:$B,2,0),AK245,1),"")</f>
        <v>N</v>
      </c>
      <c r="AK245" s="3">
        <v>199</v>
      </c>
      <c r="AL245" s="3" t="str">
        <f>IFERROR(MID(VLOOKUP($B245,Seqs!$A:$B,2,0),AM245,1),"")</f>
        <v>Q</v>
      </c>
      <c r="AM245" s="3">
        <v>237</v>
      </c>
      <c r="AN245" s="3" t="str">
        <f>IFERROR(MID(VLOOKUP($B245,Seqs!$A:$B,2,0),AO245,1),"")</f>
        <v>S</v>
      </c>
      <c r="AO245" s="3">
        <v>240</v>
      </c>
      <c r="AP245" s="3" t="str">
        <f>IFERROR(MID(VLOOKUP($B245,Seqs!$A:$B,2,0),AQ245,1),"")</f>
        <v>H</v>
      </c>
      <c r="AQ245" s="3">
        <v>278</v>
      </c>
      <c r="AR245" s="3" t="str">
        <f>IFERROR(MID(VLOOKUP($B245,Seqs!$A:$B,2,0),AS245,1),"")</f>
        <v>T</v>
      </c>
      <c r="AS245" s="3">
        <v>289</v>
      </c>
      <c r="AT245" s="3" t="str">
        <f>IFERROR(MID(VLOOKUP($B245,Seqs!$A:$B,2,0),AU245,1),"")</f>
        <v>M</v>
      </c>
      <c r="AU245" s="3">
        <v>309</v>
      </c>
      <c r="AV245" s="3" t="str">
        <f>IFERROR(MID(VLOOKUP($B245,Seqs!$A:$B,2,0),AW245,1),"")</f>
        <v>N</v>
      </c>
      <c r="AW245" s="3">
        <v>310</v>
      </c>
      <c r="AX245" s="3" t="str">
        <f>IFERROR(MID(VLOOKUP($B245,Seqs!$A:$B,2,0),AY245,1),"")</f>
        <v>R</v>
      </c>
      <c r="AY245" s="3">
        <v>314</v>
      </c>
      <c r="AZ245" s="77" t="str">
        <f>VLOOKUP(B245,Classification!A:D,2,0)</f>
        <v>A</v>
      </c>
      <c r="BA245" s="94" t="str">
        <f>VLOOKUP(B245,Classification!A:D,4,0)</f>
        <v>Opsins</v>
      </c>
      <c r="BB245" s="27" t="b">
        <f t="shared" ref="BB245" si="1148">AND(E245&lt;G245,OR(G245&lt;I245,I245="-"),OR(I245&lt;K245,I245="-"),OR(K245&lt;M245,K245="-"),M245&lt;O245,OR(O245&lt;Q245,Q245="-"),OR(Q245&lt;S245,Q245="-"),OR(S245&lt;U245,S245="-"),U245&lt;W245,OR(W245&lt;Y245,Y245="-"),OR(Y245&lt;AA245,Y245="-"),OR(AA245&lt;AC245,AA245="-"),AC245&lt;AE245,OR(AE245&lt;AG245,AG245="-"),OR(AG245&lt;AI245,AG245="-"),OR(AI245&lt;AK245,AI245="-"),AK245&lt;AM245,AM245&lt;AO245,AO245&lt;AQ245,AQ245&lt;AS245,AS245&lt;AU245,OR(AU245&lt;AW245,AW245="-"),OR(AW245&lt;AY245,AW245="-"))</f>
        <v>1</v>
      </c>
      <c r="BC245" s="23">
        <f t="shared" ref="BC245" si="1149">_xlfn.AGGREGATE(9,6,CH245:CS245)-_xlfn.AGGREGATE(9,6,BV245:CG245)+12</f>
        <v>239</v>
      </c>
      <c r="BD245" s="2" t="s">
        <v>23</v>
      </c>
      <c r="BE245" s="3" t="s">
        <v>1297</v>
      </c>
      <c r="BF245" s="119">
        <v>3.12</v>
      </c>
      <c r="BG245" s="49" t="s">
        <v>1</v>
      </c>
      <c r="BH245" s="49" t="s">
        <v>1</v>
      </c>
      <c r="BI245" s="1"/>
      <c r="BJ245" s="70" t="s">
        <v>1293</v>
      </c>
      <c r="BK245" s="57" t="s">
        <v>1293</v>
      </c>
      <c r="BL245" s="57" t="s">
        <v>1293</v>
      </c>
      <c r="BM245" s="57" t="s">
        <v>1293</v>
      </c>
      <c r="BN245" s="57" t="s">
        <v>1293</v>
      </c>
      <c r="BO245" s="57" t="s">
        <v>1293</v>
      </c>
      <c r="BP245" s="57" t="s">
        <v>1293</v>
      </c>
      <c r="BQ245" s="57" t="s">
        <v>1293</v>
      </c>
      <c r="BR245" s="57" t="s">
        <v>1293</v>
      </c>
      <c r="BS245" s="57" t="s">
        <v>1293</v>
      </c>
      <c r="BT245" s="57" t="s">
        <v>1293</v>
      </c>
      <c r="BU245" s="57" t="s">
        <v>1293</v>
      </c>
      <c r="BV245" s="70">
        <f t="shared" ref="BV245" si="1150">E245</f>
        <v>33</v>
      </c>
      <c r="BW245" s="71">
        <f t="shared" ref="BW245" si="1151">I245</f>
        <v>66</v>
      </c>
      <c r="BX245" s="72">
        <f t="shared" ref="BX245" si="1152">M245</f>
        <v>73</v>
      </c>
      <c r="BY245" s="71">
        <f t="shared" ref="BY245" si="1153">Q245</f>
        <v>102</v>
      </c>
      <c r="BZ245" s="72">
        <f t="shared" ref="BZ245" si="1154">U245</f>
        <v>107</v>
      </c>
      <c r="CA245" s="71" t="str">
        <f t="shared" ref="CA245" si="1155">Y245</f>
        <v>-</v>
      </c>
      <c r="CB245" s="72">
        <f t="shared" ref="CB245" si="1156">AC245</f>
        <v>149</v>
      </c>
      <c r="CC245" s="71">
        <f t="shared" ref="CC245" si="1157">AG245</f>
        <v>187</v>
      </c>
      <c r="CD245" s="72">
        <f t="shared" ref="CD245" si="1158">AK245</f>
        <v>199</v>
      </c>
      <c r="CE245" s="71">
        <f t="shared" ref="CE245" si="1159">AO245</f>
        <v>240</v>
      </c>
      <c r="CF245" s="72">
        <f t="shared" ref="CF245" si="1160">AS245</f>
        <v>289</v>
      </c>
      <c r="CG245" s="71">
        <f t="shared" ref="CG245" si="1161">AW245</f>
        <v>310</v>
      </c>
      <c r="CH245" s="70">
        <f t="shared" ref="CH245" si="1162">G245</f>
        <v>65</v>
      </c>
      <c r="CI245" s="71">
        <f t="shared" ref="CI245" si="1163">K245</f>
        <v>69</v>
      </c>
      <c r="CJ245" s="72">
        <f t="shared" ref="CJ245" si="1164">O245</f>
        <v>101</v>
      </c>
      <c r="CK245" s="72">
        <f t="shared" ref="CK245" si="1165">S245</f>
        <v>106</v>
      </c>
      <c r="CL245" s="72">
        <f t="shared" ref="CL245" si="1166">W245</f>
        <v>141</v>
      </c>
      <c r="CM245" s="72" t="str">
        <f t="shared" ref="CM245" si="1167">AA245</f>
        <v>-</v>
      </c>
      <c r="CN245" s="72">
        <f t="shared" ref="CN245" si="1168">AE245</f>
        <v>173</v>
      </c>
      <c r="CO245" s="72">
        <f t="shared" ref="CO245" si="1169">AI245</f>
        <v>189</v>
      </c>
      <c r="CP245" s="72">
        <f t="shared" ref="CP245" si="1170">AM245</f>
        <v>237</v>
      </c>
      <c r="CQ245" s="72">
        <f t="shared" ref="CQ245" si="1171">AQ245</f>
        <v>278</v>
      </c>
      <c r="CR245" s="72">
        <f t="shared" ref="CR245" si="1172">AU245</f>
        <v>309</v>
      </c>
      <c r="CS245" s="72">
        <f t="shared" ref="CS245" si="1173">AY245</f>
        <v>314</v>
      </c>
      <c r="CT245" s="23">
        <f t="shared" ref="CT245" si="1174">M245-K245</f>
        <v>4</v>
      </c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</row>
    <row r="246" spans="1:1030" x14ac:dyDescent="0.2">
      <c r="A246" s="3" t="str">
        <f t="shared" si="1117"/>
        <v>opsd_human__wt</v>
      </c>
      <c r="B246" s="3" t="s">
        <v>339</v>
      </c>
      <c r="C246" s="3" t="s">
        <v>100</v>
      </c>
      <c r="D246" s="3" t="str">
        <f>IFERROR(MID(VLOOKUP($B246,Seqs!$A:$B,2,0),E246,1),"")</f>
        <v>P</v>
      </c>
      <c r="E246" s="3">
        <v>34</v>
      </c>
      <c r="F246" s="3" t="str">
        <f>IFERROR(MID(VLOOKUP($B246,Seqs!$A:$B,2,0),G246,1),"")</f>
        <v>H</v>
      </c>
      <c r="G246" s="3">
        <v>65</v>
      </c>
      <c r="H246" s="3" t="str">
        <f>IFERROR(MID(VLOOKUP($B246,Seqs!$A:$B,2,0),I246,1),"")</f>
        <v>K</v>
      </c>
      <c r="I246" s="23">
        <v>66</v>
      </c>
      <c r="J246" s="3" t="str">
        <f>IFERROR(MID(VLOOKUP($B246,Seqs!$A:$B,2,0),K246,1),"")</f>
        <v>R</v>
      </c>
      <c r="K246" s="23">
        <v>69</v>
      </c>
      <c r="L246" s="3" t="str">
        <f>IFERROR(MID(VLOOKUP($B246,Seqs!$A:$B,2,0),M246,1),"")</f>
        <v>T</v>
      </c>
      <c r="M246" s="3">
        <v>70</v>
      </c>
      <c r="N246" s="3" t="str">
        <f>IFERROR(MID(VLOOKUP($B246,Seqs!$A:$B,2,0),O246,1),"")</f>
        <v>H</v>
      </c>
      <c r="O246" s="3">
        <v>100</v>
      </c>
      <c r="P246" s="3" t="str">
        <f>IFERROR(MID(VLOOKUP($B246,Seqs!$A:$B,2,0),Q246,1),"")</f>
        <v>Y</v>
      </c>
      <c r="Q246" s="3">
        <v>102</v>
      </c>
      <c r="R246" s="3" t="str">
        <f>IFERROR(MID(VLOOKUP($B246,Seqs!$A:$B,2,0),S246,1),"")</f>
        <v>F</v>
      </c>
      <c r="S246" s="3">
        <v>105</v>
      </c>
      <c r="T246" s="3" t="str">
        <f>IFERROR(MID(VLOOKUP($B246,Seqs!$A:$B,2,0),U246,1),"")</f>
        <v>G</v>
      </c>
      <c r="U246" s="3">
        <v>106</v>
      </c>
      <c r="V246" s="3" t="str">
        <f>IFERROR(MID(VLOOKUP($B246,Seqs!$A:$B,2,0),W246,1),"")</f>
        <v>K</v>
      </c>
      <c r="W246" s="3">
        <v>141</v>
      </c>
      <c r="X246" s="3" t="str">
        <f>IFERROR(MID(VLOOKUP($B246,Seqs!$A:$B,2,0),Y246,1),"")</f>
        <v>P</v>
      </c>
      <c r="Y246" s="3">
        <v>142</v>
      </c>
      <c r="Z246" s="3" t="str">
        <f>IFERROR(MID(VLOOKUP($B246,Seqs!$A:$B,2,0),AA246,1),"")</f>
        <v>F</v>
      </c>
      <c r="AA246" s="3">
        <v>148</v>
      </c>
      <c r="AB246" s="3" t="str">
        <f>IFERROR(MID(VLOOKUP($B246,Seqs!$A:$B,2,0),AC246,1),"")</f>
        <v>G</v>
      </c>
      <c r="AC246" s="9">
        <v>149</v>
      </c>
      <c r="AD246" s="3" t="str">
        <f>IFERROR(MID(VLOOKUP($B246,Seqs!$A:$B,2,0),AE246,1),"")</f>
        <v>A</v>
      </c>
      <c r="AE246" s="3">
        <v>173</v>
      </c>
      <c r="AF246" s="3" t="str">
        <f>IFERROR(MID(VLOOKUP($B246,Seqs!$A:$B,2,0),AG246,1),"")</f>
        <v>C</v>
      </c>
      <c r="AG246" s="3">
        <v>187</v>
      </c>
      <c r="AH246" s="3" t="str">
        <f>IFERROR(MID(VLOOKUP($B246,Seqs!$A:$B,2,0),AI246,1),"")</f>
        <v>I</v>
      </c>
      <c r="AI246" s="3">
        <v>189</v>
      </c>
      <c r="AJ246" s="3" t="str">
        <f>IFERROR(MID(VLOOKUP($B246,Seqs!$A:$B,2,0),AK246,1),"")</f>
        <v>N</v>
      </c>
      <c r="AK246" s="3">
        <v>199</v>
      </c>
      <c r="AL246" s="3" t="str">
        <f>IFERROR(MID(VLOOKUP($B246,Seqs!$A:$B,2,0),AM246,1),"")</f>
        <v>Q</v>
      </c>
      <c r="AM246" s="3">
        <v>237</v>
      </c>
      <c r="AN246" s="3" t="str">
        <f>IFERROR(MID(VLOOKUP($B246,Seqs!$A:$B,2,0),AO246,1),"")</f>
        <v>A</v>
      </c>
      <c r="AO246" s="3">
        <v>241</v>
      </c>
      <c r="AP246" s="3" t="str">
        <f>IFERROR(MID(VLOOKUP($B246,Seqs!$A:$B,2,0),AQ246,1),"")</f>
        <v>H</v>
      </c>
      <c r="AQ246" s="3">
        <v>278</v>
      </c>
      <c r="AR246" s="3" t="str">
        <f>IFERROR(MID(VLOOKUP($B246,Seqs!$A:$B,2,0),AS246,1),"")</f>
        <v>G</v>
      </c>
      <c r="AS246" s="3">
        <v>284</v>
      </c>
      <c r="AT246" s="3" t="str">
        <f>IFERROR(MID(VLOOKUP($B246,Seqs!$A:$B,2,0),AU246,1),"")</f>
        <v>M</v>
      </c>
      <c r="AU246" s="3">
        <v>309</v>
      </c>
      <c r="AV246" s="3" t="str">
        <f>IFERROR(MID(VLOOKUP($B246,Seqs!$A:$B,2,0),AW246,1),"")</f>
        <v>N</v>
      </c>
      <c r="AW246" s="3">
        <v>310</v>
      </c>
      <c r="AX246" s="3" t="str">
        <f>IFERROR(MID(VLOOKUP($B246,Seqs!$A:$B,2,0),AY246,1),"")</f>
        <v>C</v>
      </c>
      <c r="AY246" s="3">
        <v>322</v>
      </c>
      <c r="AZ246" s="77" t="str">
        <f>VLOOKUP(B246,Classification!A:D,2,0)</f>
        <v>A</v>
      </c>
      <c r="BA246" s="94" t="str">
        <f>VLOOKUP(B246,Classification!A:D,4,0)</f>
        <v>Opsins</v>
      </c>
      <c r="BB246" s="27" t="b">
        <f t="shared" si="1118"/>
        <v>1</v>
      </c>
      <c r="BC246" s="23">
        <f t="shared" si="1091"/>
        <v>258</v>
      </c>
      <c r="BD246" s="56" t="s">
        <v>23</v>
      </c>
      <c r="BE246" s="3" t="s">
        <v>23</v>
      </c>
      <c r="BF246" s="119" t="s">
        <v>23</v>
      </c>
      <c r="BG246" s="49" t="s">
        <v>1378</v>
      </c>
      <c r="BH246" s="49" t="s">
        <v>1383</v>
      </c>
      <c r="BI246" s="1"/>
      <c r="BJ246" s="70" t="s">
        <v>1293</v>
      </c>
      <c r="BK246" s="57" t="s">
        <v>1293</v>
      </c>
      <c r="BL246" s="57" t="s">
        <v>1293</v>
      </c>
      <c r="BM246" s="57" t="s">
        <v>1293</v>
      </c>
      <c r="BN246" s="57" t="s">
        <v>1293</v>
      </c>
      <c r="BO246" s="57" t="s">
        <v>1293</v>
      </c>
      <c r="BP246" s="57" t="s">
        <v>1293</v>
      </c>
      <c r="BQ246" s="57" t="s">
        <v>1293</v>
      </c>
      <c r="BR246" s="57" t="s">
        <v>1293</v>
      </c>
      <c r="BS246" s="57" t="s">
        <v>1293</v>
      </c>
      <c r="BT246" s="57" t="s">
        <v>1293</v>
      </c>
      <c r="BU246" s="57" t="s">
        <v>1293</v>
      </c>
      <c r="BV246" s="70">
        <f t="shared" si="1092"/>
        <v>34</v>
      </c>
      <c r="BW246" s="71">
        <f t="shared" si="1093"/>
        <v>66</v>
      </c>
      <c r="BX246" s="72">
        <f t="shared" si="1094"/>
        <v>70</v>
      </c>
      <c r="BY246" s="71">
        <f t="shared" si="1095"/>
        <v>102</v>
      </c>
      <c r="BZ246" s="72">
        <f t="shared" si="1096"/>
        <v>106</v>
      </c>
      <c r="CA246" s="71">
        <f t="shared" si="1097"/>
        <v>142</v>
      </c>
      <c r="CB246" s="72">
        <f t="shared" si="1098"/>
        <v>149</v>
      </c>
      <c r="CC246" s="71">
        <f t="shared" si="1099"/>
        <v>187</v>
      </c>
      <c r="CD246" s="72">
        <f t="shared" si="1100"/>
        <v>199</v>
      </c>
      <c r="CE246" s="71">
        <f t="shared" si="1101"/>
        <v>241</v>
      </c>
      <c r="CF246" s="72">
        <f t="shared" si="1102"/>
        <v>284</v>
      </c>
      <c r="CG246" s="71">
        <f t="shared" si="1103"/>
        <v>310</v>
      </c>
      <c r="CH246" s="70">
        <f t="shared" si="1104"/>
        <v>65</v>
      </c>
      <c r="CI246" s="71">
        <f t="shared" si="1105"/>
        <v>69</v>
      </c>
      <c r="CJ246" s="72">
        <f t="shared" si="1106"/>
        <v>100</v>
      </c>
      <c r="CK246" s="72">
        <f t="shared" si="1107"/>
        <v>105</v>
      </c>
      <c r="CL246" s="72">
        <f t="shared" si="1108"/>
        <v>141</v>
      </c>
      <c r="CM246" s="72">
        <f t="shared" si="1109"/>
        <v>148</v>
      </c>
      <c r="CN246" s="72">
        <f t="shared" si="1110"/>
        <v>173</v>
      </c>
      <c r="CO246" s="72">
        <f t="shared" si="1111"/>
        <v>189</v>
      </c>
      <c r="CP246" s="72">
        <f t="shared" si="1112"/>
        <v>237</v>
      </c>
      <c r="CQ246" s="72">
        <f t="shared" si="1113"/>
        <v>278</v>
      </c>
      <c r="CR246" s="72">
        <f t="shared" si="1114"/>
        <v>309</v>
      </c>
      <c r="CS246" s="72">
        <f t="shared" si="1115"/>
        <v>322</v>
      </c>
      <c r="CT246" s="23">
        <f t="shared" si="1116"/>
        <v>1</v>
      </c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</row>
    <row r="247" spans="1:1030" x14ac:dyDescent="0.2">
      <c r="A247" s="3" t="str">
        <f t="shared" si="1117"/>
        <v>opsd_human_4ZWJ</v>
      </c>
      <c r="B247" s="3" t="s">
        <v>339</v>
      </c>
      <c r="C247" s="3" t="s">
        <v>55</v>
      </c>
      <c r="D247" s="3" t="str">
        <f>IFERROR(MID(VLOOKUP($B247,Seqs!$A:$B,2,0),E247,1),"")</f>
        <v>P</v>
      </c>
      <c r="E247" s="3">
        <v>34</v>
      </c>
      <c r="F247" s="3" t="str">
        <f>IFERROR(MID(VLOOKUP($B247,Seqs!$A:$B,2,0),G247,1),"")</f>
        <v>H</v>
      </c>
      <c r="G247" s="3">
        <v>65</v>
      </c>
      <c r="H247" s="3" t="str">
        <f>IFERROR(MID(VLOOKUP($B247,Seqs!$A:$B,2,0),I247,1),"")</f>
        <v>K</v>
      </c>
      <c r="I247" s="23">
        <v>66</v>
      </c>
      <c r="J247" s="3" t="str">
        <f>IFERROR(MID(VLOOKUP($B247,Seqs!$A:$B,2,0),K247,1),"")</f>
        <v>R</v>
      </c>
      <c r="K247" s="23">
        <v>69</v>
      </c>
      <c r="L247" s="3" t="str">
        <f>IFERROR(MID(VLOOKUP($B247,Seqs!$A:$B,2,0),M247,1),"")</f>
        <v>T</v>
      </c>
      <c r="M247" s="3">
        <v>70</v>
      </c>
      <c r="N247" s="3" t="str">
        <f>IFERROR(MID(VLOOKUP($B247,Seqs!$A:$B,2,0),O247,1),"")</f>
        <v>H</v>
      </c>
      <c r="O247" s="3">
        <v>100</v>
      </c>
      <c r="P247" s="3" t="str">
        <f>IFERROR(MID(VLOOKUP($B247,Seqs!$A:$B,2,0),Q247,1),"")</f>
        <v>Y</v>
      </c>
      <c r="Q247" s="3">
        <v>102</v>
      </c>
      <c r="R247" s="3" t="str">
        <f>IFERROR(MID(VLOOKUP($B247,Seqs!$A:$B,2,0),S247,1),"")</f>
        <v>F</v>
      </c>
      <c r="S247" s="3">
        <v>105</v>
      </c>
      <c r="T247" s="3" t="str">
        <f>IFERROR(MID(VLOOKUP($B247,Seqs!$A:$B,2,0),U247,1),"")</f>
        <v>G</v>
      </c>
      <c r="U247" s="3">
        <v>106</v>
      </c>
      <c r="V247" s="3" t="str">
        <f>IFERROR(MID(VLOOKUP($B247,Seqs!$A:$B,2,0),W247,1),"")</f>
        <v>K</v>
      </c>
      <c r="W247" s="3">
        <v>141</v>
      </c>
      <c r="X247" s="3" t="str">
        <f>IFERROR(MID(VLOOKUP($B247,Seqs!$A:$B,2,0),Y247,1),"")</f>
        <v>P</v>
      </c>
      <c r="Y247" s="3">
        <v>142</v>
      </c>
      <c r="Z247" s="3" t="str">
        <f>IFERROR(MID(VLOOKUP($B247,Seqs!$A:$B,2,0),AA247,1),"")</f>
        <v>F</v>
      </c>
      <c r="AA247" s="3">
        <v>148</v>
      </c>
      <c r="AB247" s="3" t="str">
        <f>IFERROR(MID(VLOOKUP($B247,Seqs!$A:$B,2,0),AC247,1),"")</f>
        <v>G</v>
      </c>
      <c r="AC247" s="9">
        <v>149</v>
      </c>
      <c r="AD247" s="3" t="str">
        <f>IFERROR(MID(VLOOKUP($B247,Seqs!$A:$B,2,0),AE247,1),"")</f>
        <v>A</v>
      </c>
      <c r="AE247" s="3">
        <v>173</v>
      </c>
      <c r="AF247" s="3" t="str">
        <f>IFERROR(MID(VLOOKUP($B247,Seqs!$A:$B,2,0),AG247,1),"")</f>
        <v>C</v>
      </c>
      <c r="AG247" s="3">
        <v>187</v>
      </c>
      <c r="AH247" s="3" t="str">
        <f>IFERROR(MID(VLOOKUP($B247,Seqs!$A:$B,2,0),AI247,1),"")</f>
        <v>I</v>
      </c>
      <c r="AI247" s="3">
        <v>189</v>
      </c>
      <c r="AJ247" s="3" t="str">
        <f>IFERROR(MID(VLOOKUP($B247,Seqs!$A:$B,2,0),AK247,1),"")</f>
        <v>N</v>
      </c>
      <c r="AK247" s="3">
        <v>199</v>
      </c>
      <c r="AL247" s="3" t="str">
        <f>IFERROR(MID(VLOOKUP($B247,Seqs!$A:$B,2,0),AM247,1),"")</f>
        <v>Q</v>
      </c>
      <c r="AM247" s="3">
        <v>237</v>
      </c>
      <c r="AN247" s="3" t="str">
        <f>IFERROR(MID(VLOOKUP($B247,Seqs!$A:$B,2,0),AO247,1),"")</f>
        <v>A</v>
      </c>
      <c r="AO247" s="3">
        <v>241</v>
      </c>
      <c r="AP247" s="3" t="str">
        <f>IFERROR(MID(VLOOKUP($B247,Seqs!$A:$B,2,0),AQ247,1),"")</f>
        <v>H</v>
      </c>
      <c r="AQ247" s="3">
        <v>278</v>
      </c>
      <c r="AR247" s="3" t="str">
        <f>IFERROR(MID(VLOOKUP($B247,Seqs!$A:$B,2,0),AS247,1),"")</f>
        <v>G</v>
      </c>
      <c r="AS247" s="3">
        <v>284</v>
      </c>
      <c r="AT247" s="3" t="str">
        <f>IFERROR(MID(VLOOKUP($B247,Seqs!$A:$B,2,0),AU247,1),"")</f>
        <v>M</v>
      </c>
      <c r="AU247" s="3">
        <v>309</v>
      </c>
      <c r="AV247" s="3" t="str">
        <f>IFERROR(MID(VLOOKUP($B247,Seqs!$A:$B,2,0),AW247,1),"")</f>
        <v>N</v>
      </c>
      <c r="AW247" s="3">
        <v>310</v>
      </c>
      <c r="AX247" s="3" t="str">
        <f>IFERROR(MID(VLOOKUP($B247,Seqs!$A:$B,2,0),AY247,1),"")</f>
        <v>C</v>
      </c>
      <c r="AY247" s="3">
        <v>322</v>
      </c>
      <c r="AZ247" s="77" t="str">
        <f>VLOOKUP(B247,Classification!A:D,2,0)</f>
        <v>A</v>
      </c>
      <c r="BA247" s="94" t="str">
        <f>VLOOKUP(B247,Classification!A:D,4,0)</f>
        <v>Opsins</v>
      </c>
      <c r="BB247" s="27" t="b">
        <f t="shared" si="1118"/>
        <v>1</v>
      </c>
      <c r="BC247" s="23">
        <f t="shared" si="1091"/>
        <v>258</v>
      </c>
      <c r="BD247" s="2" t="s">
        <v>1381</v>
      </c>
      <c r="BE247" s="3" t="s">
        <v>1297</v>
      </c>
      <c r="BF247" s="119">
        <v>3.3</v>
      </c>
      <c r="BG247" s="49" t="s">
        <v>1383</v>
      </c>
      <c r="BH247" s="49" t="s">
        <v>1383</v>
      </c>
      <c r="BI247" s="1"/>
      <c r="BJ247" s="70" t="s">
        <v>1293</v>
      </c>
      <c r="BK247" s="57" t="s">
        <v>1293</v>
      </c>
      <c r="BL247" s="57" t="s">
        <v>1293</v>
      </c>
      <c r="BM247" s="57" t="s">
        <v>1293</v>
      </c>
      <c r="BN247" s="57" t="s">
        <v>1293</v>
      </c>
      <c r="BO247" s="57" t="s">
        <v>1293</v>
      </c>
      <c r="BP247" s="57" t="s">
        <v>1293</v>
      </c>
      <c r="BQ247" s="57" t="s">
        <v>1293</v>
      </c>
      <c r="BR247" s="57" t="s">
        <v>1293</v>
      </c>
      <c r="BS247" s="57" t="s">
        <v>1293</v>
      </c>
      <c r="BT247" s="57" t="s">
        <v>1293</v>
      </c>
      <c r="BU247" s="57" t="s">
        <v>1293</v>
      </c>
      <c r="BV247" s="70">
        <f t="shared" si="1092"/>
        <v>34</v>
      </c>
      <c r="BW247" s="71">
        <f t="shared" si="1093"/>
        <v>66</v>
      </c>
      <c r="BX247" s="72">
        <f t="shared" si="1094"/>
        <v>70</v>
      </c>
      <c r="BY247" s="71">
        <f t="shared" si="1095"/>
        <v>102</v>
      </c>
      <c r="BZ247" s="72">
        <f t="shared" si="1096"/>
        <v>106</v>
      </c>
      <c r="CA247" s="71">
        <f t="shared" si="1097"/>
        <v>142</v>
      </c>
      <c r="CB247" s="72">
        <f t="shared" si="1098"/>
        <v>149</v>
      </c>
      <c r="CC247" s="71">
        <f t="shared" si="1099"/>
        <v>187</v>
      </c>
      <c r="CD247" s="72">
        <f t="shared" si="1100"/>
        <v>199</v>
      </c>
      <c r="CE247" s="71">
        <f t="shared" si="1101"/>
        <v>241</v>
      </c>
      <c r="CF247" s="72">
        <f t="shared" si="1102"/>
        <v>284</v>
      </c>
      <c r="CG247" s="71">
        <f t="shared" si="1103"/>
        <v>310</v>
      </c>
      <c r="CH247" s="70">
        <f t="shared" si="1104"/>
        <v>65</v>
      </c>
      <c r="CI247" s="71">
        <f t="shared" si="1105"/>
        <v>69</v>
      </c>
      <c r="CJ247" s="72">
        <f t="shared" si="1106"/>
        <v>100</v>
      </c>
      <c r="CK247" s="72">
        <f t="shared" si="1107"/>
        <v>105</v>
      </c>
      <c r="CL247" s="72">
        <f t="shared" si="1108"/>
        <v>141</v>
      </c>
      <c r="CM247" s="72">
        <f t="shared" si="1109"/>
        <v>148</v>
      </c>
      <c r="CN247" s="72">
        <f t="shared" si="1110"/>
        <v>173</v>
      </c>
      <c r="CO247" s="72">
        <f t="shared" si="1111"/>
        <v>189</v>
      </c>
      <c r="CP247" s="72">
        <f t="shared" si="1112"/>
        <v>237</v>
      </c>
      <c r="CQ247" s="72">
        <f t="shared" si="1113"/>
        <v>278</v>
      </c>
      <c r="CR247" s="72">
        <f t="shared" si="1114"/>
        <v>309</v>
      </c>
      <c r="CS247" s="72">
        <f t="shared" si="1115"/>
        <v>322</v>
      </c>
      <c r="CT247" s="23">
        <f t="shared" si="1116"/>
        <v>1</v>
      </c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</row>
    <row r="248" spans="1:1030" x14ac:dyDescent="0.2">
      <c r="A248" s="3" t="str">
        <f t="shared" si="1117"/>
        <v>opsd_human_5DGY</v>
      </c>
      <c r="B248" s="3" t="s">
        <v>339</v>
      </c>
      <c r="C248" s="3" t="s">
        <v>1444</v>
      </c>
      <c r="D248" s="3" t="str">
        <f>IFERROR(MID(VLOOKUP($B248,Seqs!$A:$B,2,0),E248,1),"")</f>
        <v>P</v>
      </c>
      <c r="E248" s="3">
        <v>34</v>
      </c>
      <c r="F248" s="3" t="str">
        <f>IFERROR(MID(VLOOKUP($B248,Seqs!$A:$B,2,0),G248,1),"")</f>
        <v>H</v>
      </c>
      <c r="G248" s="3">
        <v>65</v>
      </c>
      <c r="H248" s="3" t="str">
        <f>IFERROR(MID(VLOOKUP($B248,Seqs!$A:$B,2,0),I248,1),"")</f>
        <v>K</v>
      </c>
      <c r="I248" s="23">
        <v>66</v>
      </c>
      <c r="J248" s="3" t="str">
        <f>IFERROR(MID(VLOOKUP($B248,Seqs!$A:$B,2,0),K248,1),"")</f>
        <v>R</v>
      </c>
      <c r="K248" s="23">
        <v>69</v>
      </c>
      <c r="L248" s="3" t="str">
        <f>IFERROR(MID(VLOOKUP($B248,Seqs!$A:$B,2,0),M248,1),"")</f>
        <v>T</v>
      </c>
      <c r="M248" s="3">
        <v>70</v>
      </c>
      <c r="N248" s="3" t="str">
        <f>IFERROR(MID(VLOOKUP($B248,Seqs!$A:$B,2,0),O248,1),"")</f>
        <v>H</v>
      </c>
      <c r="O248" s="3">
        <v>100</v>
      </c>
      <c r="P248" s="3" t="str">
        <f>IFERROR(MID(VLOOKUP($B248,Seqs!$A:$B,2,0),Q248,1),"")</f>
        <v>Y</v>
      </c>
      <c r="Q248" s="3">
        <v>102</v>
      </c>
      <c r="R248" s="3" t="str">
        <f>IFERROR(MID(VLOOKUP($B248,Seqs!$A:$B,2,0),S248,1),"")</f>
        <v>F</v>
      </c>
      <c r="S248" s="3">
        <v>105</v>
      </c>
      <c r="T248" s="3" t="str">
        <f>IFERROR(MID(VLOOKUP($B248,Seqs!$A:$B,2,0),U248,1),"")</f>
        <v>G</v>
      </c>
      <c r="U248" s="3">
        <v>106</v>
      </c>
      <c r="V248" s="3" t="str">
        <f>IFERROR(MID(VLOOKUP($B248,Seqs!$A:$B,2,0),W248,1),"")</f>
        <v>K</v>
      </c>
      <c r="W248" s="3">
        <v>141</v>
      </c>
      <c r="X248" s="3" t="str">
        <f>IFERROR(MID(VLOOKUP($B248,Seqs!$A:$B,2,0),Y248,1),"")</f>
        <v>P</v>
      </c>
      <c r="Y248" s="3">
        <v>142</v>
      </c>
      <c r="Z248" s="3" t="str">
        <f>IFERROR(MID(VLOOKUP($B248,Seqs!$A:$B,2,0),AA248,1),"")</f>
        <v>F</v>
      </c>
      <c r="AA248" s="3">
        <v>148</v>
      </c>
      <c r="AB248" s="3" t="str">
        <f>IFERROR(MID(VLOOKUP($B248,Seqs!$A:$B,2,0),AC248,1),"")</f>
        <v>G</v>
      </c>
      <c r="AC248" s="3">
        <v>149</v>
      </c>
      <c r="AD248" s="3" t="str">
        <f>IFERROR(MID(VLOOKUP($B248,Seqs!$A:$B,2,0),AE248,1),"")</f>
        <v>A</v>
      </c>
      <c r="AE248" s="3">
        <v>173</v>
      </c>
      <c r="AF248" s="3" t="str">
        <f>IFERROR(MID(VLOOKUP($B248,Seqs!$A:$B,2,0),AG248,1),"")</f>
        <v>C</v>
      </c>
      <c r="AG248" s="3">
        <v>187</v>
      </c>
      <c r="AH248" s="3" t="str">
        <f>IFERROR(MID(VLOOKUP($B248,Seqs!$A:$B,2,0),AI248,1),"")</f>
        <v>I</v>
      </c>
      <c r="AI248" s="3">
        <v>189</v>
      </c>
      <c r="AJ248" s="3" t="str">
        <f>IFERROR(MID(VLOOKUP($B248,Seqs!$A:$B,2,0),AK248,1),"")</f>
        <v>N</v>
      </c>
      <c r="AK248" s="3">
        <v>199</v>
      </c>
      <c r="AL248" s="3" t="str">
        <f>IFERROR(MID(VLOOKUP($B248,Seqs!$A:$B,2,0),AM248,1),"")</f>
        <v>Q</v>
      </c>
      <c r="AM248" s="3">
        <v>237</v>
      </c>
      <c r="AN248" s="3" t="str">
        <f>IFERROR(MID(VLOOKUP($B248,Seqs!$A:$B,2,0),AO248,1),"")</f>
        <v>A</v>
      </c>
      <c r="AO248" s="3">
        <v>241</v>
      </c>
      <c r="AP248" s="3" t="str">
        <f>IFERROR(MID(VLOOKUP($B248,Seqs!$A:$B,2,0),AQ248,1),"")</f>
        <v>H</v>
      </c>
      <c r="AQ248" s="3">
        <v>278</v>
      </c>
      <c r="AR248" s="3" t="str">
        <f>IFERROR(MID(VLOOKUP($B248,Seqs!$A:$B,2,0),AS248,1),"")</f>
        <v>G</v>
      </c>
      <c r="AS248" s="3">
        <v>284</v>
      </c>
      <c r="AT248" s="3" t="str">
        <f>IFERROR(MID(VLOOKUP($B248,Seqs!$A:$B,2,0),AU248,1),"")</f>
        <v>M</v>
      </c>
      <c r="AU248" s="3">
        <v>309</v>
      </c>
      <c r="AV248" s="3" t="str">
        <f>IFERROR(MID(VLOOKUP($B248,Seqs!$A:$B,2,0),AW248,1),"")</f>
        <v>N</v>
      </c>
      <c r="AW248" s="3">
        <v>310</v>
      </c>
      <c r="AX248" s="3" t="str">
        <f>IFERROR(MID(VLOOKUP($B248,Seqs!$A:$B,2,0),AY248,1),"")</f>
        <v>C</v>
      </c>
      <c r="AY248" s="3">
        <v>322</v>
      </c>
      <c r="AZ248" s="77" t="str">
        <f>VLOOKUP(B248,Classification!A:D,2,0)</f>
        <v>A</v>
      </c>
      <c r="BA248" s="94" t="str">
        <f>VLOOKUP(B248,Classification!A:D,4,0)</f>
        <v>Opsins</v>
      </c>
      <c r="BB248" s="27" t="b">
        <f t="shared" si="1118"/>
        <v>1</v>
      </c>
      <c r="BC248" s="23">
        <f t="shared" si="1091"/>
        <v>258</v>
      </c>
      <c r="BD248" s="2" t="s">
        <v>23</v>
      </c>
      <c r="BE248" s="3" t="s">
        <v>1297</v>
      </c>
      <c r="BF248" s="119">
        <v>7.7</v>
      </c>
      <c r="BG248" s="49" t="s">
        <v>1443</v>
      </c>
      <c r="BH248" s="49" t="s">
        <v>1443</v>
      </c>
      <c r="BI248" s="1"/>
      <c r="BJ248" s="70" t="s">
        <v>1293</v>
      </c>
      <c r="BK248" s="57" t="s">
        <v>1293</v>
      </c>
      <c r="BL248" s="57" t="s">
        <v>1293</v>
      </c>
      <c r="BM248" s="57" t="s">
        <v>1293</v>
      </c>
      <c r="BN248" s="57" t="s">
        <v>1293</v>
      </c>
      <c r="BO248" s="57" t="s">
        <v>1293</v>
      </c>
      <c r="BP248" s="57" t="s">
        <v>1293</v>
      </c>
      <c r="BQ248" s="57" t="s">
        <v>1293</v>
      </c>
      <c r="BR248" s="57" t="s">
        <v>1293</v>
      </c>
      <c r="BS248" s="57" t="s">
        <v>1293</v>
      </c>
      <c r="BT248" s="57" t="s">
        <v>1293</v>
      </c>
      <c r="BU248" s="57" t="s">
        <v>1293</v>
      </c>
      <c r="BV248" s="70">
        <f t="shared" si="1092"/>
        <v>34</v>
      </c>
      <c r="BW248" s="71">
        <f t="shared" si="1093"/>
        <v>66</v>
      </c>
      <c r="BX248" s="72">
        <f t="shared" si="1094"/>
        <v>70</v>
      </c>
      <c r="BY248" s="71">
        <f t="shared" si="1095"/>
        <v>102</v>
      </c>
      <c r="BZ248" s="72">
        <f t="shared" si="1096"/>
        <v>106</v>
      </c>
      <c r="CA248" s="71">
        <f t="shared" si="1097"/>
        <v>142</v>
      </c>
      <c r="CB248" s="72">
        <f t="shared" si="1098"/>
        <v>149</v>
      </c>
      <c r="CC248" s="71">
        <f t="shared" si="1099"/>
        <v>187</v>
      </c>
      <c r="CD248" s="72">
        <f t="shared" si="1100"/>
        <v>199</v>
      </c>
      <c r="CE248" s="71">
        <f t="shared" si="1101"/>
        <v>241</v>
      </c>
      <c r="CF248" s="72">
        <f t="shared" si="1102"/>
        <v>284</v>
      </c>
      <c r="CG248" s="71">
        <f t="shared" si="1103"/>
        <v>310</v>
      </c>
      <c r="CH248" s="70">
        <f t="shared" si="1104"/>
        <v>65</v>
      </c>
      <c r="CI248" s="71">
        <f t="shared" si="1105"/>
        <v>69</v>
      </c>
      <c r="CJ248" s="72">
        <f t="shared" si="1106"/>
        <v>100</v>
      </c>
      <c r="CK248" s="72">
        <f t="shared" si="1107"/>
        <v>105</v>
      </c>
      <c r="CL248" s="72">
        <f t="shared" si="1108"/>
        <v>141</v>
      </c>
      <c r="CM248" s="72">
        <f t="shared" si="1109"/>
        <v>148</v>
      </c>
      <c r="CN248" s="72">
        <f t="shared" si="1110"/>
        <v>173</v>
      </c>
      <c r="CO248" s="72">
        <f t="shared" si="1111"/>
        <v>189</v>
      </c>
      <c r="CP248" s="72">
        <f t="shared" si="1112"/>
        <v>237</v>
      </c>
      <c r="CQ248" s="72">
        <f t="shared" si="1113"/>
        <v>278</v>
      </c>
      <c r="CR248" s="72">
        <f t="shared" si="1114"/>
        <v>309</v>
      </c>
      <c r="CS248" s="72">
        <f t="shared" si="1115"/>
        <v>322</v>
      </c>
      <c r="CT248" s="23">
        <f t="shared" si="1116"/>
        <v>1</v>
      </c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</row>
    <row r="249" spans="1:1030" x14ac:dyDescent="0.2">
      <c r="A249" s="3" t="str">
        <f>CONCATENATE(B249,"_",C249)</f>
        <v>opsd_human_5W0P</v>
      </c>
      <c r="B249" s="3" t="s">
        <v>339</v>
      </c>
      <c r="C249" s="3" t="s">
        <v>1442</v>
      </c>
      <c r="D249" s="3" t="str">
        <f>IFERROR(MID(VLOOKUP($B249,Seqs!$A:$B,2,0),E249,1),"")</f>
        <v>P</v>
      </c>
      <c r="E249" s="3">
        <v>34</v>
      </c>
      <c r="F249" s="3" t="str">
        <f>IFERROR(MID(VLOOKUP($B249,Seqs!$A:$B,2,0),G249,1),"")</f>
        <v>H</v>
      </c>
      <c r="G249" s="3">
        <v>65</v>
      </c>
      <c r="H249" s="3" t="str">
        <f>IFERROR(MID(VLOOKUP($B249,Seqs!$A:$B,2,0),I249,1),"")</f>
        <v>K</v>
      </c>
      <c r="I249" s="23">
        <v>66</v>
      </c>
      <c r="J249" s="3" t="str">
        <f>IFERROR(MID(VLOOKUP($B249,Seqs!$A:$B,2,0),K249,1),"")</f>
        <v>R</v>
      </c>
      <c r="K249" s="23">
        <v>69</v>
      </c>
      <c r="L249" s="3" t="str">
        <f>IFERROR(MID(VLOOKUP($B249,Seqs!$A:$B,2,0),M249,1),"")</f>
        <v>T</v>
      </c>
      <c r="M249" s="3">
        <v>70</v>
      </c>
      <c r="N249" s="3" t="str">
        <f>IFERROR(MID(VLOOKUP($B249,Seqs!$A:$B,2,0),O249,1),"")</f>
        <v>H</v>
      </c>
      <c r="O249" s="3">
        <v>100</v>
      </c>
      <c r="P249" s="3" t="str">
        <f>IFERROR(MID(VLOOKUP($B249,Seqs!$A:$B,2,0),Q249,1),"")</f>
        <v>Y</v>
      </c>
      <c r="Q249" s="3">
        <v>102</v>
      </c>
      <c r="R249" s="3" t="str">
        <f>IFERROR(MID(VLOOKUP($B249,Seqs!$A:$B,2,0),S249,1),"")</f>
        <v>F</v>
      </c>
      <c r="S249" s="3">
        <v>105</v>
      </c>
      <c r="T249" s="3" t="str">
        <f>IFERROR(MID(VLOOKUP($B249,Seqs!$A:$B,2,0),U249,1),"")</f>
        <v>G</v>
      </c>
      <c r="U249" s="3">
        <v>106</v>
      </c>
      <c r="V249" s="3" t="str">
        <f>IFERROR(MID(VLOOKUP($B249,Seqs!$A:$B,2,0),W249,1),"")</f>
        <v>K</v>
      </c>
      <c r="W249" s="3">
        <v>141</v>
      </c>
      <c r="X249" s="3" t="str">
        <f>IFERROR(MID(VLOOKUP($B249,Seqs!$A:$B,2,0),Y249,1),"")</f>
        <v>P</v>
      </c>
      <c r="Y249" s="3">
        <v>142</v>
      </c>
      <c r="Z249" s="3" t="str">
        <f>IFERROR(MID(VLOOKUP($B249,Seqs!$A:$B,2,0),AA249,1),"")</f>
        <v>F</v>
      </c>
      <c r="AA249" s="3">
        <v>148</v>
      </c>
      <c r="AB249" s="3" t="str">
        <f>IFERROR(MID(VLOOKUP($B249,Seqs!$A:$B,2,0),AC249,1),"")</f>
        <v>G</v>
      </c>
      <c r="AC249" s="3">
        <v>149</v>
      </c>
      <c r="AD249" s="3" t="str">
        <f>IFERROR(MID(VLOOKUP($B249,Seqs!$A:$B,2,0),AE249,1),"")</f>
        <v>A</v>
      </c>
      <c r="AE249" s="3">
        <v>173</v>
      </c>
      <c r="AF249" s="3" t="str">
        <f>IFERROR(MID(VLOOKUP($B249,Seqs!$A:$B,2,0),AG249,1),"")</f>
        <v>C</v>
      </c>
      <c r="AG249" s="3">
        <v>187</v>
      </c>
      <c r="AH249" s="3" t="str">
        <f>IFERROR(MID(VLOOKUP($B249,Seqs!$A:$B,2,0),AI249,1),"")</f>
        <v>I</v>
      </c>
      <c r="AI249" s="3">
        <v>189</v>
      </c>
      <c r="AJ249" s="3" t="str">
        <f>IFERROR(MID(VLOOKUP($B249,Seqs!$A:$B,2,0),AK249,1),"")</f>
        <v>N</v>
      </c>
      <c r="AK249" s="3">
        <v>199</v>
      </c>
      <c r="AL249" s="3" t="str">
        <f>IFERROR(MID(VLOOKUP($B249,Seqs!$A:$B,2,0),AM249,1),"")</f>
        <v>Q</v>
      </c>
      <c r="AM249" s="3">
        <v>237</v>
      </c>
      <c r="AN249" s="3" t="str">
        <f>IFERROR(MID(VLOOKUP($B249,Seqs!$A:$B,2,0),AO249,1),"")</f>
        <v>A</v>
      </c>
      <c r="AO249" s="3">
        <v>241</v>
      </c>
      <c r="AP249" s="3" t="str">
        <f>IFERROR(MID(VLOOKUP($B249,Seqs!$A:$B,2,0),AQ249,1),"")</f>
        <v>H</v>
      </c>
      <c r="AQ249" s="3">
        <v>278</v>
      </c>
      <c r="AR249" s="3" t="str">
        <f>IFERROR(MID(VLOOKUP($B249,Seqs!$A:$B,2,0),AS249,1),"")</f>
        <v>G</v>
      </c>
      <c r="AS249" s="3">
        <v>284</v>
      </c>
      <c r="AT249" s="3" t="str">
        <f>IFERROR(MID(VLOOKUP($B249,Seqs!$A:$B,2,0),AU249,1),"")</f>
        <v>M</v>
      </c>
      <c r="AU249" s="3">
        <v>309</v>
      </c>
      <c r="AV249" s="3" t="str">
        <f>IFERROR(MID(VLOOKUP($B249,Seqs!$A:$B,2,0),AW249,1),"")</f>
        <v>N</v>
      </c>
      <c r="AW249" s="3">
        <v>310</v>
      </c>
      <c r="AX249" s="3" t="str">
        <f>IFERROR(MID(VLOOKUP($B249,Seqs!$A:$B,2,0),AY249,1),"")</f>
        <v>C</v>
      </c>
      <c r="AY249" s="3">
        <v>322</v>
      </c>
      <c r="AZ249" s="77" t="str">
        <f>VLOOKUP(B249,Classification!A:D,2,0)</f>
        <v>A</v>
      </c>
      <c r="BA249" s="94" t="str">
        <f>VLOOKUP(B249,Classification!A:D,4,0)</f>
        <v>Opsins</v>
      </c>
      <c r="BB249" s="27" t="b">
        <f>AND(E249&lt;G249,OR(G249&lt;I249,I249="-"),OR(I249&lt;K249,I249="-"),OR(K249&lt;M249,K249="-"),M249&lt;O249,OR(O249&lt;Q249,Q249="-"),OR(Q249&lt;S249,Q249="-"),OR(S249&lt;U249,S249="-"),U249&lt;W249,OR(W249&lt;Y249,Y249="-"),OR(Y249&lt;AA249,Y249="-"),OR(AA249&lt;AC249,AA249="-"),AC249&lt;AE249,OR(AE249&lt;AG249,AG249="-"),OR(AG249&lt;AI249,AG249="-"),OR(AI249&lt;AK249,AI249="-"),AK249&lt;AM249,AM249&lt;AO249,AO249&lt;AQ249,AQ249&lt;AS249,AS249&lt;AU249,OR(AU249&lt;AW249,AW249="-"),OR(AW249&lt;AY249,AW249="-"))</f>
        <v>1</v>
      </c>
      <c r="BC249" s="23">
        <f>_xlfn.AGGREGATE(9,6,CH249:CS249)-_xlfn.AGGREGATE(9,6,BV249:CG249)+12</f>
        <v>258</v>
      </c>
      <c r="BD249" s="2" t="s">
        <v>23</v>
      </c>
      <c r="BE249" s="3" t="s">
        <v>1297</v>
      </c>
      <c r="BF249" s="119">
        <v>3.01</v>
      </c>
      <c r="BG249" s="49" t="s">
        <v>1443</v>
      </c>
      <c r="BH249" s="49" t="s">
        <v>1443</v>
      </c>
      <c r="BI249" s="1"/>
      <c r="BJ249" s="70" t="s">
        <v>1293</v>
      </c>
      <c r="BK249" s="57" t="s">
        <v>1293</v>
      </c>
      <c r="BL249" s="57" t="s">
        <v>1293</v>
      </c>
      <c r="BM249" s="57" t="s">
        <v>1293</v>
      </c>
      <c r="BN249" s="57" t="s">
        <v>1293</v>
      </c>
      <c r="BO249" s="57" t="s">
        <v>1293</v>
      </c>
      <c r="BP249" s="57" t="s">
        <v>1293</v>
      </c>
      <c r="BQ249" s="57" t="s">
        <v>1293</v>
      </c>
      <c r="BR249" s="57" t="s">
        <v>1293</v>
      </c>
      <c r="BS249" s="57" t="s">
        <v>1293</v>
      </c>
      <c r="BT249" s="57" t="s">
        <v>1293</v>
      </c>
      <c r="BU249" s="57" t="s">
        <v>1293</v>
      </c>
      <c r="BV249" s="70">
        <f>E249</f>
        <v>34</v>
      </c>
      <c r="BW249" s="71">
        <f>I249</f>
        <v>66</v>
      </c>
      <c r="BX249" s="72">
        <f>M249</f>
        <v>70</v>
      </c>
      <c r="BY249" s="71">
        <f>Q249</f>
        <v>102</v>
      </c>
      <c r="BZ249" s="72">
        <f>U249</f>
        <v>106</v>
      </c>
      <c r="CA249" s="71">
        <f>Y249</f>
        <v>142</v>
      </c>
      <c r="CB249" s="72">
        <f>AC249</f>
        <v>149</v>
      </c>
      <c r="CC249" s="71">
        <f>AG249</f>
        <v>187</v>
      </c>
      <c r="CD249" s="72">
        <f>AK249</f>
        <v>199</v>
      </c>
      <c r="CE249" s="71">
        <f>AO249</f>
        <v>241</v>
      </c>
      <c r="CF249" s="72">
        <f>AS249</f>
        <v>284</v>
      </c>
      <c r="CG249" s="71">
        <f>AW249</f>
        <v>310</v>
      </c>
      <c r="CH249" s="70">
        <f>G249</f>
        <v>65</v>
      </c>
      <c r="CI249" s="71">
        <f>K249</f>
        <v>69</v>
      </c>
      <c r="CJ249" s="72">
        <f>O249</f>
        <v>100</v>
      </c>
      <c r="CK249" s="72">
        <f>S249</f>
        <v>105</v>
      </c>
      <c r="CL249" s="72">
        <f>W249</f>
        <v>141</v>
      </c>
      <c r="CM249" s="72">
        <f>AA249</f>
        <v>148</v>
      </c>
      <c r="CN249" s="72">
        <f>AE249</f>
        <v>173</v>
      </c>
      <c r="CO249" s="72">
        <f>AI249</f>
        <v>189</v>
      </c>
      <c r="CP249" s="72">
        <f>AM249</f>
        <v>237</v>
      </c>
      <c r="CQ249" s="72">
        <f>AQ249</f>
        <v>278</v>
      </c>
      <c r="CR249" s="72">
        <f>AU249</f>
        <v>309</v>
      </c>
      <c r="CS249" s="72">
        <f>AY249</f>
        <v>322</v>
      </c>
      <c r="CT249" s="23">
        <f>M249-K249</f>
        <v>1</v>
      </c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</row>
    <row r="250" spans="1:1030" x14ac:dyDescent="0.2">
      <c r="A250" s="3" t="str">
        <f>CONCATENATE(B250,"_",C250)</f>
        <v>opsd_human_6CMO</v>
      </c>
      <c r="B250" s="3" t="s">
        <v>339</v>
      </c>
      <c r="C250" s="3" t="s">
        <v>1517</v>
      </c>
      <c r="D250" s="3" t="str">
        <f>IFERROR(MID(VLOOKUP($B250,Seqs!$A:$B,2,0),E250,1),"")</f>
        <v>E</v>
      </c>
      <c r="E250" s="3">
        <v>33</v>
      </c>
      <c r="F250" s="3" t="str">
        <f>IFERROR(MID(VLOOKUP($B250,Seqs!$A:$B,2,0),G250,1),"")</f>
        <v>H</v>
      </c>
      <c r="G250" s="3">
        <v>65</v>
      </c>
      <c r="H250" s="3" t="str">
        <f>IFERROR(MID(VLOOKUP($B250,Seqs!$A:$B,2,0),I250,1),"")</f>
        <v>K</v>
      </c>
      <c r="I250" s="23">
        <v>66</v>
      </c>
      <c r="J250" s="3" t="str">
        <f>IFERROR(MID(VLOOKUP($B250,Seqs!$A:$B,2,0),K250,1),"")</f>
        <v>R</v>
      </c>
      <c r="K250" s="23">
        <v>69</v>
      </c>
      <c r="L250" s="3" t="str">
        <f>IFERROR(MID(VLOOKUP($B250,Seqs!$A:$B,2,0),M250,1),"")</f>
        <v>T</v>
      </c>
      <c r="M250" s="3">
        <v>70</v>
      </c>
      <c r="N250" s="3" t="str">
        <f>IFERROR(MID(VLOOKUP($B250,Seqs!$A:$B,2,0),O250,1),"")</f>
        <v>G</v>
      </c>
      <c r="O250" s="3">
        <v>101</v>
      </c>
      <c r="P250" s="3" t="str">
        <f>IFERROR(MID(VLOOKUP($B250,Seqs!$A:$B,2,0),Q250,1),"")</f>
        <v>Y</v>
      </c>
      <c r="Q250" s="3">
        <v>102</v>
      </c>
      <c r="R250" s="3" t="str">
        <f>IFERROR(MID(VLOOKUP($B250,Seqs!$A:$B,2,0),S250,1),"")</f>
        <v>F</v>
      </c>
      <c r="S250" s="3">
        <v>105</v>
      </c>
      <c r="T250" s="3" t="str">
        <f>IFERROR(MID(VLOOKUP($B250,Seqs!$A:$B,2,0),U250,1),"")</f>
        <v>G</v>
      </c>
      <c r="U250" s="3">
        <v>106</v>
      </c>
      <c r="V250" s="3" t="str">
        <f>IFERROR(MID(VLOOKUP($B250,Seqs!$A:$B,2,0),W250,1),"")</f>
        <v>K</v>
      </c>
      <c r="W250" s="3">
        <v>141</v>
      </c>
      <c r="X250" s="3" t="str">
        <f>IFERROR(MID(VLOOKUP($B250,Seqs!$A:$B,2,0),Y250,1),"")</f>
        <v/>
      </c>
      <c r="Y250" s="3" t="s">
        <v>23</v>
      </c>
      <c r="Z250" s="3" t="str">
        <f>IFERROR(MID(VLOOKUP($B250,Seqs!$A:$B,2,0),AA250,1),"")</f>
        <v/>
      </c>
      <c r="AA250" s="3" t="s">
        <v>23</v>
      </c>
      <c r="AB250" s="3" t="str">
        <f>IFERROR(MID(VLOOKUP($B250,Seqs!$A:$B,2,0),AC250,1),"")</f>
        <v>E</v>
      </c>
      <c r="AC250" s="3">
        <v>150</v>
      </c>
      <c r="AD250" s="3" t="str">
        <f>IFERROR(MID(VLOOKUP($B250,Seqs!$A:$B,2,0),AE250,1),"")</f>
        <v>A</v>
      </c>
      <c r="AE250" s="3">
        <v>173</v>
      </c>
      <c r="AF250" s="3" t="str">
        <f>IFERROR(MID(VLOOKUP($B250,Seqs!$A:$B,2,0),AG250,1),"")</f>
        <v>C</v>
      </c>
      <c r="AG250" s="3">
        <v>187</v>
      </c>
      <c r="AH250" s="3" t="str">
        <f>IFERROR(MID(VLOOKUP($B250,Seqs!$A:$B,2,0),AI250,1),"")</f>
        <v>I</v>
      </c>
      <c r="AI250" s="3">
        <v>189</v>
      </c>
      <c r="AJ250" s="3" t="str">
        <f>IFERROR(MID(VLOOKUP($B250,Seqs!$A:$B,2,0),AK250,1),"")</f>
        <v>N</v>
      </c>
      <c r="AK250" s="3">
        <v>200</v>
      </c>
      <c r="AL250" s="3" t="str">
        <f>IFERROR(MID(VLOOKUP($B250,Seqs!$A:$B,2,0),AM250,1),"")</f>
        <v>Q</v>
      </c>
      <c r="AM250" s="3">
        <v>238</v>
      </c>
      <c r="AN250" s="3" t="str">
        <f>IFERROR(MID(VLOOKUP($B250,Seqs!$A:$B,2,0),AO250,1),"")</f>
        <v>S</v>
      </c>
      <c r="AO250" s="3">
        <v>240</v>
      </c>
      <c r="AP250" s="3" t="str">
        <f>IFERROR(MID(VLOOKUP($B250,Seqs!$A:$B,2,0),AQ250,1),"")</f>
        <v>H</v>
      </c>
      <c r="AQ250" s="3">
        <v>278</v>
      </c>
      <c r="AR250" s="3" t="str">
        <f>IFERROR(MID(VLOOKUP($B250,Seqs!$A:$B,2,0),AS250,1),"")</f>
        <v>I</v>
      </c>
      <c r="AS250" s="3">
        <v>286</v>
      </c>
      <c r="AT250" s="3" t="str">
        <f>IFERROR(MID(VLOOKUP($B250,Seqs!$A:$B,2,0),AU250,1),"")</f>
        <v>M</v>
      </c>
      <c r="AU250" s="3">
        <v>309</v>
      </c>
      <c r="AV250" s="3" t="str">
        <f>IFERROR(MID(VLOOKUP($B250,Seqs!$A:$B,2,0),AW250,1),"")</f>
        <v>N</v>
      </c>
      <c r="AW250" s="3">
        <v>310</v>
      </c>
      <c r="AX250" s="3" t="str">
        <f>IFERROR(MID(VLOOKUP($B250,Seqs!$A:$B,2,0),AY250,1),"")</f>
        <v>C</v>
      </c>
      <c r="AY250" s="3">
        <v>323</v>
      </c>
      <c r="AZ250" s="77" t="str">
        <f>VLOOKUP(B250,Classification!A:D,2,0)</f>
        <v>A</v>
      </c>
      <c r="BA250" s="94" t="str">
        <f>VLOOKUP(B250,Classification!A:D,4,0)</f>
        <v>Opsins</v>
      </c>
      <c r="BB250" s="27" t="b">
        <f>AND(E250&lt;G250,OR(G250&lt;I250,I250="-"),OR(I250&lt;K250,I250="-"),OR(K250&lt;M250,K250="-"),M250&lt;O250,OR(O250&lt;Q250,Q250="-"),OR(Q250&lt;S250,Q250="-"),OR(S250&lt;U250,S250="-"),U250&lt;W250,OR(W250&lt;Y250,Y250="-"),OR(Y250&lt;AA250,Y250="-"),OR(AA250&lt;AC250,AA250="-"),AC250&lt;AE250,OR(AE250&lt;AG250,AG250="-"),OR(AG250&lt;AI250,AG250="-"),OR(AI250&lt;AK250,AI250="-"),AK250&lt;AM250,AM250&lt;AO250,AO250&lt;AQ250,AQ250&lt;AS250,AS250&lt;AU250,OR(AU250&lt;AW250,AW250="-"),OR(AW250&lt;AY250,AW250="-"))</f>
        <v>1</v>
      </c>
      <c r="BC250" s="23">
        <f>_xlfn.AGGREGATE(9,6,CH250:CS250)-_xlfn.AGGREGATE(9,6,BV250:CG250)+12</f>
        <v>253</v>
      </c>
      <c r="BD250" s="2" t="s">
        <v>23</v>
      </c>
      <c r="BE250" s="3" t="s">
        <v>1297</v>
      </c>
      <c r="BF250" s="119">
        <v>4.5</v>
      </c>
      <c r="BG250" s="49" t="s">
        <v>1443</v>
      </c>
      <c r="BH250" s="49" t="s">
        <v>1443</v>
      </c>
      <c r="BI250" s="1"/>
      <c r="BJ250" s="70" t="s">
        <v>1293</v>
      </c>
      <c r="BK250" s="57" t="s">
        <v>1293</v>
      </c>
      <c r="BL250" s="57" t="s">
        <v>1293</v>
      </c>
      <c r="BM250" s="57" t="s">
        <v>1293</v>
      </c>
      <c r="BN250" s="57" t="s">
        <v>1293</v>
      </c>
      <c r="BO250" s="57" t="s">
        <v>1293</v>
      </c>
      <c r="BP250" s="57" t="s">
        <v>1293</v>
      </c>
      <c r="BQ250" s="57" t="s">
        <v>1293</v>
      </c>
      <c r="BR250" s="57" t="s">
        <v>1293</v>
      </c>
      <c r="BS250" s="57" t="s">
        <v>1293</v>
      </c>
      <c r="BT250" s="57" t="s">
        <v>1293</v>
      </c>
      <c r="BU250" s="57" t="s">
        <v>1293</v>
      </c>
      <c r="BV250" s="70">
        <f>E250</f>
        <v>33</v>
      </c>
      <c r="BW250" s="71">
        <f>I250</f>
        <v>66</v>
      </c>
      <c r="BX250" s="72">
        <f>M250</f>
        <v>70</v>
      </c>
      <c r="BY250" s="71">
        <f>Q250</f>
        <v>102</v>
      </c>
      <c r="BZ250" s="72">
        <f>U250</f>
        <v>106</v>
      </c>
      <c r="CA250" s="71" t="str">
        <f>Y250</f>
        <v>-</v>
      </c>
      <c r="CB250" s="72">
        <f>AC250</f>
        <v>150</v>
      </c>
      <c r="CC250" s="71">
        <f>AG250</f>
        <v>187</v>
      </c>
      <c r="CD250" s="72">
        <f>AK250</f>
        <v>200</v>
      </c>
      <c r="CE250" s="71">
        <f>AO250</f>
        <v>240</v>
      </c>
      <c r="CF250" s="72">
        <f>AS250</f>
        <v>286</v>
      </c>
      <c r="CG250" s="71">
        <f>AW250</f>
        <v>310</v>
      </c>
      <c r="CH250" s="70">
        <f>G250</f>
        <v>65</v>
      </c>
      <c r="CI250" s="71">
        <f>K250</f>
        <v>69</v>
      </c>
      <c r="CJ250" s="72">
        <f>O250</f>
        <v>101</v>
      </c>
      <c r="CK250" s="72">
        <f>S250</f>
        <v>105</v>
      </c>
      <c r="CL250" s="72">
        <f>W250</f>
        <v>141</v>
      </c>
      <c r="CM250" s="72" t="str">
        <f>AA250</f>
        <v>-</v>
      </c>
      <c r="CN250" s="72">
        <f>AE250</f>
        <v>173</v>
      </c>
      <c r="CO250" s="72">
        <f>AI250</f>
        <v>189</v>
      </c>
      <c r="CP250" s="72">
        <f>AM250</f>
        <v>238</v>
      </c>
      <c r="CQ250" s="72">
        <f>AQ250</f>
        <v>278</v>
      </c>
      <c r="CR250" s="72">
        <f>AU250</f>
        <v>309</v>
      </c>
      <c r="CS250" s="72">
        <f>AY250</f>
        <v>323</v>
      </c>
      <c r="CT250" s="23">
        <f>M250-K250</f>
        <v>1</v>
      </c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</row>
    <row r="251" spans="1:1030" x14ac:dyDescent="0.2">
      <c r="A251" s="3" t="str">
        <f t="shared" si="1117"/>
        <v>opsd_todpa__wt</v>
      </c>
      <c r="B251" s="3" t="s">
        <v>922</v>
      </c>
      <c r="C251" s="3" t="s">
        <v>100</v>
      </c>
      <c r="D251" s="3" t="str">
        <f>IFERROR(MID(VLOOKUP($B251,Seqs!$A:$B,2,0),E251,1),"")</f>
        <v>D</v>
      </c>
      <c r="E251" s="3">
        <v>31</v>
      </c>
      <c r="F251" s="3" t="str">
        <f>IFERROR(MID(VLOOKUP($B251,Seqs!$A:$B,2,0),G251,1),"")</f>
        <v>T</v>
      </c>
      <c r="G251" s="3">
        <v>62</v>
      </c>
      <c r="H251" s="3" t="str">
        <f>IFERROR(MID(VLOOKUP($B251,Seqs!$A:$B,2,0),I251,1),"")</f>
        <v>K</v>
      </c>
      <c r="I251" s="23">
        <v>63</v>
      </c>
      <c r="J251" s="3" t="str">
        <f>IFERROR(MID(VLOOKUP($B251,Seqs!$A:$B,2,0),K251,1),"")</f>
        <v>Q</v>
      </c>
      <c r="K251" s="23">
        <v>66</v>
      </c>
      <c r="L251" s="3" t="str">
        <f>IFERROR(MID(VLOOKUP($B251,Seqs!$A:$B,2,0),M251,1),"")</f>
        <v>T</v>
      </c>
      <c r="M251" s="3">
        <v>67</v>
      </c>
      <c r="N251" s="3" t="str">
        <f>IFERROR(MID(VLOOKUP($B251,Seqs!$A:$B,2,0),O251,1),"")</f>
        <v>K</v>
      </c>
      <c r="O251" s="3">
        <v>99</v>
      </c>
      <c r="P251" s="3" t="str">
        <f>IFERROR(MID(VLOOKUP($B251,Seqs!$A:$B,2,0),Q251,1),"")</f>
        <v>K</v>
      </c>
      <c r="Q251" s="3">
        <v>100</v>
      </c>
      <c r="R251" s="3" t="str">
        <f>IFERROR(MID(VLOOKUP($B251,Seqs!$A:$B,2,0),S251,1),"")</f>
        <v>F</v>
      </c>
      <c r="S251" s="3">
        <v>103</v>
      </c>
      <c r="T251" s="3" t="str">
        <f>IFERROR(MID(VLOOKUP($B251,Seqs!$A:$B,2,0),U251,1),"")</f>
        <v>G</v>
      </c>
      <c r="U251" s="3">
        <v>104</v>
      </c>
      <c r="V251" s="3" t="str">
        <f>IFERROR(MID(VLOOKUP($B251,Seqs!$A:$B,2,0),W251,1),"")</f>
        <v>R</v>
      </c>
      <c r="W251" s="3">
        <v>139</v>
      </c>
      <c r="X251" s="3" t="str">
        <f>IFERROR(MID(VLOOKUP($B251,Seqs!$A:$B,2,0),Y251,1),"")</f>
        <v>P</v>
      </c>
      <c r="Y251" s="3">
        <v>140</v>
      </c>
      <c r="Z251" s="3" t="str">
        <f>IFERROR(MID(VLOOKUP($B251,Seqs!$A:$B,2,0),AA251,1),"")</f>
        <v>M</v>
      </c>
      <c r="AA251" s="3">
        <v>147</v>
      </c>
      <c r="AB251" s="3" t="str">
        <f>IFERROR(MID(VLOOKUP($B251,Seqs!$A:$B,2,0),AC251,1),"")</f>
        <v>S</v>
      </c>
      <c r="AC251" s="9">
        <v>148</v>
      </c>
      <c r="AD251" s="3" t="str">
        <f>IFERROR(MID(VLOOKUP($B251,Seqs!$A:$B,2,0),AE251,1),"")</f>
        <v>F</v>
      </c>
      <c r="AE251" s="3">
        <v>172</v>
      </c>
      <c r="AF251" s="3" t="str">
        <f>IFERROR(MID(VLOOKUP($B251,Seqs!$A:$B,2,0),AG251,1),"")</f>
        <v>C</v>
      </c>
      <c r="AG251" s="3">
        <v>186</v>
      </c>
      <c r="AH251" s="3" t="str">
        <f>IFERROR(MID(VLOOKUP($B251,Seqs!$A:$B,2,0),AI251,1),"")</f>
        <v>F</v>
      </c>
      <c r="AI251" s="3">
        <v>188</v>
      </c>
      <c r="AJ251" s="3" t="str">
        <f>IFERROR(MID(VLOOKUP($B251,Seqs!$A:$B,2,0),AK251,1),"")</f>
        <v>D</v>
      </c>
      <c r="AK251" s="3">
        <v>194</v>
      </c>
      <c r="AL251" s="3" t="str">
        <f>IFERROR(MID(VLOOKUP($B251,Seqs!$A:$B,2,0),AM251,1),"")</f>
        <v>K</v>
      </c>
      <c r="AM251" s="3">
        <v>239</v>
      </c>
      <c r="AN251" s="3" t="str">
        <f>IFERROR(MID(VLOOKUP($B251,Seqs!$A:$B,2,0),AO251,1),"")</f>
        <v>K</v>
      </c>
      <c r="AO251" s="3">
        <v>244</v>
      </c>
      <c r="AP251" s="3" t="str">
        <f>IFERROR(MID(VLOOKUP($B251,Seqs!$A:$B,2,0),AQ251,1),"")</f>
        <v>G</v>
      </c>
      <c r="AQ251" s="3">
        <v>287</v>
      </c>
      <c r="AR251" s="3" t="str">
        <f>IFERROR(MID(VLOOKUP($B251,Seqs!$A:$B,2,0),AS251,1),"")</f>
        <v>T</v>
      </c>
      <c r="AS251" s="3">
        <v>293</v>
      </c>
      <c r="AT251" s="3" t="str">
        <f>IFERROR(MID(VLOOKUP($B251,Seqs!$A:$B,2,0),AU251,1),"")</f>
        <v>S</v>
      </c>
      <c r="AU251" s="3">
        <v>318</v>
      </c>
      <c r="AV251" s="3" t="str">
        <f>IFERROR(MID(VLOOKUP($B251,Seqs!$A:$B,2,0),AW251,1),"")</f>
        <v>H</v>
      </c>
      <c r="AW251" s="3">
        <v>319</v>
      </c>
      <c r="AX251" s="3" t="str">
        <f>IFERROR(MID(VLOOKUP($B251,Seqs!$A:$B,2,0),AY251,1),"")</f>
        <v>F</v>
      </c>
      <c r="AY251" s="3">
        <v>330</v>
      </c>
      <c r="AZ251" s="77" t="str">
        <f>VLOOKUP(B251,Classification!A:D,2,0)</f>
        <v>A</v>
      </c>
      <c r="BA251" s="94" t="str">
        <f>VLOOKUP(B251,Classification!A:D,4,0)</f>
        <v>Opsins</v>
      </c>
      <c r="BB251" s="27" t="b">
        <f t="shared" si="1118"/>
        <v>1</v>
      </c>
      <c r="BC251" s="23">
        <f t="shared" si="1091"/>
        <v>273</v>
      </c>
      <c r="BD251" s="56" t="s">
        <v>23</v>
      </c>
      <c r="BE251" s="3" t="s">
        <v>23</v>
      </c>
      <c r="BF251" s="119" t="s">
        <v>23</v>
      </c>
      <c r="BG251" s="49" t="s">
        <v>1378</v>
      </c>
      <c r="BH251" s="49" t="s">
        <v>1383</v>
      </c>
      <c r="BI251" s="1"/>
      <c r="BJ251" s="70" t="s">
        <v>1293</v>
      </c>
      <c r="BK251" s="57" t="s">
        <v>1293</v>
      </c>
      <c r="BL251" s="57" t="s">
        <v>1293</v>
      </c>
      <c r="BM251" s="57" t="s">
        <v>1293</v>
      </c>
      <c r="BN251" s="57" t="s">
        <v>1293</v>
      </c>
      <c r="BO251" s="57" t="s">
        <v>1293</v>
      </c>
      <c r="BP251" s="57" t="s">
        <v>1293</v>
      </c>
      <c r="BQ251" s="57" t="s">
        <v>1293</v>
      </c>
      <c r="BR251" s="57" t="s">
        <v>1293</v>
      </c>
      <c r="BS251" s="57" t="s">
        <v>1293</v>
      </c>
      <c r="BT251" s="57" t="s">
        <v>1293</v>
      </c>
      <c r="BU251" s="57" t="s">
        <v>1293</v>
      </c>
      <c r="BV251" s="70">
        <f t="shared" si="1092"/>
        <v>31</v>
      </c>
      <c r="BW251" s="71">
        <f t="shared" si="1093"/>
        <v>63</v>
      </c>
      <c r="BX251" s="72">
        <f t="shared" si="1094"/>
        <v>67</v>
      </c>
      <c r="BY251" s="71">
        <f t="shared" si="1095"/>
        <v>100</v>
      </c>
      <c r="BZ251" s="72">
        <f t="shared" si="1096"/>
        <v>104</v>
      </c>
      <c r="CA251" s="71">
        <f t="shared" si="1097"/>
        <v>140</v>
      </c>
      <c r="CB251" s="72">
        <f t="shared" si="1098"/>
        <v>148</v>
      </c>
      <c r="CC251" s="71">
        <f t="shared" si="1099"/>
        <v>186</v>
      </c>
      <c r="CD251" s="72">
        <f t="shared" si="1100"/>
        <v>194</v>
      </c>
      <c r="CE251" s="71">
        <f t="shared" si="1101"/>
        <v>244</v>
      </c>
      <c r="CF251" s="72">
        <f t="shared" si="1102"/>
        <v>293</v>
      </c>
      <c r="CG251" s="71">
        <f t="shared" si="1103"/>
        <v>319</v>
      </c>
      <c r="CH251" s="70">
        <f t="shared" si="1104"/>
        <v>62</v>
      </c>
      <c r="CI251" s="71">
        <f t="shared" si="1105"/>
        <v>66</v>
      </c>
      <c r="CJ251" s="72">
        <f t="shared" si="1106"/>
        <v>99</v>
      </c>
      <c r="CK251" s="72">
        <f t="shared" si="1107"/>
        <v>103</v>
      </c>
      <c r="CL251" s="72">
        <f t="shared" si="1108"/>
        <v>139</v>
      </c>
      <c r="CM251" s="72">
        <f t="shared" si="1109"/>
        <v>147</v>
      </c>
      <c r="CN251" s="72">
        <f t="shared" si="1110"/>
        <v>172</v>
      </c>
      <c r="CO251" s="72">
        <f t="shared" si="1111"/>
        <v>188</v>
      </c>
      <c r="CP251" s="72">
        <f t="shared" si="1112"/>
        <v>239</v>
      </c>
      <c r="CQ251" s="72">
        <f t="shared" si="1113"/>
        <v>287</v>
      </c>
      <c r="CR251" s="72">
        <f t="shared" si="1114"/>
        <v>318</v>
      </c>
      <c r="CS251" s="72">
        <f t="shared" si="1115"/>
        <v>330</v>
      </c>
      <c r="CT251" s="23">
        <f t="shared" si="1116"/>
        <v>1</v>
      </c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</row>
    <row r="252" spans="1:1030" x14ac:dyDescent="0.2">
      <c r="A252" s="3" t="str">
        <f t="shared" si="1117"/>
        <v>opsd_todpa_2Z73</v>
      </c>
      <c r="B252" s="3" t="s">
        <v>922</v>
      </c>
      <c r="C252" s="3" t="s">
        <v>97</v>
      </c>
      <c r="D252" s="3" t="str">
        <f>IFERROR(MID(VLOOKUP($B252,Seqs!$A:$B,2,0),E252,1),"")</f>
        <v>D</v>
      </c>
      <c r="E252" s="3">
        <v>31</v>
      </c>
      <c r="F252" s="3" t="str">
        <f>IFERROR(MID(VLOOKUP($B252,Seqs!$A:$B,2,0),G252,1),"")</f>
        <v>T</v>
      </c>
      <c r="G252" s="3">
        <v>62</v>
      </c>
      <c r="H252" s="3" t="str">
        <f>IFERROR(MID(VLOOKUP($B252,Seqs!$A:$B,2,0),I252,1),"")</f>
        <v>K</v>
      </c>
      <c r="I252" s="23">
        <v>63</v>
      </c>
      <c r="J252" s="3" t="str">
        <f>IFERROR(MID(VLOOKUP($B252,Seqs!$A:$B,2,0),K252,1),"")</f>
        <v>Q</v>
      </c>
      <c r="K252" s="23">
        <v>66</v>
      </c>
      <c r="L252" s="3" t="str">
        <f>IFERROR(MID(VLOOKUP($B252,Seqs!$A:$B,2,0),M252,1),"")</f>
        <v>T</v>
      </c>
      <c r="M252" s="3">
        <v>67</v>
      </c>
      <c r="N252" s="3" t="str">
        <f>IFERROR(MID(VLOOKUP($B252,Seqs!$A:$B,2,0),O252,1),"")</f>
        <v>K</v>
      </c>
      <c r="O252" s="3">
        <v>99</v>
      </c>
      <c r="P252" s="3" t="str">
        <f>IFERROR(MID(VLOOKUP($B252,Seqs!$A:$B,2,0),Q252,1),"")</f>
        <v>K</v>
      </c>
      <c r="Q252" s="3">
        <v>100</v>
      </c>
      <c r="R252" s="3" t="str">
        <f>IFERROR(MID(VLOOKUP($B252,Seqs!$A:$B,2,0),S252,1),"")</f>
        <v>F</v>
      </c>
      <c r="S252" s="3">
        <v>103</v>
      </c>
      <c r="T252" s="3" t="str">
        <f>IFERROR(MID(VLOOKUP($B252,Seqs!$A:$B,2,0),U252,1),"")</f>
        <v>G</v>
      </c>
      <c r="U252" s="3">
        <v>104</v>
      </c>
      <c r="V252" s="3" t="str">
        <f>IFERROR(MID(VLOOKUP($B252,Seqs!$A:$B,2,0),W252,1),"")</f>
        <v>R</v>
      </c>
      <c r="W252" s="3">
        <v>139</v>
      </c>
      <c r="X252" s="3" t="str">
        <f>IFERROR(MID(VLOOKUP($B252,Seqs!$A:$B,2,0),Y252,1),"")</f>
        <v/>
      </c>
      <c r="Y252" s="3" t="s">
        <v>23</v>
      </c>
      <c r="Z252" s="3" t="str">
        <f>IFERROR(MID(VLOOKUP($B252,Seqs!$A:$B,2,0),AA252,1),"")</f>
        <v/>
      </c>
      <c r="AA252" s="3" t="s">
        <v>23</v>
      </c>
      <c r="AB252" s="3" t="str">
        <f>IFERROR(MID(VLOOKUP($B252,Seqs!$A:$B,2,0),AC252,1),"")</f>
        <v>S</v>
      </c>
      <c r="AC252" s="9">
        <v>148</v>
      </c>
      <c r="AD252" s="3" t="str">
        <f>IFERROR(MID(VLOOKUP($B252,Seqs!$A:$B,2,0),AE252,1),"")</f>
        <v>F</v>
      </c>
      <c r="AE252" s="3">
        <v>172</v>
      </c>
      <c r="AF252" s="3" t="str">
        <f>IFERROR(MID(VLOOKUP($B252,Seqs!$A:$B,2,0),AG252,1),"")</f>
        <v>C</v>
      </c>
      <c r="AG252" s="3">
        <v>186</v>
      </c>
      <c r="AH252" s="3" t="str">
        <f>IFERROR(MID(VLOOKUP($B252,Seqs!$A:$B,2,0),AI252,1),"")</f>
        <v>F</v>
      </c>
      <c r="AI252" s="3">
        <v>188</v>
      </c>
      <c r="AJ252" s="3" t="str">
        <f>IFERROR(MID(VLOOKUP($B252,Seqs!$A:$B,2,0),AK252,1),"")</f>
        <v>D</v>
      </c>
      <c r="AK252" s="3">
        <v>194</v>
      </c>
      <c r="AL252" s="3" t="str">
        <f>IFERROR(MID(VLOOKUP($B252,Seqs!$A:$B,2,0),AM252,1),"")</f>
        <v>K</v>
      </c>
      <c r="AM252" s="3">
        <v>239</v>
      </c>
      <c r="AN252" s="3" t="str">
        <f>IFERROR(MID(VLOOKUP($B252,Seqs!$A:$B,2,0),AO252,1),"")</f>
        <v>K</v>
      </c>
      <c r="AO252" s="3">
        <v>244</v>
      </c>
      <c r="AP252" s="3" t="str">
        <f>IFERROR(MID(VLOOKUP($B252,Seqs!$A:$B,2,0),AQ252,1),"")</f>
        <v>G</v>
      </c>
      <c r="AQ252" s="3">
        <v>287</v>
      </c>
      <c r="AR252" s="3" t="str">
        <f>IFERROR(MID(VLOOKUP($B252,Seqs!$A:$B,2,0),AS252,1),"")</f>
        <v>T</v>
      </c>
      <c r="AS252" s="3">
        <v>293</v>
      </c>
      <c r="AT252" s="3" t="str">
        <f>IFERROR(MID(VLOOKUP($B252,Seqs!$A:$B,2,0),AU252,1),"")</f>
        <v>S</v>
      </c>
      <c r="AU252" s="3">
        <v>318</v>
      </c>
      <c r="AV252" s="3" t="str">
        <f>IFERROR(MID(VLOOKUP($B252,Seqs!$A:$B,2,0),AW252,1),"")</f>
        <v>H</v>
      </c>
      <c r="AW252" s="3">
        <v>319</v>
      </c>
      <c r="AX252" s="3" t="str">
        <f>IFERROR(MID(VLOOKUP($B252,Seqs!$A:$B,2,0),AY252,1),"")</f>
        <v>F</v>
      </c>
      <c r="AY252" s="3">
        <v>330</v>
      </c>
      <c r="AZ252" s="77" t="str">
        <f>VLOOKUP(B252,Classification!A:D,2,0)</f>
        <v>A</v>
      </c>
      <c r="BA252" s="94" t="str">
        <f>VLOOKUP(B252,Classification!A:D,4,0)</f>
        <v>Opsins</v>
      </c>
      <c r="BB252" s="27" t="b">
        <f t="shared" si="1118"/>
        <v>1</v>
      </c>
      <c r="BC252" s="23">
        <f t="shared" si="1091"/>
        <v>266</v>
      </c>
      <c r="BD252" s="2" t="s">
        <v>1382</v>
      </c>
      <c r="BE252" s="3" t="s">
        <v>1380</v>
      </c>
      <c r="BF252" s="119">
        <v>2.5</v>
      </c>
      <c r="BG252" s="49" t="s">
        <v>1383</v>
      </c>
      <c r="BH252" s="49" t="s">
        <v>1383</v>
      </c>
      <c r="BI252" s="1"/>
      <c r="BJ252" s="70" t="s">
        <v>1293</v>
      </c>
      <c r="BK252" s="57" t="s">
        <v>1293</v>
      </c>
      <c r="BL252" s="57" t="s">
        <v>1293</v>
      </c>
      <c r="BM252" s="57" t="s">
        <v>1293</v>
      </c>
      <c r="BN252" s="57" t="s">
        <v>1293</v>
      </c>
      <c r="BO252" s="57" t="s">
        <v>1293</v>
      </c>
      <c r="BP252" s="57" t="s">
        <v>1293</v>
      </c>
      <c r="BQ252" s="57" t="s">
        <v>1293</v>
      </c>
      <c r="BR252" s="57" t="s">
        <v>1293</v>
      </c>
      <c r="BS252" s="57" t="s">
        <v>1293</v>
      </c>
      <c r="BT252" s="57" t="s">
        <v>1293</v>
      </c>
      <c r="BU252" s="57" t="s">
        <v>1293</v>
      </c>
      <c r="BV252" s="70">
        <f t="shared" si="1092"/>
        <v>31</v>
      </c>
      <c r="BW252" s="71">
        <f t="shared" si="1093"/>
        <v>63</v>
      </c>
      <c r="BX252" s="72">
        <f t="shared" si="1094"/>
        <v>67</v>
      </c>
      <c r="BY252" s="71">
        <f t="shared" si="1095"/>
        <v>100</v>
      </c>
      <c r="BZ252" s="72">
        <f t="shared" si="1096"/>
        <v>104</v>
      </c>
      <c r="CA252" s="71" t="str">
        <f t="shared" si="1097"/>
        <v>-</v>
      </c>
      <c r="CB252" s="72">
        <f t="shared" si="1098"/>
        <v>148</v>
      </c>
      <c r="CC252" s="71">
        <f t="shared" si="1099"/>
        <v>186</v>
      </c>
      <c r="CD252" s="72">
        <f t="shared" si="1100"/>
        <v>194</v>
      </c>
      <c r="CE252" s="71">
        <f t="shared" si="1101"/>
        <v>244</v>
      </c>
      <c r="CF252" s="72">
        <f t="shared" si="1102"/>
        <v>293</v>
      </c>
      <c r="CG252" s="71">
        <f t="shared" si="1103"/>
        <v>319</v>
      </c>
      <c r="CH252" s="70">
        <f t="shared" si="1104"/>
        <v>62</v>
      </c>
      <c r="CI252" s="71">
        <f t="shared" si="1105"/>
        <v>66</v>
      </c>
      <c r="CJ252" s="72">
        <f t="shared" si="1106"/>
        <v>99</v>
      </c>
      <c r="CK252" s="72">
        <f t="shared" si="1107"/>
        <v>103</v>
      </c>
      <c r="CL252" s="72">
        <f t="shared" si="1108"/>
        <v>139</v>
      </c>
      <c r="CM252" s="72" t="str">
        <f t="shared" si="1109"/>
        <v>-</v>
      </c>
      <c r="CN252" s="72">
        <f t="shared" si="1110"/>
        <v>172</v>
      </c>
      <c r="CO252" s="72">
        <f t="shared" si="1111"/>
        <v>188</v>
      </c>
      <c r="CP252" s="72">
        <f t="shared" si="1112"/>
        <v>239</v>
      </c>
      <c r="CQ252" s="72">
        <f t="shared" si="1113"/>
        <v>287</v>
      </c>
      <c r="CR252" s="72">
        <f t="shared" si="1114"/>
        <v>318</v>
      </c>
      <c r="CS252" s="72">
        <f t="shared" si="1115"/>
        <v>330</v>
      </c>
      <c r="CT252" s="23">
        <f t="shared" si="1116"/>
        <v>1</v>
      </c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2"/>
    </row>
    <row r="253" spans="1:1030" x14ac:dyDescent="0.2">
      <c r="A253" s="3" t="str">
        <f t="shared" si="1117"/>
        <v>ox1r_human__wt</v>
      </c>
      <c r="B253" s="3" t="s">
        <v>1175</v>
      </c>
      <c r="C253" s="3" t="s">
        <v>100</v>
      </c>
      <c r="D253" s="3" t="str">
        <f>IFERROR(MID(VLOOKUP($B253,Seqs!$A:$B,2,0),E253,1),"")</f>
        <v>E</v>
      </c>
      <c r="E253" s="3">
        <v>46</v>
      </c>
      <c r="F253" s="3" t="str">
        <f>IFERROR(MID(VLOOKUP($B253,Seqs!$A:$B,2,0),G253,1),"")</f>
        <v>N</v>
      </c>
      <c r="G253" s="3">
        <v>74</v>
      </c>
      <c r="H253" s="3" t="str">
        <f>IFERROR(MID(VLOOKUP($B253,Seqs!$A:$B,2,0),I253,1),"")</f>
        <v>H</v>
      </c>
      <c r="I253" s="23">
        <v>75</v>
      </c>
      <c r="J253" s="3" t="str">
        <f>IFERROR(MID(VLOOKUP($B253,Seqs!$A:$B,2,0),K253,1),"")</f>
        <v>R</v>
      </c>
      <c r="K253" s="23">
        <v>78</v>
      </c>
      <c r="L253" s="3" t="str">
        <f>IFERROR(MID(VLOOKUP($B253,Seqs!$A:$B,2,0),M253,1),"")</f>
        <v>T</v>
      </c>
      <c r="M253" s="3">
        <v>79</v>
      </c>
      <c r="N253" s="3" t="str">
        <f>IFERROR(MID(VLOOKUP($B253,Seqs!$A:$B,2,0),O253,1),"")</f>
        <v>T</v>
      </c>
      <c r="O253" s="3">
        <v>109</v>
      </c>
      <c r="P253" s="3" t="str">
        <f>IFERROR(MID(VLOOKUP($B253,Seqs!$A:$B,2,0),Q253,1),"")</f>
        <v>S</v>
      </c>
      <c r="Q253" s="3">
        <v>111</v>
      </c>
      <c r="R253" s="3" t="str">
        <f>IFERROR(MID(VLOOKUP($B253,Seqs!$A:$B,2,0),S253,1),"")</f>
        <v>F</v>
      </c>
      <c r="S253" s="3">
        <v>114</v>
      </c>
      <c r="T253" s="3" t="str">
        <f>IFERROR(MID(VLOOKUP($B253,Seqs!$A:$B,2,0),U253,1),"")</f>
        <v>G</v>
      </c>
      <c r="U253" s="3">
        <v>115</v>
      </c>
      <c r="V253" s="3" t="str">
        <f>IFERROR(MID(VLOOKUP($B253,Seqs!$A:$B,2,0),W253,1),"")</f>
        <v>H</v>
      </c>
      <c r="W253" s="3">
        <v>150</v>
      </c>
      <c r="X253" s="3" t="str">
        <f>IFERROR(MID(VLOOKUP($B253,Seqs!$A:$B,2,0),Y253,1),"")</f>
        <v>P</v>
      </c>
      <c r="Y253" s="3">
        <v>151</v>
      </c>
      <c r="Z253" s="3" t="str">
        <f>IFERROR(MID(VLOOKUP($B253,Seqs!$A:$B,2,0),AA253,1),"")</f>
        <v>F</v>
      </c>
      <c r="AA253" s="73">
        <v>154</v>
      </c>
      <c r="AB253" s="3" t="str">
        <f>IFERROR(MID(VLOOKUP($B253,Seqs!$A:$B,2,0),AC253,1),"")</f>
        <v>T</v>
      </c>
      <c r="AC253" s="9">
        <v>157</v>
      </c>
      <c r="AD253" s="3" t="str">
        <f>IFERROR(MID(VLOOKUP($B253,Seqs!$A:$B,2,0),AE253,1),"")</f>
        <v>M</v>
      </c>
      <c r="AE253" s="3">
        <v>183</v>
      </c>
      <c r="AF253" s="3" t="str">
        <f>IFERROR(MID(VLOOKUP($B253,Seqs!$A:$B,2,0),AG253,1),"")</f>
        <v>C</v>
      </c>
      <c r="AG253" s="3">
        <v>202</v>
      </c>
      <c r="AH253" s="3" t="str">
        <f>IFERROR(MID(VLOOKUP($B253,Seqs!$A:$B,2,0),AI253,1),"")</f>
        <v>E</v>
      </c>
      <c r="AI253" s="3">
        <v>204</v>
      </c>
      <c r="AJ253" s="3" t="str">
        <f>IFERROR(MID(VLOOKUP($B253,Seqs!$A:$B,2,0),AK253,1),"")</f>
        <v>D</v>
      </c>
      <c r="AK253" s="3">
        <v>209</v>
      </c>
      <c r="AL253" s="3" t="str">
        <f>IFERROR(MID(VLOOKUP($B253,Seqs!$A:$B,2,0),AM253,1),"")</f>
        <v>P</v>
      </c>
      <c r="AM253" s="3">
        <v>248</v>
      </c>
      <c r="AN253" s="3" t="str">
        <f>IFERROR(MID(VLOOKUP($B253,Seqs!$A:$B,2,0),AO253,1),"")</f>
        <v>F</v>
      </c>
      <c r="AO253" s="3">
        <v>283</v>
      </c>
      <c r="AP253" s="3" t="str">
        <f>IFERROR(MID(VLOOKUP($B253,Seqs!$A:$B,2,0),AQ253,1),"")</f>
        <v>F</v>
      </c>
      <c r="AQ253" s="3">
        <v>324</v>
      </c>
      <c r="AR253" s="3" t="str">
        <f>IFERROR(MID(VLOOKUP($B253,Seqs!$A:$B,2,0),AS253,1),"")</f>
        <v>R</v>
      </c>
      <c r="AS253" s="3">
        <v>333</v>
      </c>
      <c r="AT253" s="3" t="str">
        <f>IFERROR(MID(VLOOKUP($B253,Seqs!$A:$B,2,0),AU253,1),"")</f>
        <v>L</v>
      </c>
      <c r="AU253" s="3">
        <v>361</v>
      </c>
      <c r="AV253" s="3" t="str">
        <f>IFERROR(MID(VLOOKUP($B253,Seqs!$A:$B,2,0),AW253,1),"")</f>
        <v>S</v>
      </c>
      <c r="AW253" s="3">
        <v>362</v>
      </c>
      <c r="AX253" s="3" t="str">
        <f>IFERROR(MID(VLOOKUP($B253,Seqs!$A:$B,2,0),AY253,1),"")</f>
        <v>F</v>
      </c>
      <c r="AY253" s="3">
        <v>373</v>
      </c>
      <c r="AZ253" s="77" t="str">
        <f>VLOOKUP(B253,Classification!A:D,2,0)</f>
        <v>A</v>
      </c>
      <c r="BA253" s="94" t="str">
        <f>VLOOKUP(B253,Classification!A:D,4,0)</f>
        <v>Orexin</v>
      </c>
      <c r="BB253" s="27" t="b">
        <f t="shared" si="1118"/>
        <v>1</v>
      </c>
      <c r="BC253" s="23">
        <f t="shared" si="1091"/>
        <v>261</v>
      </c>
      <c r="BD253" s="56" t="s">
        <v>23</v>
      </c>
      <c r="BE253" s="3" t="s">
        <v>23</v>
      </c>
      <c r="BF253" s="119" t="s">
        <v>23</v>
      </c>
      <c r="BG253" s="49" t="s">
        <v>1378</v>
      </c>
      <c r="BH253" s="49" t="s">
        <v>1383</v>
      </c>
      <c r="BI253" s="1"/>
      <c r="BJ253" s="70" t="s">
        <v>1293</v>
      </c>
      <c r="BK253" s="57" t="s">
        <v>1293</v>
      </c>
      <c r="BL253" s="57" t="s">
        <v>1293</v>
      </c>
      <c r="BM253" s="57" t="s">
        <v>1293</v>
      </c>
      <c r="BN253" s="57" t="s">
        <v>1293</v>
      </c>
      <c r="BO253" s="57" t="s">
        <v>1293</v>
      </c>
      <c r="BP253" s="57" t="s">
        <v>1293</v>
      </c>
      <c r="BQ253" s="57" t="s">
        <v>1293</v>
      </c>
      <c r="BR253" s="57" t="s">
        <v>1293</v>
      </c>
      <c r="BS253" s="57" t="s">
        <v>1293</v>
      </c>
      <c r="BT253" s="57" t="s">
        <v>1293</v>
      </c>
      <c r="BU253" s="57" t="s">
        <v>1293</v>
      </c>
      <c r="BV253" s="70">
        <f t="shared" si="1092"/>
        <v>46</v>
      </c>
      <c r="BW253" s="71">
        <f t="shared" si="1093"/>
        <v>75</v>
      </c>
      <c r="BX253" s="72">
        <f t="shared" si="1094"/>
        <v>79</v>
      </c>
      <c r="BY253" s="71">
        <f t="shared" si="1095"/>
        <v>111</v>
      </c>
      <c r="BZ253" s="72">
        <f t="shared" si="1096"/>
        <v>115</v>
      </c>
      <c r="CA253" s="71">
        <f t="shared" si="1097"/>
        <v>151</v>
      </c>
      <c r="CB253" s="72">
        <f t="shared" si="1098"/>
        <v>157</v>
      </c>
      <c r="CC253" s="71">
        <f t="shared" si="1099"/>
        <v>202</v>
      </c>
      <c r="CD253" s="72">
        <f t="shared" si="1100"/>
        <v>209</v>
      </c>
      <c r="CE253" s="71">
        <f t="shared" si="1101"/>
        <v>283</v>
      </c>
      <c r="CF253" s="72">
        <f t="shared" si="1102"/>
        <v>333</v>
      </c>
      <c r="CG253" s="71">
        <f t="shared" si="1103"/>
        <v>362</v>
      </c>
      <c r="CH253" s="70">
        <f t="shared" si="1104"/>
        <v>74</v>
      </c>
      <c r="CI253" s="71">
        <f t="shared" si="1105"/>
        <v>78</v>
      </c>
      <c r="CJ253" s="72">
        <f t="shared" si="1106"/>
        <v>109</v>
      </c>
      <c r="CK253" s="72">
        <f t="shared" si="1107"/>
        <v>114</v>
      </c>
      <c r="CL253" s="72">
        <f t="shared" si="1108"/>
        <v>150</v>
      </c>
      <c r="CM253" s="72">
        <f t="shared" si="1109"/>
        <v>154</v>
      </c>
      <c r="CN253" s="72">
        <f t="shared" si="1110"/>
        <v>183</v>
      </c>
      <c r="CO253" s="72">
        <f t="shared" si="1111"/>
        <v>204</v>
      </c>
      <c r="CP253" s="72">
        <f t="shared" si="1112"/>
        <v>248</v>
      </c>
      <c r="CQ253" s="72">
        <f t="shared" si="1113"/>
        <v>324</v>
      </c>
      <c r="CR253" s="72">
        <f t="shared" si="1114"/>
        <v>361</v>
      </c>
      <c r="CS253" s="72">
        <f t="shared" si="1115"/>
        <v>373</v>
      </c>
      <c r="CT253" s="23">
        <f t="shared" si="1116"/>
        <v>1</v>
      </c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</row>
    <row r="254" spans="1:1030" x14ac:dyDescent="0.2">
      <c r="A254" s="3" t="str">
        <f t="shared" si="1117"/>
        <v>ox1r_human_4ZJ8</v>
      </c>
      <c r="B254" s="3" t="s">
        <v>1175</v>
      </c>
      <c r="C254" s="3" t="s">
        <v>90</v>
      </c>
      <c r="D254" s="3" t="str">
        <f>IFERROR(MID(VLOOKUP($B254,Seqs!$A:$B,2,0),E254,1),"")</f>
        <v>E</v>
      </c>
      <c r="E254" s="3">
        <v>46</v>
      </c>
      <c r="F254" s="3" t="str">
        <f>IFERROR(MID(VLOOKUP($B254,Seqs!$A:$B,2,0),G254,1),"")</f>
        <v>N</v>
      </c>
      <c r="G254" s="3">
        <v>74</v>
      </c>
      <c r="H254" s="3" t="str">
        <f>IFERROR(MID(VLOOKUP($B254,Seqs!$A:$B,2,0),I254,1),"")</f>
        <v>H</v>
      </c>
      <c r="I254" s="23">
        <v>75</v>
      </c>
      <c r="J254" s="3" t="str">
        <f>IFERROR(MID(VLOOKUP($B254,Seqs!$A:$B,2,0),K254,1),"")</f>
        <v>R</v>
      </c>
      <c r="K254" s="23">
        <v>78</v>
      </c>
      <c r="L254" s="3" t="str">
        <f>IFERROR(MID(VLOOKUP($B254,Seqs!$A:$B,2,0),M254,1),"")</f>
        <v>T</v>
      </c>
      <c r="M254" s="3">
        <v>79</v>
      </c>
      <c r="N254" s="3" t="str">
        <f>IFERROR(MID(VLOOKUP($B254,Seqs!$A:$B,2,0),O254,1),"")</f>
        <v>T</v>
      </c>
      <c r="O254" s="3">
        <v>109</v>
      </c>
      <c r="P254" s="3" t="str">
        <f>IFERROR(MID(VLOOKUP($B254,Seqs!$A:$B,2,0),Q254,1),"")</f>
        <v>S</v>
      </c>
      <c r="Q254" s="3">
        <v>111</v>
      </c>
      <c r="R254" s="3" t="str">
        <f>IFERROR(MID(VLOOKUP($B254,Seqs!$A:$B,2,0),S254,1),"")</f>
        <v>F</v>
      </c>
      <c r="S254" s="3">
        <v>114</v>
      </c>
      <c r="T254" s="3" t="str">
        <f>IFERROR(MID(VLOOKUP($B254,Seqs!$A:$B,2,0),U254,1),"")</f>
        <v>G</v>
      </c>
      <c r="U254" s="3">
        <v>115</v>
      </c>
      <c r="V254" s="3" t="str">
        <f>IFERROR(MID(VLOOKUP($B254,Seqs!$A:$B,2,0),W254,1),"")</f>
        <v>H</v>
      </c>
      <c r="W254" s="3">
        <v>150</v>
      </c>
      <c r="X254" s="3" t="str">
        <f>IFERROR(MID(VLOOKUP($B254,Seqs!$A:$B,2,0),Y254,1),"")</f>
        <v>P</v>
      </c>
      <c r="Y254" s="3">
        <v>151</v>
      </c>
      <c r="Z254" s="3" t="str">
        <f>IFERROR(MID(VLOOKUP($B254,Seqs!$A:$B,2,0),AA254,1),"")</f>
        <v>F</v>
      </c>
      <c r="AA254" s="3">
        <v>154</v>
      </c>
      <c r="AB254" s="3" t="str">
        <f>IFERROR(MID(VLOOKUP($B254,Seqs!$A:$B,2,0),AC254,1),"")</f>
        <v>T</v>
      </c>
      <c r="AC254" s="9">
        <v>157</v>
      </c>
      <c r="AD254" s="3" t="str">
        <f>IFERROR(MID(VLOOKUP($B254,Seqs!$A:$B,2,0),AE254,1),"")</f>
        <v>M</v>
      </c>
      <c r="AE254" s="3">
        <v>183</v>
      </c>
      <c r="AF254" s="3" t="str">
        <f>IFERROR(MID(VLOOKUP($B254,Seqs!$A:$B,2,0),AG254,1),"")</f>
        <v>C</v>
      </c>
      <c r="AG254" s="3">
        <v>202</v>
      </c>
      <c r="AH254" s="3" t="str">
        <f>IFERROR(MID(VLOOKUP($B254,Seqs!$A:$B,2,0),AI254,1),"")</f>
        <v>E</v>
      </c>
      <c r="AI254" s="3">
        <v>204</v>
      </c>
      <c r="AJ254" s="3" t="str">
        <f>IFERROR(MID(VLOOKUP($B254,Seqs!$A:$B,2,0),AK254,1),"")</f>
        <v>D</v>
      </c>
      <c r="AK254" s="3">
        <v>209</v>
      </c>
      <c r="AL254" s="3" t="str">
        <f>IFERROR(MID(VLOOKUP($B254,Seqs!$A:$B,2,0),AM254,1),"")</f>
        <v>L</v>
      </c>
      <c r="AM254" s="3">
        <v>242</v>
      </c>
      <c r="AN254" s="3" t="str">
        <f>IFERROR(MID(VLOOKUP($B254,Seqs!$A:$B,2,0),AO254,1),"")</f>
        <v>K</v>
      </c>
      <c r="AO254" s="3">
        <v>288</v>
      </c>
      <c r="AP254" s="3" t="str">
        <f>IFERROR(MID(VLOOKUP($B254,Seqs!$A:$B,2,0),AQ254,1),"")</f>
        <v>F</v>
      </c>
      <c r="AQ254" s="3">
        <v>324</v>
      </c>
      <c r="AR254" s="3" t="str">
        <f>IFERROR(MID(VLOOKUP($B254,Seqs!$A:$B,2,0),AS254,1),"")</f>
        <v>R</v>
      </c>
      <c r="AS254" s="3">
        <v>333</v>
      </c>
      <c r="AT254" s="3" t="str">
        <f>IFERROR(MID(VLOOKUP($B254,Seqs!$A:$B,2,0),AU254,1),"")</f>
        <v>L</v>
      </c>
      <c r="AU254" s="3">
        <v>361</v>
      </c>
      <c r="AV254" s="3" t="str">
        <f>IFERROR(MID(VLOOKUP($B254,Seqs!$A:$B,2,0),AW254,1),"")</f>
        <v>S</v>
      </c>
      <c r="AW254" s="3">
        <v>362</v>
      </c>
      <c r="AX254" s="3" t="str">
        <f>IFERROR(MID(VLOOKUP($B254,Seqs!$A:$B,2,0),AY254,1),"")</f>
        <v>F</v>
      </c>
      <c r="AY254" s="3">
        <v>373</v>
      </c>
      <c r="AZ254" s="77" t="str">
        <f>VLOOKUP(B254,Classification!A:D,2,0)</f>
        <v>A</v>
      </c>
      <c r="BA254" s="94" t="str">
        <f>VLOOKUP(B254,Classification!A:D,4,0)</f>
        <v>Orexin</v>
      </c>
      <c r="BB254" s="27" t="b">
        <f t="shared" si="1118"/>
        <v>1</v>
      </c>
      <c r="BC254" s="23">
        <f t="shared" si="1091"/>
        <v>250</v>
      </c>
      <c r="BD254" s="4" t="s">
        <v>1382</v>
      </c>
      <c r="BE254" s="3" t="s">
        <v>1380</v>
      </c>
      <c r="BF254" s="119">
        <v>2.75</v>
      </c>
      <c r="BG254" s="49" t="s">
        <v>1383</v>
      </c>
      <c r="BH254" s="49" t="s">
        <v>1383</v>
      </c>
      <c r="BI254" s="1"/>
      <c r="BJ254" s="70" t="s">
        <v>1293</v>
      </c>
      <c r="BK254" s="57" t="s">
        <v>1293</v>
      </c>
      <c r="BL254" s="57" t="s">
        <v>1293</v>
      </c>
      <c r="BM254" s="57" t="s">
        <v>1293</v>
      </c>
      <c r="BN254" s="57" t="s">
        <v>1293</v>
      </c>
      <c r="BO254" s="57" t="s">
        <v>1293</v>
      </c>
      <c r="BP254" s="57" t="s">
        <v>1293</v>
      </c>
      <c r="BQ254" s="57" t="s">
        <v>1293</v>
      </c>
      <c r="BR254" s="57" t="s">
        <v>1293</v>
      </c>
      <c r="BS254" s="57" t="s">
        <v>1293</v>
      </c>
      <c r="BT254" s="57" t="s">
        <v>1293</v>
      </c>
      <c r="BU254" s="57" t="s">
        <v>1293</v>
      </c>
      <c r="BV254" s="70">
        <f t="shared" si="1092"/>
        <v>46</v>
      </c>
      <c r="BW254" s="71">
        <f t="shared" si="1093"/>
        <v>75</v>
      </c>
      <c r="BX254" s="72">
        <f t="shared" si="1094"/>
        <v>79</v>
      </c>
      <c r="BY254" s="71">
        <f t="shared" si="1095"/>
        <v>111</v>
      </c>
      <c r="BZ254" s="72">
        <f t="shared" si="1096"/>
        <v>115</v>
      </c>
      <c r="CA254" s="71">
        <f t="shared" si="1097"/>
        <v>151</v>
      </c>
      <c r="CB254" s="72">
        <f t="shared" si="1098"/>
        <v>157</v>
      </c>
      <c r="CC254" s="71">
        <f t="shared" si="1099"/>
        <v>202</v>
      </c>
      <c r="CD254" s="72">
        <f t="shared" si="1100"/>
        <v>209</v>
      </c>
      <c r="CE254" s="71">
        <f t="shared" si="1101"/>
        <v>288</v>
      </c>
      <c r="CF254" s="72">
        <f t="shared" si="1102"/>
        <v>333</v>
      </c>
      <c r="CG254" s="71">
        <f t="shared" si="1103"/>
        <v>362</v>
      </c>
      <c r="CH254" s="70">
        <f t="shared" si="1104"/>
        <v>74</v>
      </c>
      <c r="CI254" s="71">
        <f t="shared" si="1105"/>
        <v>78</v>
      </c>
      <c r="CJ254" s="72">
        <f t="shared" si="1106"/>
        <v>109</v>
      </c>
      <c r="CK254" s="72">
        <f t="shared" si="1107"/>
        <v>114</v>
      </c>
      <c r="CL254" s="72">
        <f t="shared" si="1108"/>
        <v>150</v>
      </c>
      <c r="CM254" s="72">
        <f t="shared" si="1109"/>
        <v>154</v>
      </c>
      <c r="CN254" s="72">
        <f t="shared" si="1110"/>
        <v>183</v>
      </c>
      <c r="CO254" s="72">
        <f t="shared" si="1111"/>
        <v>204</v>
      </c>
      <c r="CP254" s="72">
        <f t="shared" si="1112"/>
        <v>242</v>
      </c>
      <c r="CQ254" s="72">
        <f t="shared" si="1113"/>
        <v>324</v>
      </c>
      <c r="CR254" s="72">
        <f t="shared" si="1114"/>
        <v>361</v>
      </c>
      <c r="CS254" s="72">
        <f t="shared" si="1115"/>
        <v>373</v>
      </c>
      <c r="CT254" s="23">
        <f t="shared" si="1116"/>
        <v>1</v>
      </c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2"/>
    </row>
    <row r="255" spans="1:1030" x14ac:dyDescent="0.2">
      <c r="A255" s="3" t="str">
        <f t="shared" si="1117"/>
        <v>ox1r_human_4ZJC</v>
      </c>
      <c r="B255" s="3" t="s">
        <v>1175</v>
      </c>
      <c r="C255" s="3" t="s">
        <v>91</v>
      </c>
      <c r="D255" s="3" t="str">
        <f>IFERROR(MID(VLOOKUP($B255,Seqs!$A:$B,2,0),E255,1),"")</f>
        <v>E</v>
      </c>
      <c r="E255" s="3">
        <v>46</v>
      </c>
      <c r="F255" s="3" t="str">
        <f>IFERROR(MID(VLOOKUP($B255,Seqs!$A:$B,2,0),G255,1),"")</f>
        <v>N</v>
      </c>
      <c r="G255" s="3">
        <v>74</v>
      </c>
      <c r="H255" s="3" t="str">
        <f>IFERROR(MID(VLOOKUP($B255,Seqs!$A:$B,2,0),I255,1),"")</f>
        <v>H</v>
      </c>
      <c r="I255" s="23">
        <v>75</v>
      </c>
      <c r="J255" s="3" t="str">
        <f>IFERROR(MID(VLOOKUP($B255,Seqs!$A:$B,2,0),K255,1),"")</f>
        <v>R</v>
      </c>
      <c r="K255" s="23">
        <v>78</v>
      </c>
      <c r="L255" s="3" t="str">
        <f>IFERROR(MID(VLOOKUP($B255,Seqs!$A:$B,2,0),M255,1),"")</f>
        <v>T</v>
      </c>
      <c r="M255" s="3">
        <v>79</v>
      </c>
      <c r="N255" s="3" t="str">
        <f>IFERROR(MID(VLOOKUP($B255,Seqs!$A:$B,2,0),O255,1),"")</f>
        <v>T</v>
      </c>
      <c r="O255" s="3">
        <v>109</v>
      </c>
      <c r="P255" s="3" t="str">
        <f>IFERROR(MID(VLOOKUP($B255,Seqs!$A:$B,2,0),Q255,1),"")</f>
        <v>S</v>
      </c>
      <c r="Q255" s="3">
        <v>111</v>
      </c>
      <c r="R255" s="3" t="str">
        <f>IFERROR(MID(VLOOKUP($B255,Seqs!$A:$B,2,0),S255,1),"")</f>
        <v>F</v>
      </c>
      <c r="S255" s="3">
        <v>114</v>
      </c>
      <c r="T255" s="3" t="str">
        <f>IFERROR(MID(VLOOKUP($B255,Seqs!$A:$B,2,0),U255,1),"")</f>
        <v>G</v>
      </c>
      <c r="U255" s="3">
        <v>115</v>
      </c>
      <c r="V255" s="3" t="str">
        <f>IFERROR(MID(VLOOKUP($B255,Seqs!$A:$B,2,0),W255,1),"")</f>
        <v>H</v>
      </c>
      <c r="W255" s="3">
        <v>150</v>
      </c>
      <c r="X255" s="3" t="str">
        <f>IFERROR(MID(VLOOKUP($B255,Seqs!$A:$B,2,0),Y255,1),"")</f>
        <v>P</v>
      </c>
      <c r="Y255" s="3">
        <v>151</v>
      </c>
      <c r="Z255" s="3" t="str">
        <f>IFERROR(MID(VLOOKUP($B255,Seqs!$A:$B,2,0),AA255,1),"")</f>
        <v>F</v>
      </c>
      <c r="AA255" s="3">
        <v>154</v>
      </c>
      <c r="AB255" s="3" t="str">
        <f>IFERROR(MID(VLOOKUP($B255,Seqs!$A:$B,2,0),AC255,1),"")</f>
        <v>T</v>
      </c>
      <c r="AC255" s="9">
        <v>157</v>
      </c>
      <c r="AD255" s="3" t="str">
        <f>IFERROR(MID(VLOOKUP($B255,Seqs!$A:$B,2,0),AE255,1),"")</f>
        <v>M</v>
      </c>
      <c r="AE255" s="3">
        <v>183</v>
      </c>
      <c r="AF255" s="3" t="str">
        <f>IFERROR(MID(VLOOKUP($B255,Seqs!$A:$B,2,0),AG255,1),"")</f>
        <v>C</v>
      </c>
      <c r="AG255" s="3">
        <v>202</v>
      </c>
      <c r="AH255" s="3" t="str">
        <f>IFERROR(MID(VLOOKUP($B255,Seqs!$A:$B,2,0),AI255,1),"")</f>
        <v>E</v>
      </c>
      <c r="AI255" s="3">
        <v>204</v>
      </c>
      <c r="AJ255" s="3" t="str">
        <f>IFERROR(MID(VLOOKUP($B255,Seqs!$A:$B,2,0),AK255,1),"")</f>
        <v>D</v>
      </c>
      <c r="AK255" s="3">
        <v>209</v>
      </c>
      <c r="AL255" s="3" t="str">
        <f>IFERROR(MID(VLOOKUP($B255,Seqs!$A:$B,2,0),AM255,1),"")</f>
        <v>L</v>
      </c>
      <c r="AM255" s="3">
        <v>242</v>
      </c>
      <c r="AN255" s="3" t="str">
        <f>IFERROR(MID(VLOOKUP($B255,Seqs!$A:$B,2,0),AO255,1),"")</f>
        <v>K</v>
      </c>
      <c r="AO255" s="3">
        <v>288</v>
      </c>
      <c r="AP255" s="3" t="str">
        <f>IFERROR(MID(VLOOKUP($B255,Seqs!$A:$B,2,0),AQ255,1),"")</f>
        <v>F</v>
      </c>
      <c r="AQ255" s="3">
        <v>324</v>
      </c>
      <c r="AR255" s="3" t="str">
        <f>IFERROR(MID(VLOOKUP($B255,Seqs!$A:$B,2,0),AS255,1),"")</f>
        <v>R</v>
      </c>
      <c r="AS255" s="3">
        <v>333</v>
      </c>
      <c r="AT255" s="3" t="str">
        <f>IFERROR(MID(VLOOKUP($B255,Seqs!$A:$B,2,0),AU255,1),"")</f>
        <v>L</v>
      </c>
      <c r="AU255" s="3">
        <v>361</v>
      </c>
      <c r="AV255" s="3" t="str">
        <f>IFERROR(MID(VLOOKUP($B255,Seqs!$A:$B,2,0),AW255,1),"")</f>
        <v>S</v>
      </c>
      <c r="AW255" s="3">
        <v>362</v>
      </c>
      <c r="AX255" s="3" t="str">
        <f>IFERROR(MID(VLOOKUP($B255,Seqs!$A:$B,2,0),AY255,1),"")</f>
        <v>F</v>
      </c>
      <c r="AY255" s="3">
        <v>373</v>
      </c>
      <c r="AZ255" s="77" t="str">
        <f>VLOOKUP(B255,Classification!A:D,2,0)</f>
        <v>A</v>
      </c>
      <c r="BA255" s="94" t="str">
        <f>VLOOKUP(B255,Classification!A:D,4,0)</f>
        <v>Orexin</v>
      </c>
      <c r="BB255" s="27" t="b">
        <f t="shared" si="1118"/>
        <v>1</v>
      </c>
      <c r="BC255" s="23">
        <f t="shared" si="1091"/>
        <v>250</v>
      </c>
      <c r="BD255" s="2" t="s">
        <v>23</v>
      </c>
      <c r="BE255" s="3" t="s">
        <v>1380</v>
      </c>
      <c r="BF255" s="119">
        <v>2.83</v>
      </c>
      <c r="BG255" s="49" t="s">
        <v>1383</v>
      </c>
      <c r="BH255" s="49" t="s">
        <v>1383</v>
      </c>
      <c r="BI255" s="1"/>
      <c r="BJ255" s="70" t="s">
        <v>1293</v>
      </c>
      <c r="BK255" s="57" t="s">
        <v>1293</v>
      </c>
      <c r="BL255" s="57" t="s">
        <v>1293</v>
      </c>
      <c r="BM255" s="57" t="s">
        <v>1293</v>
      </c>
      <c r="BN255" s="57" t="s">
        <v>1293</v>
      </c>
      <c r="BO255" s="57" t="s">
        <v>1293</v>
      </c>
      <c r="BP255" s="57" t="s">
        <v>1293</v>
      </c>
      <c r="BQ255" s="57" t="s">
        <v>1293</v>
      </c>
      <c r="BR255" s="57" t="s">
        <v>1293</v>
      </c>
      <c r="BS255" s="57" t="s">
        <v>1293</v>
      </c>
      <c r="BT255" s="57" t="s">
        <v>1293</v>
      </c>
      <c r="BU255" s="57" t="s">
        <v>1293</v>
      </c>
      <c r="BV255" s="70">
        <f t="shared" si="1092"/>
        <v>46</v>
      </c>
      <c r="BW255" s="71">
        <f t="shared" si="1093"/>
        <v>75</v>
      </c>
      <c r="BX255" s="72">
        <f t="shared" si="1094"/>
        <v>79</v>
      </c>
      <c r="BY255" s="71">
        <f t="shared" si="1095"/>
        <v>111</v>
      </c>
      <c r="BZ255" s="72">
        <f t="shared" si="1096"/>
        <v>115</v>
      </c>
      <c r="CA255" s="71">
        <f t="shared" si="1097"/>
        <v>151</v>
      </c>
      <c r="CB255" s="72">
        <f t="shared" si="1098"/>
        <v>157</v>
      </c>
      <c r="CC255" s="71">
        <f t="shared" si="1099"/>
        <v>202</v>
      </c>
      <c r="CD255" s="72">
        <f t="shared" si="1100"/>
        <v>209</v>
      </c>
      <c r="CE255" s="71">
        <f t="shared" si="1101"/>
        <v>288</v>
      </c>
      <c r="CF255" s="72">
        <f t="shared" si="1102"/>
        <v>333</v>
      </c>
      <c r="CG255" s="71">
        <f t="shared" si="1103"/>
        <v>362</v>
      </c>
      <c r="CH255" s="70">
        <f t="shared" si="1104"/>
        <v>74</v>
      </c>
      <c r="CI255" s="71">
        <f t="shared" si="1105"/>
        <v>78</v>
      </c>
      <c r="CJ255" s="72">
        <f t="shared" si="1106"/>
        <v>109</v>
      </c>
      <c r="CK255" s="72">
        <f t="shared" si="1107"/>
        <v>114</v>
      </c>
      <c r="CL255" s="72">
        <f t="shared" si="1108"/>
        <v>150</v>
      </c>
      <c r="CM255" s="72">
        <f t="shared" si="1109"/>
        <v>154</v>
      </c>
      <c r="CN255" s="72">
        <f t="shared" si="1110"/>
        <v>183</v>
      </c>
      <c r="CO255" s="72">
        <f t="shared" si="1111"/>
        <v>204</v>
      </c>
      <c r="CP255" s="72">
        <f t="shared" si="1112"/>
        <v>242</v>
      </c>
      <c r="CQ255" s="72">
        <f t="shared" si="1113"/>
        <v>324</v>
      </c>
      <c r="CR255" s="72">
        <f t="shared" si="1114"/>
        <v>361</v>
      </c>
      <c r="CS255" s="72">
        <f t="shared" si="1115"/>
        <v>373</v>
      </c>
      <c r="CT255" s="23">
        <f t="shared" si="1116"/>
        <v>1</v>
      </c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2"/>
    </row>
    <row r="256" spans="1:1030" x14ac:dyDescent="0.2">
      <c r="A256" s="3" t="str">
        <f t="shared" si="1117"/>
        <v>ox2r_human__wt</v>
      </c>
      <c r="B256" s="3" t="s">
        <v>1176</v>
      </c>
      <c r="C256" s="3" t="s">
        <v>100</v>
      </c>
      <c r="D256" s="3" t="str">
        <f>IFERROR(MID(VLOOKUP($B256,Seqs!$A:$B,2,0),E256,1),"")</f>
        <v>Y</v>
      </c>
      <c r="E256" s="3">
        <v>53</v>
      </c>
      <c r="F256" s="3" t="str">
        <f>IFERROR(MID(VLOOKUP($B256,Seqs!$A:$B,2,0),G256,1),"")</f>
        <v>N</v>
      </c>
      <c r="G256" s="3">
        <v>82</v>
      </c>
      <c r="H256" s="3" t="str">
        <f>IFERROR(MID(VLOOKUP($B256,Seqs!$A:$B,2,0),I256,1),"")</f>
        <v>H</v>
      </c>
      <c r="I256" s="23">
        <v>83</v>
      </c>
      <c r="J256" s="3" t="str">
        <f>IFERROR(MID(VLOOKUP($B256,Seqs!$A:$B,2,0),K256,1),"")</f>
        <v>R</v>
      </c>
      <c r="K256" s="23">
        <v>86</v>
      </c>
      <c r="L256" s="3" t="str">
        <f>IFERROR(MID(VLOOKUP($B256,Seqs!$A:$B,2,0),M256,1),"")</f>
        <v>T</v>
      </c>
      <c r="M256" s="3">
        <v>87</v>
      </c>
      <c r="N256" s="3" t="str">
        <f>IFERROR(MID(VLOOKUP($B256,Seqs!$A:$B,2,0),O256,1),"")</f>
        <v>E</v>
      </c>
      <c r="O256" s="105">
        <v>118</v>
      </c>
      <c r="P256" s="3" t="str">
        <f>IFERROR(MID(VLOOKUP($B256,Seqs!$A:$B,2,0),Q256,1),"")</f>
        <v>T</v>
      </c>
      <c r="Q256" s="3">
        <v>119</v>
      </c>
      <c r="R256" s="3" t="str">
        <f>IFERROR(MID(VLOOKUP($B256,Seqs!$A:$B,2,0),S256,1),"")</f>
        <v>F</v>
      </c>
      <c r="S256" s="3">
        <v>122</v>
      </c>
      <c r="T256" s="3" t="str">
        <f>IFERROR(MID(VLOOKUP($B256,Seqs!$A:$B,2,0),U256,1),"")</f>
        <v>G</v>
      </c>
      <c r="U256" s="3">
        <v>123</v>
      </c>
      <c r="V256" s="3" t="str">
        <f>IFERROR(MID(VLOOKUP($B256,Seqs!$A:$B,2,0),W256,1),"")</f>
        <v>H</v>
      </c>
      <c r="W256" s="3">
        <v>158</v>
      </c>
      <c r="X256" s="3" t="str">
        <f>IFERROR(MID(VLOOKUP($B256,Seqs!$A:$B,2,0),Y256,1),"")</f>
        <v>P</v>
      </c>
      <c r="Y256" s="3">
        <v>159</v>
      </c>
      <c r="Z256" s="3" t="str">
        <f>IFERROR(MID(VLOOKUP($B256,Seqs!$A:$B,2,0),AA256,1),"")</f>
        <v>F</v>
      </c>
      <c r="AA256" s="73">
        <v>162</v>
      </c>
      <c r="AB256" s="3" t="str">
        <f>IFERROR(MID(VLOOKUP($B256,Seqs!$A:$B,2,0),AC256,1),"")</f>
        <v>T</v>
      </c>
      <c r="AC256" s="9">
        <v>165</v>
      </c>
      <c r="AD256" s="3" t="str">
        <f>IFERROR(MID(VLOOKUP($B256,Seqs!$A:$B,2,0),AE256,1),"")</f>
        <v>M</v>
      </c>
      <c r="AE256" s="3">
        <v>191</v>
      </c>
      <c r="AF256" s="3" t="str">
        <f>IFERROR(MID(VLOOKUP($B256,Seqs!$A:$B,2,0),AG256,1),"")</f>
        <v>C</v>
      </c>
      <c r="AG256" s="3">
        <v>210</v>
      </c>
      <c r="AH256" s="3" t="str">
        <f>IFERROR(MID(VLOOKUP($B256,Seqs!$A:$B,2,0),AI256,1),"")</f>
        <v>E</v>
      </c>
      <c r="AI256" s="3">
        <v>212</v>
      </c>
      <c r="AJ256" s="3" t="str">
        <f>IFERROR(MID(VLOOKUP($B256,Seqs!$A:$B,2,0),AK256,1),"")</f>
        <v>I</v>
      </c>
      <c r="AK256" s="105">
        <v>218</v>
      </c>
      <c r="AL256" s="3" t="str">
        <f>IFERROR(MID(VLOOKUP($B256,Seqs!$A:$B,2,0),AM256,1),"")</f>
        <v>P</v>
      </c>
      <c r="AM256" s="3">
        <v>256</v>
      </c>
      <c r="AN256" s="3" t="str">
        <f>IFERROR(MID(VLOOKUP($B256,Seqs!$A:$B,2,0),AO256,1),"")</f>
        <v>V</v>
      </c>
      <c r="AO256" s="3">
        <v>289</v>
      </c>
      <c r="AP256" s="3" t="str">
        <f>IFERROR(MID(VLOOKUP($B256,Seqs!$A:$B,2,0),AQ256,1),"")</f>
        <v>F</v>
      </c>
      <c r="AQ256" s="3">
        <v>330</v>
      </c>
      <c r="AR256" s="3" t="str">
        <f>IFERROR(MID(VLOOKUP($B256,Seqs!$A:$B,2,0),AS256,1),"")</f>
        <v>D</v>
      </c>
      <c r="AS256" s="105">
        <v>338</v>
      </c>
      <c r="AT256" s="3" t="str">
        <f>IFERROR(MID(VLOOKUP($B256,Seqs!$A:$B,2,0),AU256,1),"")</f>
        <v>L</v>
      </c>
      <c r="AU256" s="3">
        <v>367</v>
      </c>
      <c r="AV256" s="3" t="str">
        <f>IFERROR(MID(VLOOKUP($B256,Seqs!$A:$B,2,0),AW256,1),"")</f>
        <v>S</v>
      </c>
      <c r="AW256" s="3">
        <v>368</v>
      </c>
      <c r="AX256" s="3" t="str">
        <f>IFERROR(MID(VLOOKUP($B256,Seqs!$A:$B,2,0),AY256,1),"")</f>
        <v>F</v>
      </c>
      <c r="AY256" s="3">
        <v>379</v>
      </c>
      <c r="AZ256" s="77" t="str">
        <f>VLOOKUP(B256,Classification!A:D,2,0)</f>
        <v>A</v>
      </c>
      <c r="BA256" s="94" t="str">
        <f>VLOOKUP(B256,Classification!A:D,4,0)</f>
        <v>Orexin</v>
      </c>
      <c r="BB256" s="27" t="b">
        <f t="shared" si="1118"/>
        <v>1</v>
      </c>
      <c r="BC256" s="23">
        <f t="shared" si="1091"/>
        <v>263</v>
      </c>
      <c r="BD256" s="56" t="s">
        <v>23</v>
      </c>
      <c r="BE256" s="3" t="s">
        <v>23</v>
      </c>
      <c r="BF256" s="119" t="s">
        <v>23</v>
      </c>
      <c r="BG256" s="49" t="s">
        <v>1378</v>
      </c>
      <c r="BH256" s="49" t="s">
        <v>1383</v>
      </c>
      <c r="BI256" s="1"/>
      <c r="BJ256" s="70" t="s">
        <v>1293</v>
      </c>
      <c r="BK256" s="57" t="s">
        <v>1293</v>
      </c>
      <c r="BL256" s="57" t="s">
        <v>1293</v>
      </c>
      <c r="BM256" s="57" t="s">
        <v>1293</v>
      </c>
      <c r="BN256" s="57" t="s">
        <v>1293</v>
      </c>
      <c r="BO256" s="57" t="s">
        <v>1293</v>
      </c>
      <c r="BP256" s="57" t="s">
        <v>1293</v>
      </c>
      <c r="BQ256" s="57" t="s">
        <v>1293</v>
      </c>
      <c r="BR256" s="57" t="s">
        <v>1293</v>
      </c>
      <c r="BS256" s="57" t="s">
        <v>1293</v>
      </c>
      <c r="BT256" s="57" t="s">
        <v>1293</v>
      </c>
      <c r="BU256" s="57" t="s">
        <v>1293</v>
      </c>
      <c r="BV256" s="70">
        <f t="shared" si="1092"/>
        <v>53</v>
      </c>
      <c r="BW256" s="71">
        <f t="shared" si="1093"/>
        <v>83</v>
      </c>
      <c r="BX256" s="72">
        <f t="shared" si="1094"/>
        <v>87</v>
      </c>
      <c r="BY256" s="71">
        <f t="shared" si="1095"/>
        <v>119</v>
      </c>
      <c r="BZ256" s="72">
        <f t="shared" si="1096"/>
        <v>123</v>
      </c>
      <c r="CA256" s="71">
        <f t="shared" si="1097"/>
        <v>159</v>
      </c>
      <c r="CB256" s="72">
        <f t="shared" si="1098"/>
        <v>165</v>
      </c>
      <c r="CC256" s="71">
        <f t="shared" si="1099"/>
        <v>210</v>
      </c>
      <c r="CD256" s="72">
        <f t="shared" si="1100"/>
        <v>218</v>
      </c>
      <c r="CE256" s="71">
        <f t="shared" si="1101"/>
        <v>289</v>
      </c>
      <c r="CF256" s="72">
        <f t="shared" si="1102"/>
        <v>338</v>
      </c>
      <c r="CG256" s="71">
        <f t="shared" si="1103"/>
        <v>368</v>
      </c>
      <c r="CH256" s="70">
        <f t="shared" si="1104"/>
        <v>82</v>
      </c>
      <c r="CI256" s="71">
        <f t="shared" si="1105"/>
        <v>86</v>
      </c>
      <c r="CJ256" s="72">
        <f t="shared" si="1106"/>
        <v>118</v>
      </c>
      <c r="CK256" s="72">
        <f t="shared" si="1107"/>
        <v>122</v>
      </c>
      <c r="CL256" s="72">
        <f t="shared" si="1108"/>
        <v>158</v>
      </c>
      <c r="CM256" s="72">
        <f t="shared" si="1109"/>
        <v>162</v>
      </c>
      <c r="CN256" s="72">
        <f t="shared" si="1110"/>
        <v>191</v>
      </c>
      <c r="CO256" s="72">
        <f t="shared" si="1111"/>
        <v>212</v>
      </c>
      <c r="CP256" s="72">
        <f t="shared" si="1112"/>
        <v>256</v>
      </c>
      <c r="CQ256" s="72">
        <f t="shared" si="1113"/>
        <v>330</v>
      </c>
      <c r="CR256" s="72">
        <f t="shared" si="1114"/>
        <v>367</v>
      </c>
      <c r="CS256" s="72">
        <f t="shared" si="1115"/>
        <v>379</v>
      </c>
      <c r="CT256" s="23">
        <f t="shared" si="1116"/>
        <v>1</v>
      </c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</row>
    <row r="257" spans="1:1029" x14ac:dyDescent="0.2">
      <c r="A257" s="3" t="str">
        <f t="shared" si="1117"/>
        <v>ox2r_human_4S0V</v>
      </c>
      <c r="B257" s="3" t="s">
        <v>1176</v>
      </c>
      <c r="C257" s="3" t="s">
        <v>92</v>
      </c>
      <c r="D257" s="3" t="str">
        <f>IFERROR(MID(VLOOKUP($B257,Seqs!$A:$B,2,0),E257,1),"")</f>
        <v>Y</v>
      </c>
      <c r="E257" s="3">
        <v>53</v>
      </c>
      <c r="F257" s="3" t="str">
        <f>IFERROR(MID(VLOOKUP($B257,Seqs!$A:$B,2,0),G257,1),"")</f>
        <v>N</v>
      </c>
      <c r="G257" s="3">
        <v>82</v>
      </c>
      <c r="H257" s="3" t="str">
        <f>IFERROR(MID(VLOOKUP($B257,Seqs!$A:$B,2,0),I257,1),"")</f>
        <v>H</v>
      </c>
      <c r="I257" s="23">
        <v>83</v>
      </c>
      <c r="J257" s="3" t="str">
        <f>IFERROR(MID(VLOOKUP($B257,Seqs!$A:$B,2,0),K257,1),"")</f>
        <v>R</v>
      </c>
      <c r="K257" s="23">
        <v>86</v>
      </c>
      <c r="L257" s="3" t="str">
        <f>IFERROR(MID(VLOOKUP($B257,Seqs!$A:$B,2,0),M257,1),"")</f>
        <v>T</v>
      </c>
      <c r="M257" s="3">
        <v>87</v>
      </c>
      <c r="N257" s="3" t="str">
        <f>IFERROR(MID(VLOOKUP($B257,Seqs!$A:$B,2,0),O257,1),"")</f>
        <v>E</v>
      </c>
      <c r="O257" s="105">
        <v>118</v>
      </c>
      <c r="P257" s="3" t="str">
        <f>IFERROR(MID(VLOOKUP($B257,Seqs!$A:$B,2,0),Q257,1),"")</f>
        <v>T</v>
      </c>
      <c r="Q257" s="3">
        <v>119</v>
      </c>
      <c r="R257" s="3" t="str">
        <f>IFERROR(MID(VLOOKUP($B257,Seqs!$A:$B,2,0),S257,1),"")</f>
        <v>F</v>
      </c>
      <c r="S257" s="3">
        <v>122</v>
      </c>
      <c r="T257" s="3" t="str">
        <f>IFERROR(MID(VLOOKUP($B257,Seqs!$A:$B,2,0),U257,1),"")</f>
        <v>G</v>
      </c>
      <c r="U257" s="3">
        <v>123</v>
      </c>
      <c r="V257" s="3" t="str">
        <f>IFERROR(MID(VLOOKUP($B257,Seqs!$A:$B,2,0),W257,1),"")</f>
        <v>H</v>
      </c>
      <c r="W257" s="3">
        <v>158</v>
      </c>
      <c r="X257" s="3" t="str">
        <f>IFERROR(MID(VLOOKUP($B257,Seqs!$A:$B,2,0),Y257,1),"")</f>
        <v/>
      </c>
      <c r="Y257" s="3" t="s">
        <v>23</v>
      </c>
      <c r="Z257" s="3" t="str">
        <f>IFERROR(MID(VLOOKUP($B257,Seqs!$A:$B,2,0),AA257,1),"")</f>
        <v/>
      </c>
      <c r="AA257" s="3" t="s">
        <v>23</v>
      </c>
      <c r="AB257" s="3" t="str">
        <f>IFERROR(MID(VLOOKUP($B257,Seqs!$A:$B,2,0),AC257,1),"")</f>
        <v>T</v>
      </c>
      <c r="AC257" s="9">
        <v>165</v>
      </c>
      <c r="AD257" s="3" t="str">
        <f>IFERROR(MID(VLOOKUP($B257,Seqs!$A:$B,2,0),AE257,1),"")</f>
        <v>M</v>
      </c>
      <c r="AE257" s="3">
        <v>191</v>
      </c>
      <c r="AF257" s="3" t="str">
        <f>IFERROR(MID(VLOOKUP($B257,Seqs!$A:$B,2,0),AG257,1),"")</f>
        <v>C</v>
      </c>
      <c r="AG257" s="3">
        <v>210</v>
      </c>
      <c r="AH257" s="3" t="str">
        <f>IFERROR(MID(VLOOKUP($B257,Seqs!$A:$B,2,0),AI257,1),"")</f>
        <v>E</v>
      </c>
      <c r="AI257" s="3">
        <v>212</v>
      </c>
      <c r="AJ257" s="3" t="str">
        <f>IFERROR(MID(VLOOKUP($B257,Seqs!$A:$B,2,0),AK257,1),"")</f>
        <v>I</v>
      </c>
      <c r="AK257" s="105">
        <v>218</v>
      </c>
      <c r="AL257" s="3" t="str">
        <f>IFERROR(MID(VLOOKUP($B257,Seqs!$A:$B,2,0),AM257,1),"")</f>
        <v>C</v>
      </c>
      <c r="AM257" s="105">
        <v>252</v>
      </c>
      <c r="AN257" s="3" t="str">
        <f>IFERROR(MID(VLOOKUP($B257,Seqs!$A:$B,2,0),AO257,1),"")</f>
        <v>K</v>
      </c>
      <c r="AO257" s="3">
        <v>294</v>
      </c>
      <c r="AP257" s="3" t="str">
        <f>IFERROR(MID(VLOOKUP($B257,Seqs!$A:$B,2,0),AQ257,1),"")</f>
        <v>F</v>
      </c>
      <c r="AQ257" s="3">
        <v>330</v>
      </c>
      <c r="AR257" s="3" t="str">
        <f>IFERROR(MID(VLOOKUP($B257,Seqs!$A:$B,2,0),AS257,1),"")</f>
        <v>R</v>
      </c>
      <c r="AS257" s="3">
        <v>339</v>
      </c>
      <c r="AT257" s="3" t="str">
        <f>IFERROR(MID(VLOOKUP($B257,Seqs!$A:$B,2,0),AU257,1),"")</f>
        <v>L</v>
      </c>
      <c r="AU257" s="3">
        <v>367</v>
      </c>
      <c r="AV257" s="3" t="str">
        <f>IFERROR(MID(VLOOKUP($B257,Seqs!$A:$B,2,0),AW257,1),"")</f>
        <v>S</v>
      </c>
      <c r="AW257" s="3">
        <v>368</v>
      </c>
      <c r="AX257" s="3" t="str">
        <f>IFERROR(MID(VLOOKUP($B257,Seqs!$A:$B,2,0),AY257,1),"")</f>
        <v>F</v>
      </c>
      <c r="AY257" s="3">
        <v>379</v>
      </c>
      <c r="AZ257" s="77" t="str">
        <f>VLOOKUP(B257,Classification!A:D,2,0)</f>
        <v>A</v>
      </c>
      <c r="BA257" s="94" t="str">
        <f>VLOOKUP(B257,Classification!A:D,4,0)</f>
        <v>Orexin</v>
      </c>
      <c r="BB257" s="27" t="b">
        <f t="shared" si="1118"/>
        <v>1</v>
      </c>
      <c r="BC257" s="23">
        <f t="shared" si="1091"/>
        <v>250</v>
      </c>
      <c r="BD257" s="2" t="s">
        <v>23</v>
      </c>
      <c r="BE257" s="3" t="s">
        <v>1380</v>
      </c>
      <c r="BF257" s="119">
        <v>2.5</v>
      </c>
      <c r="BG257" s="49" t="s">
        <v>1383</v>
      </c>
      <c r="BH257" s="49" t="s">
        <v>1383</v>
      </c>
      <c r="BI257" s="1"/>
      <c r="BJ257" s="70" t="s">
        <v>1293</v>
      </c>
      <c r="BK257" s="57" t="s">
        <v>1293</v>
      </c>
      <c r="BL257" s="57" t="s">
        <v>1293</v>
      </c>
      <c r="BM257" s="57" t="s">
        <v>1293</v>
      </c>
      <c r="BN257" s="57" t="s">
        <v>1293</v>
      </c>
      <c r="BO257" s="57" t="s">
        <v>1293</v>
      </c>
      <c r="BP257" s="57" t="s">
        <v>1293</v>
      </c>
      <c r="BQ257" s="57" t="s">
        <v>1293</v>
      </c>
      <c r="BR257" s="57" t="s">
        <v>1293</v>
      </c>
      <c r="BS257" s="57" t="s">
        <v>1293</v>
      </c>
      <c r="BT257" s="57" t="s">
        <v>1293</v>
      </c>
      <c r="BU257" s="57" t="s">
        <v>1293</v>
      </c>
      <c r="BV257" s="70">
        <f t="shared" si="1092"/>
        <v>53</v>
      </c>
      <c r="BW257" s="71">
        <f t="shared" si="1093"/>
        <v>83</v>
      </c>
      <c r="BX257" s="72">
        <f t="shared" si="1094"/>
        <v>87</v>
      </c>
      <c r="BY257" s="71">
        <f t="shared" si="1095"/>
        <v>119</v>
      </c>
      <c r="BZ257" s="72">
        <f t="shared" si="1096"/>
        <v>123</v>
      </c>
      <c r="CA257" s="71" t="str">
        <f t="shared" si="1097"/>
        <v>-</v>
      </c>
      <c r="CB257" s="72">
        <f t="shared" si="1098"/>
        <v>165</v>
      </c>
      <c r="CC257" s="71">
        <f t="shared" si="1099"/>
        <v>210</v>
      </c>
      <c r="CD257" s="72">
        <f t="shared" si="1100"/>
        <v>218</v>
      </c>
      <c r="CE257" s="71">
        <f t="shared" si="1101"/>
        <v>294</v>
      </c>
      <c r="CF257" s="72">
        <f t="shared" si="1102"/>
        <v>339</v>
      </c>
      <c r="CG257" s="71">
        <f t="shared" si="1103"/>
        <v>368</v>
      </c>
      <c r="CH257" s="70">
        <f t="shared" si="1104"/>
        <v>82</v>
      </c>
      <c r="CI257" s="71">
        <f t="shared" si="1105"/>
        <v>86</v>
      </c>
      <c r="CJ257" s="72">
        <f t="shared" si="1106"/>
        <v>118</v>
      </c>
      <c r="CK257" s="72">
        <f t="shared" si="1107"/>
        <v>122</v>
      </c>
      <c r="CL257" s="72">
        <f t="shared" si="1108"/>
        <v>158</v>
      </c>
      <c r="CM257" s="72" t="str">
        <f t="shared" si="1109"/>
        <v>-</v>
      </c>
      <c r="CN257" s="72">
        <f t="shared" si="1110"/>
        <v>191</v>
      </c>
      <c r="CO257" s="72">
        <f t="shared" si="1111"/>
        <v>212</v>
      </c>
      <c r="CP257" s="72">
        <f t="shared" si="1112"/>
        <v>252</v>
      </c>
      <c r="CQ257" s="72">
        <f t="shared" si="1113"/>
        <v>330</v>
      </c>
      <c r="CR257" s="72">
        <f t="shared" si="1114"/>
        <v>367</v>
      </c>
      <c r="CS257" s="72">
        <f t="shared" si="1115"/>
        <v>379</v>
      </c>
      <c r="CT257" s="23">
        <f t="shared" si="1116"/>
        <v>1</v>
      </c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</row>
    <row r="258" spans="1:1029" x14ac:dyDescent="0.2">
      <c r="A258" s="3" t="str">
        <f>CONCATENATE(B258,"_",C258)</f>
        <v>ox2r_human_5WQC</v>
      </c>
      <c r="B258" s="3" t="s">
        <v>1176</v>
      </c>
      <c r="C258" s="3" t="s">
        <v>1458</v>
      </c>
      <c r="D258" s="3" t="str">
        <f>IFERROR(MID(VLOOKUP($B258,Seqs!$A:$B,2,0),E258,1),"")</f>
        <v>Y</v>
      </c>
      <c r="E258" s="3">
        <v>53</v>
      </c>
      <c r="F258" s="3" t="str">
        <f>IFERROR(MID(VLOOKUP($B258,Seqs!$A:$B,2,0),G258,1),"")</f>
        <v>N</v>
      </c>
      <c r="G258" s="3">
        <v>82</v>
      </c>
      <c r="H258" s="3" t="str">
        <f>IFERROR(MID(VLOOKUP($B258,Seqs!$A:$B,2,0),I258,1),"")</f>
        <v>H</v>
      </c>
      <c r="I258" s="23">
        <v>83</v>
      </c>
      <c r="J258" s="3" t="str">
        <f>IFERROR(MID(VLOOKUP($B258,Seqs!$A:$B,2,0),K258,1),"")</f>
        <v>R</v>
      </c>
      <c r="K258" s="23">
        <v>86</v>
      </c>
      <c r="L258" s="3" t="str">
        <f>IFERROR(MID(VLOOKUP($B258,Seqs!$A:$B,2,0),M258,1),"")</f>
        <v>T</v>
      </c>
      <c r="M258" s="3">
        <v>87</v>
      </c>
      <c r="N258" s="3" t="str">
        <f>IFERROR(MID(VLOOKUP($B258,Seqs!$A:$B,2,0),O258,1),"")</f>
        <v>E</v>
      </c>
      <c r="O258" s="3">
        <v>118</v>
      </c>
      <c r="P258" s="3" t="str">
        <f>IFERROR(MID(VLOOKUP($B258,Seqs!$A:$B,2,0),Q258,1),"")</f>
        <v>T</v>
      </c>
      <c r="Q258" s="3">
        <v>119</v>
      </c>
      <c r="R258" s="3" t="str">
        <f>IFERROR(MID(VLOOKUP($B258,Seqs!$A:$B,2,0),S258,1),"")</f>
        <v>F</v>
      </c>
      <c r="S258" s="3">
        <v>122</v>
      </c>
      <c r="T258" s="3" t="str">
        <f>IFERROR(MID(VLOOKUP($B258,Seqs!$A:$B,2,0),U258,1),"")</f>
        <v>G</v>
      </c>
      <c r="U258" s="3">
        <v>123</v>
      </c>
      <c r="V258" s="3" t="str">
        <f>IFERROR(MID(VLOOKUP($B258,Seqs!$A:$B,2,0),W258,1),"")</f>
        <v>H</v>
      </c>
      <c r="W258" s="3">
        <v>158</v>
      </c>
      <c r="X258" s="3" t="str">
        <f>IFERROR(MID(VLOOKUP($B258,Seqs!$A:$B,2,0),Y258,1),"")</f>
        <v/>
      </c>
      <c r="Y258" s="3" t="s">
        <v>23</v>
      </c>
      <c r="Z258" s="3" t="str">
        <f>IFERROR(MID(VLOOKUP($B258,Seqs!$A:$B,2,0),AA258,1),"")</f>
        <v/>
      </c>
      <c r="AA258" s="3" t="s">
        <v>23</v>
      </c>
      <c r="AB258" s="3" t="str">
        <f>IFERROR(MID(VLOOKUP($B258,Seqs!$A:$B,2,0),AC258,1),"")</f>
        <v>T</v>
      </c>
      <c r="AC258" s="3">
        <v>165</v>
      </c>
      <c r="AD258" s="3" t="str">
        <f>IFERROR(MID(VLOOKUP($B258,Seqs!$A:$B,2,0),AE258,1),"")</f>
        <v>M</v>
      </c>
      <c r="AE258" s="3">
        <v>191</v>
      </c>
      <c r="AF258" s="3" t="str">
        <f>IFERROR(MID(VLOOKUP($B258,Seqs!$A:$B,2,0),AG258,1),"")</f>
        <v>C</v>
      </c>
      <c r="AG258" s="3">
        <v>210</v>
      </c>
      <c r="AH258" s="3" t="str">
        <f>IFERROR(MID(VLOOKUP($B258,Seqs!$A:$B,2,0),AI258,1),"")</f>
        <v>E</v>
      </c>
      <c r="AI258" s="3">
        <v>212</v>
      </c>
      <c r="AJ258" s="3" t="str">
        <f>IFERROR(MID(VLOOKUP($B258,Seqs!$A:$B,2,0),AK258,1),"")</f>
        <v>I</v>
      </c>
      <c r="AK258" s="3">
        <v>218</v>
      </c>
      <c r="AL258" s="3" t="str">
        <f>IFERROR(MID(VLOOKUP($B258,Seqs!$A:$B,2,0),AM258,1),"")</f>
        <v>C</v>
      </c>
      <c r="AM258" s="3">
        <v>252</v>
      </c>
      <c r="AN258" s="3" t="str">
        <f>IFERROR(MID(VLOOKUP($B258,Seqs!$A:$B,2,0),AO258,1),"")</f>
        <v>K</v>
      </c>
      <c r="AO258" s="3">
        <v>294</v>
      </c>
      <c r="AP258" s="3" t="str">
        <f>IFERROR(MID(VLOOKUP($B258,Seqs!$A:$B,2,0),AQ258,1),"")</f>
        <v>F</v>
      </c>
      <c r="AQ258" s="3">
        <v>330</v>
      </c>
      <c r="AR258" s="3" t="str">
        <f>IFERROR(MID(VLOOKUP($B258,Seqs!$A:$B,2,0),AS258,1),"")</f>
        <v>D</v>
      </c>
      <c r="AS258" s="3">
        <v>338</v>
      </c>
      <c r="AT258" s="3" t="str">
        <f>IFERROR(MID(VLOOKUP($B258,Seqs!$A:$B,2,0),AU258,1),"")</f>
        <v>L</v>
      </c>
      <c r="AU258" s="3">
        <v>367</v>
      </c>
      <c r="AV258" s="3" t="str">
        <f>IFERROR(MID(VLOOKUP($B258,Seqs!$A:$B,2,0),AW258,1),"")</f>
        <v>S</v>
      </c>
      <c r="AW258" s="3">
        <v>368</v>
      </c>
      <c r="AX258" s="3" t="str">
        <f>IFERROR(MID(VLOOKUP($B258,Seqs!$A:$B,2,0),AY258,1),"")</f>
        <v>C</v>
      </c>
      <c r="AY258" s="3">
        <v>383</v>
      </c>
      <c r="AZ258" s="77" t="str">
        <f>VLOOKUP(B258,Classification!A:D,2,0)</f>
        <v>A</v>
      </c>
      <c r="BA258" s="94" t="str">
        <f>VLOOKUP(B258,Classification!A:D,4,0)</f>
        <v>Orexin</v>
      </c>
      <c r="BB258" s="27" t="b">
        <f>AND(E258&lt;G258,OR(G258&lt;I258,I258="-"),OR(I258&lt;K258,I258="-"),OR(K258&lt;M258,K258="-"),M258&lt;O258,OR(O258&lt;Q258,Q258="-"),OR(Q258&lt;S258,Q258="-"),OR(S258&lt;U258,S258="-"),U258&lt;W258,OR(W258&lt;Y258,Y258="-"),OR(Y258&lt;AA258,Y258="-"),OR(AA258&lt;AC258,AA258="-"),AC258&lt;AE258,OR(AE258&lt;AG258,AG258="-"),OR(AG258&lt;AI258,AG258="-"),OR(AI258&lt;AK258,AI258="-"),AK258&lt;AM258,AM258&lt;AO258,AO258&lt;AQ258,AQ258&lt;AS258,AS258&lt;AU258,OR(AU258&lt;AW258,AW258="-"),OR(AW258&lt;AY258,AW258="-"))</f>
        <v>1</v>
      </c>
      <c r="BC258" s="23">
        <f>_xlfn.AGGREGATE(9,6,CH258:CS258)-_xlfn.AGGREGATE(9,6,BV258:CG258)+12</f>
        <v>255</v>
      </c>
      <c r="BD258" s="2" t="s">
        <v>23</v>
      </c>
      <c r="BE258" s="3" t="s">
        <v>1380</v>
      </c>
      <c r="BF258" s="119">
        <v>1.96</v>
      </c>
      <c r="BG258" s="49" t="s">
        <v>1</v>
      </c>
      <c r="BH258" s="49" t="s">
        <v>1</v>
      </c>
      <c r="BI258" s="1"/>
      <c r="BJ258" s="70" t="s">
        <v>1293</v>
      </c>
      <c r="BK258" s="57" t="s">
        <v>1293</v>
      </c>
      <c r="BL258" s="57" t="s">
        <v>1293</v>
      </c>
      <c r="BM258" s="57" t="s">
        <v>1293</v>
      </c>
      <c r="BN258" s="57" t="s">
        <v>1293</v>
      </c>
      <c r="BO258" s="57" t="s">
        <v>1293</v>
      </c>
      <c r="BP258" s="57" t="s">
        <v>1293</v>
      </c>
      <c r="BQ258" s="57" t="s">
        <v>1293</v>
      </c>
      <c r="BR258" s="57" t="s">
        <v>1293</v>
      </c>
      <c r="BS258" s="57" t="s">
        <v>1293</v>
      </c>
      <c r="BT258" s="57" t="s">
        <v>1293</v>
      </c>
      <c r="BU258" s="57" t="s">
        <v>1293</v>
      </c>
      <c r="BV258" s="70">
        <f>E258</f>
        <v>53</v>
      </c>
      <c r="BW258" s="71">
        <f>I258</f>
        <v>83</v>
      </c>
      <c r="BX258" s="72">
        <f>M258</f>
        <v>87</v>
      </c>
      <c r="BY258" s="71">
        <f>Q258</f>
        <v>119</v>
      </c>
      <c r="BZ258" s="72">
        <f>U258</f>
        <v>123</v>
      </c>
      <c r="CA258" s="71" t="str">
        <f>Y258</f>
        <v>-</v>
      </c>
      <c r="CB258" s="72">
        <f>AC258</f>
        <v>165</v>
      </c>
      <c r="CC258" s="71">
        <f>AG258</f>
        <v>210</v>
      </c>
      <c r="CD258" s="72">
        <f>AK258</f>
        <v>218</v>
      </c>
      <c r="CE258" s="71">
        <f>AO258</f>
        <v>294</v>
      </c>
      <c r="CF258" s="72">
        <f>AS258</f>
        <v>338</v>
      </c>
      <c r="CG258" s="71">
        <f>AW258</f>
        <v>368</v>
      </c>
      <c r="CH258" s="70">
        <f>G258</f>
        <v>82</v>
      </c>
      <c r="CI258" s="71">
        <f>K258</f>
        <v>86</v>
      </c>
      <c r="CJ258" s="72">
        <f>O258</f>
        <v>118</v>
      </c>
      <c r="CK258" s="72">
        <f>S258</f>
        <v>122</v>
      </c>
      <c r="CL258" s="72">
        <f>W258</f>
        <v>158</v>
      </c>
      <c r="CM258" s="72" t="str">
        <f>AA258</f>
        <v>-</v>
      </c>
      <c r="CN258" s="72">
        <f>AE258</f>
        <v>191</v>
      </c>
      <c r="CO258" s="72">
        <f>AI258</f>
        <v>212</v>
      </c>
      <c r="CP258" s="72">
        <f>AM258</f>
        <v>252</v>
      </c>
      <c r="CQ258" s="72">
        <f>AQ258</f>
        <v>330</v>
      </c>
      <c r="CR258" s="72">
        <f>AU258</f>
        <v>367</v>
      </c>
      <c r="CS258" s="72">
        <f>AY258</f>
        <v>383</v>
      </c>
      <c r="CT258" s="23">
        <f>M258-K258</f>
        <v>1</v>
      </c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</row>
    <row r="259" spans="1:1029" x14ac:dyDescent="0.2">
      <c r="A259" s="3" t="str">
        <f>CONCATENATE(B259,"_",C259)</f>
        <v>ox2r_human_5WS3</v>
      </c>
      <c r="B259" s="3" t="s">
        <v>1176</v>
      </c>
      <c r="C259" s="3" t="s">
        <v>1459</v>
      </c>
      <c r="D259" s="3" t="str">
        <f>IFERROR(MID(VLOOKUP($B259,Seqs!$A:$B,2,0),E259,1),"")</f>
        <v>Y</v>
      </c>
      <c r="E259" s="3">
        <v>53</v>
      </c>
      <c r="F259" s="3" t="str">
        <f>IFERROR(MID(VLOOKUP($B259,Seqs!$A:$B,2,0),G259,1),"")</f>
        <v>N</v>
      </c>
      <c r="G259" s="3">
        <v>82</v>
      </c>
      <c r="H259" s="3" t="str">
        <f>IFERROR(MID(VLOOKUP($B259,Seqs!$A:$B,2,0),I259,1),"")</f>
        <v>H</v>
      </c>
      <c r="I259" s="23">
        <v>83</v>
      </c>
      <c r="J259" s="3" t="str">
        <f>IFERROR(MID(VLOOKUP($B259,Seqs!$A:$B,2,0),K259,1),"")</f>
        <v>R</v>
      </c>
      <c r="K259" s="23">
        <v>86</v>
      </c>
      <c r="L259" s="3" t="str">
        <f>IFERROR(MID(VLOOKUP($B259,Seqs!$A:$B,2,0),M259,1),"")</f>
        <v>T</v>
      </c>
      <c r="M259" s="3">
        <v>87</v>
      </c>
      <c r="N259" s="3" t="str">
        <f>IFERROR(MID(VLOOKUP($B259,Seqs!$A:$B,2,0),O259,1),"")</f>
        <v>E</v>
      </c>
      <c r="O259" s="3">
        <v>118</v>
      </c>
      <c r="P259" s="3" t="str">
        <f>IFERROR(MID(VLOOKUP($B259,Seqs!$A:$B,2,0),Q259,1),"")</f>
        <v>T</v>
      </c>
      <c r="Q259" s="3">
        <v>119</v>
      </c>
      <c r="R259" s="3" t="str">
        <f>IFERROR(MID(VLOOKUP($B259,Seqs!$A:$B,2,0),S259,1),"")</f>
        <v>F</v>
      </c>
      <c r="S259" s="3">
        <v>122</v>
      </c>
      <c r="T259" s="3" t="str">
        <f>IFERROR(MID(VLOOKUP($B259,Seqs!$A:$B,2,0),U259,1),"")</f>
        <v>G</v>
      </c>
      <c r="U259" s="3">
        <v>123</v>
      </c>
      <c r="V259" s="3" t="str">
        <f>IFERROR(MID(VLOOKUP($B259,Seqs!$A:$B,2,0),W259,1),"")</f>
        <v>H</v>
      </c>
      <c r="W259" s="3">
        <v>158</v>
      </c>
      <c r="X259" s="3" t="str">
        <f>IFERROR(MID(VLOOKUP($B259,Seqs!$A:$B,2,0),Y259,1),"")</f>
        <v/>
      </c>
      <c r="Y259" s="3" t="s">
        <v>23</v>
      </c>
      <c r="Z259" s="3" t="str">
        <f>IFERROR(MID(VLOOKUP($B259,Seqs!$A:$B,2,0),AA259,1),"")</f>
        <v/>
      </c>
      <c r="AA259" s="3" t="s">
        <v>23</v>
      </c>
      <c r="AB259" s="3" t="str">
        <f>IFERROR(MID(VLOOKUP($B259,Seqs!$A:$B,2,0),AC259,1),"")</f>
        <v>T</v>
      </c>
      <c r="AC259" s="3">
        <v>165</v>
      </c>
      <c r="AD259" s="3" t="str">
        <f>IFERROR(MID(VLOOKUP($B259,Seqs!$A:$B,2,0),AE259,1),"")</f>
        <v>M</v>
      </c>
      <c r="AE259" s="3">
        <v>191</v>
      </c>
      <c r="AF259" s="3" t="str">
        <f>IFERROR(MID(VLOOKUP($B259,Seqs!$A:$B,2,0),AG259,1),"")</f>
        <v>C</v>
      </c>
      <c r="AG259" s="3">
        <v>210</v>
      </c>
      <c r="AH259" s="3" t="str">
        <f>IFERROR(MID(VLOOKUP($B259,Seqs!$A:$B,2,0),AI259,1),"")</f>
        <v>E</v>
      </c>
      <c r="AI259" s="3">
        <v>212</v>
      </c>
      <c r="AJ259" s="3" t="str">
        <f>IFERROR(MID(VLOOKUP($B259,Seqs!$A:$B,2,0),AK259,1),"")</f>
        <v>I</v>
      </c>
      <c r="AK259" s="3">
        <v>218</v>
      </c>
      <c r="AL259" s="3" t="str">
        <f>IFERROR(MID(VLOOKUP($B259,Seqs!$A:$B,2,0),AM259,1),"")</f>
        <v>C</v>
      </c>
      <c r="AM259" s="3">
        <v>252</v>
      </c>
      <c r="AN259" s="3" t="str">
        <f>IFERROR(MID(VLOOKUP($B259,Seqs!$A:$B,2,0),AO259,1),"")</f>
        <v>K</v>
      </c>
      <c r="AO259" s="3">
        <v>294</v>
      </c>
      <c r="AP259" s="3" t="str">
        <f>IFERROR(MID(VLOOKUP($B259,Seqs!$A:$B,2,0),AQ259,1),"")</f>
        <v>F</v>
      </c>
      <c r="AQ259" s="3">
        <v>330</v>
      </c>
      <c r="AR259" s="3" t="str">
        <f>IFERROR(MID(VLOOKUP($B259,Seqs!$A:$B,2,0),AS259,1),"")</f>
        <v>D</v>
      </c>
      <c r="AS259" s="3">
        <v>338</v>
      </c>
      <c r="AT259" s="3" t="str">
        <f>IFERROR(MID(VLOOKUP($B259,Seqs!$A:$B,2,0),AU259,1),"")</f>
        <v>L</v>
      </c>
      <c r="AU259" s="3">
        <v>367</v>
      </c>
      <c r="AV259" s="3" t="str">
        <f>IFERROR(MID(VLOOKUP($B259,Seqs!$A:$B,2,0),AW259,1),"")</f>
        <v>S</v>
      </c>
      <c r="AW259" s="3">
        <v>368</v>
      </c>
      <c r="AX259" s="3" t="str">
        <f>IFERROR(MID(VLOOKUP($B259,Seqs!$A:$B,2,0),AY259,1),"")</f>
        <v>C</v>
      </c>
      <c r="AY259" s="3">
        <v>383</v>
      </c>
      <c r="AZ259" s="77" t="str">
        <f>VLOOKUP(B259,Classification!A:D,2,0)</f>
        <v>A</v>
      </c>
      <c r="BA259" s="94" t="str">
        <f>VLOOKUP(B259,Classification!A:D,4,0)</f>
        <v>Orexin</v>
      </c>
      <c r="BB259" s="27" t="b">
        <f>AND(E259&lt;G259,OR(G259&lt;I259,I259="-"),OR(I259&lt;K259,I259="-"),OR(K259&lt;M259,K259="-"),M259&lt;O259,OR(O259&lt;Q259,Q259="-"),OR(Q259&lt;S259,Q259="-"),OR(S259&lt;U259,S259="-"),U259&lt;W259,OR(W259&lt;Y259,Y259="-"),OR(Y259&lt;AA259,Y259="-"),OR(AA259&lt;AC259,AA259="-"),AC259&lt;AE259,OR(AE259&lt;AG259,AG259="-"),OR(AG259&lt;AI259,AG259="-"),OR(AI259&lt;AK259,AI259="-"),AK259&lt;AM259,AM259&lt;AO259,AO259&lt;AQ259,AQ259&lt;AS259,AS259&lt;AU259,OR(AU259&lt;AW259,AW259="-"),OR(AW259&lt;AY259,AW259="-"))</f>
        <v>1</v>
      </c>
      <c r="BC259" s="23">
        <f>_xlfn.AGGREGATE(9,6,CH259:CS259)-_xlfn.AGGREGATE(9,6,BV259:CG259)+12</f>
        <v>255</v>
      </c>
      <c r="BD259" s="2" t="s">
        <v>1382</v>
      </c>
      <c r="BE259" s="3" t="s">
        <v>1380</v>
      </c>
      <c r="BF259" s="119">
        <v>2.2999999999999998</v>
      </c>
      <c r="BG259" s="49" t="s">
        <v>1</v>
      </c>
      <c r="BH259" s="49" t="s">
        <v>1</v>
      </c>
      <c r="BI259" s="1"/>
      <c r="BJ259" s="70" t="s">
        <v>1293</v>
      </c>
      <c r="BK259" s="57" t="s">
        <v>1293</v>
      </c>
      <c r="BL259" s="57" t="s">
        <v>1293</v>
      </c>
      <c r="BM259" s="57" t="s">
        <v>1293</v>
      </c>
      <c r="BN259" s="57" t="s">
        <v>1293</v>
      </c>
      <c r="BO259" s="57" t="s">
        <v>1293</v>
      </c>
      <c r="BP259" s="57" t="s">
        <v>1293</v>
      </c>
      <c r="BQ259" s="57" t="s">
        <v>1293</v>
      </c>
      <c r="BR259" s="57" t="s">
        <v>1293</v>
      </c>
      <c r="BS259" s="57" t="s">
        <v>1293</v>
      </c>
      <c r="BT259" s="57" t="s">
        <v>1293</v>
      </c>
      <c r="BU259" s="57" t="s">
        <v>1293</v>
      </c>
      <c r="BV259" s="70">
        <f>E259</f>
        <v>53</v>
      </c>
      <c r="BW259" s="71">
        <f>I259</f>
        <v>83</v>
      </c>
      <c r="BX259" s="72">
        <f>M259</f>
        <v>87</v>
      </c>
      <c r="BY259" s="71">
        <f>Q259</f>
        <v>119</v>
      </c>
      <c r="BZ259" s="72">
        <f>U259</f>
        <v>123</v>
      </c>
      <c r="CA259" s="71" t="str">
        <f>Y259</f>
        <v>-</v>
      </c>
      <c r="CB259" s="72">
        <f>AC259</f>
        <v>165</v>
      </c>
      <c r="CC259" s="71">
        <f>AG259</f>
        <v>210</v>
      </c>
      <c r="CD259" s="72">
        <f>AK259</f>
        <v>218</v>
      </c>
      <c r="CE259" s="71">
        <f>AO259</f>
        <v>294</v>
      </c>
      <c r="CF259" s="72">
        <f>AS259</f>
        <v>338</v>
      </c>
      <c r="CG259" s="71">
        <f>AW259</f>
        <v>368</v>
      </c>
      <c r="CH259" s="70">
        <f>G259</f>
        <v>82</v>
      </c>
      <c r="CI259" s="71">
        <f>K259</f>
        <v>86</v>
      </c>
      <c r="CJ259" s="72">
        <f>O259</f>
        <v>118</v>
      </c>
      <c r="CK259" s="72">
        <f>S259</f>
        <v>122</v>
      </c>
      <c r="CL259" s="72">
        <f>W259</f>
        <v>158</v>
      </c>
      <c r="CM259" s="72" t="str">
        <f>AA259</f>
        <v>-</v>
      </c>
      <c r="CN259" s="72">
        <f>AE259</f>
        <v>191</v>
      </c>
      <c r="CO259" s="72">
        <f>AI259</f>
        <v>212</v>
      </c>
      <c r="CP259" s="72">
        <f>AM259</f>
        <v>252</v>
      </c>
      <c r="CQ259" s="72">
        <f>AQ259</f>
        <v>330</v>
      </c>
      <c r="CR259" s="72">
        <f>AU259</f>
        <v>367</v>
      </c>
      <c r="CS259" s="72">
        <f>AY259</f>
        <v>383</v>
      </c>
      <c r="CT259" s="23">
        <f>M259-K259</f>
        <v>1</v>
      </c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</row>
    <row r="260" spans="1:1029" x14ac:dyDescent="0.2">
      <c r="A260" s="3" t="str">
        <f t="shared" si="1117"/>
        <v>p2ry1_human__wt</v>
      </c>
      <c r="B260" s="3" t="s">
        <v>345</v>
      </c>
      <c r="C260" s="3" t="s">
        <v>100</v>
      </c>
      <c r="D260" s="3" t="str">
        <f>IFERROR(MID(VLOOKUP($B260,Seqs!$A:$B,2,0),E260,1),"")</f>
        <v>F</v>
      </c>
      <c r="E260" s="3">
        <v>49</v>
      </c>
      <c r="F260" s="3" t="str">
        <f>IFERROR(MID(VLOOKUP($B260,Seqs!$A:$B,2,0),G260,1),"")</f>
        <v>H</v>
      </c>
      <c r="G260" s="3">
        <v>79</v>
      </c>
      <c r="H260" s="3" t="str">
        <f>IFERROR(MID(VLOOKUP($B260,Seqs!$A:$B,2,0),I260,1),"")</f>
        <v/>
      </c>
      <c r="I260" s="23" t="s">
        <v>23</v>
      </c>
      <c r="J260" s="3" t="str">
        <f>IFERROR(MID(VLOOKUP($B260,Seqs!$A:$B,2,0),K260,1),"")</f>
        <v/>
      </c>
      <c r="K260" s="23" t="s">
        <v>23</v>
      </c>
      <c r="L260" s="3" t="str">
        <f>IFERROR(MID(VLOOKUP($B260,Seqs!$A:$B,2,0),M260,1),"")</f>
        <v>S</v>
      </c>
      <c r="M260" s="3">
        <v>84</v>
      </c>
      <c r="N260" s="3" t="str">
        <f>IFERROR(MID(VLOOKUP($B260,Seqs!$A:$B,2,0),O260,1),"")</f>
        <v>N</v>
      </c>
      <c r="O260" s="3">
        <v>113</v>
      </c>
      <c r="P260" s="3" t="str">
        <f>IFERROR(MID(VLOOKUP($B260,Seqs!$A:$B,2,0),Q260,1),"")</f>
        <v>D</v>
      </c>
      <c r="Q260" s="3">
        <v>116</v>
      </c>
      <c r="R260" s="3" t="str">
        <f>IFERROR(MID(VLOOKUP($B260,Seqs!$A:$B,2,0),S260,1),"")</f>
        <v>F</v>
      </c>
      <c r="S260" s="3">
        <v>119</v>
      </c>
      <c r="T260" s="3" t="str">
        <f>IFERROR(MID(VLOOKUP($B260,Seqs!$A:$B,2,0),U260,1),"")</f>
        <v>G</v>
      </c>
      <c r="U260" s="3">
        <v>120</v>
      </c>
      <c r="V260" s="3" t="str">
        <f>IFERROR(MID(VLOOKUP($B260,Seqs!$A:$B,2,0),W260,1),"")</f>
        <v>Y</v>
      </c>
      <c r="W260" s="3">
        <v>155</v>
      </c>
      <c r="X260" s="3" t="str">
        <f>IFERROR(MID(VLOOKUP($B260,Seqs!$A:$B,2,0),Y260,1),"")</f>
        <v>P</v>
      </c>
      <c r="Y260" s="3">
        <v>156</v>
      </c>
      <c r="Z260" s="3" t="str">
        <f>IFERROR(MID(VLOOKUP($B260,Seqs!$A:$B,2,0),AA260,1),"")</f>
        <v>L</v>
      </c>
      <c r="AA260" s="3">
        <v>163</v>
      </c>
      <c r="AB260" s="3" t="str">
        <f>IFERROR(MID(VLOOKUP($B260,Seqs!$A:$B,2,0),AC260,1),"")</f>
        <v>K</v>
      </c>
      <c r="AC260" s="3">
        <v>164</v>
      </c>
      <c r="AD260" s="3" t="str">
        <f>IFERROR(MID(VLOOKUP($B260,Seqs!$A:$B,2,0),AE260,1),"")</f>
        <v>S</v>
      </c>
      <c r="AE260" s="3">
        <v>190</v>
      </c>
      <c r="AF260" s="3" t="str">
        <f>IFERROR(MID(VLOOKUP($B260,Seqs!$A:$B,2,0),AG260,1),"")</f>
        <v>C</v>
      </c>
      <c r="AG260" s="3">
        <v>202</v>
      </c>
      <c r="AH260" s="3" t="str">
        <f>IFERROR(MID(VLOOKUP($B260,Seqs!$A:$B,2,0),AI260,1),"")</f>
        <v>D</v>
      </c>
      <c r="AI260" s="3">
        <v>204</v>
      </c>
      <c r="AJ260" s="3" t="str">
        <f>IFERROR(MID(VLOOKUP($B260,Seqs!$A:$B,2,0),AK260,1),"")</f>
        <v>L</v>
      </c>
      <c r="AK260" s="3">
        <v>211</v>
      </c>
      <c r="AL260" s="3" t="str">
        <f>IFERROR(MID(VLOOKUP($B260,Seqs!$A:$B,2,0),AM260,1),"")</f>
        <v>K</v>
      </c>
      <c r="AM260" s="3">
        <v>247</v>
      </c>
      <c r="AN260" s="3" t="str">
        <f>IFERROR(MID(VLOOKUP($B260,Seqs!$A:$B,2,0),AO260,1),"")</f>
        <v>P</v>
      </c>
      <c r="AO260" s="3">
        <v>253</v>
      </c>
      <c r="AP260" s="3" t="str">
        <f>IFERROR(MID(VLOOKUP($B260,Seqs!$A:$B,2,0),AQ260,1),"")</f>
        <v>D</v>
      </c>
      <c r="AQ260" s="3">
        <v>289</v>
      </c>
      <c r="AR260" s="3" t="str">
        <f>IFERROR(MID(VLOOKUP($B260,Seqs!$A:$B,2,0),AS260,1),"")</f>
        <v>M</v>
      </c>
      <c r="AS260" s="3">
        <v>295</v>
      </c>
      <c r="AT260" s="3" t="str">
        <f>IFERROR(MID(VLOOKUP($B260,Seqs!$A:$B,2,0),AU260,1),"")</f>
        <v>A</v>
      </c>
      <c r="AU260" s="3">
        <v>327</v>
      </c>
      <c r="AV260" s="3" t="str">
        <f>IFERROR(MID(VLOOKUP($B260,Seqs!$A:$B,2,0),AW260,1),"")</f>
        <v>G</v>
      </c>
      <c r="AW260" s="3">
        <v>328</v>
      </c>
      <c r="AX260" s="3" t="str">
        <f>IFERROR(MID(VLOOKUP($B260,Seqs!$A:$B,2,0),AY260,1),"")</f>
        <v>R</v>
      </c>
      <c r="AY260" s="3">
        <v>340</v>
      </c>
      <c r="AZ260" s="77" t="str">
        <f>VLOOKUP(B260,Classification!A:D,2,0)</f>
        <v>A</v>
      </c>
      <c r="BA260" s="94" t="str">
        <f>VLOOKUP(B260,Classification!A:D,4,0)</f>
        <v>P2Y</v>
      </c>
      <c r="BB260" s="27" t="b">
        <f t="shared" si="1118"/>
        <v>1</v>
      </c>
      <c r="BC260" s="23">
        <f t="shared" si="1091"/>
        <v>260</v>
      </c>
      <c r="BD260" s="56" t="s">
        <v>23</v>
      </c>
      <c r="BE260" s="3" t="s">
        <v>23</v>
      </c>
      <c r="BF260" s="119" t="s">
        <v>23</v>
      </c>
      <c r="BG260" s="49" t="s">
        <v>1378</v>
      </c>
      <c r="BH260" s="49" t="s">
        <v>1383</v>
      </c>
      <c r="BI260" s="1"/>
      <c r="BJ260" s="70" t="s">
        <v>1293</v>
      </c>
      <c r="BK260" s="57" t="s">
        <v>1293</v>
      </c>
      <c r="BL260" s="57" t="s">
        <v>1293</v>
      </c>
      <c r="BM260" s="57" t="s">
        <v>1293</v>
      </c>
      <c r="BN260" s="57" t="s">
        <v>1293</v>
      </c>
      <c r="BO260" s="57" t="s">
        <v>1293</v>
      </c>
      <c r="BP260" s="57" t="s">
        <v>1293</v>
      </c>
      <c r="BQ260" s="57" t="s">
        <v>1293</v>
      </c>
      <c r="BR260" s="57" t="s">
        <v>1293</v>
      </c>
      <c r="BS260" s="57" t="s">
        <v>1293</v>
      </c>
      <c r="BT260" s="57" t="s">
        <v>1293</v>
      </c>
      <c r="BU260" s="57" t="s">
        <v>1293</v>
      </c>
      <c r="BV260" s="70">
        <f t="shared" si="1092"/>
        <v>49</v>
      </c>
      <c r="BW260" s="71" t="str">
        <f t="shared" si="1093"/>
        <v>-</v>
      </c>
      <c r="BX260" s="72">
        <f t="shared" si="1094"/>
        <v>84</v>
      </c>
      <c r="BY260" s="71">
        <f t="shared" si="1095"/>
        <v>116</v>
      </c>
      <c r="BZ260" s="72">
        <f t="shared" si="1096"/>
        <v>120</v>
      </c>
      <c r="CA260" s="71">
        <f t="shared" si="1097"/>
        <v>156</v>
      </c>
      <c r="CB260" s="72">
        <f t="shared" si="1098"/>
        <v>164</v>
      </c>
      <c r="CC260" s="71">
        <f t="shared" si="1099"/>
        <v>202</v>
      </c>
      <c r="CD260" s="72">
        <f t="shared" si="1100"/>
        <v>211</v>
      </c>
      <c r="CE260" s="71">
        <f t="shared" si="1101"/>
        <v>253</v>
      </c>
      <c r="CF260" s="72">
        <f t="shared" si="1102"/>
        <v>295</v>
      </c>
      <c r="CG260" s="71">
        <f t="shared" si="1103"/>
        <v>328</v>
      </c>
      <c r="CH260" s="70">
        <f t="shared" si="1104"/>
        <v>79</v>
      </c>
      <c r="CI260" s="71" t="str">
        <f t="shared" si="1105"/>
        <v>-</v>
      </c>
      <c r="CJ260" s="72">
        <f t="shared" si="1106"/>
        <v>113</v>
      </c>
      <c r="CK260" s="72">
        <f t="shared" si="1107"/>
        <v>119</v>
      </c>
      <c r="CL260" s="72">
        <f t="shared" si="1108"/>
        <v>155</v>
      </c>
      <c r="CM260" s="72">
        <f t="shared" si="1109"/>
        <v>163</v>
      </c>
      <c r="CN260" s="72">
        <f t="shared" si="1110"/>
        <v>190</v>
      </c>
      <c r="CO260" s="72">
        <f t="shared" si="1111"/>
        <v>204</v>
      </c>
      <c r="CP260" s="72">
        <f t="shared" si="1112"/>
        <v>247</v>
      </c>
      <c r="CQ260" s="72">
        <f t="shared" si="1113"/>
        <v>289</v>
      </c>
      <c r="CR260" s="72">
        <f t="shared" si="1114"/>
        <v>327</v>
      </c>
      <c r="CS260" s="72">
        <f t="shared" si="1115"/>
        <v>340</v>
      </c>
      <c r="CT260" s="23" t="e">
        <f t="shared" si="1116"/>
        <v>#VALUE!</v>
      </c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</row>
    <row r="261" spans="1:1029" x14ac:dyDescent="0.2">
      <c r="A261" s="3" t="str">
        <f t="shared" si="1117"/>
        <v>p2ry1_human_4XNV</v>
      </c>
      <c r="B261" s="3" t="s">
        <v>345</v>
      </c>
      <c r="C261" s="3" t="s">
        <v>1152</v>
      </c>
      <c r="D261" s="3" t="str">
        <f>IFERROR(MID(VLOOKUP($B261,Seqs!$A:$B,2,0),E261,1),"")</f>
        <v>F</v>
      </c>
      <c r="E261" s="3">
        <v>49</v>
      </c>
      <c r="F261" s="3" t="str">
        <f>IFERROR(MID(VLOOKUP($B261,Seqs!$A:$B,2,0),G261,1),"")</f>
        <v>H</v>
      </c>
      <c r="G261" s="3">
        <v>79</v>
      </c>
      <c r="H261" s="3" t="str">
        <f>IFERROR(MID(VLOOKUP($B261,Seqs!$A:$B,2,0),I261,1),"")</f>
        <v/>
      </c>
      <c r="I261" s="23" t="s">
        <v>23</v>
      </c>
      <c r="J261" s="3" t="str">
        <f>IFERROR(MID(VLOOKUP($B261,Seqs!$A:$B,2,0),K261,1),"")</f>
        <v/>
      </c>
      <c r="K261" s="23" t="s">
        <v>23</v>
      </c>
      <c r="L261" s="3" t="str">
        <f>IFERROR(MID(VLOOKUP($B261,Seqs!$A:$B,2,0),M261,1),"")</f>
        <v>S</v>
      </c>
      <c r="M261" s="3">
        <v>84</v>
      </c>
      <c r="N261" s="3" t="str">
        <f>IFERROR(MID(VLOOKUP($B261,Seqs!$A:$B,2,0),O261,1),"")</f>
        <v>N</v>
      </c>
      <c r="O261" s="3">
        <v>113</v>
      </c>
      <c r="P261" s="3" t="str">
        <f>IFERROR(MID(VLOOKUP($B261,Seqs!$A:$B,2,0),Q261,1),"")</f>
        <v>D</v>
      </c>
      <c r="Q261" s="3">
        <v>116</v>
      </c>
      <c r="R261" s="3" t="str">
        <f>IFERROR(MID(VLOOKUP($B261,Seqs!$A:$B,2,0),S261,1),"")</f>
        <v>F</v>
      </c>
      <c r="S261" s="3">
        <v>119</v>
      </c>
      <c r="T261" s="3" t="str">
        <f>IFERROR(MID(VLOOKUP($B261,Seqs!$A:$B,2,0),U261,1),"")</f>
        <v>G</v>
      </c>
      <c r="U261" s="3">
        <v>120</v>
      </c>
      <c r="V261" s="3" t="str">
        <f>IFERROR(MID(VLOOKUP($B261,Seqs!$A:$B,2,0),W261,1),"")</f>
        <v>Y</v>
      </c>
      <c r="W261" s="3">
        <v>155</v>
      </c>
      <c r="X261" s="3" t="str">
        <f>IFERROR(MID(VLOOKUP($B261,Seqs!$A:$B,2,0),Y261,1),"")</f>
        <v/>
      </c>
      <c r="Y261" s="3" t="s">
        <v>23</v>
      </c>
      <c r="Z261" s="3" t="str">
        <f>IFERROR(MID(VLOOKUP($B261,Seqs!$A:$B,2,0),AA261,1),"")</f>
        <v/>
      </c>
      <c r="AA261" s="3" t="s">
        <v>23</v>
      </c>
      <c r="AB261" s="3" t="str">
        <f>IFERROR(MID(VLOOKUP($B261,Seqs!$A:$B,2,0),AC261,1),"")</f>
        <v>G</v>
      </c>
      <c r="AC261" s="9">
        <v>161</v>
      </c>
      <c r="AD261" s="3" t="str">
        <f>IFERROR(MID(VLOOKUP($B261,Seqs!$A:$B,2,0),AE261,1),"")</f>
        <v>S</v>
      </c>
      <c r="AE261" s="3">
        <v>190</v>
      </c>
      <c r="AF261" s="3" t="str">
        <f>IFERROR(MID(VLOOKUP($B261,Seqs!$A:$B,2,0),AG261,1),"")</f>
        <v>C</v>
      </c>
      <c r="AG261" s="3">
        <v>202</v>
      </c>
      <c r="AH261" s="3" t="str">
        <f>IFERROR(MID(VLOOKUP($B261,Seqs!$A:$B,2,0),AI261,1),"")</f>
        <v>D</v>
      </c>
      <c r="AI261" s="3">
        <v>204</v>
      </c>
      <c r="AJ261" s="3" t="str">
        <f>IFERROR(MID(VLOOKUP($B261,Seqs!$A:$B,2,0),AK261,1),"")</f>
        <v>L</v>
      </c>
      <c r="AK261" s="3">
        <v>211</v>
      </c>
      <c r="AL261" s="3" t="str">
        <f>IFERROR(MID(VLOOKUP($B261,Seqs!$A:$B,2,0),AM261,1),"")</f>
        <v>K</v>
      </c>
      <c r="AM261" s="3">
        <v>247</v>
      </c>
      <c r="AN261" s="3" t="str">
        <f>IFERROR(MID(VLOOKUP($B261,Seqs!$A:$B,2,0),AO261,1),"")</f>
        <v>P</v>
      </c>
      <c r="AO261" s="3">
        <v>253</v>
      </c>
      <c r="AP261" s="3" t="str">
        <f>IFERROR(MID(VLOOKUP($B261,Seqs!$A:$B,2,0),AQ261,1),"")</f>
        <v>D</v>
      </c>
      <c r="AQ261" s="3">
        <v>289</v>
      </c>
      <c r="AR261" s="3" t="str">
        <f>IFERROR(MID(VLOOKUP($B261,Seqs!$A:$B,2,0),AS261,1),"")</f>
        <v>M</v>
      </c>
      <c r="AS261" s="3">
        <v>295</v>
      </c>
      <c r="AT261" s="3" t="str">
        <f>IFERROR(MID(VLOOKUP($B261,Seqs!$A:$B,2,0),AU261,1),"")</f>
        <v>L</v>
      </c>
      <c r="AU261" s="3">
        <v>326</v>
      </c>
      <c r="AV261" s="3" t="str">
        <f>IFERROR(MID(VLOOKUP($B261,Seqs!$A:$B,2,0),AW261,1),"")</f>
        <v/>
      </c>
      <c r="AW261" s="3" t="s">
        <v>23</v>
      </c>
      <c r="AX261" s="3" t="str">
        <f>IFERROR(MID(VLOOKUP($B261,Seqs!$A:$B,2,0),AY261,1),"")</f>
        <v/>
      </c>
      <c r="AY261" s="3" t="s">
        <v>23</v>
      </c>
      <c r="AZ261" s="77" t="str">
        <f>VLOOKUP(B261,Classification!A:D,2,0)</f>
        <v>A</v>
      </c>
      <c r="BA261" s="94" t="str">
        <f>VLOOKUP(B261,Classification!A:D,4,0)</f>
        <v>P2Y</v>
      </c>
      <c r="BB261" s="27" t="b">
        <f t="shared" si="1118"/>
        <v>1</v>
      </c>
      <c r="BC261" s="23">
        <f t="shared" si="1091"/>
        <v>243</v>
      </c>
      <c r="BD261" s="4" t="s">
        <v>23</v>
      </c>
      <c r="BE261" s="3" t="s">
        <v>1438</v>
      </c>
      <c r="BF261" s="119">
        <v>2.2000000000000002</v>
      </c>
      <c r="BG261" s="49" t="s">
        <v>1383</v>
      </c>
      <c r="BH261" s="49" t="s">
        <v>1383</v>
      </c>
      <c r="BI261" s="3" t="s">
        <v>1169</v>
      </c>
      <c r="BJ261" s="70" t="s">
        <v>1293</v>
      </c>
      <c r="BK261" s="57" t="s">
        <v>1293</v>
      </c>
      <c r="BL261" s="57" t="s">
        <v>1293</v>
      </c>
      <c r="BM261" s="57" t="s">
        <v>1293</v>
      </c>
      <c r="BN261" s="57" t="s">
        <v>1293</v>
      </c>
      <c r="BO261" s="57" t="s">
        <v>1293</v>
      </c>
      <c r="BP261" s="57" t="s">
        <v>1293</v>
      </c>
      <c r="BQ261" s="57" t="s">
        <v>1293</v>
      </c>
      <c r="BR261" s="57" t="s">
        <v>1293</v>
      </c>
      <c r="BS261" s="57" t="s">
        <v>1293</v>
      </c>
      <c r="BT261" s="57" t="s">
        <v>1293</v>
      </c>
      <c r="BU261" s="57" t="s">
        <v>1293</v>
      </c>
      <c r="BV261" s="70">
        <f t="shared" si="1092"/>
        <v>49</v>
      </c>
      <c r="BW261" s="71" t="str">
        <f t="shared" si="1093"/>
        <v>-</v>
      </c>
      <c r="BX261" s="72">
        <f t="shared" si="1094"/>
        <v>84</v>
      </c>
      <c r="BY261" s="71">
        <f t="shared" si="1095"/>
        <v>116</v>
      </c>
      <c r="BZ261" s="72">
        <f t="shared" si="1096"/>
        <v>120</v>
      </c>
      <c r="CA261" s="71" t="str">
        <f t="shared" si="1097"/>
        <v>-</v>
      </c>
      <c r="CB261" s="72">
        <f t="shared" si="1098"/>
        <v>161</v>
      </c>
      <c r="CC261" s="71">
        <f t="shared" si="1099"/>
        <v>202</v>
      </c>
      <c r="CD261" s="72">
        <f t="shared" si="1100"/>
        <v>211</v>
      </c>
      <c r="CE261" s="71">
        <f t="shared" si="1101"/>
        <v>253</v>
      </c>
      <c r="CF261" s="72">
        <f t="shared" si="1102"/>
        <v>295</v>
      </c>
      <c r="CG261" s="71" t="str">
        <f t="shared" si="1103"/>
        <v>-</v>
      </c>
      <c r="CH261" s="70">
        <f t="shared" si="1104"/>
        <v>79</v>
      </c>
      <c r="CI261" s="71" t="str">
        <f t="shared" si="1105"/>
        <v>-</v>
      </c>
      <c r="CJ261" s="72">
        <f t="shared" si="1106"/>
        <v>113</v>
      </c>
      <c r="CK261" s="72">
        <f t="shared" si="1107"/>
        <v>119</v>
      </c>
      <c r="CL261" s="72">
        <f t="shared" si="1108"/>
        <v>155</v>
      </c>
      <c r="CM261" s="72" t="str">
        <f t="shared" si="1109"/>
        <v>-</v>
      </c>
      <c r="CN261" s="72">
        <f t="shared" si="1110"/>
        <v>190</v>
      </c>
      <c r="CO261" s="72">
        <f t="shared" si="1111"/>
        <v>204</v>
      </c>
      <c r="CP261" s="72">
        <f t="shared" si="1112"/>
        <v>247</v>
      </c>
      <c r="CQ261" s="72">
        <f t="shared" si="1113"/>
        <v>289</v>
      </c>
      <c r="CR261" s="72">
        <f t="shared" si="1114"/>
        <v>326</v>
      </c>
      <c r="CS261" s="72" t="str">
        <f t="shared" si="1115"/>
        <v>-</v>
      </c>
      <c r="CT261" s="23" t="e">
        <f t="shared" si="1116"/>
        <v>#VALUE!</v>
      </c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</row>
    <row r="262" spans="1:1029" x14ac:dyDescent="0.2">
      <c r="A262" s="3" t="str">
        <f t="shared" si="1117"/>
        <v>p2ry1_human_4XNW</v>
      </c>
      <c r="B262" s="3" t="s">
        <v>345</v>
      </c>
      <c r="C262" s="3" t="s">
        <v>1056</v>
      </c>
      <c r="D262" s="3" t="str">
        <f>IFERROR(MID(VLOOKUP($B262,Seqs!$A:$B,2,0),E262,1),"")</f>
        <v>F</v>
      </c>
      <c r="E262" s="3">
        <v>49</v>
      </c>
      <c r="F262" s="3" t="str">
        <f>IFERROR(MID(VLOOKUP($B262,Seqs!$A:$B,2,0),G262,1),"")</f>
        <v>H</v>
      </c>
      <c r="G262" s="3">
        <v>79</v>
      </c>
      <c r="H262" s="3" t="str">
        <f>IFERROR(MID(VLOOKUP($B262,Seqs!$A:$B,2,0),I262,1),"")</f>
        <v/>
      </c>
      <c r="I262" s="23" t="s">
        <v>23</v>
      </c>
      <c r="J262" s="3" t="str">
        <f>IFERROR(MID(VLOOKUP($B262,Seqs!$A:$B,2,0),K262,1),"")</f>
        <v/>
      </c>
      <c r="K262" s="23" t="s">
        <v>23</v>
      </c>
      <c r="L262" s="3" t="str">
        <f>IFERROR(MID(VLOOKUP($B262,Seqs!$A:$B,2,0),M262,1),"")</f>
        <v>S</v>
      </c>
      <c r="M262" s="3">
        <v>84</v>
      </c>
      <c r="N262" s="3" t="str">
        <f>IFERROR(MID(VLOOKUP($B262,Seqs!$A:$B,2,0),O262,1),"")</f>
        <v>N</v>
      </c>
      <c r="O262" s="3">
        <v>113</v>
      </c>
      <c r="P262" s="3" t="str">
        <f>IFERROR(MID(VLOOKUP($B262,Seqs!$A:$B,2,0),Q262,1),"")</f>
        <v>D</v>
      </c>
      <c r="Q262" s="3">
        <v>116</v>
      </c>
      <c r="R262" s="3" t="str">
        <f>IFERROR(MID(VLOOKUP($B262,Seqs!$A:$B,2,0),S262,1),"")</f>
        <v>F</v>
      </c>
      <c r="S262" s="3">
        <v>119</v>
      </c>
      <c r="T262" s="3" t="str">
        <f>IFERROR(MID(VLOOKUP($B262,Seqs!$A:$B,2,0),U262,1),"")</f>
        <v>G</v>
      </c>
      <c r="U262" s="3">
        <v>120</v>
      </c>
      <c r="V262" s="3" t="str">
        <f>IFERROR(MID(VLOOKUP($B262,Seqs!$A:$B,2,0),W262,1),"")</f>
        <v>Y</v>
      </c>
      <c r="W262" s="3">
        <v>155</v>
      </c>
      <c r="X262" s="3" t="str">
        <f>IFERROR(MID(VLOOKUP($B262,Seqs!$A:$B,2,0),Y262,1),"")</f>
        <v>P</v>
      </c>
      <c r="Y262" s="3">
        <v>156</v>
      </c>
      <c r="Z262" s="3" t="str">
        <f>IFERROR(MID(VLOOKUP($B262,Seqs!$A:$B,2,0),AA262,1),"")</f>
        <v>L</v>
      </c>
      <c r="AA262" s="3">
        <v>163</v>
      </c>
      <c r="AB262" s="3" t="str">
        <f>IFERROR(MID(VLOOKUP($B262,Seqs!$A:$B,2,0),AC262,1),"")</f>
        <v>K</v>
      </c>
      <c r="AC262" s="9">
        <v>164</v>
      </c>
      <c r="AD262" s="3" t="str">
        <f>IFERROR(MID(VLOOKUP($B262,Seqs!$A:$B,2,0),AE262,1),"")</f>
        <v>S</v>
      </c>
      <c r="AE262" s="3">
        <v>190</v>
      </c>
      <c r="AF262" s="3" t="str">
        <f>IFERROR(MID(VLOOKUP($B262,Seqs!$A:$B,2,0),AG262,1),"")</f>
        <v>C</v>
      </c>
      <c r="AG262" s="3">
        <v>202</v>
      </c>
      <c r="AH262" s="3" t="str">
        <f>IFERROR(MID(VLOOKUP($B262,Seqs!$A:$B,2,0),AI262,1),"")</f>
        <v>D</v>
      </c>
      <c r="AI262" s="3">
        <v>204</v>
      </c>
      <c r="AJ262" s="3" t="str">
        <f>IFERROR(MID(VLOOKUP($B262,Seqs!$A:$B,2,0),AK262,1),"")</f>
        <v>L</v>
      </c>
      <c r="AK262" s="3">
        <v>211</v>
      </c>
      <c r="AL262" s="3" t="str">
        <f>IFERROR(MID(VLOOKUP($B262,Seqs!$A:$B,2,0),AM262,1),"")</f>
        <v>K</v>
      </c>
      <c r="AM262" s="3">
        <v>247</v>
      </c>
      <c r="AN262" s="3" t="str">
        <f>IFERROR(MID(VLOOKUP($B262,Seqs!$A:$B,2,0),AO262,1),"")</f>
        <v>P</v>
      </c>
      <c r="AO262" s="3">
        <v>253</v>
      </c>
      <c r="AP262" s="3" t="str">
        <f>IFERROR(MID(VLOOKUP($B262,Seqs!$A:$B,2,0),AQ262,1),"")</f>
        <v>D</v>
      </c>
      <c r="AQ262" s="3">
        <v>289</v>
      </c>
      <c r="AR262" s="3" t="str">
        <f>IFERROR(MID(VLOOKUP($B262,Seqs!$A:$B,2,0),AS262,1),"")</f>
        <v>M</v>
      </c>
      <c r="AS262" s="3">
        <v>295</v>
      </c>
      <c r="AT262" s="3" t="str">
        <f>IFERROR(MID(VLOOKUP($B262,Seqs!$A:$B,2,0),AU262,1),"")</f>
        <v>L</v>
      </c>
      <c r="AU262" s="3">
        <v>326</v>
      </c>
      <c r="AV262" s="3" t="str">
        <f>IFERROR(MID(VLOOKUP($B262,Seqs!$A:$B,2,0),AW262,1),"")</f>
        <v/>
      </c>
      <c r="AW262" s="3" t="s">
        <v>23</v>
      </c>
      <c r="AX262" s="3" t="str">
        <f>IFERROR(MID(VLOOKUP($B262,Seqs!$A:$B,2,0),AY262,1),"")</f>
        <v/>
      </c>
      <c r="AY262" s="3" t="s">
        <v>23</v>
      </c>
      <c r="AZ262" s="77" t="str">
        <f>VLOOKUP(B262,Classification!A:D,2,0)</f>
        <v>A</v>
      </c>
      <c r="BA262" s="94" t="str">
        <f>VLOOKUP(B262,Classification!A:D,4,0)</f>
        <v>P2Y</v>
      </c>
      <c r="BB262" s="27" t="b">
        <f t="shared" si="1118"/>
        <v>1</v>
      </c>
      <c r="BC262" s="23">
        <f t="shared" si="1091"/>
        <v>247</v>
      </c>
      <c r="BD262" s="2" t="s">
        <v>1439</v>
      </c>
      <c r="BE262" s="3" t="s">
        <v>1438</v>
      </c>
      <c r="BF262" s="119">
        <v>2.7</v>
      </c>
      <c r="BG262" s="49" t="s">
        <v>1383</v>
      </c>
      <c r="BH262" s="49" t="s">
        <v>1383</v>
      </c>
      <c r="BI262" s="1"/>
      <c r="BJ262" s="70" t="s">
        <v>1293</v>
      </c>
      <c r="BK262" s="57" t="s">
        <v>1293</v>
      </c>
      <c r="BL262" s="57" t="s">
        <v>1293</v>
      </c>
      <c r="BM262" s="57" t="s">
        <v>1293</v>
      </c>
      <c r="BN262" s="57" t="s">
        <v>1293</v>
      </c>
      <c r="BO262" s="57" t="s">
        <v>1293</v>
      </c>
      <c r="BP262" s="57" t="s">
        <v>1293</v>
      </c>
      <c r="BQ262" s="57" t="s">
        <v>1293</v>
      </c>
      <c r="BR262" s="57" t="s">
        <v>1293</v>
      </c>
      <c r="BS262" s="57" t="s">
        <v>1293</v>
      </c>
      <c r="BT262" s="57" t="s">
        <v>1293</v>
      </c>
      <c r="BU262" s="57" t="s">
        <v>1293</v>
      </c>
      <c r="BV262" s="70">
        <f t="shared" si="1092"/>
        <v>49</v>
      </c>
      <c r="BW262" s="71" t="str">
        <f t="shared" si="1093"/>
        <v>-</v>
      </c>
      <c r="BX262" s="72">
        <f t="shared" si="1094"/>
        <v>84</v>
      </c>
      <c r="BY262" s="71">
        <f t="shared" si="1095"/>
        <v>116</v>
      </c>
      <c r="BZ262" s="72">
        <f t="shared" si="1096"/>
        <v>120</v>
      </c>
      <c r="CA262" s="71">
        <f t="shared" si="1097"/>
        <v>156</v>
      </c>
      <c r="CB262" s="72">
        <f t="shared" si="1098"/>
        <v>164</v>
      </c>
      <c r="CC262" s="71">
        <f t="shared" si="1099"/>
        <v>202</v>
      </c>
      <c r="CD262" s="72">
        <f t="shared" si="1100"/>
        <v>211</v>
      </c>
      <c r="CE262" s="71">
        <f t="shared" si="1101"/>
        <v>253</v>
      </c>
      <c r="CF262" s="72">
        <f t="shared" si="1102"/>
        <v>295</v>
      </c>
      <c r="CG262" s="71" t="str">
        <f t="shared" si="1103"/>
        <v>-</v>
      </c>
      <c r="CH262" s="70">
        <f t="shared" si="1104"/>
        <v>79</v>
      </c>
      <c r="CI262" s="71" t="str">
        <f t="shared" si="1105"/>
        <v>-</v>
      </c>
      <c r="CJ262" s="72">
        <f t="shared" si="1106"/>
        <v>113</v>
      </c>
      <c r="CK262" s="72">
        <f t="shared" si="1107"/>
        <v>119</v>
      </c>
      <c r="CL262" s="72">
        <f t="shared" si="1108"/>
        <v>155</v>
      </c>
      <c r="CM262" s="72">
        <f t="shared" si="1109"/>
        <v>163</v>
      </c>
      <c r="CN262" s="72">
        <f t="shared" si="1110"/>
        <v>190</v>
      </c>
      <c r="CO262" s="72">
        <f t="shared" si="1111"/>
        <v>204</v>
      </c>
      <c r="CP262" s="72">
        <f t="shared" si="1112"/>
        <v>247</v>
      </c>
      <c r="CQ262" s="72">
        <f t="shared" si="1113"/>
        <v>289</v>
      </c>
      <c r="CR262" s="72">
        <f t="shared" si="1114"/>
        <v>326</v>
      </c>
      <c r="CS262" s="72" t="str">
        <f t="shared" si="1115"/>
        <v>-</v>
      </c>
      <c r="CT262" s="23" t="e">
        <f t="shared" si="1116"/>
        <v>#VALUE!</v>
      </c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</row>
    <row r="263" spans="1:1029" x14ac:dyDescent="0.2">
      <c r="A263" s="3" t="str">
        <f t="shared" si="1117"/>
        <v>p2y12_human__wt</v>
      </c>
      <c r="B263" s="3" t="s">
        <v>352</v>
      </c>
      <c r="C263" s="3" t="s">
        <v>100</v>
      </c>
      <c r="D263" s="3" t="str">
        <f>IFERROR(MID(VLOOKUP($B263,Seqs!$A:$B,2,0),E263,1),"")</f>
        <v>Y</v>
      </c>
      <c r="E263" s="3">
        <v>21</v>
      </c>
      <c r="F263" s="3" t="str">
        <f>IFERROR(MID(VLOOKUP($B263,Seqs!$A:$B,2,0),G263,1),"")</f>
        <v>I</v>
      </c>
      <c r="G263" s="3">
        <v>53</v>
      </c>
      <c r="H263" s="3" t="str">
        <f>IFERROR(MID(VLOOKUP($B263,Seqs!$A:$B,2,0),I263,1),"")</f>
        <v/>
      </c>
      <c r="I263" s="23" t="s">
        <v>23</v>
      </c>
      <c r="J263" s="3" t="str">
        <f>IFERROR(MID(VLOOKUP($B263,Seqs!$A:$B,2,0),K263,1),"")</f>
        <v/>
      </c>
      <c r="K263" s="23" t="s">
        <v>23</v>
      </c>
      <c r="L263" s="3" t="str">
        <f>IFERROR(MID(VLOOKUP($B263,Seqs!$A:$B,2,0),M263,1),"")</f>
        <v>S</v>
      </c>
      <c r="M263" s="3">
        <v>57</v>
      </c>
      <c r="N263" s="3" t="str">
        <f>IFERROR(MID(VLOOKUP($B263,Seqs!$A:$B,2,0),O263,1),"")</f>
        <v>K</v>
      </c>
      <c r="O263" s="3">
        <v>86</v>
      </c>
      <c r="P263" s="3" t="str">
        <f>IFERROR(MID(VLOOKUP($B263,Seqs!$A:$B,2,0),Q263,1),"")</f>
        <v/>
      </c>
      <c r="Q263" s="3" t="s">
        <v>23</v>
      </c>
      <c r="R263" s="3" t="str">
        <f>IFERROR(MID(VLOOKUP($B263,Seqs!$A:$B,2,0),S263,1),"")</f>
        <v/>
      </c>
      <c r="S263" s="3" t="s">
        <v>23</v>
      </c>
      <c r="T263" s="3" t="str">
        <f>IFERROR(MID(VLOOKUP($B263,Seqs!$A:$B,2,0),U263,1),"")</f>
        <v>G</v>
      </c>
      <c r="U263" s="3">
        <v>90</v>
      </c>
      <c r="V263" s="3" t="str">
        <f>IFERROR(MID(VLOOKUP($B263,Seqs!$A:$B,2,0),W263,1),"")</f>
        <v>R</v>
      </c>
      <c r="W263" s="3">
        <v>128</v>
      </c>
      <c r="X263" s="3" t="str">
        <f>IFERROR(MID(VLOOKUP($B263,Seqs!$A:$B,2,0),Y263,1),"")</f>
        <v>P</v>
      </c>
      <c r="Y263" s="3">
        <v>129</v>
      </c>
      <c r="Z263" s="3" t="str">
        <f>IFERROR(MID(VLOOKUP($B263,Seqs!$A:$B,2,0),AA263,1),"")</f>
        <v>K</v>
      </c>
      <c r="AA263" s="73">
        <v>136</v>
      </c>
      <c r="AB263" s="3" t="str">
        <f>IFERROR(MID(VLOOKUP($B263,Seqs!$A:$B,2,0),AC263,1),"")</f>
        <v>N</v>
      </c>
      <c r="AC263" s="9">
        <v>137</v>
      </c>
      <c r="AD263" s="3" t="str">
        <f>IFERROR(MID(VLOOKUP($B263,Seqs!$A:$B,2,0),AE263,1),"")</f>
        <v>T</v>
      </c>
      <c r="AE263" s="3">
        <v>163</v>
      </c>
      <c r="AF263" s="3" t="str">
        <f>IFERROR(MID(VLOOKUP($B263,Seqs!$A:$B,2,0),AG263,1),"")</f>
        <v>C</v>
      </c>
      <c r="AG263" s="3">
        <v>175</v>
      </c>
      <c r="AH263" s="3" t="str">
        <f>IFERROR(MID(VLOOKUP($B263,Seqs!$A:$B,2,0),AI263,1),"")</f>
        <v>F</v>
      </c>
      <c r="AI263" s="3">
        <v>177</v>
      </c>
      <c r="AJ263" s="3" t="str">
        <f>IFERROR(MID(VLOOKUP($B263,Seqs!$A:$B,2,0),AK263,1),"")</f>
        <v>E</v>
      </c>
      <c r="AK263" s="3">
        <v>181</v>
      </c>
      <c r="AL263" s="3" t="str">
        <f>IFERROR(MID(VLOOKUP($B263,Seqs!$A:$B,2,0),AM263,1),"")</f>
        <v>T</v>
      </c>
      <c r="AM263" s="3">
        <v>223</v>
      </c>
      <c r="AN263" s="3" t="str">
        <f>IFERROR(MID(VLOOKUP($B263,Seqs!$A:$B,2,0),AO263,1),"")</f>
        <v>P</v>
      </c>
      <c r="AO263" s="3">
        <v>230</v>
      </c>
      <c r="AP263" s="3" t="str">
        <f>IFERROR(MID(VLOOKUP($B263,Seqs!$A:$B,2,0),AQ263,1),"")</f>
        <v>R</v>
      </c>
      <c r="AQ263" s="3">
        <v>265</v>
      </c>
      <c r="AR263" s="3" t="str">
        <f>IFERROR(MID(VLOOKUP($B263,Seqs!$A:$B,2,0),AS263,1),"")</f>
        <v>D</v>
      </c>
      <c r="AS263" s="3">
        <v>269</v>
      </c>
      <c r="AT263" s="3" t="str">
        <f>IFERROR(MID(VLOOKUP($B263,Seqs!$A:$B,2,0),AU263,1),"")</f>
        <v>L</v>
      </c>
      <c r="AU263" s="3">
        <v>301</v>
      </c>
      <c r="AV263" s="3" t="str">
        <f>IFERROR(MID(VLOOKUP($B263,Seqs!$A:$B,2,0),AW263,1),"")</f>
        <v>C</v>
      </c>
      <c r="AW263" s="3">
        <v>302</v>
      </c>
      <c r="AX263" s="3" t="str">
        <f>IFERROR(MID(VLOOKUP($B263,Seqs!$A:$B,2,0),AY263,1),"")</f>
        <v>M</v>
      </c>
      <c r="AY263" s="3">
        <v>312</v>
      </c>
      <c r="AZ263" s="77" t="str">
        <f>VLOOKUP(B263,Classification!A:D,2,0)</f>
        <v>A</v>
      </c>
      <c r="BA263" s="94" t="str">
        <f>VLOOKUP(B263,Classification!A:D,4,0)</f>
        <v>P2Y</v>
      </c>
      <c r="BB263" s="27" t="b">
        <f t="shared" si="1118"/>
        <v>1</v>
      </c>
      <c r="BC263" s="23">
        <f t="shared" si="1091"/>
        <v>265</v>
      </c>
      <c r="BD263" s="56" t="s">
        <v>23</v>
      </c>
      <c r="BE263" s="3" t="s">
        <v>23</v>
      </c>
      <c r="BF263" s="119" t="s">
        <v>23</v>
      </c>
      <c r="BG263" s="49" t="s">
        <v>1378</v>
      </c>
      <c r="BH263" s="49" t="s">
        <v>1383</v>
      </c>
      <c r="BI263" s="1"/>
      <c r="BJ263" s="70" t="s">
        <v>1293</v>
      </c>
      <c r="BK263" s="57" t="s">
        <v>1293</v>
      </c>
      <c r="BL263" s="57" t="s">
        <v>1293</v>
      </c>
      <c r="BM263" s="57" t="s">
        <v>1293</v>
      </c>
      <c r="BN263" s="57" t="s">
        <v>1293</v>
      </c>
      <c r="BO263" s="57" t="s">
        <v>1293</v>
      </c>
      <c r="BP263" s="57" t="s">
        <v>1293</v>
      </c>
      <c r="BQ263" s="57" t="s">
        <v>1293</v>
      </c>
      <c r="BR263" s="57" t="s">
        <v>1293</v>
      </c>
      <c r="BS263" s="57" t="s">
        <v>1293</v>
      </c>
      <c r="BT263" s="57" t="s">
        <v>1293</v>
      </c>
      <c r="BU263" s="57" t="s">
        <v>1293</v>
      </c>
      <c r="BV263" s="70">
        <f t="shared" si="1092"/>
        <v>21</v>
      </c>
      <c r="BW263" s="71" t="str">
        <f t="shared" si="1093"/>
        <v>-</v>
      </c>
      <c r="BX263" s="72">
        <f t="shared" si="1094"/>
        <v>57</v>
      </c>
      <c r="BY263" s="71" t="str">
        <f t="shared" si="1095"/>
        <v>-</v>
      </c>
      <c r="BZ263" s="72">
        <f t="shared" si="1096"/>
        <v>90</v>
      </c>
      <c r="CA263" s="71">
        <f t="shared" si="1097"/>
        <v>129</v>
      </c>
      <c r="CB263" s="72">
        <f t="shared" si="1098"/>
        <v>137</v>
      </c>
      <c r="CC263" s="71">
        <f t="shared" si="1099"/>
        <v>175</v>
      </c>
      <c r="CD263" s="72">
        <f t="shared" si="1100"/>
        <v>181</v>
      </c>
      <c r="CE263" s="71">
        <f t="shared" si="1101"/>
        <v>230</v>
      </c>
      <c r="CF263" s="72">
        <f t="shared" si="1102"/>
        <v>269</v>
      </c>
      <c r="CG263" s="71">
        <f t="shared" si="1103"/>
        <v>302</v>
      </c>
      <c r="CH263" s="70">
        <f t="shared" si="1104"/>
        <v>53</v>
      </c>
      <c r="CI263" s="71" t="str">
        <f t="shared" si="1105"/>
        <v>-</v>
      </c>
      <c r="CJ263" s="72">
        <f t="shared" si="1106"/>
        <v>86</v>
      </c>
      <c r="CK263" s="72" t="str">
        <f t="shared" si="1107"/>
        <v>-</v>
      </c>
      <c r="CL263" s="72">
        <f t="shared" si="1108"/>
        <v>128</v>
      </c>
      <c r="CM263" s="72">
        <f t="shared" si="1109"/>
        <v>136</v>
      </c>
      <c r="CN263" s="72">
        <f t="shared" si="1110"/>
        <v>163</v>
      </c>
      <c r="CO263" s="72">
        <f t="shared" si="1111"/>
        <v>177</v>
      </c>
      <c r="CP263" s="72">
        <f t="shared" si="1112"/>
        <v>223</v>
      </c>
      <c r="CQ263" s="72">
        <f t="shared" si="1113"/>
        <v>265</v>
      </c>
      <c r="CR263" s="72">
        <f t="shared" si="1114"/>
        <v>301</v>
      </c>
      <c r="CS263" s="72">
        <f t="shared" si="1115"/>
        <v>312</v>
      </c>
      <c r="CT263" s="23" t="e">
        <f t="shared" si="1116"/>
        <v>#VALUE!</v>
      </c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</row>
    <row r="264" spans="1:1029" x14ac:dyDescent="0.2">
      <c r="A264" s="3" t="str">
        <f t="shared" si="1117"/>
        <v>p2y12_human_4NTJ</v>
      </c>
      <c r="B264" s="3" t="s">
        <v>352</v>
      </c>
      <c r="C264" s="3" t="s">
        <v>1049</v>
      </c>
      <c r="D264" s="3" t="str">
        <f>IFERROR(MID(VLOOKUP($B264,Seqs!$A:$B,2,0),E264,1),"")</f>
        <v>Y</v>
      </c>
      <c r="E264" s="3">
        <v>21</v>
      </c>
      <c r="F264" s="3" t="str">
        <f>IFERROR(MID(VLOOKUP($B264,Seqs!$A:$B,2,0),G264,1),"")</f>
        <v>I</v>
      </c>
      <c r="G264" s="3">
        <v>53</v>
      </c>
      <c r="H264" s="3" t="str">
        <f>IFERROR(MID(VLOOKUP($B264,Seqs!$A:$B,2,0),I264,1),"")</f>
        <v/>
      </c>
      <c r="I264" s="23" t="s">
        <v>23</v>
      </c>
      <c r="J264" s="3" t="str">
        <f>IFERROR(MID(VLOOKUP($B264,Seqs!$A:$B,2,0),K264,1),"")</f>
        <v/>
      </c>
      <c r="K264" s="23" t="s">
        <v>23</v>
      </c>
      <c r="L264" s="3" t="str">
        <f>IFERROR(MID(VLOOKUP($B264,Seqs!$A:$B,2,0),M264,1),"")</f>
        <v>S</v>
      </c>
      <c r="M264" s="3">
        <v>57</v>
      </c>
      <c r="N264" s="3" t="str">
        <f>IFERROR(MID(VLOOKUP($B264,Seqs!$A:$B,2,0),O264,1),"")</f>
        <v>K</v>
      </c>
      <c r="O264" s="3">
        <v>86</v>
      </c>
      <c r="P264" s="3" t="str">
        <f>IFERROR(MID(VLOOKUP($B264,Seqs!$A:$B,2,0),Q264,1),"")</f>
        <v/>
      </c>
      <c r="Q264" s="3" t="s">
        <v>23</v>
      </c>
      <c r="R264" s="3" t="str">
        <f>IFERROR(MID(VLOOKUP($B264,Seqs!$A:$B,2,0),S264,1),"")</f>
        <v/>
      </c>
      <c r="S264" s="3" t="s">
        <v>23</v>
      </c>
      <c r="T264" s="3" t="str">
        <f>IFERROR(MID(VLOOKUP($B264,Seqs!$A:$B,2,0),U264,1),"")</f>
        <v>L</v>
      </c>
      <c r="U264" s="3">
        <v>92</v>
      </c>
      <c r="V264" s="3" t="str">
        <f>IFERROR(MID(VLOOKUP($B264,Seqs!$A:$B,2,0),W264,1),"")</f>
        <v>R</v>
      </c>
      <c r="W264" s="3">
        <v>128</v>
      </c>
      <c r="X264" s="3" t="str">
        <f>IFERROR(MID(VLOOKUP($B264,Seqs!$A:$B,2,0),Y264,1),"")</f>
        <v/>
      </c>
      <c r="Y264" s="3" t="s">
        <v>23</v>
      </c>
      <c r="Z264" s="3" t="str">
        <f>IFERROR(MID(VLOOKUP($B264,Seqs!$A:$B,2,0),AA264,1),"")</f>
        <v/>
      </c>
      <c r="AA264" s="3" t="s">
        <v>23</v>
      </c>
      <c r="AB264" s="3" t="str">
        <f>IFERROR(MID(VLOOKUP($B264,Seqs!$A:$B,2,0),AC264,1),"")</f>
        <v>N</v>
      </c>
      <c r="AC264" s="9">
        <v>137</v>
      </c>
      <c r="AD264" s="3" t="str">
        <f>IFERROR(MID(VLOOKUP($B264,Seqs!$A:$B,2,0),AE264,1),"")</f>
        <v>L</v>
      </c>
      <c r="AE264" s="3">
        <v>162</v>
      </c>
      <c r="AF264" s="3" t="str">
        <f>IFERROR(MID(VLOOKUP($B264,Seqs!$A:$B,2,0),AG264,1),"")</f>
        <v>C</v>
      </c>
      <c r="AG264" s="3">
        <v>175</v>
      </c>
      <c r="AH264" s="3" t="str">
        <f>IFERROR(MID(VLOOKUP($B264,Seqs!$A:$B,2,0),AI264,1),"")</f>
        <v>F</v>
      </c>
      <c r="AI264" s="3">
        <v>177</v>
      </c>
      <c r="AJ264" s="3" t="str">
        <f>IFERROR(MID(VLOOKUP($B264,Seqs!$A:$B,2,0),AK264,1),"")</f>
        <v>E</v>
      </c>
      <c r="AK264" s="3">
        <v>181</v>
      </c>
      <c r="AL264" s="3" t="str">
        <f>IFERROR(MID(VLOOKUP($B264,Seqs!$A:$B,2,0),AM264,1),"")</f>
        <v>T</v>
      </c>
      <c r="AM264" s="3">
        <v>223</v>
      </c>
      <c r="AN264" s="3" t="str">
        <f>IFERROR(MID(VLOOKUP($B264,Seqs!$A:$B,2,0),AO264,1),"")</f>
        <v>I</v>
      </c>
      <c r="AO264" s="3">
        <v>240</v>
      </c>
      <c r="AP264" s="3" t="str">
        <f>IFERROR(MID(VLOOKUP($B264,Seqs!$A:$B,2,0),AQ264,1),"")</f>
        <v>L</v>
      </c>
      <c r="AQ264" s="3">
        <v>261</v>
      </c>
      <c r="AR264" s="3" t="str">
        <f>IFERROR(MID(VLOOKUP($B264,Seqs!$A:$B,2,0),AS264,1),"")</f>
        <v>D</v>
      </c>
      <c r="AS264" s="3">
        <v>269</v>
      </c>
      <c r="AT264" s="3" t="str">
        <f>IFERROR(MID(VLOOKUP($B264,Seqs!$A:$B,2,0),AU264,1),"")</f>
        <v>L</v>
      </c>
      <c r="AU264" s="3">
        <v>301</v>
      </c>
      <c r="AV264" s="3" t="str">
        <f>IFERROR(MID(VLOOKUP($B264,Seqs!$A:$B,2,0),AW264,1),"")</f>
        <v>C</v>
      </c>
      <c r="AW264" s="3">
        <v>302</v>
      </c>
      <c r="AX264" s="3" t="str">
        <f>IFERROR(MID(VLOOKUP($B264,Seqs!$A:$B,2,0),AY264,1),"")</f>
        <v>M</v>
      </c>
      <c r="AY264" s="3">
        <v>312</v>
      </c>
      <c r="AZ264" s="77" t="str">
        <f>VLOOKUP(B264,Classification!A:D,2,0)</f>
        <v>A</v>
      </c>
      <c r="BA264" s="94" t="str">
        <f>VLOOKUP(B264,Classification!A:D,4,0)</f>
        <v>P2Y</v>
      </c>
      <c r="BB264" s="27" t="b">
        <f t="shared" si="1118"/>
        <v>1</v>
      </c>
      <c r="BC264" s="23">
        <f t="shared" si="1091"/>
        <v>241</v>
      </c>
      <c r="BD264" s="2" t="s">
        <v>1439</v>
      </c>
      <c r="BE264" s="3" t="s">
        <v>1438</v>
      </c>
      <c r="BF264" s="119">
        <v>2.62</v>
      </c>
      <c r="BG264" s="49" t="s">
        <v>1383</v>
      </c>
      <c r="BH264" s="49" t="s">
        <v>1383</v>
      </c>
      <c r="BI264" s="3" t="s">
        <v>1171</v>
      </c>
      <c r="BJ264" s="70" t="s">
        <v>1293</v>
      </c>
      <c r="BK264" s="57" t="s">
        <v>1293</v>
      </c>
      <c r="BL264" s="57" t="s">
        <v>1293</v>
      </c>
      <c r="BM264" s="57" t="s">
        <v>1293</v>
      </c>
      <c r="BN264" s="57" t="s">
        <v>1293</v>
      </c>
      <c r="BO264" s="57" t="s">
        <v>1293</v>
      </c>
      <c r="BP264" s="57" t="s">
        <v>1293</v>
      </c>
      <c r="BQ264" s="57" t="s">
        <v>1293</v>
      </c>
      <c r="BR264" s="57" t="s">
        <v>1293</v>
      </c>
      <c r="BS264" s="57" t="s">
        <v>1293</v>
      </c>
      <c r="BT264" s="57" t="s">
        <v>1293</v>
      </c>
      <c r="BU264" s="57" t="s">
        <v>1293</v>
      </c>
      <c r="BV264" s="70">
        <f t="shared" si="1092"/>
        <v>21</v>
      </c>
      <c r="BW264" s="71" t="str">
        <f t="shared" si="1093"/>
        <v>-</v>
      </c>
      <c r="BX264" s="72">
        <f t="shared" si="1094"/>
        <v>57</v>
      </c>
      <c r="BY264" s="71" t="str">
        <f t="shared" si="1095"/>
        <v>-</v>
      </c>
      <c r="BZ264" s="72">
        <f t="shared" si="1096"/>
        <v>92</v>
      </c>
      <c r="CA264" s="71" t="str">
        <f t="shared" si="1097"/>
        <v>-</v>
      </c>
      <c r="CB264" s="72">
        <f t="shared" si="1098"/>
        <v>137</v>
      </c>
      <c r="CC264" s="71">
        <f t="shared" si="1099"/>
        <v>175</v>
      </c>
      <c r="CD264" s="72">
        <f t="shared" si="1100"/>
        <v>181</v>
      </c>
      <c r="CE264" s="71">
        <f t="shared" si="1101"/>
        <v>240</v>
      </c>
      <c r="CF264" s="72">
        <f t="shared" si="1102"/>
        <v>269</v>
      </c>
      <c r="CG264" s="71">
        <f t="shared" si="1103"/>
        <v>302</v>
      </c>
      <c r="CH264" s="70">
        <f t="shared" si="1104"/>
        <v>53</v>
      </c>
      <c r="CI264" s="71" t="str">
        <f t="shared" si="1105"/>
        <v>-</v>
      </c>
      <c r="CJ264" s="72">
        <f t="shared" si="1106"/>
        <v>86</v>
      </c>
      <c r="CK264" s="72" t="str">
        <f t="shared" si="1107"/>
        <v>-</v>
      </c>
      <c r="CL264" s="72">
        <f t="shared" si="1108"/>
        <v>128</v>
      </c>
      <c r="CM264" s="72" t="str">
        <f t="shared" si="1109"/>
        <v>-</v>
      </c>
      <c r="CN264" s="72">
        <f t="shared" si="1110"/>
        <v>162</v>
      </c>
      <c r="CO264" s="72">
        <f t="shared" si="1111"/>
        <v>177</v>
      </c>
      <c r="CP264" s="72">
        <f t="shared" si="1112"/>
        <v>223</v>
      </c>
      <c r="CQ264" s="72">
        <f t="shared" si="1113"/>
        <v>261</v>
      </c>
      <c r="CR264" s="72">
        <f t="shared" si="1114"/>
        <v>301</v>
      </c>
      <c r="CS264" s="72">
        <f t="shared" si="1115"/>
        <v>312</v>
      </c>
      <c r="CT264" s="23" t="e">
        <f t="shared" si="1116"/>
        <v>#VALUE!</v>
      </c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</row>
    <row r="265" spans="1:1029" x14ac:dyDescent="0.2">
      <c r="A265" s="3" t="str">
        <f t="shared" si="1117"/>
        <v>p2y12_human_4PXZ</v>
      </c>
      <c r="B265" s="3" t="s">
        <v>352</v>
      </c>
      <c r="C265" s="3" t="s">
        <v>1153</v>
      </c>
      <c r="D265" s="3" t="str">
        <f>IFERROR(MID(VLOOKUP($B265,Seqs!$A:$B,2,0),E265,1),"")</f>
        <v>I</v>
      </c>
      <c r="E265" s="3">
        <v>23</v>
      </c>
      <c r="F265" s="3" t="str">
        <f>IFERROR(MID(VLOOKUP($B265,Seqs!$A:$B,2,0),G265,1),"")</f>
        <v>I</v>
      </c>
      <c r="G265" s="3">
        <v>53</v>
      </c>
      <c r="H265" s="3" t="str">
        <f>IFERROR(MID(VLOOKUP($B265,Seqs!$A:$B,2,0),I265,1),"")</f>
        <v/>
      </c>
      <c r="I265" s="23" t="s">
        <v>23</v>
      </c>
      <c r="J265" s="3" t="str">
        <f>IFERROR(MID(VLOOKUP($B265,Seqs!$A:$B,2,0),K265,1),"")</f>
        <v/>
      </c>
      <c r="K265" s="23" t="s">
        <v>23</v>
      </c>
      <c r="L265" s="3" t="str">
        <f>IFERROR(MID(VLOOKUP($B265,Seqs!$A:$B,2,0),M265,1),"")</f>
        <v>S</v>
      </c>
      <c r="M265" s="3">
        <v>57</v>
      </c>
      <c r="N265" s="3" t="str">
        <f>IFERROR(MID(VLOOKUP($B265,Seqs!$A:$B,2,0),O265,1),"")</f>
        <v>K</v>
      </c>
      <c r="O265" s="3">
        <v>86</v>
      </c>
      <c r="P265" s="3" t="str">
        <f>IFERROR(MID(VLOOKUP($B265,Seqs!$A:$B,2,0),Q265,1),"")</f>
        <v/>
      </c>
      <c r="Q265" s="3" t="s">
        <v>23</v>
      </c>
      <c r="R265" s="3" t="str">
        <f>IFERROR(MID(VLOOKUP($B265,Seqs!$A:$B,2,0),S265,1),"")</f>
        <v/>
      </c>
      <c r="S265" s="3" t="s">
        <v>23</v>
      </c>
      <c r="T265" s="3" t="str">
        <f>IFERROR(MID(VLOOKUP($B265,Seqs!$A:$B,2,0),U265,1),"")</f>
        <v>G</v>
      </c>
      <c r="U265" s="3">
        <v>90</v>
      </c>
      <c r="V265" s="3" t="str">
        <f>IFERROR(MID(VLOOKUP($B265,Seqs!$A:$B,2,0),W265,1),"")</f>
        <v>R</v>
      </c>
      <c r="W265" s="3">
        <v>128</v>
      </c>
      <c r="X265" s="3" t="str">
        <f>IFERROR(MID(VLOOKUP($B265,Seqs!$A:$B,2,0),Y265,1),"")</f>
        <v/>
      </c>
      <c r="Y265" s="3" t="s">
        <v>23</v>
      </c>
      <c r="Z265" s="3" t="str">
        <f>IFERROR(MID(VLOOKUP($B265,Seqs!$A:$B,2,0),AA265,1),"")</f>
        <v/>
      </c>
      <c r="AA265" s="3" t="s">
        <v>23</v>
      </c>
      <c r="AB265" s="3" t="str">
        <f>IFERROR(MID(VLOOKUP($B265,Seqs!$A:$B,2,0),AC265,1),"")</f>
        <v>N</v>
      </c>
      <c r="AC265" s="9">
        <v>137</v>
      </c>
      <c r="AD265" s="3" t="str">
        <f>IFERROR(MID(VLOOKUP($B265,Seqs!$A:$B,2,0),AE265,1),"")</f>
        <v>T</v>
      </c>
      <c r="AE265" s="3">
        <v>163</v>
      </c>
      <c r="AF265" s="3" t="str">
        <f>IFERROR(MID(VLOOKUP($B265,Seqs!$A:$B,2,0),AG265,1),"")</f>
        <v>C</v>
      </c>
      <c r="AG265" s="3">
        <v>175</v>
      </c>
      <c r="AH265" s="3" t="str">
        <f>IFERROR(MID(VLOOKUP($B265,Seqs!$A:$B,2,0),AI265,1),"")</f>
        <v>F</v>
      </c>
      <c r="AI265" s="3">
        <v>177</v>
      </c>
      <c r="AJ265" s="3" t="str">
        <f>IFERROR(MID(VLOOKUP($B265,Seqs!$A:$B,2,0),AK265,1),"")</f>
        <v>E</v>
      </c>
      <c r="AK265" s="3">
        <v>181</v>
      </c>
      <c r="AL265" s="3" t="str">
        <f>IFERROR(MID(VLOOKUP($B265,Seqs!$A:$B,2,0),AM265,1),"")</f>
        <v>S</v>
      </c>
      <c r="AM265" s="3">
        <v>219</v>
      </c>
      <c r="AN265" s="3" t="str">
        <f>IFERROR(MID(VLOOKUP($B265,Seqs!$A:$B,2,0),AO265,1),"")</f>
        <v>V</v>
      </c>
      <c r="AO265" s="3">
        <v>236</v>
      </c>
      <c r="AP265" s="3" t="str">
        <f>IFERROR(MID(VLOOKUP($B265,Seqs!$A:$B,2,0),AQ265,1),"")</f>
        <v>R</v>
      </c>
      <c r="AQ265" s="3">
        <v>265</v>
      </c>
      <c r="AR265" s="3" t="str">
        <f>IFERROR(MID(VLOOKUP($B265,Seqs!$A:$B,2,0),AS265,1),"")</f>
        <v>D</v>
      </c>
      <c r="AS265" s="3">
        <v>269</v>
      </c>
      <c r="AT265" s="3" t="str">
        <f>IFERROR(MID(VLOOKUP($B265,Seqs!$A:$B,2,0),AU265,1),"")</f>
        <v>C</v>
      </c>
      <c r="AU265" s="3">
        <v>292</v>
      </c>
      <c r="AV265" s="3" t="str">
        <f>IFERROR(MID(VLOOKUP($B265,Seqs!$A:$B,2,0),AW265,1),"")</f>
        <v/>
      </c>
      <c r="AW265" s="3" t="s">
        <v>23</v>
      </c>
      <c r="AX265" s="3" t="str">
        <f>IFERROR(MID(VLOOKUP($B265,Seqs!$A:$B,2,0),AY265,1),"")</f>
        <v/>
      </c>
      <c r="AY265" s="3" t="s">
        <v>23</v>
      </c>
      <c r="AZ265" s="77" t="str">
        <f>VLOOKUP(B265,Classification!A:D,2,0)</f>
        <v>A</v>
      </c>
      <c r="BA265" s="94" t="str">
        <f>VLOOKUP(B265,Classification!A:D,4,0)</f>
        <v>P2Y</v>
      </c>
      <c r="BB265" s="27" t="b">
        <f t="shared" si="1118"/>
        <v>1</v>
      </c>
      <c r="BC265" s="23">
        <f t="shared" si="1091"/>
        <v>227</v>
      </c>
      <c r="BD265" s="4" t="s">
        <v>23</v>
      </c>
      <c r="BE265" s="3" t="s">
        <v>1438</v>
      </c>
      <c r="BF265" s="119">
        <v>2.5</v>
      </c>
      <c r="BG265" s="49" t="s">
        <v>1383</v>
      </c>
      <c r="BH265" s="49" t="s">
        <v>1383</v>
      </c>
      <c r="BI265" s="1"/>
      <c r="BJ265" s="70" t="s">
        <v>1293</v>
      </c>
      <c r="BK265" s="57" t="s">
        <v>1293</v>
      </c>
      <c r="BL265" s="57" t="s">
        <v>1293</v>
      </c>
      <c r="BM265" s="57" t="s">
        <v>1293</v>
      </c>
      <c r="BN265" s="57" t="s">
        <v>1293</v>
      </c>
      <c r="BO265" s="57" t="s">
        <v>1293</v>
      </c>
      <c r="BP265" s="57" t="s">
        <v>1293</v>
      </c>
      <c r="BQ265" s="57" t="s">
        <v>1293</v>
      </c>
      <c r="BR265" s="57" t="s">
        <v>1293</v>
      </c>
      <c r="BS265" s="57" t="s">
        <v>1293</v>
      </c>
      <c r="BT265" s="57" t="s">
        <v>1293</v>
      </c>
      <c r="BU265" s="57" t="s">
        <v>1293</v>
      </c>
      <c r="BV265" s="70">
        <f t="shared" si="1092"/>
        <v>23</v>
      </c>
      <c r="BW265" s="71" t="str">
        <f t="shared" si="1093"/>
        <v>-</v>
      </c>
      <c r="BX265" s="72">
        <f t="shared" si="1094"/>
        <v>57</v>
      </c>
      <c r="BY265" s="71" t="str">
        <f t="shared" si="1095"/>
        <v>-</v>
      </c>
      <c r="BZ265" s="72">
        <f t="shared" si="1096"/>
        <v>90</v>
      </c>
      <c r="CA265" s="71" t="str">
        <f t="shared" si="1097"/>
        <v>-</v>
      </c>
      <c r="CB265" s="72">
        <f t="shared" si="1098"/>
        <v>137</v>
      </c>
      <c r="CC265" s="71">
        <f t="shared" si="1099"/>
        <v>175</v>
      </c>
      <c r="CD265" s="72">
        <f t="shared" si="1100"/>
        <v>181</v>
      </c>
      <c r="CE265" s="71">
        <f t="shared" si="1101"/>
        <v>236</v>
      </c>
      <c r="CF265" s="72">
        <f t="shared" si="1102"/>
        <v>269</v>
      </c>
      <c r="CG265" s="71" t="str">
        <f t="shared" si="1103"/>
        <v>-</v>
      </c>
      <c r="CH265" s="70">
        <f t="shared" si="1104"/>
        <v>53</v>
      </c>
      <c r="CI265" s="71" t="str">
        <f t="shared" si="1105"/>
        <v>-</v>
      </c>
      <c r="CJ265" s="72">
        <f t="shared" si="1106"/>
        <v>86</v>
      </c>
      <c r="CK265" s="72" t="str">
        <f t="shared" si="1107"/>
        <v>-</v>
      </c>
      <c r="CL265" s="72">
        <f t="shared" si="1108"/>
        <v>128</v>
      </c>
      <c r="CM265" s="72" t="str">
        <f t="shared" si="1109"/>
        <v>-</v>
      </c>
      <c r="CN265" s="72">
        <f t="shared" si="1110"/>
        <v>163</v>
      </c>
      <c r="CO265" s="72">
        <f t="shared" si="1111"/>
        <v>177</v>
      </c>
      <c r="CP265" s="72">
        <f t="shared" si="1112"/>
        <v>219</v>
      </c>
      <c r="CQ265" s="72">
        <f t="shared" si="1113"/>
        <v>265</v>
      </c>
      <c r="CR265" s="72">
        <f t="shared" si="1114"/>
        <v>292</v>
      </c>
      <c r="CS265" s="72" t="str">
        <f t="shared" si="1115"/>
        <v>-</v>
      </c>
      <c r="CT265" s="23" t="e">
        <f t="shared" si="1116"/>
        <v>#VALUE!</v>
      </c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</row>
    <row r="266" spans="1:1029" x14ac:dyDescent="0.2">
      <c r="A266" s="3" t="str">
        <f t="shared" si="1117"/>
        <v>p2y12_human_4PY0</v>
      </c>
      <c r="B266" s="3" t="s">
        <v>352</v>
      </c>
      <c r="C266" s="3" t="s">
        <v>1051</v>
      </c>
      <c r="D266" s="3" t="str">
        <f>IFERROR(MID(VLOOKUP($B266,Seqs!$A:$B,2,0),E266,1),"")</f>
        <v>I</v>
      </c>
      <c r="E266" s="3">
        <v>23</v>
      </c>
      <c r="F266" s="3" t="str">
        <f>IFERROR(MID(VLOOKUP($B266,Seqs!$A:$B,2,0),G266,1),"")</f>
        <v>I</v>
      </c>
      <c r="G266" s="3">
        <v>53</v>
      </c>
      <c r="H266" s="3" t="str">
        <f>IFERROR(MID(VLOOKUP($B266,Seqs!$A:$B,2,0),I266,1),"")</f>
        <v/>
      </c>
      <c r="I266" s="23" t="s">
        <v>23</v>
      </c>
      <c r="J266" s="3" t="str">
        <f>IFERROR(MID(VLOOKUP($B266,Seqs!$A:$B,2,0),K266,1),"")</f>
        <v/>
      </c>
      <c r="K266" s="23" t="s">
        <v>23</v>
      </c>
      <c r="L266" s="3" t="str">
        <f>IFERROR(MID(VLOOKUP($B266,Seqs!$A:$B,2,0),M266,1),"")</f>
        <v>S</v>
      </c>
      <c r="M266" s="3">
        <v>57</v>
      </c>
      <c r="N266" s="3" t="str">
        <f>IFERROR(MID(VLOOKUP($B266,Seqs!$A:$B,2,0),O266,1),"")</f>
        <v>K</v>
      </c>
      <c r="O266" s="3">
        <v>86</v>
      </c>
      <c r="P266" s="3" t="str">
        <f>IFERROR(MID(VLOOKUP($B266,Seqs!$A:$B,2,0),Q266,1),"")</f>
        <v/>
      </c>
      <c r="Q266" s="3" t="s">
        <v>23</v>
      </c>
      <c r="R266" s="3" t="str">
        <f>IFERROR(MID(VLOOKUP($B266,Seqs!$A:$B,2,0),S266,1),"")</f>
        <v/>
      </c>
      <c r="S266" s="3" t="s">
        <v>23</v>
      </c>
      <c r="T266" s="3" t="str">
        <f>IFERROR(MID(VLOOKUP($B266,Seqs!$A:$B,2,0),U266,1),"")</f>
        <v>G</v>
      </c>
      <c r="U266" s="3">
        <v>90</v>
      </c>
      <c r="V266" s="3" t="str">
        <f>IFERROR(MID(VLOOKUP($B266,Seqs!$A:$B,2,0),W266,1),"")</f>
        <v>R</v>
      </c>
      <c r="W266" s="3">
        <v>128</v>
      </c>
      <c r="X266" s="3" t="str">
        <f>IFERROR(MID(VLOOKUP($B266,Seqs!$A:$B,2,0),Y266,1),"")</f>
        <v/>
      </c>
      <c r="Y266" s="3" t="s">
        <v>23</v>
      </c>
      <c r="Z266" s="3" t="str">
        <f>IFERROR(MID(VLOOKUP($B266,Seqs!$A:$B,2,0),AA266,1),"")</f>
        <v/>
      </c>
      <c r="AA266" s="3" t="s">
        <v>23</v>
      </c>
      <c r="AB266" s="3" t="str">
        <f>IFERROR(MID(VLOOKUP($B266,Seqs!$A:$B,2,0),AC266,1),"")</f>
        <v>N</v>
      </c>
      <c r="AC266" s="9">
        <v>137</v>
      </c>
      <c r="AD266" s="3" t="str">
        <f>IFERROR(MID(VLOOKUP($B266,Seqs!$A:$B,2,0),AE266,1),"")</f>
        <v>T</v>
      </c>
      <c r="AE266" s="3">
        <v>163</v>
      </c>
      <c r="AF266" s="3" t="str">
        <f>IFERROR(MID(VLOOKUP($B266,Seqs!$A:$B,2,0),AG266,1),"")</f>
        <v>C</v>
      </c>
      <c r="AG266" s="3">
        <v>175</v>
      </c>
      <c r="AH266" s="3" t="str">
        <f>IFERROR(MID(VLOOKUP($B266,Seqs!$A:$B,2,0),AI266,1),"")</f>
        <v>F</v>
      </c>
      <c r="AI266" s="3">
        <v>177</v>
      </c>
      <c r="AJ266" s="3" t="str">
        <f>IFERROR(MID(VLOOKUP($B266,Seqs!$A:$B,2,0),AK266,1),"")</f>
        <v>E</v>
      </c>
      <c r="AK266" s="3">
        <v>181</v>
      </c>
      <c r="AL266" s="3" t="str">
        <f>IFERROR(MID(VLOOKUP($B266,Seqs!$A:$B,2,0),AM266,1),"")</f>
        <v>S</v>
      </c>
      <c r="AM266" s="3">
        <v>219</v>
      </c>
      <c r="AN266" s="3" t="str">
        <f>IFERROR(MID(VLOOKUP($B266,Seqs!$A:$B,2,0),AO266,1),"")</f>
        <v>V</v>
      </c>
      <c r="AO266" s="3">
        <v>236</v>
      </c>
      <c r="AP266" s="3" t="str">
        <f>IFERROR(MID(VLOOKUP($B266,Seqs!$A:$B,2,0),AQ266,1),"")</f>
        <v>R</v>
      </c>
      <c r="AQ266" s="3">
        <v>265</v>
      </c>
      <c r="AR266" s="3" t="str">
        <f>IFERROR(MID(VLOOKUP($B266,Seqs!$A:$B,2,0),AS266,1),"")</f>
        <v>D</v>
      </c>
      <c r="AS266" s="3">
        <v>269</v>
      </c>
      <c r="AT266" s="3" t="str">
        <f>IFERROR(MID(VLOOKUP($B266,Seqs!$A:$B,2,0),AU266,1),"")</f>
        <v>C</v>
      </c>
      <c r="AU266" s="3">
        <v>292</v>
      </c>
      <c r="AV266" s="3" t="str">
        <f>IFERROR(MID(VLOOKUP($B266,Seqs!$A:$B,2,0),AW266,1),"")</f>
        <v/>
      </c>
      <c r="AW266" s="3" t="s">
        <v>23</v>
      </c>
      <c r="AX266" s="3" t="str">
        <f>IFERROR(MID(VLOOKUP($B266,Seqs!$A:$B,2,0),AY266,1),"")</f>
        <v/>
      </c>
      <c r="AY266" s="3" t="s">
        <v>23</v>
      </c>
      <c r="AZ266" s="77" t="str">
        <f>VLOOKUP(B266,Classification!A:D,2,0)</f>
        <v>A</v>
      </c>
      <c r="BA266" s="94" t="str">
        <f>VLOOKUP(B266,Classification!A:D,4,0)</f>
        <v>P2Y</v>
      </c>
      <c r="BB266" s="27" t="b">
        <f t="shared" si="1118"/>
        <v>1</v>
      </c>
      <c r="BC266" s="23">
        <f t="shared" si="1091"/>
        <v>227</v>
      </c>
      <c r="BD266" s="4" t="s">
        <v>23</v>
      </c>
      <c r="BE266" s="3" t="s">
        <v>1438</v>
      </c>
      <c r="BF266" s="119">
        <v>3.1</v>
      </c>
      <c r="BG266" s="49" t="s">
        <v>1383</v>
      </c>
      <c r="BH266" s="49" t="s">
        <v>1383</v>
      </c>
      <c r="BI266" s="1"/>
      <c r="BJ266" s="70" t="s">
        <v>1293</v>
      </c>
      <c r="BK266" s="57" t="s">
        <v>1293</v>
      </c>
      <c r="BL266" s="57" t="s">
        <v>1293</v>
      </c>
      <c r="BM266" s="57" t="s">
        <v>1293</v>
      </c>
      <c r="BN266" s="57" t="s">
        <v>1293</v>
      </c>
      <c r="BO266" s="57" t="s">
        <v>1293</v>
      </c>
      <c r="BP266" s="57" t="s">
        <v>1293</v>
      </c>
      <c r="BQ266" s="57" t="s">
        <v>1293</v>
      </c>
      <c r="BR266" s="57" t="s">
        <v>1293</v>
      </c>
      <c r="BS266" s="57" t="s">
        <v>1293</v>
      </c>
      <c r="BT266" s="57" t="s">
        <v>1293</v>
      </c>
      <c r="BU266" s="57" t="s">
        <v>1293</v>
      </c>
      <c r="BV266" s="70">
        <f t="shared" si="1092"/>
        <v>23</v>
      </c>
      <c r="BW266" s="71" t="str">
        <f t="shared" si="1093"/>
        <v>-</v>
      </c>
      <c r="BX266" s="72">
        <f t="shared" si="1094"/>
        <v>57</v>
      </c>
      <c r="BY266" s="71" t="str">
        <f t="shared" si="1095"/>
        <v>-</v>
      </c>
      <c r="BZ266" s="72">
        <f t="shared" si="1096"/>
        <v>90</v>
      </c>
      <c r="CA266" s="71" t="str">
        <f t="shared" si="1097"/>
        <v>-</v>
      </c>
      <c r="CB266" s="72">
        <f t="shared" si="1098"/>
        <v>137</v>
      </c>
      <c r="CC266" s="71">
        <f t="shared" si="1099"/>
        <v>175</v>
      </c>
      <c r="CD266" s="72">
        <f t="shared" si="1100"/>
        <v>181</v>
      </c>
      <c r="CE266" s="71">
        <f t="shared" si="1101"/>
        <v>236</v>
      </c>
      <c r="CF266" s="72">
        <f t="shared" si="1102"/>
        <v>269</v>
      </c>
      <c r="CG266" s="71" t="str">
        <f t="shared" si="1103"/>
        <v>-</v>
      </c>
      <c r="CH266" s="70">
        <f t="shared" si="1104"/>
        <v>53</v>
      </c>
      <c r="CI266" s="71" t="str">
        <f t="shared" si="1105"/>
        <v>-</v>
      </c>
      <c r="CJ266" s="72">
        <f t="shared" si="1106"/>
        <v>86</v>
      </c>
      <c r="CK266" s="72" t="str">
        <f t="shared" si="1107"/>
        <v>-</v>
      </c>
      <c r="CL266" s="72">
        <f t="shared" si="1108"/>
        <v>128</v>
      </c>
      <c r="CM266" s="72" t="str">
        <f t="shared" si="1109"/>
        <v>-</v>
      </c>
      <c r="CN266" s="72">
        <f t="shared" si="1110"/>
        <v>163</v>
      </c>
      <c r="CO266" s="72">
        <f t="shared" si="1111"/>
        <v>177</v>
      </c>
      <c r="CP266" s="72">
        <f t="shared" si="1112"/>
        <v>219</v>
      </c>
      <c r="CQ266" s="72">
        <f t="shared" si="1113"/>
        <v>265</v>
      </c>
      <c r="CR266" s="72">
        <f t="shared" si="1114"/>
        <v>292</v>
      </c>
      <c r="CS266" s="72" t="str">
        <f t="shared" si="1115"/>
        <v>-</v>
      </c>
      <c r="CT266" s="23" t="e">
        <f t="shared" si="1116"/>
        <v>#VALUE!</v>
      </c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</row>
    <row r="267" spans="1:1029" x14ac:dyDescent="0.2">
      <c r="A267" s="3" t="str">
        <f t="shared" si="1117"/>
        <v>par1_human__wt</v>
      </c>
      <c r="B267" s="3" t="s">
        <v>355</v>
      </c>
      <c r="C267" s="3" t="s">
        <v>100</v>
      </c>
      <c r="D267" s="3" t="str">
        <f>IFERROR(MID(VLOOKUP($B267,Seqs!$A:$B,2,0),E267,1),"")</f>
        <v>S</v>
      </c>
      <c r="E267" s="3">
        <v>99</v>
      </c>
      <c r="F267" s="3" t="str">
        <f>IFERROR(MID(VLOOKUP($B267,Seqs!$A:$B,2,0),G267,1),"")</f>
        <v>K</v>
      </c>
      <c r="G267" s="3">
        <v>130</v>
      </c>
      <c r="H267" s="3" t="str">
        <f>IFERROR(MID(VLOOKUP($B267,Seqs!$A:$B,2,0),I267,1),"")</f>
        <v>M</v>
      </c>
      <c r="I267" s="23">
        <v>131</v>
      </c>
      <c r="J267" s="3" t="str">
        <f>IFERROR(MID(VLOOKUP($B267,Seqs!$A:$B,2,0),K267,1),"")</f>
        <v>K</v>
      </c>
      <c r="K267" s="23">
        <v>134</v>
      </c>
      <c r="L267" s="3" t="str">
        <f>IFERROR(MID(VLOOKUP($B267,Seqs!$A:$B,2,0),M267,1),"")</f>
        <v>K</v>
      </c>
      <c r="M267" s="3">
        <v>135</v>
      </c>
      <c r="N267" s="3" t="str">
        <f>IFERROR(MID(VLOOKUP($B267,Seqs!$A:$B,2,0),O267,1),"")</f>
        <v>S</v>
      </c>
      <c r="O267" s="3">
        <v>164</v>
      </c>
      <c r="P267" s="3" t="str">
        <f>IFERROR(MID(VLOOKUP($B267,Seqs!$A:$B,2,0),Q267,1),"")</f>
        <v>D</v>
      </c>
      <c r="Q267" s="3">
        <v>167</v>
      </c>
      <c r="R267" s="3" t="str">
        <f>IFERROR(MID(VLOOKUP($B267,Seqs!$A:$B,2,0),S267,1),"")</f>
        <v>F</v>
      </c>
      <c r="S267" s="3">
        <v>170</v>
      </c>
      <c r="T267" s="3" t="str">
        <f>IFERROR(MID(VLOOKUP($B267,Seqs!$A:$B,2,0),U267,1),"")</f>
        <v>G</v>
      </c>
      <c r="U267" s="3">
        <v>171</v>
      </c>
      <c r="V267" s="3" t="str">
        <f>IFERROR(MID(VLOOKUP($B267,Seqs!$A:$B,2,0),W267,1),"")</f>
        <v>Y</v>
      </c>
      <c r="W267" s="3">
        <v>206</v>
      </c>
      <c r="X267" s="3" t="str">
        <f>IFERROR(MID(VLOOKUP($B267,Seqs!$A:$B,2,0),Y267,1),"")</f>
        <v>P</v>
      </c>
      <c r="Y267" s="3">
        <v>207</v>
      </c>
      <c r="Z267" s="3" t="str">
        <f>IFERROR(MID(VLOOKUP($B267,Seqs!$A:$B,2,0),AA267,1),"")</f>
        <v>R</v>
      </c>
      <c r="AA267" s="3">
        <v>214</v>
      </c>
      <c r="AB267" s="3" t="str">
        <f>IFERROR(MID(VLOOKUP($B267,Seqs!$A:$B,2,0),AC267,1),"")</f>
        <v>T</v>
      </c>
      <c r="AC267" s="9">
        <v>215</v>
      </c>
      <c r="AD267" s="3" t="str">
        <f>IFERROR(MID(VLOOKUP($B267,Seqs!$A:$B,2,0),AE267,1),"")</f>
        <v>K</v>
      </c>
      <c r="AE267" s="3">
        <v>240</v>
      </c>
      <c r="AF267" s="3" t="str">
        <f>IFERROR(MID(VLOOKUP($B267,Seqs!$A:$B,2,0),AG267,1),"")</f>
        <v>C</v>
      </c>
      <c r="AG267" s="3">
        <v>254</v>
      </c>
      <c r="AH267" s="3" t="str">
        <f>IFERROR(MID(VLOOKUP($B267,Seqs!$A:$B,2,0),AI267,1),"")</f>
        <v>D</v>
      </c>
      <c r="AI267" s="3">
        <v>256</v>
      </c>
      <c r="AJ267" s="3" t="str">
        <f>IFERROR(MID(VLOOKUP($B267,Seqs!$A:$B,2,0),AK267,1),"")</f>
        <v>E</v>
      </c>
      <c r="AK267" s="3">
        <v>264</v>
      </c>
      <c r="AL267" s="3" t="str">
        <f>IFERROR(MID(VLOOKUP($B267,Seqs!$A:$B,2,0),AM267,1),"")</f>
        <v>S</v>
      </c>
      <c r="AM267" s="3">
        <v>299</v>
      </c>
      <c r="AN267" s="3" t="str">
        <f>IFERROR(MID(VLOOKUP($B267,Seqs!$A:$B,2,0),AO267,1),"")</f>
        <v>N</v>
      </c>
      <c r="AO267" s="3">
        <v>304</v>
      </c>
      <c r="AP267" s="3" t="str">
        <f>IFERROR(MID(VLOOKUP($B267,Seqs!$A:$B,2,0),AQ267,1),"")</f>
        <v>L</v>
      </c>
      <c r="AQ267" s="3">
        <v>340</v>
      </c>
      <c r="AR267" s="3" t="str">
        <f>IFERROR(MID(VLOOKUP($B267,Seqs!$A:$B,2,0),AS267,1),"")</f>
        <v>T</v>
      </c>
      <c r="AS267" s="3">
        <v>346</v>
      </c>
      <c r="AT267" s="3" t="str">
        <f>IFERROR(MID(VLOOKUP($B267,Seqs!$A:$B,2,0),AU267,1),"")</f>
        <v>A</v>
      </c>
      <c r="AU267" s="3">
        <v>374</v>
      </c>
      <c r="AV267" s="3" t="str">
        <f>IFERROR(MID(VLOOKUP($B267,Seqs!$A:$B,2,0),AW267,1),"")</f>
        <v>S</v>
      </c>
      <c r="AW267" s="3">
        <v>375</v>
      </c>
      <c r="AX267" s="3" t="str">
        <f>IFERROR(MID(VLOOKUP($B267,Seqs!$A:$B,2,0),AY267,1),"")</f>
        <v>K</v>
      </c>
      <c r="AY267" s="3">
        <v>389</v>
      </c>
      <c r="AZ267" s="77" t="str">
        <f>VLOOKUP(B267,Classification!A:D,2,0)</f>
        <v>A</v>
      </c>
      <c r="BA267" s="94" t="str">
        <f>VLOOKUP(B267,Classification!A:D,4,0)</f>
        <v>Proteinase-activated</v>
      </c>
      <c r="BB267" s="27" t="b">
        <f t="shared" si="1118"/>
        <v>1</v>
      </c>
      <c r="BC267" s="23">
        <f t="shared" si="1091"/>
        <v>260</v>
      </c>
      <c r="BD267" s="56" t="s">
        <v>23</v>
      </c>
      <c r="BE267" s="3" t="s">
        <v>23</v>
      </c>
      <c r="BF267" s="119" t="s">
        <v>23</v>
      </c>
      <c r="BG267" s="49" t="s">
        <v>1378</v>
      </c>
      <c r="BH267" s="49" t="s">
        <v>1383</v>
      </c>
      <c r="BI267" s="1"/>
      <c r="BJ267" s="70" t="s">
        <v>1293</v>
      </c>
      <c r="BK267" s="57" t="s">
        <v>1293</v>
      </c>
      <c r="BL267" s="57" t="s">
        <v>1293</v>
      </c>
      <c r="BM267" s="57" t="s">
        <v>1293</v>
      </c>
      <c r="BN267" s="57" t="s">
        <v>1293</v>
      </c>
      <c r="BO267" s="57" t="s">
        <v>1293</v>
      </c>
      <c r="BP267" s="57" t="s">
        <v>1293</v>
      </c>
      <c r="BQ267" s="57" t="s">
        <v>1293</v>
      </c>
      <c r="BR267" s="57" t="s">
        <v>1293</v>
      </c>
      <c r="BS267" s="57" t="s">
        <v>1293</v>
      </c>
      <c r="BT267" s="57" t="s">
        <v>1293</v>
      </c>
      <c r="BU267" s="57" t="s">
        <v>1293</v>
      </c>
      <c r="BV267" s="70">
        <f t="shared" si="1092"/>
        <v>99</v>
      </c>
      <c r="BW267" s="71">
        <f t="shared" si="1093"/>
        <v>131</v>
      </c>
      <c r="BX267" s="72">
        <f t="shared" si="1094"/>
        <v>135</v>
      </c>
      <c r="BY267" s="71">
        <f t="shared" si="1095"/>
        <v>167</v>
      </c>
      <c r="BZ267" s="72">
        <f t="shared" si="1096"/>
        <v>171</v>
      </c>
      <c r="CA267" s="71">
        <f t="shared" si="1097"/>
        <v>207</v>
      </c>
      <c r="CB267" s="72">
        <f t="shared" si="1098"/>
        <v>215</v>
      </c>
      <c r="CC267" s="71">
        <f t="shared" si="1099"/>
        <v>254</v>
      </c>
      <c r="CD267" s="72">
        <f t="shared" si="1100"/>
        <v>264</v>
      </c>
      <c r="CE267" s="71">
        <f t="shared" si="1101"/>
        <v>304</v>
      </c>
      <c r="CF267" s="72">
        <f t="shared" si="1102"/>
        <v>346</v>
      </c>
      <c r="CG267" s="71">
        <f t="shared" si="1103"/>
        <v>375</v>
      </c>
      <c r="CH267" s="70">
        <f t="shared" si="1104"/>
        <v>130</v>
      </c>
      <c r="CI267" s="71">
        <f t="shared" si="1105"/>
        <v>134</v>
      </c>
      <c r="CJ267" s="72">
        <f t="shared" si="1106"/>
        <v>164</v>
      </c>
      <c r="CK267" s="72">
        <f t="shared" si="1107"/>
        <v>170</v>
      </c>
      <c r="CL267" s="72">
        <f t="shared" si="1108"/>
        <v>206</v>
      </c>
      <c r="CM267" s="72">
        <f t="shared" si="1109"/>
        <v>214</v>
      </c>
      <c r="CN267" s="72">
        <f t="shared" si="1110"/>
        <v>240</v>
      </c>
      <c r="CO267" s="72">
        <f t="shared" si="1111"/>
        <v>256</v>
      </c>
      <c r="CP267" s="72">
        <f t="shared" si="1112"/>
        <v>299</v>
      </c>
      <c r="CQ267" s="72">
        <f t="shared" si="1113"/>
        <v>340</v>
      </c>
      <c r="CR267" s="72">
        <f t="shared" si="1114"/>
        <v>374</v>
      </c>
      <c r="CS267" s="72">
        <f t="shared" si="1115"/>
        <v>389</v>
      </c>
      <c r="CT267" s="23">
        <f t="shared" si="1116"/>
        <v>1</v>
      </c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</row>
    <row r="268" spans="1:1029" x14ac:dyDescent="0.2">
      <c r="A268" s="3" t="str">
        <f t="shared" si="1117"/>
        <v>par1_human_3VW7</v>
      </c>
      <c r="B268" s="3" t="s">
        <v>355</v>
      </c>
      <c r="C268" s="3" t="s">
        <v>93</v>
      </c>
      <c r="D268" s="3" t="str">
        <f>IFERROR(MID(VLOOKUP($B268,Seqs!$A:$B,2,0),E268,1),"")</f>
        <v>S</v>
      </c>
      <c r="E268" s="3">
        <v>99</v>
      </c>
      <c r="F268" s="3" t="str">
        <f>IFERROR(MID(VLOOKUP($B268,Seqs!$A:$B,2,0),G268,1),"")</f>
        <v>K</v>
      </c>
      <c r="G268" s="3">
        <v>130</v>
      </c>
      <c r="H268" s="3" t="str">
        <f>IFERROR(MID(VLOOKUP($B268,Seqs!$A:$B,2,0),I268,1),"")</f>
        <v/>
      </c>
      <c r="I268" s="23" t="s">
        <v>23</v>
      </c>
      <c r="J268" s="3" t="str">
        <f>IFERROR(MID(VLOOKUP($B268,Seqs!$A:$B,2,0),K268,1),"")</f>
        <v/>
      </c>
      <c r="K268" s="23" t="s">
        <v>23</v>
      </c>
      <c r="L268" s="3" t="str">
        <f>IFERROR(MID(VLOOKUP($B268,Seqs!$A:$B,2,0),M268,1),"")</f>
        <v>K</v>
      </c>
      <c r="M268" s="3">
        <v>135</v>
      </c>
      <c r="N268" s="3" t="str">
        <f>IFERROR(MID(VLOOKUP($B268,Seqs!$A:$B,2,0),O268,1),"")</f>
        <v>S</v>
      </c>
      <c r="O268" s="3">
        <v>164</v>
      </c>
      <c r="P268" s="3" t="str">
        <f>IFERROR(MID(VLOOKUP($B268,Seqs!$A:$B,2,0),Q268,1),"")</f>
        <v>D</v>
      </c>
      <c r="Q268" s="3">
        <v>167</v>
      </c>
      <c r="R268" s="3" t="str">
        <f>IFERROR(MID(VLOOKUP($B268,Seqs!$A:$B,2,0),S268,1),"")</f>
        <v>F</v>
      </c>
      <c r="S268" s="3">
        <v>170</v>
      </c>
      <c r="T268" s="3" t="str">
        <f>IFERROR(MID(VLOOKUP($B268,Seqs!$A:$B,2,0),U268,1),"")</f>
        <v>G</v>
      </c>
      <c r="U268" s="3">
        <v>171</v>
      </c>
      <c r="V268" s="3" t="str">
        <f>IFERROR(MID(VLOOKUP($B268,Seqs!$A:$B,2,0),W268,1),"")</f>
        <v>Y</v>
      </c>
      <c r="W268" s="3">
        <v>206</v>
      </c>
      <c r="X268" s="3" t="str">
        <f>IFERROR(MID(VLOOKUP($B268,Seqs!$A:$B,2,0),Y268,1),"")</f>
        <v/>
      </c>
      <c r="Y268" s="3" t="s">
        <v>23</v>
      </c>
      <c r="Z268" s="3" t="str">
        <f>IFERROR(MID(VLOOKUP($B268,Seqs!$A:$B,2,0),AA268,1),"")</f>
        <v/>
      </c>
      <c r="AA268" s="3" t="s">
        <v>23</v>
      </c>
      <c r="AB268" s="3" t="str">
        <f>IFERROR(MID(VLOOKUP($B268,Seqs!$A:$B,2,0),AC268,1),"")</f>
        <v>T</v>
      </c>
      <c r="AC268" s="9">
        <v>215</v>
      </c>
      <c r="AD268" s="3" t="str">
        <f>IFERROR(MID(VLOOKUP($B268,Seqs!$A:$B,2,0),AE268,1),"")</f>
        <v>K</v>
      </c>
      <c r="AE268" s="3">
        <v>240</v>
      </c>
      <c r="AF268" s="3" t="str">
        <f>IFERROR(MID(VLOOKUP($B268,Seqs!$A:$B,2,0),AG268,1),"")</f>
        <v>C</v>
      </c>
      <c r="AG268" s="3">
        <v>254</v>
      </c>
      <c r="AH268" s="3" t="str">
        <f>IFERROR(MID(VLOOKUP($B268,Seqs!$A:$B,2,0),AI268,1),"")</f>
        <v>D</v>
      </c>
      <c r="AI268" s="3">
        <v>256</v>
      </c>
      <c r="AJ268" s="3" t="str">
        <f>IFERROR(MID(VLOOKUP($B268,Seqs!$A:$B,2,0),AK268,1),"")</f>
        <v>E</v>
      </c>
      <c r="AK268" s="3">
        <v>264</v>
      </c>
      <c r="AL268" s="3" t="str">
        <f>IFERROR(MID(VLOOKUP($B268,Seqs!$A:$B,2,0),AM268,1),"")</f>
        <v>S</v>
      </c>
      <c r="AM268" s="3">
        <v>300</v>
      </c>
      <c r="AN268" s="3" t="str">
        <f>IFERROR(MID(VLOOKUP($B268,Seqs!$A:$B,2,0),AO268,1),"")</f>
        <v>N</v>
      </c>
      <c r="AO268" s="3">
        <v>304</v>
      </c>
      <c r="AP268" s="3" t="str">
        <f>IFERROR(MID(VLOOKUP($B268,Seqs!$A:$B,2,0),AQ268,1),"")</f>
        <v>L</v>
      </c>
      <c r="AQ268" s="3">
        <v>340</v>
      </c>
      <c r="AR268" s="3" t="str">
        <f>IFERROR(MID(VLOOKUP($B268,Seqs!$A:$B,2,0),AS268,1),"")</f>
        <v>T</v>
      </c>
      <c r="AS268" s="3">
        <v>346</v>
      </c>
      <c r="AT268" s="3" t="str">
        <f>IFERROR(MID(VLOOKUP($B268,Seqs!$A:$B,2,0),AU268,1),"")</f>
        <v>Y</v>
      </c>
      <c r="AU268" s="3">
        <v>372</v>
      </c>
      <c r="AV268" s="3" t="str">
        <f>IFERROR(MID(VLOOKUP($B268,Seqs!$A:$B,2,0),AW268,1),"")</f>
        <v/>
      </c>
      <c r="AW268" s="3" t="s">
        <v>23</v>
      </c>
      <c r="AX268" s="3" t="str">
        <f>IFERROR(MID(VLOOKUP($B268,Seqs!$A:$B,2,0),AY268,1),"")</f>
        <v/>
      </c>
      <c r="AY268" s="3" t="s">
        <v>23</v>
      </c>
      <c r="AZ268" s="77" t="str">
        <f>VLOOKUP(B268,Classification!A:D,2,0)</f>
        <v>A</v>
      </c>
      <c r="BA268" s="94" t="str">
        <f>VLOOKUP(B268,Classification!A:D,4,0)</f>
        <v>Proteinase-activated</v>
      </c>
      <c r="BB268" s="27" t="b">
        <f t="shared" si="1118"/>
        <v>1</v>
      </c>
      <c r="BC268" s="23">
        <f t="shared" si="1091"/>
        <v>235</v>
      </c>
      <c r="BD268" s="2" t="s">
        <v>1439</v>
      </c>
      <c r="BE268" s="3" t="s">
        <v>1438</v>
      </c>
      <c r="BF268" s="119">
        <v>2.2000000000000002</v>
      </c>
      <c r="BG268" s="49" t="s">
        <v>1383</v>
      </c>
      <c r="BH268" s="49" t="s">
        <v>1383</v>
      </c>
      <c r="BI268" s="1"/>
      <c r="BJ268" s="70" t="s">
        <v>1293</v>
      </c>
      <c r="BK268" s="57" t="s">
        <v>1293</v>
      </c>
      <c r="BL268" s="57" t="s">
        <v>1293</v>
      </c>
      <c r="BM268" s="57" t="s">
        <v>1293</v>
      </c>
      <c r="BN268" s="57" t="s">
        <v>1293</v>
      </c>
      <c r="BO268" s="57" t="s">
        <v>1293</v>
      </c>
      <c r="BP268" s="57" t="s">
        <v>1293</v>
      </c>
      <c r="BQ268" s="57" t="s">
        <v>1293</v>
      </c>
      <c r="BR268" s="57" t="s">
        <v>1293</v>
      </c>
      <c r="BS268" s="57" t="s">
        <v>1293</v>
      </c>
      <c r="BT268" s="57" t="s">
        <v>1293</v>
      </c>
      <c r="BU268" s="57" t="s">
        <v>1293</v>
      </c>
      <c r="BV268" s="70">
        <f t="shared" si="1092"/>
        <v>99</v>
      </c>
      <c r="BW268" s="71" t="str">
        <f t="shared" si="1093"/>
        <v>-</v>
      </c>
      <c r="BX268" s="72">
        <f t="shared" si="1094"/>
        <v>135</v>
      </c>
      <c r="BY268" s="71">
        <f t="shared" si="1095"/>
        <v>167</v>
      </c>
      <c r="BZ268" s="72">
        <f t="shared" si="1096"/>
        <v>171</v>
      </c>
      <c r="CA268" s="71" t="str">
        <f t="shared" si="1097"/>
        <v>-</v>
      </c>
      <c r="CB268" s="72">
        <f t="shared" si="1098"/>
        <v>215</v>
      </c>
      <c r="CC268" s="71">
        <f t="shared" si="1099"/>
        <v>254</v>
      </c>
      <c r="CD268" s="72">
        <f t="shared" si="1100"/>
        <v>264</v>
      </c>
      <c r="CE268" s="71">
        <f t="shared" si="1101"/>
        <v>304</v>
      </c>
      <c r="CF268" s="72">
        <f t="shared" si="1102"/>
        <v>346</v>
      </c>
      <c r="CG268" s="71" t="str">
        <f t="shared" si="1103"/>
        <v>-</v>
      </c>
      <c r="CH268" s="70">
        <f t="shared" si="1104"/>
        <v>130</v>
      </c>
      <c r="CI268" s="71" t="str">
        <f t="shared" si="1105"/>
        <v>-</v>
      </c>
      <c r="CJ268" s="72">
        <f t="shared" si="1106"/>
        <v>164</v>
      </c>
      <c r="CK268" s="72">
        <f t="shared" si="1107"/>
        <v>170</v>
      </c>
      <c r="CL268" s="72">
        <f t="shared" si="1108"/>
        <v>206</v>
      </c>
      <c r="CM268" s="72" t="str">
        <f t="shared" si="1109"/>
        <v>-</v>
      </c>
      <c r="CN268" s="72">
        <f t="shared" si="1110"/>
        <v>240</v>
      </c>
      <c r="CO268" s="72">
        <f t="shared" si="1111"/>
        <v>256</v>
      </c>
      <c r="CP268" s="72">
        <f t="shared" si="1112"/>
        <v>300</v>
      </c>
      <c r="CQ268" s="72">
        <f t="shared" si="1113"/>
        <v>340</v>
      </c>
      <c r="CR268" s="72">
        <f t="shared" si="1114"/>
        <v>372</v>
      </c>
      <c r="CS268" s="72" t="str">
        <f t="shared" si="1115"/>
        <v>-</v>
      </c>
      <c r="CT268" s="23" t="e">
        <f t="shared" si="1116"/>
        <v>#VALUE!</v>
      </c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</row>
    <row r="269" spans="1:1029" x14ac:dyDescent="0.2">
      <c r="A269" s="3" t="str">
        <f t="shared" ref="A269:A288" si="1175">CONCATENATE(B269,"_",C269)</f>
        <v>par2_human__wt</v>
      </c>
      <c r="B269" s="3" t="s">
        <v>356</v>
      </c>
      <c r="C269" s="3" t="s">
        <v>100</v>
      </c>
      <c r="D269" s="3" t="str">
        <f>IFERROR(MID(VLOOKUP($B269,Seqs!$A:$B,2,0),E269,1),"")</f>
        <v>G</v>
      </c>
      <c r="E269" s="3">
        <v>71</v>
      </c>
      <c r="F269" s="3" t="str">
        <f>IFERROR(MID(VLOOKUP($B269,Seqs!$A:$B,2,0),G269,1),"")</f>
        <v>R</v>
      </c>
      <c r="G269" s="3">
        <v>103</v>
      </c>
      <c r="H269" s="3" t="str">
        <f>IFERROR(MID(VLOOKUP($B269,Seqs!$A:$B,2,0),I269,1),"")</f>
        <v/>
      </c>
      <c r="I269" s="23" t="s">
        <v>23</v>
      </c>
      <c r="J269" s="3" t="str">
        <f>IFERROR(MID(VLOOKUP($B269,Seqs!$A:$B,2,0),K269,1),"")</f>
        <v/>
      </c>
      <c r="K269" s="23" t="s">
        <v>23</v>
      </c>
      <c r="L269" s="3" t="str">
        <f>IFERROR(MID(VLOOKUP($B269,Seqs!$A:$B,2,0),M269,1),"")</f>
        <v>H</v>
      </c>
      <c r="M269" s="3">
        <v>108</v>
      </c>
      <c r="N269" s="3" t="str">
        <f>IFERROR(MID(VLOOKUP($B269,Seqs!$A:$B,2,0),O269,1),"")</f>
        <v>H</v>
      </c>
      <c r="O269" s="3">
        <v>137</v>
      </c>
      <c r="P269" s="3" t="str">
        <f>IFERROR(MID(VLOOKUP($B269,Seqs!$A:$B,2,0),Q269,1),"")</f>
        <v>G</v>
      </c>
      <c r="Q269" s="3">
        <v>138</v>
      </c>
      <c r="R269" s="3" t="str">
        <f>IFERROR(MID(VLOOKUP($B269,Seqs!$A:$B,2,0),S269,1),"")</f>
        <v>Y</v>
      </c>
      <c r="S269" s="3">
        <v>143</v>
      </c>
      <c r="T269" s="3" t="str">
        <f>IFERROR(MID(VLOOKUP($B269,Seqs!$A:$B,2,0),U269,1),"")</f>
        <v>G</v>
      </c>
      <c r="U269" s="3">
        <v>144</v>
      </c>
      <c r="V269" s="3" t="str">
        <f>IFERROR(MID(VLOOKUP($B269,Seqs!$A:$B,2,0),W269,1),"")</f>
        <v>N</v>
      </c>
      <c r="W269" s="3">
        <v>179</v>
      </c>
      <c r="X269" s="3" t="str">
        <f>IFERROR(MID(VLOOKUP($B269,Seqs!$A:$B,2,0),Y269,1),"")</f>
        <v>P</v>
      </c>
      <c r="Y269" s="3">
        <v>180</v>
      </c>
      <c r="Z269" s="3" t="str">
        <f>IFERROR(MID(VLOOKUP($B269,Seqs!$A:$B,2,0),AA269,1),"")</f>
        <v>K</v>
      </c>
      <c r="AA269" s="3">
        <v>186</v>
      </c>
      <c r="AB269" s="3" t="str">
        <f>IFERROR(MID(VLOOKUP($B269,Seqs!$A:$B,2,0),AC269,1),"")</f>
        <v>K</v>
      </c>
      <c r="AC269" s="3">
        <v>187</v>
      </c>
      <c r="AD269" s="3" t="str">
        <f>IFERROR(MID(VLOOKUP($B269,Seqs!$A:$B,2,0),AE269,1),"")</f>
        <v>V</v>
      </c>
      <c r="AE269" s="3">
        <v>211</v>
      </c>
      <c r="AF269" s="3" t="str">
        <f>IFERROR(MID(VLOOKUP($B269,Seqs!$A:$B,2,0),AG269,1),"")</f>
        <v>C</v>
      </c>
      <c r="AG269" s="3">
        <v>226</v>
      </c>
      <c r="AH269" s="3" t="str">
        <f>IFERROR(MID(VLOOKUP($B269,Seqs!$A:$B,2,0),AI269,1),"")</f>
        <v>D</v>
      </c>
      <c r="AI269" s="3">
        <v>228</v>
      </c>
      <c r="AJ269" s="3" t="str">
        <f>IFERROR(MID(VLOOKUP($B269,Seqs!$A:$B,2,0),AK269,1),"")</f>
        <v>L</v>
      </c>
      <c r="AK269" s="3">
        <v>235</v>
      </c>
      <c r="AL269" s="3" t="str">
        <f>IFERROR(MID(VLOOKUP($B269,Seqs!$A:$B,2,0),AM269,1),"")</f>
        <v>S</v>
      </c>
      <c r="AM269" s="3">
        <v>272</v>
      </c>
      <c r="AN269" s="3" t="str">
        <f>IFERROR(MID(VLOOKUP($B269,Seqs!$A:$B,2,0),AO269,1),"")</f>
        <v>S</v>
      </c>
      <c r="AO269" s="3">
        <v>278</v>
      </c>
      <c r="AP269" s="3" t="str">
        <f>IFERROR(MID(VLOOKUP($B269,Seqs!$A:$B,2,0),AQ269,1),"")</f>
        <v>Q</v>
      </c>
      <c r="AQ269" s="3">
        <v>317</v>
      </c>
      <c r="AR269" s="3" t="str">
        <f>IFERROR(MID(VLOOKUP($B269,Seqs!$A:$B,2,0),AS269,1),"")</f>
        <v>V</v>
      </c>
      <c r="AS269" s="3">
        <v>322</v>
      </c>
      <c r="AT269" s="3" t="str">
        <f>IFERROR(MID(VLOOKUP($B269,Seqs!$A:$B,2,0),AU269,1),"")</f>
        <v>V</v>
      </c>
      <c r="AU269" s="3">
        <v>347</v>
      </c>
      <c r="AV269" s="3" t="str">
        <f>IFERROR(MID(VLOOKUP($B269,Seqs!$A:$B,2,0),AW269,1),"")</f>
        <v>S</v>
      </c>
      <c r="AW269" s="3">
        <v>348</v>
      </c>
      <c r="AX269" s="3" t="str">
        <f>IFERROR(MID(VLOOKUP($B269,Seqs!$A:$B,2,0),AY269,1),"")</f>
        <v>R</v>
      </c>
      <c r="AY269" s="3">
        <v>362</v>
      </c>
      <c r="AZ269" s="77" t="str">
        <f>VLOOKUP(B269,Classification!A:D,2,0)</f>
        <v>A</v>
      </c>
      <c r="BA269" s="94" t="str">
        <f>VLOOKUP(B269,Classification!A:D,4,0)</f>
        <v>Proteinase-activated</v>
      </c>
      <c r="BB269" s="27" t="b">
        <f t="shared" ref="BB269:BB288" si="1176">AND(E269&lt;G269,OR(G269&lt;I269,I269="-"),OR(I269&lt;K269,I269="-"),OR(K269&lt;M269,K269="-"),M269&lt;O269,OR(O269&lt;Q269,Q269="-"),OR(Q269&lt;S269,Q269="-"),OR(S269&lt;U269,S269="-"),U269&lt;W269,OR(W269&lt;Y269,Y269="-"),OR(Y269&lt;AA269,Y269="-"),OR(AA269&lt;AC269,AA269="-"),AC269&lt;AE269,OR(AE269&lt;AG269,AG269="-"),OR(AG269&lt;AI269,AG269="-"),OR(AI269&lt;AK269,AI269="-"),AK269&lt;AM269,AM269&lt;AO269,AO269&lt;AQ269,AQ269&lt;AS269,AS269&lt;AU269,OR(AU269&lt;AW269,AW269="-"),OR(AW269&lt;AY269,AW269="-"))</f>
        <v>1</v>
      </c>
      <c r="BC269" s="23">
        <f t="shared" ref="BC269:BC288" si="1177">_xlfn.AGGREGATE(9,6,CH269:CS269)-_xlfn.AGGREGATE(9,6,BV269:CG269)+12</f>
        <v>260</v>
      </c>
      <c r="BD269" s="2" t="s">
        <v>23</v>
      </c>
      <c r="BE269" s="3" t="s">
        <v>23</v>
      </c>
      <c r="BF269" s="119" t="s">
        <v>23</v>
      </c>
      <c r="BG269" s="49" t="s">
        <v>1383</v>
      </c>
      <c r="BH269" s="49" t="s">
        <v>1383</v>
      </c>
      <c r="BI269" s="1"/>
      <c r="BJ269" s="70" t="s">
        <v>1293</v>
      </c>
      <c r="BK269" s="57" t="s">
        <v>1293</v>
      </c>
      <c r="BL269" s="57" t="s">
        <v>1293</v>
      </c>
      <c r="BM269" s="57" t="s">
        <v>1293</v>
      </c>
      <c r="BN269" s="57" t="s">
        <v>1293</v>
      </c>
      <c r="BO269" s="57" t="s">
        <v>1293</v>
      </c>
      <c r="BP269" s="57" t="s">
        <v>1293</v>
      </c>
      <c r="BQ269" s="57" t="s">
        <v>1293</v>
      </c>
      <c r="BR269" s="57" t="s">
        <v>1293</v>
      </c>
      <c r="BS269" s="57" t="s">
        <v>1293</v>
      </c>
      <c r="BT269" s="57" t="s">
        <v>1293</v>
      </c>
      <c r="BU269" s="57" t="s">
        <v>1293</v>
      </c>
      <c r="BV269" s="70">
        <f t="shared" ref="BV269:BV288" si="1178">E269</f>
        <v>71</v>
      </c>
      <c r="BW269" s="71" t="str">
        <f t="shared" ref="BW269:BW288" si="1179">I269</f>
        <v>-</v>
      </c>
      <c r="BX269" s="72">
        <f t="shared" ref="BX269:BX288" si="1180">M269</f>
        <v>108</v>
      </c>
      <c r="BY269" s="71">
        <f t="shared" ref="BY269:BY288" si="1181">Q269</f>
        <v>138</v>
      </c>
      <c r="BZ269" s="72">
        <f t="shared" ref="BZ269:BZ288" si="1182">U269</f>
        <v>144</v>
      </c>
      <c r="CA269" s="71">
        <f t="shared" ref="CA269:CA288" si="1183">Y269</f>
        <v>180</v>
      </c>
      <c r="CB269" s="72">
        <f t="shared" ref="CB269:CB288" si="1184">AC269</f>
        <v>187</v>
      </c>
      <c r="CC269" s="71">
        <f t="shared" ref="CC269:CC288" si="1185">AG269</f>
        <v>226</v>
      </c>
      <c r="CD269" s="72">
        <f t="shared" ref="CD269:CD288" si="1186">AK269</f>
        <v>235</v>
      </c>
      <c r="CE269" s="71">
        <f t="shared" ref="CE269:CE288" si="1187">AO269</f>
        <v>278</v>
      </c>
      <c r="CF269" s="72">
        <f t="shared" ref="CF269:CF288" si="1188">AS269</f>
        <v>322</v>
      </c>
      <c r="CG269" s="71">
        <f t="shared" ref="CG269:CG288" si="1189">AW269</f>
        <v>348</v>
      </c>
      <c r="CH269" s="70">
        <f t="shared" ref="CH269:CH288" si="1190">G269</f>
        <v>103</v>
      </c>
      <c r="CI269" s="71" t="str">
        <f t="shared" ref="CI269:CI288" si="1191">K269</f>
        <v>-</v>
      </c>
      <c r="CJ269" s="72">
        <f t="shared" ref="CJ269:CJ288" si="1192">O269</f>
        <v>137</v>
      </c>
      <c r="CK269" s="72">
        <f t="shared" ref="CK269:CK288" si="1193">S269</f>
        <v>143</v>
      </c>
      <c r="CL269" s="72">
        <f t="shared" ref="CL269:CL288" si="1194">W269</f>
        <v>179</v>
      </c>
      <c r="CM269" s="72">
        <f t="shared" ref="CM269:CM288" si="1195">AA269</f>
        <v>186</v>
      </c>
      <c r="CN269" s="72">
        <f t="shared" ref="CN269:CN288" si="1196">AE269</f>
        <v>211</v>
      </c>
      <c r="CO269" s="72">
        <f t="shared" ref="CO269:CO288" si="1197">AI269</f>
        <v>228</v>
      </c>
      <c r="CP269" s="72">
        <f t="shared" ref="CP269:CP288" si="1198">AM269</f>
        <v>272</v>
      </c>
      <c r="CQ269" s="72">
        <f t="shared" ref="CQ269:CQ288" si="1199">AQ269</f>
        <v>317</v>
      </c>
      <c r="CR269" s="72">
        <f t="shared" ref="CR269:CR288" si="1200">AU269</f>
        <v>347</v>
      </c>
      <c r="CS269" s="72">
        <f t="shared" ref="CS269:CS288" si="1201">AY269</f>
        <v>362</v>
      </c>
      <c r="CT269" s="23" t="e">
        <f t="shared" ref="CT269:CT288" si="1202">M269-K269</f>
        <v>#VALUE!</v>
      </c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</row>
    <row r="270" spans="1:1029" x14ac:dyDescent="0.2">
      <c r="A270" s="3" t="str">
        <f t="shared" si="1175"/>
        <v>par2_human_5NDD</v>
      </c>
      <c r="B270" s="3" t="s">
        <v>356</v>
      </c>
      <c r="C270" s="3" t="s">
        <v>1402</v>
      </c>
      <c r="D270" s="3" t="str">
        <f>IFERROR(MID(VLOOKUP($B270,Seqs!$A:$B,2,0),E270,1),"")</f>
        <v>G</v>
      </c>
      <c r="E270" s="3">
        <v>71</v>
      </c>
      <c r="F270" s="3" t="str">
        <f>IFERROR(MID(VLOOKUP($B270,Seqs!$A:$B,2,0),G270,1),"")</f>
        <v>R</v>
      </c>
      <c r="G270" s="3">
        <v>103</v>
      </c>
      <c r="H270" s="3" t="str">
        <f>IFERROR(MID(VLOOKUP($B270,Seqs!$A:$B,2,0),I270,1),"")</f>
        <v/>
      </c>
      <c r="I270" s="23" t="s">
        <v>23</v>
      </c>
      <c r="J270" s="3" t="str">
        <f>IFERROR(MID(VLOOKUP($B270,Seqs!$A:$B,2,0),K270,1),"")</f>
        <v/>
      </c>
      <c r="K270" s="23" t="s">
        <v>23</v>
      </c>
      <c r="L270" s="3" t="str">
        <f>IFERROR(MID(VLOOKUP($B270,Seqs!$A:$B,2,0),M270,1),"")</f>
        <v>H</v>
      </c>
      <c r="M270" s="3">
        <v>108</v>
      </c>
      <c r="N270" s="3" t="str">
        <f>IFERROR(MID(VLOOKUP($B270,Seqs!$A:$B,2,0),O270,1),"")</f>
        <v>H</v>
      </c>
      <c r="O270" s="3">
        <v>137</v>
      </c>
      <c r="P270" s="3" t="str">
        <f>IFERROR(MID(VLOOKUP($B270,Seqs!$A:$B,2,0),Q270,1),"")</f>
        <v>G</v>
      </c>
      <c r="Q270" s="3">
        <v>138</v>
      </c>
      <c r="R270" s="3" t="str">
        <f>IFERROR(MID(VLOOKUP($B270,Seqs!$A:$B,2,0),S270,1),"")</f>
        <v>Y</v>
      </c>
      <c r="S270" s="3">
        <v>143</v>
      </c>
      <c r="T270" s="3" t="str">
        <f>IFERROR(MID(VLOOKUP($B270,Seqs!$A:$B,2,0),U270,1),"")</f>
        <v>G</v>
      </c>
      <c r="U270" s="3">
        <v>144</v>
      </c>
      <c r="V270" s="3" t="str">
        <f>IFERROR(MID(VLOOKUP($B270,Seqs!$A:$B,2,0),W270,1),"")</f>
        <v>N</v>
      </c>
      <c r="W270" s="3">
        <v>179</v>
      </c>
      <c r="X270" s="3" t="str">
        <f>IFERROR(MID(VLOOKUP($B270,Seqs!$A:$B,2,0),Y270,1),"")</f>
        <v/>
      </c>
      <c r="Y270" s="3" t="s">
        <v>23</v>
      </c>
      <c r="Z270" s="3" t="str">
        <f>IFERROR(MID(VLOOKUP($B270,Seqs!$A:$B,2,0),AA270,1),"")</f>
        <v/>
      </c>
      <c r="AA270" s="3" t="s">
        <v>23</v>
      </c>
      <c r="AB270" s="3" t="str">
        <f>IFERROR(MID(VLOOKUP($B270,Seqs!$A:$B,2,0),AC270,1),"")</f>
        <v>H</v>
      </c>
      <c r="AC270" s="3">
        <v>183</v>
      </c>
      <c r="AD270" s="3" t="str">
        <f>IFERROR(MID(VLOOKUP($B270,Seqs!$A:$B,2,0),AE270,1),"")</f>
        <v>V</v>
      </c>
      <c r="AE270" s="3">
        <v>211</v>
      </c>
      <c r="AF270" s="3" t="str">
        <f>IFERROR(MID(VLOOKUP($B270,Seqs!$A:$B,2,0),AG270,1),"")</f>
        <v>C</v>
      </c>
      <c r="AG270" s="3">
        <v>226</v>
      </c>
      <c r="AH270" s="3" t="str">
        <f>IFERROR(MID(VLOOKUP($B270,Seqs!$A:$B,2,0),AI270,1),"")</f>
        <v>D</v>
      </c>
      <c r="AI270" s="3">
        <v>228</v>
      </c>
      <c r="AJ270" s="3" t="str">
        <f>IFERROR(MID(VLOOKUP($B270,Seqs!$A:$B,2,0),AK270,1),"")</f>
        <v>L</v>
      </c>
      <c r="AK270" s="3">
        <v>235</v>
      </c>
      <c r="AL270" s="3" t="str">
        <f>IFERROR(MID(VLOOKUP($B270,Seqs!$A:$B,2,0),AM270,1),"")</f>
        <v>L</v>
      </c>
      <c r="AM270" s="3">
        <v>269</v>
      </c>
      <c r="AN270" s="3" t="str">
        <f>IFERROR(MID(VLOOKUP($B270,Seqs!$A:$B,2,0),AO270,1),"")</f>
        <v>S</v>
      </c>
      <c r="AO270" s="3">
        <v>278</v>
      </c>
      <c r="AP270" s="3" t="str">
        <f>IFERROR(MID(VLOOKUP($B270,Seqs!$A:$B,2,0),AQ270,1),"")</f>
        <v>Q</v>
      </c>
      <c r="AQ270" s="3">
        <v>317</v>
      </c>
      <c r="AR270" s="3" t="str">
        <f>IFERROR(MID(VLOOKUP($B270,Seqs!$A:$B,2,0),AS270,1),"")</f>
        <v>V</v>
      </c>
      <c r="AS270" s="3">
        <v>322</v>
      </c>
      <c r="AT270" s="3" t="str">
        <f>IFERROR(MID(VLOOKUP($B270,Seqs!$A:$B,2,0),AU270,1),"")</f>
        <v>V</v>
      </c>
      <c r="AU270" s="3">
        <v>347</v>
      </c>
      <c r="AV270" s="3" t="str">
        <f>IFERROR(MID(VLOOKUP($B270,Seqs!$A:$B,2,0),AW270,1),"")</f>
        <v>S</v>
      </c>
      <c r="AW270" s="3">
        <v>348</v>
      </c>
      <c r="AX270" s="3" t="str">
        <f>IFERROR(MID(VLOOKUP($B270,Seqs!$A:$B,2,0),AY270,1),"")</f>
        <v>L</v>
      </c>
      <c r="AY270" s="3">
        <v>359</v>
      </c>
      <c r="AZ270" s="77" t="str">
        <f>VLOOKUP(B270,Classification!A:D,2,0)</f>
        <v>A</v>
      </c>
      <c r="BA270" s="94" t="str">
        <f>VLOOKUP(B270,Classification!A:D,4,0)</f>
        <v>Proteinase-activated</v>
      </c>
      <c r="BB270" s="27" t="b">
        <f t="shared" si="1176"/>
        <v>1</v>
      </c>
      <c r="BC270" s="23">
        <f t="shared" si="1177"/>
        <v>252</v>
      </c>
      <c r="BD270" s="2" t="s">
        <v>1439</v>
      </c>
      <c r="BE270" s="3" t="s">
        <v>1438</v>
      </c>
      <c r="BF270" s="119">
        <v>2.8</v>
      </c>
      <c r="BG270" s="49" t="s">
        <v>1</v>
      </c>
      <c r="BH270" s="49" t="s">
        <v>1383</v>
      </c>
      <c r="BI270" s="1"/>
      <c r="BJ270" s="70" t="s">
        <v>1293</v>
      </c>
      <c r="BK270" s="57" t="s">
        <v>1293</v>
      </c>
      <c r="BL270" s="57" t="s">
        <v>1293</v>
      </c>
      <c r="BM270" s="57" t="s">
        <v>1293</v>
      </c>
      <c r="BN270" s="57" t="s">
        <v>1293</v>
      </c>
      <c r="BO270" s="57" t="s">
        <v>1293</v>
      </c>
      <c r="BP270" s="57" t="s">
        <v>1293</v>
      </c>
      <c r="BQ270" s="57" t="s">
        <v>1293</v>
      </c>
      <c r="BR270" s="57" t="s">
        <v>1293</v>
      </c>
      <c r="BS270" s="57" t="s">
        <v>1293</v>
      </c>
      <c r="BT270" s="57" t="s">
        <v>1293</v>
      </c>
      <c r="BU270" s="57" t="s">
        <v>1293</v>
      </c>
      <c r="BV270" s="70">
        <f t="shared" si="1178"/>
        <v>71</v>
      </c>
      <c r="BW270" s="71" t="str">
        <f t="shared" si="1179"/>
        <v>-</v>
      </c>
      <c r="BX270" s="72">
        <f t="shared" si="1180"/>
        <v>108</v>
      </c>
      <c r="BY270" s="71">
        <f t="shared" si="1181"/>
        <v>138</v>
      </c>
      <c r="BZ270" s="72">
        <f t="shared" si="1182"/>
        <v>144</v>
      </c>
      <c r="CA270" s="71" t="str">
        <f t="shared" si="1183"/>
        <v>-</v>
      </c>
      <c r="CB270" s="72">
        <f t="shared" si="1184"/>
        <v>183</v>
      </c>
      <c r="CC270" s="71">
        <f t="shared" si="1185"/>
        <v>226</v>
      </c>
      <c r="CD270" s="72">
        <f t="shared" si="1186"/>
        <v>235</v>
      </c>
      <c r="CE270" s="71">
        <f t="shared" si="1187"/>
        <v>278</v>
      </c>
      <c r="CF270" s="72">
        <f t="shared" si="1188"/>
        <v>322</v>
      </c>
      <c r="CG270" s="71">
        <f t="shared" si="1189"/>
        <v>348</v>
      </c>
      <c r="CH270" s="70">
        <f t="shared" si="1190"/>
        <v>103</v>
      </c>
      <c r="CI270" s="71" t="str">
        <f t="shared" si="1191"/>
        <v>-</v>
      </c>
      <c r="CJ270" s="72">
        <f t="shared" si="1192"/>
        <v>137</v>
      </c>
      <c r="CK270" s="72">
        <f t="shared" si="1193"/>
        <v>143</v>
      </c>
      <c r="CL270" s="72">
        <f t="shared" si="1194"/>
        <v>179</v>
      </c>
      <c r="CM270" s="72" t="str">
        <f t="shared" si="1195"/>
        <v>-</v>
      </c>
      <c r="CN270" s="72">
        <f t="shared" si="1196"/>
        <v>211</v>
      </c>
      <c r="CO270" s="72">
        <f t="shared" si="1197"/>
        <v>228</v>
      </c>
      <c r="CP270" s="72">
        <f t="shared" si="1198"/>
        <v>269</v>
      </c>
      <c r="CQ270" s="72">
        <f t="shared" si="1199"/>
        <v>317</v>
      </c>
      <c r="CR270" s="72">
        <f t="shared" si="1200"/>
        <v>347</v>
      </c>
      <c r="CS270" s="72">
        <f t="shared" si="1201"/>
        <v>359</v>
      </c>
      <c r="CT270" s="23" t="e">
        <f t="shared" si="1202"/>
        <v>#VALUE!</v>
      </c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</row>
    <row r="271" spans="1:1029" x14ac:dyDescent="0.2">
      <c r="A271" s="3" t="str">
        <f t="shared" si="1175"/>
        <v>par2_human_5NDZ</v>
      </c>
      <c r="B271" s="3" t="s">
        <v>356</v>
      </c>
      <c r="C271" s="3" t="s">
        <v>1403</v>
      </c>
      <c r="D271" s="3" t="str">
        <f>IFERROR(MID(VLOOKUP($B271,Seqs!$A:$B,2,0),E271,1),"")</f>
        <v>G</v>
      </c>
      <c r="E271" s="3">
        <v>71</v>
      </c>
      <c r="F271" s="3" t="str">
        <f>IFERROR(MID(VLOOKUP($B271,Seqs!$A:$B,2,0),G271,1),"")</f>
        <v>R</v>
      </c>
      <c r="G271" s="3">
        <v>103</v>
      </c>
      <c r="H271" s="3" t="str">
        <f>IFERROR(MID(VLOOKUP($B271,Seqs!$A:$B,2,0),I271,1),"")</f>
        <v/>
      </c>
      <c r="I271" s="23" t="s">
        <v>23</v>
      </c>
      <c r="J271" s="3" t="str">
        <f>IFERROR(MID(VLOOKUP($B271,Seqs!$A:$B,2,0),K271,1),"")</f>
        <v/>
      </c>
      <c r="K271" s="23" t="s">
        <v>23</v>
      </c>
      <c r="L271" s="3" t="str">
        <f>IFERROR(MID(VLOOKUP($B271,Seqs!$A:$B,2,0),M271,1),"")</f>
        <v>H</v>
      </c>
      <c r="M271" s="3">
        <v>108</v>
      </c>
      <c r="N271" s="3" t="str">
        <f>IFERROR(MID(VLOOKUP($B271,Seqs!$A:$B,2,0),O271,1),"")</f>
        <v>H</v>
      </c>
      <c r="O271" s="3">
        <v>137</v>
      </c>
      <c r="P271" s="3" t="str">
        <f>IFERROR(MID(VLOOKUP($B271,Seqs!$A:$B,2,0),Q271,1),"")</f>
        <v>G</v>
      </c>
      <c r="Q271" s="3">
        <v>138</v>
      </c>
      <c r="R271" s="3" t="str">
        <f>IFERROR(MID(VLOOKUP($B271,Seqs!$A:$B,2,0),S271,1),"")</f>
        <v>Y</v>
      </c>
      <c r="S271" s="3">
        <v>143</v>
      </c>
      <c r="T271" s="3" t="str">
        <f>IFERROR(MID(VLOOKUP($B271,Seqs!$A:$B,2,0),U271,1),"")</f>
        <v>G</v>
      </c>
      <c r="U271" s="3">
        <v>144</v>
      </c>
      <c r="V271" s="3" t="str">
        <f>IFERROR(MID(VLOOKUP($B271,Seqs!$A:$B,2,0),W271,1),"")</f>
        <v>N</v>
      </c>
      <c r="W271" s="3">
        <v>179</v>
      </c>
      <c r="X271" s="3" t="str">
        <f>IFERROR(MID(VLOOKUP($B271,Seqs!$A:$B,2,0),Y271,1),"")</f>
        <v/>
      </c>
      <c r="Y271" s="3" t="s">
        <v>23</v>
      </c>
      <c r="Z271" s="3" t="str">
        <f>IFERROR(MID(VLOOKUP($B271,Seqs!$A:$B,2,0),AA271,1),"")</f>
        <v/>
      </c>
      <c r="AA271" s="3" t="s">
        <v>23</v>
      </c>
      <c r="AB271" s="3" t="str">
        <f>IFERROR(MID(VLOOKUP($B271,Seqs!$A:$B,2,0),AC271,1),"")</f>
        <v>H</v>
      </c>
      <c r="AC271" s="3">
        <v>183</v>
      </c>
      <c r="AD271" s="3" t="str">
        <f>IFERROR(MID(VLOOKUP($B271,Seqs!$A:$B,2,0),AE271,1),"")</f>
        <v>V</v>
      </c>
      <c r="AE271" s="3">
        <v>211</v>
      </c>
      <c r="AF271" s="3" t="str">
        <f>IFERROR(MID(VLOOKUP($B271,Seqs!$A:$B,2,0),AG271,1),"")</f>
        <v>C</v>
      </c>
      <c r="AG271" s="3">
        <v>226</v>
      </c>
      <c r="AH271" s="3" t="str">
        <f>IFERROR(MID(VLOOKUP($B271,Seqs!$A:$B,2,0),AI271,1),"")</f>
        <v>D</v>
      </c>
      <c r="AI271" s="3">
        <v>228</v>
      </c>
      <c r="AJ271" s="3" t="str">
        <f>IFERROR(MID(VLOOKUP($B271,Seqs!$A:$B,2,0),AK271,1),"")</f>
        <v>L</v>
      </c>
      <c r="AK271" s="3">
        <v>235</v>
      </c>
      <c r="AL271" s="3" t="str">
        <f>IFERROR(MID(VLOOKUP($B271,Seqs!$A:$B,2,0),AM271,1),"")</f>
        <v>L</v>
      </c>
      <c r="AM271" s="3">
        <v>269</v>
      </c>
      <c r="AN271" s="3" t="str">
        <f>IFERROR(MID(VLOOKUP($B271,Seqs!$A:$B,2,0),AO271,1),"")</f>
        <v>S</v>
      </c>
      <c r="AO271" s="3">
        <v>278</v>
      </c>
      <c r="AP271" s="3" t="str">
        <f>IFERROR(MID(VLOOKUP($B271,Seqs!$A:$B,2,0),AQ271,1),"")</f>
        <v>Q</v>
      </c>
      <c r="AQ271" s="3">
        <v>317</v>
      </c>
      <c r="AR271" s="3" t="str">
        <f>IFERROR(MID(VLOOKUP($B271,Seqs!$A:$B,2,0),AS271,1),"")</f>
        <v>V</v>
      </c>
      <c r="AS271" s="3">
        <v>322</v>
      </c>
      <c r="AT271" s="3" t="str">
        <f>IFERROR(MID(VLOOKUP($B271,Seqs!$A:$B,2,0),AU271,1),"")</f>
        <v>S</v>
      </c>
      <c r="AU271" s="3">
        <v>348</v>
      </c>
      <c r="AV271" s="3" t="str">
        <f>IFERROR(MID(VLOOKUP($B271,Seqs!$A:$B,2,0),AW271,1),"")</f>
        <v>H</v>
      </c>
      <c r="AW271" s="3">
        <v>349</v>
      </c>
      <c r="AX271" s="3" t="str">
        <f>IFERROR(MID(VLOOKUP($B271,Seqs!$A:$B,2,0),AY271,1),"")</f>
        <v>L</v>
      </c>
      <c r="AY271" s="3">
        <v>359</v>
      </c>
      <c r="AZ271" s="77" t="str">
        <f>VLOOKUP(B271,Classification!A:D,2,0)</f>
        <v>A</v>
      </c>
      <c r="BA271" s="94" t="str">
        <f>VLOOKUP(B271,Classification!A:D,4,0)</f>
        <v>Proteinase-activated</v>
      </c>
      <c r="BB271" s="27" t="b">
        <f t="shared" si="1176"/>
        <v>1</v>
      </c>
      <c r="BC271" s="23">
        <f t="shared" si="1177"/>
        <v>252</v>
      </c>
      <c r="BD271" s="2" t="s">
        <v>23</v>
      </c>
      <c r="BE271" s="3" t="s">
        <v>1438</v>
      </c>
      <c r="BF271" s="119">
        <v>3.6</v>
      </c>
      <c r="BG271" s="49" t="s">
        <v>1</v>
      </c>
      <c r="BH271" s="49" t="s">
        <v>1383</v>
      </c>
      <c r="BI271" s="1"/>
      <c r="BJ271" s="70" t="s">
        <v>1293</v>
      </c>
      <c r="BK271" s="57" t="s">
        <v>1293</v>
      </c>
      <c r="BL271" s="57" t="s">
        <v>1293</v>
      </c>
      <c r="BM271" s="57" t="s">
        <v>1293</v>
      </c>
      <c r="BN271" s="57" t="s">
        <v>1293</v>
      </c>
      <c r="BO271" s="57" t="s">
        <v>1293</v>
      </c>
      <c r="BP271" s="57" t="s">
        <v>1293</v>
      </c>
      <c r="BQ271" s="57" t="s">
        <v>1293</v>
      </c>
      <c r="BR271" s="57" t="s">
        <v>1293</v>
      </c>
      <c r="BS271" s="57" t="s">
        <v>1293</v>
      </c>
      <c r="BT271" s="57" t="s">
        <v>1293</v>
      </c>
      <c r="BU271" s="57" t="s">
        <v>1293</v>
      </c>
      <c r="BV271" s="70">
        <f t="shared" si="1178"/>
        <v>71</v>
      </c>
      <c r="BW271" s="71" t="str">
        <f t="shared" si="1179"/>
        <v>-</v>
      </c>
      <c r="BX271" s="72">
        <f t="shared" si="1180"/>
        <v>108</v>
      </c>
      <c r="BY271" s="71">
        <f t="shared" si="1181"/>
        <v>138</v>
      </c>
      <c r="BZ271" s="72">
        <f t="shared" si="1182"/>
        <v>144</v>
      </c>
      <c r="CA271" s="71" t="str">
        <f t="shared" si="1183"/>
        <v>-</v>
      </c>
      <c r="CB271" s="72">
        <f t="shared" si="1184"/>
        <v>183</v>
      </c>
      <c r="CC271" s="71">
        <f t="shared" si="1185"/>
        <v>226</v>
      </c>
      <c r="CD271" s="72">
        <f t="shared" si="1186"/>
        <v>235</v>
      </c>
      <c r="CE271" s="71">
        <f t="shared" si="1187"/>
        <v>278</v>
      </c>
      <c r="CF271" s="72">
        <f t="shared" si="1188"/>
        <v>322</v>
      </c>
      <c r="CG271" s="71">
        <f t="shared" si="1189"/>
        <v>349</v>
      </c>
      <c r="CH271" s="70">
        <f t="shared" si="1190"/>
        <v>103</v>
      </c>
      <c r="CI271" s="71" t="str">
        <f t="shared" si="1191"/>
        <v>-</v>
      </c>
      <c r="CJ271" s="72">
        <f t="shared" si="1192"/>
        <v>137</v>
      </c>
      <c r="CK271" s="72">
        <f t="shared" si="1193"/>
        <v>143</v>
      </c>
      <c r="CL271" s="72">
        <f t="shared" si="1194"/>
        <v>179</v>
      </c>
      <c r="CM271" s="72" t="str">
        <f t="shared" si="1195"/>
        <v>-</v>
      </c>
      <c r="CN271" s="72">
        <f t="shared" si="1196"/>
        <v>211</v>
      </c>
      <c r="CO271" s="72">
        <f t="shared" si="1197"/>
        <v>228</v>
      </c>
      <c r="CP271" s="72">
        <f t="shared" si="1198"/>
        <v>269</v>
      </c>
      <c r="CQ271" s="72">
        <f t="shared" si="1199"/>
        <v>317</v>
      </c>
      <c r="CR271" s="72">
        <f t="shared" si="1200"/>
        <v>348</v>
      </c>
      <c r="CS271" s="72">
        <f t="shared" si="1201"/>
        <v>359</v>
      </c>
      <c r="CT271" s="23" t="e">
        <f t="shared" si="1202"/>
        <v>#VALUE!</v>
      </c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</row>
    <row r="272" spans="1:1029" x14ac:dyDescent="0.2">
      <c r="A272" s="3" t="str">
        <f t="shared" si="1175"/>
        <v>par2_human_5NJ6</v>
      </c>
      <c r="B272" s="3" t="s">
        <v>356</v>
      </c>
      <c r="C272" s="3" t="s">
        <v>1405</v>
      </c>
      <c r="D272" s="3" t="str">
        <f>IFERROR(MID(VLOOKUP($B272,Seqs!$A:$B,2,0),E272,1),"")</f>
        <v>G</v>
      </c>
      <c r="E272" s="3">
        <v>71</v>
      </c>
      <c r="F272" s="3" t="str">
        <f>IFERROR(MID(VLOOKUP($B272,Seqs!$A:$B,2,0),G272,1),"")</f>
        <v>R</v>
      </c>
      <c r="G272" s="3">
        <v>103</v>
      </c>
      <c r="H272" s="3" t="str">
        <f>IFERROR(MID(VLOOKUP($B272,Seqs!$A:$B,2,0),I272,1),"")</f>
        <v/>
      </c>
      <c r="I272" s="23" t="s">
        <v>23</v>
      </c>
      <c r="J272" s="3" t="str">
        <f>IFERROR(MID(VLOOKUP($B272,Seqs!$A:$B,2,0),K272,1),"")</f>
        <v/>
      </c>
      <c r="K272" s="23" t="s">
        <v>23</v>
      </c>
      <c r="L272" s="3" t="str">
        <f>IFERROR(MID(VLOOKUP($B272,Seqs!$A:$B,2,0),M272,1),"")</f>
        <v>H</v>
      </c>
      <c r="M272" s="3">
        <v>108</v>
      </c>
      <c r="N272" s="3" t="str">
        <f>IFERROR(MID(VLOOKUP($B272,Seqs!$A:$B,2,0),O272,1),"")</f>
        <v>H</v>
      </c>
      <c r="O272" s="3">
        <v>137</v>
      </c>
      <c r="P272" s="3" t="str">
        <f>IFERROR(MID(VLOOKUP($B272,Seqs!$A:$B,2,0),Q272,1),"")</f>
        <v>G</v>
      </c>
      <c r="Q272" s="3">
        <v>138</v>
      </c>
      <c r="R272" s="3" t="str">
        <f>IFERROR(MID(VLOOKUP($B272,Seqs!$A:$B,2,0),S272,1),"")</f>
        <v>Y</v>
      </c>
      <c r="S272" s="3">
        <v>143</v>
      </c>
      <c r="T272" s="3" t="str">
        <f>IFERROR(MID(VLOOKUP($B272,Seqs!$A:$B,2,0),U272,1),"")</f>
        <v>G</v>
      </c>
      <c r="U272" s="3">
        <v>144</v>
      </c>
      <c r="V272" s="3" t="str">
        <f>IFERROR(MID(VLOOKUP($B272,Seqs!$A:$B,2,0),W272,1),"")</f>
        <v>N</v>
      </c>
      <c r="W272" s="3">
        <v>179</v>
      </c>
      <c r="X272" s="3" t="str">
        <f>IFERROR(MID(VLOOKUP($B272,Seqs!$A:$B,2,0),Y272,1),"")</f>
        <v/>
      </c>
      <c r="Y272" s="3" t="s">
        <v>23</v>
      </c>
      <c r="Z272" s="3" t="str">
        <f>IFERROR(MID(VLOOKUP($B272,Seqs!$A:$B,2,0),AA272,1),"")</f>
        <v/>
      </c>
      <c r="AA272" s="3" t="s">
        <v>23</v>
      </c>
      <c r="AB272" s="3" t="str">
        <f>IFERROR(MID(VLOOKUP($B272,Seqs!$A:$B,2,0),AC272,1),"")</f>
        <v>H</v>
      </c>
      <c r="AC272" s="3">
        <v>183</v>
      </c>
      <c r="AD272" s="3" t="str">
        <f>IFERROR(MID(VLOOKUP($B272,Seqs!$A:$B,2,0),AE272,1),"")</f>
        <v>V</v>
      </c>
      <c r="AE272" s="3">
        <v>211</v>
      </c>
      <c r="AF272" s="3" t="str">
        <f>IFERROR(MID(VLOOKUP($B272,Seqs!$A:$B,2,0),AG272,1),"")</f>
        <v>C</v>
      </c>
      <c r="AG272" s="3">
        <v>226</v>
      </c>
      <c r="AH272" s="3" t="str">
        <f>IFERROR(MID(VLOOKUP($B272,Seqs!$A:$B,2,0),AI272,1),"")</f>
        <v>D</v>
      </c>
      <c r="AI272" s="3">
        <v>228</v>
      </c>
      <c r="AJ272" s="3" t="str">
        <f>IFERROR(MID(VLOOKUP($B272,Seqs!$A:$B,2,0),AK272,1),"")</f>
        <v>L</v>
      </c>
      <c r="AK272" s="3">
        <v>235</v>
      </c>
      <c r="AL272" s="3" t="str">
        <f>IFERROR(MID(VLOOKUP($B272,Seqs!$A:$B,2,0),AM272,1),"")</f>
        <v>L</v>
      </c>
      <c r="AM272" s="3">
        <v>269</v>
      </c>
      <c r="AN272" s="3" t="str">
        <f>IFERROR(MID(VLOOKUP($B272,Seqs!$A:$B,2,0),AO272,1),"")</f>
        <v>S</v>
      </c>
      <c r="AO272" s="3">
        <v>278</v>
      </c>
      <c r="AP272" s="3" t="str">
        <f>IFERROR(MID(VLOOKUP($B272,Seqs!$A:$B,2,0),AQ272,1),"")</f>
        <v>Q</v>
      </c>
      <c r="AQ272" s="3">
        <v>317</v>
      </c>
      <c r="AR272" s="3" t="str">
        <f>IFERROR(MID(VLOOKUP($B272,Seqs!$A:$B,2,0),AS272,1),"")</f>
        <v>V</v>
      </c>
      <c r="AS272" s="3">
        <v>322</v>
      </c>
      <c r="AT272" s="3" t="str">
        <f>IFERROR(MID(VLOOKUP($B272,Seqs!$A:$B,2,0),AU272,1),"")</f>
        <v>S</v>
      </c>
      <c r="AU272" s="3">
        <v>348</v>
      </c>
      <c r="AV272" s="3" t="str">
        <f>IFERROR(MID(VLOOKUP($B272,Seqs!$A:$B,2,0),AW272,1),"")</f>
        <v>H</v>
      </c>
      <c r="AW272" s="3">
        <v>349</v>
      </c>
      <c r="AX272" s="3" t="str">
        <f>IFERROR(MID(VLOOKUP($B272,Seqs!$A:$B,2,0),AY272,1),"")</f>
        <v>L</v>
      </c>
      <c r="AY272" s="3">
        <v>359</v>
      </c>
      <c r="AZ272" s="77" t="str">
        <f>VLOOKUP(B272,Classification!A:D,2,0)</f>
        <v>A</v>
      </c>
      <c r="BA272" s="94" t="str">
        <f>VLOOKUP(B272,Classification!A:D,4,0)</f>
        <v>Proteinase-activated</v>
      </c>
      <c r="BB272" s="27" t="b">
        <f t="shared" si="1176"/>
        <v>1</v>
      </c>
      <c r="BC272" s="23">
        <f t="shared" si="1177"/>
        <v>252</v>
      </c>
      <c r="BD272" s="2" t="s">
        <v>23</v>
      </c>
      <c r="BE272" s="3" t="s">
        <v>1438</v>
      </c>
      <c r="BF272" s="119">
        <v>4</v>
      </c>
      <c r="BG272" s="49" t="s">
        <v>1</v>
      </c>
      <c r="BH272" s="49" t="s">
        <v>1383</v>
      </c>
      <c r="BI272" s="1"/>
      <c r="BJ272" s="70" t="s">
        <v>1293</v>
      </c>
      <c r="BK272" s="57" t="s">
        <v>1293</v>
      </c>
      <c r="BL272" s="57" t="s">
        <v>1293</v>
      </c>
      <c r="BM272" s="57" t="s">
        <v>1293</v>
      </c>
      <c r="BN272" s="57" t="s">
        <v>1293</v>
      </c>
      <c r="BO272" s="57" t="s">
        <v>1293</v>
      </c>
      <c r="BP272" s="57" t="s">
        <v>1293</v>
      </c>
      <c r="BQ272" s="57" t="s">
        <v>1293</v>
      </c>
      <c r="BR272" s="57" t="s">
        <v>1293</v>
      </c>
      <c r="BS272" s="57" t="s">
        <v>1293</v>
      </c>
      <c r="BT272" s="57" t="s">
        <v>1293</v>
      </c>
      <c r="BU272" s="57" t="s">
        <v>1293</v>
      </c>
      <c r="BV272" s="70">
        <f t="shared" si="1178"/>
        <v>71</v>
      </c>
      <c r="BW272" s="71" t="str">
        <f t="shared" si="1179"/>
        <v>-</v>
      </c>
      <c r="BX272" s="72">
        <f t="shared" si="1180"/>
        <v>108</v>
      </c>
      <c r="BY272" s="71">
        <f t="shared" si="1181"/>
        <v>138</v>
      </c>
      <c r="BZ272" s="72">
        <f t="shared" si="1182"/>
        <v>144</v>
      </c>
      <c r="CA272" s="71" t="str">
        <f t="shared" si="1183"/>
        <v>-</v>
      </c>
      <c r="CB272" s="72">
        <f t="shared" si="1184"/>
        <v>183</v>
      </c>
      <c r="CC272" s="71">
        <f t="shared" si="1185"/>
        <v>226</v>
      </c>
      <c r="CD272" s="72">
        <f t="shared" si="1186"/>
        <v>235</v>
      </c>
      <c r="CE272" s="71">
        <f t="shared" si="1187"/>
        <v>278</v>
      </c>
      <c r="CF272" s="72">
        <f t="shared" si="1188"/>
        <v>322</v>
      </c>
      <c r="CG272" s="71">
        <f t="shared" si="1189"/>
        <v>349</v>
      </c>
      <c r="CH272" s="70">
        <f t="shared" si="1190"/>
        <v>103</v>
      </c>
      <c r="CI272" s="71" t="str">
        <f t="shared" si="1191"/>
        <v>-</v>
      </c>
      <c r="CJ272" s="72">
        <f t="shared" si="1192"/>
        <v>137</v>
      </c>
      <c r="CK272" s="72">
        <f t="shared" si="1193"/>
        <v>143</v>
      </c>
      <c r="CL272" s="72">
        <f t="shared" si="1194"/>
        <v>179</v>
      </c>
      <c r="CM272" s="72" t="str">
        <f t="shared" si="1195"/>
        <v>-</v>
      </c>
      <c r="CN272" s="72">
        <f t="shared" si="1196"/>
        <v>211</v>
      </c>
      <c r="CO272" s="72">
        <f t="shared" si="1197"/>
        <v>228</v>
      </c>
      <c r="CP272" s="72">
        <f t="shared" si="1198"/>
        <v>269</v>
      </c>
      <c r="CQ272" s="72">
        <f t="shared" si="1199"/>
        <v>317</v>
      </c>
      <c r="CR272" s="72">
        <f t="shared" si="1200"/>
        <v>348</v>
      </c>
      <c r="CS272" s="72">
        <f t="shared" si="1201"/>
        <v>359</v>
      </c>
      <c r="CT272" s="23" t="e">
        <f t="shared" si="1202"/>
        <v>#VALUE!</v>
      </c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</row>
    <row r="273" spans="1:1029" x14ac:dyDescent="0.2">
      <c r="A273" s="3" t="str">
        <f t="shared" ref="A273" si="1203">CONCATENATE(B273,"_",C273)</f>
        <v>pd2r2_human__wt</v>
      </c>
      <c r="B273" s="3" t="s">
        <v>360</v>
      </c>
      <c r="C273" s="3" t="s">
        <v>100</v>
      </c>
      <c r="D273" s="3" t="str">
        <f>IFERROR(MID(VLOOKUP($B273,Seqs!$A:$B,2,0),E273,1),"")</f>
        <v>D</v>
      </c>
      <c r="E273" s="3">
        <v>32</v>
      </c>
      <c r="F273" s="3" t="str">
        <f>IFERROR(MID(VLOOKUP($B273,Seqs!$A:$B,2,0),G273,1),"")</f>
        <v>R</v>
      </c>
      <c r="G273" s="3">
        <v>60</v>
      </c>
      <c r="H273" s="3" t="str">
        <f>IFERROR(MID(VLOOKUP($B273,Seqs!$A:$B,2,0),I273,1),"")</f>
        <v/>
      </c>
      <c r="I273" s="23" t="s">
        <v>23</v>
      </c>
      <c r="J273" s="3" t="str">
        <f>IFERROR(MID(VLOOKUP($B273,Seqs!$A:$B,2,0),K273,1),"")</f>
        <v/>
      </c>
      <c r="K273" s="23" t="s">
        <v>23</v>
      </c>
      <c r="L273" s="3" t="str">
        <f>IFERROR(MID(VLOOKUP($B273,Seqs!$A:$B,2,0),M273,1),"")</f>
        <v>T</v>
      </c>
      <c r="M273" s="3">
        <v>64</v>
      </c>
      <c r="N273" s="3" t="str">
        <f>IFERROR(MID(VLOOKUP($B273,Seqs!$A:$B,2,0),O273,1),"")</f>
        <v>G</v>
      </c>
      <c r="O273" s="3">
        <v>94</v>
      </c>
      <c r="P273" s="3" t="str">
        <f>IFERROR(MID(VLOOKUP($B273,Seqs!$A:$B,2,0),Q273,1),"")</f>
        <v>S</v>
      </c>
      <c r="Q273" s="3">
        <v>96</v>
      </c>
      <c r="R273" s="3" t="str">
        <f>IFERROR(MID(VLOOKUP($B273,Seqs!$A:$B,2,0),S273,1),"")</f>
        <v>L</v>
      </c>
      <c r="S273" s="3">
        <v>99</v>
      </c>
      <c r="T273" s="3" t="str">
        <f>IFERROR(MID(VLOOKUP($B273,Seqs!$A:$B,2,0),U273,1),"")</f>
        <v>G</v>
      </c>
      <c r="U273" s="3">
        <v>100</v>
      </c>
      <c r="V273" s="3" t="str">
        <f>IFERROR(MID(VLOOKUP($B273,Seqs!$A:$B,2,0),W273,1),"")</f>
        <v>R</v>
      </c>
      <c r="W273" s="3">
        <v>135</v>
      </c>
      <c r="X273" s="3" t="str">
        <f>IFERROR(MID(VLOOKUP($B273,Seqs!$A:$B,2,0),Y273,1),"")</f>
        <v>P</v>
      </c>
      <c r="Y273" s="3">
        <v>136</v>
      </c>
      <c r="Z273" s="3" t="str">
        <f>IFERROR(MID(VLOOKUP($B273,Seqs!$A:$B,2,0),AA273,1),"")</f>
        <v>R</v>
      </c>
      <c r="AA273" s="3">
        <v>143</v>
      </c>
      <c r="AB273" s="3" t="str">
        <f>IFERROR(MID(VLOOKUP($B273,Seqs!$A:$B,2,0),AC273,1),"")</f>
        <v>T</v>
      </c>
      <c r="AC273" s="3">
        <v>144</v>
      </c>
      <c r="AD273" s="3" t="str">
        <f>IFERROR(MID(VLOOKUP($B273,Seqs!$A:$B,2,0),AE273,1),"")</f>
        <v>R</v>
      </c>
      <c r="AE273" s="3">
        <v>170</v>
      </c>
      <c r="AF273" s="3" t="str">
        <f>IFERROR(MID(VLOOKUP($B273,Seqs!$A:$B,2,0),AG273,1),"")</f>
        <v>C</v>
      </c>
      <c r="AG273" s="3">
        <v>182</v>
      </c>
      <c r="AH273" s="3" t="str">
        <f>IFERROR(MID(VLOOKUP($B273,Seqs!$A:$B,2,0),AI273,1),"")</f>
        <v>Y</v>
      </c>
      <c r="AI273" s="3">
        <v>184</v>
      </c>
      <c r="AJ273" s="3" t="str">
        <f>IFERROR(MID(VLOOKUP($B273,Seqs!$A:$B,2,0),AK273,1),"")</f>
        <v>D</v>
      </c>
      <c r="AK273" s="3">
        <v>194</v>
      </c>
      <c r="AL273" s="3" t="str">
        <f>IFERROR(MID(VLOOKUP($B273,Seqs!$A:$B,2,0),AM273,1),"")</f>
        <v>R</v>
      </c>
      <c r="AM273" s="3">
        <v>236</v>
      </c>
      <c r="AN273" s="3" t="str">
        <f>IFERROR(MID(VLOOKUP($B273,Seqs!$A:$B,2,0),AO273,1),"")</f>
        <v>P</v>
      </c>
      <c r="AO273" s="3">
        <v>241</v>
      </c>
      <c r="AP273" s="3" t="str">
        <f>IFERROR(MID(VLOOKUP($B273,Seqs!$A:$B,2,0),AQ273,1),"")</f>
        <v>A</v>
      </c>
      <c r="AQ273" s="3">
        <v>272</v>
      </c>
      <c r="AR273" s="3" t="str">
        <f>IFERROR(MID(VLOOKUP($B273,Seqs!$A:$B,2,0),AS273,1),"")</f>
        <v>L</v>
      </c>
      <c r="AS273" s="3">
        <v>278</v>
      </c>
      <c r="AT273" s="3" t="str">
        <f>IFERROR(MID(VLOOKUP($B273,Seqs!$A:$B,2,0),AU273,1),"")</f>
        <v>T</v>
      </c>
      <c r="AU273" s="3">
        <v>307</v>
      </c>
      <c r="AV273" s="3" t="str">
        <f>IFERROR(MID(VLOOKUP($B273,Seqs!$A:$B,2,0),AW273,1),"")</f>
        <v>C</v>
      </c>
      <c r="AW273" s="3">
        <v>308</v>
      </c>
      <c r="AX273" s="3" t="str">
        <f>IFERROR(MID(VLOOKUP($B273,Seqs!$A:$B,2,0),AY273,1),"")</f>
        <v>S</v>
      </c>
      <c r="AY273" s="3">
        <v>325</v>
      </c>
      <c r="AZ273" s="77" t="str">
        <f>VLOOKUP(B273,Classification!A:D,2,0)</f>
        <v>A</v>
      </c>
      <c r="BA273" s="94" t="str">
        <f>VLOOKUP(B273,Classification!A:D,4,0)</f>
        <v>Prostanoid</v>
      </c>
      <c r="BB273" s="27" t="b">
        <f t="shared" ref="BB273" si="1204">AND(E273&lt;G273,OR(G273&lt;I273,I273="-"),OR(I273&lt;K273,I273="-"),OR(K273&lt;M273,K273="-"),M273&lt;O273,OR(O273&lt;Q273,Q273="-"),OR(Q273&lt;S273,Q273="-"),OR(S273&lt;U273,S273="-"),U273&lt;W273,OR(W273&lt;Y273,Y273="-"),OR(Y273&lt;AA273,Y273="-"),OR(AA273&lt;AC273,AA273="-"),AC273&lt;AE273,OR(AE273&lt;AG273,AG273="-"),OR(AG273&lt;AI273,AG273="-"),OR(AI273&lt;AK273,AI273="-"),AK273&lt;AM273,AM273&lt;AO273,AO273&lt;AQ273,AQ273&lt;AS273,AS273&lt;AU273,OR(AU273&lt;AW273,AW273="-"),OR(AW273&lt;AY273,AW273="-"))</f>
        <v>1</v>
      </c>
      <c r="BC273" s="23">
        <f t="shared" ref="BC273" si="1205">_xlfn.AGGREGATE(9,6,CH273:CS273)-_xlfn.AGGREGATE(9,6,BV273:CG273)+12</f>
        <v>262</v>
      </c>
      <c r="BD273" s="2" t="s">
        <v>23</v>
      </c>
      <c r="BE273" s="3" t="s">
        <v>23</v>
      </c>
      <c r="BF273" s="119" t="s">
        <v>23</v>
      </c>
      <c r="BG273" s="49" t="s">
        <v>23</v>
      </c>
      <c r="BH273" s="49" t="s">
        <v>23</v>
      </c>
      <c r="BI273" s="1"/>
      <c r="BJ273" s="70" t="s">
        <v>1293</v>
      </c>
      <c r="BK273" s="57" t="s">
        <v>1293</v>
      </c>
      <c r="BL273" s="57" t="s">
        <v>1293</v>
      </c>
      <c r="BM273" s="57" t="s">
        <v>1293</v>
      </c>
      <c r="BN273" s="57" t="s">
        <v>1293</v>
      </c>
      <c r="BO273" s="57" t="s">
        <v>1293</v>
      </c>
      <c r="BP273" s="57" t="s">
        <v>1293</v>
      </c>
      <c r="BQ273" s="57" t="s">
        <v>1293</v>
      </c>
      <c r="BR273" s="57" t="s">
        <v>1293</v>
      </c>
      <c r="BS273" s="57" t="s">
        <v>1293</v>
      </c>
      <c r="BT273" s="57" t="s">
        <v>1293</v>
      </c>
      <c r="BU273" s="57" t="s">
        <v>1293</v>
      </c>
      <c r="BV273" s="70">
        <f t="shared" ref="BV273" si="1206">E273</f>
        <v>32</v>
      </c>
      <c r="BW273" s="71" t="str">
        <f t="shared" ref="BW273" si="1207">I273</f>
        <v>-</v>
      </c>
      <c r="BX273" s="72">
        <f t="shared" ref="BX273" si="1208">M273</f>
        <v>64</v>
      </c>
      <c r="BY273" s="71">
        <f t="shared" ref="BY273" si="1209">Q273</f>
        <v>96</v>
      </c>
      <c r="BZ273" s="72">
        <f t="shared" ref="BZ273" si="1210">U273</f>
        <v>100</v>
      </c>
      <c r="CA273" s="71">
        <f t="shared" ref="CA273" si="1211">Y273</f>
        <v>136</v>
      </c>
      <c r="CB273" s="72">
        <f t="shared" ref="CB273" si="1212">AC273</f>
        <v>144</v>
      </c>
      <c r="CC273" s="71">
        <f t="shared" ref="CC273" si="1213">AG273</f>
        <v>182</v>
      </c>
      <c r="CD273" s="72">
        <f t="shared" ref="CD273" si="1214">AK273</f>
        <v>194</v>
      </c>
      <c r="CE273" s="71">
        <f t="shared" ref="CE273" si="1215">AO273</f>
        <v>241</v>
      </c>
      <c r="CF273" s="72">
        <f t="shared" ref="CF273" si="1216">AS273</f>
        <v>278</v>
      </c>
      <c r="CG273" s="71">
        <f t="shared" ref="CG273" si="1217">AW273</f>
        <v>308</v>
      </c>
      <c r="CH273" s="70">
        <f t="shared" ref="CH273" si="1218">G273</f>
        <v>60</v>
      </c>
      <c r="CI273" s="71" t="str">
        <f t="shared" ref="CI273" si="1219">K273</f>
        <v>-</v>
      </c>
      <c r="CJ273" s="72">
        <f t="shared" ref="CJ273" si="1220">O273</f>
        <v>94</v>
      </c>
      <c r="CK273" s="72">
        <f t="shared" ref="CK273" si="1221">S273</f>
        <v>99</v>
      </c>
      <c r="CL273" s="72">
        <f t="shared" ref="CL273" si="1222">W273</f>
        <v>135</v>
      </c>
      <c r="CM273" s="72">
        <f t="shared" ref="CM273" si="1223">AA273</f>
        <v>143</v>
      </c>
      <c r="CN273" s="72">
        <f t="shared" ref="CN273" si="1224">AE273</f>
        <v>170</v>
      </c>
      <c r="CO273" s="72">
        <f t="shared" ref="CO273" si="1225">AI273</f>
        <v>184</v>
      </c>
      <c r="CP273" s="72">
        <f t="shared" ref="CP273" si="1226">AM273</f>
        <v>236</v>
      </c>
      <c r="CQ273" s="72">
        <f t="shared" ref="CQ273" si="1227">AQ273</f>
        <v>272</v>
      </c>
      <c r="CR273" s="72">
        <f t="shared" ref="CR273" si="1228">AU273</f>
        <v>307</v>
      </c>
      <c r="CS273" s="72">
        <f t="shared" ref="CS273" si="1229">AY273</f>
        <v>325</v>
      </c>
      <c r="CT273" s="23" t="e">
        <f t="shared" ref="CT273" si="1230">M273-K273</f>
        <v>#VALUE!</v>
      </c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</row>
    <row r="274" spans="1:1029" x14ac:dyDescent="0.2">
      <c r="A274" s="3" t="str">
        <f t="shared" ref="A274" si="1231">CONCATENATE(B274,"_",C274)</f>
        <v>pd2r2_human_6D26</v>
      </c>
      <c r="B274" s="3" t="s">
        <v>360</v>
      </c>
      <c r="C274" s="3" t="s">
        <v>1535</v>
      </c>
      <c r="D274" s="3" t="str">
        <f>IFERROR(MID(VLOOKUP($B274,Seqs!$A:$B,2,0),E274,1),"")</f>
        <v>D</v>
      </c>
      <c r="E274" s="3">
        <v>32</v>
      </c>
      <c r="F274" s="3" t="str">
        <f>IFERROR(MID(VLOOKUP($B274,Seqs!$A:$B,2,0),G274,1),"")</f>
        <v>R</v>
      </c>
      <c r="G274" s="3">
        <v>60</v>
      </c>
      <c r="H274" s="3" t="str">
        <f>IFERROR(MID(VLOOKUP($B274,Seqs!$A:$B,2,0),I274,1),"")</f>
        <v/>
      </c>
      <c r="I274" s="23" t="s">
        <v>23</v>
      </c>
      <c r="J274" s="3" t="str">
        <f>IFERROR(MID(VLOOKUP($B274,Seqs!$A:$B,2,0),K274,1),"")</f>
        <v/>
      </c>
      <c r="K274" s="23" t="s">
        <v>23</v>
      </c>
      <c r="L274" s="3" t="str">
        <f>IFERROR(MID(VLOOKUP($B274,Seqs!$A:$B,2,0),M274,1),"")</f>
        <v>T</v>
      </c>
      <c r="M274" s="3">
        <v>64</v>
      </c>
      <c r="N274" s="3" t="str">
        <f>IFERROR(MID(VLOOKUP($B274,Seqs!$A:$B,2,0),O274,1),"")</f>
        <v>G</v>
      </c>
      <c r="O274" s="3">
        <v>94</v>
      </c>
      <c r="P274" s="3" t="str">
        <f>IFERROR(MID(VLOOKUP($B274,Seqs!$A:$B,2,0),Q274,1),"")</f>
        <v>S</v>
      </c>
      <c r="Q274" s="3">
        <v>96</v>
      </c>
      <c r="R274" s="3" t="str">
        <f>IFERROR(MID(VLOOKUP($B274,Seqs!$A:$B,2,0),S274,1),"")</f>
        <v>L</v>
      </c>
      <c r="S274" s="3">
        <v>99</v>
      </c>
      <c r="T274" s="3" t="str">
        <f>IFERROR(MID(VLOOKUP($B274,Seqs!$A:$B,2,0),U274,1),"")</f>
        <v>T</v>
      </c>
      <c r="U274" s="3">
        <v>101</v>
      </c>
      <c r="V274" s="3" t="str">
        <f>IFERROR(MID(VLOOKUP($B274,Seqs!$A:$B,2,0),W274,1),"")</f>
        <v>R</v>
      </c>
      <c r="W274" s="3">
        <v>135</v>
      </c>
      <c r="X274" s="3" t="str">
        <f>IFERROR(MID(VLOOKUP($B274,Seqs!$A:$B,2,0),Y274,1),"")</f>
        <v>P</v>
      </c>
      <c r="Y274" s="3">
        <v>136</v>
      </c>
      <c r="Z274" s="3" t="str">
        <f>IFERROR(MID(VLOOKUP($B274,Seqs!$A:$B,2,0),AA274,1),"")</f>
        <v>R</v>
      </c>
      <c r="AA274" s="3">
        <v>143</v>
      </c>
      <c r="AB274" s="3" t="str">
        <f>IFERROR(MID(VLOOKUP($B274,Seqs!$A:$B,2,0),AC274,1),"")</f>
        <v>T</v>
      </c>
      <c r="AC274" s="3">
        <v>144</v>
      </c>
      <c r="AD274" s="3" t="str">
        <f>IFERROR(MID(VLOOKUP($B274,Seqs!$A:$B,2,0),AE274,1),"")</f>
        <v>R</v>
      </c>
      <c r="AE274" s="3">
        <v>170</v>
      </c>
      <c r="AF274" s="3" t="str">
        <f>IFERROR(MID(VLOOKUP($B274,Seqs!$A:$B,2,0),AG274,1),"")</f>
        <v>C</v>
      </c>
      <c r="AG274" s="3">
        <v>182</v>
      </c>
      <c r="AH274" s="3" t="str">
        <f>IFERROR(MID(VLOOKUP($B274,Seqs!$A:$B,2,0),AI274,1),"")</f>
        <v>Y</v>
      </c>
      <c r="AI274" s="3">
        <v>184</v>
      </c>
      <c r="AJ274" s="3" t="str">
        <f>IFERROR(MID(VLOOKUP($B274,Seqs!$A:$B,2,0),AK274,1),"")</f>
        <v>D</v>
      </c>
      <c r="AK274" s="3">
        <v>194</v>
      </c>
      <c r="AL274" s="3" t="str">
        <f>IFERROR(MID(VLOOKUP($B274,Seqs!$A:$B,2,0),AM274,1),"")</f>
        <v>R</v>
      </c>
      <c r="AM274" s="3">
        <v>236</v>
      </c>
      <c r="AN274" s="3" t="str">
        <f>IFERROR(MID(VLOOKUP($B274,Seqs!$A:$B,2,0),AO274,1),"")</f>
        <v/>
      </c>
      <c r="AO274" s="3">
        <v>2244</v>
      </c>
      <c r="AP274" s="3" t="str">
        <f>IFERROR(MID(VLOOKUP($B274,Seqs!$A:$B,2,0),AQ274,1),"")</f>
        <v/>
      </c>
      <c r="AQ274" s="3">
        <v>2271</v>
      </c>
      <c r="AR274" s="3" t="str">
        <f>IFERROR(MID(VLOOKUP($B274,Seqs!$A:$B,2,0),AS274,1),"")</f>
        <v/>
      </c>
      <c r="AS274" s="3">
        <v>2278</v>
      </c>
      <c r="AT274" s="3" t="str">
        <f>IFERROR(MID(VLOOKUP($B274,Seqs!$A:$B,2,0),AU274,1),"")</f>
        <v/>
      </c>
      <c r="AU274" s="3">
        <v>2307</v>
      </c>
      <c r="AV274" s="3" t="str">
        <f>IFERROR(MID(VLOOKUP($B274,Seqs!$A:$B,2,0),AW274,1),"")</f>
        <v/>
      </c>
      <c r="AW274" s="3">
        <v>2308</v>
      </c>
      <c r="AX274" s="3" t="str">
        <f>IFERROR(MID(VLOOKUP($B274,Seqs!$A:$B,2,0),AY274,1),"")</f>
        <v/>
      </c>
      <c r="AY274" s="3">
        <v>2325</v>
      </c>
      <c r="AZ274" s="77" t="str">
        <f>VLOOKUP(B274,Classification!A:D,2,0)</f>
        <v>A</v>
      </c>
      <c r="BA274" s="94" t="str">
        <f>VLOOKUP(B274,Classification!A:D,4,0)</f>
        <v>Prostanoid</v>
      </c>
      <c r="BB274" s="27" t="b">
        <f t="shared" ref="BB274" si="1232">AND(E274&lt;G274,OR(G274&lt;I274,I274="-"),OR(I274&lt;K274,I274="-"),OR(K274&lt;M274,K274="-"),M274&lt;O274,OR(O274&lt;Q274,Q274="-"),OR(Q274&lt;S274,Q274="-"),OR(S274&lt;U274,S274="-"),U274&lt;W274,OR(W274&lt;Y274,Y274="-"),OR(Y274&lt;AA274,Y274="-"),OR(AA274&lt;AC274,AA274="-"),AC274&lt;AE274,OR(AE274&lt;AG274,AG274="-"),OR(AG274&lt;AI274,AG274="-"),OR(AI274&lt;AK274,AI274="-"),AK274&lt;AM274,AM274&lt;AO274,AO274&lt;AQ274,AQ274&lt;AS274,AS274&lt;AU274,OR(AU274&lt;AW274,AW274="-"),OR(AW274&lt;AY274,AW274="-"))</f>
        <v>1</v>
      </c>
      <c r="BC274" s="23">
        <f t="shared" ref="BC274" si="1233">_xlfn.AGGREGATE(9,6,CH274:CS274)-_xlfn.AGGREGATE(9,6,BV274:CG274)+12</f>
        <v>257</v>
      </c>
      <c r="BD274" s="2" t="s">
        <v>23</v>
      </c>
      <c r="BE274" s="3" t="s">
        <v>1380</v>
      </c>
      <c r="BF274" s="119">
        <v>2.8</v>
      </c>
      <c r="BG274" s="49" t="s">
        <v>1</v>
      </c>
      <c r="BH274" s="49" t="s">
        <v>1</v>
      </c>
      <c r="BI274" s="1"/>
      <c r="BJ274" s="70" t="s">
        <v>1293</v>
      </c>
      <c r="BK274" s="57" t="s">
        <v>1293</v>
      </c>
      <c r="BL274" s="57" t="s">
        <v>1293</v>
      </c>
      <c r="BM274" s="57" t="s">
        <v>1293</v>
      </c>
      <c r="BN274" s="57" t="s">
        <v>1293</v>
      </c>
      <c r="BO274" s="57" t="s">
        <v>1293</v>
      </c>
      <c r="BP274" s="57" t="s">
        <v>1293</v>
      </c>
      <c r="BQ274" s="57" t="s">
        <v>1293</v>
      </c>
      <c r="BR274" s="57" t="s">
        <v>1293</v>
      </c>
      <c r="BS274" s="57" t="s">
        <v>1293</v>
      </c>
      <c r="BT274" s="57" t="s">
        <v>1293</v>
      </c>
      <c r="BU274" s="57" t="s">
        <v>1293</v>
      </c>
      <c r="BV274" s="70">
        <f t="shared" ref="BV274" si="1234">E274</f>
        <v>32</v>
      </c>
      <c r="BW274" s="71" t="str">
        <f t="shared" ref="BW274" si="1235">I274</f>
        <v>-</v>
      </c>
      <c r="BX274" s="72">
        <f t="shared" ref="BX274" si="1236">M274</f>
        <v>64</v>
      </c>
      <c r="BY274" s="71">
        <f t="shared" ref="BY274" si="1237">Q274</f>
        <v>96</v>
      </c>
      <c r="BZ274" s="72">
        <f t="shared" ref="BZ274" si="1238">U274</f>
        <v>101</v>
      </c>
      <c r="CA274" s="71">
        <f t="shared" ref="CA274" si="1239">Y274</f>
        <v>136</v>
      </c>
      <c r="CB274" s="72">
        <f t="shared" ref="CB274" si="1240">AC274</f>
        <v>144</v>
      </c>
      <c r="CC274" s="71">
        <f t="shared" ref="CC274" si="1241">AG274</f>
        <v>182</v>
      </c>
      <c r="CD274" s="72">
        <f t="shared" ref="CD274" si="1242">AK274</f>
        <v>194</v>
      </c>
      <c r="CE274" s="71">
        <f t="shared" ref="CE274" si="1243">AO274</f>
        <v>2244</v>
      </c>
      <c r="CF274" s="72">
        <f t="shared" ref="CF274" si="1244">AS274</f>
        <v>2278</v>
      </c>
      <c r="CG274" s="71">
        <f t="shared" ref="CG274" si="1245">AW274</f>
        <v>2308</v>
      </c>
      <c r="CH274" s="70">
        <f t="shared" ref="CH274" si="1246">G274</f>
        <v>60</v>
      </c>
      <c r="CI274" s="71" t="str">
        <f t="shared" ref="CI274" si="1247">K274</f>
        <v>-</v>
      </c>
      <c r="CJ274" s="72">
        <f t="shared" ref="CJ274" si="1248">O274</f>
        <v>94</v>
      </c>
      <c r="CK274" s="72">
        <f t="shared" ref="CK274" si="1249">S274</f>
        <v>99</v>
      </c>
      <c r="CL274" s="72">
        <f t="shared" ref="CL274" si="1250">W274</f>
        <v>135</v>
      </c>
      <c r="CM274" s="72">
        <f t="shared" ref="CM274" si="1251">AA274</f>
        <v>143</v>
      </c>
      <c r="CN274" s="72">
        <f t="shared" ref="CN274" si="1252">AE274</f>
        <v>170</v>
      </c>
      <c r="CO274" s="72">
        <f t="shared" ref="CO274" si="1253">AI274</f>
        <v>184</v>
      </c>
      <c r="CP274" s="72">
        <f t="shared" ref="CP274" si="1254">AM274</f>
        <v>236</v>
      </c>
      <c r="CQ274" s="72">
        <f t="shared" ref="CQ274" si="1255">AQ274</f>
        <v>2271</v>
      </c>
      <c r="CR274" s="72">
        <f t="shared" ref="CR274" si="1256">AU274</f>
        <v>2307</v>
      </c>
      <c r="CS274" s="72">
        <f t="shared" ref="CS274" si="1257">AY274</f>
        <v>2325</v>
      </c>
      <c r="CT274" s="23" t="e">
        <f t="shared" ref="CT274" si="1258">M274-K274</f>
        <v>#VALUE!</v>
      </c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</row>
    <row r="275" spans="1:1029" x14ac:dyDescent="0.2">
      <c r="A275" s="3" t="str">
        <f t="shared" ref="A275" si="1259">CONCATENATE(B275,"_",C275)</f>
        <v>pd2r2_human_6D27</v>
      </c>
      <c r="B275" s="3" t="s">
        <v>360</v>
      </c>
      <c r="C275" s="3" t="s">
        <v>1565</v>
      </c>
      <c r="D275" s="3" t="str">
        <f>IFERROR(MID(VLOOKUP($B275,Seqs!$A:$B,2,0),E275,1),"")</f>
        <v>D</v>
      </c>
      <c r="E275" s="3">
        <v>32</v>
      </c>
      <c r="F275" s="3" t="str">
        <f>IFERROR(MID(VLOOKUP($B275,Seqs!$A:$B,2,0),G275,1),"")</f>
        <v>R</v>
      </c>
      <c r="G275" s="3">
        <v>60</v>
      </c>
      <c r="H275" s="3" t="str">
        <f>IFERROR(MID(VLOOKUP($B275,Seqs!$A:$B,2,0),I275,1),"")</f>
        <v/>
      </c>
      <c r="I275" s="23" t="s">
        <v>23</v>
      </c>
      <c r="J275" s="3" t="str">
        <f>IFERROR(MID(VLOOKUP($B275,Seqs!$A:$B,2,0),K275,1),"")</f>
        <v/>
      </c>
      <c r="K275" s="23" t="s">
        <v>23</v>
      </c>
      <c r="L275" s="3" t="str">
        <f>IFERROR(MID(VLOOKUP($B275,Seqs!$A:$B,2,0),M275,1),"")</f>
        <v>T</v>
      </c>
      <c r="M275" s="3">
        <v>64</v>
      </c>
      <c r="N275" s="3" t="str">
        <f>IFERROR(MID(VLOOKUP($B275,Seqs!$A:$B,2,0),O275,1),"")</f>
        <v>G</v>
      </c>
      <c r="O275" s="3">
        <v>94</v>
      </c>
      <c r="P275" s="3" t="str">
        <f>IFERROR(MID(VLOOKUP($B275,Seqs!$A:$B,2,0),Q275,1),"")</f>
        <v>S</v>
      </c>
      <c r="Q275" s="3">
        <v>96</v>
      </c>
      <c r="R275" s="3" t="str">
        <f>IFERROR(MID(VLOOKUP($B275,Seqs!$A:$B,2,0),S275,1),"")</f>
        <v>L</v>
      </c>
      <c r="S275" s="3">
        <v>99</v>
      </c>
      <c r="T275" s="3" t="str">
        <f>IFERROR(MID(VLOOKUP($B275,Seqs!$A:$B,2,0),U275,1),"")</f>
        <v>T</v>
      </c>
      <c r="U275" s="3">
        <v>101</v>
      </c>
      <c r="V275" s="3" t="str">
        <f>IFERROR(MID(VLOOKUP($B275,Seqs!$A:$B,2,0),W275,1),"")</f>
        <v>R</v>
      </c>
      <c r="W275" s="3">
        <v>135</v>
      </c>
      <c r="X275" s="3" t="str">
        <f>IFERROR(MID(VLOOKUP($B275,Seqs!$A:$B,2,0),Y275,1),"")</f>
        <v>P</v>
      </c>
      <c r="Y275" s="3">
        <v>136</v>
      </c>
      <c r="Z275" s="3" t="str">
        <f>IFERROR(MID(VLOOKUP($B275,Seqs!$A:$B,2,0),AA275,1),"")</f>
        <v>R</v>
      </c>
      <c r="AA275" s="3">
        <v>143</v>
      </c>
      <c r="AB275" s="3" t="str">
        <f>IFERROR(MID(VLOOKUP($B275,Seqs!$A:$B,2,0),AC275,1),"")</f>
        <v>T</v>
      </c>
      <c r="AC275" s="3">
        <v>144</v>
      </c>
      <c r="AD275" s="3" t="str">
        <f>IFERROR(MID(VLOOKUP($B275,Seqs!$A:$B,2,0),AE275,1),"")</f>
        <v>R</v>
      </c>
      <c r="AE275" s="3">
        <v>170</v>
      </c>
      <c r="AF275" s="3" t="str">
        <f>IFERROR(MID(VLOOKUP($B275,Seqs!$A:$B,2,0),AG275,1),"")</f>
        <v>C</v>
      </c>
      <c r="AG275" s="3">
        <v>182</v>
      </c>
      <c r="AH275" s="3" t="str">
        <f>IFERROR(MID(VLOOKUP($B275,Seqs!$A:$B,2,0),AI275,1),"")</f>
        <v>Y</v>
      </c>
      <c r="AI275" s="3">
        <v>184</v>
      </c>
      <c r="AJ275" s="3" t="str">
        <f>IFERROR(MID(VLOOKUP($B275,Seqs!$A:$B,2,0),AK275,1),"")</f>
        <v>D</v>
      </c>
      <c r="AK275" s="3">
        <v>194</v>
      </c>
      <c r="AL275" s="3" t="str">
        <f>IFERROR(MID(VLOOKUP($B275,Seqs!$A:$B,2,0),AM275,1),"")</f>
        <v>R</v>
      </c>
      <c r="AM275" s="3">
        <v>236</v>
      </c>
      <c r="AN275" s="3" t="str">
        <f>IFERROR(MID(VLOOKUP($B275,Seqs!$A:$B,2,0),AO275,1),"")</f>
        <v/>
      </c>
      <c r="AO275" s="3">
        <v>2244</v>
      </c>
      <c r="AP275" s="3" t="str">
        <f>IFERROR(MID(VLOOKUP($B275,Seqs!$A:$B,2,0),AQ275,1),"")</f>
        <v/>
      </c>
      <c r="AQ275" s="3">
        <v>2271</v>
      </c>
      <c r="AR275" s="3" t="str">
        <f>IFERROR(MID(VLOOKUP($B275,Seqs!$A:$B,2,0),AS275,1),"")</f>
        <v/>
      </c>
      <c r="AS275" s="3">
        <v>2278</v>
      </c>
      <c r="AT275" s="3" t="str">
        <f>IFERROR(MID(VLOOKUP($B275,Seqs!$A:$B,2,0),AU275,1),"")</f>
        <v/>
      </c>
      <c r="AU275" s="3">
        <v>2307</v>
      </c>
      <c r="AV275" s="3" t="str">
        <f>IFERROR(MID(VLOOKUP($B275,Seqs!$A:$B,2,0),AW275,1),"")</f>
        <v/>
      </c>
      <c r="AW275" s="3">
        <v>2308</v>
      </c>
      <c r="AX275" s="3" t="str">
        <f>IFERROR(MID(VLOOKUP($B275,Seqs!$A:$B,2,0),AY275,1),"")</f>
        <v/>
      </c>
      <c r="AY275" s="3">
        <v>2325</v>
      </c>
      <c r="AZ275" s="77" t="str">
        <f>VLOOKUP(B275,Classification!A:D,2,0)</f>
        <v>A</v>
      </c>
      <c r="BA275" s="94" t="str">
        <f>VLOOKUP(B275,Classification!A:D,4,0)</f>
        <v>Prostanoid</v>
      </c>
      <c r="BB275" s="27" t="b">
        <f t="shared" ref="BB275" si="1260">AND(E275&lt;G275,OR(G275&lt;I275,I275="-"),OR(I275&lt;K275,I275="-"),OR(K275&lt;M275,K275="-"),M275&lt;O275,OR(O275&lt;Q275,Q275="-"),OR(Q275&lt;S275,Q275="-"),OR(S275&lt;U275,S275="-"),U275&lt;W275,OR(W275&lt;Y275,Y275="-"),OR(Y275&lt;AA275,Y275="-"),OR(AA275&lt;AC275,AA275="-"),AC275&lt;AE275,OR(AE275&lt;AG275,AG275="-"),OR(AG275&lt;AI275,AG275="-"),OR(AI275&lt;AK275,AI275="-"),AK275&lt;AM275,AM275&lt;AO275,AO275&lt;AQ275,AQ275&lt;AS275,AS275&lt;AU275,OR(AU275&lt;AW275,AW275="-"),OR(AW275&lt;AY275,AW275="-"))</f>
        <v>1</v>
      </c>
      <c r="BC275" s="23">
        <f t="shared" ref="BC275" si="1261">_xlfn.AGGREGATE(9,6,CH275:CS275)-_xlfn.AGGREGATE(9,6,BV275:CG275)+12</f>
        <v>257</v>
      </c>
      <c r="BD275" s="2" t="s">
        <v>1382</v>
      </c>
      <c r="BE275" s="3" t="s">
        <v>1380</v>
      </c>
      <c r="BF275" s="119">
        <v>4.74</v>
      </c>
      <c r="BG275" s="49" t="s">
        <v>1</v>
      </c>
      <c r="BH275" s="49" t="s">
        <v>1</v>
      </c>
      <c r="BI275" s="1"/>
      <c r="BJ275" s="70" t="s">
        <v>1293</v>
      </c>
      <c r="BK275" s="57" t="s">
        <v>1293</v>
      </c>
      <c r="BL275" s="57" t="s">
        <v>1293</v>
      </c>
      <c r="BM275" s="57" t="s">
        <v>1293</v>
      </c>
      <c r="BN275" s="57" t="s">
        <v>1293</v>
      </c>
      <c r="BO275" s="57" t="s">
        <v>1293</v>
      </c>
      <c r="BP275" s="57" t="s">
        <v>1293</v>
      </c>
      <c r="BQ275" s="57" t="s">
        <v>1293</v>
      </c>
      <c r="BR275" s="57" t="s">
        <v>1293</v>
      </c>
      <c r="BS275" s="57" t="s">
        <v>1293</v>
      </c>
      <c r="BT275" s="57" t="s">
        <v>1293</v>
      </c>
      <c r="BU275" s="57" t="s">
        <v>1293</v>
      </c>
      <c r="BV275" s="70">
        <f t="shared" ref="BV275" si="1262">E275</f>
        <v>32</v>
      </c>
      <c r="BW275" s="71" t="str">
        <f t="shared" ref="BW275" si="1263">I275</f>
        <v>-</v>
      </c>
      <c r="BX275" s="72">
        <f t="shared" ref="BX275" si="1264">M275</f>
        <v>64</v>
      </c>
      <c r="BY275" s="71">
        <f t="shared" ref="BY275" si="1265">Q275</f>
        <v>96</v>
      </c>
      <c r="BZ275" s="72">
        <f t="shared" ref="BZ275" si="1266">U275</f>
        <v>101</v>
      </c>
      <c r="CA275" s="71">
        <f t="shared" ref="CA275" si="1267">Y275</f>
        <v>136</v>
      </c>
      <c r="CB275" s="72">
        <f t="shared" ref="CB275" si="1268">AC275</f>
        <v>144</v>
      </c>
      <c r="CC275" s="71">
        <f t="shared" ref="CC275" si="1269">AG275</f>
        <v>182</v>
      </c>
      <c r="CD275" s="72">
        <f t="shared" ref="CD275" si="1270">AK275</f>
        <v>194</v>
      </c>
      <c r="CE275" s="71">
        <f t="shared" ref="CE275" si="1271">AO275</f>
        <v>2244</v>
      </c>
      <c r="CF275" s="72">
        <f t="shared" ref="CF275" si="1272">AS275</f>
        <v>2278</v>
      </c>
      <c r="CG275" s="71">
        <f t="shared" ref="CG275" si="1273">AW275</f>
        <v>2308</v>
      </c>
      <c r="CH275" s="70">
        <f t="shared" ref="CH275" si="1274">G275</f>
        <v>60</v>
      </c>
      <c r="CI275" s="71" t="str">
        <f t="shared" ref="CI275" si="1275">K275</f>
        <v>-</v>
      </c>
      <c r="CJ275" s="72">
        <f t="shared" ref="CJ275" si="1276">O275</f>
        <v>94</v>
      </c>
      <c r="CK275" s="72">
        <f t="shared" ref="CK275" si="1277">S275</f>
        <v>99</v>
      </c>
      <c r="CL275" s="72">
        <f t="shared" ref="CL275" si="1278">W275</f>
        <v>135</v>
      </c>
      <c r="CM275" s="72">
        <f t="shared" ref="CM275" si="1279">AA275</f>
        <v>143</v>
      </c>
      <c r="CN275" s="72">
        <f t="shared" ref="CN275" si="1280">AE275</f>
        <v>170</v>
      </c>
      <c r="CO275" s="72">
        <f t="shared" ref="CO275" si="1281">AI275</f>
        <v>184</v>
      </c>
      <c r="CP275" s="72">
        <f t="shared" ref="CP275" si="1282">AM275</f>
        <v>236</v>
      </c>
      <c r="CQ275" s="72">
        <f t="shared" ref="CQ275" si="1283">AQ275</f>
        <v>2271</v>
      </c>
      <c r="CR275" s="72">
        <f t="shared" ref="CR275" si="1284">AU275</f>
        <v>2307</v>
      </c>
      <c r="CS275" s="72">
        <f t="shared" ref="CS275" si="1285">AY275</f>
        <v>2325</v>
      </c>
      <c r="CT275" s="23" t="e">
        <f t="shared" ref="CT275" si="1286">M275-K275</f>
        <v>#VALUE!</v>
      </c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</row>
    <row r="276" spans="1:1029" s="12" customFormat="1" x14ac:dyDescent="0.2">
      <c r="A276" s="9" t="str">
        <f t="shared" ref="A276:A278" si="1287">CONCATENATE(B276,"_",C276)</f>
        <v>pe2r3_human__wt</v>
      </c>
      <c r="B276" s="9" t="s">
        <v>363</v>
      </c>
      <c r="C276" s="9" t="s">
        <v>100</v>
      </c>
      <c r="D276" s="9" t="str">
        <f>IFERROR(MID(VLOOKUP($B276,Seqs!$A:$B,2,0),E276,1),"")</f>
        <v>V</v>
      </c>
      <c r="E276" s="9">
        <v>52</v>
      </c>
      <c r="F276" s="9" t="str">
        <f>IFERROR(MID(VLOOKUP($B276,Seqs!$A:$B,2,0),G276,1),"")</f>
        <v>R</v>
      </c>
      <c r="G276" s="9">
        <v>78</v>
      </c>
      <c r="H276" s="9" t="str">
        <f>IFERROR(MID(VLOOKUP($B276,Seqs!$A:$B,2,0),I276,1),"")</f>
        <v/>
      </c>
      <c r="I276" s="109" t="s">
        <v>23</v>
      </c>
      <c r="J276" s="9" t="str">
        <f>IFERROR(MID(VLOOKUP($B276,Seqs!$A:$B,2,0),K276,1),"")</f>
        <v/>
      </c>
      <c r="K276" s="109" t="s">
        <v>23</v>
      </c>
      <c r="L276" s="9" t="str">
        <f>IFERROR(MID(VLOOKUP($B276,Seqs!$A:$B,2,0),M276,1),"")</f>
        <v>K</v>
      </c>
      <c r="M276" s="9">
        <v>85</v>
      </c>
      <c r="N276" s="9" t="str">
        <f>IFERROR(MID(VLOOKUP($B276,Seqs!$A:$B,2,0),O276,1),"")</f>
        <v>K</v>
      </c>
      <c r="O276" s="9">
        <v>117</v>
      </c>
      <c r="P276" s="9" t="str">
        <f>IFERROR(MID(VLOOKUP($B276,Seqs!$A:$B,2,0),Q276,1),"")</f>
        <v>Q</v>
      </c>
      <c r="Q276" s="9">
        <v>118</v>
      </c>
      <c r="R276" s="9" t="str">
        <f>IFERROR(MID(VLOOKUP($B276,Seqs!$A:$B,2,0),S276,1),"")</f>
        <v>S</v>
      </c>
      <c r="S276" s="9">
        <v>126</v>
      </c>
      <c r="T276" s="9" t="str">
        <f>IFERROR(MID(VLOOKUP($B276,Seqs!$A:$B,2,0),U276,1),"")</f>
        <v>G</v>
      </c>
      <c r="U276" s="9">
        <v>127</v>
      </c>
      <c r="V276" s="9" t="str">
        <f>IFERROR(MID(VLOOKUP($B276,Seqs!$A:$B,2,0),W276,1),"")</f>
        <v>A</v>
      </c>
      <c r="W276" s="9">
        <v>161</v>
      </c>
      <c r="X276" s="9" t="str">
        <f>IFERROR(MID(VLOOKUP($B276,Seqs!$A:$B,2,0),Y276,1),"")</f>
        <v>P</v>
      </c>
      <c r="Y276" s="9">
        <v>162</v>
      </c>
      <c r="Z276" s="9" t="str">
        <f>IFERROR(MID(VLOOKUP($B276,Seqs!$A:$B,2,0),AA276,1),"")</f>
        <v>M</v>
      </c>
      <c r="AA276" s="9">
        <v>169</v>
      </c>
      <c r="AB276" s="9" t="str">
        <f>IFERROR(MID(VLOOKUP($B276,Seqs!$A:$B,2,0),AC276,1),"")</f>
        <v>K</v>
      </c>
      <c r="AC276" s="9">
        <v>170</v>
      </c>
      <c r="AD276" s="9" t="str">
        <f>IFERROR(MID(VLOOKUP($B276,Seqs!$A:$B,2,0),AE276,1),"")</f>
        <v>G</v>
      </c>
      <c r="AE276" s="9">
        <v>195</v>
      </c>
      <c r="AF276" s="9" t="str">
        <f>IFERROR(MID(VLOOKUP($B276,Seqs!$A:$B,2,0),AG276,1),"")</f>
        <v>C</v>
      </c>
      <c r="AG276" s="9">
        <v>208</v>
      </c>
      <c r="AH276" s="9" t="str">
        <f>IFERROR(MID(VLOOKUP($B276,Seqs!$A:$B,2,0),AI276,1),"")</f>
        <v>I</v>
      </c>
      <c r="AI276" s="9">
        <v>210</v>
      </c>
      <c r="AJ276" s="9" t="str">
        <f>IFERROR(MID(VLOOKUP($B276,Seqs!$A:$B,2,0),AK276,1),"")</f>
        <v>W</v>
      </c>
      <c r="AK276" s="9">
        <v>225</v>
      </c>
      <c r="AL276" s="9" t="str">
        <f>IFERROR(MID(VLOOKUP($B276,Seqs!$A:$B,2,0),AM276,1),"")</f>
        <v>T</v>
      </c>
      <c r="AM276" s="9">
        <v>265</v>
      </c>
      <c r="AN276" s="9" t="str">
        <f>IFERROR(MID(VLOOKUP($B276,Seqs!$A:$B,2,0),AO276,1),"")</f>
        <v>A</v>
      </c>
      <c r="AO276" s="9">
        <v>271</v>
      </c>
      <c r="AP276" s="9" t="str">
        <f>IFERROR(MID(VLOOKUP($B276,Seqs!$A:$B,2,0),AQ276,1),"")</f>
        <v>S</v>
      </c>
      <c r="AQ276" s="9">
        <v>311</v>
      </c>
      <c r="AR276" s="9" t="str">
        <f>IFERROR(MID(VLOOKUP($B276,Seqs!$A:$B,2,0),AS276,1),"")</f>
        <v>T</v>
      </c>
      <c r="AS276" s="9">
        <v>317</v>
      </c>
      <c r="AT276" s="9" t="str">
        <f>IFERROR(MID(VLOOKUP($B276,Seqs!$A:$B,2,0),AU276,1),"")</f>
        <v>Y</v>
      </c>
      <c r="AU276" s="9">
        <v>346</v>
      </c>
      <c r="AV276" s="9" t="str">
        <f>IFERROR(MID(VLOOKUP($B276,Seqs!$A:$B,2,0),AW276,1),"")</f>
        <v>L</v>
      </c>
      <c r="AW276" s="9">
        <v>347</v>
      </c>
      <c r="AX276" s="9" t="str">
        <f>IFERROR(MID(VLOOKUP($B276,Seqs!$A:$B,2,0),AY276,1),"")</f>
        <v>S</v>
      </c>
      <c r="AY276" s="9">
        <v>369</v>
      </c>
      <c r="AZ276" s="110" t="str">
        <f>VLOOKUP(B276,Classification!A:D,2,0)</f>
        <v>A</v>
      </c>
      <c r="BA276" s="98" t="str">
        <f>VLOOKUP(B276,Classification!A:D,4,0)</f>
        <v>Prostanoid</v>
      </c>
      <c r="BB276" s="36" t="b">
        <f t="shared" ref="BB276:BB278" si="1288">AND(E276&lt;G276,OR(G276&lt;I276,I276="-"),OR(I276&lt;K276,I276="-"),OR(K276&lt;M276,K276="-"),M276&lt;O276,OR(O276&lt;Q276,Q276="-"),OR(Q276&lt;S276,Q276="-"),OR(S276&lt;U276,S276="-"),U276&lt;W276,OR(W276&lt;Y276,Y276="-"),OR(Y276&lt;AA276,Y276="-"),OR(AA276&lt;AC276,AA276="-"),AC276&lt;AE276,OR(AE276&lt;AG276,AG276="-"),OR(AG276&lt;AI276,AG276="-"),OR(AI276&lt;AK276,AI276="-"),AK276&lt;AM276,AM276&lt;AO276,AO276&lt;AQ276,AQ276&lt;AS276,AS276&lt;AU276,OR(AU276&lt;AW276,AW276="-"),OR(AW276&lt;AY276,AW276="-"))</f>
        <v>1</v>
      </c>
      <c r="BC276" s="109">
        <f t="shared" ref="BC276:BC278" si="1289">_xlfn.AGGREGATE(9,6,CH276:CS276)-_xlfn.AGGREGATE(9,6,BV276:CG276)+12</f>
        <v>277</v>
      </c>
      <c r="BD276" s="40" t="s">
        <v>23</v>
      </c>
      <c r="BE276" s="9" t="s">
        <v>23</v>
      </c>
      <c r="BF276" s="120" t="s">
        <v>23</v>
      </c>
      <c r="BG276" s="51" t="s">
        <v>23</v>
      </c>
      <c r="BH276" s="51" t="s">
        <v>23</v>
      </c>
      <c r="BJ276" s="111" t="s">
        <v>1293</v>
      </c>
      <c r="BK276" s="112" t="s">
        <v>1293</v>
      </c>
      <c r="BL276" s="112" t="s">
        <v>1293</v>
      </c>
      <c r="BM276" s="112" t="s">
        <v>1293</v>
      </c>
      <c r="BN276" s="112" t="s">
        <v>1293</v>
      </c>
      <c r="BO276" s="112" t="s">
        <v>1293</v>
      </c>
      <c r="BP276" s="112" t="s">
        <v>1293</v>
      </c>
      <c r="BQ276" s="112" t="s">
        <v>1293</v>
      </c>
      <c r="BR276" s="112" t="s">
        <v>1293</v>
      </c>
      <c r="BS276" s="112" t="s">
        <v>1293</v>
      </c>
      <c r="BT276" s="112" t="s">
        <v>1293</v>
      </c>
      <c r="BU276" s="112" t="s">
        <v>1293</v>
      </c>
      <c r="BV276" s="111">
        <f t="shared" ref="BV276:BV278" si="1290">E276</f>
        <v>52</v>
      </c>
      <c r="BW276" s="113" t="str">
        <f t="shared" ref="BW276:BW278" si="1291">I276</f>
        <v>-</v>
      </c>
      <c r="BX276" s="114">
        <f t="shared" ref="BX276:BX278" si="1292">M276</f>
        <v>85</v>
      </c>
      <c r="BY276" s="113">
        <f t="shared" ref="BY276:BY278" si="1293">Q276</f>
        <v>118</v>
      </c>
      <c r="BZ276" s="114">
        <f t="shared" ref="BZ276:BZ278" si="1294">U276</f>
        <v>127</v>
      </c>
      <c r="CA276" s="113">
        <f t="shared" ref="CA276:CA278" si="1295">Y276</f>
        <v>162</v>
      </c>
      <c r="CB276" s="114">
        <f t="shared" ref="CB276:CB278" si="1296">AC276</f>
        <v>170</v>
      </c>
      <c r="CC276" s="113">
        <f t="shared" ref="CC276:CC278" si="1297">AG276</f>
        <v>208</v>
      </c>
      <c r="CD276" s="114">
        <f t="shared" ref="CD276:CD278" si="1298">AK276</f>
        <v>225</v>
      </c>
      <c r="CE276" s="113">
        <f t="shared" ref="CE276:CE278" si="1299">AO276</f>
        <v>271</v>
      </c>
      <c r="CF276" s="114">
        <f t="shared" ref="CF276:CF278" si="1300">AS276</f>
        <v>317</v>
      </c>
      <c r="CG276" s="113">
        <f t="shared" ref="CG276:CG278" si="1301">AW276</f>
        <v>347</v>
      </c>
      <c r="CH276" s="111">
        <f t="shared" ref="CH276:CH278" si="1302">G276</f>
        <v>78</v>
      </c>
      <c r="CI276" s="113" t="str">
        <f t="shared" ref="CI276:CI278" si="1303">K276</f>
        <v>-</v>
      </c>
      <c r="CJ276" s="114">
        <f t="shared" ref="CJ276:CJ278" si="1304">O276</f>
        <v>117</v>
      </c>
      <c r="CK276" s="114">
        <f t="shared" ref="CK276:CK278" si="1305">S276</f>
        <v>126</v>
      </c>
      <c r="CL276" s="114">
        <f t="shared" ref="CL276:CL278" si="1306">W276</f>
        <v>161</v>
      </c>
      <c r="CM276" s="114">
        <f t="shared" ref="CM276:CM278" si="1307">AA276</f>
        <v>169</v>
      </c>
      <c r="CN276" s="114">
        <f t="shared" ref="CN276:CN278" si="1308">AE276</f>
        <v>195</v>
      </c>
      <c r="CO276" s="114">
        <f t="shared" ref="CO276:CO278" si="1309">AI276</f>
        <v>210</v>
      </c>
      <c r="CP276" s="114">
        <f t="shared" ref="CP276:CP278" si="1310">AM276</f>
        <v>265</v>
      </c>
      <c r="CQ276" s="114">
        <f t="shared" ref="CQ276:CQ278" si="1311">AQ276</f>
        <v>311</v>
      </c>
      <c r="CR276" s="114">
        <f t="shared" ref="CR276:CR278" si="1312">AU276</f>
        <v>346</v>
      </c>
      <c r="CS276" s="114">
        <f t="shared" ref="CS276:CS278" si="1313">AY276</f>
        <v>369</v>
      </c>
      <c r="CT276" s="109" t="e">
        <f t="shared" ref="CT276:CT278" si="1314">M276-K276</f>
        <v>#VALUE!</v>
      </c>
    </row>
    <row r="277" spans="1:1029" s="12" customFormat="1" x14ac:dyDescent="0.2">
      <c r="A277" s="9" t="str">
        <f t="shared" ref="A277" si="1315">CONCATENATE(B277,"_",C277)</f>
        <v>pe2r3_human_6AK3</v>
      </c>
      <c r="B277" s="9" t="s">
        <v>363</v>
      </c>
      <c r="C277" s="9" t="s">
        <v>1561</v>
      </c>
      <c r="D277" s="9" t="str">
        <f>IFERROR(MID(VLOOKUP($B277,Seqs!$A:$B,2,0),E277,1),"")</f>
        <v>V</v>
      </c>
      <c r="E277" s="9">
        <v>52</v>
      </c>
      <c r="F277" s="9" t="str">
        <f>IFERROR(MID(VLOOKUP($B277,Seqs!$A:$B,2,0),G277,1),"")</f>
        <v>Y</v>
      </c>
      <c r="G277" s="9">
        <v>77</v>
      </c>
      <c r="H277" s="9" t="str">
        <f>IFERROR(MID(VLOOKUP($B277,Seqs!$A:$B,2,0),I277,1),"")</f>
        <v/>
      </c>
      <c r="I277" s="109" t="s">
        <v>23</v>
      </c>
      <c r="J277" s="9" t="str">
        <f>IFERROR(MID(VLOOKUP($B277,Seqs!$A:$B,2,0),K277,1),"")</f>
        <v/>
      </c>
      <c r="K277" s="109" t="s">
        <v>23</v>
      </c>
      <c r="L277" s="9" t="str">
        <f>IFERROR(MID(VLOOKUP($B277,Seqs!$A:$B,2,0),M277,1),"")</f>
        <v>K</v>
      </c>
      <c r="M277" s="9">
        <v>86</v>
      </c>
      <c r="N277" s="9" t="str">
        <f>IFERROR(MID(VLOOKUP($B277,Seqs!$A:$B,2,0),O277,1),"")</f>
        <v>K</v>
      </c>
      <c r="O277" s="9">
        <v>117</v>
      </c>
      <c r="P277" s="9" t="str">
        <f>IFERROR(MID(VLOOKUP($B277,Seqs!$A:$B,2,0),Q277,1),"")</f>
        <v/>
      </c>
      <c r="Q277" s="9" t="s">
        <v>23</v>
      </c>
      <c r="R277" s="9" t="str">
        <f>IFERROR(MID(VLOOKUP($B277,Seqs!$A:$B,2,0),S277,1),"")</f>
        <v/>
      </c>
      <c r="S277" s="9" t="s">
        <v>23</v>
      </c>
      <c r="T277" s="9" t="str">
        <f>IFERROR(MID(VLOOKUP($B277,Seqs!$A:$B,2,0),U277,1),"")</f>
        <v>G</v>
      </c>
      <c r="U277" s="9">
        <v>127</v>
      </c>
      <c r="V277" s="9" t="str">
        <f>IFERROR(MID(VLOOKUP($B277,Seqs!$A:$B,2,0),W277,1),"")</f>
        <v>A</v>
      </c>
      <c r="W277" s="9">
        <v>161</v>
      </c>
      <c r="X277" s="9" t="str">
        <f>IFERROR(MID(VLOOKUP($B277,Seqs!$A:$B,2,0),Y277,1),"")</f>
        <v>P</v>
      </c>
      <c r="Y277" s="9">
        <v>162</v>
      </c>
      <c r="Z277" s="9" t="str">
        <f>IFERROR(MID(VLOOKUP($B277,Seqs!$A:$B,2,0),AA277,1),"")</f>
        <v>M</v>
      </c>
      <c r="AA277" s="9">
        <v>169</v>
      </c>
      <c r="AB277" s="9" t="str">
        <f>IFERROR(MID(VLOOKUP($B277,Seqs!$A:$B,2,0),AC277,1),"")</f>
        <v>K</v>
      </c>
      <c r="AC277" s="9">
        <v>170</v>
      </c>
      <c r="AD277" s="9" t="str">
        <f>IFERROR(MID(VLOOKUP($B277,Seqs!$A:$B,2,0),AE277,1),"")</f>
        <v>G</v>
      </c>
      <c r="AE277" s="9">
        <v>195</v>
      </c>
      <c r="AF277" s="9" t="str">
        <f>IFERROR(MID(VLOOKUP($B277,Seqs!$A:$B,2,0),AG277,1),"")</f>
        <v>C</v>
      </c>
      <c r="AG277" s="9">
        <v>208</v>
      </c>
      <c r="AH277" s="9" t="str">
        <f>IFERROR(MID(VLOOKUP($B277,Seqs!$A:$B,2,0),AI277,1),"")</f>
        <v>I</v>
      </c>
      <c r="AI277" s="9">
        <v>210</v>
      </c>
      <c r="AJ277" s="9" t="str">
        <f>IFERROR(MID(VLOOKUP($B277,Seqs!$A:$B,2,0),AK277,1),"")</f>
        <v>G</v>
      </c>
      <c r="AK277" s="9">
        <v>226</v>
      </c>
      <c r="AL277" s="9" t="str">
        <f>IFERROR(MID(VLOOKUP($B277,Seqs!$A:$B,2,0),AM277,1),"")</f>
        <v>A</v>
      </c>
      <c r="AM277" s="9">
        <v>264</v>
      </c>
      <c r="AN277" s="9" t="str">
        <f>IFERROR(MID(VLOOKUP($B277,Seqs!$A:$B,2,0),AO277,1),"")</f>
        <v>A</v>
      </c>
      <c r="AO277" s="9">
        <v>271</v>
      </c>
      <c r="AP277" s="9" t="str">
        <f>IFERROR(MID(VLOOKUP($B277,Seqs!$A:$B,2,0),AQ277,1),"")</f>
        <v>F</v>
      </c>
      <c r="AQ277" s="9">
        <v>307</v>
      </c>
      <c r="AR277" s="9" t="str">
        <f>IFERROR(MID(VLOOKUP($B277,Seqs!$A:$B,2,0),AS277,1),"")</f>
        <v>K</v>
      </c>
      <c r="AS277" s="9">
        <v>323</v>
      </c>
      <c r="AT277" s="9" t="str">
        <f>IFERROR(MID(VLOOKUP($B277,Seqs!$A:$B,2,0),AU277,1),"")</f>
        <v>Y</v>
      </c>
      <c r="AU277" s="9">
        <v>346</v>
      </c>
      <c r="AV277" s="9" t="str">
        <f>IFERROR(MID(VLOOKUP($B277,Seqs!$A:$B,2,0),AW277,1),"")</f>
        <v>L</v>
      </c>
      <c r="AW277" s="9">
        <v>347</v>
      </c>
      <c r="AX277" s="9" t="str">
        <f>IFERROR(MID(VLOOKUP($B277,Seqs!$A:$B,2,0),AY277,1),"")</f>
        <v>L</v>
      </c>
      <c r="AY277" s="9">
        <v>353</v>
      </c>
      <c r="AZ277" s="110" t="str">
        <f>VLOOKUP(B277,Classification!A:D,2,0)</f>
        <v>A</v>
      </c>
      <c r="BA277" s="98" t="str">
        <f>VLOOKUP(B277,Classification!A:D,4,0)</f>
        <v>Prostanoid</v>
      </c>
      <c r="BB277" s="36" t="b">
        <f t="shared" ref="BB277" si="1316">AND(E277&lt;G277,OR(G277&lt;I277,I277="-"),OR(I277&lt;K277,I277="-"),OR(K277&lt;M277,K277="-"),M277&lt;O277,OR(O277&lt;Q277,Q277="-"),OR(Q277&lt;S277,Q277="-"),OR(S277&lt;U277,S277="-"),U277&lt;W277,OR(W277&lt;Y277,Y277="-"),OR(Y277&lt;AA277,Y277="-"),OR(AA277&lt;AC277,AA277="-"),AC277&lt;AE277,OR(AE277&lt;AG277,AG277="-"),OR(AG277&lt;AI277,AG277="-"),OR(AI277&lt;AK277,AI277="-"),AK277&lt;AM277,AM277&lt;AO277,AO277&lt;AQ277,AQ277&lt;AS277,AS277&lt;AU277,OR(AU277&lt;AW277,AW277="-"),OR(AW277&lt;AY277,AW277="-"))</f>
        <v>1</v>
      </c>
      <c r="BC277" s="109">
        <f t="shared" ref="BC277" si="1317">_xlfn.AGGREGATE(9,6,CH277:CS277)-_xlfn.AGGREGATE(9,6,BV277:CG277)+12</f>
        <v>239</v>
      </c>
      <c r="BD277" s="40" t="s">
        <v>1381</v>
      </c>
      <c r="BE277" s="9" t="s">
        <v>1297</v>
      </c>
      <c r="BF277" s="120">
        <v>2.9</v>
      </c>
      <c r="BG277" s="51" t="s">
        <v>1287</v>
      </c>
      <c r="BH277" s="51" t="s">
        <v>1287</v>
      </c>
      <c r="BJ277" s="111" t="s">
        <v>1293</v>
      </c>
      <c r="BK277" s="112" t="s">
        <v>1293</v>
      </c>
      <c r="BL277" s="112" t="s">
        <v>1293</v>
      </c>
      <c r="BM277" s="112" t="s">
        <v>1293</v>
      </c>
      <c r="BN277" s="112" t="s">
        <v>1293</v>
      </c>
      <c r="BO277" s="112" t="s">
        <v>1293</v>
      </c>
      <c r="BP277" s="112" t="s">
        <v>1293</v>
      </c>
      <c r="BQ277" s="112" t="s">
        <v>1293</v>
      </c>
      <c r="BR277" s="112" t="s">
        <v>1293</v>
      </c>
      <c r="BS277" s="112" t="s">
        <v>1293</v>
      </c>
      <c r="BT277" s="112" t="s">
        <v>1293</v>
      </c>
      <c r="BU277" s="112" t="s">
        <v>1293</v>
      </c>
      <c r="BV277" s="111">
        <f t="shared" ref="BV277" si="1318">E277</f>
        <v>52</v>
      </c>
      <c r="BW277" s="113" t="str">
        <f t="shared" ref="BW277" si="1319">I277</f>
        <v>-</v>
      </c>
      <c r="BX277" s="114">
        <f t="shared" ref="BX277" si="1320">M277</f>
        <v>86</v>
      </c>
      <c r="BY277" s="113" t="str">
        <f t="shared" ref="BY277" si="1321">Q277</f>
        <v>-</v>
      </c>
      <c r="BZ277" s="114">
        <f t="shared" ref="BZ277" si="1322">U277</f>
        <v>127</v>
      </c>
      <c r="CA277" s="113">
        <f t="shared" ref="CA277" si="1323">Y277</f>
        <v>162</v>
      </c>
      <c r="CB277" s="114">
        <f t="shared" ref="CB277" si="1324">AC277</f>
        <v>170</v>
      </c>
      <c r="CC277" s="113">
        <f t="shared" ref="CC277" si="1325">AG277</f>
        <v>208</v>
      </c>
      <c r="CD277" s="114">
        <f t="shared" ref="CD277" si="1326">AK277</f>
        <v>226</v>
      </c>
      <c r="CE277" s="113">
        <f t="shared" ref="CE277" si="1327">AO277</f>
        <v>271</v>
      </c>
      <c r="CF277" s="114">
        <f t="shared" ref="CF277" si="1328">AS277</f>
        <v>323</v>
      </c>
      <c r="CG277" s="113">
        <f t="shared" ref="CG277" si="1329">AW277</f>
        <v>347</v>
      </c>
      <c r="CH277" s="111">
        <f t="shared" ref="CH277" si="1330">G277</f>
        <v>77</v>
      </c>
      <c r="CI277" s="113" t="str">
        <f t="shared" ref="CI277" si="1331">K277</f>
        <v>-</v>
      </c>
      <c r="CJ277" s="114">
        <f t="shared" ref="CJ277" si="1332">O277</f>
        <v>117</v>
      </c>
      <c r="CK277" s="114" t="str">
        <f t="shared" ref="CK277" si="1333">S277</f>
        <v>-</v>
      </c>
      <c r="CL277" s="114">
        <f t="shared" ref="CL277" si="1334">W277</f>
        <v>161</v>
      </c>
      <c r="CM277" s="114">
        <f t="shared" ref="CM277" si="1335">AA277</f>
        <v>169</v>
      </c>
      <c r="CN277" s="114">
        <f t="shared" ref="CN277" si="1336">AE277</f>
        <v>195</v>
      </c>
      <c r="CO277" s="114">
        <f t="shared" ref="CO277" si="1337">AI277</f>
        <v>210</v>
      </c>
      <c r="CP277" s="114">
        <f t="shared" ref="CP277" si="1338">AM277</f>
        <v>264</v>
      </c>
      <c r="CQ277" s="114">
        <f t="shared" ref="CQ277" si="1339">AQ277</f>
        <v>307</v>
      </c>
      <c r="CR277" s="114">
        <f t="shared" ref="CR277" si="1340">AU277</f>
        <v>346</v>
      </c>
      <c r="CS277" s="114">
        <f t="shared" ref="CS277" si="1341">AY277</f>
        <v>353</v>
      </c>
      <c r="CT277" s="109" t="e">
        <f t="shared" ref="CT277" si="1342">M277-K277</f>
        <v>#VALUE!</v>
      </c>
    </row>
    <row r="278" spans="1:1029" s="12" customFormat="1" x14ac:dyDescent="0.2">
      <c r="A278" s="9" t="str">
        <f t="shared" si="1287"/>
        <v>pe2r3_human_6M9T</v>
      </c>
      <c r="B278" s="9" t="s">
        <v>363</v>
      </c>
      <c r="C278" s="9" t="s">
        <v>1560</v>
      </c>
      <c r="D278" s="9" t="str">
        <f>IFERROR(MID(VLOOKUP($B278,Seqs!$A:$B,2,0),E278,1),"")</f>
        <v>V</v>
      </c>
      <c r="E278" s="9">
        <v>52</v>
      </c>
      <c r="F278" s="9" t="str">
        <f>IFERROR(MID(VLOOKUP($B278,Seqs!$A:$B,2,0),G278,1),"")</f>
        <v>R</v>
      </c>
      <c r="G278" s="9">
        <v>78</v>
      </c>
      <c r="H278" s="9" t="str">
        <f>IFERROR(MID(VLOOKUP($B278,Seqs!$A:$B,2,0),I278,1),"")</f>
        <v/>
      </c>
      <c r="I278" s="109" t="s">
        <v>23</v>
      </c>
      <c r="J278" s="9" t="str">
        <f>IFERROR(MID(VLOOKUP($B278,Seqs!$A:$B,2,0),K278,1),"")</f>
        <v/>
      </c>
      <c r="K278" s="109" t="s">
        <v>23</v>
      </c>
      <c r="L278" s="9" t="str">
        <f>IFERROR(MID(VLOOKUP($B278,Seqs!$A:$B,2,0),M278,1),"")</f>
        <v>K</v>
      </c>
      <c r="M278" s="9">
        <v>85</v>
      </c>
      <c r="N278" s="9" t="str">
        <f>IFERROR(MID(VLOOKUP($B278,Seqs!$A:$B,2,0),O278,1),"")</f>
        <v>K</v>
      </c>
      <c r="O278" s="9">
        <v>117</v>
      </c>
      <c r="P278" s="9" t="str">
        <f>IFERROR(MID(VLOOKUP($B278,Seqs!$A:$B,2,0),Q278,1),"")</f>
        <v>Q</v>
      </c>
      <c r="Q278" s="9">
        <v>118</v>
      </c>
      <c r="R278" s="9" t="str">
        <f>IFERROR(MID(VLOOKUP($B278,Seqs!$A:$B,2,0),S278,1),"")</f>
        <v>S</v>
      </c>
      <c r="S278" s="9">
        <v>126</v>
      </c>
      <c r="T278" s="9" t="str">
        <f>IFERROR(MID(VLOOKUP($B278,Seqs!$A:$B,2,0),U278,1),"")</f>
        <v>G</v>
      </c>
      <c r="U278" s="9">
        <v>127</v>
      </c>
      <c r="V278" s="9" t="str">
        <f>IFERROR(MID(VLOOKUP($B278,Seqs!$A:$B,2,0),W278,1),"")</f>
        <v>A</v>
      </c>
      <c r="W278" s="9">
        <v>161</v>
      </c>
      <c r="X278" s="9" t="str">
        <f>IFERROR(MID(VLOOKUP($B278,Seqs!$A:$B,2,0),Y278,1),"")</f>
        <v>P</v>
      </c>
      <c r="Y278" s="9">
        <v>162</v>
      </c>
      <c r="Z278" s="9" t="str">
        <f>IFERROR(MID(VLOOKUP($B278,Seqs!$A:$B,2,0),AA278,1),"")</f>
        <v>M</v>
      </c>
      <c r="AA278" s="9">
        <v>169</v>
      </c>
      <c r="AB278" s="9" t="str">
        <f>IFERROR(MID(VLOOKUP($B278,Seqs!$A:$B,2,0),AC278,1),"")</f>
        <v>K</v>
      </c>
      <c r="AC278" s="9">
        <v>170</v>
      </c>
      <c r="AD278" s="9" t="str">
        <f>IFERROR(MID(VLOOKUP($B278,Seqs!$A:$B,2,0),AE278,1),"")</f>
        <v>G</v>
      </c>
      <c r="AE278" s="9">
        <v>195</v>
      </c>
      <c r="AF278" s="9" t="str">
        <f>IFERROR(MID(VLOOKUP($B278,Seqs!$A:$B,2,0),AG278,1),"")</f>
        <v>C</v>
      </c>
      <c r="AG278" s="9">
        <v>208</v>
      </c>
      <c r="AH278" s="9" t="str">
        <f>IFERROR(MID(VLOOKUP($B278,Seqs!$A:$B,2,0),AI278,1),"")</f>
        <v>I</v>
      </c>
      <c r="AI278" s="9">
        <v>210</v>
      </c>
      <c r="AJ278" s="9" t="str">
        <f>IFERROR(MID(VLOOKUP($B278,Seqs!$A:$B,2,0),AK278,1),"")</f>
        <v>W</v>
      </c>
      <c r="AK278" s="9">
        <v>225</v>
      </c>
      <c r="AL278" s="9" t="str">
        <f>IFERROR(MID(VLOOKUP($B278,Seqs!$A:$B,2,0),AM278,1),"")</f>
        <v>S</v>
      </c>
      <c r="AM278" s="9">
        <v>258</v>
      </c>
      <c r="AN278" s="9" t="str">
        <f>IFERROR(MID(VLOOKUP($B278,Seqs!$A:$B,2,0),AO278,1),"")</f>
        <v>R</v>
      </c>
      <c r="AO278" s="9">
        <v>275</v>
      </c>
      <c r="AP278" s="9" t="str">
        <f>IFERROR(MID(VLOOKUP($B278,Seqs!$A:$B,2,0),AQ278,1),"")</f>
        <v>F</v>
      </c>
      <c r="AQ278" s="9">
        <v>307</v>
      </c>
      <c r="AR278" s="9" t="str">
        <f>IFERROR(MID(VLOOKUP($B278,Seqs!$A:$B,2,0),AS278,1),"")</f>
        <v>K</v>
      </c>
      <c r="AS278" s="9">
        <v>323</v>
      </c>
      <c r="AT278" s="9" t="str">
        <f>IFERROR(MID(VLOOKUP($B278,Seqs!$A:$B,2,0),AU278,1),"")</f>
        <v>Y</v>
      </c>
      <c r="AU278" s="9">
        <v>346</v>
      </c>
      <c r="AV278" s="9" t="str">
        <f>IFERROR(MID(VLOOKUP($B278,Seqs!$A:$B,2,0),AW278,1),"")</f>
        <v>L</v>
      </c>
      <c r="AW278" s="9">
        <v>347</v>
      </c>
      <c r="AX278" s="9" t="str">
        <f>IFERROR(MID(VLOOKUP($B278,Seqs!$A:$B,2,0),AY278,1),"")</f>
        <v>L</v>
      </c>
      <c r="AY278" s="9">
        <v>353</v>
      </c>
      <c r="AZ278" s="110" t="str">
        <f>VLOOKUP(B278,Classification!A:D,2,0)</f>
        <v>A</v>
      </c>
      <c r="BA278" s="98" t="str">
        <f>VLOOKUP(B278,Classification!A:D,4,0)</f>
        <v>Prostanoid</v>
      </c>
      <c r="BB278" s="36" t="b">
        <f t="shared" si="1288"/>
        <v>1</v>
      </c>
      <c r="BC278" s="109">
        <f t="shared" si="1289"/>
        <v>240</v>
      </c>
      <c r="BD278" s="40" t="s">
        <v>1439</v>
      </c>
      <c r="BE278" s="9" t="s">
        <v>1483</v>
      </c>
      <c r="BF278" s="120">
        <v>2.5</v>
      </c>
      <c r="BG278" s="51" t="s">
        <v>1</v>
      </c>
      <c r="BH278" s="51" t="s">
        <v>1</v>
      </c>
      <c r="BJ278" s="111" t="s">
        <v>1293</v>
      </c>
      <c r="BK278" s="112" t="s">
        <v>1293</v>
      </c>
      <c r="BL278" s="112" t="s">
        <v>1293</v>
      </c>
      <c r="BM278" s="112" t="s">
        <v>1293</v>
      </c>
      <c r="BN278" s="112" t="s">
        <v>1293</v>
      </c>
      <c r="BO278" s="112" t="s">
        <v>1293</v>
      </c>
      <c r="BP278" s="112" t="s">
        <v>1293</v>
      </c>
      <c r="BQ278" s="112" t="s">
        <v>1293</v>
      </c>
      <c r="BR278" s="112" t="s">
        <v>1293</v>
      </c>
      <c r="BS278" s="112" t="s">
        <v>1293</v>
      </c>
      <c r="BT278" s="112" t="s">
        <v>1293</v>
      </c>
      <c r="BU278" s="112" t="s">
        <v>1293</v>
      </c>
      <c r="BV278" s="111">
        <f t="shared" si="1290"/>
        <v>52</v>
      </c>
      <c r="BW278" s="113" t="str">
        <f t="shared" si="1291"/>
        <v>-</v>
      </c>
      <c r="BX278" s="114">
        <f t="shared" si="1292"/>
        <v>85</v>
      </c>
      <c r="BY278" s="113">
        <f t="shared" si="1293"/>
        <v>118</v>
      </c>
      <c r="BZ278" s="114">
        <f t="shared" si="1294"/>
        <v>127</v>
      </c>
      <c r="CA278" s="113">
        <f t="shared" si="1295"/>
        <v>162</v>
      </c>
      <c r="CB278" s="114">
        <f t="shared" si="1296"/>
        <v>170</v>
      </c>
      <c r="CC278" s="113">
        <f t="shared" si="1297"/>
        <v>208</v>
      </c>
      <c r="CD278" s="114">
        <f t="shared" si="1298"/>
        <v>225</v>
      </c>
      <c r="CE278" s="113">
        <f t="shared" si="1299"/>
        <v>275</v>
      </c>
      <c r="CF278" s="114">
        <f t="shared" si="1300"/>
        <v>323</v>
      </c>
      <c r="CG278" s="113">
        <f t="shared" si="1301"/>
        <v>347</v>
      </c>
      <c r="CH278" s="111">
        <f t="shared" si="1302"/>
        <v>78</v>
      </c>
      <c r="CI278" s="113" t="str">
        <f t="shared" si="1303"/>
        <v>-</v>
      </c>
      <c r="CJ278" s="114">
        <f t="shared" si="1304"/>
        <v>117</v>
      </c>
      <c r="CK278" s="114">
        <f t="shared" si="1305"/>
        <v>126</v>
      </c>
      <c r="CL278" s="114">
        <f t="shared" si="1306"/>
        <v>161</v>
      </c>
      <c r="CM278" s="114">
        <f t="shared" si="1307"/>
        <v>169</v>
      </c>
      <c r="CN278" s="114">
        <f t="shared" si="1308"/>
        <v>195</v>
      </c>
      <c r="CO278" s="114">
        <f t="shared" si="1309"/>
        <v>210</v>
      </c>
      <c r="CP278" s="114">
        <f t="shared" si="1310"/>
        <v>258</v>
      </c>
      <c r="CQ278" s="114">
        <f t="shared" si="1311"/>
        <v>307</v>
      </c>
      <c r="CR278" s="114">
        <f t="shared" si="1312"/>
        <v>346</v>
      </c>
      <c r="CS278" s="114">
        <f t="shared" si="1313"/>
        <v>353</v>
      </c>
      <c r="CT278" s="109" t="e">
        <f t="shared" si="1314"/>
        <v>#VALUE!</v>
      </c>
    </row>
    <row r="279" spans="1:1029" x14ac:dyDescent="0.2">
      <c r="A279" s="9" t="str">
        <f t="shared" ref="A279" si="1343">CONCATENATE(B279,"_",C279)</f>
        <v>pe2r4_human__wt</v>
      </c>
      <c r="B279" s="9" t="s">
        <v>364</v>
      </c>
      <c r="C279" s="9" t="s">
        <v>100</v>
      </c>
      <c r="D279" s="9" t="str">
        <f>IFERROR(MID(VLOOKUP($B279,Seqs!$A:$B,2,0),E279,1),"")</f>
        <v>N</v>
      </c>
      <c r="E279" s="9">
        <v>18</v>
      </c>
      <c r="F279" s="9" t="str">
        <f>IFERROR(MID(VLOOKUP($B279,Seqs!$A:$B,2,0),G279,1),"")</f>
        <v>C</v>
      </c>
      <c r="G279" s="9">
        <v>43</v>
      </c>
      <c r="H279" s="9" t="str">
        <f>IFERROR(MID(VLOOKUP($B279,Seqs!$A:$B,2,0),I279,1),"")</f>
        <v/>
      </c>
      <c r="I279" s="109" t="s">
        <v>23</v>
      </c>
      <c r="J279" s="9" t="str">
        <f>IFERROR(MID(VLOOKUP($B279,Seqs!$A:$B,2,0),K279,1),"")</f>
        <v/>
      </c>
      <c r="K279" s="109" t="s">
        <v>23</v>
      </c>
      <c r="L279" s="9" t="str">
        <f>IFERROR(MID(VLOOKUP($B279,Seqs!$A:$B,2,0),M279,1),"")</f>
        <v>E</v>
      </c>
      <c r="M279" s="9">
        <v>51</v>
      </c>
      <c r="N279" s="9" t="str">
        <f>IFERROR(MID(VLOOKUP($B279,Seqs!$A:$B,2,0),O279,1),"")</f>
        <v>K</v>
      </c>
      <c r="O279" s="9">
        <v>82</v>
      </c>
      <c r="P279" s="9" t="str">
        <f>IFERROR(MID(VLOOKUP($B279,Seqs!$A:$B,2,0),Q279,1),"")</f>
        <v>Q</v>
      </c>
      <c r="Q279" s="9">
        <v>84</v>
      </c>
      <c r="R279" s="9" t="str">
        <f>IFERROR(MID(VLOOKUP($B279,Seqs!$A:$B,2,0),S279,1),"")</f>
        <v>G</v>
      </c>
      <c r="S279" s="9">
        <v>87</v>
      </c>
      <c r="T279" s="9" t="str">
        <f>IFERROR(MID(VLOOKUP($B279,Seqs!$A:$B,2,0),U279,1),"")</f>
        <v>G</v>
      </c>
      <c r="U279" s="9">
        <v>88</v>
      </c>
      <c r="V279" s="9" t="str">
        <f>IFERROR(MID(VLOOKUP($B279,Seqs!$A:$B,2,0),W279,1),"")</f>
        <v>H</v>
      </c>
      <c r="W279" s="9">
        <v>123</v>
      </c>
      <c r="X279" s="9" t="str">
        <f>IFERROR(MID(VLOOKUP($B279,Seqs!$A:$B,2,0),Y279,1),"")</f>
        <v>A</v>
      </c>
      <c r="Y279" s="9">
        <v>124</v>
      </c>
      <c r="Z279" s="9" t="str">
        <f>IFERROR(MID(VLOOKUP($B279,Seqs!$A:$B,2,0),AA279,1),"")</f>
        <v>V</v>
      </c>
      <c r="AA279" s="9">
        <v>131</v>
      </c>
      <c r="AB279" s="9" t="str">
        <f>IFERROR(MID(VLOOKUP($B279,Seqs!$A:$B,2,0),AC279,1),"")</f>
        <v>D</v>
      </c>
      <c r="AC279" s="9">
        <v>132</v>
      </c>
      <c r="AD279" s="9" t="str">
        <f>IFERROR(MID(VLOOKUP($B279,Seqs!$A:$B,2,0),AE279,1),"")</f>
        <v>G</v>
      </c>
      <c r="AE279" s="9">
        <v>157</v>
      </c>
      <c r="AF279" s="9" t="str">
        <f>IFERROR(MID(VLOOKUP($B279,Seqs!$A:$B,2,0),AG279,1),"")</f>
        <v>C</v>
      </c>
      <c r="AG279" s="9">
        <v>170</v>
      </c>
      <c r="AH279" s="9" t="str">
        <f>IFERROR(MID(VLOOKUP($B279,Seqs!$A:$B,2,0),AI279,1),"")</f>
        <v>I</v>
      </c>
      <c r="AI279" s="9">
        <v>172</v>
      </c>
      <c r="AJ279" s="9" t="str">
        <f>IFERROR(MID(VLOOKUP($B279,Seqs!$A:$B,2,0),AK279,1),"")</f>
        <v>V</v>
      </c>
      <c r="AK279" s="9">
        <v>178</v>
      </c>
      <c r="AL279" s="9" t="str">
        <f>IFERROR(MID(VLOOKUP($B279,Seqs!$A:$B,2,0),AM279,1),"")</f>
        <v>L</v>
      </c>
      <c r="AM279" s="9">
        <v>223</v>
      </c>
      <c r="AN279" s="9" t="str">
        <f>IFERROR(MID(VLOOKUP($B279,Seqs!$A:$B,2,0),AO279,1),"")</f>
        <v>R</v>
      </c>
      <c r="AO279" s="9">
        <v>261</v>
      </c>
      <c r="AP279" s="9" t="str">
        <f>IFERROR(MID(VLOOKUP($B279,Seqs!$A:$B,2,0),AQ279,1),"")</f>
        <v>Y</v>
      </c>
      <c r="AQ279" s="9">
        <v>298</v>
      </c>
      <c r="AR279" s="9" t="str">
        <f>IFERROR(MID(VLOOKUP($B279,Seqs!$A:$B,2,0),AS279,1),"")</f>
        <v>N</v>
      </c>
      <c r="AS279" s="9">
        <v>309</v>
      </c>
      <c r="AT279" s="9" t="str">
        <f>IFERROR(MID(VLOOKUP($B279,Seqs!$A:$B,2,0),AU279,1),"")</f>
        <v>L</v>
      </c>
      <c r="AU279" s="9">
        <v>332</v>
      </c>
      <c r="AV279" s="9" t="str">
        <f>IFERROR(MID(VLOOKUP($B279,Seqs!$A:$B,2,0),AW279,1),"")</f>
        <v>R</v>
      </c>
      <c r="AW279" s="9">
        <v>333</v>
      </c>
      <c r="AX279" s="9" t="str">
        <f>IFERROR(MID(VLOOKUP($B279,Seqs!$A:$B,2,0),AY279,1),"")</f>
        <v>C</v>
      </c>
      <c r="AY279" s="9">
        <v>346</v>
      </c>
      <c r="AZ279" s="110" t="str">
        <f>VLOOKUP(B279,Classification!A:D,2,0)</f>
        <v>A</v>
      </c>
      <c r="BA279" s="98" t="str">
        <f>VLOOKUP(B279,Classification!A:D,4,0)</f>
        <v>Prostanoid</v>
      </c>
      <c r="BB279" s="36" t="b">
        <f t="shared" ref="BB279" si="1344">AND(E279&lt;G279,OR(G279&lt;I279,I279="-"),OR(I279&lt;K279,I279="-"),OR(K279&lt;M279,K279="-"),M279&lt;O279,OR(O279&lt;Q279,Q279="-"),OR(Q279&lt;S279,Q279="-"),OR(S279&lt;U279,S279="-"),U279&lt;W279,OR(W279&lt;Y279,Y279="-"),OR(Y279&lt;AA279,Y279="-"),OR(AA279&lt;AC279,AA279="-"),AC279&lt;AE279,OR(AE279&lt;AG279,AG279="-"),OR(AG279&lt;AI279,AG279="-"),OR(AI279&lt;AK279,AI279="-"),AK279&lt;AM279,AM279&lt;AO279,AO279&lt;AQ279,AQ279&lt;AS279,AS279&lt;AU279,OR(AU279&lt;AW279,AW279="-"),OR(AW279&lt;AY279,AW279="-"))</f>
        <v>1</v>
      </c>
      <c r="BC279" s="109">
        <f t="shared" ref="BC279" si="1345">_xlfn.AGGREGATE(9,6,CH279:CS279)-_xlfn.AGGREGATE(9,6,BV279:CG279)+12</f>
        <v>258</v>
      </c>
      <c r="BD279" s="40" t="s">
        <v>23</v>
      </c>
      <c r="BE279" s="9" t="s">
        <v>23</v>
      </c>
      <c r="BF279" s="120" t="s">
        <v>23</v>
      </c>
      <c r="BG279" s="51" t="s">
        <v>23</v>
      </c>
      <c r="BH279" s="51" t="s">
        <v>23</v>
      </c>
      <c r="BI279" s="12"/>
      <c r="BJ279" s="111" t="s">
        <v>1293</v>
      </c>
      <c r="BK279" s="112" t="s">
        <v>1293</v>
      </c>
      <c r="BL279" s="112" t="s">
        <v>1293</v>
      </c>
      <c r="BM279" s="112" t="s">
        <v>1293</v>
      </c>
      <c r="BN279" s="112" t="s">
        <v>1293</v>
      </c>
      <c r="BO279" s="112" t="s">
        <v>1293</v>
      </c>
      <c r="BP279" s="112" t="s">
        <v>1293</v>
      </c>
      <c r="BQ279" s="112" t="s">
        <v>1293</v>
      </c>
      <c r="BR279" s="112" t="s">
        <v>1293</v>
      </c>
      <c r="BS279" s="112" t="s">
        <v>1293</v>
      </c>
      <c r="BT279" s="112" t="s">
        <v>1293</v>
      </c>
      <c r="BU279" s="112" t="s">
        <v>1293</v>
      </c>
      <c r="BV279" s="111">
        <f t="shared" ref="BV279" si="1346">E279</f>
        <v>18</v>
      </c>
      <c r="BW279" s="113" t="str">
        <f t="shared" ref="BW279" si="1347">I279</f>
        <v>-</v>
      </c>
      <c r="BX279" s="114">
        <f t="shared" ref="BX279" si="1348">M279</f>
        <v>51</v>
      </c>
      <c r="BY279" s="113">
        <f t="shared" ref="BY279" si="1349">Q279</f>
        <v>84</v>
      </c>
      <c r="BZ279" s="114">
        <f t="shared" ref="BZ279" si="1350">U279</f>
        <v>88</v>
      </c>
      <c r="CA279" s="113">
        <f t="shared" ref="CA279" si="1351">Y279</f>
        <v>124</v>
      </c>
      <c r="CB279" s="114">
        <f t="shared" ref="CB279" si="1352">AC279</f>
        <v>132</v>
      </c>
      <c r="CC279" s="113">
        <f t="shared" ref="CC279" si="1353">AG279</f>
        <v>170</v>
      </c>
      <c r="CD279" s="114">
        <f t="shared" ref="CD279" si="1354">AK279</f>
        <v>178</v>
      </c>
      <c r="CE279" s="113">
        <f t="shared" ref="CE279" si="1355">AO279</f>
        <v>261</v>
      </c>
      <c r="CF279" s="114">
        <f t="shared" ref="CF279" si="1356">AS279</f>
        <v>309</v>
      </c>
      <c r="CG279" s="113">
        <f t="shared" ref="CG279" si="1357">AW279</f>
        <v>333</v>
      </c>
      <c r="CH279" s="111">
        <f t="shared" ref="CH279" si="1358">G279</f>
        <v>43</v>
      </c>
      <c r="CI279" s="113" t="str">
        <f t="shared" ref="CI279" si="1359">K279</f>
        <v>-</v>
      </c>
      <c r="CJ279" s="114">
        <f t="shared" ref="CJ279" si="1360">O279</f>
        <v>82</v>
      </c>
      <c r="CK279" s="114">
        <f t="shared" ref="CK279" si="1361">S279</f>
        <v>87</v>
      </c>
      <c r="CL279" s="114">
        <f t="shared" ref="CL279" si="1362">W279</f>
        <v>123</v>
      </c>
      <c r="CM279" s="114">
        <f t="shared" ref="CM279" si="1363">AA279</f>
        <v>131</v>
      </c>
      <c r="CN279" s="114">
        <f t="shared" ref="CN279" si="1364">AE279</f>
        <v>157</v>
      </c>
      <c r="CO279" s="114">
        <f t="shared" ref="CO279" si="1365">AI279</f>
        <v>172</v>
      </c>
      <c r="CP279" s="114">
        <f t="shared" ref="CP279" si="1366">AM279</f>
        <v>223</v>
      </c>
      <c r="CQ279" s="114">
        <f t="shared" ref="CQ279" si="1367">AQ279</f>
        <v>298</v>
      </c>
      <c r="CR279" s="114">
        <f t="shared" ref="CR279" si="1368">AU279</f>
        <v>332</v>
      </c>
      <c r="CS279" s="114">
        <f t="shared" ref="CS279" si="1369">AY279</f>
        <v>346</v>
      </c>
      <c r="CT279" s="109" t="e">
        <f t="shared" ref="CT279" si="1370">M279-K279</f>
        <v>#VALUE!</v>
      </c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</row>
    <row r="280" spans="1:1029" x14ac:dyDescent="0.2">
      <c r="A280" s="9" t="str">
        <f>CONCATENATE(B280,"_",C280)</f>
        <v>pe2r4_human_5YWY</v>
      </c>
      <c r="B280" s="9" t="s">
        <v>364</v>
      </c>
      <c r="C280" s="9" t="s">
        <v>1557</v>
      </c>
      <c r="D280" s="9" t="str">
        <f>IFERROR(MID(VLOOKUP($B280,Seqs!$A:$B,2,0),E280,1),"")</f>
        <v>N</v>
      </c>
      <c r="E280" s="9">
        <v>18</v>
      </c>
      <c r="F280" s="9" t="str">
        <f>IFERROR(MID(VLOOKUP($B280,Seqs!$A:$B,2,0),G280,1),"")</f>
        <v>C</v>
      </c>
      <c r="G280" s="9">
        <v>43</v>
      </c>
      <c r="H280" s="9" t="str">
        <f>IFERROR(MID(VLOOKUP($B280,Seqs!$A:$B,2,0),I280,1),"")</f>
        <v/>
      </c>
      <c r="I280" s="109" t="s">
        <v>23</v>
      </c>
      <c r="J280" s="9" t="str">
        <f>IFERROR(MID(VLOOKUP($B280,Seqs!$A:$B,2,0),K280,1),"")</f>
        <v/>
      </c>
      <c r="K280" s="109" t="s">
        <v>23</v>
      </c>
      <c r="L280" s="9" t="str">
        <f>IFERROR(MID(VLOOKUP($B280,Seqs!$A:$B,2,0),M280,1),"")</f>
        <v>E</v>
      </c>
      <c r="M280" s="9">
        <v>51</v>
      </c>
      <c r="N280" s="9" t="str">
        <f>IFERROR(MID(VLOOKUP($B280,Seqs!$A:$B,2,0),O280,1),"")</f>
        <v>K</v>
      </c>
      <c r="O280" s="9">
        <v>82</v>
      </c>
      <c r="P280" s="9" t="str">
        <f>IFERROR(MID(VLOOKUP($B280,Seqs!$A:$B,2,0),Q280,1),"")</f>
        <v>Q</v>
      </c>
      <c r="Q280" s="9">
        <v>84</v>
      </c>
      <c r="R280" s="9" t="str">
        <f>IFERROR(MID(VLOOKUP($B280,Seqs!$A:$B,2,0),S280,1),"")</f>
        <v>G</v>
      </c>
      <c r="S280" s="9">
        <v>87</v>
      </c>
      <c r="T280" s="9" t="str">
        <f>IFERROR(MID(VLOOKUP($B280,Seqs!$A:$B,2,0),U280,1),"")</f>
        <v>G</v>
      </c>
      <c r="U280" s="9">
        <v>88</v>
      </c>
      <c r="V280" s="9" t="str">
        <f>IFERROR(MID(VLOOKUP($B280,Seqs!$A:$B,2,0),W280,1),"")</f>
        <v>H</v>
      </c>
      <c r="W280" s="9">
        <v>123</v>
      </c>
      <c r="X280" s="9" t="str">
        <f>IFERROR(MID(VLOOKUP($B280,Seqs!$A:$B,2,0),Y280,1),"")</f>
        <v>A</v>
      </c>
      <c r="Y280" s="9">
        <v>124</v>
      </c>
      <c r="Z280" s="9" t="str">
        <f>IFERROR(MID(VLOOKUP($B280,Seqs!$A:$B,2,0),AA280,1),"")</f>
        <v>V</v>
      </c>
      <c r="AA280" s="9">
        <v>131</v>
      </c>
      <c r="AB280" s="9" t="str">
        <f>IFERROR(MID(VLOOKUP($B280,Seqs!$A:$B,2,0),AC280,1),"")</f>
        <v>D</v>
      </c>
      <c r="AC280" s="9">
        <v>132</v>
      </c>
      <c r="AD280" s="9" t="str">
        <f>IFERROR(MID(VLOOKUP($B280,Seqs!$A:$B,2,0),AE280,1),"")</f>
        <v>G</v>
      </c>
      <c r="AE280" s="9">
        <v>157</v>
      </c>
      <c r="AF280" s="9" t="str">
        <f>IFERROR(MID(VLOOKUP($B280,Seqs!$A:$B,2,0),AG280,1),"")</f>
        <v>C</v>
      </c>
      <c r="AG280" s="9">
        <v>170</v>
      </c>
      <c r="AH280" s="9" t="str">
        <f>IFERROR(MID(VLOOKUP($B280,Seqs!$A:$B,2,0),AI280,1),"")</f>
        <v>I</v>
      </c>
      <c r="AI280" s="9">
        <v>172</v>
      </c>
      <c r="AJ280" s="9" t="str">
        <f>IFERROR(MID(VLOOKUP($B280,Seqs!$A:$B,2,0),AK280,1),"")</f>
        <v>V</v>
      </c>
      <c r="AK280" s="9">
        <v>178</v>
      </c>
      <c r="AL280" s="9" t="str">
        <f>IFERROR(MID(VLOOKUP($B280,Seqs!$A:$B,2,0),AM280,1),"")</f>
        <v>H</v>
      </c>
      <c r="AM280" s="9">
        <v>214</v>
      </c>
      <c r="AN280" s="9" t="str">
        <f>IFERROR(MID(VLOOKUP($B280,Seqs!$A:$B,2,0),AO280,1),"")</f>
        <v>A</v>
      </c>
      <c r="AO280" s="9">
        <v>266</v>
      </c>
      <c r="AP280" s="9" t="str">
        <f>IFERROR(MID(VLOOKUP($B280,Seqs!$A:$B,2,0),AQ280,1),"")</f>
        <v>Y</v>
      </c>
      <c r="AQ280" s="9">
        <v>298</v>
      </c>
      <c r="AR280" s="9" t="str">
        <f>IFERROR(MID(VLOOKUP($B280,Seqs!$A:$B,2,0),AS280,1),"")</f>
        <v>N</v>
      </c>
      <c r="AS280" s="9">
        <v>309</v>
      </c>
      <c r="AT280" s="9" t="str">
        <f>IFERROR(MID(VLOOKUP($B280,Seqs!$A:$B,2,0),AU280,1),"")</f>
        <v>L</v>
      </c>
      <c r="AU280" s="9">
        <v>332</v>
      </c>
      <c r="AV280" s="9" t="str">
        <f>IFERROR(MID(VLOOKUP($B280,Seqs!$A:$B,2,0),AW280,1),"")</f>
        <v>R</v>
      </c>
      <c r="AW280" s="9">
        <v>333</v>
      </c>
      <c r="AX280" s="9" t="str">
        <f>IFERROR(MID(VLOOKUP($B280,Seqs!$A:$B,2,0),AY280,1),"")</f>
        <v>I</v>
      </c>
      <c r="AY280" s="9">
        <v>344</v>
      </c>
      <c r="AZ280" s="110" t="str">
        <f>VLOOKUP(B280,Classification!A:D,2,0)</f>
        <v>A</v>
      </c>
      <c r="BA280" s="98" t="str">
        <f>VLOOKUP(B280,Classification!A:D,4,0)</f>
        <v>Prostanoid</v>
      </c>
      <c r="BB280" s="36" t="b">
        <f>AND(E280&lt;G280,OR(G280&lt;I280,I280="-"),OR(I280&lt;K280,I280="-"),OR(K280&lt;M280,K280="-"),M280&lt;O280,OR(O280&lt;Q280,Q280="-"),OR(Q280&lt;S280,Q280="-"),OR(S280&lt;U280,S280="-"),U280&lt;W280,OR(W280&lt;Y280,Y280="-"),OR(Y280&lt;AA280,Y280="-"),OR(AA280&lt;AC280,AA280="-"),AC280&lt;AE280,OR(AE280&lt;AG280,AG280="-"),OR(AG280&lt;AI280,AG280="-"),OR(AI280&lt;AK280,AI280="-"),AK280&lt;AM280,AM280&lt;AO280,AO280&lt;AQ280,AQ280&lt;AS280,AS280&lt;AU280,OR(AU280&lt;AW280,AW280="-"),OR(AW280&lt;AY280,AW280="-"))</f>
        <v>1</v>
      </c>
      <c r="BC280" s="109">
        <f>_xlfn.AGGREGATE(9,6,CH280:CS280)-_xlfn.AGGREGATE(9,6,BV280:CG280)+12</f>
        <v>242</v>
      </c>
      <c r="BD280" s="40" t="s">
        <v>1382</v>
      </c>
      <c r="BE280" s="9" t="s">
        <v>1380</v>
      </c>
      <c r="BF280" s="120">
        <v>3.2</v>
      </c>
      <c r="BG280" s="51" t="s">
        <v>1</v>
      </c>
      <c r="BH280" s="51" t="s">
        <v>1</v>
      </c>
      <c r="BI280" s="12"/>
      <c r="BJ280" s="111" t="s">
        <v>1293</v>
      </c>
      <c r="BK280" s="112" t="s">
        <v>1293</v>
      </c>
      <c r="BL280" s="112" t="s">
        <v>1293</v>
      </c>
      <c r="BM280" s="112" t="s">
        <v>1293</v>
      </c>
      <c r="BN280" s="112" t="s">
        <v>1293</v>
      </c>
      <c r="BO280" s="112" t="s">
        <v>1293</v>
      </c>
      <c r="BP280" s="112" t="s">
        <v>1293</v>
      </c>
      <c r="BQ280" s="112" t="s">
        <v>1293</v>
      </c>
      <c r="BR280" s="112" t="s">
        <v>1293</v>
      </c>
      <c r="BS280" s="112" t="s">
        <v>1293</v>
      </c>
      <c r="BT280" s="112" t="s">
        <v>1293</v>
      </c>
      <c r="BU280" s="112" t="s">
        <v>1293</v>
      </c>
      <c r="BV280" s="111">
        <f>E280</f>
        <v>18</v>
      </c>
      <c r="BW280" s="113" t="str">
        <f>I280</f>
        <v>-</v>
      </c>
      <c r="BX280" s="114">
        <f>M280</f>
        <v>51</v>
      </c>
      <c r="BY280" s="113">
        <f>Q280</f>
        <v>84</v>
      </c>
      <c r="BZ280" s="114">
        <f>U280</f>
        <v>88</v>
      </c>
      <c r="CA280" s="113">
        <f>Y280</f>
        <v>124</v>
      </c>
      <c r="CB280" s="114">
        <f>AC280</f>
        <v>132</v>
      </c>
      <c r="CC280" s="113">
        <f>AG280</f>
        <v>170</v>
      </c>
      <c r="CD280" s="114">
        <f>AK280</f>
        <v>178</v>
      </c>
      <c r="CE280" s="113">
        <f>AO280</f>
        <v>266</v>
      </c>
      <c r="CF280" s="114">
        <f>AS280</f>
        <v>309</v>
      </c>
      <c r="CG280" s="113">
        <f>AW280</f>
        <v>333</v>
      </c>
      <c r="CH280" s="111">
        <f>G280</f>
        <v>43</v>
      </c>
      <c r="CI280" s="113" t="str">
        <f>K280</f>
        <v>-</v>
      </c>
      <c r="CJ280" s="114">
        <f>O280</f>
        <v>82</v>
      </c>
      <c r="CK280" s="114">
        <f>S280</f>
        <v>87</v>
      </c>
      <c r="CL280" s="114">
        <f>W280</f>
        <v>123</v>
      </c>
      <c r="CM280" s="114">
        <f>AA280</f>
        <v>131</v>
      </c>
      <c r="CN280" s="114">
        <f>AE280</f>
        <v>157</v>
      </c>
      <c r="CO280" s="114">
        <f>AI280</f>
        <v>172</v>
      </c>
      <c r="CP280" s="114">
        <f>AM280</f>
        <v>214</v>
      </c>
      <c r="CQ280" s="114">
        <f>AQ280</f>
        <v>298</v>
      </c>
      <c r="CR280" s="114">
        <f>AU280</f>
        <v>332</v>
      </c>
      <c r="CS280" s="114">
        <f>AY280</f>
        <v>344</v>
      </c>
      <c r="CT280" s="109" t="e">
        <f>M280-K280</f>
        <v>#VALUE!</v>
      </c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</row>
    <row r="281" spans="1:1029" x14ac:dyDescent="0.2">
      <c r="A281" s="9" t="str">
        <f>CONCATENATE(B281,"_",C281)</f>
        <v>pe2r4_human_5YHL</v>
      </c>
      <c r="B281" s="9" t="s">
        <v>364</v>
      </c>
      <c r="C281" s="9" t="s">
        <v>1559</v>
      </c>
      <c r="D281" s="9" t="str">
        <f>IFERROR(MID(VLOOKUP($B281,Seqs!$A:$B,2,0),E281,1),"")</f>
        <v>N</v>
      </c>
      <c r="E281" s="9">
        <v>18</v>
      </c>
      <c r="F281" s="9" t="str">
        <f>IFERROR(MID(VLOOKUP($B281,Seqs!$A:$B,2,0),G281,1),"")</f>
        <v>C</v>
      </c>
      <c r="G281" s="9">
        <v>43</v>
      </c>
      <c r="H281" s="9" t="str">
        <f>IFERROR(MID(VLOOKUP($B281,Seqs!$A:$B,2,0),I281,1),"")</f>
        <v/>
      </c>
      <c r="I281" s="109" t="s">
        <v>23</v>
      </c>
      <c r="J281" s="9" t="str">
        <f>IFERROR(MID(VLOOKUP($B281,Seqs!$A:$B,2,0),K281,1),"")</f>
        <v/>
      </c>
      <c r="K281" s="109" t="s">
        <v>23</v>
      </c>
      <c r="L281" s="9" t="str">
        <f>IFERROR(MID(VLOOKUP($B281,Seqs!$A:$B,2,0),M281,1),"")</f>
        <v>E</v>
      </c>
      <c r="M281" s="9">
        <v>51</v>
      </c>
      <c r="N281" s="9" t="str">
        <f>IFERROR(MID(VLOOKUP($B281,Seqs!$A:$B,2,0),O281,1),"")</f>
        <v>K</v>
      </c>
      <c r="O281" s="9">
        <v>82</v>
      </c>
      <c r="P281" s="9" t="str">
        <f>IFERROR(MID(VLOOKUP($B281,Seqs!$A:$B,2,0),Q281,1),"")</f>
        <v>Q</v>
      </c>
      <c r="Q281" s="9">
        <v>84</v>
      </c>
      <c r="R281" s="9" t="str">
        <f>IFERROR(MID(VLOOKUP($B281,Seqs!$A:$B,2,0),S281,1),"")</f>
        <v>G</v>
      </c>
      <c r="S281" s="9">
        <v>87</v>
      </c>
      <c r="T281" s="9" t="str">
        <f>IFERROR(MID(VLOOKUP($B281,Seqs!$A:$B,2,0),U281,1),"")</f>
        <v>G</v>
      </c>
      <c r="U281" s="9">
        <v>88</v>
      </c>
      <c r="V281" s="9" t="str">
        <f>IFERROR(MID(VLOOKUP($B281,Seqs!$A:$B,2,0),W281,1),"")</f>
        <v>H</v>
      </c>
      <c r="W281" s="9">
        <v>123</v>
      </c>
      <c r="X281" s="9" t="str">
        <f>IFERROR(MID(VLOOKUP($B281,Seqs!$A:$B,2,0),Y281,1),"")</f>
        <v>A</v>
      </c>
      <c r="Y281" s="9">
        <v>124</v>
      </c>
      <c r="Z281" s="9" t="str">
        <f>IFERROR(MID(VLOOKUP($B281,Seqs!$A:$B,2,0),AA281,1),"")</f>
        <v>V</v>
      </c>
      <c r="AA281" s="9">
        <v>131</v>
      </c>
      <c r="AB281" s="9" t="str">
        <f>IFERROR(MID(VLOOKUP($B281,Seqs!$A:$B,2,0),AC281,1),"")</f>
        <v>D</v>
      </c>
      <c r="AC281" s="9">
        <v>132</v>
      </c>
      <c r="AD281" s="9" t="str">
        <f>IFERROR(MID(VLOOKUP($B281,Seqs!$A:$B,2,0),AE281,1),"")</f>
        <v>G</v>
      </c>
      <c r="AE281" s="9">
        <v>157</v>
      </c>
      <c r="AF281" s="9" t="str">
        <f>IFERROR(MID(VLOOKUP($B281,Seqs!$A:$B,2,0),AG281,1),"")</f>
        <v>C</v>
      </c>
      <c r="AG281" s="9">
        <v>170</v>
      </c>
      <c r="AH281" s="9" t="str">
        <f>IFERROR(MID(VLOOKUP($B281,Seqs!$A:$B,2,0),AI281,1),"")</f>
        <v>I</v>
      </c>
      <c r="AI281" s="9">
        <v>172</v>
      </c>
      <c r="AJ281" s="9" t="str">
        <f>IFERROR(MID(VLOOKUP($B281,Seqs!$A:$B,2,0),AK281,1),"")</f>
        <v>V</v>
      </c>
      <c r="AK281" s="9">
        <v>178</v>
      </c>
      <c r="AL281" s="9" t="str">
        <f>IFERROR(MID(VLOOKUP($B281,Seqs!$A:$B,2,0),AM281,1),"")</f>
        <v>H</v>
      </c>
      <c r="AM281" s="9">
        <v>214</v>
      </c>
      <c r="AN281" s="9" t="str">
        <f>IFERROR(MID(VLOOKUP($B281,Seqs!$A:$B,2,0),AO281,1),"")</f>
        <v>A</v>
      </c>
      <c r="AO281" s="9">
        <v>266</v>
      </c>
      <c r="AP281" s="9" t="str">
        <f>IFERROR(MID(VLOOKUP($B281,Seqs!$A:$B,2,0),AQ281,1),"")</f>
        <v>Y</v>
      </c>
      <c r="AQ281" s="9">
        <v>298</v>
      </c>
      <c r="AR281" s="9" t="str">
        <f>IFERROR(MID(VLOOKUP($B281,Seqs!$A:$B,2,0),AS281,1),"")</f>
        <v>N</v>
      </c>
      <c r="AS281" s="9">
        <v>309</v>
      </c>
      <c r="AT281" s="9" t="str">
        <f>IFERROR(MID(VLOOKUP($B281,Seqs!$A:$B,2,0),AU281,1),"")</f>
        <v>L</v>
      </c>
      <c r="AU281" s="9">
        <v>332</v>
      </c>
      <c r="AV281" s="9" t="str">
        <f>IFERROR(MID(VLOOKUP($B281,Seqs!$A:$B,2,0),AW281,1),"")</f>
        <v>R</v>
      </c>
      <c r="AW281" s="9">
        <v>333</v>
      </c>
      <c r="AX281" s="9" t="str">
        <f>IFERROR(MID(VLOOKUP($B281,Seqs!$A:$B,2,0),AY281,1),"")</f>
        <v>I</v>
      </c>
      <c r="AY281" s="9">
        <v>344</v>
      </c>
      <c r="AZ281" s="110" t="str">
        <f>VLOOKUP(B281,Classification!A:D,2,0)</f>
        <v>A</v>
      </c>
      <c r="BA281" s="98" t="str">
        <f>VLOOKUP(B281,Classification!A:D,4,0)</f>
        <v>Prostanoid</v>
      </c>
      <c r="BB281" s="36" t="b">
        <f>AND(E281&lt;G281,OR(G281&lt;I281,I281="-"),OR(I281&lt;K281,I281="-"),OR(K281&lt;M281,K281="-"),M281&lt;O281,OR(O281&lt;Q281,Q281="-"),OR(Q281&lt;S281,Q281="-"),OR(S281&lt;U281,S281="-"),U281&lt;W281,OR(W281&lt;Y281,Y281="-"),OR(Y281&lt;AA281,Y281="-"),OR(AA281&lt;AC281,AA281="-"),AC281&lt;AE281,OR(AE281&lt;AG281,AG281="-"),OR(AG281&lt;AI281,AG281="-"),OR(AI281&lt;AK281,AI281="-"),AK281&lt;AM281,AM281&lt;AO281,AO281&lt;AQ281,AQ281&lt;AS281,AS281&lt;AU281,OR(AU281&lt;AW281,AW281="-"),OR(AW281&lt;AY281,AW281="-"))</f>
        <v>1</v>
      </c>
      <c r="BC281" s="109">
        <f>_xlfn.AGGREGATE(9,6,CH281:CS281)-_xlfn.AGGREGATE(9,6,BV281:CG281)+12</f>
        <v>242</v>
      </c>
      <c r="BD281" s="40" t="s">
        <v>23</v>
      </c>
      <c r="BE281" s="9" t="s">
        <v>1380</v>
      </c>
      <c r="BF281" s="120">
        <v>4.2</v>
      </c>
      <c r="BG281" s="51" t="s">
        <v>1</v>
      </c>
      <c r="BH281" s="51" t="s">
        <v>1</v>
      </c>
      <c r="BI281" s="12"/>
      <c r="BJ281" s="111" t="s">
        <v>1293</v>
      </c>
      <c r="BK281" s="112" t="s">
        <v>1293</v>
      </c>
      <c r="BL281" s="112" t="s">
        <v>1293</v>
      </c>
      <c r="BM281" s="112" t="s">
        <v>1293</v>
      </c>
      <c r="BN281" s="112" t="s">
        <v>1293</v>
      </c>
      <c r="BO281" s="112" t="s">
        <v>1293</v>
      </c>
      <c r="BP281" s="112" t="s">
        <v>1293</v>
      </c>
      <c r="BQ281" s="112" t="s">
        <v>1293</v>
      </c>
      <c r="BR281" s="112" t="s">
        <v>1293</v>
      </c>
      <c r="BS281" s="112" t="s">
        <v>1293</v>
      </c>
      <c r="BT281" s="112" t="s">
        <v>1293</v>
      </c>
      <c r="BU281" s="112" t="s">
        <v>1293</v>
      </c>
      <c r="BV281" s="111">
        <f>E281</f>
        <v>18</v>
      </c>
      <c r="BW281" s="113" t="str">
        <f>I281</f>
        <v>-</v>
      </c>
      <c r="BX281" s="114">
        <f>M281</f>
        <v>51</v>
      </c>
      <c r="BY281" s="113">
        <f>Q281</f>
        <v>84</v>
      </c>
      <c r="BZ281" s="114">
        <f>U281</f>
        <v>88</v>
      </c>
      <c r="CA281" s="113">
        <f>Y281</f>
        <v>124</v>
      </c>
      <c r="CB281" s="114">
        <f>AC281</f>
        <v>132</v>
      </c>
      <c r="CC281" s="113">
        <f>AG281</f>
        <v>170</v>
      </c>
      <c r="CD281" s="114">
        <f>AK281</f>
        <v>178</v>
      </c>
      <c r="CE281" s="113">
        <f>AO281</f>
        <v>266</v>
      </c>
      <c r="CF281" s="114">
        <f>AS281</f>
        <v>309</v>
      </c>
      <c r="CG281" s="113">
        <f>AW281</f>
        <v>333</v>
      </c>
      <c r="CH281" s="111">
        <f>G281</f>
        <v>43</v>
      </c>
      <c r="CI281" s="113" t="str">
        <f>K281</f>
        <v>-</v>
      </c>
      <c r="CJ281" s="114">
        <f>O281</f>
        <v>82</v>
      </c>
      <c r="CK281" s="114">
        <f>S281</f>
        <v>87</v>
      </c>
      <c r="CL281" s="114">
        <f>W281</f>
        <v>123</v>
      </c>
      <c r="CM281" s="114">
        <f>AA281</f>
        <v>131</v>
      </c>
      <c r="CN281" s="114">
        <f>AE281</f>
        <v>157</v>
      </c>
      <c r="CO281" s="114">
        <f>AI281</f>
        <v>172</v>
      </c>
      <c r="CP281" s="114">
        <f>AM281</f>
        <v>214</v>
      </c>
      <c r="CQ281" s="114">
        <f>AQ281</f>
        <v>298</v>
      </c>
      <c r="CR281" s="114">
        <f>AU281</f>
        <v>332</v>
      </c>
      <c r="CS281" s="114">
        <f>AY281</f>
        <v>344</v>
      </c>
      <c r="CT281" s="109" t="e">
        <f>M281-K281</f>
        <v>#VALUE!</v>
      </c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</row>
    <row r="282" spans="1:1029" x14ac:dyDescent="0.2">
      <c r="A282" s="3" t="str">
        <f>CONCATENATE(B282,"_",C282)</f>
        <v>ptafr_human__wt</v>
      </c>
      <c r="B282" s="3" t="s">
        <v>371</v>
      </c>
      <c r="C282" s="3" t="s">
        <v>100</v>
      </c>
      <c r="D282" s="3" t="str">
        <f>IFERROR(MID(VLOOKUP($B282,Seqs!$A:$B,2,0),E282,1),"")</f>
        <v>D</v>
      </c>
      <c r="E282" s="3">
        <v>10</v>
      </c>
      <c r="F282" s="3" t="str">
        <f>IFERROR(MID(VLOOKUP($B282,Seqs!$A:$B,2,0),G282,1),"")</f>
        <v>Y</v>
      </c>
      <c r="G282" s="3">
        <v>44</v>
      </c>
      <c r="H282" s="3" t="str">
        <f>IFERROR(MID(VLOOKUP($B282,Seqs!$A:$B,2,0),I282,1),"")</f>
        <v/>
      </c>
      <c r="I282" s="23" t="s">
        <v>23</v>
      </c>
      <c r="J282" s="3" t="str">
        <f>IFERROR(MID(VLOOKUP($B282,Seqs!$A:$B,2,0),K282,1),"")</f>
        <v/>
      </c>
      <c r="K282" s="23" t="s">
        <v>23</v>
      </c>
      <c r="L282" s="3" t="str">
        <f>IFERROR(MID(VLOOKUP($B282,Seqs!$A:$B,2,0),M282,1),"")</f>
        <v>F</v>
      </c>
      <c r="M282" s="3">
        <v>49</v>
      </c>
      <c r="N282" s="3" t="str">
        <f>IFERROR(MID(VLOOKUP($B282,Seqs!$A:$B,2,0),O282,1),"")</f>
        <v>Q</v>
      </c>
      <c r="O282" s="3">
        <v>80</v>
      </c>
      <c r="P282" s="3" t="str">
        <f>IFERROR(MID(VLOOKUP($B282,Seqs!$A:$B,2,0),Q282,1),"")</f>
        <v>N</v>
      </c>
      <c r="Q282" s="3">
        <v>82</v>
      </c>
      <c r="R282" s="3" t="str">
        <f>IFERROR(MID(VLOOKUP($B282,Seqs!$A:$B,2,0),S282,1),"")</f>
        <v>L</v>
      </c>
      <c r="S282" s="3">
        <v>85</v>
      </c>
      <c r="T282" s="3" t="str">
        <f>IFERROR(MID(VLOOKUP($B282,Seqs!$A:$B,2,0),U282,1),"")</f>
        <v>P</v>
      </c>
      <c r="U282" s="3">
        <v>86</v>
      </c>
      <c r="V282" s="3" t="str">
        <f>IFERROR(MID(VLOOKUP($B282,Seqs!$A:$B,2,0),W282,1),"")</f>
        <v>R</v>
      </c>
      <c r="W282" s="3">
        <v>121</v>
      </c>
      <c r="X282" s="3" t="str">
        <f>IFERROR(MID(VLOOKUP($B282,Seqs!$A:$B,2,0),Y282,1),"")</f>
        <v>P</v>
      </c>
      <c r="Y282" s="3">
        <v>122</v>
      </c>
      <c r="Z282" s="3" t="str">
        <f>IFERROR(MID(VLOOKUP($B282,Seqs!$A:$B,2,0),AA282,1),"")</f>
        <v>N</v>
      </c>
      <c r="AA282" s="3">
        <v>129</v>
      </c>
      <c r="AB282" s="3" t="str">
        <f>IFERROR(MID(VLOOKUP($B282,Seqs!$A:$B,2,0),AC282,1),"")</f>
        <v>T</v>
      </c>
      <c r="AC282" s="3">
        <v>130</v>
      </c>
      <c r="AD282" s="3" t="str">
        <f>IFERROR(MID(VLOOKUP($B282,Seqs!$A:$B,2,0),AE282,1),"")</f>
        <v>L</v>
      </c>
      <c r="AE282" s="3">
        <v>155</v>
      </c>
      <c r="AF282" s="3" t="str">
        <f>IFERROR(MID(VLOOKUP($B282,Seqs!$A:$B,2,0),AG282,1),"")</f>
        <v>C</v>
      </c>
      <c r="AG282" s="3">
        <v>173</v>
      </c>
      <c r="AH282" s="3" t="str">
        <f>IFERROR(MID(VLOOKUP($B282,Seqs!$A:$B,2,0),AI282,1),"")</f>
        <v>E</v>
      </c>
      <c r="AI282" s="3">
        <v>175</v>
      </c>
      <c r="AJ282" s="3" t="str">
        <f>IFERROR(MID(VLOOKUP($B282,Seqs!$A:$B,2,0),AK282,1),"")</f>
        <v>S</v>
      </c>
      <c r="AK282" s="3">
        <v>181</v>
      </c>
      <c r="AL282" s="3" t="str">
        <f>IFERROR(MID(VLOOKUP($B282,Seqs!$A:$B,2,0),AM282,1),"")</f>
        <v>Q</v>
      </c>
      <c r="AM282" s="3">
        <v>216</v>
      </c>
      <c r="AN282" s="3" t="str">
        <f>IFERROR(MID(VLOOKUP($B282,Seqs!$A:$B,2,0),AO282,1),"")</f>
        <v>Q</v>
      </c>
      <c r="AO282" s="3">
        <v>221</v>
      </c>
      <c r="AP282" s="3" t="str">
        <f>IFERROR(MID(VLOOKUP($B282,Seqs!$A:$B,2,0),AQ282,1),"")</f>
        <v>G</v>
      </c>
      <c r="AQ282" s="3">
        <v>261</v>
      </c>
      <c r="AR282" s="3" t="str">
        <f>IFERROR(MID(VLOOKUP($B282,Seqs!$A:$B,2,0),AS282,1),"")</f>
        <v>D</v>
      </c>
      <c r="AS282" s="3">
        <v>264</v>
      </c>
      <c r="AT282" s="3" t="str">
        <f>IFERROR(MID(VLOOKUP($B282,Seqs!$A:$B,2,0),AU282,1),"")</f>
        <v>K</v>
      </c>
      <c r="AU282" s="3">
        <v>299</v>
      </c>
      <c r="AV282" s="3" t="str">
        <f>IFERROR(MID(VLOOKUP($B282,Seqs!$A:$B,2,0),AW282,1),"")</f>
        <v>F</v>
      </c>
      <c r="AW282" s="3">
        <v>300</v>
      </c>
      <c r="AX282" s="3" t="str">
        <f>IFERROR(MID(VLOOKUP($B282,Seqs!$A:$B,2,0),AY282,1),"")</f>
        <v>S</v>
      </c>
      <c r="AY282" s="3">
        <v>313</v>
      </c>
      <c r="AZ282" s="77" t="str">
        <f>VLOOKUP(B282,Classification!A:D,2,0)</f>
        <v>A</v>
      </c>
      <c r="BA282" s="94" t="str">
        <f>VLOOKUP(B282,Classification!A:D,4,0)</f>
        <v>Platelet-activatingfactor</v>
      </c>
      <c r="BB282" s="27" t="b">
        <f>AND(E282&lt;G282,OR(G282&lt;I282,I282="-"),OR(I282&lt;K282,I282="-"),OR(K282&lt;M282,K282="-"),M282&lt;O282,OR(O282&lt;Q282,Q282="-"),OR(Q282&lt;S282,Q282="-"),OR(S282&lt;U282,S282="-"),U282&lt;W282,OR(W282&lt;Y282,Y282="-"),OR(Y282&lt;AA282,Y282="-"),OR(AA282&lt;AC282,AA282="-"),AC282&lt;AE282,OR(AE282&lt;AG282,AG282="-"),OR(AG282&lt;AI282,AG282="-"),OR(AI282&lt;AK282,AI282="-"),AK282&lt;AM282,AM282&lt;AO282,AO282&lt;AQ282,AQ282&lt;AS282,AS282&lt;AU282,OR(AU282&lt;AW282,AW282="-"),OR(AW282&lt;AY282,AW282="-"))</f>
        <v>1</v>
      </c>
      <c r="BC282" s="23">
        <f>_xlfn.AGGREGATE(9,6,CH282:CS282)-_xlfn.AGGREGATE(9,6,BV282:CG282)+12</f>
        <v>272</v>
      </c>
      <c r="BD282" s="2" t="s">
        <v>23</v>
      </c>
      <c r="BE282" s="3" t="s">
        <v>23</v>
      </c>
      <c r="BF282" s="119" t="s">
        <v>23</v>
      </c>
      <c r="BG282" s="49" t="s">
        <v>1383</v>
      </c>
      <c r="BH282" s="49" t="s">
        <v>1383</v>
      </c>
      <c r="BI282" s="1"/>
      <c r="BJ282" s="70" t="s">
        <v>1293</v>
      </c>
      <c r="BK282" s="57" t="s">
        <v>1293</v>
      </c>
      <c r="BL282" s="57" t="s">
        <v>1293</v>
      </c>
      <c r="BM282" s="57" t="s">
        <v>1293</v>
      </c>
      <c r="BN282" s="57" t="s">
        <v>1293</v>
      </c>
      <c r="BO282" s="57" t="s">
        <v>1293</v>
      </c>
      <c r="BP282" s="57" t="s">
        <v>1293</v>
      </c>
      <c r="BQ282" s="57" t="s">
        <v>1293</v>
      </c>
      <c r="BR282" s="57" t="s">
        <v>1293</v>
      </c>
      <c r="BS282" s="57" t="s">
        <v>1293</v>
      </c>
      <c r="BT282" s="57" t="s">
        <v>1293</v>
      </c>
      <c r="BU282" s="57" t="s">
        <v>1293</v>
      </c>
      <c r="BV282" s="70">
        <f>E282</f>
        <v>10</v>
      </c>
      <c r="BW282" s="71" t="str">
        <f>I282</f>
        <v>-</v>
      </c>
      <c r="BX282" s="72">
        <f>M282</f>
        <v>49</v>
      </c>
      <c r="BY282" s="71">
        <f>Q282</f>
        <v>82</v>
      </c>
      <c r="BZ282" s="72">
        <f>U282</f>
        <v>86</v>
      </c>
      <c r="CA282" s="71">
        <f>Y282</f>
        <v>122</v>
      </c>
      <c r="CB282" s="72">
        <f>AC282</f>
        <v>130</v>
      </c>
      <c r="CC282" s="71">
        <f>AG282</f>
        <v>173</v>
      </c>
      <c r="CD282" s="72">
        <f>AK282</f>
        <v>181</v>
      </c>
      <c r="CE282" s="71">
        <f>AO282</f>
        <v>221</v>
      </c>
      <c r="CF282" s="72">
        <f>AS282</f>
        <v>264</v>
      </c>
      <c r="CG282" s="71">
        <f>AW282</f>
        <v>300</v>
      </c>
      <c r="CH282" s="70">
        <f>G282</f>
        <v>44</v>
      </c>
      <c r="CI282" s="71" t="str">
        <f>K282</f>
        <v>-</v>
      </c>
      <c r="CJ282" s="72">
        <f>O282</f>
        <v>80</v>
      </c>
      <c r="CK282" s="72">
        <f>S282</f>
        <v>85</v>
      </c>
      <c r="CL282" s="72">
        <f>W282</f>
        <v>121</v>
      </c>
      <c r="CM282" s="72">
        <f>AA282</f>
        <v>129</v>
      </c>
      <c r="CN282" s="72">
        <f>AE282</f>
        <v>155</v>
      </c>
      <c r="CO282" s="72">
        <f>AI282</f>
        <v>175</v>
      </c>
      <c r="CP282" s="72">
        <f>AM282</f>
        <v>216</v>
      </c>
      <c r="CQ282" s="72">
        <f>AQ282</f>
        <v>261</v>
      </c>
      <c r="CR282" s="72">
        <f>AU282</f>
        <v>299</v>
      </c>
      <c r="CS282" s="72">
        <f>AY282</f>
        <v>313</v>
      </c>
      <c r="CT282" s="23" t="e">
        <f>M282-K282</f>
        <v>#VALUE!</v>
      </c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</row>
    <row r="283" spans="1:1029" x14ac:dyDescent="0.2">
      <c r="A283" s="3" t="str">
        <f>CONCATENATE(B283,"_",C283)</f>
        <v>ptafr_human_5ZKP</v>
      </c>
      <c r="B283" s="3" t="s">
        <v>371</v>
      </c>
      <c r="C283" s="3" t="s">
        <v>1520</v>
      </c>
      <c r="D283" s="3" t="str">
        <f>IFERROR(MID(VLOOKUP($B283,Seqs!$A:$B,2,0),E283,1),"")</f>
        <v>S</v>
      </c>
      <c r="E283" s="3">
        <v>11</v>
      </c>
      <c r="F283" s="3" t="str">
        <f>IFERROR(MID(VLOOKUP($B283,Seqs!$A:$B,2,0),G283,1),"")</f>
        <v>Y</v>
      </c>
      <c r="G283" s="3">
        <v>44</v>
      </c>
      <c r="H283" s="3" t="str">
        <f>IFERROR(MID(VLOOKUP($B283,Seqs!$A:$B,2,0),I283,1),"")</f>
        <v/>
      </c>
      <c r="I283" s="23" t="s">
        <v>23</v>
      </c>
      <c r="J283" s="3" t="str">
        <f>IFERROR(MID(VLOOKUP($B283,Seqs!$A:$B,2,0),K283,1),"")</f>
        <v/>
      </c>
      <c r="K283" s="23" t="s">
        <v>23</v>
      </c>
      <c r="L283" s="3" t="str">
        <f>IFERROR(MID(VLOOKUP($B283,Seqs!$A:$B,2,0),M283,1),"")</f>
        <v>F</v>
      </c>
      <c r="M283" s="3">
        <v>49</v>
      </c>
      <c r="N283" s="3" t="str">
        <f>IFERROR(MID(VLOOKUP($B283,Seqs!$A:$B,2,0),O283,1),"")</f>
        <v>Q</v>
      </c>
      <c r="O283" s="3">
        <v>80</v>
      </c>
      <c r="P283" s="3" t="str">
        <f>IFERROR(MID(VLOOKUP($B283,Seqs!$A:$B,2,0),Q283,1),"")</f>
        <v>N</v>
      </c>
      <c r="Q283" s="3">
        <v>82</v>
      </c>
      <c r="R283" s="3" t="str">
        <f>IFERROR(MID(VLOOKUP($B283,Seqs!$A:$B,2,0),S283,1),"")</f>
        <v>L</v>
      </c>
      <c r="S283" s="3">
        <v>85</v>
      </c>
      <c r="T283" s="3" t="str">
        <f>IFERROR(MID(VLOOKUP($B283,Seqs!$A:$B,2,0),U283,1),"")</f>
        <v>P</v>
      </c>
      <c r="U283" s="3">
        <v>86</v>
      </c>
      <c r="V283" s="3" t="str">
        <f>IFERROR(MID(VLOOKUP($B283,Seqs!$A:$B,2,0),W283,1),"")</f>
        <v>T</v>
      </c>
      <c r="W283" s="3">
        <v>120</v>
      </c>
      <c r="X283" s="3" t="str">
        <f>IFERROR(MID(VLOOKUP($B283,Seqs!$A:$B,2,0),Y283,1),"")</f>
        <v/>
      </c>
      <c r="Y283" s="3" t="s">
        <v>23</v>
      </c>
      <c r="Z283" s="3" t="str">
        <f>IFERROR(MID(VLOOKUP($B283,Seqs!$A:$B,2,0),AA283,1),"")</f>
        <v/>
      </c>
      <c r="AA283" s="3" t="s">
        <v>23</v>
      </c>
      <c r="AB283" s="3" t="str">
        <f>IFERROR(MID(VLOOKUP($B283,Seqs!$A:$B,2,0),AC283,1),"")</f>
        <v>I</v>
      </c>
      <c r="AC283" s="3">
        <v>141</v>
      </c>
      <c r="AD283" s="3" t="str">
        <f>IFERROR(MID(VLOOKUP($B283,Seqs!$A:$B,2,0),AE283,1),"")</f>
        <v>L</v>
      </c>
      <c r="AE283" s="3">
        <v>155</v>
      </c>
      <c r="AF283" s="3" t="str">
        <f>IFERROR(MID(VLOOKUP($B283,Seqs!$A:$B,2,0),AG283,1),"")</f>
        <v>C</v>
      </c>
      <c r="AG283" s="3">
        <v>173</v>
      </c>
      <c r="AH283" s="3" t="str">
        <f>IFERROR(MID(VLOOKUP($B283,Seqs!$A:$B,2,0),AI283,1),"")</f>
        <v>E</v>
      </c>
      <c r="AI283" s="3">
        <v>175</v>
      </c>
      <c r="AJ283" s="3" t="str">
        <f>IFERROR(MID(VLOOKUP($B283,Seqs!$A:$B,2,0),AK283,1),"")</f>
        <v>P</v>
      </c>
      <c r="AK283" s="3">
        <v>183</v>
      </c>
      <c r="AL283" s="3" t="str">
        <f>IFERROR(MID(VLOOKUP($B283,Seqs!$A:$B,2,0),AM283,1),"")</f>
        <v>L</v>
      </c>
      <c r="AM283" s="3">
        <v>214</v>
      </c>
      <c r="AN283" s="3" t="str">
        <f>IFERROR(MID(VLOOKUP($B283,Seqs!$A:$B,2,0),AO283,1),"")</f>
        <v>A</v>
      </c>
      <c r="AO283" s="3">
        <v>224</v>
      </c>
      <c r="AP283" s="3" t="str">
        <f>IFERROR(MID(VLOOKUP($B283,Seqs!$A:$B,2,0),AQ283,1),"")</f>
        <v>G</v>
      </c>
      <c r="AQ283" s="3">
        <v>261</v>
      </c>
      <c r="AR283" s="3" t="str">
        <f>IFERROR(MID(VLOOKUP($B283,Seqs!$A:$B,2,0),AS283,1),"")</f>
        <v>D</v>
      </c>
      <c r="AS283" s="3">
        <v>264</v>
      </c>
      <c r="AT283" s="3" t="str">
        <f>IFERROR(MID(VLOOKUP($B283,Seqs!$A:$B,2,0),AU283,1),"")</f>
        <v>K</v>
      </c>
      <c r="AU283" s="3">
        <v>299</v>
      </c>
      <c r="AV283" s="3" t="str">
        <f>IFERROR(MID(VLOOKUP($B283,Seqs!$A:$B,2,0),AW283,1),"")</f>
        <v>F</v>
      </c>
      <c r="AW283" s="3">
        <v>300</v>
      </c>
      <c r="AX283" s="3" t="str">
        <f>IFERROR(MID(VLOOKUP($B283,Seqs!$A:$B,2,0),AY283,1),"")</f>
        <v>S</v>
      </c>
      <c r="AY283" s="3">
        <v>313</v>
      </c>
      <c r="AZ283" s="77" t="str">
        <f>VLOOKUP(B283,Classification!A:D,2,0)</f>
        <v>A</v>
      </c>
      <c r="BA283" s="94" t="str">
        <f>VLOOKUP(B283,Classification!A:D,4,0)</f>
        <v>Platelet-activatingfactor</v>
      </c>
      <c r="BB283" s="27" t="b">
        <f>AND(E283&lt;G283,OR(G283&lt;I283,I283="-"),OR(I283&lt;K283,I283="-"),OR(K283&lt;M283,K283="-"),M283&lt;O283,OR(O283&lt;Q283,Q283="-"),OR(Q283&lt;S283,Q283="-"),OR(S283&lt;U283,S283="-"),U283&lt;W283,OR(W283&lt;Y283,Y283="-"),OR(Y283&lt;AA283,Y283="-"),OR(AA283&lt;AC283,AA283="-"),AC283&lt;AE283,OR(AE283&lt;AG283,AG283="-"),OR(AG283&lt;AI283,AG283="-"),OR(AI283&lt;AK283,AI283="-"),AK283&lt;AM283,AM283&lt;AO283,AO283&lt;AQ283,AQ283&lt;AS283,AS283&lt;AU283,OR(AU283&lt;AW283,AW283="-"),OR(AW283&lt;AY283,AW283="-"))</f>
        <v>1</v>
      </c>
      <c r="BC283" s="23">
        <f>_xlfn.AGGREGATE(9,6,CH283:CS283)-_xlfn.AGGREGATE(9,6,BV283:CG283)+12</f>
        <v>245</v>
      </c>
      <c r="BD283" s="2" t="s">
        <v>1381</v>
      </c>
      <c r="BE283" s="3" t="s">
        <v>1297</v>
      </c>
      <c r="BF283" s="119">
        <v>2.81</v>
      </c>
      <c r="BG283" s="49" t="s">
        <v>1</v>
      </c>
      <c r="BH283" s="49" t="s">
        <v>1</v>
      </c>
      <c r="BI283" s="1"/>
      <c r="BJ283" s="70" t="s">
        <v>1293</v>
      </c>
      <c r="BK283" s="57" t="s">
        <v>1293</v>
      </c>
      <c r="BL283" s="57" t="s">
        <v>1293</v>
      </c>
      <c r="BM283" s="57" t="s">
        <v>1293</v>
      </c>
      <c r="BN283" s="57" t="s">
        <v>1293</v>
      </c>
      <c r="BO283" s="57" t="s">
        <v>1293</v>
      </c>
      <c r="BP283" s="57" t="s">
        <v>1293</v>
      </c>
      <c r="BQ283" s="57" t="s">
        <v>1293</v>
      </c>
      <c r="BR283" s="57" t="s">
        <v>1293</v>
      </c>
      <c r="BS283" s="57" t="s">
        <v>1293</v>
      </c>
      <c r="BT283" s="57" t="s">
        <v>1293</v>
      </c>
      <c r="BU283" s="57" t="s">
        <v>1293</v>
      </c>
      <c r="BV283" s="70">
        <f>E283</f>
        <v>11</v>
      </c>
      <c r="BW283" s="71" t="str">
        <f>I283</f>
        <v>-</v>
      </c>
      <c r="BX283" s="72">
        <f>M283</f>
        <v>49</v>
      </c>
      <c r="BY283" s="71">
        <f>Q283</f>
        <v>82</v>
      </c>
      <c r="BZ283" s="72">
        <f>U283</f>
        <v>86</v>
      </c>
      <c r="CA283" s="71" t="str">
        <f>Y283</f>
        <v>-</v>
      </c>
      <c r="CB283" s="72">
        <f>AC283</f>
        <v>141</v>
      </c>
      <c r="CC283" s="71">
        <f>AG283</f>
        <v>173</v>
      </c>
      <c r="CD283" s="72">
        <f>AK283</f>
        <v>183</v>
      </c>
      <c r="CE283" s="71">
        <f>AO283</f>
        <v>224</v>
      </c>
      <c r="CF283" s="72">
        <f>AS283</f>
        <v>264</v>
      </c>
      <c r="CG283" s="71">
        <f>AW283</f>
        <v>300</v>
      </c>
      <c r="CH283" s="70">
        <f>G283</f>
        <v>44</v>
      </c>
      <c r="CI283" s="71" t="str">
        <f>K283</f>
        <v>-</v>
      </c>
      <c r="CJ283" s="72">
        <f>O283</f>
        <v>80</v>
      </c>
      <c r="CK283" s="72">
        <f>S283</f>
        <v>85</v>
      </c>
      <c r="CL283" s="72">
        <f>W283</f>
        <v>120</v>
      </c>
      <c r="CM283" s="72" t="str">
        <f>AA283</f>
        <v>-</v>
      </c>
      <c r="CN283" s="72">
        <f>AE283</f>
        <v>155</v>
      </c>
      <c r="CO283" s="72">
        <f>AI283</f>
        <v>175</v>
      </c>
      <c r="CP283" s="72">
        <f>AM283</f>
        <v>214</v>
      </c>
      <c r="CQ283" s="72">
        <f>AQ283</f>
        <v>261</v>
      </c>
      <c r="CR283" s="72">
        <f>AU283</f>
        <v>299</v>
      </c>
      <c r="CS283" s="72">
        <f>AY283</f>
        <v>313</v>
      </c>
      <c r="CT283" s="23" t="e">
        <f>M283-K283</f>
        <v>#VALUE!</v>
      </c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</row>
    <row r="284" spans="1:1029" x14ac:dyDescent="0.2">
      <c r="A284" s="3" t="str">
        <f>CONCATENATE(B284,"_",C284)</f>
        <v>ptafr_human_5ZKQ</v>
      </c>
      <c r="B284" s="3" t="s">
        <v>371</v>
      </c>
      <c r="C284" s="3" t="s">
        <v>1522</v>
      </c>
      <c r="D284" s="3" t="str">
        <f>IFERROR(MID(VLOOKUP($B284,Seqs!$A:$B,2,0),E284,1),"")</f>
        <v>D</v>
      </c>
      <c r="E284" s="3">
        <v>10</v>
      </c>
      <c r="F284" s="3" t="str">
        <f>IFERROR(MID(VLOOKUP($B284,Seqs!$A:$B,2,0),G284,1),"")</f>
        <v>L</v>
      </c>
      <c r="G284" s="3">
        <v>43</v>
      </c>
      <c r="H284" s="3" t="str">
        <f>IFERROR(MID(VLOOKUP($B284,Seqs!$A:$B,2,0),I284,1),"")</f>
        <v/>
      </c>
      <c r="I284" s="23" t="s">
        <v>23</v>
      </c>
      <c r="J284" s="3" t="str">
        <f>IFERROR(MID(VLOOKUP($B284,Seqs!$A:$B,2,0),K284,1),"")</f>
        <v/>
      </c>
      <c r="K284" s="23" t="s">
        <v>23</v>
      </c>
      <c r="L284" s="3" t="str">
        <f>IFERROR(MID(VLOOKUP($B284,Seqs!$A:$B,2,0),M284,1),"")</f>
        <v>F</v>
      </c>
      <c r="M284" s="3">
        <v>49</v>
      </c>
      <c r="N284" s="3" t="str">
        <f>IFERROR(MID(VLOOKUP($B284,Seqs!$A:$B,2,0),O284,1),"")</f>
        <v>Q</v>
      </c>
      <c r="O284" s="3">
        <v>80</v>
      </c>
      <c r="P284" s="3" t="str">
        <f>IFERROR(MID(VLOOKUP($B284,Seqs!$A:$B,2,0),Q284,1),"")</f>
        <v>N</v>
      </c>
      <c r="Q284" s="3">
        <v>82</v>
      </c>
      <c r="R284" s="3" t="str">
        <f>IFERROR(MID(VLOOKUP($B284,Seqs!$A:$B,2,0),S284,1),"")</f>
        <v>L</v>
      </c>
      <c r="S284" s="3">
        <v>85</v>
      </c>
      <c r="T284" s="3" t="str">
        <f>IFERROR(MID(VLOOKUP($B284,Seqs!$A:$B,2,0),U284,1),"")</f>
        <v>P</v>
      </c>
      <c r="U284" s="3">
        <v>86</v>
      </c>
      <c r="V284" s="3" t="str">
        <f>IFERROR(MID(VLOOKUP($B284,Seqs!$A:$B,2,0),W284,1),"")</f>
        <v>R</v>
      </c>
      <c r="W284" s="3">
        <v>121</v>
      </c>
      <c r="X284" s="3" t="str">
        <f>IFERROR(MID(VLOOKUP($B284,Seqs!$A:$B,2,0),Y284,1),"")</f>
        <v/>
      </c>
      <c r="Y284" s="3" t="s">
        <v>23</v>
      </c>
      <c r="Z284" s="3" t="str">
        <f>IFERROR(MID(VLOOKUP($B284,Seqs!$A:$B,2,0),AA284,1),"")</f>
        <v/>
      </c>
      <c r="AA284" s="3" t="s">
        <v>23</v>
      </c>
      <c r="AB284" s="3" t="str">
        <f>IFERROR(MID(VLOOKUP($B284,Seqs!$A:$B,2,0),AC284,1),"")</f>
        <v>T</v>
      </c>
      <c r="AC284" s="3">
        <v>130</v>
      </c>
      <c r="AD284" s="3" t="str">
        <f>IFERROR(MID(VLOOKUP($B284,Seqs!$A:$B,2,0),AE284,1),"")</f>
        <v>I</v>
      </c>
      <c r="AE284" s="3">
        <v>154</v>
      </c>
      <c r="AF284" s="3" t="str">
        <f>IFERROR(MID(VLOOKUP($B284,Seqs!$A:$B,2,0),AG284,1),"")</f>
        <v>C</v>
      </c>
      <c r="AG284" s="3">
        <v>173</v>
      </c>
      <c r="AH284" s="3" t="str">
        <f>IFERROR(MID(VLOOKUP($B284,Seqs!$A:$B,2,0),AI284,1),"")</f>
        <v>E</v>
      </c>
      <c r="AI284" s="3">
        <v>175</v>
      </c>
      <c r="AJ284" s="3" t="str">
        <f>IFERROR(MID(VLOOKUP($B284,Seqs!$A:$B,2,0),AK284,1),"")</f>
        <v>S</v>
      </c>
      <c r="AK284" s="3">
        <v>181</v>
      </c>
      <c r="AL284" s="3" t="str">
        <f>IFERROR(MID(VLOOKUP($B284,Seqs!$A:$B,2,0),AM284,1),"")</f>
        <v>M</v>
      </c>
      <c r="AM284" s="3">
        <v>215</v>
      </c>
      <c r="AN284" s="3" t="str">
        <f>IFERROR(MID(VLOOKUP($B284,Seqs!$A:$B,2,0),AO284,1),"")</f>
        <v>K</v>
      </c>
      <c r="AO284" s="3">
        <v>227</v>
      </c>
      <c r="AP284" s="3" t="str">
        <f>IFERROR(MID(VLOOKUP($B284,Seqs!$A:$B,2,0),AQ284,1),"")</f>
        <v>G</v>
      </c>
      <c r="AQ284" s="3">
        <v>261</v>
      </c>
      <c r="AR284" s="3" t="str">
        <f>IFERROR(MID(VLOOKUP($B284,Seqs!$A:$B,2,0),AS284,1),"")</f>
        <v>D</v>
      </c>
      <c r="AS284" s="3">
        <v>264</v>
      </c>
      <c r="AT284" s="3" t="str">
        <f>IFERROR(MID(VLOOKUP($B284,Seqs!$A:$B,2,0),AU284,1),"")</f>
        <v>T</v>
      </c>
      <c r="AU284" s="3">
        <v>297</v>
      </c>
      <c r="AV284" s="3" t="str">
        <f>IFERROR(MID(VLOOKUP($B284,Seqs!$A:$B,2,0),AW284,1),"")</f>
        <v/>
      </c>
      <c r="AW284" s="3" t="s">
        <v>23</v>
      </c>
      <c r="AX284" s="3" t="str">
        <f>IFERROR(MID(VLOOKUP($B284,Seqs!$A:$B,2,0),AY284,1),"")</f>
        <v/>
      </c>
      <c r="AY284" s="3" t="s">
        <v>23</v>
      </c>
      <c r="AZ284" s="77" t="str">
        <f>VLOOKUP(B284,Classification!A:D,2,0)</f>
        <v>A</v>
      </c>
      <c r="BA284" s="94" t="str">
        <f>VLOOKUP(B284,Classification!A:D,4,0)</f>
        <v>Platelet-activatingfactor</v>
      </c>
      <c r="BB284" s="27" t="b">
        <f>AND(E284&lt;G284,OR(G284&lt;I284,I284="-"),OR(I284&lt;K284,I284="-"),OR(K284&lt;M284,K284="-"),M284&lt;O284,OR(O284&lt;Q284,Q284="-"),OR(Q284&lt;S284,Q284="-"),OR(S284&lt;U284,S284="-"),U284&lt;W284,OR(W284&lt;Y284,Y284="-"),OR(Y284&lt;AA284,Y284="-"),OR(AA284&lt;AC284,AA284="-"),AC284&lt;AE284,OR(AE284&lt;AG284,AG284="-"),OR(AG284&lt;AI284,AG284="-"),OR(AI284&lt;AK284,AI284="-"),AK284&lt;AM284,AM284&lt;AO284,AO284&lt;AQ284,AQ284&lt;AS284,AS284&lt;AU284,OR(AU284&lt;AW284,AW284="-"),OR(AW284&lt;AY284,AW284="-"))</f>
        <v>1</v>
      </c>
      <c r="BC284" s="23">
        <f>_xlfn.AGGREGATE(9,6,CH284:CS284)-_xlfn.AGGREGATE(9,6,BV284:CG284)+12</f>
        <v>241</v>
      </c>
      <c r="BD284" s="2" t="s">
        <v>1439</v>
      </c>
      <c r="BE284" s="3" t="s">
        <v>1438</v>
      </c>
      <c r="BF284" s="119">
        <v>2.9</v>
      </c>
      <c r="BG284" s="49" t="s">
        <v>1287</v>
      </c>
      <c r="BH284" s="49" t="s">
        <v>1287</v>
      </c>
      <c r="BI284" s="1"/>
      <c r="BJ284" s="70" t="s">
        <v>1293</v>
      </c>
      <c r="BK284" s="57" t="s">
        <v>1293</v>
      </c>
      <c r="BL284" s="57" t="s">
        <v>1293</v>
      </c>
      <c r="BM284" s="57" t="s">
        <v>1293</v>
      </c>
      <c r="BN284" s="57" t="s">
        <v>1293</v>
      </c>
      <c r="BO284" s="57" t="s">
        <v>1293</v>
      </c>
      <c r="BP284" s="57" t="s">
        <v>1293</v>
      </c>
      <c r="BQ284" s="57" t="s">
        <v>1293</v>
      </c>
      <c r="BR284" s="57" t="s">
        <v>1293</v>
      </c>
      <c r="BS284" s="57" t="s">
        <v>1293</v>
      </c>
      <c r="BT284" s="57" t="s">
        <v>1293</v>
      </c>
      <c r="BU284" s="57" t="s">
        <v>1293</v>
      </c>
      <c r="BV284" s="70">
        <f>E284</f>
        <v>10</v>
      </c>
      <c r="BW284" s="71" t="str">
        <f>I284</f>
        <v>-</v>
      </c>
      <c r="BX284" s="72">
        <f>M284</f>
        <v>49</v>
      </c>
      <c r="BY284" s="71">
        <f>Q284</f>
        <v>82</v>
      </c>
      <c r="BZ284" s="72">
        <f>U284</f>
        <v>86</v>
      </c>
      <c r="CA284" s="71" t="str">
        <f>Y284</f>
        <v>-</v>
      </c>
      <c r="CB284" s="72">
        <f>AC284</f>
        <v>130</v>
      </c>
      <c r="CC284" s="71">
        <f>AG284</f>
        <v>173</v>
      </c>
      <c r="CD284" s="72">
        <f>AK284</f>
        <v>181</v>
      </c>
      <c r="CE284" s="71">
        <f>AO284</f>
        <v>227</v>
      </c>
      <c r="CF284" s="72">
        <f>AS284</f>
        <v>264</v>
      </c>
      <c r="CG284" s="71" t="str">
        <f>AW284</f>
        <v>-</v>
      </c>
      <c r="CH284" s="70">
        <f>G284</f>
        <v>43</v>
      </c>
      <c r="CI284" s="71" t="str">
        <f>K284</f>
        <v>-</v>
      </c>
      <c r="CJ284" s="72">
        <f>O284</f>
        <v>80</v>
      </c>
      <c r="CK284" s="72">
        <f>S284</f>
        <v>85</v>
      </c>
      <c r="CL284" s="72">
        <f>W284</f>
        <v>121</v>
      </c>
      <c r="CM284" s="72" t="str">
        <f>AA284</f>
        <v>-</v>
      </c>
      <c r="CN284" s="72">
        <f>AE284</f>
        <v>154</v>
      </c>
      <c r="CO284" s="72">
        <f>AI284</f>
        <v>175</v>
      </c>
      <c r="CP284" s="72">
        <f>AM284</f>
        <v>215</v>
      </c>
      <c r="CQ284" s="72">
        <f>AQ284</f>
        <v>261</v>
      </c>
      <c r="CR284" s="72">
        <f>AU284</f>
        <v>297</v>
      </c>
      <c r="CS284" s="72" t="str">
        <f>AY284</f>
        <v>-</v>
      </c>
      <c r="CT284" s="23" t="e">
        <f>M284-K284</f>
        <v>#VALUE!</v>
      </c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</row>
    <row r="285" spans="1:1029" x14ac:dyDescent="0.2">
      <c r="A285" s="3" t="str">
        <f t="shared" si="1175"/>
        <v>q08bg4_danre__wt</v>
      </c>
      <c r="B285" s="3" t="s">
        <v>1450</v>
      </c>
      <c r="C285" s="3" t="s">
        <v>100</v>
      </c>
      <c r="D285" s="3" t="str">
        <f>IFERROR(MID(VLOOKUP($B285,Seqs!$A:$B,2,0),E285,1),"")</f>
        <v>K</v>
      </c>
      <c r="E285" s="3">
        <v>26</v>
      </c>
      <c r="F285" s="3" t="str">
        <f>IFERROR(MID(VLOOKUP($B285,Seqs!$A:$B,2,0),G285,1),"")</f>
        <v>S</v>
      </c>
      <c r="G285" s="3">
        <v>55</v>
      </c>
      <c r="H285" s="3" t="str">
        <f>IFERROR(MID(VLOOKUP($B285,Seqs!$A:$B,2,0),I285,1),"")</f>
        <v>L</v>
      </c>
      <c r="I285" s="23">
        <v>56</v>
      </c>
      <c r="J285" s="3" t="str">
        <f>IFERROR(MID(VLOOKUP($B285,Seqs!$A:$B,2,0),K285,1),"")</f>
        <v>R</v>
      </c>
      <c r="K285" s="23">
        <v>59</v>
      </c>
      <c r="L285" s="3" t="str">
        <f>IFERROR(MID(VLOOKUP($B285,Seqs!$A:$B,2,0),M285,1),"")</f>
        <v>N</v>
      </c>
      <c r="M285" s="3">
        <v>60</v>
      </c>
      <c r="N285" s="3" t="str">
        <f>IFERROR(MID(VLOOKUP($B285,Seqs!$A:$B,2,0),O285,1),"")</f>
        <v>Q</v>
      </c>
      <c r="O285" s="3">
        <v>89</v>
      </c>
      <c r="P285" s="3" t="str">
        <f>IFERROR(MID(VLOOKUP($B285,Seqs!$A:$B,2,0),Q285,1),"")</f>
        <v>N</v>
      </c>
      <c r="Q285" s="3">
        <v>91</v>
      </c>
      <c r="R285" s="3" t="str">
        <f>IFERROR(MID(VLOOKUP($B285,Seqs!$A:$B,2,0),S285,1),"")</f>
        <v>F</v>
      </c>
      <c r="S285" s="3">
        <v>94</v>
      </c>
      <c r="T285" s="3" t="str">
        <f>IFERROR(MID(VLOOKUP($B285,Seqs!$A:$B,2,0),U285,1),"")</f>
        <v>G</v>
      </c>
      <c r="U285" s="3">
        <v>95</v>
      </c>
      <c r="V285" s="3" t="str">
        <f>IFERROR(MID(VLOOKUP($B285,Seqs!$A:$B,2,0),W285,1),"")</f>
        <v>Y</v>
      </c>
      <c r="W285" s="3">
        <v>130</v>
      </c>
      <c r="X285" s="3" t="str">
        <f>IFERROR(MID(VLOOKUP($B285,Seqs!$A:$B,2,0),Y285,1),"")</f>
        <v>P</v>
      </c>
      <c r="Y285" s="3">
        <v>131</v>
      </c>
      <c r="Z285" s="3" t="str">
        <f>IFERROR(MID(VLOOKUP($B285,Seqs!$A:$B,2,0),AA285,1),"")</f>
        <v>R</v>
      </c>
      <c r="AA285" s="3">
        <v>138</v>
      </c>
      <c r="AB285" s="3" t="str">
        <f>IFERROR(MID(VLOOKUP($B285,Seqs!$A:$B,2,0),AC285,1),"")</f>
        <v>T</v>
      </c>
      <c r="AC285" s="3">
        <v>139</v>
      </c>
      <c r="AD285" s="3" t="str">
        <f>IFERROR(MID(VLOOKUP($B285,Seqs!$A:$B,2,0),AE285,1),"")</f>
        <v>N</v>
      </c>
      <c r="AE285" s="3">
        <v>166</v>
      </c>
      <c r="AF285" s="3" t="str">
        <f>IFERROR(MID(VLOOKUP($B285,Seqs!$A:$B,2,0),AG285,1),"")</f>
        <v>C</v>
      </c>
      <c r="AG285" s="3">
        <v>178</v>
      </c>
      <c r="AH285" s="3" t="str">
        <f>IFERROR(MID(VLOOKUP($B285,Seqs!$A:$B,2,0),AI285,1),"")</f>
        <v>E</v>
      </c>
      <c r="AI285" s="3">
        <v>180</v>
      </c>
      <c r="AJ285" s="3" t="str">
        <f>IFERROR(MID(VLOOKUP($B285,Seqs!$A:$B,2,0),AK285,1),"")</f>
        <v>W</v>
      </c>
      <c r="AK285" s="3">
        <v>187</v>
      </c>
      <c r="AL285" s="3" t="str">
        <f>IFERROR(MID(VLOOKUP($B285,Seqs!$A:$B,2,0),AM285,1),"")</f>
        <v>P</v>
      </c>
      <c r="AM285" s="3">
        <v>224</v>
      </c>
      <c r="AN285" s="3" t="str">
        <f>IFERROR(MID(VLOOKUP($B285,Seqs!$A:$B,2,0),AO285,1),"")</f>
        <v>R</v>
      </c>
      <c r="AO285" s="3">
        <v>229</v>
      </c>
      <c r="AP285" s="3" t="str">
        <f>IFERROR(MID(VLOOKUP($B285,Seqs!$A:$B,2,0),AQ285,1),"")</f>
        <v>N</v>
      </c>
      <c r="AQ285" s="3">
        <v>269</v>
      </c>
      <c r="AR285" s="3" t="str">
        <f>IFERROR(MID(VLOOKUP($B285,Seqs!$A:$B,2,0),AS285,1),"")</f>
        <v>G</v>
      </c>
      <c r="AS285" s="3">
        <v>273</v>
      </c>
      <c r="AT285" s="3" t="str">
        <f>IFERROR(MID(VLOOKUP($B285,Seqs!$A:$B,2,0),AU285,1),"")</f>
        <v>T</v>
      </c>
      <c r="AU285" s="3">
        <v>305</v>
      </c>
      <c r="AV285" s="3" t="str">
        <f>IFERROR(MID(VLOOKUP($B285,Seqs!$A:$B,2,0),AW285,1),"")</f>
        <v>S</v>
      </c>
      <c r="AW285" s="3">
        <v>306</v>
      </c>
      <c r="AX285" s="3" t="str">
        <f>IFERROR(MID(VLOOKUP($B285,Seqs!$A:$B,2,0),AY285,1),"")</f>
        <v>G</v>
      </c>
      <c r="AY285" s="3">
        <v>320</v>
      </c>
      <c r="AZ285" s="77" t="str">
        <f>VLOOKUP(B285,Classification!A:D,2,0)</f>
        <v>A</v>
      </c>
      <c r="BA285" s="94" t="str">
        <f>VLOOKUP(B285,Classification!A:D,4,0)</f>
        <v>Lysophospholipid(LPA)</v>
      </c>
      <c r="BB285" s="27" t="b">
        <f t="shared" si="1176"/>
        <v>1</v>
      </c>
      <c r="BC285" s="23">
        <f t="shared" si="1177"/>
        <v>270</v>
      </c>
      <c r="BD285" s="2" t="s">
        <v>23</v>
      </c>
      <c r="BE285" s="3" t="s">
        <v>23</v>
      </c>
      <c r="BF285" s="119" t="s">
        <v>23</v>
      </c>
      <c r="BG285" s="49" t="s">
        <v>1</v>
      </c>
      <c r="BH285" s="49" t="s">
        <v>1383</v>
      </c>
      <c r="BI285" s="1"/>
      <c r="BJ285" s="70" t="s">
        <v>1293</v>
      </c>
      <c r="BK285" s="57" t="s">
        <v>1293</v>
      </c>
      <c r="BL285" s="57" t="s">
        <v>1293</v>
      </c>
      <c r="BM285" s="57" t="s">
        <v>1293</v>
      </c>
      <c r="BN285" s="57" t="s">
        <v>1293</v>
      </c>
      <c r="BO285" s="57" t="s">
        <v>1293</v>
      </c>
      <c r="BP285" s="57" t="s">
        <v>1293</v>
      </c>
      <c r="BQ285" s="57" t="s">
        <v>1293</v>
      </c>
      <c r="BR285" s="57" t="s">
        <v>1293</v>
      </c>
      <c r="BS285" s="57" t="s">
        <v>1293</v>
      </c>
      <c r="BT285" s="57" t="s">
        <v>1293</v>
      </c>
      <c r="BU285" s="57" t="s">
        <v>1293</v>
      </c>
      <c r="BV285" s="70">
        <f t="shared" si="1178"/>
        <v>26</v>
      </c>
      <c r="BW285" s="71">
        <f t="shared" si="1179"/>
        <v>56</v>
      </c>
      <c r="BX285" s="72">
        <f t="shared" si="1180"/>
        <v>60</v>
      </c>
      <c r="BY285" s="71">
        <f t="shared" si="1181"/>
        <v>91</v>
      </c>
      <c r="BZ285" s="72">
        <f t="shared" si="1182"/>
        <v>95</v>
      </c>
      <c r="CA285" s="71">
        <f t="shared" si="1183"/>
        <v>131</v>
      </c>
      <c r="CB285" s="72">
        <f t="shared" si="1184"/>
        <v>139</v>
      </c>
      <c r="CC285" s="71">
        <f t="shared" si="1185"/>
        <v>178</v>
      </c>
      <c r="CD285" s="72">
        <f t="shared" si="1186"/>
        <v>187</v>
      </c>
      <c r="CE285" s="71">
        <f t="shared" si="1187"/>
        <v>229</v>
      </c>
      <c r="CF285" s="72">
        <f t="shared" si="1188"/>
        <v>273</v>
      </c>
      <c r="CG285" s="71">
        <f t="shared" si="1189"/>
        <v>306</v>
      </c>
      <c r="CH285" s="70">
        <f t="shared" si="1190"/>
        <v>55</v>
      </c>
      <c r="CI285" s="71">
        <f t="shared" si="1191"/>
        <v>59</v>
      </c>
      <c r="CJ285" s="72">
        <f t="shared" si="1192"/>
        <v>89</v>
      </c>
      <c r="CK285" s="72">
        <f t="shared" si="1193"/>
        <v>94</v>
      </c>
      <c r="CL285" s="72">
        <f t="shared" si="1194"/>
        <v>130</v>
      </c>
      <c r="CM285" s="72">
        <f t="shared" si="1195"/>
        <v>138</v>
      </c>
      <c r="CN285" s="72">
        <f t="shared" si="1196"/>
        <v>166</v>
      </c>
      <c r="CO285" s="72">
        <f t="shared" si="1197"/>
        <v>180</v>
      </c>
      <c r="CP285" s="72">
        <f t="shared" si="1198"/>
        <v>224</v>
      </c>
      <c r="CQ285" s="72">
        <f t="shared" si="1199"/>
        <v>269</v>
      </c>
      <c r="CR285" s="72">
        <f t="shared" si="1200"/>
        <v>305</v>
      </c>
      <c r="CS285" s="72">
        <f t="shared" si="1201"/>
        <v>320</v>
      </c>
      <c r="CT285" s="23">
        <f t="shared" si="1202"/>
        <v>1</v>
      </c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</row>
    <row r="286" spans="1:1029" x14ac:dyDescent="0.2">
      <c r="A286" s="3" t="str">
        <f t="shared" si="1175"/>
        <v>q08bg4_danre_5XSZ</v>
      </c>
      <c r="B286" s="3" t="s">
        <v>1450</v>
      </c>
      <c r="C286" s="3" t="s">
        <v>1452</v>
      </c>
      <c r="D286" s="3" t="str">
        <f>IFERROR(MID(VLOOKUP($B286,Seqs!$A:$B,2,0),E286,1),"")</f>
        <v>K</v>
      </c>
      <c r="E286" s="3">
        <v>26</v>
      </c>
      <c r="F286" s="3" t="str">
        <f>IFERROR(MID(VLOOKUP($B286,Seqs!$A:$B,2,0),G286,1),"")</f>
        <v>S</v>
      </c>
      <c r="G286" s="3">
        <v>55</v>
      </c>
      <c r="H286" s="3" t="str">
        <f>IFERROR(MID(VLOOKUP($B286,Seqs!$A:$B,2,0),I286,1),"")</f>
        <v/>
      </c>
      <c r="I286" s="23" t="s">
        <v>23</v>
      </c>
      <c r="J286" s="3" t="str">
        <f>IFERROR(MID(VLOOKUP($B286,Seqs!$A:$B,2,0),K286,1),"")</f>
        <v/>
      </c>
      <c r="K286" s="23" t="s">
        <v>23</v>
      </c>
      <c r="L286" s="3" t="str">
        <f>IFERROR(MID(VLOOKUP($B286,Seqs!$A:$B,2,0),M286,1),"")</f>
        <v>N</v>
      </c>
      <c r="M286" s="3">
        <v>60</v>
      </c>
      <c r="N286" s="3" t="str">
        <f>IFERROR(MID(VLOOKUP($B286,Seqs!$A:$B,2,0),O286,1),"")</f>
        <v>Q</v>
      </c>
      <c r="O286" s="3">
        <v>89</v>
      </c>
      <c r="P286" s="3" t="str">
        <f>IFERROR(MID(VLOOKUP($B286,Seqs!$A:$B,2,0),Q286,1),"")</f>
        <v>N</v>
      </c>
      <c r="Q286" s="3">
        <v>91</v>
      </c>
      <c r="R286" s="3" t="str">
        <f>IFERROR(MID(VLOOKUP($B286,Seqs!$A:$B,2,0),S286,1),"")</f>
        <v>F</v>
      </c>
      <c r="S286" s="3">
        <v>94</v>
      </c>
      <c r="T286" s="3" t="str">
        <f>IFERROR(MID(VLOOKUP($B286,Seqs!$A:$B,2,0),U286,1),"")</f>
        <v>G</v>
      </c>
      <c r="U286" s="3">
        <v>95</v>
      </c>
      <c r="V286" s="3" t="str">
        <f>IFERROR(MID(VLOOKUP($B286,Seqs!$A:$B,2,0),W286,1),"")</f>
        <v>Y</v>
      </c>
      <c r="W286" s="3">
        <v>130</v>
      </c>
      <c r="X286" s="3" t="str">
        <f>IFERROR(MID(VLOOKUP($B286,Seqs!$A:$B,2,0),Y286,1),"")</f>
        <v>P</v>
      </c>
      <c r="Y286" s="3">
        <v>131</v>
      </c>
      <c r="Z286" s="3" t="str">
        <f>IFERROR(MID(VLOOKUP($B286,Seqs!$A:$B,2,0),AA286,1),"")</f>
        <v>R</v>
      </c>
      <c r="AA286" s="3">
        <v>138</v>
      </c>
      <c r="AB286" s="3" t="str">
        <f>IFERROR(MID(VLOOKUP($B286,Seqs!$A:$B,2,0),AC286,1),"")</f>
        <v>T</v>
      </c>
      <c r="AC286" s="3">
        <v>139</v>
      </c>
      <c r="AD286" s="3" t="str">
        <f>IFERROR(MID(VLOOKUP($B286,Seqs!$A:$B,2,0),AE286,1),"")</f>
        <v>N</v>
      </c>
      <c r="AE286" s="3">
        <v>166</v>
      </c>
      <c r="AF286" s="3" t="str">
        <f>IFERROR(MID(VLOOKUP($B286,Seqs!$A:$B,2,0),AG286,1),"")</f>
        <v>C</v>
      </c>
      <c r="AG286" s="3">
        <v>178</v>
      </c>
      <c r="AH286" s="3" t="str">
        <f>IFERROR(MID(VLOOKUP($B286,Seqs!$A:$B,2,0),AI286,1),"")</f>
        <v>F</v>
      </c>
      <c r="AI286" s="3">
        <v>179</v>
      </c>
      <c r="AJ286" s="3" t="str">
        <f>IFERROR(MID(VLOOKUP($B286,Seqs!$A:$B,2,0),AK286,1),"")</f>
        <v>W</v>
      </c>
      <c r="AK286" s="3">
        <v>187</v>
      </c>
      <c r="AL286" s="3" t="str">
        <f>IFERROR(MID(VLOOKUP($B286,Seqs!$A:$B,2,0),AM286,1),"")</f>
        <v>R</v>
      </c>
      <c r="AM286" s="3">
        <v>223</v>
      </c>
      <c r="AN286" s="3" t="str">
        <f>IFERROR(MID(VLOOKUP($B286,Seqs!$A:$B,2,0),AO286,1),"")</f>
        <v>N</v>
      </c>
      <c r="AO286" s="3">
        <v>234</v>
      </c>
      <c r="AP286" s="3" t="str">
        <f>IFERROR(MID(VLOOKUP($B286,Seqs!$A:$B,2,0),AQ286,1),"")</f>
        <v>N</v>
      </c>
      <c r="AQ286" s="3">
        <v>269</v>
      </c>
      <c r="AR286" s="3" t="str">
        <f>IFERROR(MID(VLOOKUP($B286,Seqs!$A:$B,2,0),AS286,1),"")</f>
        <v>G</v>
      </c>
      <c r="AS286" s="3">
        <v>273</v>
      </c>
      <c r="AT286" s="3" t="str">
        <f>IFERROR(MID(VLOOKUP($B286,Seqs!$A:$B,2,0),AU286,1),"")</f>
        <v>T</v>
      </c>
      <c r="AU286" s="3">
        <v>308</v>
      </c>
      <c r="AV286" s="3" t="str">
        <f>IFERROR(MID(VLOOKUP($B286,Seqs!$A:$B,2,0),AW286,1),"")</f>
        <v/>
      </c>
      <c r="AW286" s="3" t="s">
        <v>23</v>
      </c>
      <c r="AX286" s="3" t="str">
        <f>IFERROR(MID(VLOOKUP($B286,Seqs!$A:$B,2,0),AY286,1),"")</f>
        <v/>
      </c>
      <c r="AY286" s="3" t="s">
        <v>23</v>
      </c>
      <c r="AZ286" s="77" t="str">
        <f>VLOOKUP(B286,Classification!A:D,2,0)</f>
        <v>A</v>
      </c>
      <c r="BA286" s="94" t="str">
        <f>VLOOKUP(B286,Classification!A:D,4,0)</f>
        <v>Lysophospholipid(LPA)</v>
      </c>
      <c r="BB286" s="27" t="b">
        <f t="shared" si="1176"/>
        <v>1</v>
      </c>
      <c r="BC286" s="23">
        <f t="shared" si="1177"/>
        <v>249</v>
      </c>
      <c r="BD286" s="2" t="s">
        <v>1381</v>
      </c>
      <c r="BE286" s="3" t="s">
        <v>1297</v>
      </c>
      <c r="BF286" s="119">
        <v>3.2</v>
      </c>
      <c r="BG286" s="49" t="s">
        <v>1</v>
      </c>
      <c r="BH286" s="49" t="s">
        <v>1383</v>
      </c>
      <c r="BI286" s="1"/>
      <c r="BJ286" s="70" t="s">
        <v>1293</v>
      </c>
      <c r="BK286" s="57" t="s">
        <v>1293</v>
      </c>
      <c r="BL286" s="57" t="s">
        <v>1293</v>
      </c>
      <c r="BM286" s="57" t="s">
        <v>1293</v>
      </c>
      <c r="BN286" s="57" t="s">
        <v>1293</v>
      </c>
      <c r="BO286" s="57" t="s">
        <v>1293</v>
      </c>
      <c r="BP286" s="57" t="s">
        <v>1293</v>
      </c>
      <c r="BQ286" s="57" t="s">
        <v>1293</v>
      </c>
      <c r="BR286" s="57" t="s">
        <v>1293</v>
      </c>
      <c r="BS286" s="57" t="s">
        <v>1293</v>
      </c>
      <c r="BT286" s="57" t="s">
        <v>1293</v>
      </c>
      <c r="BU286" s="57" t="s">
        <v>1293</v>
      </c>
      <c r="BV286" s="70">
        <f t="shared" si="1178"/>
        <v>26</v>
      </c>
      <c r="BW286" s="71" t="str">
        <f t="shared" si="1179"/>
        <v>-</v>
      </c>
      <c r="BX286" s="72">
        <f t="shared" si="1180"/>
        <v>60</v>
      </c>
      <c r="BY286" s="71">
        <f t="shared" si="1181"/>
        <v>91</v>
      </c>
      <c r="BZ286" s="72">
        <f t="shared" si="1182"/>
        <v>95</v>
      </c>
      <c r="CA286" s="71">
        <f t="shared" si="1183"/>
        <v>131</v>
      </c>
      <c r="CB286" s="72">
        <f t="shared" si="1184"/>
        <v>139</v>
      </c>
      <c r="CC286" s="71">
        <f t="shared" si="1185"/>
        <v>178</v>
      </c>
      <c r="CD286" s="72">
        <f t="shared" si="1186"/>
        <v>187</v>
      </c>
      <c r="CE286" s="71">
        <f t="shared" si="1187"/>
        <v>234</v>
      </c>
      <c r="CF286" s="72">
        <f t="shared" si="1188"/>
        <v>273</v>
      </c>
      <c r="CG286" s="71" t="str">
        <f t="shared" si="1189"/>
        <v>-</v>
      </c>
      <c r="CH286" s="70">
        <f t="shared" si="1190"/>
        <v>55</v>
      </c>
      <c r="CI286" s="71" t="str">
        <f t="shared" si="1191"/>
        <v>-</v>
      </c>
      <c r="CJ286" s="72">
        <f t="shared" si="1192"/>
        <v>89</v>
      </c>
      <c r="CK286" s="72">
        <f t="shared" si="1193"/>
        <v>94</v>
      </c>
      <c r="CL286" s="72">
        <f t="shared" si="1194"/>
        <v>130</v>
      </c>
      <c r="CM286" s="72">
        <f t="shared" si="1195"/>
        <v>138</v>
      </c>
      <c r="CN286" s="72">
        <f t="shared" si="1196"/>
        <v>166</v>
      </c>
      <c r="CO286" s="72">
        <f t="shared" si="1197"/>
        <v>179</v>
      </c>
      <c r="CP286" s="72">
        <f t="shared" si="1198"/>
        <v>223</v>
      </c>
      <c r="CQ286" s="72">
        <f t="shared" si="1199"/>
        <v>269</v>
      </c>
      <c r="CR286" s="72">
        <f t="shared" si="1200"/>
        <v>308</v>
      </c>
      <c r="CS286" s="72" t="str">
        <f t="shared" si="1201"/>
        <v>-</v>
      </c>
      <c r="CT286" s="23" t="e">
        <f t="shared" si="1202"/>
        <v>#VALUE!</v>
      </c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</row>
    <row r="287" spans="1:1029" x14ac:dyDescent="0.2">
      <c r="A287" s="3" t="str">
        <f t="shared" si="1175"/>
        <v>q9wtk1_cavpo__wt</v>
      </c>
      <c r="B287" s="3" t="s">
        <v>1462</v>
      </c>
      <c r="C287" s="3" t="s">
        <v>100</v>
      </c>
      <c r="D287" s="3" t="str">
        <f>IFERROR(MID(VLOOKUP($B287,Seqs!$A:$B,2,0),E287,1),"")</f>
        <v>T</v>
      </c>
      <c r="E287" s="3">
        <v>17</v>
      </c>
      <c r="F287" s="3" t="str">
        <f>IFERROR(MID(VLOOKUP($B287,Seqs!$A:$B,2,0),G287,1),"")</f>
        <v>R</v>
      </c>
      <c r="G287" s="3">
        <v>48</v>
      </c>
      <c r="H287" s="3" t="str">
        <f>IFERROR(MID(VLOOKUP($B287,Seqs!$A:$B,2,0),I287,1),"")</f>
        <v>M</v>
      </c>
      <c r="I287" s="23">
        <v>49</v>
      </c>
      <c r="J287" s="3" t="str">
        <f>IFERROR(MID(VLOOKUP($B287,Seqs!$A:$B,2,0),K287,1),"")</f>
        <v>R</v>
      </c>
      <c r="K287" s="23">
        <v>52</v>
      </c>
      <c r="L287" s="3" t="str">
        <f>IFERROR(MID(VLOOKUP($B287,Seqs!$A:$B,2,0),M287,1),"")</f>
        <v>S</v>
      </c>
      <c r="M287" s="3">
        <v>53</v>
      </c>
      <c r="N287" s="3" t="str">
        <f>IFERROR(MID(VLOOKUP($B287,Seqs!$A:$B,2,0),O287,1),"")</f>
        <v>H</v>
      </c>
      <c r="O287" s="3">
        <v>83</v>
      </c>
      <c r="P287" s="3" t="str">
        <f>IFERROR(MID(VLOOKUP($B287,Seqs!$A:$B,2,0),Q287,1),"")</f>
        <v>T</v>
      </c>
      <c r="Q287" s="3">
        <v>84</v>
      </c>
      <c r="R287" s="3" t="str">
        <f>IFERROR(MID(VLOOKUP($B287,Seqs!$A:$B,2,0),S287,1),"")</f>
        <v>F</v>
      </c>
      <c r="S287" s="3">
        <v>87</v>
      </c>
      <c r="T287" s="3" t="str">
        <f>IFERROR(MID(VLOOKUP($B287,Seqs!$A:$B,2,0),U287,1),"")</f>
        <v>K</v>
      </c>
      <c r="U287" s="3">
        <v>88</v>
      </c>
      <c r="V287" s="3" t="str">
        <f>IFERROR(MID(VLOOKUP($B287,Seqs!$A:$B,2,0),W287,1),"")</f>
        <v>S</v>
      </c>
      <c r="W287" s="3">
        <v>123</v>
      </c>
      <c r="X287" s="3" t="str">
        <f>IFERROR(MID(VLOOKUP($B287,Seqs!$A:$B,2,0),Y287,1),"")</f>
        <v>P</v>
      </c>
      <c r="Y287" s="3">
        <v>124</v>
      </c>
      <c r="Z287" s="3" t="str">
        <f>IFERROR(MID(VLOOKUP($B287,Seqs!$A:$B,2,0),AA287,1),"")</f>
        <v>R</v>
      </c>
      <c r="AA287" s="3">
        <v>131</v>
      </c>
      <c r="AB287" s="3" t="str">
        <f>IFERROR(MID(VLOOKUP($B287,Seqs!$A:$B,2,0),AC287,1),"")</f>
        <v>T</v>
      </c>
      <c r="AC287" s="3">
        <v>132</v>
      </c>
      <c r="AD287" s="3" t="str">
        <f>IFERROR(MID(VLOOKUP($B287,Seqs!$A:$B,2,0),AE287,1),"")</f>
        <v>R</v>
      </c>
      <c r="AE287" s="3">
        <v>158</v>
      </c>
      <c r="AF287" s="3" t="str">
        <f>IFERROR(MID(VLOOKUP($B287,Seqs!$A:$B,2,0),AG287,1),"")</f>
        <v>C</v>
      </c>
      <c r="AG287" s="3">
        <v>170</v>
      </c>
      <c r="AH287" s="3" t="str">
        <f>IFERROR(MID(VLOOKUP($B287,Seqs!$A:$B,2,0),AI287,1),"")</f>
        <v>A</v>
      </c>
      <c r="AI287" s="3">
        <v>172</v>
      </c>
      <c r="AJ287" s="3" t="str">
        <f>IFERROR(MID(VLOOKUP($B287,Seqs!$A:$B,2,0),AK287,1),"")</f>
        <v>S</v>
      </c>
      <c r="AK287" s="3">
        <v>176</v>
      </c>
      <c r="AL287" s="3" t="str">
        <f>IFERROR(MID(VLOOKUP($B287,Seqs!$A:$B,2,0),AM287,1),"")</f>
        <v>R</v>
      </c>
      <c r="AM287" s="3">
        <v>213</v>
      </c>
      <c r="AN287" s="3" t="str">
        <f>IFERROR(MID(VLOOKUP($B287,Seqs!$A:$B,2,0),AO287,1),"")</f>
        <v>R</v>
      </c>
      <c r="AO287" s="3">
        <v>218</v>
      </c>
      <c r="AP287" s="3" t="str">
        <f>IFERROR(MID(VLOOKUP($B287,Seqs!$A:$B,2,0),AQ287,1),"")</f>
        <v>A</v>
      </c>
      <c r="AQ287" s="3">
        <v>252</v>
      </c>
      <c r="AR287" s="3" t="str">
        <f>IFERROR(MID(VLOOKUP($B287,Seqs!$A:$B,2,0),AS287,1),"")</f>
        <v>L</v>
      </c>
      <c r="AS287" s="3">
        <v>255</v>
      </c>
      <c r="AT287" s="3" t="str">
        <f>IFERROR(MID(VLOOKUP($B287,Seqs!$A:$B,2,0),AU287,1),"")</f>
        <v>A</v>
      </c>
      <c r="AU287" s="3">
        <v>287</v>
      </c>
      <c r="AV287" s="3" t="str">
        <f>IFERROR(MID(VLOOKUP($B287,Seqs!$A:$B,2,0),AW287,1),"")</f>
        <v>G</v>
      </c>
      <c r="AW287" s="3">
        <v>288</v>
      </c>
      <c r="AX287" s="3" t="str">
        <f>IFERROR(MID(VLOOKUP($B287,Seqs!$A:$B,2,0),AY287,1),"")</f>
        <v>K</v>
      </c>
      <c r="AY287" s="3">
        <v>302</v>
      </c>
      <c r="AZ287" s="77" t="str">
        <f>VLOOKUP(B287,Classification!A:D,2,0)</f>
        <v>A</v>
      </c>
      <c r="BA287" s="94" t="str">
        <f>VLOOKUP(B287,Classification!A:D,4,0)</f>
        <v>Leukotriene</v>
      </c>
      <c r="BB287" s="27" t="b">
        <f t="shared" si="1176"/>
        <v>1</v>
      </c>
      <c r="BC287" s="23">
        <f t="shared" si="1177"/>
        <v>266</v>
      </c>
      <c r="BD287" s="2" t="s">
        <v>23</v>
      </c>
      <c r="BE287" s="3" t="s">
        <v>23</v>
      </c>
      <c r="BF287" s="119" t="s">
        <v>23</v>
      </c>
      <c r="BG287" s="49" t="s">
        <v>1</v>
      </c>
      <c r="BH287" s="49" t="s">
        <v>1</v>
      </c>
      <c r="BI287" s="1"/>
      <c r="BJ287" s="70" t="s">
        <v>1293</v>
      </c>
      <c r="BK287" s="57" t="s">
        <v>1293</v>
      </c>
      <c r="BL287" s="57" t="s">
        <v>1293</v>
      </c>
      <c r="BM287" s="57" t="s">
        <v>1293</v>
      </c>
      <c r="BN287" s="57" t="s">
        <v>1293</v>
      </c>
      <c r="BO287" s="57" t="s">
        <v>1293</v>
      </c>
      <c r="BP287" s="57" t="s">
        <v>1293</v>
      </c>
      <c r="BQ287" s="57" t="s">
        <v>1293</v>
      </c>
      <c r="BR287" s="57" t="s">
        <v>1293</v>
      </c>
      <c r="BS287" s="57" t="s">
        <v>1293</v>
      </c>
      <c r="BT287" s="57" t="s">
        <v>1293</v>
      </c>
      <c r="BU287" s="57" t="s">
        <v>1293</v>
      </c>
      <c r="BV287" s="70">
        <f t="shared" si="1178"/>
        <v>17</v>
      </c>
      <c r="BW287" s="71">
        <f t="shared" si="1179"/>
        <v>49</v>
      </c>
      <c r="BX287" s="72">
        <f t="shared" si="1180"/>
        <v>53</v>
      </c>
      <c r="BY287" s="71">
        <f t="shared" si="1181"/>
        <v>84</v>
      </c>
      <c r="BZ287" s="72">
        <f t="shared" si="1182"/>
        <v>88</v>
      </c>
      <c r="CA287" s="71">
        <f t="shared" si="1183"/>
        <v>124</v>
      </c>
      <c r="CB287" s="72">
        <f t="shared" si="1184"/>
        <v>132</v>
      </c>
      <c r="CC287" s="71">
        <f t="shared" si="1185"/>
        <v>170</v>
      </c>
      <c r="CD287" s="72">
        <f t="shared" si="1186"/>
        <v>176</v>
      </c>
      <c r="CE287" s="71">
        <f t="shared" si="1187"/>
        <v>218</v>
      </c>
      <c r="CF287" s="72">
        <f t="shared" si="1188"/>
        <v>255</v>
      </c>
      <c r="CG287" s="71">
        <f t="shared" si="1189"/>
        <v>288</v>
      </c>
      <c r="CH287" s="70">
        <f t="shared" si="1190"/>
        <v>48</v>
      </c>
      <c r="CI287" s="71">
        <f t="shared" si="1191"/>
        <v>52</v>
      </c>
      <c r="CJ287" s="72">
        <f t="shared" si="1192"/>
        <v>83</v>
      </c>
      <c r="CK287" s="72">
        <f t="shared" si="1193"/>
        <v>87</v>
      </c>
      <c r="CL287" s="72">
        <f t="shared" si="1194"/>
        <v>123</v>
      </c>
      <c r="CM287" s="72">
        <f t="shared" si="1195"/>
        <v>131</v>
      </c>
      <c r="CN287" s="72">
        <f t="shared" si="1196"/>
        <v>158</v>
      </c>
      <c r="CO287" s="72">
        <f t="shared" si="1197"/>
        <v>172</v>
      </c>
      <c r="CP287" s="72">
        <f t="shared" si="1198"/>
        <v>213</v>
      </c>
      <c r="CQ287" s="72">
        <f t="shared" si="1199"/>
        <v>252</v>
      </c>
      <c r="CR287" s="72">
        <f t="shared" si="1200"/>
        <v>287</v>
      </c>
      <c r="CS287" s="72">
        <f t="shared" si="1201"/>
        <v>302</v>
      </c>
      <c r="CT287" s="23">
        <f t="shared" si="1202"/>
        <v>1</v>
      </c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</row>
    <row r="288" spans="1:1029" x14ac:dyDescent="0.2">
      <c r="A288" s="3" t="str">
        <f t="shared" si="1175"/>
        <v>q9wtk1_cavpo_5X33</v>
      </c>
      <c r="B288" s="3" t="s">
        <v>1462</v>
      </c>
      <c r="C288" s="3" t="s">
        <v>1463</v>
      </c>
      <c r="D288" s="3" t="str">
        <f>IFERROR(MID(VLOOKUP($B288,Seqs!$A:$B,2,0),E288,1),"")</f>
        <v>T</v>
      </c>
      <c r="E288" s="3">
        <v>17</v>
      </c>
      <c r="F288" s="3" t="str">
        <f>IFERROR(MID(VLOOKUP($B288,Seqs!$A:$B,2,0),G288,1),"")</f>
        <v>R</v>
      </c>
      <c r="G288" s="3">
        <v>48</v>
      </c>
      <c r="H288" s="3" t="str">
        <f>IFERROR(MID(VLOOKUP($B288,Seqs!$A:$B,2,0),I288,1),"")</f>
        <v/>
      </c>
      <c r="I288" s="23" t="s">
        <v>23</v>
      </c>
      <c r="J288" s="3" t="str">
        <f>IFERROR(MID(VLOOKUP($B288,Seqs!$A:$B,2,0),K288,1),"")</f>
        <v/>
      </c>
      <c r="K288" s="23" t="s">
        <v>23</v>
      </c>
      <c r="L288" s="3" t="str">
        <f>IFERROR(MID(VLOOKUP($B288,Seqs!$A:$B,2,0),M288,1),"")</f>
        <v>S</v>
      </c>
      <c r="M288" s="3">
        <v>53</v>
      </c>
      <c r="N288" s="3" t="str">
        <f>IFERROR(MID(VLOOKUP($B288,Seqs!$A:$B,2,0),O288,1),"")</f>
        <v>H</v>
      </c>
      <c r="O288" s="3">
        <v>83</v>
      </c>
      <c r="P288" s="3" t="str">
        <f>IFERROR(MID(VLOOKUP($B288,Seqs!$A:$B,2,0),Q288,1),"")</f>
        <v>T</v>
      </c>
      <c r="Q288" s="3">
        <v>84</v>
      </c>
      <c r="R288" s="3" t="str">
        <f>IFERROR(MID(VLOOKUP($B288,Seqs!$A:$B,2,0),S288,1),"")</f>
        <v>F</v>
      </c>
      <c r="S288" s="3">
        <v>87</v>
      </c>
      <c r="T288" s="3" t="str">
        <f>IFERROR(MID(VLOOKUP($B288,Seqs!$A:$B,2,0),U288,1),"")</f>
        <v>K</v>
      </c>
      <c r="U288" s="3">
        <v>88</v>
      </c>
      <c r="V288" s="3" t="str">
        <f>IFERROR(MID(VLOOKUP($B288,Seqs!$A:$B,2,0),W288,1),"")</f>
        <v>S</v>
      </c>
      <c r="W288" s="3">
        <v>123</v>
      </c>
      <c r="X288" s="3" t="str">
        <f>IFERROR(MID(VLOOKUP($B288,Seqs!$A:$B,2,0),Y288,1),"")</f>
        <v>P</v>
      </c>
      <c r="Y288" s="3">
        <v>124</v>
      </c>
      <c r="Z288" s="3" t="str">
        <f>IFERROR(MID(VLOOKUP($B288,Seqs!$A:$B,2,0),AA288,1),"")</f>
        <v>R</v>
      </c>
      <c r="AA288" s="3">
        <v>131</v>
      </c>
      <c r="AB288" s="3" t="str">
        <f>IFERROR(MID(VLOOKUP($B288,Seqs!$A:$B,2,0),AC288,1),"")</f>
        <v>T</v>
      </c>
      <c r="AC288" s="3">
        <v>132</v>
      </c>
      <c r="AD288" s="3" t="str">
        <f>IFERROR(MID(VLOOKUP($B288,Seqs!$A:$B,2,0),AE288,1),"")</f>
        <v>R</v>
      </c>
      <c r="AE288" s="3">
        <v>158</v>
      </c>
      <c r="AF288" s="3" t="str">
        <f>IFERROR(MID(VLOOKUP($B288,Seqs!$A:$B,2,0),AG288,1),"")</f>
        <v>C</v>
      </c>
      <c r="AG288" s="3">
        <v>170</v>
      </c>
      <c r="AH288" s="3" t="str">
        <f>IFERROR(MID(VLOOKUP($B288,Seqs!$A:$B,2,0),AI288,1),"")</f>
        <v>A</v>
      </c>
      <c r="AI288" s="3">
        <v>172</v>
      </c>
      <c r="AJ288" s="3" t="str">
        <f>IFERROR(MID(VLOOKUP($B288,Seqs!$A:$B,2,0),AK288,1),"")</f>
        <v>S</v>
      </c>
      <c r="AK288" s="3">
        <v>176</v>
      </c>
      <c r="AL288" s="3" t="str">
        <f>IFERROR(MID(VLOOKUP($B288,Seqs!$A:$B,2,0),AM288,1),"")</f>
        <v>R</v>
      </c>
      <c r="AM288" s="3">
        <v>213</v>
      </c>
      <c r="AN288" s="3" t="str">
        <f>IFERROR(MID(VLOOKUP($B288,Seqs!$A:$B,2,0),AO288,1),"")</f>
        <v>I</v>
      </c>
      <c r="AO288" s="3">
        <v>227</v>
      </c>
      <c r="AP288" s="3" t="str">
        <f>IFERROR(MID(VLOOKUP($B288,Seqs!$A:$B,2,0),AQ288,1),"")</f>
        <v>R</v>
      </c>
      <c r="AQ288" s="3">
        <v>249</v>
      </c>
      <c r="AR288" s="3" t="str">
        <f>IFERROR(MID(VLOOKUP($B288,Seqs!$A:$B,2,0),AS288,1),"")</f>
        <v>Q</v>
      </c>
      <c r="AS288" s="3">
        <v>261</v>
      </c>
      <c r="AT288" s="3" t="str">
        <f>IFERROR(MID(VLOOKUP($B288,Seqs!$A:$B,2,0),AU288,1),"")</f>
        <v>S</v>
      </c>
      <c r="AU288" s="3">
        <v>278</v>
      </c>
      <c r="AV288" s="3" t="str">
        <f>IFERROR(MID(VLOOKUP($B288,Seqs!$A:$B,2,0),AW288,1),"")</f>
        <v/>
      </c>
      <c r="AW288" s="3" t="s">
        <v>23</v>
      </c>
      <c r="AX288" s="3" t="str">
        <f>IFERROR(MID(VLOOKUP($B288,Seqs!$A:$B,2,0),AY288,1),"")</f>
        <v/>
      </c>
      <c r="AY288" s="3" t="s">
        <v>23</v>
      </c>
      <c r="AZ288" s="77" t="str">
        <f>VLOOKUP(B288,Classification!A:D,2,0)</f>
        <v>A</v>
      </c>
      <c r="BA288" s="94" t="str">
        <f>VLOOKUP(B288,Classification!A:D,4,0)</f>
        <v>Leukotriene</v>
      </c>
      <c r="BB288" s="27" t="b">
        <f t="shared" si="1176"/>
        <v>1</v>
      </c>
      <c r="BC288" s="23">
        <f t="shared" si="1177"/>
        <v>222</v>
      </c>
      <c r="BD288" s="2" t="s">
        <v>1382</v>
      </c>
      <c r="BE288" s="3" t="s">
        <v>1380</v>
      </c>
      <c r="BF288" s="119">
        <v>3.7</v>
      </c>
      <c r="BG288" s="49" t="s">
        <v>1</v>
      </c>
      <c r="BH288" s="49" t="s">
        <v>1383</v>
      </c>
      <c r="BI288" s="1"/>
      <c r="BJ288" s="70" t="s">
        <v>1293</v>
      </c>
      <c r="BK288" s="57" t="s">
        <v>1293</v>
      </c>
      <c r="BL288" s="57" t="s">
        <v>1293</v>
      </c>
      <c r="BM288" s="57" t="s">
        <v>1293</v>
      </c>
      <c r="BN288" s="57" t="s">
        <v>1293</v>
      </c>
      <c r="BO288" s="57" t="s">
        <v>1293</v>
      </c>
      <c r="BP288" s="57" t="s">
        <v>1293</v>
      </c>
      <c r="BQ288" s="57" t="s">
        <v>1293</v>
      </c>
      <c r="BR288" s="57" t="s">
        <v>1293</v>
      </c>
      <c r="BS288" s="57" t="s">
        <v>1293</v>
      </c>
      <c r="BT288" s="57" t="s">
        <v>1293</v>
      </c>
      <c r="BU288" s="57" t="s">
        <v>1293</v>
      </c>
      <c r="BV288" s="70">
        <f t="shared" si="1178"/>
        <v>17</v>
      </c>
      <c r="BW288" s="71" t="str">
        <f t="shared" si="1179"/>
        <v>-</v>
      </c>
      <c r="BX288" s="72">
        <f t="shared" si="1180"/>
        <v>53</v>
      </c>
      <c r="BY288" s="71">
        <f t="shared" si="1181"/>
        <v>84</v>
      </c>
      <c r="BZ288" s="72">
        <f t="shared" si="1182"/>
        <v>88</v>
      </c>
      <c r="CA288" s="71">
        <f t="shared" si="1183"/>
        <v>124</v>
      </c>
      <c r="CB288" s="72">
        <f t="shared" si="1184"/>
        <v>132</v>
      </c>
      <c r="CC288" s="71">
        <f t="shared" si="1185"/>
        <v>170</v>
      </c>
      <c r="CD288" s="72">
        <f t="shared" si="1186"/>
        <v>176</v>
      </c>
      <c r="CE288" s="71">
        <f t="shared" si="1187"/>
        <v>227</v>
      </c>
      <c r="CF288" s="72">
        <f t="shared" si="1188"/>
        <v>261</v>
      </c>
      <c r="CG288" s="71" t="str">
        <f t="shared" si="1189"/>
        <v>-</v>
      </c>
      <c r="CH288" s="70">
        <f t="shared" si="1190"/>
        <v>48</v>
      </c>
      <c r="CI288" s="71" t="str">
        <f t="shared" si="1191"/>
        <v>-</v>
      </c>
      <c r="CJ288" s="72">
        <f t="shared" si="1192"/>
        <v>83</v>
      </c>
      <c r="CK288" s="72">
        <f t="shared" si="1193"/>
        <v>87</v>
      </c>
      <c r="CL288" s="72">
        <f t="shared" si="1194"/>
        <v>123</v>
      </c>
      <c r="CM288" s="72">
        <f t="shared" si="1195"/>
        <v>131</v>
      </c>
      <c r="CN288" s="72">
        <f t="shared" si="1196"/>
        <v>158</v>
      </c>
      <c r="CO288" s="72">
        <f t="shared" si="1197"/>
        <v>172</v>
      </c>
      <c r="CP288" s="72">
        <f t="shared" si="1198"/>
        <v>213</v>
      </c>
      <c r="CQ288" s="72">
        <f t="shared" si="1199"/>
        <v>249</v>
      </c>
      <c r="CR288" s="72">
        <f t="shared" si="1200"/>
        <v>278</v>
      </c>
      <c r="CS288" s="72" t="str">
        <f t="shared" si="1201"/>
        <v>-</v>
      </c>
      <c r="CT288" s="23" t="e">
        <f t="shared" si="1202"/>
        <v>#VALUE!</v>
      </c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</row>
    <row r="289" spans="1:1030" x14ac:dyDescent="0.2">
      <c r="A289" s="3" t="str">
        <f t="shared" si="1117"/>
        <v>s1pr1_human__wt</v>
      </c>
      <c r="B289" s="3" t="s">
        <v>104</v>
      </c>
      <c r="C289" s="3" t="s">
        <v>100</v>
      </c>
      <c r="D289" s="3" t="str">
        <f>IFERROR(MID(VLOOKUP($B289,Seqs!$A:$B,2,0),E289,1),"")</f>
        <v>E</v>
      </c>
      <c r="E289" s="3">
        <v>42</v>
      </c>
      <c r="F289" s="3" t="str">
        <f>IFERROR(MID(VLOOKUP($B289,Seqs!$A:$B,2,0),G289,1),"")</f>
        <v>T</v>
      </c>
      <c r="G289" s="3">
        <v>73</v>
      </c>
      <c r="H289" s="3" t="str">
        <f>IFERROR(MID(VLOOKUP($B289,Seqs!$A:$B,2,0),I289,1),"")</f>
        <v>K</v>
      </c>
      <c r="I289" s="23">
        <v>74</v>
      </c>
      <c r="J289" s="3" t="str">
        <f>IFERROR(MID(VLOOKUP($B289,Seqs!$A:$B,2,0),K289,1),"")</f>
        <v>H</v>
      </c>
      <c r="K289" s="23">
        <v>77</v>
      </c>
      <c r="L289" s="3" t="str">
        <f>IFERROR(MID(VLOOKUP($B289,Seqs!$A:$B,2,0),M289,1),"")</f>
        <v>R</v>
      </c>
      <c r="M289" s="3">
        <v>78</v>
      </c>
      <c r="N289" s="3" t="str">
        <f>IFERROR(MID(VLOOKUP($B289,Seqs!$A:$B,2,0),O289,1),"")</f>
        <v>L</v>
      </c>
      <c r="O289" s="3">
        <v>104</v>
      </c>
      <c r="P289" s="3" t="str">
        <f>IFERROR(MID(VLOOKUP($B289,Seqs!$A:$B,2,0),Q289,1),"")</f>
        <v>G</v>
      </c>
      <c r="Q289" s="3">
        <v>106</v>
      </c>
      <c r="R289" s="3" t="str">
        <f>IFERROR(MID(VLOOKUP($B289,Seqs!$A:$B,2,0),S289,1),"")</f>
        <v>L</v>
      </c>
      <c r="S289" s="3">
        <v>112</v>
      </c>
      <c r="T289" s="3" t="str">
        <f>IFERROR(MID(VLOOKUP($B289,Seqs!$A:$B,2,0),U289,1),"")</f>
        <v>T</v>
      </c>
      <c r="U289" s="3">
        <v>113</v>
      </c>
      <c r="V289" s="3" t="str">
        <f>IFERROR(MID(VLOOKUP($B289,Seqs!$A:$B,2,0),W289,1),"")</f>
        <v>K</v>
      </c>
      <c r="W289" s="105">
        <v>148</v>
      </c>
      <c r="X289" s="3" t="str">
        <f>IFERROR(MID(VLOOKUP($B289,Seqs!$A:$B,2,0),Y289,1),"")</f>
        <v>M</v>
      </c>
      <c r="Y289" s="105">
        <v>149</v>
      </c>
      <c r="Z289" s="3" t="str">
        <f>IFERROR(MID(VLOOKUP($B289,Seqs!$A:$B,2,0),AA289,1),"")</f>
        <v>S</v>
      </c>
      <c r="AA289" s="105">
        <v>155</v>
      </c>
      <c r="AB289" s="3" t="str">
        <f>IFERROR(MID(VLOOKUP($B289,Seqs!$A:$B,2,0),AC289,1),"")</f>
        <v>N</v>
      </c>
      <c r="AC289" s="105">
        <v>156</v>
      </c>
      <c r="AD289" s="3" t="str">
        <f>IFERROR(MID(VLOOKUP($B289,Seqs!$A:$B,2,0),AE289,1),"")</f>
        <v>G</v>
      </c>
      <c r="AE289" s="3">
        <v>181</v>
      </c>
      <c r="AF289" s="3" t="str">
        <f>IFERROR(MID(VLOOKUP($B289,Seqs!$A:$B,2,0),AG289,1),"")</f>
        <v/>
      </c>
      <c r="AG289" s="3" t="s">
        <v>23</v>
      </c>
      <c r="AH289" s="3" t="str">
        <f>IFERROR(MID(VLOOKUP($B289,Seqs!$A:$B,2,0),AI289,1),"")</f>
        <v/>
      </c>
      <c r="AI289" s="3" t="s">
        <v>23</v>
      </c>
      <c r="AJ289" s="3" t="str">
        <f>IFERROR(MID(VLOOKUP($B289,Seqs!$A:$B,2,0),AK289,1),"")</f>
        <v>H</v>
      </c>
      <c r="AK289" s="3">
        <v>199</v>
      </c>
      <c r="AL289" s="3" t="str">
        <f>IFERROR(MID(VLOOKUP($B289,Seqs!$A:$B,2,0),AM289,1),"")</f>
        <v>T</v>
      </c>
      <c r="AM289" s="3">
        <v>236</v>
      </c>
      <c r="AN289" s="3" t="str">
        <f>IFERROR(MID(VLOOKUP($B289,Seqs!$A:$B,2,0),AO289,1),"")</f>
        <v>S</v>
      </c>
      <c r="AO289" s="3">
        <v>245</v>
      </c>
      <c r="AP289" s="3" t="str">
        <f>IFERROR(MID(VLOOKUP($B289,Seqs!$A:$B,2,0),AQ289,1),"")</f>
        <v>C</v>
      </c>
      <c r="AQ289" s="3">
        <v>282</v>
      </c>
      <c r="AR289" s="3" t="str">
        <f>IFERROR(MID(VLOOKUP($B289,Seqs!$A:$B,2,0),AS289,1),"")</f>
        <v>D</v>
      </c>
      <c r="AS289" s="3">
        <v>288</v>
      </c>
      <c r="AT289" s="3" t="str">
        <f>IFERROR(MID(VLOOKUP($B289,Seqs!$A:$B,2,0),AU289,1),"")</f>
        <v>T</v>
      </c>
      <c r="AU289" s="3">
        <v>314</v>
      </c>
      <c r="AV289" s="3" t="str">
        <f>IFERROR(MID(VLOOKUP($B289,Seqs!$A:$B,2,0),AW289,1),"")</f>
        <v>N</v>
      </c>
      <c r="AW289" s="3">
        <v>315</v>
      </c>
      <c r="AX289" s="3" t="str">
        <f>IFERROR(MID(VLOOKUP($B289,Seqs!$A:$B,2,0),AY289,1),"")</f>
        <v>S</v>
      </c>
      <c r="AY289" s="3">
        <v>327</v>
      </c>
      <c r="AZ289" s="77" t="str">
        <f>VLOOKUP(B289,Classification!A:D,2,0)</f>
        <v>A</v>
      </c>
      <c r="BA289" s="94" t="str">
        <f>VLOOKUP(B289,Classification!A:D,4,0)</f>
        <v>Lysophospholipid(S1P)</v>
      </c>
      <c r="BB289" s="27" t="b">
        <f t="shared" si="1118"/>
        <v>1</v>
      </c>
      <c r="BC289" s="23">
        <f t="shared" si="1091"/>
        <v>256</v>
      </c>
      <c r="BD289" s="56" t="s">
        <v>23</v>
      </c>
      <c r="BE289" s="3" t="s">
        <v>23</v>
      </c>
      <c r="BF289" s="119" t="s">
        <v>23</v>
      </c>
      <c r="BG289" s="49" t="s">
        <v>1378</v>
      </c>
      <c r="BH289" s="49" t="s">
        <v>1383</v>
      </c>
      <c r="BI289" s="1"/>
      <c r="BJ289" s="70" t="s">
        <v>1293</v>
      </c>
      <c r="BK289" s="57" t="s">
        <v>1293</v>
      </c>
      <c r="BL289" s="57" t="s">
        <v>1293</v>
      </c>
      <c r="BM289" s="57" t="s">
        <v>1293</v>
      </c>
      <c r="BN289" s="57" t="s">
        <v>1293</v>
      </c>
      <c r="BO289" s="57" t="s">
        <v>1293</v>
      </c>
      <c r="BP289" s="57" t="s">
        <v>1293</v>
      </c>
      <c r="BQ289" s="57" t="s">
        <v>1293</v>
      </c>
      <c r="BR289" s="57" t="s">
        <v>1293</v>
      </c>
      <c r="BS289" s="57" t="s">
        <v>1293</v>
      </c>
      <c r="BT289" s="57" t="s">
        <v>1293</v>
      </c>
      <c r="BU289" s="57" t="s">
        <v>1293</v>
      </c>
      <c r="BV289" s="70">
        <f t="shared" si="1092"/>
        <v>42</v>
      </c>
      <c r="BW289" s="71">
        <f t="shared" si="1093"/>
        <v>74</v>
      </c>
      <c r="BX289" s="72">
        <f t="shared" si="1094"/>
        <v>78</v>
      </c>
      <c r="BY289" s="71">
        <f t="shared" si="1095"/>
        <v>106</v>
      </c>
      <c r="BZ289" s="72">
        <f t="shared" si="1096"/>
        <v>113</v>
      </c>
      <c r="CA289" s="71">
        <f t="shared" si="1097"/>
        <v>149</v>
      </c>
      <c r="CB289" s="72">
        <f t="shared" si="1098"/>
        <v>156</v>
      </c>
      <c r="CC289" s="71" t="str">
        <f t="shared" si="1099"/>
        <v>-</v>
      </c>
      <c r="CD289" s="72">
        <f t="shared" si="1100"/>
        <v>199</v>
      </c>
      <c r="CE289" s="71">
        <f t="shared" si="1101"/>
        <v>245</v>
      </c>
      <c r="CF289" s="72">
        <f t="shared" si="1102"/>
        <v>288</v>
      </c>
      <c r="CG289" s="71">
        <f t="shared" si="1103"/>
        <v>315</v>
      </c>
      <c r="CH289" s="70">
        <f t="shared" si="1104"/>
        <v>73</v>
      </c>
      <c r="CI289" s="71">
        <f t="shared" si="1105"/>
        <v>77</v>
      </c>
      <c r="CJ289" s="72">
        <f t="shared" si="1106"/>
        <v>104</v>
      </c>
      <c r="CK289" s="72">
        <f t="shared" si="1107"/>
        <v>112</v>
      </c>
      <c r="CL289" s="72">
        <f t="shared" si="1108"/>
        <v>148</v>
      </c>
      <c r="CM289" s="72">
        <f t="shared" si="1109"/>
        <v>155</v>
      </c>
      <c r="CN289" s="72">
        <f t="shared" si="1110"/>
        <v>181</v>
      </c>
      <c r="CO289" s="72" t="str">
        <f t="shared" si="1111"/>
        <v>-</v>
      </c>
      <c r="CP289" s="72">
        <f t="shared" si="1112"/>
        <v>236</v>
      </c>
      <c r="CQ289" s="72">
        <f t="shared" si="1113"/>
        <v>282</v>
      </c>
      <c r="CR289" s="72">
        <f t="shared" si="1114"/>
        <v>314</v>
      </c>
      <c r="CS289" s="72">
        <f t="shared" si="1115"/>
        <v>327</v>
      </c>
      <c r="CT289" s="23">
        <f t="shared" si="1116"/>
        <v>1</v>
      </c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</row>
    <row r="290" spans="1:1030" x14ac:dyDescent="0.2">
      <c r="A290" s="3" t="str">
        <f t="shared" si="1117"/>
        <v>s1pr1_human_3V2Y</v>
      </c>
      <c r="B290" s="3" t="s">
        <v>104</v>
      </c>
      <c r="C290" s="3" t="s">
        <v>94</v>
      </c>
      <c r="D290" s="3" t="str">
        <f>IFERROR(MID(VLOOKUP($B290,Seqs!$A:$B,2,0),E290,1),"")</f>
        <v>E</v>
      </c>
      <c r="E290" s="3">
        <v>42</v>
      </c>
      <c r="F290" s="3" t="str">
        <f>IFERROR(MID(VLOOKUP($B290,Seqs!$A:$B,2,0),G290,1),"")</f>
        <v>T</v>
      </c>
      <c r="G290" s="3">
        <v>73</v>
      </c>
      <c r="H290" s="3" t="str">
        <f>IFERROR(MID(VLOOKUP($B290,Seqs!$A:$B,2,0),I290,1),"")</f>
        <v>K</v>
      </c>
      <c r="I290" s="23">
        <v>74</v>
      </c>
      <c r="J290" s="3" t="str">
        <f>IFERROR(MID(VLOOKUP($B290,Seqs!$A:$B,2,0),K290,1),"")</f>
        <v>H</v>
      </c>
      <c r="K290" s="23">
        <v>77</v>
      </c>
      <c r="L290" s="3" t="str">
        <f>IFERROR(MID(VLOOKUP($B290,Seqs!$A:$B,2,0),M290,1),"")</f>
        <v>R</v>
      </c>
      <c r="M290" s="3">
        <v>78</v>
      </c>
      <c r="N290" s="3" t="str">
        <f>IFERROR(MID(VLOOKUP($B290,Seqs!$A:$B,2,0),O290,1),"")</f>
        <v>L</v>
      </c>
      <c r="O290" s="3">
        <v>104</v>
      </c>
      <c r="P290" s="3" t="str">
        <f>IFERROR(MID(VLOOKUP($B290,Seqs!$A:$B,2,0),Q290,1),"")</f>
        <v>G</v>
      </c>
      <c r="Q290" s="3">
        <v>106</v>
      </c>
      <c r="R290" s="3" t="str">
        <f>IFERROR(MID(VLOOKUP($B290,Seqs!$A:$B,2,0),S290,1),"")</f>
        <v>L</v>
      </c>
      <c r="S290" s="3">
        <v>112</v>
      </c>
      <c r="T290" s="3" t="str">
        <f>IFERROR(MID(VLOOKUP($B290,Seqs!$A:$B,2,0),U290,1),"")</f>
        <v>T</v>
      </c>
      <c r="U290" s="3">
        <v>113</v>
      </c>
      <c r="V290" s="3" t="str">
        <f>IFERROR(MID(VLOOKUP($B290,Seqs!$A:$B,2,0),W290,1),"")</f>
        <v>T</v>
      </c>
      <c r="W290" s="105">
        <v>145</v>
      </c>
      <c r="X290" s="3" t="str">
        <f>IFERROR(MID(VLOOKUP($B290,Seqs!$A:$B,2,0),Y290,1),"")</f>
        <v/>
      </c>
      <c r="Y290" s="3" t="s">
        <v>23</v>
      </c>
      <c r="Z290" s="3" t="str">
        <f>IFERROR(MID(VLOOKUP($B290,Seqs!$A:$B,2,0),AA290,1),"")</f>
        <v/>
      </c>
      <c r="AA290" s="3" t="s">
        <v>23</v>
      </c>
      <c r="AB290" s="3" t="str">
        <f>IFERROR(MID(VLOOKUP($B290,Seqs!$A:$B,2,0),AC290,1),"")</f>
        <v>N</v>
      </c>
      <c r="AC290" s="105">
        <v>156</v>
      </c>
      <c r="AD290" s="3" t="str">
        <f>IFERROR(MID(VLOOKUP($B290,Seqs!$A:$B,2,0),AE290,1),"")</f>
        <v>G</v>
      </c>
      <c r="AE290" s="3">
        <v>181</v>
      </c>
      <c r="AF290" s="3" t="str">
        <f>IFERROR(MID(VLOOKUP($B290,Seqs!$A:$B,2,0),AG290,1),"")</f>
        <v/>
      </c>
      <c r="AG290" s="3" t="s">
        <v>23</v>
      </c>
      <c r="AH290" s="3" t="str">
        <f>IFERROR(MID(VLOOKUP($B290,Seqs!$A:$B,2,0),AI290,1),"")</f>
        <v/>
      </c>
      <c r="AI290" s="3" t="s">
        <v>23</v>
      </c>
      <c r="AJ290" s="3" t="str">
        <f>IFERROR(MID(VLOOKUP($B290,Seqs!$A:$B,2,0),AK290,1),"")</f>
        <v>H</v>
      </c>
      <c r="AK290" s="3">
        <v>199</v>
      </c>
      <c r="AL290" s="3" t="str">
        <f>IFERROR(MID(VLOOKUP($B290,Seqs!$A:$B,2,0),AM290,1),"")</f>
        <v>R</v>
      </c>
      <c r="AM290" s="3">
        <v>231</v>
      </c>
      <c r="AN290" s="3" t="str">
        <f>IFERROR(MID(VLOOKUP($B290,Seqs!$A:$B,2,0),AO290,1),"")</f>
        <v>S</v>
      </c>
      <c r="AO290" s="3">
        <v>251</v>
      </c>
      <c r="AP290" s="3" t="str">
        <f>IFERROR(MID(VLOOKUP($B290,Seqs!$A:$B,2,0),AQ290,1),"")</f>
        <v>C</v>
      </c>
      <c r="AQ290" s="3">
        <v>282</v>
      </c>
      <c r="AR290" s="3" t="str">
        <f>IFERROR(MID(VLOOKUP($B290,Seqs!$A:$B,2,0),AS290,1),"")</f>
        <v>D</v>
      </c>
      <c r="AS290" s="3">
        <v>288</v>
      </c>
      <c r="AT290" s="3" t="str">
        <f>IFERROR(MID(VLOOKUP($B290,Seqs!$A:$B,2,0),AU290,1),"")</f>
        <v>T</v>
      </c>
      <c r="AU290" s="3">
        <v>314</v>
      </c>
      <c r="AV290" s="3" t="str">
        <f>IFERROR(MID(VLOOKUP($B290,Seqs!$A:$B,2,0),AW290,1),"")</f>
        <v>N</v>
      </c>
      <c r="AW290" s="3">
        <v>315</v>
      </c>
      <c r="AX290" s="3" t="str">
        <f>IFERROR(MID(VLOOKUP($B290,Seqs!$A:$B,2,0),AY290,1),"")</f>
        <v>I</v>
      </c>
      <c r="AY290" s="3">
        <v>323</v>
      </c>
      <c r="AZ290" s="77" t="str">
        <f>VLOOKUP(B290,Classification!A:D,2,0)</f>
        <v>A</v>
      </c>
      <c r="BA290" s="94" t="str">
        <f>VLOOKUP(B290,Classification!A:D,4,0)</f>
        <v>Lysophospholipid(S1P)</v>
      </c>
      <c r="BB290" s="27" t="b">
        <f t="shared" si="1118"/>
        <v>1</v>
      </c>
      <c r="BC290" s="23">
        <f t="shared" si="1091"/>
        <v>232</v>
      </c>
      <c r="BD290" s="2" t="s">
        <v>1382</v>
      </c>
      <c r="BE290" s="3" t="s">
        <v>1380</v>
      </c>
      <c r="BF290" s="119">
        <v>2.8</v>
      </c>
      <c r="BG290" s="49" t="s">
        <v>1383</v>
      </c>
      <c r="BH290" s="49" t="s">
        <v>1383</v>
      </c>
      <c r="BI290" s="1"/>
      <c r="BJ290" s="70" t="s">
        <v>1293</v>
      </c>
      <c r="BK290" s="57" t="s">
        <v>1293</v>
      </c>
      <c r="BL290" s="57" t="s">
        <v>1293</v>
      </c>
      <c r="BM290" s="57" t="s">
        <v>1293</v>
      </c>
      <c r="BN290" s="57" t="s">
        <v>1293</v>
      </c>
      <c r="BO290" s="57" t="s">
        <v>1293</v>
      </c>
      <c r="BP290" s="57" t="s">
        <v>1293</v>
      </c>
      <c r="BQ290" s="57" t="s">
        <v>1293</v>
      </c>
      <c r="BR290" s="57" t="s">
        <v>1293</v>
      </c>
      <c r="BS290" s="57" t="s">
        <v>1293</v>
      </c>
      <c r="BT290" s="57" t="s">
        <v>1293</v>
      </c>
      <c r="BU290" s="57" t="s">
        <v>1293</v>
      </c>
      <c r="BV290" s="70">
        <f t="shared" si="1092"/>
        <v>42</v>
      </c>
      <c r="BW290" s="71">
        <f t="shared" si="1093"/>
        <v>74</v>
      </c>
      <c r="BX290" s="72">
        <f t="shared" si="1094"/>
        <v>78</v>
      </c>
      <c r="BY290" s="71">
        <f t="shared" si="1095"/>
        <v>106</v>
      </c>
      <c r="BZ290" s="72">
        <f t="shared" si="1096"/>
        <v>113</v>
      </c>
      <c r="CA290" s="71" t="str">
        <f t="shared" si="1097"/>
        <v>-</v>
      </c>
      <c r="CB290" s="72">
        <f t="shared" si="1098"/>
        <v>156</v>
      </c>
      <c r="CC290" s="71" t="str">
        <f t="shared" si="1099"/>
        <v>-</v>
      </c>
      <c r="CD290" s="72">
        <f t="shared" si="1100"/>
        <v>199</v>
      </c>
      <c r="CE290" s="71">
        <f t="shared" si="1101"/>
        <v>251</v>
      </c>
      <c r="CF290" s="72">
        <f t="shared" si="1102"/>
        <v>288</v>
      </c>
      <c r="CG290" s="71">
        <f t="shared" si="1103"/>
        <v>315</v>
      </c>
      <c r="CH290" s="70">
        <f t="shared" si="1104"/>
        <v>73</v>
      </c>
      <c r="CI290" s="71">
        <f t="shared" si="1105"/>
        <v>77</v>
      </c>
      <c r="CJ290" s="72">
        <f t="shared" si="1106"/>
        <v>104</v>
      </c>
      <c r="CK290" s="72">
        <f t="shared" si="1107"/>
        <v>112</v>
      </c>
      <c r="CL290" s="72">
        <f t="shared" si="1108"/>
        <v>145</v>
      </c>
      <c r="CM290" s="72" t="str">
        <f t="shared" si="1109"/>
        <v>-</v>
      </c>
      <c r="CN290" s="72">
        <f t="shared" si="1110"/>
        <v>181</v>
      </c>
      <c r="CO290" s="72" t="str">
        <f t="shared" si="1111"/>
        <v>-</v>
      </c>
      <c r="CP290" s="72">
        <f t="shared" si="1112"/>
        <v>231</v>
      </c>
      <c r="CQ290" s="72">
        <f t="shared" si="1113"/>
        <v>282</v>
      </c>
      <c r="CR290" s="72">
        <f t="shared" si="1114"/>
        <v>314</v>
      </c>
      <c r="CS290" s="72">
        <f t="shared" si="1115"/>
        <v>323</v>
      </c>
      <c r="CT290" s="23">
        <f t="shared" si="1116"/>
        <v>1</v>
      </c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</row>
    <row r="291" spans="1:1030" x14ac:dyDescent="0.2">
      <c r="A291" s="3" t="str">
        <f t="shared" si="1117"/>
        <v>us28_hcmva__wt</v>
      </c>
      <c r="B291" s="3" t="s">
        <v>924</v>
      </c>
      <c r="C291" s="3" t="s">
        <v>100</v>
      </c>
      <c r="D291" s="3" t="str">
        <f>IFERROR(MID(VLOOKUP($B291,Seqs!$A:$B,2,0),E291,1),"")</f>
        <v>F</v>
      </c>
      <c r="E291" s="105">
        <v>25</v>
      </c>
      <c r="F291" s="3" t="str">
        <f>IFERROR(MID(VLOOKUP($B291,Seqs!$A:$B,2,0),G291,1),"")</f>
        <v>R</v>
      </c>
      <c r="G291" s="3">
        <v>61</v>
      </c>
      <c r="H291" s="3" t="str">
        <f>IFERROR(MID(VLOOKUP($B291,Seqs!$A:$B,2,0),I291,1),"")</f>
        <v>R</v>
      </c>
      <c r="I291" s="23">
        <v>62</v>
      </c>
      <c r="J291" s="3" t="str">
        <f>IFERROR(MID(VLOOKUP($B291,Seqs!$A:$B,2,0),K291,1),"")</f>
        <v>Q</v>
      </c>
      <c r="K291" s="23">
        <v>65</v>
      </c>
      <c r="L291" s="3" t="str">
        <f>IFERROR(MID(VLOOKUP($B291,Seqs!$A:$B,2,0),M291,1),"")</f>
        <v>C</v>
      </c>
      <c r="M291" s="3">
        <v>66</v>
      </c>
      <c r="N291" s="3" t="str">
        <f>IFERROR(MID(VLOOKUP($B291,Seqs!$A:$B,2,0),O291,1),"")</f>
        <v>D</v>
      </c>
      <c r="O291" s="3">
        <v>95</v>
      </c>
      <c r="P291" s="3" t="str">
        <f>IFERROR(MID(VLOOKUP($B291,Seqs!$A:$B,2,0),Q291,1),"")</f>
        <v/>
      </c>
      <c r="Q291" s="3" t="s">
        <v>23</v>
      </c>
      <c r="R291" s="3" t="str">
        <f>IFERROR(MID(VLOOKUP($B291,Seqs!$A:$B,2,0),S291,1),"")</f>
        <v/>
      </c>
      <c r="S291" s="3" t="s">
        <v>23</v>
      </c>
      <c r="T291" s="3" t="str">
        <f>IFERROR(MID(VLOOKUP($B291,Seqs!$A:$B,2,0),U291,1),"")</f>
        <v>A</v>
      </c>
      <c r="U291" s="105">
        <v>100</v>
      </c>
      <c r="V291" s="3" t="str">
        <f>IFERROR(MID(VLOOKUP($B291,Seqs!$A:$B,2,0),W291,1),"")</f>
        <v>V</v>
      </c>
      <c r="W291" s="105">
        <v>134</v>
      </c>
      <c r="X291" s="3" t="str">
        <f>IFERROR(MID(VLOOKUP($B291,Seqs!$A:$B,2,0),Y291,1),"")</f>
        <v/>
      </c>
      <c r="Y291" s="3" t="s">
        <v>23</v>
      </c>
      <c r="Z291" s="3" t="str">
        <f>IFERROR(MID(VLOOKUP($B291,Seqs!$A:$B,2,0),AA291,1),"")</f>
        <v/>
      </c>
      <c r="AA291" s="3" t="s">
        <v>23</v>
      </c>
      <c r="AB291" s="3" t="str">
        <f>IFERROR(MID(VLOOKUP($B291,Seqs!$A:$B,2,0),AC291,1),"")</f>
        <v>P</v>
      </c>
      <c r="AC291" s="9">
        <v>140</v>
      </c>
      <c r="AD291" s="3" t="str">
        <f>IFERROR(MID(VLOOKUP($B291,Seqs!$A:$B,2,0),AE291,1),"")</f>
        <v>M</v>
      </c>
      <c r="AE291" s="105">
        <v>164</v>
      </c>
      <c r="AF291" s="3" t="str">
        <f>IFERROR(MID(VLOOKUP($B291,Seqs!$A:$B,2,0),AG291,1),"")</f>
        <v>C</v>
      </c>
      <c r="AG291" s="3">
        <v>173</v>
      </c>
      <c r="AH291" s="3" t="str">
        <f>IFERROR(MID(VLOOKUP($B291,Seqs!$A:$B,2,0),AI291,1),"")</f>
        <v>T</v>
      </c>
      <c r="AI291" s="3">
        <v>175</v>
      </c>
      <c r="AJ291" s="3" t="str">
        <f>IFERROR(MID(VLOOKUP($B291,Seqs!$A:$B,2,0),AK291,1),"")</f>
        <v>S</v>
      </c>
      <c r="AK291" s="105">
        <v>183</v>
      </c>
      <c r="AL291" s="3" t="str">
        <f>IFERROR(MID(VLOOKUP($B291,Seqs!$A:$B,2,0),AM291,1),"")</f>
        <v>S</v>
      </c>
      <c r="AM291" s="3">
        <v>218</v>
      </c>
      <c r="AN291" s="3" t="str">
        <f>IFERROR(MID(VLOOKUP($B291,Seqs!$A:$B,2,0),AO291,1),"")</f>
        <v>H</v>
      </c>
      <c r="AO291" s="3">
        <v>222</v>
      </c>
      <c r="AP291" s="3" t="str">
        <f>IFERROR(MID(VLOOKUP($B291,Seqs!$A:$B,2,0),AQ291,1),"")</f>
        <v>K</v>
      </c>
      <c r="AQ291" s="3">
        <v>257</v>
      </c>
      <c r="AR291" s="3" t="str">
        <f>IFERROR(MID(VLOOKUP($B291,Seqs!$A:$B,2,0),AS291,1),"")</f>
        <v>S</v>
      </c>
      <c r="AS291" s="3">
        <v>262</v>
      </c>
      <c r="AT291" s="3" t="str">
        <f>IFERROR(MID(VLOOKUP($B291,Seqs!$A:$B,2,0),AU291,1),"")</f>
        <v>V</v>
      </c>
      <c r="AU291" s="3">
        <v>294</v>
      </c>
      <c r="AV291" s="3" t="str">
        <f>IFERROR(MID(VLOOKUP($B291,Seqs!$A:$B,2,0),AW291,1),"")</f>
        <v>G</v>
      </c>
      <c r="AW291" s="3">
        <v>295</v>
      </c>
      <c r="AX291" s="3" t="str">
        <f>IFERROR(MID(VLOOKUP($B291,Seqs!$A:$B,2,0),AY291,1),"")</f>
        <v>R</v>
      </c>
      <c r="AY291" s="3">
        <v>310</v>
      </c>
      <c r="AZ291" s="77" t="str">
        <f>VLOOKUP(B291,Classification!A:D,2,0)</f>
        <v>A</v>
      </c>
      <c r="BA291" s="94" t="str">
        <f>VLOOKUP(B291,Classification!A:D,4,0)</f>
        <v>Chemokine</v>
      </c>
      <c r="BB291" s="27" t="b">
        <f t="shared" si="1118"/>
        <v>1</v>
      </c>
      <c r="BC291" s="23">
        <f t="shared" si="1091"/>
        <v>257</v>
      </c>
      <c r="BD291" s="56" t="s">
        <v>23</v>
      </c>
      <c r="BE291" s="3" t="s">
        <v>23</v>
      </c>
      <c r="BF291" s="119" t="s">
        <v>23</v>
      </c>
      <c r="BG291" s="49" t="s">
        <v>1378</v>
      </c>
      <c r="BH291" s="49" t="s">
        <v>1383</v>
      </c>
      <c r="BI291" s="1"/>
      <c r="BJ291" s="70" t="s">
        <v>1293</v>
      </c>
      <c r="BK291" s="57" t="s">
        <v>1293</v>
      </c>
      <c r="BL291" s="57" t="s">
        <v>1293</v>
      </c>
      <c r="BM291" s="57" t="s">
        <v>1293</v>
      </c>
      <c r="BN291" s="57" t="s">
        <v>1293</v>
      </c>
      <c r="BO291" s="57" t="s">
        <v>1293</v>
      </c>
      <c r="BP291" s="57" t="s">
        <v>1293</v>
      </c>
      <c r="BQ291" s="57" t="s">
        <v>1293</v>
      </c>
      <c r="BR291" s="57" t="s">
        <v>1293</v>
      </c>
      <c r="BS291" s="57" t="s">
        <v>1293</v>
      </c>
      <c r="BT291" s="57" t="s">
        <v>1293</v>
      </c>
      <c r="BU291" s="57" t="s">
        <v>1293</v>
      </c>
      <c r="BV291" s="70">
        <f t="shared" si="1092"/>
        <v>25</v>
      </c>
      <c r="BW291" s="71">
        <f t="shared" si="1093"/>
        <v>62</v>
      </c>
      <c r="BX291" s="72">
        <f t="shared" si="1094"/>
        <v>66</v>
      </c>
      <c r="BY291" s="71" t="str">
        <f t="shared" si="1095"/>
        <v>-</v>
      </c>
      <c r="BZ291" s="72">
        <f t="shared" si="1096"/>
        <v>100</v>
      </c>
      <c r="CA291" s="71" t="str">
        <f t="shared" si="1097"/>
        <v>-</v>
      </c>
      <c r="CB291" s="72">
        <f t="shared" si="1098"/>
        <v>140</v>
      </c>
      <c r="CC291" s="71">
        <f t="shared" si="1099"/>
        <v>173</v>
      </c>
      <c r="CD291" s="72">
        <f t="shared" si="1100"/>
        <v>183</v>
      </c>
      <c r="CE291" s="71">
        <f t="shared" si="1101"/>
        <v>222</v>
      </c>
      <c r="CF291" s="72">
        <f t="shared" si="1102"/>
        <v>262</v>
      </c>
      <c r="CG291" s="71">
        <f t="shared" si="1103"/>
        <v>295</v>
      </c>
      <c r="CH291" s="70">
        <f t="shared" si="1104"/>
        <v>61</v>
      </c>
      <c r="CI291" s="71">
        <f t="shared" si="1105"/>
        <v>65</v>
      </c>
      <c r="CJ291" s="72">
        <f t="shared" si="1106"/>
        <v>95</v>
      </c>
      <c r="CK291" s="72" t="str">
        <f t="shared" si="1107"/>
        <v>-</v>
      </c>
      <c r="CL291" s="72">
        <f t="shared" si="1108"/>
        <v>134</v>
      </c>
      <c r="CM291" s="72" t="str">
        <f t="shared" si="1109"/>
        <v>-</v>
      </c>
      <c r="CN291" s="72">
        <f t="shared" si="1110"/>
        <v>164</v>
      </c>
      <c r="CO291" s="72">
        <f t="shared" si="1111"/>
        <v>175</v>
      </c>
      <c r="CP291" s="72">
        <f t="shared" si="1112"/>
        <v>218</v>
      </c>
      <c r="CQ291" s="72">
        <f t="shared" si="1113"/>
        <v>257</v>
      </c>
      <c r="CR291" s="72">
        <f t="shared" si="1114"/>
        <v>294</v>
      </c>
      <c r="CS291" s="72">
        <f t="shared" si="1115"/>
        <v>310</v>
      </c>
      <c r="CT291" s="23">
        <f t="shared" si="1116"/>
        <v>1</v>
      </c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</row>
    <row r="292" spans="1:1030" x14ac:dyDescent="0.2">
      <c r="A292" s="3" t="str">
        <f t="shared" si="1117"/>
        <v>us28_hcmva_4XT1</v>
      </c>
      <c r="B292" s="3" t="s">
        <v>924</v>
      </c>
      <c r="C292" s="3" t="s">
        <v>1124</v>
      </c>
      <c r="D292" s="3" t="str">
        <f>IFERROR(MID(VLOOKUP($B292,Seqs!$A:$B,2,0),E292,1),"")</f>
        <v>F</v>
      </c>
      <c r="E292" s="105">
        <v>25</v>
      </c>
      <c r="F292" s="3" t="str">
        <f>IFERROR(MID(VLOOKUP($B292,Seqs!$A:$B,2,0),G292,1),"")</f>
        <v>R</v>
      </c>
      <c r="G292" s="3">
        <v>61</v>
      </c>
      <c r="H292" s="3" t="str">
        <f>IFERROR(MID(VLOOKUP($B292,Seqs!$A:$B,2,0),I292,1),"")</f>
        <v/>
      </c>
      <c r="I292" s="23" t="s">
        <v>23</v>
      </c>
      <c r="J292" s="3" t="str">
        <f>IFERROR(MID(VLOOKUP($B292,Seqs!$A:$B,2,0),K292,1),"")</f>
        <v/>
      </c>
      <c r="K292" s="23" t="s">
        <v>23</v>
      </c>
      <c r="L292" s="3" t="str">
        <f>IFERROR(MID(VLOOKUP($B292,Seqs!$A:$B,2,0),M292,1),"")</f>
        <v>C</v>
      </c>
      <c r="M292" s="3">
        <v>66</v>
      </c>
      <c r="N292" s="3" t="str">
        <f>IFERROR(MID(VLOOKUP($B292,Seqs!$A:$B,2,0),O292,1),"")</f>
        <v>D</v>
      </c>
      <c r="O292" s="3">
        <v>95</v>
      </c>
      <c r="P292" s="3" t="str">
        <f>IFERROR(MID(VLOOKUP($B292,Seqs!$A:$B,2,0),Q292,1),"")</f>
        <v/>
      </c>
      <c r="Q292" s="3" t="s">
        <v>23</v>
      </c>
      <c r="R292" s="3" t="str">
        <f>IFERROR(MID(VLOOKUP($B292,Seqs!$A:$B,2,0),S292,1),"")</f>
        <v/>
      </c>
      <c r="S292" s="3" t="s">
        <v>23</v>
      </c>
      <c r="T292" s="3" t="str">
        <f>IFERROR(MID(VLOOKUP($B292,Seqs!$A:$B,2,0),U292,1),"")</f>
        <v>P</v>
      </c>
      <c r="U292" s="3">
        <v>103</v>
      </c>
      <c r="V292" s="3" t="str">
        <f>IFERROR(MID(VLOOKUP($B292,Seqs!$A:$B,2,0),W292,1),"")</f>
        <v>V</v>
      </c>
      <c r="W292" s="105">
        <v>134</v>
      </c>
      <c r="X292" s="3" t="str">
        <f>IFERROR(MID(VLOOKUP($B292,Seqs!$A:$B,2,0),Y292,1),"")</f>
        <v/>
      </c>
      <c r="Y292" s="3" t="s">
        <v>23</v>
      </c>
      <c r="Z292" s="3" t="str">
        <f>IFERROR(MID(VLOOKUP($B292,Seqs!$A:$B,2,0),AA292,1),"")</f>
        <v/>
      </c>
      <c r="AA292" s="3" t="s">
        <v>23</v>
      </c>
      <c r="AB292" s="3" t="str">
        <f>IFERROR(MID(VLOOKUP($B292,Seqs!$A:$B,2,0),AC292,1),"")</f>
        <v>P</v>
      </c>
      <c r="AC292" s="9">
        <v>140</v>
      </c>
      <c r="AD292" s="3" t="str">
        <f>IFERROR(MID(VLOOKUP($B292,Seqs!$A:$B,2,0),AE292,1),"")</f>
        <v>M</v>
      </c>
      <c r="AE292" s="105">
        <v>164</v>
      </c>
      <c r="AF292" s="3" t="str">
        <f>IFERROR(MID(VLOOKUP($B292,Seqs!$A:$B,2,0),AG292,1),"")</f>
        <v>C</v>
      </c>
      <c r="AG292" s="3">
        <v>173</v>
      </c>
      <c r="AH292" s="3" t="str">
        <f>IFERROR(MID(VLOOKUP($B292,Seqs!$A:$B,2,0),AI292,1),"")</f>
        <v>T</v>
      </c>
      <c r="AI292" s="3">
        <v>175</v>
      </c>
      <c r="AJ292" s="3" t="str">
        <f>IFERROR(MID(VLOOKUP($B292,Seqs!$A:$B,2,0),AK292,1),"")</f>
        <v>S</v>
      </c>
      <c r="AK292" s="105">
        <v>183</v>
      </c>
      <c r="AL292" s="3" t="str">
        <f>IFERROR(MID(VLOOKUP($B292,Seqs!$A:$B,2,0),AM292,1),"")</f>
        <v>S</v>
      </c>
      <c r="AM292" s="3">
        <v>218</v>
      </c>
      <c r="AN292" s="3" t="str">
        <f>IFERROR(MID(VLOOKUP($B292,Seqs!$A:$B,2,0),AO292,1),"")</f>
        <v>H</v>
      </c>
      <c r="AO292" s="3">
        <v>222</v>
      </c>
      <c r="AP292" s="3" t="str">
        <f>IFERROR(MID(VLOOKUP($B292,Seqs!$A:$B,2,0),AQ292,1),"")</f>
        <v>K</v>
      </c>
      <c r="AQ292" s="3">
        <v>257</v>
      </c>
      <c r="AR292" s="3" t="str">
        <f>IFERROR(MID(VLOOKUP($B292,Seqs!$A:$B,2,0),AS292,1),"")</f>
        <v>C</v>
      </c>
      <c r="AS292" s="3">
        <v>263</v>
      </c>
      <c r="AT292" s="3" t="str">
        <f>IFERROR(MID(VLOOKUP($B292,Seqs!$A:$B,2,0),AU292,1),"")</f>
        <v>V</v>
      </c>
      <c r="AU292" s="3">
        <v>294</v>
      </c>
      <c r="AV292" s="3" t="str">
        <f>IFERROR(MID(VLOOKUP($B292,Seqs!$A:$B,2,0),AW292,1),"")</f>
        <v>G</v>
      </c>
      <c r="AW292" s="3">
        <v>295</v>
      </c>
      <c r="AX292" s="3" t="str">
        <f>IFERROR(MID(VLOOKUP($B292,Seqs!$A:$B,2,0),AY292,1),"")</f>
        <v>R</v>
      </c>
      <c r="AY292" s="3">
        <v>310</v>
      </c>
      <c r="AZ292" s="77" t="str">
        <f>VLOOKUP(B292,Classification!A:D,2,0)</f>
        <v>A</v>
      </c>
      <c r="BA292" s="94" t="str">
        <f>VLOOKUP(B292,Classification!A:D,4,0)</f>
        <v>Chemokine</v>
      </c>
      <c r="BB292" s="27" t="b">
        <f t="shared" si="1118"/>
        <v>1</v>
      </c>
      <c r="BC292" s="23">
        <f t="shared" si="1091"/>
        <v>250</v>
      </c>
      <c r="BD292" s="4" t="s">
        <v>1381</v>
      </c>
      <c r="BE292" s="3" t="s">
        <v>1297</v>
      </c>
      <c r="BF292" s="119">
        <v>2.89</v>
      </c>
      <c r="BG292" s="49" t="s">
        <v>1383</v>
      </c>
      <c r="BH292" s="49" t="s">
        <v>1383</v>
      </c>
      <c r="BI292" s="1"/>
      <c r="BJ292" s="70" t="s">
        <v>1293</v>
      </c>
      <c r="BK292" s="57" t="s">
        <v>1293</v>
      </c>
      <c r="BL292" s="57" t="s">
        <v>1293</v>
      </c>
      <c r="BM292" s="57" t="s">
        <v>1293</v>
      </c>
      <c r="BN292" s="57" t="s">
        <v>1293</v>
      </c>
      <c r="BO292" s="57" t="s">
        <v>1293</v>
      </c>
      <c r="BP292" s="57" t="s">
        <v>1293</v>
      </c>
      <c r="BQ292" s="57" t="s">
        <v>1293</v>
      </c>
      <c r="BR292" s="57" t="s">
        <v>1293</v>
      </c>
      <c r="BS292" s="57" t="s">
        <v>1293</v>
      </c>
      <c r="BT292" s="57" t="s">
        <v>1293</v>
      </c>
      <c r="BU292" s="57" t="s">
        <v>1293</v>
      </c>
      <c r="BV292" s="70">
        <f t="shared" si="1092"/>
        <v>25</v>
      </c>
      <c r="BW292" s="71" t="str">
        <f t="shared" si="1093"/>
        <v>-</v>
      </c>
      <c r="BX292" s="72">
        <f t="shared" si="1094"/>
        <v>66</v>
      </c>
      <c r="BY292" s="71" t="str">
        <f t="shared" si="1095"/>
        <v>-</v>
      </c>
      <c r="BZ292" s="72">
        <f t="shared" si="1096"/>
        <v>103</v>
      </c>
      <c r="CA292" s="71" t="str">
        <f t="shared" si="1097"/>
        <v>-</v>
      </c>
      <c r="CB292" s="72">
        <f t="shared" si="1098"/>
        <v>140</v>
      </c>
      <c r="CC292" s="71">
        <f t="shared" si="1099"/>
        <v>173</v>
      </c>
      <c r="CD292" s="72">
        <f t="shared" si="1100"/>
        <v>183</v>
      </c>
      <c r="CE292" s="71">
        <f t="shared" si="1101"/>
        <v>222</v>
      </c>
      <c r="CF292" s="72">
        <f t="shared" si="1102"/>
        <v>263</v>
      </c>
      <c r="CG292" s="71">
        <f t="shared" si="1103"/>
        <v>295</v>
      </c>
      <c r="CH292" s="70">
        <f t="shared" si="1104"/>
        <v>61</v>
      </c>
      <c r="CI292" s="71" t="str">
        <f t="shared" si="1105"/>
        <v>-</v>
      </c>
      <c r="CJ292" s="72">
        <f t="shared" si="1106"/>
        <v>95</v>
      </c>
      <c r="CK292" s="72" t="str">
        <f t="shared" si="1107"/>
        <v>-</v>
      </c>
      <c r="CL292" s="72">
        <f t="shared" si="1108"/>
        <v>134</v>
      </c>
      <c r="CM292" s="72" t="str">
        <f t="shared" si="1109"/>
        <v>-</v>
      </c>
      <c r="CN292" s="72">
        <f t="shared" si="1110"/>
        <v>164</v>
      </c>
      <c r="CO292" s="72">
        <f t="shared" si="1111"/>
        <v>175</v>
      </c>
      <c r="CP292" s="72">
        <f t="shared" si="1112"/>
        <v>218</v>
      </c>
      <c r="CQ292" s="72">
        <f t="shared" si="1113"/>
        <v>257</v>
      </c>
      <c r="CR292" s="72">
        <f t="shared" si="1114"/>
        <v>294</v>
      </c>
      <c r="CS292" s="72">
        <f t="shared" si="1115"/>
        <v>310</v>
      </c>
      <c r="CT292" s="23" t="e">
        <f t="shared" si="1116"/>
        <v>#VALUE!</v>
      </c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</row>
    <row r="293" spans="1:1030" x14ac:dyDescent="0.2">
      <c r="A293" s="3" t="str">
        <f t="shared" si="1117"/>
        <v>us28_hcmva_4XT3</v>
      </c>
      <c r="B293" s="2" t="s">
        <v>924</v>
      </c>
      <c r="C293" s="3" t="s">
        <v>1377</v>
      </c>
      <c r="D293" s="3" t="str">
        <f>IFERROR(MID(VLOOKUP($B293,Seqs!$A:$B,2,0),E293,1),"")</f>
        <v>F</v>
      </c>
      <c r="E293" s="105">
        <v>25</v>
      </c>
      <c r="F293" s="3" t="str">
        <f>IFERROR(MID(VLOOKUP($B293,Seqs!$A:$B,2,0),G293,1),"")</f>
        <v>R</v>
      </c>
      <c r="G293" s="105">
        <v>62</v>
      </c>
      <c r="H293" s="3" t="str">
        <f>IFERROR(MID(VLOOKUP($B293,Seqs!$A:$B,2,0),I293,1),"")</f>
        <v/>
      </c>
      <c r="I293" s="23" t="s">
        <v>23</v>
      </c>
      <c r="J293" s="3" t="str">
        <f>IFERROR(MID(VLOOKUP($B293,Seqs!$A:$B,2,0),K293,1),"")</f>
        <v/>
      </c>
      <c r="K293" s="23" t="s">
        <v>23</v>
      </c>
      <c r="L293" s="3" t="str">
        <f>IFERROR(MID(VLOOKUP($B293,Seqs!$A:$B,2,0),M293,1),"")</f>
        <v>C</v>
      </c>
      <c r="M293" s="3">
        <v>66</v>
      </c>
      <c r="N293" s="3" t="str">
        <f>IFERROR(MID(VLOOKUP($B293,Seqs!$A:$B,2,0),O293,1),"")</f>
        <v>D</v>
      </c>
      <c r="O293" s="3">
        <v>95</v>
      </c>
      <c r="P293" s="3" t="str">
        <f>IFERROR(MID(VLOOKUP($B293,Seqs!$A:$B,2,0),Q293,1),"")</f>
        <v/>
      </c>
      <c r="Q293" s="3" t="s">
        <v>23</v>
      </c>
      <c r="R293" s="3" t="str">
        <f>IFERROR(MID(VLOOKUP($B293,Seqs!$A:$B,2,0),S293,1),"")</f>
        <v/>
      </c>
      <c r="S293" s="3" t="s">
        <v>23</v>
      </c>
      <c r="T293" s="3" t="str">
        <f>IFERROR(MID(VLOOKUP($B293,Seqs!$A:$B,2,0),U293,1),"")</f>
        <v>P</v>
      </c>
      <c r="U293" s="3">
        <v>103</v>
      </c>
      <c r="V293" s="3" t="str">
        <f>IFERROR(MID(VLOOKUP($B293,Seqs!$A:$B,2,0),W293,1),"")</f>
        <v>V</v>
      </c>
      <c r="W293" s="105">
        <v>134</v>
      </c>
      <c r="X293" s="3" t="str">
        <f>IFERROR(MID(VLOOKUP($B293,Seqs!$A:$B,2,0),Y293,1),"")</f>
        <v/>
      </c>
      <c r="Y293" s="3" t="s">
        <v>23</v>
      </c>
      <c r="Z293" s="3" t="str">
        <f>IFERROR(MID(VLOOKUP($B293,Seqs!$A:$B,2,0),AA293,1),"")</f>
        <v/>
      </c>
      <c r="AA293" s="3" t="s">
        <v>23</v>
      </c>
      <c r="AB293" s="3" t="str">
        <f>IFERROR(MID(VLOOKUP($B293,Seqs!$A:$B,2,0),AC293,1),"")</f>
        <v>P</v>
      </c>
      <c r="AC293" s="9">
        <v>140</v>
      </c>
      <c r="AD293" s="3" t="str">
        <f>IFERROR(MID(VLOOKUP($B293,Seqs!$A:$B,2,0),AE293,1),"")</f>
        <v>M</v>
      </c>
      <c r="AE293" s="105">
        <v>164</v>
      </c>
      <c r="AF293" s="3" t="str">
        <f>IFERROR(MID(VLOOKUP($B293,Seqs!$A:$B,2,0),AG293,1),"")</f>
        <v>C</v>
      </c>
      <c r="AG293" s="3">
        <v>173</v>
      </c>
      <c r="AH293" s="3" t="str">
        <f>IFERROR(MID(VLOOKUP($B293,Seqs!$A:$B,2,0),AI293,1),"")</f>
        <v>T</v>
      </c>
      <c r="AI293" s="3">
        <v>175</v>
      </c>
      <c r="AJ293" s="3" t="str">
        <f>IFERROR(MID(VLOOKUP($B293,Seqs!$A:$B,2,0),AK293,1),"")</f>
        <v>S</v>
      </c>
      <c r="AK293" s="105">
        <v>183</v>
      </c>
      <c r="AL293" s="3" t="str">
        <f>IFERROR(MID(VLOOKUP($B293,Seqs!$A:$B,2,0),AM293,1),"")</f>
        <v>S</v>
      </c>
      <c r="AM293" s="3">
        <v>218</v>
      </c>
      <c r="AN293" s="3" t="str">
        <f>IFERROR(MID(VLOOKUP($B293,Seqs!$A:$B,2,0),AO293,1),"")</f>
        <v>H</v>
      </c>
      <c r="AO293" s="3">
        <v>222</v>
      </c>
      <c r="AP293" s="3" t="str">
        <f>IFERROR(MID(VLOOKUP($B293,Seqs!$A:$B,2,0),AQ293,1),"")</f>
        <v>K</v>
      </c>
      <c r="AQ293" s="3">
        <v>257</v>
      </c>
      <c r="AR293" s="3" t="str">
        <f>IFERROR(MID(VLOOKUP($B293,Seqs!$A:$B,2,0),AS293,1),"")</f>
        <v>C</v>
      </c>
      <c r="AS293" s="3">
        <v>263</v>
      </c>
      <c r="AT293" s="3" t="str">
        <f>IFERROR(MID(VLOOKUP($B293,Seqs!$A:$B,2,0),AU293,1),"")</f>
        <v>V</v>
      </c>
      <c r="AU293" s="3">
        <v>294</v>
      </c>
      <c r="AV293" s="3" t="str">
        <f>IFERROR(MID(VLOOKUP($B293,Seqs!$A:$B,2,0),AW293,1),"")</f>
        <v/>
      </c>
      <c r="AW293" s="3" t="s">
        <v>23</v>
      </c>
      <c r="AX293" s="3" t="str">
        <f>IFERROR(MID(VLOOKUP($B293,Seqs!$A:$B,2,0),AY293,1),"")</f>
        <v/>
      </c>
      <c r="AY293" s="3" t="s">
        <v>23</v>
      </c>
      <c r="AZ293" s="77" t="str">
        <f>VLOOKUP(B293,Classification!A:D,2,0)</f>
        <v>A</v>
      </c>
      <c r="BA293" s="94" t="str">
        <f>VLOOKUP(B293,Classification!A:D,4,0)</f>
        <v>Chemokine</v>
      </c>
      <c r="BB293" s="27" t="b">
        <f t="shared" ref="BB293:BB301" si="1371">AND(E293&lt;G293,OR(G293&lt;I293,I293="-"),OR(I293&lt;K293,I293="-"),OR(K293&lt;M293,K293="-"),M293&lt;O293,OR(O293&lt;Q293,Q293="-"),OR(Q293&lt;S293,Q293="-"),OR(S293&lt;U293,S293="-"),U293&lt;W293,OR(W293&lt;Y293,Y293="-"),OR(Y293&lt;AA293,Y293="-"),OR(AA293&lt;AC293,AA293="-"),AC293&lt;AE293,OR(AE293&lt;AG293,AG293="-"),OR(AG293&lt;AI293,AG293="-"),OR(AI293&lt;AK293,AI293="-"),AK293&lt;AM293,AM293&lt;AO293,AO293&lt;AQ293,AQ293&lt;AS293,AS293&lt;AU293,OR(AU293&lt;AW293,AW293="-"),OR(AW293&lt;AY293,AW293="-"))</f>
        <v>1</v>
      </c>
      <c r="BC293" s="23">
        <f t="shared" ref="BC293:BC301" si="1372">_xlfn.AGGREGATE(9,6,CH293:CS293)-_xlfn.AGGREGATE(9,6,BV293:CG293)+12</f>
        <v>236</v>
      </c>
      <c r="BD293" s="4" t="s">
        <v>23</v>
      </c>
      <c r="BE293" s="3" t="s">
        <v>1297</v>
      </c>
      <c r="BF293" s="119">
        <v>3.8</v>
      </c>
      <c r="BG293" s="49" t="s">
        <v>1383</v>
      </c>
      <c r="BH293" s="49" t="s">
        <v>1383</v>
      </c>
      <c r="BI293" s="1"/>
      <c r="BJ293" s="70" t="s">
        <v>1293</v>
      </c>
      <c r="BK293" s="57" t="s">
        <v>1293</v>
      </c>
      <c r="BL293" s="57" t="s">
        <v>1293</v>
      </c>
      <c r="BM293" s="57" t="s">
        <v>1293</v>
      </c>
      <c r="BN293" s="57" t="s">
        <v>1293</v>
      </c>
      <c r="BO293" s="57" t="s">
        <v>1293</v>
      </c>
      <c r="BP293" s="57" t="s">
        <v>1293</v>
      </c>
      <c r="BQ293" s="57" t="s">
        <v>1293</v>
      </c>
      <c r="BR293" s="57" t="s">
        <v>1293</v>
      </c>
      <c r="BS293" s="57" t="s">
        <v>1293</v>
      </c>
      <c r="BT293" s="57" t="s">
        <v>1293</v>
      </c>
      <c r="BU293" s="57" t="s">
        <v>1293</v>
      </c>
      <c r="BV293" s="70">
        <f t="shared" ref="BV293:BV301" si="1373">E293</f>
        <v>25</v>
      </c>
      <c r="BW293" s="71" t="str">
        <f t="shared" ref="BW293:BW301" si="1374">I293</f>
        <v>-</v>
      </c>
      <c r="BX293" s="72">
        <f t="shared" ref="BX293:BX301" si="1375">M293</f>
        <v>66</v>
      </c>
      <c r="BY293" s="71" t="str">
        <f t="shared" ref="BY293:BY301" si="1376">Q293</f>
        <v>-</v>
      </c>
      <c r="BZ293" s="72">
        <f t="shared" ref="BZ293:BZ301" si="1377">U293</f>
        <v>103</v>
      </c>
      <c r="CA293" s="71" t="str">
        <f t="shared" ref="CA293:CA301" si="1378">Y293</f>
        <v>-</v>
      </c>
      <c r="CB293" s="72">
        <f t="shared" ref="CB293:CB301" si="1379">AC293</f>
        <v>140</v>
      </c>
      <c r="CC293" s="71">
        <f t="shared" ref="CC293:CC301" si="1380">AG293</f>
        <v>173</v>
      </c>
      <c r="CD293" s="72">
        <f t="shared" ref="CD293:CD301" si="1381">AK293</f>
        <v>183</v>
      </c>
      <c r="CE293" s="71">
        <f t="shared" ref="CE293:CE301" si="1382">AO293</f>
        <v>222</v>
      </c>
      <c r="CF293" s="72">
        <f t="shared" ref="CF293:CF301" si="1383">AS293</f>
        <v>263</v>
      </c>
      <c r="CG293" s="71" t="str">
        <f t="shared" ref="CG293:CG301" si="1384">AW293</f>
        <v>-</v>
      </c>
      <c r="CH293" s="70">
        <f t="shared" ref="CH293:CH301" si="1385">G293</f>
        <v>62</v>
      </c>
      <c r="CI293" s="71" t="str">
        <f t="shared" ref="CI293:CI301" si="1386">K293</f>
        <v>-</v>
      </c>
      <c r="CJ293" s="72">
        <f t="shared" ref="CJ293:CJ301" si="1387">O293</f>
        <v>95</v>
      </c>
      <c r="CK293" s="72" t="str">
        <f t="shared" ref="CK293:CK301" si="1388">S293</f>
        <v>-</v>
      </c>
      <c r="CL293" s="72">
        <f t="shared" ref="CL293:CL301" si="1389">W293</f>
        <v>134</v>
      </c>
      <c r="CM293" s="72" t="str">
        <f t="shared" ref="CM293:CM301" si="1390">AA293</f>
        <v>-</v>
      </c>
      <c r="CN293" s="72">
        <f t="shared" ref="CN293:CN301" si="1391">AE293</f>
        <v>164</v>
      </c>
      <c r="CO293" s="72">
        <f t="shared" ref="CO293:CO301" si="1392">AI293</f>
        <v>175</v>
      </c>
      <c r="CP293" s="72">
        <f t="shared" ref="CP293:CP301" si="1393">AM293</f>
        <v>218</v>
      </c>
      <c r="CQ293" s="72">
        <f t="shared" ref="CQ293:CQ301" si="1394">AQ293</f>
        <v>257</v>
      </c>
      <c r="CR293" s="72">
        <f t="shared" ref="CR293:CR301" si="1395">AU293</f>
        <v>294</v>
      </c>
      <c r="CS293" s="72" t="str">
        <f t="shared" ref="CS293:CS301" si="1396">AY293</f>
        <v>-</v>
      </c>
      <c r="CT293" s="23" t="e">
        <f t="shared" ref="CT293:CT301" si="1397">M293-K293</f>
        <v>#VALUE!</v>
      </c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6"/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6"/>
      <c r="KV293" s="6"/>
      <c r="KW293" s="6"/>
      <c r="KX293" s="6"/>
      <c r="KY293" s="6"/>
      <c r="KZ293" s="6"/>
      <c r="LA293" s="6"/>
      <c r="LB293" s="6"/>
      <c r="LC293" s="6"/>
      <c r="LD293" s="6"/>
      <c r="LE293" s="6"/>
      <c r="LF293" s="6"/>
      <c r="LG293" s="6"/>
      <c r="LH293" s="6"/>
      <c r="LI293" s="6"/>
      <c r="LJ293" s="6"/>
      <c r="LK293" s="6"/>
      <c r="LL293" s="6"/>
      <c r="LM293" s="6"/>
      <c r="LN293" s="6"/>
      <c r="LO293" s="6"/>
      <c r="LP293" s="6"/>
      <c r="LQ293" s="6"/>
      <c r="LR293" s="6"/>
      <c r="LS293" s="6"/>
      <c r="LT293" s="6"/>
      <c r="LU293" s="6"/>
      <c r="LV293" s="6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  <c r="ND293" s="6"/>
      <c r="NE293" s="6"/>
      <c r="NF293" s="6"/>
      <c r="NG293" s="6"/>
      <c r="NH293" s="6"/>
      <c r="NI293" s="6"/>
      <c r="NJ293" s="6"/>
      <c r="NK293" s="6"/>
      <c r="NL293" s="6"/>
      <c r="NM293" s="6"/>
      <c r="NN293" s="6"/>
      <c r="NO293" s="6"/>
      <c r="NP293" s="6"/>
      <c r="NQ293" s="6"/>
      <c r="NR293" s="6"/>
      <c r="NS293" s="6"/>
      <c r="NT293" s="6"/>
      <c r="NU293" s="6"/>
      <c r="NV293" s="6"/>
      <c r="NW293" s="6"/>
      <c r="NX293" s="6"/>
      <c r="NY293" s="6"/>
      <c r="NZ293" s="6"/>
      <c r="OA293" s="6"/>
      <c r="OB293" s="6"/>
      <c r="OC293" s="6"/>
      <c r="OD293" s="6"/>
      <c r="OE293" s="6"/>
      <c r="OF293" s="6"/>
      <c r="OG293" s="6"/>
      <c r="OH293" s="6"/>
      <c r="OI293" s="6"/>
      <c r="OJ293" s="6"/>
      <c r="OK293" s="6"/>
      <c r="OL293" s="6"/>
      <c r="OM293" s="6"/>
      <c r="ON293" s="6"/>
      <c r="OO293" s="6"/>
      <c r="OP293" s="6"/>
      <c r="OQ293" s="6"/>
      <c r="OR293" s="6"/>
      <c r="OS293" s="6"/>
      <c r="OT293" s="6"/>
      <c r="OU293" s="6"/>
      <c r="OV293" s="6"/>
      <c r="OW293" s="6"/>
      <c r="OX293" s="6"/>
      <c r="OY293" s="6"/>
      <c r="OZ293" s="6"/>
      <c r="PA293" s="6"/>
      <c r="PB293" s="6"/>
      <c r="PC293" s="6"/>
      <c r="PD293" s="6"/>
      <c r="PE293" s="6"/>
      <c r="PF293" s="6"/>
      <c r="PG293" s="6"/>
      <c r="PH293" s="6"/>
      <c r="PI293" s="6"/>
      <c r="PJ293" s="6"/>
      <c r="PK293" s="6"/>
      <c r="PL293" s="6"/>
      <c r="PM293" s="6"/>
      <c r="PN293" s="6"/>
      <c r="PO293" s="6"/>
      <c r="PP293" s="6"/>
      <c r="PQ293" s="6"/>
      <c r="PR293" s="6"/>
      <c r="PS293" s="6"/>
      <c r="PT293" s="6"/>
      <c r="PU293" s="6"/>
      <c r="PV293" s="6"/>
      <c r="PW293" s="6"/>
      <c r="PX293" s="6"/>
      <c r="PY293" s="6"/>
      <c r="PZ293" s="6"/>
      <c r="QA293" s="6"/>
      <c r="QB293" s="6"/>
      <c r="QC293" s="6"/>
      <c r="QD293" s="6"/>
      <c r="QE293" s="6"/>
      <c r="QF293" s="6"/>
      <c r="QG293" s="6"/>
      <c r="QH293" s="6"/>
      <c r="QI293" s="6"/>
      <c r="QJ293" s="6"/>
      <c r="QK293" s="6"/>
      <c r="QL293" s="6"/>
      <c r="QM293" s="6"/>
      <c r="QN293" s="6"/>
      <c r="QO293" s="6"/>
      <c r="QP293" s="6"/>
      <c r="QQ293" s="6"/>
      <c r="QR293" s="6"/>
      <c r="QS293" s="6"/>
      <c r="QT293" s="6"/>
      <c r="QU293" s="6"/>
      <c r="QV293" s="6"/>
      <c r="QW293" s="6"/>
      <c r="QX293" s="6"/>
      <c r="QY293" s="6"/>
      <c r="QZ293" s="6"/>
      <c r="RA293" s="6"/>
      <c r="RB293" s="6"/>
      <c r="RC293" s="6"/>
      <c r="RD293" s="6"/>
      <c r="RE293" s="6"/>
      <c r="RF293" s="6"/>
      <c r="RG293" s="6"/>
      <c r="RH293" s="6"/>
      <c r="RI293" s="6"/>
      <c r="RJ293" s="6"/>
      <c r="RK293" s="6"/>
      <c r="RL293" s="6"/>
      <c r="RM293" s="6"/>
      <c r="RN293" s="6"/>
      <c r="RO293" s="6"/>
      <c r="RP293" s="6"/>
      <c r="RQ293" s="6"/>
      <c r="RR293" s="6"/>
      <c r="RS293" s="6"/>
      <c r="RT293" s="6"/>
      <c r="RU293" s="6"/>
      <c r="RV293" s="6"/>
      <c r="RW293" s="6"/>
      <c r="RX293" s="6"/>
      <c r="RY293" s="6"/>
      <c r="RZ293" s="6"/>
      <c r="SA293" s="6"/>
      <c r="SB293" s="6"/>
      <c r="SC293" s="6"/>
      <c r="SD293" s="6"/>
      <c r="SE293" s="6"/>
      <c r="SF293" s="6"/>
      <c r="SG293" s="6"/>
      <c r="SH293" s="6"/>
      <c r="SI293" s="6"/>
      <c r="SJ293" s="6"/>
      <c r="SK293" s="6"/>
      <c r="SL293" s="6"/>
      <c r="SM293" s="6"/>
      <c r="SN293" s="6"/>
      <c r="SO293" s="6"/>
      <c r="SP293" s="6"/>
      <c r="SQ293" s="6"/>
      <c r="SR293" s="6"/>
      <c r="SS293" s="6"/>
      <c r="ST293" s="6"/>
      <c r="SU293" s="6"/>
      <c r="SV293" s="6"/>
      <c r="SW293" s="6"/>
      <c r="SX293" s="6"/>
      <c r="SY293" s="6"/>
      <c r="SZ293" s="6"/>
      <c r="TA293" s="6"/>
      <c r="TB293" s="6"/>
      <c r="TC293" s="6"/>
      <c r="TD293" s="6"/>
      <c r="TE293" s="6"/>
      <c r="TF293" s="6"/>
      <c r="TG293" s="6"/>
      <c r="TH293" s="6"/>
      <c r="TI293" s="6"/>
      <c r="TJ293" s="6"/>
      <c r="TK293" s="6"/>
      <c r="TL293" s="6"/>
      <c r="TM293" s="6"/>
      <c r="TN293" s="6"/>
      <c r="TO293" s="6"/>
      <c r="TP293" s="6"/>
      <c r="TQ293" s="6"/>
      <c r="TR293" s="6"/>
      <c r="TS293" s="6"/>
      <c r="TT293" s="6"/>
      <c r="TU293" s="6"/>
      <c r="TV293" s="6"/>
      <c r="TW293" s="6"/>
      <c r="TX293" s="6"/>
      <c r="TY293" s="6"/>
      <c r="TZ293" s="6"/>
      <c r="UA293" s="6"/>
      <c r="UB293" s="6"/>
      <c r="UC293" s="6"/>
      <c r="UD293" s="6"/>
      <c r="UE293" s="6"/>
      <c r="UF293" s="6"/>
      <c r="UG293" s="6"/>
      <c r="UH293" s="6"/>
      <c r="UI293" s="6"/>
      <c r="UJ293" s="6"/>
      <c r="UK293" s="6"/>
      <c r="UL293" s="6"/>
      <c r="UM293" s="6"/>
      <c r="UN293" s="6"/>
      <c r="UO293" s="6"/>
      <c r="UP293" s="6"/>
      <c r="UQ293" s="6"/>
      <c r="UR293" s="6"/>
      <c r="US293" s="6"/>
      <c r="UT293" s="6"/>
      <c r="UU293" s="6"/>
      <c r="UV293" s="6"/>
      <c r="UW293" s="6"/>
      <c r="UX293" s="6"/>
      <c r="UY293" s="6"/>
      <c r="UZ293" s="6"/>
      <c r="VA293" s="6"/>
      <c r="VB293" s="6"/>
      <c r="VC293" s="6"/>
      <c r="VD293" s="6"/>
      <c r="VE293" s="6"/>
      <c r="VF293" s="6"/>
      <c r="VG293" s="6"/>
      <c r="VH293" s="6"/>
      <c r="VI293" s="6"/>
      <c r="VJ293" s="6"/>
      <c r="VK293" s="6"/>
      <c r="VL293" s="6"/>
      <c r="VM293" s="6"/>
      <c r="VN293" s="6"/>
      <c r="VO293" s="6"/>
      <c r="VP293" s="6"/>
      <c r="VQ293" s="6"/>
      <c r="VR293" s="6"/>
      <c r="VS293" s="6"/>
      <c r="VT293" s="6"/>
      <c r="VU293" s="6"/>
      <c r="VV293" s="6"/>
      <c r="VW293" s="6"/>
      <c r="VX293" s="6"/>
      <c r="VY293" s="6"/>
      <c r="VZ293" s="6"/>
      <c r="WA293" s="6"/>
      <c r="WB293" s="6"/>
      <c r="WC293" s="6"/>
      <c r="WD293" s="6"/>
      <c r="WE293" s="6"/>
      <c r="WF293" s="6"/>
      <c r="WG293" s="6"/>
      <c r="WH293" s="6"/>
      <c r="WI293" s="6"/>
      <c r="WJ293" s="6"/>
      <c r="WK293" s="6"/>
      <c r="WL293" s="6"/>
      <c r="WM293" s="6"/>
      <c r="WN293" s="6"/>
      <c r="WO293" s="6"/>
      <c r="WP293" s="6"/>
      <c r="WQ293" s="6"/>
      <c r="WR293" s="6"/>
      <c r="WS293" s="6"/>
      <c r="WT293" s="6"/>
      <c r="WU293" s="6"/>
      <c r="WV293" s="6"/>
      <c r="WW293" s="6"/>
      <c r="WX293" s="6"/>
      <c r="WY293" s="6"/>
      <c r="WZ293" s="6"/>
      <c r="XA293" s="6"/>
      <c r="XB293" s="6"/>
      <c r="XC293" s="6"/>
      <c r="XD293" s="6"/>
      <c r="XE293" s="6"/>
      <c r="XF293" s="6"/>
      <c r="XG293" s="6"/>
      <c r="XH293" s="6"/>
      <c r="XI293" s="6"/>
      <c r="XJ293" s="6"/>
      <c r="XK293" s="6"/>
      <c r="XL293" s="6"/>
      <c r="XM293" s="6"/>
      <c r="XN293" s="6"/>
      <c r="XO293" s="6"/>
      <c r="XP293" s="6"/>
      <c r="XQ293" s="6"/>
      <c r="XR293" s="6"/>
      <c r="XS293" s="6"/>
      <c r="XT293" s="6"/>
      <c r="XU293" s="6"/>
      <c r="XV293" s="6"/>
      <c r="XW293" s="6"/>
      <c r="XX293" s="6"/>
      <c r="XY293" s="6"/>
      <c r="XZ293" s="6"/>
      <c r="YA293" s="6"/>
      <c r="YB293" s="6"/>
      <c r="YC293" s="6"/>
      <c r="YD293" s="6"/>
      <c r="YE293" s="6"/>
      <c r="YF293" s="6"/>
      <c r="YG293" s="6"/>
      <c r="YH293" s="6"/>
      <c r="YI293" s="6"/>
      <c r="YJ293" s="6"/>
      <c r="YK293" s="6"/>
      <c r="YL293" s="6"/>
      <c r="YM293" s="6"/>
      <c r="YN293" s="6"/>
      <c r="YO293" s="6"/>
      <c r="YP293" s="6"/>
      <c r="YQ293" s="6"/>
      <c r="YR293" s="6"/>
      <c r="YS293" s="6"/>
      <c r="YT293" s="6"/>
      <c r="YU293" s="6"/>
      <c r="YV293" s="6"/>
      <c r="YW293" s="6"/>
      <c r="YX293" s="6"/>
      <c r="YY293" s="6"/>
      <c r="YZ293" s="6"/>
      <c r="ZA293" s="6"/>
      <c r="ZB293" s="6"/>
      <c r="ZC293" s="6"/>
      <c r="ZD293" s="6"/>
      <c r="ZE293" s="6"/>
      <c r="ZF293" s="6"/>
      <c r="ZG293" s="6"/>
      <c r="ZH293" s="6"/>
      <c r="ZI293" s="6"/>
      <c r="ZJ293" s="6"/>
      <c r="ZK293" s="6"/>
      <c r="ZL293" s="6"/>
      <c r="ZM293" s="6"/>
      <c r="ZN293" s="6"/>
      <c r="ZO293" s="6"/>
      <c r="ZP293" s="6"/>
      <c r="ZQ293" s="6"/>
      <c r="ZR293" s="6"/>
      <c r="ZS293" s="6"/>
      <c r="ZT293" s="6"/>
      <c r="ZU293" s="6"/>
      <c r="ZV293" s="6"/>
      <c r="ZW293" s="6"/>
      <c r="ZX293" s="6"/>
      <c r="ZY293" s="6"/>
      <c r="ZZ293" s="6"/>
      <c r="AAA293" s="6"/>
      <c r="AAB293" s="6"/>
      <c r="AAC293" s="6"/>
      <c r="AAD293" s="6"/>
      <c r="AAE293" s="6"/>
      <c r="AAF293" s="6"/>
      <c r="AAG293" s="6"/>
      <c r="AAH293" s="6"/>
      <c r="AAI293" s="6"/>
      <c r="AAJ293" s="6"/>
      <c r="AAK293" s="6"/>
      <c r="AAL293" s="6"/>
      <c r="AAM293" s="6"/>
      <c r="AAN293" s="6"/>
      <c r="AAO293" s="6"/>
      <c r="AAP293" s="6"/>
      <c r="AAQ293" s="6"/>
      <c r="AAR293" s="6"/>
      <c r="AAS293" s="6"/>
      <c r="AAT293" s="6"/>
      <c r="AAU293" s="6"/>
      <c r="AAV293" s="6"/>
      <c r="AAW293" s="6"/>
      <c r="AAX293" s="6"/>
      <c r="AAY293" s="6"/>
      <c r="AAZ293" s="6"/>
      <c r="ABA293" s="6"/>
      <c r="ABB293" s="6"/>
      <c r="ABC293" s="6"/>
      <c r="ABD293" s="6"/>
      <c r="ABE293" s="6"/>
      <c r="ABF293" s="6"/>
      <c r="ABG293" s="6"/>
      <c r="ABH293" s="6"/>
      <c r="ABI293" s="6"/>
      <c r="ABJ293" s="6"/>
      <c r="ABK293" s="6"/>
      <c r="ABL293" s="6"/>
      <c r="ABM293" s="6"/>
      <c r="ABN293" s="6"/>
      <c r="ABO293" s="6"/>
      <c r="ABP293" s="6"/>
      <c r="ABQ293" s="6"/>
      <c r="ABR293" s="6"/>
      <c r="ABS293" s="6"/>
      <c r="ABT293" s="6"/>
      <c r="ABU293" s="6"/>
      <c r="ABV293" s="6"/>
      <c r="ABW293" s="6"/>
      <c r="ABX293" s="6"/>
      <c r="ABY293" s="6"/>
      <c r="ABZ293" s="6"/>
      <c r="ACA293" s="6"/>
      <c r="ACB293" s="6"/>
      <c r="ACC293" s="6"/>
      <c r="ACD293" s="6"/>
      <c r="ACE293" s="6"/>
      <c r="ACF293" s="6"/>
      <c r="ACG293" s="6"/>
      <c r="ACH293" s="6"/>
      <c r="ACI293" s="6"/>
      <c r="ACJ293" s="6"/>
      <c r="ACK293" s="6"/>
      <c r="ACL293" s="6"/>
      <c r="ACM293" s="6"/>
      <c r="ACN293" s="6"/>
      <c r="ACO293" s="6"/>
      <c r="ACP293" s="6"/>
      <c r="ACQ293" s="6"/>
      <c r="ACR293" s="6"/>
      <c r="ACS293" s="6"/>
      <c r="ACT293" s="6"/>
      <c r="ACU293" s="6"/>
      <c r="ACV293" s="6"/>
      <c r="ACW293" s="6"/>
      <c r="ACX293" s="6"/>
      <c r="ACY293" s="6"/>
      <c r="ACZ293" s="6"/>
      <c r="ADA293" s="6"/>
      <c r="ADB293" s="6"/>
      <c r="ADC293" s="6"/>
      <c r="ADD293" s="6"/>
      <c r="ADE293" s="6"/>
      <c r="ADF293" s="6"/>
      <c r="ADG293" s="6"/>
      <c r="ADH293" s="6"/>
      <c r="ADI293" s="6"/>
      <c r="ADJ293" s="6"/>
      <c r="ADK293" s="6"/>
      <c r="ADL293" s="6"/>
      <c r="ADM293" s="6"/>
      <c r="ADN293" s="6"/>
      <c r="ADO293" s="6"/>
      <c r="ADP293" s="6"/>
      <c r="ADQ293" s="6"/>
      <c r="ADR293" s="6"/>
      <c r="ADS293" s="6"/>
      <c r="ADT293" s="6"/>
      <c r="ADU293" s="6"/>
      <c r="ADV293" s="6"/>
      <c r="ADW293" s="6"/>
      <c r="ADX293" s="6"/>
      <c r="ADY293" s="6"/>
      <c r="ADZ293" s="6"/>
      <c r="AEA293" s="6"/>
      <c r="AEB293" s="6"/>
      <c r="AEC293" s="6"/>
      <c r="AED293" s="6"/>
      <c r="AEE293" s="6"/>
      <c r="AEF293" s="6"/>
      <c r="AEG293" s="6"/>
      <c r="AEH293" s="6"/>
      <c r="AEI293" s="6"/>
      <c r="AEJ293" s="6"/>
      <c r="AEK293" s="6"/>
      <c r="AEL293" s="6"/>
      <c r="AEM293" s="6"/>
      <c r="AEN293" s="6"/>
      <c r="AEO293" s="6"/>
      <c r="AEP293" s="6"/>
      <c r="AEQ293" s="6"/>
      <c r="AER293" s="6"/>
      <c r="AES293" s="6"/>
      <c r="AET293" s="6"/>
      <c r="AEU293" s="6"/>
      <c r="AEV293" s="6"/>
      <c r="AEW293" s="6"/>
      <c r="AEX293" s="6"/>
      <c r="AEY293" s="6"/>
      <c r="AEZ293" s="6"/>
      <c r="AFA293" s="6"/>
      <c r="AFB293" s="6"/>
      <c r="AFC293" s="6"/>
      <c r="AFD293" s="6"/>
      <c r="AFE293" s="6"/>
      <c r="AFF293" s="6"/>
      <c r="AFG293" s="6"/>
      <c r="AFH293" s="6"/>
      <c r="AFI293" s="6"/>
      <c r="AFJ293" s="6"/>
      <c r="AFK293" s="6"/>
      <c r="AFL293" s="6"/>
      <c r="AFM293" s="6"/>
      <c r="AFN293" s="6"/>
      <c r="AFO293" s="6"/>
      <c r="AFP293" s="6"/>
      <c r="AFQ293" s="6"/>
      <c r="AFR293" s="6"/>
      <c r="AFS293" s="6"/>
      <c r="AFT293" s="6"/>
      <c r="AFU293" s="6"/>
      <c r="AFV293" s="6"/>
      <c r="AFW293" s="6"/>
      <c r="AFX293" s="6"/>
      <c r="AFY293" s="6"/>
      <c r="AFZ293" s="6"/>
      <c r="AGA293" s="6"/>
      <c r="AGB293" s="6"/>
      <c r="AGC293" s="6"/>
      <c r="AGD293" s="6"/>
      <c r="AGE293" s="6"/>
      <c r="AGF293" s="6"/>
      <c r="AGG293" s="6"/>
      <c r="AGH293" s="6"/>
      <c r="AGI293" s="6"/>
      <c r="AGJ293" s="6"/>
      <c r="AGK293" s="6"/>
      <c r="AGL293" s="6"/>
      <c r="AGM293" s="6"/>
      <c r="AGN293" s="6"/>
      <c r="AGO293" s="6"/>
      <c r="AGP293" s="6"/>
      <c r="AGQ293" s="6"/>
      <c r="AGR293" s="6"/>
      <c r="AGS293" s="6"/>
      <c r="AGT293" s="6"/>
      <c r="AGU293" s="6"/>
      <c r="AGV293" s="6"/>
      <c r="AGW293" s="6"/>
      <c r="AGX293" s="6"/>
      <c r="AGY293" s="6"/>
      <c r="AGZ293" s="6"/>
      <c r="AHA293" s="6"/>
      <c r="AHB293" s="6"/>
      <c r="AHC293" s="6"/>
      <c r="AHD293" s="6"/>
      <c r="AHE293" s="6"/>
      <c r="AHF293" s="6"/>
      <c r="AHG293" s="6"/>
      <c r="AHH293" s="6"/>
      <c r="AHI293" s="6"/>
      <c r="AHJ293" s="6"/>
      <c r="AHK293" s="6"/>
      <c r="AHL293" s="6"/>
      <c r="AHM293" s="6"/>
      <c r="AHN293" s="6"/>
      <c r="AHO293" s="6"/>
      <c r="AHP293" s="6"/>
      <c r="AHQ293" s="6"/>
      <c r="AHR293" s="6"/>
      <c r="AHS293" s="6"/>
      <c r="AHT293" s="6"/>
      <c r="AHU293" s="6"/>
      <c r="AHV293" s="6"/>
      <c r="AHW293" s="6"/>
      <c r="AHX293" s="6"/>
      <c r="AHY293" s="6"/>
      <c r="AHZ293" s="6"/>
      <c r="AIA293" s="6"/>
      <c r="AIB293" s="6"/>
      <c r="AIC293" s="6"/>
      <c r="AID293" s="6"/>
      <c r="AIE293" s="6"/>
      <c r="AIF293" s="6"/>
      <c r="AIG293" s="6"/>
      <c r="AIH293" s="6"/>
      <c r="AII293" s="6"/>
      <c r="AIJ293" s="6"/>
      <c r="AIK293" s="6"/>
      <c r="AIL293" s="6"/>
      <c r="AIM293" s="6"/>
      <c r="AIN293" s="6"/>
      <c r="AIO293" s="6"/>
      <c r="AIP293" s="6"/>
      <c r="AIQ293" s="6"/>
      <c r="AIR293" s="6"/>
      <c r="AIS293" s="6"/>
      <c r="AIT293" s="6"/>
      <c r="AIU293" s="6"/>
      <c r="AIV293" s="6"/>
      <c r="AIW293" s="6"/>
      <c r="AIX293" s="6"/>
      <c r="AIY293" s="6"/>
      <c r="AIZ293" s="6"/>
      <c r="AJA293" s="6"/>
      <c r="AJB293" s="6"/>
      <c r="AJC293" s="6"/>
      <c r="AJD293" s="6"/>
      <c r="AJE293" s="6"/>
      <c r="AJF293" s="6"/>
      <c r="AJG293" s="6"/>
      <c r="AJH293" s="6"/>
      <c r="AJI293" s="6"/>
      <c r="AJJ293" s="6"/>
      <c r="AJK293" s="6"/>
      <c r="AJL293" s="6"/>
      <c r="AJM293" s="6"/>
      <c r="AJN293" s="6"/>
      <c r="AJO293" s="6"/>
      <c r="AJP293" s="6"/>
      <c r="AJQ293" s="6"/>
      <c r="AJR293" s="6"/>
      <c r="AJS293" s="6"/>
      <c r="AJT293" s="6"/>
      <c r="AJU293" s="6"/>
      <c r="AJV293" s="6"/>
      <c r="AJW293" s="6"/>
      <c r="AJX293" s="6"/>
      <c r="AJY293" s="6"/>
      <c r="AJZ293" s="6"/>
      <c r="AKA293" s="6"/>
      <c r="AKB293" s="6"/>
      <c r="AKC293" s="6"/>
      <c r="AKD293" s="6"/>
      <c r="AKE293" s="6"/>
      <c r="AKF293" s="6"/>
      <c r="AKG293" s="6"/>
      <c r="AKH293" s="6"/>
      <c r="AKI293" s="6"/>
      <c r="AKJ293" s="6"/>
      <c r="AKK293" s="6"/>
      <c r="AKL293" s="6"/>
      <c r="AKM293" s="6"/>
      <c r="AKN293" s="6"/>
      <c r="AKO293" s="6"/>
      <c r="AKP293" s="6"/>
      <c r="AKQ293" s="6"/>
      <c r="AKR293" s="6"/>
      <c r="AKS293" s="6"/>
      <c r="AKT293" s="6"/>
      <c r="AKU293" s="6"/>
      <c r="AKV293" s="6"/>
      <c r="AKW293" s="6"/>
      <c r="AKX293" s="6"/>
      <c r="AKY293" s="6"/>
      <c r="AKZ293" s="6"/>
      <c r="ALA293" s="6"/>
      <c r="ALB293" s="6"/>
      <c r="ALC293" s="6"/>
      <c r="ALD293" s="6"/>
      <c r="ALE293" s="6"/>
      <c r="ALF293" s="6"/>
      <c r="ALG293" s="6"/>
      <c r="ALH293" s="6"/>
      <c r="ALI293" s="6"/>
      <c r="ALJ293" s="6"/>
      <c r="ALK293" s="6"/>
      <c r="ALL293" s="6"/>
      <c r="ALM293" s="6"/>
      <c r="ALN293" s="6"/>
      <c r="ALO293" s="6"/>
      <c r="ALP293" s="6"/>
      <c r="ALQ293" s="6"/>
      <c r="ALR293" s="6"/>
      <c r="ALS293" s="6"/>
      <c r="ALT293" s="6"/>
      <c r="ALU293" s="6"/>
      <c r="ALV293" s="6"/>
      <c r="ALW293" s="6"/>
      <c r="ALX293" s="6"/>
      <c r="ALY293" s="6"/>
      <c r="ALZ293" s="6"/>
      <c r="AMA293" s="6"/>
      <c r="AMB293" s="6"/>
      <c r="AMC293" s="6"/>
      <c r="AMD293" s="6"/>
      <c r="AME293" s="6"/>
      <c r="AMF293" s="6"/>
      <c r="AMG293" s="6"/>
      <c r="AMH293" s="6"/>
      <c r="AMI293" s="6"/>
      <c r="AMJ293" s="6"/>
      <c r="AMK293" s="6"/>
      <c r="AML293" s="6"/>
      <c r="AMM293" s="6"/>
      <c r="AMN293" s="6"/>
      <c r="AMO293" s="6"/>
      <c r="AMP293" s="6"/>
    </row>
    <row r="294" spans="1:1030" x14ac:dyDescent="0.2">
      <c r="A294" s="9" t="str">
        <f t="shared" ref="A294:A304" si="1398">CONCATENATE(B294,"_",C294)</f>
        <v>q80km9_hcmv__wt</v>
      </c>
      <c r="B294" s="40" t="s">
        <v>1523</v>
      </c>
      <c r="C294" s="9" t="s">
        <v>100</v>
      </c>
      <c r="D294" s="9" t="str">
        <f>IFERROR(MID(VLOOKUP($B294,Seqs!$A:$B,2,0),E294,1),"")</f>
        <v>F</v>
      </c>
      <c r="E294" s="9">
        <v>25</v>
      </c>
      <c r="F294" s="9" t="str">
        <f>IFERROR(MID(VLOOKUP($B294,Seqs!$A:$B,2,0),G294,1),"")</f>
        <v>R</v>
      </c>
      <c r="G294" s="9">
        <v>61</v>
      </c>
      <c r="H294" s="9" t="str">
        <f>IFERROR(MID(VLOOKUP($B294,Seqs!$A:$B,2,0),I294,1),"")</f>
        <v>R</v>
      </c>
      <c r="I294" s="109">
        <v>62</v>
      </c>
      <c r="J294" s="9" t="str">
        <f>IFERROR(MID(VLOOKUP($B294,Seqs!$A:$B,2,0),K294,1),"")</f>
        <v>Q</v>
      </c>
      <c r="K294" s="109">
        <v>65</v>
      </c>
      <c r="L294" s="9" t="str">
        <f>IFERROR(MID(VLOOKUP($B294,Seqs!$A:$B,2,0),M294,1),"")</f>
        <v>C</v>
      </c>
      <c r="M294" s="9">
        <v>66</v>
      </c>
      <c r="N294" s="9" t="str">
        <f>IFERROR(MID(VLOOKUP($B294,Seqs!$A:$B,2,0),O294,1),"")</f>
        <v>D</v>
      </c>
      <c r="O294" s="9">
        <v>95</v>
      </c>
      <c r="P294" s="9" t="str">
        <f>IFERROR(MID(VLOOKUP($B294,Seqs!$A:$B,2,0),Q294,1),"")</f>
        <v/>
      </c>
      <c r="Q294" s="9" t="s">
        <v>23</v>
      </c>
      <c r="R294" s="9" t="str">
        <f>IFERROR(MID(VLOOKUP($B294,Seqs!$A:$B,2,0),S294,1),"")</f>
        <v/>
      </c>
      <c r="S294" s="9" t="s">
        <v>23</v>
      </c>
      <c r="T294" s="9" t="str">
        <f>IFERROR(MID(VLOOKUP($B294,Seqs!$A:$B,2,0),U294,1),"")</f>
        <v>A</v>
      </c>
      <c r="U294" s="9">
        <v>100</v>
      </c>
      <c r="V294" s="9" t="str">
        <f>IFERROR(MID(VLOOKUP($B294,Seqs!$A:$B,2,0),W294,1),"")</f>
        <v>V</v>
      </c>
      <c r="W294" s="9">
        <v>134</v>
      </c>
      <c r="X294" s="9" t="str">
        <f>IFERROR(MID(VLOOKUP($B294,Seqs!$A:$B,2,0),Y294,1),"")</f>
        <v/>
      </c>
      <c r="Y294" s="9" t="s">
        <v>23</v>
      </c>
      <c r="Z294" s="9" t="str">
        <f>IFERROR(MID(VLOOKUP($B294,Seqs!$A:$B,2,0),AA294,1),"")</f>
        <v/>
      </c>
      <c r="AA294" s="9" t="s">
        <v>23</v>
      </c>
      <c r="AB294" s="9" t="str">
        <f>IFERROR(MID(VLOOKUP($B294,Seqs!$A:$B,2,0),AC294,1),"")</f>
        <v>P</v>
      </c>
      <c r="AC294" s="9">
        <v>140</v>
      </c>
      <c r="AD294" s="9" t="str">
        <f>IFERROR(MID(VLOOKUP($B294,Seqs!$A:$B,2,0),AE294,1),"")</f>
        <v>M</v>
      </c>
      <c r="AE294" s="9">
        <v>164</v>
      </c>
      <c r="AF294" s="9" t="str">
        <f>IFERROR(MID(VLOOKUP($B294,Seqs!$A:$B,2,0),AG294,1),"")</f>
        <v>C</v>
      </c>
      <c r="AG294" s="9">
        <v>173</v>
      </c>
      <c r="AH294" s="9" t="str">
        <f>IFERROR(MID(VLOOKUP($B294,Seqs!$A:$B,2,0),AI294,1),"")</f>
        <v>T</v>
      </c>
      <c r="AI294" s="9">
        <v>175</v>
      </c>
      <c r="AJ294" s="9" t="str">
        <f>IFERROR(MID(VLOOKUP($B294,Seqs!$A:$B,2,0),AK294,1),"")</f>
        <v>S</v>
      </c>
      <c r="AK294" s="9">
        <v>183</v>
      </c>
      <c r="AL294" s="9" t="str">
        <f>IFERROR(MID(VLOOKUP($B294,Seqs!$A:$B,2,0),AM294,1),"")</f>
        <v>S</v>
      </c>
      <c r="AM294" s="9">
        <v>218</v>
      </c>
      <c r="AN294" s="9" t="str">
        <f>IFERROR(MID(VLOOKUP($B294,Seqs!$A:$B,2,0),AO294,1),"")</f>
        <v>H</v>
      </c>
      <c r="AO294" s="9">
        <v>222</v>
      </c>
      <c r="AP294" s="9" t="str">
        <f>IFERROR(MID(VLOOKUP($B294,Seqs!$A:$B,2,0),AQ294,1),"")</f>
        <v>K</v>
      </c>
      <c r="AQ294" s="9">
        <v>257</v>
      </c>
      <c r="AR294" s="9" t="str">
        <f>IFERROR(MID(VLOOKUP($B294,Seqs!$A:$B,2,0),AS294,1),"")</f>
        <v>S</v>
      </c>
      <c r="AS294" s="9">
        <v>262</v>
      </c>
      <c r="AT294" s="9" t="str">
        <f>IFERROR(MID(VLOOKUP($B294,Seqs!$A:$B,2,0),AU294,1),"")</f>
        <v>V</v>
      </c>
      <c r="AU294" s="9">
        <v>294</v>
      </c>
      <c r="AV294" s="9" t="str">
        <f>IFERROR(MID(VLOOKUP($B294,Seqs!$A:$B,2,0),AW294,1),"")</f>
        <v>G</v>
      </c>
      <c r="AW294" s="9">
        <v>295</v>
      </c>
      <c r="AX294" s="9" t="str">
        <f>IFERROR(MID(VLOOKUP($B294,Seqs!$A:$B,2,0),AY294,1),"")</f>
        <v>R</v>
      </c>
      <c r="AY294" s="9">
        <v>310</v>
      </c>
      <c r="AZ294" s="110" t="str">
        <f>VLOOKUP(B294,Classification!A:D,2,0)</f>
        <v>A</v>
      </c>
      <c r="BA294" s="98" t="str">
        <f>VLOOKUP(B294,Classification!A:D,4,0)</f>
        <v>Chemokine</v>
      </c>
      <c r="BB294" s="36" t="b">
        <f t="shared" si="1371"/>
        <v>1</v>
      </c>
      <c r="BC294" s="109">
        <f t="shared" si="1372"/>
        <v>257</v>
      </c>
      <c r="BD294" s="11" t="s">
        <v>23</v>
      </c>
      <c r="BE294" s="9" t="s">
        <v>23</v>
      </c>
      <c r="BF294" s="120" t="s">
        <v>23</v>
      </c>
      <c r="BG294" s="51" t="s">
        <v>1383</v>
      </c>
      <c r="BH294" s="51" t="s">
        <v>1383</v>
      </c>
      <c r="BI294" s="12"/>
      <c r="BJ294" s="111" t="s">
        <v>1293</v>
      </c>
      <c r="BK294" s="112" t="s">
        <v>1293</v>
      </c>
      <c r="BL294" s="112" t="s">
        <v>1293</v>
      </c>
      <c r="BM294" s="112" t="s">
        <v>1293</v>
      </c>
      <c r="BN294" s="112" t="s">
        <v>1293</v>
      </c>
      <c r="BO294" s="112" t="s">
        <v>1293</v>
      </c>
      <c r="BP294" s="112" t="s">
        <v>1293</v>
      </c>
      <c r="BQ294" s="112" t="s">
        <v>1293</v>
      </c>
      <c r="BR294" s="112" t="s">
        <v>1293</v>
      </c>
      <c r="BS294" s="112" t="s">
        <v>1293</v>
      </c>
      <c r="BT294" s="112" t="s">
        <v>1293</v>
      </c>
      <c r="BU294" s="112" t="s">
        <v>1293</v>
      </c>
      <c r="BV294" s="111">
        <f t="shared" si="1373"/>
        <v>25</v>
      </c>
      <c r="BW294" s="113">
        <f t="shared" si="1374"/>
        <v>62</v>
      </c>
      <c r="BX294" s="114">
        <f t="shared" si="1375"/>
        <v>66</v>
      </c>
      <c r="BY294" s="113" t="str">
        <f t="shared" si="1376"/>
        <v>-</v>
      </c>
      <c r="BZ294" s="114">
        <f t="shared" si="1377"/>
        <v>100</v>
      </c>
      <c r="CA294" s="113" t="str">
        <f t="shared" si="1378"/>
        <v>-</v>
      </c>
      <c r="CB294" s="114">
        <f t="shared" si="1379"/>
        <v>140</v>
      </c>
      <c r="CC294" s="113">
        <f t="shared" si="1380"/>
        <v>173</v>
      </c>
      <c r="CD294" s="114">
        <f t="shared" si="1381"/>
        <v>183</v>
      </c>
      <c r="CE294" s="113">
        <f t="shared" si="1382"/>
        <v>222</v>
      </c>
      <c r="CF294" s="114">
        <f t="shared" si="1383"/>
        <v>262</v>
      </c>
      <c r="CG294" s="113">
        <f t="shared" si="1384"/>
        <v>295</v>
      </c>
      <c r="CH294" s="111">
        <f t="shared" si="1385"/>
        <v>61</v>
      </c>
      <c r="CI294" s="113">
        <f t="shared" si="1386"/>
        <v>65</v>
      </c>
      <c r="CJ294" s="114">
        <f t="shared" si="1387"/>
        <v>95</v>
      </c>
      <c r="CK294" s="114" t="str">
        <f t="shared" si="1388"/>
        <v>-</v>
      </c>
      <c r="CL294" s="114">
        <f t="shared" si="1389"/>
        <v>134</v>
      </c>
      <c r="CM294" s="114" t="str">
        <f t="shared" si="1390"/>
        <v>-</v>
      </c>
      <c r="CN294" s="114">
        <f t="shared" si="1391"/>
        <v>164</v>
      </c>
      <c r="CO294" s="114">
        <f t="shared" si="1392"/>
        <v>175</v>
      </c>
      <c r="CP294" s="114">
        <f t="shared" si="1393"/>
        <v>218</v>
      </c>
      <c r="CQ294" s="114">
        <f t="shared" si="1394"/>
        <v>257</v>
      </c>
      <c r="CR294" s="114">
        <f t="shared" si="1395"/>
        <v>294</v>
      </c>
      <c r="CS294" s="114">
        <f t="shared" si="1396"/>
        <v>310</v>
      </c>
      <c r="CT294" s="109">
        <f t="shared" si="1397"/>
        <v>1</v>
      </c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  <c r="ND294" s="6"/>
      <c r="NE294" s="6"/>
      <c r="NF294" s="6"/>
      <c r="NG294" s="6"/>
      <c r="NH294" s="6"/>
      <c r="NI294" s="6"/>
      <c r="NJ294" s="6"/>
      <c r="NK294" s="6"/>
      <c r="NL294" s="6"/>
      <c r="NM294" s="6"/>
      <c r="NN294" s="6"/>
      <c r="NO294" s="6"/>
      <c r="NP294" s="6"/>
      <c r="NQ294" s="6"/>
      <c r="NR294" s="6"/>
      <c r="NS294" s="6"/>
      <c r="NT294" s="6"/>
      <c r="NU294" s="6"/>
      <c r="NV294" s="6"/>
      <c r="NW294" s="6"/>
      <c r="NX294" s="6"/>
      <c r="NY294" s="6"/>
      <c r="NZ294" s="6"/>
      <c r="OA294" s="6"/>
      <c r="OB294" s="6"/>
      <c r="OC294" s="6"/>
      <c r="OD294" s="6"/>
      <c r="OE294" s="6"/>
      <c r="OF294" s="6"/>
      <c r="OG294" s="6"/>
      <c r="OH294" s="6"/>
      <c r="OI294" s="6"/>
      <c r="OJ294" s="6"/>
      <c r="OK294" s="6"/>
      <c r="OL294" s="6"/>
      <c r="OM294" s="6"/>
      <c r="ON294" s="6"/>
      <c r="OO294" s="6"/>
      <c r="OP294" s="6"/>
      <c r="OQ294" s="6"/>
      <c r="OR294" s="6"/>
      <c r="OS294" s="6"/>
      <c r="OT294" s="6"/>
      <c r="OU294" s="6"/>
      <c r="OV294" s="6"/>
      <c r="OW294" s="6"/>
      <c r="OX294" s="6"/>
      <c r="OY294" s="6"/>
      <c r="OZ294" s="6"/>
      <c r="PA294" s="6"/>
      <c r="PB294" s="6"/>
      <c r="PC294" s="6"/>
      <c r="PD294" s="6"/>
      <c r="PE294" s="6"/>
      <c r="PF294" s="6"/>
      <c r="PG294" s="6"/>
      <c r="PH294" s="6"/>
      <c r="PI294" s="6"/>
      <c r="PJ294" s="6"/>
      <c r="PK294" s="6"/>
      <c r="PL294" s="6"/>
      <c r="PM294" s="6"/>
      <c r="PN294" s="6"/>
      <c r="PO294" s="6"/>
      <c r="PP294" s="6"/>
      <c r="PQ294" s="6"/>
      <c r="PR294" s="6"/>
      <c r="PS294" s="6"/>
      <c r="PT294" s="6"/>
      <c r="PU294" s="6"/>
      <c r="PV294" s="6"/>
      <c r="PW294" s="6"/>
      <c r="PX294" s="6"/>
      <c r="PY294" s="6"/>
      <c r="PZ294" s="6"/>
      <c r="QA294" s="6"/>
      <c r="QB294" s="6"/>
      <c r="QC294" s="6"/>
      <c r="QD294" s="6"/>
      <c r="QE294" s="6"/>
      <c r="QF294" s="6"/>
      <c r="QG294" s="6"/>
      <c r="QH294" s="6"/>
      <c r="QI294" s="6"/>
      <c r="QJ294" s="6"/>
      <c r="QK294" s="6"/>
      <c r="QL294" s="6"/>
      <c r="QM294" s="6"/>
      <c r="QN294" s="6"/>
      <c r="QO294" s="6"/>
      <c r="QP294" s="6"/>
      <c r="QQ294" s="6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r="RJ294" s="6"/>
      <c r="RK294" s="6"/>
      <c r="RL294" s="6"/>
      <c r="RM294" s="6"/>
      <c r="RN294" s="6"/>
      <c r="RO294" s="6"/>
      <c r="RP294" s="6"/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  <c r="SC294" s="6"/>
      <c r="SD294" s="6"/>
      <c r="SE294" s="6"/>
      <c r="SF294" s="6"/>
      <c r="SG294" s="6"/>
      <c r="SH294" s="6"/>
      <c r="SI294" s="6"/>
      <c r="SJ294" s="6"/>
      <c r="SK294" s="6"/>
      <c r="SL294" s="6"/>
      <c r="SM294" s="6"/>
      <c r="SN294" s="6"/>
      <c r="SO294" s="6"/>
      <c r="SP294" s="6"/>
      <c r="SQ294" s="6"/>
      <c r="SR294" s="6"/>
      <c r="SS294" s="6"/>
      <c r="ST294" s="6"/>
      <c r="SU294" s="6"/>
      <c r="SV294" s="6"/>
      <c r="SW294" s="6"/>
      <c r="SX294" s="6"/>
      <c r="SY294" s="6"/>
      <c r="SZ294" s="6"/>
      <c r="TA294" s="6"/>
      <c r="TB294" s="6"/>
      <c r="TC294" s="6"/>
      <c r="TD294" s="6"/>
      <c r="TE294" s="6"/>
      <c r="TF294" s="6"/>
      <c r="TG294" s="6"/>
      <c r="TH294" s="6"/>
      <c r="TI294" s="6"/>
      <c r="TJ294" s="6"/>
      <c r="TK294" s="6"/>
      <c r="TL294" s="6"/>
      <c r="TM294" s="6"/>
      <c r="TN294" s="6"/>
      <c r="TO294" s="6"/>
      <c r="TP294" s="6"/>
      <c r="TQ294" s="6"/>
      <c r="TR294" s="6"/>
      <c r="TS294" s="6"/>
      <c r="TT294" s="6"/>
      <c r="TU294" s="6"/>
      <c r="TV294" s="6"/>
      <c r="TW294" s="6"/>
      <c r="TX294" s="6"/>
      <c r="TY294" s="6"/>
      <c r="TZ294" s="6"/>
      <c r="UA294" s="6"/>
      <c r="UB294" s="6"/>
      <c r="UC294" s="6"/>
      <c r="UD294" s="6"/>
      <c r="UE294" s="6"/>
      <c r="UF294" s="6"/>
      <c r="UG294" s="6"/>
      <c r="UH294" s="6"/>
      <c r="UI294" s="6"/>
      <c r="UJ294" s="6"/>
      <c r="UK294" s="6"/>
      <c r="UL294" s="6"/>
      <c r="UM294" s="6"/>
      <c r="UN294" s="6"/>
      <c r="UO294" s="6"/>
      <c r="UP294" s="6"/>
      <c r="UQ294" s="6"/>
      <c r="UR294" s="6"/>
      <c r="US294" s="6"/>
      <c r="UT294" s="6"/>
      <c r="UU294" s="6"/>
      <c r="UV294" s="6"/>
      <c r="UW294" s="6"/>
      <c r="UX294" s="6"/>
      <c r="UY294" s="6"/>
      <c r="UZ294" s="6"/>
      <c r="VA294" s="6"/>
      <c r="VB294" s="6"/>
      <c r="VC294" s="6"/>
      <c r="VD294" s="6"/>
      <c r="VE294" s="6"/>
      <c r="VF294" s="6"/>
      <c r="VG294" s="6"/>
      <c r="VH294" s="6"/>
      <c r="VI294" s="6"/>
      <c r="VJ294" s="6"/>
      <c r="VK294" s="6"/>
      <c r="VL294" s="6"/>
      <c r="VM294" s="6"/>
      <c r="VN294" s="6"/>
      <c r="VO294" s="6"/>
      <c r="VP294" s="6"/>
      <c r="VQ294" s="6"/>
      <c r="VR294" s="6"/>
      <c r="VS294" s="6"/>
      <c r="VT294" s="6"/>
      <c r="VU294" s="6"/>
      <c r="VV294" s="6"/>
      <c r="VW294" s="6"/>
      <c r="VX294" s="6"/>
      <c r="VY294" s="6"/>
      <c r="VZ294" s="6"/>
      <c r="WA294" s="6"/>
      <c r="WB294" s="6"/>
      <c r="WC294" s="6"/>
      <c r="WD294" s="6"/>
      <c r="WE294" s="6"/>
      <c r="WF294" s="6"/>
      <c r="WG294" s="6"/>
      <c r="WH294" s="6"/>
      <c r="WI294" s="6"/>
      <c r="WJ294" s="6"/>
      <c r="WK294" s="6"/>
      <c r="WL294" s="6"/>
      <c r="WM294" s="6"/>
      <c r="WN294" s="6"/>
      <c r="WO294" s="6"/>
      <c r="WP294" s="6"/>
      <c r="WQ294" s="6"/>
      <c r="WR294" s="6"/>
      <c r="WS294" s="6"/>
      <c r="WT294" s="6"/>
      <c r="WU294" s="6"/>
      <c r="WV294" s="6"/>
      <c r="WW294" s="6"/>
      <c r="WX294" s="6"/>
      <c r="WY294" s="6"/>
      <c r="WZ294" s="6"/>
      <c r="XA294" s="6"/>
      <c r="XB294" s="6"/>
      <c r="XC294" s="6"/>
      <c r="XD294" s="6"/>
      <c r="XE294" s="6"/>
      <c r="XF294" s="6"/>
      <c r="XG294" s="6"/>
      <c r="XH294" s="6"/>
      <c r="XI294" s="6"/>
      <c r="XJ294" s="6"/>
      <c r="XK294" s="6"/>
      <c r="XL294" s="6"/>
      <c r="XM294" s="6"/>
      <c r="XN294" s="6"/>
      <c r="XO294" s="6"/>
      <c r="XP294" s="6"/>
      <c r="XQ294" s="6"/>
      <c r="XR294" s="6"/>
      <c r="XS294" s="6"/>
      <c r="XT294" s="6"/>
      <c r="XU294" s="6"/>
      <c r="XV294" s="6"/>
      <c r="XW294" s="6"/>
      <c r="XX294" s="6"/>
      <c r="XY294" s="6"/>
      <c r="XZ294" s="6"/>
      <c r="YA294" s="6"/>
      <c r="YB294" s="6"/>
      <c r="YC294" s="6"/>
      <c r="YD294" s="6"/>
      <c r="YE294" s="6"/>
      <c r="YF294" s="6"/>
      <c r="YG294" s="6"/>
      <c r="YH294" s="6"/>
      <c r="YI294" s="6"/>
      <c r="YJ294" s="6"/>
      <c r="YK294" s="6"/>
      <c r="YL294" s="6"/>
      <c r="YM294" s="6"/>
      <c r="YN294" s="6"/>
      <c r="YO294" s="6"/>
      <c r="YP294" s="6"/>
      <c r="YQ294" s="6"/>
      <c r="YR294" s="6"/>
      <c r="YS294" s="6"/>
      <c r="YT294" s="6"/>
      <c r="YU294" s="6"/>
      <c r="YV294" s="6"/>
      <c r="YW294" s="6"/>
      <c r="YX294" s="6"/>
      <c r="YY294" s="6"/>
      <c r="YZ294" s="6"/>
      <c r="ZA294" s="6"/>
      <c r="ZB294" s="6"/>
      <c r="ZC294" s="6"/>
      <c r="ZD294" s="6"/>
      <c r="ZE294" s="6"/>
      <c r="ZF294" s="6"/>
      <c r="ZG294" s="6"/>
      <c r="ZH294" s="6"/>
      <c r="ZI294" s="6"/>
      <c r="ZJ294" s="6"/>
      <c r="ZK294" s="6"/>
      <c r="ZL294" s="6"/>
      <c r="ZM294" s="6"/>
      <c r="ZN294" s="6"/>
      <c r="ZO294" s="6"/>
      <c r="ZP294" s="6"/>
      <c r="ZQ294" s="6"/>
      <c r="ZR294" s="6"/>
      <c r="ZS294" s="6"/>
      <c r="ZT294" s="6"/>
      <c r="ZU294" s="6"/>
      <c r="ZV294" s="6"/>
      <c r="ZW294" s="6"/>
      <c r="ZX294" s="6"/>
      <c r="ZY294" s="6"/>
      <c r="ZZ294" s="6"/>
      <c r="AAA294" s="6"/>
      <c r="AAB294" s="6"/>
      <c r="AAC294" s="6"/>
      <c r="AAD294" s="6"/>
      <c r="AAE294" s="6"/>
      <c r="AAF294" s="6"/>
      <c r="AAG294" s="6"/>
      <c r="AAH294" s="6"/>
      <c r="AAI294" s="6"/>
      <c r="AAJ294" s="6"/>
      <c r="AAK294" s="6"/>
      <c r="AAL294" s="6"/>
      <c r="AAM294" s="6"/>
      <c r="AAN294" s="6"/>
      <c r="AAO294" s="6"/>
      <c r="AAP294" s="6"/>
      <c r="AAQ294" s="6"/>
      <c r="AAR294" s="6"/>
      <c r="AAS294" s="6"/>
      <c r="AAT294" s="6"/>
      <c r="AAU294" s="6"/>
      <c r="AAV294" s="6"/>
      <c r="AAW294" s="6"/>
      <c r="AAX294" s="6"/>
      <c r="AAY294" s="6"/>
      <c r="AAZ294" s="6"/>
      <c r="ABA294" s="6"/>
      <c r="ABB294" s="6"/>
      <c r="ABC294" s="6"/>
      <c r="ABD294" s="6"/>
      <c r="ABE294" s="6"/>
      <c r="ABF294" s="6"/>
      <c r="ABG294" s="6"/>
      <c r="ABH294" s="6"/>
      <c r="ABI294" s="6"/>
      <c r="ABJ294" s="6"/>
      <c r="ABK294" s="6"/>
      <c r="ABL294" s="6"/>
      <c r="ABM294" s="6"/>
      <c r="ABN294" s="6"/>
      <c r="ABO294" s="6"/>
      <c r="ABP294" s="6"/>
      <c r="ABQ294" s="6"/>
      <c r="ABR294" s="6"/>
      <c r="ABS294" s="6"/>
      <c r="ABT294" s="6"/>
      <c r="ABU294" s="6"/>
      <c r="ABV294" s="6"/>
      <c r="ABW294" s="6"/>
      <c r="ABX294" s="6"/>
      <c r="ABY294" s="6"/>
      <c r="ABZ294" s="6"/>
      <c r="ACA294" s="6"/>
      <c r="ACB294" s="6"/>
      <c r="ACC294" s="6"/>
      <c r="ACD294" s="6"/>
      <c r="ACE294" s="6"/>
      <c r="ACF294" s="6"/>
      <c r="ACG294" s="6"/>
      <c r="ACH294" s="6"/>
      <c r="ACI294" s="6"/>
      <c r="ACJ294" s="6"/>
      <c r="ACK294" s="6"/>
      <c r="ACL294" s="6"/>
      <c r="ACM294" s="6"/>
      <c r="ACN294" s="6"/>
      <c r="ACO294" s="6"/>
      <c r="ACP294" s="6"/>
      <c r="ACQ294" s="6"/>
      <c r="ACR294" s="6"/>
      <c r="ACS294" s="6"/>
      <c r="ACT294" s="6"/>
      <c r="ACU294" s="6"/>
      <c r="ACV294" s="6"/>
      <c r="ACW294" s="6"/>
      <c r="ACX294" s="6"/>
      <c r="ACY294" s="6"/>
      <c r="ACZ294" s="6"/>
      <c r="ADA294" s="6"/>
      <c r="ADB294" s="6"/>
      <c r="ADC294" s="6"/>
      <c r="ADD294" s="6"/>
      <c r="ADE294" s="6"/>
      <c r="ADF294" s="6"/>
      <c r="ADG294" s="6"/>
      <c r="ADH294" s="6"/>
      <c r="ADI294" s="6"/>
      <c r="ADJ294" s="6"/>
      <c r="ADK294" s="6"/>
      <c r="ADL294" s="6"/>
      <c r="ADM294" s="6"/>
      <c r="ADN294" s="6"/>
      <c r="ADO294" s="6"/>
      <c r="ADP294" s="6"/>
      <c r="ADQ294" s="6"/>
      <c r="ADR294" s="6"/>
      <c r="ADS294" s="6"/>
      <c r="ADT294" s="6"/>
      <c r="ADU294" s="6"/>
      <c r="ADV294" s="6"/>
      <c r="ADW294" s="6"/>
      <c r="ADX294" s="6"/>
      <c r="ADY294" s="6"/>
      <c r="ADZ294" s="6"/>
      <c r="AEA294" s="6"/>
      <c r="AEB294" s="6"/>
      <c r="AEC294" s="6"/>
      <c r="AED294" s="6"/>
      <c r="AEE294" s="6"/>
      <c r="AEF294" s="6"/>
      <c r="AEG294" s="6"/>
      <c r="AEH294" s="6"/>
      <c r="AEI294" s="6"/>
      <c r="AEJ294" s="6"/>
      <c r="AEK294" s="6"/>
      <c r="AEL294" s="6"/>
      <c r="AEM294" s="6"/>
      <c r="AEN294" s="6"/>
      <c r="AEO294" s="6"/>
      <c r="AEP294" s="6"/>
      <c r="AEQ294" s="6"/>
      <c r="AER294" s="6"/>
      <c r="AES294" s="6"/>
      <c r="AET294" s="6"/>
      <c r="AEU294" s="6"/>
      <c r="AEV294" s="6"/>
      <c r="AEW294" s="6"/>
      <c r="AEX294" s="6"/>
      <c r="AEY294" s="6"/>
      <c r="AEZ294" s="6"/>
      <c r="AFA294" s="6"/>
      <c r="AFB294" s="6"/>
      <c r="AFC294" s="6"/>
      <c r="AFD294" s="6"/>
      <c r="AFE294" s="6"/>
      <c r="AFF294" s="6"/>
      <c r="AFG294" s="6"/>
      <c r="AFH294" s="6"/>
      <c r="AFI294" s="6"/>
      <c r="AFJ294" s="6"/>
      <c r="AFK294" s="6"/>
      <c r="AFL294" s="6"/>
      <c r="AFM294" s="6"/>
      <c r="AFN294" s="6"/>
      <c r="AFO294" s="6"/>
      <c r="AFP294" s="6"/>
      <c r="AFQ294" s="6"/>
      <c r="AFR294" s="6"/>
      <c r="AFS294" s="6"/>
      <c r="AFT294" s="6"/>
      <c r="AFU294" s="6"/>
      <c r="AFV294" s="6"/>
      <c r="AFW294" s="6"/>
      <c r="AFX294" s="6"/>
      <c r="AFY294" s="6"/>
      <c r="AFZ294" s="6"/>
      <c r="AGA294" s="6"/>
      <c r="AGB294" s="6"/>
      <c r="AGC294" s="6"/>
      <c r="AGD294" s="6"/>
      <c r="AGE294" s="6"/>
      <c r="AGF294" s="6"/>
      <c r="AGG294" s="6"/>
      <c r="AGH294" s="6"/>
      <c r="AGI294" s="6"/>
      <c r="AGJ294" s="6"/>
      <c r="AGK294" s="6"/>
      <c r="AGL294" s="6"/>
      <c r="AGM294" s="6"/>
      <c r="AGN294" s="6"/>
      <c r="AGO294" s="6"/>
      <c r="AGP294" s="6"/>
      <c r="AGQ294" s="6"/>
      <c r="AGR294" s="6"/>
      <c r="AGS294" s="6"/>
      <c r="AGT294" s="6"/>
      <c r="AGU294" s="6"/>
      <c r="AGV294" s="6"/>
      <c r="AGW294" s="6"/>
      <c r="AGX294" s="6"/>
      <c r="AGY294" s="6"/>
      <c r="AGZ294" s="6"/>
      <c r="AHA294" s="6"/>
      <c r="AHB294" s="6"/>
      <c r="AHC294" s="6"/>
      <c r="AHD294" s="6"/>
      <c r="AHE294" s="6"/>
      <c r="AHF294" s="6"/>
      <c r="AHG294" s="6"/>
      <c r="AHH294" s="6"/>
      <c r="AHI294" s="6"/>
      <c r="AHJ294" s="6"/>
      <c r="AHK294" s="6"/>
      <c r="AHL294" s="6"/>
      <c r="AHM294" s="6"/>
      <c r="AHN294" s="6"/>
      <c r="AHO294" s="6"/>
      <c r="AHP294" s="6"/>
      <c r="AHQ294" s="6"/>
      <c r="AHR294" s="6"/>
      <c r="AHS294" s="6"/>
      <c r="AHT294" s="6"/>
      <c r="AHU294" s="6"/>
      <c r="AHV294" s="6"/>
      <c r="AHW294" s="6"/>
      <c r="AHX294" s="6"/>
      <c r="AHY294" s="6"/>
      <c r="AHZ294" s="6"/>
      <c r="AIA294" s="6"/>
      <c r="AIB294" s="6"/>
      <c r="AIC294" s="6"/>
      <c r="AID294" s="6"/>
      <c r="AIE294" s="6"/>
      <c r="AIF294" s="6"/>
      <c r="AIG294" s="6"/>
      <c r="AIH294" s="6"/>
      <c r="AII294" s="6"/>
      <c r="AIJ294" s="6"/>
      <c r="AIK294" s="6"/>
      <c r="AIL294" s="6"/>
      <c r="AIM294" s="6"/>
      <c r="AIN294" s="6"/>
      <c r="AIO294" s="6"/>
      <c r="AIP294" s="6"/>
      <c r="AIQ294" s="6"/>
      <c r="AIR294" s="6"/>
      <c r="AIS294" s="6"/>
      <c r="AIT294" s="6"/>
      <c r="AIU294" s="6"/>
      <c r="AIV294" s="6"/>
      <c r="AIW294" s="6"/>
      <c r="AIX294" s="6"/>
      <c r="AIY294" s="6"/>
      <c r="AIZ294" s="6"/>
      <c r="AJA294" s="6"/>
      <c r="AJB294" s="6"/>
      <c r="AJC294" s="6"/>
      <c r="AJD294" s="6"/>
      <c r="AJE294" s="6"/>
      <c r="AJF294" s="6"/>
      <c r="AJG294" s="6"/>
      <c r="AJH294" s="6"/>
      <c r="AJI294" s="6"/>
      <c r="AJJ294" s="6"/>
      <c r="AJK294" s="6"/>
      <c r="AJL294" s="6"/>
      <c r="AJM294" s="6"/>
      <c r="AJN294" s="6"/>
      <c r="AJO294" s="6"/>
      <c r="AJP294" s="6"/>
      <c r="AJQ294" s="6"/>
      <c r="AJR294" s="6"/>
      <c r="AJS294" s="6"/>
      <c r="AJT294" s="6"/>
      <c r="AJU294" s="6"/>
      <c r="AJV294" s="6"/>
      <c r="AJW294" s="6"/>
      <c r="AJX294" s="6"/>
      <c r="AJY294" s="6"/>
      <c r="AJZ294" s="6"/>
      <c r="AKA294" s="6"/>
      <c r="AKB294" s="6"/>
      <c r="AKC294" s="6"/>
      <c r="AKD294" s="6"/>
      <c r="AKE294" s="6"/>
      <c r="AKF294" s="6"/>
      <c r="AKG294" s="6"/>
      <c r="AKH294" s="6"/>
      <c r="AKI294" s="6"/>
      <c r="AKJ294" s="6"/>
      <c r="AKK294" s="6"/>
      <c r="AKL294" s="6"/>
      <c r="AKM294" s="6"/>
      <c r="AKN294" s="6"/>
      <c r="AKO294" s="6"/>
      <c r="AKP294" s="6"/>
      <c r="AKQ294" s="6"/>
      <c r="AKR294" s="6"/>
      <c r="AKS294" s="6"/>
      <c r="AKT294" s="6"/>
      <c r="AKU294" s="6"/>
      <c r="AKV294" s="6"/>
      <c r="AKW294" s="6"/>
      <c r="AKX294" s="6"/>
      <c r="AKY294" s="6"/>
      <c r="AKZ294" s="6"/>
      <c r="ALA294" s="6"/>
      <c r="ALB294" s="6"/>
      <c r="ALC294" s="6"/>
      <c r="ALD294" s="6"/>
      <c r="ALE294" s="6"/>
      <c r="ALF294" s="6"/>
      <c r="ALG294" s="6"/>
      <c r="ALH294" s="6"/>
      <c r="ALI294" s="6"/>
      <c r="ALJ294" s="6"/>
      <c r="ALK294" s="6"/>
      <c r="ALL294" s="6"/>
      <c r="ALM294" s="6"/>
      <c r="ALN294" s="6"/>
      <c r="ALO294" s="6"/>
      <c r="ALP294" s="6"/>
      <c r="ALQ294" s="6"/>
      <c r="ALR294" s="6"/>
      <c r="ALS294" s="6"/>
      <c r="ALT294" s="6"/>
      <c r="ALU294" s="6"/>
      <c r="ALV294" s="6"/>
      <c r="ALW294" s="6"/>
      <c r="ALX294" s="6"/>
      <c r="ALY294" s="6"/>
      <c r="ALZ294" s="6"/>
      <c r="AMA294" s="6"/>
      <c r="AMB294" s="6"/>
      <c r="AMC294" s="6"/>
      <c r="AMD294" s="6"/>
      <c r="AME294" s="6"/>
      <c r="AMF294" s="6"/>
      <c r="AMG294" s="6"/>
      <c r="AMH294" s="6"/>
      <c r="AMI294" s="6"/>
      <c r="AMJ294" s="6"/>
      <c r="AMK294" s="6"/>
      <c r="AML294" s="6"/>
      <c r="AMM294" s="6"/>
      <c r="AMN294" s="6"/>
      <c r="AMO294" s="6"/>
      <c r="AMP294" s="6"/>
    </row>
    <row r="295" spans="1:1030" x14ac:dyDescent="0.2">
      <c r="A295" s="9" t="str">
        <f t="shared" si="1398"/>
        <v>q80km9_hcmv_5WB1</v>
      </c>
      <c r="B295" s="40" t="s">
        <v>1523</v>
      </c>
      <c r="C295" s="9" t="s">
        <v>1525</v>
      </c>
      <c r="D295" s="9" t="str">
        <f>IFERROR(MID(VLOOKUP($B295,Seqs!$A:$B,2,0),E295,1),"")</f>
        <v>F</v>
      </c>
      <c r="E295" s="9">
        <v>25</v>
      </c>
      <c r="F295" s="9" t="str">
        <f>IFERROR(MID(VLOOKUP($B295,Seqs!$A:$B,2,0),G295,1),"")</f>
        <v>W</v>
      </c>
      <c r="G295" s="9">
        <v>60</v>
      </c>
      <c r="H295" s="9" t="str">
        <f>IFERROR(MID(VLOOKUP($B295,Seqs!$A:$B,2,0),I295,1),"")</f>
        <v/>
      </c>
      <c r="I295" s="109" t="s">
        <v>23</v>
      </c>
      <c r="J295" s="9" t="str">
        <f>IFERROR(MID(VLOOKUP($B295,Seqs!$A:$B,2,0),K295,1),"")</f>
        <v/>
      </c>
      <c r="K295" s="109" t="s">
        <v>23</v>
      </c>
      <c r="L295" s="9" t="str">
        <f>IFERROR(MID(VLOOKUP($B295,Seqs!$A:$B,2,0),M295,1),"")</f>
        <v>C</v>
      </c>
      <c r="M295" s="9">
        <v>66</v>
      </c>
      <c r="N295" s="9" t="str">
        <f>IFERROR(MID(VLOOKUP($B295,Seqs!$A:$B,2,0),O295,1),"")</f>
        <v>D</v>
      </c>
      <c r="O295" s="9">
        <v>95</v>
      </c>
      <c r="P295" s="9" t="str">
        <f>IFERROR(MID(VLOOKUP($B295,Seqs!$A:$B,2,0),Q295,1),"")</f>
        <v/>
      </c>
      <c r="Q295" s="9" t="s">
        <v>23</v>
      </c>
      <c r="R295" s="9" t="str">
        <f>IFERROR(MID(VLOOKUP($B295,Seqs!$A:$B,2,0),S295,1),"")</f>
        <v/>
      </c>
      <c r="S295" s="9" t="s">
        <v>23</v>
      </c>
      <c r="T295" s="9" t="str">
        <f>IFERROR(MID(VLOOKUP($B295,Seqs!$A:$B,2,0),U295,1),"")</f>
        <v>A</v>
      </c>
      <c r="U295" s="9">
        <v>100</v>
      </c>
      <c r="V295" s="9" t="str">
        <f>IFERROR(MID(VLOOKUP($B295,Seqs!$A:$B,2,0),W295,1),"")</f>
        <v>V</v>
      </c>
      <c r="W295" s="9">
        <v>134</v>
      </c>
      <c r="X295" s="9" t="str">
        <f>IFERROR(MID(VLOOKUP($B295,Seqs!$A:$B,2,0),Y295,1),"")</f>
        <v/>
      </c>
      <c r="Y295" s="9" t="s">
        <v>23</v>
      </c>
      <c r="Z295" s="9" t="str">
        <f>IFERROR(MID(VLOOKUP($B295,Seqs!$A:$B,2,0),AA295,1),"")</f>
        <v/>
      </c>
      <c r="AA295" s="9" t="s">
        <v>23</v>
      </c>
      <c r="AB295" s="9" t="str">
        <f>IFERROR(MID(VLOOKUP($B295,Seqs!$A:$B,2,0),AC295,1),"")</f>
        <v>P</v>
      </c>
      <c r="AC295" s="9">
        <v>140</v>
      </c>
      <c r="AD295" s="9" t="str">
        <f>IFERROR(MID(VLOOKUP($B295,Seqs!$A:$B,2,0),AE295,1),"")</f>
        <v>M</v>
      </c>
      <c r="AE295" s="9">
        <v>164</v>
      </c>
      <c r="AF295" s="9" t="str">
        <f>IFERROR(MID(VLOOKUP($B295,Seqs!$A:$B,2,0),AG295,1),"")</f>
        <v>C</v>
      </c>
      <c r="AG295" s="9">
        <v>173</v>
      </c>
      <c r="AH295" s="9" t="str">
        <f>IFERROR(MID(VLOOKUP($B295,Seqs!$A:$B,2,0),AI295,1),"")</f>
        <v>T</v>
      </c>
      <c r="AI295" s="9">
        <v>175</v>
      </c>
      <c r="AJ295" s="9" t="str">
        <f>IFERROR(MID(VLOOKUP($B295,Seqs!$A:$B,2,0),AK295,1),"")</f>
        <v>S</v>
      </c>
      <c r="AK295" s="9">
        <v>183</v>
      </c>
      <c r="AL295" s="9" t="str">
        <f>IFERROR(MID(VLOOKUP($B295,Seqs!$A:$B,2,0),AM295,1),"")</f>
        <v>S</v>
      </c>
      <c r="AM295" s="9">
        <v>218</v>
      </c>
      <c r="AN295" s="9" t="str">
        <f>IFERROR(MID(VLOOKUP($B295,Seqs!$A:$B,2,0),AO295,1),"")</f>
        <v>H</v>
      </c>
      <c r="AO295" s="9">
        <v>222</v>
      </c>
      <c r="AP295" s="9" t="str">
        <f>IFERROR(MID(VLOOKUP($B295,Seqs!$A:$B,2,0),AQ295,1),"")</f>
        <v>K</v>
      </c>
      <c r="AQ295" s="9">
        <v>257</v>
      </c>
      <c r="AR295" s="9" t="str">
        <f>IFERROR(MID(VLOOKUP($B295,Seqs!$A:$B,2,0),AS295,1),"")</f>
        <v>S</v>
      </c>
      <c r="AS295" s="9">
        <v>262</v>
      </c>
      <c r="AT295" s="9" t="str">
        <f>IFERROR(MID(VLOOKUP($B295,Seqs!$A:$B,2,0),AU295,1),"")</f>
        <v>V</v>
      </c>
      <c r="AU295" s="9">
        <v>294</v>
      </c>
      <c r="AV295" s="9" t="str">
        <f>IFERROR(MID(VLOOKUP($B295,Seqs!$A:$B,2,0),AW295,1),"")</f>
        <v>G</v>
      </c>
      <c r="AW295" s="9">
        <v>295</v>
      </c>
      <c r="AX295" s="9" t="str">
        <f>IFERROR(MID(VLOOKUP($B295,Seqs!$A:$B,2,0),AY295,1),"")</f>
        <v>R</v>
      </c>
      <c r="AY295" s="9">
        <v>310</v>
      </c>
      <c r="AZ295" s="110" t="str">
        <f>VLOOKUP(B295,Classification!A:D,2,0)</f>
        <v>A</v>
      </c>
      <c r="BA295" s="98" t="str">
        <f>VLOOKUP(B295,Classification!A:D,4,0)</f>
        <v>Chemokine</v>
      </c>
      <c r="BB295" s="36" t="b">
        <f t="shared" si="1371"/>
        <v>1</v>
      </c>
      <c r="BC295" s="109">
        <f t="shared" si="1372"/>
        <v>253</v>
      </c>
      <c r="BD295" s="11" t="s">
        <v>1381</v>
      </c>
      <c r="BE295" s="9" t="s">
        <v>1297</v>
      </c>
      <c r="BF295" s="120">
        <v>3.51</v>
      </c>
      <c r="BG295" s="51" t="s">
        <v>1</v>
      </c>
      <c r="BH295" s="51" t="s">
        <v>1</v>
      </c>
      <c r="BI295" s="12"/>
      <c r="BJ295" s="111" t="s">
        <v>1293</v>
      </c>
      <c r="BK295" s="112" t="s">
        <v>1293</v>
      </c>
      <c r="BL295" s="112" t="s">
        <v>1293</v>
      </c>
      <c r="BM295" s="112" t="s">
        <v>1293</v>
      </c>
      <c r="BN295" s="112" t="s">
        <v>1293</v>
      </c>
      <c r="BO295" s="112" t="s">
        <v>1293</v>
      </c>
      <c r="BP295" s="112" t="s">
        <v>1293</v>
      </c>
      <c r="BQ295" s="112" t="s">
        <v>1293</v>
      </c>
      <c r="BR295" s="112" t="s">
        <v>1293</v>
      </c>
      <c r="BS295" s="112" t="s">
        <v>1293</v>
      </c>
      <c r="BT295" s="112" t="s">
        <v>1293</v>
      </c>
      <c r="BU295" s="112" t="s">
        <v>1293</v>
      </c>
      <c r="BV295" s="111">
        <f t="shared" si="1373"/>
        <v>25</v>
      </c>
      <c r="BW295" s="113" t="str">
        <f t="shared" si="1374"/>
        <v>-</v>
      </c>
      <c r="BX295" s="114">
        <f t="shared" si="1375"/>
        <v>66</v>
      </c>
      <c r="BY295" s="113" t="str">
        <f t="shared" si="1376"/>
        <v>-</v>
      </c>
      <c r="BZ295" s="114">
        <f t="shared" si="1377"/>
        <v>100</v>
      </c>
      <c r="CA295" s="113" t="str">
        <f t="shared" si="1378"/>
        <v>-</v>
      </c>
      <c r="CB295" s="114">
        <f t="shared" si="1379"/>
        <v>140</v>
      </c>
      <c r="CC295" s="113">
        <f t="shared" si="1380"/>
        <v>173</v>
      </c>
      <c r="CD295" s="114">
        <f t="shared" si="1381"/>
        <v>183</v>
      </c>
      <c r="CE295" s="113">
        <f t="shared" si="1382"/>
        <v>222</v>
      </c>
      <c r="CF295" s="114">
        <f t="shared" si="1383"/>
        <v>262</v>
      </c>
      <c r="CG295" s="113">
        <f t="shared" si="1384"/>
        <v>295</v>
      </c>
      <c r="CH295" s="111">
        <f t="shared" si="1385"/>
        <v>60</v>
      </c>
      <c r="CI295" s="113" t="str">
        <f t="shared" si="1386"/>
        <v>-</v>
      </c>
      <c r="CJ295" s="114">
        <f t="shared" si="1387"/>
        <v>95</v>
      </c>
      <c r="CK295" s="114" t="str">
        <f t="shared" si="1388"/>
        <v>-</v>
      </c>
      <c r="CL295" s="114">
        <f t="shared" si="1389"/>
        <v>134</v>
      </c>
      <c r="CM295" s="114" t="str">
        <f t="shared" si="1390"/>
        <v>-</v>
      </c>
      <c r="CN295" s="114">
        <f t="shared" si="1391"/>
        <v>164</v>
      </c>
      <c r="CO295" s="114">
        <f t="shared" si="1392"/>
        <v>175</v>
      </c>
      <c r="CP295" s="114">
        <f t="shared" si="1393"/>
        <v>218</v>
      </c>
      <c r="CQ295" s="114">
        <f t="shared" si="1394"/>
        <v>257</v>
      </c>
      <c r="CR295" s="114">
        <f t="shared" si="1395"/>
        <v>294</v>
      </c>
      <c r="CS295" s="114">
        <f t="shared" si="1396"/>
        <v>310</v>
      </c>
      <c r="CT295" s="109" t="e">
        <f t="shared" si="1397"/>
        <v>#VALUE!</v>
      </c>
      <c r="CU295" s="6"/>
      <c r="CV295" s="6"/>
      <c r="CW295" s="6"/>
      <c r="CX295" s="6"/>
      <c r="CY295" s="6"/>
      <c r="CZ295" s="6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6"/>
      <c r="KB295" s="6"/>
      <c r="KC295" s="6"/>
      <c r="KD295" s="6"/>
      <c r="KE295" s="6"/>
      <c r="KF295" s="6"/>
      <c r="KG295" s="6"/>
      <c r="KH295" s="6"/>
      <c r="KI295" s="6"/>
      <c r="KJ295" s="6"/>
      <c r="KK295" s="6"/>
      <c r="KL295" s="6"/>
      <c r="KM295" s="6"/>
      <c r="KN295" s="6"/>
      <c r="KO295" s="6"/>
      <c r="KP295" s="6"/>
      <c r="KQ295" s="6"/>
      <c r="KR295" s="6"/>
      <c r="KS295" s="6"/>
      <c r="KT295" s="6"/>
      <c r="KU295" s="6"/>
      <c r="KV295" s="6"/>
      <c r="KW295" s="6"/>
      <c r="KX295" s="6"/>
      <c r="KY295" s="6"/>
      <c r="KZ295" s="6"/>
      <c r="LA295" s="6"/>
      <c r="LB295" s="6"/>
      <c r="LC295" s="6"/>
      <c r="LD295" s="6"/>
      <c r="LE295" s="6"/>
      <c r="LF295" s="6"/>
      <c r="LG295" s="6"/>
      <c r="LH295" s="6"/>
      <c r="LI295" s="6"/>
      <c r="LJ295" s="6"/>
      <c r="LK295" s="6"/>
      <c r="LL295" s="6"/>
      <c r="LM295" s="6"/>
      <c r="LN295" s="6"/>
      <c r="LO295" s="6"/>
      <c r="LP295" s="6"/>
      <c r="LQ295" s="6"/>
      <c r="LR295" s="6"/>
      <c r="LS295" s="6"/>
      <c r="LT295" s="6"/>
      <c r="LU295" s="6"/>
      <c r="LV295" s="6"/>
      <c r="LW295" s="6"/>
      <c r="LX295" s="6"/>
      <c r="LY295" s="6"/>
      <c r="LZ295" s="6"/>
      <c r="MA295" s="6"/>
      <c r="MB295" s="6"/>
      <c r="MC295" s="6"/>
      <c r="MD295" s="6"/>
      <c r="ME295" s="6"/>
      <c r="MF295" s="6"/>
      <c r="MG295" s="6"/>
      <c r="MH295" s="6"/>
      <c r="MI295" s="6"/>
      <c r="MJ295" s="6"/>
      <c r="MK295" s="6"/>
      <c r="ML295" s="6"/>
      <c r="MM295" s="6"/>
      <c r="MN295" s="6"/>
      <c r="MO295" s="6"/>
      <c r="MP295" s="6"/>
      <c r="MQ295" s="6"/>
      <c r="MR295" s="6"/>
      <c r="MS295" s="6"/>
      <c r="MT295" s="6"/>
      <c r="MU295" s="6"/>
      <c r="MV295" s="6"/>
      <c r="MW295" s="6"/>
      <c r="MX295" s="6"/>
      <c r="MY295" s="6"/>
      <c r="MZ295" s="6"/>
      <c r="NA295" s="6"/>
      <c r="NB295" s="6"/>
      <c r="NC295" s="6"/>
      <c r="ND295" s="6"/>
      <c r="NE295" s="6"/>
      <c r="NF295" s="6"/>
      <c r="NG295" s="6"/>
      <c r="NH295" s="6"/>
      <c r="NI295" s="6"/>
      <c r="NJ295" s="6"/>
      <c r="NK295" s="6"/>
      <c r="NL295" s="6"/>
      <c r="NM295" s="6"/>
      <c r="NN295" s="6"/>
      <c r="NO295" s="6"/>
      <c r="NP295" s="6"/>
      <c r="NQ295" s="6"/>
      <c r="NR295" s="6"/>
      <c r="NS295" s="6"/>
      <c r="NT295" s="6"/>
      <c r="NU295" s="6"/>
      <c r="NV295" s="6"/>
      <c r="NW295" s="6"/>
      <c r="NX295" s="6"/>
      <c r="NY295" s="6"/>
      <c r="NZ295" s="6"/>
      <c r="OA295" s="6"/>
      <c r="OB295" s="6"/>
      <c r="OC295" s="6"/>
      <c r="OD295" s="6"/>
      <c r="OE295" s="6"/>
      <c r="OF295" s="6"/>
      <c r="OG295" s="6"/>
      <c r="OH295" s="6"/>
      <c r="OI295" s="6"/>
      <c r="OJ295" s="6"/>
      <c r="OK295" s="6"/>
      <c r="OL295" s="6"/>
      <c r="OM295" s="6"/>
      <c r="ON295" s="6"/>
      <c r="OO295" s="6"/>
      <c r="OP295" s="6"/>
      <c r="OQ295" s="6"/>
      <c r="OR295" s="6"/>
      <c r="OS295" s="6"/>
      <c r="OT295" s="6"/>
      <c r="OU295" s="6"/>
      <c r="OV295" s="6"/>
      <c r="OW295" s="6"/>
      <c r="OX295" s="6"/>
      <c r="OY295" s="6"/>
      <c r="OZ295" s="6"/>
      <c r="PA295" s="6"/>
      <c r="PB295" s="6"/>
      <c r="PC295" s="6"/>
      <c r="PD295" s="6"/>
      <c r="PE295" s="6"/>
      <c r="PF295" s="6"/>
      <c r="PG295" s="6"/>
      <c r="PH295" s="6"/>
      <c r="PI295" s="6"/>
      <c r="PJ295" s="6"/>
      <c r="PK295" s="6"/>
      <c r="PL295" s="6"/>
      <c r="PM295" s="6"/>
      <c r="PN295" s="6"/>
      <c r="PO295" s="6"/>
      <c r="PP295" s="6"/>
      <c r="PQ295" s="6"/>
      <c r="PR295" s="6"/>
      <c r="PS295" s="6"/>
      <c r="PT295" s="6"/>
      <c r="PU295" s="6"/>
      <c r="PV295" s="6"/>
      <c r="PW295" s="6"/>
      <c r="PX295" s="6"/>
      <c r="PY295" s="6"/>
      <c r="PZ295" s="6"/>
      <c r="QA295" s="6"/>
      <c r="QB295" s="6"/>
      <c r="QC295" s="6"/>
      <c r="QD295" s="6"/>
      <c r="QE295" s="6"/>
      <c r="QF295" s="6"/>
      <c r="QG295" s="6"/>
      <c r="QH295" s="6"/>
      <c r="QI295" s="6"/>
      <c r="QJ295" s="6"/>
      <c r="QK295" s="6"/>
      <c r="QL295" s="6"/>
      <c r="QM295" s="6"/>
      <c r="QN295" s="6"/>
      <c r="QO295" s="6"/>
      <c r="QP295" s="6"/>
      <c r="QQ295" s="6"/>
      <c r="QR295" s="6"/>
      <c r="QS295" s="6"/>
      <c r="QT295" s="6"/>
      <c r="QU295" s="6"/>
      <c r="QV295" s="6"/>
      <c r="QW295" s="6"/>
      <c r="QX295" s="6"/>
      <c r="QY295" s="6"/>
      <c r="QZ295" s="6"/>
      <c r="RA295" s="6"/>
      <c r="RB295" s="6"/>
      <c r="RC295" s="6"/>
      <c r="RD295" s="6"/>
      <c r="RE295" s="6"/>
      <c r="RF295" s="6"/>
      <c r="RG295" s="6"/>
      <c r="RH295" s="6"/>
      <c r="RI295" s="6"/>
      <c r="RJ295" s="6"/>
      <c r="RK295" s="6"/>
      <c r="RL295" s="6"/>
      <c r="RM295" s="6"/>
      <c r="RN295" s="6"/>
      <c r="RO295" s="6"/>
      <c r="RP295" s="6"/>
      <c r="RQ295" s="6"/>
      <c r="RR295" s="6"/>
      <c r="RS295" s="6"/>
      <c r="RT295" s="6"/>
      <c r="RU295" s="6"/>
      <c r="RV295" s="6"/>
      <c r="RW295" s="6"/>
      <c r="RX295" s="6"/>
      <c r="RY295" s="6"/>
      <c r="RZ295" s="6"/>
      <c r="SA295" s="6"/>
      <c r="SB295" s="6"/>
      <c r="SC295" s="6"/>
      <c r="SD295" s="6"/>
      <c r="SE295" s="6"/>
      <c r="SF295" s="6"/>
      <c r="SG295" s="6"/>
      <c r="SH295" s="6"/>
      <c r="SI295" s="6"/>
      <c r="SJ295" s="6"/>
      <c r="SK295" s="6"/>
      <c r="SL295" s="6"/>
      <c r="SM295" s="6"/>
      <c r="SN295" s="6"/>
      <c r="SO295" s="6"/>
      <c r="SP295" s="6"/>
      <c r="SQ295" s="6"/>
      <c r="SR295" s="6"/>
      <c r="SS295" s="6"/>
      <c r="ST295" s="6"/>
      <c r="SU295" s="6"/>
      <c r="SV295" s="6"/>
      <c r="SW295" s="6"/>
      <c r="SX295" s="6"/>
      <c r="SY295" s="6"/>
      <c r="SZ295" s="6"/>
      <c r="TA295" s="6"/>
      <c r="TB295" s="6"/>
      <c r="TC295" s="6"/>
      <c r="TD295" s="6"/>
      <c r="TE295" s="6"/>
      <c r="TF295" s="6"/>
      <c r="TG295" s="6"/>
      <c r="TH295" s="6"/>
      <c r="TI295" s="6"/>
      <c r="TJ295" s="6"/>
      <c r="TK295" s="6"/>
      <c r="TL295" s="6"/>
      <c r="TM295" s="6"/>
      <c r="TN295" s="6"/>
      <c r="TO295" s="6"/>
      <c r="TP295" s="6"/>
      <c r="TQ295" s="6"/>
      <c r="TR295" s="6"/>
      <c r="TS295" s="6"/>
      <c r="TT295" s="6"/>
      <c r="TU295" s="6"/>
      <c r="TV295" s="6"/>
      <c r="TW295" s="6"/>
      <c r="TX295" s="6"/>
      <c r="TY295" s="6"/>
      <c r="TZ295" s="6"/>
      <c r="UA295" s="6"/>
      <c r="UB295" s="6"/>
      <c r="UC295" s="6"/>
      <c r="UD295" s="6"/>
      <c r="UE295" s="6"/>
      <c r="UF295" s="6"/>
      <c r="UG295" s="6"/>
      <c r="UH295" s="6"/>
      <c r="UI295" s="6"/>
      <c r="UJ295" s="6"/>
      <c r="UK295" s="6"/>
      <c r="UL295" s="6"/>
      <c r="UM295" s="6"/>
      <c r="UN295" s="6"/>
      <c r="UO295" s="6"/>
      <c r="UP295" s="6"/>
      <c r="UQ295" s="6"/>
      <c r="UR295" s="6"/>
      <c r="US295" s="6"/>
      <c r="UT295" s="6"/>
      <c r="UU295" s="6"/>
      <c r="UV295" s="6"/>
      <c r="UW295" s="6"/>
      <c r="UX295" s="6"/>
      <c r="UY295" s="6"/>
      <c r="UZ295" s="6"/>
      <c r="VA295" s="6"/>
      <c r="VB295" s="6"/>
      <c r="VC295" s="6"/>
      <c r="VD295" s="6"/>
      <c r="VE295" s="6"/>
      <c r="VF295" s="6"/>
      <c r="VG295" s="6"/>
      <c r="VH295" s="6"/>
      <c r="VI295" s="6"/>
      <c r="VJ295" s="6"/>
      <c r="VK295" s="6"/>
      <c r="VL295" s="6"/>
      <c r="VM295" s="6"/>
      <c r="VN295" s="6"/>
      <c r="VO295" s="6"/>
      <c r="VP295" s="6"/>
      <c r="VQ295" s="6"/>
      <c r="VR295" s="6"/>
      <c r="VS295" s="6"/>
      <c r="VT295" s="6"/>
      <c r="VU295" s="6"/>
      <c r="VV295" s="6"/>
      <c r="VW295" s="6"/>
      <c r="VX295" s="6"/>
      <c r="VY295" s="6"/>
      <c r="VZ295" s="6"/>
      <c r="WA295" s="6"/>
      <c r="WB295" s="6"/>
      <c r="WC295" s="6"/>
      <c r="WD295" s="6"/>
      <c r="WE295" s="6"/>
      <c r="WF295" s="6"/>
      <c r="WG295" s="6"/>
      <c r="WH295" s="6"/>
      <c r="WI295" s="6"/>
      <c r="WJ295" s="6"/>
      <c r="WK295" s="6"/>
      <c r="WL295" s="6"/>
      <c r="WM295" s="6"/>
      <c r="WN295" s="6"/>
      <c r="WO295" s="6"/>
      <c r="WP295" s="6"/>
      <c r="WQ295" s="6"/>
      <c r="WR295" s="6"/>
      <c r="WS295" s="6"/>
      <c r="WT295" s="6"/>
      <c r="WU295" s="6"/>
      <c r="WV295" s="6"/>
      <c r="WW295" s="6"/>
      <c r="WX295" s="6"/>
      <c r="WY295" s="6"/>
      <c r="WZ295" s="6"/>
      <c r="XA295" s="6"/>
      <c r="XB295" s="6"/>
      <c r="XC295" s="6"/>
      <c r="XD295" s="6"/>
      <c r="XE295" s="6"/>
      <c r="XF295" s="6"/>
      <c r="XG295" s="6"/>
      <c r="XH295" s="6"/>
      <c r="XI295" s="6"/>
      <c r="XJ295" s="6"/>
      <c r="XK295" s="6"/>
      <c r="XL295" s="6"/>
      <c r="XM295" s="6"/>
      <c r="XN295" s="6"/>
      <c r="XO295" s="6"/>
      <c r="XP295" s="6"/>
      <c r="XQ295" s="6"/>
      <c r="XR295" s="6"/>
      <c r="XS295" s="6"/>
      <c r="XT295" s="6"/>
      <c r="XU295" s="6"/>
      <c r="XV295" s="6"/>
      <c r="XW295" s="6"/>
      <c r="XX295" s="6"/>
      <c r="XY295" s="6"/>
      <c r="XZ295" s="6"/>
      <c r="YA295" s="6"/>
      <c r="YB295" s="6"/>
      <c r="YC295" s="6"/>
      <c r="YD295" s="6"/>
      <c r="YE295" s="6"/>
      <c r="YF295" s="6"/>
      <c r="YG295" s="6"/>
      <c r="YH295" s="6"/>
      <c r="YI295" s="6"/>
      <c r="YJ295" s="6"/>
      <c r="YK295" s="6"/>
      <c r="YL295" s="6"/>
      <c r="YM295" s="6"/>
      <c r="YN295" s="6"/>
      <c r="YO295" s="6"/>
      <c r="YP295" s="6"/>
      <c r="YQ295" s="6"/>
      <c r="YR295" s="6"/>
      <c r="YS295" s="6"/>
      <c r="YT295" s="6"/>
      <c r="YU295" s="6"/>
      <c r="YV295" s="6"/>
      <c r="YW295" s="6"/>
      <c r="YX295" s="6"/>
      <c r="YY295" s="6"/>
      <c r="YZ295" s="6"/>
      <c r="ZA295" s="6"/>
      <c r="ZB295" s="6"/>
      <c r="ZC295" s="6"/>
      <c r="ZD295" s="6"/>
      <c r="ZE295" s="6"/>
      <c r="ZF295" s="6"/>
      <c r="ZG295" s="6"/>
      <c r="ZH295" s="6"/>
      <c r="ZI295" s="6"/>
      <c r="ZJ295" s="6"/>
      <c r="ZK295" s="6"/>
      <c r="ZL295" s="6"/>
      <c r="ZM295" s="6"/>
      <c r="ZN295" s="6"/>
      <c r="ZO295" s="6"/>
      <c r="ZP295" s="6"/>
      <c r="ZQ295" s="6"/>
      <c r="ZR295" s="6"/>
      <c r="ZS295" s="6"/>
      <c r="ZT295" s="6"/>
      <c r="ZU295" s="6"/>
      <c r="ZV295" s="6"/>
      <c r="ZW295" s="6"/>
      <c r="ZX295" s="6"/>
      <c r="ZY295" s="6"/>
      <c r="ZZ295" s="6"/>
      <c r="AAA295" s="6"/>
      <c r="AAB295" s="6"/>
      <c r="AAC295" s="6"/>
      <c r="AAD295" s="6"/>
      <c r="AAE295" s="6"/>
      <c r="AAF295" s="6"/>
      <c r="AAG295" s="6"/>
      <c r="AAH295" s="6"/>
      <c r="AAI295" s="6"/>
      <c r="AAJ295" s="6"/>
      <c r="AAK295" s="6"/>
      <c r="AAL295" s="6"/>
      <c r="AAM295" s="6"/>
      <c r="AAN295" s="6"/>
      <c r="AAO295" s="6"/>
      <c r="AAP295" s="6"/>
      <c r="AAQ295" s="6"/>
      <c r="AAR295" s="6"/>
      <c r="AAS295" s="6"/>
      <c r="AAT295" s="6"/>
      <c r="AAU295" s="6"/>
      <c r="AAV295" s="6"/>
      <c r="AAW295" s="6"/>
      <c r="AAX295" s="6"/>
      <c r="AAY295" s="6"/>
      <c r="AAZ295" s="6"/>
      <c r="ABA295" s="6"/>
      <c r="ABB295" s="6"/>
      <c r="ABC295" s="6"/>
      <c r="ABD295" s="6"/>
      <c r="ABE295" s="6"/>
      <c r="ABF295" s="6"/>
      <c r="ABG295" s="6"/>
      <c r="ABH295" s="6"/>
      <c r="ABI295" s="6"/>
      <c r="ABJ295" s="6"/>
      <c r="ABK295" s="6"/>
      <c r="ABL295" s="6"/>
      <c r="ABM295" s="6"/>
      <c r="ABN295" s="6"/>
      <c r="ABO295" s="6"/>
      <c r="ABP295" s="6"/>
      <c r="ABQ295" s="6"/>
      <c r="ABR295" s="6"/>
      <c r="ABS295" s="6"/>
      <c r="ABT295" s="6"/>
      <c r="ABU295" s="6"/>
      <c r="ABV295" s="6"/>
      <c r="ABW295" s="6"/>
      <c r="ABX295" s="6"/>
      <c r="ABY295" s="6"/>
      <c r="ABZ295" s="6"/>
      <c r="ACA295" s="6"/>
      <c r="ACB295" s="6"/>
      <c r="ACC295" s="6"/>
      <c r="ACD295" s="6"/>
      <c r="ACE295" s="6"/>
      <c r="ACF295" s="6"/>
      <c r="ACG295" s="6"/>
      <c r="ACH295" s="6"/>
      <c r="ACI295" s="6"/>
      <c r="ACJ295" s="6"/>
      <c r="ACK295" s="6"/>
      <c r="ACL295" s="6"/>
      <c r="ACM295" s="6"/>
      <c r="ACN295" s="6"/>
      <c r="ACO295" s="6"/>
      <c r="ACP295" s="6"/>
      <c r="ACQ295" s="6"/>
      <c r="ACR295" s="6"/>
      <c r="ACS295" s="6"/>
      <c r="ACT295" s="6"/>
      <c r="ACU295" s="6"/>
      <c r="ACV295" s="6"/>
      <c r="ACW295" s="6"/>
      <c r="ACX295" s="6"/>
      <c r="ACY295" s="6"/>
      <c r="ACZ295" s="6"/>
      <c r="ADA295" s="6"/>
      <c r="ADB295" s="6"/>
      <c r="ADC295" s="6"/>
      <c r="ADD295" s="6"/>
      <c r="ADE295" s="6"/>
      <c r="ADF295" s="6"/>
      <c r="ADG295" s="6"/>
      <c r="ADH295" s="6"/>
      <c r="ADI295" s="6"/>
      <c r="ADJ295" s="6"/>
      <c r="ADK295" s="6"/>
      <c r="ADL295" s="6"/>
      <c r="ADM295" s="6"/>
      <c r="ADN295" s="6"/>
      <c r="ADO295" s="6"/>
      <c r="ADP295" s="6"/>
      <c r="ADQ295" s="6"/>
      <c r="ADR295" s="6"/>
      <c r="ADS295" s="6"/>
      <c r="ADT295" s="6"/>
      <c r="ADU295" s="6"/>
      <c r="ADV295" s="6"/>
      <c r="ADW295" s="6"/>
      <c r="ADX295" s="6"/>
      <c r="ADY295" s="6"/>
      <c r="ADZ295" s="6"/>
      <c r="AEA295" s="6"/>
      <c r="AEB295" s="6"/>
      <c r="AEC295" s="6"/>
      <c r="AED295" s="6"/>
      <c r="AEE295" s="6"/>
      <c r="AEF295" s="6"/>
      <c r="AEG295" s="6"/>
      <c r="AEH295" s="6"/>
      <c r="AEI295" s="6"/>
      <c r="AEJ295" s="6"/>
      <c r="AEK295" s="6"/>
      <c r="AEL295" s="6"/>
      <c r="AEM295" s="6"/>
      <c r="AEN295" s="6"/>
      <c r="AEO295" s="6"/>
      <c r="AEP295" s="6"/>
      <c r="AEQ295" s="6"/>
      <c r="AER295" s="6"/>
      <c r="AES295" s="6"/>
      <c r="AET295" s="6"/>
      <c r="AEU295" s="6"/>
      <c r="AEV295" s="6"/>
      <c r="AEW295" s="6"/>
      <c r="AEX295" s="6"/>
      <c r="AEY295" s="6"/>
      <c r="AEZ295" s="6"/>
      <c r="AFA295" s="6"/>
      <c r="AFB295" s="6"/>
      <c r="AFC295" s="6"/>
      <c r="AFD295" s="6"/>
      <c r="AFE295" s="6"/>
      <c r="AFF295" s="6"/>
      <c r="AFG295" s="6"/>
      <c r="AFH295" s="6"/>
      <c r="AFI295" s="6"/>
      <c r="AFJ295" s="6"/>
      <c r="AFK295" s="6"/>
      <c r="AFL295" s="6"/>
      <c r="AFM295" s="6"/>
      <c r="AFN295" s="6"/>
      <c r="AFO295" s="6"/>
      <c r="AFP295" s="6"/>
      <c r="AFQ295" s="6"/>
      <c r="AFR295" s="6"/>
      <c r="AFS295" s="6"/>
      <c r="AFT295" s="6"/>
      <c r="AFU295" s="6"/>
      <c r="AFV295" s="6"/>
      <c r="AFW295" s="6"/>
      <c r="AFX295" s="6"/>
      <c r="AFY295" s="6"/>
      <c r="AFZ295" s="6"/>
      <c r="AGA295" s="6"/>
      <c r="AGB295" s="6"/>
      <c r="AGC295" s="6"/>
      <c r="AGD295" s="6"/>
      <c r="AGE295" s="6"/>
      <c r="AGF295" s="6"/>
      <c r="AGG295" s="6"/>
      <c r="AGH295" s="6"/>
      <c r="AGI295" s="6"/>
      <c r="AGJ295" s="6"/>
      <c r="AGK295" s="6"/>
      <c r="AGL295" s="6"/>
      <c r="AGM295" s="6"/>
      <c r="AGN295" s="6"/>
      <c r="AGO295" s="6"/>
      <c r="AGP295" s="6"/>
      <c r="AGQ295" s="6"/>
      <c r="AGR295" s="6"/>
      <c r="AGS295" s="6"/>
      <c r="AGT295" s="6"/>
      <c r="AGU295" s="6"/>
      <c r="AGV295" s="6"/>
      <c r="AGW295" s="6"/>
      <c r="AGX295" s="6"/>
      <c r="AGY295" s="6"/>
      <c r="AGZ295" s="6"/>
      <c r="AHA295" s="6"/>
      <c r="AHB295" s="6"/>
      <c r="AHC295" s="6"/>
      <c r="AHD295" s="6"/>
      <c r="AHE295" s="6"/>
      <c r="AHF295" s="6"/>
      <c r="AHG295" s="6"/>
      <c r="AHH295" s="6"/>
      <c r="AHI295" s="6"/>
      <c r="AHJ295" s="6"/>
      <c r="AHK295" s="6"/>
      <c r="AHL295" s="6"/>
      <c r="AHM295" s="6"/>
      <c r="AHN295" s="6"/>
      <c r="AHO295" s="6"/>
      <c r="AHP295" s="6"/>
      <c r="AHQ295" s="6"/>
      <c r="AHR295" s="6"/>
      <c r="AHS295" s="6"/>
      <c r="AHT295" s="6"/>
      <c r="AHU295" s="6"/>
      <c r="AHV295" s="6"/>
      <c r="AHW295" s="6"/>
      <c r="AHX295" s="6"/>
      <c r="AHY295" s="6"/>
      <c r="AHZ295" s="6"/>
      <c r="AIA295" s="6"/>
      <c r="AIB295" s="6"/>
      <c r="AIC295" s="6"/>
      <c r="AID295" s="6"/>
      <c r="AIE295" s="6"/>
      <c r="AIF295" s="6"/>
      <c r="AIG295" s="6"/>
      <c r="AIH295" s="6"/>
      <c r="AII295" s="6"/>
      <c r="AIJ295" s="6"/>
      <c r="AIK295" s="6"/>
      <c r="AIL295" s="6"/>
      <c r="AIM295" s="6"/>
      <c r="AIN295" s="6"/>
      <c r="AIO295" s="6"/>
      <c r="AIP295" s="6"/>
      <c r="AIQ295" s="6"/>
      <c r="AIR295" s="6"/>
      <c r="AIS295" s="6"/>
      <c r="AIT295" s="6"/>
      <c r="AIU295" s="6"/>
      <c r="AIV295" s="6"/>
      <c r="AIW295" s="6"/>
      <c r="AIX295" s="6"/>
      <c r="AIY295" s="6"/>
      <c r="AIZ295" s="6"/>
      <c r="AJA295" s="6"/>
      <c r="AJB295" s="6"/>
      <c r="AJC295" s="6"/>
      <c r="AJD295" s="6"/>
      <c r="AJE295" s="6"/>
      <c r="AJF295" s="6"/>
      <c r="AJG295" s="6"/>
      <c r="AJH295" s="6"/>
      <c r="AJI295" s="6"/>
      <c r="AJJ295" s="6"/>
      <c r="AJK295" s="6"/>
      <c r="AJL295" s="6"/>
      <c r="AJM295" s="6"/>
      <c r="AJN295" s="6"/>
      <c r="AJO295" s="6"/>
      <c r="AJP295" s="6"/>
      <c r="AJQ295" s="6"/>
      <c r="AJR295" s="6"/>
      <c r="AJS295" s="6"/>
      <c r="AJT295" s="6"/>
      <c r="AJU295" s="6"/>
      <c r="AJV295" s="6"/>
      <c r="AJW295" s="6"/>
      <c r="AJX295" s="6"/>
      <c r="AJY295" s="6"/>
      <c r="AJZ295" s="6"/>
      <c r="AKA295" s="6"/>
      <c r="AKB295" s="6"/>
      <c r="AKC295" s="6"/>
      <c r="AKD295" s="6"/>
      <c r="AKE295" s="6"/>
      <c r="AKF295" s="6"/>
      <c r="AKG295" s="6"/>
      <c r="AKH295" s="6"/>
      <c r="AKI295" s="6"/>
      <c r="AKJ295" s="6"/>
      <c r="AKK295" s="6"/>
      <c r="AKL295" s="6"/>
      <c r="AKM295" s="6"/>
      <c r="AKN295" s="6"/>
      <c r="AKO295" s="6"/>
      <c r="AKP295" s="6"/>
      <c r="AKQ295" s="6"/>
      <c r="AKR295" s="6"/>
      <c r="AKS295" s="6"/>
      <c r="AKT295" s="6"/>
      <c r="AKU295" s="6"/>
      <c r="AKV295" s="6"/>
      <c r="AKW295" s="6"/>
      <c r="AKX295" s="6"/>
      <c r="AKY295" s="6"/>
      <c r="AKZ295" s="6"/>
      <c r="ALA295" s="6"/>
      <c r="ALB295" s="6"/>
      <c r="ALC295" s="6"/>
      <c r="ALD295" s="6"/>
      <c r="ALE295" s="6"/>
      <c r="ALF295" s="6"/>
      <c r="ALG295" s="6"/>
      <c r="ALH295" s="6"/>
      <c r="ALI295" s="6"/>
      <c r="ALJ295" s="6"/>
      <c r="ALK295" s="6"/>
      <c r="ALL295" s="6"/>
      <c r="ALM295" s="6"/>
      <c r="ALN295" s="6"/>
      <c r="ALO295" s="6"/>
      <c r="ALP295" s="6"/>
      <c r="ALQ295" s="6"/>
      <c r="ALR295" s="6"/>
      <c r="ALS295" s="6"/>
      <c r="ALT295" s="6"/>
      <c r="ALU295" s="6"/>
      <c r="ALV295" s="6"/>
      <c r="ALW295" s="6"/>
      <c r="ALX295" s="6"/>
      <c r="ALY295" s="6"/>
      <c r="ALZ295" s="6"/>
      <c r="AMA295" s="6"/>
      <c r="AMB295" s="6"/>
      <c r="AMC295" s="6"/>
      <c r="AMD295" s="6"/>
      <c r="AME295" s="6"/>
      <c r="AMF295" s="6"/>
      <c r="AMG295" s="6"/>
      <c r="AMH295" s="6"/>
      <c r="AMI295" s="6"/>
      <c r="AMJ295" s="6"/>
      <c r="AMK295" s="6"/>
      <c r="AML295" s="6"/>
      <c r="AMM295" s="6"/>
      <c r="AMN295" s="6"/>
      <c r="AMO295" s="6"/>
      <c r="AMP295" s="6"/>
    </row>
    <row r="296" spans="1:1030" x14ac:dyDescent="0.2">
      <c r="A296" s="9" t="str">
        <f t="shared" si="1398"/>
        <v>q80km9_hcmv_5WB2</v>
      </c>
      <c r="B296" s="40" t="s">
        <v>1523</v>
      </c>
      <c r="C296" s="9" t="s">
        <v>1526</v>
      </c>
      <c r="D296" s="9" t="str">
        <f>IFERROR(MID(VLOOKUP($B296,Seqs!$A:$B,2,0),E296,1),"")</f>
        <v>F</v>
      </c>
      <c r="E296" s="9">
        <v>25</v>
      </c>
      <c r="F296" s="9" t="str">
        <f>IFERROR(MID(VLOOKUP($B296,Seqs!$A:$B,2,0),G296,1),"")</f>
        <v>W</v>
      </c>
      <c r="G296" s="9">
        <v>60</v>
      </c>
      <c r="H296" s="9" t="str">
        <f>IFERROR(MID(VLOOKUP($B296,Seqs!$A:$B,2,0),I296,1),"")</f>
        <v/>
      </c>
      <c r="I296" s="109" t="s">
        <v>23</v>
      </c>
      <c r="J296" s="9" t="str">
        <f>IFERROR(MID(VLOOKUP($B296,Seqs!$A:$B,2,0),K296,1),"")</f>
        <v/>
      </c>
      <c r="K296" s="109" t="s">
        <v>23</v>
      </c>
      <c r="L296" s="9" t="str">
        <f>IFERROR(MID(VLOOKUP($B296,Seqs!$A:$B,2,0),M296,1),"")</f>
        <v>C</v>
      </c>
      <c r="M296" s="9">
        <v>66</v>
      </c>
      <c r="N296" s="9" t="str">
        <f>IFERROR(MID(VLOOKUP($B296,Seqs!$A:$B,2,0),O296,1),"")</f>
        <v>D</v>
      </c>
      <c r="O296" s="9">
        <v>95</v>
      </c>
      <c r="P296" s="9" t="str">
        <f>IFERROR(MID(VLOOKUP($B296,Seqs!$A:$B,2,0),Q296,1),"")</f>
        <v/>
      </c>
      <c r="Q296" s="9" t="s">
        <v>23</v>
      </c>
      <c r="R296" s="9" t="str">
        <f>IFERROR(MID(VLOOKUP($B296,Seqs!$A:$B,2,0),S296,1),"")</f>
        <v/>
      </c>
      <c r="S296" s="9" t="s">
        <v>23</v>
      </c>
      <c r="T296" s="9" t="str">
        <f>IFERROR(MID(VLOOKUP($B296,Seqs!$A:$B,2,0),U296,1),"")</f>
        <v>A</v>
      </c>
      <c r="U296" s="9">
        <v>100</v>
      </c>
      <c r="V296" s="9" t="str">
        <f>IFERROR(MID(VLOOKUP($B296,Seqs!$A:$B,2,0),W296,1),"")</f>
        <v>V</v>
      </c>
      <c r="W296" s="9">
        <v>134</v>
      </c>
      <c r="X296" s="9" t="str">
        <f>IFERROR(MID(VLOOKUP($B296,Seqs!$A:$B,2,0),Y296,1),"")</f>
        <v/>
      </c>
      <c r="Y296" s="9" t="s">
        <v>23</v>
      </c>
      <c r="Z296" s="9" t="str">
        <f>IFERROR(MID(VLOOKUP($B296,Seqs!$A:$B,2,0),AA296,1),"")</f>
        <v/>
      </c>
      <c r="AA296" s="9" t="s">
        <v>23</v>
      </c>
      <c r="AB296" s="9" t="str">
        <f>IFERROR(MID(VLOOKUP($B296,Seqs!$A:$B,2,0),AC296,1),"")</f>
        <v>P</v>
      </c>
      <c r="AC296" s="9">
        <v>140</v>
      </c>
      <c r="AD296" s="9" t="str">
        <f>IFERROR(MID(VLOOKUP($B296,Seqs!$A:$B,2,0),AE296,1),"")</f>
        <v>M</v>
      </c>
      <c r="AE296" s="9">
        <v>164</v>
      </c>
      <c r="AF296" s="9" t="str">
        <f>IFERROR(MID(VLOOKUP($B296,Seqs!$A:$B,2,0),AG296,1),"")</f>
        <v>C</v>
      </c>
      <c r="AG296" s="9">
        <v>173</v>
      </c>
      <c r="AH296" s="9" t="str">
        <f>IFERROR(MID(VLOOKUP($B296,Seqs!$A:$B,2,0),AI296,1),"")</f>
        <v>T</v>
      </c>
      <c r="AI296" s="9">
        <v>175</v>
      </c>
      <c r="AJ296" s="9" t="str">
        <f>IFERROR(MID(VLOOKUP($B296,Seqs!$A:$B,2,0),AK296,1),"")</f>
        <v>S</v>
      </c>
      <c r="AK296" s="9">
        <v>183</v>
      </c>
      <c r="AL296" s="9" t="str">
        <f>IFERROR(MID(VLOOKUP($B296,Seqs!$A:$B,2,0),AM296,1),"")</f>
        <v>S</v>
      </c>
      <c r="AM296" s="9">
        <v>218</v>
      </c>
      <c r="AN296" s="9" t="str">
        <f>IFERROR(MID(VLOOKUP($B296,Seqs!$A:$B,2,0),AO296,1),"")</f>
        <v>H</v>
      </c>
      <c r="AO296" s="9">
        <v>222</v>
      </c>
      <c r="AP296" s="9" t="str">
        <f>IFERROR(MID(VLOOKUP($B296,Seqs!$A:$B,2,0),AQ296,1),"")</f>
        <v>K</v>
      </c>
      <c r="AQ296" s="9">
        <v>257</v>
      </c>
      <c r="AR296" s="9" t="str">
        <f>IFERROR(MID(VLOOKUP($B296,Seqs!$A:$B,2,0),AS296,1),"")</f>
        <v>S</v>
      </c>
      <c r="AS296" s="9">
        <v>262</v>
      </c>
      <c r="AT296" s="9" t="str">
        <f>IFERROR(MID(VLOOKUP($B296,Seqs!$A:$B,2,0),AU296,1),"")</f>
        <v>V</v>
      </c>
      <c r="AU296" s="9">
        <v>294</v>
      </c>
      <c r="AV296" s="9" t="str">
        <f>IFERROR(MID(VLOOKUP($B296,Seqs!$A:$B,2,0),AW296,1),"")</f>
        <v>G</v>
      </c>
      <c r="AW296" s="9">
        <v>295</v>
      </c>
      <c r="AX296" s="9" t="str">
        <f>IFERROR(MID(VLOOKUP($B296,Seqs!$A:$B,2,0),AY296,1),"")</f>
        <v>A</v>
      </c>
      <c r="AY296" s="9">
        <v>307</v>
      </c>
      <c r="AZ296" s="110" t="str">
        <f>VLOOKUP(B296,Classification!A:D,2,0)</f>
        <v>A</v>
      </c>
      <c r="BA296" s="98" t="str">
        <f>VLOOKUP(B296,Classification!A:D,4,0)</f>
        <v>Chemokine</v>
      </c>
      <c r="BB296" s="36" t="b">
        <f t="shared" si="1371"/>
        <v>1</v>
      </c>
      <c r="BC296" s="109">
        <f t="shared" si="1372"/>
        <v>250</v>
      </c>
      <c r="BD296" s="11" t="s">
        <v>23</v>
      </c>
      <c r="BE296" s="9" t="s">
        <v>1297</v>
      </c>
      <c r="BF296" s="120">
        <v>3.5</v>
      </c>
      <c r="BG296" s="51" t="s">
        <v>1</v>
      </c>
      <c r="BH296" s="51" t="s">
        <v>1</v>
      </c>
      <c r="BI296" s="12"/>
      <c r="BJ296" s="111" t="s">
        <v>1293</v>
      </c>
      <c r="BK296" s="112" t="s">
        <v>1293</v>
      </c>
      <c r="BL296" s="112" t="s">
        <v>1293</v>
      </c>
      <c r="BM296" s="112" t="s">
        <v>1293</v>
      </c>
      <c r="BN296" s="112" t="s">
        <v>1293</v>
      </c>
      <c r="BO296" s="112" t="s">
        <v>1293</v>
      </c>
      <c r="BP296" s="112" t="s">
        <v>1293</v>
      </c>
      <c r="BQ296" s="112" t="s">
        <v>1293</v>
      </c>
      <c r="BR296" s="112" t="s">
        <v>1293</v>
      </c>
      <c r="BS296" s="112" t="s">
        <v>1293</v>
      </c>
      <c r="BT296" s="112" t="s">
        <v>1293</v>
      </c>
      <c r="BU296" s="112" t="s">
        <v>1293</v>
      </c>
      <c r="BV296" s="111">
        <f t="shared" si="1373"/>
        <v>25</v>
      </c>
      <c r="BW296" s="113" t="str">
        <f t="shared" si="1374"/>
        <v>-</v>
      </c>
      <c r="BX296" s="114">
        <f t="shared" si="1375"/>
        <v>66</v>
      </c>
      <c r="BY296" s="113" t="str">
        <f t="shared" si="1376"/>
        <v>-</v>
      </c>
      <c r="BZ296" s="114">
        <f t="shared" si="1377"/>
        <v>100</v>
      </c>
      <c r="CA296" s="113" t="str">
        <f t="shared" si="1378"/>
        <v>-</v>
      </c>
      <c r="CB296" s="114">
        <f t="shared" si="1379"/>
        <v>140</v>
      </c>
      <c r="CC296" s="113">
        <f t="shared" si="1380"/>
        <v>173</v>
      </c>
      <c r="CD296" s="114">
        <f t="shared" si="1381"/>
        <v>183</v>
      </c>
      <c r="CE296" s="113">
        <f t="shared" si="1382"/>
        <v>222</v>
      </c>
      <c r="CF296" s="114">
        <f t="shared" si="1383"/>
        <v>262</v>
      </c>
      <c r="CG296" s="113">
        <f t="shared" si="1384"/>
        <v>295</v>
      </c>
      <c r="CH296" s="111">
        <f t="shared" si="1385"/>
        <v>60</v>
      </c>
      <c r="CI296" s="113" t="str">
        <f t="shared" si="1386"/>
        <v>-</v>
      </c>
      <c r="CJ296" s="114">
        <f t="shared" si="1387"/>
        <v>95</v>
      </c>
      <c r="CK296" s="114" t="str">
        <f t="shared" si="1388"/>
        <v>-</v>
      </c>
      <c r="CL296" s="114">
        <f t="shared" si="1389"/>
        <v>134</v>
      </c>
      <c r="CM296" s="114" t="str">
        <f t="shared" si="1390"/>
        <v>-</v>
      </c>
      <c r="CN296" s="114">
        <f t="shared" si="1391"/>
        <v>164</v>
      </c>
      <c r="CO296" s="114">
        <f t="shared" si="1392"/>
        <v>175</v>
      </c>
      <c r="CP296" s="114">
        <f t="shared" si="1393"/>
        <v>218</v>
      </c>
      <c r="CQ296" s="114">
        <f t="shared" si="1394"/>
        <v>257</v>
      </c>
      <c r="CR296" s="114">
        <f t="shared" si="1395"/>
        <v>294</v>
      </c>
      <c r="CS296" s="114">
        <f t="shared" si="1396"/>
        <v>307</v>
      </c>
      <c r="CT296" s="109" t="e">
        <f t="shared" si="1397"/>
        <v>#VALUE!</v>
      </c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"/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6"/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6"/>
      <c r="KV296" s="6"/>
      <c r="KW296" s="6"/>
      <c r="KX296" s="6"/>
      <c r="KY296" s="6"/>
      <c r="KZ296" s="6"/>
      <c r="LA296" s="6"/>
      <c r="LB296" s="6"/>
      <c r="LC296" s="6"/>
      <c r="LD296" s="6"/>
      <c r="LE296" s="6"/>
      <c r="LF296" s="6"/>
      <c r="LG296" s="6"/>
      <c r="LH296" s="6"/>
      <c r="LI296" s="6"/>
      <c r="LJ296" s="6"/>
      <c r="LK296" s="6"/>
      <c r="LL296" s="6"/>
      <c r="LM296" s="6"/>
      <c r="LN296" s="6"/>
      <c r="LO296" s="6"/>
      <c r="LP296" s="6"/>
      <c r="LQ296" s="6"/>
      <c r="LR296" s="6"/>
      <c r="LS296" s="6"/>
      <c r="LT296" s="6"/>
      <c r="LU296" s="6"/>
      <c r="LV296" s="6"/>
      <c r="LW296" s="6"/>
      <c r="LX296" s="6"/>
      <c r="LY296" s="6"/>
      <c r="LZ296" s="6"/>
      <c r="MA296" s="6"/>
      <c r="MB296" s="6"/>
      <c r="MC296" s="6"/>
      <c r="MD296" s="6"/>
      <c r="ME296" s="6"/>
      <c r="MF296" s="6"/>
      <c r="MG296" s="6"/>
      <c r="MH296" s="6"/>
      <c r="MI296" s="6"/>
      <c r="MJ296" s="6"/>
      <c r="MK296" s="6"/>
      <c r="ML296" s="6"/>
      <c r="MM296" s="6"/>
      <c r="MN296" s="6"/>
      <c r="MO296" s="6"/>
      <c r="MP296" s="6"/>
      <c r="MQ296" s="6"/>
      <c r="MR296" s="6"/>
      <c r="MS296" s="6"/>
      <c r="MT296" s="6"/>
      <c r="MU296" s="6"/>
      <c r="MV296" s="6"/>
      <c r="MW296" s="6"/>
      <c r="MX296" s="6"/>
      <c r="MY296" s="6"/>
      <c r="MZ296" s="6"/>
      <c r="NA296" s="6"/>
      <c r="NB296" s="6"/>
      <c r="NC296" s="6"/>
      <c r="ND296" s="6"/>
      <c r="NE296" s="6"/>
      <c r="NF296" s="6"/>
      <c r="NG296" s="6"/>
      <c r="NH296" s="6"/>
      <c r="NI296" s="6"/>
      <c r="NJ296" s="6"/>
      <c r="NK296" s="6"/>
      <c r="NL296" s="6"/>
      <c r="NM296" s="6"/>
      <c r="NN296" s="6"/>
      <c r="NO296" s="6"/>
      <c r="NP296" s="6"/>
      <c r="NQ296" s="6"/>
      <c r="NR296" s="6"/>
      <c r="NS296" s="6"/>
      <c r="NT296" s="6"/>
      <c r="NU296" s="6"/>
      <c r="NV296" s="6"/>
      <c r="NW296" s="6"/>
      <c r="NX296" s="6"/>
      <c r="NY296" s="6"/>
      <c r="NZ296" s="6"/>
      <c r="OA296" s="6"/>
      <c r="OB296" s="6"/>
      <c r="OC296" s="6"/>
      <c r="OD296" s="6"/>
      <c r="OE296" s="6"/>
      <c r="OF296" s="6"/>
      <c r="OG296" s="6"/>
      <c r="OH296" s="6"/>
      <c r="OI296" s="6"/>
      <c r="OJ296" s="6"/>
      <c r="OK296" s="6"/>
      <c r="OL296" s="6"/>
      <c r="OM296" s="6"/>
      <c r="ON296" s="6"/>
      <c r="OO296" s="6"/>
      <c r="OP296" s="6"/>
      <c r="OQ296" s="6"/>
      <c r="OR296" s="6"/>
      <c r="OS296" s="6"/>
      <c r="OT296" s="6"/>
      <c r="OU296" s="6"/>
      <c r="OV296" s="6"/>
      <c r="OW296" s="6"/>
      <c r="OX296" s="6"/>
      <c r="OY296" s="6"/>
      <c r="OZ296" s="6"/>
      <c r="PA296" s="6"/>
      <c r="PB296" s="6"/>
      <c r="PC296" s="6"/>
      <c r="PD296" s="6"/>
      <c r="PE296" s="6"/>
      <c r="PF296" s="6"/>
      <c r="PG296" s="6"/>
      <c r="PH296" s="6"/>
      <c r="PI296" s="6"/>
      <c r="PJ296" s="6"/>
      <c r="PK296" s="6"/>
      <c r="PL296" s="6"/>
      <c r="PM296" s="6"/>
      <c r="PN296" s="6"/>
      <c r="PO296" s="6"/>
      <c r="PP296" s="6"/>
      <c r="PQ296" s="6"/>
      <c r="PR296" s="6"/>
      <c r="PS296" s="6"/>
      <c r="PT296" s="6"/>
      <c r="PU296" s="6"/>
      <c r="PV296" s="6"/>
      <c r="PW296" s="6"/>
      <c r="PX296" s="6"/>
      <c r="PY296" s="6"/>
      <c r="PZ296" s="6"/>
      <c r="QA296" s="6"/>
      <c r="QB296" s="6"/>
      <c r="QC296" s="6"/>
      <c r="QD296" s="6"/>
      <c r="QE296" s="6"/>
      <c r="QF296" s="6"/>
      <c r="QG296" s="6"/>
      <c r="QH296" s="6"/>
      <c r="QI296" s="6"/>
      <c r="QJ296" s="6"/>
      <c r="QK296" s="6"/>
      <c r="QL296" s="6"/>
      <c r="QM296" s="6"/>
      <c r="QN296" s="6"/>
      <c r="QO296" s="6"/>
      <c r="QP296" s="6"/>
      <c r="QQ296" s="6"/>
      <c r="QR296" s="6"/>
      <c r="QS296" s="6"/>
      <c r="QT296" s="6"/>
      <c r="QU296" s="6"/>
      <c r="QV296" s="6"/>
      <c r="QW296" s="6"/>
      <c r="QX296" s="6"/>
      <c r="QY296" s="6"/>
      <c r="QZ296" s="6"/>
      <c r="RA296" s="6"/>
      <c r="RB296" s="6"/>
      <c r="RC296" s="6"/>
      <c r="RD296" s="6"/>
      <c r="RE296" s="6"/>
      <c r="RF296" s="6"/>
      <c r="RG296" s="6"/>
      <c r="RH296" s="6"/>
      <c r="RI296" s="6"/>
      <c r="RJ296" s="6"/>
      <c r="RK296" s="6"/>
      <c r="RL296" s="6"/>
      <c r="RM296" s="6"/>
      <c r="RN296" s="6"/>
      <c r="RO296" s="6"/>
      <c r="RP296" s="6"/>
      <c r="RQ296" s="6"/>
      <c r="RR296" s="6"/>
      <c r="RS296" s="6"/>
      <c r="RT296" s="6"/>
      <c r="RU296" s="6"/>
      <c r="RV296" s="6"/>
      <c r="RW296" s="6"/>
      <c r="RX296" s="6"/>
      <c r="RY296" s="6"/>
      <c r="RZ296" s="6"/>
      <c r="SA296" s="6"/>
      <c r="SB296" s="6"/>
      <c r="SC296" s="6"/>
      <c r="SD296" s="6"/>
      <c r="SE296" s="6"/>
      <c r="SF296" s="6"/>
      <c r="SG296" s="6"/>
      <c r="SH296" s="6"/>
      <c r="SI296" s="6"/>
      <c r="SJ296" s="6"/>
      <c r="SK296" s="6"/>
      <c r="SL296" s="6"/>
      <c r="SM296" s="6"/>
      <c r="SN296" s="6"/>
      <c r="SO296" s="6"/>
      <c r="SP296" s="6"/>
      <c r="SQ296" s="6"/>
      <c r="SR296" s="6"/>
      <c r="SS296" s="6"/>
      <c r="ST296" s="6"/>
      <c r="SU296" s="6"/>
      <c r="SV296" s="6"/>
      <c r="SW296" s="6"/>
      <c r="SX296" s="6"/>
      <c r="SY296" s="6"/>
      <c r="SZ296" s="6"/>
      <c r="TA296" s="6"/>
      <c r="TB296" s="6"/>
      <c r="TC296" s="6"/>
      <c r="TD296" s="6"/>
      <c r="TE296" s="6"/>
      <c r="TF296" s="6"/>
      <c r="TG296" s="6"/>
      <c r="TH296" s="6"/>
      <c r="TI296" s="6"/>
      <c r="TJ296" s="6"/>
      <c r="TK296" s="6"/>
      <c r="TL296" s="6"/>
      <c r="TM296" s="6"/>
      <c r="TN296" s="6"/>
      <c r="TO296" s="6"/>
      <c r="TP296" s="6"/>
      <c r="TQ296" s="6"/>
      <c r="TR296" s="6"/>
      <c r="TS296" s="6"/>
      <c r="TT296" s="6"/>
      <c r="TU296" s="6"/>
      <c r="TV296" s="6"/>
      <c r="TW296" s="6"/>
      <c r="TX296" s="6"/>
      <c r="TY296" s="6"/>
      <c r="TZ296" s="6"/>
      <c r="UA296" s="6"/>
      <c r="UB296" s="6"/>
      <c r="UC296" s="6"/>
      <c r="UD296" s="6"/>
      <c r="UE296" s="6"/>
      <c r="UF296" s="6"/>
      <c r="UG296" s="6"/>
      <c r="UH296" s="6"/>
      <c r="UI296" s="6"/>
      <c r="UJ296" s="6"/>
      <c r="UK296" s="6"/>
      <c r="UL296" s="6"/>
      <c r="UM296" s="6"/>
      <c r="UN296" s="6"/>
      <c r="UO296" s="6"/>
      <c r="UP296" s="6"/>
      <c r="UQ296" s="6"/>
      <c r="UR296" s="6"/>
      <c r="US296" s="6"/>
      <c r="UT296" s="6"/>
      <c r="UU296" s="6"/>
      <c r="UV296" s="6"/>
      <c r="UW296" s="6"/>
      <c r="UX296" s="6"/>
      <c r="UY296" s="6"/>
      <c r="UZ296" s="6"/>
      <c r="VA296" s="6"/>
      <c r="VB296" s="6"/>
      <c r="VC296" s="6"/>
      <c r="VD296" s="6"/>
      <c r="VE296" s="6"/>
      <c r="VF296" s="6"/>
      <c r="VG296" s="6"/>
      <c r="VH296" s="6"/>
      <c r="VI296" s="6"/>
      <c r="VJ296" s="6"/>
      <c r="VK296" s="6"/>
      <c r="VL296" s="6"/>
      <c r="VM296" s="6"/>
      <c r="VN296" s="6"/>
      <c r="VO296" s="6"/>
      <c r="VP296" s="6"/>
      <c r="VQ296" s="6"/>
      <c r="VR296" s="6"/>
      <c r="VS296" s="6"/>
      <c r="VT296" s="6"/>
      <c r="VU296" s="6"/>
      <c r="VV296" s="6"/>
      <c r="VW296" s="6"/>
      <c r="VX296" s="6"/>
      <c r="VY296" s="6"/>
      <c r="VZ296" s="6"/>
      <c r="WA296" s="6"/>
      <c r="WB296" s="6"/>
      <c r="WC296" s="6"/>
      <c r="WD296" s="6"/>
      <c r="WE296" s="6"/>
      <c r="WF296" s="6"/>
      <c r="WG296" s="6"/>
      <c r="WH296" s="6"/>
      <c r="WI296" s="6"/>
      <c r="WJ296" s="6"/>
      <c r="WK296" s="6"/>
      <c r="WL296" s="6"/>
      <c r="WM296" s="6"/>
      <c r="WN296" s="6"/>
      <c r="WO296" s="6"/>
      <c r="WP296" s="6"/>
      <c r="WQ296" s="6"/>
      <c r="WR296" s="6"/>
      <c r="WS296" s="6"/>
      <c r="WT296" s="6"/>
      <c r="WU296" s="6"/>
      <c r="WV296" s="6"/>
      <c r="WW296" s="6"/>
      <c r="WX296" s="6"/>
      <c r="WY296" s="6"/>
      <c r="WZ296" s="6"/>
      <c r="XA296" s="6"/>
      <c r="XB296" s="6"/>
      <c r="XC296" s="6"/>
      <c r="XD296" s="6"/>
      <c r="XE296" s="6"/>
      <c r="XF296" s="6"/>
      <c r="XG296" s="6"/>
      <c r="XH296" s="6"/>
      <c r="XI296" s="6"/>
      <c r="XJ296" s="6"/>
      <c r="XK296" s="6"/>
      <c r="XL296" s="6"/>
      <c r="XM296" s="6"/>
      <c r="XN296" s="6"/>
      <c r="XO296" s="6"/>
      <c r="XP296" s="6"/>
      <c r="XQ296" s="6"/>
      <c r="XR296" s="6"/>
      <c r="XS296" s="6"/>
      <c r="XT296" s="6"/>
      <c r="XU296" s="6"/>
      <c r="XV296" s="6"/>
      <c r="XW296" s="6"/>
      <c r="XX296" s="6"/>
      <c r="XY296" s="6"/>
      <c r="XZ296" s="6"/>
      <c r="YA296" s="6"/>
      <c r="YB296" s="6"/>
      <c r="YC296" s="6"/>
      <c r="YD296" s="6"/>
      <c r="YE296" s="6"/>
      <c r="YF296" s="6"/>
      <c r="YG296" s="6"/>
      <c r="YH296" s="6"/>
      <c r="YI296" s="6"/>
      <c r="YJ296" s="6"/>
      <c r="YK296" s="6"/>
      <c r="YL296" s="6"/>
      <c r="YM296" s="6"/>
      <c r="YN296" s="6"/>
      <c r="YO296" s="6"/>
      <c r="YP296" s="6"/>
      <c r="YQ296" s="6"/>
      <c r="YR296" s="6"/>
      <c r="YS296" s="6"/>
      <c r="YT296" s="6"/>
      <c r="YU296" s="6"/>
      <c r="YV296" s="6"/>
      <c r="YW296" s="6"/>
      <c r="YX296" s="6"/>
      <c r="YY296" s="6"/>
      <c r="YZ296" s="6"/>
      <c r="ZA296" s="6"/>
      <c r="ZB296" s="6"/>
      <c r="ZC296" s="6"/>
      <c r="ZD296" s="6"/>
      <c r="ZE296" s="6"/>
      <c r="ZF296" s="6"/>
      <c r="ZG296" s="6"/>
      <c r="ZH296" s="6"/>
      <c r="ZI296" s="6"/>
      <c r="ZJ296" s="6"/>
      <c r="ZK296" s="6"/>
      <c r="ZL296" s="6"/>
      <c r="ZM296" s="6"/>
      <c r="ZN296" s="6"/>
      <c r="ZO296" s="6"/>
      <c r="ZP296" s="6"/>
      <c r="ZQ296" s="6"/>
      <c r="ZR296" s="6"/>
      <c r="ZS296" s="6"/>
      <c r="ZT296" s="6"/>
      <c r="ZU296" s="6"/>
      <c r="ZV296" s="6"/>
      <c r="ZW296" s="6"/>
      <c r="ZX296" s="6"/>
      <c r="ZY296" s="6"/>
      <c r="ZZ296" s="6"/>
      <c r="AAA296" s="6"/>
      <c r="AAB296" s="6"/>
      <c r="AAC296" s="6"/>
      <c r="AAD296" s="6"/>
      <c r="AAE296" s="6"/>
      <c r="AAF296" s="6"/>
      <c r="AAG296" s="6"/>
      <c r="AAH296" s="6"/>
      <c r="AAI296" s="6"/>
      <c r="AAJ296" s="6"/>
      <c r="AAK296" s="6"/>
      <c r="AAL296" s="6"/>
      <c r="AAM296" s="6"/>
      <c r="AAN296" s="6"/>
      <c r="AAO296" s="6"/>
      <c r="AAP296" s="6"/>
      <c r="AAQ296" s="6"/>
      <c r="AAR296" s="6"/>
      <c r="AAS296" s="6"/>
      <c r="AAT296" s="6"/>
      <c r="AAU296" s="6"/>
      <c r="AAV296" s="6"/>
      <c r="AAW296" s="6"/>
      <c r="AAX296" s="6"/>
      <c r="AAY296" s="6"/>
      <c r="AAZ296" s="6"/>
      <c r="ABA296" s="6"/>
      <c r="ABB296" s="6"/>
      <c r="ABC296" s="6"/>
      <c r="ABD296" s="6"/>
      <c r="ABE296" s="6"/>
      <c r="ABF296" s="6"/>
      <c r="ABG296" s="6"/>
      <c r="ABH296" s="6"/>
      <c r="ABI296" s="6"/>
      <c r="ABJ296" s="6"/>
      <c r="ABK296" s="6"/>
      <c r="ABL296" s="6"/>
      <c r="ABM296" s="6"/>
      <c r="ABN296" s="6"/>
      <c r="ABO296" s="6"/>
      <c r="ABP296" s="6"/>
      <c r="ABQ296" s="6"/>
      <c r="ABR296" s="6"/>
      <c r="ABS296" s="6"/>
      <c r="ABT296" s="6"/>
      <c r="ABU296" s="6"/>
      <c r="ABV296" s="6"/>
      <c r="ABW296" s="6"/>
      <c r="ABX296" s="6"/>
      <c r="ABY296" s="6"/>
      <c r="ABZ296" s="6"/>
      <c r="ACA296" s="6"/>
      <c r="ACB296" s="6"/>
      <c r="ACC296" s="6"/>
      <c r="ACD296" s="6"/>
      <c r="ACE296" s="6"/>
      <c r="ACF296" s="6"/>
      <c r="ACG296" s="6"/>
      <c r="ACH296" s="6"/>
      <c r="ACI296" s="6"/>
      <c r="ACJ296" s="6"/>
      <c r="ACK296" s="6"/>
      <c r="ACL296" s="6"/>
      <c r="ACM296" s="6"/>
      <c r="ACN296" s="6"/>
      <c r="ACO296" s="6"/>
      <c r="ACP296" s="6"/>
      <c r="ACQ296" s="6"/>
      <c r="ACR296" s="6"/>
      <c r="ACS296" s="6"/>
      <c r="ACT296" s="6"/>
      <c r="ACU296" s="6"/>
      <c r="ACV296" s="6"/>
      <c r="ACW296" s="6"/>
      <c r="ACX296" s="6"/>
      <c r="ACY296" s="6"/>
      <c r="ACZ296" s="6"/>
      <c r="ADA296" s="6"/>
      <c r="ADB296" s="6"/>
      <c r="ADC296" s="6"/>
      <c r="ADD296" s="6"/>
      <c r="ADE296" s="6"/>
      <c r="ADF296" s="6"/>
      <c r="ADG296" s="6"/>
      <c r="ADH296" s="6"/>
      <c r="ADI296" s="6"/>
      <c r="ADJ296" s="6"/>
      <c r="ADK296" s="6"/>
      <c r="ADL296" s="6"/>
      <c r="ADM296" s="6"/>
      <c r="ADN296" s="6"/>
      <c r="ADO296" s="6"/>
      <c r="ADP296" s="6"/>
      <c r="ADQ296" s="6"/>
      <c r="ADR296" s="6"/>
      <c r="ADS296" s="6"/>
      <c r="ADT296" s="6"/>
      <c r="ADU296" s="6"/>
      <c r="ADV296" s="6"/>
      <c r="ADW296" s="6"/>
      <c r="ADX296" s="6"/>
      <c r="ADY296" s="6"/>
      <c r="ADZ296" s="6"/>
      <c r="AEA296" s="6"/>
      <c r="AEB296" s="6"/>
      <c r="AEC296" s="6"/>
      <c r="AED296" s="6"/>
      <c r="AEE296" s="6"/>
      <c r="AEF296" s="6"/>
      <c r="AEG296" s="6"/>
      <c r="AEH296" s="6"/>
      <c r="AEI296" s="6"/>
      <c r="AEJ296" s="6"/>
      <c r="AEK296" s="6"/>
      <c r="AEL296" s="6"/>
      <c r="AEM296" s="6"/>
      <c r="AEN296" s="6"/>
      <c r="AEO296" s="6"/>
      <c r="AEP296" s="6"/>
      <c r="AEQ296" s="6"/>
      <c r="AER296" s="6"/>
      <c r="AES296" s="6"/>
      <c r="AET296" s="6"/>
      <c r="AEU296" s="6"/>
      <c r="AEV296" s="6"/>
      <c r="AEW296" s="6"/>
      <c r="AEX296" s="6"/>
      <c r="AEY296" s="6"/>
      <c r="AEZ296" s="6"/>
      <c r="AFA296" s="6"/>
      <c r="AFB296" s="6"/>
      <c r="AFC296" s="6"/>
      <c r="AFD296" s="6"/>
      <c r="AFE296" s="6"/>
      <c r="AFF296" s="6"/>
      <c r="AFG296" s="6"/>
      <c r="AFH296" s="6"/>
      <c r="AFI296" s="6"/>
      <c r="AFJ296" s="6"/>
      <c r="AFK296" s="6"/>
      <c r="AFL296" s="6"/>
      <c r="AFM296" s="6"/>
      <c r="AFN296" s="6"/>
      <c r="AFO296" s="6"/>
      <c r="AFP296" s="6"/>
      <c r="AFQ296" s="6"/>
      <c r="AFR296" s="6"/>
      <c r="AFS296" s="6"/>
      <c r="AFT296" s="6"/>
      <c r="AFU296" s="6"/>
      <c r="AFV296" s="6"/>
      <c r="AFW296" s="6"/>
      <c r="AFX296" s="6"/>
      <c r="AFY296" s="6"/>
      <c r="AFZ296" s="6"/>
      <c r="AGA296" s="6"/>
      <c r="AGB296" s="6"/>
      <c r="AGC296" s="6"/>
      <c r="AGD296" s="6"/>
      <c r="AGE296" s="6"/>
      <c r="AGF296" s="6"/>
      <c r="AGG296" s="6"/>
      <c r="AGH296" s="6"/>
      <c r="AGI296" s="6"/>
      <c r="AGJ296" s="6"/>
      <c r="AGK296" s="6"/>
      <c r="AGL296" s="6"/>
      <c r="AGM296" s="6"/>
      <c r="AGN296" s="6"/>
      <c r="AGO296" s="6"/>
      <c r="AGP296" s="6"/>
      <c r="AGQ296" s="6"/>
      <c r="AGR296" s="6"/>
      <c r="AGS296" s="6"/>
      <c r="AGT296" s="6"/>
      <c r="AGU296" s="6"/>
      <c r="AGV296" s="6"/>
      <c r="AGW296" s="6"/>
      <c r="AGX296" s="6"/>
      <c r="AGY296" s="6"/>
      <c r="AGZ296" s="6"/>
      <c r="AHA296" s="6"/>
      <c r="AHB296" s="6"/>
      <c r="AHC296" s="6"/>
      <c r="AHD296" s="6"/>
      <c r="AHE296" s="6"/>
      <c r="AHF296" s="6"/>
      <c r="AHG296" s="6"/>
      <c r="AHH296" s="6"/>
      <c r="AHI296" s="6"/>
      <c r="AHJ296" s="6"/>
      <c r="AHK296" s="6"/>
      <c r="AHL296" s="6"/>
      <c r="AHM296" s="6"/>
      <c r="AHN296" s="6"/>
      <c r="AHO296" s="6"/>
      <c r="AHP296" s="6"/>
      <c r="AHQ296" s="6"/>
      <c r="AHR296" s="6"/>
      <c r="AHS296" s="6"/>
      <c r="AHT296" s="6"/>
      <c r="AHU296" s="6"/>
      <c r="AHV296" s="6"/>
      <c r="AHW296" s="6"/>
      <c r="AHX296" s="6"/>
      <c r="AHY296" s="6"/>
      <c r="AHZ296" s="6"/>
      <c r="AIA296" s="6"/>
      <c r="AIB296" s="6"/>
      <c r="AIC296" s="6"/>
      <c r="AID296" s="6"/>
      <c r="AIE296" s="6"/>
      <c r="AIF296" s="6"/>
      <c r="AIG296" s="6"/>
      <c r="AIH296" s="6"/>
      <c r="AII296" s="6"/>
      <c r="AIJ296" s="6"/>
      <c r="AIK296" s="6"/>
      <c r="AIL296" s="6"/>
      <c r="AIM296" s="6"/>
      <c r="AIN296" s="6"/>
      <c r="AIO296" s="6"/>
      <c r="AIP296" s="6"/>
      <c r="AIQ296" s="6"/>
      <c r="AIR296" s="6"/>
      <c r="AIS296" s="6"/>
      <c r="AIT296" s="6"/>
      <c r="AIU296" s="6"/>
      <c r="AIV296" s="6"/>
      <c r="AIW296" s="6"/>
      <c r="AIX296" s="6"/>
      <c r="AIY296" s="6"/>
      <c r="AIZ296" s="6"/>
      <c r="AJA296" s="6"/>
      <c r="AJB296" s="6"/>
      <c r="AJC296" s="6"/>
      <c r="AJD296" s="6"/>
      <c r="AJE296" s="6"/>
      <c r="AJF296" s="6"/>
      <c r="AJG296" s="6"/>
      <c r="AJH296" s="6"/>
      <c r="AJI296" s="6"/>
      <c r="AJJ296" s="6"/>
      <c r="AJK296" s="6"/>
      <c r="AJL296" s="6"/>
      <c r="AJM296" s="6"/>
      <c r="AJN296" s="6"/>
      <c r="AJO296" s="6"/>
      <c r="AJP296" s="6"/>
      <c r="AJQ296" s="6"/>
      <c r="AJR296" s="6"/>
      <c r="AJS296" s="6"/>
      <c r="AJT296" s="6"/>
      <c r="AJU296" s="6"/>
      <c r="AJV296" s="6"/>
      <c r="AJW296" s="6"/>
      <c r="AJX296" s="6"/>
      <c r="AJY296" s="6"/>
      <c r="AJZ296" s="6"/>
      <c r="AKA296" s="6"/>
      <c r="AKB296" s="6"/>
      <c r="AKC296" s="6"/>
      <c r="AKD296" s="6"/>
      <c r="AKE296" s="6"/>
      <c r="AKF296" s="6"/>
      <c r="AKG296" s="6"/>
      <c r="AKH296" s="6"/>
      <c r="AKI296" s="6"/>
      <c r="AKJ296" s="6"/>
      <c r="AKK296" s="6"/>
      <c r="AKL296" s="6"/>
      <c r="AKM296" s="6"/>
      <c r="AKN296" s="6"/>
      <c r="AKO296" s="6"/>
      <c r="AKP296" s="6"/>
      <c r="AKQ296" s="6"/>
      <c r="AKR296" s="6"/>
      <c r="AKS296" s="6"/>
      <c r="AKT296" s="6"/>
      <c r="AKU296" s="6"/>
      <c r="AKV296" s="6"/>
      <c r="AKW296" s="6"/>
      <c r="AKX296" s="6"/>
      <c r="AKY296" s="6"/>
      <c r="AKZ296" s="6"/>
      <c r="ALA296" s="6"/>
      <c r="ALB296" s="6"/>
      <c r="ALC296" s="6"/>
      <c r="ALD296" s="6"/>
      <c r="ALE296" s="6"/>
      <c r="ALF296" s="6"/>
      <c r="ALG296" s="6"/>
      <c r="ALH296" s="6"/>
      <c r="ALI296" s="6"/>
      <c r="ALJ296" s="6"/>
      <c r="ALK296" s="6"/>
      <c r="ALL296" s="6"/>
      <c r="ALM296" s="6"/>
      <c r="ALN296" s="6"/>
      <c r="ALO296" s="6"/>
      <c r="ALP296" s="6"/>
      <c r="ALQ296" s="6"/>
      <c r="ALR296" s="6"/>
      <c r="ALS296" s="6"/>
      <c r="ALT296" s="6"/>
      <c r="ALU296" s="6"/>
      <c r="ALV296" s="6"/>
      <c r="ALW296" s="6"/>
      <c r="ALX296" s="6"/>
      <c r="ALY296" s="6"/>
      <c r="ALZ296" s="6"/>
      <c r="AMA296" s="6"/>
      <c r="AMB296" s="6"/>
      <c r="AMC296" s="6"/>
      <c r="AMD296" s="6"/>
      <c r="AME296" s="6"/>
      <c r="AMF296" s="6"/>
      <c r="AMG296" s="6"/>
      <c r="AMH296" s="6"/>
      <c r="AMI296" s="6"/>
      <c r="AMJ296" s="6"/>
      <c r="AMK296" s="6"/>
      <c r="AML296" s="6"/>
      <c r="AMM296" s="6"/>
      <c r="AMN296" s="6"/>
      <c r="AMO296" s="6"/>
      <c r="AMP296" s="6"/>
    </row>
    <row r="297" spans="1:1030" x14ac:dyDescent="0.2">
      <c r="A297" s="9" t="str">
        <f t="shared" ref="A297:A298" si="1399">CONCATENATE(B297,"_",C297)</f>
        <v>ta2r_human__wt</v>
      </c>
      <c r="B297" s="40" t="s">
        <v>473</v>
      </c>
      <c r="C297" s="9" t="s">
        <v>100</v>
      </c>
      <c r="D297" s="9" t="str">
        <f>IFERROR(MID(VLOOKUP($B297,Seqs!$A:$B,2,0),E297,1),"")</f>
        <v>S</v>
      </c>
      <c r="E297" s="9">
        <v>27</v>
      </c>
      <c r="F297" s="9" t="str">
        <f>IFERROR(MID(VLOOKUP($B297,Seqs!$A:$B,2,0),G297,1),"")</f>
        <v>Q</v>
      </c>
      <c r="G297" s="9">
        <v>54</v>
      </c>
      <c r="H297" s="9" t="str">
        <f>IFERROR(MID(VLOOKUP($B297,Seqs!$A:$B,2,0),I297,1),"")</f>
        <v/>
      </c>
      <c r="I297" s="109" t="s">
        <v>23</v>
      </c>
      <c r="J297" s="9" t="str">
        <f>IFERROR(MID(VLOOKUP($B297,Seqs!$A:$B,2,0),K297,1),"")</f>
        <v/>
      </c>
      <c r="K297" s="109" t="s">
        <v>23</v>
      </c>
      <c r="L297" s="9" t="str">
        <f>IFERROR(MID(VLOOKUP($B297,Seqs!$A:$B,2,0),M297,1),"")</f>
        <v>S</v>
      </c>
      <c r="M297" s="9">
        <v>61</v>
      </c>
      <c r="N297" s="9" t="str">
        <f>IFERROR(MID(VLOOKUP($B297,Seqs!$A:$B,2,0),O297,1),"")</f>
        <v>A</v>
      </c>
      <c r="O297" s="9">
        <v>91</v>
      </c>
      <c r="P297" s="9" t="str">
        <f>IFERROR(MID(VLOOKUP($B297,Seqs!$A:$B,2,0),Q297,1),"")</f>
        <v>E</v>
      </c>
      <c r="Q297" s="9">
        <v>94</v>
      </c>
      <c r="R297" s="9" t="str">
        <f>IFERROR(MID(VLOOKUP($B297,Seqs!$A:$B,2,0),S297,1),"")</f>
        <v>V</v>
      </c>
      <c r="S297" s="9">
        <v>98</v>
      </c>
      <c r="T297" s="9" t="str">
        <f>IFERROR(MID(VLOOKUP($B297,Seqs!$A:$B,2,0),U297,1),"")</f>
        <v>C</v>
      </c>
      <c r="U297" s="9">
        <v>102</v>
      </c>
      <c r="V297" s="9" t="str">
        <f>IFERROR(MID(VLOOKUP($B297,Seqs!$A:$B,2,0),W297,1),"")</f>
        <v>R</v>
      </c>
      <c r="W297" s="9">
        <v>136</v>
      </c>
      <c r="X297" s="9" t="str">
        <f>IFERROR(MID(VLOOKUP($B297,Seqs!$A:$B,2,0),Y297,1),"")</f>
        <v>P</v>
      </c>
      <c r="Y297" s="9">
        <v>137</v>
      </c>
      <c r="Z297" s="9" t="str">
        <f>IFERROR(MID(VLOOKUP($B297,Seqs!$A:$B,2,0),AA297,1),"")</f>
        <v>A</v>
      </c>
      <c r="AA297" s="9">
        <v>144</v>
      </c>
      <c r="AB297" s="9" t="str">
        <f>IFERROR(MID(VLOOKUP($B297,Seqs!$A:$B,2,0),AC297,1),"")</f>
        <v>S</v>
      </c>
      <c r="AC297" s="9">
        <v>145</v>
      </c>
      <c r="AD297" s="9" t="str">
        <f>IFERROR(MID(VLOOKUP($B297,Seqs!$A:$B,2,0),AE297,1),"")</f>
        <v>G</v>
      </c>
      <c r="AE297" s="9">
        <v>170</v>
      </c>
      <c r="AF297" s="9" t="str">
        <f>IFERROR(MID(VLOOKUP($B297,Seqs!$A:$B,2,0),AG297,1),"")</f>
        <v>C</v>
      </c>
      <c r="AG297" s="9">
        <v>183</v>
      </c>
      <c r="AH297" s="9" t="str">
        <f>IFERROR(MID(VLOOKUP($B297,Seqs!$A:$B,2,0),AI297,1),"")</f>
        <v>L</v>
      </c>
      <c r="AI297" s="9">
        <v>185</v>
      </c>
      <c r="AJ297" s="9" t="str">
        <f>IFERROR(MID(VLOOKUP($B297,Seqs!$A:$B,2,0),AK297,1),"")</f>
        <v>E</v>
      </c>
      <c r="AK297" s="9">
        <v>190</v>
      </c>
      <c r="AL297" s="9" t="str">
        <f>IFERROR(MID(VLOOKUP($B297,Seqs!$A:$B,2,0),AM297,1),"")</f>
        <v>P</v>
      </c>
      <c r="AM297" s="9">
        <v>236</v>
      </c>
      <c r="AN297" s="9" t="str">
        <f>IFERROR(MID(VLOOKUP($B297,Seqs!$A:$B,2,0),AO297,1),"")</f>
        <v>E</v>
      </c>
      <c r="AO297" s="9">
        <v>240</v>
      </c>
      <c r="AP297" s="9" t="str">
        <f>IFERROR(MID(VLOOKUP($B297,Seqs!$A:$B,2,0),AQ297,1),"")</f>
        <v>R</v>
      </c>
      <c r="AQ297" s="9">
        <v>271</v>
      </c>
      <c r="AR297" s="9" t="str">
        <f>IFERROR(MID(VLOOKUP($B297,Seqs!$A:$B,2,0),AS297,1),"")</f>
        <v>S</v>
      </c>
      <c r="AS297" s="9">
        <v>283</v>
      </c>
      <c r="AT297" s="9" t="str">
        <f>IFERROR(MID(VLOOKUP($B297,Seqs!$A:$B,2,0),AU297,1),"")</f>
        <v>F</v>
      </c>
      <c r="AU297" s="9">
        <v>311</v>
      </c>
      <c r="AV297" s="9" t="str">
        <f>IFERROR(MID(VLOOKUP($B297,Seqs!$A:$B,2,0),AW297,1),"")</f>
        <v>R</v>
      </c>
      <c r="AW297" s="9">
        <v>312</v>
      </c>
      <c r="AX297" s="9" t="str">
        <f>IFERROR(MID(VLOOKUP($B297,Seqs!$A:$B,2,0),AY297,1),"")</f>
        <v>S</v>
      </c>
      <c r="AY297" s="9">
        <v>331</v>
      </c>
      <c r="AZ297" s="110" t="str">
        <f>VLOOKUP(B297,Classification!A:D,2,0)</f>
        <v>A</v>
      </c>
      <c r="BA297" s="98" t="str">
        <f>VLOOKUP(B297,Classification!A:D,4,0)</f>
        <v>Prostanoid</v>
      </c>
      <c r="BB297" s="36" t="b">
        <f t="shared" ref="BB297:BB298" si="1400">AND(E297&lt;G297,OR(G297&lt;I297,I297="-"),OR(I297&lt;K297,I297="-"),OR(K297&lt;M297,K297="-"),M297&lt;O297,OR(O297&lt;Q297,Q297="-"),OR(Q297&lt;S297,Q297="-"),OR(S297&lt;U297,S297="-"),U297&lt;W297,OR(W297&lt;Y297,Y297="-"),OR(Y297&lt;AA297,Y297="-"),OR(AA297&lt;AC297,AA297="-"),AC297&lt;AE297,OR(AE297&lt;AG297,AG297="-"),OR(AG297&lt;AI297,AG297="-"),OR(AI297&lt;AK297,AI297="-"),AK297&lt;AM297,AM297&lt;AO297,AO297&lt;AQ297,AQ297&lt;AS297,AS297&lt;AU297,OR(AU297&lt;AW297,AW297="-"),OR(AW297&lt;AY297,AW297="-"))</f>
        <v>1</v>
      </c>
      <c r="BC297" s="109">
        <f t="shared" ref="BC297:BC298" si="1401">_xlfn.AGGREGATE(9,6,CH297:CS297)-_xlfn.AGGREGATE(9,6,BV297:CG297)+12</f>
        <v>265</v>
      </c>
      <c r="BD297" s="11" t="s">
        <v>23</v>
      </c>
      <c r="BE297" s="9" t="s">
        <v>23</v>
      </c>
      <c r="BF297" s="120" t="s">
        <v>23</v>
      </c>
      <c r="BG297" s="51" t="s">
        <v>1</v>
      </c>
      <c r="BH297" s="51" t="s">
        <v>1</v>
      </c>
      <c r="BI297" s="12"/>
      <c r="BJ297" s="111" t="s">
        <v>1293</v>
      </c>
      <c r="BK297" s="112" t="s">
        <v>1293</v>
      </c>
      <c r="BL297" s="112" t="s">
        <v>1293</v>
      </c>
      <c r="BM297" s="112" t="s">
        <v>1293</v>
      </c>
      <c r="BN297" s="112" t="s">
        <v>1293</v>
      </c>
      <c r="BO297" s="112" t="s">
        <v>1293</v>
      </c>
      <c r="BP297" s="112" t="s">
        <v>1293</v>
      </c>
      <c r="BQ297" s="112" t="s">
        <v>1293</v>
      </c>
      <c r="BR297" s="112" t="s">
        <v>1293</v>
      </c>
      <c r="BS297" s="112" t="s">
        <v>1293</v>
      </c>
      <c r="BT297" s="112" t="s">
        <v>1293</v>
      </c>
      <c r="BU297" s="112" t="s">
        <v>1293</v>
      </c>
      <c r="BV297" s="111">
        <f t="shared" ref="BV297:BV298" si="1402">E297</f>
        <v>27</v>
      </c>
      <c r="BW297" s="113" t="str">
        <f t="shared" ref="BW297:BW298" si="1403">I297</f>
        <v>-</v>
      </c>
      <c r="BX297" s="114">
        <f t="shared" ref="BX297:BX298" si="1404">M297</f>
        <v>61</v>
      </c>
      <c r="BY297" s="113">
        <f t="shared" ref="BY297:BY298" si="1405">Q297</f>
        <v>94</v>
      </c>
      <c r="BZ297" s="114">
        <f t="shared" ref="BZ297:BZ298" si="1406">U297</f>
        <v>102</v>
      </c>
      <c r="CA297" s="113">
        <f t="shared" ref="CA297:CA298" si="1407">Y297</f>
        <v>137</v>
      </c>
      <c r="CB297" s="114">
        <f t="shared" ref="CB297:CB298" si="1408">AC297</f>
        <v>145</v>
      </c>
      <c r="CC297" s="113">
        <f t="shared" ref="CC297:CC298" si="1409">AG297</f>
        <v>183</v>
      </c>
      <c r="CD297" s="114">
        <f t="shared" ref="CD297:CD298" si="1410">AK297</f>
        <v>190</v>
      </c>
      <c r="CE297" s="113">
        <f t="shared" ref="CE297:CE298" si="1411">AO297</f>
        <v>240</v>
      </c>
      <c r="CF297" s="114">
        <f t="shared" ref="CF297:CF298" si="1412">AS297</f>
        <v>283</v>
      </c>
      <c r="CG297" s="113">
        <f t="shared" ref="CG297:CG298" si="1413">AW297</f>
        <v>312</v>
      </c>
      <c r="CH297" s="111">
        <f t="shared" ref="CH297:CH298" si="1414">G297</f>
        <v>54</v>
      </c>
      <c r="CI297" s="113" t="str">
        <f t="shared" ref="CI297:CI298" si="1415">K297</f>
        <v>-</v>
      </c>
      <c r="CJ297" s="114">
        <f t="shared" ref="CJ297:CJ298" si="1416">O297</f>
        <v>91</v>
      </c>
      <c r="CK297" s="114">
        <f t="shared" ref="CK297:CK298" si="1417">S297</f>
        <v>98</v>
      </c>
      <c r="CL297" s="114">
        <f t="shared" ref="CL297:CL298" si="1418">W297</f>
        <v>136</v>
      </c>
      <c r="CM297" s="114">
        <f t="shared" ref="CM297:CM298" si="1419">AA297</f>
        <v>144</v>
      </c>
      <c r="CN297" s="114">
        <f t="shared" ref="CN297:CN298" si="1420">AE297</f>
        <v>170</v>
      </c>
      <c r="CO297" s="114">
        <f t="shared" ref="CO297:CO298" si="1421">AI297</f>
        <v>185</v>
      </c>
      <c r="CP297" s="114">
        <f t="shared" ref="CP297:CP298" si="1422">AM297</f>
        <v>236</v>
      </c>
      <c r="CQ297" s="114">
        <f t="shared" ref="CQ297:CQ298" si="1423">AQ297</f>
        <v>271</v>
      </c>
      <c r="CR297" s="114">
        <f t="shared" ref="CR297:CR298" si="1424">AU297</f>
        <v>311</v>
      </c>
      <c r="CS297" s="114">
        <f t="shared" ref="CS297:CS298" si="1425">AY297</f>
        <v>331</v>
      </c>
      <c r="CT297" s="109" t="e">
        <f t="shared" ref="CT297:CT298" si="1426">M297-K297</f>
        <v>#VALUE!</v>
      </c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6"/>
      <c r="JN297" s="6"/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6"/>
      <c r="KB297" s="6"/>
      <c r="KC297" s="6"/>
      <c r="KD297" s="6"/>
      <c r="KE297" s="6"/>
      <c r="KF297" s="6"/>
      <c r="KG297" s="6"/>
      <c r="KH297" s="6"/>
      <c r="KI297" s="6"/>
      <c r="KJ297" s="6"/>
      <c r="KK297" s="6"/>
      <c r="KL297" s="6"/>
      <c r="KM297" s="6"/>
      <c r="KN297" s="6"/>
      <c r="KO297" s="6"/>
      <c r="KP297" s="6"/>
      <c r="KQ297" s="6"/>
      <c r="KR297" s="6"/>
      <c r="KS297" s="6"/>
      <c r="KT297" s="6"/>
      <c r="KU297" s="6"/>
      <c r="KV297" s="6"/>
      <c r="KW297" s="6"/>
      <c r="KX297" s="6"/>
      <c r="KY297" s="6"/>
      <c r="KZ297" s="6"/>
      <c r="LA297" s="6"/>
      <c r="LB297" s="6"/>
      <c r="LC297" s="6"/>
      <c r="LD297" s="6"/>
      <c r="LE297" s="6"/>
      <c r="LF297" s="6"/>
      <c r="LG297" s="6"/>
      <c r="LH297" s="6"/>
      <c r="LI297" s="6"/>
      <c r="LJ297" s="6"/>
      <c r="LK297" s="6"/>
      <c r="LL297" s="6"/>
      <c r="LM297" s="6"/>
      <c r="LN297" s="6"/>
      <c r="LO297" s="6"/>
      <c r="LP297" s="6"/>
      <c r="LQ297" s="6"/>
      <c r="LR297" s="6"/>
      <c r="LS297" s="6"/>
      <c r="LT297" s="6"/>
      <c r="LU297" s="6"/>
      <c r="LV297" s="6"/>
      <c r="LW297" s="6"/>
      <c r="LX297" s="6"/>
      <c r="LY297" s="6"/>
      <c r="LZ297" s="6"/>
      <c r="MA297" s="6"/>
      <c r="MB297" s="6"/>
      <c r="MC297" s="6"/>
      <c r="MD297" s="6"/>
      <c r="ME297" s="6"/>
      <c r="MF297" s="6"/>
      <c r="MG297" s="6"/>
      <c r="MH297" s="6"/>
      <c r="MI297" s="6"/>
      <c r="MJ297" s="6"/>
      <c r="MK297" s="6"/>
      <c r="ML297" s="6"/>
      <c r="MM297" s="6"/>
      <c r="MN297" s="6"/>
      <c r="MO297" s="6"/>
      <c r="MP297" s="6"/>
      <c r="MQ297" s="6"/>
      <c r="MR297" s="6"/>
      <c r="MS297" s="6"/>
      <c r="MT297" s="6"/>
      <c r="MU297" s="6"/>
      <c r="MV297" s="6"/>
      <c r="MW297" s="6"/>
      <c r="MX297" s="6"/>
      <c r="MY297" s="6"/>
      <c r="MZ297" s="6"/>
      <c r="NA297" s="6"/>
      <c r="NB297" s="6"/>
      <c r="NC297" s="6"/>
      <c r="ND297" s="6"/>
      <c r="NE297" s="6"/>
      <c r="NF297" s="6"/>
      <c r="NG297" s="6"/>
      <c r="NH297" s="6"/>
      <c r="NI297" s="6"/>
      <c r="NJ297" s="6"/>
      <c r="NK297" s="6"/>
      <c r="NL297" s="6"/>
      <c r="NM297" s="6"/>
      <c r="NN297" s="6"/>
      <c r="NO297" s="6"/>
      <c r="NP297" s="6"/>
      <c r="NQ297" s="6"/>
      <c r="NR297" s="6"/>
      <c r="NS297" s="6"/>
      <c r="NT297" s="6"/>
      <c r="NU297" s="6"/>
      <c r="NV297" s="6"/>
      <c r="NW297" s="6"/>
      <c r="NX297" s="6"/>
      <c r="NY297" s="6"/>
      <c r="NZ297" s="6"/>
      <c r="OA297" s="6"/>
      <c r="OB297" s="6"/>
      <c r="OC297" s="6"/>
      <c r="OD297" s="6"/>
      <c r="OE297" s="6"/>
      <c r="OF297" s="6"/>
      <c r="OG297" s="6"/>
      <c r="OH297" s="6"/>
      <c r="OI297" s="6"/>
      <c r="OJ297" s="6"/>
      <c r="OK297" s="6"/>
      <c r="OL297" s="6"/>
      <c r="OM297" s="6"/>
      <c r="ON297" s="6"/>
      <c r="OO297" s="6"/>
      <c r="OP297" s="6"/>
      <c r="OQ297" s="6"/>
      <c r="OR297" s="6"/>
      <c r="OS297" s="6"/>
      <c r="OT297" s="6"/>
      <c r="OU297" s="6"/>
      <c r="OV297" s="6"/>
      <c r="OW297" s="6"/>
      <c r="OX297" s="6"/>
      <c r="OY297" s="6"/>
      <c r="OZ297" s="6"/>
      <c r="PA297" s="6"/>
      <c r="PB297" s="6"/>
      <c r="PC297" s="6"/>
      <c r="PD297" s="6"/>
      <c r="PE297" s="6"/>
      <c r="PF297" s="6"/>
      <c r="PG297" s="6"/>
      <c r="PH297" s="6"/>
      <c r="PI297" s="6"/>
      <c r="PJ297" s="6"/>
      <c r="PK297" s="6"/>
      <c r="PL297" s="6"/>
      <c r="PM297" s="6"/>
      <c r="PN297" s="6"/>
      <c r="PO297" s="6"/>
      <c r="PP297" s="6"/>
      <c r="PQ297" s="6"/>
      <c r="PR297" s="6"/>
      <c r="PS297" s="6"/>
      <c r="PT297" s="6"/>
      <c r="PU297" s="6"/>
      <c r="PV297" s="6"/>
      <c r="PW297" s="6"/>
      <c r="PX297" s="6"/>
      <c r="PY297" s="6"/>
      <c r="PZ297" s="6"/>
      <c r="QA297" s="6"/>
      <c r="QB297" s="6"/>
      <c r="QC297" s="6"/>
      <c r="QD297" s="6"/>
      <c r="QE297" s="6"/>
      <c r="QF297" s="6"/>
      <c r="QG297" s="6"/>
      <c r="QH297" s="6"/>
      <c r="QI297" s="6"/>
      <c r="QJ297" s="6"/>
      <c r="QK297" s="6"/>
      <c r="QL297" s="6"/>
      <c r="QM297" s="6"/>
      <c r="QN297" s="6"/>
      <c r="QO297" s="6"/>
      <c r="QP297" s="6"/>
      <c r="QQ297" s="6"/>
      <c r="QR297" s="6"/>
      <c r="QS297" s="6"/>
      <c r="QT297" s="6"/>
      <c r="QU297" s="6"/>
      <c r="QV297" s="6"/>
      <c r="QW297" s="6"/>
      <c r="QX297" s="6"/>
      <c r="QY297" s="6"/>
      <c r="QZ297" s="6"/>
      <c r="RA297" s="6"/>
      <c r="RB297" s="6"/>
      <c r="RC297" s="6"/>
      <c r="RD297" s="6"/>
      <c r="RE297" s="6"/>
      <c r="RF297" s="6"/>
      <c r="RG297" s="6"/>
      <c r="RH297" s="6"/>
      <c r="RI297" s="6"/>
      <c r="RJ297" s="6"/>
      <c r="RK297" s="6"/>
      <c r="RL297" s="6"/>
      <c r="RM297" s="6"/>
      <c r="RN297" s="6"/>
      <c r="RO297" s="6"/>
      <c r="RP297" s="6"/>
      <c r="RQ297" s="6"/>
      <c r="RR297" s="6"/>
      <c r="RS297" s="6"/>
      <c r="RT297" s="6"/>
      <c r="RU297" s="6"/>
      <c r="RV297" s="6"/>
      <c r="RW297" s="6"/>
      <c r="RX297" s="6"/>
      <c r="RY297" s="6"/>
      <c r="RZ297" s="6"/>
      <c r="SA297" s="6"/>
      <c r="SB297" s="6"/>
      <c r="SC297" s="6"/>
      <c r="SD297" s="6"/>
      <c r="SE297" s="6"/>
      <c r="SF297" s="6"/>
      <c r="SG297" s="6"/>
      <c r="SH297" s="6"/>
      <c r="SI297" s="6"/>
      <c r="SJ297" s="6"/>
      <c r="SK297" s="6"/>
      <c r="SL297" s="6"/>
      <c r="SM297" s="6"/>
      <c r="SN297" s="6"/>
      <c r="SO297" s="6"/>
      <c r="SP297" s="6"/>
      <c r="SQ297" s="6"/>
      <c r="SR297" s="6"/>
      <c r="SS297" s="6"/>
      <c r="ST297" s="6"/>
      <c r="SU297" s="6"/>
      <c r="SV297" s="6"/>
      <c r="SW297" s="6"/>
      <c r="SX297" s="6"/>
      <c r="SY297" s="6"/>
      <c r="SZ297" s="6"/>
      <c r="TA297" s="6"/>
      <c r="TB297" s="6"/>
      <c r="TC297" s="6"/>
      <c r="TD297" s="6"/>
      <c r="TE297" s="6"/>
      <c r="TF297" s="6"/>
      <c r="TG297" s="6"/>
      <c r="TH297" s="6"/>
      <c r="TI297" s="6"/>
      <c r="TJ297" s="6"/>
      <c r="TK297" s="6"/>
      <c r="TL297" s="6"/>
      <c r="TM297" s="6"/>
      <c r="TN297" s="6"/>
      <c r="TO297" s="6"/>
      <c r="TP297" s="6"/>
      <c r="TQ297" s="6"/>
      <c r="TR297" s="6"/>
      <c r="TS297" s="6"/>
      <c r="TT297" s="6"/>
      <c r="TU297" s="6"/>
      <c r="TV297" s="6"/>
      <c r="TW297" s="6"/>
      <c r="TX297" s="6"/>
      <c r="TY297" s="6"/>
      <c r="TZ297" s="6"/>
      <c r="UA297" s="6"/>
      <c r="UB297" s="6"/>
      <c r="UC297" s="6"/>
      <c r="UD297" s="6"/>
      <c r="UE297" s="6"/>
      <c r="UF297" s="6"/>
      <c r="UG297" s="6"/>
      <c r="UH297" s="6"/>
      <c r="UI297" s="6"/>
      <c r="UJ297" s="6"/>
      <c r="UK297" s="6"/>
      <c r="UL297" s="6"/>
      <c r="UM297" s="6"/>
      <c r="UN297" s="6"/>
      <c r="UO297" s="6"/>
      <c r="UP297" s="6"/>
      <c r="UQ297" s="6"/>
      <c r="UR297" s="6"/>
      <c r="US297" s="6"/>
      <c r="UT297" s="6"/>
      <c r="UU297" s="6"/>
      <c r="UV297" s="6"/>
      <c r="UW297" s="6"/>
      <c r="UX297" s="6"/>
      <c r="UY297" s="6"/>
      <c r="UZ297" s="6"/>
      <c r="VA297" s="6"/>
      <c r="VB297" s="6"/>
      <c r="VC297" s="6"/>
      <c r="VD297" s="6"/>
      <c r="VE297" s="6"/>
      <c r="VF297" s="6"/>
      <c r="VG297" s="6"/>
      <c r="VH297" s="6"/>
      <c r="VI297" s="6"/>
      <c r="VJ297" s="6"/>
      <c r="VK297" s="6"/>
      <c r="VL297" s="6"/>
      <c r="VM297" s="6"/>
      <c r="VN297" s="6"/>
      <c r="VO297" s="6"/>
      <c r="VP297" s="6"/>
      <c r="VQ297" s="6"/>
      <c r="VR297" s="6"/>
      <c r="VS297" s="6"/>
      <c r="VT297" s="6"/>
      <c r="VU297" s="6"/>
      <c r="VV297" s="6"/>
      <c r="VW297" s="6"/>
      <c r="VX297" s="6"/>
      <c r="VY297" s="6"/>
      <c r="VZ297" s="6"/>
      <c r="WA297" s="6"/>
      <c r="WB297" s="6"/>
      <c r="WC297" s="6"/>
      <c r="WD297" s="6"/>
      <c r="WE297" s="6"/>
      <c r="WF297" s="6"/>
      <c r="WG297" s="6"/>
      <c r="WH297" s="6"/>
      <c r="WI297" s="6"/>
      <c r="WJ297" s="6"/>
      <c r="WK297" s="6"/>
      <c r="WL297" s="6"/>
      <c r="WM297" s="6"/>
      <c r="WN297" s="6"/>
      <c r="WO297" s="6"/>
      <c r="WP297" s="6"/>
      <c r="WQ297" s="6"/>
      <c r="WR297" s="6"/>
      <c r="WS297" s="6"/>
      <c r="WT297" s="6"/>
      <c r="WU297" s="6"/>
      <c r="WV297" s="6"/>
      <c r="WW297" s="6"/>
      <c r="WX297" s="6"/>
      <c r="WY297" s="6"/>
      <c r="WZ297" s="6"/>
      <c r="XA297" s="6"/>
      <c r="XB297" s="6"/>
      <c r="XC297" s="6"/>
      <c r="XD297" s="6"/>
      <c r="XE297" s="6"/>
      <c r="XF297" s="6"/>
      <c r="XG297" s="6"/>
      <c r="XH297" s="6"/>
      <c r="XI297" s="6"/>
      <c r="XJ297" s="6"/>
      <c r="XK297" s="6"/>
      <c r="XL297" s="6"/>
      <c r="XM297" s="6"/>
      <c r="XN297" s="6"/>
      <c r="XO297" s="6"/>
      <c r="XP297" s="6"/>
      <c r="XQ297" s="6"/>
      <c r="XR297" s="6"/>
      <c r="XS297" s="6"/>
      <c r="XT297" s="6"/>
      <c r="XU297" s="6"/>
      <c r="XV297" s="6"/>
      <c r="XW297" s="6"/>
      <c r="XX297" s="6"/>
      <c r="XY297" s="6"/>
      <c r="XZ297" s="6"/>
      <c r="YA297" s="6"/>
      <c r="YB297" s="6"/>
      <c r="YC297" s="6"/>
      <c r="YD297" s="6"/>
      <c r="YE297" s="6"/>
      <c r="YF297" s="6"/>
      <c r="YG297" s="6"/>
      <c r="YH297" s="6"/>
      <c r="YI297" s="6"/>
      <c r="YJ297" s="6"/>
      <c r="YK297" s="6"/>
      <c r="YL297" s="6"/>
      <c r="YM297" s="6"/>
      <c r="YN297" s="6"/>
      <c r="YO297" s="6"/>
      <c r="YP297" s="6"/>
      <c r="YQ297" s="6"/>
      <c r="YR297" s="6"/>
      <c r="YS297" s="6"/>
      <c r="YT297" s="6"/>
      <c r="YU297" s="6"/>
      <c r="YV297" s="6"/>
      <c r="YW297" s="6"/>
      <c r="YX297" s="6"/>
      <c r="YY297" s="6"/>
      <c r="YZ297" s="6"/>
      <c r="ZA297" s="6"/>
      <c r="ZB297" s="6"/>
      <c r="ZC297" s="6"/>
      <c r="ZD297" s="6"/>
      <c r="ZE297" s="6"/>
      <c r="ZF297" s="6"/>
      <c r="ZG297" s="6"/>
      <c r="ZH297" s="6"/>
      <c r="ZI297" s="6"/>
      <c r="ZJ297" s="6"/>
      <c r="ZK297" s="6"/>
      <c r="ZL297" s="6"/>
      <c r="ZM297" s="6"/>
      <c r="ZN297" s="6"/>
      <c r="ZO297" s="6"/>
      <c r="ZP297" s="6"/>
      <c r="ZQ297" s="6"/>
      <c r="ZR297" s="6"/>
      <c r="ZS297" s="6"/>
      <c r="ZT297" s="6"/>
      <c r="ZU297" s="6"/>
      <c r="ZV297" s="6"/>
      <c r="ZW297" s="6"/>
      <c r="ZX297" s="6"/>
      <c r="ZY297" s="6"/>
      <c r="ZZ297" s="6"/>
      <c r="AAA297" s="6"/>
      <c r="AAB297" s="6"/>
      <c r="AAC297" s="6"/>
      <c r="AAD297" s="6"/>
      <c r="AAE297" s="6"/>
      <c r="AAF297" s="6"/>
      <c r="AAG297" s="6"/>
      <c r="AAH297" s="6"/>
      <c r="AAI297" s="6"/>
      <c r="AAJ297" s="6"/>
      <c r="AAK297" s="6"/>
      <c r="AAL297" s="6"/>
      <c r="AAM297" s="6"/>
      <c r="AAN297" s="6"/>
      <c r="AAO297" s="6"/>
      <c r="AAP297" s="6"/>
      <c r="AAQ297" s="6"/>
      <c r="AAR297" s="6"/>
      <c r="AAS297" s="6"/>
      <c r="AAT297" s="6"/>
      <c r="AAU297" s="6"/>
      <c r="AAV297" s="6"/>
      <c r="AAW297" s="6"/>
      <c r="AAX297" s="6"/>
      <c r="AAY297" s="6"/>
      <c r="AAZ297" s="6"/>
      <c r="ABA297" s="6"/>
      <c r="ABB297" s="6"/>
      <c r="ABC297" s="6"/>
      <c r="ABD297" s="6"/>
      <c r="ABE297" s="6"/>
      <c r="ABF297" s="6"/>
      <c r="ABG297" s="6"/>
      <c r="ABH297" s="6"/>
      <c r="ABI297" s="6"/>
      <c r="ABJ297" s="6"/>
      <c r="ABK297" s="6"/>
      <c r="ABL297" s="6"/>
      <c r="ABM297" s="6"/>
      <c r="ABN297" s="6"/>
      <c r="ABO297" s="6"/>
      <c r="ABP297" s="6"/>
      <c r="ABQ297" s="6"/>
      <c r="ABR297" s="6"/>
      <c r="ABS297" s="6"/>
      <c r="ABT297" s="6"/>
      <c r="ABU297" s="6"/>
      <c r="ABV297" s="6"/>
      <c r="ABW297" s="6"/>
      <c r="ABX297" s="6"/>
      <c r="ABY297" s="6"/>
      <c r="ABZ297" s="6"/>
      <c r="ACA297" s="6"/>
      <c r="ACB297" s="6"/>
      <c r="ACC297" s="6"/>
      <c r="ACD297" s="6"/>
      <c r="ACE297" s="6"/>
      <c r="ACF297" s="6"/>
      <c r="ACG297" s="6"/>
      <c r="ACH297" s="6"/>
      <c r="ACI297" s="6"/>
      <c r="ACJ297" s="6"/>
      <c r="ACK297" s="6"/>
      <c r="ACL297" s="6"/>
      <c r="ACM297" s="6"/>
      <c r="ACN297" s="6"/>
      <c r="ACO297" s="6"/>
      <c r="ACP297" s="6"/>
      <c r="ACQ297" s="6"/>
      <c r="ACR297" s="6"/>
      <c r="ACS297" s="6"/>
      <c r="ACT297" s="6"/>
      <c r="ACU297" s="6"/>
      <c r="ACV297" s="6"/>
      <c r="ACW297" s="6"/>
      <c r="ACX297" s="6"/>
      <c r="ACY297" s="6"/>
      <c r="ACZ297" s="6"/>
      <c r="ADA297" s="6"/>
      <c r="ADB297" s="6"/>
      <c r="ADC297" s="6"/>
      <c r="ADD297" s="6"/>
      <c r="ADE297" s="6"/>
      <c r="ADF297" s="6"/>
      <c r="ADG297" s="6"/>
      <c r="ADH297" s="6"/>
      <c r="ADI297" s="6"/>
      <c r="ADJ297" s="6"/>
      <c r="ADK297" s="6"/>
      <c r="ADL297" s="6"/>
      <c r="ADM297" s="6"/>
      <c r="ADN297" s="6"/>
      <c r="ADO297" s="6"/>
      <c r="ADP297" s="6"/>
      <c r="ADQ297" s="6"/>
      <c r="ADR297" s="6"/>
      <c r="ADS297" s="6"/>
      <c r="ADT297" s="6"/>
      <c r="ADU297" s="6"/>
      <c r="ADV297" s="6"/>
      <c r="ADW297" s="6"/>
      <c r="ADX297" s="6"/>
      <c r="ADY297" s="6"/>
      <c r="ADZ297" s="6"/>
      <c r="AEA297" s="6"/>
      <c r="AEB297" s="6"/>
      <c r="AEC297" s="6"/>
      <c r="AED297" s="6"/>
      <c r="AEE297" s="6"/>
      <c r="AEF297" s="6"/>
      <c r="AEG297" s="6"/>
      <c r="AEH297" s="6"/>
      <c r="AEI297" s="6"/>
      <c r="AEJ297" s="6"/>
      <c r="AEK297" s="6"/>
      <c r="AEL297" s="6"/>
      <c r="AEM297" s="6"/>
      <c r="AEN297" s="6"/>
      <c r="AEO297" s="6"/>
      <c r="AEP297" s="6"/>
      <c r="AEQ297" s="6"/>
      <c r="AER297" s="6"/>
      <c r="AES297" s="6"/>
      <c r="AET297" s="6"/>
      <c r="AEU297" s="6"/>
      <c r="AEV297" s="6"/>
      <c r="AEW297" s="6"/>
      <c r="AEX297" s="6"/>
      <c r="AEY297" s="6"/>
      <c r="AEZ297" s="6"/>
      <c r="AFA297" s="6"/>
      <c r="AFB297" s="6"/>
      <c r="AFC297" s="6"/>
      <c r="AFD297" s="6"/>
      <c r="AFE297" s="6"/>
      <c r="AFF297" s="6"/>
      <c r="AFG297" s="6"/>
      <c r="AFH297" s="6"/>
      <c r="AFI297" s="6"/>
      <c r="AFJ297" s="6"/>
      <c r="AFK297" s="6"/>
      <c r="AFL297" s="6"/>
      <c r="AFM297" s="6"/>
      <c r="AFN297" s="6"/>
      <c r="AFO297" s="6"/>
      <c r="AFP297" s="6"/>
      <c r="AFQ297" s="6"/>
      <c r="AFR297" s="6"/>
      <c r="AFS297" s="6"/>
      <c r="AFT297" s="6"/>
      <c r="AFU297" s="6"/>
      <c r="AFV297" s="6"/>
      <c r="AFW297" s="6"/>
      <c r="AFX297" s="6"/>
      <c r="AFY297" s="6"/>
      <c r="AFZ297" s="6"/>
      <c r="AGA297" s="6"/>
      <c r="AGB297" s="6"/>
      <c r="AGC297" s="6"/>
      <c r="AGD297" s="6"/>
      <c r="AGE297" s="6"/>
      <c r="AGF297" s="6"/>
      <c r="AGG297" s="6"/>
      <c r="AGH297" s="6"/>
      <c r="AGI297" s="6"/>
      <c r="AGJ297" s="6"/>
      <c r="AGK297" s="6"/>
      <c r="AGL297" s="6"/>
      <c r="AGM297" s="6"/>
      <c r="AGN297" s="6"/>
      <c r="AGO297" s="6"/>
      <c r="AGP297" s="6"/>
      <c r="AGQ297" s="6"/>
      <c r="AGR297" s="6"/>
      <c r="AGS297" s="6"/>
      <c r="AGT297" s="6"/>
      <c r="AGU297" s="6"/>
      <c r="AGV297" s="6"/>
      <c r="AGW297" s="6"/>
      <c r="AGX297" s="6"/>
      <c r="AGY297" s="6"/>
      <c r="AGZ297" s="6"/>
      <c r="AHA297" s="6"/>
      <c r="AHB297" s="6"/>
      <c r="AHC297" s="6"/>
      <c r="AHD297" s="6"/>
      <c r="AHE297" s="6"/>
      <c r="AHF297" s="6"/>
      <c r="AHG297" s="6"/>
      <c r="AHH297" s="6"/>
      <c r="AHI297" s="6"/>
      <c r="AHJ297" s="6"/>
      <c r="AHK297" s="6"/>
      <c r="AHL297" s="6"/>
      <c r="AHM297" s="6"/>
      <c r="AHN297" s="6"/>
      <c r="AHO297" s="6"/>
      <c r="AHP297" s="6"/>
      <c r="AHQ297" s="6"/>
      <c r="AHR297" s="6"/>
      <c r="AHS297" s="6"/>
      <c r="AHT297" s="6"/>
      <c r="AHU297" s="6"/>
      <c r="AHV297" s="6"/>
      <c r="AHW297" s="6"/>
      <c r="AHX297" s="6"/>
      <c r="AHY297" s="6"/>
      <c r="AHZ297" s="6"/>
      <c r="AIA297" s="6"/>
      <c r="AIB297" s="6"/>
      <c r="AIC297" s="6"/>
      <c r="AID297" s="6"/>
      <c r="AIE297" s="6"/>
      <c r="AIF297" s="6"/>
      <c r="AIG297" s="6"/>
      <c r="AIH297" s="6"/>
      <c r="AII297" s="6"/>
      <c r="AIJ297" s="6"/>
      <c r="AIK297" s="6"/>
      <c r="AIL297" s="6"/>
      <c r="AIM297" s="6"/>
      <c r="AIN297" s="6"/>
      <c r="AIO297" s="6"/>
      <c r="AIP297" s="6"/>
      <c r="AIQ297" s="6"/>
      <c r="AIR297" s="6"/>
      <c r="AIS297" s="6"/>
      <c r="AIT297" s="6"/>
      <c r="AIU297" s="6"/>
      <c r="AIV297" s="6"/>
      <c r="AIW297" s="6"/>
      <c r="AIX297" s="6"/>
      <c r="AIY297" s="6"/>
      <c r="AIZ297" s="6"/>
      <c r="AJA297" s="6"/>
      <c r="AJB297" s="6"/>
      <c r="AJC297" s="6"/>
      <c r="AJD297" s="6"/>
      <c r="AJE297" s="6"/>
      <c r="AJF297" s="6"/>
      <c r="AJG297" s="6"/>
      <c r="AJH297" s="6"/>
      <c r="AJI297" s="6"/>
      <c r="AJJ297" s="6"/>
      <c r="AJK297" s="6"/>
      <c r="AJL297" s="6"/>
      <c r="AJM297" s="6"/>
      <c r="AJN297" s="6"/>
      <c r="AJO297" s="6"/>
      <c r="AJP297" s="6"/>
      <c r="AJQ297" s="6"/>
      <c r="AJR297" s="6"/>
      <c r="AJS297" s="6"/>
      <c r="AJT297" s="6"/>
      <c r="AJU297" s="6"/>
      <c r="AJV297" s="6"/>
      <c r="AJW297" s="6"/>
      <c r="AJX297" s="6"/>
      <c r="AJY297" s="6"/>
      <c r="AJZ297" s="6"/>
      <c r="AKA297" s="6"/>
      <c r="AKB297" s="6"/>
      <c r="AKC297" s="6"/>
      <c r="AKD297" s="6"/>
      <c r="AKE297" s="6"/>
      <c r="AKF297" s="6"/>
      <c r="AKG297" s="6"/>
      <c r="AKH297" s="6"/>
      <c r="AKI297" s="6"/>
      <c r="AKJ297" s="6"/>
      <c r="AKK297" s="6"/>
      <c r="AKL297" s="6"/>
      <c r="AKM297" s="6"/>
      <c r="AKN297" s="6"/>
      <c r="AKO297" s="6"/>
      <c r="AKP297" s="6"/>
      <c r="AKQ297" s="6"/>
      <c r="AKR297" s="6"/>
      <c r="AKS297" s="6"/>
      <c r="AKT297" s="6"/>
      <c r="AKU297" s="6"/>
      <c r="AKV297" s="6"/>
      <c r="AKW297" s="6"/>
      <c r="AKX297" s="6"/>
      <c r="AKY297" s="6"/>
      <c r="AKZ297" s="6"/>
      <c r="ALA297" s="6"/>
      <c r="ALB297" s="6"/>
      <c r="ALC297" s="6"/>
      <c r="ALD297" s="6"/>
      <c r="ALE297" s="6"/>
      <c r="ALF297" s="6"/>
      <c r="ALG297" s="6"/>
      <c r="ALH297" s="6"/>
      <c r="ALI297" s="6"/>
      <c r="ALJ297" s="6"/>
      <c r="ALK297" s="6"/>
      <c r="ALL297" s="6"/>
      <c r="ALM297" s="6"/>
      <c r="ALN297" s="6"/>
      <c r="ALO297" s="6"/>
      <c r="ALP297" s="6"/>
      <c r="ALQ297" s="6"/>
      <c r="ALR297" s="6"/>
      <c r="ALS297" s="6"/>
      <c r="ALT297" s="6"/>
      <c r="ALU297" s="6"/>
      <c r="ALV297" s="6"/>
      <c r="ALW297" s="6"/>
      <c r="ALX297" s="6"/>
      <c r="ALY297" s="6"/>
      <c r="ALZ297" s="6"/>
      <c r="AMA297" s="6"/>
      <c r="AMB297" s="6"/>
      <c r="AMC297" s="6"/>
      <c r="AMD297" s="6"/>
      <c r="AME297" s="6"/>
      <c r="AMF297" s="6"/>
      <c r="AMG297" s="6"/>
      <c r="AMH297" s="6"/>
      <c r="AMI297" s="6"/>
      <c r="AMJ297" s="6"/>
      <c r="AMK297" s="6"/>
      <c r="AML297" s="6"/>
      <c r="AMM297" s="6"/>
      <c r="AMN297" s="6"/>
      <c r="AMO297" s="6"/>
      <c r="AMP297" s="6"/>
    </row>
    <row r="298" spans="1:1030" x14ac:dyDescent="0.2">
      <c r="A298" s="9" t="str">
        <f t="shared" si="1399"/>
        <v>ta2r_human_6IIU</v>
      </c>
      <c r="B298" s="40" t="s">
        <v>473</v>
      </c>
      <c r="C298" s="9" t="s">
        <v>1571</v>
      </c>
      <c r="D298" s="9" t="str">
        <f>IFERROR(MID(VLOOKUP($B298,Seqs!$A:$B,2,0),E298,1),"")</f>
        <v>S</v>
      </c>
      <c r="E298" s="9">
        <v>27</v>
      </c>
      <c r="F298" s="9" t="str">
        <f>IFERROR(MID(VLOOKUP($B298,Seqs!$A:$B,2,0),G298,1),"")</f>
        <v>A</v>
      </c>
      <c r="G298" s="9">
        <v>52</v>
      </c>
      <c r="H298" s="9" t="str">
        <f>IFERROR(MID(VLOOKUP($B298,Seqs!$A:$B,2,0),I298,1),"")</f>
        <v/>
      </c>
      <c r="I298" s="109" t="s">
        <v>23</v>
      </c>
      <c r="J298" s="9" t="str">
        <f>IFERROR(MID(VLOOKUP($B298,Seqs!$A:$B,2,0),K298,1),"")</f>
        <v/>
      </c>
      <c r="K298" s="109" t="s">
        <v>23</v>
      </c>
      <c r="L298" s="9" t="str">
        <f>IFERROR(MID(VLOOKUP($B298,Seqs!$A:$B,2,0),M298,1),"")</f>
        <v>S</v>
      </c>
      <c r="M298" s="9">
        <v>61</v>
      </c>
      <c r="N298" s="9" t="str">
        <f>IFERROR(MID(VLOOKUP($B298,Seqs!$A:$B,2,0),O298,1),"")</f>
        <v>A</v>
      </c>
      <c r="O298" s="9">
        <v>91</v>
      </c>
      <c r="P298" s="9" t="str">
        <f>IFERROR(MID(VLOOKUP($B298,Seqs!$A:$B,2,0),Q298,1),"")</f>
        <v>E</v>
      </c>
      <c r="Q298" s="9">
        <v>94</v>
      </c>
      <c r="R298" s="9" t="str">
        <f>IFERROR(MID(VLOOKUP($B298,Seqs!$A:$B,2,0),S298,1),"")</f>
        <v>V</v>
      </c>
      <c r="S298" s="9">
        <v>98</v>
      </c>
      <c r="T298" s="9" t="str">
        <f>IFERROR(MID(VLOOKUP($B298,Seqs!$A:$B,2,0),U298,1),"")</f>
        <v>C</v>
      </c>
      <c r="U298" s="9">
        <v>102</v>
      </c>
      <c r="V298" s="9" t="str">
        <f>IFERROR(MID(VLOOKUP($B298,Seqs!$A:$B,2,0),W298,1),"")</f>
        <v>R</v>
      </c>
      <c r="W298" s="9">
        <v>136</v>
      </c>
      <c r="X298" s="9" t="str">
        <f>IFERROR(MID(VLOOKUP($B298,Seqs!$A:$B,2,0),Y298,1),"")</f>
        <v/>
      </c>
      <c r="Y298" s="9" t="s">
        <v>23</v>
      </c>
      <c r="Z298" s="9" t="str">
        <f>IFERROR(MID(VLOOKUP($B298,Seqs!$A:$B,2,0),AA298,1),"")</f>
        <v/>
      </c>
      <c r="AA298" s="9" t="s">
        <v>23</v>
      </c>
      <c r="AB298" s="9" t="str">
        <f>IFERROR(MID(VLOOKUP($B298,Seqs!$A:$B,2,0),AC298,1),"")</f>
        <v>A</v>
      </c>
      <c r="AC298" s="9">
        <v>142</v>
      </c>
      <c r="AD298" s="9" t="str">
        <f>IFERROR(MID(VLOOKUP($B298,Seqs!$A:$B,2,0),AE298,1),"")</f>
        <v>L</v>
      </c>
      <c r="AE298" s="9">
        <v>169</v>
      </c>
      <c r="AF298" s="9" t="str">
        <f>IFERROR(MID(VLOOKUP($B298,Seqs!$A:$B,2,0),AG298,1),"")</f>
        <v>C</v>
      </c>
      <c r="AG298" s="9">
        <v>183</v>
      </c>
      <c r="AH298" s="9" t="str">
        <f>IFERROR(MID(VLOOKUP($B298,Seqs!$A:$B,2,0),AI298,1),"")</f>
        <v>L</v>
      </c>
      <c r="AI298" s="9">
        <v>185</v>
      </c>
      <c r="AJ298" s="9" t="str">
        <f>IFERROR(MID(VLOOKUP($B298,Seqs!$A:$B,2,0),AK298,1),"")</f>
        <v>E</v>
      </c>
      <c r="AK298" s="9">
        <v>190</v>
      </c>
      <c r="AL298" s="9" t="str">
        <f>IFERROR(MID(VLOOKUP($B298,Seqs!$A:$B,2,0),AM298,1),"")</f>
        <v>Y</v>
      </c>
      <c r="AM298" s="9">
        <v>226</v>
      </c>
      <c r="AN298" s="9" t="str">
        <f>IFERROR(MID(VLOOKUP($B298,Seqs!$A:$B,2,0),AO298,1),"")</f>
        <v>R</v>
      </c>
      <c r="AO298" s="9">
        <v>237</v>
      </c>
      <c r="AP298" s="9" t="str">
        <f>IFERROR(MID(VLOOKUP($B298,Seqs!$A:$B,2,0),AQ298,1),"")</f>
        <v>R</v>
      </c>
      <c r="AQ298" s="9">
        <v>271</v>
      </c>
      <c r="AR298" s="9" t="str">
        <f>IFERROR(MID(VLOOKUP($B298,Seqs!$A:$B,2,0),AS298,1),"")</f>
        <v>S</v>
      </c>
      <c r="AS298" s="9">
        <v>283</v>
      </c>
      <c r="AT298" s="9" t="str">
        <f>IFERROR(MID(VLOOKUP($B298,Seqs!$A:$B,2,0),AU298,1),"")</f>
        <v>F</v>
      </c>
      <c r="AU298" s="9">
        <v>311</v>
      </c>
      <c r="AV298" s="9" t="str">
        <f>IFERROR(MID(VLOOKUP($B298,Seqs!$A:$B,2,0),AW298,1),"")</f>
        <v>R</v>
      </c>
      <c r="AW298" s="9">
        <v>312</v>
      </c>
      <c r="AX298" s="9" t="str">
        <f>IFERROR(MID(VLOOKUP($B298,Seqs!$A:$B,2,0),AY298,1),"")</f>
        <v>Q</v>
      </c>
      <c r="AY298" s="9">
        <v>320</v>
      </c>
      <c r="AZ298" s="110" t="str">
        <f>VLOOKUP(B298,Classification!A:D,2,0)</f>
        <v>A</v>
      </c>
      <c r="BA298" s="98" t="str">
        <f>VLOOKUP(B298,Classification!A:D,4,0)</f>
        <v>Prostanoid</v>
      </c>
      <c r="BB298" s="36" t="b">
        <f t="shared" si="1400"/>
        <v>1</v>
      </c>
      <c r="BC298" s="109">
        <f t="shared" si="1401"/>
        <v>240</v>
      </c>
      <c r="BD298" s="11" t="s">
        <v>23</v>
      </c>
      <c r="BE298" s="9" t="s">
        <v>1380</v>
      </c>
      <c r="BF298" s="120">
        <v>2.5</v>
      </c>
      <c r="BG298" s="51" t="s">
        <v>1</v>
      </c>
      <c r="BH298" s="51" t="s">
        <v>1</v>
      </c>
      <c r="BI298" s="12"/>
      <c r="BJ298" s="111" t="s">
        <v>1293</v>
      </c>
      <c r="BK298" s="112" t="s">
        <v>1293</v>
      </c>
      <c r="BL298" s="112" t="s">
        <v>1293</v>
      </c>
      <c r="BM298" s="112" t="s">
        <v>1293</v>
      </c>
      <c r="BN298" s="112" t="s">
        <v>1293</v>
      </c>
      <c r="BO298" s="112" t="s">
        <v>1293</v>
      </c>
      <c r="BP298" s="112" t="s">
        <v>1293</v>
      </c>
      <c r="BQ298" s="112" t="s">
        <v>1293</v>
      </c>
      <c r="BR298" s="112" t="s">
        <v>1293</v>
      </c>
      <c r="BS298" s="112" t="s">
        <v>1293</v>
      </c>
      <c r="BT298" s="112" t="s">
        <v>1293</v>
      </c>
      <c r="BU298" s="112" t="s">
        <v>1293</v>
      </c>
      <c r="BV298" s="111">
        <f t="shared" si="1402"/>
        <v>27</v>
      </c>
      <c r="BW298" s="113" t="str">
        <f t="shared" si="1403"/>
        <v>-</v>
      </c>
      <c r="BX298" s="114">
        <f t="shared" si="1404"/>
        <v>61</v>
      </c>
      <c r="BY298" s="113">
        <f t="shared" si="1405"/>
        <v>94</v>
      </c>
      <c r="BZ298" s="114">
        <f t="shared" si="1406"/>
        <v>102</v>
      </c>
      <c r="CA298" s="113" t="str">
        <f t="shared" si="1407"/>
        <v>-</v>
      </c>
      <c r="CB298" s="114">
        <f t="shared" si="1408"/>
        <v>142</v>
      </c>
      <c r="CC298" s="113">
        <f t="shared" si="1409"/>
        <v>183</v>
      </c>
      <c r="CD298" s="114">
        <f t="shared" si="1410"/>
        <v>190</v>
      </c>
      <c r="CE298" s="113">
        <f t="shared" si="1411"/>
        <v>237</v>
      </c>
      <c r="CF298" s="114">
        <f t="shared" si="1412"/>
        <v>283</v>
      </c>
      <c r="CG298" s="113">
        <f t="shared" si="1413"/>
        <v>312</v>
      </c>
      <c r="CH298" s="111">
        <f t="shared" si="1414"/>
        <v>52</v>
      </c>
      <c r="CI298" s="113" t="str">
        <f t="shared" si="1415"/>
        <v>-</v>
      </c>
      <c r="CJ298" s="114">
        <f t="shared" si="1416"/>
        <v>91</v>
      </c>
      <c r="CK298" s="114">
        <f t="shared" si="1417"/>
        <v>98</v>
      </c>
      <c r="CL298" s="114">
        <f t="shared" si="1418"/>
        <v>136</v>
      </c>
      <c r="CM298" s="114" t="str">
        <f t="shared" si="1419"/>
        <v>-</v>
      </c>
      <c r="CN298" s="114">
        <f t="shared" si="1420"/>
        <v>169</v>
      </c>
      <c r="CO298" s="114">
        <f t="shared" si="1421"/>
        <v>185</v>
      </c>
      <c r="CP298" s="114">
        <f t="shared" si="1422"/>
        <v>226</v>
      </c>
      <c r="CQ298" s="114">
        <f t="shared" si="1423"/>
        <v>271</v>
      </c>
      <c r="CR298" s="114">
        <f t="shared" si="1424"/>
        <v>311</v>
      </c>
      <c r="CS298" s="114">
        <f t="shared" si="1425"/>
        <v>320</v>
      </c>
      <c r="CT298" s="109" t="e">
        <f t="shared" si="1426"/>
        <v>#VALUE!</v>
      </c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"/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6"/>
      <c r="KE298" s="6"/>
      <c r="KF298" s="6"/>
      <c r="KG298" s="6"/>
      <c r="KH298" s="6"/>
      <c r="KI298" s="6"/>
      <c r="KJ298" s="6"/>
      <c r="KK298" s="6"/>
      <c r="KL298" s="6"/>
      <c r="KM298" s="6"/>
      <c r="KN298" s="6"/>
      <c r="KO298" s="6"/>
      <c r="KP298" s="6"/>
      <c r="KQ298" s="6"/>
      <c r="KR298" s="6"/>
      <c r="KS298" s="6"/>
      <c r="KT298" s="6"/>
      <c r="KU298" s="6"/>
      <c r="KV298" s="6"/>
      <c r="KW298" s="6"/>
      <c r="KX298" s="6"/>
      <c r="KY298" s="6"/>
      <c r="KZ298" s="6"/>
      <c r="LA298" s="6"/>
      <c r="LB298" s="6"/>
      <c r="LC298" s="6"/>
      <c r="LD298" s="6"/>
      <c r="LE298" s="6"/>
      <c r="LF298" s="6"/>
      <c r="LG298" s="6"/>
      <c r="LH298" s="6"/>
      <c r="LI298" s="6"/>
      <c r="LJ298" s="6"/>
      <c r="LK298" s="6"/>
      <c r="LL298" s="6"/>
      <c r="LM298" s="6"/>
      <c r="LN298" s="6"/>
      <c r="LO298" s="6"/>
      <c r="LP298" s="6"/>
      <c r="LQ298" s="6"/>
      <c r="LR298" s="6"/>
      <c r="LS298" s="6"/>
      <c r="LT298" s="6"/>
      <c r="LU298" s="6"/>
      <c r="LV298" s="6"/>
      <c r="LW298" s="6"/>
      <c r="LX298" s="6"/>
      <c r="LY298" s="6"/>
      <c r="LZ298" s="6"/>
      <c r="MA298" s="6"/>
      <c r="MB298" s="6"/>
      <c r="MC298" s="6"/>
      <c r="MD298" s="6"/>
      <c r="ME298" s="6"/>
      <c r="MF298" s="6"/>
      <c r="MG298" s="6"/>
      <c r="MH298" s="6"/>
      <c r="MI298" s="6"/>
      <c r="MJ298" s="6"/>
      <c r="MK298" s="6"/>
      <c r="ML298" s="6"/>
      <c r="MM298" s="6"/>
      <c r="MN298" s="6"/>
      <c r="MO298" s="6"/>
      <c r="MP298" s="6"/>
      <c r="MQ298" s="6"/>
      <c r="MR298" s="6"/>
      <c r="MS298" s="6"/>
      <c r="MT298" s="6"/>
      <c r="MU298" s="6"/>
      <c r="MV298" s="6"/>
      <c r="MW298" s="6"/>
      <c r="MX298" s="6"/>
      <c r="MY298" s="6"/>
      <c r="MZ298" s="6"/>
      <c r="NA298" s="6"/>
      <c r="NB298" s="6"/>
      <c r="NC298" s="6"/>
      <c r="ND298" s="6"/>
      <c r="NE298" s="6"/>
      <c r="NF298" s="6"/>
      <c r="NG298" s="6"/>
      <c r="NH298" s="6"/>
      <c r="NI298" s="6"/>
      <c r="NJ298" s="6"/>
      <c r="NK298" s="6"/>
      <c r="NL298" s="6"/>
      <c r="NM298" s="6"/>
      <c r="NN298" s="6"/>
      <c r="NO298" s="6"/>
      <c r="NP298" s="6"/>
      <c r="NQ298" s="6"/>
      <c r="NR298" s="6"/>
      <c r="NS298" s="6"/>
      <c r="NT298" s="6"/>
      <c r="NU298" s="6"/>
      <c r="NV298" s="6"/>
      <c r="NW298" s="6"/>
      <c r="NX298" s="6"/>
      <c r="NY298" s="6"/>
      <c r="NZ298" s="6"/>
      <c r="OA298" s="6"/>
      <c r="OB298" s="6"/>
      <c r="OC298" s="6"/>
      <c r="OD298" s="6"/>
      <c r="OE298" s="6"/>
      <c r="OF298" s="6"/>
      <c r="OG298" s="6"/>
      <c r="OH298" s="6"/>
      <c r="OI298" s="6"/>
      <c r="OJ298" s="6"/>
      <c r="OK298" s="6"/>
      <c r="OL298" s="6"/>
      <c r="OM298" s="6"/>
      <c r="ON298" s="6"/>
      <c r="OO298" s="6"/>
      <c r="OP298" s="6"/>
      <c r="OQ298" s="6"/>
      <c r="OR298" s="6"/>
      <c r="OS298" s="6"/>
      <c r="OT298" s="6"/>
      <c r="OU298" s="6"/>
      <c r="OV298" s="6"/>
      <c r="OW298" s="6"/>
      <c r="OX298" s="6"/>
      <c r="OY298" s="6"/>
      <c r="OZ298" s="6"/>
      <c r="PA298" s="6"/>
      <c r="PB298" s="6"/>
      <c r="PC298" s="6"/>
      <c r="PD298" s="6"/>
      <c r="PE298" s="6"/>
      <c r="PF298" s="6"/>
      <c r="PG298" s="6"/>
      <c r="PH298" s="6"/>
      <c r="PI298" s="6"/>
      <c r="PJ298" s="6"/>
      <c r="PK298" s="6"/>
      <c r="PL298" s="6"/>
      <c r="PM298" s="6"/>
      <c r="PN298" s="6"/>
      <c r="PO298" s="6"/>
      <c r="PP298" s="6"/>
      <c r="PQ298" s="6"/>
      <c r="PR298" s="6"/>
      <c r="PS298" s="6"/>
      <c r="PT298" s="6"/>
      <c r="PU298" s="6"/>
      <c r="PV298" s="6"/>
      <c r="PW298" s="6"/>
      <c r="PX298" s="6"/>
      <c r="PY298" s="6"/>
      <c r="PZ298" s="6"/>
      <c r="QA298" s="6"/>
      <c r="QB298" s="6"/>
      <c r="QC298" s="6"/>
      <c r="QD298" s="6"/>
      <c r="QE298" s="6"/>
      <c r="QF298" s="6"/>
      <c r="QG298" s="6"/>
      <c r="QH298" s="6"/>
      <c r="QI298" s="6"/>
      <c r="QJ298" s="6"/>
      <c r="QK298" s="6"/>
      <c r="QL298" s="6"/>
      <c r="QM298" s="6"/>
      <c r="QN298" s="6"/>
      <c r="QO298" s="6"/>
      <c r="QP298" s="6"/>
      <c r="QQ298" s="6"/>
      <c r="QR298" s="6"/>
      <c r="QS298" s="6"/>
      <c r="QT298" s="6"/>
      <c r="QU298" s="6"/>
      <c r="QV298" s="6"/>
      <c r="QW298" s="6"/>
      <c r="QX298" s="6"/>
      <c r="QY298" s="6"/>
      <c r="QZ298" s="6"/>
      <c r="RA298" s="6"/>
      <c r="RB298" s="6"/>
      <c r="RC298" s="6"/>
      <c r="RD298" s="6"/>
      <c r="RE298" s="6"/>
      <c r="RF298" s="6"/>
      <c r="RG298" s="6"/>
      <c r="RH298" s="6"/>
      <c r="RI298" s="6"/>
      <c r="RJ298" s="6"/>
      <c r="RK298" s="6"/>
      <c r="RL298" s="6"/>
      <c r="RM298" s="6"/>
      <c r="RN298" s="6"/>
      <c r="RO298" s="6"/>
      <c r="RP298" s="6"/>
      <c r="RQ298" s="6"/>
      <c r="RR298" s="6"/>
      <c r="RS298" s="6"/>
      <c r="RT298" s="6"/>
      <c r="RU298" s="6"/>
      <c r="RV298" s="6"/>
      <c r="RW298" s="6"/>
      <c r="RX298" s="6"/>
      <c r="RY298" s="6"/>
      <c r="RZ298" s="6"/>
      <c r="SA298" s="6"/>
      <c r="SB298" s="6"/>
      <c r="SC298" s="6"/>
      <c r="SD298" s="6"/>
      <c r="SE298" s="6"/>
      <c r="SF298" s="6"/>
      <c r="SG298" s="6"/>
      <c r="SH298" s="6"/>
      <c r="SI298" s="6"/>
      <c r="SJ298" s="6"/>
      <c r="SK298" s="6"/>
      <c r="SL298" s="6"/>
      <c r="SM298" s="6"/>
      <c r="SN298" s="6"/>
      <c r="SO298" s="6"/>
      <c r="SP298" s="6"/>
      <c r="SQ298" s="6"/>
      <c r="SR298" s="6"/>
      <c r="SS298" s="6"/>
      <c r="ST298" s="6"/>
      <c r="SU298" s="6"/>
      <c r="SV298" s="6"/>
      <c r="SW298" s="6"/>
      <c r="SX298" s="6"/>
      <c r="SY298" s="6"/>
      <c r="SZ298" s="6"/>
      <c r="TA298" s="6"/>
      <c r="TB298" s="6"/>
      <c r="TC298" s="6"/>
      <c r="TD298" s="6"/>
      <c r="TE298" s="6"/>
      <c r="TF298" s="6"/>
      <c r="TG298" s="6"/>
      <c r="TH298" s="6"/>
      <c r="TI298" s="6"/>
      <c r="TJ298" s="6"/>
      <c r="TK298" s="6"/>
      <c r="TL298" s="6"/>
      <c r="TM298" s="6"/>
      <c r="TN298" s="6"/>
      <c r="TO298" s="6"/>
      <c r="TP298" s="6"/>
      <c r="TQ298" s="6"/>
      <c r="TR298" s="6"/>
      <c r="TS298" s="6"/>
      <c r="TT298" s="6"/>
      <c r="TU298" s="6"/>
      <c r="TV298" s="6"/>
      <c r="TW298" s="6"/>
      <c r="TX298" s="6"/>
      <c r="TY298" s="6"/>
      <c r="TZ298" s="6"/>
      <c r="UA298" s="6"/>
      <c r="UB298" s="6"/>
      <c r="UC298" s="6"/>
      <c r="UD298" s="6"/>
      <c r="UE298" s="6"/>
      <c r="UF298" s="6"/>
      <c r="UG298" s="6"/>
      <c r="UH298" s="6"/>
      <c r="UI298" s="6"/>
      <c r="UJ298" s="6"/>
      <c r="UK298" s="6"/>
      <c r="UL298" s="6"/>
      <c r="UM298" s="6"/>
      <c r="UN298" s="6"/>
      <c r="UO298" s="6"/>
      <c r="UP298" s="6"/>
      <c r="UQ298" s="6"/>
      <c r="UR298" s="6"/>
      <c r="US298" s="6"/>
      <c r="UT298" s="6"/>
      <c r="UU298" s="6"/>
      <c r="UV298" s="6"/>
      <c r="UW298" s="6"/>
      <c r="UX298" s="6"/>
      <c r="UY298" s="6"/>
      <c r="UZ298" s="6"/>
      <c r="VA298" s="6"/>
      <c r="VB298" s="6"/>
      <c r="VC298" s="6"/>
      <c r="VD298" s="6"/>
      <c r="VE298" s="6"/>
      <c r="VF298" s="6"/>
      <c r="VG298" s="6"/>
      <c r="VH298" s="6"/>
      <c r="VI298" s="6"/>
      <c r="VJ298" s="6"/>
      <c r="VK298" s="6"/>
      <c r="VL298" s="6"/>
      <c r="VM298" s="6"/>
      <c r="VN298" s="6"/>
      <c r="VO298" s="6"/>
      <c r="VP298" s="6"/>
      <c r="VQ298" s="6"/>
      <c r="VR298" s="6"/>
      <c r="VS298" s="6"/>
      <c r="VT298" s="6"/>
      <c r="VU298" s="6"/>
      <c r="VV298" s="6"/>
      <c r="VW298" s="6"/>
      <c r="VX298" s="6"/>
      <c r="VY298" s="6"/>
      <c r="VZ298" s="6"/>
      <c r="WA298" s="6"/>
      <c r="WB298" s="6"/>
      <c r="WC298" s="6"/>
      <c r="WD298" s="6"/>
      <c r="WE298" s="6"/>
      <c r="WF298" s="6"/>
      <c r="WG298" s="6"/>
      <c r="WH298" s="6"/>
      <c r="WI298" s="6"/>
      <c r="WJ298" s="6"/>
      <c r="WK298" s="6"/>
      <c r="WL298" s="6"/>
      <c r="WM298" s="6"/>
      <c r="WN298" s="6"/>
      <c r="WO298" s="6"/>
      <c r="WP298" s="6"/>
      <c r="WQ298" s="6"/>
      <c r="WR298" s="6"/>
      <c r="WS298" s="6"/>
      <c r="WT298" s="6"/>
      <c r="WU298" s="6"/>
      <c r="WV298" s="6"/>
      <c r="WW298" s="6"/>
      <c r="WX298" s="6"/>
      <c r="WY298" s="6"/>
      <c r="WZ298" s="6"/>
      <c r="XA298" s="6"/>
      <c r="XB298" s="6"/>
      <c r="XC298" s="6"/>
      <c r="XD298" s="6"/>
      <c r="XE298" s="6"/>
      <c r="XF298" s="6"/>
      <c r="XG298" s="6"/>
      <c r="XH298" s="6"/>
      <c r="XI298" s="6"/>
      <c r="XJ298" s="6"/>
      <c r="XK298" s="6"/>
      <c r="XL298" s="6"/>
      <c r="XM298" s="6"/>
      <c r="XN298" s="6"/>
      <c r="XO298" s="6"/>
      <c r="XP298" s="6"/>
      <c r="XQ298" s="6"/>
      <c r="XR298" s="6"/>
      <c r="XS298" s="6"/>
      <c r="XT298" s="6"/>
      <c r="XU298" s="6"/>
      <c r="XV298" s="6"/>
      <c r="XW298" s="6"/>
      <c r="XX298" s="6"/>
      <c r="XY298" s="6"/>
      <c r="XZ298" s="6"/>
      <c r="YA298" s="6"/>
      <c r="YB298" s="6"/>
      <c r="YC298" s="6"/>
      <c r="YD298" s="6"/>
      <c r="YE298" s="6"/>
      <c r="YF298" s="6"/>
      <c r="YG298" s="6"/>
      <c r="YH298" s="6"/>
      <c r="YI298" s="6"/>
      <c r="YJ298" s="6"/>
      <c r="YK298" s="6"/>
      <c r="YL298" s="6"/>
      <c r="YM298" s="6"/>
      <c r="YN298" s="6"/>
      <c r="YO298" s="6"/>
      <c r="YP298" s="6"/>
      <c r="YQ298" s="6"/>
      <c r="YR298" s="6"/>
      <c r="YS298" s="6"/>
      <c r="YT298" s="6"/>
      <c r="YU298" s="6"/>
      <c r="YV298" s="6"/>
      <c r="YW298" s="6"/>
      <c r="YX298" s="6"/>
      <c r="YY298" s="6"/>
      <c r="YZ298" s="6"/>
      <c r="ZA298" s="6"/>
      <c r="ZB298" s="6"/>
      <c r="ZC298" s="6"/>
      <c r="ZD298" s="6"/>
      <c r="ZE298" s="6"/>
      <c r="ZF298" s="6"/>
      <c r="ZG298" s="6"/>
      <c r="ZH298" s="6"/>
      <c r="ZI298" s="6"/>
      <c r="ZJ298" s="6"/>
      <c r="ZK298" s="6"/>
      <c r="ZL298" s="6"/>
      <c r="ZM298" s="6"/>
      <c r="ZN298" s="6"/>
      <c r="ZO298" s="6"/>
      <c r="ZP298" s="6"/>
      <c r="ZQ298" s="6"/>
      <c r="ZR298" s="6"/>
      <c r="ZS298" s="6"/>
      <c r="ZT298" s="6"/>
      <c r="ZU298" s="6"/>
      <c r="ZV298" s="6"/>
      <c r="ZW298" s="6"/>
      <c r="ZX298" s="6"/>
      <c r="ZY298" s="6"/>
      <c r="ZZ298" s="6"/>
      <c r="AAA298" s="6"/>
      <c r="AAB298" s="6"/>
      <c r="AAC298" s="6"/>
      <c r="AAD298" s="6"/>
      <c r="AAE298" s="6"/>
      <c r="AAF298" s="6"/>
      <c r="AAG298" s="6"/>
      <c r="AAH298" s="6"/>
      <c r="AAI298" s="6"/>
      <c r="AAJ298" s="6"/>
      <c r="AAK298" s="6"/>
      <c r="AAL298" s="6"/>
      <c r="AAM298" s="6"/>
      <c r="AAN298" s="6"/>
      <c r="AAO298" s="6"/>
      <c r="AAP298" s="6"/>
      <c r="AAQ298" s="6"/>
      <c r="AAR298" s="6"/>
      <c r="AAS298" s="6"/>
      <c r="AAT298" s="6"/>
      <c r="AAU298" s="6"/>
      <c r="AAV298" s="6"/>
      <c r="AAW298" s="6"/>
      <c r="AAX298" s="6"/>
      <c r="AAY298" s="6"/>
      <c r="AAZ298" s="6"/>
      <c r="ABA298" s="6"/>
      <c r="ABB298" s="6"/>
      <c r="ABC298" s="6"/>
      <c r="ABD298" s="6"/>
      <c r="ABE298" s="6"/>
      <c r="ABF298" s="6"/>
      <c r="ABG298" s="6"/>
      <c r="ABH298" s="6"/>
      <c r="ABI298" s="6"/>
      <c r="ABJ298" s="6"/>
      <c r="ABK298" s="6"/>
      <c r="ABL298" s="6"/>
      <c r="ABM298" s="6"/>
      <c r="ABN298" s="6"/>
      <c r="ABO298" s="6"/>
      <c r="ABP298" s="6"/>
      <c r="ABQ298" s="6"/>
      <c r="ABR298" s="6"/>
      <c r="ABS298" s="6"/>
      <c r="ABT298" s="6"/>
      <c r="ABU298" s="6"/>
      <c r="ABV298" s="6"/>
      <c r="ABW298" s="6"/>
      <c r="ABX298" s="6"/>
      <c r="ABY298" s="6"/>
      <c r="ABZ298" s="6"/>
      <c r="ACA298" s="6"/>
      <c r="ACB298" s="6"/>
      <c r="ACC298" s="6"/>
      <c r="ACD298" s="6"/>
      <c r="ACE298" s="6"/>
      <c r="ACF298" s="6"/>
      <c r="ACG298" s="6"/>
      <c r="ACH298" s="6"/>
      <c r="ACI298" s="6"/>
      <c r="ACJ298" s="6"/>
      <c r="ACK298" s="6"/>
      <c r="ACL298" s="6"/>
      <c r="ACM298" s="6"/>
      <c r="ACN298" s="6"/>
      <c r="ACO298" s="6"/>
      <c r="ACP298" s="6"/>
      <c r="ACQ298" s="6"/>
      <c r="ACR298" s="6"/>
      <c r="ACS298" s="6"/>
      <c r="ACT298" s="6"/>
      <c r="ACU298" s="6"/>
      <c r="ACV298" s="6"/>
      <c r="ACW298" s="6"/>
      <c r="ACX298" s="6"/>
      <c r="ACY298" s="6"/>
      <c r="ACZ298" s="6"/>
      <c r="ADA298" s="6"/>
      <c r="ADB298" s="6"/>
      <c r="ADC298" s="6"/>
      <c r="ADD298" s="6"/>
      <c r="ADE298" s="6"/>
      <c r="ADF298" s="6"/>
      <c r="ADG298" s="6"/>
      <c r="ADH298" s="6"/>
      <c r="ADI298" s="6"/>
      <c r="ADJ298" s="6"/>
      <c r="ADK298" s="6"/>
      <c r="ADL298" s="6"/>
      <c r="ADM298" s="6"/>
      <c r="ADN298" s="6"/>
      <c r="ADO298" s="6"/>
      <c r="ADP298" s="6"/>
      <c r="ADQ298" s="6"/>
      <c r="ADR298" s="6"/>
      <c r="ADS298" s="6"/>
      <c r="ADT298" s="6"/>
      <c r="ADU298" s="6"/>
      <c r="ADV298" s="6"/>
      <c r="ADW298" s="6"/>
      <c r="ADX298" s="6"/>
      <c r="ADY298" s="6"/>
      <c r="ADZ298" s="6"/>
      <c r="AEA298" s="6"/>
      <c r="AEB298" s="6"/>
      <c r="AEC298" s="6"/>
      <c r="AED298" s="6"/>
      <c r="AEE298" s="6"/>
      <c r="AEF298" s="6"/>
      <c r="AEG298" s="6"/>
      <c r="AEH298" s="6"/>
      <c r="AEI298" s="6"/>
      <c r="AEJ298" s="6"/>
      <c r="AEK298" s="6"/>
      <c r="AEL298" s="6"/>
      <c r="AEM298" s="6"/>
      <c r="AEN298" s="6"/>
      <c r="AEO298" s="6"/>
      <c r="AEP298" s="6"/>
      <c r="AEQ298" s="6"/>
      <c r="AER298" s="6"/>
      <c r="AES298" s="6"/>
      <c r="AET298" s="6"/>
      <c r="AEU298" s="6"/>
      <c r="AEV298" s="6"/>
      <c r="AEW298" s="6"/>
      <c r="AEX298" s="6"/>
      <c r="AEY298" s="6"/>
      <c r="AEZ298" s="6"/>
      <c r="AFA298" s="6"/>
      <c r="AFB298" s="6"/>
      <c r="AFC298" s="6"/>
      <c r="AFD298" s="6"/>
      <c r="AFE298" s="6"/>
      <c r="AFF298" s="6"/>
      <c r="AFG298" s="6"/>
      <c r="AFH298" s="6"/>
      <c r="AFI298" s="6"/>
      <c r="AFJ298" s="6"/>
      <c r="AFK298" s="6"/>
      <c r="AFL298" s="6"/>
      <c r="AFM298" s="6"/>
      <c r="AFN298" s="6"/>
      <c r="AFO298" s="6"/>
      <c r="AFP298" s="6"/>
      <c r="AFQ298" s="6"/>
      <c r="AFR298" s="6"/>
      <c r="AFS298" s="6"/>
      <c r="AFT298" s="6"/>
      <c r="AFU298" s="6"/>
      <c r="AFV298" s="6"/>
      <c r="AFW298" s="6"/>
      <c r="AFX298" s="6"/>
      <c r="AFY298" s="6"/>
      <c r="AFZ298" s="6"/>
      <c r="AGA298" s="6"/>
      <c r="AGB298" s="6"/>
      <c r="AGC298" s="6"/>
      <c r="AGD298" s="6"/>
      <c r="AGE298" s="6"/>
      <c r="AGF298" s="6"/>
      <c r="AGG298" s="6"/>
      <c r="AGH298" s="6"/>
      <c r="AGI298" s="6"/>
      <c r="AGJ298" s="6"/>
      <c r="AGK298" s="6"/>
      <c r="AGL298" s="6"/>
      <c r="AGM298" s="6"/>
      <c r="AGN298" s="6"/>
      <c r="AGO298" s="6"/>
      <c r="AGP298" s="6"/>
      <c r="AGQ298" s="6"/>
      <c r="AGR298" s="6"/>
      <c r="AGS298" s="6"/>
      <c r="AGT298" s="6"/>
      <c r="AGU298" s="6"/>
      <c r="AGV298" s="6"/>
      <c r="AGW298" s="6"/>
      <c r="AGX298" s="6"/>
      <c r="AGY298" s="6"/>
      <c r="AGZ298" s="6"/>
      <c r="AHA298" s="6"/>
      <c r="AHB298" s="6"/>
      <c r="AHC298" s="6"/>
      <c r="AHD298" s="6"/>
      <c r="AHE298" s="6"/>
      <c r="AHF298" s="6"/>
      <c r="AHG298" s="6"/>
      <c r="AHH298" s="6"/>
      <c r="AHI298" s="6"/>
      <c r="AHJ298" s="6"/>
      <c r="AHK298" s="6"/>
      <c r="AHL298" s="6"/>
      <c r="AHM298" s="6"/>
      <c r="AHN298" s="6"/>
      <c r="AHO298" s="6"/>
      <c r="AHP298" s="6"/>
      <c r="AHQ298" s="6"/>
      <c r="AHR298" s="6"/>
      <c r="AHS298" s="6"/>
      <c r="AHT298" s="6"/>
      <c r="AHU298" s="6"/>
      <c r="AHV298" s="6"/>
      <c r="AHW298" s="6"/>
      <c r="AHX298" s="6"/>
      <c r="AHY298" s="6"/>
      <c r="AHZ298" s="6"/>
      <c r="AIA298" s="6"/>
      <c r="AIB298" s="6"/>
      <c r="AIC298" s="6"/>
      <c r="AID298" s="6"/>
      <c r="AIE298" s="6"/>
      <c r="AIF298" s="6"/>
      <c r="AIG298" s="6"/>
      <c r="AIH298" s="6"/>
      <c r="AII298" s="6"/>
      <c r="AIJ298" s="6"/>
      <c r="AIK298" s="6"/>
      <c r="AIL298" s="6"/>
      <c r="AIM298" s="6"/>
      <c r="AIN298" s="6"/>
      <c r="AIO298" s="6"/>
      <c r="AIP298" s="6"/>
      <c r="AIQ298" s="6"/>
      <c r="AIR298" s="6"/>
      <c r="AIS298" s="6"/>
      <c r="AIT298" s="6"/>
      <c r="AIU298" s="6"/>
      <c r="AIV298" s="6"/>
      <c r="AIW298" s="6"/>
      <c r="AIX298" s="6"/>
      <c r="AIY298" s="6"/>
      <c r="AIZ298" s="6"/>
      <c r="AJA298" s="6"/>
      <c r="AJB298" s="6"/>
      <c r="AJC298" s="6"/>
      <c r="AJD298" s="6"/>
      <c r="AJE298" s="6"/>
      <c r="AJF298" s="6"/>
      <c r="AJG298" s="6"/>
      <c r="AJH298" s="6"/>
      <c r="AJI298" s="6"/>
      <c r="AJJ298" s="6"/>
      <c r="AJK298" s="6"/>
      <c r="AJL298" s="6"/>
      <c r="AJM298" s="6"/>
      <c r="AJN298" s="6"/>
      <c r="AJO298" s="6"/>
      <c r="AJP298" s="6"/>
      <c r="AJQ298" s="6"/>
      <c r="AJR298" s="6"/>
      <c r="AJS298" s="6"/>
      <c r="AJT298" s="6"/>
      <c r="AJU298" s="6"/>
      <c r="AJV298" s="6"/>
      <c r="AJW298" s="6"/>
      <c r="AJX298" s="6"/>
      <c r="AJY298" s="6"/>
      <c r="AJZ298" s="6"/>
      <c r="AKA298" s="6"/>
      <c r="AKB298" s="6"/>
      <c r="AKC298" s="6"/>
      <c r="AKD298" s="6"/>
      <c r="AKE298" s="6"/>
      <c r="AKF298" s="6"/>
      <c r="AKG298" s="6"/>
      <c r="AKH298" s="6"/>
      <c r="AKI298" s="6"/>
      <c r="AKJ298" s="6"/>
      <c r="AKK298" s="6"/>
      <c r="AKL298" s="6"/>
      <c r="AKM298" s="6"/>
      <c r="AKN298" s="6"/>
      <c r="AKO298" s="6"/>
      <c r="AKP298" s="6"/>
      <c r="AKQ298" s="6"/>
      <c r="AKR298" s="6"/>
      <c r="AKS298" s="6"/>
      <c r="AKT298" s="6"/>
      <c r="AKU298" s="6"/>
      <c r="AKV298" s="6"/>
      <c r="AKW298" s="6"/>
      <c r="AKX298" s="6"/>
      <c r="AKY298" s="6"/>
      <c r="AKZ298" s="6"/>
      <c r="ALA298" s="6"/>
      <c r="ALB298" s="6"/>
      <c r="ALC298" s="6"/>
      <c r="ALD298" s="6"/>
      <c r="ALE298" s="6"/>
      <c r="ALF298" s="6"/>
      <c r="ALG298" s="6"/>
      <c r="ALH298" s="6"/>
      <c r="ALI298" s="6"/>
      <c r="ALJ298" s="6"/>
      <c r="ALK298" s="6"/>
      <c r="ALL298" s="6"/>
      <c r="ALM298" s="6"/>
      <c r="ALN298" s="6"/>
      <c r="ALO298" s="6"/>
      <c r="ALP298" s="6"/>
      <c r="ALQ298" s="6"/>
      <c r="ALR298" s="6"/>
      <c r="ALS298" s="6"/>
      <c r="ALT298" s="6"/>
      <c r="ALU298" s="6"/>
      <c r="ALV298" s="6"/>
      <c r="ALW298" s="6"/>
      <c r="ALX298" s="6"/>
      <c r="ALY298" s="6"/>
      <c r="ALZ298" s="6"/>
      <c r="AMA298" s="6"/>
      <c r="AMB298" s="6"/>
      <c r="AMC298" s="6"/>
      <c r="AMD298" s="6"/>
      <c r="AME298" s="6"/>
      <c r="AMF298" s="6"/>
      <c r="AMG298" s="6"/>
      <c r="AMH298" s="6"/>
      <c r="AMI298" s="6"/>
      <c r="AMJ298" s="6"/>
      <c r="AMK298" s="6"/>
      <c r="AML298" s="6"/>
      <c r="AMM298" s="6"/>
      <c r="AMN298" s="6"/>
      <c r="AMO298" s="6"/>
      <c r="AMP298" s="6"/>
    </row>
    <row r="299" spans="1:1030" x14ac:dyDescent="0.2">
      <c r="A299" s="9" t="str">
        <f t="shared" ref="A299" si="1427">CONCATENATE(B299,"_",C299)</f>
        <v>ta2r_human_6IIV</v>
      </c>
      <c r="B299" s="40" t="s">
        <v>473</v>
      </c>
      <c r="C299" s="9" t="s">
        <v>1573</v>
      </c>
      <c r="D299" s="9" t="str">
        <f>IFERROR(MID(VLOOKUP($B299,Seqs!$A:$B,2,0),E299,1),"")</f>
        <v>S</v>
      </c>
      <c r="E299" s="9">
        <v>27</v>
      </c>
      <c r="F299" s="9" t="str">
        <f>IFERROR(MID(VLOOKUP($B299,Seqs!$A:$B,2,0),G299,1),"")</f>
        <v>R</v>
      </c>
      <c r="G299" s="9">
        <v>53</v>
      </c>
      <c r="H299" s="9" t="str">
        <f>IFERROR(MID(VLOOKUP($B299,Seqs!$A:$B,2,0),I299,1),"")</f>
        <v/>
      </c>
      <c r="I299" s="109" t="s">
        <v>23</v>
      </c>
      <c r="J299" s="9" t="str">
        <f>IFERROR(MID(VLOOKUP($B299,Seqs!$A:$B,2,0),K299,1),"")</f>
        <v/>
      </c>
      <c r="K299" s="109" t="s">
        <v>23</v>
      </c>
      <c r="L299" s="9" t="str">
        <f>IFERROR(MID(VLOOKUP($B299,Seqs!$A:$B,2,0),M299,1),"")</f>
        <v>S</v>
      </c>
      <c r="M299" s="9">
        <v>61</v>
      </c>
      <c r="N299" s="9" t="str">
        <f>IFERROR(MID(VLOOKUP($B299,Seqs!$A:$B,2,0),O299,1),"")</f>
        <v>A</v>
      </c>
      <c r="O299" s="9">
        <v>91</v>
      </c>
      <c r="P299" s="9" t="str">
        <f>IFERROR(MID(VLOOKUP($B299,Seqs!$A:$B,2,0),Q299,1),"")</f>
        <v>E</v>
      </c>
      <c r="Q299" s="9">
        <v>94</v>
      </c>
      <c r="R299" s="9" t="str">
        <f>IFERROR(MID(VLOOKUP($B299,Seqs!$A:$B,2,0),S299,1),"")</f>
        <v>V</v>
      </c>
      <c r="S299" s="9">
        <v>98</v>
      </c>
      <c r="T299" s="9" t="str">
        <f>IFERROR(MID(VLOOKUP($B299,Seqs!$A:$B,2,0),U299,1),"")</f>
        <v>C</v>
      </c>
      <c r="U299" s="9">
        <v>102</v>
      </c>
      <c r="V299" s="9" t="str">
        <f>IFERROR(MID(VLOOKUP($B299,Seqs!$A:$B,2,0),W299,1),"")</f>
        <v>R</v>
      </c>
      <c r="W299" s="9">
        <v>136</v>
      </c>
      <c r="X299" s="9" t="str">
        <f>IFERROR(MID(VLOOKUP($B299,Seqs!$A:$B,2,0),Y299,1),"")</f>
        <v/>
      </c>
      <c r="Y299" s="9" t="s">
        <v>23</v>
      </c>
      <c r="Z299" s="9" t="str">
        <f>IFERROR(MID(VLOOKUP($B299,Seqs!$A:$B,2,0),AA299,1),"")</f>
        <v/>
      </c>
      <c r="AA299" s="9" t="s">
        <v>23</v>
      </c>
      <c r="AB299" s="9" t="str">
        <f>IFERROR(MID(VLOOKUP($B299,Seqs!$A:$B,2,0),AC299,1),"")</f>
        <v>P</v>
      </c>
      <c r="AC299" s="9">
        <v>141</v>
      </c>
      <c r="AD299" s="9" t="str">
        <f>IFERROR(MID(VLOOKUP($B299,Seqs!$A:$B,2,0),AE299,1),"")</f>
        <v>G</v>
      </c>
      <c r="AE299" s="9">
        <v>170</v>
      </c>
      <c r="AF299" s="9" t="str">
        <f>IFERROR(MID(VLOOKUP($B299,Seqs!$A:$B,2,0),AG299,1),"")</f>
        <v>C</v>
      </c>
      <c r="AG299" s="9">
        <v>183</v>
      </c>
      <c r="AH299" s="9" t="str">
        <f>IFERROR(MID(VLOOKUP($B299,Seqs!$A:$B,2,0),AI299,1),"")</f>
        <v>L</v>
      </c>
      <c r="AI299" s="9">
        <v>185</v>
      </c>
      <c r="AJ299" s="9" t="str">
        <f>IFERROR(MID(VLOOKUP($B299,Seqs!$A:$B,2,0),AK299,1),"")</f>
        <v>E</v>
      </c>
      <c r="AK299" s="9">
        <v>190</v>
      </c>
      <c r="AL299" s="9" t="str">
        <f>IFERROR(MID(VLOOKUP($B299,Seqs!$A:$B,2,0),AM299,1),"")</f>
        <v>Y</v>
      </c>
      <c r="AM299" s="9">
        <v>226</v>
      </c>
      <c r="AN299" s="9" t="str">
        <f>IFERROR(MID(VLOOKUP($B299,Seqs!$A:$B,2,0),AO299,1),"")</f>
        <v>R</v>
      </c>
      <c r="AO299" s="9">
        <v>237</v>
      </c>
      <c r="AP299" s="9" t="str">
        <f>IFERROR(MID(VLOOKUP($B299,Seqs!$A:$B,2,0),AQ299,1),"")</f>
        <v>R</v>
      </c>
      <c r="AQ299" s="9">
        <v>271</v>
      </c>
      <c r="AR299" s="9" t="str">
        <f>IFERROR(MID(VLOOKUP($B299,Seqs!$A:$B,2,0),AS299,1),"")</f>
        <v>S</v>
      </c>
      <c r="AS299" s="9">
        <v>283</v>
      </c>
      <c r="AT299" s="9" t="str">
        <f>IFERROR(MID(VLOOKUP($B299,Seqs!$A:$B,2,0),AU299,1),"")</f>
        <v>F</v>
      </c>
      <c r="AU299" s="9">
        <v>311</v>
      </c>
      <c r="AV299" s="9" t="str">
        <f>IFERROR(MID(VLOOKUP($B299,Seqs!$A:$B,2,0),AW299,1),"")</f>
        <v>R</v>
      </c>
      <c r="AW299" s="9">
        <v>312</v>
      </c>
      <c r="AX299" s="9" t="str">
        <f>IFERROR(MID(VLOOKUP($B299,Seqs!$A:$B,2,0),AY299,1),"")</f>
        <v>L</v>
      </c>
      <c r="AY299" s="9">
        <v>319</v>
      </c>
      <c r="AZ299" s="110" t="str">
        <f>VLOOKUP(B299,Classification!A:D,2,0)</f>
        <v>A</v>
      </c>
      <c r="BA299" s="98" t="str">
        <f>VLOOKUP(B299,Classification!A:D,4,0)</f>
        <v>Prostanoid</v>
      </c>
      <c r="BB299" s="36" t="b">
        <f t="shared" ref="BB299" si="1428">AND(E299&lt;G299,OR(G299&lt;I299,I299="-"),OR(I299&lt;K299,I299="-"),OR(K299&lt;M299,K299="-"),M299&lt;O299,OR(O299&lt;Q299,Q299="-"),OR(Q299&lt;S299,Q299="-"),OR(S299&lt;U299,S299="-"),U299&lt;W299,OR(W299&lt;Y299,Y299="-"),OR(Y299&lt;AA299,Y299="-"),OR(AA299&lt;AC299,AA299="-"),AC299&lt;AE299,OR(AE299&lt;AG299,AG299="-"),OR(AG299&lt;AI299,AG299="-"),OR(AI299&lt;AK299,AI299="-"),AK299&lt;AM299,AM299&lt;AO299,AO299&lt;AQ299,AQ299&lt;AS299,AS299&lt;AU299,OR(AU299&lt;AW299,AW299="-"),OR(AW299&lt;AY299,AW299="-"))</f>
        <v>1</v>
      </c>
      <c r="BC299" s="109">
        <f t="shared" ref="BC299" si="1429">_xlfn.AGGREGATE(9,6,CH299:CS299)-_xlfn.AGGREGATE(9,6,BV299:CG299)+12</f>
        <v>242</v>
      </c>
      <c r="BD299" s="11" t="s">
        <v>1382</v>
      </c>
      <c r="BE299" s="9" t="s">
        <v>1380</v>
      </c>
      <c r="BF299" s="120">
        <v>3</v>
      </c>
      <c r="BG299" s="51" t="s">
        <v>1</v>
      </c>
      <c r="BH299" s="51" t="s">
        <v>1</v>
      </c>
      <c r="BI299" s="12"/>
      <c r="BJ299" s="111" t="s">
        <v>1293</v>
      </c>
      <c r="BK299" s="112" t="s">
        <v>1293</v>
      </c>
      <c r="BL299" s="112" t="s">
        <v>1293</v>
      </c>
      <c r="BM299" s="112" t="s">
        <v>1293</v>
      </c>
      <c r="BN299" s="112" t="s">
        <v>1293</v>
      </c>
      <c r="BO299" s="112" t="s">
        <v>1293</v>
      </c>
      <c r="BP299" s="112" t="s">
        <v>1293</v>
      </c>
      <c r="BQ299" s="112" t="s">
        <v>1293</v>
      </c>
      <c r="BR299" s="112" t="s">
        <v>1293</v>
      </c>
      <c r="BS299" s="112" t="s">
        <v>1293</v>
      </c>
      <c r="BT299" s="112" t="s">
        <v>1293</v>
      </c>
      <c r="BU299" s="112" t="s">
        <v>1293</v>
      </c>
      <c r="BV299" s="111">
        <f t="shared" ref="BV299" si="1430">E299</f>
        <v>27</v>
      </c>
      <c r="BW299" s="113" t="str">
        <f t="shared" ref="BW299" si="1431">I299</f>
        <v>-</v>
      </c>
      <c r="BX299" s="114">
        <f t="shared" ref="BX299" si="1432">M299</f>
        <v>61</v>
      </c>
      <c r="BY299" s="113">
        <f t="shared" ref="BY299" si="1433">Q299</f>
        <v>94</v>
      </c>
      <c r="BZ299" s="114">
        <f t="shared" ref="BZ299" si="1434">U299</f>
        <v>102</v>
      </c>
      <c r="CA299" s="113" t="str">
        <f t="shared" ref="CA299" si="1435">Y299</f>
        <v>-</v>
      </c>
      <c r="CB299" s="114">
        <f t="shared" ref="CB299" si="1436">AC299</f>
        <v>141</v>
      </c>
      <c r="CC299" s="113">
        <f t="shared" ref="CC299" si="1437">AG299</f>
        <v>183</v>
      </c>
      <c r="CD299" s="114">
        <f t="shared" ref="CD299" si="1438">AK299</f>
        <v>190</v>
      </c>
      <c r="CE299" s="113">
        <f t="shared" ref="CE299" si="1439">AO299</f>
        <v>237</v>
      </c>
      <c r="CF299" s="114">
        <f t="shared" ref="CF299" si="1440">AS299</f>
        <v>283</v>
      </c>
      <c r="CG299" s="113">
        <f t="shared" ref="CG299" si="1441">AW299</f>
        <v>312</v>
      </c>
      <c r="CH299" s="111">
        <f t="shared" ref="CH299" si="1442">G299</f>
        <v>53</v>
      </c>
      <c r="CI299" s="113" t="str">
        <f t="shared" ref="CI299" si="1443">K299</f>
        <v>-</v>
      </c>
      <c r="CJ299" s="114">
        <f t="shared" ref="CJ299" si="1444">O299</f>
        <v>91</v>
      </c>
      <c r="CK299" s="114">
        <f t="shared" ref="CK299" si="1445">S299</f>
        <v>98</v>
      </c>
      <c r="CL299" s="114">
        <f t="shared" ref="CL299" si="1446">W299</f>
        <v>136</v>
      </c>
      <c r="CM299" s="114" t="str">
        <f t="shared" ref="CM299" si="1447">AA299</f>
        <v>-</v>
      </c>
      <c r="CN299" s="114">
        <f t="shared" ref="CN299" si="1448">AE299</f>
        <v>170</v>
      </c>
      <c r="CO299" s="114">
        <f t="shared" ref="CO299" si="1449">AI299</f>
        <v>185</v>
      </c>
      <c r="CP299" s="114">
        <f t="shared" ref="CP299" si="1450">AM299</f>
        <v>226</v>
      </c>
      <c r="CQ299" s="114">
        <f t="shared" ref="CQ299" si="1451">AQ299</f>
        <v>271</v>
      </c>
      <c r="CR299" s="114">
        <f t="shared" ref="CR299" si="1452">AU299</f>
        <v>311</v>
      </c>
      <c r="CS299" s="114">
        <f t="shared" ref="CS299" si="1453">AY299</f>
        <v>319</v>
      </c>
      <c r="CT299" s="109" t="e">
        <f t="shared" ref="CT299" si="1454">M299-K299</f>
        <v>#VALUE!</v>
      </c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"/>
      <c r="PA299" s="6"/>
      <c r="PB299" s="6"/>
      <c r="PC299" s="6"/>
      <c r="PD299" s="6"/>
      <c r="PE299" s="6"/>
      <c r="PF299" s="6"/>
      <c r="PG299" s="6"/>
      <c r="PH299" s="6"/>
      <c r="PI299" s="6"/>
      <c r="PJ299" s="6"/>
      <c r="PK299" s="6"/>
      <c r="PL299" s="6"/>
      <c r="PM299" s="6"/>
      <c r="PN299" s="6"/>
      <c r="PO299" s="6"/>
      <c r="PP299" s="6"/>
      <c r="PQ299" s="6"/>
      <c r="PR299" s="6"/>
      <c r="PS299" s="6"/>
      <c r="PT299" s="6"/>
      <c r="PU299" s="6"/>
      <c r="PV299" s="6"/>
      <c r="PW299" s="6"/>
      <c r="PX299" s="6"/>
      <c r="PY299" s="6"/>
      <c r="PZ299" s="6"/>
      <c r="QA299" s="6"/>
      <c r="QB299" s="6"/>
      <c r="QC299" s="6"/>
      <c r="QD299" s="6"/>
      <c r="QE299" s="6"/>
      <c r="QF299" s="6"/>
      <c r="QG299" s="6"/>
      <c r="QH299" s="6"/>
      <c r="QI299" s="6"/>
      <c r="QJ299" s="6"/>
      <c r="QK299" s="6"/>
      <c r="QL299" s="6"/>
      <c r="QM299" s="6"/>
      <c r="QN299" s="6"/>
      <c r="QO299" s="6"/>
      <c r="QP299" s="6"/>
      <c r="QQ299" s="6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  <c r="SC299" s="6"/>
      <c r="SD299" s="6"/>
      <c r="SE299" s="6"/>
      <c r="SF299" s="6"/>
      <c r="SG299" s="6"/>
      <c r="SH299" s="6"/>
      <c r="SI299" s="6"/>
      <c r="SJ299" s="6"/>
      <c r="SK299" s="6"/>
      <c r="SL299" s="6"/>
      <c r="SM299" s="6"/>
      <c r="SN299" s="6"/>
      <c r="SO299" s="6"/>
      <c r="SP299" s="6"/>
      <c r="SQ299" s="6"/>
      <c r="SR299" s="6"/>
      <c r="SS299" s="6"/>
      <c r="ST299" s="6"/>
      <c r="SU299" s="6"/>
      <c r="SV299" s="6"/>
      <c r="SW299" s="6"/>
      <c r="SX299" s="6"/>
      <c r="SY299" s="6"/>
      <c r="SZ299" s="6"/>
      <c r="TA299" s="6"/>
      <c r="TB299" s="6"/>
      <c r="TC299" s="6"/>
      <c r="TD299" s="6"/>
      <c r="TE299" s="6"/>
      <c r="TF299" s="6"/>
      <c r="TG299" s="6"/>
      <c r="TH299" s="6"/>
      <c r="TI299" s="6"/>
      <c r="TJ299" s="6"/>
      <c r="TK299" s="6"/>
      <c r="TL299" s="6"/>
      <c r="TM299" s="6"/>
      <c r="TN299" s="6"/>
      <c r="TO299" s="6"/>
      <c r="TP299" s="6"/>
      <c r="TQ299" s="6"/>
      <c r="TR299" s="6"/>
      <c r="TS299" s="6"/>
      <c r="TT299" s="6"/>
      <c r="TU299" s="6"/>
      <c r="TV299" s="6"/>
      <c r="TW299" s="6"/>
      <c r="TX299" s="6"/>
      <c r="TY299" s="6"/>
      <c r="TZ299" s="6"/>
      <c r="UA299" s="6"/>
      <c r="UB299" s="6"/>
      <c r="UC299" s="6"/>
      <c r="UD299" s="6"/>
      <c r="UE299" s="6"/>
      <c r="UF299" s="6"/>
      <c r="UG299" s="6"/>
      <c r="UH299" s="6"/>
      <c r="UI299" s="6"/>
      <c r="UJ299" s="6"/>
      <c r="UK299" s="6"/>
      <c r="UL299" s="6"/>
      <c r="UM299" s="6"/>
      <c r="UN299" s="6"/>
      <c r="UO299" s="6"/>
      <c r="UP299" s="6"/>
      <c r="UQ299" s="6"/>
      <c r="UR299" s="6"/>
      <c r="US299" s="6"/>
      <c r="UT299" s="6"/>
      <c r="UU299" s="6"/>
      <c r="UV299" s="6"/>
      <c r="UW299" s="6"/>
      <c r="UX299" s="6"/>
      <c r="UY299" s="6"/>
      <c r="UZ299" s="6"/>
      <c r="VA299" s="6"/>
      <c r="VB299" s="6"/>
      <c r="VC299" s="6"/>
      <c r="VD299" s="6"/>
      <c r="VE299" s="6"/>
      <c r="VF299" s="6"/>
      <c r="VG299" s="6"/>
      <c r="VH299" s="6"/>
      <c r="VI299" s="6"/>
      <c r="VJ299" s="6"/>
      <c r="VK299" s="6"/>
      <c r="VL299" s="6"/>
      <c r="VM299" s="6"/>
      <c r="VN299" s="6"/>
      <c r="VO299" s="6"/>
      <c r="VP299" s="6"/>
      <c r="VQ299" s="6"/>
      <c r="VR299" s="6"/>
      <c r="VS299" s="6"/>
      <c r="VT299" s="6"/>
      <c r="VU299" s="6"/>
      <c r="VV299" s="6"/>
      <c r="VW299" s="6"/>
      <c r="VX299" s="6"/>
      <c r="VY299" s="6"/>
      <c r="VZ299" s="6"/>
      <c r="WA299" s="6"/>
      <c r="WB299" s="6"/>
      <c r="WC299" s="6"/>
      <c r="WD299" s="6"/>
      <c r="WE299" s="6"/>
      <c r="WF299" s="6"/>
      <c r="WG299" s="6"/>
      <c r="WH299" s="6"/>
      <c r="WI299" s="6"/>
      <c r="WJ299" s="6"/>
      <c r="WK299" s="6"/>
      <c r="WL299" s="6"/>
      <c r="WM299" s="6"/>
      <c r="WN299" s="6"/>
      <c r="WO299" s="6"/>
      <c r="WP299" s="6"/>
      <c r="WQ299" s="6"/>
      <c r="WR299" s="6"/>
      <c r="WS299" s="6"/>
      <c r="WT299" s="6"/>
      <c r="WU299" s="6"/>
      <c r="WV299" s="6"/>
      <c r="WW299" s="6"/>
      <c r="WX299" s="6"/>
      <c r="WY299" s="6"/>
      <c r="WZ299" s="6"/>
      <c r="XA299" s="6"/>
      <c r="XB299" s="6"/>
      <c r="XC299" s="6"/>
      <c r="XD299" s="6"/>
      <c r="XE299" s="6"/>
      <c r="XF299" s="6"/>
      <c r="XG299" s="6"/>
      <c r="XH299" s="6"/>
      <c r="XI299" s="6"/>
      <c r="XJ299" s="6"/>
      <c r="XK299" s="6"/>
      <c r="XL299" s="6"/>
      <c r="XM299" s="6"/>
      <c r="XN299" s="6"/>
      <c r="XO299" s="6"/>
      <c r="XP299" s="6"/>
      <c r="XQ299" s="6"/>
      <c r="XR299" s="6"/>
      <c r="XS299" s="6"/>
      <c r="XT299" s="6"/>
      <c r="XU299" s="6"/>
      <c r="XV299" s="6"/>
      <c r="XW299" s="6"/>
      <c r="XX299" s="6"/>
      <c r="XY299" s="6"/>
      <c r="XZ299" s="6"/>
      <c r="YA299" s="6"/>
      <c r="YB299" s="6"/>
      <c r="YC299" s="6"/>
      <c r="YD299" s="6"/>
      <c r="YE299" s="6"/>
      <c r="YF299" s="6"/>
      <c r="YG299" s="6"/>
      <c r="YH299" s="6"/>
      <c r="YI299" s="6"/>
      <c r="YJ299" s="6"/>
      <c r="YK299" s="6"/>
      <c r="YL299" s="6"/>
      <c r="YM299" s="6"/>
      <c r="YN299" s="6"/>
      <c r="YO299" s="6"/>
      <c r="YP299" s="6"/>
      <c r="YQ299" s="6"/>
      <c r="YR299" s="6"/>
      <c r="YS299" s="6"/>
      <c r="YT299" s="6"/>
      <c r="YU299" s="6"/>
      <c r="YV299" s="6"/>
      <c r="YW299" s="6"/>
      <c r="YX299" s="6"/>
      <c r="YY299" s="6"/>
      <c r="YZ299" s="6"/>
      <c r="ZA299" s="6"/>
      <c r="ZB299" s="6"/>
      <c r="ZC299" s="6"/>
      <c r="ZD299" s="6"/>
      <c r="ZE299" s="6"/>
      <c r="ZF299" s="6"/>
      <c r="ZG299" s="6"/>
      <c r="ZH299" s="6"/>
      <c r="ZI299" s="6"/>
      <c r="ZJ299" s="6"/>
      <c r="ZK299" s="6"/>
      <c r="ZL299" s="6"/>
      <c r="ZM299" s="6"/>
      <c r="ZN299" s="6"/>
      <c r="ZO299" s="6"/>
      <c r="ZP299" s="6"/>
      <c r="ZQ299" s="6"/>
      <c r="ZR299" s="6"/>
      <c r="ZS299" s="6"/>
      <c r="ZT299" s="6"/>
      <c r="ZU299" s="6"/>
      <c r="ZV299" s="6"/>
      <c r="ZW299" s="6"/>
      <c r="ZX299" s="6"/>
      <c r="ZY299" s="6"/>
      <c r="ZZ299" s="6"/>
      <c r="AAA299" s="6"/>
      <c r="AAB299" s="6"/>
      <c r="AAC299" s="6"/>
      <c r="AAD299" s="6"/>
      <c r="AAE299" s="6"/>
      <c r="AAF299" s="6"/>
      <c r="AAG299" s="6"/>
      <c r="AAH299" s="6"/>
      <c r="AAI299" s="6"/>
      <c r="AAJ299" s="6"/>
      <c r="AAK299" s="6"/>
      <c r="AAL299" s="6"/>
      <c r="AAM299" s="6"/>
      <c r="AAN299" s="6"/>
      <c r="AAO299" s="6"/>
      <c r="AAP299" s="6"/>
      <c r="AAQ299" s="6"/>
      <c r="AAR299" s="6"/>
      <c r="AAS299" s="6"/>
      <c r="AAT299" s="6"/>
      <c r="AAU299" s="6"/>
      <c r="AAV299" s="6"/>
      <c r="AAW299" s="6"/>
      <c r="AAX299" s="6"/>
      <c r="AAY299" s="6"/>
      <c r="AAZ299" s="6"/>
      <c r="ABA299" s="6"/>
      <c r="ABB299" s="6"/>
      <c r="ABC299" s="6"/>
      <c r="ABD299" s="6"/>
      <c r="ABE299" s="6"/>
      <c r="ABF299" s="6"/>
      <c r="ABG299" s="6"/>
      <c r="ABH299" s="6"/>
      <c r="ABI299" s="6"/>
      <c r="ABJ299" s="6"/>
      <c r="ABK299" s="6"/>
      <c r="ABL299" s="6"/>
      <c r="ABM299" s="6"/>
      <c r="ABN299" s="6"/>
      <c r="ABO299" s="6"/>
      <c r="ABP299" s="6"/>
      <c r="ABQ299" s="6"/>
      <c r="ABR299" s="6"/>
      <c r="ABS299" s="6"/>
      <c r="ABT299" s="6"/>
      <c r="ABU299" s="6"/>
      <c r="ABV299" s="6"/>
      <c r="ABW299" s="6"/>
      <c r="ABX299" s="6"/>
      <c r="ABY299" s="6"/>
      <c r="ABZ299" s="6"/>
      <c r="ACA299" s="6"/>
      <c r="ACB299" s="6"/>
      <c r="ACC299" s="6"/>
      <c r="ACD299" s="6"/>
      <c r="ACE299" s="6"/>
      <c r="ACF299" s="6"/>
      <c r="ACG299" s="6"/>
      <c r="ACH299" s="6"/>
      <c r="ACI299" s="6"/>
      <c r="ACJ299" s="6"/>
      <c r="ACK299" s="6"/>
      <c r="ACL299" s="6"/>
      <c r="ACM299" s="6"/>
      <c r="ACN299" s="6"/>
      <c r="ACO299" s="6"/>
      <c r="ACP299" s="6"/>
      <c r="ACQ299" s="6"/>
      <c r="ACR299" s="6"/>
      <c r="ACS299" s="6"/>
      <c r="ACT299" s="6"/>
      <c r="ACU299" s="6"/>
      <c r="ACV299" s="6"/>
      <c r="ACW299" s="6"/>
      <c r="ACX299" s="6"/>
      <c r="ACY299" s="6"/>
      <c r="ACZ299" s="6"/>
      <c r="ADA299" s="6"/>
      <c r="ADB299" s="6"/>
      <c r="ADC299" s="6"/>
      <c r="ADD299" s="6"/>
      <c r="ADE299" s="6"/>
      <c r="ADF299" s="6"/>
      <c r="ADG299" s="6"/>
      <c r="ADH299" s="6"/>
      <c r="ADI299" s="6"/>
      <c r="ADJ299" s="6"/>
      <c r="ADK299" s="6"/>
      <c r="ADL299" s="6"/>
      <c r="ADM299" s="6"/>
      <c r="ADN299" s="6"/>
      <c r="ADO299" s="6"/>
      <c r="ADP299" s="6"/>
      <c r="ADQ299" s="6"/>
      <c r="ADR299" s="6"/>
      <c r="ADS299" s="6"/>
      <c r="ADT299" s="6"/>
      <c r="ADU299" s="6"/>
      <c r="ADV299" s="6"/>
      <c r="ADW299" s="6"/>
      <c r="ADX299" s="6"/>
      <c r="ADY299" s="6"/>
      <c r="ADZ299" s="6"/>
      <c r="AEA299" s="6"/>
      <c r="AEB299" s="6"/>
      <c r="AEC299" s="6"/>
      <c r="AED299" s="6"/>
      <c r="AEE299" s="6"/>
      <c r="AEF299" s="6"/>
      <c r="AEG299" s="6"/>
      <c r="AEH299" s="6"/>
      <c r="AEI299" s="6"/>
      <c r="AEJ299" s="6"/>
      <c r="AEK299" s="6"/>
      <c r="AEL299" s="6"/>
      <c r="AEM299" s="6"/>
      <c r="AEN299" s="6"/>
      <c r="AEO299" s="6"/>
      <c r="AEP299" s="6"/>
      <c r="AEQ299" s="6"/>
      <c r="AER299" s="6"/>
      <c r="AES299" s="6"/>
      <c r="AET299" s="6"/>
      <c r="AEU299" s="6"/>
      <c r="AEV299" s="6"/>
      <c r="AEW299" s="6"/>
      <c r="AEX299" s="6"/>
      <c r="AEY299" s="6"/>
      <c r="AEZ299" s="6"/>
      <c r="AFA299" s="6"/>
      <c r="AFB299" s="6"/>
      <c r="AFC299" s="6"/>
      <c r="AFD299" s="6"/>
      <c r="AFE299" s="6"/>
      <c r="AFF299" s="6"/>
      <c r="AFG299" s="6"/>
      <c r="AFH299" s="6"/>
      <c r="AFI299" s="6"/>
      <c r="AFJ299" s="6"/>
      <c r="AFK299" s="6"/>
      <c r="AFL299" s="6"/>
      <c r="AFM299" s="6"/>
      <c r="AFN299" s="6"/>
      <c r="AFO299" s="6"/>
      <c r="AFP299" s="6"/>
      <c r="AFQ299" s="6"/>
      <c r="AFR299" s="6"/>
      <c r="AFS299" s="6"/>
      <c r="AFT299" s="6"/>
      <c r="AFU299" s="6"/>
      <c r="AFV299" s="6"/>
      <c r="AFW299" s="6"/>
      <c r="AFX299" s="6"/>
      <c r="AFY299" s="6"/>
      <c r="AFZ299" s="6"/>
      <c r="AGA299" s="6"/>
      <c r="AGB299" s="6"/>
      <c r="AGC299" s="6"/>
      <c r="AGD299" s="6"/>
      <c r="AGE299" s="6"/>
      <c r="AGF299" s="6"/>
      <c r="AGG299" s="6"/>
      <c r="AGH299" s="6"/>
      <c r="AGI299" s="6"/>
      <c r="AGJ299" s="6"/>
      <c r="AGK299" s="6"/>
      <c r="AGL299" s="6"/>
      <c r="AGM299" s="6"/>
      <c r="AGN299" s="6"/>
      <c r="AGO299" s="6"/>
      <c r="AGP299" s="6"/>
      <c r="AGQ299" s="6"/>
      <c r="AGR299" s="6"/>
      <c r="AGS299" s="6"/>
      <c r="AGT299" s="6"/>
      <c r="AGU299" s="6"/>
      <c r="AGV299" s="6"/>
      <c r="AGW299" s="6"/>
      <c r="AGX299" s="6"/>
      <c r="AGY299" s="6"/>
      <c r="AGZ299" s="6"/>
      <c r="AHA299" s="6"/>
      <c r="AHB299" s="6"/>
      <c r="AHC299" s="6"/>
      <c r="AHD299" s="6"/>
      <c r="AHE299" s="6"/>
      <c r="AHF299" s="6"/>
      <c r="AHG299" s="6"/>
      <c r="AHH299" s="6"/>
      <c r="AHI299" s="6"/>
      <c r="AHJ299" s="6"/>
      <c r="AHK299" s="6"/>
      <c r="AHL299" s="6"/>
      <c r="AHM299" s="6"/>
      <c r="AHN299" s="6"/>
      <c r="AHO299" s="6"/>
      <c r="AHP299" s="6"/>
      <c r="AHQ299" s="6"/>
      <c r="AHR299" s="6"/>
      <c r="AHS299" s="6"/>
      <c r="AHT299" s="6"/>
      <c r="AHU299" s="6"/>
      <c r="AHV299" s="6"/>
      <c r="AHW299" s="6"/>
      <c r="AHX299" s="6"/>
      <c r="AHY299" s="6"/>
      <c r="AHZ299" s="6"/>
      <c r="AIA299" s="6"/>
      <c r="AIB299" s="6"/>
      <c r="AIC299" s="6"/>
      <c r="AID299" s="6"/>
      <c r="AIE299" s="6"/>
      <c r="AIF299" s="6"/>
      <c r="AIG299" s="6"/>
      <c r="AIH299" s="6"/>
      <c r="AII299" s="6"/>
      <c r="AIJ299" s="6"/>
      <c r="AIK299" s="6"/>
      <c r="AIL299" s="6"/>
      <c r="AIM299" s="6"/>
      <c r="AIN299" s="6"/>
      <c r="AIO299" s="6"/>
      <c r="AIP299" s="6"/>
      <c r="AIQ299" s="6"/>
      <c r="AIR299" s="6"/>
      <c r="AIS299" s="6"/>
      <c r="AIT299" s="6"/>
      <c r="AIU299" s="6"/>
      <c r="AIV299" s="6"/>
      <c r="AIW299" s="6"/>
      <c r="AIX299" s="6"/>
      <c r="AIY299" s="6"/>
      <c r="AIZ299" s="6"/>
      <c r="AJA299" s="6"/>
      <c r="AJB299" s="6"/>
      <c r="AJC299" s="6"/>
      <c r="AJD299" s="6"/>
      <c r="AJE299" s="6"/>
      <c r="AJF299" s="6"/>
      <c r="AJG299" s="6"/>
      <c r="AJH299" s="6"/>
      <c r="AJI299" s="6"/>
      <c r="AJJ299" s="6"/>
      <c r="AJK299" s="6"/>
      <c r="AJL299" s="6"/>
      <c r="AJM299" s="6"/>
      <c r="AJN299" s="6"/>
      <c r="AJO299" s="6"/>
      <c r="AJP299" s="6"/>
      <c r="AJQ299" s="6"/>
      <c r="AJR299" s="6"/>
      <c r="AJS299" s="6"/>
      <c r="AJT299" s="6"/>
      <c r="AJU299" s="6"/>
      <c r="AJV299" s="6"/>
      <c r="AJW299" s="6"/>
      <c r="AJX299" s="6"/>
      <c r="AJY299" s="6"/>
      <c r="AJZ299" s="6"/>
      <c r="AKA299" s="6"/>
      <c r="AKB299" s="6"/>
      <c r="AKC299" s="6"/>
      <c r="AKD299" s="6"/>
      <c r="AKE299" s="6"/>
      <c r="AKF299" s="6"/>
      <c r="AKG299" s="6"/>
      <c r="AKH299" s="6"/>
      <c r="AKI299" s="6"/>
      <c r="AKJ299" s="6"/>
      <c r="AKK299" s="6"/>
      <c r="AKL299" s="6"/>
      <c r="AKM299" s="6"/>
      <c r="AKN299" s="6"/>
      <c r="AKO299" s="6"/>
      <c r="AKP299" s="6"/>
      <c r="AKQ299" s="6"/>
      <c r="AKR299" s="6"/>
      <c r="AKS299" s="6"/>
      <c r="AKT299" s="6"/>
      <c r="AKU299" s="6"/>
      <c r="AKV299" s="6"/>
      <c r="AKW299" s="6"/>
      <c r="AKX299" s="6"/>
      <c r="AKY299" s="6"/>
      <c r="AKZ299" s="6"/>
      <c r="ALA299" s="6"/>
      <c r="ALB299" s="6"/>
      <c r="ALC299" s="6"/>
      <c r="ALD299" s="6"/>
      <c r="ALE299" s="6"/>
      <c r="ALF299" s="6"/>
      <c r="ALG299" s="6"/>
      <c r="ALH299" s="6"/>
      <c r="ALI299" s="6"/>
      <c r="ALJ299" s="6"/>
      <c r="ALK299" s="6"/>
      <c r="ALL299" s="6"/>
      <c r="ALM299" s="6"/>
      <c r="ALN299" s="6"/>
      <c r="ALO299" s="6"/>
      <c r="ALP299" s="6"/>
      <c r="ALQ299" s="6"/>
      <c r="ALR299" s="6"/>
      <c r="ALS299" s="6"/>
      <c r="ALT299" s="6"/>
      <c r="ALU299" s="6"/>
      <c r="ALV299" s="6"/>
      <c r="ALW299" s="6"/>
      <c r="ALX299" s="6"/>
      <c r="ALY299" s="6"/>
      <c r="ALZ299" s="6"/>
      <c r="AMA299" s="6"/>
      <c r="AMB299" s="6"/>
      <c r="AMC299" s="6"/>
      <c r="AMD299" s="6"/>
      <c r="AME299" s="6"/>
      <c r="AMF299" s="6"/>
      <c r="AMG299" s="6"/>
      <c r="AMH299" s="6"/>
      <c r="AMI299" s="6"/>
      <c r="AMJ299" s="6"/>
      <c r="AMK299" s="6"/>
      <c r="AML299" s="6"/>
      <c r="AMM299" s="6"/>
      <c r="AMN299" s="6"/>
      <c r="AMO299" s="6"/>
      <c r="AMP299" s="6"/>
    </row>
    <row r="300" spans="1:1030" x14ac:dyDescent="0.2">
      <c r="A300" s="3" t="str">
        <f t="shared" si="1398"/>
        <v>calcr_human__wt</v>
      </c>
      <c r="B300" s="2" t="s">
        <v>401</v>
      </c>
      <c r="C300" s="3" t="s">
        <v>100</v>
      </c>
      <c r="D300" s="3" t="str">
        <f>IFERROR(MID(VLOOKUP($B300,Seqs!$A:$B,2,0),E300,1),"")</f>
        <v>T</v>
      </c>
      <c r="E300" s="3">
        <v>132</v>
      </c>
      <c r="F300" s="3" t="str">
        <f>IFERROR(MID(VLOOKUP($B300,Seqs!$A:$B,2,0),G300,1),"")</f>
        <v>F</v>
      </c>
      <c r="G300" s="3">
        <v>173</v>
      </c>
      <c r="H300" s="3" t="str">
        <f>IFERROR(MID(VLOOKUP($B300,Seqs!$A:$B,2,0),I300,1),"")</f>
        <v>R</v>
      </c>
      <c r="I300" s="23">
        <v>174</v>
      </c>
      <c r="J300" s="3" t="str">
        <f>IFERROR(MID(VLOOKUP($B300,Seqs!$A:$B,2,0),K300,1),"")</f>
        <v>G</v>
      </c>
      <c r="K300" s="23">
        <v>177</v>
      </c>
      <c r="L300" s="3" t="str">
        <f>IFERROR(MID(VLOOKUP($B300,Seqs!$A:$B,2,0),M300,1),"")</f>
        <v>C</v>
      </c>
      <c r="M300" s="3">
        <v>178</v>
      </c>
      <c r="N300" s="3" t="str">
        <f>IFERROR(MID(VLOOKUP($B300,Seqs!$A:$B,2,0),O300,1),"")</f>
        <v>V</v>
      </c>
      <c r="O300" s="3">
        <v>205</v>
      </c>
      <c r="P300" s="3" t="str">
        <f>IFERROR(MID(VLOOKUP($B300,Seqs!$A:$B,2,0),Q300,1),"")</f>
        <v/>
      </c>
      <c r="Q300" s="3" t="s">
        <v>23</v>
      </c>
      <c r="R300" s="3" t="str">
        <f>IFERROR(MID(VLOOKUP($B300,Seqs!$A:$B,2,0),S300,1),"")</f>
        <v/>
      </c>
      <c r="S300" s="3" t="s">
        <v>23</v>
      </c>
      <c r="T300" s="3" t="str">
        <f>IFERROR(MID(VLOOKUP($B300,Seqs!$A:$B,2,0),U300,1),"")</f>
        <v>V</v>
      </c>
      <c r="U300" s="105">
        <v>217</v>
      </c>
      <c r="V300" s="3" t="str">
        <f>IFERROR(MID(VLOOKUP($B300,Seqs!$A:$B,2,0),W300,1),"")</f>
        <v>V</v>
      </c>
      <c r="W300" s="3">
        <v>250</v>
      </c>
      <c r="X300" s="3" t="str">
        <f>IFERROR(MID(VLOOKUP($B300,Seqs!$A:$B,2,0),Y300,1),"")</f>
        <v/>
      </c>
      <c r="Y300" s="3" t="s">
        <v>23</v>
      </c>
      <c r="Z300" s="3" t="str">
        <f>IFERROR(MID(VLOOKUP($B300,Seqs!$A:$B,2,0),AA300,1),"")</f>
        <v/>
      </c>
      <c r="AA300" s="3" t="s">
        <v>23</v>
      </c>
      <c r="AB300" s="3" t="str">
        <f>IFERROR(MID(VLOOKUP($B300,Seqs!$A:$B,2,0),AC300,1),"")</f>
        <v>R</v>
      </c>
      <c r="AC300" s="3">
        <v>258</v>
      </c>
      <c r="AD300" s="3" t="str">
        <f>IFERROR(MID(VLOOKUP($B300,Seqs!$A:$B,2,0),AE300,1),"")</f>
        <v>F</v>
      </c>
      <c r="AE300" s="3">
        <v>285</v>
      </c>
      <c r="AF300" s="3" t="str">
        <f>IFERROR(MID(VLOOKUP($B300,Seqs!$A:$B,2,0),AG300,1),"")</f>
        <v>C</v>
      </c>
      <c r="AG300" s="3">
        <v>289</v>
      </c>
      <c r="AH300" s="3" t="str">
        <f>IFERROR(MID(VLOOKUP($B300,Seqs!$A:$B,2,0),AI300,1),"")</f>
        <v>L</v>
      </c>
      <c r="AI300" s="3">
        <v>291</v>
      </c>
      <c r="AJ300" s="3" t="str">
        <f>IFERROR(MID(VLOOKUP($B300,Seqs!$A:$B,2,0),AK300,1),"")</f>
        <v>L</v>
      </c>
      <c r="AK300" s="3">
        <v>298</v>
      </c>
      <c r="AL300" s="3" t="str">
        <f>IFERROR(MID(VLOOKUP($B300,Seqs!$A:$B,2,0),AM300,1),"")</f>
        <v>R</v>
      </c>
      <c r="AM300" s="3">
        <v>328</v>
      </c>
      <c r="AN300" s="3" t="str">
        <f>IFERROR(MID(VLOOKUP($B300,Seqs!$A:$B,2,0),AO300,1),"")</f>
        <v>Y</v>
      </c>
      <c r="AO300" s="3">
        <v>338</v>
      </c>
      <c r="AP300" s="3" t="str">
        <f>IFERROR(MID(VLOOKUP($B300,Seqs!$A:$B,2,0),AQ300,1),"")</f>
        <v>W</v>
      </c>
      <c r="AQ300" s="3">
        <v>361</v>
      </c>
      <c r="AR300" s="3" t="str">
        <f>IFERROR(MID(VLOOKUP($B300,Seqs!$A:$B,2,0),AS300,1),"")</f>
        <v>K</v>
      </c>
      <c r="AS300" s="3">
        <v>366</v>
      </c>
      <c r="AT300" s="3" t="str">
        <f>IFERROR(MID(VLOOKUP($B300,Seqs!$A:$B,2,0),AU300,1),"")</f>
        <v>C</v>
      </c>
      <c r="AU300" s="3">
        <v>394</v>
      </c>
      <c r="AV300" s="3" t="str">
        <f>IFERROR(MID(VLOOKUP($B300,Seqs!$A:$B,2,0),AW300,1),"")</f>
        <v>N</v>
      </c>
      <c r="AW300" s="3">
        <v>395</v>
      </c>
      <c r="AX300" s="3" t="str">
        <f>IFERROR(MID(VLOOKUP($B300,Seqs!$A:$B,2,0),AY300,1),"")</f>
        <v>R</v>
      </c>
      <c r="AY300" s="3">
        <v>420</v>
      </c>
      <c r="AZ300" s="77" t="str">
        <f>VLOOKUP(B300,Classification!A:D,2,0)</f>
        <v>B1</v>
      </c>
      <c r="BA300" s="94" t="str">
        <f>VLOOKUP(B300,Classification!A:D,4,0)</f>
        <v>Calcitonin</v>
      </c>
      <c r="BB300" s="27" t="b">
        <f t="shared" si="1371"/>
        <v>1</v>
      </c>
      <c r="BC300" s="23">
        <f t="shared" si="1372"/>
        <v>251</v>
      </c>
      <c r="BD300" s="4" t="s">
        <v>23</v>
      </c>
      <c r="BE300" s="3" t="s">
        <v>23</v>
      </c>
      <c r="BF300" s="119" t="s">
        <v>23</v>
      </c>
      <c r="BG300" s="49" t="s">
        <v>1383</v>
      </c>
      <c r="BH300" s="49" t="s">
        <v>1383</v>
      </c>
      <c r="BI300" s="1"/>
      <c r="BJ300" s="70" t="s">
        <v>1293</v>
      </c>
      <c r="BK300" s="57" t="s">
        <v>1293</v>
      </c>
      <c r="BL300" s="57" t="s">
        <v>1293</v>
      </c>
      <c r="BM300" s="57" t="s">
        <v>1293</v>
      </c>
      <c r="BN300" s="57" t="s">
        <v>1293</v>
      </c>
      <c r="BO300" s="57" t="s">
        <v>1293</v>
      </c>
      <c r="BP300" s="57" t="s">
        <v>1293</v>
      </c>
      <c r="BQ300" s="57" t="s">
        <v>1293</v>
      </c>
      <c r="BR300" s="57" t="s">
        <v>1293</v>
      </c>
      <c r="BS300" s="57" t="s">
        <v>1293</v>
      </c>
      <c r="BT300" s="57" t="s">
        <v>1293</v>
      </c>
      <c r="BU300" s="57" t="s">
        <v>1293</v>
      </c>
      <c r="BV300" s="70">
        <f t="shared" si="1373"/>
        <v>132</v>
      </c>
      <c r="BW300" s="71">
        <f t="shared" si="1374"/>
        <v>174</v>
      </c>
      <c r="BX300" s="72">
        <f t="shared" si="1375"/>
        <v>178</v>
      </c>
      <c r="BY300" s="71" t="str">
        <f t="shared" si="1376"/>
        <v>-</v>
      </c>
      <c r="BZ300" s="72">
        <f t="shared" si="1377"/>
        <v>217</v>
      </c>
      <c r="CA300" s="71" t="str">
        <f t="shared" si="1378"/>
        <v>-</v>
      </c>
      <c r="CB300" s="72">
        <f t="shared" si="1379"/>
        <v>258</v>
      </c>
      <c r="CC300" s="71">
        <f t="shared" si="1380"/>
        <v>289</v>
      </c>
      <c r="CD300" s="72">
        <f t="shared" si="1381"/>
        <v>298</v>
      </c>
      <c r="CE300" s="71">
        <f t="shared" si="1382"/>
        <v>338</v>
      </c>
      <c r="CF300" s="72">
        <f t="shared" si="1383"/>
        <v>366</v>
      </c>
      <c r="CG300" s="71">
        <f t="shared" si="1384"/>
        <v>395</v>
      </c>
      <c r="CH300" s="70">
        <f t="shared" si="1385"/>
        <v>173</v>
      </c>
      <c r="CI300" s="71">
        <f t="shared" si="1386"/>
        <v>177</v>
      </c>
      <c r="CJ300" s="72">
        <f t="shared" si="1387"/>
        <v>205</v>
      </c>
      <c r="CK300" s="72" t="str">
        <f t="shared" si="1388"/>
        <v>-</v>
      </c>
      <c r="CL300" s="72">
        <f t="shared" si="1389"/>
        <v>250</v>
      </c>
      <c r="CM300" s="72" t="str">
        <f t="shared" si="1390"/>
        <v>-</v>
      </c>
      <c r="CN300" s="72">
        <f t="shared" si="1391"/>
        <v>285</v>
      </c>
      <c r="CO300" s="72">
        <f t="shared" si="1392"/>
        <v>291</v>
      </c>
      <c r="CP300" s="72">
        <f t="shared" si="1393"/>
        <v>328</v>
      </c>
      <c r="CQ300" s="72">
        <f t="shared" si="1394"/>
        <v>361</v>
      </c>
      <c r="CR300" s="72">
        <f t="shared" si="1395"/>
        <v>394</v>
      </c>
      <c r="CS300" s="72">
        <f t="shared" si="1396"/>
        <v>420</v>
      </c>
      <c r="CT300" s="23">
        <f t="shared" si="1397"/>
        <v>1</v>
      </c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6"/>
      <c r="KV300" s="6"/>
      <c r="KW300" s="6"/>
      <c r="KX300" s="6"/>
      <c r="KY300" s="6"/>
      <c r="KZ300" s="6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"/>
      <c r="LU300" s="6"/>
      <c r="LV300" s="6"/>
      <c r="LW300" s="6"/>
      <c r="LX300" s="6"/>
      <c r="LY300" s="6"/>
      <c r="LZ300" s="6"/>
      <c r="MA300" s="6"/>
      <c r="MB300" s="6"/>
      <c r="MC300" s="6"/>
      <c r="MD300" s="6"/>
      <c r="ME300" s="6"/>
      <c r="MF300" s="6"/>
      <c r="MG300" s="6"/>
      <c r="MH300" s="6"/>
      <c r="MI300" s="6"/>
      <c r="MJ300" s="6"/>
      <c r="MK300" s="6"/>
      <c r="ML300" s="6"/>
      <c r="MM300" s="6"/>
      <c r="MN300" s="6"/>
      <c r="MO300" s="6"/>
      <c r="MP300" s="6"/>
      <c r="MQ300" s="6"/>
      <c r="MR300" s="6"/>
      <c r="MS300" s="6"/>
      <c r="MT300" s="6"/>
      <c r="MU300" s="6"/>
      <c r="MV300" s="6"/>
      <c r="MW300" s="6"/>
      <c r="MX300" s="6"/>
      <c r="MY300" s="6"/>
      <c r="MZ300" s="6"/>
      <c r="NA300" s="6"/>
      <c r="NB300" s="6"/>
      <c r="NC300" s="6"/>
      <c r="ND300" s="6"/>
      <c r="NE300" s="6"/>
      <c r="NF300" s="6"/>
      <c r="NG300" s="6"/>
      <c r="NH300" s="6"/>
      <c r="NI300" s="6"/>
      <c r="NJ300" s="6"/>
      <c r="NK300" s="6"/>
      <c r="NL300" s="6"/>
      <c r="NM300" s="6"/>
      <c r="NN300" s="6"/>
      <c r="NO300" s="6"/>
      <c r="NP300" s="6"/>
      <c r="NQ300" s="6"/>
      <c r="NR300" s="6"/>
      <c r="NS300" s="6"/>
      <c r="NT300" s="6"/>
      <c r="NU300" s="6"/>
      <c r="NV300" s="6"/>
      <c r="NW300" s="6"/>
      <c r="NX300" s="6"/>
      <c r="NY300" s="6"/>
      <c r="NZ300" s="6"/>
      <c r="OA300" s="6"/>
      <c r="OB300" s="6"/>
      <c r="OC300" s="6"/>
      <c r="OD300" s="6"/>
      <c r="OE300" s="6"/>
      <c r="OF300" s="6"/>
      <c r="OG300" s="6"/>
      <c r="OH300" s="6"/>
      <c r="OI300" s="6"/>
      <c r="OJ300" s="6"/>
      <c r="OK300" s="6"/>
      <c r="OL300" s="6"/>
      <c r="OM300" s="6"/>
      <c r="ON300" s="6"/>
      <c r="OO300" s="6"/>
      <c r="OP300" s="6"/>
      <c r="OQ300" s="6"/>
      <c r="OR300" s="6"/>
      <c r="OS300" s="6"/>
      <c r="OT300" s="6"/>
      <c r="OU300" s="6"/>
      <c r="OV300" s="6"/>
      <c r="OW300" s="6"/>
      <c r="OX300" s="6"/>
      <c r="OY300" s="6"/>
      <c r="OZ300" s="6"/>
      <c r="PA300" s="6"/>
      <c r="PB300" s="6"/>
      <c r="PC300" s="6"/>
      <c r="PD300" s="6"/>
      <c r="PE300" s="6"/>
      <c r="PF300" s="6"/>
      <c r="PG300" s="6"/>
      <c r="PH300" s="6"/>
      <c r="PI300" s="6"/>
      <c r="PJ300" s="6"/>
      <c r="PK300" s="6"/>
      <c r="PL300" s="6"/>
      <c r="PM300" s="6"/>
      <c r="PN300" s="6"/>
      <c r="PO300" s="6"/>
      <c r="PP300" s="6"/>
      <c r="PQ300" s="6"/>
      <c r="PR300" s="6"/>
      <c r="PS300" s="6"/>
      <c r="PT300" s="6"/>
      <c r="PU300" s="6"/>
      <c r="PV300" s="6"/>
      <c r="PW300" s="6"/>
      <c r="PX300" s="6"/>
      <c r="PY300" s="6"/>
      <c r="PZ300" s="6"/>
      <c r="QA300" s="6"/>
      <c r="QB300" s="6"/>
      <c r="QC300" s="6"/>
      <c r="QD300" s="6"/>
      <c r="QE300" s="6"/>
      <c r="QF300" s="6"/>
      <c r="QG300" s="6"/>
      <c r="QH300" s="6"/>
      <c r="QI300" s="6"/>
      <c r="QJ300" s="6"/>
      <c r="QK300" s="6"/>
      <c r="QL300" s="6"/>
      <c r="QM300" s="6"/>
      <c r="QN300" s="6"/>
      <c r="QO300" s="6"/>
      <c r="QP300" s="6"/>
      <c r="QQ300" s="6"/>
      <c r="QR300" s="6"/>
      <c r="QS300" s="6"/>
      <c r="QT300" s="6"/>
      <c r="QU300" s="6"/>
      <c r="QV300" s="6"/>
      <c r="QW300" s="6"/>
      <c r="QX300" s="6"/>
      <c r="QY300" s="6"/>
      <c r="QZ300" s="6"/>
      <c r="RA300" s="6"/>
      <c r="RB300" s="6"/>
      <c r="RC300" s="6"/>
      <c r="RD300" s="6"/>
      <c r="RE300" s="6"/>
      <c r="RF300" s="6"/>
      <c r="RG300" s="6"/>
      <c r="RH300" s="6"/>
      <c r="RI300" s="6"/>
      <c r="RJ300" s="6"/>
      <c r="RK300" s="6"/>
      <c r="RL300" s="6"/>
      <c r="RM300" s="6"/>
      <c r="RN300" s="6"/>
      <c r="RO300" s="6"/>
      <c r="RP300" s="6"/>
      <c r="RQ300" s="6"/>
      <c r="RR300" s="6"/>
      <c r="RS300" s="6"/>
      <c r="RT300" s="6"/>
      <c r="RU300" s="6"/>
      <c r="RV300" s="6"/>
      <c r="RW300" s="6"/>
      <c r="RX300" s="6"/>
      <c r="RY300" s="6"/>
      <c r="RZ300" s="6"/>
      <c r="SA300" s="6"/>
      <c r="SB300" s="6"/>
      <c r="SC300" s="6"/>
      <c r="SD300" s="6"/>
      <c r="SE300" s="6"/>
      <c r="SF300" s="6"/>
      <c r="SG300" s="6"/>
      <c r="SH300" s="6"/>
      <c r="SI300" s="6"/>
      <c r="SJ300" s="6"/>
      <c r="SK300" s="6"/>
      <c r="SL300" s="6"/>
      <c r="SM300" s="6"/>
      <c r="SN300" s="6"/>
      <c r="SO300" s="6"/>
      <c r="SP300" s="6"/>
      <c r="SQ300" s="6"/>
      <c r="SR300" s="6"/>
      <c r="SS300" s="6"/>
      <c r="ST300" s="6"/>
      <c r="SU300" s="6"/>
      <c r="SV300" s="6"/>
      <c r="SW300" s="6"/>
      <c r="SX300" s="6"/>
      <c r="SY300" s="6"/>
      <c r="SZ300" s="6"/>
      <c r="TA300" s="6"/>
      <c r="TB300" s="6"/>
      <c r="TC300" s="6"/>
      <c r="TD300" s="6"/>
      <c r="TE300" s="6"/>
      <c r="TF300" s="6"/>
      <c r="TG300" s="6"/>
      <c r="TH300" s="6"/>
      <c r="TI300" s="6"/>
      <c r="TJ300" s="6"/>
      <c r="TK300" s="6"/>
      <c r="TL300" s="6"/>
      <c r="TM300" s="6"/>
      <c r="TN300" s="6"/>
      <c r="TO300" s="6"/>
      <c r="TP300" s="6"/>
      <c r="TQ300" s="6"/>
      <c r="TR300" s="6"/>
      <c r="TS300" s="6"/>
      <c r="TT300" s="6"/>
      <c r="TU300" s="6"/>
      <c r="TV300" s="6"/>
      <c r="TW300" s="6"/>
      <c r="TX300" s="6"/>
      <c r="TY300" s="6"/>
      <c r="TZ300" s="6"/>
      <c r="UA300" s="6"/>
      <c r="UB300" s="6"/>
      <c r="UC300" s="6"/>
      <c r="UD300" s="6"/>
      <c r="UE300" s="6"/>
      <c r="UF300" s="6"/>
      <c r="UG300" s="6"/>
      <c r="UH300" s="6"/>
      <c r="UI300" s="6"/>
      <c r="UJ300" s="6"/>
      <c r="UK300" s="6"/>
      <c r="UL300" s="6"/>
      <c r="UM300" s="6"/>
      <c r="UN300" s="6"/>
      <c r="UO300" s="6"/>
      <c r="UP300" s="6"/>
      <c r="UQ300" s="6"/>
      <c r="UR300" s="6"/>
      <c r="US300" s="6"/>
      <c r="UT300" s="6"/>
      <c r="UU300" s="6"/>
      <c r="UV300" s="6"/>
      <c r="UW300" s="6"/>
      <c r="UX300" s="6"/>
      <c r="UY300" s="6"/>
      <c r="UZ300" s="6"/>
      <c r="VA300" s="6"/>
      <c r="VB300" s="6"/>
      <c r="VC300" s="6"/>
      <c r="VD300" s="6"/>
      <c r="VE300" s="6"/>
      <c r="VF300" s="6"/>
      <c r="VG300" s="6"/>
      <c r="VH300" s="6"/>
      <c r="VI300" s="6"/>
      <c r="VJ300" s="6"/>
      <c r="VK300" s="6"/>
      <c r="VL300" s="6"/>
      <c r="VM300" s="6"/>
      <c r="VN300" s="6"/>
      <c r="VO300" s="6"/>
      <c r="VP300" s="6"/>
      <c r="VQ300" s="6"/>
      <c r="VR300" s="6"/>
      <c r="VS300" s="6"/>
      <c r="VT300" s="6"/>
      <c r="VU300" s="6"/>
      <c r="VV300" s="6"/>
      <c r="VW300" s="6"/>
      <c r="VX300" s="6"/>
      <c r="VY300" s="6"/>
      <c r="VZ300" s="6"/>
      <c r="WA300" s="6"/>
      <c r="WB300" s="6"/>
      <c r="WC300" s="6"/>
      <c r="WD300" s="6"/>
      <c r="WE300" s="6"/>
      <c r="WF300" s="6"/>
      <c r="WG300" s="6"/>
      <c r="WH300" s="6"/>
      <c r="WI300" s="6"/>
      <c r="WJ300" s="6"/>
      <c r="WK300" s="6"/>
      <c r="WL300" s="6"/>
      <c r="WM300" s="6"/>
      <c r="WN300" s="6"/>
      <c r="WO300" s="6"/>
      <c r="WP300" s="6"/>
      <c r="WQ300" s="6"/>
      <c r="WR300" s="6"/>
      <c r="WS300" s="6"/>
      <c r="WT300" s="6"/>
      <c r="WU300" s="6"/>
      <c r="WV300" s="6"/>
      <c r="WW300" s="6"/>
      <c r="WX300" s="6"/>
      <c r="WY300" s="6"/>
      <c r="WZ300" s="6"/>
      <c r="XA300" s="6"/>
      <c r="XB300" s="6"/>
      <c r="XC300" s="6"/>
      <c r="XD300" s="6"/>
      <c r="XE300" s="6"/>
      <c r="XF300" s="6"/>
      <c r="XG300" s="6"/>
      <c r="XH300" s="6"/>
      <c r="XI300" s="6"/>
      <c r="XJ300" s="6"/>
      <c r="XK300" s="6"/>
      <c r="XL300" s="6"/>
      <c r="XM300" s="6"/>
      <c r="XN300" s="6"/>
      <c r="XO300" s="6"/>
      <c r="XP300" s="6"/>
      <c r="XQ300" s="6"/>
      <c r="XR300" s="6"/>
      <c r="XS300" s="6"/>
      <c r="XT300" s="6"/>
      <c r="XU300" s="6"/>
      <c r="XV300" s="6"/>
      <c r="XW300" s="6"/>
      <c r="XX300" s="6"/>
      <c r="XY300" s="6"/>
      <c r="XZ300" s="6"/>
      <c r="YA300" s="6"/>
      <c r="YB300" s="6"/>
      <c r="YC300" s="6"/>
      <c r="YD300" s="6"/>
      <c r="YE300" s="6"/>
      <c r="YF300" s="6"/>
      <c r="YG300" s="6"/>
      <c r="YH300" s="6"/>
      <c r="YI300" s="6"/>
      <c r="YJ300" s="6"/>
      <c r="YK300" s="6"/>
      <c r="YL300" s="6"/>
      <c r="YM300" s="6"/>
      <c r="YN300" s="6"/>
      <c r="YO300" s="6"/>
      <c r="YP300" s="6"/>
      <c r="YQ300" s="6"/>
      <c r="YR300" s="6"/>
      <c r="YS300" s="6"/>
      <c r="YT300" s="6"/>
      <c r="YU300" s="6"/>
      <c r="YV300" s="6"/>
      <c r="YW300" s="6"/>
      <c r="YX300" s="6"/>
      <c r="YY300" s="6"/>
      <c r="YZ300" s="6"/>
      <c r="ZA300" s="6"/>
      <c r="ZB300" s="6"/>
      <c r="ZC300" s="6"/>
      <c r="ZD300" s="6"/>
      <c r="ZE300" s="6"/>
      <c r="ZF300" s="6"/>
      <c r="ZG300" s="6"/>
      <c r="ZH300" s="6"/>
      <c r="ZI300" s="6"/>
      <c r="ZJ300" s="6"/>
      <c r="ZK300" s="6"/>
      <c r="ZL300" s="6"/>
      <c r="ZM300" s="6"/>
      <c r="ZN300" s="6"/>
      <c r="ZO300" s="6"/>
      <c r="ZP300" s="6"/>
      <c r="ZQ300" s="6"/>
      <c r="ZR300" s="6"/>
      <c r="ZS300" s="6"/>
      <c r="ZT300" s="6"/>
      <c r="ZU300" s="6"/>
      <c r="ZV300" s="6"/>
      <c r="ZW300" s="6"/>
      <c r="ZX300" s="6"/>
      <c r="ZY300" s="6"/>
      <c r="ZZ300" s="6"/>
      <c r="AAA300" s="6"/>
      <c r="AAB300" s="6"/>
      <c r="AAC300" s="6"/>
      <c r="AAD300" s="6"/>
      <c r="AAE300" s="6"/>
      <c r="AAF300" s="6"/>
      <c r="AAG300" s="6"/>
      <c r="AAH300" s="6"/>
      <c r="AAI300" s="6"/>
      <c r="AAJ300" s="6"/>
      <c r="AAK300" s="6"/>
      <c r="AAL300" s="6"/>
      <c r="AAM300" s="6"/>
      <c r="AAN300" s="6"/>
      <c r="AAO300" s="6"/>
      <c r="AAP300" s="6"/>
      <c r="AAQ300" s="6"/>
      <c r="AAR300" s="6"/>
      <c r="AAS300" s="6"/>
      <c r="AAT300" s="6"/>
      <c r="AAU300" s="6"/>
      <c r="AAV300" s="6"/>
      <c r="AAW300" s="6"/>
      <c r="AAX300" s="6"/>
      <c r="AAY300" s="6"/>
      <c r="AAZ300" s="6"/>
      <c r="ABA300" s="6"/>
      <c r="ABB300" s="6"/>
      <c r="ABC300" s="6"/>
      <c r="ABD300" s="6"/>
      <c r="ABE300" s="6"/>
      <c r="ABF300" s="6"/>
      <c r="ABG300" s="6"/>
      <c r="ABH300" s="6"/>
      <c r="ABI300" s="6"/>
      <c r="ABJ300" s="6"/>
      <c r="ABK300" s="6"/>
      <c r="ABL300" s="6"/>
      <c r="ABM300" s="6"/>
      <c r="ABN300" s="6"/>
      <c r="ABO300" s="6"/>
      <c r="ABP300" s="6"/>
      <c r="ABQ300" s="6"/>
      <c r="ABR300" s="6"/>
      <c r="ABS300" s="6"/>
      <c r="ABT300" s="6"/>
      <c r="ABU300" s="6"/>
      <c r="ABV300" s="6"/>
      <c r="ABW300" s="6"/>
      <c r="ABX300" s="6"/>
      <c r="ABY300" s="6"/>
      <c r="ABZ300" s="6"/>
      <c r="ACA300" s="6"/>
      <c r="ACB300" s="6"/>
      <c r="ACC300" s="6"/>
      <c r="ACD300" s="6"/>
      <c r="ACE300" s="6"/>
      <c r="ACF300" s="6"/>
      <c r="ACG300" s="6"/>
      <c r="ACH300" s="6"/>
      <c r="ACI300" s="6"/>
      <c r="ACJ300" s="6"/>
      <c r="ACK300" s="6"/>
      <c r="ACL300" s="6"/>
      <c r="ACM300" s="6"/>
      <c r="ACN300" s="6"/>
      <c r="ACO300" s="6"/>
      <c r="ACP300" s="6"/>
      <c r="ACQ300" s="6"/>
      <c r="ACR300" s="6"/>
      <c r="ACS300" s="6"/>
      <c r="ACT300" s="6"/>
      <c r="ACU300" s="6"/>
      <c r="ACV300" s="6"/>
      <c r="ACW300" s="6"/>
      <c r="ACX300" s="6"/>
      <c r="ACY300" s="6"/>
      <c r="ACZ300" s="6"/>
      <c r="ADA300" s="6"/>
      <c r="ADB300" s="6"/>
      <c r="ADC300" s="6"/>
      <c r="ADD300" s="6"/>
      <c r="ADE300" s="6"/>
      <c r="ADF300" s="6"/>
      <c r="ADG300" s="6"/>
      <c r="ADH300" s="6"/>
      <c r="ADI300" s="6"/>
      <c r="ADJ300" s="6"/>
      <c r="ADK300" s="6"/>
      <c r="ADL300" s="6"/>
      <c r="ADM300" s="6"/>
      <c r="ADN300" s="6"/>
      <c r="ADO300" s="6"/>
      <c r="ADP300" s="6"/>
      <c r="ADQ300" s="6"/>
      <c r="ADR300" s="6"/>
      <c r="ADS300" s="6"/>
      <c r="ADT300" s="6"/>
      <c r="ADU300" s="6"/>
      <c r="ADV300" s="6"/>
      <c r="ADW300" s="6"/>
      <c r="ADX300" s="6"/>
      <c r="ADY300" s="6"/>
      <c r="ADZ300" s="6"/>
      <c r="AEA300" s="6"/>
      <c r="AEB300" s="6"/>
      <c r="AEC300" s="6"/>
      <c r="AED300" s="6"/>
      <c r="AEE300" s="6"/>
      <c r="AEF300" s="6"/>
      <c r="AEG300" s="6"/>
      <c r="AEH300" s="6"/>
      <c r="AEI300" s="6"/>
      <c r="AEJ300" s="6"/>
      <c r="AEK300" s="6"/>
      <c r="AEL300" s="6"/>
      <c r="AEM300" s="6"/>
      <c r="AEN300" s="6"/>
      <c r="AEO300" s="6"/>
      <c r="AEP300" s="6"/>
      <c r="AEQ300" s="6"/>
      <c r="AER300" s="6"/>
      <c r="AES300" s="6"/>
      <c r="AET300" s="6"/>
      <c r="AEU300" s="6"/>
      <c r="AEV300" s="6"/>
      <c r="AEW300" s="6"/>
      <c r="AEX300" s="6"/>
      <c r="AEY300" s="6"/>
      <c r="AEZ300" s="6"/>
      <c r="AFA300" s="6"/>
      <c r="AFB300" s="6"/>
      <c r="AFC300" s="6"/>
      <c r="AFD300" s="6"/>
      <c r="AFE300" s="6"/>
      <c r="AFF300" s="6"/>
      <c r="AFG300" s="6"/>
      <c r="AFH300" s="6"/>
      <c r="AFI300" s="6"/>
      <c r="AFJ300" s="6"/>
      <c r="AFK300" s="6"/>
      <c r="AFL300" s="6"/>
      <c r="AFM300" s="6"/>
      <c r="AFN300" s="6"/>
      <c r="AFO300" s="6"/>
      <c r="AFP300" s="6"/>
      <c r="AFQ300" s="6"/>
      <c r="AFR300" s="6"/>
      <c r="AFS300" s="6"/>
      <c r="AFT300" s="6"/>
      <c r="AFU300" s="6"/>
      <c r="AFV300" s="6"/>
      <c r="AFW300" s="6"/>
      <c r="AFX300" s="6"/>
      <c r="AFY300" s="6"/>
      <c r="AFZ300" s="6"/>
      <c r="AGA300" s="6"/>
      <c r="AGB300" s="6"/>
      <c r="AGC300" s="6"/>
      <c r="AGD300" s="6"/>
      <c r="AGE300" s="6"/>
      <c r="AGF300" s="6"/>
      <c r="AGG300" s="6"/>
      <c r="AGH300" s="6"/>
      <c r="AGI300" s="6"/>
      <c r="AGJ300" s="6"/>
      <c r="AGK300" s="6"/>
      <c r="AGL300" s="6"/>
      <c r="AGM300" s="6"/>
      <c r="AGN300" s="6"/>
      <c r="AGO300" s="6"/>
      <c r="AGP300" s="6"/>
      <c r="AGQ300" s="6"/>
      <c r="AGR300" s="6"/>
      <c r="AGS300" s="6"/>
      <c r="AGT300" s="6"/>
      <c r="AGU300" s="6"/>
      <c r="AGV300" s="6"/>
      <c r="AGW300" s="6"/>
      <c r="AGX300" s="6"/>
      <c r="AGY300" s="6"/>
      <c r="AGZ300" s="6"/>
      <c r="AHA300" s="6"/>
      <c r="AHB300" s="6"/>
      <c r="AHC300" s="6"/>
      <c r="AHD300" s="6"/>
      <c r="AHE300" s="6"/>
      <c r="AHF300" s="6"/>
      <c r="AHG300" s="6"/>
      <c r="AHH300" s="6"/>
      <c r="AHI300" s="6"/>
      <c r="AHJ300" s="6"/>
      <c r="AHK300" s="6"/>
      <c r="AHL300" s="6"/>
      <c r="AHM300" s="6"/>
      <c r="AHN300" s="6"/>
      <c r="AHO300" s="6"/>
      <c r="AHP300" s="6"/>
      <c r="AHQ300" s="6"/>
      <c r="AHR300" s="6"/>
      <c r="AHS300" s="6"/>
      <c r="AHT300" s="6"/>
      <c r="AHU300" s="6"/>
      <c r="AHV300" s="6"/>
      <c r="AHW300" s="6"/>
      <c r="AHX300" s="6"/>
      <c r="AHY300" s="6"/>
      <c r="AHZ300" s="6"/>
      <c r="AIA300" s="6"/>
      <c r="AIB300" s="6"/>
      <c r="AIC300" s="6"/>
      <c r="AID300" s="6"/>
      <c r="AIE300" s="6"/>
      <c r="AIF300" s="6"/>
      <c r="AIG300" s="6"/>
      <c r="AIH300" s="6"/>
      <c r="AII300" s="6"/>
      <c r="AIJ300" s="6"/>
      <c r="AIK300" s="6"/>
      <c r="AIL300" s="6"/>
      <c r="AIM300" s="6"/>
      <c r="AIN300" s="6"/>
      <c r="AIO300" s="6"/>
      <c r="AIP300" s="6"/>
      <c r="AIQ300" s="6"/>
      <c r="AIR300" s="6"/>
      <c r="AIS300" s="6"/>
      <c r="AIT300" s="6"/>
      <c r="AIU300" s="6"/>
      <c r="AIV300" s="6"/>
      <c r="AIW300" s="6"/>
      <c r="AIX300" s="6"/>
      <c r="AIY300" s="6"/>
      <c r="AIZ300" s="6"/>
      <c r="AJA300" s="6"/>
      <c r="AJB300" s="6"/>
      <c r="AJC300" s="6"/>
      <c r="AJD300" s="6"/>
      <c r="AJE300" s="6"/>
      <c r="AJF300" s="6"/>
      <c r="AJG300" s="6"/>
      <c r="AJH300" s="6"/>
      <c r="AJI300" s="6"/>
      <c r="AJJ300" s="6"/>
      <c r="AJK300" s="6"/>
      <c r="AJL300" s="6"/>
      <c r="AJM300" s="6"/>
      <c r="AJN300" s="6"/>
      <c r="AJO300" s="6"/>
      <c r="AJP300" s="6"/>
      <c r="AJQ300" s="6"/>
      <c r="AJR300" s="6"/>
      <c r="AJS300" s="6"/>
      <c r="AJT300" s="6"/>
      <c r="AJU300" s="6"/>
      <c r="AJV300" s="6"/>
      <c r="AJW300" s="6"/>
      <c r="AJX300" s="6"/>
      <c r="AJY300" s="6"/>
      <c r="AJZ300" s="6"/>
      <c r="AKA300" s="6"/>
      <c r="AKB300" s="6"/>
      <c r="AKC300" s="6"/>
      <c r="AKD300" s="6"/>
      <c r="AKE300" s="6"/>
      <c r="AKF300" s="6"/>
      <c r="AKG300" s="6"/>
      <c r="AKH300" s="6"/>
      <c r="AKI300" s="6"/>
      <c r="AKJ300" s="6"/>
      <c r="AKK300" s="6"/>
      <c r="AKL300" s="6"/>
      <c r="AKM300" s="6"/>
      <c r="AKN300" s="6"/>
      <c r="AKO300" s="6"/>
      <c r="AKP300" s="6"/>
      <c r="AKQ300" s="6"/>
      <c r="AKR300" s="6"/>
      <c r="AKS300" s="6"/>
      <c r="AKT300" s="6"/>
      <c r="AKU300" s="6"/>
      <c r="AKV300" s="6"/>
      <c r="AKW300" s="6"/>
      <c r="AKX300" s="6"/>
      <c r="AKY300" s="6"/>
      <c r="AKZ300" s="6"/>
      <c r="ALA300" s="6"/>
      <c r="ALB300" s="6"/>
      <c r="ALC300" s="6"/>
      <c r="ALD300" s="6"/>
      <c r="ALE300" s="6"/>
      <c r="ALF300" s="6"/>
      <c r="ALG300" s="6"/>
      <c r="ALH300" s="6"/>
      <c r="ALI300" s="6"/>
      <c r="ALJ300" s="6"/>
      <c r="ALK300" s="6"/>
      <c r="ALL300" s="6"/>
      <c r="ALM300" s="6"/>
      <c r="ALN300" s="6"/>
      <c r="ALO300" s="6"/>
      <c r="ALP300" s="6"/>
      <c r="ALQ300" s="6"/>
      <c r="ALR300" s="6"/>
      <c r="ALS300" s="6"/>
      <c r="ALT300" s="6"/>
      <c r="ALU300" s="6"/>
      <c r="ALV300" s="6"/>
      <c r="ALW300" s="6"/>
      <c r="ALX300" s="6"/>
      <c r="ALY300" s="6"/>
      <c r="ALZ300" s="6"/>
      <c r="AMA300" s="6"/>
      <c r="AMB300" s="6"/>
      <c r="AMC300" s="6"/>
      <c r="AMD300" s="6"/>
      <c r="AME300" s="6"/>
      <c r="AMF300" s="6"/>
      <c r="AMG300" s="6"/>
      <c r="AMH300" s="6"/>
      <c r="AMI300" s="6"/>
      <c r="AMJ300" s="6"/>
      <c r="AMK300" s="6"/>
      <c r="AML300" s="6"/>
      <c r="AMM300" s="6"/>
      <c r="AMN300" s="6"/>
      <c r="AMO300" s="6"/>
      <c r="AMP300" s="6"/>
    </row>
    <row r="301" spans="1:1030" x14ac:dyDescent="0.2">
      <c r="A301" s="3" t="str">
        <f t="shared" si="1398"/>
        <v>calcr_human_5UZ7</v>
      </c>
      <c r="B301" s="2" t="s">
        <v>401</v>
      </c>
      <c r="C301" s="3" t="s">
        <v>1408</v>
      </c>
      <c r="D301" s="3" t="str">
        <f>IFERROR(MID(VLOOKUP($B301,Seqs!$A:$B,2,0),E301,1),"")</f>
        <v>A</v>
      </c>
      <c r="E301" s="3">
        <v>136</v>
      </c>
      <c r="F301" s="3" t="str">
        <f>IFERROR(MID(VLOOKUP($B301,Seqs!$A:$B,2,0),G301,1),"")</f>
        <v>F</v>
      </c>
      <c r="G301" s="3">
        <v>173</v>
      </c>
      <c r="H301" s="3" t="str">
        <f>IFERROR(MID(VLOOKUP($B301,Seqs!$A:$B,2,0),I301,1),"")</f>
        <v>R</v>
      </c>
      <c r="I301" s="23">
        <v>174</v>
      </c>
      <c r="J301" s="3" t="str">
        <f>IFERROR(MID(VLOOKUP($B301,Seqs!$A:$B,2,0),K301,1),"")</f>
        <v>G</v>
      </c>
      <c r="K301" s="23">
        <v>177</v>
      </c>
      <c r="L301" s="3" t="str">
        <f>IFERROR(MID(VLOOKUP($B301,Seqs!$A:$B,2,0),M301,1),"")</f>
        <v>C</v>
      </c>
      <c r="M301" s="3">
        <v>178</v>
      </c>
      <c r="N301" s="3" t="str">
        <f>IFERROR(MID(VLOOKUP($B301,Seqs!$A:$B,2,0),O301,1),"")</f>
        <v>V</v>
      </c>
      <c r="O301" s="3">
        <v>205</v>
      </c>
      <c r="P301" s="3" t="str">
        <f>IFERROR(MID(VLOOKUP($B301,Seqs!$A:$B,2,0),Q301,1),"")</f>
        <v/>
      </c>
      <c r="Q301" s="3" t="s">
        <v>23</v>
      </c>
      <c r="R301" s="3" t="str">
        <f>IFERROR(MID(VLOOKUP($B301,Seqs!$A:$B,2,0),S301,1),"")</f>
        <v/>
      </c>
      <c r="S301" s="3" t="s">
        <v>23</v>
      </c>
      <c r="T301" s="3" t="str">
        <f>IFERROR(MID(VLOOKUP($B301,Seqs!$A:$B,2,0),U301,1),"")</f>
        <v>D</v>
      </c>
      <c r="U301" s="3">
        <v>215</v>
      </c>
      <c r="V301" s="3" t="str">
        <f>IFERROR(MID(VLOOKUP($B301,Seqs!$A:$B,2,0),W301,1),"")</f>
        <v>V</v>
      </c>
      <c r="W301" s="3">
        <v>250</v>
      </c>
      <c r="X301" s="3" t="str">
        <f>IFERROR(MID(VLOOKUP($B301,Seqs!$A:$B,2,0),Y301,1),"")</f>
        <v/>
      </c>
      <c r="Y301" s="3" t="s">
        <v>23</v>
      </c>
      <c r="Z301" s="3" t="str">
        <f>IFERROR(MID(VLOOKUP($B301,Seqs!$A:$B,2,0),AA301,1),"")</f>
        <v/>
      </c>
      <c r="AA301" s="3" t="s">
        <v>23</v>
      </c>
      <c r="AB301" s="3" t="str">
        <f>IFERROR(MID(VLOOKUP($B301,Seqs!$A:$B,2,0),AC301,1),"")</f>
        <v>R</v>
      </c>
      <c r="AC301" s="3">
        <v>258</v>
      </c>
      <c r="AD301" s="3" t="str">
        <f>IFERROR(MID(VLOOKUP($B301,Seqs!$A:$B,2,0),AE301,1),"")</f>
        <v>F</v>
      </c>
      <c r="AE301" s="3">
        <v>285</v>
      </c>
      <c r="AF301" s="3" t="str">
        <f>IFERROR(MID(VLOOKUP($B301,Seqs!$A:$B,2,0),AG301,1),"")</f>
        <v>C</v>
      </c>
      <c r="AG301" s="3">
        <v>289</v>
      </c>
      <c r="AH301" s="3" t="str">
        <f>IFERROR(MID(VLOOKUP($B301,Seqs!$A:$B,2,0),AI301,1),"")</f>
        <v>L</v>
      </c>
      <c r="AI301" s="3">
        <v>291</v>
      </c>
      <c r="AJ301" s="3" t="str">
        <f>IFERROR(MID(VLOOKUP($B301,Seqs!$A:$B,2,0),AK301,1),"")</f>
        <v>L</v>
      </c>
      <c r="AK301" s="3">
        <v>298</v>
      </c>
      <c r="AL301" s="3" t="str">
        <f>IFERROR(MID(VLOOKUP($B301,Seqs!$A:$B,2,0),AM301,1),"")</f>
        <v>R</v>
      </c>
      <c r="AM301" s="3">
        <v>328</v>
      </c>
      <c r="AN301" s="3" t="str">
        <f>IFERROR(MID(VLOOKUP($B301,Seqs!$A:$B,2,0),AO301,1),"")</f>
        <v>L</v>
      </c>
      <c r="AO301" s="3">
        <v>352</v>
      </c>
      <c r="AP301" s="3" t="str">
        <f>IFERROR(MID(VLOOKUP($B301,Seqs!$A:$B,2,0),AQ301,1),"")</f>
        <v>P</v>
      </c>
      <c r="AQ301" s="3">
        <v>360</v>
      </c>
      <c r="AR301" s="3" t="str">
        <f>IFERROR(MID(VLOOKUP($B301,Seqs!$A:$B,2,0),AS301,1),"")</f>
        <v>K</v>
      </c>
      <c r="AS301" s="3">
        <v>366</v>
      </c>
      <c r="AT301" s="3" t="str">
        <f>IFERROR(MID(VLOOKUP($B301,Seqs!$A:$B,2,0),AU301,1),"")</f>
        <v>C</v>
      </c>
      <c r="AU301" s="3">
        <v>394</v>
      </c>
      <c r="AV301" s="3" t="str">
        <f>IFERROR(MID(VLOOKUP($B301,Seqs!$A:$B,2,0),AW301,1),"")</f>
        <v>N</v>
      </c>
      <c r="AW301" s="3">
        <v>395</v>
      </c>
      <c r="AX301" s="3" t="str">
        <f>IFERROR(MID(VLOOKUP($B301,Seqs!$A:$B,2,0),AY301,1),"")</f>
        <v>G</v>
      </c>
      <c r="AY301" s="3">
        <v>418</v>
      </c>
      <c r="AZ301" s="77" t="str">
        <f>VLOOKUP(B301,Classification!A:D,2,0)</f>
        <v>B1</v>
      </c>
      <c r="BA301" s="94" t="str">
        <f>VLOOKUP(B301,Classification!A:D,4,0)</f>
        <v>Calcitonin</v>
      </c>
      <c r="BB301" s="27" t="b">
        <f t="shared" si="1371"/>
        <v>1</v>
      </c>
      <c r="BC301" s="23">
        <f t="shared" si="1372"/>
        <v>232</v>
      </c>
      <c r="BD301" s="4" t="s">
        <v>23</v>
      </c>
      <c r="BE301" s="3" t="s">
        <v>1297</v>
      </c>
      <c r="BF301" s="119">
        <v>4.0999999999999996</v>
      </c>
      <c r="BG301" s="49" t="s">
        <v>1383</v>
      </c>
      <c r="BH301" s="49" t="s">
        <v>1383</v>
      </c>
      <c r="BI301" s="1"/>
      <c r="BJ301" s="70" t="s">
        <v>1293</v>
      </c>
      <c r="BK301" s="57" t="s">
        <v>1293</v>
      </c>
      <c r="BL301" s="57" t="s">
        <v>1293</v>
      </c>
      <c r="BM301" s="57" t="s">
        <v>1293</v>
      </c>
      <c r="BN301" s="57" t="s">
        <v>1293</v>
      </c>
      <c r="BO301" s="57" t="s">
        <v>1293</v>
      </c>
      <c r="BP301" s="57" t="s">
        <v>1293</v>
      </c>
      <c r="BQ301" s="57" t="s">
        <v>1293</v>
      </c>
      <c r="BR301" s="57" t="s">
        <v>1293</v>
      </c>
      <c r="BS301" s="57" t="s">
        <v>1293</v>
      </c>
      <c r="BT301" s="57" t="s">
        <v>1293</v>
      </c>
      <c r="BU301" s="57" t="s">
        <v>1293</v>
      </c>
      <c r="BV301" s="70">
        <f t="shared" si="1373"/>
        <v>136</v>
      </c>
      <c r="BW301" s="71">
        <f t="shared" si="1374"/>
        <v>174</v>
      </c>
      <c r="BX301" s="72">
        <f t="shared" si="1375"/>
        <v>178</v>
      </c>
      <c r="BY301" s="71" t="str">
        <f t="shared" si="1376"/>
        <v>-</v>
      </c>
      <c r="BZ301" s="72">
        <f t="shared" si="1377"/>
        <v>215</v>
      </c>
      <c r="CA301" s="71" t="str">
        <f t="shared" si="1378"/>
        <v>-</v>
      </c>
      <c r="CB301" s="72">
        <f t="shared" si="1379"/>
        <v>258</v>
      </c>
      <c r="CC301" s="71">
        <f t="shared" si="1380"/>
        <v>289</v>
      </c>
      <c r="CD301" s="72">
        <f t="shared" si="1381"/>
        <v>298</v>
      </c>
      <c r="CE301" s="71">
        <f t="shared" si="1382"/>
        <v>352</v>
      </c>
      <c r="CF301" s="72">
        <f t="shared" si="1383"/>
        <v>366</v>
      </c>
      <c r="CG301" s="71">
        <f t="shared" si="1384"/>
        <v>395</v>
      </c>
      <c r="CH301" s="70">
        <f t="shared" si="1385"/>
        <v>173</v>
      </c>
      <c r="CI301" s="71">
        <f t="shared" si="1386"/>
        <v>177</v>
      </c>
      <c r="CJ301" s="72">
        <f t="shared" si="1387"/>
        <v>205</v>
      </c>
      <c r="CK301" s="72" t="str">
        <f t="shared" si="1388"/>
        <v>-</v>
      </c>
      <c r="CL301" s="72">
        <f t="shared" si="1389"/>
        <v>250</v>
      </c>
      <c r="CM301" s="72" t="str">
        <f t="shared" si="1390"/>
        <v>-</v>
      </c>
      <c r="CN301" s="72">
        <f t="shared" si="1391"/>
        <v>285</v>
      </c>
      <c r="CO301" s="72">
        <f t="shared" si="1392"/>
        <v>291</v>
      </c>
      <c r="CP301" s="72">
        <f t="shared" si="1393"/>
        <v>328</v>
      </c>
      <c r="CQ301" s="72">
        <f t="shared" si="1394"/>
        <v>360</v>
      </c>
      <c r="CR301" s="72">
        <f t="shared" si="1395"/>
        <v>394</v>
      </c>
      <c r="CS301" s="72">
        <f t="shared" si="1396"/>
        <v>418</v>
      </c>
      <c r="CT301" s="23">
        <f t="shared" si="1397"/>
        <v>1</v>
      </c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Q301" s="6"/>
      <c r="KR301" s="6"/>
      <c r="KS301" s="6"/>
      <c r="KT301" s="6"/>
      <c r="KU301" s="6"/>
      <c r="KV301" s="6"/>
      <c r="KW301" s="6"/>
      <c r="KX301" s="6"/>
      <c r="KY301" s="6"/>
      <c r="KZ301" s="6"/>
      <c r="LA301" s="6"/>
      <c r="LB301" s="6"/>
      <c r="LC301" s="6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"/>
      <c r="LU301" s="6"/>
      <c r="LV301" s="6"/>
      <c r="LW301" s="6"/>
      <c r="LX301" s="6"/>
      <c r="LY301" s="6"/>
      <c r="LZ301" s="6"/>
      <c r="MA301" s="6"/>
      <c r="MB301" s="6"/>
      <c r="MC301" s="6"/>
      <c r="MD301" s="6"/>
      <c r="ME301" s="6"/>
      <c r="MF301" s="6"/>
      <c r="MG301" s="6"/>
      <c r="MH301" s="6"/>
      <c r="MI301" s="6"/>
      <c r="MJ301" s="6"/>
      <c r="MK301" s="6"/>
      <c r="ML301" s="6"/>
      <c r="MM301" s="6"/>
      <c r="MN301" s="6"/>
      <c r="MO301" s="6"/>
      <c r="MP301" s="6"/>
      <c r="MQ301" s="6"/>
      <c r="MR301" s="6"/>
      <c r="MS301" s="6"/>
      <c r="MT301" s="6"/>
      <c r="MU301" s="6"/>
      <c r="MV301" s="6"/>
      <c r="MW301" s="6"/>
      <c r="MX301" s="6"/>
      <c r="MY301" s="6"/>
      <c r="MZ301" s="6"/>
      <c r="NA301" s="6"/>
      <c r="NB301" s="6"/>
      <c r="NC301" s="6"/>
      <c r="ND301" s="6"/>
      <c r="NE301" s="6"/>
      <c r="NF301" s="6"/>
      <c r="NG301" s="6"/>
      <c r="NH301" s="6"/>
      <c r="NI301" s="6"/>
      <c r="NJ301" s="6"/>
      <c r="NK301" s="6"/>
      <c r="NL301" s="6"/>
      <c r="NM301" s="6"/>
      <c r="NN301" s="6"/>
      <c r="NO301" s="6"/>
      <c r="NP301" s="6"/>
      <c r="NQ301" s="6"/>
      <c r="NR301" s="6"/>
      <c r="NS301" s="6"/>
      <c r="NT301" s="6"/>
      <c r="NU301" s="6"/>
      <c r="NV301" s="6"/>
      <c r="NW301" s="6"/>
      <c r="NX301" s="6"/>
      <c r="NY301" s="6"/>
      <c r="NZ301" s="6"/>
      <c r="OA301" s="6"/>
      <c r="OB301" s="6"/>
      <c r="OC301" s="6"/>
      <c r="OD301" s="6"/>
      <c r="OE301" s="6"/>
      <c r="OF301" s="6"/>
      <c r="OG301" s="6"/>
      <c r="OH301" s="6"/>
      <c r="OI301" s="6"/>
      <c r="OJ301" s="6"/>
      <c r="OK301" s="6"/>
      <c r="OL301" s="6"/>
      <c r="OM301" s="6"/>
      <c r="ON301" s="6"/>
      <c r="OO301" s="6"/>
      <c r="OP301" s="6"/>
      <c r="OQ301" s="6"/>
      <c r="OR301" s="6"/>
      <c r="OS301" s="6"/>
      <c r="OT301" s="6"/>
      <c r="OU301" s="6"/>
      <c r="OV301" s="6"/>
      <c r="OW301" s="6"/>
      <c r="OX301" s="6"/>
      <c r="OY301" s="6"/>
      <c r="OZ301" s="6"/>
      <c r="PA301" s="6"/>
      <c r="PB301" s="6"/>
      <c r="PC301" s="6"/>
      <c r="PD301" s="6"/>
      <c r="PE301" s="6"/>
      <c r="PF301" s="6"/>
      <c r="PG301" s="6"/>
      <c r="PH301" s="6"/>
      <c r="PI301" s="6"/>
      <c r="PJ301" s="6"/>
      <c r="PK301" s="6"/>
      <c r="PL301" s="6"/>
      <c r="PM301" s="6"/>
      <c r="PN301" s="6"/>
      <c r="PO301" s="6"/>
      <c r="PP301" s="6"/>
      <c r="PQ301" s="6"/>
      <c r="PR301" s="6"/>
      <c r="PS301" s="6"/>
      <c r="PT301" s="6"/>
      <c r="PU301" s="6"/>
      <c r="PV301" s="6"/>
      <c r="PW301" s="6"/>
      <c r="PX301" s="6"/>
      <c r="PY301" s="6"/>
      <c r="PZ301" s="6"/>
      <c r="QA301" s="6"/>
      <c r="QB301" s="6"/>
      <c r="QC301" s="6"/>
      <c r="QD301" s="6"/>
      <c r="QE301" s="6"/>
      <c r="QF301" s="6"/>
      <c r="QG301" s="6"/>
      <c r="QH301" s="6"/>
      <c r="QI301" s="6"/>
      <c r="QJ301" s="6"/>
      <c r="QK301" s="6"/>
      <c r="QL301" s="6"/>
      <c r="QM301" s="6"/>
      <c r="QN301" s="6"/>
      <c r="QO301" s="6"/>
      <c r="QP301" s="6"/>
      <c r="QQ301" s="6"/>
      <c r="QR301" s="6"/>
      <c r="QS301" s="6"/>
      <c r="QT301" s="6"/>
      <c r="QU301" s="6"/>
      <c r="QV301" s="6"/>
      <c r="QW301" s="6"/>
      <c r="QX301" s="6"/>
      <c r="QY301" s="6"/>
      <c r="QZ301" s="6"/>
      <c r="RA301" s="6"/>
      <c r="RB301" s="6"/>
      <c r="RC301" s="6"/>
      <c r="RD301" s="6"/>
      <c r="RE301" s="6"/>
      <c r="RF301" s="6"/>
      <c r="RG301" s="6"/>
      <c r="RH301" s="6"/>
      <c r="RI301" s="6"/>
      <c r="RJ301" s="6"/>
      <c r="RK301" s="6"/>
      <c r="RL301" s="6"/>
      <c r="RM301" s="6"/>
      <c r="RN301" s="6"/>
      <c r="RO301" s="6"/>
      <c r="RP301" s="6"/>
      <c r="RQ301" s="6"/>
      <c r="RR301" s="6"/>
      <c r="RS301" s="6"/>
      <c r="RT301" s="6"/>
      <c r="RU301" s="6"/>
      <c r="RV301" s="6"/>
      <c r="RW301" s="6"/>
      <c r="RX301" s="6"/>
      <c r="RY301" s="6"/>
      <c r="RZ301" s="6"/>
      <c r="SA301" s="6"/>
      <c r="SB301" s="6"/>
      <c r="SC301" s="6"/>
      <c r="SD301" s="6"/>
      <c r="SE301" s="6"/>
      <c r="SF301" s="6"/>
      <c r="SG301" s="6"/>
      <c r="SH301" s="6"/>
      <c r="SI301" s="6"/>
      <c r="SJ301" s="6"/>
      <c r="SK301" s="6"/>
      <c r="SL301" s="6"/>
      <c r="SM301" s="6"/>
      <c r="SN301" s="6"/>
      <c r="SO301" s="6"/>
      <c r="SP301" s="6"/>
      <c r="SQ301" s="6"/>
      <c r="SR301" s="6"/>
      <c r="SS301" s="6"/>
      <c r="ST301" s="6"/>
      <c r="SU301" s="6"/>
      <c r="SV301" s="6"/>
      <c r="SW301" s="6"/>
      <c r="SX301" s="6"/>
      <c r="SY301" s="6"/>
      <c r="SZ301" s="6"/>
      <c r="TA301" s="6"/>
      <c r="TB301" s="6"/>
      <c r="TC301" s="6"/>
      <c r="TD301" s="6"/>
      <c r="TE301" s="6"/>
      <c r="TF301" s="6"/>
      <c r="TG301" s="6"/>
      <c r="TH301" s="6"/>
      <c r="TI301" s="6"/>
      <c r="TJ301" s="6"/>
      <c r="TK301" s="6"/>
      <c r="TL301" s="6"/>
      <c r="TM301" s="6"/>
      <c r="TN301" s="6"/>
      <c r="TO301" s="6"/>
      <c r="TP301" s="6"/>
      <c r="TQ301" s="6"/>
      <c r="TR301" s="6"/>
      <c r="TS301" s="6"/>
      <c r="TT301" s="6"/>
      <c r="TU301" s="6"/>
      <c r="TV301" s="6"/>
      <c r="TW301" s="6"/>
      <c r="TX301" s="6"/>
      <c r="TY301" s="6"/>
      <c r="TZ301" s="6"/>
      <c r="UA301" s="6"/>
      <c r="UB301" s="6"/>
      <c r="UC301" s="6"/>
      <c r="UD301" s="6"/>
      <c r="UE301" s="6"/>
      <c r="UF301" s="6"/>
      <c r="UG301" s="6"/>
      <c r="UH301" s="6"/>
      <c r="UI301" s="6"/>
      <c r="UJ301" s="6"/>
      <c r="UK301" s="6"/>
      <c r="UL301" s="6"/>
      <c r="UM301" s="6"/>
      <c r="UN301" s="6"/>
      <c r="UO301" s="6"/>
      <c r="UP301" s="6"/>
      <c r="UQ301" s="6"/>
      <c r="UR301" s="6"/>
      <c r="US301" s="6"/>
      <c r="UT301" s="6"/>
      <c r="UU301" s="6"/>
      <c r="UV301" s="6"/>
      <c r="UW301" s="6"/>
      <c r="UX301" s="6"/>
      <c r="UY301" s="6"/>
      <c r="UZ301" s="6"/>
      <c r="VA301" s="6"/>
      <c r="VB301" s="6"/>
      <c r="VC301" s="6"/>
      <c r="VD301" s="6"/>
      <c r="VE301" s="6"/>
      <c r="VF301" s="6"/>
      <c r="VG301" s="6"/>
      <c r="VH301" s="6"/>
      <c r="VI301" s="6"/>
      <c r="VJ301" s="6"/>
      <c r="VK301" s="6"/>
      <c r="VL301" s="6"/>
      <c r="VM301" s="6"/>
      <c r="VN301" s="6"/>
      <c r="VO301" s="6"/>
      <c r="VP301" s="6"/>
      <c r="VQ301" s="6"/>
      <c r="VR301" s="6"/>
      <c r="VS301" s="6"/>
      <c r="VT301" s="6"/>
      <c r="VU301" s="6"/>
      <c r="VV301" s="6"/>
      <c r="VW301" s="6"/>
      <c r="VX301" s="6"/>
      <c r="VY301" s="6"/>
      <c r="VZ301" s="6"/>
      <c r="WA301" s="6"/>
      <c r="WB301" s="6"/>
      <c r="WC301" s="6"/>
      <c r="WD301" s="6"/>
      <c r="WE301" s="6"/>
      <c r="WF301" s="6"/>
      <c r="WG301" s="6"/>
      <c r="WH301" s="6"/>
      <c r="WI301" s="6"/>
      <c r="WJ301" s="6"/>
      <c r="WK301" s="6"/>
      <c r="WL301" s="6"/>
      <c r="WM301" s="6"/>
      <c r="WN301" s="6"/>
      <c r="WO301" s="6"/>
      <c r="WP301" s="6"/>
      <c r="WQ301" s="6"/>
      <c r="WR301" s="6"/>
      <c r="WS301" s="6"/>
      <c r="WT301" s="6"/>
      <c r="WU301" s="6"/>
      <c r="WV301" s="6"/>
      <c r="WW301" s="6"/>
      <c r="WX301" s="6"/>
      <c r="WY301" s="6"/>
      <c r="WZ301" s="6"/>
      <c r="XA301" s="6"/>
      <c r="XB301" s="6"/>
      <c r="XC301" s="6"/>
      <c r="XD301" s="6"/>
      <c r="XE301" s="6"/>
      <c r="XF301" s="6"/>
      <c r="XG301" s="6"/>
      <c r="XH301" s="6"/>
      <c r="XI301" s="6"/>
      <c r="XJ301" s="6"/>
      <c r="XK301" s="6"/>
      <c r="XL301" s="6"/>
      <c r="XM301" s="6"/>
      <c r="XN301" s="6"/>
      <c r="XO301" s="6"/>
      <c r="XP301" s="6"/>
      <c r="XQ301" s="6"/>
      <c r="XR301" s="6"/>
      <c r="XS301" s="6"/>
      <c r="XT301" s="6"/>
      <c r="XU301" s="6"/>
      <c r="XV301" s="6"/>
      <c r="XW301" s="6"/>
      <c r="XX301" s="6"/>
      <c r="XY301" s="6"/>
      <c r="XZ301" s="6"/>
      <c r="YA301" s="6"/>
      <c r="YB301" s="6"/>
      <c r="YC301" s="6"/>
      <c r="YD301" s="6"/>
      <c r="YE301" s="6"/>
      <c r="YF301" s="6"/>
      <c r="YG301" s="6"/>
      <c r="YH301" s="6"/>
      <c r="YI301" s="6"/>
      <c r="YJ301" s="6"/>
      <c r="YK301" s="6"/>
      <c r="YL301" s="6"/>
      <c r="YM301" s="6"/>
      <c r="YN301" s="6"/>
      <c r="YO301" s="6"/>
      <c r="YP301" s="6"/>
      <c r="YQ301" s="6"/>
      <c r="YR301" s="6"/>
      <c r="YS301" s="6"/>
      <c r="YT301" s="6"/>
      <c r="YU301" s="6"/>
      <c r="YV301" s="6"/>
      <c r="YW301" s="6"/>
      <c r="YX301" s="6"/>
      <c r="YY301" s="6"/>
      <c r="YZ301" s="6"/>
      <c r="ZA301" s="6"/>
      <c r="ZB301" s="6"/>
      <c r="ZC301" s="6"/>
      <c r="ZD301" s="6"/>
      <c r="ZE301" s="6"/>
      <c r="ZF301" s="6"/>
      <c r="ZG301" s="6"/>
      <c r="ZH301" s="6"/>
      <c r="ZI301" s="6"/>
      <c r="ZJ301" s="6"/>
      <c r="ZK301" s="6"/>
      <c r="ZL301" s="6"/>
      <c r="ZM301" s="6"/>
      <c r="ZN301" s="6"/>
      <c r="ZO301" s="6"/>
      <c r="ZP301" s="6"/>
      <c r="ZQ301" s="6"/>
      <c r="ZR301" s="6"/>
      <c r="ZS301" s="6"/>
      <c r="ZT301" s="6"/>
      <c r="ZU301" s="6"/>
      <c r="ZV301" s="6"/>
      <c r="ZW301" s="6"/>
      <c r="ZX301" s="6"/>
      <c r="ZY301" s="6"/>
      <c r="ZZ301" s="6"/>
      <c r="AAA301" s="6"/>
      <c r="AAB301" s="6"/>
      <c r="AAC301" s="6"/>
      <c r="AAD301" s="6"/>
      <c r="AAE301" s="6"/>
      <c r="AAF301" s="6"/>
      <c r="AAG301" s="6"/>
      <c r="AAH301" s="6"/>
      <c r="AAI301" s="6"/>
      <c r="AAJ301" s="6"/>
      <c r="AAK301" s="6"/>
      <c r="AAL301" s="6"/>
      <c r="AAM301" s="6"/>
      <c r="AAN301" s="6"/>
      <c r="AAO301" s="6"/>
      <c r="AAP301" s="6"/>
      <c r="AAQ301" s="6"/>
      <c r="AAR301" s="6"/>
      <c r="AAS301" s="6"/>
      <c r="AAT301" s="6"/>
      <c r="AAU301" s="6"/>
      <c r="AAV301" s="6"/>
      <c r="AAW301" s="6"/>
      <c r="AAX301" s="6"/>
      <c r="AAY301" s="6"/>
      <c r="AAZ301" s="6"/>
      <c r="ABA301" s="6"/>
      <c r="ABB301" s="6"/>
      <c r="ABC301" s="6"/>
      <c r="ABD301" s="6"/>
      <c r="ABE301" s="6"/>
      <c r="ABF301" s="6"/>
      <c r="ABG301" s="6"/>
      <c r="ABH301" s="6"/>
      <c r="ABI301" s="6"/>
      <c r="ABJ301" s="6"/>
      <c r="ABK301" s="6"/>
      <c r="ABL301" s="6"/>
      <c r="ABM301" s="6"/>
      <c r="ABN301" s="6"/>
      <c r="ABO301" s="6"/>
      <c r="ABP301" s="6"/>
      <c r="ABQ301" s="6"/>
      <c r="ABR301" s="6"/>
      <c r="ABS301" s="6"/>
      <c r="ABT301" s="6"/>
      <c r="ABU301" s="6"/>
      <c r="ABV301" s="6"/>
      <c r="ABW301" s="6"/>
      <c r="ABX301" s="6"/>
      <c r="ABY301" s="6"/>
      <c r="ABZ301" s="6"/>
      <c r="ACA301" s="6"/>
      <c r="ACB301" s="6"/>
      <c r="ACC301" s="6"/>
      <c r="ACD301" s="6"/>
      <c r="ACE301" s="6"/>
      <c r="ACF301" s="6"/>
      <c r="ACG301" s="6"/>
      <c r="ACH301" s="6"/>
      <c r="ACI301" s="6"/>
      <c r="ACJ301" s="6"/>
      <c r="ACK301" s="6"/>
      <c r="ACL301" s="6"/>
      <c r="ACM301" s="6"/>
      <c r="ACN301" s="6"/>
      <c r="ACO301" s="6"/>
      <c r="ACP301" s="6"/>
      <c r="ACQ301" s="6"/>
      <c r="ACR301" s="6"/>
      <c r="ACS301" s="6"/>
      <c r="ACT301" s="6"/>
      <c r="ACU301" s="6"/>
      <c r="ACV301" s="6"/>
      <c r="ACW301" s="6"/>
      <c r="ACX301" s="6"/>
      <c r="ACY301" s="6"/>
      <c r="ACZ301" s="6"/>
      <c r="ADA301" s="6"/>
      <c r="ADB301" s="6"/>
      <c r="ADC301" s="6"/>
      <c r="ADD301" s="6"/>
      <c r="ADE301" s="6"/>
      <c r="ADF301" s="6"/>
      <c r="ADG301" s="6"/>
      <c r="ADH301" s="6"/>
      <c r="ADI301" s="6"/>
      <c r="ADJ301" s="6"/>
      <c r="ADK301" s="6"/>
      <c r="ADL301" s="6"/>
      <c r="ADM301" s="6"/>
      <c r="ADN301" s="6"/>
      <c r="ADO301" s="6"/>
      <c r="ADP301" s="6"/>
      <c r="ADQ301" s="6"/>
      <c r="ADR301" s="6"/>
      <c r="ADS301" s="6"/>
      <c r="ADT301" s="6"/>
      <c r="ADU301" s="6"/>
      <c r="ADV301" s="6"/>
      <c r="ADW301" s="6"/>
      <c r="ADX301" s="6"/>
      <c r="ADY301" s="6"/>
      <c r="ADZ301" s="6"/>
      <c r="AEA301" s="6"/>
      <c r="AEB301" s="6"/>
      <c r="AEC301" s="6"/>
      <c r="AED301" s="6"/>
      <c r="AEE301" s="6"/>
      <c r="AEF301" s="6"/>
      <c r="AEG301" s="6"/>
      <c r="AEH301" s="6"/>
      <c r="AEI301" s="6"/>
      <c r="AEJ301" s="6"/>
      <c r="AEK301" s="6"/>
      <c r="AEL301" s="6"/>
      <c r="AEM301" s="6"/>
      <c r="AEN301" s="6"/>
      <c r="AEO301" s="6"/>
      <c r="AEP301" s="6"/>
      <c r="AEQ301" s="6"/>
      <c r="AER301" s="6"/>
      <c r="AES301" s="6"/>
      <c r="AET301" s="6"/>
      <c r="AEU301" s="6"/>
      <c r="AEV301" s="6"/>
      <c r="AEW301" s="6"/>
      <c r="AEX301" s="6"/>
      <c r="AEY301" s="6"/>
      <c r="AEZ301" s="6"/>
      <c r="AFA301" s="6"/>
      <c r="AFB301" s="6"/>
      <c r="AFC301" s="6"/>
      <c r="AFD301" s="6"/>
      <c r="AFE301" s="6"/>
      <c r="AFF301" s="6"/>
      <c r="AFG301" s="6"/>
      <c r="AFH301" s="6"/>
      <c r="AFI301" s="6"/>
      <c r="AFJ301" s="6"/>
      <c r="AFK301" s="6"/>
      <c r="AFL301" s="6"/>
      <c r="AFM301" s="6"/>
      <c r="AFN301" s="6"/>
      <c r="AFO301" s="6"/>
      <c r="AFP301" s="6"/>
      <c r="AFQ301" s="6"/>
      <c r="AFR301" s="6"/>
      <c r="AFS301" s="6"/>
      <c r="AFT301" s="6"/>
      <c r="AFU301" s="6"/>
      <c r="AFV301" s="6"/>
      <c r="AFW301" s="6"/>
      <c r="AFX301" s="6"/>
      <c r="AFY301" s="6"/>
      <c r="AFZ301" s="6"/>
      <c r="AGA301" s="6"/>
      <c r="AGB301" s="6"/>
      <c r="AGC301" s="6"/>
      <c r="AGD301" s="6"/>
      <c r="AGE301" s="6"/>
      <c r="AGF301" s="6"/>
      <c r="AGG301" s="6"/>
      <c r="AGH301" s="6"/>
      <c r="AGI301" s="6"/>
      <c r="AGJ301" s="6"/>
      <c r="AGK301" s="6"/>
      <c r="AGL301" s="6"/>
      <c r="AGM301" s="6"/>
      <c r="AGN301" s="6"/>
      <c r="AGO301" s="6"/>
      <c r="AGP301" s="6"/>
      <c r="AGQ301" s="6"/>
      <c r="AGR301" s="6"/>
      <c r="AGS301" s="6"/>
      <c r="AGT301" s="6"/>
      <c r="AGU301" s="6"/>
      <c r="AGV301" s="6"/>
      <c r="AGW301" s="6"/>
      <c r="AGX301" s="6"/>
      <c r="AGY301" s="6"/>
      <c r="AGZ301" s="6"/>
      <c r="AHA301" s="6"/>
      <c r="AHB301" s="6"/>
      <c r="AHC301" s="6"/>
      <c r="AHD301" s="6"/>
      <c r="AHE301" s="6"/>
      <c r="AHF301" s="6"/>
      <c r="AHG301" s="6"/>
      <c r="AHH301" s="6"/>
      <c r="AHI301" s="6"/>
      <c r="AHJ301" s="6"/>
      <c r="AHK301" s="6"/>
      <c r="AHL301" s="6"/>
      <c r="AHM301" s="6"/>
      <c r="AHN301" s="6"/>
      <c r="AHO301" s="6"/>
      <c r="AHP301" s="6"/>
      <c r="AHQ301" s="6"/>
      <c r="AHR301" s="6"/>
      <c r="AHS301" s="6"/>
      <c r="AHT301" s="6"/>
      <c r="AHU301" s="6"/>
      <c r="AHV301" s="6"/>
      <c r="AHW301" s="6"/>
      <c r="AHX301" s="6"/>
      <c r="AHY301" s="6"/>
      <c r="AHZ301" s="6"/>
      <c r="AIA301" s="6"/>
      <c r="AIB301" s="6"/>
      <c r="AIC301" s="6"/>
      <c r="AID301" s="6"/>
      <c r="AIE301" s="6"/>
      <c r="AIF301" s="6"/>
      <c r="AIG301" s="6"/>
      <c r="AIH301" s="6"/>
      <c r="AII301" s="6"/>
      <c r="AIJ301" s="6"/>
      <c r="AIK301" s="6"/>
      <c r="AIL301" s="6"/>
      <c r="AIM301" s="6"/>
      <c r="AIN301" s="6"/>
      <c r="AIO301" s="6"/>
      <c r="AIP301" s="6"/>
      <c r="AIQ301" s="6"/>
      <c r="AIR301" s="6"/>
      <c r="AIS301" s="6"/>
      <c r="AIT301" s="6"/>
      <c r="AIU301" s="6"/>
      <c r="AIV301" s="6"/>
      <c r="AIW301" s="6"/>
      <c r="AIX301" s="6"/>
      <c r="AIY301" s="6"/>
      <c r="AIZ301" s="6"/>
      <c r="AJA301" s="6"/>
      <c r="AJB301" s="6"/>
      <c r="AJC301" s="6"/>
      <c r="AJD301" s="6"/>
      <c r="AJE301" s="6"/>
      <c r="AJF301" s="6"/>
      <c r="AJG301" s="6"/>
      <c r="AJH301" s="6"/>
      <c r="AJI301" s="6"/>
      <c r="AJJ301" s="6"/>
      <c r="AJK301" s="6"/>
      <c r="AJL301" s="6"/>
      <c r="AJM301" s="6"/>
      <c r="AJN301" s="6"/>
      <c r="AJO301" s="6"/>
      <c r="AJP301" s="6"/>
      <c r="AJQ301" s="6"/>
      <c r="AJR301" s="6"/>
      <c r="AJS301" s="6"/>
      <c r="AJT301" s="6"/>
      <c r="AJU301" s="6"/>
      <c r="AJV301" s="6"/>
      <c r="AJW301" s="6"/>
      <c r="AJX301" s="6"/>
      <c r="AJY301" s="6"/>
      <c r="AJZ301" s="6"/>
      <c r="AKA301" s="6"/>
      <c r="AKB301" s="6"/>
      <c r="AKC301" s="6"/>
      <c r="AKD301" s="6"/>
      <c r="AKE301" s="6"/>
      <c r="AKF301" s="6"/>
      <c r="AKG301" s="6"/>
      <c r="AKH301" s="6"/>
      <c r="AKI301" s="6"/>
      <c r="AKJ301" s="6"/>
      <c r="AKK301" s="6"/>
      <c r="AKL301" s="6"/>
      <c r="AKM301" s="6"/>
      <c r="AKN301" s="6"/>
      <c r="AKO301" s="6"/>
      <c r="AKP301" s="6"/>
      <c r="AKQ301" s="6"/>
      <c r="AKR301" s="6"/>
      <c r="AKS301" s="6"/>
      <c r="AKT301" s="6"/>
      <c r="AKU301" s="6"/>
      <c r="AKV301" s="6"/>
      <c r="AKW301" s="6"/>
      <c r="AKX301" s="6"/>
      <c r="AKY301" s="6"/>
      <c r="AKZ301" s="6"/>
      <c r="ALA301" s="6"/>
      <c r="ALB301" s="6"/>
      <c r="ALC301" s="6"/>
      <c r="ALD301" s="6"/>
      <c r="ALE301" s="6"/>
      <c r="ALF301" s="6"/>
      <c r="ALG301" s="6"/>
      <c r="ALH301" s="6"/>
      <c r="ALI301" s="6"/>
      <c r="ALJ301" s="6"/>
      <c r="ALK301" s="6"/>
      <c r="ALL301" s="6"/>
      <c r="ALM301" s="6"/>
      <c r="ALN301" s="6"/>
      <c r="ALO301" s="6"/>
      <c r="ALP301" s="6"/>
      <c r="ALQ301" s="6"/>
      <c r="ALR301" s="6"/>
      <c r="ALS301" s="6"/>
      <c r="ALT301" s="6"/>
      <c r="ALU301" s="6"/>
      <c r="ALV301" s="6"/>
      <c r="ALW301" s="6"/>
      <c r="ALX301" s="6"/>
      <c r="ALY301" s="6"/>
      <c r="ALZ301" s="6"/>
      <c r="AMA301" s="6"/>
      <c r="AMB301" s="6"/>
      <c r="AMC301" s="6"/>
      <c r="AMD301" s="6"/>
      <c r="AME301" s="6"/>
      <c r="AMF301" s="6"/>
      <c r="AMG301" s="6"/>
      <c r="AMH301" s="6"/>
      <c r="AMI301" s="6"/>
      <c r="AMJ301" s="6"/>
      <c r="AMK301" s="6"/>
      <c r="AML301" s="6"/>
      <c r="AMM301" s="6"/>
      <c r="AMN301" s="6"/>
      <c r="AMO301" s="6"/>
      <c r="AMP301" s="6"/>
    </row>
    <row r="302" spans="1:1030" s="12" customFormat="1" x14ac:dyDescent="0.2">
      <c r="A302" s="9" t="str">
        <f t="shared" ref="A302" si="1455">CONCATENATE(B302,"_",C302)</f>
        <v>calcr_human_6NIY</v>
      </c>
      <c r="B302" s="40" t="s">
        <v>401</v>
      </c>
      <c r="C302" s="9" t="s">
        <v>1575</v>
      </c>
      <c r="D302" s="9" t="str">
        <f>IFERROR(MID(VLOOKUP($B302,Seqs!$A:$B,2,0),E302,1),"")</f>
        <v>T</v>
      </c>
      <c r="E302" s="9">
        <v>138</v>
      </c>
      <c r="F302" s="9" t="str">
        <f>IFERROR(MID(VLOOKUP($B302,Seqs!$A:$B,2,0),G302,1),"")</f>
        <v>F</v>
      </c>
      <c r="G302" s="9">
        <v>173</v>
      </c>
      <c r="H302" s="9" t="str">
        <f>IFERROR(MID(VLOOKUP($B302,Seqs!$A:$B,2,0),I302,1),"")</f>
        <v>R</v>
      </c>
      <c r="I302" s="109">
        <v>174</v>
      </c>
      <c r="J302" s="9" t="str">
        <f>IFERROR(MID(VLOOKUP($B302,Seqs!$A:$B,2,0),K302,1),"")</f>
        <v>G</v>
      </c>
      <c r="K302" s="109">
        <v>177</v>
      </c>
      <c r="L302" s="9" t="str">
        <f>IFERROR(MID(VLOOKUP($B302,Seqs!$A:$B,2,0),M302,1),"")</f>
        <v>C</v>
      </c>
      <c r="M302" s="9">
        <v>178</v>
      </c>
      <c r="N302" s="9" t="str">
        <f>IFERROR(MID(VLOOKUP($B302,Seqs!$A:$B,2,0),O302,1),"")</f>
        <v>V</v>
      </c>
      <c r="O302" s="9">
        <v>205</v>
      </c>
      <c r="P302" s="9" t="str">
        <f>IFERROR(MID(VLOOKUP($B302,Seqs!$A:$B,2,0),Q302,1),"")</f>
        <v/>
      </c>
      <c r="Q302" s="9" t="s">
        <v>23</v>
      </c>
      <c r="R302" s="9" t="str">
        <f>IFERROR(MID(VLOOKUP($B302,Seqs!$A:$B,2,0),S302,1),"")</f>
        <v/>
      </c>
      <c r="S302" s="9" t="s">
        <v>23</v>
      </c>
      <c r="T302" s="9" t="str">
        <f>IFERROR(MID(VLOOKUP($B302,Seqs!$A:$B,2,0),U302,1),"")</f>
        <v>V</v>
      </c>
      <c r="U302" s="9">
        <v>217</v>
      </c>
      <c r="V302" s="9" t="str">
        <f>IFERROR(MID(VLOOKUP($B302,Seqs!$A:$B,2,0),W302,1),"")</f>
        <v>V</v>
      </c>
      <c r="W302" s="9">
        <v>250</v>
      </c>
      <c r="X302" s="9" t="str">
        <f>IFERROR(MID(VLOOKUP($B302,Seqs!$A:$B,2,0),Y302,1),"")</f>
        <v/>
      </c>
      <c r="Y302" s="9" t="s">
        <v>23</v>
      </c>
      <c r="Z302" s="9" t="str">
        <f>IFERROR(MID(VLOOKUP($B302,Seqs!$A:$B,2,0),AA302,1),"")</f>
        <v/>
      </c>
      <c r="AA302" s="9" t="s">
        <v>23</v>
      </c>
      <c r="AB302" s="9" t="str">
        <f>IFERROR(MID(VLOOKUP($B302,Seqs!$A:$B,2,0),AC302,1),"")</f>
        <v>R</v>
      </c>
      <c r="AC302" s="9">
        <v>258</v>
      </c>
      <c r="AD302" s="9" t="str">
        <f>IFERROR(MID(VLOOKUP($B302,Seqs!$A:$B,2,0),AE302,1),"")</f>
        <v>F</v>
      </c>
      <c r="AE302" s="9">
        <v>285</v>
      </c>
      <c r="AF302" s="9" t="str">
        <f>IFERROR(MID(VLOOKUP($B302,Seqs!$A:$B,2,0),AG302,1),"")</f>
        <v>C</v>
      </c>
      <c r="AG302" s="9">
        <v>289</v>
      </c>
      <c r="AH302" s="9" t="str">
        <f>IFERROR(MID(VLOOKUP($B302,Seqs!$A:$B,2,0),AI302,1),"")</f>
        <v>L</v>
      </c>
      <c r="AI302" s="9">
        <v>291</v>
      </c>
      <c r="AJ302" s="9" t="str">
        <f>IFERROR(MID(VLOOKUP($B302,Seqs!$A:$B,2,0),AK302,1),"")</f>
        <v>L</v>
      </c>
      <c r="AK302" s="9">
        <v>298</v>
      </c>
      <c r="AL302" s="9" t="str">
        <f>IFERROR(MID(VLOOKUP($B302,Seqs!$A:$B,2,0),AM302,1),"")</f>
        <v>T</v>
      </c>
      <c r="AM302" s="9">
        <v>330</v>
      </c>
      <c r="AN302" s="9" t="str">
        <f>IFERROR(MID(VLOOKUP($B302,Seqs!$A:$B,2,0),AO302,1),"")</f>
        <v>H</v>
      </c>
      <c r="AO302" s="9">
        <v>336</v>
      </c>
      <c r="AP302" s="9" t="str">
        <f>IFERROR(MID(VLOOKUP($B302,Seqs!$A:$B,2,0),AQ302,1),"")</f>
        <v>F</v>
      </c>
      <c r="AQ302" s="9">
        <v>359</v>
      </c>
      <c r="AR302" s="9" t="str">
        <f>IFERROR(MID(VLOOKUP($B302,Seqs!$A:$B,2,0),AS302,1),"")</f>
        <v>N</v>
      </c>
      <c r="AS302" s="9">
        <v>365</v>
      </c>
      <c r="AT302" s="9" t="str">
        <f>IFERROR(MID(VLOOKUP($B302,Seqs!$A:$B,2,0),AU302,1),"")</f>
        <v>C</v>
      </c>
      <c r="AU302" s="9">
        <v>394</v>
      </c>
      <c r="AV302" s="9" t="str">
        <f>IFERROR(MID(VLOOKUP($B302,Seqs!$A:$B,2,0),AW302,1),"")</f>
        <v>N</v>
      </c>
      <c r="AW302" s="9">
        <v>395</v>
      </c>
      <c r="AX302" s="9" t="str">
        <f>IFERROR(MID(VLOOKUP($B302,Seqs!$A:$B,2,0),AY302,1),"")</f>
        <v>Q</v>
      </c>
      <c r="AY302" s="9">
        <v>412</v>
      </c>
      <c r="AZ302" s="110" t="str">
        <f>VLOOKUP(B302,Classification!A:D,2,0)</f>
        <v>B1</v>
      </c>
      <c r="BA302" s="98" t="str">
        <f>VLOOKUP(B302,Classification!A:D,4,0)</f>
        <v>Calcitonin</v>
      </c>
      <c r="BB302" s="36" t="b">
        <f t="shared" ref="BB302" si="1456">AND(E302&lt;G302,OR(G302&lt;I302,I302="-"),OR(I302&lt;K302,I302="-"),OR(K302&lt;M302,K302="-"),M302&lt;O302,OR(O302&lt;Q302,Q302="-"),OR(Q302&lt;S302,Q302="-"),OR(S302&lt;U302,S302="-"),U302&lt;W302,OR(W302&lt;Y302,Y302="-"),OR(Y302&lt;AA302,Y302="-"),OR(AA302&lt;AC302,AA302="-"),AC302&lt;AE302,OR(AE302&lt;AG302,AG302="-"),OR(AG302&lt;AI302,AG302="-"),OR(AI302&lt;AK302,AI302="-"),AK302&lt;AM302,AM302&lt;AO302,AO302&lt;AQ302,AQ302&lt;AS302,AS302&lt;AU302,OR(AU302&lt;AW302,AW302="-"),OR(AW302&lt;AY302,AW302="-"))</f>
        <v>1</v>
      </c>
      <c r="BC302" s="109">
        <f t="shared" ref="BC302" si="1457">_xlfn.AGGREGATE(9,6,CH302:CS302)-_xlfn.AGGREGATE(9,6,BV302:CG302)+12</f>
        <v>240</v>
      </c>
      <c r="BD302" s="11" t="s">
        <v>1381</v>
      </c>
      <c r="BE302" s="9" t="s">
        <v>1297</v>
      </c>
      <c r="BF302" s="120">
        <v>3.34</v>
      </c>
      <c r="BG302" s="51" t="s">
        <v>1432</v>
      </c>
      <c r="BH302" s="51" t="s">
        <v>1432</v>
      </c>
      <c r="BJ302" s="111" t="s">
        <v>1293</v>
      </c>
      <c r="BK302" s="112" t="s">
        <v>1293</v>
      </c>
      <c r="BL302" s="112" t="s">
        <v>1293</v>
      </c>
      <c r="BM302" s="112" t="s">
        <v>1293</v>
      </c>
      <c r="BN302" s="112" t="s">
        <v>1293</v>
      </c>
      <c r="BO302" s="112" t="s">
        <v>1293</v>
      </c>
      <c r="BP302" s="112" t="s">
        <v>1293</v>
      </c>
      <c r="BQ302" s="112" t="s">
        <v>1293</v>
      </c>
      <c r="BR302" s="112" t="s">
        <v>1293</v>
      </c>
      <c r="BS302" s="112" t="s">
        <v>1293</v>
      </c>
      <c r="BT302" s="112" t="s">
        <v>1293</v>
      </c>
      <c r="BU302" s="112" t="s">
        <v>1293</v>
      </c>
      <c r="BV302" s="111">
        <f t="shared" ref="BV302" si="1458">E302</f>
        <v>138</v>
      </c>
      <c r="BW302" s="113">
        <f t="shared" ref="BW302" si="1459">I302</f>
        <v>174</v>
      </c>
      <c r="BX302" s="114">
        <f t="shared" ref="BX302" si="1460">M302</f>
        <v>178</v>
      </c>
      <c r="BY302" s="113" t="str">
        <f t="shared" ref="BY302" si="1461">Q302</f>
        <v>-</v>
      </c>
      <c r="BZ302" s="114">
        <f t="shared" ref="BZ302" si="1462">U302</f>
        <v>217</v>
      </c>
      <c r="CA302" s="113" t="str">
        <f t="shared" ref="CA302" si="1463">Y302</f>
        <v>-</v>
      </c>
      <c r="CB302" s="114">
        <f t="shared" ref="CB302" si="1464">AC302</f>
        <v>258</v>
      </c>
      <c r="CC302" s="113">
        <f t="shared" ref="CC302" si="1465">AG302</f>
        <v>289</v>
      </c>
      <c r="CD302" s="114">
        <f t="shared" ref="CD302" si="1466">AK302</f>
        <v>298</v>
      </c>
      <c r="CE302" s="113">
        <f t="shared" ref="CE302" si="1467">AO302</f>
        <v>336</v>
      </c>
      <c r="CF302" s="114">
        <f t="shared" ref="CF302" si="1468">AS302</f>
        <v>365</v>
      </c>
      <c r="CG302" s="113">
        <f t="shared" ref="CG302" si="1469">AW302</f>
        <v>395</v>
      </c>
      <c r="CH302" s="111">
        <f t="shared" ref="CH302" si="1470">G302</f>
        <v>173</v>
      </c>
      <c r="CI302" s="113">
        <f t="shared" ref="CI302" si="1471">K302</f>
        <v>177</v>
      </c>
      <c r="CJ302" s="114">
        <f t="shared" ref="CJ302" si="1472">O302</f>
        <v>205</v>
      </c>
      <c r="CK302" s="114" t="str">
        <f t="shared" ref="CK302" si="1473">S302</f>
        <v>-</v>
      </c>
      <c r="CL302" s="114">
        <f t="shared" ref="CL302" si="1474">W302</f>
        <v>250</v>
      </c>
      <c r="CM302" s="114" t="str">
        <f t="shared" ref="CM302" si="1475">AA302</f>
        <v>-</v>
      </c>
      <c r="CN302" s="114">
        <f t="shared" ref="CN302" si="1476">AE302</f>
        <v>285</v>
      </c>
      <c r="CO302" s="114">
        <f t="shared" ref="CO302" si="1477">AI302</f>
        <v>291</v>
      </c>
      <c r="CP302" s="114">
        <f t="shared" ref="CP302" si="1478">AM302</f>
        <v>330</v>
      </c>
      <c r="CQ302" s="114">
        <f t="shared" ref="CQ302" si="1479">AQ302</f>
        <v>359</v>
      </c>
      <c r="CR302" s="114">
        <f t="shared" ref="CR302" si="1480">AU302</f>
        <v>394</v>
      </c>
      <c r="CS302" s="114">
        <f t="shared" ref="CS302" si="1481">AY302</f>
        <v>412</v>
      </c>
      <c r="CT302" s="109">
        <f t="shared" ref="CT302" si="1482">M302-K302</f>
        <v>1</v>
      </c>
      <c r="CU302" s="129"/>
      <c r="CV302" s="129"/>
      <c r="CW302" s="129"/>
      <c r="CX302" s="129"/>
      <c r="CY302" s="129"/>
      <c r="CZ302" s="129"/>
      <c r="DA302" s="129"/>
      <c r="DB302" s="129"/>
      <c r="DC302" s="129"/>
      <c r="DD302" s="129"/>
      <c r="DE302" s="129"/>
      <c r="DF302" s="129"/>
      <c r="DG302" s="129"/>
      <c r="DH302" s="129"/>
      <c r="DI302" s="129"/>
      <c r="DJ302" s="129"/>
      <c r="DK302" s="129"/>
      <c r="DL302" s="129"/>
      <c r="DM302" s="129"/>
      <c r="DN302" s="129"/>
      <c r="DO302" s="129"/>
      <c r="DP302" s="129"/>
      <c r="DQ302" s="129"/>
      <c r="DR302" s="129"/>
      <c r="DS302" s="129"/>
      <c r="DT302" s="129"/>
      <c r="DU302" s="129"/>
      <c r="DV302" s="129"/>
      <c r="DW302" s="129"/>
      <c r="DX302" s="129"/>
      <c r="DY302" s="129"/>
      <c r="DZ302" s="129"/>
      <c r="EA302" s="129"/>
      <c r="EB302" s="129"/>
      <c r="EC302" s="129"/>
      <c r="ED302" s="129"/>
      <c r="EE302" s="129"/>
      <c r="EF302" s="129"/>
      <c r="EG302" s="129"/>
      <c r="EH302" s="129"/>
      <c r="EI302" s="129"/>
      <c r="EJ302" s="129"/>
      <c r="EK302" s="129"/>
      <c r="EL302" s="129"/>
      <c r="EM302" s="129"/>
      <c r="EN302" s="129"/>
      <c r="EO302" s="129"/>
      <c r="EP302" s="129"/>
      <c r="EQ302" s="129"/>
      <c r="ER302" s="129"/>
      <c r="ES302" s="129"/>
      <c r="ET302" s="129"/>
      <c r="EU302" s="129"/>
      <c r="EV302" s="129"/>
      <c r="EW302" s="129"/>
      <c r="EX302" s="129"/>
      <c r="EY302" s="129"/>
      <c r="EZ302" s="129"/>
      <c r="FA302" s="129"/>
      <c r="FB302" s="129"/>
      <c r="FC302" s="129"/>
      <c r="FD302" s="129"/>
      <c r="FE302" s="129"/>
      <c r="FF302" s="129"/>
      <c r="FG302" s="129"/>
      <c r="FH302" s="129"/>
      <c r="FI302" s="129"/>
      <c r="FJ302" s="129"/>
      <c r="FK302" s="129"/>
      <c r="FL302" s="129"/>
      <c r="FM302" s="129"/>
      <c r="FN302" s="129"/>
      <c r="FO302" s="129"/>
      <c r="FP302" s="129"/>
      <c r="FQ302" s="129"/>
      <c r="FR302" s="129"/>
      <c r="FS302" s="129"/>
      <c r="FT302" s="129"/>
      <c r="FU302" s="129"/>
      <c r="FV302" s="129"/>
      <c r="FW302" s="129"/>
      <c r="FX302" s="129"/>
      <c r="FY302" s="129"/>
      <c r="FZ302" s="129"/>
      <c r="GA302" s="129"/>
      <c r="GB302" s="129"/>
      <c r="GC302" s="129"/>
      <c r="GD302" s="129"/>
      <c r="GE302" s="129"/>
      <c r="GF302" s="129"/>
      <c r="GG302" s="129"/>
      <c r="GH302" s="129"/>
      <c r="GI302" s="129"/>
      <c r="GJ302" s="129"/>
      <c r="GK302" s="129"/>
      <c r="GL302" s="129"/>
      <c r="GM302" s="129"/>
      <c r="GN302" s="129"/>
      <c r="GO302" s="129"/>
      <c r="GP302" s="129"/>
      <c r="GQ302" s="129"/>
      <c r="GR302" s="129"/>
      <c r="GS302" s="129"/>
      <c r="GT302" s="129"/>
      <c r="GU302" s="129"/>
      <c r="GV302" s="129"/>
      <c r="GW302" s="129"/>
      <c r="GX302" s="129"/>
      <c r="GY302" s="129"/>
      <c r="GZ302" s="129"/>
      <c r="HA302" s="129"/>
      <c r="HB302" s="129"/>
      <c r="HC302" s="129"/>
      <c r="HD302" s="129"/>
      <c r="HE302" s="129"/>
      <c r="HF302" s="129"/>
      <c r="HG302" s="129"/>
      <c r="HH302" s="129"/>
      <c r="HI302" s="129"/>
      <c r="HJ302" s="129"/>
      <c r="HK302" s="129"/>
      <c r="HL302" s="129"/>
      <c r="HM302" s="129"/>
      <c r="HN302" s="129"/>
      <c r="HO302" s="129"/>
      <c r="HP302" s="129"/>
      <c r="HQ302" s="129"/>
      <c r="HR302" s="129"/>
      <c r="HS302" s="129"/>
      <c r="HT302" s="129"/>
      <c r="HU302" s="129"/>
      <c r="HV302" s="129"/>
      <c r="HW302" s="129"/>
      <c r="HX302" s="129"/>
      <c r="HY302" s="129"/>
      <c r="HZ302" s="129"/>
      <c r="IA302" s="129"/>
      <c r="IB302" s="129"/>
      <c r="IC302" s="129"/>
      <c r="ID302" s="129"/>
      <c r="IE302" s="129"/>
      <c r="IF302" s="129"/>
      <c r="IG302" s="129"/>
      <c r="IH302" s="129"/>
      <c r="II302" s="129"/>
      <c r="IJ302" s="129"/>
      <c r="IK302" s="129"/>
      <c r="IL302" s="129"/>
      <c r="IM302" s="129"/>
      <c r="IN302" s="129"/>
      <c r="IO302" s="129"/>
      <c r="IP302" s="129"/>
      <c r="IQ302" s="129"/>
      <c r="IR302" s="129"/>
      <c r="IS302" s="129"/>
      <c r="IT302" s="129"/>
      <c r="IU302" s="129"/>
      <c r="IV302" s="129"/>
      <c r="IW302" s="129"/>
      <c r="IX302" s="129"/>
      <c r="IY302" s="129"/>
      <c r="IZ302" s="129"/>
      <c r="JA302" s="129"/>
      <c r="JB302" s="129"/>
      <c r="JC302" s="129"/>
      <c r="JD302" s="129"/>
      <c r="JE302" s="129"/>
      <c r="JF302" s="129"/>
      <c r="JG302" s="129"/>
      <c r="JH302" s="129"/>
      <c r="JI302" s="129"/>
      <c r="JJ302" s="129"/>
      <c r="JK302" s="129"/>
      <c r="JL302" s="129"/>
      <c r="JM302" s="129"/>
      <c r="JN302" s="129"/>
      <c r="JO302" s="129"/>
      <c r="JP302" s="129"/>
      <c r="JQ302" s="129"/>
      <c r="JR302" s="129"/>
      <c r="JS302" s="129"/>
      <c r="JT302" s="129"/>
      <c r="JU302" s="129"/>
      <c r="JV302" s="129"/>
      <c r="JW302" s="129"/>
      <c r="JX302" s="129"/>
      <c r="JY302" s="129"/>
      <c r="JZ302" s="129"/>
      <c r="KA302" s="129"/>
      <c r="KB302" s="129"/>
      <c r="KC302" s="129"/>
      <c r="KD302" s="129"/>
      <c r="KE302" s="129"/>
      <c r="KF302" s="129"/>
      <c r="KG302" s="129"/>
      <c r="KH302" s="129"/>
      <c r="KI302" s="129"/>
      <c r="KJ302" s="129"/>
      <c r="KK302" s="129"/>
      <c r="KL302" s="129"/>
      <c r="KM302" s="129"/>
      <c r="KN302" s="129"/>
      <c r="KO302" s="129"/>
      <c r="KP302" s="129"/>
      <c r="KQ302" s="129"/>
      <c r="KR302" s="129"/>
      <c r="KS302" s="129"/>
      <c r="KT302" s="129"/>
      <c r="KU302" s="129"/>
      <c r="KV302" s="129"/>
      <c r="KW302" s="129"/>
      <c r="KX302" s="129"/>
      <c r="KY302" s="129"/>
      <c r="KZ302" s="129"/>
      <c r="LA302" s="129"/>
      <c r="LB302" s="129"/>
      <c r="LC302" s="129"/>
      <c r="LD302" s="129"/>
      <c r="LE302" s="129"/>
      <c r="LF302" s="129"/>
      <c r="LG302" s="129"/>
      <c r="LH302" s="129"/>
      <c r="LI302" s="129"/>
      <c r="LJ302" s="129"/>
      <c r="LK302" s="129"/>
      <c r="LL302" s="129"/>
      <c r="LM302" s="129"/>
      <c r="LN302" s="129"/>
      <c r="LO302" s="129"/>
      <c r="LP302" s="129"/>
      <c r="LQ302" s="129"/>
      <c r="LR302" s="129"/>
      <c r="LS302" s="129"/>
      <c r="LT302" s="129"/>
      <c r="LU302" s="129"/>
      <c r="LV302" s="129"/>
      <c r="LW302" s="129"/>
      <c r="LX302" s="129"/>
      <c r="LY302" s="129"/>
      <c r="LZ302" s="129"/>
      <c r="MA302" s="129"/>
      <c r="MB302" s="129"/>
      <c r="MC302" s="129"/>
      <c r="MD302" s="129"/>
      <c r="ME302" s="129"/>
      <c r="MF302" s="129"/>
      <c r="MG302" s="129"/>
      <c r="MH302" s="129"/>
      <c r="MI302" s="129"/>
      <c r="MJ302" s="129"/>
      <c r="MK302" s="129"/>
      <c r="ML302" s="129"/>
      <c r="MM302" s="129"/>
      <c r="MN302" s="129"/>
      <c r="MO302" s="129"/>
      <c r="MP302" s="129"/>
      <c r="MQ302" s="129"/>
      <c r="MR302" s="129"/>
      <c r="MS302" s="129"/>
      <c r="MT302" s="129"/>
      <c r="MU302" s="129"/>
      <c r="MV302" s="129"/>
      <c r="MW302" s="129"/>
      <c r="MX302" s="129"/>
      <c r="MY302" s="129"/>
      <c r="MZ302" s="129"/>
      <c r="NA302" s="129"/>
      <c r="NB302" s="129"/>
      <c r="NC302" s="129"/>
      <c r="ND302" s="129"/>
      <c r="NE302" s="129"/>
      <c r="NF302" s="129"/>
      <c r="NG302" s="129"/>
      <c r="NH302" s="129"/>
      <c r="NI302" s="129"/>
      <c r="NJ302" s="129"/>
      <c r="NK302" s="129"/>
      <c r="NL302" s="129"/>
      <c r="NM302" s="129"/>
      <c r="NN302" s="129"/>
      <c r="NO302" s="129"/>
      <c r="NP302" s="129"/>
      <c r="NQ302" s="129"/>
      <c r="NR302" s="129"/>
      <c r="NS302" s="129"/>
      <c r="NT302" s="129"/>
      <c r="NU302" s="129"/>
      <c r="NV302" s="129"/>
      <c r="NW302" s="129"/>
      <c r="NX302" s="129"/>
      <c r="NY302" s="129"/>
      <c r="NZ302" s="129"/>
      <c r="OA302" s="129"/>
      <c r="OB302" s="129"/>
      <c r="OC302" s="129"/>
      <c r="OD302" s="129"/>
      <c r="OE302" s="129"/>
      <c r="OF302" s="129"/>
      <c r="OG302" s="129"/>
      <c r="OH302" s="129"/>
      <c r="OI302" s="129"/>
      <c r="OJ302" s="129"/>
      <c r="OK302" s="129"/>
      <c r="OL302" s="129"/>
      <c r="OM302" s="129"/>
      <c r="ON302" s="129"/>
      <c r="OO302" s="129"/>
      <c r="OP302" s="129"/>
      <c r="OQ302" s="129"/>
      <c r="OR302" s="129"/>
      <c r="OS302" s="129"/>
      <c r="OT302" s="129"/>
      <c r="OU302" s="129"/>
      <c r="OV302" s="129"/>
      <c r="OW302" s="129"/>
      <c r="OX302" s="129"/>
      <c r="OY302" s="129"/>
      <c r="OZ302" s="129"/>
      <c r="PA302" s="129"/>
      <c r="PB302" s="129"/>
      <c r="PC302" s="129"/>
      <c r="PD302" s="129"/>
      <c r="PE302" s="129"/>
      <c r="PF302" s="129"/>
      <c r="PG302" s="129"/>
      <c r="PH302" s="129"/>
      <c r="PI302" s="129"/>
      <c r="PJ302" s="129"/>
      <c r="PK302" s="129"/>
      <c r="PL302" s="129"/>
      <c r="PM302" s="129"/>
      <c r="PN302" s="129"/>
      <c r="PO302" s="129"/>
      <c r="PP302" s="129"/>
      <c r="PQ302" s="129"/>
      <c r="PR302" s="129"/>
      <c r="PS302" s="129"/>
      <c r="PT302" s="129"/>
      <c r="PU302" s="129"/>
      <c r="PV302" s="129"/>
      <c r="PW302" s="129"/>
      <c r="PX302" s="129"/>
      <c r="PY302" s="129"/>
      <c r="PZ302" s="129"/>
      <c r="QA302" s="129"/>
      <c r="QB302" s="129"/>
      <c r="QC302" s="129"/>
      <c r="QD302" s="129"/>
      <c r="QE302" s="129"/>
      <c r="QF302" s="129"/>
      <c r="QG302" s="129"/>
      <c r="QH302" s="129"/>
      <c r="QI302" s="129"/>
      <c r="QJ302" s="129"/>
      <c r="QK302" s="129"/>
      <c r="QL302" s="129"/>
      <c r="QM302" s="129"/>
      <c r="QN302" s="129"/>
      <c r="QO302" s="129"/>
      <c r="QP302" s="129"/>
      <c r="QQ302" s="129"/>
      <c r="QR302" s="129"/>
      <c r="QS302" s="129"/>
      <c r="QT302" s="129"/>
      <c r="QU302" s="129"/>
      <c r="QV302" s="129"/>
      <c r="QW302" s="129"/>
      <c r="QX302" s="129"/>
      <c r="QY302" s="129"/>
      <c r="QZ302" s="129"/>
      <c r="RA302" s="129"/>
      <c r="RB302" s="129"/>
      <c r="RC302" s="129"/>
      <c r="RD302" s="129"/>
      <c r="RE302" s="129"/>
      <c r="RF302" s="129"/>
      <c r="RG302" s="129"/>
      <c r="RH302" s="129"/>
      <c r="RI302" s="129"/>
      <c r="RJ302" s="129"/>
      <c r="RK302" s="129"/>
      <c r="RL302" s="129"/>
      <c r="RM302" s="129"/>
      <c r="RN302" s="129"/>
      <c r="RO302" s="129"/>
      <c r="RP302" s="129"/>
      <c r="RQ302" s="129"/>
      <c r="RR302" s="129"/>
      <c r="RS302" s="129"/>
      <c r="RT302" s="129"/>
      <c r="RU302" s="129"/>
      <c r="RV302" s="129"/>
      <c r="RW302" s="129"/>
      <c r="RX302" s="129"/>
      <c r="RY302" s="129"/>
      <c r="RZ302" s="129"/>
      <c r="SA302" s="129"/>
      <c r="SB302" s="129"/>
      <c r="SC302" s="129"/>
      <c r="SD302" s="129"/>
      <c r="SE302" s="129"/>
      <c r="SF302" s="129"/>
      <c r="SG302" s="129"/>
      <c r="SH302" s="129"/>
      <c r="SI302" s="129"/>
      <c r="SJ302" s="129"/>
      <c r="SK302" s="129"/>
      <c r="SL302" s="129"/>
      <c r="SM302" s="129"/>
      <c r="SN302" s="129"/>
      <c r="SO302" s="129"/>
      <c r="SP302" s="129"/>
      <c r="SQ302" s="129"/>
      <c r="SR302" s="129"/>
      <c r="SS302" s="129"/>
      <c r="ST302" s="129"/>
      <c r="SU302" s="129"/>
      <c r="SV302" s="129"/>
      <c r="SW302" s="129"/>
      <c r="SX302" s="129"/>
      <c r="SY302" s="129"/>
      <c r="SZ302" s="129"/>
      <c r="TA302" s="129"/>
      <c r="TB302" s="129"/>
      <c r="TC302" s="129"/>
      <c r="TD302" s="129"/>
      <c r="TE302" s="129"/>
      <c r="TF302" s="129"/>
      <c r="TG302" s="129"/>
      <c r="TH302" s="129"/>
      <c r="TI302" s="129"/>
      <c r="TJ302" s="129"/>
      <c r="TK302" s="129"/>
      <c r="TL302" s="129"/>
      <c r="TM302" s="129"/>
      <c r="TN302" s="129"/>
      <c r="TO302" s="129"/>
      <c r="TP302" s="129"/>
      <c r="TQ302" s="129"/>
      <c r="TR302" s="129"/>
      <c r="TS302" s="129"/>
      <c r="TT302" s="129"/>
      <c r="TU302" s="129"/>
      <c r="TV302" s="129"/>
      <c r="TW302" s="129"/>
      <c r="TX302" s="129"/>
      <c r="TY302" s="129"/>
      <c r="TZ302" s="129"/>
      <c r="UA302" s="129"/>
      <c r="UB302" s="129"/>
      <c r="UC302" s="129"/>
      <c r="UD302" s="129"/>
      <c r="UE302" s="129"/>
      <c r="UF302" s="129"/>
      <c r="UG302" s="129"/>
      <c r="UH302" s="129"/>
      <c r="UI302" s="129"/>
      <c r="UJ302" s="129"/>
      <c r="UK302" s="129"/>
      <c r="UL302" s="129"/>
      <c r="UM302" s="129"/>
      <c r="UN302" s="129"/>
      <c r="UO302" s="129"/>
      <c r="UP302" s="129"/>
      <c r="UQ302" s="129"/>
      <c r="UR302" s="129"/>
      <c r="US302" s="129"/>
      <c r="UT302" s="129"/>
      <c r="UU302" s="129"/>
      <c r="UV302" s="129"/>
      <c r="UW302" s="129"/>
      <c r="UX302" s="129"/>
      <c r="UY302" s="129"/>
      <c r="UZ302" s="129"/>
      <c r="VA302" s="129"/>
      <c r="VB302" s="129"/>
      <c r="VC302" s="129"/>
      <c r="VD302" s="129"/>
      <c r="VE302" s="129"/>
      <c r="VF302" s="129"/>
      <c r="VG302" s="129"/>
      <c r="VH302" s="129"/>
      <c r="VI302" s="129"/>
      <c r="VJ302" s="129"/>
      <c r="VK302" s="129"/>
      <c r="VL302" s="129"/>
      <c r="VM302" s="129"/>
      <c r="VN302" s="129"/>
      <c r="VO302" s="129"/>
      <c r="VP302" s="129"/>
      <c r="VQ302" s="129"/>
      <c r="VR302" s="129"/>
      <c r="VS302" s="129"/>
      <c r="VT302" s="129"/>
      <c r="VU302" s="129"/>
      <c r="VV302" s="129"/>
      <c r="VW302" s="129"/>
      <c r="VX302" s="129"/>
      <c r="VY302" s="129"/>
      <c r="VZ302" s="129"/>
      <c r="WA302" s="129"/>
      <c r="WB302" s="129"/>
      <c r="WC302" s="129"/>
      <c r="WD302" s="129"/>
      <c r="WE302" s="129"/>
      <c r="WF302" s="129"/>
      <c r="WG302" s="129"/>
      <c r="WH302" s="129"/>
      <c r="WI302" s="129"/>
      <c r="WJ302" s="129"/>
      <c r="WK302" s="129"/>
      <c r="WL302" s="129"/>
      <c r="WM302" s="129"/>
      <c r="WN302" s="129"/>
      <c r="WO302" s="129"/>
      <c r="WP302" s="129"/>
      <c r="WQ302" s="129"/>
      <c r="WR302" s="129"/>
      <c r="WS302" s="129"/>
      <c r="WT302" s="129"/>
      <c r="WU302" s="129"/>
      <c r="WV302" s="129"/>
      <c r="WW302" s="129"/>
      <c r="WX302" s="129"/>
      <c r="WY302" s="129"/>
      <c r="WZ302" s="129"/>
      <c r="XA302" s="129"/>
      <c r="XB302" s="129"/>
      <c r="XC302" s="129"/>
      <c r="XD302" s="129"/>
      <c r="XE302" s="129"/>
      <c r="XF302" s="129"/>
      <c r="XG302" s="129"/>
      <c r="XH302" s="129"/>
      <c r="XI302" s="129"/>
      <c r="XJ302" s="129"/>
      <c r="XK302" s="129"/>
      <c r="XL302" s="129"/>
      <c r="XM302" s="129"/>
      <c r="XN302" s="129"/>
      <c r="XO302" s="129"/>
      <c r="XP302" s="129"/>
      <c r="XQ302" s="129"/>
      <c r="XR302" s="129"/>
      <c r="XS302" s="129"/>
      <c r="XT302" s="129"/>
      <c r="XU302" s="129"/>
      <c r="XV302" s="129"/>
      <c r="XW302" s="129"/>
      <c r="XX302" s="129"/>
      <c r="XY302" s="129"/>
      <c r="XZ302" s="129"/>
      <c r="YA302" s="129"/>
      <c r="YB302" s="129"/>
      <c r="YC302" s="129"/>
      <c r="YD302" s="129"/>
      <c r="YE302" s="129"/>
      <c r="YF302" s="129"/>
      <c r="YG302" s="129"/>
      <c r="YH302" s="129"/>
      <c r="YI302" s="129"/>
      <c r="YJ302" s="129"/>
      <c r="YK302" s="129"/>
      <c r="YL302" s="129"/>
      <c r="YM302" s="129"/>
      <c r="YN302" s="129"/>
      <c r="YO302" s="129"/>
      <c r="YP302" s="129"/>
      <c r="YQ302" s="129"/>
      <c r="YR302" s="129"/>
      <c r="YS302" s="129"/>
      <c r="YT302" s="129"/>
      <c r="YU302" s="129"/>
      <c r="YV302" s="129"/>
      <c r="YW302" s="129"/>
      <c r="YX302" s="129"/>
      <c r="YY302" s="129"/>
      <c r="YZ302" s="129"/>
      <c r="ZA302" s="129"/>
      <c r="ZB302" s="129"/>
      <c r="ZC302" s="129"/>
      <c r="ZD302" s="129"/>
      <c r="ZE302" s="129"/>
      <c r="ZF302" s="129"/>
      <c r="ZG302" s="129"/>
      <c r="ZH302" s="129"/>
      <c r="ZI302" s="129"/>
      <c r="ZJ302" s="129"/>
      <c r="ZK302" s="129"/>
      <c r="ZL302" s="129"/>
      <c r="ZM302" s="129"/>
      <c r="ZN302" s="129"/>
      <c r="ZO302" s="129"/>
      <c r="ZP302" s="129"/>
      <c r="ZQ302" s="129"/>
      <c r="ZR302" s="129"/>
      <c r="ZS302" s="129"/>
      <c r="ZT302" s="129"/>
      <c r="ZU302" s="129"/>
      <c r="ZV302" s="129"/>
      <c r="ZW302" s="129"/>
      <c r="ZX302" s="129"/>
      <c r="ZY302" s="129"/>
      <c r="ZZ302" s="129"/>
      <c r="AAA302" s="129"/>
      <c r="AAB302" s="129"/>
      <c r="AAC302" s="129"/>
      <c r="AAD302" s="129"/>
      <c r="AAE302" s="129"/>
      <c r="AAF302" s="129"/>
      <c r="AAG302" s="129"/>
      <c r="AAH302" s="129"/>
      <c r="AAI302" s="129"/>
      <c r="AAJ302" s="129"/>
      <c r="AAK302" s="129"/>
      <c r="AAL302" s="129"/>
      <c r="AAM302" s="129"/>
      <c r="AAN302" s="129"/>
      <c r="AAO302" s="129"/>
      <c r="AAP302" s="129"/>
      <c r="AAQ302" s="129"/>
      <c r="AAR302" s="129"/>
      <c r="AAS302" s="129"/>
      <c r="AAT302" s="129"/>
      <c r="AAU302" s="129"/>
      <c r="AAV302" s="129"/>
      <c r="AAW302" s="129"/>
      <c r="AAX302" s="129"/>
      <c r="AAY302" s="129"/>
      <c r="AAZ302" s="129"/>
      <c r="ABA302" s="129"/>
      <c r="ABB302" s="129"/>
      <c r="ABC302" s="129"/>
      <c r="ABD302" s="129"/>
      <c r="ABE302" s="129"/>
      <c r="ABF302" s="129"/>
      <c r="ABG302" s="129"/>
      <c r="ABH302" s="129"/>
      <c r="ABI302" s="129"/>
      <c r="ABJ302" s="129"/>
      <c r="ABK302" s="129"/>
      <c r="ABL302" s="129"/>
      <c r="ABM302" s="129"/>
      <c r="ABN302" s="129"/>
      <c r="ABO302" s="129"/>
      <c r="ABP302" s="129"/>
      <c r="ABQ302" s="129"/>
      <c r="ABR302" s="129"/>
      <c r="ABS302" s="129"/>
      <c r="ABT302" s="129"/>
      <c r="ABU302" s="129"/>
      <c r="ABV302" s="129"/>
      <c r="ABW302" s="129"/>
      <c r="ABX302" s="129"/>
      <c r="ABY302" s="129"/>
      <c r="ABZ302" s="129"/>
      <c r="ACA302" s="129"/>
      <c r="ACB302" s="129"/>
      <c r="ACC302" s="129"/>
      <c r="ACD302" s="129"/>
      <c r="ACE302" s="129"/>
      <c r="ACF302" s="129"/>
      <c r="ACG302" s="129"/>
      <c r="ACH302" s="129"/>
      <c r="ACI302" s="129"/>
      <c r="ACJ302" s="129"/>
      <c r="ACK302" s="129"/>
      <c r="ACL302" s="129"/>
      <c r="ACM302" s="129"/>
      <c r="ACN302" s="129"/>
      <c r="ACO302" s="129"/>
      <c r="ACP302" s="129"/>
      <c r="ACQ302" s="129"/>
      <c r="ACR302" s="129"/>
      <c r="ACS302" s="129"/>
      <c r="ACT302" s="129"/>
      <c r="ACU302" s="129"/>
      <c r="ACV302" s="129"/>
      <c r="ACW302" s="129"/>
      <c r="ACX302" s="129"/>
      <c r="ACY302" s="129"/>
      <c r="ACZ302" s="129"/>
      <c r="ADA302" s="129"/>
      <c r="ADB302" s="129"/>
      <c r="ADC302" s="129"/>
      <c r="ADD302" s="129"/>
      <c r="ADE302" s="129"/>
      <c r="ADF302" s="129"/>
      <c r="ADG302" s="129"/>
      <c r="ADH302" s="129"/>
      <c r="ADI302" s="129"/>
      <c r="ADJ302" s="129"/>
      <c r="ADK302" s="129"/>
      <c r="ADL302" s="129"/>
      <c r="ADM302" s="129"/>
      <c r="ADN302" s="129"/>
      <c r="ADO302" s="129"/>
      <c r="ADP302" s="129"/>
      <c r="ADQ302" s="129"/>
      <c r="ADR302" s="129"/>
      <c r="ADS302" s="129"/>
      <c r="ADT302" s="129"/>
      <c r="ADU302" s="129"/>
      <c r="ADV302" s="129"/>
      <c r="ADW302" s="129"/>
      <c r="ADX302" s="129"/>
      <c r="ADY302" s="129"/>
      <c r="ADZ302" s="129"/>
      <c r="AEA302" s="129"/>
      <c r="AEB302" s="129"/>
      <c r="AEC302" s="129"/>
      <c r="AED302" s="129"/>
      <c r="AEE302" s="129"/>
      <c r="AEF302" s="129"/>
      <c r="AEG302" s="129"/>
      <c r="AEH302" s="129"/>
      <c r="AEI302" s="129"/>
      <c r="AEJ302" s="129"/>
      <c r="AEK302" s="129"/>
      <c r="AEL302" s="129"/>
      <c r="AEM302" s="129"/>
      <c r="AEN302" s="129"/>
      <c r="AEO302" s="129"/>
      <c r="AEP302" s="129"/>
      <c r="AEQ302" s="129"/>
      <c r="AER302" s="129"/>
      <c r="AES302" s="129"/>
      <c r="AET302" s="129"/>
      <c r="AEU302" s="129"/>
      <c r="AEV302" s="129"/>
      <c r="AEW302" s="129"/>
      <c r="AEX302" s="129"/>
      <c r="AEY302" s="129"/>
      <c r="AEZ302" s="129"/>
      <c r="AFA302" s="129"/>
      <c r="AFB302" s="129"/>
      <c r="AFC302" s="129"/>
      <c r="AFD302" s="129"/>
      <c r="AFE302" s="129"/>
      <c r="AFF302" s="129"/>
      <c r="AFG302" s="129"/>
      <c r="AFH302" s="129"/>
      <c r="AFI302" s="129"/>
      <c r="AFJ302" s="129"/>
      <c r="AFK302" s="129"/>
      <c r="AFL302" s="129"/>
      <c r="AFM302" s="129"/>
      <c r="AFN302" s="129"/>
      <c r="AFO302" s="129"/>
      <c r="AFP302" s="129"/>
      <c r="AFQ302" s="129"/>
      <c r="AFR302" s="129"/>
      <c r="AFS302" s="129"/>
      <c r="AFT302" s="129"/>
      <c r="AFU302" s="129"/>
      <c r="AFV302" s="129"/>
      <c r="AFW302" s="129"/>
      <c r="AFX302" s="129"/>
      <c r="AFY302" s="129"/>
      <c r="AFZ302" s="129"/>
      <c r="AGA302" s="129"/>
      <c r="AGB302" s="129"/>
      <c r="AGC302" s="129"/>
      <c r="AGD302" s="129"/>
      <c r="AGE302" s="129"/>
      <c r="AGF302" s="129"/>
      <c r="AGG302" s="129"/>
      <c r="AGH302" s="129"/>
      <c r="AGI302" s="129"/>
      <c r="AGJ302" s="129"/>
      <c r="AGK302" s="129"/>
      <c r="AGL302" s="129"/>
      <c r="AGM302" s="129"/>
      <c r="AGN302" s="129"/>
      <c r="AGO302" s="129"/>
      <c r="AGP302" s="129"/>
      <c r="AGQ302" s="129"/>
      <c r="AGR302" s="129"/>
      <c r="AGS302" s="129"/>
      <c r="AGT302" s="129"/>
      <c r="AGU302" s="129"/>
      <c r="AGV302" s="129"/>
      <c r="AGW302" s="129"/>
      <c r="AGX302" s="129"/>
      <c r="AGY302" s="129"/>
      <c r="AGZ302" s="129"/>
      <c r="AHA302" s="129"/>
      <c r="AHB302" s="129"/>
      <c r="AHC302" s="129"/>
      <c r="AHD302" s="129"/>
      <c r="AHE302" s="129"/>
      <c r="AHF302" s="129"/>
      <c r="AHG302" s="129"/>
      <c r="AHH302" s="129"/>
      <c r="AHI302" s="129"/>
      <c r="AHJ302" s="129"/>
      <c r="AHK302" s="129"/>
      <c r="AHL302" s="129"/>
      <c r="AHM302" s="129"/>
      <c r="AHN302" s="129"/>
      <c r="AHO302" s="129"/>
      <c r="AHP302" s="129"/>
      <c r="AHQ302" s="129"/>
      <c r="AHR302" s="129"/>
      <c r="AHS302" s="129"/>
      <c r="AHT302" s="129"/>
      <c r="AHU302" s="129"/>
      <c r="AHV302" s="129"/>
      <c r="AHW302" s="129"/>
      <c r="AHX302" s="129"/>
      <c r="AHY302" s="129"/>
      <c r="AHZ302" s="129"/>
      <c r="AIA302" s="129"/>
      <c r="AIB302" s="129"/>
      <c r="AIC302" s="129"/>
      <c r="AID302" s="129"/>
      <c r="AIE302" s="129"/>
      <c r="AIF302" s="129"/>
      <c r="AIG302" s="129"/>
      <c r="AIH302" s="129"/>
      <c r="AII302" s="129"/>
      <c r="AIJ302" s="129"/>
      <c r="AIK302" s="129"/>
      <c r="AIL302" s="129"/>
      <c r="AIM302" s="129"/>
      <c r="AIN302" s="129"/>
      <c r="AIO302" s="129"/>
      <c r="AIP302" s="129"/>
      <c r="AIQ302" s="129"/>
      <c r="AIR302" s="129"/>
      <c r="AIS302" s="129"/>
      <c r="AIT302" s="129"/>
      <c r="AIU302" s="129"/>
      <c r="AIV302" s="129"/>
      <c r="AIW302" s="129"/>
      <c r="AIX302" s="129"/>
      <c r="AIY302" s="129"/>
      <c r="AIZ302" s="129"/>
      <c r="AJA302" s="129"/>
      <c r="AJB302" s="129"/>
      <c r="AJC302" s="129"/>
      <c r="AJD302" s="129"/>
      <c r="AJE302" s="129"/>
      <c r="AJF302" s="129"/>
      <c r="AJG302" s="129"/>
      <c r="AJH302" s="129"/>
      <c r="AJI302" s="129"/>
      <c r="AJJ302" s="129"/>
      <c r="AJK302" s="129"/>
      <c r="AJL302" s="129"/>
      <c r="AJM302" s="129"/>
      <c r="AJN302" s="129"/>
      <c r="AJO302" s="129"/>
      <c r="AJP302" s="129"/>
      <c r="AJQ302" s="129"/>
      <c r="AJR302" s="129"/>
      <c r="AJS302" s="129"/>
      <c r="AJT302" s="129"/>
      <c r="AJU302" s="129"/>
      <c r="AJV302" s="129"/>
      <c r="AJW302" s="129"/>
      <c r="AJX302" s="129"/>
      <c r="AJY302" s="129"/>
      <c r="AJZ302" s="129"/>
      <c r="AKA302" s="129"/>
      <c r="AKB302" s="129"/>
      <c r="AKC302" s="129"/>
      <c r="AKD302" s="129"/>
      <c r="AKE302" s="129"/>
      <c r="AKF302" s="129"/>
      <c r="AKG302" s="129"/>
      <c r="AKH302" s="129"/>
      <c r="AKI302" s="129"/>
      <c r="AKJ302" s="129"/>
      <c r="AKK302" s="129"/>
      <c r="AKL302" s="129"/>
      <c r="AKM302" s="129"/>
      <c r="AKN302" s="129"/>
      <c r="AKO302" s="129"/>
      <c r="AKP302" s="129"/>
      <c r="AKQ302" s="129"/>
      <c r="AKR302" s="129"/>
      <c r="AKS302" s="129"/>
      <c r="AKT302" s="129"/>
      <c r="AKU302" s="129"/>
      <c r="AKV302" s="129"/>
      <c r="AKW302" s="129"/>
      <c r="AKX302" s="129"/>
      <c r="AKY302" s="129"/>
      <c r="AKZ302" s="129"/>
      <c r="ALA302" s="129"/>
      <c r="ALB302" s="129"/>
      <c r="ALC302" s="129"/>
      <c r="ALD302" s="129"/>
      <c r="ALE302" s="129"/>
      <c r="ALF302" s="129"/>
      <c r="ALG302" s="129"/>
      <c r="ALH302" s="129"/>
      <c r="ALI302" s="129"/>
      <c r="ALJ302" s="129"/>
      <c r="ALK302" s="129"/>
      <c r="ALL302" s="129"/>
      <c r="ALM302" s="129"/>
      <c r="ALN302" s="129"/>
      <c r="ALO302" s="129"/>
      <c r="ALP302" s="129"/>
      <c r="ALQ302" s="129"/>
      <c r="ALR302" s="129"/>
      <c r="ALS302" s="129"/>
      <c r="ALT302" s="129"/>
      <c r="ALU302" s="129"/>
      <c r="ALV302" s="129"/>
      <c r="ALW302" s="129"/>
      <c r="ALX302" s="129"/>
      <c r="ALY302" s="129"/>
      <c r="ALZ302" s="129"/>
      <c r="AMA302" s="129"/>
      <c r="AMB302" s="129"/>
      <c r="AMC302" s="129"/>
      <c r="AMD302" s="129"/>
      <c r="AME302" s="129"/>
      <c r="AMF302" s="129"/>
      <c r="AMG302" s="129"/>
      <c r="AMH302" s="129"/>
      <c r="AMI302" s="129"/>
      <c r="AMJ302" s="129"/>
      <c r="AMK302" s="129"/>
      <c r="AML302" s="129"/>
      <c r="AMM302" s="129"/>
      <c r="AMN302" s="129"/>
      <c r="AMO302" s="129"/>
      <c r="AMP302" s="129"/>
    </row>
    <row r="303" spans="1:1030" x14ac:dyDescent="0.2">
      <c r="A303" s="3" t="str">
        <f t="shared" si="1398"/>
        <v>calrl_human__wt</v>
      </c>
      <c r="B303" s="2" t="s">
        <v>402</v>
      </c>
      <c r="C303" s="3" t="s">
        <v>100</v>
      </c>
      <c r="D303" s="3" t="str">
        <f>IFERROR(MID(VLOOKUP($B303,Seqs!$A:$B,2,0),E303,1),"")</f>
        <v>N</v>
      </c>
      <c r="E303" s="3">
        <v>130</v>
      </c>
      <c r="F303" s="3" t="str">
        <f>IFERROR(MID(VLOOKUP($B303,Seqs!$A:$B,2,0),G303,1),"")</f>
        <v>F</v>
      </c>
      <c r="G303" s="3">
        <v>166</v>
      </c>
      <c r="H303" s="3" t="str">
        <f>IFERROR(MID(VLOOKUP($B303,Seqs!$A:$B,2,0),I303,1),"")</f>
        <v>K</v>
      </c>
      <c r="I303" s="23">
        <v>167</v>
      </c>
      <c r="J303" s="3" t="str">
        <f>IFERROR(MID(VLOOKUP($B303,Seqs!$A:$B,2,0),K303,1),"")</f>
        <v>S</v>
      </c>
      <c r="K303" s="23">
        <v>170</v>
      </c>
      <c r="L303" s="3" t="str">
        <f>IFERROR(MID(VLOOKUP($B303,Seqs!$A:$B,2,0),M303,1),"")</f>
        <v>C</v>
      </c>
      <c r="M303" s="3">
        <v>171</v>
      </c>
      <c r="N303" s="3" t="str">
        <f>IFERROR(MID(VLOOKUP($B303,Seqs!$A:$B,2,0),O303,1),"")</f>
        <v>V</v>
      </c>
      <c r="O303" s="3">
        <v>198</v>
      </c>
      <c r="P303" s="3" t="str">
        <f>IFERROR(MID(VLOOKUP($B303,Seqs!$A:$B,2,0),Q303,1),"")</f>
        <v/>
      </c>
      <c r="Q303" s="3" t="s">
        <v>23</v>
      </c>
      <c r="R303" s="3" t="str">
        <f>IFERROR(MID(VLOOKUP($B303,Seqs!$A:$B,2,0),S303,1),"")</f>
        <v/>
      </c>
      <c r="S303" s="3" t="s">
        <v>23</v>
      </c>
      <c r="T303" s="3" t="str">
        <f>IFERROR(MID(VLOOKUP($B303,Seqs!$A:$B,2,0),U303,1),"")</f>
        <v>V</v>
      </c>
      <c r="U303" s="3">
        <v>210</v>
      </c>
      <c r="V303" s="3" t="str">
        <f>IFERROR(MID(VLOOKUP($B303,Seqs!$A:$B,2,0),W303,1),"")</f>
        <v>V</v>
      </c>
      <c r="W303" s="3">
        <v>243</v>
      </c>
      <c r="X303" s="3" t="str">
        <f>IFERROR(MID(VLOOKUP($B303,Seqs!$A:$B,2,0),Y303,1),"")</f>
        <v/>
      </c>
      <c r="Y303" s="3" t="s">
        <v>23</v>
      </c>
      <c r="Z303" s="3" t="str">
        <f>IFERROR(MID(VLOOKUP($B303,Seqs!$A:$B,2,0),AA303,1),"")</f>
        <v/>
      </c>
      <c r="AA303" s="3" t="s">
        <v>23</v>
      </c>
      <c r="AB303" s="3" t="str">
        <f>IFERROR(MID(VLOOKUP($B303,Seqs!$A:$B,2,0),AC303,1),"")</f>
        <v>H</v>
      </c>
      <c r="AC303" s="3">
        <v>251</v>
      </c>
      <c r="AD303" s="3" t="str">
        <f>IFERROR(MID(VLOOKUP($B303,Seqs!$A:$B,2,0),AE303,1),"")</f>
        <v>Y</v>
      </c>
      <c r="AE303" s="3">
        <v>277</v>
      </c>
      <c r="AF303" s="3" t="str">
        <f>IFERROR(MID(VLOOKUP($B303,Seqs!$A:$B,2,0),AG303,1),"")</f>
        <v>C</v>
      </c>
      <c r="AG303" s="3">
        <v>282</v>
      </c>
      <c r="AH303" s="3" t="str">
        <f>IFERROR(MID(VLOOKUP($B303,Seqs!$A:$B,2,0),AI303,1),"")</f>
        <v>I</v>
      </c>
      <c r="AI303" s="3">
        <v>284</v>
      </c>
      <c r="AJ303" s="3" t="str">
        <f>IFERROR(MID(VLOOKUP($B303,Seqs!$A:$B,2,0),AK303,1),"")</f>
        <v>L</v>
      </c>
      <c r="AK303" s="3">
        <v>290</v>
      </c>
      <c r="AL303" s="3" t="str">
        <f>IFERROR(MID(VLOOKUP($B303,Seqs!$A:$B,2,0),AM303,1),"")</f>
        <v>K</v>
      </c>
      <c r="AM303" s="3">
        <v>321</v>
      </c>
      <c r="AN303" s="3" t="str">
        <f>IFERROR(MID(VLOOKUP($B303,Seqs!$A:$B,2,0),AO303,1),"")</f>
        <v>Y</v>
      </c>
      <c r="AO303" s="3">
        <v>331</v>
      </c>
      <c r="AP303" s="3" t="str">
        <f>IFERROR(MID(VLOOKUP($B303,Seqs!$A:$B,2,0),AQ303,1),"")</f>
        <v>W</v>
      </c>
      <c r="AQ303" s="3">
        <v>354</v>
      </c>
      <c r="AR303" s="3" t="str">
        <f>IFERROR(MID(VLOOKUP($B303,Seqs!$A:$B,2,0),AS303,1),"")</f>
        <v>K</v>
      </c>
      <c r="AS303" s="3">
        <v>359</v>
      </c>
      <c r="AT303" s="3" t="str">
        <f>IFERROR(MID(VLOOKUP($B303,Seqs!$A:$B,2,0),AU303,1),"")</f>
        <v>F</v>
      </c>
      <c r="AU303" s="3">
        <v>387</v>
      </c>
      <c r="AV303" s="3" t="str">
        <f>IFERROR(MID(VLOOKUP($B303,Seqs!$A:$B,2,0),AW303,1),"")</f>
        <v>N</v>
      </c>
      <c r="AW303" s="3">
        <v>388</v>
      </c>
      <c r="AX303" s="3" t="str">
        <f>IFERROR(MID(VLOOKUP($B303,Seqs!$A:$B,2,0),AY303,1),"")</f>
        <v>S</v>
      </c>
      <c r="AY303" s="3">
        <v>413</v>
      </c>
      <c r="AZ303" s="77" t="str">
        <f>VLOOKUP(B303,Classification!A:D,2,0)</f>
        <v>B1</v>
      </c>
      <c r="BA303" s="94" t="str">
        <f>VLOOKUP(B303,Classification!A:D,4,0)</f>
        <v>Calcitonin</v>
      </c>
      <c r="BB303" s="27" t="b">
        <f t="shared" ref="BB303" si="1483">AND(E303&lt;G303,OR(G303&lt;I303,I303="-"),OR(I303&lt;K303,I303="-"),OR(K303&lt;M303,K303="-"),M303&lt;O303,OR(O303&lt;Q303,Q303="-"),OR(Q303&lt;S303,Q303="-"),OR(S303&lt;U303,S303="-"),U303&lt;W303,OR(W303&lt;Y303,Y303="-"),OR(Y303&lt;AA303,Y303="-"),OR(AA303&lt;AC303,AA303="-"),AC303&lt;AE303,OR(AE303&lt;AG303,AG303="-"),OR(AG303&lt;AI303,AG303="-"),OR(AI303&lt;AK303,AI303="-"),AK303&lt;AM303,AM303&lt;AO303,AO303&lt;AQ303,AQ303&lt;AS303,AS303&lt;AU303,OR(AU303&lt;AW303,AW303="-"),OR(AW303&lt;AY303,AW303="-"))</f>
        <v>1</v>
      </c>
      <c r="BC303" s="23">
        <f t="shared" ref="BC303" si="1484">_xlfn.AGGREGATE(9,6,CH303:CS303)-_xlfn.AGGREGATE(9,6,BV303:CG303)+12</f>
        <v>246</v>
      </c>
      <c r="BD303" s="4" t="s">
        <v>23</v>
      </c>
      <c r="BE303" s="3" t="s">
        <v>23</v>
      </c>
      <c r="BF303" s="119" t="s">
        <v>23</v>
      </c>
      <c r="BG303" s="49" t="s">
        <v>1383</v>
      </c>
      <c r="BH303" s="49" t="s">
        <v>1383</v>
      </c>
      <c r="BI303" s="1"/>
      <c r="BJ303" s="70" t="s">
        <v>1293</v>
      </c>
      <c r="BK303" s="57" t="s">
        <v>1293</v>
      </c>
      <c r="BL303" s="57" t="s">
        <v>1293</v>
      </c>
      <c r="BM303" s="57" t="s">
        <v>1293</v>
      </c>
      <c r="BN303" s="57" t="s">
        <v>1293</v>
      </c>
      <c r="BO303" s="57" t="s">
        <v>1293</v>
      </c>
      <c r="BP303" s="57" t="s">
        <v>1293</v>
      </c>
      <c r="BQ303" s="57" t="s">
        <v>1293</v>
      </c>
      <c r="BR303" s="57" t="s">
        <v>1293</v>
      </c>
      <c r="BS303" s="57" t="s">
        <v>1293</v>
      </c>
      <c r="BT303" s="57" t="s">
        <v>1293</v>
      </c>
      <c r="BU303" s="57" t="s">
        <v>1293</v>
      </c>
      <c r="BV303" s="70">
        <f t="shared" ref="BV303" si="1485">E303</f>
        <v>130</v>
      </c>
      <c r="BW303" s="71">
        <f t="shared" ref="BW303" si="1486">I303</f>
        <v>167</v>
      </c>
      <c r="BX303" s="72">
        <f t="shared" ref="BX303" si="1487">M303</f>
        <v>171</v>
      </c>
      <c r="BY303" s="71" t="str">
        <f t="shared" ref="BY303" si="1488">Q303</f>
        <v>-</v>
      </c>
      <c r="BZ303" s="72">
        <f t="shared" ref="BZ303" si="1489">U303</f>
        <v>210</v>
      </c>
      <c r="CA303" s="71" t="str">
        <f t="shared" ref="CA303" si="1490">Y303</f>
        <v>-</v>
      </c>
      <c r="CB303" s="72">
        <f t="shared" ref="CB303" si="1491">AC303</f>
        <v>251</v>
      </c>
      <c r="CC303" s="71">
        <f t="shared" ref="CC303" si="1492">AG303</f>
        <v>282</v>
      </c>
      <c r="CD303" s="72">
        <f t="shared" ref="CD303" si="1493">AK303</f>
        <v>290</v>
      </c>
      <c r="CE303" s="71">
        <f t="shared" ref="CE303" si="1494">AO303</f>
        <v>331</v>
      </c>
      <c r="CF303" s="72">
        <f t="shared" ref="CF303" si="1495">AS303</f>
        <v>359</v>
      </c>
      <c r="CG303" s="71">
        <f t="shared" ref="CG303" si="1496">AW303</f>
        <v>388</v>
      </c>
      <c r="CH303" s="70">
        <f t="shared" ref="CH303" si="1497">G303</f>
        <v>166</v>
      </c>
      <c r="CI303" s="71">
        <f t="shared" ref="CI303" si="1498">K303</f>
        <v>170</v>
      </c>
      <c r="CJ303" s="72">
        <f t="shared" ref="CJ303" si="1499">O303</f>
        <v>198</v>
      </c>
      <c r="CK303" s="72" t="str">
        <f t="shared" ref="CK303" si="1500">S303</f>
        <v>-</v>
      </c>
      <c r="CL303" s="72">
        <f t="shared" ref="CL303" si="1501">W303</f>
        <v>243</v>
      </c>
      <c r="CM303" s="72" t="str">
        <f t="shared" ref="CM303" si="1502">AA303</f>
        <v>-</v>
      </c>
      <c r="CN303" s="72">
        <f t="shared" ref="CN303" si="1503">AE303</f>
        <v>277</v>
      </c>
      <c r="CO303" s="72">
        <f t="shared" ref="CO303" si="1504">AI303</f>
        <v>284</v>
      </c>
      <c r="CP303" s="72">
        <f t="shared" ref="CP303" si="1505">AM303</f>
        <v>321</v>
      </c>
      <c r="CQ303" s="72">
        <f t="shared" ref="CQ303" si="1506">AQ303</f>
        <v>354</v>
      </c>
      <c r="CR303" s="72">
        <f t="shared" ref="CR303" si="1507">AU303</f>
        <v>387</v>
      </c>
      <c r="CS303" s="72">
        <f t="shared" ref="CS303" si="1508">AY303</f>
        <v>413</v>
      </c>
      <c r="CT303" s="23">
        <f t="shared" ref="CT303" si="1509">M303-K303</f>
        <v>1</v>
      </c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  <c r="IR303" s="6"/>
      <c r="IS303" s="6"/>
      <c r="IT303" s="6"/>
      <c r="IU303" s="6"/>
      <c r="IV303" s="6"/>
      <c r="IW303" s="6"/>
      <c r="IX303" s="6"/>
      <c r="IY303" s="6"/>
      <c r="IZ303" s="6"/>
      <c r="JA303" s="6"/>
      <c r="JB303" s="6"/>
      <c r="JC303" s="6"/>
      <c r="JD303" s="6"/>
      <c r="JE303" s="6"/>
      <c r="JF303" s="6"/>
      <c r="JG303" s="6"/>
      <c r="JH303" s="6"/>
      <c r="JI303" s="6"/>
      <c r="JJ303" s="6"/>
      <c r="JK303" s="6"/>
      <c r="JL303" s="6"/>
      <c r="JM303" s="6"/>
      <c r="JN303" s="6"/>
      <c r="JO303" s="6"/>
      <c r="JP303" s="6"/>
      <c r="JQ303" s="6"/>
      <c r="JR303" s="6"/>
      <c r="JS303" s="6"/>
      <c r="JT303" s="6"/>
      <c r="JU303" s="6"/>
      <c r="JV303" s="6"/>
      <c r="JW303" s="6"/>
      <c r="JX303" s="6"/>
      <c r="JY303" s="6"/>
      <c r="JZ303" s="6"/>
      <c r="KA303" s="6"/>
      <c r="KB303" s="6"/>
      <c r="KC303" s="6"/>
      <c r="KD303" s="6"/>
      <c r="KE303" s="6"/>
      <c r="KF303" s="6"/>
      <c r="KG303" s="6"/>
      <c r="KH303" s="6"/>
      <c r="KI303" s="6"/>
      <c r="KJ303" s="6"/>
      <c r="KK303" s="6"/>
      <c r="KL303" s="6"/>
      <c r="KM303" s="6"/>
      <c r="KN303" s="6"/>
      <c r="KO303" s="6"/>
      <c r="KP303" s="6"/>
      <c r="KQ303" s="6"/>
      <c r="KR303" s="6"/>
      <c r="KS303" s="6"/>
      <c r="KT303" s="6"/>
      <c r="KU303" s="6"/>
      <c r="KV303" s="6"/>
      <c r="KW303" s="6"/>
      <c r="KX303" s="6"/>
      <c r="KY303" s="6"/>
      <c r="KZ303" s="6"/>
      <c r="LA303" s="6"/>
      <c r="LB303" s="6"/>
      <c r="LC303" s="6"/>
      <c r="LD303" s="6"/>
      <c r="LE303" s="6"/>
      <c r="LF303" s="6"/>
      <c r="LG303" s="6"/>
      <c r="LH303" s="6"/>
      <c r="LI303" s="6"/>
      <c r="LJ303" s="6"/>
      <c r="LK303" s="6"/>
      <c r="LL303" s="6"/>
      <c r="LM303" s="6"/>
      <c r="LN303" s="6"/>
      <c r="LO303" s="6"/>
      <c r="LP303" s="6"/>
      <c r="LQ303" s="6"/>
      <c r="LR303" s="6"/>
      <c r="LS303" s="6"/>
      <c r="LT303" s="6"/>
      <c r="LU303" s="6"/>
      <c r="LV303" s="6"/>
      <c r="LW303" s="6"/>
      <c r="LX303" s="6"/>
      <c r="LY303" s="6"/>
      <c r="LZ303" s="6"/>
      <c r="MA303" s="6"/>
      <c r="MB303" s="6"/>
      <c r="MC303" s="6"/>
      <c r="MD303" s="6"/>
      <c r="ME303" s="6"/>
      <c r="MF303" s="6"/>
      <c r="MG303" s="6"/>
      <c r="MH303" s="6"/>
      <c r="MI303" s="6"/>
      <c r="MJ303" s="6"/>
      <c r="MK303" s="6"/>
      <c r="ML303" s="6"/>
      <c r="MM303" s="6"/>
      <c r="MN303" s="6"/>
      <c r="MO303" s="6"/>
      <c r="MP303" s="6"/>
      <c r="MQ303" s="6"/>
      <c r="MR303" s="6"/>
      <c r="MS303" s="6"/>
      <c r="MT303" s="6"/>
      <c r="MU303" s="6"/>
      <c r="MV303" s="6"/>
      <c r="MW303" s="6"/>
      <c r="MX303" s="6"/>
      <c r="MY303" s="6"/>
      <c r="MZ303" s="6"/>
      <c r="NA303" s="6"/>
      <c r="NB303" s="6"/>
      <c r="NC303" s="6"/>
      <c r="ND303" s="6"/>
      <c r="NE303" s="6"/>
      <c r="NF303" s="6"/>
      <c r="NG303" s="6"/>
      <c r="NH303" s="6"/>
      <c r="NI303" s="6"/>
      <c r="NJ303" s="6"/>
      <c r="NK303" s="6"/>
      <c r="NL303" s="6"/>
      <c r="NM303" s="6"/>
      <c r="NN303" s="6"/>
      <c r="NO303" s="6"/>
      <c r="NP303" s="6"/>
      <c r="NQ303" s="6"/>
      <c r="NR303" s="6"/>
      <c r="NS303" s="6"/>
      <c r="NT303" s="6"/>
      <c r="NU303" s="6"/>
      <c r="NV303" s="6"/>
      <c r="NW303" s="6"/>
      <c r="NX303" s="6"/>
      <c r="NY303" s="6"/>
      <c r="NZ303" s="6"/>
      <c r="OA303" s="6"/>
      <c r="OB303" s="6"/>
      <c r="OC303" s="6"/>
      <c r="OD303" s="6"/>
      <c r="OE303" s="6"/>
      <c r="OF303" s="6"/>
      <c r="OG303" s="6"/>
      <c r="OH303" s="6"/>
      <c r="OI303" s="6"/>
      <c r="OJ303" s="6"/>
      <c r="OK303" s="6"/>
      <c r="OL303" s="6"/>
      <c r="OM303" s="6"/>
      <c r="ON303" s="6"/>
      <c r="OO303" s="6"/>
      <c r="OP303" s="6"/>
      <c r="OQ303" s="6"/>
      <c r="OR303" s="6"/>
      <c r="OS303" s="6"/>
      <c r="OT303" s="6"/>
      <c r="OU303" s="6"/>
      <c r="OV303" s="6"/>
      <c r="OW303" s="6"/>
      <c r="OX303" s="6"/>
      <c r="OY303" s="6"/>
      <c r="OZ303" s="6"/>
      <c r="PA303" s="6"/>
      <c r="PB303" s="6"/>
      <c r="PC303" s="6"/>
      <c r="PD303" s="6"/>
      <c r="PE303" s="6"/>
      <c r="PF303" s="6"/>
      <c r="PG303" s="6"/>
      <c r="PH303" s="6"/>
      <c r="PI303" s="6"/>
      <c r="PJ303" s="6"/>
      <c r="PK303" s="6"/>
      <c r="PL303" s="6"/>
      <c r="PM303" s="6"/>
      <c r="PN303" s="6"/>
      <c r="PO303" s="6"/>
      <c r="PP303" s="6"/>
      <c r="PQ303" s="6"/>
      <c r="PR303" s="6"/>
      <c r="PS303" s="6"/>
      <c r="PT303" s="6"/>
      <c r="PU303" s="6"/>
      <c r="PV303" s="6"/>
      <c r="PW303" s="6"/>
      <c r="PX303" s="6"/>
      <c r="PY303" s="6"/>
      <c r="PZ303" s="6"/>
      <c r="QA303" s="6"/>
      <c r="QB303" s="6"/>
      <c r="QC303" s="6"/>
      <c r="QD303" s="6"/>
      <c r="QE303" s="6"/>
      <c r="QF303" s="6"/>
      <c r="QG303" s="6"/>
      <c r="QH303" s="6"/>
      <c r="QI303" s="6"/>
      <c r="QJ303" s="6"/>
      <c r="QK303" s="6"/>
      <c r="QL303" s="6"/>
      <c r="QM303" s="6"/>
      <c r="QN303" s="6"/>
      <c r="QO303" s="6"/>
      <c r="QP303" s="6"/>
      <c r="QQ303" s="6"/>
      <c r="QR303" s="6"/>
      <c r="QS303" s="6"/>
      <c r="QT303" s="6"/>
      <c r="QU303" s="6"/>
      <c r="QV303" s="6"/>
      <c r="QW303" s="6"/>
      <c r="QX303" s="6"/>
      <c r="QY303" s="6"/>
      <c r="QZ303" s="6"/>
      <c r="RA303" s="6"/>
      <c r="RB303" s="6"/>
      <c r="RC303" s="6"/>
      <c r="RD303" s="6"/>
      <c r="RE303" s="6"/>
      <c r="RF303" s="6"/>
      <c r="RG303" s="6"/>
      <c r="RH303" s="6"/>
      <c r="RI303" s="6"/>
      <c r="RJ303" s="6"/>
      <c r="RK303" s="6"/>
      <c r="RL303" s="6"/>
      <c r="RM303" s="6"/>
      <c r="RN303" s="6"/>
      <c r="RO303" s="6"/>
      <c r="RP303" s="6"/>
      <c r="RQ303" s="6"/>
      <c r="RR303" s="6"/>
      <c r="RS303" s="6"/>
      <c r="RT303" s="6"/>
      <c r="RU303" s="6"/>
      <c r="RV303" s="6"/>
      <c r="RW303" s="6"/>
      <c r="RX303" s="6"/>
      <c r="RY303" s="6"/>
      <c r="RZ303" s="6"/>
      <c r="SA303" s="6"/>
      <c r="SB303" s="6"/>
      <c r="SC303" s="6"/>
      <c r="SD303" s="6"/>
      <c r="SE303" s="6"/>
      <c r="SF303" s="6"/>
      <c r="SG303" s="6"/>
      <c r="SH303" s="6"/>
      <c r="SI303" s="6"/>
      <c r="SJ303" s="6"/>
      <c r="SK303" s="6"/>
      <c r="SL303" s="6"/>
      <c r="SM303" s="6"/>
      <c r="SN303" s="6"/>
      <c r="SO303" s="6"/>
      <c r="SP303" s="6"/>
      <c r="SQ303" s="6"/>
      <c r="SR303" s="6"/>
      <c r="SS303" s="6"/>
      <c r="ST303" s="6"/>
      <c r="SU303" s="6"/>
      <c r="SV303" s="6"/>
      <c r="SW303" s="6"/>
      <c r="SX303" s="6"/>
      <c r="SY303" s="6"/>
      <c r="SZ303" s="6"/>
      <c r="TA303" s="6"/>
      <c r="TB303" s="6"/>
      <c r="TC303" s="6"/>
      <c r="TD303" s="6"/>
      <c r="TE303" s="6"/>
      <c r="TF303" s="6"/>
      <c r="TG303" s="6"/>
      <c r="TH303" s="6"/>
      <c r="TI303" s="6"/>
      <c r="TJ303" s="6"/>
      <c r="TK303" s="6"/>
      <c r="TL303" s="6"/>
      <c r="TM303" s="6"/>
      <c r="TN303" s="6"/>
      <c r="TO303" s="6"/>
      <c r="TP303" s="6"/>
      <c r="TQ303" s="6"/>
      <c r="TR303" s="6"/>
      <c r="TS303" s="6"/>
      <c r="TT303" s="6"/>
      <c r="TU303" s="6"/>
      <c r="TV303" s="6"/>
      <c r="TW303" s="6"/>
      <c r="TX303" s="6"/>
      <c r="TY303" s="6"/>
      <c r="TZ303" s="6"/>
      <c r="UA303" s="6"/>
      <c r="UB303" s="6"/>
      <c r="UC303" s="6"/>
      <c r="UD303" s="6"/>
      <c r="UE303" s="6"/>
      <c r="UF303" s="6"/>
      <c r="UG303" s="6"/>
      <c r="UH303" s="6"/>
      <c r="UI303" s="6"/>
      <c r="UJ303" s="6"/>
      <c r="UK303" s="6"/>
      <c r="UL303" s="6"/>
      <c r="UM303" s="6"/>
      <c r="UN303" s="6"/>
      <c r="UO303" s="6"/>
      <c r="UP303" s="6"/>
      <c r="UQ303" s="6"/>
      <c r="UR303" s="6"/>
      <c r="US303" s="6"/>
      <c r="UT303" s="6"/>
      <c r="UU303" s="6"/>
      <c r="UV303" s="6"/>
      <c r="UW303" s="6"/>
      <c r="UX303" s="6"/>
      <c r="UY303" s="6"/>
      <c r="UZ303" s="6"/>
      <c r="VA303" s="6"/>
      <c r="VB303" s="6"/>
      <c r="VC303" s="6"/>
      <c r="VD303" s="6"/>
      <c r="VE303" s="6"/>
      <c r="VF303" s="6"/>
      <c r="VG303" s="6"/>
      <c r="VH303" s="6"/>
      <c r="VI303" s="6"/>
      <c r="VJ303" s="6"/>
      <c r="VK303" s="6"/>
      <c r="VL303" s="6"/>
      <c r="VM303" s="6"/>
      <c r="VN303" s="6"/>
      <c r="VO303" s="6"/>
      <c r="VP303" s="6"/>
      <c r="VQ303" s="6"/>
      <c r="VR303" s="6"/>
      <c r="VS303" s="6"/>
      <c r="VT303" s="6"/>
      <c r="VU303" s="6"/>
      <c r="VV303" s="6"/>
      <c r="VW303" s="6"/>
      <c r="VX303" s="6"/>
      <c r="VY303" s="6"/>
      <c r="VZ303" s="6"/>
      <c r="WA303" s="6"/>
      <c r="WB303" s="6"/>
      <c r="WC303" s="6"/>
      <c r="WD303" s="6"/>
      <c r="WE303" s="6"/>
      <c r="WF303" s="6"/>
      <c r="WG303" s="6"/>
      <c r="WH303" s="6"/>
      <c r="WI303" s="6"/>
      <c r="WJ303" s="6"/>
      <c r="WK303" s="6"/>
      <c r="WL303" s="6"/>
      <c r="WM303" s="6"/>
      <c r="WN303" s="6"/>
      <c r="WO303" s="6"/>
      <c r="WP303" s="6"/>
      <c r="WQ303" s="6"/>
      <c r="WR303" s="6"/>
      <c r="WS303" s="6"/>
      <c r="WT303" s="6"/>
      <c r="WU303" s="6"/>
      <c r="WV303" s="6"/>
      <c r="WW303" s="6"/>
      <c r="WX303" s="6"/>
      <c r="WY303" s="6"/>
      <c r="WZ303" s="6"/>
      <c r="XA303" s="6"/>
      <c r="XB303" s="6"/>
      <c r="XC303" s="6"/>
      <c r="XD303" s="6"/>
      <c r="XE303" s="6"/>
      <c r="XF303" s="6"/>
      <c r="XG303" s="6"/>
      <c r="XH303" s="6"/>
      <c r="XI303" s="6"/>
      <c r="XJ303" s="6"/>
      <c r="XK303" s="6"/>
      <c r="XL303" s="6"/>
      <c r="XM303" s="6"/>
      <c r="XN303" s="6"/>
      <c r="XO303" s="6"/>
      <c r="XP303" s="6"/>
      <c r="XQ303" s="6"/>
      <c r="XR303" s="6"/>
      <c r="XS303" s="6"/>
      <c r="XT303" s="6"/>
      <c r="XU303" s="6"/>
      <c r="XV303" s="6"/>
      <c r="XW303" s="6"/>
      <c r="XX303" s="6"/>
      <c r="XY303" s="6"/>
      <c r="XZ303" s="6"/>
      <c r="YA303" s="6"/>
      <c r="YB303" s="6"/>
      <c r="YC303" s="6"/>
      <c r="YD303" s="6"/>
      <c r="YE303" s="6"/>
      <c r="YF303" s="6"/>
      <c r="YG303" s="6"/>
      <c r="YH303" s="6"/>
      <c r="YI303" s="6"/>
      <c r="YJ303" s="6"/>
      <c r="YK303" s="6"/>
      <c r="YL303" s="6"/>
      <c r="YM303" s="6"/>
      <c r="YN303" s="6"/>
      <c r="YO303" s="6"/>
      <c r="YP303" s="6"/>
      <c r="YQ303" s="6"/>
      <c r="YR303" s="6"/>
      <c r="YS303" s="6"/>
      <c r="YT303" s="6"/>
      <c r="YU303" s="6"/>
      <c r="YV303" s="6"/>
      <c r="YW303" s="6"/>
      <c r="YX303" s="6"/>
      <c r="YY303" s="6"/>
      <c r="YZ303" s="6"/>
      <c r="ZA303" s="6"/>
      <c r="ZB303" s="6"/>
      <c r="ZC303" s="6"/>
      <c r="ZD303" s="6"/>
      <c r="ZE303" s="6"/>
      <c r="ZF303" s="6"/>
      <c r="ZG303" s="6"/>
      <c r="ZH303" s="6"/>
      <c r="ZI303" s="6"/>
      <c r="ZJ303" s="6"/>
      <c r="ZK303" s="6"/>
      <c r="ZL303" s="6"/>
      <c r="ZM303" s="6"/>
      <c r="ZN303" s="6"/>
      <c r="ZO303" s="6"/>
      <c r="ZP303" s="6"/>
      <c r="ZQ303" s="6"/>
      <c r="ZR303" s="6"/>
      <c r="ZS303" s="6"/>
      <c r="ZT303" s="6"/>
      <c r="ZU303" s="6"/>
      <c r="ZV303" s="6"/>
      <c r="ZW303" s="6"/>
      <c r="ZX303" s="6"/>
      <c r="ZY303" s="6"/>
      <c r="ZZ303" s="6"/>
      <c r="AAA303" s="6"/>
      <c r="AAB303" s="6"/>
      <c r="AAC303" s="6"/>
      <c r="AAD303" s="6"/>
      <c r="AAE303" s="6"/>
      <c r="AAF303" s="6"/>
      <c r="AAG303" s="6"/>
      <c r="AAH303" s="6"/>
      <c r="AAI303" s="6"/>
      <c r="AAJ303" s="6"/>
      <c r="AAK303" s="6"/>
      <c r="AAL303" s="6"/>
      <c r="AAM303" s="6"/>
      <c r="AAN303" s="6"/>
      <c r="AAO303" s="6"/>
      <c r="AAP303" s="6"/>
      <c r="AAQ303" s="6"/>
      <c r="AAR303" s="6"/>
      <c r="AAS303" s="6"/>
      <c r="AAT303" s="6"/>
      <c r="AAU303" s="6"/>
      <c r="AAV303" s="6"/>
      <c r="AAW303" s="6"/>
      <c r="AAX303" s="6"/>
      <c r="AAY303" s="6"/>
      <c r="AAZ303" s="6"/>
      <c r="ABA303" s="6"/>
      <c r="ABB303" s="6"/>
      <c r="ABC303" s="6"/>
      <c r="ABD303" s="6"/>
      <c r="ABE303" s="6"/>
      <c r="ABF303" s="6"/>
      <c r="ABG303" s="6"/>
      <c r="ABH303" s="6"/>
      <c r="ABI303" s="6"/>
      <c r="ABJ303" s="6"/>
      <c r="ABK303" s="6"/>
      <c r="ABL303" s="6"/>
      <c r="ABM303" s="6"/>
      <c r="ABN303" s="6"/>
      <c r="ABO303" s="6"/>
      <c r="ABP303" s="6"/>
      <c r="ABQ303" s="6"/>
      <c r="ABR303" s="6"/>
      <c r="ABS303" s="6"/>
      <c r="ABT303" s="6"/>
      <c r="ABU303" s="6"/>
      <c r="ABV303" s="6"/>
      <c r="ABW303" s="6"/>
      <c r="ABX303" s="6"/>
      <c r="ABY303" s="6"/>
      <c r="ABZ303" s="6"/>
      <c r="ACA303" s="6"/>
      <c r="ACB303" s="6"/>
      <c r="ACC303" s="6"/>
      <c r="ACD303" s="6"/>
      <c r="ACE303" s="6"/>
      <c r="ACF303" s="6"/>
      <c r="ACG303" s="6"/>
      <c r="ACH303" s="6"/>
      <c r="ACI303" s="6"/>
      <c r="ACJ303" s="6"/>
      <c r="ACK303" s="6"/>
      <c r="ACL303" s="6"/>
      <c r="ACM303" s="6"/>
      <c r="ACN303" s="6"/>
      <c r="ACO303" s="6"/>
      <c r="ACP303" s="6"/>
      <c r="ACQ303" s="6"/>
      <c r="ACR303" s="6"/>
      <c r="ACS303" s="6"/>
      <c r="ACT303" s="6"/>
      <c r="ACU303" s="6"/>
      <c r="ACV303" s="6"/>
      <c r="ACW303" s="6"/>
      <c r="ACX303" s="6"/>
      <c r="ACY303" s="6"/>
      <c r="ACZ303" s="6"/>
      <c r="ADA303" s="6"/>
      <c r="ADB303" s="6"/>
      <c r="ADC303" s="6"/>
      <c r="ADD303" s="6"/>
      <c r="ADE303" s="6"/>
      <c r="ADF303" s="6"/>
      <c r="ADG303" s="6"/>
      <c r="ADH303" s="6"/>
      <c r="ADI303" s="6"/>
      <c r="ADJ303" s="6"/>
      <c r="ADK303" s="6"/>
      <c r="ADL303" s="6"/>
      <c r="ADM303" s="6"/>
      <c r="ADN303" s="6"/>
      <c r="ADO303" s="6"/>
      <c r="ADP303" s="6"/>
      <c r="ADQ303" s="6"/>
      <c r="ADR303" s="6"/>
      <c r="ADS303" s="6"/>
      <c r="ADT303" s="6"/>
      <c r="ADU303" s="6"/>
      <c r="ADV303" s="6"/>
      <c r="ADW303" s="6"/>
      <c r="ADX303" s="6"/>
      <c r="ADY303" s="6"/>
      <c r="ADZ303" s="6"/>
      <c r="AEA303" s="6"/>
      <c r="AEB303" s="6"/>
      <c r="AEC303" s="6"/>
      <c r="AED303" s="6"/>
      <c r="AEE303" s="6"/>
      <c r="AEF303" s="6"/>
      <c r="AEG303" s="6"/>
      <c r="AEH303" s="6"/>
      <c r="AEI303" s="6"/>
      <c r="AEJ303" s="6"/>
      <c r="AEK303" s="6"/>
      <c r="AEL303" s="6"/>
      <c r="AEM303" s="6"/>
      <c r="AEN303" s="6"/>
      <c r="AEO303" s="6"/>
      <c r="AEP303" s="6"/>
      <c r="AEQ303" s="6"/>
      <c r="AER303" s="6"/>
      <c r="AES303" s="6"/>
      <c r="AET303" s="6"/>
      <c r="AEU303" s="6"/>
      <c r="AEV303" s="6"/>
      <c r="AEW303" s="6"/>
      <c r="AEX303" s="6"/>
      <c r="AEY303" s="6"/>
      <c r="AEZ303" s="6"/>
      <c r="AFA303" s="6"/>
      <c r="AFB303" s="6"/>
      <c r="AFC303" s="6"/>
      <c r="AFD303" s="6"/>
      <c r="AFE303" s="6"/>
      <c r="AFF303" s="6"/>
      <c r="AFG303" s="6"/>
      <c r="AFH303" s="6"/>
      <c r="AFI303" s="6"/>
      <c r="AFJ303" s="6"/>
      <c r="AFK303" s="6"/>
      <c r="AFL303" s="6"/>
      <c r="AFM303" s="6"/>
      <c r="AFN303" s="6"/>
      <c r="AFO303" s="6"/>
      <c r="AFP303" s="6"/>
      <c r="AFQ303" s="6"/>
      <c r="AFR303" s="6"/>
      <c r="AFS303" s="6"/>
      <c r="AFT303" s="6"/>
      <c r="AFU303" s="6"/>
      <c r="AFV303" s="6"/>
      <c r="AFW303" s="6"/>
      <c r="AFX303" s="6"/>
      <c r="AFY303" s="6"/>
      <c r="AFZ303" s="6"/>
      <c r="AGA303" s="6"/>
      <c r="AGB303" s="6"/>
      <c r="AGC303" s="6"/>
      <c r="AGD303" s="6"/>
      <c r="AGE303" s="6"/>
      <c r="AGF303" s="6"/>
      <c r="AGG303" s="6"/>
      <c r="AGH303" s="6"/>
      <c r="AGI303" s="6"/>
      <c r="AGJ303" s="6"/>
      <c r="AGK303" s="6"/>
      <c r="AGL303" s="6"/>
      <c r="AGM303" s="6"/>
      <c r="AGN303" s="6"/>
      <c r="AGO303" s="6"/>
      <c r="AGP303" s="6"/>
      <c r="AGQ303" s="6"/>
      <c r="AGR303" s="6"/>
      <c r="AGS303" s="6"/>
      <c r="AGT303" s="6"/>
      <c r="AGU303" s="6"/>
      <c r="AGV303" s="6"/>
      <c r="AGW303" s="6"/>
      <c r="AGX303" s="6"/>
      <c r="AGY303" s="6"/>
      <c r="AGZ303" s="6"/>
      <c r="AHA303" s="6"/>
      <c r="AHB303" s="6"/>
      <c r="AHC303" s="6"/>
      <c r="AHD303" s="6"/>
      <c r="AHE303" s="6"/>
      <c r="AHF303" s="6"/>
      <c r="AHG303" s="6"/>
      <c r="AHH303" s="6"/>
      <c r="AHI303" s="6"/>
      <c r="AHJ303" s="6"/>
      <c r="AHK303" s="6"/>
      <c r="AHL303" s="6"/>
      <c r="AHM303" s="6"/>
      <c r="AHN303" s="6"/>
      <c r="AHO303" s="6"/>
      <c r="AHP303" s="6"/>
      <c r="AHQ303" s="6"/>
      <c r="AHR303" s="6"/>
      <c r="AHS303" s="6"/>
      <c r="AHT303" s="6"/>
      <c r="AHU303" s="6"/>
      <c r="AHV303" s="6"/>
      <c r="AHW303" s="6"/>
      <c r="AHX303" s="6"/>
      <c r="AHY303" s="6"/>
      <c r="AHZ303" s="6"/>
      <c r="AIA303" s="6"/>
      <c r="AIB303" s="6"/>
      <c r="AIC303" s="6"/>
      <c r="AID303" s="6"/>
      <c r="AIE303" s="6"/>
      <c r="AIF303" s="6"/>
      <c r="AIG303" s="6"/>
      <c r="AIH303" s="6"/>
      <c r="AII303" s="6"/>
      <c r="AIJ303" s="6"/>
      <c r="AIK303" s="6"/>
      <c r="AIL303" s="6"/>
      <c r="AIM303" s="6"/>
      <c r="AIN303" s="6"/>
      <c r="AIO303" s="6"/>
      <c r="AIP303" s="6"/>
      <c r="AIQ303" s="6"/>
      <c r="AIR303" s="6"/>
      <c r="AIS303" s="6"/>
      <c r="AIT303" s="6"/>
      <c r="AIU303" s="6"/>
      <c r="AIV303" s="6"/>
      <c r="AIW303" s="6"/>
      <c r="AIX303" s="6"/>
      <c r="AIY303" s="6"/>
      <c r="AIZ303" s="6"/>
      <c r="AJA303" s="6"/>
      <c r="AJB303" s="6"/>
      <c r="AJC303" s="6"/>
      <c r="AJD303" s="6"/>
      <c r="AJE303" s="6"/>
      <c r="AJF303" s="6"/>
      <c r="AJG303" s="6"/>
      <c r="AJH303" s="6"/>
      <c r="AJI303" s="6"/>
      <c r="AJJ303" s="6"/>
      <c r="AJK303" s="6"/>
      <c r="AJL303" s="6"/>
      <c r="AJM303" s="6"/>
      <c r="AJN303" s="6"/>
      <c r="AJO303" s="6"/>
      <c r="AJP303" s="6"/>
      <c r="AJQ303" s="6"/>
      <c r="AJR303" s="6"/>
      <c r="AJS303" s="6"/>
      <c r="AJT303" s="6"/>
      <c r="AJU303" s="6"/>
      <c r="AJV303" s="6"/>
      <c r="AJW303" s="6"/>
      <c r="AJX303" s="6"/>
      <c r="AJY303" s="6"/>
      <c r="AJZ303" s="6"/>
      <c r="AKA303" s="6"/>
      <c r="AKB303" s="6"/>
      <c r="AKC303" s="6"/>
      <c r="AKD303" s="6"/>
      <c r="AKE303" s="6"/>
      <c r="AKF303" s="6"/>
      <c r="AKG303" s="6"/>
      <c r="AKH303" s="6"/>
      <c r="AKI303" s="6"/>
      <c r="AKJ303" s="6"/>
      <c r="AKK303" s="6"/>
      <c r="AKL303" s="6"/>
      <c r="AKM303" s="6"/>
      <c r="AKN303" s="6"/>
      <c r="AKO303" s="6"/>
      <c r="AKP303" s="6"/>
      <c r="AKQ303" s="6"/>
      <c r="AKR303" s="6"/>
      <c r="AKS303" s="6"/>
      <c r="AKT303" s="6"/>
      <c r="AKU303" s="6"/>
      <c r="AKV303" s="6"/>
      <c r="AKW303" s="6"/>
      <c r="AKX303" s="6"/>
      <c r="AKY303" s="6"/>
      <c r="AKZ303" s="6"/>
      <c r="ALA303" s="6"/>
      <c r="ALB303" s="6"/>
      <c r="ALC303" s="6"/>
      <c r="ALD303" s="6"/>
      <c r="ALE303" s="6"/>
      <c r="ALF303" s="6"/>
      <c r="ALG303" s="6"/>
      <c r="ALH303" s="6"/>
      <c r="ALI303" s="6"/>
      <c r="ALJ303" s="6"/>
      <c r="ALK303" s="6"/>
      <c r="ALL303" s="6"/>
      <c r="ALM303" s="6"/>
      <c r="ALN303" s="6"/>
      <c r="ALO303" s="6"/>
      <c r="ALP303" s="6"/>
      <c r="ALQ303" s="6"/>
      <c r="ALR303" s="6"/>
      <c r="ALS303" s="6"/>
      <c r="ALT303" s="6"/>
      <c r="ALU303" s="6"/>
      <c r="ALV303" s="6"/>
      <c r="ALW303" s="6"/>
      <c r="ALX303" s="6"/>
      <c r="ALY303" s="6"/>
      <c r="ALZ303" s="6"/>
      <c r="AMA303" s="6"/>
      <c r="AMB303" s="6"/>
      <c r="AMC303" s="6"/>
      <c r="AMD303" s="6"/>
      <c r="AME303" s="6"/>
      <c r="AMF303" s="6"/>
      <c r="AMG303" s="6"/>
      <c r="AMH303" s="6"/>
      <c r="AMI303" s="6"/>
      <c r="AMJ303" s="6"/>
      <c r="AMK303" s="6"/>
      <c r="AML303" s="6"/>
      <c r="AMM303" s="6"/>
      <c r="AMN303" s="6"/>
      <c r="AMO303" s="6"/>
      <c r="AMP303" s="6"/>
    </row>
    <row r="304" spans="1:1030" x14ac:dyDescent="0.2">
      <c r="A304" s="3" t="str">
        <f t="shared" si="1398"/>
        <v>calrl_human_6E3Y</v>
      </c>
      <c r="B304" s="2" t="s">
        <v>402</v>
      </c>
      <c r="C304" s="3" t="s">
        <v>1533</v>
      </c>
      <c r="D304" s="3" t="str">
        <f>IFERROR(MID(VLOOKUP($B304,Seqs!$A:$B,2,0),E304,1),"")</f>
        <v>N</v>
      </c>
      <c r="E304" s="3">
        <v>130</v>
      </c>
      <c r="F304" s="3" t="str">
        <f>IFERROR(MID(VLOOKUP($B304,Seqs!$A:$B,2,0),G304,1),"")</f>
        <v>F</v>
      </c>
      <c r="G304" s="3">
        <v>166</v>
      </c>
      <c r="H304" s="3" t="str">
        <f>IFERROR(MID(VLOOKUP($B304,Seqs!$A:$B,2,0),I304,1),"")</f>
        <v/>
      </c>
      <c r="I304" s="23" t="s">
        <v>23</v>
      </c>
      <c r="J304" s="3" t="str">
        <f>IFERROR(MID(VLOOKUP($B304,Seqs!$A:$B,2,0),K304,1),"")</f>
        <v/>
      </c>
      <c r="K304" s="23" t="s">
        <v>23</v>
      </c>
      <c r="L304" s="3" t="str">
        <f>IFERROR(MID(VLOOKUP($B304,Seqs!$A:$B,2,0),M304,1),"")</f>
        <v>C</v>
      </c>
      <c r="M304" s="3">
        <v>171</v>
      </c>
      <c r="N304" s="3" t="str">
        <f>IFERROR(MID(VLOOKUP($B304,Seqs!$A:$B,2,0),O304,1),"")</f>
        <v>V</v>
      </c>
      <c r="O304" s="3">
        <v>198</v>
      </c>
      <c r="P304" s="3" t="str">
        <f>IFERROR(MID(VLOOKUP($B304,Seqs!$A:$B,2,0),Q304,1),"")</f>
        <v/>
      </c>
      <c r="Q304" s="3" t="s">
        <v>23</v>
      </c>
      <c r="R304" s="3" t="str">
        <f>IFERROR(MID(VLOOKUP($B304,Seqs!$A:$B,2,0),S304,1),"")</f>
        <v/>
      </c>
      <c r="S304" s="3" t="s">
        <v>23</v>
      </c>
      <c r="T304" s="3" t="str">
        <f>IFERROR(MID(VLOOKUP($B304,Seqs!$A:$B,2,0),U304,1),"")</f>
        <v>V</v>
      </c>
      <c r="U304" s="3">
        <v>210</v>
      </c>
      <c r="V304" s="3" t="str">
        <f>IFERROR(MID(VLOOKUP($B304,Seqs!$A:$B,2,0),W304,1),"")</f>
        <v>V</v>
      </c>
      <c r="W304" s="3">
        <v>242</v>
      </c>
      <c r="X304" s="3" t="str">
        <f>IFERROR(MID(VLOOKUP($B304,Seqs!$A:$B,2,0),Y304,1),"")</f>
        <v/>
      </c>
      <c r="Y304" s="3" t="s">
        <v>23</v>
      </c>
      <c r="Z304" s="3" t="str">
        <f>IFERROR(MID(VLOOKUP($B304,Seqs!$A:$B,2,0),AA304,1),"")</f>
        <v/>
      </c>
      <c r="AA304" s="3" t="s">
        <v>23</v>
      </c>
      <c r="AB304" s="3" t="str">
        <f>IFERROR(MID(VLOOKUP($B304,Seqs!$A:$B,2,0),AC304,1),"")</f>
        <v>M</v>
      </c>
      <c r="AC304" s="3">
        <v>253</v>
      </c>
      <c r="AD304" s="3" t="str">
        <f>IFERROR(MID(VLOOKUP($B304,Seqs!$A:$B,2,0),AE304,1),"")</f>
        <v>Y</v>
      </c>
      <c r="AE304" s="3">
        <v>277</v>
      </c>
      <c r="AF304" s="3" t="str">
        <f>IFERROR(MID(VLOOKUP($B304,Seqs!$A:$B,2,0),AG304,1),"")</f>
        <v>C</v>
      </c>
      <c r="AG304" s="3">
        <v>282</v>
      </c>
      <c r="AH304" s="3" t="str">
        <f>IFERROR(MID(VLOOKUP($B304,Seqs!$A:$B,2,0),AI304,1),"")</f>
        <v>I</v>
      </c>
      <c r="AI304" s="3">
        <v>284</v>
      </c>
      <c r="AJ304" s="3" t="str">
        <f>IFERROR(MID(VLOOKUP($B304,Seqs!$A:$B,2,0),AK304,1),"")</f>
        <v>L</v>
      </c>
      <c r="AK304" s="3">
        <v>290</v>
      </c>
      <c r="AL304" s="3" t="str">
        <f>IFERROR(MID(VLOOKUP($B304,Seqs!$A:$B,2,0),AM304,1),"")</f>
        <v>K</v>
      </c>
      <c r="AM304" s="3">
        <v>321</v>
      </c>
      <c r="AN304" s="3" t="str">
        <f>IFERROR(MID(VLOOKUP($B304,Seqs!$A:$B,2,0),AO304,1),"")</f>
        <v>N</v>
      </c>
      <c r="AO304" s="3">
        <v>329</v>
      </c>
      <c r="AP304" s="3" t="str">
        <f>IFERROR(MID(VLOOKUP($B304,Seqs!$A:$B,2,0),AQ304,1),"")</f>
        <v>V</v>
      </c>
      <c r="AQ304" s="3">
        <v>350</v>
      </c>
      <c r="AR304" s="3" t="str">
        <f>IFERROR(MID(VLOOKUP($B304,Seqs!$A:$B,2,0),AS304,1),"")</f>
        <v>V</v>
      </c>
      <c r="AS304" s="3">
        <v>364</v>
      </c>
      <c r="AT304" s="3" t="str">
        <f>IFERROR(MID(VLOOKUP($B304,Seqs!$A:$B,2,0),AU304,1),"")</f>
        <v>F</v>
      </c>
      <c r="AU304" s="3">
        <v>387</v>
      </c>
      <c r="AV304" s="3" t="str">
        <f>IFERROR(MID(VLOOKUP($B304,Seqs!$A:$B,2,0),AW304,1),"")</f>
        <v>N</v>
      </c>
      <c r="AW304" s="3">
        <v>388</v>
      </c>
      <c r="AX304" s="3" t="str">
        <f>IFERROR(MID(VLOOKUP($B304,Seqs!$A:$B,2,0),AY304,1),"")</f>
        <v>W</v>
      </c>
      <c r="AY304" s="3">
        <v>399</v>
      </c>
      <c r="AZ304" s="77" t="str">
        <f>VLOOKUP(B304,Classification!A:D,2,0)</f>
        <v>B1</v>
      </c>
      <c r="BA304" s="94" t="str">
        <f>VLOOKUP(B304,Classification!A:D,4,0)</f>
        <v>Calcitonin</v>
      </c>
      <c r="BB304" s="27" t="b">
        <f t="shared" ref="BB304" si="1510">AND(E304&lt;G304,OR(G304&lt;I304,I304="-"),OR(I304&lt;K304,I304="-"),OR(K304&lt;M304,K304="-"),M304&lt;O304,OR(O304&lt;Q304,Q304="-"),OR(Q304&lt;S304,Q304="-"),OR(S304&lt;U304,S304="-"),U304&lt;W304,OR(W304&lt;Y304,Y304="-"),OR(Y304&lt;AA304,Y304="-"),OR(AA304&lt;AC304,AA304="-"),AC304&lt;AE304,OR(AE304&lt;AG304,AG304="-"),OR(AG304&lt;AI304,AG304="-"),OR(AI304&lt;AK304,AI304="-"),AK304&lt;AM304,AM304&lt;AO304,AO304&lt;AQ304,AQ304&lt;AS304,AS304&lt;AU304,OR(AU304&lt;AW304,AW304="-"),OR(AW304&lt;AY304,AW304="-"))</f>
        <v>1</v>
      </c>
      <c r="BC304" s="23">
        <f t="shared" ref="BC304" si="1511">_xlfn.AGGREGATE(9,6,CH304:CS304)-_xlfn.AGGREGATE(9,6,BV304:CG304)+12</f>
        <v>219</v>
      </c>
      <c r="BD304" s="4" t="s">
        <v>1381</v>
      </c>
      <c r="BE304" s="3" t="s">
        <v>1297</v>
      </c>
      <c r="BF304" s="119">
        <v>3.3</v>
      </c>
      <c r="BG304" s="49" t="s">
        <v>1432</v>
      </c>
      <c r="BH304" s="49" t="s">
        <v>1432</v>
      </c>
      <c r="BI304" s="1"/>
      <c r="BJ304" s="70" t="s">
        <v>1293</v>
      </c>
      <c r="BK304" s="57" t="s">
        <v>1293</v>
      </c>
      <c r="BL304" s="57" t="s">
        <v>1293</v>
      </c>
      <c r="BM304" s="57" t="s">
        <v>1293</v>
      </c>
      <c r="BN304" s="57" t="s">
        <v>1293</v>
      </c>
      <c r="BO304" s="57" t="s">
        <v>1293</v>
      </c>
      <c r="BP304" s="57" t="s">
        <v>1293</v>
      </c>
      <c r="BQ304" s="57" t="s">
        <v>1293</v>
      </c>
      <c r="BR304" s="57" t="s">
        <v>1293</v>
      </c>
      <c r="BS304" s="57" t="s">
        <v>1293</v>
      </c>
      <c r="BT304" s="57" t="s">
        <v>1293</v>
      </c>
      <c r="BU304" s="57" t="s">
        <v>1293</v>
      </c>
      <c r="BV304" s="70">
        <f t="shared" ref="BV304" si="1512">E304</f>
        <v>130</v>
      </c>
      <c r="BW304" s="71" t="str">
        <f t="shared" ref="BW304" si="1513">I304</f>
        <v>-</v>
      </c>
      <c r="BX304" s="72">
        <f t="shared" ref="BX304" si="1514">M304</f>
        <v>171</v>
      </c>
      <c r="BY304" s="71" t="str">
        <f t="shared" ref="BY304" si="1515">Q304</f>
        <v>-</v>
      </c>
      <c r="BZ304" s="72">
        <f t="shared" ref="BZ304" si="1516">U304</f>
        <v>210</v>
      </c>
      <c r="CA304" s="71" t="str">
        <f t="shared" ref="CA304" si="1517">Y304</f>
        <v>-</v>
      </c>
      <c r="CB304" s="72">
        <f t="shared" ref="CB304" si="1518">AC304</f>
        <v>253</v>
      </c>
      <c r="CC304" s="71">
        <f t="shared" ref="CC304" si="1519">AG304</f>
        <v>282</v>
      </c>
      <c r="CD304" s="72">
        <f t="shared" ref="CD304" si="1520">AK304</f>
        <v>290</v>
      </c>
      <c r="CE304" s="71">
        <f t="shared" ref="CE304" si="1521">AO304</f>
        <v>329</v>
      </c>
      <c r="CF304" s="72">
        <f t="shared" ref="CF304" si="1522">AS304</f>
        <v>364</v>
      </c>
      <c r="CG304" s="71">
        <f t="shared" ref="CG304" si="1523">AW304</f>
        <v>388</v>
      </c>
      <c r="CH304" s="70">
        <f t="shared" ref="CH304" si="1524">G304</f>
        <v>166</v>
      </c>
      <c r="CI304" s="71" t="str">
        <f t="shared" ref="CI304" si="1525">K304</f>
        <v>-</v>
      </c>
      <c r="CJ304" s="72">
        <f t="shared" ref="CJ304" si="1526">O304</f>
        <v>198</v>
      </c>
      <c r="CK304" s="72" t="str">
        <f t="shared" ref="CK304" si="1527">S304</f>
        <v>-</v>
      </c>
      <c r="CL304" s="72">
        <f t="shared" ref="CL304" si="1528">W304</f>
        <v>242</v>
      </c>
      <c r="CM304" s="72" t="str">
        <f t="shared" ref="CM304" si="1529">AA304</f>
        <v>-</v>
      </c>
      <c r="CN304" s="72">
        <f t="shared" ref="CN304" si="1530">AE304</f>
        <v>277</v>
      </c>
      <c r="CO304" s="72">
        <f t="shared" ref="CO304" si="1531">AI304</f>
        <v>284</v>
      </c>
      <c r="CP304" s="72">
        <f t="shared" ref="CP304" si="1532">AM304</f>
        <v>321</v>
      </c>
      <c r="CQ304" s="72">
        <f t="shared" ref="CQ304" si="1533">AQ304</f>
        <v>350</v>
      </c>
      <c r="CR304" s="72">
        <f t="shared" ref="CR304" si="1534">AU304</f>
        <v>387</v>
      </c>
      <c r="CS304" s="72">
        <f t="shared" ref="CS304" si="1535">AY304</f>
        <v>399</v>
      </c>
      <c r="CT304" s="23" t="e">
        <f t="shared" ref="CT304" si="1536">M304-K304</f>
        <v>#VALUE!</v>
      </c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6"/>
      <c r="KE304" s="6"/>
      <c r="KF304" s="6"/>
      <c r="KG304" s="6"/>
      <c r="KH304" s="6"/>
      <c r="KI304" s="6"/>
      <c r="KJ304" s="6"/>
      <c r="KK304" s="6"/>
      <c r="KL304" s="6"/>
      <c r="KM304" s="6"/>
      <c r="KN304" s="6"/>
      <c r="KO304" s="6"/>
      <c r="KP304" s="6"/>
      <c r="KQ304" s="6"/>
      <c r="KR304" s="6"/>
      <c r="KS304" s="6"/>
      <c r="KT304" s="6"/>
      <c r="KU304" s="6"/>
      <c r="KV304" s="6"/>
      <c r="KW304" s="6"/>
      <c r="KX304" s="6"/>
      <c r="KY304" s="6"/>
      <c r="KZ304" s="6"/>
      <c r="LA304" s="6"/>
      <c r="LB304" s="6"/>
      <c r="LC304" s="6"/>
      <c r="LD304" s="6"/>
      <c r="LE304" s="6"/>
      <c r="LF304" s="6"/>
      <c r="LG304" s="6"/>
      <c r="LH304" s="6"/>
      <c r="LI304" s="6"/>
      <c r="LJ304" s="6"/>
      <c r="LK304" s="6"/>
      <c r="LL304" s="6"/>
      <c r="LM304" s="6"/>
      <c r="LN304" s="6"/>
      <c r="LO304" s="6"/>
      <c r="LP304" s="6"/>
      <c r="LQ304" s="6"/>
      <c r="LR304" s="6"/>
      <c r="LS304" s="6"/>
      <c r="LT304" s="6"/>
      <c r="LU304" s="6"/>
      <c r="LV304" s="6"/>
      <c r="LW304" s="6"/>
      <c r="LX304" s="6"/>
      <c r="LY304" s="6"/>
      <c r="LZ304" s="6"/>
      <c r="MA304" s="6"/>
      <c r="MB304" s="6"/>
      <c r="MC304" s="6"/>
      <c r="MD304" s="6"/>
      <c r="ME304" s="6"/>
      <c r="MF304" s="6"/>
      <c r="MG304" s="6"/>
      <c r="MH304" s="6"/>
      <c r="MI304" s="6"/>
      <c r="MJ304" s="6"/>
      <c r="MK304" s="6"/>
      <c r="ML304" s="6"/>
      <c r="MM304" s="6"/>
      <c r="MN304" s="6"/>
      <c r="MO304" s="6"/>
      <c r="MP304" s="6"/>
      <c r="MQ304" s="6"/>
      <c r="MR304" s="6"/>
      <c r="MS304" s="6"/>
      <c r="MT304" s="6"/>
      <c r="MU304" s="6"/>
      <c r="MV304" s="6"/>
      <c r="MW304" s="6"/>
      <c r="MX304" s="6"/>
      <c r="MY304" s="6"/>
      <c r="MZ304" s="6"/>
      <c r="NA304" s="6"/>
      <c r="NB304" s="6"/>
      <c r="NC304" s="6"/>
      <c r="ND304" s="6"/>
      <c r="NE304" s="6"/>
      <c r="NF304" s="6"/>
      <c r="NG304" s="6"/>
      <c r="NH304" s="6"/>
      <c r="NI304" s="6"/>
      <c r="NJ304" s="6"/>
      <c r="NK304" s="6"/>
      <c r="NL304" s="6"/>
      <c r="NM304" s="6"/>
      <c r="NN304" s="6"/>
      <c r="NO304" s="6"/>
      <c r="NP304" s="6"/>
      <c r="NQ304" s="6"/>
      <c r="NR304" s="6"/>
      <c r="NS304" s="6"/>
      <c r="NT304" s="6"/>
      <c r="NU304" s="6"/>
      <c r="NV304" s="6"/>
      <c r="NW304" s="6"/>
      <c r="NX304" s="6"/>
      <c r="NY304" s="6"/>
      <c r="NZ304" s="6"/>
      <c r="OA304" s="6"/>
      <c r="OB304" s="6"/>
      <c r="OC304" s="6"/>
      <c r="OD304" s="6"/>
      <c r="OE304" s="6"/>
      <c r="OF304" s="6"/>
      <c r="OG304" s="6"/>
      <c r="OH304" s="6"/>
      <c r="OI304" s="6"/>
      <c r="OJ304" s="6"/>
      <c r="OK304" s="6"/>
      <c r="OL304" s="6"/>
      <c r="OM304" s="6"/>
      <c r="ON304" s="6"/>
      <c r="OO304" s="6"/>
      <c r="OP304" s="6"/>
      <c r="OQ304" s="6"/>
      <c r="OR304" s="6"/>
      <c r="OS304" s="6"/>
      <c r="OT304" s="6"/>
      <c r="OU304" s="6"/>
      <c r="OV304" s="6"/>
      <c r="OW304" s="6"/>
      <c r="OX304" s="6"/>
      <c r="OY304" s="6"/>
      <c r="OZ304" s="6"/>
      <c r="PA304" s="6"/>
      <c r="PB304" s="6"/>
      <c r="PC304" s="6"/>
      <c r="PD304" s="6"/>
      <c r="PE304" s="6"/>
      <c r="PF304" s="6"/>
      <c r="PG304" s="6"/>
      <c r="PH304" s="6"/>
      <c r="PI304" s="6"/>
      <c r="PJ304" s="6"/>
      <c r="PK304" s="6"/>
      <c r="PL304" s="6"/>
      <c r="PM304" s="6"/>
      <c r="PN304" s="6"/>
      <c r="PO304" s="6"/>
      <c r="PP304" s="6"/>
      <c r="PQ304" s="6"/>
      <c r="PR304" s="6"/>
      <c r="PS304" s="6"/>
      <c r="PT304" s="6"/>
      <c r="PU304" s="6"/>
      <c r="PV304" s="6"/>
      <c r="PW304" s="6"/>
      <c r="PX304" s="6"/>
      <c r="PY304" s="6"/>
      <c r="PZ304" s="6"/>
      <c r="QA304" s="6"/>
      <c r="QB304" s="6"/>
      <c r="QC304" s="6"/>
      <c r="QD304" s="6"/>
      <c r="QE304" s="6"/>
      <c r="QF304" s="6"/>
      <c r="QG304" s="6"/>
      <c r="QH304" s="6"/>
      <c r="QI304" s="6"/>
      <c r="QJ304" s="6"/>
      <c r="QK304" s="6"/>
      <c r="QL304" s="6"/>
      <c r="QM304" s="6"/>
      <c r="QN304" s="6"/>
      <c r="QO304" s="6"/>
      <c r="QP304" s="6"/>
      <c r="QQ304" s="6"/>
      <c r="QR304" s="6"/>
      <c r="QS304" s="6"/>
      <c r="QT304" s="6"/>
      <c r="QU304" s="6"/>
      <c r="QV304" s="6"/>
      <c r="QW304" s="6"/>
      <c r="QX304" s="6"/>
      <c r="QY304" s="6"/>
      <c r="QZ304" s="6"/>
      <c r="RA304" s="6"/>
      <c r="RB304" s="6"/>
      <c r="RC304" s="6"/>
      <c r="RD304" s="6"/>
      <c r="RE304" s="6"/>
      <c r="RF304" s="6"/>
      <c r="RG304" s="6"/>
      <c r="RH304" s="6"/>
      <c r="RI304" s="6"/>
      <c r="RJ304" s="6"/>
      <c r="RK304" s="6"/>
      <c r="RL304" s="6"/>
      <c r="RM304" s="6"/>
      <c r="RN304" s="6"/>
      <c r="RO304" s="6"/>
      <c r="RP304" s="6"/>
      <c r="RQ304" s="6"/>
      <c r="RR304" s="6"/>
      <c r="RS304" s="6"/>
      <c r="RT304" s="6"/>
      <c r="RU304" s="6"/>
      <c r="RV304" s="6"/>
      <c r="RW304" s="6"/>
      <c r="RX304" s="6"/>
      <c r="RY304" s="6"/>
      <c r="RZ304" s="6"/>
      <c r="SA304" s="6"/>
      <c r="SB304" s="6"/>
      <c r="SC304" s="6"/>
      <c r="SD304" s="6"/>
      <c r="SE304" s="6"/>
      <c r="SF304" s="6"/>
      <c r="SG304" s="6"/>
      <c r="SH304" s="6"/>
      <c r="SI304" s="6"/>
      <c r="SJ304" s="6"/>
      <c r="SK304" s="6"/>
      <c r="SL304" s="6"/>
      <c r="SM304" s="6"/>
      <c r="SN304" s="6"/>
      <c r="SO304" s="6"/>
      <c r="SP304" s="6"/>
      <c r="SQ304" s="6"/>
      <c r="SR304" s="6"/>
      <c r="SS304" s="6"/>
      <c r="ST304" s="6"/>
      <c r="SU304" s="6"/>
      <c r="SV304" s="6"/>
      <c r="SW304" s="6"/>
      <c r="SX304" s="6"/>
      <c r="SY304" s="6"/>
      <c r="SZ304" s="6"/>
      <c r="TA304" s="6"/>
      <c r="TB304" s="6"/>
      <c r="TC304" s="6"/>
      <c r="TD304" s="6"/>
      <c r="TE304" s="6"/>
      <c r="TF304" s="6"/>
      <c r="TG304" s="6"/>
      <c r="TH304" s="6"/>
      <c r="TI304" s="6"/>
      <c r="TJ304" s="6"/>
      <c r="TK304" s="6"/>
      <c r="TL304" s="6"/>
      <c r="TM304" s="6"/>
      <c r="TN304" s="6"/>
      <c r="TO304" s="6"/>
      <c r="TP304" s="6"/>
      <c r="TQ304" s="6"/>
      <c r="TR304" s="6"/>
      <c r="TS304" s="6"/>
      <c r="TT304" s="6"/>
      <c r="TU304" s="6"/>
      <c r="TV304" s="6"/>
      <c r="TW304" s="6"/>
      <c r="TX304" s="6"/>
      <c r="TY304" s="6"/>
      <c r="TZ304" s="6"/>
      <c r="UA304" s="6"/>
      <c r="UB304" s="6"/>
      <c r="UC304" s="6"/>
      <c r="UD304" s="6"/>
      <c r="UE304" s="6"/>
      <c r="UF304" s="6"/>
      <c r="UG304" s="6"/>
      <c r="UH304" s="6"/>
      <c r="UI304" s="6"/>
      <c r="UJ304" s="6"/>
      <c r="UK304" s="6"/>
      <c r="UL304" s="6"/>
      <c r="UM304" s="6"/>
      <c r="UN304" s="6"/>
      <c r="UO304" s="6"/>
      <c r="UP304" s="6"/>
      <c r="UQ304" s="6"/>
      <c r="UR304" s="6"/>
      <c r="US304" s="6"/>
      <c r="UT304" s="6"/>
      <c r="UU304" s="6"/>
      <c r="UV304" s="6"/>
      <c r="UW304" s="6"/>
      <c r="UX304" s="6"/>
      <c r="UY304" s="6"/>
      <c r="UZ304" s="6"/>
      <c r="VA304" s="6"/>
      <c r="VB304" s="6"/>
      <c r="VC304" s="6"/>
      <c r="VD304" s="6"/>
      <c r="VE304" s="6"/>
      <c r="VF304" s="6"/>
      <c r="VG304" s="6"/>
      <c r="VH304" s="6"/>
      <c r="VI304" s="6"/>
      <c r="VJ304" s="6"/>
      <c r="VK304" s="6"/>
      <c r="VL304" s="6"/>
      <c r="VM304" s="6"/>
      <c r="VN304" s="6"/>
      <c r="VO304" s="6"/>
      <c r="VP304" s="6"/>
      <c r="VQ304" s="6"/>
      <c r="VR304" s="6"/>
      <c r="VS304" s="6"/>
      <c r="VT304" s="6"/>
      <c r="VU304" s="6"/>
      <c r="VV304" s="6"/>
      <c r="VW304" s="6"/>
      <c r="VX304" s="6"/>
      <c r="VY304" s="6"/>
      <c r="VZ304" s="6"/>
      <c r="WA304" s="6"/>
      <c r="WB304" s="6"/>
      <c r="WC304" s="6"/>
      <c r="WD304" s="6"/>
      <c r="WE304" s="6"/>
      <c r="WF304" s="6"/>
      <c r="WG304" s="6"/>
      <c r="WH304" s="6"/>
      <c r="WI304" s="6"/>
      <c r="WJ304" s="6"/>
      <c r="WK304" s="6"/>
      <c r="WL304" s="6"/>
      <c r="WM304" s="6"/>
      <c r="WN304" s="6"/>
      <c r="WO304" s="6"/>
      <c r="WP304" s="6"/>
      <c r="WQ304" s="6"/>
      <c r="WR304" s="6"/>
      <c r="WS304" s="6"/>
      <c r="WT304" s="6"/>
      <c r="WU304" s="6"/>
      <c r="WV304" s="6"/>
      <c r="WW304" s="6"/>
      <c r="WX304" s="6"/>
      <c r="WY304" s="6"/>
      <c r="WZ304" s="6"/>
      <c r="XA304" s="6"/>
      <c r="XB304" s="6"/>
      <c r="XC304" s="6"/>
      <c r="XD304" s="6"/>
      <c r="XE304" s="6"/>
      <c r="XF304" s="6"/>
      <c r="XG304" s="6"/>
      <c r="XH304" s="6"/>
      <c r="XI304" s="6"/>
      <c r="XJ304" s="6"/>
      <c r="XK304" s="6"/>
      <c r="XL304" s="6"/>
      <c r="XM304" s="6"/>
      <c r="XN304" s="6"/>
      <c r="XO304" s="6"/>
      <c r="XP304" s="6"/>
      <c r="XQ304" s="6"/>
      <c r="XR304" s="6"/>
      <c r="XS304" s="6"/>
      <c r="XT304" s="6"/>
      <c r="XU304" s="6"/>
      <c r="XV304" s="6"/>
      <c r="XW304" s="6"/>
      <c r="XX304" s="6"/>
      <c r="XY304" s="6"/>
      <c r="XZ304" s="6"/>
      <c r="YA304" s="6"/>
      <c r="YB304" s="6"/>
      <c r="YC304" s="6"/>
      <c r="YD304" s="6"/>
      <c r="YE304" s="6"/>
      <c r="YF304" s="6"/>
      <c r="YG304" s="6"/>
      <c r="YH304" s="6"/>
      <c r="YI304" s="6"/>
      <c r="YJ304" s="6"/>
      <c r="YK304" s="6"/>
      <c r="YL304" s="6"/>
      <c r="YM304" s="6"/>
      <c r="YN304" s="6"/>
      <c r="YO304" s="6"/>
      <c r="YP304" s="6"/>
      <c r="YQ304" s="6"/>
      <c r="YR304" s="6"/>
      <c r="YS304" s="6"/>
      <c r="YT304" s="6"/>
      <c r="YU304" s="6"/>
      <c r="YV304" s="6"/>
      <c r="YW304" s="6"/>
      <c r="YX304" s="6"/>
      <c r="YY304" s="6"/>
      <c r="YZ304" s="6"/>
      <c r="ZA304" s="6"/>
      <c r="ZB304" s="6"/>
      <c r="ZC304" s="6"/>
      <c r="ZD304" s="6"/>
      <c r="ZE304" s="6"/>
      <c r="ZF304" s="6"/>
      <c r="ZG304" s="6"/>
      <c r="ZH304" s="6"/>
      <c r="ZI304" s="6"/>
      <c r="ZJ304" s="6"/>
      <c r="ZK304" s="6"/>
      <c r="ZL304" s="6"/>
      <c r="ZM304" s="6"/>
      <c r="ZN304" s="6"/>
      <c r="ZO304" s="6"/>
      <c r="ZP304" s="6"/>
      <c r="ZQ304" s="6"/>
      <c r="ZR304" s="6"/>
      <c r="ZS304" s="6"/>
      <c r="ZT304" s="6"/>
      <c r="ZU304" s="6"/>
      <c r="ZV304" s="6"/>
      <c r="ZW304" s="6"/>
      <c r="ZX304" s="6"/>
      <c r="ZY304" s="6"/>
      <c r="ZZ304" s="6"/>
      <c r="AAA304" s="6"/>
      <c r="AAB304" s="6"/>
      <c r="AAC304" s="6"/>
      <c r="AAD304" s="6"/>
      <c r="AAE304" s="6"/>
      <c r="AAF304" s="6"/>
      <c r="AAG304" s="6"/>
      <c r="AAH304" s="6"/>
      <c r="AAI304" s="6"/>
      <c r="AAJ304" s="6"/>
      <c r="AAK304" s="6"/>
      <c r="AAL304" s="6"/>
      <c r="AAM304" s="6"/>
      <c r="AAN304" s="6"/>
      <c r="AAO304" s="6"/>
      <c r="AAP304" s="6"/>
      <c r="AAQ304" s="6"/>
      <c r="AAR304" s="6"/>
      <c r="AAS304" s="6"/>
      <c r="AAT304" s="6"/>
      <c r="AAU304" s="6"/>
      <c r="AAV304" s="6"/>
      <c r="AAW304" s="6"/>
      <c r="AAX304" s="6"/>
      <c r="AAY304" s="6"/>
      <c r="AAZ304" s="6"/>
      <c r="ABA304" s="6"/>
      <c r="ABB304" s="6"/>
      <c r="ABC304" s="6"/>
      <c r="ABD304" s="6"/>
      <c r="ABE304" s="6"/>
      <c r="ABF304" s="6"/>
      <c r="ABG304" s="6"/>
      <c r="ABH304" s="6"/>
      <c r="ABI304" s="6"/>
      <c r="ABJ304" s="6"/>
      <c r="ABK304" s="6"/>
      <c r="ABL304" s="6"/>
      <c r="ABM304" s="6"/>
      <c r="ABN304" s="6"/>
      <c r="ABO304" s="6"/>
      <c r="ABP304" s="6"/>
      <c r="ABQ304" s="6"/>
      <c r="ABR304" s="6"/>
      <c r="ABS304" s="6"/>
      <c r="ABT304" s="6"/>
      <c r="ABU304" s="6"/>
      <c r="ABV304" s="6"/>
      <c r="ABW304" s="6"/>
      <c r="ABX304" s="6"/>
      <c r="ABY304" s="6"/>
      <c r="ABZ304" s="6"/>
      <c r="ACA304" s="6"/>
      <c r="ACB304" s="6"/>
      <c r="ACC304" s="6"/>
      <c r="ACD304" s="6"/>
      <c r="ACE304" s="6"/>
      <c r="ACF304" s="6"/>
      <c r="ACG304" s="6"/>
      <c r="ACH304" s="6"/>
      <c r="ACI304" s="6"/>
      <c r="ACJ304" s="6"/>
      <c r="ACK304" s="6"/>
      <c r="ACL304" s="6"/>
      <c r="ACM304" s="6"/>
      <c r="ACN304" s="6"/>
      <c r="ACO304" s="6"/>
      <c r="ACP304" s="6"/>
      <c r="ACQ304" s="6"/>
      <c r="ACR304" s="6"/>
      <c r="ACS304" s="6"/>
      <c r="ACT304" s="6"/>
      <c r="ACU304" s="6"/>
      <c r="ACV304" s="6"/>
      <c r="ACW304" s="6"/>
      <c r="ACX304" s="6"/>
      <c r="ACY304" s="6"/>
      <c r="ACZ304" s="6"/>
      <c r="ADA304" s="6"/>
      <c r="ADB304" s="6"/>
      <c r="ADC304" s="6"/>
      <c r="ADD304" s="6"/>
      <c r="ADE304" s="6"/>
      <c r="ADF304" s="6"/>
      <c r="ADG304" s="6"/>
      <c r="ADH304" s="6"/>
      <c r="ADI304" s="6"/>
      <c r="ADJ304" s="6"/>
      <c r="ADK304" s="6"/>
      <c r="ADL304" s="6"/>
      <c r="ADM304" s="6"/>
      <c r="ADN304" s="6"/>
      <c r="ADO304" s="6"/>
      <c r="ADP304" s="6"/>
      <c r="ADQ304" s="6"/>
      <c r="ADR304" s="6"/>
      <c r="ADS304" s="6"/>
      <c r="ADT304" s="6"/>
      <c r="ADU304" s="6"/>
      <c r="ADV304" s="6"/>
      <c r="ADW304" s="6"/>
      <c r="ADX304" s="6"/>
      <c r="ADY304" s="6"/>
      <c r="ADZ304" s="6"/>
      <c r="AEA304" s="6"/>
      <c r="AEB304" s="6"/>
      <c r="AEC304" s="6"/>
      <c r="AED304" s="6"/>
      <c r="AEE304" s="6"/>
      <c r="AEF304" s="6"/>
      <c r="AEG304" s="6"/>
      <c r="AEH304" s="6"/>
      <c r="AEI304" s="6"/>
      <c r="AEJ304" s="6"/>
      <c r="AEK304" s="6"/>
      <c r="AEL304" s="6"/>
      <c r="AEM304" s="6"/>
      <c r="AEN304" s="6"/>
      <c r="AEO304" s="6"/>
      <c r="AEP304" s="6"/>
      <c r="AEQ304" s="6"/>
      <c r="AER304" s="6"/>
      <c r="AES304" s="6"/>
      <c r="AET304" s="6"/>
      <c r="AEU304" s="6"/>
      <c r="AEV304" s="6"/>
      <c r="AEW304" s="6"/>
      <c r="AEX304" s="6"/>
      <c r="AEY304" s="6"/>
      <c r="AEZ304" s="6"/>
      <c r="AFA304" s="6"/>
      <c r="AFB304" s="6"/>
      <c r="AFC304" s="6"/>
      <c r="AFD304" s="6"/>
      <c r="AFE304" s="6"/>
      <c r="AFF304" s="6"/>
      <c r="AFG304" s="6"/>
      <c r="AFH304" s="6"/>
      <c r="AFI304" s="6"/>
      <c r="AFJ304" s="6"/>
      <c r="AFK304" s="6"/>
      <c r="AFL304" s="6"/>
      <c r="AFM304" s="6"/>
      <c r="AFN304" s="6"/>
      <c r="AFO304" s="6"/>
      <c r="AFP304" s="6"/>
      <c r="AFQ304" s="6"/>
      <c r="AFR304" s="6"/>
      <c r="AFS304" s="6"/>
      <c r="AFT304" s="6"/>
      <c r="AFU304" s="6"/>
      <c r="AFV304" s="6"/>
      <c r="AFW304" s="6"/>
      <c r="AFX304" s="6"/>
      <c r="AFY304" s="6"/>
      <c r="AFZ304" s="6"/>
      <c r="AGA304" s="6"/>
      <c r="AGB304" s="6"/>
      <c r="AGC304" s="6"/>
      <c r="AGD304" s="6"/>
      <c r="AGE304" s="6"/>
      <c r="AGF304" s="6"/>
      <c r="AGG304" s="6"/>
      <c r="AGH304" s="6"/>
      <c r="AGI304" s="6"/>
      <c r="AGJ304" s="6"/>
      <c r="AGK304" s="6"/>
      <c r="AGL304" s="6"/>
      <c r="AGM304" s="6"/>
      <c r="AGN304" s="6"/>
      <c r="AGO304" s="6"/>
      <c r="AGP304" s="6"/>
      <c r="AGQ304" s="6"/>
      <c r="AGR304" s="6"/>
      <c r="AGS304" s="6"/>
      <c r="AGT304" s="6"/>
      <c r="AGU304" s="6"/>
      <c r="AGV304" s="6"/>
      <c r="AGW304" s="6"/>
      <c r="AGX304" s="6"/>
      <c r="AGY304" s="6"/>
      <c r="AGZ304" s="6"/>
      <c r="AHA304" s="6"/>
      <c r="AHB304" s="6"/>
      <c r="AHC304" s="6"/>
      <c r="AHD304" s="6"/>
      <c r="AHE304" s="6"/>
      <c r="AHF304" s="6"/>
      <c r="AHG304" s="6"/>
      <c r="AHH304" s="6"/>
      <c r="AHI304" s="6"/>
      <c r="AHJ304" s="6"/>
      <c r="AHK304" s="6"/>
      <c r="AHL304" s="6"/>
      <c r="AHM304" s="6"/>
      <c r="AHN304" s="6"/>
      <c r="AHO304" s="6"/>
      <c r="AHP304" s="6"/>
      <c r="AHQ304" s="6"/>
      <c r="AHR304" s="6"/>
      <c r="AHS304" s="6"/>
      <c r="AHT304" s="6"/>
      <c r="AHU304" s="6"/>
      <c r="AHV304" s="6"/>
      <c r="AHW304" s="6"/>
      <c r="AHX304" s="6"/>
      <c r="AHY304" s="6"/>
      <c r="AHZ304" s="6"/>
      <c r="AIA304" s="6"/>
      <c r="AIB304" s="6"/>
      <c r="AIC304" s="6"/>
      <c r="AID304" s="6"/>
      <c r="AIE304" s="6"/>
      <c r="AIF304" s="6"/>
      <c r="AIG304" s="6"/>
      <c r="AIH304" s="6"/>
      <c r="AII304" s="6"/>
      <c r="AIJ304" s="6"/>
      <c r="AIK304" s="6"/>
      <c r="AIL304" s="6"/>
      <c r="AIM304" s="6"/>
      <c r="AIN304" s="6"/>
      <c r="AIO304" s="6"/>
      <c r="AIP304" s="6"/>
      <c r="AIQ304" s="6"/>
      <c r="AIR304" s="6"/>
      <c r="AIS304" s="6"/>
      <c r="AIT304" s="6"/>
      <c r="AIU304" s="6"/>
      <c r="AIV304" s="6"/>
      <c r="AIW304" s="6"/>
      <c r="AIX304" s="6"/>
      <c r="AIY304" s="6"/>
      <c r="AIZ304" s="6"/>
      <c r="AJA304" s="6"/>
      <c r="AJB304" s="6"/>
      <c r="AJC304" s="6"/>
      <c r="AJD304" s="6"/>
      <c r="AJE304" s="6"/>
      <c r="AJF304" s="6"/>
      <c r="AJG304" s="6"/>
      <c r="AJH304" s="6"/>
      <c r="AJI304" s="6"/>
      <c r="AJJ304" s="6"/>
      <c r="AJK304" s="6"/>
      <c r="AJL304" s="6"/>
      <c r="AJM304" s="6"/>
      <c r="AJN304" s="6"/>
      <c r="AJO304" s="6"/>
      <c r="AJP304" s="6"/>
      <c r="AJQ304" s="6"/>
      <c r="AJR304" s="6"/>
      <c r="AJS304" s="6"/>
      <c r="AJT304" s="6"/>
      <c r="AJU304" s="6"/>
      <c r="AJV304" s="6"/>
      <c r="AJW304" s="6"/>
      <c r="AJX304" s="6"/>
      <c r="AJY304" s="6"/>
      <c r="AJZ304" s="6"/>
      <c r="AKA304" s="6"/>
      <c r="AKB304" s="6"/>
      <c r="AKC304" s="6"/>
      <c r="AKD304" s="6"/>
      <c r="AKE304" s="6"/>
      <c r="AKF304" s="6"/>
      <c r="AKG304" s="6"/>
      <c r="AKH304" s="6"/>
      <c r="AKI304" s="6"/>
      <c r="AKJ304" s="6"/>
      <c r="AKK304" s="6"/>
      <c r="AKL304" s="6"/>
      <c r="AKM304" s="6"/>
      <c r="AKN304" s="6"/>
      <c r="AKO304" s="6"/>
      <c r="AKP304" s="6"/>
      <c r="AKQ304" s="6"/>
      <c r="AKR304" s="6"/>
      <c r="AKS304" s="6"/>
      <c r="AKT304" s="6"/>
      <c r="AKU304" s="6"/>
      <c r="AKV304" s="6"/>
      <c r="AKW304" s="6"/>
      <c r="AKX304" s="6"/>
      <c r="AKY304" s="6"/>
      <c r="AKZ304" s="6"/>
      <c r="ALA304" s="6"/>
      <c r="ALB304" s="6"/>
      <c r="ALC304" s="6"/>
      <c r="ALD304" s="6"/>
      <c r="ALE304" s="6"/>
      <c r="ALF304" s="6"/>
      <c r="ALG304" s="6"/>
      <c r="ALH304" s="6"/>
      <c r="ALI304" s="6"/>
      <c r="ALJ304" s="6"/>
      <c r="ALK304" s="6"/>
      <c r="ALL304" s="6"/>
      <c r="ALM304" s="6"/>
      <c r="ALN304" s="6"/>
      <c r="ALO304" s="6"/>
      <c r="ALP304" s="6"/>
      <c r="ALQ304" s="6"/>
      <c r="ALR304" s="6"/>
      <c r="ALS304" s="6"/>
      <c r="ALT304" s="6"/>
      <c r="ALU304" s="6"/>
      <c r="ALV304" s="6"/>
      <c r="ALW304" s="6"/>
      <c r="ALX304" s="6"/>
      <c r="ALY304" s="6"/>
      <c r="ALZ304" s="6"/>
      <c r="AMA304" s="6"/>
      <c r="AMB304" s="6"/>
      <c r="AMC304" s="6"/>
      <c r="AMD304" s="6"/>
      <c r="AME304" s="6"/>
      <c r="AMF304" s="6"/>
      <c r="AMG304" s="6"/>
      <c r="AMH304" s="6"/>
      <c r="AMI304" s="6"/>
      <c r="AMJ304" s="6"/>
      <c r="AMK304" s="6"/>
      <c r="AML304" s="6"/>
      <c r="AMM304" s="6"/>
      <c r="AMN304" s="6"/>
      <c r="AMO304" s="6"/>
      <c r="AMP304" s="6"/>
    </row>
    <row r="305" spans="1:1029" x14ac:dyDescent="0.2">
      <c r="A305" s="3" t="str">
        <f t="shared" si="1117"/>
        <v>crfr1_human__wt</v>
      </c>
      <c r="B305" s="3" t="s">
        <v>38</v>
      </c>
      <c r="C305" s="3" t="s">
        <v>100</v>
      </c>
      <c r="D305" s="3" t="str">
        <f>IFERROR(MID(VLOOKUP($B305,Seqs!$A:$B,2,0),E305,1),"")</f>
        <v>Q</v>
      </c>
      <c r="E305" s="3">
        <v>103</v>
      </c>
      <c r="F305" s="3" t="str">
        <f>IFERROR(MID(VLOOKUP($B305,Seqs!$A:$B,2,0),G305,1),"")</f>
        <v>L</v>
      </c>
      <c r="G305" s="3">
        <v>144</v>
      </c>
      <c r="H305" s="3" t="str">
        <f>IFERROR(MID(VLOOKUP($B305,Seqs!$A:$B,2,0),I305,1),"")</f>
        <v>R</v>
      </c>
      <c r="I305" s="23">
        <v>145</v>
      </c>
      <c r="J305" s="3" t="str">
        <f>IFERROR(MID(VLOOKUP($B305,Seqs!$A:$B,2,0),K305,1),"")</f>
        <v>R</v>
      </c>
      <c r="K305" s="23">
        <v>148</v>
      </c>
      <c r="L305" s="3" t="str">
        <f>IFERROR(MID(VLOOKUP($B305,Seqs!$A:$B,2,0),M305,1),"")</f>
        <v>C</v>
      </c>
      <c r="M305" s="23">
        <v>149</v>
      </c>
      <c r="N305" s="3" t="str">
        <f>IFERROR(MID(VLOOKUP($B305,Seqs!$A:$B,2,0),O305,1),"")</f>
        <v>T</v>
      </c>
      <c r="O305" s="3">
        <v>175</v>
      </c>
      <c r="P305" s="3" t="str">
        <f>IFERROR(MID(VLOOKUP($B305,Seqs!$A:$B,2,0),Q305,1),"")</f>
        <v/>
      </c>
      <c r="Q305" s="3" t="s">
        <v>23</v>
      </c>
      <c r="R305" s="3" t="str">
        <f>IFERROR(MID(VLOOKUP($B305,Seqs!$A:$B,2,0),S305,1),"")</f>
        <v/>
      </c>
      <c r="S305" s="3" t="s">
        <v>23</v>
      </c>
      <c r="T305" s="3" t="str">
        <f>IFERROR(MID(VLOOKUP($B305,Seqs!$A:$B,2,0),U305,1),"")</f>
        <v>V</v>
      </c>
      <c r="U305" s="3">
        <v>185</v>
      </c>
      <c r="V305" s="3" t="str">
        <f>IFERROR(MID(VLOOKUP($B305,Seqs!$A:$B,2,0),W305,1),"")</f>
        <v>L</v>
      </c>
      <c r="W305" s="3">
        <v>219</v>
      </c>
      <c r="X305" s="3" t="str">
        <f>IFERROR(MID(VLOOKUP($B305,Seqs!$A:$B,2,0),Y305,1),"")</f>
        <v/>
      </c>
      <c r="Y305" s="3" t="s">
        <v>23</v>
      </c>
      <c r="Z305" s="3" t="str">
        <f>IFERROR(MID(VLOOKUP($B305,Seqs!$A:$B,2,0),AA305,1),"")</f>
        <v/>
      </c>
      <c r="AA305" s="3" t="s">
        <v>23</v>
      </c>
      <c r="AB305" s="3" t="str">
        <f>IFERROR(MID(VLOOKUP($B305,Seqs!$A:$B,2,0),AC305,1),"")</f>
        <v>L</v>
      </c>
      <c r="AC305" s="9">
        <v>226</v>
      </c>
      <c r="AD305" s="3" t="str">
        <f>IFERROR(MID(VLOOKUP($B305,Seqs!$A:$B,2,0),AE305,1),"")</f>
        <v>D</v>
      </c>
      <c r="AE305" s="3">
        <v>254</v>
      </c>
      <c r="AF305" s="3" t="str">
        <f>IFERROR(MID(VLOOKUP($B305,Seqs!$A:$B,2,0),AG305,1),"")</f>
        <v>C</v>
      </c>
      <c r="AG305" s="3">
        <v>258</v>
      </c>
      <c r="AH305" s="3" t="str">
        <f>IFERROR(MID(VLOOKUP($B305,Seqs!$A:$B,2,0),AI305,1),"")</f>
        <v>F</v>
      </c>
      <c r="AI305" s="3">
        <v>260</v>
      </c>
      <c r="AJ305" s="3" t="str">
        <f>IFERROR(MID(VLOOKUP($B305,Seqs!$A:$B,2,0),AK305,1),"")</f>
        <v>T</v>
      </c>
      <c r="AK305" s="3">
        <v>268</v>
      </c>
      <c r="AL305" s="3" t="str">
        <f>IFERROR(MID(VLOOKUP($B305,Seqs!$A:$B,2,0),AM305,1),"")</f>
        <v>L</v>
      </c>
      <c r="AM305" s="3">
        <v>298</v>
      </c>
      <c r="AN305" s="3" t="str">
        <f>IFERROR(MID(VLOOKUP($B305,Seqs!$A:$B,2,0),AO305,1),"")</f>
        <v>S</v>
      </c>
      <c r="AO305" s="3">
        <v>304</v>
      </c>
      <c r="AP305" s="3" t="str">
        <f>IFERROR(MID(VLOOKUP($B305,Seqs!$A:$B,2,0),AQ305,1),"")</f>
        <v>V</v>
      </c>
      <c r="AQ305" s="3">
        <v>332</v>
      </c>
      <c r="AR305" s="3" t="str">
        <f>IFERROR(MID(VLOOKUP($B305,Seqs!$A:$B,2,0),AS305,1),"")</f>
        <v>V</v>
      </c>
      <c r="AS305" s="3">
        <v>339</v>
      </c>
      <c r="AT305" s="3" t="str">
        <f>IFERROR(MID(VLOOKUP($B305,Seqs!$A:$B,2,0),AU305,1),"")</f>
        <v>L</v>
      </c>
      <c r="AU305" s="3">
        <v>366</v>
      </c>
      <c r="AV305" s="3" t="str">
        <f>IFERROR(MID(VLOOKUP($B305,Seqs!$A:$B,2,0),AW305,1),"")</f>
        <v>N</v>
      </c>
      <c r="AW305" s="3">
        <v>367</v>
      </c>
      <c r="AX305" s="3" t="str">
        <f>IFERROR(MID(VLOOKUP($B305,Seqs!$A:$B,2,0),AY305,1),"")</f>
        <v>A</v>
      </c>
      <c r="AY305" s="3">
        <v>392</v>
      </c>
      <c r="AZ305" s="77" t="str">
        <f>VLOOKUP(B305,Classification!A:D,2,0)</f>
        <v>B1</v>
      </c>
      <c r="BA305" s="94" t="str">
        <f>VLOOKUP(B305,Classification!A:D,4,0)</f>
        <v>Corticotropin-releasingfact</v>
      </c>
      <c r="BB305" s="27" t="b">
        <f t="shared" si="1118"/>
        <v>1</v>
      </c>
      <c r="BC305" s="23">
        <f t="shared" ref="BC305:BC345" si="1537">_xlfn.AGGREGATE(9,6,CH305:CS305)-_xlfn.AGGREGATE(9,6,BV305:CG305)+12</f>
        <v>256</v>
      </c>
      <c r="BD305" s="56" t="s">
        <v>23</v>
      </c>
      <c r="BE305" s="3" t="s">
        <v>23</v>
      </c>
      <c r="BF305" s="119" t="s">
        <v>23</v>
      </c>
      <c r="BG305" s="49" t="s">
        <v>1378</v>
      </c>
      <c r="BH305" s="49" t="s">
        <v>1383</v>
      </c>
      <c r="BI305" s="1"/>
      <c r="BJ305" s="70" t="s">
        <v>1293</v>
      </c>
      <c r="BK305" s="57" t="s">
        <v>1293</v>
      </c>
      <c r="BL305" s="57" t="s">
        <v>1293</v>
      </c>
      <c r="BM305" s="57" t="s">
        <v>1293</v>
      </c>
      <c r="BN305" s="57" t="s">
        <v>1293</v>
      </c>
      <c r="BO305" s="57" t="s">
        <v>1293</v>
      </c>
      <c r="BP305" s="57" t="s">
        <v>1293</v>
      </c>
      <c r="BQ305" s="57" t="s">
        <v>1293</v>
      </c>
      <c r="BR305" s="57" t="s">
        <v>1293</v>
      </c>
      <c r="BS305" s="57" t="s">
        <v>1293</v>
      </c>
      <c r="BT305" s="57" t="s">
        <v>1293</v>
      </c>
      <c r="BU305" s="57" t="s">
        <v>1293</v>
      </c>
      <c r="BV305" s="70">
        <f t="shared" ref="BV305:BV345" si="1538">E305</f>
        <v>103</v>
      </c>
      <c r="BW305" s="71">
        <f t="shared" ref="BW305:BW345" si="1539">I305</f>
        <v>145</v>
      </c>
      <c r="BX305" s="72">
        <f t="shared" ref="BX305:BX345" si="1540">M305</f>
        <v>149</v>
      </c>
      <c r="BY305" s="71" t="str">
        <f t="shared" ref="BY305:BY345" si="1541">Q305</f>
        <v>-</v>
      </c>
      <c r="BZ305" s="72">
        <f t="shared" ref="BZ305:BZ345" si="1542">U305</f>
        <v>185</v>
      </c>
      <c r="CA305" s="71" t="str">
        <f t="shared" ref="CA305:CA345" si="1543">Y305</f>
        <v>-</v>
      </c>
      <c r="CB305" s="72">
        <f t="shared" ref="CB305:CB345" si="1544">AC305</f>
        <v>226</v>
      </c>
      <c r="CC305" s="71">
        <f t="shared" ref="CC305:CC345" si="1545">AG305</f>
        <v>258</v>
      </c>
      <c r="CD305" s="72">
        <f t="shared" ref="CD305:CD345" si="1546">AK305</f>
        <v>268</v>
      </c>
      <c r="CE305" s="71">
        <f t="shared" ref="CE305:CE345" si="1547">AO305</f>
        <v>304</v>
      </c>
      <c r="CF305" s="72">
        <f t="shared" ref="CF305:CF345" si="1548">AS305</f>
        <v>339</v>
      </c>
      <c r="CG305" s="71">
        <f t="shared" ref="CG305:CG345" si="1549">AW305</f>
        <v>367</v>
      </c>
      <c r="CH305" s="70">
        <f t="shared" ref="CH305:CH345" si="1550">G305</f>
        <v>144</v>
      </c>
      <c r="CI305" s="71">
        <f t="shared" ref="CI305:CI345" si="1551">K305</f>
        <v>148</v>
      </c>
      <c r="CJ305" s="72">
        <f t="shared" ref="CJ305:CJ345" si="1552">O305</f>
        <v>175</v>
      </c>
      <c r="CK305" s="72" t="str">
        <f t="shared" ref="CK305:CK345" si="1553">S305</f>
        <v>-</v>
      </c>
      <c r="CL305" s="72">
        <f t="shared" ref="CL305:CL345" si="1554">W305</f>
        <v>219</v>
      </c>
      <c r="CM305" s="72" t="str">
        <f t="shared" ref="CM305:CM345" si="1555">AA305</f>
        <v>-</v>
      </c>
      <c r="CN305" s="72">
        <f t="shared" ref="CN305:CN345" si="1556">AE305</f>
        <v>254</v>
      </c>
      <c r="CO305" s="72">
        <f t="shared" ref="CO305:CO345" si="1557">AI305</f>
        <v>260</v>
      </c>
      <c r="CP305" s="72">
        <f t="shared" ref="CP305:CP345" si="1558">AM305</f>
        <v>298</v>
      </c>
      <c r="CQ305" s="72">
        <f t="shared" ref="CQ305:CQ345" si="1559">AQ305</f>
        <v>332</v>
      </c>
      <c r="CR305" s="72">
        <f t="shared" ref="CR305:CR345" si="1560">AU305</f>
        <v>366</v>
      </c>
      <c r="CS305" s="72">
        <f t="shared" ref="CS305:CS345" si="1561">AY305</f>
        <v>392</v>
      </c>
      <c r="CT305" s="23">
        <f t="shared" ref="CT305:CT345" si="1562">M305-K305</f>
        <v>1</v>
      </c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</row>
    <row r="306" spans="1:1029" x14ac:dyDescent="0.2">
      <c r="A306" s="3" t="str">
        <f t="shared" si="1117"/>
        <v>crfr1_human_4K5Y</v>
      </c>
      <c r="B306" s="3" t="s">
        <v>38</v>
      </c>
      <c r="C306" s="3" t="s">
        <v>95</v>
      </c>
      <c r="D306" s="3" t="str">
        <f>IFERROR(MID(VLOOKUP($B306,Seqs!$A:$B,2,0),E306,1),"")</f>
        <v>H</v>
      </c>
      <c r="E306" s="3">
        <v>117</v>
      </c>
      <c r="F306" s="3" t="str">
        <f>IFERROR(MID(VLOOKUP($B306,Seqs!$A:$B,2,0),G306,1),"")</f>
        <v>L</v>
      </c>
      <c r="G306" s="3">
        <v>144</v>
      </c>
      <c r="H306" s="3" t="str">
        <f>IFERROR(MID(VLOOKUP($B306,Seqs!$A:$B,2,0),I306,1),"")</f>
        <v>R</v>
      </c>
      <c r="I306" s="23">
        <v>145</v>
      </c>
      <c r="J306" s="3" t="str">
        <f>IFERROR(MID(VLOOKUP($B306,Seqs!$A:$B,2,0),K306,1),"")</f>
        <v>R</v>
      </c>
      <c r="K306" s="23">
        <v>148</v>
      </c>
      <c r="L306" s="3" t="str">
        <f>IFERROR(MID(VLOOKUP($B306,Seqs!$A:$B,2,0),M306,1),"")</f>
        <v>C</v>
      </c>
      <c r="M306" s="23">
        <v>149</v>
      </c>
      <c r="N306" s="3" t="str">
        <f>IFERROR(MID(VLOOKUP($B306,Seqs!$A:$B,2,0),O306,1),"")</f>
        <v>T</v>
      </c>
      <c r="O306" s="3">
        <v>175</v>
      </c>
      <c r="P306" s="3" t="str">
        <f>IFERROR(MID(VLOOKUP($B306,Seqs!$A:$B,2,0),Q306,1),"")</f>
        <v/>
      </c>
      <c r="Q306" s="3" t="s">
        <v>23</v>
      </c>
      <c r="R306" s="3" t="str">
        <f>IFERROR(MID(VLOOKUP($B306,Seqs!$A:$B,2,0),S306,1),"")</f>
        <v/>
      </c>
      <c r="S306" s="3" t="s">
        <v>23</v>
      </c>
      <c r="T306" s="3" t="str">
        <f>IFERROR(MID(VLOOKUP($B306,Seqs!$A:$B,2,0),U306,1),"")</f>
        <v>V</v>
      </c>
      <c r="U306" s="3">
        <v>185</v>
      </c>
      <c r="V306" s="3" t="str">
        <f>IFERROR(MID(VLOOKUP($B306,Seqs!$A:$B,2,0),W306,1),"")</f>
        <v>L</v>
      </c>
      <c r="W306" s="3">
        <v>219</v>
      </c>
      <c r="X306" s="3" t="str">
        <f>IFERROR(MID(VLOOKUP($B306,Seqs!$A:$B,2,0),Y306,1),"")</f>
        <v/>
      </c>
      <c r="Y306" s="3" t="s">
        <v>23</v>
      </c>
      <c r="Z306" s="3" t="str">
        <f>IFERROR(MID(VLOOKUP($B306,Seqs!$A:$B,2,0),AA306,1),"")</f>
        <v/>
      </c>
      <c r="AA306" s="3" t="s">
        <v>23</v>
      </c>
      <c r="AB306" s="3" t="str">
        <f>IFERROR(MID(VLOOKUP($B306,Seqs!$A:$B,2,0),AC306,1),"")</f>
        <v>L</v>
      </c>
      <c r="AC306" s="9">
        <v>226</v>
      </c>
      <c r="AD306" s="3" t="str">
        <f>IFERROR(MID(VLOOKUP($B306,Seqs!$A:$B,2,0),AE306,1),"")</f>
        <v>D</v>
      </c>
      <c r="AE306" s="3">
        <v>254</v>
      </c>
      <c r="AF306" s="3" t="str">
        <f>IFERROR(MID(VLOOKUP($B306,Seqs!$A:$B,2,0),AG306,1),"")</f>
        <v>C</v>
      </c>
      <c r="AG306" s="3">
        <v>258</v>
      </c>
      <c r="AH306" s="3" t="str">
        <f>IFERROR(MID(VLOOKUP($B306,Seqs!$A:$B,2,0),AI306,1),"")</f>
        <v>F</v>
      </c>
      <c r="AI306" s="3">
        <v>260</v>
      </c>
      <c r="AJ306" s="3" t="str">
        <f>IFERROR(MID(VLOOKUP($B306,Seqs!$A:$B,2,0),AK306,1),"")</f>
        <v>T</v>
      </c>
      <c r="AK306" s="3">
        <v>268</v>
      </c>
      <c r="AL306" s="3" t="str">
        <f>IFERROR(MID(VLOOKUP($B306,Seqs!$A:$B,2,0),AM306,1),"")</f>
        <v>L</v>
      </c>
      <c r="AM306" s="3">
        <v>298</v>
      </c>
      <c r="AN306" s="3" t="str">
        <f>IFERROR(MID(VLOOKUP($B306,Seqs!$A:$B,2,0),AO306,1),"")</f>
        <v>S</v>
      </c>
      <c r="AO306" s="3">
        <v>304</v>
      </c>
      <c r="AP306" s="3" t="str">
        <f>IFERROR(MID(VLOOKUP($B306,Seqs!$A:$B,2,0),AQ306,1),"")</f>
        <v>V</v>
      </c>
      <c r="AQ306" s="3">
        <v>332</v>
      </c>
      <c r="AR306" s="3" t="str">
        <f>IFERROR(MID(VLOOKUP($B306,Seqs!$A:$B,2,0),AS306,1),"")</f>
        <v>V</v>
      </c>
      <c r="AS306" s="3">
        <v>339</v>
      </c>
      <c r="AT306" s="3" t="str">
        <f>IFERROR(MID(VLOOKUP($B306,Seqs!$A:$B,2,0),AU306,1),"")</f>
        <v>F</v>
      </c>
      <c r="AU306" s="3">
        <v>362</v>
      </c>
      <c r="AV306" s="3" t="str">
        <f>IFERROR(MID(VLOOKUP($B306,Seqs!$A:$B,2,0),AW306,1),"")</f>
        <v/>
      </c>
      <c r="AW306" s="3" t="s">
        <v>23</v>
      </c>
      <c r="AX306" s="3" t="str">
        <f>IFERROR(MID(VLOOKUP($B306,Seqs!$A:$B,2,0),AY306,1),"")</f>
        <v/>
      </c>
      <c r="AY306" s="3" t="s">
        <v>23</v>
      </c>
      <c r="AZ306" s="77" t="str">
        <f>VLOOKUP(B306,Classification!A:D,2,0)</f>
        <v>B1</v>
      </c>
      <c r="BA306" s="94" t="str">
        <f>VLOOKUP(B306,Classification!A:D,4,0)</f>
        <v>Corticotropin-releasingfact</v>
      </c>
      <c r="BB306" s="27" t="b">
        <f t="shared" si="1118"/>
        <v>1</v>
      </c>
      <c r="BC306" s="23">
        <f t="shared" si="1537"/>
        <v>213</v>
      </c>
      <c r="BD306" s="4" t="s">
        <v>23</v>
      </c>
      <c r="BE306" s="3" t="s">
        <v>1380</v>
      </c>
      <c r="BF306" s="119">
        <v>2.98</v>
      </c>
      <c r="BG306" s="49" t="s">
        <v>1383</v>
      </c>
      <c r="BH306" s="49" t="s">
        <v>1383</v>
      </c>
      <c r="BI306" s="1"/>
      <c r="BJ306" s="70" t="s">
        <v>1293</v>
      </c>
      <c r="BK306" s="57" t="s">
        <v>1293</v>
      </c>
      <c r="BL306" s="57" t="s">
        <v>1293</v>
      </c>
      <c r="BM306" s="57" t="s">
        <v>1293</v>
      </c>
      <c r="BN306" s="57" t="s">
        <v>1293</v>
      </c>
      <c r="BO306" s="57" t="s">
        <v>1293</v>
      </c>
      <c r="BP306" s="57" t="s">
        <v>1293</v>
      </c>
      <c r="BQ306" s="57" t="s">
        <v>1293</v>
      </c>
      <c r="BR306" s="57" t="s">
        <v>1293</v>
      </c>
      <c r="BS306" s="57" t="s">
        <v>1293</v>
      </c>
      <c r="BT306" s="57" t="s">
        <v>1293</v>
      </c>
      <c r="BU306" s="57" t="s">
        <v>1293</v>
      </c>
      <c r="BV306" s="70">
        <f t="shared" si="1538"/>
        <v>117</v>
      </c>
      <c r="BW306" s="71">
        <f t="shared" si="1539"/>
        <v>145</v>
      </c>
      <c r="BX306" s="72">
        <f t="shared" si="1540"/>
        <v>149</v>
      </c>
      <c r="BY306" s="71" t="str">
        <f t="shared" si="1541"/>
        <v>-</v>
      </c>
      <c r="BZ306" s="72">
        <f t="shared" si="1542"/>
        <v>185</v>
      </c>
      <c r="CA306" s="71" t="str">
        <f t="shared" si="1543"/>
        <v>-</v>
      </c>
      <c r="CB306" s="72">
        <f t="shared" si="1544"/>
        <v>226</v>
      </c>
      <c r="CC306" s="71">
        <f t="shared" si="1545"/>
        <v>258</v>
      </c>
      <c r="CD306" s="72">
        <f t="shared" si="1546"/>
        <v>268</v>
      </c>
      <c r="CE306" s="71">
        <f t="shared" si="1547"/>
        <v>304</v>
      </c>
      <c r="CF306" s="72">
        <f t="shared" si="1548"/>
        <v>339</v>
      </c>
      <c r="CG306" s="71" t="str">
        <f t="shared" si="1549"/>
        <v>-</v>
      </c>
      <c r="CH306" s="70">
        <f t="shared" si="1550"/>
        <v>144</v>
      </c>
      <c r="CI306" s="71">
        <f t="shared" si="1551"/>
        <v>148</v>
      </c>
      <c r="CJ306" s="72">
        <f t="shared" si="1552"/>
        <v>175</v>
      </c>
      <c r="CK306" s="72" t="str">
        <f t="shared" si="1553"/>
        <v>-</v>
      </c>
      <c r="CL306" s="72">
        <f t="shared" si="1554"/>
        <v>219</v>
      </c>
      <c r="CM306" s="72" t="str">
        <f t="shared" si="1555"/>
        <v>-</v>
      </c>
      <c r="CN306" s="72">
        <f t="shared" si="1556"/>
        <v>254</v>
      </c>
      <c r="CO306" s="72">
        <f t="shared" si="1557"/>
        <v>260</v>
      </c>
      <c r="CP306" s="72">
        <f t="shared" si="1558"/>
        <v>298</v>
      </c>
      <c r="CQ306" s="72">
        <f t="shared" si="1559"/>
        <v>332</v>
      </c>
      <c r="CR306" s="72">
        <f t="shared" si="1560"/>
        <v>362</v>
      </c>
      <c r="CS306" s="72" t="str">
        <f t="shared" si="1561"/>
        <v>-</v>
      </c>
      <c r="CT306" s="23">
        <f t="shared" si="1562"/>
        <v>1</v>
      </c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</row>
    <row r="307" spans="1:1029" x14ac:dyDescent="0.2">
      <c r="A307" s="3" t="str">
        <f t="shared" si="1117"/>
        <v>crfr1_human_4K5Y_dist</v>
      </c>
      <c r="B307" s="3" t="s">
        <v>38</v>
      </c>
      <c r="C307" s="3" t="s">
        <v>1161</v>
      </c>
      <c r="D307" s="3" t="str">
        <f>IFERROR(MID(VLOOKUP($B307,Seqs!$A:$B,2,0),E307,1),"")</f>
        <v>H</v>
      </c>
      <c r="E307" s="3">
        <v>117</v>
      </c>
      <c r="F307" s="3" t="str">
        <f>IFERROR(MID(VLOOKUP($B307,Seqs!$A:$B,2,0),G307,1),"")</f>
        <v>L</v>
      </c>
      <c r="G307" s="3">
        <v>144</v>
      </c>
      <c r="H307" s="3" t="str">
        <f>IFERROR(MID(VLOOKUP($B307,Seqs!$A:$B,2,0),I307,1),"")</f>
        <v>R</v>
      </c>
      <c r="I307" s="23">
        <v>145</v>
      </c>
      <c r="J307" s="3" t="str">
        <f>IFERROR(MID(VLOOKUP($B307,Seqs!$A:$B,2,0),K307,1),"")</f>
        <v>R</v>
      </c>
      <c r="K307" s="23">
        <v>148</v>
      </c>
      <c r="L307" s="3" t="str">
        <f>IFERROR(MID(VLOOKUP($B307,Seqs!$A:$B,2,0),M307,1),"")</f>
        <v>C</v>
      </c>
      <c r="M307" s="23">
        <v>149</v>
      </c>
      <c r="N307" s="3" t="str">
        <f>IFERROR(MID(VLOOKUP($B307,Seqs!$A:$B,2,0),O307,1),"")</f>
        <v>T</v>
      </c>
      <c r="O307" s="3">
        <v>175</v>
      </c>
      <c r="P307" s="3" t="str">
        <f>IFERROR(MID(VLOOKUP($B307,Seqs!$A:$B,2,0),Q307,1),"")</f>
        <v/>
      </c>
      <c r="Q307" s="3" t="s">
        <v>23</v>
      </c>
      <c r="R307" s="3" t="str">
        <f>IFERROR(MID(VLOOKUP($B307,Seqs!$A:$B,2,0),S307,1),"")</f>
        <v/>
      </c>
      <c r="S307" s="3" t="s">
        <v>23</v>
      </c>
      <c r="T307" s="3" t="str">
        <f>IFERROR(MID(VLOOKUP($B307,Seqs!$A:$B,2,0),U307,1),"")</f>
        <v>V</v>
      </c>
      <c r="U307" s="3">
        <v>185</v>
      </c>
      <c r="V307" s="3" t="str">
        <f>IFERROR(MID(VLOOKUP($B307,Seqs!$A:$B,2,0),W307,1),"")</f>
        <v>L</v>
      </c>
      <c r="W307" s="3">
        <v>219</v>
      </c>
      <c r="X307" s="3" t="str">
        <f>IFERROR(MID(VLOOKUP($B307,Seqs!$A:$B,2,0),Y307,1),"")</f>
        <v/>
      </c>
      <c r="Y307" s="3" t="s">
        <v>23</v>
      </c>
      <c r="Z307" s="3" t="str">
        <f>IFERROR(MID(VLOOKUP($B307,Seqs!$A:$B,2,0),AA307,1),"")</f>
        <v/>
      </c>
      <c r="AA307" s="3" t="s">
        <v>23</v>
      </c>
      <c r="AB307" s="3" t="str">
        <f>IFERROR(MID(VLOOKUP($B307,Seqs!$A:$B,2,0),AC307,1),"")</f>
        <v>L</v>
      </c>
      <c r="AC307" s="9">
        <v>226</v>
      </c>
      <c r="AD307" s="3" t="str">
        <f>IFERROR(MID(VLOOKUP($B307,Seqs!$A:$B,2,0),AE307,1),"")</f>
        <v>D</v>
      </c>
      <c r="AE307" s="3">
        <v>254</v>
      </c>
      <c r="AF307" s="3" t="str">
        <f>IFERROR(MID(VLOOKUP($B307,Seqs!$A:$B,2,0),AG307,1),"")</f>
        <v>C</v>
      </c>
      <c r="AG307" s="3">
        <v>258</v>
      </c>
      <c r="AH307" s="3" t="str">
        <f>IFERROR(MID(VLOOKUP($B307,Seqs!$A:$B,2,0),AI307,1),"")</f>
        <v>F</v>
      </c>
      <c r="AI307" s="3">
        <v>260</v>
      </c>
      <c r="AJ307" s="3" t="str">
        <f>IFERROR(MID(VLOOKUP($B307,Seqs!$A:$B,2,0),AK307,1),"")</f>
        <v>T</v>
      </c>
      <c r="AK307" s="3">
        <v>268</v>
      </c>
      <c r="AL307" s="3" t="str">
        <f>IFERROR(MID(VLOOKUP($B307,Seqs!$A:$B,2,0),AM307,1),"")</f>
        <v>L</v>
      </c>
      <c r="AM307" s="3">
        <v>298</v>
      </c>
      <c r="AN307" s="3" t="str">
        <f>IFERROR(MID(VLOOKUP($B307,Seqs!$A:$B,2,0),AO307,1),"")</f>
        <v>S</v>
      </c>
      <c r="AO307" s="3">
        <v>304</v>
      </c>
      <c r="AP307" s="3" t="str">
        <f>IFERROR(MID(VLOOKUP($B307,Seqs!$A:$B,2,0),AQ307,1),"")</f>
        <v>V</v>
      </c>
      <c r="AQ307" s="3">
        <v>332</v>
      </c>
      <c r="AR307" s="3" t="str">
        <f>IFERROR(MID(VLOOKUP($B307,Seqs!$A:$B,2,0),AS307,1),"")</f>
        <v>V</v>
      </c>
      <c r="AS307" s="3">
        <v>339</v>
      </c>
      <c r="AT307" s="3" t="str">
        <f>IFERROR(MID(VLOOKUP($B307,Seqs!$A:$B,2,0),AU307,1),"")</f>
        <v>L</v>
      </c>
      <c r="AU307" s="3">
        <v>366</v>
      </c>
      <c r="AV307" s="3" t="str">
        <f>IFERROR(MID(VLOOKUP($B307,Seqs!$A:$B,2,0),AW307,1),"")</f>
        <v/>
      </c>
      <c r="AW307" s="3" t="s">
        <v>23</v>
      </c>
      <c r="AX307" s="3" t="str">
        <f>IFERROR(MID(VLOOKUP($B307,Seqs!$A:$B,2,0),AY307,1),"")</f>
        <v/>
      </c>
      <c r="AY307" s="3" t="s">
        <v>23</v>
      </c>
      <c r="AZ307" s="77" t="str">
        <f>VLOOKUP(B307,Classification!A:D,2,0)</f>
        <v>B1</v>
      </c>
      <c r="BA307" s="94" t="str">
        <f>VLOOKUP(B307,Classification!A:D,4,0)</f>
        <v>Corticotropin-releasingfact</v>
      </c>
      <c r="BB307" s="27" t="b">
        <f t="shared" si="1118"/>
        <v>1</v>
      </c>
      <c r="BC307" s="23">
        <f t="shared" si="1537"/>
        <v>217</v>
      </c>
      <c r="BD307" s="56" t="s">
        <v>23</v>
      </c>
      <c r="BE307" s="3" t="s">
        <v>1380</v>
      </c>
      <c r="BF307" s="119">
        <v>2.98</v>
      </c>
      <c r="BG307" s="49" t="s">
        <v>1383</v>
      </c>
      <c r="BH307" s="49" t="s">
        <v>1383</v>
      </c>
      <c r="BI307" s="3" t="s">
        <v>1163</v>
      </c>
      <c r="BJ307" s="70" t="s">
        <v>1293</v>
      </c>
      <c r="BK307" s="57" t="s">
        <v>1293</v>
      </c>
      <c r="BL307" s="57" t="s">
        <v>1293</v>
      </c>
      <c r="BM307" s="57" t="s">
        <v>1293</v>
      </c>
      <c r="BN307" s="57" t="s">
        <v>1293</v>
      </c>
      <c r="BO307" s="57" t="s">
        <v>1293</v>
      </c>
      <c r="BP307" s="57" t="s">
        <v>1293</v>
      </c>
      <c r="BQ307" s="57" t="s">
        <v>1293</v>
      </c>
      <c r="BR307" s="57" t="s">
        <v>1293</v>
      </c>
      <c r="BS307" s="57" t="s">
        <v>1293</v>
      </c>
      <c r="BT307" s="57" t="s">
        <v>1293</v>
      </c>
      <c r="BU307" s="57" t="s">
        <v>1293</v>
      </c>
      <c r="BV307" s="70">
        <f t="shared" si="1538"/>
        <v>117</v>
      </c>
      <c r="BW307" s="71">
        <f t="shared" si="1539"/>
        <v>145</v>
      </c>
      <c r="BX307" s="72">
        <f t="shared" si="1540"/>
        <v>149</v>
      </c>
      <c r="BY307" s="71" t="str">
        <f t="shared" si="1541"/>
        <v>-</v>
      </c>
      <c r="BZ307" s="72">
        <f t="shared" si="1542"/>
        <v>185</v>
      </c>
      <c r="CA307" s="71" t="str">
        <f t="shared" si="1543"/>
        <v>-</v>
      </c>
      <c r="CB307" s="72">
        <f t="shared" si="1544"/>
        <v>226</v>
      </c>
      <c r="CC307" s="71">
        <f t="shared" si="1545"/>
        <v>258</v>
      </c>
      <c r="CD307" s="72">
        <f t="shared" si="1546"/>
        <v>268</v>
      </c>
      <c r="CE307" s="71">
        <f t="shared" si="1547"/>
        <v>304</v>
      </c>
      <c r="CF307" s="72">
        <f t="shared" si="1548"/>
        <v>339</v>
      </c>
      <c r="CG307" s="71" t="str">
        <f t="shared" si="1549"/>
        <v>-</v>
      </c>
      <c r="CH307" s="70">
        <f t="shared" si="1550"/>
        <v>144</v>
      </c>
      <c r="CI307" s="71">
        <f t="shared" si="1551"/>
        <v>148</v>
      </c>
      <c r="CJ307" s="72">
        <f t="shared" si="1552"/>
        <v>175</v>
      </c>
      <c r="CK307" s="72" t="str">
        <f t="shared" si="1553"/>
        <v>-</v>
      </c>
      <c r="CL307" s="72">
        <f t="shared" si="1554"/>
        <v>219</v>
      </c>
      <c r="CM307" s="72" t="str">
        <f t="shared" si="1555"/>
        <v>-</v>
      </c>
      <c r="CN307" s="72">
        <f t="shared" si="1556"/>
        <v>254</v>
      </c>
      <c r="CO307" s="72">
        <f t="shared" si="1557"/>
        <v>260</v>
      </c>
      <c r="CP307" s="72">
        <f t="shared" si="1558"/>
        <v>298</v>
      </c>
      <c r="CQ307" s="72">
        <f t="shared" si="1559"/>
        <v>332</v>
      </c>
      <c r="CR307" s="72">
        <f t="shared" si="1560"/>
        <v>366</v>
      </c>
      <c r="CS307" s="72" t="str">
        <f t="shared" si="1561"/>
        <v>-</v>
      </c>
      <c r="CT307" s="23">
        <f t="shared" si="1562"/>
        <v>1</v>
      </c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</row>
    <row r="308" spans="1:1029" x14ac:dyDescent="0.2">
      <c r="A308" s="3" t="str">
        <f t="shared" si="1117"/>
        <v>crfr1_human_4Z9G</v>
      </c>
      <c r="B308" s="3" t="s">
        <v>38</v>
      </c>
      <c r="C308" s="3" t="s">
        <v>1060</v>
      </c>
      <c r="D308" s="3" t="str">
        <f>IFERROR(MID(VLOOKUP($B308,Seqs!$A:$B,2,0),E308,1),"")</f>
        <v>S</v>
      </c>
      <c r="E308" s="3">
        <v>112</v>
      </c>
      <c r="F308" s="3" t="str">
        <f>IFERROR(MID(VLOOKUP($B308,Seqs!$A:$B,2,0),G308,1),"")</f>
        <v>L</v>
      </c>
      <c r="G308" s="3">
        <v>144</v>
      </c>
      <c r="H308" s="3" t="str">
        <f>IFERROR(MID(VLOOKUP($B308,Seqs!$A:$B,2,0),I308,1),"")</f>
        <v>R</v>
      </c>
      <c r="I308" s="23">
        <v>145</v>
      </c>
      <c r="J308" s="3" t="str">
        <f>IFERROR(MID(VLOOKUP($B308,Seqs!$A:$B,2,0),K308,1),"")</f>
        <v>R</v>
      </c>
      <c r="K308" s="23">
        <v>148</v>
      </c>
      <c r="L308" s="3" t="str">
        <f>IFERROR(MID(VLOOKUP($B308,Seqs!$A:$B,2,0),M308,1),"")</f>
        <v>C</v>
      </c>
      <c r="M308" s="23">
        <v>149</v>
      </c>
      <c r="N308" s="3" t="str">
        <f>IFERROR(MID(VLOOKUP($B308,Seqs!$A:$B,2,0),O308,1),"")</f>
        <v>T</v>
      </c>
      <c r="O308" s="3">
        <v>175</v>
      </c>
      <c r="P308" s="3" t="str">
        <f>IFERROR(MID(VLOOKUP($B308,Seqs!$A:$B,2,0),Q308,1),"")</f>
        <v/>
      </c>
      <c r="Q308" s="3" t="s">
        <v>23</v>
      </c>
      <c r="R308" s="3" t="str">
        <f>IFERROR(MID(VLOOKUP($B308,Seqs!$A:$B,2,0),S308,1),"")</f>
        <v/>
      </c>
      <c r="S308" s="3" t="s">
        <v>23</v>
      </c>
      <c r="T308" s="3" t="str">
        <f>IFERROR(MID(VLOOKUP($B308,Seqs!$A:$B,2,0),U308,1),"")</f>
        <v>V</v>
      </c>
      <c r="U308" s="3">
        <v>185</v>
      </c>
      <c r="V308" s="3" t="str">
        <f>IFERROR(MID(VLOOKUP($B308,Seqs!$A:$B,2,0),W308,1),"")</f>
        <v>L</v>
      </c>
      <c r="W308" s="3">
        <v>219</v>
      </c>
      <c r="X308" s="3" t="str">
        <f>IFERROR(MID(VLOOKUP($B308,Seqs!$A:$B,2,0),Y308,1),"")</f>
        <v/>
      </c>
      <c r="Y308" s="3" t="s">
        <v>23</v>
      </c>
      <c r="Z308" s="3" t="str">
        <f>IFERROR(MID(VLOOKUP($B308,Seqs!$A:$B,2,0),AA308,1),"")</f>
        <v/>
      </c>
      <c r="AA308" s="3" t="s">
        <v>23</v>
      </c>
      <c r="AB308" s="3" t="str">
        <f>IFERROR(MID(VLOOKUP($B308,Seqs!$A:$B,2,0),AC308,1),"")</f>
        <v>L</v>
      </c>
      <c r="AC308" s="9">
        <v>226</v>
      </c>
      <c r="AD308" s="3" t="str">
        <f>IFERROR(MID(VLOOKUP($B308,Seqs!$A:$B,2,0),AE308,1),"")</f>
        <v>D</v>
      </c>
      <c r="AE308" s="3">
        <v>254</v>
      </c>
      <c r="AF308" s="3" t="str">
        <f>IFERROR(MID(VLOOKUP($B308,Seqs!$A:$B,2,0),AG308,1),"")</f>
        <v>C</v>
      </c>
      <c r="AG308" s="3">
        <v>258</v>
      </c>
      <c r="AH308" s="3" t="str">
        <f>IFERROR(MID(VLOOKUP($B308,Seqs!$A:$B,2,0),AI308,1),"")</f>
        <v>F</v>
      </c>
      <c r="AI308" s="3">
        <v>260</v>
      </c>
      <c r="AJ308" s="3" t="str">
        <f>IFERROR(MID(VLOOKUP($B308,Seqs!$A:$B,2,0),AK308,1),"")</f>
        <v>T</v>
      </c>
      <c r="AK308" s="3">
        <v>268</v>
      </c>
      <c r="AL308" s="3" t="str">
        <f>IFERROR(MID(VLOOKUP($B308,Seqs!$A:$B,2,0),AM308,1),"")</f>
        <v>L</v>
      </c>
      <c r="AM308" s="3">
        <v>298</v>
      </c>
      <c r="AN308" s="3" t="str">
        <f>IFERROR(MID(VLOOKUP($B308,Seqs!$A:$B,2,0),AO308,1),"")</f>
        <v>S</v>
      </c>
      <c r="AO308" s="3">
        <v>304</v>
      </c>
      <c r="AP308" s="3" t="str">
        <f>IFERROR(MID(VLOOKUP($B308,Seqs!$A:$B,2,0),AQ308,1),"")</f>
        <v>V</v>
      </c>
      <c r="AQ308" s="3">
        <v>332</v>
      </c>
      <c r="AR308" s="3" t="str">
        <f>IFERROR(MID(VLOOKUP($B308,Seqs!$A:$B,2,0),AS308,1),"")</f>
        <v>V</v>
      </c>
      <c r="AS308" s="3">
        <v>339</v>
      </c>
      <c r="AT308" s="3" t="str">
        <f>IFERROR(MID(VLOOKUP($B308,Seqs!$A:$B,2,0),AU308,1),"")</f>
        <v>F</v>
      </c>
      <c r="AU308" s="3">
        <v>362</v>
      </c>
      <c r="AV308" s="3" t="str">
        <f>IFERROR(MID(VLOOKUP($B308,Seqs!$A:$B,2,0),AW308,1),"")</f>
        <v/>
      </c>
      <c r="AW308" s="3" t="s">
        <v>23</v>
      </c>
      <c r="AX308" s="3" t="str">
        <f>IFERROR(MID(VLOOKUP($B308,Seqs!$A:$B,2,0),AY308,1),"")</f>
        <v/>
      </c>
      <c r="AY308" s="3" t="s">
        <v>23</v>
      </c>
      <c r="AZ308" s="77" t="str">
        <f>VLOOKUP(B308,Classification!A:D,2,0)</f>
        <v>B1</v>
      </c>
      <c r="BA308" s="94" t="str">
        <f>VLOOKUP(B308,Classification!A:D,4,0)</f>
        <v>Corticotropin-releasingfact</v>
      </c>
      <c r="BB308" s="27" t="b">
        <f t="shared" si="1118"/>
        <v>1</v>
      </c>
      <c r="BC308" s="23">
        <f t="shared" si="1537"/>
        <v>218</v>
      </c>
      <c r="BD308" s="2" t="s">
        <v>1382</v>
      </c>
      <c r="BE308" s="3" t="s">
        <v>1380</v>
      </c>
      <c r="BF308" s="119">
        <v>3.18</v>
      </c>
      <c r="BG308" s="49" t="s">
        <v>1383</v>
      </c>
      <c r="BH308" s="49" t="s">
        <v>1383</v>
      </c>
      <c r="BI308" s="1"/>
      <c r="BJ308" s="70" t="s">
        <v>1293</v>
      </c>
      <c r="BK308" s="57" t="s">
        <v>1293</v>
      </c>
      <c r="BL308" s="57" t="s">
        <v>1293</v>
      </c>
      <c r="BM308" s="57" t="s">
        <v>1293</v>
      </c>
      <c r="BN308" s="57" t="s">
        <v>1293</v>
      </c>
      <c r="BO308" s="57" t="s">
        <v>1293</v>
      </c>
      <c r="BP308" s="57" t="s">
        <v>1293</v>
      </c>
      <c r="BQ308" s="57" t="s">
        <v>1293</v>
      </c>
      <c r="BR308" s="57" t="s">
        <v>1293</v>
      </c>
      <c r="BS308" s="57" t="s">
        <v>1293</v>
      </c>
      <c r="BT308" s="57" t="s">
        <v>1293</v>
      </c>
      <c r="BU308" s="57" t="s">
        <v>1293</v>
      </c>
      <c r="BV308" s="70">
        <f t="shared" si="1538"/>
        <v>112</v>
      </c>
      <c r="BW308" s="71">
        <f t="shared" si="1539"/>
        <v>145</v>
      </c>
      <c r="BX308" s="72">
        <f t="shared" si="1540"/>
        <v>149</v>
      </c>
      <c r="BY308" s="71" t="str">
        <f t="shared" si="1541"/>
        <v>-</v>
      </c>
      <c r="BZ308" s="72">
        <f t="shared" si="1542"/>
        <v>185</v>
      </c>
      <c r="CA308" s="71" t="str">
        <f t="shared" si="1543"/>
        <v>-</v>
      </c>
      <c r="CB308" s="72">
        <f t="shared" si="1544"/>
        <v>226</v>
      </c>
      <c r="CC308" s="71">
        <f t="shared" si="1545"/>
        <v>258</v>
      </c>
      <c r="CD308" s="72">
        <f t="shared" si="1546"/>
        <v>268</v>
      </c>
      <c r="CE308" s="71">
        <f t="shared" si="1547"/>
        <v>304</v>
      </c>
      <c r="CF308" s="72">
        <f t="shared" si="1548"/>
        <v>339</v>
      </c>
      <c r="CG308" s="71" t="str">
        <f t="shared" si="1549"/>
        <v>-</v>
      </c>
      <c r="CH308" s="70">
        <f t="shared" si="1550"/>
        <v>144</v>
      </c>
      <c r="CI308" s="71">
        <f t="shared" si="1551"/>
        <v>148</v>
      </c>
      <c r="CJ308" s="72">
        <f t="shared" si="1552"/>
        <v>175</v>
      </c>
      <c r="CK308" s="72" t="str">
        <f t="shared" si="1553"/>
        <v>-</v>
      </c>
      <c r="CL308" s="72">
        <f t="shared" si="1554"/>
        <v>219</v>
      </c>
      <c r="CM308" s="72" t="str">
        <f t="shared" si="1555"/>
        <v>-</v>
      </c>
      <c r="CN308" s="72">
        <f t="shared" si="1556"/>
        <v>254</v>
      </c>
      <c r="CO308" s="72">
        <f t="shared" si="1557"/>
        <v>260</v>
      </c>
      <c r="CP308" s="72">
        <f t="shared" si="1558"/>
        <v>298</v>
      </c>
      <c r="CQ308" s="72">
        <f t="shared" si="1559"/>
        <v>332</v>
      </c>
      <c r="CR308" s="72">
        <f t="shared" si="1560"/>
        <v>362</v>
      </c>
      <c r="CS308" s="72" t="str">
        <f t="shared" si="1561"/>
        <v>-</v>
      </c>
      <c r="CT308" s="23">
        <f t="shared" si="1562"/>
        <v>1</v>
      </c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</row>
    <row r="309" spans="1:1029" x14ac:dyDescent="0.2">
      <c r="A309" s="3" t="str">
        <f t="shared" si="1117"/>
        <v>crfr1_human_4Z9G_dist</v>
      </c>
      <c r="B309" s="3" t="s">
        <v>38</v>
      </c>
      <c r="C309" s="3" t="s">
        <v>1162</v>
      </c>
      <c r="D309" s="3" t="str">
        <f>IFERROR(MID(VLOOKUP($B309,Seqs!$A:$B,2,0),E309,1),"")</f>
        <v>S</v>
      </c>
      <c r="E309" s="3">
        <v>112</v>
      </c>
      <c r="F309" s="3" t="str">
        <f>IFERROR(MID(VLOOKUP($B309,Seqs!$A:$B,2,0),G309,1),"")</f>
        <v>L</v>
      </c>
      <c r="G309" s="3">
        <v>144</v>
      </c>
      <c r="H309" s="3" t="str">
        <f>IFERROR(MID(VLOOKUP($B309,Seqs!$A:$B,2,0),I309,1),"")</f>
        <v>R</v>
      </c>
      <c r="I309" s="23">
        <v>145</v>
      </c>
      <c r="J309" s="3" t="str">
        <f>IFERROR(MID(VLOOKUP($B309,Seqs!$A:$B,2,0),K309,1),"")</f>
        <v>R</v>
      </c>
      <c r="K309" s="23">
        <v>148</v>
      </c>
      <c r="L309" s="3" t="str">
        <f>IFERROR(MID(VLOOKUP($B309,Seqs!$A:$B,2,0),M309,1),"")</f>
        <v>C</v>
      </c>
      <c r="M309" s="23">
        <v>149</v>
      </c>
      <c r="N309" s="3" t="str">
        <f>IFERROR(MID(VLOOKUP($B309,Seqs!$A:$B,2,0),O309,1),"")</f>
        <v>T</v>
      </c>
      <c r="O309" s="3">
        <v>175</v>
      </c>
      <c r="P309" s="3" t="str">
        <f>IFERROR(MID(VLOOKUP($B309,Seqs!$A:$B,2,0),Q309,1),"")</f>
        <v/>
      </c>
      <c r="Q309" s="3" t="s">
        <v>23</v>
      </c>
      <c r="R309" s="3" t="str">
        <f>IFERROR(MID(VLOOKUP($B309,Seqs!$A:$B,2,0),S309,1),"")</f>
        <v/>
      </c>
      <c r="S309" s="3" t="s">
        <v>23</v>
      </c>
      <c r="T309" s="3" t="str">
        <f>IFERROR(MID(VLOOKUP($B309,Seqs!$A:$B,2,0),U309,1),"")</f>
        <v>V</v>
      </c>
      <c r="U309" s="3">
        <v>185</v>
      </c>
      <c r="V309" s="3" t="str">
        <f>IFERROR(MID(VLOOKUP($B309,Seqs!$A:$B,2,0),W309,1),"")</f>
        <v>L</v>
      </c>
      <c r="W309" s="3">
        <v>219</v>
      </c>
      <c r="X309" s="3" t="str">
        <f>IFERROR(MID(VLOOKUP($B309,Seqs!$A:$B,2,0),Y309,1),"")</f>
        <v/>
      </c>
      <c r="Y309" s="3" t="s">
        <v>23</v>
      </c>
      <c r="Z309" s="3" t="str">
        <f>IFERROR(MID(VLOOKUP($B309,Seqs!$A:$B,2,0),AA309,1),"")</f>
        <v/>
      </c>
      <c r="AA309" s="3" t="s">
        <v>23</v>
      </c>
      <c r="AB309" s="3" t="str">
        <f>IFERROR(MID(VLOOKUP($B309,Seqs!$A:$B,2,0),AC309,1),"")</f>
        <v>L</v>
      </c>
      <c r="AC309" s="9">
        <v>226</v>
      </c>
      <c r="AD309" s="3" t="str">
        <f>IFERROR(MID(VLOOKUP($B309,Seqs!$A:$B,2,0),AE309,1),"")</f>
        <v>D</v>
      </c>
      <c r="AE309" s="3">
        <v>254</v>
      </c>
      <c r="AF309" s="3" t="str">
        <f>IFERROR(MID(VLOOKUP($B309,Seqs!$A:$B,2,0),AG309,1),"")</f>
        <v>C</v>
      </c>
      <c r="AG309" s="3">
        <v>258</v>
      </c>
      <c r="AH309" s="3" t="str">
        <f>IFERROR(MID(VLOOKUP($B309,Seqs!$A:$B,2,0),AI309,1),"")</f>
        <v>F</v>
      </c>
      <c r="AI309" s="3">
        <v>260</v>
      </c>
      <c r="AJ309" s="3" t="str">
        <f>IFERROR(MID(VLOOKUP($B309,Seqs!$A:$B,2,0),AK309,1),"")</f>
        <v>T</v>
      </c>
      <c r="AK309" s="3">
        <v>268</v>
      </c>
      <c r="AL309" s="3" t="str">
        <f>IFERROR(MID(VLOOKUP($B309,Seqs!$A:$B,2,0),AM309,1),"")</f>
        <v>L</v>
      </c>
      <c r="AM309" s="3">
        <v>298</v>
      </c>
      <c r="AN309" s="3" t="str">
        <f>IFERROR(MID(VLOOKUP($B309,Seqs!$A:$B,2,0),AO309,1),"")</f>
        <v>S</v>
      </c>
      <c r="AO309" s="3">
        <v>304</v>
      </c>
      <c r="AP309" s="3" t="str">
        <f>IFERROR(MID(VLOOKUP($B309,Seqs!$A:$B,2,0),AQ309,1),"")</f>
        <v>V</v>
      </c>
      <c r="AQ309" s="3">
        <v>332</v>
      </c>
      <c r="AR309" s="3" t="str">
        <f>IFERROR(MID(VLOOKUP($B309,Seqs!$A:$B,2,0),AS309,1),"")</f>
        <v>V</v>
      </c>
      <c r="AS309" s="3">
        <v>339</v>
      </c>
      <c r="AT309" s="3" t="str">
        <f>IFERROR(MID(VLOOKUP($B309,Seqs!$A:$B,2,0),AU309,1),"")</f>
        <v>E</v>
      </c>
      <c r="AU309" s="3">
        <v>369</v>
      </c>
      <c r="AV309" s="3" t="str">
        <f>IFERROR(MID(VLOOKUP($B309,Seqs!$A:$B,2,0),AW309,1),"")</f>
        <v/>
      </c>
      <c r="AW309" s="3" t="s">
        <v>23</v>
      </c>
      <c r="AX309" s="3" t="str">
        <f>IFERROR(MID(VLOOKUP($B309,Seqs!$A:$B,2,0),AY309,1),"")</f>
        <v/>
      </c>
      <c r="AY309" s="3" t="s">
        <v>23</v>
      </c>
      <c r="AZ309" s="77" t="str">
        <f>VLOOKUP(B309,Classification!A:D,2,0)</f>
        <v>B1</v>
      </c>
      <c r="BA309" s="94" t="str">
        <f>VLOOKUP(B309,Classification!A:D,4,0)</f>
        <v>Corticotropin-releasingfact</v>
      </c>
      <c r="BB309" s="27" t="b">
        <f t="shared" si="1118"/>
        <v>1</v>
      </c>
      <c r="BC309" s="23">
        <f t="shared" si="1537"/>
        <v>225</v>
      </c>
      <c r="BD309" s="56" t="s">
        <v>23</v>
      </c>
      <c r="BE309" s="3" t="s">
        <v>1380</v>
      </c>
      <c r="BF309" s="119">
        <v>3.18</v>
      </c>
      <c r="BG309" s="49" t="s">
        <v>1383</v>
      </c>
      <c r="BH309" s="49" t="s">
        <v>1383</v>
      </c>
      <c r="BI309" s="3" t="s">
        <v>1163</v>
      </c>
      <c r="BJ309" s="70" t="s">
        <v>1293</v>
      </c>
      <c r="BK309" s="57" t="s">
        <v>1293</v>
      </c>
      <c r="BL309" s="57" t="s">
        <v>1293</v>
      </c>
      <c r="BM309" s="57" t="s">
        <v>1293</v>
      </c>
      <c r="BN309" s="57" t="s">
        <v>1293</v>
      </c>
      <c r="BO309" s="57" t="s">
        <v>1293</v>
      </c>
      <c r="BP309" s="57" t="s">
        <v>1293</v>
      </c>
      <c r="BQ309" s="57" t="s">
        <v>1293</v>
      </c>
      <c r="BR309" s="57" t="s">
        <v>1293</v>
      </c>
      <c r="BS309" s="57" t="s">
        <v>1293</v>
      </c>
      <c r="BT309" s="57" t="s">
        <v>1293</v>
      </c>
      <c r="BU309" s="57" t="s">
        <v>1293</v>
      </c>
      <c r="BV309" s="70">
        <f t="shared" si="1538"/>
        <v>112</v>
      </c>
      <c r="BW309" s="71">
        <f t="shared" si="1539"/>
        <v>145</v>
      </c>
      <c r="BX309" s="72">
        <f t="shared" si="1540"/>
        <v>149</v>
      </c>
      <c r="BY309" s="71" t="str">
        <f t="shared" si="1541"/>
        <v>-</v>
      </c>
      <c r="BZ309" s="72">
        <f t="shared" si="1542"/>
        <v>185</v>
      </c>
      <c r="CA309" s="71" t="str">
        <f t="shared" si="1543"/>
        <v>-</v>
      </c>
      <c r="CB309" s="72">
        <f t="shared" si="1544"/>
        <v>226</v>
      </c>
      <c r="CC309" s="71">
        <f t="shared" si="1545"/>
        <v>258</v>
      </c>
      <c r="CD309" s="72">
        <f t="shared" si="1546"/>
        <v>268</v>
      </c>
      <c r="CE309" s="71">
        <f t="shared" si="1547"/>
        <v>304</v>
      </c>
      <c r="CF309" s="72">
        <f t="shared" si="1548"/>
        <v>339</v>
      </c>
      <c r="CG309" s="71" t="str">
        <f t="shared" si="1549"/>
        <v>-</v>
      </c>
      <c r="CH309" s="70">
        <f t="shared" si="1550"/>
        <v>144</v>
      </c>
      <c r="CI309" s="71">
        <f t="shared" si="1551"/>
        <v>148</v>
      </c>
      <c r="CJ309" s="72">
        <f t="shared" si="1552"/>
        <v>175</v>
      </c>
      <c r="CK309" s="72" t="str">
        <f t="shared" si="1553"/>
        <v>-</v>
      </c>
      <c r="CL309" s="72">
        <f t="shared" si="1554"/>
        <v>219</v>
      </c>
      <c r="CM309" s="72" t="str">
        <f t="shared" si="1555"/>
        <v>-</v>
      </c>
      <c r="CN309" s="72">
        <f t="shared" si="1556"/>
        <v>254</v>
      </c>
      <c r="CO309" s="72">
        <f t="shared" si="1557"/>
        <v>260</v>
      </c>
      <c r="CP309" s="72">
        <f t="shared" si="1558"/>
        <v>298</v>
      </c>
      <c r="CQ309" s="72">
        <f t="shared" si="1559"/>
        <v>332</v>
      </c>
      <c r="CR309" s="72">
        <f t="shared" si="1560"/>
        <v>369</v>
      </c>
      <c r="CS309" s="72" t="str">
        <f t="shared" si="1561"/>
        <v>-</v>
      </c>
      <c r="CT309" s="23">
        <f t="shared" si="1562"/>
        <v>1</v>
      </c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</row>
    <row r="310" spans="1:1029" x14ac:dyDescent="0.2">
      <c r="A310" s="3" t="str">
        <f t="shared" si="1117"/>
        <v>glr_human__wt</v>
      </c>
      <c r="B310" s="3" t="s">
        <v>32</v>
      </c>
      <c r="C310" s="3" t="s">
        <v>100</v>
      </c>
      <c r="D310" s="3" t="str">
        <f>IFERROR(MID(VLOOKUP($B310,Seqs!$A:$B,2,0),E310,1),"")</f>
        <v>Q</v>
      </c>
      <c r="E310" s="105">
        <v>131</v>
      </c>
      <c r="F310" s="3" t="str">
        <f>IFERROR(MID(VLOOKUP($B310,Seqs!$A:$B,2,0),G310,1),"")</f>
        <v>L</v>
      </c>
      <c r="G310" s="3">
        <v>166</v>
      </c>
      <c r="H310" s="3" t="str">
        <f>IFERROR(MID(VLOOKUP($B310,Seqs!$A:$B,2,0),I310,1),"")</f>
        <v>S</v>
      </c>
      <c r="I310" s="23">
        <v>167</v>
      </c>
      <c r="J310" s="3" t="str">
        <f>IFERROR(MID(VLOOKUP($B310,Seqs!$A:$B,2,0),K310,1),"")</f>
        <v>H</v>
      </c>
      <c r="K310" s="23">
        <v>170</v>
      </c>
      <c r="L310" s="3" t="str">
        <f>IFERROR(MID(VLOOKUP($B310,Seqs!$A:$B,2,0),M310,1),"")</f>
        <v>C</v>
      </c>
      <c r="M310" s="23">
        <v>171</v>
      </c>
      <c r="N310" s="3" t="str">
        <f>IFERROR(MID(VLOOKUP($B310,Seqs!$A:$B,2,0),O310,1),"")</f>
        <v>S</v>
      </c>
      <c r="O310" s="105">
        <v>203</v>
      </c>
      <c r="P310" s="3" t="str">
        <f>IFERROR(MID(VLOOKUP($B310,Seqs!$A:$B,2,0),Q310,1),"")</f>
        <v/>
      </c>
      <c r="Q310" s="3" t="s">
        <v>23</v>
      </c>
      <c r="R310" s="3" t="str">
        <f>IFERROR(MID(VLOOKUP($B310,Seqs!$A:$B,2,0),S310,1),"")</f>
        <v/>
      </c>
      <c r="S310" s="3" t="s">
        <v>23</v>
      </c>
      <c r="T310" s="3" t="str">
        <f>IFERROR(MID(VLOOKUP($B310,Seqs!$A:$B,2,0),U310,1),"")</f>
        <v>A</v>
      </c>
      <c r="U310" s="3">
        <v>220</v>
      </c>
      <c r="V310" s="3" t="str">
        <f>IFERROR(MID(VLOOKUP($B310,Seqs!$A:$B,2,0),W310,1),"")</f>
        <v>L</v>
      </c>
      <c r="W310" s="3">
        <v>255</v>
      </c>
      <c r="X310" s="3" t="str">
        <f>IFERROR(MID(VLOOKUP($B310,Seqs!$A:$B,2,0),Y310,1),"")</f>
        <v/>
      </c>
      <c r="Y310" s="3" t="s">
        <v>23</v>
      </c>
      <c r="Z310" s="3" t="str">
        <f>IFERROR(MID(VLOOKUP($B310,Seqs!$A:$B,2,0),AA310,1),"")</f>
        <v/>
      </c>
      <c r="AA310" s="3" t="s">
        <v>23</v>
      </c>
      <c r="AB310" s="3" t="str">
        <f>IFERROR(MID(VLOOKUP($B310,Seqs!$A:$B,2,0),AC310,1),"")</f>
        <v>S</v>
      </c>
      <c r="AC310" s="9">
        <v>262</v>
      </c>
      <c r="AD310" s="3" t="str">
        <f>IFERROR(MID(VLOOKUP($B310,Seqs!$A:$B,2,0),AE310,1),"")</f>
        <v>E</v>
      </c>
      <c r="AE310" s="3">
        <v>290</v>
      </c>
      <c r="AF310" s="3" t="str">
        <f>IFERROR(MID(VLOOKUP($B310,Seqs!$A:$B,2,0),AG310,1),"")</f>
        <v>C</v>
      </c>
      <c r="AG310" s="3">
        <v>294</v>
      </c>
      <c r="AH310" s="3" t="str">
        <f>IFERROR(MID(VLOOKUP($B310,Seqs!$A:$B,2,0),AI310,1),"")</f>
        <v>T</v>
      </c>
      <c r="AI310" s="3">
        <v>296</v>
      </c>
      <c r="AJ310" s="3" t="str">
        <f>IFERROR(MID(VLOOKUP($B310,Seqs!$A:$B,2,0),AK310,1),"")</f>
        <v>N</v>
      </c>
      <c r="AK310" s="3">
        <v>300</v>
      </c>
      <c r="AL310" s="3" t="str">
        <f>IFERROR(MID(VLOOKUP($B310,Seqs!$A:$B,2,0),AM310,1),"")</f>
        <v>A</v>
      </c>
      <c r="AM310" s="3">
        <v>335</v>
      </c>
      <c r="AN310" s="3" t="str">
        <f>IFERROR(MID(VLOOKUP($B310,Seqs!$A:$B,2,0),AO310,1),"")</f>
        <v>D</v>
      </c>
      <c r="AO310" s="3">
        <v>342</v>
      </c>
      <c r="AP310" s="3" t="str">
        <f>IFERROR(MID(VLOOKUP($B310,Seqs!$A:$B,2,0),AQ310,1),"")</f>
        <v>F</v>
      </c>
      <c r="AQ310" s="3">
        <v>367</v>
      </c>
      <c r="AR310" s="3" t="str">
        <f>IFERROR(MID(VLOOKUP($B310,Seqs!$A:$B,2,0),AS310,1),"")</f>
        <v>Q</v>
      </c>
      <c r="AS310" s="3">
        <v>374</v>
      </c>
      <c r="AT310" s="3" t="str">
        <f>IFERROR(MID(VLOOKUP($B310,Seqs!$A:$B,2,0),AU310,1),"")</f>
        <v>L</v>
      </c>
      <c r="AU310" s="3">
        <v>403</v>
      </c>
      <c r="AV310" s="3" t="str">
        <f>IFERROR(MID(VLOOKUP($B310,Seqs!$A:$B,2,0),AW310,1),"")</f>
        <v>N</v>
      </c>
      <c r="AW310" s="3">
        <v>404</v>
      </c>
      <c r="AX310" s="3" t="str">
        <f>IFERROR(MID(VLOOKUP($B310,Seqs!$A:$B,2,0),AY310,1),"")</f>
        <v>N</v>
      </c>
      <c r="AY310" s="3">
        <v>429</v>
      </c>
      <c r="AZ310" s="77" t="str">
        <f>VLOOKUP(B310,Classification!A:D,2,0)</f>
        <v>B1</v>
      </c>
      <c r="BA310" s="94" t="str">
        <f>VLOOKUP(B310,Classification!A:D,4,0)</f>
        <v>Glucagonreceptorfamily</v>
      </c>
      <c r="BB310" s="27" t="b">
        <f t="shared" si="1118"/>
        <v>1</v>
      </c>
      <c r="BC310" s="23">
        <f t="shared" si="1537"/>
        <v>261</v>
      </c>
      <c r="BD310" s="56" t="s">
        <v>23</v>
      </c>
      <c r="BE310" s="3" t="s">
        <v>23</v>
      </c>
      <c r="BF310" s="119" t="s">
        <v>23</v>
      </c>
      <c r="BG310" s="49" t="s">
        <v>1378</v>
      </c>
      <c r="BH310" s="49" t="s">
        <v>1383</v>
      </c>
      <c r="BI310" s="1"/>
      <c r="BJ310" s="70" t="s">
        <v>1293</v>
      </c>
      <c r="BK310" s="57" t="s">
        <v>1293</v>
      </c>
      <c r="BL310" s="57" t="s">
        <v>1293</v>
      </c>
      <c r="BM310" s="57" t="s">
        <v>1293</v>
      </c>
      <c r="BN310" s="57" t="s">
        <v>1293</v>
      </c>
      <c r="BO310" s="57" t="s">
        <v>1293</v>
      </c>
      <c r="BP310" s="57" t="s">
        <v>1293</v>
      </c>
      <c r="BQ310" s="57" t="s">
        <v>1293</v>
      </c>
      <c r="BR310" s="57" t="s">
        <v>1293</v>
      </c>
      <c r="BS310" s="57" t="s">
        <v>1293</v>
      </c>
      <c r="BT310" s="57" t="s">
        <v>1293</v>
      </c>
      <c r="BU310" s="57" t="s">
        <v>1293</v>
      </c>
      <c r="BV310" s="70">
        <f t="shared" si="1538"/>
        <v>131</v>
      </c>
      <c r="BW310" s="71">
        <f t="shared" si="1539"/>
        <v>167</v>
      </c>
      <c r="BX310" s="72">
        <f t="shared" si="1540"/>
        <v>171</v>
      </c>
      <c r="BY310" s="71" t="str">
        <f t="shared" si="1541"/>
        <v>-</v>
      </c>
      <c r="BZ310" s="72">
        <f t="shared" si="1542"/>
        <v>220</v>
      </c>
      <c r="CA310" s="71" t="str">
        <f t="shared" si="1543"/>
        <v>-</v>
      </c>
      <c r="CB310" s="72">
        <f t="shared" si="1544"/>
        <v>262</v>
      </c>
      <c r="CC310" s="71">
        <f t="shared" si="1545"/>
        <v>294</v>
      </c>
      <c r="CD310" s="72">
        <f t="shared" si="1546"/>
        <v>300</v>
      </c>
      <c r="CE310" s="71">
        <f t="shared" si="1547"/>
        <v>342</v>
      </c>
      <c r="CF310" s="72">
        <f t="shared" si="1548"/>
        <v>374</v>
      </c>
      <c r="CG310" s="71">
        <f t="shared" si="1549"/>
        <v>404</v>
      </c>
      <c r="CH310" s="70">
        <f t="shared" si="1550"/>
        <v>166</v>
      </c>
      <c r="CI310" s="71">
        <f t="shared" si="1551"/>
        <v>170</v>
      </c>
      <c r="CJ310" s="72">
        <f t="shared" si="1552"/>
        <v>203</v>
      </c>
      <c r="CK310" s="72" t="str">
        <f t="shared" si="1553"/>
        <v>-</v>
      </c>
      <c r="CL310" s="72">
        <f t="shared" si="1554"/>
        <v>255</v>
      </c>
      <c r="CM310" s="72" t="str">
        <f t="shared" si="1555"/>
        <v>-</v>
      </c>
      <c r="CN310" s="72">
        <f t="shared" si="1556"/>
        <v>290</v>
      </c>
      <c r="CO310" s="72">
        <f t="shared" si="1557"/>
        <v>296</v>
      </c>
      <c r="CP310" s="72">
        <f t="shared" si="1558"/>
        <v>335</v>
      </c>
      <c r="CQ310" s="72">
        <f t="shared" si="1559"/>
        <v>367</v>
      </c>
      <c r="CR310" s="72">
        <f t="shared" si="1560"/>
        <v>403</v>
      </c>
      <c r="CS310" s="72">
        <f t="shared" si="1561"/>
        <v>429</v>
      </c>
      <c r="CT310" s="23">
        <f t="shared" si="1562"/>
        <v>1</v>
      </c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</row>
    <row r="311" spans="1:1029" x14ac:dyDescent="0.2">
      <c r="A311" s="3" t="str">
        <f t="shared" si="1117"/>
        <v>glr_human_4L6R</v>
      </c>
      <c r="B311" s="3" t="s">
        <v>32</v>
      </c>
      <c r="C311" s="3" t="s">
        <v>51</v>
      </c>
      <c r="D311" s="3" t="str">
        <f>IFERROR(MID(VLOOKUP($B311,Seqs!$A:$B,2,0),E311,1),"")</f>
        <v>G</v>
      </c>
      <c r="E311" s="3">
        <v>125</v>
      </c>
      <c r="F311" s="3" t="str">
        <f>IFERROR(MID(VLOOKUP($B311,Seqs!$A:$B,2,0),G311,1),"")</f>
        <v>G</v>
      </c>
      <c r="G311" s="3">
        <v>164</v>
      </c>
      <c r="H311" s="3" t="str">
        <f>IFERROR(MID(VLOOKUP($B311,Seqs!$A:$B,2,0),I311,1),"")</f>
        <v>S</v>
      </c>
      <c r="I311" s="23">
        <v>167</v>
      </c>
      <c r="J311" s="3" t="str">
        <f>IFERROR(MID(VLOOKUP($B311,Seqs!$A:$B,2,0),K311,1),"")</f>
        <v>H</v>
      </c>
      <c r="K311" s="23">
        <v>170</v>
      </c>
      <c r="L311" s="3" t="str">
        <f>IFERROR(MID(VLOOKUP($B311,Seqs!$A:$B,2,0),M311,1),"")</f>
        <v>C</v>
      </c>
      <c r="M311" s="23">
        <v>171</v>
      </c>
      <c r="N311" s="3" t="str">
        <f>IFERROR(MID(VLOOKUP($B311,Seqs!$A:$B,2,0),O311,1),"")</f>
        <v>R</v>
      </c>
      <c r="O311" s="3">
        <v>199</v>
      </c>
      <c r="P311" s="3" t="str">
        <f>IFERROR(MID(VLOOKUP($B311,Seqs!$A:$B,2,0),Q311,1),"")</f>
        <v/>
      </c>
      <c r="Q311" s="3" t="s">
        <v>23</v>
      </c>
      <c r="R311" s="3" t="str">
        <f>IFERROR(MID(VLOOKUP($B311,Seqs!$A:$B,2,0),S311,1),"")</f>
        <v/>
      </c>
      <c r="S311" s="3" t="s">
        <v>23</v>
      </c>
      <c r="T311" s="3" t="str">
        <f>IFERROR(MID(VLOOKUP($B311,Seqs!$A:$B,2,0),U311,1),"")</f>
        <v>S</v>
      </c>
      <c r="U311" s="3">
        <v>217</v>
      </c>
      <c r="V311" s="3" t="str">
        <f>IFERROR(MID(VLOOKUP($B311,Seqs!$A:$B,2,0),W311,1),"")</f>
        <v>L</v>
      </c>
      <c r="W311" s="3">
        <v>255</v>
      </c>
      <c r="X311" s="3" t="str">
        <f>IFERROR(MID(VLOOKUP($B311,Seqs!$A:$B,2,0),Y311,1),"")</f>
        <v/>
      </c>
      <c r="Y311" s="3" t="s">
        <v>23</v>
      </c>
      <c r="Z311" s="3" t="str">
        <f>IFERROR(MID(VLOOKUP($B311,Seqs!$A:$B,2,0),AA311,1),"")</f>
        <v/>
      </c>
      <c r="AA311" s="3" t="s">
        <v>23</v>
      </c>
      <c r="AB311" s="3" t="str">
        <f>IFERROR(MID(VLOOKUP($B311,Seqs!$A:$B,2,0),AC311,1),"")</f>
        <v>A</v>
      </c>
      <c r="AC311" s="9">
        <v>274</v>
      </c>
      <c r="AD311" s="3" t="str">
        <f>IFERROR(MID(VLOOKUP($B311,Seqs!$A:$B,2,0),AE311,1),"")</f>
        <v>E</v>
      </c>
      <c r="AE311" s="3">
        <v>290</v>
      </c>
      <c r="AF311" s="3" t="str">
        <f>IFERROR(MID(VLOOKUP($B311,Seqs!$A:$B,2,0),AG311,1),"")</f>
        <v>C</v>
      </c>
      <c r="AG311" s="3">
        <v>294</v>
      </c>
      <c r="AH311" s="3" t="str">
        <f>IFERROR(MID(VLOOKUP($B311,Seqs!$A:$B,2,0),AI311,1),"")</f>
        <v>T</v>
      </c>
      <c r="AI311" s="3">
        <v>296</v>
      </c>
      <c r="AJ311" s="3" t="str">
        <f>IFERROR(MID(VLOOKUP($B311,Seqs!$A:$B,2,0),AK311,1),"")</f>
        <v>N</v>
      </c>
      <c r="AK311" s="3">
        <v>300</v>
      </c>
      <c r="AL311" s="3" t="str">
        <f>IFERROR(MID(VLOOKUP($B311,Seqs!$A:$B,2,0),AM311,1),"")</f>
        <v>A</v>
      </c>
      <c r="AM311" s="3">
        <v>335</v>
      </c>
      <c r="AN311" s="3" t="str">
        <f>IFERROR(MID(VLOOKUP($B311,Seqs!$A:$B,2,0),AO311,1),"")</f>
        <v>D</v>
      </c>
      <c r="AO311" s="3">
        <v>342</v>
      </c>
      <c r="AP311" s="3" t="str">
        <f>IFERROR(MID(VLOOKUP($B311,Seqs!$A:$B,2,0),AQ311,1),"")</f>
        <v>F</v>
      </c>
      <c r="AQ311" s="3">
        <v>367</v>
      </c>
      <c r="AR311" s="3" t="str">
        <f>IFERROR(MID(VLOOKUP($B311,Seqs!$A:$B,2,0),AS311,1),"")</f>
        <v>Q</v>
      </c>
      <c r="AS311" s="3">
        <v>374</v>
      </c>
      <c r="AT311" s="3" t="str">
        <f>IFERROR(MID(VLOOKUP($B311,Seqs!$A:$B,2,0),AU311,1),"")</f>
        <v>L</v>
      </c>
      <c r="AU311" s="3">
        <v>403</v>
      </c>
      <c r="AV311" s="3" t="str">
        <f>IFERROR(MID(VLOOKUP($B311,Seqs!$A:$B,2,0),AW311,1),"")</f>
        <v>N</v>
      </c>
      <c r="AW311" s="3">
        <v>404</v>
      </c>
      <c r="AX311" s="3" t="str">
        <f>IFERROR(MID(VLOOKUP($B311,Seqs!$A:$B,2,0),AY311,1),"")</f>
        <v>N</v>
      </c>
      <c r="AY311" s="3">
        <v>429</v>
      </c>
      <c r="AZ311" s="77" t="str">
        <f>VLOOKUP(B311,Classification!A:D,2,0)</f>
        <v>B1</v>
      </c>
      <c r="BA311" s="94" t="str">
        <f>VLOOKUP(B311,Classification!A:D,4,0)</f>
        <v>Glucagonreceptorfamily</v>
      </c>
      <c r="BB311" s="27" t="b">
        <f t="shared" si="1118"/>
        <v>1</v>
      </c>
      <c r="BC311" s="23">
        <f t="shared" si="1537"/>
        <v>252</v>
      </c>
      <c r="BD311" s="2" t="s">
        <v>23</v>
      </c>
      <c r="BE311" s="3" t="s">
        <v>1380</v>
      </c>
      <c r="BF311" s="119">
        <v>3.3</v>
      </c>
      <c r="BG311" s="49" t="s">
        <v>1383</v>
      </c>
      <c r="BH311" s="49" t="s">
        <v>1383</v>
      </c>
      <c r="BI311" s="1"/>
      <c r="BJ311" s="70" t="s">
        <v>1293</v>
      </c>
      <c r="BK311" s="57" t="s">
        <v>1293</v>
      </c>
      <c r="BL311" s="57" t="s">
        <v>1293</v>
      </c>
      <c r="BM311" s="57" t="s">
        <v>1293</v>
      </c>
      <c r="BN311" s="57" t="s">
        <v>1293</v>
      </c>
      <c r="BO311" s="57" t="s">
        <v>1293</v>
      </c>
      <c r="BP311" s="57" t="s">
        <v>1293</v>
      </c>
      <c r="BQ311" s="57" t="s">
        <v>1293</v>
      </c>
      <c r="BR311" s="57" t="s">
        <v>1293</v>
      </c>
      <c r="BS311" s="57" t="s">
        <v>1293</v>
      </c>
      <c r="BT311" s="57" t="s">
        <v>1293</v>
      </c>
      <c r="BU311" s="57" t="s">
        <v>1293</v>
      </c>
      <c r="BV311" s="70">
        <f t="shared" si="1538"/>
        <v>125</v>
      </c>
      <c r="BW311" s="71">
        <f t="shared" si="1539"/>
        <v>167</v>
      </c>
      <c r="BX311" s="72">
        <f t="shared" si="1540"/>
        <v>171</v>
      </c>
      <c r="BY311" s="71" t="str">
        <f t="shared" si="1541"/>
        <v>-</v>
      </c>
      <c r="BZ311" s="72">
        <f t="shared" si="1542"/>
        <v>217</v>
      </c>
      <c r="CA311" s="71" t="str">
        <f t="shared" si="1543"/>
        <v>-</v>
      </c>
      <c r="CB311" s="72">
        <f t="shared" si="1544"/>
        <v>274</v>
      </c>
      <c r="CC311" s="71">
        <f t="shared" si="1545"/>
        <v>294</v>
      </c>
      <c r="CD311" s="72">
        <f t="shared" si="1546"/>
        <v>300</v>
      </c>
      <c r="CE311" s="71">
        <f t="shared" si="1547"/>
        <v>342</v>
      </c>
      <c r="CF311" s="72">
        <f t="shared" si="1548"/>
        <v>374</v>
      </c>
      <c r="CG311" s="71">
        <f t="shared" si="1549"/>
        <v>404</v>
      </c>
      <c r="CH311" s="70">
        <f t="shared" si="1550"/>
        <v>164</v>
      </c>
      <c r="CI311" s="71">
        <f t="shared" si="1551"/>
        <v>170</v>
      </c>
      <c r="CJ311" s="72">
        <f t="shared" si="1552"/>
        <v>199</v>
      </c>
      <c r="CK311" s="72" t="str">
        <f t="shared" si="1553"/>
        <v>-</v>
      </c>
      <c r="CL311" s="72">
        <f t="shared" si="1554"/>
        <v>255</v>
      </c>
      <c r="CM311" s="72" t="str">
        <f t="shared" si="1555"/>
        <v>-</v>
      </c>
      <c r="CN311" s="72">
        <f t="shared" si="1556"/>
        <v>290</v>
      </c>
      <c r="CO311" s="72">
        <f t="shared" si="1557"/>
        <v>296</v>
      </c>
      <c r="CP311" s="72">
        <f t="shared" si="1558"/>
        <v>335</v>
      </c>
      <c r="CQ311" s="72">
        <f t="shared" si="1559"/>
        <v>367</v>
      </c>
      <c r="CR311" s="72">
        <f t="shared" si="1560"/>
        <v>403</v>
      </c>
      <c r="CS311" s="72">
        <f t="shared" si="1561"/>
        <v>429</v>
      </c>
      <c r="CT311" s="23">
        <f t="shared" si="1562"/>
        <v>1</v>
      </c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</row>
    <row r="312" spans="1:1029" x14ac:dyDescent="0.2">
      <c r="A312" s="3" t="str">
        <f t="shared" si="1117"/>
        <v>glr_human_4L6R_dist</v>
      </c>
      <c r="B312" s="3" t="s">
        <v>32</v>
      </c>
      <c r="C312" s="3" t="s">
        <v>1282</v>
      </c>
      <c r="D312" s="3" t="str">
        <f>IFERROR(MID(VLOOKUP($B312,Seqs!$A:$B,2,0),E312,1),"")</f>
        <v>G</v>
      </c>
      <c r="E312" s="3">
        <v>125</v>
      </c>
      <c r="F312" s="3" t="str">
        <f>IFERROR(MID(VLOOKUP($B312,Seqs!$A:$B,2,0),G312,1),"")</f>
        <v>G</v>
      </c>
      <c r="G312" s="3">
        <v>164</v>
      </c>
      <c r="H312" s="3" t="str">
        <f>IFERROR(MID(VLOOKUP($B312,Seqs!$A:$B,2,0),I312,1),"")</f>
        <v>S</v>
      </c>
      <c r="I312" s="23">
        <v>167</v>
      </c>
      <c r="J312" s="3" t="str">
        <f>IFERROR(MID(VLOOKUP($B312,Seqs!$A:$B,2,0),K312,1),"")</f>
        <v>H</v>
      </c>
      <c r="K312" s="23">
        <v>170</v>
      </c>
      <c r="L312" s="3" t="str">
        <f>IFERROR(MID(VLOOKUP($B312,Seqs!$A:$B,2,0),M312,1),"")</f>
        <v>C</v>
      </c>
      <c r="M312" s="23">
        <v>171</v>
      </c>
      <c r="N312" s="3" t="str">
        <f>IFERROR(MID(VLOOKUP($B312,Seqs!$A:$B,2,0),O312,1),"")</f>
        <v>R</v>
      </c>
      <c r="O312" s="3">
        <v>199</v>
      </c>
      <c r="P312" s="3" t="str">
        <f>IFERROR(MID(VLOOKUP($B312,Seqs!$A:$B,2,0),Q312,1),"")</f>
        <v/>
      </c>
      <c r="Q312" s="3" t="s">
        <v>23</v>
      </c>
      <c r="R312" s="3" t="str">
        <f>IFERROR(MID(VLOOKUP($B312,Seqs!$A:$B,2,0),S312,1),"")</f>
        <v/>
      </c>
      <c r="S312" s="3" t="s">
        <v>23</v>
      </c>
      <c r="T312" s="3" t="str">
        <f>IFERROR(MID(VLOOKUP($B312,Seqs!$A:$B,2,0),U312,1),"")</f>
        <v>S</v>
      </c>
      <c r="U312" s="3">
        <v>217</v>
      </c>
      <c r="V312" s="3" t="str">
        <f>IFERROR(MID(VLOOKUP($B312,Seqs!$A:$B,2,0),W312,1),"")</f>
        <v>L</v>
      </c>
      <c r="W312" s="3">
        <v>255</v>
      </c>
      <c r="X312" s="3" t="str">
        <f>IFERROR(MID(VLOOKUP($B312,Seqs!$A:$B,2,0),Y312,1),"")</f>
        <v/>
      </c>
      <c r="Y312" s="3" t="s">
        <v>23</v>
      </c>
      <c r="Z312" s="3" t="str">
        <f>IFERROR(MID(VLOOKUP($B312,Seqs!$A:$B,2,0),AA312,1),"")</f>
        <v/>
      </c>
      <c r="AA312" s="3" t="s">
        <v>23</v>
      </c>
      <c r="AB312" s="3" t="str">
        <f>IFERROR(MID(VLOOKUP($B312,Seqs!$A:$B,2,0),AC312,1),"")</f>
        <v>S</v>
      </c>
      <c r="AC312" s="9">
        <v>262</v>
      </c>
      <c r="AD312" s="3" t="str">
        <f>IFERROR(MID(VLOOKUP($B312,Seqs!$A:$B,2,0),AE312,1),"")</f>
        <v>E</v>
      </c>
      <c r="AE312" s="3">
        <v>290</v>
      </c>
      <c r="AF312" s="3" t="str">
        <f>IFERROR(MID(VLOOKUP($B312,Seqs!$A:$B,2,0),AG312,1),"")</f>
        <v>C</v>
      </c>
      <c r="AG312" s="3">
        <v>294</v>
      </c>
      <c r="AH312" s="3" t="str">
        <f>IFERROR(MID(VLOOKUP($B312,Seqs!$A:$B,2,0),AI312,1),"")</f>
        <v>T</v>
      </c>
      <c r="AI312" s="3">
        <v>296</v>
      </c>
      <c r="AJ312" s="3" t="str">
        <f>IFERROR(MID(VLOOKUP($B312,Seqs!$A:$B,2,0),AK312,1),"")</f>
        <v>N</v>
      </c>
      <c r="AK312" s="3">
        <v>300</v>
      </c>
      <c r="AL312" s="3" t="str">
        <f>IFERROR(MID(VLOOKUP($B312,Seqs!$A:$B,2,0),AM312,1),"")</f>
        <v>A</v>
      </c>
      <c r="AM312" s="3">
        <v>335</v>
      </c>
      <c r="AN312" s="3" t="str">
        <f>IFERROR(MID(VLOOKUP($B312,Seqs!$A:$B,2,0),AO312,1),"")</f>
        <v>D</v>
      </c>
      <c r="AO312" s="3">
        <v>342</v>
      </c>
      <c r="AP312" s="3" t="str">
        <f>IFERROR(MID(VLOOKUP($B312,Seqs!$A:$B,2,0),AQ312,1),"")</f>
        <v>F</v>
      </c>
      <c r="AQ312" s="3">
        <v>367</v>
      </c>
      <c r="AR312" s="3" t="str">
        <f>IFERROR(MID(VLOOKUP($B312,Seqs!$A:$B,2,0),AS312,1),"")</f>
        <v>Q</v>
      </c>
      <c r="AS312" s="3">
        <v>374</v>
      </c>
      <c r="AT312" s="3" t="str">
        <f>IFERROR(MID(VLOOKUP($B312,Seqs!$A:$B,2,0),AU312,1),"")</f>
        <v>L</v>
      </c>
      <c r="AU312" s="3">
        <v>403</v>
      </c>
      <c r="AV312" s="3" t="str">
        <f>IFERROR(MID(VLOOKUP($B312,Seqs!$A:$B,2,0),AW312,1),"")</f>
        <v>N</v>
      </c>
      <c r="AW312" s="3">
        <v>404</v>
      </c>
      <c r="AX312" s="3" t="str">
        <f>IFERROR(MID(VLOOKUP($B312,Seqs!$A:$B,2,0),AY312,1),"")</f>
        <v>N</v>
      </c>
      <c r="AY312" s="3">
        <v>429</v>
      </c>
      <c r="AZ312" s="77" t="str">
        <f>VLOOKUP(B312,Classification!A:D,2,0)</f>
        <v>B1</v>
      </c>
      <c r="BA312" s="94" t="str">
        <f>VLOOKUP(B312,Classification!A:D,4,0)</f>
        <v>Glucagonreceptorfamily</v>
      </c>
      <c r="BB312" s="27" t="b">
        <f t="shared" si="1118"/>
        <v>1</v>
      </c>
      <c r="BC312" s="23">
        <f t="shared" si="1537"/>
        <v>264</v>
      </c>
      <c r="BD312" s="56" t="s">
        <v>23</v>
      </c>
      <c r="BE312" s="3" t="s">
        <v>1380</v>
      </c>
      <c r="BF312" s="119">
        <v>3.3</v>
      </c>
      <c r="BG312" s="49" t="s">
        <v>1383</v>
      </c>
      <c r="BH312" s="49" t="s">
        <v>1383</v>
      </c>
      <c r="BI312" s="1"/>
      <c r="BJ312" s="70" t="s">
        <v>1293</v>
      </c>
      <c r="BK312" s="57" t="s">
        <v>1293</v>
      </c>
      <c r="BL312" s="57" t="s">
        <v>1293</v>
      </c>
      <c r="BM312" s="57" t="s">
        <v>1293</v>
      </c>
      <c r="BN312" s="57" t="s">
        <v>1293</v>
      </c>
      <c r="BO312" s="57" t="s">
        <v>1293</v>
      </c>
      <c r="BP312" s="57" t="s">
        <v>1293</v>
      </c>
      <c r="BQ312" s="57" t="s">
        <v>1293</v>
      </c>
      <c r="BR312" s="57" t="s">
        <v>1293</v>
      </c>
      <c r="BS312" s="57" t="s">
        <v>1293</v>
      </c>
      <c r="BT312" s="57" t="s">
        <v>1293</v>
      </c>
      <c r="BU312" s="57" t="s">
        <v>1293</v>
      </c>
      <c r="BV312" s="70">
        <f t="shared" si="1538"/>
        <v>125</v>
      </c>
      <c r="BW312" s="71">
        <f t="shared" si="1539"/>
        <v>167</v>
      </c>
      <c r="BX312" s="72">
        <f t="shared" si="1540"/>
        <v>171</v>
      </c>
      <c r="BY312" s="71" t="str">
        <f t="shared" si="1541"/>
        <v>-</v>
      </c>
      <c r="BZ312" s="72">
        <f t="shared" si="1542"/>
        <v>217</v>
      </c>
      <c r="CA312" s="71" t="str">
        <f t="shared" si="1543"/>
        <v>-</v>
      </c>
      <c r="CB312" s="72">
        <f t="shared" si="1544"/>
        <v>262</v>
      </c>
      <c r="CC312" s="71">
        <f t="shared" si="1545"/>
        <v>294</v>
      </c>
      <c r="CD312" s="72">
        <f t="shared" si="1546"/>
        <v>300</v>
      </c>
      <c r="CE312" s="71">
        <f t="shared" si="1547"/>
        <v>342</v>
      </c>
      <c r="CF312" s="72">
        <f t="shared" si="1548"/>
        <v>374</v>
      </c>
      <c r="CG312" s="71">
        <f t="shared" si="1549"/>
        <v>404</v>
      </c>
      <c r="CH312" s="70">
        <f t="shared" si="1550"/>
        <v>164</v>
      </c>
      <c r="CI312" s="71">
        <f t="shared" si="1551"/>
        <v>170</v>
      </c>
      <c r="CJ312" s="72">
        <f t="shared" si="1552"/>
        <v>199</v>
      </c>
      <c r="CK312" s="72" t="str">
        <f t="shared" si="1553"/>
        <v>-</v>
      </c>
      <c r="CL312" s="72">
        <f t="shared" si="1554"/>
        <v>255</v>
      </c>
      <c r="CM312" s="72" t="str">
        <f t="shared" si="1555"/>
        <v>-</v>
      </c>
      <c r="CN312" s="72">
        <f t="shared" si="1556"/>
        <v>290</v>
      </c>
      <c r="CO312" s="72">
        <f t="shared" si="1557"/>
        <v>296</v>
      </c>
      <c r="CP312" s="72">
        <f t="shared" si="1558"/>
        <v>335</v>
      </c>
      <c r="CQ312" s="72">
        <f t="shared" si="1559"/>
        <v>367</v>
      </c>
      <c r="CR312" s="72">
        <f t="shared" si="1560"/>
        <v>403</v>
      </c>
      <c r="CS312" s="72">
        <f t="shared" si="1561"/>
        <v>429</v>
      </c>
      <c r="CT312" s="23">
        <f t="shared" si="1562"/>
        <v>1</v>
      </c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</row>
    <row r="313" spans="1:1029" x14ac:dyDescent="0.2">
      <c r="A313" s="3" t="str">
        <f t="shared" ref="A313:A345" si="1563">CONCATENATE(B313,"_",C313)</f>
        <v>glr_human_5EE7</v>
      </c>
      <c r="B313" s="3" t="s">
        <v>32</v>
      </c>
      <c r="C313" s="3" t="s">
        <v>49</v>
      </c>
      <c r="D313" s="3" t="str">
        <f>IFERROR(MID(VLOOKUP($B313,Seqs!$A:$B,2,0),E313,1),"")</f>
        <v>Y</v>
      </c>
      <c r="E313" s="3">
        <v>138</v>
      </c>
      <c r="F313" s="3" t="str">
        <f>IFERROR(MID(VLOOKUP($B313,Seqs!$A:$B,2,0),G313,1),"")</f>
        <v>L</v>
      </c>
      <c r="G313" s="3">
        <v>166</v>
      </c>
      <c r="H313" s="3" t="str">
        <f>IFERROR(MID(VLOOKUP($B313,Seqs!$A:$B,2,0),I313,1),"")</f>
        <v>S</v>
      </c>
      <c r="I313" s="23">
        <v>167</v>
      </c>
      <c r="J313" s="3" t="str">
        <f>IFERROR(MID(VLOOKUP($B313,Seqs!$A:$B,2,0),K313,1),"")</f>
        <v>H</v>
      </c>
      <c r="K313" s="23">
        <v>170</v>
      </c>
      <c r="L313" s="3" t="str">
        <f>IFERROR(MID(VLOOKUP($B313,Seqs!$A:$B,2,0),M313,1),"")</f>
        <v>C</v>
      </c>
      <c r="M313" s="23">
        <v>171</v>
      </c>
      <c r="N313" s="3" t="str">
        <f>IFERROR(MID(VLOOKUP($B313,Seqs!$A:$B,2,0),O313,1),"")</f>
        <v>R</v>
      </c>
      <c r="O313" s="3">
        <v>199</v>
      </c>
      <c r="P313" s="3" t="str">
        <f>IFERROR(MID(VLOOKUP($B313,Seqs!$A:$B,2,0),Q313,1),"")</f>
        <v/>
      </c>
      <c r="Q313" s="3" t="s">
        <v>23</v>
      </c>
      <c r="R313" s="3" t="str">
        <f>IFERROR(MID(VLOOKUP($B313,Seqs!$A:$B,2,0),S313,1),"")</f>
        <v/>
      </c>
      <c r="S313" s="3" t="s">
        <v>23</v>
      </c>
      <c r="T313" s="3" t="str">
        <f>IFERROR(MID(VLOOKUP($B313,Seqs!$A:$B,2,0),U313,1),"")</f>
        <v>D</v>
      </c>
      <c r="U313" s="3">
        <v>218</v>
      </c>
      <c r="V313" s="3" t="str">
        <f>IFERROR(MID(VLOOKUP($B313,Seqs!$A:$B,2,0),W313,1),"")</f>
        <v>G</v>
      </c>
      <c r="W313" s="3">
        <v>254</v>
      </c>
      <c r="X313" s="3" t="str">
        <f>IFERROR(MID(VLOOKUP($B313,Seqs!$A:$B,2,0),Y313,1),"")</f>
        <v/>
      </c>
      <c r="Y313" s="3" t="s">
        <v>23</v>
      </c>
      <c r="Z313" s="3" t="str">
        <f>IFERROR(MID(VLOOKUP($B313,Seqs!$A:$B,2,0),AA313,1),"")</f>
        <v/>
      </c>
      <c r="AA313" s="3" t="s">
        <v>23</v>
      </c>
      <c r="AB313" s="3" t="str">
        <f>IFERROR(MID(VLOOKUP($B313,Seqs!$A:$B,2,0),AC313,1),"")</f>
        <v>S</v>
      </c>
      <c r="AC313" s="9">
        <v>262</v>
      </c>
      <c r="AD313" s="3" t="str">
        <f>IFERROR(MID(VLOOKUP($B313,Seqs!$A:$B,2,0),AE313,1),"")</f>
        <v>E</v>
      </c>
      <c r="AE313" s="3">
        <v>290</v>
      </c>
      <c r="AF313" s="3" t="str">
        <f>IFERROR(MID(VLOOKUP($B313,Seqs!$A:$B,2,0),AG313,1),"")</f>
        <v>C</v>
      </c>
      <c r="AG313" s="3">
        <v>294</v>
      </c>
      <c r="AH313" s="3" t="str">
        <f>IFERROR(MID(VLOOKUP($B313,Seqs!$A:$B,2,0),AI313,1),"")</f>
        <v>T</v>
      </c>
      <c r="AI313" s="3">
        <v>296</v>
      </c>
      <c r="AJ313" s="3" t="str">
        <f>IFERROR(MID(VLOOKUP($B313,Seqs!$A:$B,2,0),AK313,1),"")</f>
        <v>R</v>
      </c>
      <c r="AK313" s="105">
        <v>308</v>
      </c>
      <c r="AL313" s="3" t="str">
        <f>IFERROR(MID(VLOOKUP($B313,Seqs!$A:$B,2,0),AM313,1),"")</f>
        <v>A</v>
      </c>
      <c r="AM313" s="3">
        <v>335</v>
      </c>
      <c r="AN313" s="3" t="str">
        <f>IFERROR(MID(VLOOKUP($B313,Seqs!$A:$B,2,0),AO313,1),"")</f>
        <v>D</v>
      </c>
      <c r="AO313" s="3">
        <v>342</v>
      </c>
      <c r="AP313" s="3" t="str">
        <f>IFERROR(MID(VLOOKUP($B313,Seqs!$A:$B,2,0),AQ313,1),"")</f>
        <v>D</v>
      </c>
      <c r="AQ313" s="3">
        <v>370</v>
      </c>
      <c r="AR313" s="3" t="str">
        <f>IFERROR(MID(VLOOKUP($B313,Seqs!$A:$B,2,0),AS313,1),"")</f>
        <v>S</v>
      </c>
      <c r="AS313" s="3">
        <v>379</v>
      </c>
      <c r="AT313" s="3" t="str">
        <f>IFERROR(MID(VLOOKUP($B313,Seqs!$A:$B,2,0),AU313,1),"")</f>
        <v>F</v>
      </c>
      <c r="AU313" s="3">
        <v>402</v>
      </c>
      <c r="AV313" s="3" t="str">
        <f>IFERROR(MID(VLOOKUP($B313,Seqs!$A:$B,2,0),AW313,1),"")</f>
        <v>N</v>
      </c>
      <c r="AW313" s="3">
        <v>404</v>
      </c>
      <c r="AX313" s="3" t="str">
        <f>IFERROR(MID(VLOOKUP($B313,Seqs!$A:$B,2,0),AY313,1),"")</f>
        <v>R</v>
      </c>
      <c r="AY313" s="3">
        <v>417</v>
      </c>
      <c r="AZ313" s="77" t="str">
        <f>VLOOKUP(B313,Classification!A:D,2,0)</f>
        <v>B1</v>
      </c>
      <c r="BA313" s="94" t="str">
        <f>VLOOKUP(B313,Classification!A:D,4,0)</f>
        <v>Glucagonreceptorfamily</v>
      </c>
      <c r="BB313" s="27" t="b">
        <f t="shared" ref="BB313:BB345" si="1564">AND(E313&lt;G313,OR(G313&lt;I313,I313="-"),OR(I313&lt;K313,I313="-"),OR(K313&lt;M313,K313="-"),M313&lt;O313,OR(O313&lt;Q313,Q313="-"),OR(Q313&lt;S313,Q313="-"),OR(S313&lt;U313,S313="-"),U313&lt;W313,OR(W313&lt;Y313,Y313="-"),OR(Y313&lt;AA313,Y313="-"),OR(AA313&lt;AC313,AA313="-"),AC313&lt;AE313,OR(AE313&lt;AG313,AG313="-"),OR(AG313&lt;AI313,AG313="-"),OR(AI313&lt;AK313,AI313="-"),AK313&lt;AM313,AM313&lt;AO313,AO313&lt;AQ313,AQ313&lt;AS313,AS313&lt;AU313,OR(AU313&lt;AW313,AW313="-"),OR(AW313&lt;AY313,AW313="-"))</f>
        <v>1</v>
      </c>
      <c r="BC313" s="23">
        <f t="shared" si="1537"/>
        <v>228</v>
      </c>
      <c r="BD313" s="4" t="s">
        <v>23</v>
      </c>
      <c r="BE313" s="3" t="s">
        <v>1380</v>
      </c>
      <c r="BF313" s="119">
        <v>2.5</v>
      </c>
      <c r="BG313" s="49" t="s">
        <v>1383</v>
      </c>
      <c r="BH313" s="49" t="s">
        <v>1383</v>
      </c>
      <c r="BI313" s="1"/>
      <c r="BJ313" s="70" t="s">
        <v>1293</v>
      </c>
      <c r="BK313" s="57" t="s">
        <v>1293</v>
      </c>
      <c r="BL313" s="57" t="s">
        <v>1293</v>
      </c>
      <c r="BM313" s="57" t="s">
        <v>1293</v>
      </c>
      <c r="BN313" s="57" t="s">
        <v>1293</v>
      </c>
      <c r="BO313" s="57" t="s">
        <v>1293</v>
      </c>
      <c r="BP313" s="57" t="s">
        <v>1293</v>
      </c>
      <c r="BQ313" s="57" t="s">
        <v>1293</v>
      </c>
      <c r="BR313" s="57" t="s">
        <v>1293</v>
      </c>
      <c r="BS313" s="57" t="s">
        <v>1293</v>
      </c>
      <c r="BT313" s="57" t="s">
        <v>1293</v>
      </c>
      <c r="BU313" s="57" t="s">
        <v>1293</v>
      </c>
      <c r="BV313" s="70">
        <f t="shared" si="1538"/>
        <v>138</v>
      </c>
      <c r="BW313" s="71">
        <f t="shared" si="1539"/>
        <v>167</v>
      </c>
      <c r="BX313" s="72">
        <f t="shared" si="1540"/>
        <v>171</v>
      </c>
      <c r="BY313" s="71" t="str">
        <f t="shared" si="1541"/>
        <v>-</v>
      </c>
      <c r="BZ313" s="72">
        <f t="shared" si="1542"/>
        <v>218</v>
      </c>
      <c r="CA313" s="71" t="str">
        <f t="shared" si="1543"/>
        <v>-</v>
      </c>
      <c r="CB313" s="72">
        <f t="shared" si="1544"/>
        <v>262</v>
      </c>
      <c r="CC313" s="71">
        <f t="shared" si="1545"/>
        <v>294</v>
      </c>
      <c r="CD313" s="72">
        <f t="shared" si="1546"/>
        <v>308</v>
      </c>
      <c r="CE313" s="71">
        <f t="shared" si="1547"/>
        <v>342</v>
      </c>
      <c r="CF313" s="72">
        <f t="shared" si="1548"/>
        <v>379</v>
      </c>
      <c r="CG313" s="71">
        <f t="shared" si="1549"/>
        <v>404</v>
      </c>
      <c r="CH313" s="70">
        <f t="shared" si="1550"/>
        <v>166</v>
      </c>
      <c r="CI313" s="71">
        <f t="shared" si="1551"/>
        <v>170</v>
      </c>
      <c r="CJ313" s="72">
        <f t="shared" si="1552"/>
        <v>199</v>
      </c>
      <c r="CK313" s="72" t="str">
        <f t="shared" si="1553"/>
        <v>-</v>
      </c>
      <c r="CL313" s="72">
        <f t="shared" si="1554"/>
        <v>254</v>
      </c>
      <c r="CM313" s="72" t="str">
        <f t="shared" si="1555"/>
        <v>-</v>
      </c>
      <c r="CN313" s="72">
        <f t="shared" si="1556"/>
        <v>290</v>
      </c>
      <c r="CO313" s="72">
        <f t="shared" si="1557"/>
        <v>296</v>
      </c>
      <c r="CP313" s="72">
        <f t="shared" si="1558"/>
        <v>335</v>
      </c>
      <c r="CQ313" s="72">
        <f t="shared" si="1559"/>
        <v>370</v>
      </c>
      <c r="CR313" s="72">
        <f t="shared" si="1560"/>
        <v>402</v>
      </c>
      <c r="CS313" s="72">
        <f t="shared" si="1561"/>
        <v>417</v>
      </c>
      <c r="CT313" s="23">
        <f t="shared" si="1562"/>
        <v>1</v>
      </c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  <c r="ADW313" s="1"/>
      <c r="ADX313" s="1"/>
      <c r="ADY313" s="1"/>
      <c r="ADZ313" s="1"/>
      <c r="AEA313" s="1"/>
      <c r="AEB313" s="1"/>
      <c r="AEC313" s="1"/>
      <c r="AED313" s="1"/>
      <c r="AEE313" s="1"/>
      <c r="AEF313" s="1"/>
      <c r="AEG313" s="1"/>
      <c r="AEH313" s="1"/>
      <c r="AEI313" s="1"/>
      <c r="AEJ313" s="1"/>
      <c r="AEK313" s="1"/>
      <c r="AEL313" s="1"/>
      <c r="AEM313" s="1"/>
      <c r="AEN313" s="1"/>
      <c r="AEO313" s="1"/>
      <c r="AEP313" s="1"/>
      <c r="AEQ313" s="1"/>
      <c r="AER313" s="1"/>
      <c r="AES313" s="1"/>
      <c r="AET313" s="1"/>
      <c r="AEU313" s="1"/>
      <c r="AEV313" s="1"/>
      <c r="AEW313" s="1"/>
      <c r="AEX313" s="1"/>
      <c r="AEY313" s="1"/>
      <c r="AEZ313" s="1"/>
      <c r="AFA313" s="1"/>
      <c r="AFB313" s="1"/>
      <c r="AFC313" s="1"/>
      <c r="AFD313" s="1"/>
      <c r="AFE313" s="1"/>
      <c r="AFF313" s="1"/>
      <c r="AFG313" s="1"/>
      <c r="AFH313" s="1"/>
      <c r="AFI313" s="1"/>
      <c r="AFJ313" s="1"/>
      <c r="AFK313" s="1"/>
      <c r="AFL313" s="1"/>
      <c r="AFM313" s="1"/>
      <c r="AFN313" s="1"/>
      <c r="AFO313" s="1"/>
      <c r="AFP313" s="1"/>
      <c r="AFQ313" s="1"/>
      <c r="AFR313" s="1"/>
      <c r="AFS313" s="1"/>
      <c r="AFT313" s="1"/>
      <c r="AFU313" s="1"/>
      <c r="AFV313" s="1"/>
      <c r="AFW313" s="1"/>
      <c r="AFX313" s="1"/>
      <c r="AFY313" s="1"/>
      <c r="AFZ313" s="1"/>
      <c r="AGA313" s="1"/>
      <c r="AGB313" s="1"/>
      <c r="AGC313" s="1"/>
      <c r="AGD313" s="1"/>
      <c r="AGE313" s="1"/>
      <c r="AGF313" s="1"/>
      <c r="AGG313" s="1"/>
      <c r="AGH313" s="1"/>
      <c r="AGI313" s="1"/>
      <c r="AGJ313" s="1"/>
      <c r="AGK313" s="1"/>
      <c r="AGL313" s="1"/>
      <c r="AGM313" s="1"/>
      <c r="AGN313" s="1"/>
      <c r="AGO313" s="1"/>
      <c r="AGP313" s="1"/>
      <c r="AGQ313" s="1"/>
      <c r="AGR313" s="1"/>
      <c r="AGS313" s="1"/>
      <c r="AGT313" s="1"/>
      <c r="AGU313" s="1"/>
      <c r="AGV313" s="1"/>
      <c r="AGW313" s="1"/>
      <c r="AGX313" s="1"/>
      <c r="AGY313" s="1"/>
      <c r="AGZ313" s="1"/>
      <c r="AHA313" s="1"/>
      <c r="AHB313" s="1"/>
      <c r="AHC313" s="1"/>
      <c r="AHD313" s="1"/>
      <c r="AHE313" s="1"/>
      <c r="AHF313" s="1"/>
      <c r="AHG313" s="1"/>
      <c r="AHH313" s="1"/>
      <c r="AHI313" s="1"/>
      <c r="AHJ313" s="1"/>
      <c r="AHK313" s="1"/>
      <c r="AHL313" s="1"/>
      <c r="AHM313" s="1"/>
      <c r="AHN313" s="1"/>
      <c r="AHO313" s="1"/>
      <c r="AHP313" s="1"/>
      <c r="AHQ313" s="1"/>
      <c r="AHR313" s="1"/>
      <c r="AHS313" s="1"/>
      <c r="AHT313" s="1"/>
      <c r="AHU313" s="1"/>
      <c r="AHV313" s="1"/>
      <c r="AHW313" s="1"/>
      <c r="AHX313" s="1"/>
      <c r="AHY313" s="1"/>
      <c r="AHZ313" s="1"/>
      <c r="AIA313" s="1"/>
      <c r="AIB313" s="1"/>
      <c r="AIC313" s="1"/>
      <c r="AID313" s="1"/>
      <c r="AIE313" s="1"/>
      <c r="AIF313" s="1"/>
      <c r="AIG313" s="1"/>
      <c r="AIH313" s="1"/>
      <c r="AII313" s="1"/>
      <c r="AIJ313" s="1"/>
      <c r="AIK313" s="1"/>
      <c r="AIL313" s="1"/>
      <c r="AIM313" s="1"/>
      <c r="AIN313" s="1"/>
      <c r="AIO313" s="1"/>
      <c r="AIP313" s="1"/>
      <c r="AIQ313" s="1"/>
      <c r="AIR313" s="1"/>
      <c r="AIS313" s="1"/>
      <c r="AIT313" s="1"/>
      <c r="AIU313" s="1"/>
      <c r="AIV313" s="1"/>
      <c r="AIW313" s="1"/>
      <c r="AIX313" s="1"/>
      <c r="AIY313" s="1"/>
      <c r="AIZ313" s="1"/>
      <c r="AJA313" s="1"/>
      <c r="AJB313" s="1"/>
      <c r="AJC313" s="1"/>
      <c r="AJD313" s="1"/>
      <c r="AJE313" s="1"/>
      <c r="AJF313" s="1"/>
      <c r="AJG313" s="1"/>
      <c r="AJH313" s="1"/>
      <c r="AJI313" s="1"/>
      <c r="AJJ313" s="1"/>
      <c r="AJK313" s="1"/>
      <c r="AJL313" s="1"/>
      <c r="AJM313" s="1"/>
      <c r="AJN313" s="1"/>
      <c r="AJO313" s="1"/>
      <c r="AJP313" s="1"/>
      <c r="AJQ313" s="1"/>
      <c r="AJR313" s="1"/>
      <c r="AJS313" s="1"/>
      <c r="AJT313" s="1"/>
      <c r="AJU313" s="1"/>
      <c r="AJV313" s="1"/>
      <c r="AJW313" s="1"/>
      <c r="AJX313" s="1"/>
      <c r="AJY313" s="1"/>
      <c r="AJZ313" s="1"/>
      <c r="AKA313" s="1"/>
      <c r="AKB313" s="1"/>
      <c r="AKC313" s="1"/>
      <c r="AKD313" s="1"/>
      <c r="AKE313" s="1"/>
      <c r="AKF313" s="1"/>
      <c r="AKG313" s="1"/>
      <c r="AKH313" s="1"/>
      <c r="AKI313" s="1"/>
      <c r="AKJ313" s="1"/>
      <c r="AKK313" s="1"/>
      <c r="AKL313" s="1"/>
      <c r="AKM313" s="1"/>
      <c r="AKN313" s="1"/>
      <c r="AKO313" s="1"/>
      <c r="AKP313" s="1"/>
      <c r="AKQ313" s="1"/>
      <c r="AKR313" s="1"/>
      <c r="AKS313" s="1"/>
      <c r="AKT313" s="1"/>
      <c r="AKU313" s="1"/>
      <c r="AKV313" s="1"/>
      <c r="AKW313" s="1"/>
      <c r="AKX313" s="1"/>
      <c r="AKY313" s="1"/>
      <c r="AKZ313" s="1"/>
      <c r="ALA313" s="1"/>
      <c r="ALB313" s="1"/>
      <c r="ALC313" s="1"/>
      <c r="ALD313" s="1"/>
      <c r="ALE313" s="1"/>
      <c r="ALF313" s="1"/>
      <c r="ALG313" s="1"/>
      <c r="ALH313" s="1"/>
      <c r="ALI313" s="1"/>
      <c r="ALJ313" s="1"/>
      <c r="ALK313" s="1"/>
      <c r="ALL313" s="1"/>
      <c r="ALM313" s="1"/>
      <c r="ALN313" s="1"/>
      <c r="ALO313" s="1"/>
      <c r="ALP313" s="1"/>
      <c r="ALQ313" s="1"/>
      <c r="ALR313" s="1"/>
      <c r="ALS313" s="1"/>
      <c r="ALT313" s="1"/>
      <c r="ALU313" s="1"/>
      <c r="ALV313" s="1"/>
      <c r="ALW313" s="1"/>
      <c r="ALX313" s="1"/>
      <c r="ALY313" s="1"/>
      <c r="ALZ313" s="1"/>
      <c r="AMA313" s="1"/>
      <c r="AMB313" s="1"/>
      <c r="AMC313" s="1"/>
      <c r="AMD313" s="1"/>
      <c r="AME313" s="1"/>
      <c r="AMF313" s="1"/>
      <c r="AMG313" s="1"/>
      <c r="AMH313" s="1"/>
      <c r="AMI313" s="1"/>
      <c r="AMJ313" s="1"/>
      <c r="AMK313" s="1"/>
      <c r="AML313" s="1"/>
      <c r="AMM313" s="1"/>
      <c r="AMN313" s="1"/>
      <c r="AMO313" s="1"/>
    </row>
    <row r="314" spans="1:1029" x14ac:dyDescent="0.2">
      <c r="A314" s="3" t="str">
        <f t="shared" ref="A314:A323" si="1565">CONCATENATE(B314,"_",C314)</f>
        <v>glr_human_5XEZ</v>
      </c>
      <c r="B314" s="3" t="s">
        <v>32</v>
      </c>
      <c r="C314" s="3" t="s">
        <v>1418</v>
      </c>
      <c r="D314" s="3" t="str">
        <f>IFERROR(MID(VLOOKUP($B314,Seqs!$A:$B,2,0),E314,1),"")</f>
        <v>Q</v>
      </c>
      <c r="E314" s="3">
        <v>131</v>
      </c>
      <c r="F314" s="3" t="str">
        <f>IFERROR(MID(VLOOKUP($B314,Seqs!$A:$B,2,0),G314,1),"")</f>
        <v>G</v>
      </c>
      <c r="G314" s="3">
        <v>164</v>
      </c>
      <c r="H314" s="3" t="str">
        <f>IFERROR(MID(VLOOKUP($B314,Seqs!$A:$B,2,0),I314,1),"")</f>
        <v>S</v>
      </c>
      <c r="I314" s="23">
        <v>167</v>
      </c>
      <c r="J314" s="3" t="str">
        <f>IFERROR(MID(VLOOKUP($B314,Seqs!$A:$B,2,0),K314,1),"")</f>
        <v>H</v>
      </c>
      <c r="K314" s="23">
        <v>170</v>
      </c>
      <c r="L314" s="3" t="str">
        <f>IFERROR(MID(VLOOKUP($B314,Seqs!$A:$B,2,0),M314,1),"")</f>
        <v>C</v>
      </c>
      <c r="M314" s="23">
        <v>171</v>
      </c>
      <c r="N314" s="3" t="str">
        <f>IFERROR(MID(VLOOKUP($B314,Seqs!$A:$B,2,0),O314,1),"")</f>
        <v>R</v>
      </c>
      <c r="O314" s="3">
        <v>201</v>
      </c>
      <c r="P314" s="3" t="str">
        <f>IFERROR(MID(VLOOKUP($B314,Seqs!$A:$B,2,0),Q314,1),"")</f>
        <v/>
      </c>
      <c r="Q314" s="3" t="s">
        <v>23</v>
      </c>
      <c r="R314" s="3" t="str">
        <f>IFERROR(MID(VLOOKUP($B314,Seqs!$A:$B,2,0),S314,1),"")</f>
        <v/>
      </c>
      <c r="S314" s="3" t="s">
        <v>23</v>
      </c>
      <c r="T314" s="3" t="str">
        <f>IFERROR(MID(VLOOKUP($B314,Seqs!$A:$B,2,0),U314,1),"")</f>
        <v>S</v>
      </c>
      <c r="U314" s="3">
        <v>217</v>
      </c>
      <c r="V314" s="3" t="str">
        <f>IFERROR(MID(VLOOKUP($B314,Seqs!$A:$B,2,0),W314,1),"")</f>
        <v>L</v>
      </c>
      <c r="W314" s="3">
        <v>255</v>
      </c>
      <c r="X314" s="3" t="str">
        <f>IFERROR(MID(VLOOKUP($B314,Seqs!$A:$B,2,0),Y314,1),"")</f>
        <v/>
      </c>
      <c r="Y314" s="3" t="s">
        <v>23</v>
      </c>
      <c r="Z314" s="3" t="str">
        <f>IFERROR(MID(VLOOKUP($B314,Seqs!$A:$B,2,0),AA314,1),"")</f>
        <v/>
      </c>
      <c r="AA314" s="3" t="s">
        <v>23</v>
      </c>
      <c r="AB314" s="3" t="str">
        <f>IFERROR(MID(VLOOKUP($B314,Seqs!$A:$B,2,0),AC314,1),"")</f>
        <v>E</v>
      </c>
      <c r="AC314" s="3">
        <v>260</v>
      </c>
      <c r="AD314" s="3" t="str">
        <f>IFERROR(MID(VLOOKUP($B314,Seqs!$A:$B,2,0),AE314,1),"")</f>
        <v>E</v>
      </c>
      <c r="AE314" s="3">
        <v>290</v>
      </c>
      <c r="AF314" s="3" t="str">
        <f>IFERROR(MID(VLOOKUP($B314,Seqs!$A:$B,2,0),AG314,1),"")</f>
        <v>C</v>
      </c>
      <c r="AG314" s="3">
        <v>294</v>
      </c>
      <c r="AH314" s="3" t="str">
        <f>IFERROR(MID(VLOOKUP($B314,Seqs!$A:$B,2,0),AI314,1),"")</f>
        <v>T</v>
      </c>
      <c r="AI314" s="3">
        <v>296</v>
      </c>
      <c r="AJ314" s="3" t="str">
        <f>IFERROR(MID(VLOOKUP($B314,Seqs!$A:$B,2,0),AK314,1),"")</f>
        <v>G</v>
      </c>
      <c r="AK314" s="3">
        <v>302</v>
      </c>
      <c r="AL314" s="3" t="str">
        <f>IFERROR(MID(VLOOKUP($B314,Seqs!$A:$B,2,0),AM314,1),"")</f>
        <v>R</v>
      </c>
      <c r="AM314" s="3">
        <v>334</v>
      </c>
      <c r="AN314" s="3" t="str">
        <f>IFERROR(MID(VLOOKUP($B314,Seqs!$A:$B,2,0),AO314,1),"")</f>
        <v>D</v>
      </c>
      <c r="AO314" s="3">
        <v>342</v>
      </c>
      <c r="AP314" s="3" t="str">
        <f>IFERROR(MID(VLOOKUP($B314,Seqs!$A:$B,2,0),AQ314,1),"")</f>
        <v>F</v>
      </c>
      <c r="AQ314" s="3">
        <v>367</v>
      </c>
      <c r="AR314" s="3" t="str">
        <f>IFERROR(MID(VLOOKUP($B314,Seqs!$A:$B,2,0),AS314,1),"")</f>
        <v>G</v>
      </c>
      <c r="AS314" s="3">
        <v>375</v>
      </c>
      <c r="AT314" s="3" t="str">
        <f>IFERROR(MID(VLOOKUP($B314,Seqs!$A:$B,2,0),AU314,1),"")</f>
        <v>L</v>
      </c>
      <c r="AU314" s="3">
        <v>403</v>
      </c>
      <c r="AV314" s="3" t="str">
        <f>IFERROR(MID(VLOOKUP($B314,Seqs!$A:$B,2,0),AW314,1),"")</f>
        <v>N</v>
      </c>
      <c r="AW314" s="3">
        <v>404</v>
      </c>
      <c r="AX314" s="3" t="str">
        <f>IFERROR(MID(VLOOKUP($B314,Seqs!$A:$B,2,0),AY314,1),"")</f>
        <v>W</v>
      </c>
      <c r="AY314" s="3">
        <v>415</v>
      </c>
      <c r="AZ314" s="77" t="str">
        <f>VLOOKUP(B314,Classification!A:D,2,0)</f>
        <v>B1</v>
      </c>
      <c r="BA314" s="94" t="str">
        <f>VLOOKUP(B314,Classification!A:D,4,0)</f>
        <v>Glucagonreceptorfamily</v>
      </c>
      <c r="BB314" s="27" t="b">
        <f t="shared" ref="BB314:BB323" si="1566">AND(E314&lt;G314,OR(G314&lt;I314,I314="-"),OR(I314&lt;K314,I314="-"),OR(K314&lt;M314,K314="-"),M314&lt;O314,OR(O314&lt;Q314,Q314="-"),OR(Q314&lt;S314,Q314="-"),OR(S314&lt;U314,S314="-"),U314&lt;W314,OR(W314&lt;Y314,Y314="-"),OR(Y314&lt;AA314,Y314="-"),OR(AA314&lt;AC314,AA314="-"),AC314&lt;AE314,OR(AE314&lt;AG314,AG314="-"),OR(AG314&lt;AI314,AG314="-"),OR(AI314&lt;AK314,AI314="-"),AK314&lt;AM314,AM314&lt;AO314,AO314&lt;AQ314,AQ314&lt;AS314,AS314&lt;AU314,OR(AU314&lt;AW314,AW314="-"),OR(AW314&lt;AY314,AW314="-"))</f>
        <v>1</v>
      </c>
      <c r="BC314" s="23">
        <f t="shared" ref="BC314:BC323" si="1567">_xlfn.AGGREGATE(9,6,CH314:CS314)-_xlfn.AGGREGATE(9,6,BV314:CG314)+12</f>
        <v>244</v>
      </c>
      <c r="BD314" s="4" t="s">
        <v>1382</v>
      </c>
      <c r="BE314" s="3" t="s">
        <v>1380</v>
      </c>
      <c r="BF314" s="119">
        <v>3</v>
      </c>
      <c r="BG314" s="49" t="s">
        <v>1287</v>
      </c>
      <c r="BH314" s="49" t="s">
        <v>1287</v>
      </c>
      <c r="BI314" s="1"/>
      <c r="BJ314" s="70" t="s">
        <v>1293</v>
      </c>
      <c r="BK314" s="57" t="s">
        <v>1293</v>
      </c>
      <c r="BL314" s="57" t="s">
        <v>1293</v>
      </c>
      <c r="BM314" s="57" t="s">
        <v>1293</v>
      </c>
      <c r="BN314" s="57" t="s">
        <v>1293</v>
      </c>
      <c r="BO314" s="57" t="s">
        <v>1293</v>
      </c>
      <c r="BP314" s="57" t="s">
        <v>1293</v>
      </c>
      <c r="BQ314" s="57" t="s">
        <v>1293</v>
      </c>
      <c r="BR314" s="57" t="s">
        <v>1293</v>
      </c>
      <c r="BS314" s="57" t="s">
        <v>1293</v>
      </c>
      <c r="BT314" s="57" t="s">
        <v>1293</v>
      </c>
      <c r="BU314" s="57" t="s">
        <v>1293</v>
      </c>
      <c r="BV314" s="70">
        <f t="shared" ref="BV314:BV323" si="1568">E314</f>
        <v>131</v>
      </c>
      <c r="BW314" s="71">
        <f t="shared" ref="BW314:BW323" si="1569">I314</f>
        <v>167</v>
      </c>
      <c r="BX314" s="72">
        <f t="shared" ref="BX314:BX323" si="1570">M314</f>
        <v>171</v>
      </c>
      <c r="BY314" s="71" t="str">
        <f t="shared" ref="BY314:BY323" si="1571">Q314</f>
        <v>-</v>
      </c>
      <c r="BZ314" s="72">
        <f t="shared" ref="BZ314:BZ323" si="1572">U314</f>
        <v>217</v>
      </c>
      <c r="CA314" s="71" t="str">
        <f t="shared" ref="CA314:CA323" si="1573">Y314</f>
        <v>-</v>
      </c>
      <c r="CB314" s="72">
        <f t="shared" ref="CB314:CB323" si="1574">AC314</f>
        <v>260</v>
      </c>
      <c r="CC314" s="71">
        <f t="shared" ref="CC314:CC323" si="1575">AG314</f>
        <v>294</v>
      </c>
      <c r="CD314" s="72">
        <f t="shared" ref="CD314:CD323" si="1576">AK314</f>
        <v>302</v>
      </c>
      <c r="CE314" s="71">
        <f t="shared" ref="CE314:CE323" si="1577">AO314</f>
        <v>342</v>
      </c>
      <c r="CF314" s="72">
        <f t="shared" ref="CF314:CF323" si="1578">AS314</f>
        <v>375</v>
      </c>
      <c r="CG314" s="71">
        <f t="shared" ref="CG314:CG323" si="1579">AW314</f>
        <v>404</v>
      </c>
      <c r="CH314" s="70">
        <f t="shared" ref="CH314:CH323" si="1580">G314</f>
        <v>164</v>
      </c>
      <c r="CI314" s="71">
        <f t="shared" ref="CI314:CI323" si="1581">K314</f>
        <v>170</v>
      </c>
      <c r="CJ314" s="72">
        <f t="shared" ref="CJ314:CJ323" si="1582">O314</f>
        <v>201</v>
      </c>
      <c r="CK314" s="72" t="str">
        <f t="shared" ref="CK314:CK323" si="1583">S314</f>
        <v>-</v>
      </c>
      <c r="CL314" s="72">
        <f t="shared" ref="CL314:CL323" si="1584">W314</f>
        <v>255</v>
      </c>
      <c r="CM314" s="72" t="str">
        <f t="shared" ref="CM314:CM323" si="1585">AA314</f>
        <v>-</v>
      </c>
      <c r="CN314" s="72">
        <f t="shared" ref="CN314:CN323" si="1586">AE314</f>
        <v>290</v>
      </c>
      <c r="CO314" s="72">
        <f t="shared" ref="CO314:CO323" si="1587">AI314</f>
        <v>296</v>
      </c>
      <c r="CP314" s="72">
        <f t="shared" ref="CP314:CP323" si="1588">AM314</f>
        <v>334</v>
      </c>
      <c r="CQ314" s="72">
        <f t="shared" ref="CQ314:CQ323" si="1589">AQ314</f>
        <v>367</v>
      </c>
      <c r="CR314" s="72">
        <f t="shared" ref="CR314:CR323" si="1590">AU314</f>
        <v>403</v>
      </c>
      <c r="CS314" s="72">
        <f t="shared" ref="CS314:CS323" si="1591">AY314</f>
        <v>415</v>
      </c>
      <c r="CT314" s="23">
        <f t="shared" ref="CT314:CT323" si="1592">M314-K314</f>
        <v>1</v>
      </c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  <c r="ADW314" s="1"/>
      <c r="ADX314" s="1"/>
      <c r="ADY314" s="1"/>
      <c r="ADZ314" s="1"/>
      <c r="AEA314" s="1"/>
      <c r="AEB314" s="1"/>
      <c r="AEC314" s="1"/>
      <c r="AED314" s="1"/>
      <c r="AEE314" s="1"/>
      <c r="AEF314" s="1"/>
      <c r="AEG314" s="1"/>
      <c r="AEH314" s="1"/>
      <c r="AEI314" s="1"/>
      <c r="AEJ314" s="1"/>
      <c r="AEK314" s="1"/>
      <c r="AEL314" s="1"/>
      <c r="AEM314" s="1"/>
      <c r="AEN314" s="1"/>
      <c r="AEO314" s="1"/>
      <c r="AEP314" s="1"/>
      <c r="AEQ314" s="1"/>
      <c r="AER314" s="1"/>
      <c r="AES314" s="1"/>
      <c r="AET314" s="1"/>
      <c r="AEU314" s="1"/>
      <c r="AEV314" s="1"/>
      <c r="AEW314" s="1"/>
      <c r="AEX314" s="1"/>
      <c r="AEY314" s="1"/>
      <c r="AEZ314" s="1"/>
      <c r="AFA314" s="1"/>
      <c r="AFB314" s="1"/>
      <c r="AFC314" s="1"/>
      <c r="AFD314" s="1"/>
      <c r="AFE314" s="1"/>
      <c r="AFF314" s="1"/>
      <c r="AFG314" s="1"/>
      <c r="AFH314" s="1"/>
      <c r="AFI314" s="1"/>
      <c r="AFJ314" s="1"/>
      <c r="AFK314" s="1"/>
      <c r="AFL314" s="1"/>
      <c r="AFM314" s="1"/>
      <c r="AFN314" s="1"/>
      <c r="AFO314" s="1"/>
      <c r="AFP314" s="1"/>
      <c r="AFQ314" s="1"/>
      <c r="AFR314" s="1"/>
      <c r="AFS314" s="1"/>
      <c r="AFT314" s="1"/>
      <c r="AFU314" s="1"/>
      <c r="AFV314" s="1"/>
      <c r="AFW314" s="1"/>
      <c r="AFX314" s="1"/>
      <c r="AFY314" s="1"/>
      <c r="AFZ314" s="1"/>
      <c r="AGA314" s="1"/>
      <c r="AGB314" s="1"/>
      <c r="AGC314" s="1"/>
      <c r="AGD314" s="1"/>
      <c r="AGE314" s="1"/>
      <c r="AGF314" s="1"/>
      <c r="AGG314" s="1"/>
      <c r="AGH314" s="1"/>
      <c r="AGI314" s="1"/>
      <c r="AGJ314" s="1"/>
      <c r="AGK314" s="1"/>
      <c r="AGL314" s="1"/>
      <c r="AGM314" s="1"/>
      <c r="AGN314" s="1"/>
      <c r="AGO314" s="1"/>
      <c r="AGP314" s="1"/>
      <c r="AGQ314" s="1"/>
      <c r="AGR314" s="1"/>
      <c r="AGS314" s="1"/>
      <c r="AGT314" s="1"/>
      <c r="AGU314" s="1"/>
      <c r="AGV314" s="1"/>
      <c r="AGW314" s="1"/>
      <c r="AGX314" s="1"/>
      <c r="AGY314" s="1"/>
      <c r="AGZ314" s="1"/>
      <c r="AHA314" s="1"/>
      <c r="AHB314" s="1"/>
      <c r="AHC314" s="1"/>
      <c r="AHD314" s="1"/>
      <c r="AHE314" s="1"/>
      <c r="AHF314" s="1"/>
      <c r="AHG314" s="1"/>
      <c r="AHH314" s="1"/>
      <c r="AHI314" s="1"/>
      <c r="AHJ314" s="1"/>
      <c r="AHK314" s="1"/>
      <c r="AHL314" s="1"/>
      <c r="AHM314" s="1"/>
      <c r="AHN314" s="1"/>
      <c r="AHO314" s="1"/>
      <c r="AHP314" s="1"/>
      <c r="AHQ314" s="1"/>
      <c r="AHR314" s="1"/>
      <c r="AHS314" s="1"/>
      <c r="AHT314" s="1"/>
      <c r="AHU314" s="1"/>
      <c r="AHV314" s="1"/>
      <c r="AHW314" s="1"/>
      <c r="AHX314" s="1"/>
      <c r="AHY314" s="1"/>
      <c r="AHZ314" s="1"/>
      <c r="AIA314" s="1"/>
      <c r="AIB314" s="1"/>
      <c r="AIC314" s="1"/>
      <c r="AID314" s="1"/>
      <c r="AIE314" s="1"/>
      <c r="AIF314" s="1"/>
      <c r="AIG314" s="1"/>
      <c r="AIH314" s="1"/>
      <c r="AII314" s="1"/>
      <c r="AIJ314" s="1"/>
      <c r="AIK314" s="1"/>
      <c r="AIL314" s="1"/>
      <c r="AIM314" s="1"/>
      <c r="AIN314" s="1"/>
      <c r="AIO314" s="1"/>
      <c r="AIP314" s="1"/>
      <c r="AIQ314" s="1"/>
      <c r="AIR314" s="1"/>
      <c r="AIS314" s="1"/>
      <c r="AIT314" s="1"/>
      <c r="AIU314" s="1"/>
      <c r="AIV314" s="1"/>
      <c r="AIW314" s="1"/>
      <c r="AIX314" s="1"/>
      <c r="AIY314" s="1"/>
      <c r="AIZ314" s="1"/>
      <c r="AJA314" s="1"/>
      <c r="AJB314" s="1"/>
      <c r="AJC314" s="1"/>
      <c r="AJD314" s="1"/>
      <c r="AJE314" s="1"/>
      <c r="AJF314" s="1"/>
      <c r="AJG314" s="1"/>
      <c r="AJH314" s="1"/>
      <c r="AJI314" s="1"/>
      <c r="AJJ314" s="1"/>
      <c r="AJK314" s="1"/>
      <c r="AJL314" s="1"/>
      <c r="AJM314" s="1"/>
      <c r="AJN314" s="1"/>
      <c r="AJO314" s="1"/>
      <c r="AJP314" s="1"/>
      <c r="AJQ314" s="1"/>
      <c r="AJR314" s="1"/>
      <c r="AJS314" s="1"/>
      <c r="AJT314" s="1"/>
      <c r="AJU314" s="1"/>
      <c r="AJV314" s="1"/>
      <c r="AJW314" s="1"/>
      <c r="AJX314" s="1"/>
      <c r="AJY314" s="1"/>
      <c r="AJZ314" s="1"/>
      <c r="AKA314" s="1"/>
      <c r="AKB314" s="1"/>
      <c r="AKC314" s="1"/>
      <c r="AKD314" s="1"/>
      <c r="AKE314" s="1"/>
      <c r="AKF314" s="1"/>
      <c r="AKG314" s="1"/>
      <c r="AKH314" s="1"/>
      <c r="AKI314" s="1"/>
      <c r="AKJ314" s="1"/>
      <c r="AKK314" s="1"/>
      <c r="AKL314" s="1"/>
      <c r="AKM314" s="1"/>
      <c r="AKN314" s="1"/>
      <c r="AKO314" s="1"/>
      <c r="AKP314" s="1"/>
      <c r="AKQ314" s="1"/>
      <c r="AKR314" s="1"/>
      <c r="AKS314" s="1"/>
      <c r="AKT314" s="1"/>
      <c r="AKU314" s="1"/>
      <c r="AKV314" s="1"/>
      <c r="AKW314" s="1"/>
      <c r="AKX314" s="1"/>
      <c r="AKY314" s="1"/>
      <c r="AKZ314" s="1"/>
      <c r="ALA314" s="1"/>
      <c r="ALB314" s="1"/>
      <c r="ALC314" s="1"/>
      <c r="ALD314" s="1"/>
      <c r="ALE314" s="1"/>
      <c r="ALF314" s="1"/>
      <c r="ALG314" s="1"/>
      <c r="ALH314" s="1"/>
      <c r="ALI314" s="1"/>
      <c r="ALJ314" s="1"/>
      <c r="ALK314" s="1"/>
      <c r="ALL314" s="1"/>
      <c r="ALM314" s="1"/>
      <c r="ALN314" s="1"/>
      <c r="ALO314" s="1"/>
      <c r="ALP314" s="1"/>
      <c r="ALQ314" s="1"/>
      <c r="ALR314" s="1"/>
      <c r="ALS314" s="1"/>
      <c r="ALT314" s="1"/>
      <c r="ALU314" s="1"/>
      <c r="ALV314" s="1"/>
      <c r="ALW314" s="1"/>
      <c r="ALX314" s="1"/>
      <c r="ALY314" s="1"/>
      <c r="ALZ314" s="1"/>
      <c r="AMA314" s="1"/>
      <c r="AMB314" s="1"/>
      <c r="AMC314" s="1"/>
      <c r="AMD314" s="1"/>
      <c r="AME314" s="1"/>
      <c r="AMF314" s="1"/>
      <c r="AMG314" s="1"/>
      <c r="AMH314" s="1"/>
      <c r="AMI314" s="1"/>
      <c r="AMJ314" s="1"/>
      <c r="AMK314" s="1"/>
      <c r="AML314" s="1"/>
      <c r="AMM314" s="1"/>
      <c r="AMN314" s="1"/>
      <c r="AMO314" s="1"/>
    </row>
    <row r="315" spans="1:1029" x14ac:dyDescent="0.2">
      <c r="A315" s="3" t="str">
        <f t="shared" si="1565"/>
        <v>glr_human_5XF1</v>
      </c>
      <c r="B315" s="3" t="s">
        <v>32</v>
      </c>
      <c r="C315" s="3" t="s">
        <v>1419</v>
      </c>
      <c r="D315" s="3" t="str">
        <f>IFERROR(MID(VLOOKUP($B315,Seqs!$A:$B,2,0),E315,1),"")</f>
        <v>Q</v>
      </c>
      <c r="E315" s="3">
        <v>131</v>
      </c>
      <c r="F315" s="3" t="str">
        <f>IFERROR(MID(VLOOKUP($B315,Seqs!$A:$B,2,0),G315,1),"")</f>
        <v>L</v>
      </c>
      <c r="G315" s="3">
        <v>166</v>
      </c>
      <c r="H315" s="3" t="str">
        <f>IFERROR(MID(VLOOKUP($B315,Seqs!$A:$B,2,0),I315,1),"")</f>
        <v>S</v>
      </c>
      <c r="I315" s="23">
        <v>167</v>
      </c>
      <c r="J315" s="3" t="str">
        <f>IFERROR(MID(VLOOKUP($B315,Seqs!$A:$B,2,0),K315,1),"")</f>
        <v>H</v>
      </c>
      <c r="K315" s="23">
        <v>170</v>
      </c>
      <c r="L315" s="3" t="str">
        <f>IFERROR(MID(VLOOKUP($B315,Seqs!$A:$B,2,0),M315,1),"")</f>
        <v>N</v>
      </c>
      <c r="M315" s="23">
        <v>174</v>
      </c>
      <c r="N315" s="3" t="str">
        <f>IFERROR(MID(VLOOKUP($B315,Seqs!$A:$B,2,0),O315,1),"")</f>
        <v>R</v>
      </c>
      <c r="O315" s="3">
        <v>201</v>
      </c>
      <c r="P315" s="3" t="str">
        <f>IFERROR(MID(VLOOKUP($B315,Seqs!$A:$B,2,0),Q315,1),"")</f>
        <v/>
      </c>
      <c r="Q315" s="3" t="s">
        <v>23</v>
      </c>
      <c r="R315" s="3" t="str">
        <f>IFERROR(MID(VLOOKUP($B315,Seqs!$A:$B,2,0),S315,1),"")</f>
        <v/>
      </c>
      <c r="S315" s="3" t="s">
        <v>23</v>
      </c>
      <c r="T315" s="3" t="str">
        <f>IFERROR(MID(VLOOKUP($B315,Seqs!$A:$B,2,0),U315,1),"")</f>
        <v>S</v>
      </c>
      <c r="U315" s="3">
        <v>217</v>
      </c>
      <c r="V315" s="3" t="str">
        <f>IFERROR(MID(VLOOKUP($B315,Seqs!$A:$B,2,0),W315,1),"")</f>
        <v>L</v>
      </c>
      <c r="W315" s="3">
        <v>255</v>
      </c>
      <c r="X315" s="3" t="str">
        <f>IFERROR(MID(VLOOKUP($B315,Seqs!$A:$B,2,0),Y315,1),"")</f>
        <v/>
      </c>
      <c r="Y315" s="3" t="s">
        <v>23</v>
      </c>
      <c r="Z315" s="3" t="str">
        <f>IFERROR(MID(VLOOKUP($B315,Seqs!$A:$B,2,0),AA315,1),"")</f>
        <v/>
      </c>
      <c r="AA315" s="3" t="s">
        <v>23</v>
      </c>
      <c r="AB315" s="3" t="str">
        <f>IFERROR(MID(VLOOKUP($B315,Seqs!$A:$B,2,0),AC315,1),"")</f>
        <v>R</v>
      </c>
      <c r="AC315" s="3">
        <v>261</v>
      </c>
      <c r="AD315" s="3" t="str">
        <f>IFERROR(MID(VLOOKUP($B315,Seqs!$A:$B,2,0),AE315,1),"")</f>
        <v>F</v>
      </c>
      <c r="AE315" s="3">
        <v>289</v>
      </c>
      <c r="AF315" s="3" t="str">
        <f>IFERROR(MID(VLOOKUP($B315,Seqs!$A:$B,2,0),AG315,1),"")</f>
        <v>C</v>
      </c>
      <c r="AG315" s="3">
        <v>294</v>
      </c>
      <c r="AH315" s="3" t="str">
        <f>IFERROR(MID(VLOOKUP($B315,Seqs!$A:$B,2,0),AI315,1),"")</f>
        <v>T</v>
      </c>
      <c r="AI315" s="3">
        <v>296</v>
      </c>
      <c r="AJ315" s="3" t="str">
        <f>IFERROR(MID(VLOOKUP($B315,Seqs!$A:$B,2,0),AK315,1),"")</f>
        <v>D</v>
      </c>
      <c r="AK315" s="3">
        <v>299</v>
      </c>
      <c r="AL315" s="3" t="str">
        <f>IFERROR(MID(VLOOKUP($B315,Seqs!$A:$B,2,0),AM315,1),"")</f>
        <v>L</v>
      </c>
      <c r="AM315" s="3">
        <v>333</v>
      </c>
      <c r="AN315" s="3" t="str">
        <f>IFERROR(MID(VLOOKUP($B315,Seqs!$A:$B,2,0),AO315,1),"")</f>
        <v>D</v>
      </c>
      <c r="AO315" s="3">
        <v>342</v>
      </c>
      <c r="AP315" s="3" t="str">
        <f>IFERROR(MID(VLOOKUP($B315,Seqs!$A:$B,2,0),AQ315,1),"")</f>
        <v>V</v>
      </c>
      <c r="AQ315" s="3">
        <v>368</v>
      </c>
      <c r="AR315" s="3" t="str">
        <f>IFERROR(MID(VLOOKUP($B315,Seqs!$A:$B,2,0),AS315,1),"")</f>
        <v>L</v>
      </c>
      <c r="AS315" s="3">
        <v>377</v>
      </c>
      <c r="AT315" s="3" t="str">
        <f>IFERROR(MID(VLOOKUP($B315,Seqs!$A:$B,2,0),AU315,1),"")</f>
        <v>L</v>
      </c>
      <c r="AU315" s="3">
        <v>403</v>
      </c>
      <c r="AV315" s="3" t="str">
        <f>IFERROR(MID(VLOOKUP($B315,Seqs!$A:$B,2,0),AW315,1),"")</f>
        <v>N</v>
      </c>
      <c r="AW315" s="3">
        <v>404</v>
      </c>
      <c r="AX315" s="3" t="str">
        <f>IFERROR(MID(VLOOKUP($B315,Seqs!$A:$B,2,0),AY315,1),"")</f>
        <v>W</v>
      </c>
      <c r="AY315" s="3">
        <v>415</v>
      </c>
      <c r="AZ315" s="77" t="str">
        <f>VLOOKUP(B315,Classification!A:D,2,0)</f>
        <v>B1</v>
      </c>
      <c r="BA315" s="94" t="str">
        <f>VLOOKUP(B315,Classification!A:D,4,0)</f>
        <v>Glucagonreceptorfamily</v>
      </c>
      <c r="BB315" s="27" t="b">
        <f t="shared" si="1566"/>
        <v>1</v>
      </c>
      <c r="BC315" s="23">
        <f t="shared" si="1567"/>
        <v>242</v>
      </c>
      <c r="BD315" s="4" t="s">
        <v>23</v>
      </c>
      <c r="BE315" s="3" t="s">
        <v>1380</v>
      </c>
      <c r="BF315" s="119">
        <v>3.19</v>
      </c>
      <c r="BG315" s="49" t="s">
        <v>1287</v>
      </c>
      <c r="BH315" s="49" t="s">
        <v>1287</v>
      </c>
      <c r="BI315" s="1"/>
      <c r="BJ315" s="70" t="s">
        <v>1293</v>
      </c>
      <c r="BK315" s="57" t="s">
        <v>1293</v>
      </c>
      <c r="BL315" s="57" t="s">
        <v>1293</v>
      </c>
      <c r="BM315" s="57" t="s">
        <v>1293</v>
      </c>
      <c r="BN315" s="57" t="s">
        <v>1293</v>
      </c>
      <c r="BO315" s="57" t="s">
        <v>1293</v>
      </c>
      <c r="BP315" s="57" t="s">
        <v>1293</v>
      </c>
      <c r="BQ315" s="57" t="s">
        <v>1293</v>
      </c>
      <c r="BR315" s="57" t="s">
        <v>1293</v>
      </c>
      <c r="BS315" s="57" t="s">
        <v>1293</v>
      </c>
      <c r="BT315" s="57" t="s">
        <v>1293</v>
      </c>
      <c r="BU315" s="57" t="s">
        <v>1293</v>
      </c>
      <c r="BV315" s="70">
        <f t="shared" si="1568"/>
        <v>131</v>
      </c>
      <c r="BW315" s="71">
        <f t="shared" si="1569"/>
        <v>167</v>
      </c>
      <c r="BX315" s="72">
        <f t="shared" si="1570"/>
        <v>174</v>
      </c>
      <c r="BY315" s="71" t="str">
        <f t="shared" si="1571"/>
        <v>-</v>
      </c>
      <c r="BZ315" s="72">
        <f t="shared" si="1572"/>
        <v>217</v>
      </c>
      <c r="CA315" s="71" t="str">
        <f t="shared" si="1573"/>
        <v>-</v>
      </c>
      <c r="CB315" s="72">
        <f t="shared" si="1574"/>
        <v>261</v>
      </c>
      <c r="CC315" s="71">
        <f t="shared" si="1575"/>
        <v>294</v>
      </c>
      <c r="CD315" s="72">
        <f t="shared" si="1576"/>
        <v>299</v>
      </c>
      <c r="CE315" s="71">
        <f t="shared" si="1577"/>
        <v>342</v>
      </c>
      <c r="CF315" s="72">
        <f t="shared" si="1578"/>
        <v>377</v>
      </c>
      <c r="CG315" s="71">
        <f t="shared" si="1579"/>
        <v>404</v>
      </c>
      <c r="CH315" s="70">
        <f t="shared" si="1580"/>
        <v>166</v>
      </c>
      <c r="CI315" s="71">
        <f t="shared" si="1581"/>
        <v>170</v>
      </c>
      <c r="CJ315" s="72">
        <f t="shared" si="1582"/>
        <v>201</v>
      </c>
      <c r="CK315" s="72" t="str">
        <f t="shared" si="1583"/>
        <v>-</v>
      </c>
      <c r="CL315" s="72">
        <f t="shared" si="1584"/>
        <v>255</v>
      </c>
      <c r="CM315" s="72" t="str">
        <f t="shared" si="1585"/>
        <v>-</v>
      </c>
      <c r="CN315" s="72">
        <f t="shared" si="1586"/>
        <v>289</v>
      </c>
      <c r="CO315" s="72">
        <f t="shared" si="1587"/>
        <v>296</v>
      </c>
      <c r="CP315" s="72">
        <f t="shared" si="1588"/>
        <v>333</v>
      </c>
      <c r="CQ315" s="72">
        <f t="shared" si="1589"/>
        <v>368</v>
      </c>
      <c r="CR315" s="72">
        <f t="shared" si="1590"/>
        <v>403</v>
      </c>
      <c r="CS315" s="72">
        <f t="shared" si="1591"/>
        <v>415</v>
      </c>
      <c r="CT315" s="23">
        <f t="shared" si="1592"/>
        <v>4</v>
      </c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  <c r="ADW315" s="1"/>
      <c r="ADX315" s="1"/>
      <c r="ADY315" s="1"/>
      <c r="ADZ315" s="1"/>
      <c r="AEA315" s="1"/>
      <c r="AEB315" s="1"/>
      <c r="AEC315" s="1"/>
      <c r="AED315" s="1"/>
      <c r="AEE315" s="1"/>
      <c r="AEF315" s="1"/>
      <c r="AEG315" s="1"/>
      <c r="AEH315" s="1"/>
      <c r="AEI315" s="1"/>
      <c r="AEJ315" s="1"/>
      <c r="AEK315" s="1"/>
      <c r="AEL315" s="1"/>
      <c r="AEM315" s="1"/>
      <c r="AEN315" s="1"/>
      <c r="AEO315" s="1"/>
      <c r="AEP315" s="1"/>
      <c r="AEQ315" s="1"/>
      <c r="AER315" s="1"/>
      <c r="AES315" s="1"/>
      <c r="AET315" s="1"/>
      <c r="AEU315" s="1"/>
      <c r="AEV315" s="1"/>
      <c r="AEW315" s="1"/>
      <c r="AEX315" s="1"/>
      <c r="AEY315" s="1"/>
      <c r="AEZ315" s="1"/>
      <c r="AFA315" s="1"/>
      <c r="AFB315" s="1"/>
      <c r="AFC315" s="1"/>
      <c r="AFD315" s="1"/>
      <c r="AFE315" s="1"/>
      <c r="AFF315" s="1"/>
      <c r="AFG315" s="1"/>
      <c r="AFH315" s="1"/>
      <c r="AFI315" s="1"/>
      <c r="AFJ315" s="1"/>
      <c r="AFK315" s="1"/>
      <c r="AFL315" s="1"/>
      <c r="AFM315" s="1"/>
      <c r="AFN315" s="1"/>
      <c r="AFO315" s="1"/>
      <c r="AFP315" s="1"/>
      <c r="AFQ315" s="1"/>
      <c r="AFR315" s="1"/>
      <c r="AFS315" s="1"/>
      <c r="AFT315" s="1"/>
      <c r="AFU315" s="1"/>
      <c r="AFV315" s="1"/>
      <c r="AFW315" s="1"/>
      <c r="AFX315" s="1"/>
      <c r="AFY315" s="1"/>
      <c r="AFZ315" s="1"/>
      <c r="AGA315" s="1"/>
      <c r="AGB315" s="1"/>
      <c r="AGC315" s="1"/>
      <c r="AGD315" s="1"/>
      <c r="AGE315" s="1"/>
      <c r="AGF315" s="1"/>
      <c r="AGG315" s="1"/>
      <c r="AGH315" s="1"/>
      <c r="AGI315" s="1"/>
      <c r="AGJ315" s="1"/>
      <c r="AGK315" s="1"/>
      <c r="AGL315" s="1"/>
      <c r="AGM315" s="1"/>
      <c r="AGN315" s="1"/>
      <c r="AGO315" s="1"/>
      <c r="AGP315" s="1"/>
      <c r="AGQ315" s="1"/>
      <c r="AGR315" s="1"/>
      <c r="AGS315" s="1"/>
      <c r="AGT315" s="1"/>
      <c r="AGU315" s="1"/>
      <c r="AGV315" s="1"/>
      <c r="AGW315" s="1"/>
      <c r="AGX315" s="1"/>
      <c r="AGY315" s="1"/>
      <c r="AGZ315" s="1"/>
      <c r="AHA315" s="1"/>
      <c r="AHB315" s="1"/>
      <c r="AHC315" s="1"/>
      <c r="AHD315" s="1"/>
      <c r="AHE315" s="1"/>
      <c r="AHF315" s="1"/>
      <c r="AHG315" s="1"/>
      <c r="AHH315" s="1"/>
      <c r="AHI315" s="1"/>
      <c r="AHJ315" s="1"/>
      <c r="AHK315" s="1"/>
      <c r="AHL315" s="1"/>
      <c r="AHM315" s="1"/>
      <c r="AHN315" s="1"/>
      <c r="AHO315" s="1"/>
      <c r="AHP315" s="1"/>
      <c r="AHQ315" s="1"/>
      <c r="AHR315" s="1"/>
      <c r="AHS315" s="1"/>
      <c r="AHT315" s="1"/>
      <c r="AHU315" s="1"/>
      <c r="AHV315" s="1"/>
      <c r="AHW315" s="1"/>
      <c r="AHX315" s="1"/>
      <c r="AHY315" s="1"/>
      <c r="AHZ315" s="1"/>
      <c r="AIA315" s="1"/>
      <c r="AIB315" s="1"/>
      <c r="AIC315" s="1"/>
      <c r="AID315" s="1"/>
      <c r="AIE315" s="1"/>
      <c r="AIF315" s="1"/>
      <c r="AIG315" s="1"/>
      <c r="AIH315" s="1"/>
      <c r="AII315" s="1"/>
      <c r="AIJ315" s="1"/>
      <c r="AIK315" s="1"/>
      <c r="AIL315" s="1"/>
      <c r="AIM315" s="1"/>
      <c r="AIN315" s="1"/>
      <c r="AIO315" s="1"/>
      <c r="AIP315" s="1"/>
      <c r="AIQ315" s="1"/>
      <c r="AIR315" s="1"/>
      <c r="AIS315" s="1"/>
      <c r="AIT315" s="1"/>
      <c r="AIU315" s="1"/>
      <c r="AIV315" s="1"/>
      <c r="AIW315" s="1"/>
      <c r="AIX315" s="1"/>
      <c r="AIY315" s="1"/>
      <c r="AIZ315" s="1"/>
      <c r="AJA315" s="1"/>
      <c r="AJB315" s="1"/>
      <c r="AJC315" s="1"/>
      <c r="AJD315" s="1"/>
      <c r="AJE315" s="1"/>
      <c r="AJF315" s="1"/>
      <c r="AJG315" s="1"/>
      <c r="AJH315" s="1"/>
      <c r="AJI315" s="1"/>
      <c r="AJJ315" s="1"/>
      <c r="AJK315" s="1"/>
      <c r="AJL315" s="1"/>
      <c r="AJM315" s="1"/>
      <c r="AJN315" s="1"/>
      <c r="AJO315" s="1"/>
      <c r="AJP315" s="1"/>
      <c r="AJQ315" s="1"/>
      <c r="AJR315" s="1"/>
      <c r="AJS315" s="1"/>
      <c r="AJT315" s="1"/>
      <c r="AJU315" s="1"/>
      <c r="AJV315" s="1"/>
      <c r="AJW315" s="1"/>
      <c r="AJX315" s="1"/>
      <c r="AJY315" s="1"/>
      <c r="AJZ315" s="1"/>
      <c r="AKA315" s="1"/>
      <c r="AKB315" s="1"/>
      <c r="AKC315" s="1"/>
      <c r="AKD315" s="1"/>
      <c r="AKE315" s="1"/>
      <c r="AKF315" s="1"/>
      <c r="AKG315" s="1"/>
      <c r="AKH315" s="1"/>
      <c r="AKI315" s="1"/>
      <c r="AKJ315" s="1"/>
      <c r="AKK315" s="1"/>
      <c r="AKL315" s="1"/>
      <c r="AKM315" s="1"/>
      <c r="AKN315" s="1"/>
      <c r="AKO315" s="1"/>
      <c r="AKP315" s="1"/>
      <c r="AKQ315" s="1"/>
      <c r="AKR315" s="1"/>
      <c r="AKS315" s="1"/>
      <c r="AKT315" s="1"/>
      <c r="AKU315" s="1"/>
      <c r="AKV315" s="1"/>
      <c r="AKW315" s="1"/>
      <c r="AKX315" s="1"/>
      <c r="AKY315" s="1"/>
      <c r="AKZ315" s="1"/>
      <c r="ALA315" s="1"/>
      <c r="ALB315" s="1"/>
      <c r="ALC315" s="1"/>
      <c r="ALD315" s="1"/>
      <c r="ALE315" s="1"/>
      <c r="ALF315" s="1"/>
      <c r="ALG315" s="1"/>
      <c r="ALH315" s="1"/>
      <c r="ALI315" s="1"/>
      <c r="ALJ315" s="1"/>
      <c r="ALK315" s="1"/>
      <c r="ALL315" s="1"/>
      <c r="ALM315" s="1"/>
      <c r="ALN315" s="1"/>
      <c r="ALO315" s="1"/>
      <c r="ALP315" s="1"/>
      <c r="ALQ315" s="1"/>
      <c r="ALR315" s="1"/>
      <c r="ALS315" s="1"/>
      <c r="ALT315" s="1"/>
      <c r="ALU315" s="1"/>
      <c r="ALV315" s="1"/>
      <c r="ALW315" s="1"/>
      <c r="ALX315" s="1"/>
      <c r="ALY315" s="1"/>
      <c r="ALZ315" s="1"/>
      <c r="AMA315" s="1"/>
      <c r="AMB315" s="1"/>
      <c r="AMC315" s="1"/>
      <c r="AMD315" s="1"/>
      <c r="AME315" s="1"/>
      <c r="AMF315" s="1"/>
      <c r="AMG315" s="1"/>
      <c r="AMH315" s="1"/>
      <c r="AMI315" s="1"/>
      <c r="AMJ315" s="1"/>
      <c r="AMK315" s="1"/>
      <c r="AML315" s="1"/>
      <c r="AMM315" s="1"/>
      <c r="AMN315" s="1"/>
      <c r="AMO315" s="1"/>
    </row>
    <row r="316" spans="1:1029" x14ac:dyDescent="0.2">
      <c r="A316" s="3" t="str">
        <f t="shared" si="1565"/>
        <v>glr_human_5YQZ</v>
      </c>
      <c r="B316" s="3" t="s">
        <v>32</v>
      </c>
      <c r="C316" s="3" t="s">
        <v>1474</v>
      </c>
      <c r="D316" s="3" t="str">
        <f>IFERROR(MID(VLOOKUP($B316,Seqs!$A:$B,2,0),E316,1),"")</f>
        <v>D</v>
      </c>
      <c r="E316" s="3">
        <v>124</v>
      </c>
      <c r="F316" s="3" t="str">
        <f>IFERROR(MID(VLOOKUP($B316,Seqs!$A:$B,2,0),G316,1),"")</f>
        <v>L</v>
      </c>
      <c r="G316" s="3">
        <v>166</v>
      </c>
      <c r="H316" s="3" t="str">
        <f>IFERROR(MID(VLOOKUP($B316,Seqs!$A:$B,2,0),I316,1),"")</f>
        <v>S</v>
      </c>
      <c r="I316" s="23">
        <v>167</v>
      </c>
      <c r="J316" s="3" t="str">
        <f>IFERROR(MID(VLOOKUP($B316,Seqs!$A:$B,2,0),K316,1),"")</f>
        <v>H</v>
      </c>
      <c r="K316" s="23">
        <v>170</v>
      </c>
      <c r="L316" s="3" t="str">
        <f>IFERROR(MID(VLOOKUP($B316,Seqs!$A:$B,2,0),M316,1),"")</f>
        <v>C</v>
      </c>
      <c r="M316" s="23">
        <v>171</v>
      </c>
      <c r="N316" s="3" t="str">
        <f>IFERROR(MID(VLOOKUP($B316,Seqs!$A:$B,2,0),O316,1),"")</f>
        <v>S</v>
      </c>
      <c r="O316" s="3">
        <v>203</v>
      </c>
      <c r="P316" s="3" t="str">
        <f>IFERROR(MID(VLOOKUP($B316,Seqs!$A:$B,2,0),Q316,1),"")</f>
        <v/>
      </c>
      <c r="Q316" s="3" t="s">
        <v>23</v>
      </c>
      <c r="R316" s="3" t="str">
        <f>IFERROR(MID(VLOOKUP($B316,Seqs!$A:$B,2,0),S316,1),"")</f>
        <v/>
      </c>
      <c r="S316" s="3" t="s">
        <v>23</v>
      </c>
      <c r="T316" s="3" t="str">
        <f>IFERROR(MID(VLOOKUP($B316,Seqs!$A:$B,2,0),U316,1),"")</f>
        <v>A</v>
      </c>
      <c r="U316" s="3">
        <v>220</v>
      </c>
      <c r="V316" s="3" t="str">
        <f>IFERROR(MID(VLOOKUP($B316,Seqs!$A:$B,2,0),W316,1),"")</f>
        <v>L</v>
      </c>
      <c r="W316" s="3">
        <v>255</v>
      </c>
      <c r="X316" s="3" t="str">
        <f>IFERROR(MID(VLOOKUP($B316,Seqs!$A:$B,2,0),Y316,1),"")</f>
        <v/>
      </c>
      <c r="Y316" s="3" t="s">
        <v>23</v>
      </c>
      <c r="Z316" s="3" t="str">
        <f>IFERROR(MID(VLOOKUP($B316,Seqs!$A:$B,2,0),AA316,1),"")</f>
        <v/>
      </c>
      <c r="AA316" s="3" t="s">
        <v>23</v>
      </c>
      <c r="AB316" s="3" t="str">
        <f>IFERROR(MID(VLOOKUP($B316,Seqs!$A:$B,2,0),AC316,1),"")</f>
        <v>F</v>
      </c>
      <c r="AC316" s="3">
        <v>263</v>
      </c>
      <c r="AD316" s="3" t="str">
        <f>IFERROR(MID(VLOOKUP($B316,Seqs!$A:$B,2,0),AE316,1),"")</f>
        <v>E</v>
      </c>
      <c r="AE316" s="3">
        <v>290</v>
      </c>
      <c r="AF316" s="3" t="str">
        <f>IFERROR(MID(VLOOKUP($B316,Seqs!$A:$B,2,0),AG316,1),"")</f>
        <v>C</v>
      </c>
      <c r="AG316" s="3">
        <v>294</v>
      </c>
      <c r="AH316" s="3" t="str">
        <f>IFERROR(MID(VLOOKUP($B316,Seqs!$A:$B,2,0),AI316,1),"")</f>
        <v>T</v>
      </c>
      <c r="AI316" s="3">
        <v>296</v>
      </c>
      <c r="AJ316" s="3" t="str">
        <f>IFERROR(MID(VLOOKUP($B316,Seqs!$A:$B,2,0),AK316,1),"")</f>
        <v>F</v>
      </c>
      <c r="AK316" s="3">
        <v>303</v>
      </c>
      <c r="AL316" s="3" t="str">
        <f>IFERROR(MID(VLOOKUP($B316,Seqs!$A:$B,2,0),AM316,1),"")</f>
        <v>A</v>
      </c>
      <c r="AM316" s="3">
        <v>335</v>
      </c>
      <c r="AN316" s="3" t="str">
        <f>IFERROR(MID(VLOOKUP($B316,Seqs!$A:$B,2,0),AO316,1),"")</f>
        <v>D</v>
      </c>
      <c r="AO316" s="3">
        <v>342</v>
      </c>
      <c r="AP316" s="3" t="str">
        <f>IFERROR(MID(VLOOKUP($B316,Seqs!$A:$B,2,0),AQ316,1),"")</f>
        <v>T</v>
      </c>
      <c r="AQ316" s="3">
        <v>369</v>
      </c>
      <c r="AR316" s="3" t="str">
        <f>IFERROR(MID(VLOOKUP($B316,Seqs!$A:$B,2,0),AS316,1),"")</f>
        <v>G</v>
      </c>
      <c r="AS316" s="3">
        <v>375</v>
      </c>
      <c r="AT316" s="3" t="str">
        <f>IFERROR(MID(VLOOKUP($B316,Seqs!$A:$B,2,0),AU316,1),"")</f>
        <v>L</v>
      </c>
      <c r="AU316" s="3">
        <v>403</v>
      </c>
      <c r="AV316" s="3" t="str">
        <f>IFERROR(MID(VLOOKUP($B316,Seqs!$A:$B,2,0),AW316,1),"")</f>
        <v>N</v>
      </c>
      <c r="AW316" s="3">
        <v>404</v>
      </c>
      <c r="AX316" s="3" t="str">
        <f>IFERROR(MID(VLOOKUP($B316,Seqs!$A:$B,2,0),AY316,1),"")</f>
        <v>E</v>
      </c>
      <c r="AY316" s="3">
        <v>426</v>
      </c>
      <c r="AZ316" s="77" t="str">
        <f>VLOOKUP(B316,Classification!A:D,2,0)</f>
        <v>B1</v>
      </c>
      <c r="BA316" s="94" t="str">
        <f>VLOOKUP(B316,Classification!A:D,4,0)</f>
        <v>Glucagonreceptorfamily</v>
      </c>
      <c r="BB316" s="27" t="b">
        <f t="shared" si="1566"/>
        <v>1</v>
      </c>
      <c r="BC316" s="23">
        <f t="shared" si="1567"/>
        <v>262</v>
      </c>
      <c r="BD316" s="4" t="s">
        <v>23</v>
      </c>
      <c r="BE316" s="3" t="s">
        <v>1380</v>
      </c>
      <c r="BF316" s="119">
        <v>3</v>
      </c>
      <c r="BG316" s="49" t="s">
        <v>1432</v>
      </c>
      <c r="BH316" s="49" t="s">
        <v>1432</v>
      </c>
      <c r="BI316" s="1"/>
      <c r="BJ316" s="70" t="s">
        <v>1293</v>
      </c>
      <c r="BK316" s="57" t="s">
        <v>1293</v>
      </c>
      <c r="BL316" s="57" t="s">
        <v>1293</v>
      </c>
      <c r="BM316" s="57" t="s">
        <v>1293</v>
      </c>
      <c r="BN316" s="57" t="s">
        <v>1293</v>
      </c>
      <c r="BO316" s="57" t="s">
        <v>1293</v>
      </c>
      <c r="BP316" s="57" t="s">
        <v>1293</v>
      </c>
      <c r="BQ316" s="57" t="s">
        <v>1293</v>
      </c>
      <c r="BR316" s="57" t="s">
        <v>1293</v>
      </c>
      <c r="BS316" s="57" t="s">
        <v>1293</v>
      </c>
      <c r="BT316" s="57" t="s">
        <v>1293</v>
      </c>
      <c r="BU316" s="57" t="s">
        <v>1293</v>
      </c>
      <c r="BV316" s="70">
        <f t="shared" si="1568"/>
        <v>124</v>
      </c>
      <c r="BW316" s="71">
        <f t="shared" si="1569"/>
        <v>167</v>
      </c>
      <c r="BX316" s="72">
        <f t="shared" si="1570"/>
        <v>171</v>
      </c>
      <c r="BY316" s="71" t="str">
        <f t="shared" si="1571"/>
        <v>-</v>
      </c>
      <c r="BZ316" s="72">
        <f t="shared" si="1572"/>
        <v>220</v>
      </c>
      <c r="CA316" s="71" t="str">
        <f t="shared" si="1573"/>
        <v>-</v>
      </c>
      <c r="CB316" s="72">
        <f t="shared" si="1574"/>
        <v>263</v>
      </c>
      <c r="CC316" s="71">
        <f t="shared" si="1575"/>
        <v>294</v>
      </c>
      <c r="CD316" s="72">
        <f t="shared" si="1576"/>
        <v>303</v>
      </c>
      <c r="CE316" s="71">
        <f t="shared" si="1577"/>
        <v>342</v>
      </c>
      <c r="CF316" s="72">
        <f t="shared" si="1578"/>
        <v>375</v>
      </c>
      <c r="CG316" s="71">
        <f t="shared" si="1579"/>
        <v>404</v>
      </c>
      <c r="CH316" s="70">
        <f t="shared" si="1580"/>
        <v>166</v>
      </c>
      <c r="CI316" s="71">
        <f t="shared" si="1581"/>
        <v>170</v>
      </c>
      <c r="CJ316" s="72">
        <f t="shared" si="1582"/>
        <v>203</v>
      </c>
      <c r="CK316" s="72" t="str">
        <f t="shared" si="1583"/>
        <v>-</v>
      </c>
      <c r="CL316" s="72">
        <f t="shared" si="1584"/>
        <v>255</v>
      </c>
      <c r="CM316" s="72" t="str">
        <f t="shared" si="1585"/>
        <v>-</v>
      </c>
      <c r="CN316" s="72">
        <f t="shared" si="1586"/>
        <v>290</v>
      </c>
      <c r="CO316" s="72">
        <f t="shared" si="1587"/>
        <v>296</v>
      </c>
      <c r="CP316" s="72">
        <f t="shared" si="1588"/>
        <v>335</v>
      </c>
      <c r="CQ316" s="72">
        <f t="shared" si="1589"/>
        <v>369</v>
      </c>
      <c r="CR316" s="72">
        <f t="shared" si="1590"/>
        <v>403</v>
      </c>
      <c r="CS316" s="72">
        <f t="shared" si="1591"/>
        <v>426</v>
      </c>
      <c r="CT316" s="23">
        <f t="shared" si="1592"/>
        <v>1</v>
      </c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  <c r="ADW316" s="1"/>
      <c r="ADX316" s="1"/>
      <c r="ADY316" s="1"/>
      <c r="ADZ316" s="1"/>
      <c r="AEA316" s="1"/>
      <c r="AEB316" s="1"/>
      <c r="AEC316" s="1"/>
      <c r="AED316" s="1"/>
      <c r="AEE316" s="1"/>
      <c r="AEF316" s="1"/>
      <c r="AEG316" s="1"/>
      <c r="AEH316" s="1"/>
      <c r="AEI316" s="1"/>
      <c r="AEJ316" s="1"/>
      <c r="AEK316" s="1"/>
      <c r="AEL316" s="1"/>
      <c r="AEM316" s="1"/>
      <c r="AEN316" s="1"/>
      <c r="AEO316" s="1"/>
      <c r="AEP316" s="1"/>
      <c r="AEQ316" s="1"/>
      <c r="AER316" s="1"/>
      <c r="AES316" s="1"/>
      <c r="AET316" s="1"/>
      <c r="AEU316" s="1"/>
      <c r="AEV316" s="1"/>
      <c r="AEW316" s="1"/>
      <c r="AEX316" s="1"/>
      <c r="AEY316" s="1"/>
      <c r="AEZ316" s="1"/>
      <c r="AFA316" s="1"/>
      <c r="AFB316" s="1"/>
      <c r="AFC316" s="1"/>
      <c r="AFD316" s="1"/>
      <c r="AFE316" s="1"/>
      <c r="AFF316" s="1"/>
      <c r="AFG316" s="1"/>
      <c r="AFH316" s="1"/>
      <c r="AFI316" s="1"/>
      <c r="AFJ316" s="1"/>
      <c r="AFK316" s="1"/>
      <c r="AFL316" s="1"/>
      <c r="AFM316" s="1"/>
      <c r="AFN316" s="1"/>
      <c r="AFO316" s="1"/>
      <c r="AFP316" s="1"/>
      <c r="AFQ316" s="1"/>
      <c r="AFR316" s="1"/>
      <c r="AFS316" s="1"/>
      <c r="AFT316" s="1"/>
      <c r="AFU316" s="1"/>
      <c r="AFV316" s="1"/>
      <c r="AFW316" s="1"/>
      <c r="AFX316" s="1"/>
      <c r="AFY316" s="1"/>
      <c r="AFZ316" s="1"/>
      <c r="AGA316" s="1"/>
      <c r="AGB316" s="1"/>
      <c r="AGC316" s="1"/>
      <c r="AGD316" s="1"/>
      <c r="AGE316" s="1"/>
      <c r="AGF316" s="1"/>
      <c r="AGG316" s="1"/>
      <c r="AGH316" s="1"/>
      <c r="AGI316" s="1"/>
      <c r="AGJ316" s="1"/>
      <c r="AGK316" s="1"/>
      <c r="AGL316" s="1"/>
      <c r="AGM316" s="1"/>
      <c r="AGN316" s="1"/>
      <c r="AGO316" s="1"/>
      <c r="AGP316" s="1"/>
      <c r="AGQ316" s="1"/>
      <c r="AGR316" s="1"/>
      <c r="AGS316" s="1"/>
      <c r="AGT316" s="1"/>
      <c r="AGU316" s="1"/>
      <c r="AGV316" s="1"/>
      <c r="AGW316" s="1"/>
      <c r="AGX316" s="1"/>
      <c r="AGY316" s="1"/>
      <c r="AGZ316" s="1"/>
      <c r="AHA316" s="1"/>
      <c r="AHB316" s="1"/>
      <c r="AHC316" s="1"/>
      <c r="AHD316" s="1"/>
      <c r="AHE316" s="1"/>
      <c r="AHF316" s="1"/>
      <c r="AHG316" s="1"/>
      <c r="AHH316" s="1"/>
      <c r="AHI316" s="1"/>
      <c r="AHJ316" s="1"/>
      <c r="AHK316" s="1"/>
      <c r="AHL316" s="1"/>
      <c r="AHM316" s="1"/>
      <c r="AHN316" s="1"/>
      <c r="AHO316" s="1"/>
      <c r="AHP316" s="1"/>
      <c r="AHQ316" s="1"/>
      <c r="AHR316" s="1"/>
      <c r="AHS316" s="1"/>
      <c r="AHT316" s="1"/>
      <c r="AHU316" s="1"/>
      <c r="AHV316" s="1"/>
      <c r="AHW316" s="1"/>
      <c r="AHX316" s="1"/>
      <c r="AHY316" s="1"/>
      <c r="AHZ316" s="1"/>
      <c r="AIA316" s="1"/>
      <c r="AIB316" s="1"/>
      <c r="AIC316" s="1"/>
      <c r="AID316" s="1"/>
      <c r="AIE316" s="1"/>
      <c r="AIF316" s="1"/>
      <c r="AIG316" s="1"/>
      <c r="AIH316" s="1"/>
      <c r="AII316" s="1"/>
      <c r="AIJ316" s="1"/>
      <c r="AIK316" s="1"/>
      <c r="AIL316" s="1"/>
      <c r="AIM316" s="1"/>
      <c r="AIN316" s="1"/>
      <c r="AIO316" s="1"/>
      <c r="AIP316" s="1"/>
      <c r="AIQ316" s="1"/>
      <c r="AIR316" s="1"/>
      <c r="AIS316" s="1"/>
      <c r="AIT316" s="1"/>
      <c r="AIU316" s="1"/>
      <c r="AIV316" s="1"/>
      <c r="AIW316" s="1"/>
      <c r="AIX316" s="1"/>
      <c r="AIY316" s="1"/>
      <c r="AIZ316" s="1"/>
      <c r="AJA316" s="1"/>
      <c r="AJB316" s="1"/>
      <c r="AJC316" s="1"/>
      <c r="AJD316" s="1"/>
      <c r="AJE316" s="1"/>
      <c r="AJF316" s="1"/>
      <c r="AJG316" s="1"/>
      <c r="AJH316" s="1"/>
      <c r="AJI316" s="1"/>
      <c r="AJJ316" s="1"/>
      <c r="AJK316" s="1"/>
      <c r="AJL316" s="1"/>
      <c r="AJM316" s="1"/>
      <c r="AJN316" s="1"/>
      <c r="AJO316" s="1"/>
      <c r="AJP316" s="1"/>
      <c r="AJQ316" s="1"/>
      <c r="AJR316" s="1"/>
      <c r="AJS316" s="1"/>
      <c r="AJT316" s="1"/>
      <c r="AJU316" s="1"/>
      <c r="AJV316" s="1"/>
      <c r="AJW316" s="1"/>
      <c r="AJX316" s="1"/>
      <c r="AJY316" s="1"/>
      <c r="AJZ316" s="1"/>
      <c r="AKA316" s="1"/>
      <c r="AKB316" s="1"/>
      <c r="AKC316" s="1"/>
      <c r="AKD316" s="1"/>
      <c r="AKE316" s="1"/>
      <c r="AKF316" s="1"/>
      <c r="AKG316" s="1"/>
      <c r="AKH316" s="1"/>
      <c r="AKI316" s="1"/>
      <c r="AKJ316" s="1"/>
      <c r="AKK316" s="1"/>
      <c r="AKL316" s="1"/>
      <c r="AKM316" s="1"/>
      <c r="AKN316" s="1"/>
      <c r="AKO316" s="1"/>
      <c r="AKP316" s="1"/>
      <c r="AKQ316" s="1"/>
      <c r="AKR316" s="1"/>
      <c r="AKS316" s="1"/>
      <c r="AKT316" s="1"/>
      <c r="AKU316" s="1"/>
      <c r="AKV316" s="1"/>
      <c r="AKW316" s="1"/>
      <c r="AKX316" s="1"/>
      <c r="AKY316" s="1"/>
      <c r="AKZ316" s="1"/>
      <c r="ALA316" s="1"/>
      <c r="ALB316" s="1"/>
      <c r="ALC316" s="1"/>
      <c r="ALD316" s="1"/>
      <c r="ALE316" s="1"/>
      <c r="ALF316" s="1"/>
      <c r="ALG316" s="1"/>
      <c r="ALH316" s="1"/>
      <c r="ALI316" s="1"/>
      <c r="ALJ316" s="1"/>
      <c r="ALK316" s="1"/>
      <c r="ALL316" s="1"/>
      <c r="ALM316" s="1"/>
      <c r="ALN316" s="1"/>
      <c r="ALO316" s="1"/>
      <c r="ALP316" s="1"/>
      <c r="ALQ316" s="1"/>
      <c r="ALR316" s="1"/>
      <c r="ALS316" s="1"/>
      <c r="ALT316" s="1"/>
      <c r="ALU316" s="1"/>
      <c r="ALV316" s="1"/>
      <c r="ALW316" s="1"/>
      <c r="ALX316" s="1"/>
      <c r="ALY316" s="1"/>
      <c r="ALZ316" s="1"/>
      <c r="AMA316" s="1"/>
      <c r="AMB316" s="1"/>
      <c r="AMC316" s="1"/>
      <c r="AMD316" s="1"/>
      <c r="AME316" s="1"/>
      <c r="AMF316" s="1"/>
      <c r="AMG316" s="1"/>
      <c r="AMH316" s="1"/>
      <c r="AMI316" s="1"/>
      <c r="AMJ316" s="1"/>
      <c r="AMK316" s="1"/>
      <c r="AML316" s="1"/>
      <c r="AMM316" s="1"/>
      <c r="AMN316" s="1"/>
      <c r="AMO316" s="1"/>
    </row>
    <row r="317" spans="1:1029" x14ac:dyDescent="0.2">
      <c r="A317" s="3" t="str">
        <f t="shared" si="1565"/>
        <v>glp1r_human__wt</v>
      </c>
      <c r="B317" s="3" t="s">
        <v>406</v>
      </c>
      <c r="C317" s="3" t="s">
        <v>100</v>
      </c>
      <c r="D317" s="3" t="str">
        <f>IFERROR(MID(VLOOKUP($B317,Seqs!$A:$B,2,0),E317,1),"")</f>
        <v>E</v>
      </c>
      <c r="E317" s="3">
        <v>138</v>
      </c>
      <c r="F317" s="3" t="str">
        <f>IFERROR(MID(VLOOKUP($B317,Seqs!$A:$B,2,0),G317,1),"")</f>
        <v>F</v>
      </c>
      <c r="G317" s="3">
        <v>169</v>
      </c>
      <c r="H317" s="3" t="str">
        <f>IFERROR(MID(VLOOKUP($B317,Seqs!$A:$B,2,0),I317,1),"")</f>
        <v>R</v>
      </c>
      <c r="I317" s="23">
        <v>170</v>
      </c>
      <c r="J317" s="3" t="str">
        <f>IFERROR(MID(VLOOKUP($B317,Seqs!$A:$B,2,0),K317,1),"")</f>
        <v>H</v>
      </c>
      <c r="K317" s="23">
        <v>173</v>
      </c>
      <c r="L317" s="3" t="str">
        <f>IFERROR(MID(VLOOKUP($B317,Seqs!$A:$B,2,0),M317,1),"")</f>
        <v>C</v>
      </c>
      <c r="M317" s="23">
        <v>174</v>
      </c>
      <c r="N317" s="3" t="str">
        <f>IFERROR(MID(VLOOKUP($B317,Seqs!$A:$B,2,0),O317,1),"")</f>
        <v>S</v>
      </c>
      <c r="O317" s="3">
        <v>206</v>
      </c>
      <c r="P317" s="3" t="str">
        <f>IFERROR(MID(VLOOKUP($B317,Seqs!$A:$B,2,0),Q317,1),"")</f>
        <v/>
      </c>
      <c r="Q317" s="3" t="s">
        <v>23</v>
      </c>
      <c r="R317" s="3" t="str">
        <f>IFERROR(MID(VLOOKUP($B317,Seqs!$A:$B,2,0),S317,1),"")</f>
        <v/>
      </c>
      <c r="S317" s="3" t="s">
        <v>23</v>
      </c>
      <c r="T317" s="3" t="str">
        <f>IFERROR(MID(VLOOKUP($B317,Seqs!$A:$B,2,0),U317,1),"")</f>
        <v>L</v>
      </c>
      <c r="U317" s="3">
        <v>224</v>
      </c>
      <c r="V317" s="3" t="str">
        <f>IFERROR(MID(VLOOKUP($B317,Seqs!$A:$B,2,0),W317,1),"")</f>
        <v>F</v>
      </c>
      <c r="W317" s="3">
        <v>257</v>
      </c>
      <c r="X317" s="3" t="str">
        <f>IFERROR(MID(VLOOKUP($B317,Seqs!$A:$B,2,0),Y317,1),"")</f>
        <v/>
      </c>
      <c r="Y317" s="3" t="s">
        <v>23</v>
      </c>
      <c r="Z317" s="3" t="str">
        <f>IFERROR(MID(VLOOKUP($B317,Seqs!$A:$B,2,0),AA317,1),"")</f>
        <v/>
      </c>
      <c r="AA317" s="3" t="s">
        <v>23</v>
      </c>
      <c r="AB317" s="3" t="str">
        <f>IFERROR(MID(VLOOKUP($B317,Seqs!$A:$B,2,0),AC317,1),"")</f>
        <v>E</v>
      </c>
      <c r="AC317" s="3">
        <v>262</v>
      </c>
      <c r="AD317" s="3" t="str">
        <f>IFERROR(MID(VLOOKUP($B317,Seqs!$A:$B,2,0),AE317,1),"")</f>
        <v>E</v>
      </c>
      <c r="AE317" s="3">
        <v>292</v>
      </c>
      <c r="AF317" s="3" t="str">
        <f>IFERROR(MID(VLOOKUP($B317,Seqs!$A:$B,2,0),AG317,1),"")</f>
        <v>C</v>
      </c>
      <c r="AG317" s="3">
        <v>296</v>
      </c>
      <c r="AH317" s="3" t="str">
        <f>IFERROR(MID(VLOOKUP($B317,Seqs!$A:$B,2,0),AI317,1),"")</f>
        <v>T</v>
      </c>
      <c r="AI317" s="3">
        <v>298</v>
      </c>
      <c r="AJ317" s="3" t="str">
        <f>IFERROR(MID(VLOOKUP($B317,Seqs!$A:$B,2,0),AK317,1),"")</f>
        <v>N</v>
      </c>
      <c r="AK317" s="3">
        <v>302</v>
      </c>
      <c r="AL317" s="3" t="str">
        <f>IFERROR(MID(VLOOKUP($B317,Seqs!$A:$B,2,0),AM317,1),"")</f>
        <v>A</v>
      </c>
      <c r="AM317" s="3">
        <v>337</v>
      </c>
      <c r="AN317" s="3" t="str">
        <f>IFERROR(MID(VLOOKUP($B317,Seqs!$A:$B,2,0),AO317,1),"")</f>
        <v>D</v>
      </c>
      <c r="AO317" s="3">
        <v>344</v>
      </c>
      <c r="AP317" s="3" t="str">
        <f>IFERROR(MID(VLOOKUP($B317,Seqs!$A:$B,2,0),AQ317,1),"")</f>
        <v>F</v>
      </c>
      <c r="AQ317" s="3">
        <v>369</v>
      </c>
      <c r="AR317" s="3" t="str">
        <f>IFERROR(MID(VLOOKUP($B317,Seqs!$A:$B,2,0),AS317,1),"")</f>
        <v>G</v>
      </c>
      <c r="AS317" s="3">
        <v>377</v>
      </c>
      <c r="AT317" s="3" t="str">
        <f>IFERROR(MID(VLOOKUP($B317,Seqs!$A:$B,2,0),AU317,1),"")</f>
        <v>V</v>
      </c>
      <c r="AU317" s="3">
        <v>405</v>
      </c>
      <c r="AV317" s="3" t="str">
        <f>IFERROR(MID(VLOOKUP($B317,Seqs!$A:$B,2,0),AW317,1),"")</f>
        <v>N</v>
      </c>
      <c r="AW317" s="3">
        <v>406</v>
      </c>
      <c r="AX317" s="3" t="str">
        <f>IFERROR(MID(VLOOKUP($B317,Seqs!$A:$B,2,0),AY317,1),"")</f>
        <v>S</v>
      </c>
      <c r="AY317" s="3">
        <v>431</v>
      </c>
      <c r="AZ317" s="77" t="str">
        <f>VLOOKUP(B317,Classification!A:D,2,0)</f>
        <v>B1</v>
      </c>
      <c r="BA317" s="94" t="str">
        <f>VLOOKUP(B317,Classification!A:D,4,0)</f>
        <v>Glucagonreceptorfamily</v>
      </c>
      <c r="BB317" s="27" t="b">
        <f t="shared" si="1566"/>
        <v>1</v>
      </c>
      <c r="BC317" s="23">
        <f t="shared" si="1567"/>
        <v>256</v>
      </c>
      <c r="BD317" s="4" t="s">
        <v>23</v>
      </c>
      <c r="BE317" s="3" t="s">
        <v>23</v>
      </c>
      <c r="BF317" s="119" t="s">
        <v>23</v>
      </c>
      <c r="BG317" s="49" t="s">
        <v>1383</v>
      </c>
      <c r="BH317" s="49" t="s">
        <v>1383</v>
      </c>
      <c r="BI317" s="1"/>
      <c r="BJ317" s="70" t="s">
        <v>1293</v>
      </c>
      <c r="BK317" s="57" t="s">
        <v>1293</v>
      </c>
      <c r="BL317" s="57" t="s">
        <v>1293</v>
      </c>
      <c r="BM317" s="57" t="s">
        <v>1293</v>
      </c>
      <c r="BN317" s="57" t="s">
        <v>1293</v>
      </c>
      <c r="BO317" s="57" t="s">
        <v>1293</v>
      </c>
      <c r="BP317" s="57" t="s">
        <v>1293</v>
      </c>
      <c r="BQ317" s="57" t="s">
        <v>1293</v>
      </c>
      <c r="BR317" s="57" t="s">
        <v>1293</v>
      </c>
      <c r="BS317" s="57" t="s">
        <v>1293</v>
      </c>
      <c r="BT317" s="57" t="s">
        <v>1293</v>
      </c>
      <c r="BU317" s="57" t="s">
        <v>1293</v>
      </c>
      <c r="BV317" s="70">
        <f t="shared" si="1568"/>
        <v>138</v>
      </c>
      <c r="BW317" s="71">
        <f t="shared" si="1569"/>
        <v>170</v>
      </c>
      <c r="BX317" s="72">
        <f t="shared" si="1570"/>
        <v>174</v>
      </c>
      <c r="BY317" s="71" t="str">
        <f t="shared" si="1571"/>
        <v>-</v>
      </c>
      <c r="BZ317" s="72">
        <f t="shared" si="1572"/>
        <v>224</v>
      </c>
      <c r="CA317" s="71" t="str">
        <f t="shared" si="1573"/>
        <v>-</v>
      </c>
      <c r="CB317" s="72">
        <f t="shared" si="1574"/>
        <v>262</v>
      </c>
      <c r="CC317" s="71">
        <f t="shared" si="1575"/>
        <v>296</v>
      </c>
      <c r="CD317" s="72">
        <f t="shared" si="1576"/>
        <v>302</v>
      </c>
      <c r="CE317" s="71">
        <f t="shared" si="1577"/>
        <v>344</v>
      </c>
      <c r="CF317" s="72">
        <f t="shared" si="1578"/>
        <v>377</v>
      </c>
      <c r="CG317" s="71">
        <f t="shared" si="1579"/>
        <v>406</v>
      </c>
      <c r="CH317" s="70">
        <f t="shared" si="1580"/>
        <v>169</v>
      </c>
      <c r="CI317" s="71">
        <f t="shared" si="1581"/>
        <v>173</v>
      </c>
      <c r="CJ317" s="72">
        <f t="shared" si="1582"/>
        <v>206</v>
      </c>
      <c r="CK317" s="72" t="str">
        <f t="shared" si="1583"/>
        <v>-</v>
      </c>
      <c r="CL317" s="72">
        <f t="shared" si="1584"/>
        <v>257</v>
      </c>
      <c r="CM317" s="72" t="str">
        <f t="shared" si="1585"/>
        <v>-</v>
      </c>
      <c r="CN317" s="72">
        <f t="shared" si="1586"/>
        <v>292</v>
      </c>
      <c r="CO317" s="72">
        <f t="shared" si="1587"/>
        <v>298</v>
      </c>
      <c r="CP317" s="72">
        <f t="shared" si="1588"/>
        <v>337</v>
      </c>
      <c r="CQ317" s="72">
        <f t="shared" si="1589"/>
        <v>369</v>
      </c>
      <c r="CR317" s="72">
        <f t="shared" si="1590"/>
        <v>405</v>
      </c>
      <c r="CS317" s="72">
        <f t="shared" si="1591"/>
        <v>431</v>
      </c>
      <c r="CT317" s="23">
        <f t="shared" si="1592"/>
        <v>1</v>
      </c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  <c r="ADW317" s="1"/>
      <c r="ADX317" s="1"/>
      <c r="ADY317" s="1"/>
      <c r="ADZ317" s="1"/>
      <c r="AEA317" s="1"/>
      <c r="AEB317" s="1"/>
      <c r="AEC317" s="1"/>
      <c r="AED317" s="1"/>
      <c r="AEE317" s="1"/>
      <c r="AEF317" s="1"/>
      <c r="AEG317" s="1"/>
      <c r="AEH317" s="1"/>
      <c r="AEI317" s="1"/>
      <c r="AEJ317" s="1"/>
      <c r="AEK317" s="1"/>
      <c r="AEL317" s="1"/>
      <c r="AEM317" s="1"/>
      <c r="AEN317" s="1"/>
      <c r="AEO317" s="1"/>
      <c r="AEP317" s="1"/>
      <c r="AEQ317" s="1"/>
      <c r="AER317" s="1"/>
      <c r="AES317" s="1"/>
      <c r="AET317" s="1"/>
      <c r="AEU317" s="1"/>
      <c r="AEV317" s="1"/>
      <c r="AEW317" s="1"/>
      <c r="AEX317" s="1"/>
      <c r="AEY317" s="1"/>
      <c r="AEZ317" s="1"/>
      <c r="AFA317" s="1"/>
      <c r="AFB317" s="1"/>
      <c r="AFC317" s="1"/>
      <c r="AFD317" s="1"/>
      <c r="AFE317" s="1"/>
      <c r="AFF317" s="1"/>
      <c r="AFG317" s="1"/>
      <c r="AFH317" s="1"/>
      <c r="AFI317" s="1"/>
      <c r="AFJ317" s="1"/>
      <c r="AFK317" s="1"/>
      <c r="AFL317" s="1"/>
      <c r="AFM317" s="1"/>
      <c r="AFN317" s="1"/>
      <c r="AFO317" s="1"/>
      <c r="AFP317" s="1"/>
      <c r="AFQ317" s="1"/>
      <c r="AFR317" s="1"/>
      <c r="AFS317" s="1"/>
      <c r="AFT317" s="1"/>
      <c r="AFU317" s="1"/>
      <c r="AFV317" s="1"/>
      <c r="AFW317" s="1"/>
      <c r="AFX317" s="1"/>
      <c r="AFY317" s="1"/>
      <c r="AFZ317" s="1"/>
      <c r="AGA317" s="1"/>
      <c r="AGB317" s="1"/>
      <c r="AGC317" s="1"/>
      <c r="AGD317" s="1"/>
      <c r="AGE317" s="1"/>
      <c r="AGF317" s="1"/>
      <c r="AGG317" s="1"/>
      <c r="AGH317" s="1"/>
      <c r="AGI317" s="1"/>
      <c r="AGJ317" s="1"/>
      <c r="AGK317" s="1"/>
      <c r="AGL317" s="1"/>
      <c r="AGM317" s="1"/>
      <c r="AGN317" s="1"/>
      <c r="AGO317" s="1"/>
      <c r="AGP317" s="1"/>
      <c r="AGQ317" s="1"/>
      <c r="AGR317" s="1"/>
      <c r="AGS317" s="1"/>
      <c r="AGT317" s="1"/>
      <c r="AGU317" s="1"/>
      <c r="AGV317" s="1"/>
      <c r="AGW317" s="1"/>
      <c r="AGX317" s="1"/>
      <c r="AGY317" s="1"/>
      <c r="AGZ317" s="1"/>
      <c r="AHA317" s="1"/>
      <c r="AHB317" s="1"/>
      <c r="AHC317" s="1"/>
      <c r="AHD317" s="1"/>
      <c r="AHE317" s="1"/>
      <c r="AHF317" s="1"/>
      <c r="AHG317" s="1"/>
      <c r="AHH317" s="1"/>
      <c r="AHI317" s="1"/>
      <c r="AHJ317" s="1"/>
      <c r="AHK317" s="1"/>
      <c r="AHL317" s="1"/>
      <c r="AHM317" s="1"/>
      <c r="AHN317" s="1"/>
      <c r="AHO317" s="1"/>
      <c r="AHP317" s="1"/>
      <c r="AHQ317" s="1"/>
      <c r="AHR317" s="1"/>
      <c r="AHS317" s="1"/>
      <c r="AHT317" s="1"/>
      <c r="AHU317" s="1"/>
      <c r="AHV317" s="1"/>
      <c r="AHW317" s="1"/>
      <c r="AHX317" s="1"/>
      <c r="AHY317" s="1"/>
      <c r="AHZ317" s="1"/>
      <c r="AIA317" s="1"/>
      <c r="AIB317" s="1"/>
      <c r="AIC317" s="1"/>
      <c r="AID317" s="1"/>
      <c r="AIE317" s="1"/>
      <c r="AIF317" s="1"/>
      <c r="AIG317" s="1"/>
      <c r="AIH317" s="1"/>
      <c r="AII317" s="1"/>
      <c r="AIJ317" s="1"/>
      <c r="AIK317" s="1"/>
      <c r="AIL317" s="1"/>
      <c r="AIM317" s="1"/>
      <c r="AIN317" s="1"/>
      <c r="AIO317" s="1"/>
      <c r="AIP317" s="1"/>
      <c r="AIQ317" s="1"/>
      <c r="AIR317" s="1"/>
      <c r="AIS317" s="1"/>
      <c r="AIT317" s="1"/>
      <c r="AIU317" s="1"/>
      <c r="AIV317" s="1"/>
      <c r="AIW317" s="1"/>
      <c r="AIX317" s="1"/>
      <c r="AIY317" s="1"/>
      <c r="AIZ317" s="1"/>
      <c r="AJA317" s="1"/>
      <c r="AJB317" s="1"/>
      <c r="AJC317" s="1"/>
      <c r="AJD317" s="1"/>
      <c r="AJE317" s="1"/>
      <c r="AJF317" s="1"/>
      <c r="AJG317" s="1"/>
      <c r="AJH317" s="1"/>
      <c r="AJI317" s="1"/>
      <c r="AJJ317" s="1"/>
      <c r="AJK317" s="1"/>
      <c r="AJL317" s="1"/>
      <c r="AJM317" s="1"/>
      <c r="AJN317" s="1"/>
      <c r="AJO317" s="1"/>
      <c r="AJP317" s="1"/>
      <c r="AJQ317" s="1"/>
      <c r="AJR317" s="1"/>
      <c r="AJS317" s="1"/>
      <c r="AJT317" s="1"/>
      <c r="AJU317" s="1"/>
      <c r="AJV317" s="1"/>
      <c r="AJW317" s="1"/>
      <c r="AJX317" s="1"/>
      <c r="AJY317" s="1"/>
      <c r="AJZ317" s="1"/>
      <c r="AKA317" s="1"/>
      <c r="AKB317" s="1"/>
      <c r="AKC317" s="1"/>
      <c r="AKD317" s="1"/>
      <c r="AKE317" s="1"/>
      <c r="AKF317" s="1"/>
      <c r="AKG317" s="1"/>
      <c r="AKH317" s="1"/>
      <c r="AKI317" s="1"/>
      <c r="AKJ317" s="1"/>
      <c r="AKK317" s="1"/>
      <c r="AKL317" s="1"/>
      <c r="AKM317" s="1"/>
      <c r="AKN317" s="1"/>
      <c r="AKO317" s="1"/>
      <c r="AKP317" s="1"/>
      <c r="AKQ317" s="1"/>
      <c r="AKR317" s="1"/>
      <c r="AKS317" s="1"/>
      <c r="AKT317" s="1"/>
      <c r="AKU317" s="1"/>
      <c r="AKV317" s="1"/>
      <c r="AKW317" s="1"/>
      <c r="AKX317" s="1"/>
      <c r="AKY317" s="1"/>
      <c r="AKZ317" s="1"/>
      <c r="ALA317" s="1"/>
      <c r="ALB317" s="1"/>
      <c r="ALC317" s="1"/>
      <c r="ALD317" s="1"/>
      <c r="ALE317" s="1"/>
      <c r="ALF317" s="1"/>
      <c r="ALG317" s="1"/>
      <c r="ALH317" s="1"/>
      <c r="ALI317" s="1"/>
      <c r="ALJ317" s="1"/>
      <c r="ALK317" s="1"/>
      <c r="ALL317" s="1"/>
      <c r="ALM317" s="1"/>
      <c r="ALN317" s="1"/>
      <c r="ALO317" s="1"/>
      <c r="ALP317" s="1"/>
      <c r="ALQ317" s="1"/>
      <c r="ALR317" s="1"/>
      <c r="ALS317" s="1"/>
      <c r="ALT317" s="1"/>
      <c r="ALU317" s="1"/>
      <c r="ALV317" s="1"/>
      <c r="ALW317" s="1"/>
      <c r="ALX317" s="1"/>
      <c r="ALY317" s="1"/>
      <c r="ALZ317" s="1"/>
      <c r="AMA317" s="1"/>
      <c r="AMB317" s="1"/>
      <c r="AMC317" s="1"/>
      <c r="AMD317" s="1"/>
      <c r="AME317" s="1"/>
      <c r="AMF317" s="1"/>
      <c r="AMG317" s="1"/>
      <c r="AMH317" s="1"/>
      <c r="AMI317" s="1"/>
      <c r="AMJ317" s="1"/>
      <c r="AMK317" s="1"/>
      <c r="AML317" s="1"/>
      <c r="AMM317" s="1"/>
      <c r="AMN317" s="1"/>
      <c r="AMO317" s="1"/>
    </row>
    <row r="318" spans="1:1029" x14ac:dyDescent="0.2">
      <c r="A318" s="3" t="str">
        <f t="shared" si="1565"/>
        <v>glp1r_human_5VEW</v>
      </c>
      <c r="B318" s="3" t="s">
        <v>406</v>
      </c>
      <c r="C318" s="3" t="s">
        <v>1415</v>
      </c>
      <c r="D318" s="3" t="str">
        <f>IFERROR(MID(VLOOKUP($B318,Seqs!$A:$B,2,0),E318,1),"")</f>
        <v>S</v>
      </c>
      <c r="E318" s="3">
        <v>136</v>
      </c>
      <c r="F318" s="3" t="str">
        <f>IFERROR(MID(VLOOKUP($B318,Seqs!$A:$B,2,0),G318,1),"")</f>
        <v>F</v>
      </c>
      <c r="G318" s="3">
        <v>169</v>
      </c>
      <c r="H318" s="3" t="str">
        <f>IFERROR(MID(VLOOKUP($B318,Seqs!$A:$B,2,0),I318,1),"")</f>
        <v>R</v>
      </c>
      <c r="I318" s="23">
        <v>170</v>
      </c>
      <c r="J318" s="3" t="str">
        <f>IFERROR(MID(VLOOKUP($B318,Seqs!$A:$B,2,0),K318,1),"")</f>
        <v>H</v>
      </c>
      <c r="K318" s="23">
        <v>173</v>
      </c>
      <c r="L318" s="3" t="str">
        <f>IFERROR(MID(VLOOKUP($B318,Seqs!$A:$B,2,0),M318,1),"")</f>
        <v>C</v>
      </c>
      <c r="M318" s="23">
        <v>174</v>
      </c>
      <c r="N318" s="3" t="str">
        <f>IFERROR(MID(VLOOKUP($B318,Seqs!$A:$B,2,0),O318,1),"")</f>
        <v>L</v>
      </c>
      <c r="O318" s="3">
        <v>201</v>
      </c>
      <c r="P318" s="3" t="str">
        <f>IFERROR(MID(VLOOKUP($B318,Seqs!$A:$B,2,0),Q318,1),"")</f>
        <v/>
      </c>
      <c r="Q318" s="3" t="s">
        <v>23</v>
      </c>
      <c r="R318" s="3" t="str">
        <f>IFERROR(MID(VLOOKUP($B318,Seqs!$A:$B,2,0),S318,1),"")</f>
        <v/>
      </c>
      <c r="S318" s="3" t="s">
        <v>23</v>
      </c>
      <c r="T318" s="3" t="str">
        <f>IFERROR(MID(VLOOKUP($B318,Seqs!$A:$B,2,0),U318,1),"")</f>
        <v>L</v>
      </c>
      <c r="U318" s="3">
        <v>224</v>
      </c>
      <c r="V318" s="3" t="str">
        <f>IFERROR(MID(VLOOKUP($B318,Seqs!$A:$B,2,0),W318,1),"")</f>
        <v>F</v>
      </c>
      <c r="W318" s="3">
        <v>257</v>
      </c>
      <c r="X318" s="3" t="str">
        <f>IFERROR(MID(VLOOKUP($B318,Seqs!$A:$B,2,0),Y318,1),"")</f>
        <v/>
      </c>
      <c r="Y318" s="3" t="s">
        <v>23</v>
      </c>
      <c r="Z318" s="3" t="str">
        <f>IFERROR(MID(VLOOKUP($B318,Seqs!$A:$B,2,0),AA318,1),"")</f>
        <v/>
      </c>
      <c r="AA318" s="3" t="s">
        <v>23</v>
      </c>
      <c r="AB318" s="3" t="str">
        <f>IFERROR(MID(VLOOKUP($B318,Seqs!$A:$B,2,0),AC318,1),"")</f>
        <v>E</v>
      </c>
      <c r="AC318" s="3">
        <v>262</v>
      </c>
      <c r="AD318" s="3" t="str">
        <f>IFERROR(MID(VLOOKUP($B318,Seqs!$A:$B,2,0),AE318,1),"")</f>
        <v>E</v>
      </c>
      <c r="AE318" s="3">
        <v>292</v>
      </c>
      <c r="AF318" s="3" t="str">
        <f>IFERROR(MID(VLOOKUP($B318,Seqs!$A:$B,2,0),AG318,1),"")</f>
        <v>C</v>
      </c>
      <c r="AG318" s="3">
        <v>296</v>
      </c>
      <c r="AH318" s="3" t="str">
        <f>IFERROR(MID(VLOOKUP($B318,Seqs!$A:$B,2,0),AI318,1),"")</f>
        <v>T</v>
      </c>
      <c r="AI318" s="3">
        <v>298</v>
      </c>
      <c r="AJ318" s="3" t="str">
        <f>IFERROR(MID(VLOOKUP($B318,Seqs!$A:$B,2,0),AK318,1),"")</f>
        <v>Y</v>
      </c>
      <c r="AK318" s="3">
        <v>305</v>
      </c>
      <c r="AL318" s="3" t="str">
        <f>IFERROR(MID(VLOOKUP($B318,Seqs!$A:$B,2,0),AM318,1),"")</f>
        <v>A</v>
      </c>
      <c r="AM318" s="3">
        <v>337</v>
      </c>
      <c r="AN318" s="3" t="str">
        <f>IFERROR(MID(VLOOKUP($B318,Seqs!$A:$B,2,0),AO318,1),"")</f>
        <v>D</v>
      </c>
      <c r="AO318" s="3">
        <v>344</v>
      </c>
      <c r="AP318" s="3" t="str">
        <f>IFERROR(MID(VLOOKUP($B318,Seqs!$A:$B,2,0),AQ318,1),"")</f>
        <v>F</v>
      </c>
      <c r="AQ318" s="3">
        <v>367</v>
      </c>
      <c r="AR318" s="3" t="str">
        <f>IFERROR(MID(VLOOKUP($B318,Seqs!$A:$B,2,0),AS318,1),"")</f>
        <v>R</v>
      </c>
      <c r="AS318" s="3">
        <v>380</v>
      </c>
      <c r="AT318" s="3" t="str">
        <f>IFERROR(MID(VLOOKUP($B318,Seqs!$A:$B,2,0),AU318,1),"")</f>
        <v>V</v>
      </c>
      <c r="AU318" s="3">
        <v>405</v>
      </c>
      <c r="AV318" s="3" t="str">
        <f>IFERROR(MID(VLOOKUP($B318,Seqs!$A:$B,2,0),AW318,1),"")</f>
        <v>N</v>
      </c>
      <c r="AW318" s="3">
        <v>406</v>
      </c>
      <c r="AX318" s="3" t="str">
        <f>IFERROR(MID(VLOOKUP($B318,Seqs!$A:$B,2,0),AY318,1),"")</f>
        <v>L</v>
      </c>
      <c r="AY318" s="3">
        <v>422</v>
      </c>
      <c r="AZ318" s="77" t="str">
        <f>VLOOKUP(B318,Classification!A:D,2,0)</f>
        <v>B1</v>
      </c>
      <c r="BA318" s="94" t="str">
        <f>VLOOKUP(B318,Classification!A:D,4,0)</f>
        <v>Glucagonreceptorfamily</v>
      </c>
      <c r="BB318" s="27" t="b">
        <f t="shared" si="1566"/>
        <v>1</v>
      </c>
      <c r="BC318" s="23">
        <f t="shared" si="1567"/>
        <v>236</v>
      </c>
      <c r="BD318" s="4" t="s">
        <v>1382</v>
      </c>
      <c r="BE318" s="3" t="s">
        <v>1380</v>
      </c>
      <c r="BF318" s="119">
        <v>2.7</v>
      </c>
      <c r="BG318" s="49" t="s">
        <v>1287</v>
      </c>
      <c r="BH318" s="49" t="s">
        <v>1287</v>
      </c>
      <c r="BI318" s="1"/>
      <c r="BJ318" s="70" t="s">
        <v>1293</v>
      </c>
      <c r="BK318" s="57" t="s">
        <v>1293</v>
      </c>
      <c r="BL318" s="57" t="s">
        <v>1293</v>
      </c>
      <c r="BM318" s="57" t="s">
        <v>1293</v>
      </c>
      <c r="BN318" s="57" t="s">
        <v>1293</v>
      </c>
      <c r="BO318" s="57" t="s">
        <v>1293</v>
      </c>
      <c r="BP318" s="57" t="s">
        <v>1293</v>
      </c>
      <c r="BQ318" s="57" t="s">
        <v>1293</v>
      </c>
      <c r="BR318" s="57" t="s">
        <v>1293</v>
      </c>
      <c r="BS318" s="57" t="s">
        <v>1293</v>
      </c>
      <c r="BT318" s="57" t="s">
        <v>1293</v>
      </c>
      <c r="BU318" s="57" t="s">
        <v>1293</v>
      </c>
      <c r="BV318" s="70">
        <f t="shared" si="1568"/>
        <v>136</v>
      </c>
      <c r="BW318" s="71">
        <f t="shared" si="1569"/>
        <v>170</v>
      </c>
      <c r="BX318" s="72">
        <f t="shared" si="1570"/>
        <v>174</v>
      </c>
      <c r="BY318" s="71" t="str">
        <f t="shared" si="1571"/>
        <v>-</v>
      </c>
      <c r="BZ318" s="72">
        <f t="shared" si="1572"/>
        <v>224</v>
      </c>
      <c r="CA318" s="71" t="str">
        <f t="shared" si="1573"/>
        <v>-</v>
      </c>
      <c r="CB318" s="72">
        <f t="shared" si="1574"/>
        <v>262</v>
      </c>
      <c r="CC318" s="71">
        <f t="shared" si="1575"/>
        <v>296</v>
      </c>
      <c r="CD318" s="72">
        <f t="shared" si="1576"/>
        <v>305</v>
      </c>
      <c r="CE318" s="71">
        <f t="shared" si="1577"/>
        <v>344</v>
      </c>
      <c r="CF318" s="72">
        <f t="shared" si="1578"/>
        <v>380</v>
      </c>
      <c r="CG318" s="71">
        <f t="shared" si="1579"/>
        <v>406</v>
      </c>
      <c r="CH318" s="70">
        <f t="shared" si="1580"/>
        <v>169</v>
      </c>
      <c r="CI318" s="71">
        <f t="shared" si="1581"/>
        <v>173</v>
      </c>
      <c r="CJ318" s="72">
        <f t="shared" si="1582"/>
        <v>201</v>
      </c>
      <c r="CK318" s="72" t="str">
        <f t="shared" si="1583"/>
        <v>-</v>
      </c>
      <c r="CL318" s="72">
        <f t="shared" si="1584"/>
        <v>257</v>
      </c>
      <c r="CM318" s="72" t="str">
        <f t="shared" si="1585"/>
        <v>-</v>
      </c>
      <c r="CN318" s="72">
        <f t="shared" si="1586"/>
        <v>292</v>
      </c>
      <c r="CO318" s="72">
        <f t="shared" si="1587"/>
        <v>298</v>
      </c>
      <c r="CP318" s="72">
        <f t="shared" si="1588"/>
        <v>337</v>
      </c>
      <c r="CQ318" s="72">
        <f t="shared" si="1589"/>
        <v>367</v>
      </c>
      <c r="CR318" s="72">
        <f t="shared" si="1590"/>
        <v>405</v>
      </c>
      <c r="CS318" s="72">
        <f t="shared" si="1591"/>
        <v>422</v>
      </c>
      <c r="CT318" s="23">
        <f t="shared" si="1592"/>
        <v>1</v>
      </c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  <c r="ADW318" s="1"/>
      <c r="ADX318" s="1"/>
      <c r="ADY318" s="1"/>
      <c r="ADZ318" s="1"/>
      <c r="AEA318" s="1"/>
      <c r="AEB318" s="1"/>
      <c r="AEC318" s="1"/>
      <c r="AED318" s="1"/>
      <c r="AEE318" s="1"/>
      <c r="AEF318" s="1"/>
      <c r="AEG318" s="1"/>
      <c r="AEH318" s="1"/>
      <c r="AEI318" s="1"/>
      <c r="AEJ318" s="1"/>
      <c r="AEK318" s="1"/>
      <c r="AEL318" s="1"/>
      <c r="AEM318" s="1"/>
      <c r="AEN318" s="1"/>
      <c r="AEO318" s="1"/>
      <c r="AEP318" s="1"/>
      <c r="AEQ318" s="1"/>
      <c r="AER318" s="1"/>
      <c r="AES318" s="1"/>
      <c r="AET318" s="1"/>
      <c r="AEU318" s="1"/>
      <c r="AEV318" s="1"/>
      <c r="AEW318" s="1"/>
      <c r="AEX318" s="1"/>
      <c r="AEY318" s="1"/>
      <c r="AEZ318" s="1"/>
      <c r="AFA318" s="1"/>
      <c r="AFB318" s="1"/>
      <c r="AFC318" s="1"/>
      <c r="AFD318" s="1"/>
      <c r="AFE318" s="1"/>
      <c r="AFF318" s="1"/>
      <c r="AFG318" s="1"/>
      <c r="AFH318" s="1"/>
      <c r="AFI318" s="1"/>
      <c r="AFJ318" s="1"/>
      <c r="AFK318" s="1"/>
      <c r="AFL318" s="1"/>
      <c r="AFM318" s="1"/>
      <c r="AFN318" s="1"/>
      <c r="AFO318" s="1"/>
      <c r="AFP318" s="1"/>
      <c r="AFQ318" s="1"/>
      <c r="AFR318" s="1"/>
      <c r="AFS318" s="1"/>
      <c r="AFT318" s="1"/>
      <c r="AFU318" s="1"/>
      <c r="AFV318" s="1"/>
      <c r="AFW318" s="1"/>
      <c r="AFX318" s="1"/>
      <c r="AFY318" s="1"/>
      <c r="AFZ318" s="1"/>
      <c r="AGA318" s="1"/>
      <c r="AGB318" s="1"/>
      <c r="AGC318" s="1"/>
      <c r="AGD318" s="1"/>
      <c r="AGE318" s="1"/>
      <c r="AGF318" s="1"/>
      <c r="AGG318" s="1"/>
      <c r="AGH318" s="1"/>
      <c r="AGI318" s="1"/>
      <c r="AGJ318" s="1"/>
      <c r="AGK318" s="1"/>
      <c r="AGL318" s="1"/>
      <c r="AGM318" s="1"/>
      <c r="AGN318" s="1"/>
      <c r="AGO318" s="1"/>
      <c r="AGP318" s="1"/>
      <c r="AGQ318" s="1"/>
      <c r="AGR318" s="1"/>
      <c r="AGS318" s="1"/>
      <c r="AGT318" s="1"/>
      <c r="AGU318" s="1"/>
      <c r="AGV318" s="1"/>
      <c r="AGW318" s="1"/>
      <c r="AGX318" s="1"/>
      <c r="AGY318" s="1"/>
      <c r="AGZ318" s="1"/>
      <c r="AHA318" s="1"/>
      <c r="AHB318" s="1"/>
      <c r="AHC318" s="1"/>
      <c r="AHD318" s="1"/>
      <c r="AHE318" s="1"/>
      <c r="AHF318" s="1"/>
      <c r="AHG318" s="1"/>
      <c r="AHH318" s="1"/>
      <c r="AHI318" s="1"/>
      <c r="AHJ318" s="1"/>
      <c r="AHK318" s="1"/>
      <c r="AHL318" s="1"/>
      <c r="AHM318" s="1"/>
      <c r="AHN318" s="1"/>
      <c r="AHO318" s="1"/>
      <c r="AHP318" s="1"/>
      <c r="AHQ318" s="1"/>
      <c r="AHR318" s="1"/>
      <c r="AHS318" s="1"/>
      <c r="AHT318" s="1"/>
      <c r="AHU318" s="1"/>
      <c r="AHV318" s="1"/>
      <c r="AHW318" s="1"/>
      <c r="AHX318" s="1"/>
      <c r="AHY318" s="1"/>
      <c r="AHZ318" s="1"/>
      <c r="AIA318" s="1"/>
      <c r="AIB318" s="1"/>
      <c r="AIC318" s="1"/>
      <c r="AID318" s="1"/>
      <c r="AIE318" s="1"/>
      <c r="AIF318" s="1"/>
      <c r="AIG318" s="1"/>
      <c r="AIH318" s="1"/>
      <c r="AII318" s="1"/>
      <c r="AIJ318" s="1"/>
      <c r="AIK318" s="1"/>
      <c r="AIL318" s="1"/>
      <c r="AIM318" s="1"/>
      <c r="AIN318" s="1"/>
      <c r="AIO318" s="1"/>
      <c r="AIP318" s="1"/>
      <c r="AIQ318" s="1"/>
      <c r="AIR318" s="1"/>
      <c r="AIS318" s="1"/>
      <c r="AIT318" s="1"/>
      <c r="AIU318" s="1"/>
      <c r="AIV318" s="1"/>
      <c r="AIW318" s="1"/>
      <c r="AIX318" s="1"/>
      <c r="AIY318" s="1"/>
      <c r="AIZ318" s="1"/>
      <c r="AJA318" s="1"/>
      <c r="AJB318" s="1"/>
      <c r="AJC318" s="1"/>
      <c r="AJD318" s="1"/>
      <c r="AJE318" s="1"/>
      <c r="AJF318" s="1"/>
      <c r="AJG318" s="1"/>
      <c r="AJH318" s="1"/>
      <c r="AJI318" s="1"/>
      <c r="AJJ318" s="1"/>
      <c r="AJK318" s="1"/>
      <c r="AJL318" s="1"/>
      <c r="AJM318" s="1"/>
      <c r="AJN318" s="1"/>
      <c r="AJO318" s="1"/>
      <c r="AJP318" s="1"/>
      <c r="AJQ318" s="1"/>
      <c r="AJR318" s="1"/>
      <c r="AJS318" s="1"/>
      <c r="AJT318" s="1"/>
      <c r="AJU318" s="1"/>
      <c r="AJV318" s="1"/>
      <c r="AJW318" s="1"/>
      <c r="AJX318" s="1"/>
      <c r="AJY318" s="1"/>
      <c r="AJZ318" s="1"/>
      <c r="AKA318" s="1"/>
      <c r="AKB318" s="1"/>
      <c r="AKC318" s="1"/>
      <c r="AKD318" s="1"/>
      <c r="AKE318" s="1"/>
      <c r="AKF318" s="1"/>
      <c r="AKG318" s="1"/>
      <c r="AKH318" s="1"/>
      <c r="AKI318" s="1"/>
      <c r="AKJ318" s="1"/>
      <c r="AKK318" s="1"/>
      <c r="AKL318" s="1"/>
      <c r="AKM318" s="1"/>
      <c r="AKN318" s="1"/>
      <c r="AKO318" s="1"/>
      <c r="AKP318" s="1"/>
      <c r="AKQ318" s="1"/>
      <c r="AKR318" s="1"/>
      <c r="AKS318" s="1"/>
      <c r="AKT318" s="1"/>
      <c r="AKU318" s="1"/>
      <c r="AKV318" s="1"/>
      <c r="AKW318" s="1"/>
      <c r="AKX318" s="1"/>
      <c r="AKY318" s="1"/>
      <c r="AKZ318" s="1"/>
      <c r="ALA318" s="1"/>
      <c r="ALB318" s="1"/>
      <c r="ALC318" s="1"/>
      <c r="ALD318" s="1"/>
      <c r="ALE318" s="1"/>
      <c r="ALF318" s="1"/>
      <c r="ALG318" s="1"/>
      <c r="ALH318" s="1"/>
      <c r="ALI318" s="1"/>
      <c r="ALJ318" s="1"/>
      <c r="ALK318" s="1"/>
      <c r="ALL318" s="1"/>
      <c r="ALM318" s="1"/>
      <c r="ALN318" s="1"/>
      <c r="ALO318" s="1"/>
      <c r="ALP318" s="1"/>
      <c r="ALQ318" s="1"/>
      <c r="ALR318" s="1"/>
      <c r="ALS318" s="1"/>
      <c r="ALT318" s="1"/>
      <c r="ALU318" s="1"/>
      <c r="ALV318" s="1"/>
      <c r="ALW318" s="1"/>
      <c r="ALX318" s="1"/>
      <c r="ALY318" s="1"/>
      <c r="ALZ318" s="1"/>
      <c r="AMA318" s="1"/>
      <c r="AMB318" s="1"/>
      <c r="AMC318" s="1"/>
      <c r="AMD318" s="1"/>
      <c r="AME318" s="1"/>
      <c r="AMF318" s="1"/>
      <c r="AMG318" s="1"/>
      <c r="AMH318" s="1"/>
      <c r="AMI318" s="1"/>
      <c r="AMJ318" s="1"/>
      <c r="AMK318" s="1"/>
      <c r="AML318" s="1"/>
      <c r="AMM318" s="1"/>
      <c r="AMN318" s="1"/>
      <c r="AMO318" s="1"/>
    </row>
    <row r="319" spans="1:1029" x14ac:dyDescent="0.2">
      <c r="A319" s="3" t="str">
        <f t="shared" si="1565"/>
        <v>glp1r_human_5VEX</v>
      </c>
      <c r="B319" s="3" t="s">
        <v>406</v>
      </c>
      <c r="C319" s="3" t="s">
        <v>1414</v>
      </c>
      <c r="D319" s="3" t="str">
        <f>IFERROR(MID(VLOOKUP($B319,Seqs!$A:$B,2,0),E319,1),"")</f>
        <v>S</v>
      </c>
      <c r="E319" s="3">
        <v>136</v>
      </c>
      <c r="F319" s="3" t="str">
        <f>IFERROR(MID(VLOOKUP($B319,Seqs!$A:$B,2,0),G319,1),"")</f>
        <v>F</v>
      </c>
      <c r="G319" s="3">
        <v>169</v>
      </c>
      <c r="H319" s="3" t="str">
        <f>IFERROR(MID(VLOOKUP($B319,Seqs!$A:$B,2,0),I319,1),"")</f>
        <v>R</v>
      </c>
      <c r="I319" s="23">
        <v>170</v>
      </c>
      <c r="J319" s="3" t="str">
        <f>IFERROR(MID(VLOOKUP($B319,Seqs!$A:$B,2,0),K319,1),"")</f>
        <v>H</v>
      </c>
      <c r="K319" s="23">
        <v>173</v>
      </c>
      <c r="L319" s="3" t="str">
        <f>IFERROR(MID(VLOOKUP($B319,Seqs!$A:$B,2,0),M319,1),"")</f>
        <v>C</v>
      </c>
      <c r="M319" s="23">
        <v>174</v>
      </c>
      <c r="N319" s="3" t="str">
        <f>IFERROR(MID(VLOOKUP($B319,Seqs!$A:$B,2,0),O319,1),"")</f>
        <v>L</v>
      </c>
      <c r="O319" s="3">
        <v>201</v>
      </c>
      <c r="P319" s="3" t="str">
        <f>IFERROR(MID(VLOOKUP($B319,Seqs!$A:$B,2,0),Q319,1),"")</f>
        <v/>
      </c>
      <c r="Q319" s="3" t="s">
        <v>23</v>
      </c>
      <c r="R319" s="3" t="str">
        <f>IFERROR(MID(VLOOKUP($B319,Seqs!$A:$B,2,0),S319,1),"")</f>
        <v/>
      </c>
      <c r="S319" s="3" t="s">
        <v>23</v>
      </c>
      <c r="T319" s="3" t="str">
        <f>IFERROR(MID(VLOOKUP($B319,Seqs!$A:$B,2,0),U319,1),"")</f>
        <v>L</v>
      </c>
      <c r="U319" s="3">
        <v>224</v>
      </c>
      <c r="V319" s="3" t="str">
        <f>IFERROR(MID(VLOOKUP($B319,Seqs!$A:$B,2,0),W319,1),"")</f>
        <v>F</v>
      </c>
      <c r="W319" s="3">
        <v>257</v>
      </c>
      <c r="X319" s="3" t="str">
        <f>IFERROR(MID(VLOOKUP($B319,Seqs!$A:$B,2,0),Y319,1),"")</f>
        <v/>
      </c>
      <c r="Y319" s="3" t="s">
        <v>23</v>
      </c>
      <c r="Z319" s="3" t="str">
        <f>IFERROR(MID(VLOOKUP($B319,Seqs!$A:$B,2,0),AA319,1),"")</f>
        <v/>
      </c>
      <c r="AA319" s="3" t="s">
        <v>23</v>
      </c>
      <c r="AB319" s="3" t="str">
        <f>IFERROR(MID(VLOOKUP($B319,Seqs!$A:$B,2,0),AC319,1),"")</f>
        <v>E</v>
      </c>
      <c r="AC319" s="3">
        <v>262</v>
      </c>
      <c r="AD319" s="3" t="str">
        <f>IFERROR(MID(VLOOKUP($B319,Seqs!$A:$B,2,0),AE319,1),"")</f>
        <v>E</v>
      </c>
      <c r="AE319" s="3">
        <v>292</v>
      </c>
      <c r="AF319" s="3" t="str">
        <f>IFERROR(MID(VLOOKUP($B319,Seqs!$A:$B,2,0),AG319,1),"")</f>
        <v>C</v>
      </c>
      <c r="AG319" s="3">
        <v>296</v>
      </c>
      <c r="AH319" s="3" t="str">
        <f>IFERROR(MID(VLOOKUP($B319,Seqs!$A:$B,2,0),AI319,1),"")</f>
        <v>T</v>
      </c>
      <c r="AI319" s="3">
        <v>298</v>
      </c>
      <c r="AJ319" s="3" t="str">
        <f>IFERROR(MID(VLOOKUP($B319,Seqs!$A:$B,2,0),AK319,1),"")</f>
        <v>Y</v>
      </c>
      <c r="AK319" s="3">
        <v>305</v>
      </c>
      <c r="AL319" s="3" t="str">
        <f>IFERROR(MID(VLOOKUP($B319,Seqs!$A:$B,2,0),AM319,1),"")</f>
        <v>A</v>
      </c>
      <c r="AM319" s="3">
        <v>337</v>
      </c>
      <c r="AN319" s="3" t="str">
        <f>IFERROR(MID(VLOOKUP($B319,Seqs!$A:$B,2,0),AO319,1),"")</f>
        <v>D</v>
      </c>
      <c r="AO319" s="3">
        <v>344</v>
      </c>
      <c r="AP319" s="3" t="str">
        <f>IFERROR(MID(VLOOKUP($B319,Seqs!$A:$B,2,0),AQ319,1),"")</f>
        <v>F</v>
      </c>
      <c r="AQ319" s="3">
        <v>367</v>
      </c>
      <c r="AR319" s="3" t="str">
        <f>IFERROR(MID(VLOOKUP($B319,Seqs!$A:$B,2,0),AS319,1),"")</f>
        <v>R</v>
      </c>
      <c r="AS319" s="3">
        <v>380</v>
      </c>
      <c r="AT319" s="3" t="str">
        <f>IFERROR(MID(VLOOKUP($B319,Seqs!$A:$B,2,0),AU319,1),"")</f>
        <v>V</v>
      </c>
      <c r="AU319" s="3">
        <v>405</v>
      </c>
      <c r="AV319" s="3" t="str">
        <f>IFERROR(MID(VLOOKUP($B319,Seqs!$A:$B,2,0),AW319,1),"")</f>
        <v>N</v>
      </c>
      <c r="AW319" s="3">
        <v>406</v>
      </c>
      <c r="AX319" s="3" t="str">
        <f>IFERROR(MID(VLOOKUP($B319,Seqs!$A:$B,2,0),AY319,1),"")</f>
        <v>L</v>
      </c>
      <c r="AY319" s="3">
        <v>422</v>
      </c>
      <c r="AZ319" s="77" t="str">
        <f>VLOOKUP(B319,Classification!A:D,2,0)</f>
        <v>B1</v>
      </c>
      <c r="BA319" s="94" t="str">
        <f>VLOOKUP(B319,Classification!A:D,4,0)</f>
        <v>Glucagonreceptorfamily</v>
      </c>
      <c r="BB319" s="27" t="b">
        <f t="shared" si="1566"/>
        <v>1</v>
      </c>
      <c r="BC319" s="23">
        <f t="shared" si="1567"/>
        <v>236</v>
      </c>
      <c r="BD319" s="4" t="s">
        <v>23</v>
      </c>
      <c r="BE319" s="3" t="s">
        <v>1380</v>
      </c>
      <c r="BF319" s="119">
        <v>3</v>
      </c>
      <c r="BG319" s="49" t="s">
        <v>1</v>
      </c>
      <c r="BH319" s="49" t="s">
        <v>1</v>
      </c>
      <c r="BI319" s="1"/>
      <c r="BJ319" s="70" t="s">
        <v>1293</v>
      </c>
      <c r="BK319" s="57" t="s">
        <v>1293</v>
      </c>
      <c r="BL319" s="57" t="s">
        <v>1293</v>
      </c>
      <c r="BM319" s="57" t="s">
        <v>1293</v>
      </c>
      <c r="BN319" s="57" t="s">
        <v>1293</v>
      </c>
      <c r="BO319" s="57" t="s">
        <v>1293</v>
      </c>
      <c r="BP319" s="57" t="s">
        <v>1293</v>
      </c>
      <c r="BQ319" s="57" t="s">
        <v>1293</v>
      </c>
      <c r="BR319" s="57" t="s">
        <v>1293</v>
      </c>
      <c r="BS319" s="57" t="s">
        <v>1293</v>
      </c>
      <c r="BT319" s="57" t="s">
        <v>1293</v>
      </c>
      <c r="BU319" s="57" t="s">
        <v>1293</v>
      </c>
      <c r="BV319" s="70">
        <f t="shared" si="1568"/>
        <v>136</v>
      </c>
      <c r="BW319" s="71">
        <f t="shared" si="1569"/>
        <v>170</v>
      </c>
      <c r="BX319" s="72">
        <f t="shared" si="1570"/>
        <v>174</v>
      </c>
      <c r="BY319" s="71" t="str">
        <f t="shared" si="1571"/>
        <v>-</v>
      </c>
      <c r="BZ319" s="72">
        <f t="shared" si="1572"/>
        <v>224</v>
      </c>
      <c r="CA319" s="71" t="str">
        <f t="shared" si="1573"/>
        <v>-</v>
      </c>
      <c r="CB319" s="72">
        <f t="shared" si="1574"/>
        <v>262</v>
      </c>
      <c r="CC319" s="71">
        <f t="shared" si="1575"/>
        <v>296</v>
      </c>
      <c r="CD319" s="72">
        <f t="shared" si="1576"/>
        <v>305</v>
      </c>
      <c r="CE319" s="71">
        <f t="shared" si="1577"/>
        <v>344</v>
      </c>
      <c r="CF319" s="72">
        <f t="shared" si="1578"/>
        <v>380</v>
      </c>
      <c r="CG319" s="71">
        <f t="shared" si="1579"/>
        <v>406</v>
      </c>
      <c r="CH319" s="70">
        <f t="shared" si="1580"/>
        <v>169</v>
      </c>
      <c r="CI319" s="71">
        <f t="shared" si="1581"/>
        <v>173</v>
      </c>
      <c r="CJ319" s="72">
        <f t="shared" si="1582"/>
        <v>201</v>
      </c>
      <c r="CK319" s="72" t="str">
        <f t="shared" si="1583"/>
        <v>-</v>
      </c>
      <c r="CL319" s="72">
        <f t="shared" si="1584"/>
        <v>257</v>
      </c>
      <c r="CM319" s="72" t="str">
        <f t="shared" si="1585"/>
        <v>-</v>
      </c>
      <c r="CN319" s="72">
        <f t="shared" si="1586"/>
        <v>292</v>
      </c>
      <c r="CO319" s="72">
        <f t="shared" si="1587"/>
        <v>298</v>
      </c>
      <c r="CP319" s="72">
        <f t="shared" si="1588"/>
        <v>337</v>
      </c>
      <c r="CQ319" s="72">
        <f t="shared" si="1589"/>
        <v>367</v>
      </c>
      <c r="CR319" s="72">
        <f t="shared" si="1590"/>
        <v>405</v>
      </c>
      <c r="CS319" s="72">
        <f t="shared" si="1591"/>
        <v>422</v>
      </c>
      <c r="CT319" s="23">
        <f t="shared" si="1592"/>
        <v>1</v>
      </c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  <c r="ADW319" s="1"/>
      <c r="ADX319" s="1"/>
      <c r="ADY319" s="1"/>
      <c r="ADZ319" s="1"/>
      <c r="AEA319" s="1"/>
      <c r="AEB319" s="1"/>
      <c r="AEC319" s="1"/>
      <c r="AED319" s="1"/>
      <c r="AEE319" s="1"/>
      <c r="AEF319" s="1"/>
      <c r="AEG319" s="1"/>
      <c r="AEH319" s="1"/>
      <c r="AEI319" s="1"/>
      <c r="AEJ319" s="1"/>
      <c r="AEK319" s="1"/>
      <c r="AEL319" s="1"/>
      <c r="AEM319" s="1"/>
      <c r="AEN319" s="1"/>
      <c r="AEO319" s="1"/>
      <c r="AEP319" s="1"/>
      <c r="AEQ319" s="1"/>
      <c r="AER319" s="1"/>
      <c r="AES319" s="1"/>
      <c r="AET319" s="1"/>
      <c r="AEU319" s="1"/>
      <c r="AEV319" s="1"/>
      <c r="AEW319" s="1"/>
      <c r="AEX319" s="1"/>
      <c r="AEY319" s="1"/>
      <c r="AEZ319" s="1"/>
      <c r="AFA319" s="1"/>
      <c r="AFB319" s="1"/>
      <c r="AFC319" s="1"/>
      <c r="AFD319" s="1"/>
      <c r="AFE319" s="1"/>
      <c r="AFF319" s="1"/>
      <c r="AFG319" s="1"/>
      <c r="AFH319" s="1"/>
      <c r="AFI319" s="1"/>
      <c r="AFJ319" s="1"/>
      <c r="AFK319" s="1"/>
      <c r="AFL319" s="1"/>
      <c r="AFM319" s="1"/>
      <c r="AFN319" s="1"/>
      <c r="AFO319" s="1"/>
      <c r="AFP319" s="1"/>
      <c r="AFQ319" s="1"/>
      <c r="AFR319" s="1"/>
      <c r="AFS319" s="1"/>
      <c r="AFT319" s="1"/>
      <c r="AFU319" s="1"/>
      <c r="AFV319" s="1"/>
      <c r="AFW319" s="1"/>
      <c r="AFX319" s="1"/>
      <c r="AFY319" s="1"/>
      <c r="AFZ319" s="1"/>
      <c r="AGA319" s="1"/>
      <c r="AGB319" s="1"/>
      <c r="AGC319" s="1"/>
      <c r="AGD319" s="1"/>
      <c r="AGE319" s="1"/>
      <c r="AGF319" s="1"/>
      <c r="AGG319" s="1"/>
      <c r="AGH319" s="1"/>
      <c r="AGI319" s="1"/>
      <c r="AGJ319" s="1"/>
      <c r="AGK319" s="1"/>
      <c r="AGL319" s="1"/>
      <c r="AGM319" s="1"/>
      <c r="AGN319" s="1"/>
      <c r="AGO319" s="1"/>
      <c r="AGP319" s="1"/>
      <c r="AGQ319" s="1"/>
      <c r="AGR319" s="1"/>
      <c r="AGS319" s="1"/>
      <c r="AGT319" s="1"/>
      <c r="AGU319" s="1"/>
      <c r="AGV319" s="1"/>
      <c r="AGW319" s="1"/>
      <c r="AGX319" s="1"/>
      <c r="AGY319" s="1"/>
      <c r="AGZ319" s="1"/>
      <c r="AHA319" s="1"/>
      <c r="AHB319" s="1"/>
      <c r="AHC319" s="1"/>
      <c r="AHD319" s="1"/>
      <c r="AHE319" s="1"/>
      <c r="AHF319" s="1"/>
      <c r="AHG319" s="1"/>
      <c r="AHH319" s="1"/>
      <c r="AHI319" s="1"/>
      <c r="AHJ319" s="1"/>
      <c r="AHK319" s="1"/>
      <c r="AHL319" s="1"/>
      <c r="AHM319" s="1"/>
      <c r="AHN319" s="1"/>
      <c r="AHO319" s="1"/>
      <c r="AHP319" s="1"/>
      <c r="AHQ319" s="1"/>
      <c r="AHR319" s="1"/>
      <c r="AHS319" s="1"/>
      <c r="AHT319" s="1"/>
      <c r="AHU319" s="1"/>
      <c r="AHV319" s="1"/>
      <c r="AHW319" s="1"/>
      <c r="AHX319" s="1"/>
      <c r="AHY319" s="1"/>
      <c r="AHZ319" s="1"/>
      <c r="AIA319" s="1"/>
      <c r="AIB319" s="1"/>
      <c r="AIC319" s="1"/>
      <c r="AID319" s="1"/>
      <c r="AIE319" s="1"/>
      <c r="AIF319" s="1"/>
      <c r="AIG319" s="1"/>
      <c r="AIH319" s="1"/>
      <c r="AII319" s="1"/>
      <c r="AIJ319" s="1"/>
      <c r="AIK319" s="1"/>
      <c r="AIL319" s="1"/>
      <c r="AIM319" s="1"/>
      <c r="AIN319" s="1"/>
      <c r="AIO319" s="1"/>
      <c r="AIP319" s="1"/>
      <c r="AIQ319" s="1"/>
      <c r="AIR319" s="1"/>
      <c r="AIS319" s="1"/>
      <c r="AIT319" s="1"/>
      <c r="AIU319" s="1"/>
      <c r="AIV319" s="1"/>
      <c r="AIW319" s="1"/>
      <c r="AIX319" s="1"/>
      <c r="AIY319" s="1"/>
      <c r="AIZ319" s="1"/>
      <c r="AJA319" s="1"/>
      <c r="AJB319" s="1"/>
      <c r="AJC319" s="1"/>
      <c r="AJD319" s="1"/>
      <c r="AJE319" s="1"/>
      <c r="AJF319" s="1"/>
      <c r="AJG319" s="1"/>
      <c r="AJH319" s="1"/>
      <c r="AJI319" s="1"/>
      <c r="AJJ319" s="1"/>
      <c r="AJK319" s="1"/>
      <c r="AJL319" s="1"/>
      <c r="AJM319" s="1"/>
      <c r="AJN319" s="1"/>
      <c r="AJO319" s="1"/>
      <c r="AJP319" s="1"/>
      <c r="AJQ319" s="1"/>
      <c r="AJR319" s="1"/>
      <c r="AJS319" s="1"/>
      <c r="AJT319" s="1"/>
      <c r="AJU319" s="1"/>
      <c r="AJV319" s="1"/>
      <c r="AJW319" s="1"/>
      <c r="AJX319" s="1"/>
      <c r="AJY319" s="1"/>
      <c r="AJZ319" s="1"/>
      <c r="AKA319" s="1"/>
      <c r="AKB319" s="1"/>
      <c r="AKC319" s="1"/>
      <c r="AKD319" s="1"/>
      <c r="AKE319" s="1"/>
      <c r="AKF319" s="1"/>
      <c r="AKG319" s="1"/>
      <c r="AKH319" s="1"/>
      <c r="AKI319" s="1"/>
      <c r="AKJ319" s="1"/>
      <c r="AKK319" s="1"/>
      <c r="AKL319" s="1"/>
      <c r="AKM319" s="1"/>
      <c r="AKN319" s="1"/>
      <c r="AKO319" s="1"/>
      <c r="AKP319" s="1"/>
      <c r="AKQ319" s="1"/>
      <c r="AKR319" s="1"/>
      <c r="AKS319" s="1"/>
      <c r="AKT319" s="1"/>
      <c r="AKU319" s="1"/>
      <c r="AKV319" s="1"/>
      <c r="AKW319" s="1"/>
      <c r="AKX319" s="1"/>
      <c r="AKY319" s="1"/>
      <c r="AKZ319" s="1"/>
      <c r="ALA319" s="1"/>
      <c r="ALB319" s="1"/>
      <c r="ALC319" s="1"/>
      <c r="ALD319" s="1"/>
      <c r="ALE319" s="1"/>
      <c r="ALF319" s="1"/>
      <c r="ALG319" s="1"/>
      <c r="ALH319" s="1"/>
      <c r="ALI319" s="1"/>
      <c r="ALJ319" s="1"/>
      <c r="ALK319" s="1"/>
      <c r="ALL319" s="1"/>
      <c r="ALM319" s="1"/>
      <c r="ALN319" s="1"/>
      <c r="ALO319" s="1"/>
      <c r="ALP319" s="1"/>
      <c r="ALQ319" s="1"/>
      <c r="ALR319" s="1"/>
      <c r="ALS319" s="1"/>
      <c r="ALT319" s="1"/>
      <c r="ALU319" s="1"/>
      <c r="ALV319" s="1"/>
      <c r="ALW319" s="1"/>
      <c r="ALX319" s="1"/>
      <c r="ALY319" s="1"/>
      <c r="ALZ319" s="1"/>
      <c r="AMA319" s="1"/>
      <c r="AMB319" s="1"/>
      <c r="AMC319" s="1"/>
      <c r="AMD319" s="1"/>
      <c r="AME319" s="1"/>
      <c r="AMF319" s="1"/>
      <c r="AMG319" s="1"/>
      <c r="AMH319" s="1"/>
      <c r="AMI319" s="1"/>
      <c r="AMJ319" s="1"/>
      <c r="AMK319" s="1"/>
      <c r="AML319" s="1"/>
      <c r="AMM319" s="1"/>
      <c r="AMN319" s="1"/>
      <c r="AMO319" s="1"/>
    </row>
    <row r="320" spans="1:1029" x14ac:dyDescent="0.2">
      <c r="A320" s="3" t="str">
        <f t="shared" si="1565"/>
        <v>glp1r_human_5NX2</v>
      </c>
      <c r="B320" s="3" t="s">
        <v>406</v>
      </c>
      <c r="C320" s="3" t="s">
        <v>1427</v>
      </c>
      <c r="D320" s="3" t="str">
        <f>IFERROR(MID(VLOOKUP($B320,Seqs!$A:$B,2,0),E320,1),"")</f>
        <v>E</v>
      </c>
      <c r="E320" s="3">
        <v>138</v>
      </c>
      <c r="F320" s="3" t="str">
        <f>IFERROR(MID(VLOOKUP($B320,Seqs!$A:$B,2,0),G320,1),"")</f>
        <v>F</v>
      </c>
      <c r="G320" s="3">
        <v>169</v>
      </c>
      <c r="H320" s="3" t="str">
        <f>IFERROR(MID(VLOOKUP($B320,Seqs!$A:$B,2,0),I320,1),"")</f>
        <v>R</v>
      </c>
      <c r="I320" s="23">
        <v>170</v>
      </c>
      <c r="J320" s="3" t="str">
        <f>IFERROR(MID(VLOOKUP($B320,Seqs!$A:$B,2,0),K320,1),"")</f>
        <v>H</v>
      </c>
      <c r="K320" s="23">
        <v>173</v>
      </c>
      <c r="L320" s="3" t="str">
        <f>IFERROR(MID(VLOOKUP($B320,Seqs!$A:$B,2,0),M320,1),"")</f>
        <v>C</v>
      </c>
      <c r="M320" s="23">
        <v>174</v>
      </c>
      <c r="N320" s="3" t="str">
        <f>IFERROR(MID(VLOOKUP($B320,Seqs!$A:$B,2,0),O320,1),"")</f>
        <v>S</v>
      </c>
      <c r="O320" s="3">
        <v>206</v>
      </c>
      <c r="P320" s="3" t="str">
        <f>IFERROR(MID(VLOOKUP($B320,Seqs!$A:$B,2,0),Q320,1),"")</f>
        <v/>
      </c>
      <c r="Q320" s="3" t="s">
        <v>23</v>
      </c>
      <c r="R320" s="3" t="str">
        <f>IFERROR(MID(VLOOKUP($B320,Seqs!$A:$B,2,0),S320,1),"")</f>
        <v/>
      </c>
      <c r="S320" s="3" t="s">
        <v>23</v>
      </c>
      <c r="T320" s="3" t="str">
        <f>IFERROR(MID(VLOOKUP($B320,Seqs!$A:$B,2,0),U320,1),"")</f>
        <v>L</v>
      </c>
      <c r="U320" s="3">
        <v>224</v>
      </c>
      <c r="V320" s="3" t="str">
        <f>IFERROR(MID(VLOOKUP($B320,Seqs!$A:$B,2,0),W320,1),"")</f>
        <v>F</v>
      </c>
      <c r="W320" s="3">
        <v>257</v>
      </c>
      <c r="X320" s="3" t="str">
        <f>IFERROR(MID(VLOOKUP($B320,Seqs!$A:$B,2,0),Y320,1),"")</f>
        <v/>
      </c>
      <c r="Y320" s="3" t="s">
        <v>23</v>
      </c>
      <c r="Z320" s="3" t="str">
        <f>IFERROR(MID(VLOOKUP($B320,Seqs!$A:$B,2,0),AA320,1),"")</f>
        <v/>
      </c>
      <c r="AA320" s="3" t="s">
        <v>23</v>
      </c>
      <c r="AB320" s="3" t="str">
        <f>IFERROR(MID(VLOOKUP($B320,Seqs!$A:$B,2,0),AC320,1),"")</f>
        <v>E</v>
      </c>
      <c r="AC320" s="3">
        <v>262</v>
      </c>
      <c r="AD320" s="3" t="str">
        <f>IFERROR(MID(VLOOKUP($B320,Seqs!$A:$B,2,0),AE320,1),"")</f>
        <v>Y</v>
      </c>
      <c r="AE320" s="3">
        <v>291</v>
      </c>
      <c r="AF320" s="3" t="str">
        <f>IFERROR(MID(VLOOKUP($B320,Seqs!$A:$B,2,0),AG320,1),"")</f>
        <v>C</v>
      </c>
      <c r="AG320" s="3">
        <v>296</v>
      </c>
      <c r="AH320" s="3" t="str">
        <f>IFERROR(MID(VLOOKUP($B320,Seqs!$A:$B,2,0),AI320,1),"")</f>
        <v>T</v>
      </c>
      <c r="AI320" s="3">
        <v>298</v>
      </c>
      <c r="AJ320" s="3" t="str">
        <f>IFERROR(MID(VLOOKUP($B320,Seqs!$A:$B,2,0),AK320,1),"")</f>
        <v>N</v>
      </c>
      <c r="AK320" s="3">
        <v>302</v>
      </c>
      <c r="AL320" s="3" t="str">
        <f>IFERROR(MID(VLOOKUP($B320,Seqs!$A:$B,2,0),AM320,1),"")</f>
        <v>L</v>
      </c>
      <c r="AM320" s="3">
        <v>335</v>
      </c>
      <c r="AN320" s="3" t="str">
        <f>IFERROR(MID(VLOOKUP($B320,Seqs!$A:$B,2,0),AO320,1),"")</f>
        <v>M</v>
      </c>
      <c r="AO320" s="3">
        <v>340</v>
      </c>
      <c r="AP320" s="3" t="str">
        <f>IFERROR(MID(VLOOKUP($B320,Seqs!$A:$B,2,0),AQ320,1),"")</f>
        <v>F</v>
      </c>
      <c r="AQ320" s="3">
        <v>369</v>
      </c>
      <c r="AR320" s="3" t="str">
        <f>IFERROR(MID(VLOOKUP($B320,Seqs!$A:$B,2,0),AS320,1),"")</f>
        <v>G</v>
      </c>
      <c r="AS320" s="3">
        <v>377</v>
      </c>
      <c r="AT320" s="3" t="str">
        <f>IFERROR(MID(VLOOKUP($B320,Seqs!$A:$B,2,0),AU320,1),"")</f>
        <v>V</v>
      </c>
      <c r="AU320" s="3">
        <v>405</v>
      </c>
      <c r="AV320" s="3" t="str">
        <f>IFERROR(MID(VLOOKUP($B320,Seqs!$A:$B,2,0),AW320,1),"")</f>
        <v>N</v>
      </c>
      <c r="AW320" s="3">
        <v>406</v>
      </c>
      <c r="AX320" s="3" t="str">
        <f>IFERROR(MID(VLOOKUP($B320,Seqs!$A:$B,2,0),AY320,1),"")</f>
        <v>S</v>
      </c>
      <c r="AY320" s="3">
        <v>416</v>
      </c>
      <c r="AZ320" s="77" t="str">
        <f>VLOOKUP(B320,Classification!A:D,2,0)</f>
        <v>B1</v>
      </c>
      <c r="BA320" s="94" t="str">
        <f>VLOOKUP(B320,Classification!A:D,4,0)</f>
        <v>Glucagonreceptorfamily</v>
      </c>
      <c r="BB320" s="27" t="b">
        <f t="shared" si="1566"/>
        <v>1</v>
      </c>
      <c r="BC320" s="23">
        <f t="shared" si="1567"/>
        <v>242</v>
      </c>
      <c r="BD320" s="4" t="s">
        <v>1439</v>
      </c>
      <c r="BE320" s="3" t="s">
        <v>1438</v>
      </c>
      <c r="BF320" s="119">
        <v>3.7</v>
      </c>
      <c r="BG320" s="49" t="s">
        <v>1</v>
      </c>
      <c r="BH320" s="49" t="s">
        <v>1</v>
      </c>
      <c r="BI320" s="1"/>
      <c r="BJ320" s="70" t="s">
        <v>1293</v>
      </c>
      <c r="BK320" s="57" t="s">
        <v>1293</v>
      </c>
      <c r="BL320" s="57" t="s">
        <v>1293</v>
      </c>
      <c r="BM320" s="57" t="s">
        <v>1293</v>
      </c>
      <c r="BN320" s="57" t="s">
        <v>1293</v>
      </c>
      <c r="BO320" s="57" t="s">
        <v>1293</v>
      </c>
      <c r="BP320" s="57" t="s">
        <v>1293</v>
      </c>
      <c r="BQ320" s="57" t="s">
        <v>1293</v>
      </c>
      <c r="BR320" s="57" t="s">
        <v>1293</v>
      </c>
      <c r="BS320" s="57" t="s">
        <v>1293</v>
      </c>
      <c r="BT320" s="57" t="s">
        <v>1293</v>
      </c>
      <c r="BU320" s="57" t="s">
        <v>1293</v>
      </c>
      <c r="BV320" s="70">
        <f t="shared" si="1568"/>
        <v>138</v>
      </c>
      <c r="BW320" s="71">
        <f t="shared" si="1569"/>
        <v>170</v>
      </c>
      <c r="BX320" s="72">
        <f t="shared" si="1570"/>
        <v>174</v>
      </c>
      <c r="BY320" s="71" t="str">
        <f t="shared" si="1571"/>
        <v>-</v>
      </c>
      <c r="BZ320" s="72">
        <f t="shared" si="1572"/>
        <v>224</v>
      </c>
      <c r="CA320" s="71" t="str">
        <f t="shared" si="1573"/>
        <v>-</v>
      </c>
      <c r="CB320" s="72">
        <f t="shared" si="1574"/>
        <v>262</v>
      </c>
      <c r="CC320" s="71">
        <f t="shared" si="1575"/>
        <v>296</v>
      </c>
      <c r="CD320" s="72">
        <f t="shared" si="1576"/>
        <v>302</v>
      </c>
      <c r="CE320" s="71">
        <f t="shared" si="1577"/>
        <v>340</v>
      </c>
      <c r="CF320" s="72">
        <f t="shared" si="1578"/>
        <v>377</v>
      </c>
      <c r="CG320" s="71">
        <f t="shared" si="1579"/>
        <v>406</v>
      </c>
      <c r="CH320" s="70">
        <f t="shared" si="1580"/>
        <v>169</v>
      </c>
      <c r="CI320" s="71">
        <f t="shared" si="1581"/>
        <v>173</v>
      </c>
      <c r="CJ320" s="72">
        <f t="shared" si="1582"/>
        <v>206</v>
      </c>
      <c r="CK320" s="72" t="str">
        <f t="shared" si="1583"/>
        <v>-</v>
      </c>
      <c r="CL320" s="72">
        <f t="shared" si="1584"/>
        <v>257</v>
      </c>
      <c r="CM320" s="72" t="str">
        <f t="shared" si="1585"/>
        <v>-</v>
      </c>
      <c r="CN320" s="72">
        <f t="shared" si="1586"/>
        <v>291</v>
      </c>
      <c r="CO320" s="72">
        <f t="shared" si="1587"/>
        <v>298</v>
      </c>
      <c r="CP320" s="72">
        <f t="shared" si="1588"/>
        <v>335</v>
      </c>
      <c r="CQ320" s="72">
        <f t="shared" si="1589"/>
        <v>369</v>
      </c>
      <c r="CR320" s="72">
        <f t="shared" si="1590"/>
        <v>405</v>
      </c>
      <c r="CS320" s="72">
        <f t="shared" si="1591"/>
        <v>416</v>
      </c>
      <c r="CT320" s="23">
        <f t="shared" si="1592"/>
        <v>1</v>
      </c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  <c r="ADW320" s="1"/>
      <c r="ADX320" s="1"/>
      <c r="ADY320" s="1"/>
      <c r="ADZ320" s="1"/>
      <c r="AEA320" s="1"/>
      <c r="AEB320" s="1"/>
      <c r="AEC320" s="1"/>
      <c r="AED320" s="1"/>
      <c r="AEE320" s="1"/>
      <c r="AEF320" s="1"/>
      <c r="AEG320" s="1"/>
      <c r="AEH320" s="1"/>
      <c r="AEI320" s="1"/>
      <c r="AEJ320" s="1"/>
      <c r="AEK320" s="1"/>
      <c r="AEL320" s="1"/>
      <c r="AEM320" s="1"/>
      <c r="AEN320" s="1"/>
      <c r="AEO320" s="1"/>
      <c r="AEP320" s="1"/>
      <c r="AEQ320" s="1"/>
      <c r="AER320" s="1"/>
      <c r="AES320" s="1"/>
      <c r="AET320" s="1"/>
      <c r="AEU320" s="1"/>
      <c r="AEV320" s="1"/>
      <c r="AEW320" s="1"/>
      <c r="AEX320" s="1"/>
      <c r="AEY320" s="1"/>
      <c r="AEZ320" s="1"/>
      <c r="AFA320" s="1"/>
      <c r="AFB320" s="1"/>
      <c r="AFC320" s="1"/>
      <c r="AFD320" s="1"/>
      <c r="AFE320" s="1"/>
      <c r="AFF320" s="1"/>
      <c r="AFG320" s="1"/>
      <c r="AFH320" s="1"/>
      <c r="AFI320" s="1"/>
      <c r="AFJ320" s="1"/>
      <c r="AFK320" s="1"/>
      <c r="AFL320" s="1"/>
      <c r="AFM320" s="1"/>
      <c r="AFN320" s="1"/>
      <c r="AFO320" s="1"/>
      <c r="AFP320" s="1"/>
      <c r="AFQ320" s="1"/>
      <c r="AFR320" s="1"/>
      <c r="AFS320" s="1"/>
      <c r="AFT320" s="1"/>
      <c r="AFU320" s="1"/>
      <c r="AFV320" s="1"/>
      <c r="AFW320" s="1"/>
      <c r="AFX320" s="1"/>
      <c r="AFY320" s="1"/>
      <c r="AFZ320" s="1"/>
      <c r="AGA320" s="1"/>
      <c r="AGB320" s="1"/>
      <c r="AGC320" s="1"/>
      <c r="AGD320" s="1"/>
      <c r="AGE320" s="1"/>
      <c r="AGF320" s="1"/>
      <c r="AGG320" s="1"/>
      <c r="AGH320" s="1"/>
      <c r="AGI320" s="1"/>
      <c r="AGJ320" s="1"/>
      <c r="AGK320" s="1"/>
      <c r="AGL320" s="1"/>
      <c r="AGM320" s="1"/>
      <c r="AGN320" s="1"/>
      <c r="AGO320" s="1"/>
      <c r="AGP320" s="1"/>
      <c r="AGQ320" s="1"/>
      <c r="AGR320" s="1"/>
      <c r="AGS320" s="1"/>
      <c r="AGT320" s="1"/>
      <c r="AGU320" s="1"/>
      <c r="AGV320" s="1"/>
      <c r="AGW320" s="1"/>
      <c r="AGX320" s="1"/>
      <c r="AGY320" s="1"/>
      <c r="AGZ320" s="1"/>
      <c r="AHA320" s="1"/>
      <c r="AHB320" s="1"/>
      <c r="AHC320" s="1"/>
      <c r="AHD320" s="1"/>
      <c r="AHE320" s="1"/>
      <c r="AHF320" s="1"/>
      <c r="AHG320" s="1"/>
      <c r="AHH320" s="1"/>
      <c r="AHI320" s="1"/>
      <c r="AHJ320" s="1"/>
      <c r="AHK320" s="1"/>
      <c r="AHL320" s="1"/>
      <c r="AHM320" s="1"/>
      <c r="AHN320" s="1"/>
      <c r="AHO320" s="1"/>
      <c r="AHP320" s="1"/>
      <c r="AHQ320" s="1"/>
      <c r="AHR320" s="1"/>
      <c r="AHS320" s="1"/>
      <c r="AHT320" s="1"/>
      <c r="AHU320" s="1"/>
      <c r="AHV320" s="1"/>
      <c r="AHW320" s="1"/>
      <c r="AHX320" s="1"/>
      <c r="AHY320" s="1"/>
      <c r="AHZ320" s="1"/>
      <c r="AIA320" s="1"/>
      <c r="AIB320" s="1"/>
      <c r="AIC320" s="1"/>
      <c r="AID320" s="1"/>
      <c r="AIE320" s="1"/>
      <c r="AIF320" s="1"/>
      <c r="AIG320" s="1"/>
      <c r="AIH320" s="1"/>
      <c r="AII320" s="1"/>
      <c r="AIJ320" s="1"/>
      <c r="AIK320" s="1"/>
      <c r="AIL320" s="1"/>
      <c r="AIM320" s="1"/>
      <c r="AIN320" s="1"/>
      <c r="AIO320" s="1"/>
      <c r="AIP320" s="1"/>
      <c r="AIQ320" s="1"/>
      <c r="AIR320" s="1"/>
      <c r="AIS320" s="1"/>
      <c r="AIT320" s="1"/>
      <c r="AIU320" s="1"/>
      <c r="AIV320" s="1"/>
      <c r="AIW320" s="1"/>
      <c r="AIX320" s="1"/>
      <c r="AIY320" s="1"/>
      <c r="AIZ320" s="1"/>
      <c r="AJA320" s="1"/>
      <c r="AJB320" s="1"/>
      <c r="AJC320" s="1"/>
      <c r="AJD320" s="1"/>
      <c r="AJE320" s="1"/>
      <c r="AJF320" s="1"/>
      <c r="AJG320" s="1"/>
      <c r="AJH320" s="1"/>
      <c r="AJI320" s="1"/>
      <c r="AJJ320" s="1"/>
      <c r="AJK320" s="1"/>
      <c r="AJL320" s="1"/>
      <c r="AJM320" s="1"/>
      <c r="AJN320" s="1"/>
      <c r="AJO320" s="1"/>
      <c r="AJP320" s="1"/>
      <c r="AJQ320" s="1"/>
      <c r="AJR320" s="1"/>
      <c r="AJS320" s="1"/>
      <c r="AJT320" s="1"/>
      <c r="AJU320" s="1"/>
      <c r="AJV320" s="1"/>
      <c r="AJW320" s="1"/>
      <c r="AJX320" s="1"/>
      <c r="AJY320" s="1"/>
      <c r="AJZ320" s="1"/>
      <c r="AKA320" s="1"/>
      <c r="AKB320" s="1"/>
      <c r="AKC320" s="1"/>
      <c r="AKD320" s="1"/>
      <c r="AKE320" s="1"/>
      <c r="AKF320" s="1"/>
      <c r="AKG320" s="1"/>
      <c r="AKH320" s="1"/>
      <c r="AKI320" s="1"/>
      <c r="AKJ320" s="1"/>
      <c r="AKK320" s="1"/>
      <c r="AKL320" s="1"/>
      <c r="AKM320" s="1"/>
      <c r="AKN320" s="1"/>
      <c r="AKO320" s="1"/>
      <c r="AKP320" s="1"/>
      <c r="AKQ320" s="1"/>
      <c r="AKR320" s="1"/>
      <c r="AKS320" s="1"/>
      <c r="AKT320" s="1"/>
      <c r="AKU320" s="1"/>
      <c r="AKV320" s="1"/>
      <c r="AKW320" s="1"/>
      <c r="AKX320" s="1"/>
      <c r="AKY320" s="1"/>
      <c r="AKZ320" s="1"/>
      <c r="ALA320" s="1"/>
      <c r="ALB320" s="1"/>
      <c r="ALC320" s="1"/>
      <c r="ALD320" s="1"/>
      <c r="ALE320" s="1"/>
      <c r="ALF320" s="1"/>
      <c r="ALG320" s="1"/>
      <c r="ALH320" s="1"/>
      <c r="ALI320" s="1"/>
      <c r="ALJ320" s="1"/>
      <c r="ALK320" s="1"/>
      <c r="ALL320" s="1"/>
      <c r="ALM320" s="1"/>
      <c r="ALN320" s="1"/>
      <c r="ALO320" s="1"/>
      <c r="ALP320" s="1"/>
      <c r="ALQ320" s="1"/>
      <c r="ALR320" s="1"/>
      <c r="ALS320" s="1"/>
      <c r="ALT320" s="1"/>
      <c r="ALU320" s="1"/>
      <c r="ALV320" s="1"/>
      <c r="ALW320" s="1"/>
      <c r="ALX320" s="1"/>
      <c r="ALY320" s="1"/>
      <c r="ALZ320" s="1"/>
      <c r="AMA320" s="1"/>
      <c r="AMB320" s="1"/>
      <c r="AMC320" s="1"/>
      <c r="AMD320" s="1"/>
      <c r="AME320" s="1"/>
      <c r="AMF320" s="1"/>
      <c r="AMG320" s="1"/>
      <c r="AMH320" s="1"/>
      <c r="AMI320" s="1"/>
      <c r="AMJ320" s="1"/>
      <c r="AMK320" s="1"/>
      <c r="AML320" s="1"/>
      <c r="AMM320" s="1"/>
      <c r="AMN320" s="1"/>
      <c r="AMO320" s="1"/>
    </row>
    <row r="321" spans="1:1030" x14ac:dyDescent="0.2">
      <c r="A321" s="3" t="str">
        <f t="shared" si="1565"/>
        <v>glp1r_human_6B3J</v>
      </c>
      <c r="B321" s="3" t="s">
        <v>406</v>
      </c>
      <c r="C321" s="3" t="s">
        <v>1485</v>
      </c>
      <c r="D321" s="3" t="str">
        <f>IFERROR(MID(VLOOKUP($B321,Seqs!$A:$B,2,0),E321,1),"")</f>
        <v>E</v>
      </c>
      <c r="E321" s="3">
        <v>138</v>
      </c>
      <c r="F321" s="3" t="str">
        <f>IFERROR(MID(VLOOKUP($B321,Seqs!$A:$B,2,0),G321,1),"")</f>
        <v>F</v>
      </c>
      <c r="G321" s="3">
        <v>169</v>
      </c>
      <c r="H321" s="3" t="str">
        <f>IFERROR(MID(VLOOKUP($B321,Seqs!$A:$B,2,0),I321,1),"")</f>
        <v/>
      </c>
      <c r="I321" s="23" t="s">
        <v>23</v>
      </c>
      <c r="J321" s="3" t="str">
        <f>IFERROR(MID(VLOOKUP($B321,Seqs!$A:$B,2,0),K321,1),"")</f>
        <v/>
      </c>
      <c r="K321" s="23" t="s">
        <v>23</v>
      </c>
      <c r="L321" s="3" t="str">
        <f>IFERROR(MID(VLOOKUP($B321,Seqs!$A:$B,2,0),M321,1),"")</f>
        <v>C</v>
      </c>
      <c r="M321" s="23">
        <v>174</v>
      </c>
      <c r="N321" s="3" t="str">
        <f>IFERROR(MID(VLOOKUP($B321,Seqs!$A:$B,2,0),O321,1),"")</f>
        <v>Y</v>
      </c>
      <c r="O321" s="3">
        <v>205</v>
      </c>
      <c r="P321" s="3" t="str">
        <f>IFERROR(MID(VLOOKUP($B321,Seqs!$A:$B,2,0),Q321,1),"")</f>
        <v/>
      </c>
      <c r="Q321" s="3" t="s">
        <v>23</v>
      </c>
      <c r="R321" s="3" t="str">
        <f>IFERROR(MID(VLOOKUP($B321,Seqs!$A:$B,2,0),S321,1),"")</f>
        <v/>
      </c>
      <c r="S321" s="3" t="s">
        <v>23</v>
      </c>
      <c r="T321" s="3" t="str">
        <f>IFERROR(MID(VLOOKUP($B321,Seqs!$A:$B,2,0),U321,1),"")</f>
        <v>S</v>
      </c>
      <c r="U321" s="3">
        <v>225</v>
      </c>
      <c r="V321" s="3" t="str">
        <f>IFERROR(MID(VLOOKUP($B321,Seqs!$A:$B,2,0),W321,1),"")</f>
        <v>F</v>
      </c>
      <c r="W321" s="3">
        <v>257</v>
      </c>
      <c r="X321" s="3" t="str">
        <f>IFERROR(MID(VLOOKUP($B321,Seqs!$A:$B,2,0),Y321,1),"")</f>
        <v/>
      </c>
      <c r="Y321" s="3" t="s">
        <v>23</v>
      </c>
      <c r="Z321" s="3" t="str">
        <f>IFERROR(MID(VLOOKUP($B321,Seqs!$A:$B,2,0),AA321,1),"")</f>
        <v/>
      </c>
      <c r="AA321" s="3" t="s">
        <v>23</v>
      </c>
      <c r="AB321" s="3" t="str">
        <f>IFERROR(MID(VLOOKUP($B321,Seqs!$A:$B,2,0),AC321,1),"")</f>
        <v>S</v>
      </c>
      <c r="AC321" s="3">
        <v>261</v>
      </c>
      <c r="AD321" s="3" t="str">
        <f>IFERROR(MID(VLOOKUP($B321,Seqs!$A:$B,2,0),AE321,1),"")</f>
        <v>E</v>
      </c>
      <c r="AE321" s="3">
        <v>292</v>
      </c>
      <c r="AF321" s="3" t="str">
        <f>IFERROR(MID(VLOOKUP($B321,Seqs!$A:$B,2,0),AG321,1),"")</f>
        <v>C</v>
      </c>
      <c r="AG321" s="3">
        <v>296</v>
      </c>
      <c r="AH321" s="3" t="str">
        <f>IFERROR(MID(VLOOKUP($B321,Seqs!$A:$B,2,0),AI321,1),"")</f>
        <v>T</v>
      </c>
      <c r="AI321" s="3">
        <v>298</v>
      </c>
      <c r="AJ321" s="3" t="str">
        <f>IFERROR(MID(VLOOKUP($B321,Seqs!$A:$B,2,0),AK321,1),"")</f>
        <v>N</v>
      </c>
      <c r="AK321" s="3">
        <v>302</v>
      </c>
      <c r="AL321" s="3" t="str">
        <f>IFERROR(MID(VLOOKUP($B321,Seqs!$A:$B,2,0),AM321,1),"")</f>
        <v>A</v>
      </c>
      <c r="AM321" s="3">
        <v>337</v>
      </c>
      <c r="AN321" s="3" t="str">
        <f>IFERROR(MID(VLOOKUP($B321,Seqs!$A:$B,2,0),AO321,1),"")</f>
        <v>D</v>
      </c>
      <c r="AO321" s="3">
        <v>344</v>
      </c>
      <c r="AP321" s="3" t="str">
        <f>IFERROR(MID(VLOOKUP($B321,Seqs!$A:$B,2,0),AQ321,1),"")</f>
        <v>F</v>
      </c>
      <c r="AQ321" s="3">
        <v>369</v>
      </c>
      <c r="AR321" s="3" t="str">
        <f>IFERROR(MID(VLOOKUP($B321,Seqs!$A:$B,2,0),AS321,1),"")</f>
        <v>R</v>
      </c>
      <c r="AS321" s="3">
        <v>380</v>
      </c>
      <c r="AT321" s="3" t="str">
        <f>IFERROR(MID(VLOOKUP($B321,Seqs!$A:$B,2,0),AU321,1),"")</f>
        <v>V</v>
      </c>
      <c r="AU321" s="3">
        <v>405</v>
      </c>
      <c r="AV321" s="3" t="str">
        <f>IFERROR(MID(VLOOKUP($B321,Seqs!$A:$B,2,0),AW321,1),"")</f>
        <v>N</v>
      </c>
      <c r="AW321" s="3">
        <v>406</v>
      </c>
      <c r="AX321" s="3" t="str">
        <f>IFERROR(MID(VLOOKUP($B321,Seqs!$A:$B,2,0),AY321,1),"")</f>
        <v>E</v>
      </c>
      <c r="AY321" s="3">
        <v>423</v>
      </c>
      <c r="AZ321" s="77" t="str">
        <f>VLOOKUP(B321,Classification!A:D,2,0)</f>
        <v>B1</v>
      </c>
      <c r="BA321" s="94" t="str">
        <f>VLOOKUP(B321,Classification!A:D,4,0)</f>
        <v>Glucagonreceptorfamily</v>
      </c>
      <c r="BB321" s="27" t="b">
        <f t="shared" si="1566"/>
        <v>1</v>
      </c>
      <c r="BC321" s="23">
        <f t="shared" si="1567"/>
        <v>241</v>
      </c>
      <c r="BD321" s="4" t="s">
        <v>1381</v>
      </c>
      <c r="BE321" s="3" t="s">
        <v>1297</v>
      </c>
      <c r="BF321" s="119">
        <v>3.3</v>
      </c>
      <c r="BG321" s="49" t="s">
        <v>1432</v>
      </c>
      <c r="BH321" s="49" t="s">
        <v>1432</v>
      </c>
      <c r="BI321" s="1"/>
      <c r="BJ321" s="70" t="s">
        <v>1293</v>
      </c>
      <c r="BK321" s="57" t="s">
        <v>1293</v>
      </c>
      <c r="BL321" s="57" t="s">
        <v>1293</v>
      </c>
      <c r="BM321" s="57" t="s">
        <v>1293</v>
      </c>
      <c r="BN321" s="57" t="s">
        <v>1293</v>
      </c>
      <c r="BO321" s="57" t="s">
        <v>1293</v>
      </c>
      <c r="BP321" s="57" t="s">
        <v>1293</v>
      </c>
      <c r="BQ321" s="57" t="s">
        <v>1293</v>
      </c>
      <c r="BR321" s="57" t="s">
        <v>1293</v>
      </c>
      <c r="BS321" s="57" t="s">
        <v>1293</v>
      </c>
      <c r="BT321" s="57" t="s">
        <v>1293</v>
      </c>
      <c r="BU321" s="57" t="s">
        <v>1293</v>
      </c>
      <c r="BV321" s="70">
        <f t="shared" si="1568"/>
        <v>138</v>
      </c>
      <c r="BW321" s="71" t="str">
        <f t="shared" si="1569"/>
        <v>-</v>
      </c>
      <c r="BX321" s="72">
        <f t="shared" si="1570"/>
        <v>174</v>
      </c>
      <c r="BY321" s="71" t="str">
        <f t="shared" si="1571"/>
        <v>-</v>
      </c>
      <c r="BZ321" s="72">
        <f t="shared" si="1572"/>
        <v>225</v>
      </c>
      <c r="CA321" s="71" t="str">
        <f t="shared" si="1573"/>
        <v>-</v>
      </c>
      <c r="CB321" s="72">
        <f t="shared" si="1574"/>
        <v>261</v>
      </c>
      <c r="CC321" s="71">
        <f t="shared" si="1575"/>
        <v>296</v>
      </c>
      <c r="CD321" s="72">
        <f t="shared" si="1576"/>
        <v>302</v>
      </c>
      <c r="CE321" s="71">
        <f t="shared" si="1577"/>
        <v>344</v>
      </c>
      <c r="CF321" s="72">
        <f t="shared" si="1578"/>
        <v>380</v>
      </c>
      <c r="CG321" s="71">
        <f t="shared" si="1579"/>
        <v>406</v>
      </c>
      <c r="CH321" s="70">
        <f t="shared" si="1580"/>
        <v>169</v>
      </c>
      <c r="CI321" s="71" t="str">
        <f t="shared" si="1581"/>
        <v>-</v>
      </c>
      <c r="CJ321" s="72">
        <f t="shared" si="1582"/>
        <v>205</v>
      </c>
      <c r="CK321" s="72" t="str">
        <f t="shared" si="1583"/>
        <v>-</v>
      </c>
      <c r="CL321" s="72">
        <f t="shared" si="1584"/>
        <v>257</v>
      </c>
      <c r="CM321" s="72" t="str">
        <f t="shared" si="1585"/>
        <v>-</v>
      </c>
      <c r="CN321" s="72">
        <f t="shared" si="1586"/>
        <v>292</v>
      </c>
      <c r="CO321" s="72">
        <f t="shared" si="1587"/>
        <v>298</v>
      </c>
      <c r="CP321" s="72">
        <f t="shared" si="1588"/>
        <v>337</v>
      </c>
      <c r="CQ321" s="72">
        <f t="shared" si="1589"/>
        <v>369</v>
      </c>
      <c r="CR321" s="72">
        <f t="shared" si="1590"/>
        <v>405</v>
      </c>
      <c r="CS321" s="72">
        <f t="shared" si="1591"/>
        <v>423</v>
      </c>
      <c r="CT321" s="23" t="e">
        <f t="shared" si="1592"/>
        <v>#VALUE!</v>
      </c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  <c r="ADW321" s="1"/>
      <c r="ADX321" s="1"/>
      <c r="ADY321" s="1"/>
      <c r="ADZ321" s="1"/>
      <c r="AEA321" s="1"/>
      <c r="AEB321" s="1"/>
      <c r="AEC321" s="1"/>
      <c r="AED321" s="1"/>
      <c r="AEE321" s="1"/>
      <c r="AEF321" s="1"/>
      <c r="AEG321" s="1"/>
      <c r="AEH321" s="1"/>
      <c r="AEI321" s="1"/>
      <c r="AEJ321" s="1"/>
      <c r="AEK321" s="1"/>
      <c r="AEL321" s="1"/>
      <c r="AEM321" s="1"/>
      <c r="AEN321" s="1"/>
      <c r="AEO321" s="1"/>
      <c r="AEP321" s="1"/>
      <c r="AEQ321" s="1"/>
      <c r="AER321" s="1"/>
      <c r="AES321" s="1"/>
      <c r="AET321" s="1"/>
      <c r="AEU321" s="1"/>
      <c r="AEV321" s="1"/>
      <c r="AEW321" s="1"/>
      <c r="AEX321" s="1"/>
      <c r="AEY321" s="1"/>
      <c r="AEZ321" s="1"/>
      <c r="AFA321" s="1"/>
      <c r="AFB321" s="1"/>
      <c r="AFC321" s="1"/>
      <c r="AFD321" s="1"/>
      <c r="AFE321" s="1"/>
      <c r="AFF321" s="1"/>
      <c r="AFG321" s="1"/>
      <c r="AFH321" s="1"/>
      <c r="AFI321" s="1"/>
      <c r="AFJ321" s="1"/>
      <c r="AFK321" s="1"/>
      <c r="AFL321" s="1"/>
      <c r="AFM321" s="1"/>
      <c r="AFN321" s="1"/>
      <c r="AFO321" s="1"/>
      <c r="AFP321" s="1"/>
      <c r="AFQ321" s="1"/>
      <c r="AFR321" s="1"/>
      <c r="AFS321" s="1"/>
      <c r="AFT321" s="1"/>
      <c r="AFU321" s="1"/>
      <c r="AFV321" s="1"/>
      <c r="AFW321" s="1"/>
      <c r="AFX321" s="1"/>
      <c r="AFY321" s="1"/>
      <c r="AFZ321" s="1"/>
      <c r="AGA321" s="1"/>
      <c r="AGB321" s="1"/>
      <c r="AGC321" s="1"/>
      <c r="AGD321" s="1"/>
      <c r="AGE321" s="1"/>
      <c r="AGF321" s="1"/>
      <c r="AGG321" s="1"/>
      <c r="AGH321" s="1"/>
      <c r="AGI321" s="1"/>
      <c r="AGJ321" s="1"/>
      <c r="AGK321" s="1"/>
      <c r="AGL321" s="1"/>
      <c r="AGM321" s="1"/>
      <c r="AGN321" s="1"/>
      <c r="AGO321" s="1"/>
      <c r="AGP321" s="1"/>
      <c r="AGQ321" s="1"/>
      <c r="AGR321" s="1"/>
      <c r="AGS321" s="1"/>
      <c r="AGT321" s="1"/>
      <c r="AGU321" s="1"/>
      <c r="AGV321" s="1"/>
      <c r="AGW321" s="1"/>
      <c r="AGX321" s="1"/>
      <c r="AGY321" s="1"/>
      <c r="AGZ321" s="1"/>
      <c r="AHA321" s="1"/>
      <c r="AHB321" s="1"/>
      <c r="AHC321" s="1"/>
      <c r="AHD321" s="1"/>
      <c r="AHE321" s="1"/>
      <c r="AHF321" s="1"/>
      <c r="AHG321" s="1"/>
      <c r="AHH321" s="1"/>
      <c r="AHI321" s="1"/>
      <c r="AHJ321" s="1"/>
      <c r="AHK321" s="1"/>
      <c r="AHL321" s="1"/>
      <c r="AHM321" s="1"/>
      <c r="AHN321" s="1"/>
      <c r="AHO321" s="1"/>
      <c r="AHP321" s="1"/>
      <c r="AHQ321" s="1"/>
      <c r="AHR321" s="1"/>
      <c r="AHS321" s="1"/>
      <c r="AHT321" s="1"/>
      <c r="AHU321" s="1"/>
      <c r="AHV321" s="1"/>
      <c r="AHW321" s="1"/>
      <c r="AHX321" s="1"/>
      <c r="AHY321" s="1"/>
      <c r="AHZ321" s="1"/>
      <c r="AIA321" s="1"/>
      <c r="AIB321" s="1"/>
      <c r="AIC321" s="1"/>
      <c r="AID321" s="1"/>
      <c r="AIE321" s="1"/>
      <c r="AIF321" s="1"/>
      <c r="AIG321" s="1"/>
      <c r="AIH321" s="1"/>
      <c r="AII321" s="1"/>
      <c r="AIJ321" s="1"/>
      <c r="AIK321" s="1"/>
      <c r="AIL321" s="1"/>
      <c r="AIM321" s="1"/>
      <c r="AIN321" s="1"/>
      <c r="AIO321" s="1"/>
      <c r="AIP321" s="1"/>
      <c r="AIQ321" s="1"/>
      <c r="AIR321" s="1"/>
      <c r="AIS321" s="1"/>
      <c r="AIT321" s="1"/>
      <c r="AIU321" s="1"/>
      <c r="AIV321" s="1"/>
      <c r="AIW321" s="1"/>
      <c r="AIX321" s="1"/>
      <c r="AIY321" s="1"/>
      <c r="AIZ321" s="1"/>
      <c r="AJA321" s="1"/>
      <c r="AJB321" s="1"/>
      <c r="AJC321" s="1"/>
      <c r="AJD321" s="1"/>
      <c r="AJE321" s="1"/>
      <c r="AJF321" s="1"/>
      <c r="AJG321" s="1"/>
      <c r="AJH321" s="1"/>
      <c r="AJI321" s="1"/>
      <c r="AJJ321" s="1"/>
      <c r="AJK321" s="1"/>
      <c r="AJL321" s="1"/>
      <c r="AJM321" s="1"/>
      <c r="AJN321" s="1"/>
      <c r="AJO321" s="1"/>
      <c r="AJP321" s="1"/>
      <c r="AJQ321" s="1"/>
      <c r="AJR321" s="1"/>
      <c r="AJS321" s="1"/>
      <c r="AJT321" s="1"/>
      <c r="AJU321" s="1"/>
      <c r="AJV321" s="1"/>
      <c r="AJW321" s="1"/>
      <c r="AJX321" s="1"/>
      <c r="AJY321" s="1"/>
      <c r="AJZ321" s="1"/>
      <c r="AKA321" s="1"/>
      <c r="AKB321" s="1"/>
      <c r="AKC321" s="1"/>
      <c r="AKD321" s="1"/>
      <c r="AKE321" s="1"/>
      <c r="AKF321" s="1"/>
      <c r="AKG321" s="1"/>
      <c r="AKH321" s="1"/>
      <c r="AKI321" s="1"/>
      <c r="AKJ321" s="1"/>
      <c r="AKK321" s="1"/>
      <c r="AKL321" s="1"/>
      <c r="AKM321" s="1"/>
      <c r="AKN321" s="1"/>
      <c r="AKO321" s="1"/>
      <c r="AKP321" s="1"/>
      <c r="AKQ321" s="1"/>
      <c r="AKR321" s="1"/>
      <c r="AKS321" s="1"/>
      <c r="AKT321" s="1"/>
      <c r="AKU321" s="1"/>
      <c r="AKV321" s="1"/>
      <c r="AKW321" s="1"/>
      <c r="AKX321" s="1"/>
      <c r="AKY321" s="1"/>
      <c r="AKZ321" s="1"/>
      <c r="ALA321" s="1"/>
      <c r="ALB321" s="1"/>
      <c r="ALC321" s="1"/>
      <c r="ALD321" s="1"/>
      <c r="ALE321" s="1"/>
      <c r="ALF321" s="1"/>
      <c r="ALG321" s="1"/>
      <c r="ALH321" s="1"/>
      <c r="ALI321" s="1"/>
      <c r="ALJ321" s="1"/>
      <c r="ALK321" s="1"/>
      <c r="ALL321" s="1"/>
      <c r="ALM321" s="1"/>
      <c r="ALN321" s="1"/>
      <c r="ALO321" s="1"/>
      <c r="ALP321" s="1"/>
      <c r="ALQ321" s="1"/>
      <c r="ALR321" s="1"/>
      <c r="ALS321" s="1"/>
      <c r="ALT321" s="1"/>
      <c r="ALU321" s="1"/>
      <c r="ALV321" s="1"/>
      <c r="ALW321" s="1"/>
      <c r="ALX321" s="1"/>
      <c r="ALY321" s="1"/>
      <c r="ALZ321" s="1"/>
      <c r="AMA321" s="1"/>
      <c r="AMB321" s="1"/>
      <c r="AMC321" s="1"/>
      <c r="AMD321" s="1"/>
      <c r="AME321" s="1"/>
      <c r="AMF321" s="1"/>
      <c r="AMG321" s="1"/>
      <c r="AMH321" s="1"/>
      <c r="AMI321" s="1"/>
      <c r="AMJ321" s="1"/>
      <c r="AMK321" s="1"/>
      <c r="AML321" s="1"/>
      <c r="AMM321" s="1"/>
      <c r="AMN321" s="1"/>
      <c r="AMO321" s="1"/>
    </row>
    <row r="322" spans="1:1030" x14ac:dyDescent="0.2">
      <c r="A322" s="3" t="str">
        <f t="shared" si="1565"/>
        <v>g1sgd4_rabit__wt</v>
      </c>
      <c r="B322" s="3" t="s">
        <v>1429</v>
      </c>
      <c r="C322" s="3" t="s">
        <v>100</v>
      </c>
      <c r="D322" s="3" t="str">
        <f>IFERROR(MID(VLOOKUP($B322,Seqs!$A:$B,2,0),E322,1),"")</f>
        <v>P</v>
      </c>
      <c r="E322" s="3">
        <v>137</v>
      </c>
      <c r="F322" s="3" t="str">
        <f>IFERROR(MID(VLOOKUP($B322,Seqs!$A:$B,2,0),G322,1),"")</f>
        <v>F</v>
      </c>
      <c r="G322" s="3">
        <v>169</v>
      </c>
      <c r="H322" s="3" t="str">
        <f>IFERROR(MID(VLOOKUP($B322,Seqs!$A:$B,2,0),I322,1),"")</f>
        <v>R</v>
      </c>
      <c r="I322" s="23">
        <v>170</v>
      </c>
      <c r="J322" s="3" t="str">
        <f>IFERROR(MID(VLOOKUP($B322,Seqs!$A:$B,2,0),K322,1),"")</f>
        <v>H</v>
      </c>
      <c r="K322" s="23">
        <v>173</v>
      </c>
      <c r="L322" s="3" t="str">
        <f>IFERROR(MID(VLOOKUP($B322,Seqs!$A:$B,2,0),M322,1),"")</f>
        <v>C</v>
      </c>
      <c r="M322" s="23">
        <v>174</v>
      </c>
      <c r="N322" s="3" t="str">
        <f>IFERROR(MID(VLOOKUP($B322,Seqs!$A:$B,2,0),O322,1),"")</f>
        <v>Q</v>
      </c>
      <c r="O322" s="3">
        <v>211</v>
      </c>
      <c r="P322" s="3" t="str">
        <f>IFERROR(MID(VLOOKUP($B322,Seqs!$A:$B,2,0),Q322,1),"")</f>
        <v/>
      </c>
      <c r="Q322" s="3" t="s">
        <v>23</v>
      </c>
      <c r="R322" s="3" t="str">
        <f>IFERROR(MID(VLOOKUP($B322,Seqs!$A:$B,2,0),S322,1),"")</f>
        <v/>
      </c>
      <c r="S322" s="3" t="s">
        <v>23</v>
      </c>
      <c r="T322" s="3" t="str">
        <f>IFERROR(MID(VLOOKUP($B322,Seqs!$A:$B,2,0),U322,1),"")</f>
        <v>L</v>
      </c>
      <c r="U322" s="3">
        <v>224</v>
      </c>
      <c r="V322" s="3" t="str">
        <f>IFERROR(MID(VLOOKUP($B322,Seqs!$A:$B,2,0),W322,1),"")</f>
        <v>F</v>
      </c>
      <c r="W322" s="3">
        <v>257</v>
      </c>
      <c r="X322" s="3" t="str">
        <f>IFERROR(MID(VLOOKUP($B322,Seqs!$A:$B,2,0),Y322,1),"")</f>
        <v/>
      </c>
      <c r="Y322" s="3" t="s">
        <v>23</v>
      </c>
      <c r="Z322" s="3" t="str">
        <f>IFERROR(MID(VLOOKUP($B322,Seqs!$A:$B,2,0),AA322,1),"")</f>
        <v/>
      </c>
      <c r="AA322" s="3" t="s">
        <v>23</v>
      </c>
      <c r="AB322" s="3" t="str">
        <f>IFERROR(MID(VLOOKUP($B322,Seqs!$A:$B,2,0),AC322,1),"")</f>
        <v>S</v>
      </c>
      <c r="AC322" s="3">
        <v>261</v>
      </c>
      <c r="AD322" s="3" t="str">
        <f>IFERROR(MID(VLOOKUP($B322,Seqs!$A:$B,2,0),AE322,1),"")</f>
        <v>E</v>
      </c>
      <c r="AE322" s="3">
        <v>292</v>
      </c>
      <c r="AF322" s="3" t="str">
        <f>IFERROR(MID(VLOOKUP($B322,Seqs!$A:$B,2,0),AG322,1),"")</f>
        <v>C</v>
      </c>
      <c r="AG322" s="3">
        <v>296</v>
      </c>
      <c r="AH322" s="3" t="str">
        <f>IFERROR(MID(VLOOKUP($B322,Seqs!$A:$B,2,0),AI322,1),"")</f>
        <v>T</v>
      </c>
      <c r="AI322" s="3">
        <v>298</v>
      </c>
      <c r="AJ322" s="3" t="str">
        <f>IFERROR(MID(VLOOKUP($B322,Seqs!$A:$B,2,0),AK322,1),"")</f>
        <v>Y</v>
      </c>
      <c r="AK322" s="3">
        <v>305</v>
      </c>
      <c r="AL322" s="3" t="str">
        <f>IFERROR(MID(VLOOKUP($B322,Seqs!$A:$B,2,0),AM322,1),"")</f>
        <v>A</v>
      </c>
      <c r="AM322" s="3">
        <v>337</v>
      </c>
      <c r="AN322" s="3" t="str">
        <f>IFERROR(MID(VLOOKUP($B322,Seqs!$A:$B,2,0),AO322,1),"")</f>
        <v>K</v>
      </c>
      <c r="AO322" s="3">
        <v>346</v>
      </c>
      <c r="AP322" s="3" t="str">
        <f>IFERROR(MID(VLOOKUP($B322,Seqs!$A:$B,2,0),AQ322,1),"")</f>
        <v>F</v>
      </c>
      <c r="AQ322" s="3">
        <v>369</v>
      </c>
      <c r="AR322" s="3" t="str">
        <f>IFERROR(MID(VLOOKUP($B322,Seqs!$A:$B,2,0),AS322,1),"")</f>
        <v>L</v>
      </c>
      <c r="AS322" s="3">
        <v>379</v>
      </c>
      <c r="AT322" s="3" t="str">
        <f>IFERROR(MID(VLOOKUP($B322,Seqs!$A:$B,2,0),AU322,1),"")</f>
        <v>V</v>
      </c>
      <c r="AU322" s="3">
        <v>405</v>
      </c>
      <c r="AV322" s="3" t="str">
        <f>IFERROR(MID(VLOOKUP($B322,Seqs!$A:$B,2,0),AW322,1),"")</f>
        <v>N</v>
      </c>
      <c r="AW322" s="3">
        <v>406</v>
      </c>
      <c r="AX322" s="3" t="str">
        <f>IFERROR(MID(VLOOKUP($B322,Seqs!$A:$B,2,0),AY322,1),"")</f>
        <v>S</v>
      </c>
      <c r="AY322" s="3">
        <v>431</v>
      </c>
      <c r="AZ322" s="77" t="str">
        <f>VLOOKUP(B322,Classification!A:D,2,0)</f>
        <v>B1</v>
      </c>
      <c r="BA322" s="94" t="str">
        <f>VLOOKUP(B322,Classification!A:D,4,0)</f>
        <v>Glucagonreceptorfamily</v>
      </c>
      <c r="BB322" s="27" t="b">
        <f t="shared" si="1566"/>
        <v>1</v>
      </c>
      <c r="BC322" s="23">
        <f t="shared" si="1567"/>
        <v>256</v>
      </c>
      <c r="BD322" s="4" t="s">
        <v>23</v>
      </c>
      <c r="BE322" s="3" t="s">
        <v>23</v>
      </c>
      <c r="BF322" s="119" t="s">
        <v>23</v>
      </c>
      <c r="BI322" s="1"/>
      <c r="BJ322" s="70" t="s">
        <v>1293</v>
      </c>
      <c r="BK322" s="57" t="s">
        <v>1293</v>
      </c>
      <c r="BL322" s="57" t="s">
        <v>1293</v>
      </c>
      <c r="BM322" s="57" t="s">
        <v>1293</v>
      </c>
      <c r="BN322" s="57" t="s">
        <v>1293</v>
      </c>
      <c r="BO322" s="57" t="s">
        <v>1293</v>
      </c>
      <c r="BP322" s="57" t="s">
        <v>1293</v>
      </c>
      <c r="BQ322" s="57" t="s">
        <v>1293</v>
      </c>
      <c r="BR322" s="57" t="s">
        <v>1293</v>
      </c>
      <c r="BS322" s="57" t="s">
        <v>1293</v>
      </c>
      <c r="BT322" s="57" t="s">
        <v>1293</v>
      </c>
      <c r="BU322" s="57" t="s">
        <v>1293</v>
      </c>
      <c r="BV322" s="70">
        <f t="shared" si="1568"/>
        <v>137</v>
      </c>
      <c r="BW322" s="71">
        <f t="shared" si="1569"/>
        <v>170</v>
      </c>
      <c r="BX322" s="72">
        <f t="shared" si="1570"/>
        <v>174</v>
      </c>
      <c r="BY322" s="71" t="str">
        <f t="shared" si="1571"/>
        <v>-</v>
      </c>
      <c r="BZ322" s="72">
        <f t="shared" si="1572"/>
        <v>224</v>
      </c>
      <c r="CA322" s="71" t="str">
        <f t="shared" si="1573"/>
        <v>-</v>
      </c>
      <c r="CB322" s="72">
        <f t="shared" si="1574"/>
        <v>261</v>
      </c>
      <c r="CC322" s="71">
        <f t="shared" si="1575"/>
        <v>296</v>
      </c>
      <c r="CD322" s="72">
        <f t="shared" si="1576"/>
        <v>305</v>
      </c>
      <c r="CE322" s="71">
        <f t="shared" si="1577"/>
        <v>346</v>
      </c>
      <c r="CF322" s="72">
        <f t="shared" si="1578"/>
        <v>379</v>
      </c>
      <c r="CG322" s="71">
        <f t="shared" si="1579"/>
        <v>406</v>
      </c>
      <c r="CH322" s="70">
        <f t="shared" si="1580"/>
        <v>169</v>
      </c>
      <c r="CI322" s="71">
        <f t="shared" si="1581"/>
        <v>173</v>
      </c>
      <c r="CJ322" s="72">
        <f t="shared" si="1582"/>
        <v>211</v>
      </c>
      <c r="CK322" s="72" t="str">
        <f t="shared" si="1583"/>
        <v>-</v>
      </c>
      <c r="CL322" s="72">
        <f t="shared" si="1584"/>
        <v>257</v>
      </c>
      <c r="CM322" s="72" t="str">
        <f t="shared" si="1585"/>
        <v>-</v>
      </c>
      <c r="CN322" s="72">
        <f t="shared" si="1586"/>
        <v>292</v>
      </c>
      <c r="CO322" s="72">
        <f t="shared" si="1587"/>
        <v>298</v>
      </c>
      <c r="CP322" s="72">
        <f t="shared" si="1588"/>
        <v>337</v>
      </c>
      <c r="CQ322" s="72">
        <f t="shared" si="1589"/>
        <v>369</v>
      </c>
      <c r="CR322" s="72">
        <f t="shared" si="1590"/>
        <v>405</v>
      </c>
      <c r="CS322" s="72">
        <f t="shared" si="1591"/>
        <v>431</v>
      </c>
      <c r="CT322" s="23">
        <f t="shared" si="1592"/>
        <v>1</v>
      </c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  <c r="ADW322" s="1"/>
      <c r="ADX322" s="1"/>
      <c r="ADY322" s="1"/>
      <c r="ADZ322" s="1"/>
      <c r="AEA322" s="1"/>
      <c r="AEB322" s="1"/>
      <c r="AEC322" s="1"/>
      <c r="AED322" s="1"/>
      <c r="AEE322" s="1"/>
      <c r="AEF322" s="1"/>
      <c r="AEG322" s="1"/>
      <c r="AEH322" s="1"/>
      <c r="AEI322" s="1"/>
      <c r="AEJ322" s="1"/>
      <c r="AEK322" s="1"/>
      <c r="AEL322" s="1"/>
      <c r="AEM322" s="1"/>
      <c r="AEN322" s="1"/>
      <c r="AEO322" s="1"/>
      <c r="AEP322" s="1"/>
      <c r="AEQ322" s="1"/>
      <c r="AER322" s="1"/>
      <c r="AES322" s="1"/>
      <c r="AET322" s="1"/>
      <c r="AEU322" s="1"/>
      <c r="AEV322" s="1"/>
      <c r="AEW322" s="1"/>
      <c r="AEX322" s="1"/>
      <c r="AEY322" s="1"/>
      <c r="AEZ322" s="1"/>
      <c r="AFA322" s="1"/>
      <c r="AFB322" s="1"/>
      <c r="AFC322" s="1"/>
      <c r="AFD322" s="1"/>
      <c r="AFE322" s="1"/>
      <c r="AFF322" s="1"/>
      <c r="AFG322" s="1"/>
      <c r="AFH322" s="1"/>
      <c r="AFI322" s="1"/>
      <c r="AFJ322" s="1"/>
      <c r="AFK322" s="1"/>
      <c r="AFL322" s="1"/>
      <c r="AFM322" s="1"/>
      <c r="AFN322" s="1"/>
      <c r="AFO322" s="1"/>
      <c r="AFP322" s="1"/>
      <c r="AFQ322" s="1"/>
      <c r="AFR322" s="1"/>
      <c r="AFS322" s="1"/>
      <c r="AFT322" s="1"/>
      <c r="AFU322" s="1"/>
      <c r="AFV322" s="1"/>
      <c r="AFW322" s="1"/>
      <c r="AFX322" s="1"/>
      <c r="AFY322" s="1"/>
      <c r="AFZ322" s="1"/>
      <c r="AGA322" s="1"/>
      <c r="AGB322" s="1"/>
      <c r="AGC322" s="1"/>
      <c r="AGD322" s="1"/>
      <c r="AGE322" s="1"/>
      <c r="AGF322" s="1"/>
      <c r="AGG322" s="1"/>
      <c r="AGH322" s="1"/>
      <c r="AGI322" s="1"/>
      <c r="AGJ322" s="1"/>
      <c r="AGK322" s="1"/>
      <c r="AGL322" s="1"/>
      <c r="AGM322" s="1"/>
      <c r="AGN322" s="1"/>
      <c r="AGO322" s="1"/>
      <c r="AGP322" s="1"/>
      <c r="AGQ322" s="1"/>
      <c r="AGR322" s="1"/>
      <c r="AGS322" s="1"/>
      <c r="AGT322" s="1"/>
      <c r="AGU322" s="1"/>
      <c r="AGV322" s="1"/>
      <c r="AGW322" s="1"/>
      <c r="AGX322" s="1"/>
      <c r="AGY322" s="1"/>
      <c r="AGZ322" s="1"/>
      <c r="AHA322" s="1"/>
      <c r="AHB322" s="1"/>
      <c r="AHC322" s="1"/>
      <c r="AHD322" s="1"/>
      <c r="AHE322" s="1"/>
      <c r="AHF322" s="1"/>
      <c r="AHG322" s="1"/>
      <c r="AHH322" s="1"/>
      <c r="AHI322" s="1"/>
      <c r="AHJ322" s="1"/>
      <c r="AHK322" s="1"/>
      <c r="AHL322" s="1"/>
      <c r="AHM322" s="1"/>
      <c r="AHN322" s="1"/>
      <c r="AHO322" s="1"/>
      <c r="AHP322" s="1"/>
      <c r="AHQ322" s="1"/>
      <c r="AHR322" s="1"/>
      <c r="AHS322" s="1"/>
      <c r="AHT322" s="1"/>
      <c r="AHU322" s="1"/>
      <c r="AHV322" s="1"/>
      <c r="AHW322" s="1"/>
      <c r="AHX322" s="1"/>
      <c r="AHY322" s="1"/>
      <c r="AHZ322" s="1"/>
      <c r="AIA322" s="1"/>
      <c r="AIB322" s="1"/>
      <c r="AIC322" s="1"/>
      <c r="AID322" s="1"/>
      <c r="AIE322" s="1"/>
      <c r="AIF322" s="1"/>
      <c r="AIG322" s="1"/>
      <c r="AIH322" s="1"/>
      <c r="AII322" s="1"/>
      <c r="AIJ322" s="1"/>
      <c r="AIK322" s="1"/>
      <c r="AIL322" s="1"/>
      <c r="AIM322" s="1"/>
      <c r="AIN322" s="1"/>
      <c r="AIO322" s="1"/>
      <c r="AIP322" s="1"/>
      <c r="AIQ322" s="1"/>
      <c r="AIR322" s="1"/>
      <c r="AIS322" s="1"/>
      <c r="AIT322" s="1"/>
      <c r="AIU322" s="1"/>
      <c r="AIV322" s="1"/>
      <c r="AIW322" s="1"/>
      <c r="AIX322" s="1"/>
      <c r="AIY322" s="1"/>
      <c r="AIZ322" s="1"/>
      <c r="AJA322" s="1"/>
      <c r="AJB322" s="1"/>
      <c r="AJC322" s="1"/>
      <c r="AJD322" s="1"/>
      <c r="AJE322" s="1"/>
      <c r="AJF322" s="1"/>
      <c r="AJG322" s="1"/>
      <c r="AJH322" s="1"/>
      <c r="AJI322" s="1"/>
      <c r="AJJ322" s="1"/>
      <c r="AJK322" s="1"/>
      <c r="AJL322" s="1"/>
      <c r="AJM322" s="1"/>
      <c r="AJN322" s="1"/>
      <c r="AJO322" s="1"/>
      <c r="AJP322" s="1"/>
      <c r="AJQ322" s="1"/>
      <c r="AJR322" s="1"/>
      <c r="AJS322" s="1"/>
      <c r="AJT322" s="1"/>
      <c r="AJU322" s="1"/>
      <c r="AJV322" s="1"/>
      <c r="AJW322" s="1"/>
      <c r="AJX322" s="1"/>
      <c r="AJY322" s="1"/>
      <c r="AJZ322" s="1"/>
      <c r="AKA322" s="1"/>
      <c r="AKB322" s="1"/>
      <c r="AKC322" s="1"/>
      <c r="AKD322" s="1"/>
      <c r="AKE322" s="1"/>
      <c r="AKF322" s="1"/>
      <c r="AKG322" s="1"/>
      <c r="AKH322" s="1"/>
      <c r="AKI322" s="1"/>
      <c r="AKJ322" s="1"/>
      <c r="AKK322" s="1"/>
      <c r="AKL322" s="1"/>
      <c r="AKM322" s="1"/>
      <c r="AKN322" s="1"/>
      <c r="AKO322" s="1"/>
      <c r="AKP322" s="1"/>
      <c r="AKQ322" s="1"/>
      <c r="AKR322" s="1"/>
      <c r="AKS322" s="1"/>
      <c r="AKT322" s="1"/>
      <c r="AKU322" s="1"/>
      <c r="AKV322" s="1"/>
      <c r="AKW322" s="1"/>
      <c r="AKX322" s="1"/>
      <c r="AKY322" s="1"/>
      <c r="AKZ322" s="1"/>
      <c r="ALA322" s="1"/>
      <c r="ALB322" s="1"/>
      <c r="ALC322" s="1"/>
      <c r="ALD322" s="1"/>
      <c r="ALE322" s="1"/>
      <c r="ALF322" s="1"/>
      <c r="ALG322" s="1"/>
      <c r="ALH322" s="1"/>
      <c r="ALI322" s="1"/>
      <c r="ALJ322" s="1"/>
      <c r="ALK322" s="1"/>
      <c r="ALL322" s="1"/>
      <c r="ALM322" s="1"/>
      <c r="ALN322" s="1"/>
      <c r="ALO322" s="1"/>
      <c r="ALP322" s="1"/>
      <c r="ALQ322" s="1"/>
      <c r="ALR322" s="1"/>
      <c r="ALS322" s="1"/>
      <c r="ALT322" s="1"/>
      <c r="ALU322" s="1"/>
      <c r="ALV322" s="1"/>
      <c r="ALW322" s="1"/>
      <c r="ALX322" s="1"/>
      <c r="ALY322" s="1"/>
      <c r="ALZ322" s="1"/>
      <c r="AMA322" s="1"/>
      <c r="AMB322" s="1"/>
      <c r="AMC322" s="1"/>
      <c r="AMD322" s="1"/>
      <c r="AME322" s="1"/>
      <c r="AMF322" s="1"/>
      <c r="AMG322" s="1"/>
      <c r="AMH322" s="1"/>
      <c r="AMI322" s="1"/>
      <c r="AMJ322" s="1"/>
      <c r="AMK322" s="1"/>
      <c r="AML322" s="1"/>
      <c r="AMM322" s="1"/>
      <c r="AMN322" s="1"/>
      <c r="AMO322" s="1"/>
    </row>
    <row r="323" spans="1:1030" x14ac:dyDescent="0.2">
      <c r="A323" s="3" t="str">
        <f t="shared" si="1565"/>
        <v>g1sgd4_rabit_5VAI</v>
      </c>
      <c r="B323" s="3" t="s">
        <v>1429</v>
      </c>
      <c r="C323" s="3" t="s">
        <v>1431</v>
      </c>
      <c r="D323" s="3" t="str">
        <f>IFERROR(MID(VLOOKUP($B323,Seqs!$A:$B,2,0),E323,1),"")</f>
        <v>P</v>
      </c>
      <c r="E323" s="3">
        <v>137</v>
      </c>
      <c r="F323" s="3" t="str">
        <f>IFERROR(MID(VLOOKUP($B323,Seqs!$A:$B,2,0),G323,1),"")</f>
        <v>G</v>
      </c>
      <c r="G323" s="3">
        <v>168</v>
      </c>
      <c r="H323" s="3" t="str">
        <f>IFERROR(MID(VLOOKUP($B323,Seqs!$A:$B,2,0),I323,1),"")</f>
        <v>R</v>
      </c>
      <c r="I323" s="23">
        <v>170</v>
      </c>
      <c r="J323" s="3" t="str">
        <f>IFERROR(MID(VLOOKUP($B323,Seqs!$A:$B,2,0),K323,1),"")</f>
        <v>H</v>
      </c>
      <c r="K323" s="23">
        <v>173</v>
      </c>
      <c r="L323" s="3" t="str">
        <f>IFERROR(MID(VLOOKUP($B323,Seqs!$A:$B,2,0),M323,1),"")</f>
        <v>C</v>
      </c>
      <c r="M323" s="23">
        <v>174</v>
      </c>
      <c r="N323" s="3" t="str">
        <f>IFERROR(MID(VLOOKUP($B323,Seqs!$A:$B,2,0),O323,1),"")</f>
        <v>Q</v>
      </c>
      <c r="O323" s="3">
        <v>211</v>
      </c>
      <c r="P323" s="3" t="str">
        <f>IFERROR(MID(VLOOKUP($B323,Seqs!$A:$B,2,0),Q323,1),"")</f>
        <v/>
      </c>
      <c r="Q323" s="3" t="s">
        <v>23</v>
      </c>
      <c r="R323" s="3" t="str">
        <f>IFERROR(MID(VLOOKUP($B323,Seqs!$A:$B,2,0),S323,1),"")</f>
        <v/>
      </c>
      <c r="S323" s="3" t="s">
        <v>23</v>
      </c>
      <c r="T323" s="3" t="str">
        <f>IFERROR(MID(VLOOKUP($B323,Seqs!$A:$B,2,0),U323,1),"")</f>
        <v>L</v>
      </c>
      <c r="U323" s="3">
        <v>224</v>
      </c>
      <c r="V323" s="3" t="str">
        <f>IFERROR(MID(VLOOKUP($B323,Seqs!$A:$B,2,0),W323,1),"")</f>
        <v>F</v>
      </c>
      <c r="W323" s="3">
        <v>257</v>
      </c>
      <c r="X323" s="3" t="str">
        <f>IFERROR(MID(VLOOKUP($B323,Seqs!$A:$B,2,0),Y323,1),"")</f>
        <v/>
      </c>
      <c r="Y323" s="3" t="s">
        <v>23</v>
      </c>
      <c r="Z323" s="3" t="str">
        <f>IFERROR(MID(VLOOKUP($B323,Seqs!$A:$B,2,0),AA323,1),"")</f>
        <v/>
      </c>
      <c r="AA323" s="3" t="s">
        <v>23</v>
      </c>
      <c r="AB323" s="3" t="str">
        <f>IFERROR(MID(VLOOKUP($B323,Seqs!$A:$B,2,0),AC323,1),"")</f>
        <v>S</v>
      </c>
      <c r="AC323" s="3">
        <v>261</v>
      </c>
      <c r="AD323" s="3" t="str">
        <f>IFERROR(MID(VLOOKUP($B323,Seqs!$A:$B,2,0),AE323,1),"")</f>
        <v>E</v>
      </c>
      <c r="AE323" s="3">
        <v>292</v>
      </c>
      <c r="AF323" s="3" t="str">
        <f>IFERROR(MID(VLOOKUP($B323,Seqs!$A:$B,2,0),AG323,1),"")</f>
        <v>C</v>
      </c>
      <c r="AG323" s="3">
        <v>296</v>
      </c>
      <c r="AH323" s="3" t="str">
        <f>IFERROR(MID(VLOOKUP($B323,Seqs!$A:$B,2,0),AI323,1),"")</f>
        <v>T</v>
      </c>
      <c r="AI323" s="3">
        <v>298</v>
      </c>
      <c r="AJ323" s="3" t="str">
        <f>IFERROR(MID(VLOOKUP($B323,Seqs!$A:$B,2,0),AK323,1),"")</f>
        <v>Y</v>
      </c>
      <c r="AK323" s="3">
        <v>305</v>
      </c>
      <c r="AL323" s="3" t="str">
        <f>IFERROR(MID(VLOOKUP($B323,Seqs!$A:$B,2,0),AM323,1),"")</f>
        <v>A</v>
      </c>
      <c r="AM323" s="3">
        <v>337</v>
      </c>
      <c r="AN323" s="3" t="str">
        <f>IFERROR(MID(VLOOKUP($B323,Seqs!$A:$B,2,0),AO323,1),"")</f>
        <v>K</v>
      </c>
      <c r="AO323" s="3">
        <v>346</v>
      </c>
      <c r="AP323" s="3" t="str">
        <f>IFERROR(MID(VLOOKUP($B323,Seqs!$A:$B,2,0),AQ323,1),"")</f>
        <v>F</v>
      </c>
      <c r="AQ323" s="3">
        <v>369</v>
      </c>
      <c r="AR323" s="3" t="str">
        <f>IFERROR(MID(VLOOKUP($B323,Seqs!$A:$B,2,0),AS323,1),"")</f>
        <v>L</v>
      </c>
      <c r="AS323" s="3">
        <v>379</v>
      </c>
      <c r="AT323" s="3" t="str">
        <f>IFERROR(MID(VLOOKUP($B323,Seqs!$A:$B,2,0),AU323,1),"")</f>
        <v>V</v>
      </c>
      <c r="AU323" s="3">
        <v>405</v>
      </c>
      <c r="AV323" s="3" t="str">
        <f>IFERROR(MID(VLOOKUP($B323,Seqs!$A:$B,2,0),AW323,1),"")</f>
        <v>N</v>
      </c>
      <c r="AW323" s="3">
        <v>406</v>
      </c>
      <c r="AX323" s="3" t="str">
        <f>IFERROR(MID(VLOOKUP($B323,Seqs!$A:$B,2,0),AY323,1),"")</f>
        <v>R</v>
      </c>
      <c r="AY323" s="3">
        <v>421</v>
      </c>
      <c r="AZ323" s="77" t="str">
        <f>VLOOKUP(B323,Classification!A:D,2,0)</f>
        <v>B1</v>
      </c>
      <c r="BA323" s="94" t="str">
        <f>VLOOKUP(B323,Classification!A:D,4,0)</f>
        <v>Glucagonreceptorfamily</v>
      </c>
      <c r="BB323" s="27" t="b">
        <f t="shared" si="1566"/>
        <v>1</v>
      </c>
      <c r="BC323" s="23">
        <f t="shared" si="1567"/>
        <v>245</v>
      </c>
      <c r="BD323" s="4" t="s">
        <v>1381</v>
      </c>
      <c r="BE323" s="3" t="s">
        <v>1297</v>
      </c>
      <c r="BF323" s="119">
        <v>4.0999999999999996</v>
      </c>
      <c r="BG323" s="49" t="s">
        <v>1432</v>
      </c>
      <c r="BH323" s="49" t="s">
        <v>1432</v>
      </c>
      <c r="BI323" s="1"/>
      <c r="BJ323" s="70" t="s">
        <v>1293</v>
      </c>
      <c r="BK323" s="57" t="s">
        <v>1293</v>
      </c>
      <c r="BL323" s="57" t="s">
        <v>1293</v>
      </c>
      <c r="BM323" s="57" t="s">
        <v>1293</v>
      </c>
      <c r="BN323" s="57" t="s">
        <v>1293</v>
      </c>
      <c r="BO323" s="57" t="s">
        <v>1293</v>
      </c>
      <c r="BP323" s="57" t="s">
        <v>1293</v>
      </c>
      <c r="BQ323" s="57" t="s">
        <v>1293</v>
      </c>
      <c r="BR323" s="57" t="s">
        <v>1293</v>
      </c>
      <c r="BS323" s="57" t="s">
        <v>1293</v>
      </c>
      <c r="BT323" s="57" t="s">
        <v>1293</v>
      </c>
      <c r="BU323" s="57" t="s">
        <v>1293</v>
      </c>
      <c r="BV323" s="70">
        <f t="shared" si="1568"/>
        <v>137</v>
      </c>
      <c r="BW323" s="71">
        <f t="shared" si="1569"/>
        <v>170</v>
      </c>
      <c r="BX323" s="72">
        <f t="shared" si="1570"/>
        <v>174</v>
      </c>
      <c r="BY323" s="71" t="str">
        <f t="shared" si="1571"/>
        <v>-</v>
      </c>
      <c r="BZ323" s="72">
        <f t="shared" si="1572"/>
        <v>224</v>
      </c>
      <c r="CA323" s="71" t="str">
        <f t="shared" si="1573"/>
        <v>-</v>
      </c>
      <c r="CB323" s="72">
        <f t="shared" si="1574"/>
        <v>261</v>
      </c>
      <c r="CC323" s="71">
        <f t="shared" si="1575"/>
        <v>296</v>
      </c>
      <c r="CD323" s="72">
        <f t="shared" si="1576"/>
        <v>305</v>
      </c>
      <c r="CE323" s="71">
        <f t="shared" si="1577"/>
        <v>346</v>
      </c>
      <c r="CF323" s="72">
        <f t="shared" si="1578"/>
        <v>379</v>
      </c>
      <c r="CG323" s="71">
        <f t="shared" si="1579"/>
        <v>406</v>
      </c>
      <c r="CH323" s="70">
        <f t="shared" si="1580"/>
        <v>168</v>
      </c>
      <c r="CI323" s="71">
        <f t="shared" si="1581"/>
        <v>173</v>
      </c>
      <c r="CJ323" s="72">
        <f t="shared" si="1582"/>
        <v>211</v>
      </c>
      <c r="CK323" s="72" t="str">
        <f t="shared" si="1583"/>
        <v>-</v>
      </c>
      <c r="CL323" s="72">
        <f t="shared" si="1584"/>
        <v>257</v>
      </c>
      <c r="CM323" s="72" t="str">
        <f t="shared" si="1585"/>
        <v>-</v>
      </c>
      <c r="CN323" s="72">
        <f t="shared" si="1586"/>
        <v>292</v>
      </c>
      <c r="CO323" s="72">
        <f t="shared" si="1587"/>
        <v>298</v>
      </c>
      <c r="CP323" s="72">
        <f t="shared" si="1588"/>
        <v>337</v>
      </c>
      <c r="CQ323" s="72">
        <f t="shared" si="1589"/>
        <v>369</v>
      </c>
      <c r="CR323" s="72">
        <f t="shared" si="1590"/>
        <v>405</v>
      </c>
      <c r="CS323" s="72">
        <f t="shared" si="1591"/>
        <v>421</v>
      </c>
      <c r="CT323" s="23">
        <f t="shared" si="1592"/>
        <v>1</v>
      </c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  <c r="ADW323" s="1"/>
      <c r="ADX323" s="1"/>
      <c r="ADY323" s="1"/>
      <c r="ADZ323" s="1"/>
      <c r="AEA323" s="1"/>
      <c r="AEB323" s="1"/>
      <c r="AEC323" s="1"/>
      <c r="AED323" s="1"/>
      <c r="AEE323" s="1"/>
      <c r="AEF323" s="1"/>
      <c r="AEG323" s="1"/>
      <c r="AEH323" s="1"/>
      <c r="AEI323" s="1"/>
      <c r="AEJ323" s="1"/>
      <c r="AEK323" s="1"/>
      <c r="AEL323" s="1"/>
      <c r="AEM323" s="1"/>
      <c r="AEN323" s="1"/>
      <c r="AEO323" s="1"/>
      <c r="AEP323" s="1"/>
      <c r="AEQ323" s="1"/>
      <c r="AER323" s="1"/>
      <c r="AES323" s="1"/>
      <c r="AET323" s="1"/>
      <c r="AEU323" s="1"/>
      <c r="AEV323" s="1"/>
      <c r="AEW323" s="1"/>
      <c r="AEX323" s="1"/>
      <c r="AEY323" s="1"/>
      <c r="AEZ323" s="1"/>
      <c r="AFA323" s="1"/>
      <c r="AFB323" s="1"/>
      <c r="AFC323" s="1"/>
      <c r="AFD323" s="1"/>
      <c r="AFE323" s="1"/>
      <c r="AFF323" s="1"/>
      <c r="AFG323" s="1"/>
      <c r="AFH323" s="1"/>
      <c r="AFI323" s="1"/>
      <c r="AFJ323" s="1"/>
      <c r="AFK323" s="1"/>
      <c r="AFL323" s="1"/>
      <c r="AFM323" s="1"/>
      <c r="AFN323" s="1"/>
      <c r="AFO323" s="1"/>
      <c r="AFP323" s="1"/>
      <c r="AFQ323" s="1"/>
      <c r="AFR323" s="1"/>
      <c r="AFS323" s="1"/>
      <c r="AFT323" s="1"/>
      <c r="AFU323" s="1"/>
      <c r="AFV323" s="1"/>
      <c r="AFW323" s="1"/>
      <c r="AFX323" s="1"/>
      <c r="AFY323" s="1"/>
      <c r="AFZ323" s="1"/>
      <c r="AGA323" s="1"/>
      <c r="AGB323" s="1"/>
      <c r="AGC323" s="1"/>
      <c r="AGD323" s="1"/>
      <c r="AGE323" s="1"/>
      <c r="AGF323" s="1"/>
      <c r="AGG323" s="1"/>
      <c r="AGH323" s="1"/>
      <c r="AGI323" s="1"/>
      <c r="AGJ323" s="1"/>
      <c r="AGK323" s="1"/>
      <c r="AGL323" s="1"/>
      <c r="AGM323" s="1"/>
      <c r="AGN323" s="1"/>
      <c r="AGO323" s="1"/>
      <c r="AGP323" s="1"/>
      <c r="AGQ323" s="1"/>
      <c r="AGR323" s="1"/>
      <c r="AGS323" s="1"/>
      <c r="AGT323" s="1"/>
      <c r="AGU323" s="1"/>
      <c r="AGV323" s="1"/>
      <c r="AGW323" s="1"/>
      <c r="AGX323" s="1"/>
      <c r="AGY323" s="1"/>
      <c r="AGZ323" s="1"/>
      <c r="AHA323" s="1"/>
      <c r="AHB323" s="1"/>
      <c r="AHC323" s="1"/>
      <c r="AHD323" s="1"/>
      <c r="AHE323" s="1"/>
      <c r="AHF323" s="1"/>
      <c r="AHG323" s="1"/>
      <c r="AHH323" s="1"/>
      <c r="AHI323" s="1"/>
      <c r="AHJ323" s="1"/>
      <c r="AHK323" s="1"/>
      <c r="AHL323" s="1"/>
      <c r="AHM323" s="1"/>
      <c r="AHN323" s="1"/>
      <c r="AHO323" s="1"/>
      <c r="AHP323" s="1"/>
      <c r="AHQ323" s="1"/>
      <c r="AHR323" s="1"/>
      <c r="AHS323" s="1"/>
      <c r="AHT323" s="1"/>
      <c r="AHU323" s="1"/>
      <c r="AHV323" s="1"/>
      <c r="AHW323" s="1"/>
      <c r="AHX323" s="1"/>
      <c r="AHY323" s="1"/>
      <c r="AHZ323" s="1"/>
      <c r="AIA323" s="1"/>
      <c r="AIB323" s="1"/>
      <c r="AIC323" s="1"/>
      <c r="AID323" s="1"/>
      <c r="AIE323" s="1"/>
      <c r="AIF323" s="1"/>
      <c r="AIG323" s="1"/>
      <c r="AIH323" s="1"/>
      <c r="AII323" s="1"/>
      <c r="AIJ323" s="1"/>
      <c r="AIK323" s="1"/>
      <c r="AIL323" s="1"/>
      <c r="AIM323" s="1"/>
      <c r="AIN323" s="1"/>
      <c r="AIO323" s="1"/>
      <c r="AIP323" s="1"/>
      <c r="AIQ323" s="1"/>
      <c r="AIR323" s="1"/>
      <c r="AIS323" s="1"/>
      <c r="AIT323" s="1"/>
      <c r="AIU323" s="1"/>
      <c r="AIV323" s="1"/>
      <c r="AIW323" s="1"/>
      <c r="AIX323" s="1"/>
      <c r="AIY323" s="1"/>
      <c r="AIZ323" s="1"/>
      <c r="AJA323" s="1"/>
      <c r="AJB323" s="1"/>
      <c r="AJC323" s="1"/>
      <c r="AJD323" s="1"/>
      <c r="AJE323" s="1"/>
      <c r="AJF323" s="1"/>
      <c r="AJG323" s="1"/>
      <c r="AJH323" s="1"/>
      <c r="AJI323" s="1"/>
      <c r="AJJ323" s="1"/>
      <c r="AJK323" s="1"/>
      <c r="AJL323" s="1"/>
      <c r="AJM323" s="1"/>
      <c r="AJN323" s="1"/>
      <c r="AJO323" s="1"/>
      <c r="AJP323" s="1"/>
      <c r="AJQ323" s="1"/>
      <c r="AJR323" s="1"/>
      <c r="AJS323" s="1"/>
      <c r="AJT323" s="1"/>
      <c r="AJU323" s="1"/>
      <c r="AJV323" s="1"/>
      <c r="AJW323" s="1"/>
      <c r="AJX323" s="1"/>
      <c r="AJY323" s="1"/>
      <c r="AJZ323" s="1"/>
      <c r="AKA323" s="1"/>
      <c r="AKB323" s="1"/>
      <c r="AKC323" s="1"/>
      <c r="AKD323" s="1"/>
      <c r="AKE323" s="1"/>
      <c r="AKF323" s="1"/>
      <c r="AKG323" s="1"/>
      <c r="AKH323" s="1"/>
      <c r="AKI323" s="1"/>
      <c r="AKJ323" s="1"/>
      <c r="AKK323" s="1"/>
      <c r="AKL323" s="1"/>
      <c r="AKM323" s="1"/>
      <c r="AKN323" s="1"/>
      <c r="AKO323" s="1"/>
      <c r="AKP323" s="1"/>
      <c r="AKQ323" s="1"/>
      <c r="AKR323" s="1"/>
      <c r="AKS323" s="1"/>
      <c r="AKT323" s="1"/>
      <c r="AKU323" s="1"/>
      <c r="AKV323" s="1"/>
      <c r="AKW323" s="1"/>
      <c r="AKX323" s="1"/>
      <c r="AKY323" s="1"/>
      <c r="AKZ323" s="1"/>
      <c r="ALA323" s="1"/>
      <c r="ALB323" s="1"/>
      <c r="ALC323" s="1"/>
      <c r="ALD323" s="1"/>
      <c r="ALE323" s="1"/>
      <c r="ALF323" s="1"/>
      <c r="ALG323" s="1"/>
      <c r="ALH323" s="1"/>
      <c r="ALI323" s="1"/>
      <c r="ALJ323" s="1"/>
      <c r="ALK323" s="1"/>
      <c r="ALL323" s="1"/>
      <c r="ALM323" s="1"/>
      <c r="ALN323" s="1"/>
      <c r="ALO323" s="1"/>
      <c r="ALP323" s="1"/>
      <c r="ALQ323" s="1"/>
      <c r="ALR323" s="1"/>
      <c r="ALS323" s="1"/>
      <c r="ALT323" s="1"/>
      <c r="ALU323" s="1"/>
      <c r="ALV323" s="1"/>
      <c r="ALW323" s="1"/>
      <c r="ALX323" s="1"/>
      <c r="ALY323" s="1"/>
      <c r="ALZ323" s="1"/>
      <c r="AMA323" s="1"/>
      <c r="AMB323" s="1"/>
      <c r="AMC323" s="1"/>
      <c r="AMD323" s="1"/>
      <c r="AME323" s="1"/>
      <c r="AMF323" s="1"/>
      <c r="AMG323" s="1"/>
      <c r="AMH323" s="1"/>
      <c r="AMI323" s="1"/>
      <c r="AMJ323" s="1"/>
      <c r="AMK323" s="1"/>
      <c r="AML323" s="1"/>
      <c r="AMM323" s="1"/>
      <c r="AMN323" s="1"/>
      <c r="AMO323" s="1"/>
    </row>
    <row r="324" spans="1:1030" x14ac:dyDescent="0.2">
      <c r="A324" s="3" t="str">
        <f t="shared" ref="A324" si="1593">CONCATENATE(B324,"_",C324)</f>
        <v>pth1r_human__wt</v>
      </c>
      <c r="B324" s="3" t="s">
        <v>409</v>
      </c>
      <c r="C324" s="3" t="s">
        <v>100</v>
      </c>
      <c r="D324" s="3" t="str">
        <f>IFERROR(MID(VLOOKUP($B324,Seqs!$A:$B,2,0),E324,1),"")</f>
        <v>R</v>
      </c>
      <c r="E324" s="3">
        <v>179</v>
      </c>
      <c r="F324" s="3" t="str">
        <f>IFERROR(MID(VLOOKUP($B324,Seqs!$A:$B,2,0),G324,1),"")</f>
        <v>F</v>
      </c>
      <c r="G324" s="3">
        <v>212</v>
      </c>
      <c r="H324" s="3" t="str">
        <f>IFERROR(MID(VLOOKUP($B324,Seqs!$A:$B,2,0),I324,1),"")</f>
        <v>R</v>
      </c>
      <c r="I324" s="23">
        <v>213</v>
      </c>
      <c r="J324" s="3" t="str">
        <f>IFERROR(MID(VLOOKUP($B324,Seqs!$A:$B,2,0),K324,1),"")</f>
        <v>H</v>
      </c>
      <c r="K324" s="23">
        <v>216</v>
      </c>
      <c r="L324" s="3" t="str">
        <f>IFERROR(MID(VLOOKUP($B324,Seqs!$A:$B,2,0),M324,1),"")</f>
        <v>C</v>
      </c>
      <c r="M324" s="23">
        <v>217</v>
      </c>
      <c r="N324" s="3" t="str">
        <f>IFERROR(MID(VLOOKUP($B324,Seqs!$A:$B,2,0),O324,1),"")</f>
        <v>T</v>
      </c>
      <c r="O324" s="3">
        <v>249</v>
      </c>
      <c r="P324" s="3" t="str">
        <f>IFERROR(MID(VLOOKUP($B324,Seqs!$A:$B,2,0),Q324,1),"")</f>
        <v/>
      </c>
      <c r="Q324" s="3" t="s">
        <v>23</v>
      </c>
      <c r="R324" s="3" t="str">
        <f>IFERROR(MID(VLOOKUP($B324,Seqs!$A:$B,2,0),S324,1),"")</f>
        <v/>
      </c>
      <c r="S324" s="3" t="s">
        <v>23</v>
      </c>
      <c r="T324" s="3" t="str">
        <f>IFERROR(MID(VLOOKUP($B324,Seqs!$A:$B,2,0),U324,1),"")</f>
        <v>G</v>
      </c>
      <c r="U324" s="3">
        <v>277</v>
      </c>
      <c r="V324" s="3" t="str">
        <f>IFERROR(MID(VLOOKUP($B324,Seqs!$A:$B,2,0),W324,1),"")</f>
        <v>M</v>
      </c>
      <c r="W324" s="3">
        <v>312</v>
      </c>
      <c r="X324" s="3" t="str">
        <f>IFERROR(MID(VLOOKUP($B324,Seqs!$A:$B,2,0),Y324,1),"")</f>
        <v/>
      </c>
      <c r="Y324" s="3" t="s">
        <v>23</v>
      </c>
      <c r="Z324" s="3" t="str">
        <f>IFERROR(MID(VLOOKUP($B324,Seqs!$A:$B,2,0),AA324,1),"")</f>
        <v/>
      </c>
      <c r="AA324" s="3" t="s">
        <v>23</v>
      </c>
      <c r="AB324" s="3" t="str">
        <f>IFERROR(MID(VLOOKUP($B324,Seqs!$A:$B,2,0),AC324,1),"")</f>
        <v>S</v>
      </c>
      <c r="AC324" s="3">
        <v>316</v>
      </c>
      <c r="AD324" s="3" t="str">
        <f>IFERROR(MID(VLOOKUP($B324,Seqs!$A:$B,2,0),AE324,1),"")</f>
        <v>A</v>
      </c>
      <c r="AE324" s="3">
        <v>347</v>
      </c>
      <c r="AF324" s="3" t="str">
        <f>IFERROR(MID(VLOOKUP($B324,Seqs!$A:$B,2,0),AG324,1),"")</f>
        <v>C</v>
      </c>
      <c r="AG324" s="3">
        <v>351</v>
      </c>
      <c r="AH324" s="3" t="str">
        <f>IFERROR(MID(VLOOKUP($B324,Seqs!$A:$B,2,0),AI324,1),"")</f>
        <v>D</v>
      </c>
      <c r="AI324" s="3">
        <v>353</v>
      </c>
      <c r="AJ324" s="3" t="str">
        <f>IFERROR(MID(VLOOKUP($B324,Seqs!$A:$B,2,0),AK324,1),"")</f>
        <v>N</v>
      </c>
      <c r="AK324" s="3">
        <v>358</v>
      </c>
      <c r="AL324" s="3" t="str">
        <f>IFERROR(MID(VLOOKUP($B324,Seqs!$A:$B,2,0),AM324,1),"")</f>
        <v>L</v>
      </c>
      <c r="AM324" s="3">
        <v>389</v>
      </c>
      <c r="AN324" s="3" t="str">
        <f>IFERROR(MID(VLOOKUP($B324,Seqs!$A:$B,2,0),AO324,1),"")</f>
        <v>D</v>
      </c>
      <c r="AO324" s="3">
        <v>398</v>
      </c>
      <c r="AP324" s="3" t="str">
        <f>IFERROR(MID(VLOOKUP($B324,Seqs!$A:$B,2,0),AQ324,1),"")</f>
        <v>T</v>
      </c>
      <c r="AQ324" s="3">
        <v>427</v>
      </c>
      <c r="AR324" s="3" t="str">
        <f>IFERROR(MID(VLOOKUP($B324,Seqs!$A:$B,2,0),AS324,1),"")</f>
        <v>G</v>
      </c>
      <c r="AS324" s="3">
        <v>434</v>
      </c>
      <c r="AT324" s="3" t="str">
        <f>IFERROR(MID(VLOOKUP($B324,Seqs!$A:$B,2,0),AU324,1),"")</f>
        <v>C</v>
      </c>
      <c r="AU324" s="3">
        <v>462</v>
      </c>
      <c r="AV324" s="3" t="str">
        <f>IFERROR(MID(VLOOKUP($B324,Seqs!$A:$B,2,0),AW324,1),"")</f>
        <v>N</v>
      </c>
      <c r="AW324" s="3">
        <v>463</v>
      </c>
      <c r="AX324" s="3" t="str">
        <f>IFERROR(MID(VLOOKUP($B324,Seqs!$A:$B,2,0),AY324,1),"")</f>
        <v>R</v>
      </c>
      <c r="AY324" s="3">
        <v>488</v>
      </c>
      <c r="AZ324" s="77" t="str">
        <f>VLOOKUP(B324,Classification!A:D,2,0)</f>
        <v>B1</v>
      </c>
      <c r="BA324" s="94" t="str">
        <f>VLOOKUP(B324,Classification!A:D,4,0)</f>
        <v>Parathyroidhormone</v>
      </c>
      <c r="BB324" s="27" t="b">
        <f t="shared" ref="BB324" si="1594">AND(E324&lt;G324,OR(G324&lt;I324,I324="-"),OR(I324&lt;K324,I324="-"),OR(K324&lt;M324,K324="-"),M324&lt;O324,OR(O324&lt;Q324,Q324="-"),OR(Q324&lt;S324,Q324="-"),OR(S324&lt;U324,S324="-"),U324&lt;W324,OR(W324&lt;Y324,Y324="-"),OR(Y324&lt;AA324,Y324="-"),OR(AA324&lt;AC324,AA324="-"),AC324&lt;AE324,OR(AE324&lt;AG324,AG324="-"),OR(AG324&lt;AI324,AG324="-"),OR(AI324&lt;AK324,AI324="-"),AK324&lt;AM324,AM324&lt;AO324,AO324&lt;AQ324,AQ324&lt;AS324,AS324&lt;AU324,OR(AU324&lt;AW324,AW324="-"),OR(AW324&lt;AY324,AW324="-"))</f>
        <v>1</v>
      </c>
      <c r="BC324" s="23">
        <f t="shared" ref="BC324" si="1595">_xlfn.AGGREGATE(9,6,CH324:CS324)-_xlfn.AGGREGATE(9,6,BV324:CG324)+12</f>
        <v>261</v>
      </c>
      <c r="BD324" s="4" t="s">
        <v>23</v>
      </c>
      <c r="BE324" s="3" t="s">
        <v>23</v>
      </c>
      <c r="BF324" s="119" t="s">
        <v>23</v>
      </c>
      <c r="BG324" s="49" t="s">
        <v>23</v>
      </c>
      <c r="BH324" s="49" t="s">
        <v>23</v>
      </c>
      <c r="BI324" s="1"/>
      <c r="BJ324" s="70" t="s">
        <v>1293</v>
      </c>
      <c r="BK324" s="57" t="s">
        <v>1293</v>
      </c>
      <c r="BL324" s="57" t="s">
        <v>1293</v>
      </c>
      <c r="BM324" s="57" t="s">
        <v>1293</v>
      </c>
      <c r="BN324" s="57" t="s">
        <v>1293</v>
      </c>
      <c r="BO324" s="57" t="s">
        <v>1293</v>
      </c>
      <c r="BP324" s="57" t="s">
        <v>1293</v>
      </c>
      <c r="BQ324" s="57" t="s">
        <v>1293</v>
      </c>
      <c r="BR324" s="57" t="s">
        <v>1293</v>
      </c>
      <c r="BS324" s="57" t="s">
        <v>1293</v>
      </c>
      <c r="BT324" s="57" t="s">
        <v>1293</v>
      </c>
      <c r="BU324" s="57" t="s">
        <v>1293</v>
      </c>
      <c r="BV324" s="70">
        <f t="shared" ref="BV324" si="1596">E324</f>
        <v>179</v>
      </c>
      <c r="BW324" s="71">
        <f t="shared" ref="BW324" si="1597">I324</f>
        <v>213</v>
      </c>
      <c r="BX324" s="72">
        <f t="shared" ref="BX324" si="1598">M324</f>
        <v>217</v>
      </c>
      <c r="BY324" s="71" t="str">
        <f t="shared" ref="BY324" si="1599">Q324</f>
        <v>-</v>
      </c>
      <c r="BZ324" s="72">
        <f t="shared" ref="BZ324" si="1600">U324</f>
        <v>277</v>
      </c>
      <c r="CA324" s="71" t="str">
        <f t="shared" ref="CA324" si="1601">Y324</f>
        <v>-</v>
      </c>
      <c r="CB324" s="72">
        <f t="shared" ref="CB324" si="1602">AC324</f>
        <v>316</v>
      </c>
      <c r="CC324" s="71">
        <f t="shared" ref="CC324" si="1603">AG324</f>
        <v>351</v>
      </c>
      <c r="CD324" s="72">
        <f t="shared" ref="CD324" si="1604">AK324</f>
        <v>358</v>
      </c>
      <c r="CE324" s="71">
        <f t="shared" ref="CE324" si="1605">AO324</f>
        <v>398</v>
      </c>
      <c r="CF324" s="72">
        <f t="shared" ref="CF324" si="1606">AS324</f>
        <v>434</v>
      </c>
      <c r="CG324" s="71">
        <f t="shared" ref="CG324" si="1607">AW324</f>
        <v>463</v>
      </c>
      <c r="CH324" s="70">
        <f t="shared" ref="CH324" si="1608">G324</f>
        <v>212</v>
      </c>
      <c r="CI324" s="71">
        <f t="shared" ref="CI324" si="1609">K324</f>
        <v>216</v>
      </c>
      <c r="CJ324" s="72">
        <f t="shared" ref="CJ324" si="1610">O324</f>
        <v>249</v>
      </c>
      <c r="CK324" s="72" t="str">
        <f t="shared" ref="CK324" si="1611">S324</f>
        <v>-</v>
      </c>
      <c r="CL324" s="72">
        <f t="shared" ref="CL324" si="1612">W324</f>
        <v>312</v>
      </c>
      <c r="CM324" s="72" t="str">
        <f t="shared" ref="CM324" si="1613">AA324</f>
        <v>-</v>
      </c>
      <c r="CN324" s="72">
        <f t="shared" ref="CN324" si="1614">AE324</f>
        <v>347</v>
      </c>
      <c r="CO324" s="72">
        <f t="shared" ref="CO324" si="1615">AI324</f>
        <v>353</v>
      </c>
      <c r="CP324" s="72">
        <f t="shared" ref="CP324" si="1616">AM324</f>
        <v>389</v>
      </c>
      <c r="CQ324" s="72">
        <f t="shared" ref="CQ324" si="1617">AQ324</f>
        <v>427</v>
      </c>
      <c r="CR324" s="72">
        <f t="shared" ref="CR324" si="1618">AU324</f>
        <v>462</v>
      </c>
      <c r="CS324" s="72">
        <f t="shared" ref="CS324" si="1619">AY324</f>
        <v>488</v>
      </c>
      <c r="CT324" s="23">
        <f t="shared" ref="CT324" si="1620">M324-K324</f>
        <v>1</v>
      </c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  <c r="ADW324" s="1"/>
      <c r="ADX324" s="1"/>
      <c r="ADY324" s="1"/>
      <c r="ADZ324" s="1"/>
      <c r="AEA324" s="1"/>
      <c r="AEB324" s="1"/>
      <c r="AEC324" s="1"/>
      <c r="AED324" s="1"/>
      <c r="AEE324" s="1"/>
      <c r="AEF324" s="1"/>
      <c r="AEG324" s="1"/>
      <c r="AEH324" s="1"/>
      <c r="AEI324" s="1"/>
      <c r="AEJ324" s="1"/>
      <c r="AEK324" s="1"/>
      <c r="AEL324" s="1"/>
      <c r="AEM324" s="1"/>
      <c r="AEN324" s="1"/>
      <c r="AEO324" s="1"/>
      <c r="AEP324" s="1"/>
      <c r="AEQ324" s="1"/>
      <c r="AER324" s="1"/>
      <c r="AES324" s="1"/>
      <c r="AET324" s="1"/>
      <c r="AEU324" s="1"/>
      <c r="AEV324" s="1"/>
      <c r="AEW324" s="1"/>
      <c r="AEX324" s="1"/>
      <c r="AEY324" s="1"/>
      <c r="AEZ324" s="1"/>
      <c r="AFA324" s="1"/>
      <c r="AFB324" s="1"/>
      <c r="AFC324" s="1"/>
      <c r="AFD324" s="1"/>
      <c r="AFE324" s="1"/>
      <c r="AFF324" s="1"/>
      <c r="AFG324" s="1"/>
      <c r="AFH324" s="1"/>
      <c r="AFI324" s="1"/>
      <c r="AFJ324" s="1"/>
      <c r="AFK324" s="1"/>
      <c r="AFL324" s="1"/>
      <c r="AFM324" s="1"/>
      <c r="AFN324" s="1"/>
      <c r="AFO324" s="1"/>
      <c r="AFP324" s="1"/>
      <c r="AFQ324" s="1"/>
      <c r="AFR324" s="1"/>
      <c r="AFS324" s="1"/>
      <c r="AFT324" s="1"/>
      <c r="AFU324" s="1"/>
      <c r="AFV324" s="1"/>
      <c r="AFW324" s="1"/>
      <c r="AFX324" s="1"/>
      <c r="AFY324" s="1"/>
      <c r="AFZ324" s="1"/>
      <c r="AGA324" s="1"/>
      <c r="AGB324" s="1"/>
      <c r="AGC324" s="1"/>
      <c r="AGD324" s="1"/>
      <c r="AGE324" s="1"/>
      <c r="AGF324" s="1"/>
      <c r="AGG324" s="1"/>
      <c r="AGH324" s="1"/>
      <c r="AGI324" s="1"/>
      <c r="AGJ324" s="1"/>
      <c r="AGK324" s="1"/>
      <c r="AGL324" s="1"/>
      <c r="AGM324" s="1"/>
      <c r="AGN324" s="1"/>
      <c r="AGO324" s="1"/>
      <c r="AGP324" s="1"/>
      <c r="AGQ324" s="1"/>
      <c r="AGR324" s="1"/>
      <c r="AGS324" s="1"/>
      <c r="AGT324" s="1"/>
      <c r="AGU324" s="1"/>
      <c r="AGV324" s="1"/>
      <c r="AGW324" s="1"/>
      <c r="AGX324" s="1"/>
      <c r="AGY324" s="1"/>
      <c r="AGZ324" s="1"/>
      <c r="AHA324" s="1"/>
      <c r="AHB324" s="1"/>
      <c r="AHC324" s="1"/>
      <c r="AHD324" s="1"/>
      <c r="AHE324" s="1"/>
      <c r="AHF324" s="1"/>
      <c r="AHG324" s="1"/>
      <c r="AHH324" s="1"/>
      <c r="AHI324" s="1"/>
      <c r="AHJ324" s="1"/>
      <c r="AHK324" s="1"/>
      <c r="AHL324" s="1"/>
      <c r="AHM324" s="1"/>
      <c r="AHN324" s="1"/>
      <c r="AHO324" s="1"/>
      <c r="AHP324" s="1"/>
      <c r="AHQ324" s="1"/>
      <c r="AHR324" s="1"/>
      <c r="AHS324" s="1"/>
      <c r="AHT324" s="1"/>
      <c r="AHU324" s="1"/>
      <c r="AHV324" s="1"/>
      <c r="AHW324" s="1"/>
      <c r="AHX324" s="1"/>
      <c r="AHY324" s="1"/>
      <c r="AHZ324" s="1"/>
      <c r="AIA324" s="1"/>
      <c r="AIB324" s="1"/>
      <c r="AIC324" s="1"/>
      <c r="AID324" s="1"/>
      <c r="AIE324" s="1"/>
      <c r="AIF324" s="1"/>
      <c r="AIG324" s="1"/>
      <c r="AIH324" s="1"/>
      <c r="AII324" s="1"/>
      <c r="AIJ324" s="1"/>
      <c r="AIK324" s="1"/>
      <c r="AIL324" s="1"/>
      <c r="AIM324" s="1"/>
      <c r="AIN324" s="1"/>
      <c r="AIO324" s="1"/>
      <c r="AIP324" s="1"/>
      <c r="AIQ324" s="1"/>
      <c r="AIR324" s="1"/>
      <c r="AIS324" s="1"/>
      <c r="AIT324" s="1"/>
      <c r="AIU324" s="1"/>
      <c r="AIV324" s="1"/>
      <c r="AIW324" s="1"/>
      <c r="AIX324" s="1"/>
      <c r="AIY324" s="1"/>
      <c r="AIZ324" s="1"/>
      <c r="AJA324" s="1"/>
      <c r="AJB324" s="1"/>
      <c r="AJC324" s="1"/>
      <c r="AJD324" s="1"/>
      <c r="AJE324" s="1"/>
      <c r="AJF324" s="1"/>
      <c r="AJG324" s="1"/>
      <c r="AJH324" s="1"/>
      <c r="AJI324" s="1"/>
      <c r="AJJ324" s="1"/>
      <c r="AJK324" s="1"/>
      <c r="AJL324" s="1"/>
      <c r="AJM324" s="1"/>
      <c r="AJN324" s="1"/>
      <c r="AJO324" s="1"/>
      <c r="AJP324" s="1"/>
      <c r="AJQ324" s="1"/>
      <c r="AJR324" s="1"/>
      <c r="AJS324" s="1"/>
      <c r="AJT324" s="1"/>
      <c r="AJU324" s="1"/>
      <c r="AJV324" s="1"/>
      <c r="AJW324" s="1"/>
      <c r="AJX324" s="1"/>
      <c r="AJY324" s="1"/>
      <c r="AJZ324" s="1"/>
      <c r="AKA324" s="1"/>
      <c r="AKB324" s="1"/>
      <c r="AKC324" s="1"/>
      <c r="AKD324" s="1"/>
      <c r="AKE324" s="1"/>
      <c r="AKF324" s="1"/>
      <c r="AKG324" s="1"/>
      <c r="AKH324" s="1"/>
      <c r="AKI324" s="1"/>
      <c r="AKJ324" s="1"/>
      <c r="AKK324" s="1"/>
      <c r="AKL324" s="1"/>
      <c r="AKM324" s="1"/>
      <c r="AKN324" s="1"/>
      <c r="AKO324" s="1"/>
      <c r="AKP324" s="1"/>
      <c r="AKQ324" s="1"/>
      <c r="AKR324" s="1"/>
      <c r="AKS324" s="1"/>
      <c r="AKT324" s="1"/>
      <c r="AKU324" s="1"/>
      <c r="AKV324" s="1"/>
      <c r="AKW324" s="1"/>
      <c r="AKX324" s="1"/>
      <c r="AKY324" s="1"/>
      <c r="AKZ324" s="1"/>
      <c r="ALA324" s="1"/>
      <c r="ALB324" s="1"/>
      <c r="ALC324" s="1"/>
      <c r="ALD324" s="1"/>
      <c r="ALE324" s="1"/>
      <c r="ALF324" s="1"/>
      <c r="ALG324" s="1"/>
      <c r="ALH324" s="1"/>
      <c r="ALI324" s="1"/>
      <c r="ALJ324" s="1"/>
      <c r="ALK324" s="1"/>
      <c r="ALL324" s="1"/>
      <c r="ALM324" s="1"/>
      <c r="ALN324" s="1"/>
      <c r="ALO324" s="1"/>
      <c r="ALP324" s="1"/>
      <c r="ALQ324" s="1"/>
      <c r="ALR324" s="1"/>
      <c r="ALS324" s="1"/>
      <c r="ALT324" s="1"/>
      <c r="ALU324" s="1"/>
      <c r="ALV324" s="1"/>
      <c r="ALW324" s="1"/>
      <c r="ALX324" s="1"/>
      <c r="ALY324" s="1"/>
      <c r="ALZ324" s="1"/>
      <c r="AMA324" s="1"/>
      <c r="AMB324" s="1"/>
      <c r="AMC324" s="1"/>
      <c r="AMD324" s="1"/>
      <c r="AME324" s="1"/>
      <c r="AMF324" s="1"/>
      <c r="AMG324" s="1"/>
      <c r="AMH324" s="1"/>
      <c r="AMI324" s="1"/>
      <c r="AMJ324" s="1"/>
      <c r="AMK324" s="1"/>
      <c r="AML324" s="1"/>
      <c r="AMM324" s="1"/>
      <c r="AMN324" s="1"/>
      <c r="AMO324" s="1"/>
    </row>
    <row r="325" spans="1:1030" x14ac:dyDescent="0.2">
      <c r="A325" s="3" t="str">
        <f t="shared" ref="A325" si="1621">CONCATENATE(B325,"_",C325)</f>
        <v>pth1r_human_6FJ3</v>
      </c>
      <c r="B325" s="3" t="s">
        <v>409</v>
      </c>
      <c r="C325" s="3" t="s">
        <v>1546</v>
      </c>
      <c r="D325" s="3" t="str">
        <f>IFERROR(MID(VLOOKUP($B325,Seqs!$A:$B,2,0),E325,1),"")</f>
        <v>R</v>
      </c>
      <c r="E325" s="3">
        <v>179</v>
      </c>
      <c r="F325" s="3" t="str">
        <f>IFERROR(MID(VLOOKUP($B325,Seqs!$A:$B,2,0),G325,1),"")</f>
        <v>F</v>
      </c>
      <c r="G325" s="3">
        <v>212</v>
      </c>
      <c r="H325" s="3" t="str">
        <f>IFERROR(MID(VLOOKUP($B325,Seqs!$A:$B,2,0),I325,1),"")</f>
        <v>R</v>
      </c>
      <c r="I325" s="23">
        <v>213</v>
      </c>
      <c r="J325" s="3" t="str">
        <f>IFERROR(MID(VLOOKUP($B325,Seqs!$A:$B,2,0),K325,1),"")</f>
        <v>H</v>
      </c>
      <c r="K325" s="23">
        <v>216</v>
      </c>
      <c r="L325" s="3" t="str">
        <f>IFERROR(MID(VLOOKUP($B325,Seqs!$A:$B,2,0),M325,1),"")</f>
        <v>C</v>
      </c>
      <c r="M325" s="23">
        <v>217</v>
      </c>
      <c r="N325" s="3" t="str">
        <f>IFERROR(MID(VLOOKUP($B325,Seqs!$A:$B,2,0),O325,1),"")</f>
        <v>Y</v>
      </c>
      <c r="O325" s="3">
        <v>245</v>
      </c>
      <c r="P325" s="3" t="str">
        <f>IFERROR(MID(VLOOKUP($B325,Seqs!$A:$B,2,0),Q325,1),"")</f>
        <v/>
      </c>
      <c r="Q325" s="3" t="s">
        <v>23</v>
      </c>
      <c r="R325" s="3" t="str">
        <f>IFERROR(MID(VLOOKUP($B325,Seqs!$A:$B,2,0),S325,1),"")</f>
        <v/>
      </c>
      <c r="S325" s="3" t="s">
        <v>23</v>
      </c>
      <c r="T325" s="3" t="str">
        <f>IFERROR(MID(VLOOKUP($B325,Seqs!$A:$B,2,0),U325,1),"")</f>
        <v>Y</v>
      </c>
      <c r="U325" s="3">
        <v>278</v>
      </c>
      <c r="V325" s="3" t="str">
        <f>IFERROR(MID(VLOOKUP($B325,Seqs!$A:$B,2,0),W325,1),"")</f>
        <v>M</v>
      </c>
      <c r="W325" s="3">
        <v>312</v>
      </c>
      <c r="X325" s="3" t="str">
        <f>IFERROR(MID(VLOOKUP($B325,Seqs!$A:$B,2,0),Y325,1),"")</f>
        <v/>
      </c>
      <c r="Y325" s="3" t="s">
        <v>23</v>
      </c>
      <c r="Z325" s="3" t="str">
        <f>IFERROR(MID(VLOOKUP($B325,Seqs!$A:$B,2,0),AA325,1),"")</f>
        <v/>
      </c>
      <c r="AA325" s="3" t="s">
        <v>23</v>
      </c>
      <c r="AB325" s="3" t="str">
        <f>IFERROR(MID(VLOOKUP($B325,Seqs!$A:$B,2,0),AC325,1),"")</f>
        <v>S</v>
      </c>
      <c r="AC325" s="3">
        <v>316</v>
      </c>
      <c r="AD325" s="3" t="str">
        <f>IFERROR(MID(VLOOKUP($B325,Seqs!$A:$B,2,0),AE325,1),"")</f>
        <v>A</v>
      </c>
      <c r="AE325" s="3">
        <v>347</v>
      </c>
      <c r="AF325" s="3" t="str">
        <f>IFERROR(MID(VLOOKUP($B325,Seqs!$A:$B,2,0),AG325,1),"")</f>
        <v>C</v>
      </c>
      <c r="AG325" s="3">
        <v>351</v>
      </c>
      <c r="AH325" s="3" t="str">
        <f>IFERROR(MID(VLOOKUP($B325,Seqs!$A:$B,2,0),AI325,1),"")</f>
        <v>D</v>
      </c>
      <c r="AI325" s="3">
        <v>353</v>
      </c>
      <c r="AJ325" s="3" t="str">
        <f>IFERROR(MID(VLOOKUP($B325,Seqs!$A:$B,2,0),AK325,1),"")</f>
        <v>N</v>
      </c>
      <c r="AK325" s="3">
        <v>358</v>
      </c>
      <c r="AL325" s="3" t="str">
        <f>IFERROR(MID(VLOOKUP($B325,Seqs!$A:$B,2,0),AM325,1),"")</f>
        <v>R</v>
      </c>
      <c r="AM325" s="3">
        <v>383</v>
      </c>
      <c r="AN325" s="3" t="str">
        <f>IFERROR(MID(VLOOKUP($B325,Seqs!$A:$B,2,0),AO325,1),"")</f>
        <v>D</v>
      </c>
      <c r="AO325" s="3">
        <v>398</v>
      </c>
      <c r="AP325" s="3" t="str">
        <f>IFERROR(MID(VLOOKUP($B325,Seqs!$A:$B,2,0),AQ325,1),"")</f>
        <v>T</v>
      </c>
      <c r="AQ325" s="3">
        <v>427</v>
      </c>
      <c r="AR325" s="3" t="str">
        <f>IFERROR(MID(VLOOKUP($B325,Seqs!$A:$B,2,0),AS325,1),"")</f>
        <v>G</v>
      </c>
      <c r="AS325" s="3">
        <v>434</v>
      </c>
      <c r="AT325" s="3" t="str">
        <f>IFERROR(MID(VLOOKUP($B325,Seqs!$A:$B,2,0),AU325,1),"")</f>
        <v>C</v>
      </c>
      <c r="AU325" s="3">
        <v>462</v>
      </c>
      <c r="AV325" s="3" t="str">
        <f>IFERROR(MID(VLOOKUP($B325,Seqs!$A:$B,2,0),AW325,1),"")</f>
        <v>N</v>
      </c>
      <c r="AW325" s="3">
        <v>463</v>
      </c>
      <c r="AX325" s="3" t="str">
        <f>IFERROR(MID(VLOOKUP($B325,Seqs!$A:$B,2,0),AY325,1),"")</f>
        <v>W</v>
      </c>
      <c r="AY325" s="3">
        <v>477</v>
      </c>
      <c r="AZ325" s="77" t="str">
        <f>VLOOKUP(B325,Classification!A:D,2,0)</f>
        <v>B1</v>
      </c>
      <c r="BA325" s="94" t="str">
        <f>VLOOKUP(B325,Classification!A:D,4,0)</f>
        <v>Parathyroidhormone</v>
      </c>
      <c r="BB325" s="27" t="b">
        <f t="shared" ref="BB325" si="1622">AND(E325&lt;G325,OR(G325&lt;I325,I325="-"),OR(I325&lt;K325,I325="-"),OR(K325&lt;M325,K325="-"),M325&lt;O325,OR(O325&lt;Q325,Q325="-"),OR(Q325&lt;S325,Q325="-"),OR(S325&lt;U325,S325="-"),U325&lt;W325,OR(W325&lt;Y325,Y325="-"),OR(Y325&lt;AA325,Y325="-"),OR(AA325&lt;AC325,AA325="-"),AC325&lt;AE325,OR(AE325&lt;AG325,AG325="-"),OR(AG325&lt;AI325,AG325="-"),OR(AI325&lt;AK325,AI325="-"),AK325&lt;AM325,AM325&lt;AO325,AO325&lt;AQ325,AQ325&lt;AS325,AS325&lt;AU325,OR(AU325&lt;AW325,AW325="-"),OR(AW325&lt;AY325,AW325="-"))</f>
        <v>1</v>
      </c>
      <c r="BC325" s="23">
        <f t="shared" ref="BC325" si="1623">_xlfn.AGGREGATE(9,6,CH325:CS325)-_xlfn.AGGREGATE(9,6,BV325:CG325)+12</f>
        <v>239</v>
      </c>
      <c r="BD325" s="4" t="s">
        <v>1382</v>
      </c>
      <c r="BE325" s="3" t="s">
        <v>1380</v>
      </c>
      <c r="BF325" s="119">
        <v>2.5</v>
      </c>
      <c r="BG325" s="49" t="s">
        <v>1</v>
      </c>
      <c r="BH325" s="49" t="s">
        <v>1</v>
      </c>
      <c r="BI325" s="1"/>
      <c r="BJ325" s="70" t="s">
        <v>1293</v>
      </c>
      <c r="BK325" s="57" t="s">
        <v>1293</v>
      </c>
      <c r="BL325" s="57" t="s">
        <v>1293</v>
      </c>
      <c r="BM325" s="57" t="s">
        <v>1293</v>
      </c>
      <c r="BN325" s="57" t="s">
        <v>1293</v>
      </c>
      <c r="BO325" s="57" t="s">
        <v>1293</v>
      </c>
      <c r="BP325" s="57" t="s">
        <v>1293</v>
      </c>
      <c r="BQ325" s="57" t="s">
        <v>1293</v>
      </c>
      <c r="BR325" s="57" t="s">
        <v>1293</v>
      </c>
      <c r="BS325" s="57" t="s">
        <v>1293</v>
      </c>
      <c r="BT325" s="57" t="s">
        <v>1293</v>
      </c>
      <c r="BU325" s="57" t="s">
        <v>1293</v>
      </c>
      <c r="BV325" s="70">
        <f t="shared" ref="BV325" si="1624">E325</f>
        <v>179</v>
      </c>
      <c r="BW325" s="71">
        <f t="shared" ref="BW325" si="1625">I325</f>
        <v>213</v>
      </c>
      <c r="BX325" s="72">
        <f t="shared" ref="BX325" si="1626">M325</f>
        <v>217</v>
      </c>
      <c r="BY325" s="71" t="str">
        <f t="shared" ref="BY325" si="1627">Q325</f>
        <v>-</v>
      </c>
      <c r="BZ325" s="72">
        <f t="shared" ref="BZ325" si="1628">U325</f>
        <v>278</v>
      </c>
      <c r="CA325" s="71" t="str">
        <f t="shared" ref="CA325" si="1629">Y325</f>
        <v>-</v>
      </c>
      <c r="CB325" s="72">
        <f t="shared" ref="CB325" si="1630">AC325</f>
        <v>316</v>
      </c>
      <c r="CC325" s="71">
        <f t="shared" ref="CC325" si="1631">AG325</f>
        <v>351</v>
      </c>
      <c r="CD325" s="72">
        <f t="shared" ref="CD325" si="1632">AK325</f>
        <v>358</v>
      </c>
      <c r="CE325" s="71">
        <f t="shared" ref="CE325" si="1633">AO325</f>
        <v>398</v>
      </c>
      <c r="CF325" s="72">
        <f t="shared" ref="CF325" si="1634">AS325</f>
        <v>434</v>
      </c>
      <c r="CG325" s="71">
        <f t="shared" ref="CG325" si="1635">AW325</f>
        <v>463</v>
      </c>
      <c r="CH325" s="70">
        <f t="shared" ref="CH325" si="1636">G325</f>
        <v>212</v>
      </c>
      <c r="CI325" s="71">
        <f t="shared" ref="CI325" si="1637">K325</f>
        <v>216</v>
      </c>
      <c r="CJ325" s="72">
        <f t="shared" ref="CJ325" si="1638">O325</f>
        <v>245</v>
      </c>
      <c r="CK325" s="72" t="str">
        <f t="shared" ref="CK325" si="1639">S325</f>
        <v>-</v>
      </c>
      <c r="CL325" s="72">
        <f t="shared" ref="CL325" si="1640">W325</f>
        <v>312</v>
      </c>
      <c r="CM325" s="72" t="str">
        <f t="shared" ref="CM325" si="1641">AA325</f>
        <v>-</v>
      </c>
      <c r="CN325" s="72">
        <f t="shared" ref="CN325" si="1642">AE325</f>
        <v>347</v>
      </c>
      <c r="CO325" s="72">
        <f t="shared" ref="CO325" si="1643">AI325</f>
        <v>353</v>
      </c>
      <c r="CP325" s="72">
        <f t="shared" ref="CP325" si="1644">AM325</f>
        <v>383</v>
      </c>
      <c r="CQ325" s="72">
        <f t="shared" ref="CQ325" si="1645">AQ325</f>
        <v>427</v>
      </c>
      <c r="CR325" s="72">
        <f t="shared" ref="CR325" si="1646">AU325</f>
        <v>462</v>
      </c>
      <c r="CS325" s="72">
        <f t="shared" ref="CS325" si="1647">AY325</f>
        <v>477</v>
      </c>
      <c r="CT325" s="23">
        <f t="shared" ref="CT325" si="1648">M325-K325</f>
        <v>1</v>
      </c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  <c r="ADW325" s="1"/>
      <c r="ADX325" s="1"/>
      <c r="ADY325" s="1"/>
      <c r="ADZ325" s="1"/>
      <c r="AEA325" s="1"/>
      <c r="AEB325" s="1"/>
      <c r="AEC325" s="1"/>
      <c r="AED325" s="1"/>
      <c r="AEE325" s="1"/>
      <c r="AEF325" s="1"/>
      <c r="AEG325" s="1"/>
      <c r="AEH325" s="1"/>
      <c r="AEI325" s="1"/>
      <c r="AEJ325" s="1"/>
      <c r="AEK325" s="1"/>
      <c r="AEL325" s="1"/>
      <c r="AEM325" s="1"/>
      <c r="AEN325" s="1"/>
      <c r="AEO325" s="1"/>
      <c r="AEP325" s="1"/>
      <c r="AEQ325" s="1"/>
      <c r="AER325" s="1"/>
      <c r="AES325" s="1"/>
      <c r="AET325" s="1"/>
      <c r="AEU325" s="1"/>
      <c r="AEV325" s="1"/>
      <c r="AEW325" s="1"/>
      <c r="AEX325" s="1"/>
      <c r="AEY325" s="1"/>
      <c r="AEZ325" s="1"/>
      <c r="AFA325" s="1"/>
      <c r="AFB325" s="1"/>
      <c r="AFC325" s="1"/>
      <c r="AFD325" s="1"/>
      <c r="AFE325" s="1"/>
      <c r="AFF325" s="1"/>
      <c r="AFG325" s="1"/>
      <c r="AFH325" s="1"/>
      <c r="AFI325" s="1"/>
      <c r="AFJ325" s="1"/>
      <c r="AFK325" s="1"/>
      <c r="AFL325" s="1"/>
      <c r="AFM325" s="1"/>
      <c r="AFN325" s="1"/>
      <c r="AFO325" s="1"/>
      <c r="AFP325" s="1"/>
      <c r="AFQ325" s="1"/>
      <c r="AFR325" s="1"/>
      <c r="AFS325" s="1"/>
      <c r="AFT325" s="1"/>
      <c r="AFU325" s="1"/>
      <c r="AFV325" s="1"/>
      <c r="AFW325" s="1"/>
      <c r="AFX325" s="1"/>
      <c r="AFY325" s="1"/>
      <c r="AFZ325" s="1"/>
      <c r="AGA325" s="1"/>
      <c r="AGB325" s="1"/>
      <c r="AGC325" s="1"/>
      <c r="AGD325" s="1"/>
      <c r="AGE325" s="1"/>
      <c r="AGF325" s="1"/>
      <c r="AGG325" s="1"/>
      <c r="AGH325" s="1"/>
      <c r="AGI325" s="1"/>
      <c r="AGJ325" s="1"/>
      <c r="AGK325" s="1"/>
      <c r="AGL325" s="1"/>
      <c r="AGM325" s="1"/>
      <c r="AGN325" s="1"/>
      <c r="AGO325" s="1"/>
      <c r="AGP325" s="1"/>
      <c r="AGQ325" s="1"/>
      <c r="AGR325" s="1"/>
      <c r="AGS325" s="1"/>
      <c r="AGT325" s="1"/>
      <c r="AGU325" s="1"/>
      <c r="AGV325" s="1"/>
      <c r="AGW325" s="1"/>
      <c r="AGX325" s="1"/>
      <c r="AGY325" s="1"/>
      <c r="AGZ325" s="1"/>
      <c r="AHA325" s="1"/>
      <c r="AHB325" s="1"/>
      <c r="AHC325" s="1"/>
      <c r="AHD325" s="1"/>
      <c r="AHE325" s="1"/>
      <c r="AHF325" s="1"/>
      <c r="AHG325" s="1"/>
      <c r="AHH325" s="1"/>
      <c r="AHI325" s="1"/>
      <c r="AHJ325" s="1"/>
      <c r="AHK325" s="1"/>
      <c r="AHL325" s="1"/>
      <c r="AHM325" s="1"/>
      <c r="AHN325" s="1"/>
      <c r="AHO325" s="1"/>
      <c r="AHP325" s="1"/>
      <c r="AHQ325" s="1"/>
      <c r="AHR325" s="1"/>
      <c r="AHS325" s="1"/>
      <c r="AHT325" s="1"/>
      <c r="AHU325" s="1"/>
      <c r="AHV325" s="1"/>
      <c r="AHW325" s="1"/>
      <c r="AHX325" s="1"/>
      <c r="AHY325" s="1"/>
      <c r="AHZ325" s="1"/>
      <c r="AIA325" s="1"/>
      <c r="AIB325" s="1"/>
      <c r="AIC325" s="1"/>
      <c r="AID325" s="1"/>
      <c r="AIE325" s="1"/>
      <c r="AIF325" s="1"/>
      <c r="AIG325" s="1"/>
      <c r="AIH325" s="1"/>
      <c r="AII325" s="1"/>
      <c r="AIJ325" s="1"/>
      <c r="AIK325" s="1"/>
      <c r="AIL325" s="1"/>
      <c r="AIM325" s="1"/>
      <c r="AIN325" s="1"/>
      <c r="AIO325" s="1"/>
      <c r="AIP325" s="1"/>
      <c r="AIQ325" s="1"/>
      <c r="AIR325" s="1"/>
      <c r="AIS325" s="1"/>
      <c r="AIT325" s="1"/>
      <c r="AIU325" s="1"/>
      <c r="AIV325" s="1"/>
      <c r="AIW325" s="1"/>
      <c r="AIX325" s="1"/>
      <c r="AIY325" s="1"/>
      <c r="AIZ325" s="1"/>
      <c r="AJA325" s="1"/>
      <c r="AJB325" s="1"/>
      <c r="AJC325" s="1"/>
      <c r="AJD325" s="1"/>
      <c r="AJE325" s="1"/>
      <c r="AJF325" s="1"/>
      <c r="AJG325" s="1"/>
      <c r="AJH325" s="1"/>
      <c r="AJI325" s="1"/>
      <c r="AJJ325" s="1"/>
      <c r="AJK325" s="1"/>
      <c r="AJL325" s="1"/>
      <c r="AJM325" s="1"/>
      <c r="AJN325" s="1"/>
      <c r="AJO325" s="1"/>
      <c r="AJP325" s="1"/>
      <c r="AJQ325" s="1"/>
      <c r="AJR325" s="1"/>
      <c r="AJS325" s="1"/>
      <c r="AJT325" s="1"/>
      <c r="AJU325" s="1"/>
      <c r="AJV325" s="1"/>
      <c r="AJW325" s="1"/>
      <c r="AJX325" s="1"/>
      <c r="AJY325" s="1"/>
      <c r="AJZ325" s="1"/>
      <c r="AKA325" s="1"/>
      <c r="AKB325" s="1"/>
      <c r="AKC325" s="1"/>
      <c r="AKD325" s="1"/>
      <c r="AKE325" s="1"/>
      <c r="AKF325" s="1"/>
      <c r="AKG325" s="1"/>
      <c r="AKH325" s="1"/>
      <c r="AKI325" s="1"/>
      <c r="AKJ325" s="1"/>
      <c r="AKK325" s="1"/>
      <c r="AKL325" s="1"/>
      <c r="AKM325" s="1"/>
      <c r="AKN325" s="1"/>
      <c r="AKO325" s="1"/>
      <c r="AKP325" s="1"/>
      <c r="AKQ325" s="1"/>
      <c r="AKR325" s="1"/>
      <c r="AKS325" s="1"/>
      <c r="AKT325" s="1"/>
      <c r="AKU325" s="1"/>
      <c r="AKV325" s="1"/>
      <c r="AKW325" s="1"/>
      <c r="AKX325" s="1"/>
      <c r="AKY325" s="1"/>
      <c r="AKZ325" s="1"/>
      <c r="ALA325" s="1"/>
      <c r="ALB325" s="1"/>
      <c r="ALC325" s="1"/>
      <c r="ALD325" s="1"/>
      <c r="ALE325" s="1"/>
      <c r="ALF325" s="1"/>
      <c r="ALG325" s="1"/>
      <c r="ALH325" s="1"/>
      <c r="ALI325" s="1"/>
      <c r="ALJ325" s="1"/>
      <c r="ALK325" s="1"/>
      <c r="ALL325" s="1"/>
      <c r="ALM325" s="1"/>
      <c r="ALN325" s="1"/>
      <c r="ALO325" s="1"/>
      <c r="ALP325" s="1"/>
      <c r="ALQ325" s="1"/>
      <c r="ALR325" s="1"/>
      <c r="ALS325" s="1"/>
      <c r="ALT325" s="1"/>
      <c r="ALU325" s="1"/>
      <c r="ALV325" s="1"/>
      <c r="ALW325" s="1"/>
      <c r="ALX325" s="1"/>
      <c r="ALY325" s="1"/>
      <c r="ALZ325" s="1"/>
      <c r="AMA325" s="1"/>
      <c r="AMB325" s="1"/>
      <c r="AMC325" s="1"/>
      <c r="AMD325" s="1"/>
      <c r="AME325" s="1"/>
      <c r="AMF325" s="1"/>
      <c r="AMG325" s="1"/>
      <c r="AMH325" s="1"/>
      <c r="AMI325" s="1"/>
      <c r="AMJ325" s="1"/>
      <c r="AMK325" s="1"/>
      <c r="AML325" s="1"/>
      <c r="AMM325" s="1"/>
      <c r="AMN325" s="1"/>
      <c r="AMO325" s="1"/>
    </row>
    <row r="326" spans="1:1030" x14ac:dyDescent="0.2">
      <c r="A326" s="3" t="str">
        <f t="shared" si="1563"/>
        <v>grm1_human__wt</v>
      </c>
      <c r="B326" s="3" t="s">
        <v>40</v>
      </c>
      <c r="C326" s="3" t="s">
        <v>100</v>
      </c>
      <c r="D326" s="3" t="str">
        <f>IFERROR(MID(VLOOKUP($B326,Seqs!$A:$B,2,0),E326,1),"")</f>
        <v>I</v>
      </c>
      <c r="E326" s="3">
        <v>591</v>
      </c>
      <c r="F326" s="3" t="str">
        <f>IFERROR(MID(VLOOKUP($B326,Seqs!$A:$B,2,0),G326,1),"")</f>
        <v>Y</v>
      </c>
      <c r="G326" s="3">
        <v>617</v>
      </c>
      <c r="H326" s="3" t="str">
        <f>IFERROR(MID(VLOOKUP($B326,Seqs!$A:$B,2,0),I326,1),"")</f>
        <v>T</v>
      </c>
      <c r="I326" s="23">
        <v>620</v>
      </c>
      <c r="J326" s="3" t="str">
        <f>IFERROR(MID(VLOOKUP($B326,Seqs!$A:$B,2,0),K326,1),"")</f>
        <v>S</v>
      </c>
      <c r="K326" s="23">
        <v>626</v>
      </c>
      <c r="L326" s="3" t="str">
        <f>IFERROR(MID(VLOOKUP($B326,Seqs!$A:$B,2,0),M326,1),"")</f>
        <v>S</v>
      </c>
      <c r="M326" s="3">
        <v>627</v>
      </c>
      <c r="N326" s="3" t="str">
        <f>IFERROR(MID(VLOOKUP($B326,Seqs!$A:$B,2,0),O326,1),"")</f>
        <v>I</v>
      </c>
      <c r="O326" s="3">
        <v>649</v>
      </c>
      <c r="P326" s="3" t="str">
        <f>IFERROR(MID(VLOOKUP($B326,Seqs!$A:$B,2,0),Q326,1),"")</f>
        <v/>
      </c>
      <c r="Q326" s="3" t="s">
        <v>23</v>
      </c>
      <c r="R326" s="3" t="str">
        <f>IFERROR(MID(VLOOKUP($B326,Seqs!$A:$B,2,0),S326,1),"")</f>
        <v/>
      </c>
      <c r="S326" s="3" t="s">
        <v>23</v>
      </c>
      <c r="T326" s="3" t="str">
        <f>IFERROR(MID(VLOOKUP($B326,Seqs!$A:$B,2,0),U326,1),"")</f>
        <v>T</v>
      </c>
      <c r="U326" s="3">
        <v>654</v>
      </c>
      <c r="V326" s="3" t="str">
        <f>IFERROR(MID(VLOOKUP($B326,Seqs!$A:$B,2,0),W326,1),"")</f>
        <v>L</v>
      </c>
      <c r="W326" s="3">
        <v>686</v>
      </c>
      <c r="X326" s="3" t="str">
        <f>IFERROR(MID(VLOOKUP($B326,Seqs!$A:$B,2,0),Y326,1),"")</f>
        <v/>
      </c>
      <c r="Y326" s="3" t="s">
        <v>23</v>
      </c>
      <c r="Z326" s="3" t="str">
        <f>IFERROR(MID(VLOOKUP($B326,Seqs!$A:$B,2,0),AA326,1),"")</f>
        <v/>
      </c>
      <c r="AA326" s="3" t="s">
        <v>23</v>
      </c>
      <c r="AB326" s="3" t="str">
        <f>IFERROR(MID(VLOOKUP($B326,Seqs!$A:$B,2,0),AC326,1),"")</f>
        <v>S</v>
      </c>
      <c r="AC326" s="3">
        <v>702</v>
      </c>
      <c r="AD326" s="3" t="str">
        <f>IFERROR(MID(VLOOKUP($B326,Seqs!$A:$B,2,0),AE326,1),"")</f>
        <v>E</v>
      </c>
      <c r="AE326" s="3">
        <v>728</v>
      </c>
      <c r="AF326" s="3" t="str">
        <f>IFERROR(MID(VLOOKUP($B326,Seqs!$A:$B,2,0),AG326,1),"")</f>
        <v>C</v>
      </c>
      <c r="AG326" s="3">
        <v>746</v>
      </c>
      <c r="AH326" s="3" t="str">
        <f>IFERROR(MID(VLOOKUP($B326,Seqs!$A:$B,2,0),AI326,1),"")</f>
        <v>T</v>
      </c>
      <c r="AI326" s="3">
        <v>748</v>
      </c>
      <c r="AJ326" s="3" t="str">
        <f>IFERROR(MID(VLOOKUP($B326,Seqs!$A:$B,2,0),AK326,1),"")</f>
        <v>S</v>
      </c>
      <c r="AK326" s="3">
        <v>749</v>
      </c>
      <c r="AL326" s="3" t="str">
        <f>IFERROR(MID(VLOOKUP($B326,Seqs!$A:$B,2,0),AM326,1),"")</f>
        <v>T</v>
      </c>
      <c r="AM326" s="3">
        <v>774</v>
      </c>
      <c r="AN326" s="3" t="str">
        <f>IFERROR(MID(VLOOKUP($B326,Seqs!$A:$B,2,0),AO326,1),"")</f>
        <v>E</v>
      </c>
      <c r="AO326" s="3">
        <v>783</v>
      </c>
      <c r="AP326" s="3" t="str">
        <f>IFERROR(MID(VLOOKUP($B326,Seqs!$A:$B,2,0),AQ326,1),"")</f>
        <v>G</v>
      </c>
      <c r="AQ326" s="3">
        <v>807</v>
      </c>
      <c r="AR326" s="3" t="str">
        <f>IFERROR(MID(VLOOKUP($B326,Seqs!$A:$B,2,0),AS326,1),"")</f>
        <v>Y</v>
      </c>
      <c r="AS326" s="3">
        <v>810</v>
      </c>
      <c r="AT326" s="3" t="str">
        <f>IFERROR(MID(VLOOKUP($B326,Seqs!$A:$B,2,0),AU326,1),"")</f>
        <v>K</v>
      </c>
      <c r="AU326" s="3">
        <v>841</v>
      </c>
      <c r="AV326" s="3" t="str">
        <f>IFERROR(MID(VLOOKUP($B326,Seqs!$A:$B,2,0),AW326,1),"")</f>
        <v>P</v>
      </c>
      <c r="AW326" s="3">
        <v>842</v>
      </c>
      <c r="AX326" s="3" t="str">
        <f>IFERROR(MID(VLOOKUP($B326,Seqs!$A:$B,2,0),AY326,1),"")</f>
        <v>S</v>
      </c>
      <c r="AY326" s="3">
        <v>853</v>
      </c>
      <c r="AZ326" s="77" t="str">
        <f>VLOOKUP(B326,Classification!A:D,2,0)</f>
        <v>C</v>
      </c>
      <c r="BA326" s="94" t="str">
        <f>VLOOKUP(B326,Classification!A:D,4,0)</f>
        <v>Metabotropicglutamate</v>
      </c>
      <c r="BB326" s="27" t="b">
        <f t="shared" si="1564"/>
        <v>1</v>
      </c>
      <c r="BC326" s="23">
        <f t="shared" si="1537"/>
        <v>217</v>
      </c>
      <c r="BD326" s="56" t="s">
        <v>23</v>
      </c>
      <c r="BE326" s="3" t="s">
        <v>23</v>
      </c>
      <c r="BF326" s="119" t="s">
        <v>23</v>
      </c>
      <c r="BG326" s="49" t="s">
        <v>1378</v>
      </c>
      <c r="BH326" s="49" t="s">
        <v>1383</v>
      </c>
      <c r="BI326" s="3" t="s">
        <v>1164</v>
      </c>
      <c r="BJ326" s="70" t="s">
        <v>1293</v>
      </c>
      <c r="BK326" s="57" t="s">
        <v>1293</v>
      </c>
      <c r="BL326" s="57" t="s">
        <v>1293</v>
      </c>
      <c r="BM326" s="57" t="s">
        <v>1293</v>
      </c>
      <c r="BN326" s="57" t="s">
        <v>1293</v>
      </c>
      <c r="BO326" s="57" t="s">
        <v>1293</v>
      </c>
      <c r="BP326" s="57" t="s">
        <v>1293</v>
      </c>
      <c r="BQ326" s="57" t="s">
        <v>1293</v>
      </c>
      <c r="BR326" s="57" t="s">
        <v>1293</v>
      </c>
      <c r="BS326" s="57" t="s">
        <v>1293</v>
      </c>
      <c r="BT326" s="57" t="s">
        <v>1293</v>
      </c>
      <c r="BU326" s="57" t="s">
        <v>1293</v>
      </c>
      <c r="BV326" s="70">
        <f t="shared" si="1538"/>
        <v>591</v>
      </c>
      <c r="BW326" s="71">
        <f t="shared" si="1539"/>
        <v>620</v>
      </c>
      <c r="BX326" s="72">
        <f t="shared" si="1540"/>
        <v>627</v>
      </c>
      <c r="BY326" s="71" t="str">
        <f t="shared" si="1541"/>
        <v>-</v>
      </c>
      <c r="BZ326" s="72">
        <f t="shared" si="1542"/>
        <v>654</v>
      </c>
      <c r="CA326" s="71" t="str">
        <f t="shared" si="1543"/>
        <v>-</v>
      </c>
      <c r="CB326" s="72">
        <f t="shared" si="1544"/>
        <v>702</v>
      </c>
      <c r="CC326" s="71">
        <f t="shared" si="1545"/>
        <v>746</v>
      </c>
      <c r="CD326" s="72">
        <f t="shared" si="1546"/>
        <v>749</v>
      </c>
      <c r="CE326" s="71">
        <f t="shared" si="1547"/>
        <v>783</v>
      </c>
      <c r="CF326" s="72">
        <f t="shared" si="1548"/>
        <v>810</v>
      </c>
      <c r="CG326" s="71">
        <f t="shared" si="1549"/>
        <v>842</v>
      </c>
      <c r="CH326" s="70">
        <f t="shared" si="1550"/>
        <v>617</v>
      </c>
      <c r="CI326" s="71">
        <f t="shared" si="1551"/>
        <v>626</v>
      </c>
      <c r="CJ326" s="72">
        <f t="shared" si="1552"/>
        <v>649</v>
      </c>
      <c r="CK326" s="72" t="str">
        <f t="shared" si="1553"/>
        <v>-</v>
      </c>
      <c r="CL326" s="72">
        <f t="shared" si="1554"/>
        <v>686</v>
      </c>
      <c r="CM326" s="72" t="str">
        <f t="shared" si="1555"/>
        <v>-</v>
      </c>
      <c r="CN326" s="72">
        <f t="shared" si="1556"/>
        <v>728</v>
      </c>
      <c r="CO326" s="72">
        <f t="shared" si="1557"/>
        <v>748</v>
      </c>
      <c r="CP326" s="72">
        <f t="shared" si="1558"/>
        <v>774</v>
      </c>
      <c r="CQ326" s="72">
        <f t="shared" si="1559"/>
        <v>807</v>
      </c>
      <c r="CR326" s="72">
        <f t="shared" si="1560"/>
        <v>841</v>
      </c>
      <c r="CS326" s="72">
        <f t="shared" si="1561"/>
        <v>853</v>
      </c>
      <c r="CT326" s="23">
        <f t="shared" si="1562"/>
        <v>1</v>
      </c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  <c r="ADW326" s="1"/>
      <c r="ADX326" s="1"/>
      <c r="ADY326" s="1"/>
      <c r="ADZ326" s="1"/>
      <c r="AEA326" s="1"/>
      <c r="AEB326" s="1"/>
      <c r="AEC326" s="1"/>
      <c r="AED326" s="1"/>
      <c r="AEE326" s="1"/>
      <c r="AEF326" s="1"/>
      <c r="AEG326" s="1"/>
      <c r="AEH326" s="1"/>
      <c r="AEI326" s="1"/>
      <c r="AEJ326" s="1"/>
      <c r="AEK326" s="1"/>
      <c r="AEL326" s="1"/>
      <c r="AEM326" s="1"/>
      <c r="AEN326" s="1"/>
      <c r="AEO326" s="1"/>
      <c r="AEP326" s="1"/>
      <c r="AEQ326" s="1"/>
      <c r="AER326" s="1"/>
      <c r="AES326" s="1"/>
      <c r="AET326" s="1"/>
      <c r="AEU326" s="1"/>
      <c r="AEV326" s="1"/>
      <c r="AEW326" s="1"/>
      <c r="AEX326" s="1"/>
      <c r="AEY326" s="1"/>
      <c r="AEZ326" s="1"/>
      <c r="AFA326" s="1"/>
      <c r="AFB326" s="1"/>
      <c r="AFC326" s="1"/>
      <c r="AFD326" s="1"/>
      <c r="AFE326" s="1"/>
      <c r="AFF326" s="1"/>
      <c r="AFG326" s="1"/>
      <c r="AFH326" s="1"/>
      <c r="AFI326" s="1"/>
      <c r="AFJ326" s="1"/>
      <c r="AFK326" s="1"/>
      <c r="AFL326" s="1"/>
      <c r="AFM326" s="1"/>
      <c r="AFN326" s="1"/>
      <c r="AFO326" s="1"/>
      <c r="AFP326" s="1"/>
      <c r="AFQ326" s="1"/>
      <c r="AFR326" s="1"/>
      <c r="AFS326" s="1"/>
      <c r="AFT326" s="1"/>
      <c r="AFU326" s="1"/>
      <c r="AFV326" s="1"/>
      <c r="AFW326" s="1"/>
      <c r="AFX326" s="1"/>
      <c r="AFY326" s="1"/>
      <c r="AFZ326" s="1"/>
      <c r="AGA326" s="1"/>
      <c r="AGB326" s="1"/>
      <c r="AGC326" s="1"/>
      <c r="AGD326" s="1"/>
      <c r="AGE326" s="1"/>
      <c r="AGF326" s="1"/>
      <c r="AGG326" s="1"/>
      <c r="AGH326" s="1"/>
      <c r="AGI326" s="1"/>
      <c r="AGJ326" s="1"/>
      <c r="AGK326" s="1"/>
      <c r="AGL326" s="1"/>
      <c r="AGM326" s="1"/>
      <c r="AGN326" s="1"/>
      <c r="AGO326" s="1"/>
      <c r="AGP326" s="1"/>
      <c r="AGQ326" s="1"/>
      <c r="AGR326" s="1"/>
      <c r="AGS326" s="1"/>
      <c r="AGT326" s="1"/>
      <c r="AGU326" s="1"/>
      <c r="AGV326" s="1"/>
      <c r="AGW326" s="1"/>
      <c r="AGX326" s="1"/>
      <c r="AGY326" s="1"/>
      <c r="AGZ326" s="1"/>
      <c r="AHA326" s="1"/>
      <c r="AHB326" s="1"/>
      <c r="AHC326" s="1"/>
      <c r="AHD326" s="1"/>
      <c r="AHE326" s="1"/>
      <c r="AHF326" s="1"/>
      <c r="AHG326" s="1"/>
      <c r="AHH326" s="1"/>
      <c r="AHI326" s="1"/>
      <c r="AHJ326" s="1"/>
      <c r="AHK326" s="1"/>
      <c r="AHL326" s="1"/>
      <c r="AHM326" s="1"/>
      <c r="AHN326" s="1"/>
      <c r="AHO326" s="1"/>
      <c r="AHP326" s="1"/>
      <c r="AHQ326" s="1"/>
      <c r="AHR326" s="1"/>
      <c r="AHS326" s="1"/>
      <c r="AHT326" s="1"/>
      <c r="AHU326" s="1"/>
      <c r="AHV326" s="1"/>
      <c r="AHW326" s="1"/>
      <c r="AHX326" s="1"/>
      <c r="AHY326" s="1"/>
      <c r="AHZ326" s="1"/>
      <c r="AIA326" s="1"/>
      <c r="AIB326" s="1"/>
      <c r="AIC326" s="1"/>
      <c r="AID326" s="1"/>
      <c r="AIE326" s="1"/>
      <c r="AIF326" s="1"/>
      <c r="AIG326" s="1"/>
      <c r="AIH326" s="1"/>
      <c r="AII326" s="1"/>
      <c r="AIJ326" s="1"/>
      <c r="AIK326" s="1"/>
      <c r="AIL326" s="1"/>
      <c r="AIM326" s="1"/>
      <c r="AIN326" s="1"/>
      <c r="AIO326" s="1"/>
      <c r="AIP326" s="1"/>
      <c r="AIQ326" s="1"/>
      <c r="AIR326" s="1"/>
      <c r="AIS326" s="1"/>
      <c r="AIT326" s="1"/>
      <c r="AIU326" s="1"/>
      <c r="AIV326" s="1"/>
      <c r="AIW326" s="1"/>
      <c r="AIX326" s="1"/>
      <c r="AIY326" s="1"/>
      <c r="AIZ326" s="1"/>
      <c r="AJA326" s="1"/>
      <c r="AJB326" s="1"/>
      <c r="AJC326" s="1"/>
      <c r="AJD326" s="1"/>
      <c r="AJE326" s="1"/>
      <c r="AJF326" s="1"/>
      <c r="AJG326" s="1"/>
      <c r="AJH326" s="1"/>
      <c r="AJI326" s="1"/>
      <c r="AJJ326" s="1"/>
      <c r="AJK326" s="1"/>
      <c r="AJL326" s="1"/>
      <c r="AJM326" s="1"/>
      <c r="AJN326" s="1"/>
      <c r="AJO326" s="1"/>
      <c r="AJP326" s="1"/>
      <c r="AJQ326" s="1"/>
      <c r="AJR326" s="1"/>
      <c r="AJS326" s="1"/>
      <c r="AJT326" s="1"/>
      <c r="AJU326" s="1"/>
      <c r="AJV326" s="1"/>
      <c r="AJW326" s="1"/>
      <c r="AJX326" s="1"/>
      <c r="AJY326" s="1"/>
      <c r="AJZ326" s="1"/>
      <c r="AKA326" s="1"/>
      <c r="AKB326" s="1"/>
      <c r="AKC326" s="1"/>
      <c r="AKD326" s="1"/>
      <c r="AKE326" s="1"/>
      <c r="AKF326" s="1"/>
      <c r="AKG326" s="1"/>
      <c r="AKH326" s="1"/>
      <c r="AKI326" s="1"/>
      <c r="AKJ326" s="1"/>
      <c r="AKK326" s="1"/>
      <c r="AKL326" s="1"/>
      <c r="AKM326" s="1"/>
      <c r="AKN326" s="1"/>
      <c r="AKO326" s="1"/>
      <c r="AKP326" s="1"/>
      <c r="AKQ326" s="1"/>
      <c r="AKR326" s="1"/>
      <c r="AKS326" s="1"/>
      <c r="AKT326" s="1"/>
      <c r="AKU326" s="1"/>
      <c r="AKV326" s="1"/>
      <c r="AKW326" s="1"/>
      <c r="AKX326" s="1"/>
      <c r="AKY326" s="1"/>
      <c r="AKZ326" s="1"/>
      <c r="ALA326" s="1"/>
      <c r="ALB326" s="1"/>
      <c r="ALC326" s="1"/>
      <c r="ALD326" s="1"/>
      <c r="ALE326" s="1"/>
      <c r="ALF326" s="1"/>
      <c r="ALG326" s="1"/>
      <c r="ALH326" s="1"/>
      <c r="ALI326" s="1"/>
      <c r="ALJ326" s="1"/>
      <c r="ALK326" s="1"/>
      <c r="ALL326" s="1"/>
      <c r="ALM326" s="1"/>
      <c r="ALN326" s="1"/>
      <c r="ALO326" s="1"/>
      <c r="ALP326" s="1"/>
      <c r="ALQ326" s="1"/>
      <c r="ALR326" s="1"/>
      <c r="ALS326" s="1"/>
      <c r="ALT326" s="1"/>
      <c r="ALU326" s="1"/>
      <c r="ALV326" s="1"/>
      <c r="ALW326" s="1"/>
      <c r="ALX326" s="1"/>
      <c r="ALY326" s="1"/>
      <c r="ALZ326" s="1"/>
      <c r="AMA326" s="1"/>
      <c r="AMB326" s="1"/>
      <c r="AMC326" s="1"/>
      <c r="AMD326" s="1"/>
      <c r="AME326" s="1"/>
      <c r="AMF326" s="1"/>
      <c r="AMG326" s="1"/>
      <c r="AMH326" s="1"/>
      <c r="AMI326" s="1"/>
      <c r="AMJ326" s="1"/>
      <c r="AMK326" s="1"/>
      <c r="AML326" s="1"/>
      <c r="AMM326" s="1"/>
      <c r="AMN326" s="1"/>
      <c r="AMO326" s="1"/>
    </row>
    <row r="327" spans="1:1030" x14ac:dyDescent="0.2">
      <c r="A327" s="3" t="str">
        <f t="shared" si="1563"/>
        <v>grm1_human_4OR2</v>
      </c>
      <c r="B327" s="3" t="s">
        <v>40</v>
      </c>
      <c r="C327" s="3" t="s">
        <v>96</v>
      </c>
      <c r="D327" s="3" t="str">
        <f>IFERROR(MID(VLOOKUP($B327,Seqs!$A:$B,2,0),E327,1),"")</f>
        <v>I</v>
      </c>
      <c r="E327" s="3">
        <v>591</v>
      </c>
      <c r="F327" s="3" t="str">
        <f>IFERROR(MID(VLOOKUP($B327,Seqs!$A:$B,2,0),G327,1),"")</f>
        <v>Y</v>
      </c>
      <c r="G327" s="3">
        <v>617</v>
      </c>
      <c r="H327" s="3" t="str">
        <f>IFERROR(MID(VLOOKUP($B327,Seqs!$A:$B,2,0),I327,1),"")</f>
        <v>T</v>
      </c>
      <c r="I327" s="23">
        <v>620</v>
      </c>
      <c r="J327" s="3" t="str">
        <f>IFERROR(MID(VLOOKUP($B327,Seqs!$A:$B,2,0),K327,1),"")</f>
        <v>S</v>
      </c>
      <c r="K327" s="23">
        <v>626</v>
      </c>
      <c r="L327" s="3" t="str">
        <f>IFERROR(MID(VLOOKUP($B327,Seqs!$A:$B,2,0),M327,1),"")</f>
        <v>S</v>
      </c>
      <c r="M327" s="3">
        <v>627</v>
      </c>
      <c r="N327" s="3" t="str">
        <f>IFERROR(MID(VLOOKUP($B327,Seqs!$A:$B,2,0),O327,1),"")</f>
        <v>I</v>
      </c>
      <c r="O327" s="3">
        <v>649</v>
      </c>
      <c r="P327" s="3" t="str">
        <f>IFERROR(MID(VLOOKUP($B327,Seqs!$A:$B,2,0),Q327,1),"")</f>
        <v/>
      </c>
      <c r="Q327" s="3" t="s">
        <v>23</v>
      </c>
      <c r="R327" s="3" t="str">
        <f>IFERROR(MID(VLOOKUP($B327,Seqs!$A:$B,2,0),S327,1),"")</f>
        <v/>
      </c>
      <c r="S327" s="3" t="s">
        <v>23</v>
      </c>
      <c r="T327" s="3" t="str">
        <f>IFERROR(MID(VLOOKUP($B327,Seqs!$A:$B,2,0),U327,1),"")</f>
        <v>T</v>
      </c>
      <c r="U327" s="3">
        <v>654</v>
      </c>
      <c r="V327" s="3" t="str">
        <f>IFERROR(MID(VLOOKUP($B327,Seqs!$A:$B,2,0),W327,1),"")</f>
        <v>L</v>
      </c>
      <c r="W327" s="3">
        <v>686</v>
      </c>
      <c r="X327" s="3" t="str">
        <f>IFERROR(MID(VLOOKUP($B327,Seqs!$A:$B,2,0),Y327,1),"")</f>
        <v/>
      </c>
      <c r="Y327" s="3" t="s">
        <v>23</v>
      </c>
      <c r="Z327" s="3" t="str">
        <f>IFERROR(MID(VLOOKUP($B327,Seqs!$A:$B,2,0),AA327,1),"")</f>
        <v/>
      </c>
      <c r="AA327" s="3" t="s">
        <v>23</v>
      </c>
      <c r="AB327" s="3" t="str">
        <f>IFERROR(MID(VLOOKUP($B327,Seqs!$A:$B,2,0),AC327,1),"")</f>
        <v>S</v>
      </c>
      <c r="AC327" s="9">
        <v>702</v>
      </c>
      <c r="AD327" s="3" t="str">
        <f>IFERROR(MID(VLOOKUP($B327,Seqs!$A:$B,2,0),AE327,1),"")</f>
        <v>E</v>
      </c>
      <c r="AE327" s="3">
        <v>728</v>
      </c>
      <c r="AF327" s="3" t="str">
        <f>IFERROR(MID(VLOOKUP($B327,Seqs!$A:$B,2,0),AG327,1),"")</f>
        <v>C</v>
      </c>
      <c r="AG327" s="3">
        <v>746</v>
      </c>
      <c r="AH327" s="3" t="str">
        <f>IFERROR(MID(VLOOKUP($B327,Seqs!$A:$B,2,0),AI327,1),"")</f>
        <v>T</v>
      </c>
      <c r="AI327" s="3">
        <v>748</v>
      </c>
      <c r="AJ327" s="3" t="str">
        <f>IFERROR(MID(VLOOKUP($B327,Seqs!$A:$B,2,0),AK327,1),"")</f>
        <v>S</v>
      </c>
      <c r="AK327" s="105">
        <v>749</v>
      </c>
      <c r="AL327" s="3" t="str">
        <f>IFERROR(MID(VLOOKUP($B327,Seqs!$A:$B,2,0),AM327,1),"")</f>
        <v>T</v>
      </c>
      <c r="AM327" s="3">
        <v>774</v>
      </c>
      <c r="AN327" s="3" t="str">
        <f>IFERROR(MID(VLOOKUP($B327,Seqs!$A:$B,2,0),AO327,1),"")</f>
        <v>E</v>
      </c>
      <c r="AO327" s="3">
        <v>783</v>
      </c>
      <c r="AP327" s="3" t="str">
        <f>IFERROR(MID(VLOOKUP($B327,Seqs!$A:$B,2,0),AQ327,1),"")</f>
        <v>G</v>
      </c>
      <c r="AQ327" s="3">
        <v>807</v>
      </c>
      <c r="AR327" s="3" t="str">
        <f>IFERROR(MID(VLOOKUP($B327,Seqs!$A:$B,2,0),AS327,1),"")</f>
        <v>Y</v>
      </c>
      <c r="AS327" s="105">
        <v>810</v>
      </c>
      <c r="AT327" s="3" t="str">
        <f>IFERROR(MID(VLOOKUP($B327,Seqs!$A:$B,2,0),AU327,1),"")</f>
        <v>K</v>
      </c>
      <c r="AU327" s="3">
        <v>841</v>
      </c>
      <c r="AV327" s="3" t="str">
        <f>IFERROR(MID(VLOOKUP($B327,Seqs!$A:$B,2,0),AW327,1),"")</f>
        <v/>
      </c>
      <c r="AW327" s="3" t="s">
        <v>23</v>
      </c>
      <c r="AX327" s="3" t="str">
        <f>IFERROR(MID(VLOOKUP($B327,Seqs!$A:$B,2,0),AY327,1),"")</f>
        <v/>
      </c>
      <c r="AY327" s="3" t="s">
        <v>23</v>
      </c>
      <c r="AZ327" s="77" t="str">
        <f>VLOOKUP(B327,Classification!A:D,2,0)</f>
        <v>C</v>
      </c>
      <c r="BA327" s="94" t="str">
        <f>VLOOKUP(B327,Classification!A:D,4,0)</f>
        <v>Metabotropicglutamate</v>
      </c>
      <c r="BB327" s="27" t="b">
        <f t="shared" si="1564"/>
        <v>1</v>
      </c>
      <c r="BC327" s="23">
        <f t="shared" si="1537"/>
        <v>206</v>
      </c>
      <c r="BD327" s="2" t="s">
        <v>1382</v>
      </c>
      <c r="BE327" s="3" t="s">
        <v>1380</v>
      </c>
      <c r="BF327" s="119">
        <v>2.8</v>
      </c>
      <c r="BG327" s="49" t="s">
        <v>1383</v>
      </c>
      <c r="BH327" s="49" t="s">
        <v>1383</v>
      </c>
      <c r="BJ327" s="70" t="s">
        <v>1293</v>
      </c>
      <c r="BK327" s="57" t="s">
        <v>1293</v>
      </c>
      <c r="BL327" s="57" t="s">
        <v>1293</v>
      </c>
      <c r="BM327" s="57" t="s">
        <v>1293</v>
      </c>
      <c r="BN327" s="57" t="s">
        <v>1293</v>
      </c>
      <c r="BO327" s="57" t="s">
        <v>1293</v>
      </c>
      <c r="BP327" s="57" t="s">
        <v>1293</v>
      </c>
      <c r="BQ327" s="57" t="s">
        <v>1293</v>
      </c>
      <c r="BR327" s="57" t="s">
        <v>1293</v>
      </c>
      <c r="BS327" s="57" t="s">
        <v>1293</v>
      </c>
      <c r="BT327" s="57" t="s">
        <v>1293</v>
      </c>
      <c r="BU327" s="57" t="s">
        <v>1293</v>
      </c>
      <c r="BV327" s="70">
        <f t="shared" si="1538"/>
        <v>591</v>
      </c>
      <c r="BW327" s="71">
        <f t="shared" si="1539"/>
        <v>620</v>
      </c>
      <c r="BX327" s="72">
        <f t="shared" si="1540"/>
        <v>627</v>
      </c>
      <c r="BY327" s="71" t="str">
        <f t="shared" si="1541"/>
        <v>-</v>
      </c>
      <c r="BZ327" s="72">
        <f t="shared" si="1542"/>
        <v>654</v>
      </c>
      <c r="CA327" s="71" t="str">
        <f t="shared" si="1543"/>
        <v>-</v>
      </c>
      <c r="CB327" s="72">
        <f t="shared" si="1544"/>
        <v>702</v>
      </c>
      <c r="CC327" s="71">
        <f t="shared" si="1545"/>
        <v>746</v>
      </c>
      <c r="CD327" s="72">
        <f t="shared" si="1546"/>
        <v>749</v>
      </c>
      <c r="CE327" s="71">
        <f t="shared" si="1547"/>
        <v>783</v>
      </c>
      <c r="CF327" s="72">
        <f t="shared" si="1548"/>
        <v>810</v>
      </c>
      <c r="CG327" s="71" t="str">
        <f t="shared" si="1549"/>
        <v>-</v>
      </c>
      <c r="CH327" s="70">
        <f t="shared" si="1550"/>
        <v>617</v>
      </c>
      <c r="CI327" s="71">
        <f t="shared" si="1551"/>
        <v>626</v>
      </c>
      <c r="CJ327" s="72">
        <f t="shared" si="1552"/>
        <v>649</v>
      </c>
      <c r="CK327" s="72" t="str">
        <f t="shared" si="1553"/>
        <v>-</v>
      </c>
      <c r="CL327" s="72">
        <f t="shared" si="1554"/>
        <v>686</v>
      </c>
      <c r="CM327" s="72" t="str">
        <f t="shared" si="1555"/>
        <v>-</v>
      </c>
      <c r="CN327" s="72">
        <f t="shared" si="1556"/>
        <v>728</v>
      </c>
      <c r="CO327" s="72">
        <f t="shared" si="1557"/>
        <v>748</v>
      </c>
      <c r="CP327" s="72">
        <f t="shared" si="1558"/>
        <v>774</v>
      </c>
      <c r="CQ327" s="72">
        <f t="shared" si="1559"/>
        <v>807</v>
      </c>
      <c r="CR327" s="72">
        <f t="shared" si="1560"/>
        <v>841</v>
      </c>
      <c r="CS327" s="72" t="str">
        <f t="shared" si="1561"/>
        <v>-</v>
      </c>
      <c r="CT327" s="23">
        <f t="shared" si="1562"/>
        <v>1</v>
      </c>
    </row>
    <row r="328" spans="1:1030" x14ac:dyDescent="0.2">
      <c r="A328" s="3" t="str">
        <f t="shared" si="1563"/>
        <v>grm5_human__wt</v>
      </c>
      <c r="B328" s="3" t="s">
        <v>41</v>
      </c>
      <c r="C328" s="3" t="s">
        <v>100</v>
      </c>
      <c r="D328" s="3" t="str">
        <f>IFERROR(MID(VLOOKUP($B328,Seqs!$A:$B,2,0),E328,1),"")</f>
        <v>P</v>
      </c>
      <c r="E328" s="3">
        <v>578</v>
      </c>
      <c r="F328" s="3" t="str">
        <f>IFERROR(MID(VLOOKUP($B328,Seqs!$A:$B,2,0),G328,1),"")</f>
        <v>Y</v>
      </c>
      <c r="G328" s="3">
        <v>604</v>
      </c>
      <c r="H328" s="3" t="str">
        <f>IFERROR(MID(VLOOKUP($B328,Seqs!$A:$B,2,0),I328,1),"")</f>
        <v>T</v>
      </c>
      <c r="I328" s="23">
        <v>607</v>
      </c>
      <c r="J328" s="3" t="str">
        <f>IFERROR(MID(VLOOKUP($B328,Seqs!$A:$B,2,0),K328,1),"")</f>
        <v>S</v>
      </c>
      <c r="K328" s="23">
        <v>613</v>
      </c>
      <c r="L328" s="3" t="str">
        <f>IFERROR(MID(VLOOKUP($B328,Seqs!$A:$B,2,0),M328,1),"")</f>
        <v>S</v>
      </c>
      <c r="M328" s="3">
        <v>614</v>
      </c>
      <c r="N328" s="3" t="str">
        <f>IFERROR(MID(VLOOKUP($B328,Seqs!$A:$B,2,0),O328,1),"")</f>
        <v>I</v>
      </c>
      <c r="O328" s="3">
        <v>636</v>
      </c>
      <c r="P328" s="3" t="str">
        <f>IFERROR(MID(VLOOKUP($B328,Seqs!$A:$B,2,0),Q328,1),"")</f>
        <v/>
      </c>
      <c r="Q328" s="3" t="s">
        <v>23</v>
      </c>
      <c r="R328" s="3" t="str">
        <f>IFERROR(MID(VLOOKUP($B328,Seqs!$A:$B,2,0),S328,1),"")</f>
        <v/>
      </c>
      <c r="S328" s="3" t="s">
        <v>23</v>
      </c>
      <c r="T328" s="3" t="str">
        <f>IFERROR(MID(VLOOKUP($B328,Seqs!$A:$B,2,0),U328,1),"")</f>
        <v>K</v>
      </c>
      <c r="U328" s="105">
        <v>640</v>
      </c>
      <c r="V328" s="3" t="str">
        <f>IFERROR(MID(VLOOKUP($B328,Seqs!$A:$B,2,0),W328,1),"")</f>
        <v>L</v>
      </c>
      <c r="W328" s="3">
        <v>673</v>
      </c>
      <c r="X328" s="3" t="str">
        <f>IFERROR(MID(VLOOKUP($B328,Seqs!$A:$B,2,0),Y328,1),"")</f>
        <v/>
      </c>
      <c r="Y328" s="3" t="s">
        <v>23</v>
      </c>
      <c r="Z328" s="3" t="str">
        <f>IFERROR(MID(VLOOKUP($B328,Seqs!$A:$B,2,0),AA328,1),"")</f>
        <v/>
      </c>
      <c r="AA328" s="3" t="s">
        <v>23</v>
      </c>
      <c r="AB328" s="3" t="str">
        <f>IFERROR(MID(VLOOKUP($B328,Seqs!$A:$B,2,0),AC328,1),"")</f>
        <v>S</v>
      </c>
      <c r="AC328" s="9">
        <v>689</v>
      </c>
      <c r="AD328" s="3" t="str">
        <f>IFERROR(MID(VLOOKUP($B328,Seqs!$A:$B,2,0),AE328,1),"")</f>
        <v>E</v>
      </c>
      <c r="AE328" s="3">
        <v>715</v>
      </c>
      <c r="AF328" s="3" t="str">
        <f>IFERROR(MID(VLOOKUP($B328,Seqs!$A:$B,2,0),AG328,1),"")</f>
        <v>C</v>
      </c>
      <c r="AG328" s="3">
        <v>733</v>
      </c>
      <c r="AH328" s="3" t="str">
        <f>IFERROR(MID(VLOOKUP($B328,Seqs!$A:$B,2,0),AI328,1),"")</f>
        <v>T</v>
      </c>
      <c r="AI328" s="3">
        <v>735</v>
      </c>
      <c r="AJ328" s="3" t="str">
        <f>IFERROR(MID(VLOOKUP($B328,Seqs!$A:$B,2,0),AK328,1),"")</f>
        <v>T</v>
      </c>
      <c r="AK328" s="105">
        <v>736</v>
      </c>
      <c r="AL328" s="3" t="str">
        <f>IFERROR(MID(VLOOKUP($B328,Seqs!$A:$B,2,0),AM328,1),"")</f>
        <v>T</v>
      </c>
      <c r="AM328" s="3">
        <v>761</v>
      </c>
      <c r="AN328" s="3" t="str">
        <f>IFERROR(MID(VLOOKUP($B328,Seqs!$A:$B,2,0),AO328,1),"")</f>
        <v>E</v>
      </c>
      <c r="AO328" s="3">
        <v>770</v>
      </c>
      <c r="AP328" s="3" t="str">
        <f>IFERROR(MID(VLOOKUP($B328,Seqs!$A:$B,2,0),AQ328,1),"")</f>
        <v>G</v>
      </c>
      <c r="AQ328" s="3">
        <v>794</v>
      </c>
      <c r="AR328" s="3" t="str">
        <f>IFERROR(MID(VLOOKUP($B328,Seqs!$A:$B,2,0),AS328,1),"")</f>
        <v>Y</v>
      </c>
      <c r="AS328" s="105">
        <v>797</v>
      </c>
      <c r="AT328" s="3" t="str">
        <f>IFERROR(MID(VLOOKUP($B328,Seqs!$A:$B,2,0),AU328,1),"")</f>
        <v>K</v>
      </c>
      <c r="AU328" s="3">
        <v>828</v>
      </c>
      <c r="AV328" s="3" t="str">
        <f>IFERROR(MID(VLOOKUP($B328,Seqs!$A:$B,2,0),AW328,1),"")</f>
        <v>P</v>
      </c>
      <c r="AW328" s="3">
        <v>829</v>
      </c>
      <c r="AX328" s="3" t="str">
        <f>IFERROR(MID(VLOOKUP($B328,Seqs!$A:$B,2,0),AY328,1),"")</f>
        <v>S</v>
      </c>
      <c r="AY328" s="3">
        <v>840</v>
      </c>
      <c r="AZ328" s="77" t="str">
        <f>VLOOKUP(B328,Classification!A:D,2,0)</f>
        <v>C</v>
      </c>
      <c r="BA328" s="94" t="str">
        <f>VLOOKUP(B328,Classification!A:D,4,0)</f>
        <v>Metabotropicglutamate</v>
      </c>
      <c r="BB328" s="27" t="b">
        <f t="shared" si="1564"/>
        <v>1</v>
      </c>
      <c r="BC328" s="23">
        <f t="shared" si="1537"/>
        <v>218</v>
      </c>
      <c r="BD328" s="56" t="s">
        <v>23</v>
      </c>
      <c r="BE328" s="3" t="s">
        <v>23</v>
      </c>
      <c r="BF328" s="119" t="s">
        <v>23</v>
      </c>
      <c r="BG328" s="49" t="s">
        <v>1378</v>
      </c>
      <c r="BH328" s="49" t="s">
        <v>1383</v>
      </c>
      <c r="BJ328" s="70" t="s">
        <v>1293</v>
      </c>
      <c r="BK328" s="57" t="s">
        <v>1293</v>
      </c>
      <c r="BL328" s="57" t="s">
        <v>1293</v>
      </c>
      <c r="BM328" s="57" t="s">
        <v>1293</v>
      </c>
      <c r="BN328" s="57" t="s">
        <v>1293</v>
      </c>
      <c r="BO328" s="57" t="s">
        <v>1293</v>
      </c>
      <c r="BP328" s="57" t="s">
        <v>1293</v>
      </c>
      <c r="BQ328" s="57" t="s">
        <v>1293</v>
      </c>
      <c r="BR328" s="57" t="s">
        <v>1293</v>
      </c>
      <c r="BS328" s="57" t="s">
        <v>1293</v>
      </c>
      <c r="BT328" s="57" t="s">
        <v>1293</v>
      </c>
      <c r="BU328" s="57" t="s">
        <v>1293</v>
      </c>
      <c r="BV328" s="70">
        <f t="shared" si="1538"/>
        <v>578</v>
      </c>
      <c r="BW328" s="71">
        <f t="shared" si="1539"/>
        <v>607</v>
      </c>
      <c r="BX328" s="72">
        <f t="shared" si="1540"/>
        <v>614</v>
      </c>
      <c r="BY328" s="71" t="str">
        <f t="shared" si="1541"/>
        <v>-</v>
      </c>
      <c r="BZ328" s="72">
        <f t="shared" si="1542"/>
        <v>640</v>
      </c>
      <c r="CA328" s="71" t="str">
        <f t="shared" si="1543"/>
        <v>-</v>
      </c>
      <c r="CB328" s="72">
        <f t="shared" si="1544"/>
        <v>689</v>
      </c>
      <c r="CC328" s="71">
        <f t="shared" si="1545"/>
        <v>733</v>
      </c>
      <c r="CD328" s="72">
        <f t="shared" si="1546"/>
        <v>736</v>
      </c>
      <c r="CE328" s="71">
        <f t="shared" si="1547"/>
        <v>770</v>
      </c>
      <c r="CF328" s="72">
        <f t="shared" si="1548"/>
        <v>797</v>
      </c>
      <c r="CG328" s="71">
        <f t="shared" si="1549"/>
        <v>829</v>
      </c>
      <c r="CH328" s="70">
        <f t="shared" si="1550"/>
        <v>604</v>
      </c>
      <c r="CI328" s="71">
        <f t="shared" si="1551"/>
        <v>613</v>
      </c>
      <c r="CJ328" s="72">
        <f t="shared" si="1552"/>
        <v>636</v>
      </c>
      <c r="CK328" s="72" t="str">
        <f t="shared" si="1553"/>
        <v>-</v>
      </c>
      <c r="CL328" s="72">
        <f t="shared" si="1554"/>
        <v>673</v>
      </c>
      <c r="CM328" s="72" t="str">
        <f t="shared" si="1555"/>
        <v>-</v>
      </c>
      <c r="CN328" s="72">
        <f t="shared" si="1556"/>
        <v>715</v>
      </c>
      <c r="CO328" s="72">
        <f t="shared" si="1557"/>
        <v>735</v>
      </c>
      <c r="CP328" s="72">
        <f t="shared" si="1558"/>
        <v>761</v>
      </c>
      <c r="CQ328" s="72">
        <f t="shared" si="1559"/>
        <v>794</v>
      </c>
      <c r="CR328" s="72">
        <f t="shared" si="1560"/>
        <v>828</v>
      </c>
      <c r="CS328" s="72">
        <f t="shared" si="1561"/>
        <v>840</v>
      </c>
      <c r="CT328" s="23">
        <f t="shared" si="1562"/>
        <v>1</v>
      </c>
    </row>
    <row r="329" spans="1:1030" x14ac:dyDescent="0.2">
      <c r="A329" s="3" t="str">
        <f t="shared" si="1563"/>
        <v>grm5_human_4OO9</v>
      </c>
      <c r="B329" s="3" t="s">
        <v>41</v>
      </c>
      <c r="C329" s="3" t="s">
        <v>57</v>
      </c>
      <c r="D329" s="3" t="str">
        <f>IFERROR(MID(VLOOKUP($B329,Seqs!$A:$B,2,0),E329,1),"")</f>
        <v>P</v>
      </c>
      <c r="E329" s="3">
        <v>578</v>
      </c>
      <c r="F329" s="3" t="str">
        <f>IFERROR(MID(VLOOKUP($B329,Seqs!$A:$B,2,0),G329,1),"")</f>
        <v>Y</v>
      </c>
      <c r="G329" s="3">
        <v>604</v>
      </c>
      <c r="H329" s="3" t="str">
        <f>IFERROR(MID(VLOOKUP($B329,Seqs!$A:$B,2,0),I329,1),"")</f>
        <v>T</v>
      </c>
      <c r="I329" s="23">
        <v>607</v>
      </c>
      <c r="J329" s="3" t="str">
        <f>IFERROR(MID(VLOOKUP($B329,Seqs!$A:$B,2,0),K329,1),"")</f>
        <v>S</v>
      </c>
      <c r="K329" s="23">
        <v>613</v>
      </c>
      <c r="L329" s="3" t="str">
        <f>IFERROR(MID(VLOOKUP($B329,Seqs!$A:$B,2,0),M329,1),"")</f>
        <v>S</v>
      </c>
      <c r="M329" s="3">
        <v>614</v>
      </c>
      <c r="N329" s="3" t="str">
        <f>IFERROR(MID(VLOOKUP($B329,Seqs!$A:$B,2,0),O329,1),"")</f>
        <v>I</v>
      </c>
      <c r="O329" s="3">
        <v>636</v>
      </c>
      <c r="P329" s="3" t="str">
        <f>IFERROR(MID(VLOOKUP($B329,Seqs!$A:$B,2,0),Q329,1),"")</f>
        <v/>
      </c>
      <c r="Q329" s="3" t="s">
        <v>23</v>
      </c>
      <c r="R329" s="3" t="str">
        <f>IFERROR(MID(VLOOKUP($B329,Seqs!$A:$B,2,0),S329,1),"")</f>
        <v/>
      </c>
      <c r="S329" s="3" t="s">
        <v>23</v>
      </c>
      <c r="T329" s="3" t="str">
        <f>IFERROR(MID(VLOOKUP($B329,Seqs!$A:$B,2,0),U329,1),"")</f>
        <v>Q</v>
      </c>
      <c r="U329" s="3">
        <v>641</v>
      </c>
      <c r="V329" s="3" t="str">
        <f>IFERROR(MID(VLOOKUP($B329,Seqs!$A:$B,2,0),W329,1),"")</f>
        <v>K</v>
      </c>
      <c r="W329" s="3">
        <v>678</v>
      </c>
      <c r="X329" s="3" t="str">
        <f>IFERROR(MID(VLOOKUP($B329,Seqs!$A:$B,2,0),Y329,1),"")</f>
        <v/>
      </c>
      <c r="Y329" s="3" t="s">
        <v>23</v>
      </c>
      <c r="Z329" s="3" t="str">
        <f>IFERROR(MID(VLOOKUP($B329,Seqs!$A:$B,2,0),AA329,1),"")</f>
        <v/>
      </c>
      <c r="AA329" s="3" t="s">
        <v>23</v>
      </c>
      <c r="AB329" s="3" t="str">
        <f>IFERROR(MID(VLOOKUP($B329,Seqs!$A:$B,2,0),AC329,1),"")</f>
        <v>S</v>
      </c>
      <c r="AC329" s="9">
        <v>689</v>
      </c>
      <c r="AD329" s="3" t="str">
        <f>IFERROR(MID(VLOOKUP($B329,Seqs!$A:$B,2,0),AE329,1),"")</f>
        <v>E</v>
      </c>
      <c r="AE329" s="3">
        <v>715</v>
      </c>
      <c r="AF329" s="3" t="str">
        <f>IFERROR(MID(VLOOKUP($B329,Seqs!$A:$B,2,0),AG329,1),"")</f>
        <v>C</v>
      </c>
      <c r="AG329" s="3">
        <v>733</v>
      </c>
      <c r="AH329" s="3" t="str">
        <f>IFERROR(MID(VLOOKUP($B329,Seqs!$A:$B,2,0),AI329,1),"")</f>
        <v>T</v>
      </c>
      <c r="AI329" s="3">
        <v>735</v>
      </c>
      <c r="AJ329" s="3" t="str">
        <f>IFERROR(MID(VLOOKUP($B329,Seqs!$A:$B,2,0),AK329,1),"")</f>
        <v>N</v>
      </c>
      <c r="AK329" s="3">
        <v>737</v>
      </c>
      <c r="AL329" s="3" t="str">
        <f>IFERROR(MID(VLOOKUP($B329,Seqs!$A:$B,2,0),AM329,1),"")</f>
        <v>T</v>
      </c>
      <c r="AM329" s="3">
        <v>761</v>
      </c>
      <c r="AN329" s="3" t="str">
        <f>IFERROR(MID(VLOOKUP($B329,Seqs!$A:$B,2,0),AO329,1),"")</f>
        <v>E</v>
      </c>
      <c r="AO329" s="3">
        <v>770</v>
      </c>
      <c r="AP329" s="3" t="str">
        <f>IFERROR(MID(VLOOKUP($B329,Seqs!$A:$B,2,0),AQ329,1),"")</f>
        <v>G</v>
      </c>
      <c r="AQ329" s="3">
        <v>794</v>
      </c>
      <c r="AR329" s="3" t="str">
        <f>IFERROR(MID(VLOOKUP($B329,Seqs!$A:$B,2,0),AS329,1),"")</f>
        <v>Y</v>
      </c>
      <c r="AS329" s="105">
        <v>797</v>
      </c>
      <c r="AT329" s="3" t="str">
        <f>IFERROR(MID(VLOOKUP($B329,Seqs!$A:$B,2,0),AU329,1),"")</f>
        <v>K</v>
      </c>
      <c r="AU329" s="3">
        <v>828</v>
      </c>
      <c r="AV329" s="3" t="str">
        <f>IFERROR(MID(VLOOKUP($B329,Seqs!$A:$B,2,0),AW329,1),"")</f>
        <v>P</v>
      </c>
      <c r="AW329" s="3">
        <v>829</v>
      </c>
      <c r="AX329" s="3" t="str">
        <f>IFERROR(MID(VLOOKUP($B329,Seqs!$A:$B,2,0),AY329,1),"")</f>
        <v>N</v>
      </c>
      <c r="AY329" s="3">
        <v>832</v>
      </c>
      <c r="AZ329" s="77" t="str">
        <f>VLOOKUP(B329,Classification!A:D,2,0)</f>
        <v>C</v>
      </c>
      <c r="BA329" s="94" t="str">
        <f>VLOOKUP(B329,Classification!A:D,4,0)</f>
        <v>Metabotropicglutamate</v>
      </c>
      <c r="BB329" s="27" t="b">
        <f t="shared" si="1564"/>
        <v>1</v>
      </c>
      <c r="BC329" s="23">
        <f t="shared" si="1537"/>
        <v>213</v>
      </c>
      <c r="BD329" s="106" t="s">
        <v>1382</v>
      </c>
      <c r="BE329" s="3" t="s">
        <v>1380</v>
      </c>
      <c r="BF329" s="119">
        <v>2.6</v>
      </c>
      <c r="BG329" s="49" t="s">
        <v>1383</v>
      </c>
      <c r="BH329" s="49" t="s">
        <v>1383</v>
      </c>
      <c r="BJ329" s="70" t="s">
        <v>1293</v>
      </c>
      <c r="BK329" s="57" t="s">
        <v>1293</v>
      </c>
      <c r="BL329" s="57" t="s">
        <v>1293</v>
      </c>
      <c r="BM329" s="57" t="s">
        <v>1293</v>
      </c>
      <c r="BN329" s="57" t="s">
        <v>1293</v>
      </c>
      <c r="BO329" s="57" t="s">
        <v>1293</v>
      </c>
      <c r="BP329" s="57" t="s">
        <v>1293</v>
      </c>
      <c r="BQ329" s="57" t="s">
        <v>1293</v>
      </c>
      <c r="BR329" s="57" t="s">
        <v>1293</v>
      </c>
      <c r="BS329" s="57" t="s">
        <v>1293</v>
      </c>
      <c r="BT329" s="57" t="s">
        <v>1293</v>
      </c>
      <c r="BU329" s="57" t="s">
        <v>1293</v>
      </c>
      <c r="BV329" s="70">
        <f t="shared" si="1538"/>
        <v>578</v>
      </c>
      <c r="BW329" s="71">
        <f t="shared" si="1539"/>
        <v>607</v>
      </c>
      <c r="BX329" s="72">
        <f t="shared" si="1540"/>
        <v>614</v>
      </c>
      <c r="BY329" s="71" t="str">
        <f t="shared" si="1541"/>
        <v>-</v>
      </c>
      <c r="BZ329" s="72">
        <f t="shared" si="1542"/>
        <v>641</v>
      </c>
      <c r="CA329" s="71" t="str">
        <f t="shared" si="1543"/>
        <v>-</v>
      </c>
      <c r="CB329" s="72">
        <f t="shared" si="1544"/>
        <v>689</v>
      </c>
      <c r="CC329" s="71">
        <f t="shared" si="1545"/>
        <v>733</v>
      </c>
      <c r="CD329" s="72">
        <f t="shared" si="1546"/>
        <v>737</v>
      </c>
      <c r="CE329" s="71">
        <f t="shared" si="1547"/>
        <v>770</v>
      </c>
      <c r="CF329" s="72">
        <f t="shared" si="1548"/>
        <v>797</v>
      </c>
      <c r="CG329" s="71">
        <f t="shared" si="1549"/>
        <v>829</v>
      </c>
      <c r="CH329" s="70">
        <f t="shared" si="1550"/>
        <v>604</v>
      </c>
      <c r="CI329" s="71">
        <f t="shared" si="1551"/>
        <v>613</v>
      </c>
      <c r="CJ329" s="72">
        <f t="shared" si="1552"/>
        <v>636</v>
      </c>
      <c r="CK329" s="72" t="str">
        <f t="shared" si="1553"/>
        <v>-</v>
      </c>
      <c r="CL329" s="72">
        <f t="shared" si="1554"/>
        <v>678</v>
      </c>
      <c r="CM329" s="72" t="str">
        <f t="shared" si="1555"/>
        <v>-</v>
      </c>
      <c r="CN329" s="72">
        <f t="shared" si="1556"/>
        <v>715</v>
      </c>
      <c r="CO329" s="72">
        <f t="shared" si="1557"/>
        <v>735</v>
      </c>
      <c r="CP329" s="72">
        <f t="shared" si="1558"/>
        <v>761</v>
      </c>
      <c r="CQ329" s="72">
        <f t="shared" si="1559"/>
        <v>794</v>
      </c>
      <c r="CR329" s="72">
        <f t="shared" si="1560"/>
        <v>828</v>
      </c>
      <c r="CS329" s="72">
        <f t="shared" si="1561"/>
        <v>832</v>
      </c>
      <c r="CT329" s="23">
        <f t="shared" si="1562"/>
        <v>1</v>
      </c>
    </row>
    <row r="330" spans="1:1030" x14ac:dyDescent="0.2">
      <c r="A330" s="3" t="str">
        <f t="shared" si="1563"/>
        <v>grm5_human_5CGC</v>
      </c>
      <c r="B330" s="3" t="s">
        <v>41</v>
      </c>
      <c r="C330" s="3" t="s">
        <v>58</v>
      </c>
      <c r="D330" s="3" t="str">
        <f>IFERROR(MID(VLOOKUP($B330,Seqs!$A:$B,2,0),E330,1),"")</f>
        <v>P</v>
      </c>
      <c r="E330" s="3">
        <v>578</v>
      </c>
      <c r="F330" s="3" t="str">
        <f>IFERROR(MID(VLOOKUP($B330,Seqs!$A:$B,2,0),G330,1),"")</f>
        <v>Y</v>
      </c>
      <c r="G330" s="3">
        <v>604</v>
      </c>
      <c r="H330" s="3" t="str">
        <f>IFERROR(MID(VLOOKUP($B330,Seqs!$A:$B,2,0),I330,1),"")</f>
        <v>T</v>
      </c>
      <c r="I330" s="23">
        <v>607</v>
      </c>
      <c r="J330" s="3" t="str">
        <f>IFERROR(MID(VLOOKUP($B330,Seqs!$A:$B,2,0),K330,1),"")</f>
        <v>S</v>
      </c>
      <c r="K330" s="23">
        <v>613</v>
      </c>
      <c r="L330" s="3" t="str">
        <f>IFERROR(MID(VLOOKUP($B330,Seqs!$A:$B,2,0),M330,1),"")</f>
        <v>S</v>
      </c>
      <c r="M330" s="3">
        <v>614</v>
      </c>
      <c r="N330" s="3" t="str">
        <f>IFERROR(MID(VLOOKUP($B330,Seqs!$A:$B,2,0),O330,1),"")</f>
        <v>I</v>
      </c>
      <c r="O330" s="3">
        <v>636</v>
      </c>
      <c r="P330" s="3" t="str">
        <f>IFERROR(MID(VLOOKUP($B330,Seqs!$A:$B,2,0),Q330,1),"")</f>
        <v/>
      </c>
      <c r="Q330" s="3" t="s">
        <v>23</v>
      </c>
      <c r="R330" s="3" t="str">
        <f>IFERROR(MID(VLOOKUP($B330,Seqs!$A:$B,2,0),S330,1),"")</f>
        <v/>
      </c>
      <c r="S330" s="3" t="s">
        <v>23</v>
      </c>
      <c r="T330" s="3" t="str">
        <f>IFERROR(MID(VLOOKUP($B330,Seqs!$A:$B,2,0),U330,1),"")</f>
        <v>K</v>
      </c>
      <c r="U330" s="105">
        <v>640</v>
      </c>
      <c r="V330" s="3" t="str">
        <f>IFERROR(MID(VLOOKUP($B330,Seqs!$A:$B,2,0),W330,1),"")</f>
        <v>K</v>
      </c>
      <c r="W330" s="3">
        <v>678</v>
      </c>
      <c r="X330" s="3" t="str">
        <f>IFERROR(MID(VLOOKUP($B330,Seqs!$A:$B,2,0),Y330,1),"")</f>
        <v/>
      </c>
      <c r="Y330" s="3" t="s">
        <v>23</v>
      </c>
      <c r="Z330" s="3" t="str">
        <f>IFERROR(MID(VLOOKUP($B330,Seqs!$A:$B,2,0),AA330,1),"")</f>
        <v/>
      </c>
      <c r="AA330" s="3" t="s">
        <v>23</v>
      </c>
      <c r="AB330" s="3" t="str">
        <f>IFERROR(MID(VLOOKUP($B330,Seqs!$A:$B,2,0),AC330,1),"")</f>
        <v>S</v>
      </c>
      <c r="AC330" s="9">
        <v>689</v>
      </c>
      <c r="AD330" s="3" t="str">
        <f>IFERROR(MID(VLOOKUP($B330,Seqs!$A:$B,2,0),AE330,1),"")</f>
        <v>E</v>
      </c>
      <c r="AE330" s="3">
        <v>715</v>
      </c>
      <c r="AF330" s="3" t="str">
        <f>IFERROR(MID(VLOOKUP($B330,Seqs!$A:$B,2,0),AG330,1),"")</f>
        <v>C</v>
      </c>
      <c r="AG330" s="3">
        <v>733</v>
      </c>
      <c r="AH330" s="3" t="str">
        <f>IFERROR(MID(VLOOKUP($B330,Seqs!$A:$B,2,0),AI330,1),"")</f>
        <v>T</v>
      </c>
      <c r="AI330" s="3">
        <v>735</v>
      </c>
      <c r="AJ330" s="3" t="str">
        <f>IFERROR(MID(VLOOKUP($B330,Seqs!$A:$B,2,0),AK330,1),"")</f>
        <v>N</v>
      </c>
      <c r="AK330" s="3">
        <v>737</v>
      </c>
      <c r="AL330" s="3" t="str">
        <f>IFERROR(MID(VLOOKUP($B330,Seqs!$A:$B,2,0),AM330,1),"")</f>
        <v>T</v>
      </c>
      <c r="AM330" s="3">
        <v>761</v>
      </c>
      <c r="AN330" s="3" t="str">
        <f>IFERROR(MID(VLOOKUP($B330,Seqs!$A:$B,2,0),AO330,1),"")</f>
        <v>E</v>
      </c>
      <c r="AO330" s="3">
        <v>770</v>
      </c>
      <c r="AP330" s="3" t="str">
        <f>IFERROR(MID(VLOOKUP($B330,Seqs!$A:$B,2,0),AQ330,1),"")</f>
        <v>G</v>
      </c>
      <c r="AQ330" s="3">
        <v>794</v>
      </c>
      <c r="AR330" s="3" t="str">
        <f>IFERROR(MID(VLOOKUP($B330,Seqs!$A:$B,2,0),AS330,1),"")</f>
        <v>Y</v>
      </c>
      <c r="AS330" s="105">
        <v>797</v>
      </c>
      <c r="AT330" s="3" t="str">
        <f>IFERROR(MID(VLOOKUP($B330,Seqs!$A:$B,2,0),AU330,1),"")</f>
        <v>K</v>
      </c>
      <c r="AU330" s="3">
        <v>828</v>
      </c>
      <c r="AV330" s="3" t="str">
        <f>IFERROR(MID(VLOOKUP($B330,Seqs!$A:$B,2,0),AW330,1),"")</f>
        <v>P</v>
      </c>
      <c r="AW330" s="3">
        <v>829</v>
      </c>
      <c r="AX330" s="3" t="str">
        <f>IFERROR(MID(VLOOKUP($B330,Seqs!$A:$B,2,0),AY330,1),"")</f>
        <v>N</v>
      </c>
      <c r="AY330" s="3">
        <v>832</v>
      </c>
      <c r="AZ330" s="77" t="str">
        <f>VLOOKUP(B330,Classification!A:D,2,0)</f>
        <v>C</v>
      </c>
      <c r="BA330" s="94" t="str">
        <f>VLOOKUP(B330,Classification!A:D,4,0)</f>
        <v>Metabotropicglutamate</v>
      </c>
      <c r="BB330" s="27" t="b">
        <f t="shared" si="1564"/>
        <v>1</v>
      </c>
      <c r="BC330" s="23">
        <f t="shared" si="1537"/>
        <v>214</v>
      </c>
      <c r="BD330" s="4" t="s">
        <v>23</v>
      </c>
      <c r="BE330" s="3" t="s">
        <v>1380</v>
      </c>
      <c r="BF330" s="119">
        <v>3.1</v>
      </c>
      <c r="BG330" s="49" t="s">
        <v>1383</v>
      </c>
      <c r="BH330" s="49" t="s">
        <v>1383</v>
      </c>
      <c r="BJ330" s="70" t="s">
        <v>1293</v>
      </c>
      <c r="BK330" s="57" t="s">
        <v>1293</v>
      </c>
      <c r="BL330" s="57" t="s">
        <v>1293</v>
      </c>
      <c r="BM330" s="57" t="s">
        <v>1293</v>
      </c>
      <c r="BN330" s="57" t="s">
        <v>1293</v>
      </c>
      <c r="BO330" s="57" t="s">
        <v>1293</v>
      </c>
      <c r="BP330" s="57" t="s">
        <v>1293</v>
      </c>
      <c r="BQ330" s="57" t="s">
        <v>1293</v>
      </c>
      <c r="BR330" s="57" t="s">
        <v>1293</v>
      </c>
      <c r="BS330" s="57" t="s">
        <v>1293</v>
      </c>
      <c r="BT330" s="57" t="s">
        <v>1293</v>
      </c>
      <c r="BU330" s="57" t="s">
        <v>1293</v>
      </c>
      <c r="BV330" s="70">
        <f t="shared" si="1538"/>
        <v>578</v>
      </c>
      <c r="BW330" s="71">
        <f t="shared" si="1539"/>
        <v>607</v>
      </c>
      <c r="BX330" s="72">
        <f t="shared" si="1540"/>
        <v>614</v>
      </c>
      <c r="BY330" s="71" t="str">
        <f t="shared" si="1541"/>
        <v>-</v>
      </c>
      <c r="BZ330" s="72">
        <f t="shared" si="1542"/>
        <v>640</v>
      </c>
      <c r="CA330" s="71" t="str">
        <f t="shared" si="1543"/>
        <v>-</v>
      </c>
      <c r="CB330" s="72">
        <f t="shared" si="1544"/>
        <v>689</v>
      </c>
      <c r="CC330" s="71">
        <f t="shared" si="1545"/>
        <v>733</v>
      </c>
      <c r="CD330" s="72">
        <f t="shared" si="1546"/>
        <v>737</v>
      </c>
      <c r="CE330" s="71">
        <f t="shared" si="1547"/>
        <v>770</v>
      </c>
      <c r="CF330" s="72">
        <f t="shared" si="1548"/>
        <v>797</v>
      </c>
      <c r="CG330" s="71">
        <f t="shared" si="1549"/>
        <v>829</v>
      </c>
      <c r="CH330" s="70">
        <f t="shared" si="1550"/>
        <v>604</v>
      </c>
      <c r="CI330" s="71">
        <f t="shared" si="1551"/>
        <v>613</v>
      </c>
      <c r="CJ330" s="72">
        <f t="shared" si="1552"/>
        <v>636</v>
      </c>
      <c r="CK330" s="72" t="str">
        <f t="shared" si="1553"/>
        <v>-</v>
      </c>
      <c r="CL330" s="72">
        <f t="shared" si="1554"/>
        <v>678</v>
      </c>
      <c r="CM330" s="72" t="str">
        <f t="shared" si="1555"/>
        <v>-</v>
      </c>
      <c r="CN330" s="72">
        <f t="shared" si="1556"/>
        <v>715</v>
      </c>
      <c r="CO330" s="72">
        <f t="shared" si="1557"/>
        <v>735</v>
      </c>
      <c r="CP330" s="72">
        <f t="shared" si="1558"/>
        <v>761</v>
      </c>
      <c r="CQ330" s="72">
        <f t="shared" si="1559"/>
        <v>794</v>
      </c>
      <c r="CR330" s="72">
        <f t="shared" si="1560"/>
        <v>828</v>
      </c>
      <c r="CS330" s="72">
        <f t="shared" si="1561"/>
        <v>832</v>
      </c>
      <c r="CT330" s="23">
        <f t="shared" si="1562"/>
        <v>1</v>
      </c>
    </row>
    <row r="331" spans="1:1030" x14ac:dyDescent="0.2">
      <c r="A331" s="3" t="str">
        <f t="shared" si="1563"/>
        <v>grm5_human_5CGD</v>
      </c>
      <c r="B331" s="3" t="s">
        <v>41</v>
      </c>
      <c r="C331" s="3" t="s">
        <v>59</v>
      </c>
      <c r="D331" s="3" t="str">
        <f>IFERROR(MID(VLOOKUP($B331,Seqs!$A:$B,2,0),E331,1),"")</f>
        <v>P</v>
      </c>
      <c r="E331" s="3">
        <v>578</v>
      </c>
      <c r="F331" s="3" t="str">
        <f>IFERROR(MID(VLOOKUP($B331,Seqs!$A:$B,2,0),G331,1),"")</f>
        <v>Y</v>
      </c>
      <c r="G331" s="3">
        <v>604</v>
      </c>
      <c r="H331" s="3" t="str">
        <f>IFERROR(MID(VLOOKUP($B331,Seqs!$A:$B,2,0),I331,1),"")</f>
        <v>T</v>
      </c>
      <c r="I331" s="23">
        <v>607</v>
      </c>
      <c r="J331" s="3" t="str">
        <f>IFERROR(MID(VLOOKUP($B331,Seqs!$A:$B,2,0),K331,1),"")</f>
        <v>S</v>
      </c>
      <c r="K331" s="23">
        <v>613</v>
      </c>
      <c r="L331" s="3" t="str">
        <f>IFERROR(MID(VLOOKUP($B331,Seqs!$A:$B,2,0),M331,1),"")</f>
        <v>S</v>
      </c>
      <c r="M331" s="3">
        <v>614</v>
      </c>
      <c r="N331" s="3" t="str">
        <f>IFERROR(MID(VLOOKUP($B331,Seqs!$A:$B,2,0),O331,1),"")</f>
        <v>I</v>
      </c>
      <c r="O331" s="3">
        <v>636</v>
      </c>
      <c r="P331" s="3" t="str">
        <f>IFERROR(MID(VLOOKUP($B331,Seqs!$A:$B,2,0),Q331,1),"")</f>
        <v/>
      </c>
      <c r="Q331" s="3" t="s">
        <v>23</v>
      </c>
      <c r="R331" s="3" t="str">
        <f>IFERROR(MID(VLOOKUP($B331,Seqs!$A:$B,2,0),S331,1),"")</f>
        <v/>
      </c>
      <c r="S331" s="3" t="s">
        <v>23</v>
      </c>
      <c r="T331" s="3" t="str">
        <f>IFERROR(MID(VLOOKUP($B331,Seqs!$A:$B,2,0),U331,1),"")</f>
        <v>Q</v>
      </c>
      <c r="U331" s="3">
        <v>641</v>
      </c>
      <c r="V331" s="3" t="str">
        <f>IFERROR(MID(VLOOKUP($B331,Seqs!$A:$B,2,0),W331,1),"")</f>
        <v>K</v>
      </c>
      <c r="W331" s="3">
        <v>678</v>
      </c>
      <c r="X331" s="3" t="str">
        <f>IFERROR(MID(VLOOKUP($B331,Seqs!$A:$B,2,0),Y331,1),"")</f>
        <v/>
      </c>
      <c r="Y331" s="3" t="s">
        <v>23</v>
      </c>
      <c r="Z331" s="3" t="str">
        <f>IFERROR(MID(VLOOKUP($B331,Seqs!$A:$B,2,0),AA331,1),"")</f>
        <v/>
      </c>
      <c r="AA331" s="3" t="s">
        <v>23</v>
      </c>
      <c r="AB331" s="3" t="str">
        <f>IFERROR(MID(VLOOKUP($B331,Seqs!$A:$B,2,0),AC331,1),"")</f>
        <v>S</v>
      </c>
      <c r="AC331" s="9">
        <v>689</v>
      </c>
      <c r="AD331" s="3" t="str">
        <f>IFERROR(MID(VLOOKUP($B331,Seqs!$A:$B,2,0),AE331,1),"")</f>
        <v>E</v>
      </c>
      <c r="AE331" s="3">
        <v>715</v>
      </c>
      <c r="AF331" s="3" t="str">
        <f>IFERROR(MID(VLOOKUP($B331,Seqs!$A:$B,2,0),AG331,1),"")</f>
        <v>C</v>
      </c>
      <c r="AG331" s="3">
        <v>733</v>
      </c>
      <c r="AH331" s="3" t="str">
        <f>IFERROR(MID(VLOOKUP($B331,Seqs!$A:$B,2,0),AI331,1),"")</f>
        <v>T</v>
      </c>
      <c r="AI331" s="3">
        <v>735</v>
      </c>
      <c r="AJ331" s="3" t="str">
        <f>IFERROR(MID(VLOOKUP($B331,Seqs!$A:$B,2,0),AK331,1),"")</f>
        <v>N</v>
      </c>
      <c r="AK331" s="3">
        <v>737</v>
      </c>
      <c r="AL331" s="3" t="str">
        <f>IFERROR(MID(VLOOKUP($B331,Seqs!$A:$B,2,0),AM331,1),"")</f>
        <v>T</v>
      </c>
      <c r="AM331" s="3">
        <v>761</v>
      </c>
      <c r="AN331" s="3" t="str">
        <f>IFERROR(MID(VLOOKUP($B331,Seqs!$A:$B,2,0),AO331,1),"")</f>
        <v>E</v>
      </c>
      <c r="AO331" s="3">
        <v>770</v>
      </c>
      <c r="AP331" s="3" t="str">
        <f>IFERROR(MID(VLOOKUP($B331,Seqs!$A:$B,2,0),AQ331,1),"")</f>
        <v>G</v>
      </c>
      <c r="AQ331" s="3">
        <v>794</v>
      </c>
      <c r="AR331" s="3" t="str">
        <f>IFERROR(MID(VLOOKUP($B331,Seqs!$A:$B,2,0),AS331,1),"")</f>
        <v>Y</v>
      </c>
      <c r="AS331" s="105">
        <v>797</v>
      </c>
      <c r="AT331" s="3" t="str">
        <f>IFERROR(MID(VLOOKUP($B331,Seqs!$A:$B,2,0),AU331,1),"")</f>
        <v>K</v>
      </c>
      <c r="AU331" s="3">
        <v>828</v>
      </c>
      <c r="AV331" s="3" t="str">
        <f>IFERROR(MID(VLOOKUP($B331,Seqs!$A:$B,2,0),AW331,1),"")</f>
        <v>P</v>
      </c>
      <c r="AW331" s="3">
        <v>829</v>
      </c>
      <c r="AX331" s="3" t="str">
        <f>IFERROR(MID(VLOOKUP($B331,Seqs!$A:$B,2,0),AY331,1),"")</f>
        <v>R</v>
      </c>
      <c r="AY331" s="3">
        <v>831</v>
      </c>
      <c r="AZ331" s="77" t="str">
        <f>VLOOKUP(B331,Classification!A:D,2,0)</f>
        <v>C</v>
      </c>
      <c r="BA331" s="94" t="str">
        <f>VLOOKUP(B331,Classification!A:D,4,0)</f>
        <v>Metabotropicglutamate</v>
      </c>
      <c r="BB331" s="27" t="b">
        <f t="shared" si="1564"/>
        <v>1</v>
      </c>
      <c r="BC331" s="23">
        <f t="shared" si="1537"/>
        <v>212</v>
      </c>
      <c r="BD331" s="4" t="s">
        <v>23</v>
      </c>
      <c r="BE331" s="3" t="s">
        <v>1380</v>
      </c>
      <c r="BF331" s="119">
        <v>2.6</v>
      </c>
      <c r="BG331" s="49" t="s">
        <v>1383</v>
      </c>
      <c r="BH331" s="49" t="s">
        <v>1383</v>
      </c>
      <c r="BJ331" s="70" t="s">
        <v>1293</v>
      </c>
      <c r="BK331" s="57" t="s">
        <v>1293</v>
      </c>
      <c r="BL331" s="57" t="s">
        <v>1293</v>
      </c>
      <c r="BM331" s="57" t="s">
        <v>1293</v>
      </c>
      <c r="BN331" s="57" t="s">
        <v>1293</v>
      </c>
      <c r="BO331" s="57" t="s">
        <v>1293</v>
      </c>
      <c r="BP331" s="57" t="s">
        <v>1293</v>
      </c>
      <c r="BQ331" s="57" t="s">
        <v>1293</v>
      </c>
      <c r="BR331" s="57" t="s">
        <v>1293</v>
      </c>
      <c r="BS331" s="57" t="s">
        <v>1293</v>
      </c>
      <c r="BT331" s="57" t="s">
        <v>1293</v>
      </c>
      <c r="BU331" s="57" t="s">
        <v>1293</v>
      </c>
      <c r="BV331" s="70">
        <f t="shared" si="1538"/>
        <v>578</v>
      </c>
      <c r="BW331" s="71">
        <f t="shared" si="1539"/>
        <v>607</v>
      </c>
      <c r="BX331" s="72">
        <f t="shared" si="1540"/>
        <v>614</v>
      </c>
      <c r="BY331" s="71" t="str">
        <f t="shared" si="1541"/>
        <v>-</v>
      </c>
      <c r="BZ331" s="72">
        <f t="shared" si="1542"/>
        <v>641</v>
      </c>
      <c r="CA331" s="71" t="str">
        <f t="shared" si="1543"/>
        <v>-</v>
      </c>
      <c r="CB331" s="72">
        <f t="shared" si="1544"/>
        <v>689</v>
      </c>
      <c r="CC331" s="71">
        <f t="shared" si="1545"/>
        <v>733</v>
      </c>
      <c r="CD331" s="72">
        <f t="shared" si="1546"/>
        <v>737</v>
      </c>
      <c r="CE331" s="71">
        <f t="shared" si="1547"/>
        <v>770</v>
      </c>
      <c r="CF331" s="72">
        <f t="shared" si="1548"/>
        <v>797</v>
      </c>
      <c r="CG331" s="71">
        <f t="shared" si="1549"/>
        <v>829</v>
      </c>
      <c r="CH331" s="70">
        <f t="shared" si="1550"/>
        <v>604</v>
      </c>
      <c r="CI331" s="71">
        <f t="shared" si="1551"/>
        <v>613</v>
      </c>
      <c r="CJ331" s="72">
        <f t="shared" si="1552"/>
        <v>636</v>
      </c>
      <c r="CK331" s="72" t="str">
        <f t="shared" si="1553"/>
        <v>-</v>
      </c>
      <c r="CL331" s="72">
        <f t="shared" si="1554"/>
        <v>678</v>
      </c>
      <c r="CM331" s="72" t="str">
        <f t="shared" si="1555"/>
        <v>-</v>
      </c>
      <c r="CN331" s="72">
        <f t="shared" si="1556"/>
        <v>715</v>
      </c>
      <c r="CO331" s="72">
        <f t="shared" si="1557"/>
        <v>735</v>
      </c>
      <c r="CP331" s="72">
        <f t="shared" si="1558"/>
        <v>761</v>
      </c>
      <c r="CQ331" s="72">
        <f t="shared" si="1559"/>
        <v>794</v>
      </c>
      <c r="CR331" s="72">
        <f t="shared" si="1560"/>
        <v>828</v>
      </c>
      <c r="CS331" s="72">
        <f t="shared" si="1561"/>
        <v>831</v>
      </c>
      <c r="CT331" s="23">
        <f t="shared" si="1562"/>
        <v>1</v>
      </c>
      <c r="AMP331" s="3"/>
    </row>
    <row r="332" spans="1:1030" x14ac:dyDescent="0.2">
      <c r="A332" s="3" t="str">
        <f>CONCATENATE(B332,"_",C332)</f>
        <v>grm5_human_6FFH</v>
      </c>
      <c r="B332" s="3" t="s">
        <v>41</v>
      </c>
      <c r="C332" s="3" t="s">
        <v>1486</v>
      </c>
      <c r="D332" s="3" t="str">
        <f>IFERROR(MID(VLOOKUP($B332,Seqs!$A:$B,2,0),E332,1),"")</f>
        <v>P</v>
      </c>
      <c r="E332" s="3">
        <v>578</v>
      </c>
      <c r="F332" s="3" t="str">
        <f>IFERROR(MID(VLOOKUP($B332,Seqs!$A:$B,2,0),G332,1),"")</f>
        <v>Y</v>
      </c>
      <c r="G332" s="3">
        <v>604</v>
      </c>
      <c r="H332" s="3" t="str">
        <f>IFERROR(MID(VLOOKUP($B332,Seqs!$A:$B,2,0),I332,1),"")</f>
        <v>T</v>
      </c>
      <c r="I332" s="23">
        <v>607</v>
      </c>
      <c r="J332" s="3" t="str">
        <f>IFERROR(MID(VLOOKUP($B332,Seqs!$A:$B,2,0),K332,1),"")</f>
        <v>S</v>
      </c>
      <c r="K332" s="23">
        <v>613</v>
      </c>
      <c r="L332" s="3" t="str">
        <f>IFERROR(MID(VLOOKUP($B332,Seqs!$A:$B,2,0),M332,1),"")</f>
        <v>S</v>
      </c>
      <c r="M332" s="3">
        <v>614</v>
      </c>
      <c r="N332" s="3" t="str">
        <f>IFERROR(MID(VLOOKUP($B332,Seqs!$A:$B,2,0),O332,1),"")</f>
        <v>I</v>
      </c>
      <c r="O332" s="3">
        <v>636</v>
      </c>
      <c r="P332" s="3" t="str">
        <f>IFERROR(MID(VLOOKUP($B332,Seqs!$A:$B,2,0),Q332,1),"")</f>
        <v/>
      </c>
      <c r="Q332" s="3" t="s">
        <v>23</v>
      </c>
      <c r="R332" s="3" t="str">
        <f>IFERROR(MID(VLOOKUP($B332,Seqs!$A:$B,2,0),S332,1),"")</f>
        <v/>
      </c>
      <c r="S332" s="3" t="s">
        <v>23</v>
      </c>
      <c r="T332" s="3" t="str">
        <f>IFERROR(MID(VLOOKUP($B332,Seqs!$A:$B,2,0),U332,1),"")</f>
        <v>K</v>
      </c>
      <c r="U332" s="3">
        <v>640</v>
      </c>
      <c r="V332" s="3" t="str">
        <f>IFERROR(MID(VLOOKUP($B332,Seqs!$A:$B,2,0),W332,1),"")</f>
        <v>K</v>
      </c>
      <c r="W332" s="3">
        <v>678</v>
      </c>
      <c r="X332" s="3" t="str">
        <f>IFERROR(MID(VLOOKUP($B332,Seqs!$A:$B,2,0),Y332,1),"")</f>
        <v/>
      </c>
      <c r="Y332" s="3" t="s">
        <v>23</v>
      </c>
      <c r="Z332" s="3" t="str">
        <f>IFERROR(MID(VLOOKUP($B332,Seqs!$A:$B,2,0),AA332,1),"")</f>
        <v/>
      </c>
      <c r="AA332" s="3" t="s">
        <v>23</v>
      </c>
      <c r="AB332" s="3" t="str">
        <f>IFERROR(MID(VLOOKUP($B332,Seqs!$A:$B,2,0),AC332,1),"")</f>
        <v/>
      </c>
      <c r="AC332" s="3">
        <v>1689</v>
      </c>
      <c r="AD332" s="3" t="str">
        <f>IFERROR(MID(VLOOKUP($B332,Seqs!$A:$B,2,0),AE332,1),"")</f>
        <v/>
      </c>
      <c r="AE332" s="3">
        <v>1715</v>
      </c>
      <c r="AF332" s="3" t="str">
        <f>IFERROR(MID(VLOOKUP($B332,Seqs!$A:$B,2,0),AG332,1),"")</f>
        <v/>
      </c>
      <c r="AG332" s="3">
        <v>1733</v>
      </c>
      <c r="AH332" s="3" t="str">
        <f>IFERROR(MID(VLOOKUP($B332,Seqs!$A:$B,2,0),AI332,1),"")</f>
        <v/>
      </c>
      <c r="AI332" s="3">
        <v>1735</v>
      </c>
      <c r="AJ332" s="3" t="str">
        <f>IFERROR(MID(VLOOKUP($B332,Seqs!$A:$B,2,0),AK332,1),"")</f>
        <v/>
      </c>
      <c r="AK332" s="3">
        <v>1736</v>
      </c>
      <c r="AL332" s="3" t="str">
        <f>IFERROR(MID(VLOOKUP($B332,Seqs!$A:$B,2,0),AM332,1),"")</f>
        <v/>
      </c>
      <c r="AM332" s="3">
        <v>1761</v>
      </c>
      <c r="AN332" s="3" t="str">
        <f>IFERROR(MID(VLOOKUP($B332,Seqs!$A:$B,2,0),AO332,1),"")</f>
        <v/>
      </c>
      <c r="AO332" s="3">
        <v>1770</v>
      </c>
      <c r="AP332" s="3" t="str">
        <f>IFERROR(MID(VLOOKUP($B332,Seqs!$A:$B,2,0),AQ332,1),"")</f>
        <v/>
      </c>
      <c r="AQ332" s="3">
        <v>1794</v>
      </c>
      <c r="AR332" s="3" t="str">
        <f>IFERROR(MID(VLOOKUP($B332,Seqs!$A:$B,2,0),AS332,1),"")</f>
        <v/>
      </c>
      <c r="AS332" s="3">
        <v>1797</v>
      </c>
      <c r="AT332" s="3" t="str">
        <f>IFERROR(MID(VLOOKUP($B332,Seqs!$A:$B,2,0),AU332,1),"")</f>
        <v/>
      </c>
      <c r="AU332" s="3">
        <v>1828</v>
      </c>
      <c r="AV332" s="3" t="str">
        <f>IFERROR(MID(VLOOKUP($B332,Seqs!$A:$B,2,0),AW332,1),"")</f>
        <v/>
      </c>
      <c r="AW332" s="3">
        <v>1829</v>
      </c>
      <c r="AX332" s="3" t="str">
        <f>IFERROR(MID(VLOOKUP($B332,Seqs!$A:$B,2,0),AY332,1),"")</f>
        <v/>
      </c>
      <c r="AY332" s="3">
        <v>1832</v>
      </c>
      <c r="AZ332" s="77" t="str">
        <f>VLOOKUP(B332,Classification!A:D,2,0)</f>
        <v>C</v>
      </c>
      <c r="BA332" s="94" t="str">
        <f>VLOOKUP(B332,Classification!A:D,4,0)</f>
        <v>Metabotropicglutamate</v>
      </c>
      <c r="BB332" s="27" t="b">
        <f>AND(E332&lt;G332,OR(G332&lt;I332,I332="-"),OR(I332&lt;K332,I332="-"),OR(K332&lt;M332,K332="-"),M332&lt;O332,OR(O332&lt;Q332,Q332="-"),OR(Q332&lt;S332,Q332="-"),OR(S332&lt;U332,S332="-"),U332&lt;W332,OR(W332&lt;Y332,Y332="-"),OR(Y332&lt;AA332,Y332="-"),OR(AA332&lt;AC332,AA332="-"),AC332&lt;AE332,OR(AE332&lt;AG332,AG332="-"),OR(AG332&lt;AI332,AG332="-"),OR(AI332&lt;AK332,AI332="-"),AK332&lt;AM332,AM332&lt;AO332,AO332&lt;AQ332,AQ332&lt;AS332,AS332&lt;AU332,OR(AU332&lt;AW332,AW332="-"),OR(AW332&lt;AY332,AW332="-"))</f>
        <v>1</v>
      </c>
      <c r="BC332" s="23">
        <f>_xlfn.AGGREGATE(9,6,CH332:CS332)-_xlfn.AGGREGATE(9,6,BV332:CG332)+12</f>
        <v>215</v>
      </c>
      <c r="BD332" s="4" t="s">
        <v>23</v>
      </c>
      <c r="BE332" s="3" t="s">
        <v>1380</v>
      </c>
      <c r="BF332" s="119">
        <v>2.65</v>
      </c>
      <c r="BG332" s="49" t="s">
        <v>1</v>
      </c>
      <c r="BH332" s="49" t="s">
        <v>1</v>
      </c>
      <c r="BJ332" s="70" t="s">
        <v>1293</v>
      </c>
      <c r="BK332" s="57" t="s">
        <v>1293</v>
      </c>
      <c r="BL332" s="57" t="s">
        <v>1293</v>
      </c>
      <c r="BM332" s="57" t="s">
        <v>1293</v>
      </c>
      <c r="BN332" s="57" t="s">
        <v>1293</v>
      </c>
      <c r="BO332" s="57" t="s">
        <v>1293</v>
      </c>
      <c r="BP332" s="57" t="s">
        <v>1293</v>
      </c>
      <c r="BQ332" s="57" t="s">
        <v>1293</v>
      </c>
      <c r="BR332" s="57" t="s">
        <v>1293</v>
      </c>
      <c r="BS332" s="57" t="s">
        <v>1293</v>
      </c>
      <c r="BT332" s="57" t="s">
        <v>1293</v>
      </c>
      <c r="BU332" s="57" t="s">
        <v>1293</v>
      </c>
      <c r="BV332" s="70">
        <f>E332</f>
        <v>578</v>
      </c>
      <c r="BW332" s="71">
        <f>I332</f>
        <v>607</v>
      </c>
      <c r="BX332" s="72">
        <f>M332</f>
        <v>614</v>
      </c>
      <c r="BY332" s="71" t="str">
        <f>Q332</f>
        <v>-</v>
      </c>
      <c r="BZ332" s="72">
        <f>U332</f>
        <v>640</v>
      </c>
      <c r="CA332" s="71" t="str">
        <f>Y332</f>
        <v>-</v>
      </c>
      <c r="CB332" s="72">
        <f>AC332</f>
        <v>1689</v>
      </c>
      <c r="CC332" s="71">
        <f>AG332</f>
        <v>1733</v>
      </c>
      <c r="CD332" s="72">
        <f>AK332</f>
        <v>1736</v>
      </c>
      <c r="CE332" s="71">
        <f>AO332</f>
        <v>1770</v>
      </c>
      <c r="CF332" s="72">
        <f>AS332</f>
        <v>1797</v>
      </c>
      <c r="CG332" s="71">
        <f>AW332</f>
        <v>1829</v>
      </c>
      <c r="CH332" s="70">
        <f>G332</f>
        <v>604</v>
      </c>
      <c r="CI332" s="71">
        <f>K332</f>
        <v>613</v>
      </c>
      <c r="CJ332" s="72">
        <f>O332</f>
        <v>636</v>
      </c>
      <c r="CK332" s="72" t="str">
        <f>S332</f>
        <v>-</v>
      </c>
      <c r="CL332" s="72">
        <f>W332</f>
        <v>678</v>
      </c>
      <c r="CM332" s="72" t="str">
        <f>AA332</f>
        <v>-</v>
      </c>
      <c r="CN332" s="72">
        <f>AE332</f>
        <v>1715</v>
      </c>
      <c r="CO332" s="72">
        <f>AI332</f>
        <v>1735</v>
      </c>
      <c r="CP332" s="72">
        <f>AM332</f>
        <v>1761</v>
      </c>
      <c r="CQ332" s="72">
        <f>AQ332</f>
        <v>1794</v>
      </c>
      <c r="CR332" s="72">
        <f>AU332</f>
        <v>1828</v>
      </c>
      <c r="CS332" s="72">
        <f>AY332</f>
        <v>1832</v>
      </c>
      <c r="CT332" s="23">
        <f>M332-K332</f>
        <v>1</v>
      </c>
      <c r="AMP332" s="3"/>
    </row>
    <row r="333" spans="1:1030" x14ac:dyDescent="0.2">
      <c r="A333" s="3" t="str">
        <f>CONCATENATE(B333,"_",C333)</f>
        <v>grm5_human_6FFI</v>
      </c>
      <c r="B333" s="3" t="s">
        <v>41</v>
      </c>
      <c r="C333" s="3" t="s">
        <v>1487</v>
      </c>
      <c r="D333" s="3" t="str">
        <f>IFERROR(MID(VLOOKUP($B333,Seqs!$A:$B,2,0),E333,1),"")</f>
        <v>P</v>
      </c>
      <c r="E333" s="3">
        <v>578</v>
      </c>
      <c r="F333" s="3" t="str">
        <f>IFERROR(MID(VLOOKUP($B333,Seqs!$A:$B,2,0),G333,1),"")</f>
        <v>Y</v>
      </c>
      <c r="G333" s="3">
        <v>604</v>
      </c>
      <c r="H333" s="3" t="str">
        <f>IFERROR(MID(VLOOKUP($B333,Seqs!$A:$B,2,0),I333,1),"")</f>
        <v>T</v>
      </c>
      <c r="I333" s="23">
        <v>607</v>
      </c>
      <c r="J333" s="3" t="str">
        <f>IFERROR(MID(VLOOKUP($B333,Seqs!$A:$B,2,0),K333,1),"")</f>
        <v>S</v>
      </c>
      <c r="K333" s="23">
        <v>613</v>
      </c>
      <c r="L333" s="3" t="str">
        <f>IFERROR(MID(VLOOKUP($B333,Seqs!$A:$B,2,0),M333,1),"")</f>
        <v>S</v>
      </c>
      <c r="M333" s="3">
        <v>614</v>
      </c>
      <c r="N333" s="3" t="str">
        <f>IFERROR(MID(VLOOKUP($B333,Seqs!$A:$B,2,0),O333,1),"")</f>
        <v>I</v>
      </c>
      <c r="O333" s="3">
        <v>636</v>
      </c>
      <c r="P333" s="3" t="str">
        <f>IFERROR(MID(VLOOKUP($B333,Seqs!$A:$B,2,0),Q333,1),"")</f>
        <v/>
      </c>
      <c r="Q333" s="3" t="s">
        <v>23</v>
      </c>
      <c r="R333" s="3" t="str">
        <f>IFERROR(MID(VLOOKUP($B333,Seqs!$A:$B,2,0),S333,1),"")</f>
        <v/>
      </c>
      <c r="S333" s="3" t="s">
        <v>23</v>
      </c>
      <c r="T333" s="3" t="str">
        <f>IFERROR(MID(VLOOKUP($B333,Seqs!$A:$B,2,0),U333,1),"")</f>
        <v>K</v>
      </c>
      <c r="U333" s="3">
        <v>640</v>
      </c>
      <c r="V333" s="3" t="str">
        <f>IFERROR(MID(VLOOKUP($B333,Seqs!$A:$B,2,0),W333,1),"")</f>
        <v>K</v>
      </c>
      <c r="W333" s="3">
        <v>678</v>
      </c>
      <c r="X333" s="3" t="str">
        <f>IFERROR(MID(VLOOKUP($B333,Seqs!$A:$B,2,0),Y333,1),"")</f>
        <v/>
      </c>
      <c r="Y333" s="3" t="s">
        <v>23</v>
      </c>
      <c r="Z333" s="3" t="str">
        <f>IFERROR(MID(VLOOKUP($B333,Seqs!$A:$B,2,0),AA333,1),"")</f>
        <v/>
      </c>
      <c r="AA333" s="3" t="s">
        <v>23</v>
      </c>
      <c r="AB333" s="3" t="str">
        <f>IFERROR(MID(VLOOKUP($B333,Seqs!$A:$B,2,0),AC333,1),"")</f>
        <v>D</v>
      </c>
      <c r="AC333" s="3">
        <v>849</v>
      </c>
      <c r="AD333" s="3" t="str">
        <f>IFERROR(MID(VLOOKUP($B333,Seqs!$A:$B,2,0),AE333,1),"")</f>
        <v>T</v>
      </c>
      <c r="AE333" s="3">
        <v>875</v>
      </c>
      <c r="AF333" s="3" t="str">
        <f>IFERROR(MID(VLOOKUP($B333,Seqs!$A:$B,2,0),AG333,1),"")</f>
        <v>F</v>
      </c>
      <c r="AG333" s="3">
        <v>893</v>
      </c>
      <c r="AH333" s="3" t="str">
        <f>IFERROR(MID(VLOOKUP($B333,Seqs!$A:$B,2,0),AI333,1),"")</f>
        <v>P</v>
      </c>
      <c r="AI333" s="3">
        <v>895</v>
      </c>
      <c r="AJ333" s="3" t="str">
        <f>IFERROR(MID(VLOOKUP($B333,Seqs!$A:$B,2,0),AK333,1),"")</f>
        <v>K</v>
      </c>
      <c r="AK333" s="3">
        <v>896</v>
      </c>
      <c r="AL333" s="3" t="str">
        <f>IFERROR(MID(VLOOKUP($B333,Seqs!$A:$B,2,0),AM333,1),"")</f>
        <v>E</v>
      </c>
      <c r="AM333" s="3">
        <v>921</v>
      </c>
      <c r="AN333" s="3" t="str">
        <f>IFERROR(MID(VLOOKUP($B333,Seqs!$A:$B,2,0),AO333,1),"")</f>
        <v>L</v>
      </c>
      <c r="AO333" s="3">
        <v>929</v>
      </c>
      <c r="AP333" s="3" t="str">
        <f>IFERROR(MID(VLOOKUP($B333,Seqs!$A:$B,2,0),AQ333,1),"")</f>
        <v>S</v>
      </c>
      <c r="AQ333" s="3">
        <v>955</v>
      </c>
      <c r="AR333" s="3" t="str">
        <f>IFERROR(MID(VLOOKUP($B333,Seqs!$A:$B,2,0),AS333,1),"")</f>
        <v>E</v>
      </c>
      <c r="AS333" s="3">
        <v>957</v>
      </c>
      <c r="AT333" s="3" t="str">
        <f>IFERROR(MID(VLOOKUP($B333,Seqs!$A:$B,2,0),AU333,1),"")</f>
        <v>G</v>
      </c>
      <c r="AU333" s="3">
        <v>988</v>
      </c>
      <c r="AV333" s="3" t="str">
        <f>IFERROR(MID(VLOOKUP($B333,Seqs!$A:$B,2,0),AW333,1),"")</f>
        <v>G</v>
      </c>
      <c r="AW333" s="3">
        <v>989</v>
      </c>
      <c r="AX333" s="3" t="str">
        <f>IFERROR(MID(VLOOKUP($B333,Seqs!$A:$B,2,0),AY333,1),"")</f>
        <v>S</v>
      </c>
      <c r="AY333" s="3">
        <v>992</v>
      </c>
      <c r="AZ333" s="77" t="str">
        <f>VLOOKUP(B333,Classification!A:D,2,0)</f>
        <v>C</v>
      </c>
      <c r="BA333" s="94" t="str">
        <f>VLOOKUP(B333,Classification!A:D,4,0)</f>
        <v>Metabotropicglutamate</v>
      </c>
      <c r="BB333" s="27" t="b">
        <f>AND(E333&lt;G333,OR(G333&lt;I333,I333="-"),OR(I333&lt;K333,I333="-"),OR(K333&lt;M333,K333="-"),M333&lt;O333,OR(O333&lt;Q333,Q333="-"),OR(Q333&lt;S333,Q333="-"),OR(S333&lt;U333,S333="-"),U333&lt;W333,OR(W333&lt;Y333,Y333="-"),OR(Y333&lt;AA333,Y333="-"),OR(AA333&lt;AC333,AA333="-"),AC333&lt;AE333,OR(AE333&lt;AG333,AG333="-"),OR(AG333&lt;AI333,AG333="-"),OR(AI333&lt;AK333,AI333="-"),AK333&lt;AM333,AM333&lt;AO333,AO333&lt;AQ333,AQ333&lt;AS333,AS333&lt;AU333,OR(AU333&lt;AW333,AW333="-"),OR(AW333&lt;AY333,AW333="-"))</f>
        <v>1</v>
      </c>
      <c r="BC333" s="23">
        <f>_xlfn.AGGREGATE(9,6,CH333:CS333)-_xlfn.AGGREGATE(9,6,BV333:CG333)+12</f>
        <v>217</v>
      </c>
      <c r="BD333" s="4" t="s">
        <v>23</v>
      </c>
      <c r="BE333" s="3" t="s">
        <v>1380</v>
      </c>
      <c r="BF333" s="119">
        <v>2.2000000000000002</v>
      </c>
      <c r="BG333" s="49" t="s">
        <v>1</v>
      </c>
      <c r="BH333" s="49" t="s">
        <v>1</v>
      </c>
      <c r="BJ333" s="70" t="s">
        <v>1293</v>
      </c>
      <c r="BK333" s="57" t="s">
        <v>1293</v>
      </c>
      <c r="BL333" s="57" t="s">
        <v>1293</v>
      </c>
      <c r="BM333" s="57" t="s">
        <v>1293</v>
      </c>
      <c r="BN333" s="57" t="s">
        <v>1293</v>
      </c>
      <c r="BO333" s="57" t="s">
        <v>1293</v>
      </c>
      <c r="BP333" s="57" t="s">
        <v>1293</v>
      </c>
      <c r="BQ333" s="57" t="s">
        <v>1293</v>
      </c>
      <c r="BR333" s="57" t="s">
        <v>1293</v>
      </c>
      <c r="BS333" s="57" t="s">
        <v>1293</v>
      </c>
      <c r="BT333" s="57" t="s">
        <v>1293</v>
      </c>
      <c r="BU333" s="57" t="s">
        <v>1293</v>
      </c>
      <c r="BV333" s="70">
        <f>E333</f>
        <v>578</v>
      </c>
      <c r="BW333" s="71">
        <f>I333</f>
        <v>607</v>
      </c>
      <c r="BX333" s="72">
        <f>M333</f>
        <v>614</v>
      </c>
      <c r="BY333" s="71" t="str">
        <f>Q333</f>
        <v>-</v>
      </c>
      <c r="BZ333" s="72">
        <f>U333</f>
        <v>640</v>
      </c>
      <c r="CA333" s="71" t="str">
        <f>Y333</f>
        <v>-</v>
      </c>
      <c r="CB333" s="72">
        <f>AC333</f>
        <v>849</v>
      </c>
      <c r="CC333" s="71">
        <f>AG333</f>
        <v>893</v>
      </c>
      <c r="CD333" s="72">
        <f>AK333</f>
        <v>896</v>
      </c>
      <c r="CE333" s="71">
        <f>AO333</f>
        <v>929</v>
      </c>
      <c r="CF333" s="72">
        <f>AS333</f>
        <v>957</v>
      </c>
      <c r="CG333" s="71">
        <f>AW333</f>
        <v>989</v>
      </c>
      <c r="CH333" s="70">
        <f>G333</f>
        <v>604</v>
      </c>
      <c r="CI333" s="71">
        <f>K333</f>
        <v>613</v>
      </c>
      <c r="CJ333" s="72">
        <f>O333</f>
        <v>636</v>
      </c>
      <c r="CK333" s="72" t="str">
        <f>S333</f>
        <v>-</v>
      </c>
      <c r="CL333" s="72">
        <f>W333</f>
        <v>678</v>
      </c>
      <c r="CM333" s="72" t="str">
        <f>AA333</f>
        <v>-</v>
      </c>
      <c r="CN333" s="72">
        <f>AE333</f>
        <v>875</v>
      </c>
      <c r="CO333" s="72">
        <f>AI333</f>
        <v>895</v>
      </c>
      <c r="CP333" s="72">
        <f>AM333</f>
        <v>921</v>
      </c>
      <c r="CQ333" s="72">
        <f>AQ333</f>
        <v>955</v>
      </c>
      <c r="CR333" s="72">
        <f>AU333</f>
        <v>988</v>
      </c>
      <c r="CS333" s="72">
        <f>AY333</f>
        <v>992</v>
      </c>
      <c r="CT333" s="23">
        <f>M333-K333</f>
        <v>1</v>
      </c>
      <c r="AMP333" s="3"/>
    </row>
    <row r="334" spans="1:1030" s="12" customFormat="1" x14ac:dyDescent="0.2">
      <c r="A334" s="9" t="str">
        <f>CONCATENATE(B334,"_",C334)</f>
        <v>grm5_human_6N51</v>
      </c>
      <c r="B334" s="9" t="s">
        <v>41</v>
      </c>
      <c r="C334" s="9" t="s">
        <v>1576</v>
      </c>
      <c r="D334" s="9" t="str">
        <f>IFERROR(MID(VLOOKUP($B334,Seqs!$A:$B,2,0),E334,1),"")</f>
        <v>D</v>
      </c>
      <c r="E334" s="9">
        <v>577</v>
      </c>
      <c r="F334" s="9" t="str">
        <f>IFERROR(MID(VLOOKUP($B334,Seqs!$A:$B,2,0),G334,1),"")</f>
        <v>I</v>
      </c>
      <c r="G334" s="9">
        <v>602</v>
      </c>
      <c r="H334" s="9" t="str">
        <f>IFERROR(MID(VLOOKUP($B334,Seqs!$A:$B,2,0),I334,1),"")</f>
        <v>T</v>
      </c>
      <c r="I334" s="109">
        <v>607</v>
      </c>
      <c r="J334" s="9" t="str">
        <f>IFERROR(MID(VLOOKUP($B334,Seqs!$A:$B,2,0),K334,1),"")</f>
        <v>S</v>
      </c>
      <c r="K334" s="109">
        <v>613</v>
      </c>
      <c r="L334" s="9" t="str">
        <f>IFERROR(MID(VLOOKUP($B334,Seqs!$A:$B,2,0),M334,1),"")</f>
        <v>S</v>
      </c>
      <c r="M334" s="9">
        <v>614</v>
      </c>
      <c r="N334" s="9" t="str">
        <f>IFERROR(MID(VLOOKUP($B334,Seqs!$A:$B,2,0),O334,1),"")</f>
        <v>C</v>
      </c>
      <c r="O334" s="9">
        <v>634</v>
      </c>
      <c r="P334" s="9" t="str">
        <f>IFERROR(MID(VLOOKUP($B334,Seqs!$A:$B,2,0),Q334,1),"")</f>
        <v/>
      </c>
      <c r="Q334" s="9" t="s">
        <v>23</v>
      </c>
      <c r="R334" s="9" t="str">
        <f>IFERROR(MID(VLOOKUP($B334,Seqs!$A:$B,2,0),S334,1),"")</f>
        <v/>
      </c>
      <c r="S334" s="9" t="s">
        <v>23</v>
      </c>
      <c r="T334" s="9" t="str">
        <f>IFERROR(MID(VLOOKUP($B334,Seqs!$A:$B,2,0),U334,1),"")</f>
        <v>K</v>
      </c>
      <c r="U334" s="9">
        <v>640</v>
      </c>
      <c r="V334" s="9" t="str">
        <f>IFERROR(MID(VLOOKUP($B334,Seqs!$A:$B,2,0),W334,1),"")</f>
        <v>A</v>
      </c>
      <c r="W334" s="9">
        <v>674</v>
      </c>
      <c r="X334" s="9" t="str">
        <f>IFERROR(MID(VLOOKUP($B334,Seqs!$A:$B,2,0),Y334,1),"")</f>
        <v/>
      </c>
      <c r="Y334" s="9" t="s">
        <v>23</v>
      </c>
      <c r="Z334" s="9" t="str">
        <f>IFERROR(MID(VLOOKUP($B334,Seqs!$A:$B,2,0),AA334,1),"")</f>
        <v/>
      </c>
      <c r="AA334" s="9" t="s">
        <v>23</v>
      </c>
      <c r="AB334" s="9" t="str">
        <f>IFERROR(MID(VLOOKUP($B334,Seqs!$A:$B,2,0),AC334,1),"")</f>
        <v>S</v>
      </c>
      <c r="AC334" s="9">
        <v>689</v>
      </c>
      <c r="AD334" s="9" t="str">
        <f>IFERROR(MID(VLOOKUP($B334,Seqs!$A:$B,2,0),AE334,1),"")</f>
        <v>E</v>
      </c>
      <c r="AE334" s="9">
        <v>715</v>
      </c>
      <c r="AF334" s="9" t="str">
        <f>IFERROR(MID(VLOOKUP($B334,Seqs!$A:$B,2,0),AG334,1),"")</f>
        <v>C</v>
      </c>
      <c r="AG334" s="9">
        <v>733</v>
      </c>
      <c r="AH334" s="9" t="str">
        <f>IFERROR(MID(VLOOKUP($B334,Seqs!$A:$B,2,0),AI334,1),"")</f>
        <v>T</v>
      </c>
      <c r="AI334" s="9">
        <v>735</v>
      </c>
      <c r="AJ334" s="9" t="str">
        <f>IFERROR(MID(VLOOKUP($B334,Seqs!$A:$B,2,0),AK334,1),"")</f>
        <v>N</v>
      </c>
      <c r="AK334" s="9">
        <v>737</v>
      </c>
      <c r="AL334" s="9" t="str">
        <f>IFERROR(MID(VLOOKUP($B334,Seqs!$A:$B,2,0),AM334,1),"")</f>
        <v>A</v>
      </c>
      <c r="AM334" s="9">
        <v>758</v>
      </c>
      <c r="AN334" s="9" t="str">
        <f>IFERROR(MID(VLOOKUP($B334,Seqs!$A:$B,2,0),AO334,1),"")</f>
        <v>N</v>
      </c>
      <c r="AO334" s="9">
        <v>769</v>
      </c>
      <c r="AP334" s="9" t="str">
        <f>IFERROR(MID(VLOOKUP($B334,Seqs!$A:$B,2,0),AQ334,1),"")</f>
        <v>G</v>
      </c>
      <c r="AQ334" s="9">
        <v>794</v>
      </c>
      <c r="AR334" s="9" t="str">
        <f>IFERROR(MID(VLOOKUP($B334,Seqs!$A:$B,2,0),AS334,1),"")</f>
        <v>I</v>
      </c>
      <c r="AS334" s="9">
        <v>799</v>
      </c>
      <c r="AT334" s="9" t="str">
        <f>IFERROR(MID(VLOOKUP($B334,Seqs!$A:$B,2,0),AU334,1),"")</f>
        <v>L</v>
      </c>
      <c r="AU334" s="9">
        <v>826</v>
      </c>
      <c r="AV334" s="9" t="str">
        <f>IFERROR(MID(VLOOKUP($B334,Seqs!$A:$B,2,0),AW334,1),"")</f>
        <v/>
      </c>
      <c r="AW334" s="9" t="s">
        <v>23</v>
      </c>
      <c r="AX334" s="9" t="str">
        <f>IFERROR(MID(VLOOKUP($B334,Seqs!$A:$B,2,0),AY334,1),"")</f>
        <v/>
      </c>
      <c r="AY334" s="9" t="s">
        <v>23</v>
      </c>
      <c r="AZ334" s="110" t="str">
        <f>VLOOKUP(B334,Classification!A:D,2,0)</f>
        <v>C</v>
      </c>
      <c r="BA334" s="98" t="str">
        <f>VLOOKUP(B334,Classification!A:D,4,0)</f>
        <v>Metabotropicglutamate</v>
      </c>
      <c r="BB334" s="36" t="b">
        <f>AND(E334&lt;G334,OR(G334&lt;I334,I334="-"),OR(I334&lt;K334,I334="-"),OR(K334&lt;M334,K334="-"),M334&lt;O334,OR(O334&lt;Q334,Q334="-"),OR(Q334&lt;S334,Q334="-"),OR(S334&lt;U334,S334="-"),U334&lt;W334,OR(W334&lt;Y334,Y334="-"),OR(Y334&lt;AA334,Y334="-"),OR(AA334&lt;AC334,AA334="-"),AC334&lt;AE334,OR(AE334&lt;AG334,AG334="-"),OR(AG334&lt;AI334,AG334="-"),OR(AI334&lt;AK334,AI334="-"),AK334&lt;AM334,AM334&lt;AO334,AO334&lt;AQ334,AQ334&lt;AS334,AS334&lt;AU334,OR(AU334&lt;AW334,AW334="-"),OR(AW334&lt;AY334,AW334="-"))</f>
        <v>1</v>
      </c>
      <c r="BC334" s="109">
        <f>_xlfn.AGGREGATE(9,6,CH334:CS334)-_xlfn.AGGREGATE(9,6,BV334:CG334)+12</f>
        <v>198</v>
      </c>
      <c r="BD334" s="11" t="s">
        <v>23</v>
      </c>
      <c r="BE334" s="9" t="s">
        <v>1380</v>
      </c>
      <c r="BF334" s="120">
        <v>4</v>
      </c>
      <c r="BG334" s="51" t="s">
        <v>1287</v>
      </c>
      <c r="BH334" s="51" t="s">
        <v>1287</v>
      </c>
      <c r="BI334" s="9"/>
      <c r="BJ334" s="111" t="s">
        <v>1293</v>
      </c>
      <c r="BK334" s="112" t="s">
        <v>1293</v>
      </c>
      <c r="BL334" s="112" t="s">
        <v>1293</v>
      </c>
      <c r="BM334" s="112" t="s">
        <v>1293</v>
      </c>
      <c r="BN334" s="112" t="s">
        <v>1293</v>
      </c>
      <c r="BO334" s="112" t="s">
        <v>1293</v>
      </c>
      <c r="BP334" s="112" t="s">
        <v>1293</v>
      </c>
      <c r="BQ334" s="112" t="s">
        <v>1293</v>
      </c>
      <c r="BR334" s="112" t="s">
        <v>1293</v>
      </c>
      <c r="BS334" s="112" t="s">
        <v>1293</v>
      </c>
      <c r="BT334" s="112" t="s">
        <v>1293</v>
      </c>
      <c r="BU334" s="112" t="s">
        <v>1293</v>
      </c>
      <c r="BV334" s="111">
        <f>E334</f>
        <v>577</v>
      </c>
      <c r="BW334" s="113">
        <f>I334</f>
        <v>607</v>
      </c>
      <c r="BX334" s="114">
        <f>M334</f>
        <v>614</v>
      </c>
      <c r="BY334" s="113" t="str">
        <f>Q334</f>
        <v>-</v>
      </c>
      <c r="BZ334" s="114">
        <f>U334</f>
        <v>640</v>
      </c>
      <c r="CA334" s="113" t="str">
        <f>Y334</f>
        <v>-</v>
      </c>
      <c r="CB334" s="114">
        <f>AC334</f>
        <v>689</v>
      </c>
      <c r="CC334" s="113">
        <f>AG334</f>
        <v>733</v>
      </c>
      <c r="CD334" s="114">
        <f>AK334</f>
        <v>737</v>
      </c>
      <c r="CE334" s="113">
        <f>AO334</f>
        <v>769</v>
      </c>
      <c r="CF334" s="114">
        <f>AS334</f>
        <v>799</v>
      </c>
      <c r="CG334" s="113" t="str">
        <f>AW334</f>
        <v>-</v>
      </c>
      <c r="CH334" s="111">
        <f>G334</f>
        <v>602</v>
      </c>
      <c r="CI334" s="113">
        <f>K334</f>
        <v>613</v>
      </c>
      <c r="CJ334" s="114">
        <f>O334</f>
        <v>634</v>
      </c>
      <c r="CK334" s="114" t="str">
        <f>S334</f>
        <v>-</v>
      </c>
      <c r="CL334" s="114">
        <f>W334</f>
        <v>674</v>
      </c>
      <c r="CM334" s="114" t="str">
        <f>AA334</f>
        <v>-</v>
      </c>
      <c r="CN334" s="114">
        <f>AE334</f>
        <v>715</v>
      </c>
      <c r="CO334" s="114">
        <f>AI334</f>
        <v>735</v>
      </c>
      <c r="CP334" s="114">
        <f>AM334</f>
        <v>758</v>
      </c>
      <c r="CQ334" s="114">
        <f>AQ334</f>
        <v>794</v>
      </c>
      <c r="CR334" s="114">
        <f>AU334</f>
        <v>826</v>
      </c>
      <c r="CS334" s="114" t="str">
        <f>AY334</f>
        <v>-</v>
      </c>
      <c r="CT334" s="109">
        <f>M334-K334</f>
        <v>1</v>
      </c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/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9"/>
      <c r="JE334" s="9"/>
      <c r="JF334" s="9"/>
      <c r="JG334" s="9"/>
      <c r="JH334" s="9"/>
      <c r="JI334" s="9"/>
      <c r="JJ334" s="9"/>
      <c r="JK334" s="9"/>
      <c r="JL334" s="9"/>
      <c r="JM334" s="9"/>
      <c r="JN334" s="9"/>
      <c r="JO334" s="9"/>
      <c r="JP334" s="9"/>
      <c r="JQ334" s="9"/>
      <c r="JR334" s="9"/>
      <c r="JS334" s="9"/>
      <c r="JT334" s="9"/>
      <c r="JU334" s="9"/>
      <c r="JV334" s="9"/>
      <c r="JW334" s="9"/>
      <c r="JX334" s="9"/>
      <c r="JY334" s="9"/>
      <c r="JZ334" s="9"/>
      <c r="KA334" s="9"/>
      <c r="KB334" s="9"/>
      <c r="KC334" s="9"/>
      <c r="KD334" s="9"/>
      <c r="KE334" s="9"/>
      <c r="KF334" s="9"/>
      <c r="KG334" s="9"/>
      <c r="KH334" s="9"/>
      <c r="KI334" s="9"/>
      <c r="KJ334" s="9"/>
      <c r="KK334" s="9"/>
      <c r="KL334" s="9"/>
      <c r="KM334" s="9"/>
      <c r="KN334" s="9"/>
      <c r="KO334" s="9"/>
      <c r="KP334" s="9"/>
      <c r="KQ334" s="9"/>
      <c r="KR334" s="9"/>
      <c r="KS334" s="9"/>
      <c r="KT334" s="9"/>
      <c r="KU334" s="9"/>
      <c r="KV334" s="9"/>
      <c r="KW334" s="9"/>
      <c r="KX334" s="9"/>
      <c r="KY334" s="9"/>
      <c r="KZ334" s="9"/>
      <c r="LA334" s="9"/>
      <c r="LB334" s="9"/>
      <c r="LC334" s="9"/>
      <c r="LD334" s="9"/>
      <c r="LE334" s="9"/>
      <c r="LF334" s="9"/>
      <c r="LG334" s="9"/>
      <c r="LH334" s="9"/>
      <c r="LI334" s="9"/>
      <c r="LJ334" s="9"/>
      <c r="LK334" s="9"/>
      <c r="LL334" s="9"/>
      <c r="LM334" s="9"/>
      <c r="LN334" s="9"/>
      <c r="LO334" s="9"/>
      <c r="LP334" s="9"/>
      <c r="LQ334" s="9"/>
      <c r="LR334" s="9"/>
      <c r="LS334" s="9"/>
      <c r="LT334" s="9"/>
      <c r="LU334" s="9"/>
      <c r="LV334" s="9"/>
      <c r="LW334" s="9"/>
      <c r="LX334" s="9"/>
      <c r="LY334" s="9"/>
      <c r="LZ334" s="9"/>
      <c r="MA334" s="9"/>
      <c r="MB334" s="9"/>
      <c r="MC334" s="9"/>
      <c r="MD334" s="9"/>
      <c r="ME334" s="9"/>
      <c r="MF334" s="9"/>
      <c r="MG334" s="9"/>
      <c r="MH334" s="9"/>
      <c r="MI334" s="9"/>
      <c r="MJ334" s="9"/>
      <c r="MK334" s="9"/>
      <c r="ML334" s="9"/>
      <c r="MM334" s="9"/>
      <c r="MN334" s="9"/>
      <c r="MO334" s="9"/>
      <c r="MP334" s="9"/>
      <c r="MQ334" s="9"/>
      <c r="MR334" s="9"/>
      <c r="MS334" s="9"/>
      <c r="MT334" s="9"/>
      <c r="MU334" s="9"/>
      <c r="MV334" s="9"/>
      <c r="MW334" s="9"/>
      <c r="MX334" s="9"/>
      <c r="MY334" s="9"/>
      <c r="MZ334" s="9"/>
      <c r="NA334" s="9"/>
      <c r="NB334" s="9"/>
      <c r="NC334" s="9"/>
      <c r="ND334" s="9"/>
      <c r="NE334" s="9"/>
      <c r="NF334" s="9"/>
      <c r="NG334" s="9"/>
      <c r="NH334" s="9"/>
      <c r="NI334" s="9"/>
      <c r="NJ334" s="9"/>
      <c r="NK334" s="9"/>
      <c r="NL334" s="9"/>
      <c r="NM334" s="9"/>
      <c r="NN334" s="9"/>
      <c r="NO334" s="9"/>
      <c r="NP334" s="9"/>
      <c r="NQ334" s="9"/>
      <c r="NR334" s="9"/>
      <c r="NS334" s="9"/>
      <c r="NT334" s="9"/>
      <c r="NU334" s="9"/>
      <c r="NV334" s="9"/>
      <c r="NW334" s="9"/>
      <c r="NX334" s="9"/>
      <c r="NY334" s="9"/>
      <c r="NZ334" s="9"/>
      <c r="OA334" s="9"/>
      <c r="OB334" s="9"/>
      <c r="OC334" s="9"/>
      <c r="OD334" s="9"/>
      <c r="OE334" s="9"/>
      <c r="OF334" s="9"/>
      <c r="OG334" s="9"/>
      <c r="OH334" s="9"/>
      <c r="OI334" s="9"/>
      <c r="OJ334" s="9"/>
      <c r="OK334" s="9"/>
      <c r="OL334" s="9"/>
      <c r="OM334" s="9"/>
      <c r="ON334" s="9"/>
      <c r="OO334" s="9"/>
      <c r="OP334" s="9"/>
      <c r="OQ334" s="9"/>
      <c r="OR334" s="9"/>
      <c r="OS334" s="9"/>
      <c r="OT334" s="9"/>
      <c r="OU334" s="9"/>
      <c r="OV334" s="9"/>
      <c r="OW334" s="9"/>
      <c r="OX334" s="9"/>
      <c r="OY334" s="9"/>
      <c r="OZ334" s="9"/>
      <c r="PA334" s="9"/>
      <c r="PB334" s="9"/>
      <c r="PC334" s="9"/>
      <c r="PD334" s="9"/>
      <c r="PE334" s="9"/>
      <c r="PF334" s="9"/>
      <c r="PG334" s="9"/>
      <c r="PH334" s="9"/>
      <c r="PI334" s="9"/>
      <c r="PJ334" s="9"/>
      <c r="PK334" s="9"/>
      <c r="PL334" s="9"/>
      <c r="PM334" s="9"/>
      <c r="PN334" s="9"/>
      <c r="PO334" s="9"/>
      <c r="PP334" s="9"/>
      <c r="PQ334" s="9"/>
      <c r="PR334" s="9"/>
      <c r="PS334" s="9"/>
      <c r="PT334" s="9"/>
      <c r="PU334" s="9"/>
      <c r="PV334" s="9"/>
      <c r="PW334" s="9"/>
      <c r="PX334" s="9"/>
      <c r="PY334" s="9"/>
      <c r="PZ334" s="9"/>
      <c r="QA334" s="9"/>
      <c r="QB334" s="9"/>
      <c r="QC334" s="9"/>
      <c r="QD334" s="9"/>
      <c r="QE334" s="9"/>
      <c r="QF334" s="9"/>
      <c r="QG334" s="9"/>
      <c r="QH334" s="9"/>
      <c r="QI334" s="9"/>
      <c r="QJ334" s="9"/>
      <c r="QK334" s="9"/>
      <c r="QL334" s="9"/>
      <c r="QM334" s="9"/>
      <c r="QN334" s="9"/>
      <c r="QO334" s="9"/>
      <c r="QP334" s="9"/>
      <c r="QQ334" s="9"/>
      <c r="QR334" s="9"/>
      <c r="QS334" s="9"/>
      <c r="QT334" s="9"/>
      <c r="QU334" s="9"/>
      <c r="QV334" s="9"/>
      <c r="QW334" s="9"/>
      <c r="QX334" s="9"/>
      <c r="QY334" s="9"/>
      <c r="QZ334" s="9"/>
      <c r="RA334" s="9"/>
      <c r="RB334" s="9"/>
      <c r="RC334" s="9"/>
      <c r="RD334" s="9"/>
      <c r="RE334" s="9"/>
      <c r="RF334" s="9"/>
      <c r="RG334" s="9"/>
      <c r="RH334" s="9"/>
      <c r="RI334" s="9"/>
      <c r="RJ334" s="9"/>
      <c r="RK334" s="9"/>
      <c r="RL334" s="9"/>
      <c r="RM334" s="9"/>
      <c r="RN334" s="9"/>
      <c r="RO334" s="9"/>
      <c r="RP334" s="9"/>
      <c r="RQ334" s="9"/>
      <c r="RR334" s="9"/>
      <c r="RS334" s="9"/>
      <c r="RT334" s="9"/>
      <c r="RU334" s="9"/>
      <c r="RV334" s="9"/>
      <c r="RW334" s="9"/>
      <c r="RX334" s="9"/>
      <c r="RY334" s="9"/>
      <c r="RZ334" s="9"/>
      <c r="SA334" s="9"/>
      <c r="SB334" s="9"/>
      <c r="SC334" s="9"/>
      <c r="SD334" s="9"/>
      <c r="SE334" s="9"/>
      <c r="SF334" s="9"/>
      <c r="SG334" s="9"/>
      <c r="SH334" s="9"/>
      <c r="SI334" s="9"/>
      <c r="SJ334" s="9"/>
      <c r="SK334" s="9"/>
      <c r="SL334" s="9"/>
      <c r="SM334" s="9"/>
      <c r="SN334" s="9"/>
      <c r="SO334" s="9"/>
      <c r="SP334" s="9"/>
      <c r="SQ334" s="9"/>
      <c r="SR334" s="9"/>
      <c r="SS334" s="9"/>
      <c r="ST334" s="9"/>
      <c r="SU334" s="9"/>
      <c r="SV334" s="9"/>
      <c r="SW334" s="9"/>
      <c r="SX334" s="9"/>
      <c r="SY334" s="9"/>
      <c r="SZ334" s="9"/>
      <c r="TA334" s="9"/>
      <c r="TB334" s="9"/>
      <c r="TC334" s="9"/>
      <c r="TD334" s="9"/>
      <c r="TE334" s="9"/>
      <c r="TF334" s="9"/>
      <c r="TG334" s="9"/>
      <c r="TH334" s="9"/>
      <c r="TI334" s="9"/>
      <c r="TJ334" s="9"/>
      <c r="TK334" s="9"/>
      <c r="TL334" s="9"/>
      <c r="TM334" s="9"/>
      <c r="TN334" s="9"/>
      <c r="TO334" s="9"/>
      <c r="TP334" s="9"/>
      <c r="TQ334" s="9"/>
      <c r="TR334" s="9"/>
      <c r="TS334" s="9"/>
      <c r="TT334" s="9"/>
      <c r="TU334" s="9"/>
      <c r="TV334" s="9"/>
      <c r="TW334" s="9"/>
      <c r="TX334" s="9"/>
      <c r="TY334" s="9"/>
      <c r="TZ334" s="9"/>
      <c r="UA334" s="9"/>
      <c r="UB334" s="9"/>
      <c r="UC334" s="9"/>
      <c r="UD334" s="9"/>
      <c r="UE334" s="9"/>
      <c r="UF334" s="9"/>
      <c r="UG334" s="9"/>
      <c r="UH334" s="9"/>
      <c r="UI334" s="9"/>
      <c r="UJ334" s="9"/>
      <c r="UK334" s="9"/>
      <c r="UL334" s="9"/>
      <c r="UM334" s="9"/>
      <c r="UN334" s="9"/>
      <c r="UO334" s="9"/>
      <c r="UP334" s="9"/>
      <c r="UQ334" s="9"/>
      <c r="UR334" s="9"/>
      <c r="US334" s="9"/>
      <c r="UT334" s="9"/>
      <c r="UU334" s="9"/>
      <c r="UV334" s="9"/>
      <c r="UW334" s="9"/>
      <c r="UX334" s="9"/>
      <c r="UY334" s="9"/>
      <c r="UZ334" s="9"/>
      <c r="VA334" s="9"/>
      <c r="VB334" s="9"/>
      <c r="VC334" s="9"/>
      <c r="VD334" s="9"/>
      <c r="VE334" s="9"/>
      <c r="VF334" s="9"/>
      <c r="VG334" s="9"/>
      <c r="VH334" s="9"/>
      <c r="VI334" s="9"/>
      <c r="VJ334" s="9"/>
      <c r="VK334" s="9"/>
      <c r="VL334" s="9"/>
      <c r="VM334" s="9"/>
      <c r="VN334" s="9"/>
      <c r="VO334" s="9"/>
      <c r="VP334" s="9"/>
      <c r="VQ334" s="9"/>
      <c r="VR334" s="9"/>
      <c r="VS334" s="9"/>
      <c r="VT334" s="9"/>
      <c r="VU334" s="9"/>
      <c r="VV334" s="9"/>
      <c r="VW334" s="9"/>
      <c r="VX334" s="9"/>
      <c r="VY334" s="9"/>
      <c r="VZ334" s="9"/>
      <c r="WA334" s="9"/>
      <c r="WB334" s="9"/>
      <c r="WC334" s="9"/>
      <c r="WD334" s="9"/>
      <c r="WE334" s="9"/>
      <c r="WF334" s="9"/>
      <c r="WG334" s="9"/>
      <c r="WH334" s="9"/>
      <c r="WI334" s="9"/>
      <c r="WJ334" s="9"/>
      <c r="WK334" s="9"/>
      <c r="WL334" s="9"/>
      <c r="WM334" s="9"/>
      <c r="WN334" s="9"/>
      <c r="WO334" s="9"/>
      <c r="WP334" s="9"/>
      <c r="WQ334" s="9"/>
      <c r="WR334" s="9"/>
      <c r="WS334" s="9"/>
      <c r="WT334" s="9"/>
      <c r="WU334" s="9"/>
      <c r="WV334" s="9"/>
      <c r="WW334" s="9"/>
      <c r="WX334" s="9"/>
      <c r="WY334" s="9"/>
      <c r="WZ334" s="9"/>
      <c r="XA334" s="9"/>
      <c r="XB334" s="9"/>
      <c r="XC334" s="9"/>
      <c r="XD334" s="9"/>
      <c r="XE334" s="9"/>
      <c r="XF334" s="9"/>
      <c r="XG334" s="9"/>
      <c r="XH334" s="9"/>
      <c r="XI334" s="9"/>
      <c r="XJ334" s="9"/>
      <c r="XK334" s="9"/>
      <c r="XL334" s="9"/>
      <c r="XM334" s="9"/>
      <c r="XN334" s="9"/>
      <c r="XO334" s="9"/>
      <c r="XP334" s="9"/>
      <c r="XQ334" s="9"/>
      <c r="XR334" s="9"/>
      <c r="XS334" s="9"/>
      <c r="XT334" s="9"/>
      <c r="XU334" s="9"/>
      <c r="XV334" s="9"/>
      <c r="XW334" s="9"/>
      <c r="XX334" s="9"/>
      <c r="XY334" s="9"/>
      <c r="XZ334" s="9"/>
      <c r="YA334" s="9"/>
      <c r="YB334" s="9"/>
      <c r="YC334" s="9"/>
      <c r="YD334" s="9"/>
      <c r="YE334" s="9"/>
      <c r="YF334" s="9"/>
      <c r="YG334" s="9"/>
      <c r="YH334" s="9"/>
      <c r="YI334" s="9"/>
      <c r="YJ334" s="9"/>
      <c r="YK334" s="9"/>
      <c r="YL334" s="9"/>
      <c r="YM334" s="9"/>
      <c r="YN334" s="9"/>
      <c r="YO334" s="9"/>
      <c r="YP334" s="9"/>
      <c r="YQ334" s="9"/>
      <c r="YR334" s="9"/>
      <c r="YS334" s="9"/>
      <c r="YT334" s="9"/>
      <c r="YU334" s="9"/>
      <c r="YV334" s="9"/>
      <c r="YW334" s="9"/>
      <c r="YX334" s="9"/>
      <c r="YY334" s="9"/>
      <c r="YZ334" s="9"/>
      <c r="ZA334" s="9"/>
      <c r="ZB334" s="9"/>
      <c r="ZC334" s="9"/>
      <c r="ZD334" s="9"/>
      <c r="ZE334" s="9"/>
      <c r="ZF334" s="9"/>
      <c r="ZG334" s="9"/>
      <c r="ZH334" s="9"/>
      <c r="ZI334" s="9"/>
      <c r="ZJ334" s="9"/>
      <c r="ZK334" s="9"/>
      <c r="ZL334" s="9"/>
      <c r="ZM334" s="9"/>
      <c r="ZN334" s="9"/>
      <c r="ZO334" s="9"/>
      <c r="ZP334" s="9"/>
      <c r="ZQ334" s="9"/>
      <c r="ZR334" s="9"/>
      <c r="ZS334" s="9"/>
      <c r="ZT334" s="9"/>
      <c r="ZU334" s="9"/>
      <c r="ZV334" s="9"/>
      <c r="ZW334" s="9"/>
      <c r="ZX334" s="9"/>
      <c r="ZY334" s="9"/>
      <c r="ZZ334" s="9"/>
      <c r="AAA334" s="9"/>
      <c r="AAB334" s="9"/>
      <c r="AAC334" s="9"/>
      <c r="AAD334" s="9"/>
      <c r="AAE334" s="9"/>
      <c r="AAF334" s="9"/>
      <c r="AAG334" s="9"/>
      <c r="AAH334" s="9"/>
      <c r="AAI334" s="9"/>
      <c r="AAJ334" s="9"/>
      <c r="AAK334" s="9"/>
      <c r="AAL334" s="9"/>
      <c r="AAM334" s="9"/>
      <c r="AAN334" s="9"/>
      <c r="AAO334" s="9"/>
      <c r="AAP334" s="9"/>
      <c r="AAQ334" s="9"/>
      <c r="AAR334" s="9"/>
      <c r="AAS334" s="9"/>
      <c r="AAT334" s="9"/>
      <c r="AAU334" s="9"/>
      <c r="AAV334" s="9"/>
      <c r="AAW334" s="9"/>
      <c r="AAX334" s="9"/>
      <c r="AAY334" s="9"/>
      <c r="AAZ334" s="9"/>
      <c r="ABA334" s="9"/>
      <c r="ABB334" s="9"/>
      <c r="ABC334" s="9"/>
      <c r="ABD334" s="9"/>
      <c r="ABE334" s="9"/>
      <c r="ABF334" s="9"/>
      <c r="ABG334" s="9"/>
      <c r="ABH334" s="9"/>
      <c r="ABI334" s="9"/>
      <c r="ABJ334" s="9"/>
      <c r="ABK334" s="9"/>
      <c r="ABL334" s="9"/>
      <c r="ABM334" s="9"/>
      <c r="ABN334" s="9"/>
      <c r="ABO334" s="9"/>
      <c r="ABP334" s="9"/>
      <c r="ABQ334" s="9"/>
      <c r="ABR334" s="9"/>
      <c r="ABS334" s="9"/>
      <c r="ABT334" s="9"/>
      <c r="ABU334" s="9"/>
      <c r="ABV334" s="9"/>
      <c r="ABW334" s="9"/>
      <c r="ABX334" s="9"/>
      <c r="ABY334" s="9"/>
      <c r="ABZ334" s="9"/>
      <c r="ACA334" s="9"/>
      <c r="ACB334" s="9"/>
      <c r="ACC334" s="9"/>
      <c r="ACD334" s="9"/>
      <c r="ACE334" s="9"/>
      <c r="ACF334" s="9"/>
      <c r="ACG334" s="9"/>
      <c r="ACH334" s="9"/>
      <c r="ACI334" s="9"/>
      <c r="ACJ334" s="9"/>
      <c r="ACK334" s="9"/>
      <c r="ACL334" s="9"/>
      <c r="ACM334" s="9"/>
      <c r="ACN334" s="9"/>
      <c r="ACO334" s="9"/>
      <c r="ACP334" s="9"/>
      <c r="ACQ334" s="9"/>
      <c r="ACR334" s="9"/>
      <c r="ACS334" s="9"/>
      <c r="ACT334" s="9"/>
      <c r="ACU334" s="9"/>
      <c r="ACV334" s="9"/>
      <c r="ACW334" s="9"/>
      <c r="ACX334" s="9"/>
      <c r="ACY334" s="9"/>
      <c r="ACZ334" s="9"/>
      <c r="ADA334" s="9"/>
      <c r="ADB334" s="9"/>
      <c r="ADC334" s="9"/>
      <c r="ADD334" s="9"/>
      <c r="ADE334" s="9"/>
      <c r="ADF334" s="9"/>
      <c r="ADG334" s="9"/>
      <c r="ADH334" s="9"/>
      <c r="ADI334" s="9"/>
      <c r="ADJ334" s="9"/>
      <c r="ADK334" s="9"/>
      <c r="ADL334" s="9"/>
      <c r="ADM334" s="9"/>
      <c r="ADN334" s="9"/>
      <c r="ADO334" s="9"/>
      <c r="ADP334" s="9"/>
      <c r="ADQ334" s="9"/>
      <c r="ADR334" s="9"/>
      <c r="ADS334" s="9"/>
      <c r="ADT334" s="9"/>
      <c r="ADU334" s="9"/>
      <c r="ADV334" s="9"/>
      <c r="ADW334" s="9"/>
      <c r="ADX334" s="9"/>
      <c r="ADY334" s="9"/>
      <c r="ADZ334" s="9"/>
      <c r="AEA334" s="9"/>
      <c r="AEB334" s="9"/>
      <c r="AEC334" s="9"/>
      <c r="AED334" s="9"/>
      <c r="AEE334" s="9"/>
      <c r="AEF334" s="9"/>
      <c r="AEG334" s="9"/>
      <c r="AEH334" s="9"/>
      <c r="AEI334" s="9"/>
      <c r="AEJ334" s="9"/>
      <c r="AEK334" s="9"/>
      <c r="AEL334" s="9"/>
      <c r="AEM334" s="9"/>
      <c r="AEN334" s="9"/>
      <c r="AEO334" s="9"/>
      <c r="AEP334" s="9"/>
      <c r="AEQ334" s="9"/>
      <c r="AER334" s="9"/>
      <c r="AES334" s="9"/>
      <c r="AET334" s="9"/>
      <c r="AEU334" s="9"/>
      <c r="AEV334" s="9"/>
      <c r="AEW334" s="9"/>
      <c r="AEX334" s="9"/>
      <c r="AEY334" s="9"/>
      <c r="AEZ334" s="9"/>
      <c r="AFA334" s="9"/>
      <c r="AFB334" s="9"/>
      <c r="AFC334" s="9"/>
      <c r="AFD334" s="9"/>
      <c r="AFE334" s="9"/>
      <c r="AFF334" s="9"/>
      <c r="AFG334" s="9"/>
      <c r="AFH334" s="9"/>
      <c r="AFI334" s="9"/>
      <c r="AFJ334" s="9"/>
      <c r="AFK334" s="9"/>
      <c r="AFL334" s="9"/>
      <c r="AFM334" s="9"/>
      <c r="AFN334" s="9"/>
      <c r="AFO334" s="9"/>
      <c r="AFP334" s="9"/>
      <c r="AFQ334" s="9"/>
      <c r="AFR334" s="9"/>
      <c r="AFS334" s="9"/>
      <c r="AFT334" s="9"/>
      <c r="AFU334" s="9"/>
      <c r="AFV334" s="9"/>
      <c r="AFW334" s="9"/>
      <c r="AFX334" s="9"/>
      <c r="AFY334" s="9"/>
      <c r="AFZ334" s="9"/>
      <c r="AGA334" s="9"/>
      <c r="AGB334" s="9"/>
      <c r="AGC334" s="9"/>
      <c r="AGD334" s="9"/>
      <c r="AGE334" s="9"/>
      <c r="AGF334" s="9"/>
      <c r="AGG334" s="9"/>
      <c r="AGH334" s="9"/>
      <c r="AGI334" s="9"/>
      <c r="AGJ334" s="9"/>
      <c r="AGK334" s="9"/>
      <c r="AGL334" s="9"/>
      <c r="AGM334" s="9"/>
      <c r="AGN334" s="9"/>
      <c r="AGO334" s="9"/>
      <c r="AGP334" s="9"/>
      <c r="AGQ334" s="9"/>
      <c r="AGR334" s="9"/>
      <c r="AGS334" s="9"/>
      <c r="AGT334" s="9"/>
      <c r="AGU334" s="9"/>
      <c r="AGV334" s="9"/>
      <c r="AGW334" s="9"/>
      <c r="AGX334" s="9"/>
      <c r="AGY334" s="9"/>
      <c r="AGZ334" s="9"/>
      <c r="AHA334" s="9"/>
      <c r="AHB334" s="9"/>
      <c r="AHC334" s="9"/>
      <c r="AHD334" s="9"/>
      <c r="AHE334" s="9"/>
      <c r="AHF334" s="9"/>
      <c r="AHG334" s="9"/>
      <c r="AHH334" s="9"/>
      <c r="AHI334" s="9"/>
      <c r="AHJ334" s="9"/>
      <c r="AHK334" s="9"/>
      <c r="AHL334" s="9"/>
      <c r="AHM334" s="9"/>
      <c r="AHN334" s="9"/>
      <c r="AHO334" s="9"/>
      <c r="AHP334" s="9"/>
      <c r="AHQ334" s="9"/>
      <c r="AHR334" s="9"/>
      <c r="AHS334" s="9"/>
      <c r="AHT334" s="9"/>
      <c r="AHU334" s="9"/>
      <c r="AHV334" s="9"/>
      <c r="AHW334" s="9"/>
      <c r="AHX334" s="9"/>
      <c r="AHY334" s="9"/>
      <c r="AHZ334" s="9"/>
      <c r="AIA334" s="9"/>
      <c r="AIB334" s="9"/>
      <c r="AIC334" s="9"/>
      <c r="AID334" s="9"/>
      <c r="AIE334" s="9"/>
      <c r="AIF334" s="9"/>
      <c r="AIG334" s="9"/>
      <c r="AIH334" s="9"/>
      <c r="AII334" s="9"/>
      <c r="AIJ334" s="9"/>
      <c r="AIK334" s="9"/>
      <c r="AIL334" s="9"/>
      <c r="AIM334" s="9"/>
      <c r="AIN334" s="9"/>
      <c r="AIO334" s="9"/>
      <c r="AIP334" s="9"/>
      <c r="AIQ334" s="9"/>
      <c r="AIR334" s="9"/>
      <c r="AIS334" s="9"/>
      <c r="AIT334" s="9"/>
      <c r="AIU334" s="9"/>
      <c r="AIV334" s="9"/>
      <c r="AIW334" s="9"/>
      <c r="AIX334" s="9"/>
      <c r="AIY334" s="9"/>
      <c r="AIZ334" s="9"/>
      <c r="AJA334" s="9"/>
      <c r="AJB334" s="9"/>
      <c r="AJC334" s="9"/>
      <c r="AJD334" s="9"/>
      <c r="AJE334" s="9"/>
      <c r="AJF334" s="9"/>
      <c r="AJG334" s="9"/>
      <c r="AJH334" s="9"/>
      <c r="AJI334" s="9"/>
      <c r="AJJ334" s="9"/>
      <c r="AJK334" s="9"/>
      <c r="AJL334" s="9"/>
      <c r="AJM334" s="9"/>
      <c r="AJN334" s="9"/>
      <c r="AJO334" s="9"/>
      <c r="AJP334" s="9"/>
      <c r="AJQ334" s="9"/>
      <c r="AJR334" s="9"/>
      <c r="AJS334" s="9"/>
      <c r="AJT334" s="9"/>
      <c r="AJU334" s="9"/>
      <c r="AJV334" s="9"/>
      <c r="AJW334" s="9"/>
      <c r="AJX334" s="9"/>
      <c r="AJY334" s="9"/>
      <c r="AJZ334" s="9"/>
      <c r="AKA334" s="9"/>
      <c r="AKB334" s="9"/>
      <c r="AKC334" s="9"/>
      <c r="AKD334" s="9"/>
      <c r="AKE334" s="9"/>
      <c r="AKF334" s="9"/>
      <c r="AKG334" s="9"/>
      <c r="AKH334" s="9"/>
      <c r="AKI334" s="9"/>
      <c r="AKJ334" s="9"/>
      <c r="AKK334" s="9"/>
      <c r="AKL334" s="9"/>
      <c r="AKM334" s="9"/>
      <c r="AKN334" s="9"/>
      <c r="AKO334" s="9"/>
      <c r="AKP334" s="9"/>
      <c r="AKQ334" s="9"/>
      <c r="AKR334" s="9"/>
      <c r="AKS334" s="9"/>
      <c r="AKT334" s="9"/>
      <c r="AKU334" s="9"/>
      <c r="AKV334" s="9"/>
      <c r="AKW334" s="9"/>
      <c r="AKX334" s="9"/>
      <c r="AKY334" s="9"/>
      <c r="AKZ334" s="9"/>
      <c r="ALA334" s="9"/>
      <c r="ALB334" s="9"/>
      <c r="ALC334" s="9"/>
      <c r="ALD334" s="9"/>
      <c r="ALE334" s="9"/>
      <c r="ALF334" s="9"/>
      <c r="ALG334" s="9"/>
      <c r="ALH334" s="9"/>
      <c r="ALI334" s="9"/>
      <c r="ALJ334" s="9"/>
      <c r="ALK334" s="9"/>
      <c r="ALL334" s="9"/>
      <c r="ALM334" s="9"/>
      <c r="ALN334" s="9"/>
      <c r="ALO334" s="9"/>
      <c r="ALP334" s="9"/>
      <c r="ALQ334" s="9"/>
      <c r="ALR334" s="9"/>
      <c r="ALS334" s="9"/>
      <c r="ALT334" s="9"/>
      <c r="ALU334" s="9"/>
      <c r="ALV334" s="9"/>
      <c r="ALW334" s="9"/>
      <c r="ALX334" s="9"/>
      <c r="ALY334" s="9"/>
      <c r="ALZ334" s="9"/>
      <c r="AMA334" s="9"/>
      <c r="AMB334" s="9"/>
      <c r="AMC334" s="9"/>
      <c r="AMD334" s="9"/>
      <c r="AME334" s="9"/>
      <c r="AMF334" s="9"/>
      <c r="AMG334" s="9"/>
      <c r="AMH334" s="9"/>
      <c r="AMI334" s="9"/>
      <c r="AMJ334" s="9"/>
      <c r="AMK334" s="9"/>
      <c r="AML334" s="9"/>
      <c r="AMM334" s="9"/>
      <c r="AMN334" s="9"/>
      <c r="AMO334" s="9"/>
      <c r="AMP334" s="9"/>
    </row>
    <row r="335" spans="1:1030" s="12" customFormat="1" x14ac:dyDescent="0.2">
      <c r="A335" s="9" t="str">
        <f>CONCATENATE(B335,"_",C335)</f>
        <v>grm5_human_6N52</v>
      </c>
      <c r="B335" s="9" t="s">
        <v>41</v>
      </c>
      <c r="C335" s="9" t="s">
        <v>1577</v>
      </c>
      <c r="D335" s="9" t="str">
        <f>IFERROR(MID(VLOOKUP($B335,Seqs!$A:$B,2,0),E335,1),"")</f>
        <v>P</v>
      </c>
      <c r="E335" s="9">
        <v>580</v>
      </c>
      <c r="F335" s="9" t="str">
        <f>IFERROR(MID(VLOOKUP($B335,Seqs!$A:$B,2,0),G335,1),"")</f>
        <v>T</v>
      </c>
      <c r="G335" s="9">
        <v>598</v>
      </c>
      <c r="H335" s="9" t="str">
        <f>IFERROR(MID(VLOOKUP($B335,Seqs!$A:$B,2,0),I335,1),"")</f>
        <v>T</v>
      </c>
      <c r="I335" s="109">
        <v>607</v>
      </c>
      <c r="J335" s="9" t="str">
        <f>IFERROR(MID(VLOOKUP($B335,Seqs!$A:$B,2,0),K335,1),"")</f>
        <v>S</v>
      </c>
      <c r="K335" s="109">
        <v>613</v>
      </c>
      <c r="L335" s="9" t="str">
        <f>IFERROR(MID(VLOOKUP($B335,Seqs!$A:$B,2,0),M335,1),"")</f>
        <v>S</v>
      </c>
      <c r="M335" s="9">
        <v>614</v>
      </c>
      <c r="N335" s="9" t="str">
        <f>IFERROR(MID(VLOOKUP($B335,Seqs!$A:$B,2,0),O335,1),"")</f>
        <v>I</v>
      </c>
      <c r="O335" s="9">
        <v>636</v>
      </c>
      <c r="P335" s="9" t="str">
        <f>IFERROR(MID(VLOOKUP($B335,Seqs!$A:$B,2,0),Q335,1),"")</f>
        <v/>
      </c>
      <c r="Q335" s="9" t="s">
        <v>23</v>
      </c>
      <c r="R335" s="9" t="str">
        <f>IFERROR(MID(VLOOKUP($B335,Seqs!$A:$B,2,0),S335,1),"")</f>
        <v/>
      </c>
      <c r="S335" s="9" t="s">
        <v>23</v>
      </c>
      <c r="T335" s="9" t="str">
        <f>IFERROR(MID(VLOOKUP($B335,Seqs!$A:$B,2,0),U335,1),"")</f>
        <v>K</v>
      </c>
      <c r="U335" s="9">
        <v>640</v>
      </c>
      <c r="V335" s="9" t="str">
        <f>IFERROR(MID(VLOOKUP($B335,Seqs!$A:$B,2,0),W335,1),"")</f>
        <v>I</v>
      </c>
      <c r="W335" s="9">
        <v>669</v>
      </c>
      <c r="X335" s="9" t="str">
        <f>IFERROR(MID(VLOOKUP($B335,Seqs!$A:$B,2,0),Y335,1),"")</f>
        <v/>
      </c>
      <c r="Y335" s="9" t="s">
        <v>23</v>
      </c>
      <c r="Z335" s="9" t="str">
        <f>IFERROR(MID(VLOOKUP($B335,Seqs!$A:$B,2,0),AA335,1),"")</f>
        <v/>
      </c>
      <c r="AA335" s="9" t="s">
        <v>23</v>
      </c>
      <c r="AB335" s="9" t="str">
        <f>IFERROR(MID(VLOOKUP($B335,Seqs!$A:$B,2,0),AC335,1),"")</f>
        <v>A</v>
      </c>
      <c r="AC335" s="9">
        <v>692</v>
      </c>
      <c r="AD335" s="9" t="str">
        <f>IFERROR(MID(VLOOKUP($B335,Seqs!$A:$B,2,0),AE335,1),"")</f>
        <v>E</v>
      </c>
      <c r="AE335" s="9">
        <v>715</v>
      </c>
      <c r="AF335" s="9" t="str">
        <f>IFERROR(MID(VLOOKUP($B335,Seqs!$A:$B,2,0),AG335,1),"")</f>
        <v>C</v>
      </c>
      <c r="AG335" s="9">
        <v>733</v>
      </c>
      <c r="AH335" s="9" t="str">
        <f>IFERROR(MID(VLOOKUP($B335,Seqs!$A:$B,2,0),AI335,1),"")</f>
        <v>T</v>
      </c>
      <c r="AI335" s="9">
        <v>735</v>
      </c>
      <c r="AJ335" s="9" t="str">
        <f>IFERROR(MID(VLOOKUP($B335,Seqs!$A:$B,2,0),AK335,1),"")</f>
        <v>T</v>
      </c>
      <c r="AK335" s="9">
        <v>736</v>
      </c>
      <c r="AL335" s="9" t="str">
        <f>IFERROR(MID(VLOOKUP($B335,Seqs!$A:$B,2,0),AM335,1),"")</f>
        <v>T</v>
      </c>
      <c r="AM335" s="9">
        <v>761</v>
      </c>
      <c r="AN335" s="9" t="str">
        <f>IFERROR(MID(VLOOKUP($B335,Seqs!$A:$B,2,0),AO335,1),"")</f>
        <v>E</v>
      </c>
      <c r="AO335" s="9">
        <v>770</v>
      </c>
      <c r="AP335" s="9" t="str">
        <f>IFERROR(MID(VLOOKUP($B335,Seqs!$A:$B,2,0),AQ335,1),"")</f>
        <v>F</v>
      </c>
      <c r="AQ335" s="9">
        <v>793</v>
      </c>
      <c r="AR335" s="9" t="str">
        <f>IFERROR(MID(VLOOKUP($B335,Seqs!$A:$B,2,0),AS335,1),"")</f>
        <v>I</v>
      </c>
      <c r="AS335" s="9">
        <v>799</v>
      </c>
      <c r="AT335" s="9" t="str">
        <f>IFERROR(MID(VLOOKUP($B335,Seqs!$A:$B,2,0),AU335,1),"")</f>
        <v>K</v>
      </c>
      <c r="AU335" s="9">
        <v>828</v>
      </c>
      <c r="AV335" s="9" t="str">
        <f>IFERROR(MID(VLOOKUP($B335,Seqs!$A:$B,2,0),AW335,1),"")</f>
        <v>P</v>
      </c>
      <c r="AW335" s="9">
        <v>829</v>
      </c>
      <c r="AX335" s="9" t="str">
        <f>IFERROR(MID(VLOOKUP($B335,Seqs!$A:$B,2,0),AY335,1),"")</f>
        <v>N</v>
      </c>
      <c r="AY335" s="9">
        <v>832</v>
      </c>
      <c r="AZ335" s="110" t="str">
        <f>VLOOKUP(B335,Classification!A:D,2,0)</f>
        <v>C</v>
      </c>
      <c r="BA335" s="98" t="str">
        <f>VLOOKUP(B335,Classification!A:D,4,0)</f>
        <v>Metabotropicglutamate</v>
      </c>
      <c r="BB335" s="36" t="b">
        <f>AND(E335&lt;G335,OR(G335&lt;I335,I335="-"),OR(I335&lt;K335,I335="-"),OR(K335&lt;M335,K335="-"),M335&lt;O335,OR(O335&lt;Q335,Q335="-"),OR(Q335&lt;S335,Q335="-"),OR(S335&lt;U335,S335="-"),U335&lt;W335,OR(W335&lt;Y335,Y335="-"),OR(Y335&lt;AA335,Y335="-"),OR(AA335&lt;AC335,AA335="-"),AC335&lt;AE335,OR(AE335&lt;AG335,AG335="-"),OR(AG335&lt;AI335,AG335="-"),OR(AI335&lt;AK335,AI335="-"),AK335&lt;AM335,AM335&lt;AO335,AO335&lt;AQ335,AQ335&lt;AS335,AS335&lt;AU335,OR(AU335&lt;AW335,AW335="-"),OR(AW335&lt;AY335,AW335="-"))</f>
        <v>1</v>
      </c>
      <c r="BC335" s="109">
        <f>_xlfn.AGGREGATE(9,6,CH335:CS335)-_xlfn.AGGREGATE(9,6,BV335:CG335)+12</f>
        <v>192</v>
      </c>
      <c r="BD335" s="11" t="s">
        <v>23</v>
      </c>
      <c r="BE335" s="9" t="s">
        <v>1380</v>
      </c>
      <c r="BF335" s="120">
        <v>4</v>
      </c>
      <c r="BG335" s="51" t="s">
        <v>1</v>
      </c>
      <c r="BH335" s="51" t="s">
        <v>1</v>
      </c>
      <c r="BI335" s="9"/>
      <c r="BJ335" s="111" t="s">
        <v>1293</v>
      </c>
      <c r="BK335" s="112" t="s">
        <v>1293</v>
      </c>
      <c r="BL335" s="112" t="s">
        <v>1293</v>
      </c>
      <c r="BM335" s="112" t="s">
        <v>1293</v>
      </c>
      <c r="BN335" s="112" t="s">
        <v>1293</v>
      </c>
      <c r="BO335" s="112" t="s">
        <v>1293</v>
      </c>
      <c r="BP335" s="112" t="s">
        <v>1293</v>
      </c>
      <c r="BQ335" s="112" t="s">
        <v>1293</v>
      </c>
      <c r="BR335" s="112" t="s">
        <v>1293</v>
      </c>
      <c r="BS335" s="112" t="s">
        <v>1293</v>
      </c>
      <c r="BT335" s="112" t="s">
        <v>1293</v>
      </c>
      <c r="BU335" s="112" t="s">
        <v>1293</v>
      </c>
      <c r="BV335" s="111">
        <f>E335</f>
        <v>580</v>
      </c>
      <c r="BW335" s="113">
        <f>I335</f>
        <v>607</v>
      </c>
      <c r="BX335" s="114">
        <f>M335</f>
        <v>614</v>
      </c>
      <c r="BY335" s="113" t="str">
        <f>Q335</f>
        <v>-</v>
      </c>
      <c r="BZ335" s="114">
        <f>U335</f>
        <v>640</v>
      </c>
      <c r="CA335" s="113" t="str">
        <f>Y335</f>
        <v>-</v>
      </c>
      <c r="CB335" s="114">
        <f>AC335</f>
        <v>692</v>
      </c>
      <c r="CC335" s="113">
        <f>AG335</f>
        <v>733</v>
      </c>
      <c r="CD335" s="114">
        <f>AK335</f>
        <v>736</v>
      </c>
      <c r="CE335" s="113">
        <f>AO335</f>
        <v>770</v>
      </c>
      <c r="CF335" s="114">
        <f>AS335</f>
        <v>799</v>
      </c>
      <c r="CG335" s="113">
        <f>AW335</f>
        <v>829</v>
      </c>
      <c r="CH335" s="111">
        <f>G335</f>
        <v>598</v>
      </c>
      <c r="CI335" s="113">
        <f>K335</f>
        <v>613</v>
      </c>
      <c r="CJ335" s="114">
        <f>O335</f>
        <v>636</v>
      </c>
      <c r="CK335" s="114" t="str">
        <f>S335</f>
        <v>-</v>
      </c>
      <c r="CL335" s="114">
        <f>W335</f>
        <v>669</v>
      </c>
      <c r="CM335" s="114" t="str">
        <f>AA335</f>
        <v>-</v>
      </c>
      <c r="CN335" s="114">
        <f>AE335</f>
        <v>715</v>
      </c>
      <c r="CO335" s="114">
        <f>AI335</f>
        <v>735</v>
      </c>
      <c r="CP335" s="114">
        <f>AM335</f>
        <v>761</v>
      </c>
      <c r="CQ335" s="114">
        <f>AQ335</f>
        <v>793</v>
      </c>
      <c r="CR335" s="114">
        <f>AU335</f>
        <v>828</v>
      </c>
      <c r="CS335" s="114">
        <f>AY335</f>
        <v>832</v>
      </c>
      <c r="CT335" s="109">
        <f>M335-K335</f>
        <v>1</v>
      </c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9"/>
      <c r="JE335" s="9"/>
      <c r="JF335" s="9"/>
      <c r="JG335" s="9"/>
      <c r="JH335" s="9"/>
      <c r="JI335" s="9"/>
      <c r="JJ335" s="9"/>
      <c r="JK335" s="9"/>
      <c r="JL335" s="9"/>
      <c r="JM335" s="9"/>
      <c r="JN335" s="9"/>
      <c r="JO335" s="9"/>
      <c r="JP335" s="9"/>
      <c r="JQ335" s="9"/>
      <c r="JR335" s="9"/>
      <c r="JS335" s="9"/>
      <c r="JT335" s="9"/>
      <c r="JU335" s="9"/>
      <c r="JV335" s="9"/>
      <c r="JW335" s="9"/>
      <c r="JX335" s="9"/>
      <c r="JY335" s="9"/>
      <c r="JZ335" s="9"/>
      <c r="KA335" s="9"/>
      <c r="KB335" s="9"/>
      <c r="KC335" s="9"/>
      <c r="KD335" s="9"/>
      <c r="KE335" s="9"/>
      <c r="KF335" s="9"/>
      <c r="KG335" s="9"/>
      <c r="KH335" s="9"/>
      <c r="KI335" s="9"/>
      <c r="KJ335" s="9"/>
      <c r="KK335" s="9"/>
      <c r="KL335" s="9"/>
      <c r="KM335" s="9"/>
      <c r="KN335" s="9"/>
      <c r="KO335" s="9"/>
      <c r="KP335" s="9"/>
      <c r="KQ335" s="9"/>
      <c r="KR335" s="9"/>
      <c r="KS335" s="9"/>
      <c r="KT335" s="9"/>
      <c r="KU335" s="9"/>
      <c r="KV335" s="9"/>
      <c r="KW335" s="9"/>
      <c r="KX335" s="9"/>
      <c r="KY335" s="9"/>
      <c r="KZ335" s="9"/>
      <c r="LA335" s="9"/>
      <c r="LB335" s="9"/>
      <c r="LC335" s="9"/>
      <c r="LD335" s="9"/>
      <c r="LE335" s="9"/>
      <c r="LF335" s="9"/>
      <c r="LG335" s="9"/>
      <c r="LH335" s="9"/>
      <c r="LI335" s="9"/>
      <c r="LJ335" s="9"/>
      <c r="LK335" s="9"/>
      <c r="LL335" s="9"/>
      <c r="LM335" s="9"/>
      <c r="LN335" s="9"/>
      <c r="LO335" s="9"/>
      <c r="LP335" s="9"/>
      <c r="LQ335" s="9"/>
      <c r="LR335" s="9"/>
      <c r="LS335" s="9"/>
      <c r="LT335" s="9"/>
      <c r="LU335" s="9"/>
      <c r="LV335" s="9"/>
      <c r="LW335" s="9"/>
      <c r="LX335" s="9"/>
      <c r="LY335" s="9"/>
      <c r="LZ335" s="9"/>
      <c r="MA335" s="9"/>
      <c r="MB335" s="9"/>
      <c r="MC335" s="9"/>
      <c r="MD335" s="9"/>
      <c r="ME335" s="9"/>
      <c r="MF335" s="9"/>
      <c r="MG335" s="9"/>
      <c r="MH335" s="9"/>
      <c r="MI335" s="9"/>
      <c r="MJ335" s="9"/>
      <c r="MK335" s="9"/>
      <c r="ML335" s="9"/>
      <c r="MM335" s="9"/>
      <c r="MN335" s="9"/>
      <c r="MO335" s="9"/>
      <c r="MP335" s="9"/>
      <c r="MQ335" s="9"/>
      <c r="MR335" s="9"/>
      <c r="MS335" s="9"/>
      <c r="MT335" s="9"/>
      <c r="MU335" s="9"/>
      <c r="MV335" s="9"/>
      <c r="MW335" s="9"/>
      <c r="MX335" s="9"/>
      <c r="MY335" s="9"/>
      <c r="MZ335" s="9"/>
      <c r="NA335" s="9"/>
      <c r="NB335" s="9"/>
      <c r="NC335" s="9"/>
      <c r="ND335" s="9"/>
      <c r="NE335" s="9"/>
      <c r="NF335" s="9"/>
      <c r="NG335" s="9"/>
      <c r="NH335" s="9"/>
      <c r="NI335" s="9"/>
      <c r="NJ335" s="9"/>
      <c r="NK335" s="9"/>
      <c r="NL335" s="9"/>
      <c r="NM335" s="9"/>
      <c r="NN335" s="9"/>
      <c r="NO335" s="9"/>
      <c r="NP335" s="9"/>
      <c r="NQ335" s="9"/>
      <c r="NR335" s="9"/>
      <c r="NS335" s="9"/>
      <c r="NT335" s="9"/>
      <c r="NU335" s="9"/>
      <c r="NV335" s="9"/>
      <c r="NW335" s="9"/>
      <c r="NX335" s="9"/>
      <c r="NY335" s="9"/>
      <c r="NZ335" s="9"/>
      <c r="OA335" s="9"/>
      <c r="OB335" s="9"/>
      <c r="OC335" s="9"/>
      <c r="OD335" s="9"/>
      <c r="OE335" s="9"/>
      <c r="OF335" s="9"/>
      <c r="OG335" s="9"/>
      <c r="OH335" s="9"/>
      <c r="OI335" s="9"/>
      <c r="OJ335" s="9"/>
      <c r="OK335" s="9"/>
      <c r="OL335" s="9"/>
      <c r="OM335" s="9"/>
      <c r="ON335" s="9"/>
      <c r="OO335" s="9"/>
      <c r="OP335" s="9"/>
      <c r="OQ335" s="9"/>
      <c r="OR335" s="9"/>
      <c r="OS335" s="9"/>
      <c r="OT335" s="9"/>
      <c r="OU335" s="9"/>
      <c r="OV335" s="9"/>
      <c r="OW335" s="9"/>
      <c r="OX335" s="9"/>
      <c r="OY335" s="9"/>
      <c r="OZ335" s="9"/>
      <c r="PA335" s="9"/>
      <c r="PB335" s="9"/>
      <c r="PC335" s="9"/>
      <c r="PD335" s="9"/>
      <c r="PE335" s="9"/>
      <c r="PF335" s="9"/>
      <c r="PG335" s="9"/>
      <c r="PH335" s="9"/>
      <c r="PI335" s="9"/>
      <c r="PJ335" s="9"/>
      <c r="PK335" s="9"/>
      <c r="PL335" s="9"/>
      <c r="PM335" s="9"/>
      <c r="PN335" s="9"/>
      <c r="PO335" s="9"/>
      <c r="PP335" s="9"/>
      <c r="PQ335" s="9"/>
      <c r="PR335" s="9"/>
      <c r="PS335" s="9"/>
      <c r="PT335" s="9"/>
      <c r="PU335" s="9"/>
      <c r="PV335" s="9"/>
      <c r="PW335" s="9"/>
      <c r="PX335" s="9"/>
      <c r="PY335" s="9"/>
      <c r="PZ335" s="9"/>
      <c r="QA335" s="9"/>
      <c r="QB335" s="9"/>
      <c r="QC335" s="9"/>
      <c r="QD335" s="9"/>
      <c r="QE335" s="9"/>
      <c r="QF335" s="9"/>
      <c r="QG335" s="9"/>
      <c r="QH335" s="9"/>
      <c r="QI335" s="9"/>
      <c r="QJ335" s="9"/>
      <c r="QK335" s="9"/>
      <c r="QL335" s="9"/>
      <c r="QM335" s="9"/>
      <c r="QN335" s="9"/>
      <c r="QO335" s="9"/>
      <c r="QP335" s="9"/>
      <c r="QQ335" s="9"/>
      <c r="QR335" s="9"/>
      <c r="QS335" s="9"/>
      <c r="QT335" s="9"/>
      <c r="QU335" s="9"/>
      <c r="QV335" s="9"/>
      <c r="QW335" s="9"/>
      <c r="QX335" s="9"/>
      <c r="QY335" s="9"/>
      <c r="QZ335" s="9"/>
      <c r="RA335" s="9"/>
      <c r="RB335" s="9"/>
      <c r="RC335" s="9"/>
      <c r="RD335" s="9"/>
      <c r="RE335" s="9"/>
      <c r="RF335" s="9"/>
      <c r="RG335" s="9"/>
      <c r="RH335" s="9"/>
      <c r="RI335" s="9"/>
      <c r="RJ335" s="9"/>
      <c r="RK335" s="9"/>
      <c r="RL335" s="9"/>
      <c r="RM335" s="9"/>
      <c r="RN335" s="9"/>
      <c r="RO335" s="9"/>
      <c r="RP335" s="9"/>
      <c r="RQ335" s="9"/>
      <c r="RR335" s="9"/>
      <c r="RS335" s="9"/>
      <c r="RT335" s="9"/>
      <c r="RU335" s="9"/>
      <c r="RV335" s="9"/>
      <c r="RW335" s="9"/>
      <c r="RX335" s="9"/>
      <c r="RY335" s="9"/>
      <c r="RZ335" s="9"/>
      <c r="SA335" s="9"/>
      <c r="SB335" s="9"/>
      <c r="SC335" s="9"/>
      <c r="SD335" s="9"/>
      <c r="SE335" s="9"/>
      <c r="SF335" s="9"/>
      <c r="SG335" s="9"/>
      <c r="SH335" s="9"/>
      <c r="SI335" s="9"/>
      <c r="SJ335" s="9"/>
      <c r="SK335" s="9"/>
      <c r="SL335" s="9"/>
      <c r="SM335" s="9"/>
      <c r="SN335" s="9"/>
      <c r="SO335" s="9"/>
      <c r="SP335" s="9"/>
      <c r="SQ335" s="9"/>
      <c r="SR335" s="9"/>
      <c r="SS335" s="9"/>
      <c r="ST335" s="9"/>
      <c r="SU335" s="9"/>
      <c r="SV335" s="9"/>
      <c r="SW335" s="9"/>
      <c r="SX335" s="9"/>
      <c r="SY335" s="9"/>
      <c r="SZ335" s="9"/>
      <c r="TA335" s="9"/>
      <c r="TB335" s="9"/>
      <c r="TC335" s="9"/>
      <c r="TD335" s="9"/>
      <c r="TE335" s="9"/>
      <c r="TF335" s="9"/>
      <c r="TG335" s="9"/>
      <c r="TH335" s="9"/>
      <c r="TI335" s="9"/>
      <c r="TJ335" s="9"/>
      <c r="TK335" s="9"/>
      <c r="TL335" s="9"/>
      <c r="TM335" s="9"/>
      <c r="TN335" s="9"/>
      <c r="TO335" s="9"/>
      <c r="TP335" s="9"/>
      <c r="TQ335" s="9"/>
      <c r="TR335" s="9"/>
      <c r="TS335" s="9"/>
      <c r="TT335" s="9"/>
      <c r="TU335" s="9"/>
      <c r="TV335" s="9"/>
      <c r="TW335" s="9"/>
      <c r="TX335" s="9"/>
      <c r="TY335" s="9"/>
      <c r="TZ335" s="9"/>
      <c r="UA335" s="9"/>
      <c r="UB335" s="9"/>
      <c r="UC335" s="9"/>
      <c r="UD335" s="9"/>
      <c r="UE335" s="9"/>
      <c r="UF335" s="9"/>
      <c r="UG335" s="9"/>
      <c r="UH335" s="9"/>
      <c r="UI335" s="9"/>
      <c r="UJ335" s="9"/>
      <c r="UK335" s="9"/>
      <c r="UL335" s="9"/>
      <c r="UM335" s="9"/>
      <c r="UN335" s="9"/>
      <c r="UO335" s="9"/>
      <c r="UP335" s="9"/>
      <c r="UQ335" s="9"/>
      <c r="UR335" s="9"/>
      <c r="US335" s="9"/>
      <c r="UT335" s="9"/>
      <c r="UU335" s="9"/>
      <c r="UV335" s="9"/>
      <c r="UW335" s="9"/>
      <c r="UX335" s="9"/>
      <c r="UY335" s="9"/>
      <c r="UZ335" s="9"/>
      <c r="VA335" s="9"/>
      <c r="VB335" s="9"/>
      <c r="VC335" s="9"/>
      <c r="VD335" s="9"/>
      <c r="VE335" s="9"/>
      <c r="VF335" s="9"/>
      <c r="VG335" s="9"/>
      <c r="VH335" s="9"/>
      <c r="VI335" s="9"/>
      <c r="VJ335" s="9"/>
      <c r="VK335" s="9"/>
      <c r="VL335" s="9"/>
      <c r="VM335" s="9"/>
      <c r="VN335" s="9"/>
      <c r="VO335" s="9"/>
      <c r="VP335" s="9"/>
      <c r="VQ335" s="9"/>
      <c r="VR335" s="9"/>
      <c r="VS335" s="9"/>
      <c r="VT335" s="9"/>
      <c r="VU335" s="9"/>
      <c r="VV335" s="9"/>
      <c r="VW335" s="9"/>
      <c r="VX335" s="9"/>
      <c r="VY335" s="9"/>
      <c r="VZ335" s="9"/>
      <c r="WA335" s="9"/>
      <c r="WB335" s="9"/>
      <c r="WC335" s="9"/>
      <c r="WD335" s="9"/>
      <c r="WE335" s="9"/>
      <c r="WF335" s="9"/>
      <c r="WG335" s="9"/>
      <c r="WH335" s="9"/>
      <c r="WI335" s="9"/>
      <c r="WJ335" s="9"/>
      <c r="WK335" s="9"/>
      <c r="WL335" s="9"/>
      <c r="WM335" s="9"/>
      <c r="WN335" s="9"/>
      <c r="WO335" s="9"/>
      <c r="WP335" s="9"/>
      <c r="WQ335" s="9"/>
      <c r="WR335" s="9"/>
      <c r="WS335" s="9"/>
      <c r="WT335" s="9"/>
      <c r="WU335" s="9"/>
      <c r="WV335" s="9"/>
      <c r="WW335" s="9"/>
      <c r="WX335" s="9"/>
      <c r="WY335" s="9"/>
      <c r="WZ335" s="9"/>
      <c r="XA335" s="9"/>
      <c r="XB335" s="9"/>
      <c r="XC335" s="9"/>
      <c r="XD335" s="9"/>
      <c r="XE335" s="9"/>
      <c r="XF335" s="9"/>
      <c r="XG335" s="9"/>
      <c r="XH335" s="9"/>
      <c r="XI335" s="9"/>
      <c r="XJ335" s="9"/>
      <c r="XK335" s="9"/>
      <c r="XL335" s="9"/>
      <c r="XM335" s="9"/>
      <c r="XN335" s="9"/>
      <c r="XO335" s="9"/>
      <c r="XP335" s="9"/>
      <c r="XQ335" s="9"/>
      <c r="XR335" s="9"/>
      <c r="XS335" s="9"/>
      <c r="XT335" s="9"/>
      <c r="XU335" s="9"/>
      <c r="XV335" s="9"/>
      <c r="XW335" s="9"/>
      <c r="XX335" s="9"/>
      <c r="XY335" s="9"/>
      <c r="XZ335" s="9"/>
      <c r="YA335" s="9"/>
      <c r="YB335" s="9"/>
      <c r="YC335" s="9"/>
      <c r="YD335" s="9"/>
      <c r="YE335" s="9"/>
      <c r="YF335" s="9"/>
      <c r="YG335" s="9"/>
      <c r="YH335" s="9"/>
      <c r="YI335" s="9"/>
      <c r="YJ335" s="9"/>
      <c r="YK335" s="9"/>
      <c r="YL335" s="9"/>
      <c r="YM335" s="9"/>
      <c r="YN335" s="9"/>
      <c r="YO335" s="9"/>
      <c r="YP335" s="9"/>
      <c r="YQ335" s="9"/>
      <c r="YR335" s="9"/>
      <c r="YS335" s="9"/>
      <c r="YT335" s="9"/>
      <c r="YU335" s="9"/>
      <c r="YV335" s="9"/>
      <c r="YW335" s="9"/>
      <c r="YX335" s="9"/>
      <c r="YY335" s="9"/>
      <c r="YZ335" s="9"/>
      <c r="ZA335" s="9"/>
      <c r="ZB335" s="9"/>
      <c r="ZC335" s="9"/>
      <c r="ZD335" s="9"/>
      <c r="ZE335" s="9"/>
      <c r="ZF335" s="9"/>
      <c r="ZG335" s="9"/>
      <c r="ZH335" s="9"/>
      <c r="ZI335" s="9"/>
      <c r="ZJ335" s="9"/>
      <c r="ZK335" s="9"/>
      <c r="ZL335" s="9"/>
      <c r="ZM335" s="9"/>
      <c r="ZN335" s="9"/>
      <c r="ZO335" s="9"/>
      <c r="ZP335" s="9"/>
      <c r="ZQ335" s="9"/>
      <c r="ZR335" s="9"/>
      <c r="ZS335" s="9"/>
      <c r="ZT335" s="9"/>
      <c r="ZU335" s="9"/>
      <c r="ZV335" s="9"/>
      <c r="ZW335" s="9"/>
      <c r="ZX335" s="9"/>
      <c r="ZY335" s="9"/>
      <c r="ZZ335" s="9"/>
      <c r="AAA335" s="9"/>
      <c r="AAB335" s="9"/>
      <c r="AAC335" s="9"/>
      <c r="AAD335" s="9"/>
      <c r="AAE335" s="9"/>
      <c r="AAF335" s="9"/>
      <c r="AAG335" s="9"/>
      <c r="AAH335" s="9"/>
      <c r="AAI335" s="9"/>
      <c r="AAJ335" s="9"/>
      <c r="AAK335" s="9"/>
      <c r="AAL335" s="9"/>
      <c r="AAM335" s="9"/>
      <c r="AAN335" s="9"/>
      <c r="AAO335" s="9"/>
      <c r="AAP335" s="9"/>
      <c r="AAQ335" s="9"/>
      <c r="AAR335" s="9"/>
      <c r="AAS335" s="9"/>
      <c r="AAT335" s="9"/>
      <c r="AAU335" s="9"/>
      <c r="AAV335" s="9"/>
      <c r="AAW335" s="9"/>
      <c r="AAX335" s="9"/>
      <c r="AAY335" s="9"/>
      <c r="AAZ335" s="9"/>
      <c r="ABA335" s="9"/>
      <c r="ABB335" s="9"/>
      <c r="ABC335" s="9"/>
      <c r="ABD335" s="9"/>
      <c r="ABE335" s="9"/>
      <c r="ABF335" s="9"/>
      <c r="ABG335" s="9"/>
      <c r="ABH335" s="9"/>
      <c r="ABI335" s="9"/>
      <c r="ABJ335" s="9"/>
      <c r="ABK335" s="9"/>
      <c r="ABL335" s="9"/>
      <c r="ABM335" s="9"/>
      <c r="ABN335" s="9"/>
      <c r="ABO335" s="9"/>
      <c r="ABP335" s="9"/>
      <c r="ABQ335" s="9"/>
      <c r="ABR335" s="9"/>
      <c r="ABS335" s="9"/>
      <c r="ABT335" s="9"/>
      <c r="ABU335" s="9"/>
      <c r="ABV335" s="9"/>
      <c r="ABW335" s="9"/>
      <c r="ABX335" s="9"/>
      <c r="ABY335" s="9"/>
      <c r="ABZ335" s="9"/>
      <c r="ACA335" s="9"/>
      <c r="ACB335" s="9"/>
      <c r="ACC335" s="9"/>
      <c r="ACD335" s="9"/>
      <c r="ACE335" s="9"/>
      <c r="ACF335" s="9"/>
      <c r="ACG335" s="9"/>
      <c r="ACH335" s="9"/>
      <c r="ACI335" s="9"/>
      <c r="ACJ335" s="9"/>
      <c r="ACK335" s="9"/>
      <c r="ACL335" s="9"/>
      <c r="ACM335" s="9"/>
      <c r="ACN335" s="9"/>
      <c r="ACO335" s="9"/>
      <c r="ACP335" s="9"/>
      <c r="ACQ335" s="9"/>
      <c r="ACR335" s="9"/>
      <c r="ACS335" s="9"/>
      <c r="ACT335" s="9"/>
      <c r="ACU335" s="9"/>
      <c r="ACV335" s="9"/>
      <c r="ACW335" s="9"/>
      <c r="ACX335" s="9"/>
      <c r="ACY335" s="9"/>
      <c r="ACZ335" s="9"/>
      <c r="ADA335" s="9"/>
      <c r="ADB335" s="9"/>
      <c r="ADC335" s="9"/>
      <c r="ADD335" s="9"/>
      <c r="ADE335" s="9"/>
      <c r="ADF335" s="9"/>
      <c r="ADG335" s="9"/>
      <c r="ADH335" s="9"/>
      <c r="ADI335" s="9"/>
      <c r="ADJ335" s="9"/>
      <c r="ADK335" s="9"/>
      <c r="ADL335" s="9"/>
      <c r="ADM335" s="9"/>
      <c r="ADN335" s="9"/>
      <c r="ADO335" s="9"/>
      <c r="ADP335" s="9"/>
      <c r="ADQ335" s="9"/>
      <c r="ADR335" s="9"/>
      <c r="ADS335" s="9"/>
      <c r="ADT335" s="9"/>
      <c r="ADU335" s="9"/>
      <c r="ADV335" s="9"/>
      <c r="ADW335" s="9"/>
      <c r="ADX335" s="9"/>
      <c r="ADY335" s="9"/>
      <c r="ADZ335" s="9"/>
      <c r="AEA335" s="9"/>
      <c r="AEB335" s="9"/>
      <c r="AEC335" s="9"/>
      <c r="AED335" s="9"/>
      <c r="AEE335" s="9"/>
      <c r="AEF335" s="9"/>
      <c r="AEG335" s="9"/>
      <c r="AEH335" s="9"/>
      <c r="AEI335" s="9"/>
      <c r="AEJ335" s="9"/>
      <c r="AEK335" s="9"/>
      <c r="AEL335" s="9"/>
      <c r="AEM335" s="9"/>
      <c r="AEN335" s="9"/>
      <c r="AEO335" s="9"/>
      <c r="AEP335" s="9"/>
      <c r="AEQ335" s="9"/>
      <c r="AER335" s="9"/>
      <c r="AES335" s="9"/>
      <c r="AET335" s="9"/>
      <c r="AEU335" s="9"/>
      <c r="AEV335" s="9"/>
      <c r="AEW335" s="9"/>
      <c r="AEX335" s="9"/>
      <c r="AEY335" s="9"/>
      <c r="AEZ335" s="9"/>
      <c r="AFA335" s="9"/>
      <c r="AFB335" s="9"/>
      <c r="AFC335" s="9"/>
      <c r="AFD335" s="9"/>
      <c r="AFE335" s="9"/>
      <c r="AFF335" s="9"/>
      <c r="AFG335" s="9"/>
      <c r="AFH335" s="9"/>
      <c r="AFI335" s="9"/>
      <c r="AFJ335" s="9"/>
      <c r="AFK335" s="9"/>
      <c r="AFL335" s="9"/>
      <c r="AFM335" s="9"/>
      <c r="AFN335" s="9"/>
      <c r="AFO335" s="9"/>
      <c r="AFP335" s="9"/>
      <c r="AFQ335" s="9"/>
      <c r="AFR335" s="9"/>
      <c r="AFS335" s="9"/>
      <c r="AFT335" s="9"/>
      <c r="AFU335" s="9"/>
      <c r="AFV335" s="9"/>
      <c r="AFW335" s="9"/>
      <c r="AFX335" s="9"/>
      <c r="AFY335" s="9"/>
      <c r="AFZ335" s="9"/>
      <c r="AGA335" s="9"/>
      <c r="AGB335" s="9"/>
      <c r="AGC335" s="9"/>
      <c r="AGD335" s="9"/>
      <c r="AGE335" s="9"/>
      <c r="AGF335" s="9"/>
      <c r="AGG335" s="9"/>
      <c r="AGH335" s="9"/>
      <c r="AGI335" s="9"/>
      <c r="AGJ335" s="9"/>
      <c r="AGK335" s="9"/>
      <c r="AGL335" s="9"/>
      <c r="AGM335" s="9"/>
      <c r="AGN335" s="9"/>
      <c r="AGO335" s="9"/>
      <c r="AGP335" s="9"/>
      <c r="AGQ335" s="9"/>
      <c r="AGR335" s="9"/>
      <c r="AGS335" s="9"/>
      <c r="AGT335" s="9"/>
      <c r="AGU335" s="9"/>
      <c r="AGV335" s="9"/>
      <c r="AGW335" s="9"/>
      <c r="AGX335" s="9"/>
      <c r="AGY335" s="9"/>
      <c r="AGZ335" s="9"/>
      <c r="AHA335" s="9"/>
      <c r="AHB335" s="9"/>
      <c r="AHC335" s="9"/>
      <c r="AHD335" s="9"/>
      <c r="AHE335" s="9"/>
      <c r="AHF335" s="9"/>
      <c r="AHG335" s="9"/>
      <c r="AHH335" s="9"/>
      <c r="AHI335" s="9"/>
      <c r="AHJ335" s="9"/>
      <c r="AHK335" s="9"/>
      <c r="AHL335" s="9"/>
      <c r="AHM335" s="9"/>
      <c r="AHN335" s="9"/>
      <c r="AHO335" s="9"/>
      <c r="AHP335" s="9"/>
      <c r="AHQ335" s="9"/>
      <c r="AHR335" s="9"/>
      <c r="AHS335" s="9"/>
      <c r="AHT335" s="9"/>
      <c r="AHU335" s="9"/>
      <c r="AHV335" s="9"/>
      <c r="AHW335" s="9"/>
      <c r="AHX335" s="9"/>
      <c r="AHY335" s="9"/>
      <c r="AHZ335" s="9"/>
      <c r="AIA335" s="9"/>
      <c r="AIB335" s="9"/>
      <c r="AIC335" s="9"/>
      <c r="AID335" s="9"/>
      <c r="AIE335" s="9"/>
      <c r="AIF335" s="9"/>
      <c r="AIG335" s="9"/>
      <c r="AIH335" s="9"/>
      <c r="AII335" s="9"/>
      <c r="AIJ335" s="9"/>
      <c r="AIK335" s="9"/>
      <c r="AIL335" s="9"/>
      <c r="AIM335" s="9"/>
      <c r="AIN335" s="9"/>
      <c r="AIO335" s="9"/>
      <c r="AIP335" s="9"/>
      <c r="AIQ335" s="9"/>
      <c r="AIR335" s="9"/>
      <c r="AIS335" s="9"/>
      <c r="AIT335" s="9"/>
      <c r="AIU335" s="9"/>
      <c r="AIV335" s="9"/>
      <c r="AIW335" s="9"/>
      <c r="AIX335" s="9"/>
      <c r="AIY335" s="9"/>
      <c r="AIZ335" s="9"/>
      <c r="AJA335" s="9"/>
      <c r="AJB335" s="9"/>
      <c r="AJC335" s="9"/>
      <c r="AJD335" s="9"/>
      <c r="AJE335" s="9"/>
      <c r="AJF335" s="9"/>
      <c r="AJG335" s="9"/>
      <c r="AJH335" s="9"/>
      <c r="AJI335" s="9"/>
      <c r="AJJ335" s="9"/>
      <c r="AJK335" s="9"/>
      <c r="AJL335" s="9"/>
      <c r="AJM335" s="9"/>
      <c r="AJN335" s="9"/>
      <c r="AJO335" s="9"/>
      <c r="AJP335" s="9"/>
      <c r="AJQ335" s="9"/>
      <c r="AJR335" s="9"/>
      <c r="AJS335" s="9"/>
      <c r="AJT335" s="9"/>
      <c r="AJU335" s="9"/>
      <c r="AJV335" s="9"/>
      <c r="AJW335" s="9"/>
      <c r="AJX335" s="9"/>
      <c r="AJY335" s="9"/>
      <c r="AJZ335" s="9"/>
      <c r="AKA335" s="9"/>
      <c r="AKB335" s="9"/>
      <c r="AKC335" s="9"/>
      <c r="AKD335" s="9"/>
      <c r="AKE335" s="9"/>
      <c r="AKF335" s="9"/>
      <c r="AKG335" s="9"/>
      <c r="AKH335" s="9"/>
      <c r="AKI335" s="9"/>
      <c r="AKJ335" s="9"/>
      <c r="AKK335" s="9"/>
      <c r="AKL335" s="9"/>
      <c r="AKM335" s="9"/>
      <c r="AKN335" s="9"/>
      <c r="AKO335" s="9"/>
      <c r="AKP335" s="9"/>
      <c r="AKQ335" s="9"/>
      <c r="AKR335" s="9"/>
      <c r="AKS335" s="9"/>
      <c r="AKT335" s="9"/>
      <c r="AKU335" s="9"/>
      <c r="AKV335" s="9"/>
      <c r="AKW335" s="9"/>
      <c r="AKX335" s="9"/>
      <c r="AKY335" s="9"/>
      <c r="AKZ335" s="9"/>
      <c r="ALA335" s="9"/>
      <c r="ALB335" s="9"/>
      <c r="ALC335" s="9"/>
      <c r="ALD335" s="9"/>
      <c r="ALE335" s="9"/>
      <c r="ALF335" s="9"/>
      <c r="ALG335" s="9"/>
      <c r="ALH335" s="9"/>
      <c r="ALI335" s="9"/>
      <c r="ALJ335" s="9"/>
      <c r="ALK335" s="9"/>
      <c r="ALL335" s="9"/>
      <c r="ALM335" s="9"/>
      <c r="ALN335" s="9"/>
      <c r="ALO335" s="9"/>
      <c r="ALP335" s="9"/>
      <c r="ALQ335" s="9"/>
      <c r="ALR335" s="9"/>
      <c r="ALS335" s="9"/>
      <c r="ALT335" s="9"/>
      <c r="ALU335" s="9"/>
      <c r="ALV335" s="9"/>
      <c r="ALW335" s="9"/>
      <c r="ALX335" s="9"/>
      <c r="ALY335" s="9"/>
      <c r="ALZ335" s="9"/>
      <c r="AMA335" s="9"/>
      <c r="AMB335" s="9"/>
      <c r="AMC335" s="9"/>
      <c r="AMD335" s="9"/>
      <c r="AME335" s="9"/>
      <c r="AMF335" s="9"/>
      <c r="AMG335" s="9"/>
      <c r="AMH335" s="9"/>
      <c r="AMI335" s="9"/>
      <c r="AMJ335" s="9"/>
      <c r="AMK335" s="9"/>
      <c r="AML335" s="9"/>
      <c r="AMM335" s="9"/>
      <c r="AMN335" s="9"/>
      <c r="AMO335" s="9"/>
      <c r="AMP335" s="9"/>
    </row>
    <row r="336" spans="1:1030" s="12" customFormat="1" x14ac:dyDescent="0.2">
      <c r="A336" s="9" t="str">
        <f>CONCATENATE(B336,"_",C336)</f>
        <v>fzd4_human__wt</v>
      </c>
      <c r="B336" s="9" t="s">
        <v>450</v>
      </c>
      <c r="C336" s="9" t="s">
        <v>100</v>
      </c>
      <c r="D336" s="9" t="str">
        <f>IFERROR(MID(VLOOKUP($B336,Seqs!$A:$B,2,0),E336,1),"")</f>
        <v>S</v>
      </c>
      <c r="E336" s="9">
        <v>212</v>
      </c>
      <c r="F336" s="9" t="str">
        <f>IFERROR(MID(VLOOKUP($B336,Seqs!$A:$B,2,0),G336,1),"")</f>
        <v>D</v>
      </c>
      <c r="G336" s="9">
        <v>244</v>
      </c>
      <c r="H336" s="9" t="str">
        <f>IFERROR(MID(VLOOKUP($B336,Seqs!$A:$B,2,0),I336,1),"")</f>
        <v>S</v>
      </c>
      <c r="I336" s="109">
        <v>245</v>
      </c>
      <c r="J336" s="9" t="str">
        <f>IFERROR(MID(VLOOKUP($B336,Seqs!$A:$B,2,0),K336,1),"")</f>
        <v>S</v>
      </c>
      <c r="K336" s="109">
        <v>249</v>
      </c>
      <c r="L336" s="9" t="str">
        <f>IFERROR(MID(VLOOKUP($B336,Seqs!$A:$B,2,0),M336,1),"")</f>
        <v>Y</v>
      </c>
      <c r="M336" s="9">
        <v>250</v>
      </c>
      <c r="N336" s="9" t="str">
        <f>IFERROR(MID(VLOOKUP($B336,Seqs!$A:$B,2,0),O336,1),"")</f>
        <v>G</v>
      </c>
      <c r="O336" s="9">
        <v>276</v>
      </c>
      <c r="P336" s="9" t="str">
        <f>IFERROR(MID(VLOOKUP($B336,Seqs!$A:$B,2,0),Q336,1),"")</f>
        <v/>
      </c>
      <c r="Q336" s="9" t="s">
        <v>23</v>
      </c>
      <c r="R336" s="9" t="str">
        <f>IFERROR(MID(VLOOKUP($B336,Seqs!$A:$B,2,0),S336,1),"")</f>
        <v/>
      </c>
      <c r="S336" s="9" t="s">
        <v>23</v>
      </c>
      <c r="T336" s="9" t="str">
        <f>IFERROR(MID(VLOOKUP($B336,Seqs!$A:$B,2,0),U336,1),"")</f>
        <v>N</v>
      </c>
      <c r="U336" s="9">
        <v>299</v>
      </c>
      <c r="V336" s="9" t="str">
        <f>IFERROR(MID(VLOOKUP($B336,Seqs!$A:$B,2,0),W336,1),"")</f>
        <v>G</v>
      </c>
      <c r="W336" s="9">
        <v>332</v>
      </c>
      <c r="X336" s="9" t="str">
        <f>IFERROR(MID(VLOOKUP($B336,Seqs!$A:$B,2,0),Y336,1),"")</f>
        <v/>
      </c>
      <c r="Y336" s="9" t="s">
        <v>23</v>
      </c>
      <c r="Z336" s="9" t="str">
        <f>IFERROR(MID(VLOOKUP($B336,Seqs!$A:$B,2,0),AA336,1),"")</f>
        <v/>
      </c>
      <c r="AA336" s="9" t="s">
        <v>23</v>
      </c>
      <c r="AB336" s="9" t="str">
        <f>IFERROR(MID(VLOOKUP($B336,Seqs!$A:$B,2,0),AC336,1),"")</f>
        <v>H</v>
      </c>
      <c r="AC336" s="9">
        <v>343</v>
      </c>
      <c r="AD336" s="9" t="str">
        <f>IFERROR(MID(VLOOKUP($B336,Seqs!$A:$B,2,0),AE336,1),"")</f>
        <v>R</v>
      </c>
      <c r="AE336" s="9">
        <v>366</v>
      </c>
      <c r="AF336" s="9" t="str">
        <f>IFERROR(MID(VLOOKUP($B336,Seqs!$A:$B,2,0),AG336,1),"")</f>
        <v>C</v>
      </c>
      <c r="AG336" s="9">
        <v>377</v>
      </c>
      <c r="AH336" s="9" t="str">
        <f>IFERROR(MID(VLOOKUP($B336,Seqs!$A:$B,2,0),AI336,1),"")</f>
        <v>V</v>
      </c>
      <c r="AI336" s="9">
        <v>379</v>
      </c>
      <c r="AJ336" s="9" t="str">
        <f>IFERROR(MID(VLOOKUP($B336,Seqs!$A:$B,2,0),AK336,1),"")</f>
        <v>N</v>
      </c>
      <c r="AK336" s="9">
        <v>383</v>
      </c>
      <c r="AL336" s="9" t="str">
        <f>IFERROR(MID(VLOOKUP($B336,Seqs!$A:$B,2,0),AM336,1),"")</f>
        <v>L</v>
      </c>
      <c r="AM336" s="9">
        <v>420</v>
      </c>
      <c r="AN336" s="9" t="str">
        <f>IFERROR(MID(VLOOKUP($B336,Seqs!$A:$B,2,0),AO336,1),"")</f>
        <v>E</v>
      </c>
      <c r="AO336" s="9">
        <v>431</v>
      </c>
      <c r="AP336" s="9" t="str">
        <f>IFERROR(MID(VLOOKUP($B336,Seqs!$A:$B,2,0),AQ336,1),"")</f>
        <v>N</v>
      </c>
      <c r="AQ336" s="9">
        <v>461</v>
      </c>
      <c r="AR336" s="9" t="str">
        <f>IFERROR(MID(VLOOKUP($B336,Seqs!$A:$B,2,0),AS336,1),"")</f>
        <v>N</v>
      </c>
      <c r="AS336" s="9">
        <v>473</v>
      </c>
      <c r="AT336" s="9" t="str">
        <f>IFERROR(MID(VLOOKUP($B336,Seqs!$A:$B,2,0),AU336,1),"")</f>
        <v>W</v>
      </c>
      <c r="AU336" s="9">
        <v>496</v>
      </c>
      <c r="AV336" s="9" t="str">
        <f>IFERROR(MID(VLOOKUP($B336,Seqs!$A:$B,2,0),AW336,1),"")</f>
        <v>S</v>
      </c>
      <c r="AW336" s="9">
        <v>497</v>
      </c>
      <c r="AX336" s="9" t="str">
        <f>IFERROR(MID(VLOOKUP($B336,Seqs!$A:$B,2,0),AY336,1),"")</f>
        <v>V</v>
      </c>
      <c r="AY336" s="9">
        <v>512</v>
      </c>
      <c r="AZ336" s="110" t="str">
        <f>VLOOKUP(B336,Classification!A:D,2,0)</f>
        <v>F</v>
      </c>
      <c r="BA336" s="98" t="str">
        <f>VLOOKUP(B336,Classification!A:D,4,0)</f>
        <v>Frizzled</v>
      </c>
      <c r="BB336" s="36" t="b">
        <f t="shared" ref="BB336:BB337" si="1649">AND(E336&lt;G336,OR(G336&lt;I336,I336="-"),OR(I336&lt;K336,I336="-"),OR(K336&lt;M336,K336="-"),M336&lt;O336,OR(O336&lt;Q336,Q336="-"),OR(Q336&lt;S336,Q336="-"),OR(S336&lt;U336,S336="-"),U336&lt;W336,OR(W336&lt;Y336,Y336="-"),OR(Y336&lt;AA336,Y336="-"),OR(AA336&lt;AC336,AA336="-"),AC336&lt;AE336,OR(AE336&lt;AG336,AG336="-"),OR(AG336&lt;AI336,AG336="-"),OR(AI336&lt;AK336,AI336="-"),AK336&lt;AM336,AM336&lt;AO336,AO336&lt;AQ336,AQ336&lt;AS336,AS336&lt;AU336,OR(AU336&lt;AW336,AW336="-"),OR(AW336&lt;AY336,AW336="-"))</f>
        <v>1</v>
      </c>
      <c r="BC336" s="109">
        <f t="shared" ref="BC336:BC337" si="1650">_xlfn.AGGREGATE(9,6,CH336:CS336)-_xlfn.AGGREGATE(9,6,BV336:CG336)+12</f>
        <v>237</v>
      </c>
      <c r="BD336" s="11" t="s">
        <v>23</v>
      </c>
      <c r="BE336" s="9" t="s">
        <v>23</v>
      </c>
      <c r="BF336" s="120" t="s">
        <v>23</v>
      </c>
      <c r="BG336" s="51" t="s">
        <v>23</v>
      </c>
      <c r="BH336" s="51" t="s">
        <v>23</v>
      </c>
      <c r="BI336" s="9"/>
      <c r="BJ336" s="111" t="s">
        <v>1293</v>
      </c>
      <c r="BK336" s="112" t="s">
        <v>1293</v>
      </c>
      <c r="BL336" s="112" t="s">
        <v>1293</v>
      </c>
      <c r="BM336" s="112" t="s">
        <v>1293</v>
      </c>
      <c r="BN336" s="112" t="s">
        <v>1293</v>
      </c>
      <c r="BO336" s="112" t="s">
        <v>1293</v>
      </c>
      <c r="BP336" s="112" t="s">
        <v>1293</v>
      </c>
      <c r="BQ336" s="112" t="s">
        <v>1293</v>
      </c>
      <c r="BR336" s="112" t="s">
        <v>1293</v>
      </c>
      <c r="BS336" s="112" t="s">
        <v>1293</v>
      </c>
      <c r="BT336" s="112" t="s">
        <v>1293</v>
      </c>
      <c r="BU336" s="112" t="s">
        <v>1293</v>
      </c>
      <c r="BV336" s="111">
        <f t="shared" ref="BV336:BV337" si="1651">E336</f>
        <v>212</v>
      </c>
      <c r="BW336" s="113">
        <f t="shared" ref="BW336:BW337" si="1652">I336</f>
        <v>245</v>
      </c>
      <c r="BX336" s="114">
        <f t="shared" ref="BX336:BX337" si="1653">M336</f>
        <v>250</v>
      </c>
      <c r="BY336" s="113" t="str">
        <f t="shared" ref="BY336:BY337" si="1654">Q336</f>
        <v>-</v>
      </c>
      <c r="BZ336" s="114">
        <f t="shared" ref="BZ336:BZ337" si="1655">U336</f>
        <v>299</v>
      </c>
      <c r="CA336" s="113" t="str">
        <f t="shared" ref="CA336:CA337" si="1656">Y336</f>
        <v>-</v>
      </c>
      <c r="CB336" s="114">
        <f t="shared" ref="CB336:CB337" si="1657">AC336</f>
        <v>343</v>
      </c>
      <c r="CC336" s="113">
        <f t="shared" ref="CC336:CC337" si="1658">AG336</f>
        <v>377</v>
      </c>
      <c r="CD336" s="114">
        <f t="shared" ref="CD336:CD337" si="1659">AK336</f>
        <v>383</v>
      </c>
      <c r="CE336" s="113">
        <f t="shared" ref="CE336:CE337" si="1660">AO336</f>
        <v>431</v>
      </c>
      <c r="CF336" s="114">
        <f t="shared" ref="CF336:CF337" si="1661">AS336</f>
        <v>473</v>
      </c>
      <c r="CG336" s="113">
        <f t="shared" ref="CG336:CG337" si="1662">AW336</f>
        <v>497</v>
      </c>
      <c r="CH336" s="111">
        <f t="shared" ref="CH336:CH337" si="1663">G336</f>
        <v>244</v>
      </c>
      <c r="CI336" s="113">
        <f t="shared" ref="CI336:CI337" si="1664">K336</f>
        <v>249</v>
      </c>
      <c r="CJ336" s="114">
        <f t="shared" ref="CJ336:CJ337" si="1665">O336</f>
        <v>276</v>
      </c>
      <c r="CK336" s="114" t="str">
        <f t="shared" ref="CK336:CK337" si="1666">S336</f>
        <v>-</v>
      </c>
      <c r="CL336" s="114">
        <f t="shared" ref="CL336:CL337" si="1667">W336</f>
        <v>332</v>
      </c>
      <c r="CM336" s="114" t="str">
        <f t="shared" ref="CM336:CM337" si="1668">AA336</f>
        <v>-</v>
      </c>
      <c r="CN336" s="114">
        <f t="shared" ref="CN336:CN337" si="1669">AE336</f>
        <v>366</v>
      </c>
      <c r="CO336" s="114">
        <f t="shared" ref="CO336:CO337" si="1670">AI336</f>
        <v>379</v>
      </c>
      <c r="CP336" s="114">
        <f t="shared" ref="CP336:CP337" si="1671">AM336</f>
        <v>420</v>
      </c>
      <c r="CQ336" s="114">
        <f t="shared" ref="CQ336:CQ337" si="1672">AQ336</f>
        <v>461</v>
      </c>
      <c r="CR336" s="114">
        <f t="shared" ref="CR336:CR337" si="1673">AU336</f>
        <v>496</v>
      </c>
      <c r="CS336" s="114">
        <f t="shared" ref="CS336:CS337" si="1674">AY336</f>
        <v>512</v>
      </c>
      <c r="CT336" s="109">
        <f t="shared" ref="CT336:CT337" si="1675">M336-K336</f>
        <v>1</v>
      </c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/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9"/>
      <c r="JE336" s="9"/>
      <c r="JF336" s="9"/>
      <c r="JG336" s="9"/>
      <c r="JH336" s="9"/>
      <c r="JI336" s="9"/>
      <c r="JJ336" s="9"/>
      <c r="JK336" s="9"/>
      <c r="JL336" s="9"/>
      <c r="JM336" s="9"/>
      <c r="JN336" s="9"/>
      <c r="JO336" s="9"/>
      <c r="JP336" s="9"/>
      <c r="JQ336" s="9"/>
      <c r="JR336" s="9"/>
      <c r="JS336" s="9"/>
      <c r="JT336" s="9"/>
      <c r="JU336" s="9"/>
      <c r="JV336" s="9"/>
      <c r="JW336" s="9"/>
      <c r="JX336" s="9"/>
      <c r="JY336" s="9"/>
      <c r="JZ336" s="9"/>
      <c r="KA336" s="9"/>
      <c r="KB336" s="9"/>
      <c r="KC336" s="9"/>
      <c r="KD336" s="9"/>
      <c r="KE336" s="9"/>
      <c r="KF336" s="9"/>
      <c r="KG336" s="9"/>
      <c r="KH336" s="9"/>
      <c r="KI336" s="9"/>
      <c r="KJ336" s="9"/>
      <c r="KK336" s="9"/>
      <c r="KL336" s="9"/>
      <c r="KM336" s="9"/>
      <c r="KN336" s="9"/>
      <c r="KO336" s="9"/>
      <c r="KP336" s="9"/>
      <c r="KQ336" s="9"/>
      <c r="KR336" s="9"/>
      <c r="KS336" s="9"/>
      <c r="KT336" s="9"/>
      <c r="KU336" s="9"/>
      <c r="KV336" s="9"/>
      <c r="KW336" s="9"/>
      <c r="KX336" s="9"/>
      <c r="KY336" s="9"/>
      <c r="KZ336" s="9"/>
      <c r="LA336" s="9"/>
      <c r="LB336" s="9"/>
      <c r="LC336" s="9"/>
      <c r="LD336" s="9"/>
      <c r="LE336" s="9"/>
      <c r="LF336" s="9"/>
      <c r="LG336" s="9"/>
      <c r="LH336" s="9"/>
      <c r="LI336" s="9"/>
      <c r="LJ336" s="9"/>
      <c r="LK336" s="9"/>
      <c r="LL336" s="9"/>
      <c r="LM336" s="9"/>
      <c r="LN336" s="9"/>
      <c r="LO336" s="9"/>
      <c r="LP336" s="9"/>
      <c r="LQ336" s="9"/>
      <c r="LR336" s="9"/>
      <c r="LS336" s="9"/>
      <c r="LT336" s="9"/>
      <c r="LU336" s="9"/>
      <c r="LV336" s="9"/>
      <c r="LW336" s="9"/>
      <c r="LX336" s="9"/>
      <c r="LY336" s="9"/>
      <c r="LZ336" s="9"/>
      <c r="MA336" s="9"/>
      <c r="MB336" s="9"/>
      <c r="MC336" s="9"/>
      <c r="MD336" s="9"/>
      <c r="ME336" s="9"/>
      <c r="MF336" s="9"/>
      <c r="MG336" s="9"/>
      <c r="MH336" s="9"/>
      <c r="MI336" s="9"/>
      <c r="MJ336" s="9"/>
      <c r="MK336" s="9"/>
      <c r="ML336" s="9"/>
      <c r="MM336" s="9"/>
      <c r="MN336" s="9"/>
      <c r="MO336" s="9"/>
      <c r="MP336" s="9"/>
      <c r="MQ336" s="9"/>
      <c r="MR336" s="9"/>
      <c r="MS336" s="9"/>
      <c r="MT336" s="9"/>
      <c r="MU336" s="9"/>
      <c r="MV336" s="9"/>
      <c r="MW336" s="9"/>
      <c r="MX336" s="9"/>
      <c r="MY336" s="9"/>
      <c r="MZ336" s="9"/>
      <c r="NA336" s="9"/>
      <c r="NB336" s="9"/>
      <c r="NC336" s="9"/>
      <c r="ND336" s="9"/>
      <c r="NE336" s="9"/>
      <c r="NF336" s="9"/>
      <c r="NG336" s="9"/>
      <c r="NH336" s="9"/>
      <c r="NI336" s="9"/>
      <c r="NJ336" s="9"/>
      <c r="NK336" s="9"/>
      <c r="NL336" s="9"/>
      <c r="NM336" s="9"/>
      <c r="NN336" s="9"/>
      <c r="NO336" s="9"/>
      <c r="NP336" s="9"/>
      <c r="NQ336" s="9"/>
      <c r="NR336" s="9"/>
      <c r="NS336" s="9"/>
      <c r="NT336" s="9"/>
      <c r="NU336" s="9"/>
      <c r="NV336" s="9"/>
      <c r="NW336" s="9"/>
      <c r="NX336" s="9"/>
      <c r="NY336" s="9"/>
      <c r="NZ336" s="9"/>
      <c r="OA336" s="9"/>
      <c r="OB336" s="9"/>
      <c r="OC336" s="9"/>
      <c r="OD336" s="9"/>
      <c r="OE336" s="9"/>
      <c r="OF336" s="9"/>
      <c r="OG336" s="9"/>
      <c r="OH336" s="9"/>
      <c r="OI336" s="9"/>
      <c r="OJ336" s="9"/>
      <c r="OK336" s="9"/>
      <c r="OL336" s="9"/>
      <c r="OM336" s="9"/>
      <c r="ON336" s="9"/>
      <c r="OO336" s="9"/>
      <c r="OP336" s="9"/>
      <c r="OQ336" s="9"/>
      <c r="OR336" s="9"/>
      <c r="OS336" s="9"/>
      <c r="OT336" s="9"/>
      <c r="OU336" s="9"/>
      <c r="OV336" s="9"/>
      <c r="OW336" s="9"/>
      <c r="OX336" s="9"/>
      <c r="OY336" s="9"/>
      <c r="OZ336" s="9"/>
      <c r="PA336" s="9"/>
      <c r="PB336" s="9"/>
      <c r="PC336" s="9"/>
      <c r="PD336" s="9"/>
      <c r="PE336" s="9"/>
      <c r="PF336" s="9"/>
      <c r="PG336" s="9"/>
      <c r="PH336" s="9"/>
      <c r="PI336" s="9"/>
      <c r="PJ336" s="9"/>
      <c r="PK336" s="9"/>
      <c r="PL336" s="9"/>
      <c r="PM336" s="9"/>
      <c r="PN336" s="9"/>
      <c r="PO336" s="9"/>
      <c r="PP336" s="9"/>
      <c r="PQ336" s="9"/>
      <c r="PR336" s="9"/>
      <c r="PS336" s="9"/>
      <c r="PT336" s="9"/>
      <c r="PU336" s="9"/>
      <c r="PV336" s="9"/>
      <c r="PW336" s="9"/>
      <c r="PX336" s="9"/>
      <c r="PY336" s="9"/>
      <c r="PZ336" s="9"/>
      <c r="QA336" s="9"/>
      <c r="QB336" s="9"/>
      <c r="QC336" s="9"/>
      <c r="QD336" s="9"/>
      <c r="QE336" s="9"/>
      <c r="QF336" s="9"/>
      <c r="QG336" s="9"/>
      <c r="QH336" s="9"/>
      <c r="QI336" s="9"/>
      <c r="QJ336" s="9"/>
      <c r="QK336" s="9"/>
      <c r="QL336" s="9"/>
      <c r="QM336" s="9"/>
      <c r="QN336" s="9"/>
      <c r="QO336" s="9"/>
      <c r="QP336" s="9"/>
      <c r="QQ336" s="9"/>
      <c r="QR336" s="9"/>
      <c r="QS336" s="9"/>
      <c r="QT336" s="9"/>
      <c r="QU336" s="9"/>
      <c r="QV336" s="9"/>
      <c r="QW336" s="9"/>
      <c r="QX336" s="9"/>
      <c r="QY336" s="9"/>
      <c r="QZ336" s="9"/>
      <c r="RA336" s="9"/>
      <c r="RB336" s="9"/>
      <c r="RC336" s="9"/>
      <c r="RD336" s="9"/>
      <c r="RE336" s="9"/>
      <c r="RF336" s="9"/>
      <c r="RG336" s="9"/>
      <c r="RH336" s="9"/>
      <c r="RI336" s="9"/>
      <c r="RJ336" s="9"/>
      <c r="RK336" s="9"/>
      <c r="RL336" s="9"/>
      <c r="RM336" s="9"/>
      <c r="RN336" s="9"/>
      <c r="RO336" s="9"/>
      <c r="RP336" s="9"/>
      <c r="RQ336" s="9"/>
      <c r="RR336" s="9"/>
      <c r="RS336" s="9"/>
      <c r="RT336" s="9"/>
      <c r="RU336" s="9"/>
      <c r="RV336" s="9"/>
      <c r="RW336" s="9"/>
      <c r="RX336" s="9"/>
      <c r="RY336" s="9"/>
      <c r="RZ336" s="9"/>
      <c r="SA336" s="9"/>
      <c r="SB336" s="9"/>
      <c r="SC336" s="9"/>
      <c r="SD336" s="9"/>
      <c r="SE336" s="9"/>
      <c r="SF336" s="9"/>
      <c r="SG336" s="9"/>
      <c r="SH336" s="9"/>
      <c r="SI336" s="9"/>
      <c r="SJ336" s="9"/>
      <c r="SK336" s="9"/>
      <c r="SL336" s="9"/>
      <c r="SM336" s="9"/>
      <c r="SN336" s="9"/>
      <c r="SO336" s="9"/>
      <c r="SP336" s="9"/>
      <c r="SQ336" s="9"/>
      <c r="SR336" s="9"/>
      <c r="SS336" s="9"/>
      <c r="ST336" s="9"/>
      <c r="SU336" s="9"/>
      <c r="SV336" s="9"/>
      <c r="SW336" s="9"/>
      <c r="SX336" s="9"/>
      <c r="SY336" s="9"/>
      <c r="SZ336" s="9"/>
      <c r="TA336" s="9"/>
      <c r="TB336" s="9"/>
      <c r="TC336" s="9"/>
      <c r="TD336" s="9"/>
      <c r="TE336" s="9"/>
      <c r="TF336" s="9"/>
      <c r="TG336" s="9"/>
      <c r="TH336" s="9"/>
      <c r="TI336" s="9"/>
      <c r="TJ336" s="9"/>
      <c r="TK336" s="9"/>
      <c r="TL336" s="9"/>
      <c r="TM336" s="9"/>
      <c r="TN336" s="9"/>
      <c r="TO336" s="9"/>
      <c r="TP336" s="9"/>
      <c r="TQ336" s="9"/>
      <c r="TR336" s="9"/>
      <c r="TS336" s="9"/>
      <c r="TT336" s="9"/>
      <c r="TU336" s="9"/>
      <c r="TV336" s="9"/>
      <c r="TW336" s="9"/>
      <c r="TX336" s="9"/>
      <c r="TY336" s="9"/>
      <c r="TZ336" s="9"/>
      <c r="UA336" s="9"/>
      <c r="UB336" s="9"/>
      <c r="UC336" s="9"/>
      <c r="UD336" s="9"/>
      <c r="UE336" s="9"/>
      <c r="UF336" s="9"/>
      <c r="UG336" s="9"/>
      <c r="UH336" s="9"/>
      <c r="UI336" s="9"/>
      <c r="UJ336" s="9"/>
      <c r="UK336" s="9"/>
      <c r="UL336" s="9"/>
      <c r="UM336" s="9"/>
      <c r="UN336" s="9"/>
      <c r="UO336" s="9"/>
      <c r="UP336" s="9"/>
      <c r="UQ336" s="9"/>
      <c r="UR336" s="9"/>
      <c r="US336" s="9"/>
      <c r="UT336" s="9"/>
      <c r="UU336" s="9"/>
      <c r="UV336" s="9"/>
      <c r="UW336" s="9"/>
      <c r="UX336" s="9"/>
      <c r="UY336" s="9"/>
      <c r="UZ336" s="9"/>
      <c r="VA336" s="9"/>
      <c r="VB336" s="9"/>
      <c r="VC336" s="9"/>
      <c r="VD336" s="9"/>
      <c r="VE336" s="9"/>
      <c r="VF336" s="9"/>
      <c r="VG336" s="9"/>
      <c r="VH336" s="9"/>
      <c r="VI336" s="9"/>
      <c r="VJ336" s="9"/>
      <c r="VK336" s="9"/>
      <c r="VL336" s="9"/>
      <c r="VM336" s="9"/>
      <c r="VN336" s="9"/>
      <c r="VO336" s="9"/>
      <c r="VP336" s="9"/>
      <c r="VQ336" s="9"/>
      <c r="VR336" s="9"/>
      <c r="VS336" s="9"/>
      <c r="VT336" s="9"/>
      <c r="VU336" s="9"/>
      <c r="VV336" s="9"/>
      <c r="VW336" s="9"/>
      <c r="VX336" s="9"/>
      <c r="VY336" s="9"/>
      <c r="VZ336" s="9"/>
      <c r="WA336" s="9"/>
      <c r="WB336" s="9"/>
      <c r="WC336" s="9"/>
      <c r="WD336" s="9"/>
      <c r="WE336" s="9"/>
      <c r="WF336" s="9"/>
      <c r="WG336" s="9"/>
      <c r="WH336" s="9"/>
      <c r="WI336" s="9"/>
      <c r="WJ336" s="9"/>
      <c r="WK336" s="9"/>
      <c r="WL336" s="9"/>
      <c r="WM336" s="9"/>
      <c r="WN336" s="9"/>
      <c r="WO336" s="9"/>
      <c r="WP336" s="9"/>
      <c r="WQ336" s="9"/>
      <c r="WR336" s="9"/>
      <c r="WS336" s="9"/>
      <c r="WT336" s="9"/>
      <c r="WU336" s="9"/>
      <c r="WV336" s="9"/>
      <c r="WW336" s="9"/>
      <c r="WX336" s="9"/>
      <c r="WY336" s="9"/>
      <c r="WZ336" s="9"/>
      <c r="XA336" s="9"/>
      <c r="XB336" s="9"/>
      <c r="XC336" s="9"/>
      <c r="XD336" s="9"/>
      <c r="XE336" s="9"/>
      <c r="XF336" s="9"/>
      <c r="XG336" s="9"/>
      <c r="XH336" s="9"/>
      <c r="XI336" s="9"/>
      <c r="XJ336" s="9"/>
      <c r="XK336" s="9"/>
      <c r="XL336" s="9"/>
      <c r="XM336" s="9"/>
      <c r="XN336" s="9"/>
      <c r="XO336" s="9"/>
      <c r="XP336" s="9"/>
      <c r="XQ336" s="9"/>
      <c r="XR336" s="9"/>
      <c r="XS336" s="9"/>
      <c r="XT336" s="9"/>
      <c r="XU336" s="9"/>
      <c r="XV336" s="9"/>
      <c r="XW336" s="9"/>
      <c r="XX336" s="9"/>
      <c r="XY336" s="9"/>
      <c r="XZ336" s="9"/>
      <c r="YA336" s="9"/>
      <c r="YB336" s="9"/>
      <c r="YC336" s="9"/>
      <c r="YD336" s="9"/>
      <c r="YE336" s="9"/>
      <c r="YF336" s="9"/>
      <c r="YG336" s="9"/>
      <c r="YH336" s="9"/>
      <c r="YI336" s="9"/>
      <c r="YJ336" s="9"/>
      <c r="YK336" s="9"/>
      <c r="YL336" s="9"/>
      <c r="YM336" s="9"/>
      <c r="YN336" s="9"/>
      <c r="YO336" s="9"/>
      <c r="YP336" s="9"/>
      <c r="YQ336" s="9"/>
      <c r="YR336" s="9"/>
      <c r="YS336" s="9"/>
      <c r="YT336" s="9"/>
      <c r="YU336" s="9"/>
      <c r="YV336" s="9"/>
      <c r="YW336" s="9"/>
      <c r="YX336" s="9"/>
      <c r="YY336" s="9"/>
      <c r="YZ336" s="9"/>
      <c r="ZA336" s="9"/>
      <c r="ZB336" s="9"/>
      <c r="ZC336" s="9"/>
      <c r="ZD336" s="9"/>
      <c r="ZE336" s="9"/>
      <c r="ZF336" s="9"/>
      <c r="ZG336" s="9"/>
      <c r="ZH336" s="9"/>
      <c r="ZI336" s="9"/>
      <c r="ZJ336" s="9"/>
      <c r="ZK336" s="9"/>
      <c r="ZL336" s="9"/>
      <c r="ZM336" s="9"/>
      <c r="ZN336" s="9"/>
      <c r="ZO336" s="9"/>
      <c r="ZP336" s="9"/>
      <c r="ZQ336" s="9"/>
      <c r="ZR336" s="9"/>
      <c r="ZS336" s="9"/>
      <c r="ZT336" s="9"/>
      <c r="ZU336" s="9"/>
      <c r="ZV336" s="9"/>
      <c r="ZW336" s="9"/>
      <c r="ZX336" s="9"/>
      <c r="ZY336" s="9"/>
      <c r="ZZ336" s="9"/>
      <c r="AAA336" s="9"/>
      <c r="AAB336" s="9"/>
      <c r="AAC336" s="9"/>
      <c r="AAD336" s="9"/>
      <c r="AAE336" s="9"/>
      <c r="AAF336" s="9"/>
      <c r="AAG336" s="9"/>
      <c r="AAH336" s="9"/>
      <c r="AAI336" s="9"/>
      <c r="AAJ336" s="9"/>
      <c r="AAK336" s="9"/>
      <c r="AAL336" s="9"/>
      <c r="AAM336" s="9"/>
      <c r="AAN336" s="9"/>
      <c r="AAO336" s="9"/>
      <c r="AAP336" s="9"/>
      <c r="AAQ336" s="9"/>
      <c r="AAR336" s="9"/>
      <c r="AAS336" s="9"/>
      <c r="AAT336" s="9"/>
      <c r="AAU336" s="9"/>
      <c r="AAV336" s="9"/>
      <c r="AAW336" s="9"/>
      <c r="AAX336" s="9"/>
      <c r="AAY336" s="9"/>
      <c r="AAZ336" s="9"/>
      <c r="ABA336" s="9"/>
      <c r="ABB336" s="9"/>
      <c r="ABC336" s="9"/>
      <c r="ABD336" s="9"/>
      <c r="ABE336" s="9"/>
      <c r="ABF336" s="9"/>
      <c r="ABG336" s="9"/>
      <c r="ABH336" s="9"/>
      <c r="ABI336" s="9"/>
      <c r="ABJ336" s="9"/>
      <c r="ABK336" s="9"/>
      <c r="ABL336" s="9"/>
      <c r="ABM336" s="9"/>
      <c r="ABN336" s="9"/>
      <c r="ABO336" s="9"/>
      <c r="ABP336" s="9"/>
      <c r="ABQ336" s="9"/>
      <c r="ABR336" s="9"/>
      <c r="ABS336" s="9"/>
      <c r="ABT336" s="9"/>
      <c r="ABU336" s="9"/>
      <c r="ABV336" s="9"/>
      <c r="ABW336" s="9"/>
      <c r="ABX336" s="9"/>
      <c r="ABY336" s="9"/>
      <c r="ABZ336" s="9"/>
      <c r="ACA336" s="9"/>
      <c r="ACB336" s="9"/>
      <c r="ACC336" s="9"/>
      <c r="ACD336" s="9"/>
      <c r="ACE336" s="9"/>
      <c r="ACF336" s="9"/>
      <c r="ACG336" s="9"/>
      <c r="ACH336" s="9"/>
      <c r="ACI336" s="9"/>
      <c r="ACJ336" s="9"/>
      <c r="ACK336" s="9"/>
      <c r="ACL336" s="9"/>
      <c r="ACM336" s="9"/>
      <c r="ACN336" s="9"/>
      <c r="ACO336" s="9"/>
      <c r="ACP336" s="9"/>
      <c r="ACQ336" s="9"/>
      <c r="ACR336" s="9"/>
      <c r="ACS336" s="9"/>
      <c r="ACT336" s="9"/>
      <c r="ACU336" s="9"/>
      <c r="ACV336" s="9"/>
      <c r="ACW336" s="9"/>
      <c r="ACX336" s="9"/>
      <c r="ACY336" s="9"/>
      <c r="ACZ336" s="9"/>
      <c r="ADA336" s="9"/>
      <c r="ADB336" s="9"/>
      <c r="ADC336" s="9"/>
      <c r="ADD336" s="9"/>
      <c r="ADE336" s="9"/>
      <c r="ADF336" s="9"/>
      <c r="ADG336" s="9"/>
      <c r="ADH336" s="9"/>
      <c r="ADI336" s="9"/>
      <c r="ADJ336" s="9"/>
      <c r="ADK336" s="9"/>
      <c r="ADL336" s="9"/>
      <c r="ADM336" s="9"/>
      <c r="ADN336" s="9"/>
      <c r="ADO336" s="9"/>
      <c r="ADP336" s="9"/>
      <c r="ADQ336" s="9"/>
      <c r="ADR336" s="9"/>
      <c r="ADS336" s="9"/>
      <c r="ADT336" s="9"/>
      <c r="ADU336" s="9"/>
      <c r="ADV336" s="9"/>
      <c r="ADW336" s="9"/>
      <c r="ADX336" s="9"/>
      <c r="ADY336" s="9"/>
      <c r="ADZ336" s="9"/>
      <c r="AEA336" s="9"/>
      <c r="AEB336" s="9"/>
      <c r="AEC336" s="9"/>
      <c r="AED336" s="9"/>
      <c r="AEE336" s="9"/>
      <c r="AEF336" s="9"/>
      <c r="AEG336" s="9"/>
      <c r="AEH336" s="9"/>
      <c r="AEI336" s="9"/>
      <c r="AEJ336" s="9"/>
      <c r="AEK336" s="9"/>
      <c r="AEL336" s="9"/>
      <c r="AEM336" s="9"/>
      <c r="AEN336" s="9"/>
      <c r="AEO336" s="9"/>
      <c r="AEP336" s="9"/>
      <c r="AEQ336" s="9"/>
      <c r="AER336" s="9"/>
      <c r="AES336" s="9"/>
      <c r="AET336" s="9"/>
      <c r="AEU336" s="9"/>
      <c r="AEV336" s="9"/>
      <c r="AEW336" s="9"/>
      <c r="AEX336" s="9"/>
      <c r="AEY336" s="9"/>
      <c r="AEZ336" s="9"/>
      <c r="AFA336" s="9"/>
      <c r="AFB336" s="9"/>
      <c r="AFC336" s="9"/>
      <c r="AFD336" s="9"/>
      <c r="AFE336" s="9"/>
      <c r="AFF336" s="9"/>
      <c r="AFG336" s="9"/>
      <c r="AFH336" s="9"/>
      <c r="AFI336" s="9"/>
      <c r="AFJ336" s="9"/>
      <c r="AFK336" s="9"/>
      <c r="AFL336" s="9"/>
      <c r="AFM336" s="9"/>
      <c r="AFN336" s="9"/>
      <c r="AFO336" s="9"/>
      <c r="AFP336" s="9"/>
      <c r="AFQ336" s="9"/>
      <c r="AFR336" s="9"/>
      <c r="AFS336" s="9"/>
      <c r="AFT336" s="9"/>
      <c r="AFU336" s="9"/>
      <c r="AFV336" s="9"/>
      <c r="AFW336" s="9"/>
      <c r="AFX336" s="9"/>
      <c r="AFY336" s="9"/>
      <c r="AFZ336" s="9"/>
      <c r="AGA336" s="9"/>
      <c r="AGB336" s="9"/>
      <c r="AGC336" s="9"/>
      <c r="AGD336" s="9"/>
      <c r="AGE336" s="9"/>
      <c r="AGF336" s="9"/>
      <c r="AGG336" s="9"/>
      <c r="AGH336" s="9"/>
      <c r="AGI336" s="9"/>
      <c r="AGJ336" s="9"/>
      <c r="AGK336" s="9"/>
      <c r="AGL336" s="9"/>
      <c r="AGM336" s="9"/>
      <c r="AGN336" s="9"/>
      <c r="AGO336" s="9"/>
      <c r="AGP336" s="9"/>
      <c r="AGQ336" s="9"/>
      <c r="AGR336" s="9"/>
      <c r="AGS336" s="9"/>
      <c r="AGT336" s="9"/>
      <c r="AGU336" s="9"/>
      <c r="AGV336" s="9"/>
      <c r="AGW336" s="9"/>
      <c r="AGX336" s="9"/>
      <c r="AGY336" s="9"/>
      <c r="AGZ336" s="9"/>
      <c r="AHA336" s="9"/>
      <c r="AHB336" s="9"/>
      <c r="AHC336" s="9"/>
      <c r="AHD336" s="9"/>
      <c r="AHE336" s="9"/>
      <c r="AHF336" s="9"/>
      <c r="AHG336" s="9"/>
      <c r="AHH336" s="9"/>
      <c r="AHI336" s="9"/>
      <c r="AHJ336" s="9"/>
      <c r="AHK336" s="9"/>
      <c r="AHL336" s="9"/>
      <c r="AHM336" s="9"/>
      <c r="AHN336" s="9"/>
      <c r="AHO336" s="9"/>
      <c r="AHP336" s="9"/>
      <c r="AHQ336" s="9"/>
      <c r="AHR336" s="9"/>
      <c r="AHS336" s="9"/>
      <c r="AHT336" s="9"/>
      <c r="AHU336" s="9"/>
      <c r="AHV336" s="9"/>
      <c r="AHW336" s="9"/>
      <c r="AHX336" s="9"/>
      <c r="AHY336" s="9"/>
      <c r="AHZ336" s="9"/>
      <c r="AIA336" s="9"/>
      <c r="AIB336" s="9"/>
      <c r="AIC336" s="9"/>
      <c r="AID336" s="9"/>
      <c r="AIE336" s="9"/>
      <c r="AIF336" s="9"/>
      <c r="AIG336" s="9"/>
      <c r="AIH336" s="9"/>
      <c r="AII336" s="9"/>
      <c r="AIJ336" s="9"/>
      <c r="AIK336" s="9"/>
      <c r="AIL336" s="9"/>
      <c r="AIM336" s="9"/>
      <c r="AIN336" s="9"/>
      <c r="AIO336" s="9"/>
      <c r="AIP336" s="9"/>
      <c r="AIQ336" s="9"/>
      <c r="AIR336" s="9"/>
      <c r="AIS336" s="9"/>
      <c r="AIT336" s="9"/>
      <c r="AIU336" s="9"/>
      <c r="AIV336" s="9"/>
      <c r="AIW336" s="9"/>
      <c r="AIX336" s="9"/>
      <c r="AIY336" s="9"/>
      <c r="AIZ336" s="9"/>
      <c r="AJA336" s="9"/>
      <c r="AJB336" s="9"/>
      <c r="AJC336" s="9"/>
      <c r="AJD336" s="9"/>
      <c r="AJE336" s="9"/>
      <c r="AJF336" s="9"/>
      <c r="AJG336" s="9"/>
      <c r="AJH336" s="9"/>
      <c r="AJI336" s="9"/>
      <c r="AJJ336" s="9"/>
      <c r="AJK336" s="9"/>
      <c r="AJL336" s="9"/>
      <c r="AJM336" s="9"/>
      <c r="AJN336" s="9"/>
      <c r="AJO336" s="9"/>
      <c r="AJP336" s="9"/>
      <c r="AJQ336" s="9"/>
      <c r="AJR336" s="9"/>
      <c r="AJS336" s="9"/>
      <c r="AJT336" s="9"/>
      <c r="AJU336" s="9"/>
      <c r="AJV336" s="9"/>
      <c r="AJW336" s="9"/>
      <c r="AJX336" s="9"/>
      <c r="AJY336" s="9"/>
      <c r="AJZ336" s="9"/>
      <c r="AKA336" s="9"/>
      <c r="AKB336" s="9"/>
      <c r="AKC336" s="9"/>
      <c r="AKD336" s="9"/>
      <c r="AKE336" s="9"/>
      <c r="AKF336" s="9"/>
      <c r="AKG336" s="9"/>
      <c r="AKH336" s="9"/>
      <c r="AKI336" s="9"/>
      <c r="AKJ336" s="9"/>
      <c r="AKK336" s="9"/>
      <c r="AKL336" s="9"/>
      <c r="AKM336" s="9"/>
      <c r="AKN336" s="9"/>
      <c r="AKO336" s="9"/>
      <c r="AKP336" s="9"/>
      <c r="AKQ336" s="9"/>
      <c r="AKR336" s="9"/>
      <c r="AKS336" s="9"/>
      <c r="AKT336" s="9"/>
      <c r="AKU336" s="9"/>
      <c r="AKV336" s="9"/>
      <c r="AKW336" s="9"/>
      <c r="AKX336" s="9"/>
      <c r="AKY336" s="9"/>
      <c r="AKZ336" s="9"/>
      <c r="ALA336" s="9"/>
      <c r="ALB336" s="9"/>
      <c r="ALC336" s="9"/>
      <c r="ALD336" s="9"/>
      <c r="ALE336" s="9"/>
      <c r="ALF336" s="9"/>
      <c r="ALG336" s="9"/>
      <c r="ALH336" s="9"/>
      <c r="ALI336" s="9"/>
      <c r="ALJ336" s="9"/>
      <c r="ALK336" s="9"/>
      <c r="ALL336" s="9"/>
      <c r="ALM336" s="9"/>
      <c r="ALN336" s="9"/>
      <c r="ALO336" s="9"/>
      <c r="ALP336" s="9"/>
      <c r="ALQ336" s="9"/>
      <c r="ALR336" s="9"/>
      <c r="ALS336" s="9"/>
      <c r="ALT336" s="9"/>
      <c r="ALU336" s="9"/>
      <c r="ALV336" s="9"/>
      <c r="ALW336" s="9"/>
      <c r="ALX336" s="9"/>
      <c r="ALY336" s="9"/>
      <c r="ALZ336" s="9"/>
      <c r="AMA336" s="9"/>
      <c r="AMB336" s="9"/>
      <c r="AMC336" s="9"/>
      <c r="AMD336" s="9"/>
      <c r="AME336" s="9"/>
      <c r="AMF336" s="9"/>
      <c r="AMG336" s="9"/>
      <c r="AMH336" s="9"/>
      <c r="AMI336" s="9"/>
      <c r="AMJ336" s="9"/>
      <c r="AMK336" s="9"/>
      <c r="AML336" s="9"/>
      <c r="AMM336" s="9"/>
      <c r="AMN336" s="9"/>
      <c r="AMO336" s="9"/>
      <c r="AMP336" s="9"/>
    </row>
    <row r="337" spans="1:1030" s="12" customFormat="1" x14ac:dyDescent="0.2">
      <c r="A337" s="9" t="str">
        <f t="shared" ref="A337" si="1676">CONCATENATE(B337,"_",C337)</f>
        <v>fzd4_human_6BD4</v>
      </c>
      <c r="B337" s="9" t="s">
        <v>450</v>
      </c>
      <c r="C337" s="9" t="s">
        <v>1578</v>
      </c>
      <c r="D337" s="9" t="str">
        <f>IFERROR(MID(VLOOKUP($B337,Seqs!$A:$B,2,0),E337,1),"")</f>
        <v>S</v>
      </c>
      <c r="E337" s="9">
        <v>212</v>
      </c>
      <c r="F337" s="9" t="str">
        <f>IFERROR(MID(VLOOKUP($B337,Seqs!$A:$B,2,0),G337,1),"")</f>
        <v>D</v>
      </c>
      <c r="G337" s="9">
        <v>244</v>
      </c>
      <c r="H337" s="9" t="str">
        <f>IFERROR(MID(VLOOKUP($B337,Seqs!$A:$B,2,0),I337,1),"")</f>
        <v>S</v>
      </c>
      <c r="I337" s="109">
        <v>245</v>
      </c>
      <c r="J337" s="9" t="str">
        <f>IFERROR(MID(VLOOKUP($B337,Seqs!$A:$B,2,0),K337,1),"")</f>
        <v>S</v>
      </c>
      <c r="K337" s="109">
        <v>249</v>
      </c>
      <c r="L337" s="9" t="str">
        <f>IFERROR(MID(VLOOKUP($B337,Seqs!$A:$B,2,0),M337,1),"")</f>
        <v>Y</v>
      </c>
      <c r="M337" s="9">
        <v>250</v>
      </c>
      <c r="N337" s="9" t="str">
        <f>IFERROR(MID(VLOOKUP($B337,Seqs!$A:$B,2,0),O337,1),"")</f>
        <v>G</v>
      </c>
      <c r="O337" s="9">
        <v>276</v>
      </c>
      <c r="P337" s="9" t="str">
        <f>IFERROR(MID(VLOOKUP($B337,Seqs!$A:$B,2,0),Q337,1),"")</f>
        <v/>
      </c>
      <c r="Q337" s="9" t="s">
        <v>23</v>
      </c>
      <c r="R337" s="9" t="str">
        <f>IFERROR(MID(VLOOKUP($B337,Seqs!$A:$B,2,0),S337,1),"")</f>
        <v/>
      </c>
      <c r="S337" s="9" t="s">
        <v>23</v>
      </c>
      <c r="T337" s="9" t="str">
        <f>IFERROR(MID(VLOOKUP($B337,Seqs!$A:$B,2,0),U337,1),"")</f>
        <v>N</v>
      </c>
      <c r="U337" s="9">
        <v>299</v>
      </c>
      <c r="V337" s="9" t="str">
        <f>IFERROR(MID(VLOOKUP($B337,Seqs!$A:$B,2,0),W337,1),"")</f>
        <v>G</v>
      </c>
      <c r="W337" s="9">
        <v>332</v>
      </c>
      <c r="X337" s="9" t="str">
        <f>IFERROR(MID(VLOOKUP($B337,Seqs!$A:$B,2,0),Y337,1),"")</f>
        <v/>
      </c>
      <c r="Y337" s="9" t="s">
        <v>23</v>
      </c>
      <c r="Z337" s="9" t="str">
        <f>IFERROR(MID(VLOOKUP($B337,Seqs!$A:$B,2,0),AA337,1),"")</f>
        <v/>
      </c>
      <c r="AA337" s="9" t="s">
        <v>23</v>
      </c>
      <c r="AB337" s="9" t="str">
        <f>IFERROR(MID(VLOOKUP($B337,Seqs!$A:$B,2,0),AC337,1),"")</f>
        <v>H</v>
      </c>
      <c r="AC337" s="9">
        <v>343</v>
      </c>
      <c r="AD337" s="9" t="str">
        <f>IFERROR(MID(VLOOKUP($B337,Seqs!$A:$B,2,0),AE337,1),"")</f>
        <v>R</v>
      </c>
      <c r="AE337" s="9">
        <v>366</v>
      </c>
      <c r="AF337" s="9" t="str">
        <f>IFERROR(MID(VLOOKUP($B337,Seqs!$A:$B,2,0),AG337,1),"")</f>
        <v>C</v>
      </c>
      <c r="AG337" s="9">
        <v>377</v>
      </c>
      <c r="AH337" s="9" t="str">
        <f>IFERROR(MID(VLOOKUP($B337,Seqs!$A:$B,2,0),AI337,1),"")</f>
        <v>V</v>
      </c>
      <c r="AI337" s="9">
        <v>379</v>
      </c>
      <c r="AJ337" s="9" t="str">
        <f>IFERROR(MID(VLOOKUP($B337,Seqs!$A:$B,2,0),AK337,1),"")</f>
        <v>N</v>
      </c>
      <c r="AK337" s="9">
        <v>383</v>
      </c>
      <c r="AL337" s="9" t="str">
        <f>IFERROR(MID(VLOOKUP($B337,Seqs!$A:$B,2,0),AM337,1),"")</f>
        <v>S</v>
      </c>
      <c r="AM337" s="9">
        <v>418</v>
      </c>
      <c r="AN337" s="9" t="str">
        <f>IFERROR(MID(VLOOKUP($B337,Seqs!$A:$B,2,0),AO337,1),"")</f>
        <v>E</v>
      </c>
      <c r="AO337" s="9">
        <v>431</v>
      </c>
      <c r="AP337" s="9" t="str">
        <f>IFERROR(MID(VLOOKUP($B337,Seqs!$A:$B,2,0),AQ337,1),"")</f>
        <v>N</v>
      </c>
      <c r="AQ337" s="9">
        <v>461</v>
      </c>
      <c r="AR337" s="9" t="str">
        <f>IFERROR(MID(VLOOKUP($B337,Seqs!$A:$B,2,0),AS337,1),"")</f>
        <v>N</v>
      </c>
      <c r="AS337" s="9">
        <v>473</v>
      </c>
      <c r="AT337" s="9" t="str">
        <f>IFERROR(MID(VLOOKUP($B337,Seqs!$A:$B,2,0),AU337,1),"")</f>
        <v>W</v>
      </c>
      <c r="AU337" s="9">
        <v>496</v>
      </c>
      <c r="AV337" s="9" t="str">
        <f>IFERROR(MID(VLOOKUP($B337,Seqs!$A:$B,2,0),AW337,1),"")</f>
        <v>S</v>
      </c>
      <c r="AW337" s="9">
        <v>497</v>
      </c>
      <c r="AX337" s="9" t="str">
        <f>IFERROR(MID(VLOOKUP($B337,Seqs!$A:$B,2,0),AY337,1),"")</f>
        <v>V</v>
      </c>
      <c r="AY337" s="9">
        <v>512</v>
      </c>
      <c r="AZ337" s="110" t="str">
        <f>VLOOKUP(B337,Classification!A:D,2,0)</f>
        <v>F</v>
      </c>
      <c r="BA337" s="98" t="str">
        <f>VLOOKUP(B337,Classification!A:D,4,0)</f>
        <v>Frizzled</v>
      </c>
      <c r="BB337" s="36" t="b">
        <f t="shared" si="1649"/>
        <v>1</v>
      </c>
      <c r="BC337" s="109">
        <f t="shared" si="1650"/>
        <v>235</v>
      </c>
      <c r="BD337" s="11" t="s">
        <v>1382</v>
      </c>
      <c r="BE337" s="9" t="s">
        <v>1380</v>
      </c>
      <c r="BF337" s="120">
        <v>2.4</v>
      </c>
      <c r="BG337" s="51" t="s">
        <v>1</v>
      </c>
      <c r="BH337" s="51" t="s">
        <v>1</v>
      </c>
      <c r="BI337" s="9"/>
      <c r="BJ337" s="111" t="s">
        <v>1293</v>
      </c>
      <c r="BK337" s="112" t="s">
        <v>1293</v>
      </c>
      <c r="BL337" s="112" t="s">
        <v>1293</v>
      </c>
      <c r="BM337" s="112" t="s">
        <v>1293</v>
      </c>
      <c r="BN337" s="112" t="s">
        <v>1293</v>
      </c>
      <c r="BO337" s="112" t="s">
        <v>1293</v>
      </c>
      <c r="BP337" s="112" t="s">
        <v>1293</v>
      </c>
      <c r="BQ337" s="112" t="s">
        <v>1293</v>
      </c>
      <c r="BR337" s="112" t="s">
        <v>1293</v>
      </c>
      <c r="BS337" s="112" t="s">
        <v>1293</v>
      </c>
      <c r="BT337" s="112" t="s">
        <v>1293</v>
      </c>
      <c r="BU337" s="112" t="s">
        <v>1293</v>
      </c>
      <c r="BV337" s="111">
        <f t="shared" si="1651"/>
        <v>212</v>
      </c>
      <c r="BW337" s="113">
        <f t="shared" si="1652"/>
        <v>245</v>
      </c>
      <c r="BX337" s="114">
        <f t="shared" si="1653"/>
        <v>250</v>
      </c>
      <c r="BY337" s="113" t="str">
        <f t="shared" si="1654"/>
        <v>-</v>
      </c>
      <c r="BZ337" s="114">
        <f t="shared" si="1655"/>
        <v>299</v>
      </c>
      <c r="CA337" s="113" t="str">
        <f t="shared" si="1656"/>
        <v>-</v>
      </c>
      <c r="CB337" s="114">
        <f t="shared" si="1657"/>
        <v>343</v>
      </c>
      <c r="CC337" s="113">
        <f t="shared" si="1658"/>
        <v>377</v>
      </c>
      <c r="CD337" s="114">
        <f t="shared" si="1659"/>
        <v>383</v>
      </c>
      <c r="CE337" s="113">
        <f t="shared" si="1660"/>
        <v>431</v>
      </c>
      <c r="CF337" s="114">
        <f t="shared" si="1661"/>
        <v>473</v>
      </c>
      <c r="CG337" s="113">
        <f t="shared" si="1662"/>
        <v>497</v>
      </c>
      <c r="CH337" s="111">
        <f t="shared" si="1663"/>
        <v>244</v>
      </c>
      <c r="CI337" s="113">
        <f t="shared" si="1664"/>
        <v>249</v>
      </c>
      <c r="CJ337" s="114">
        <f t="shared" si="1665"/>
        <v>276</v>
      </c>
      <c r="CK337" s="114" t="str">
        <f t="shared" si="1666"/>
        <v>-</v>
      </c>
      <c r="CL337" s="114">
        <f t="shared" si="1667"/>
        <v>332</v>
      </c>
      <c r="CM337" s="114" t="str">
        <f t="shared" si="1668"/>
        <v>-</v>
      </c>
      <c r="CN337" s="114">
        <f t="shared" si="1669"/>
        <v>366</v>
      </c>
      <c r="CO337" s="114">
        <f t="shared" si="1670"/>
        <v>379</v>
      </c>
      <c r="CP337" s="114">
        <f t="shared" si="1671"/>
        <v>418</v>
      </c>
      <c r="CQ337" s="114">
        <f t="shared" si="1672"/>
        <v>461</v>
      </c>
      <c r="CR337" s="114">
        <f t="shared" si="1673"/>
        <v>496</v>
      </c>
      <c r="CS337" s="114">
        <f t="shared" si="1674"/>
        <v>512</v>
      </c>
      <c r="CT337" s="109">
        <f t="shared" si="1675"/>
        <v>1</v>
      </c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9"/>
      <c r="JE337" s="9"/>
      <c r="JF337" s="9"/>
      <c r="JG337" s="9"/>
      <c r="JH337" s="9"/>
      <c r="JI337" s="9"/>
      <c r="JJ337" s="9"/>
      <c r="JK337" s="9"/>
      <c r="JL337" s="9"/>
      <c r="JM337" s="9"/>
      <c r="JN337" s="9"/>
      <c r="JO337" s="9"/>
      <c r="JP337" s="9"/>
      <c r="JQ337" s="9"/>
      <c r="JR337" s="9"/>
      <c r="JS337" s="9"/>
      <c r="JT337" s="9"/>
      <c r="JU337" s="9"/>
      <c r="JV337" s="9"/>
      <c r="JW337" s="9"/>
      <c r="JX337" s="9"/>
      <c r="JY337" s="9"/>
      <c r="JZ337" s="9"/>
      <c r="KA337" s="9"/>
      <c r="KB337" s="9"/>
      <c r="KC337" s="9"/>
      <c r="KD337" s="9"/>
      <c r="KE337" s="9"/>
      <c r="KF337" s="9"/>
      <c r="KG337" s="9"/>
      <c r="KH337" s="9"/>
      <c r="KI337" s="9"/>
      <c r="KJ337" s="9"/>
      <c r="KK337" s="9"/>
      <c r="KL337" s="9"/>
      <c r="KM337" s="9"/>
      <c r="KN337" s="9"/>
      <c r="KO337" s="9"/>
      <c r="KP337" s="9"/>
      <c r="KQ337" s="9"/>
      <c r="KR337" s="9"/>
      <c r="KS337" s="9"/>
      <c r="KT337" s="9"/>
      <c r="KU337" s="9"/>
      <c r="KV337" s="9"/>
      <c r="KW337" s="9"/>
      <c r="KX337" s="9"/>
      <c r="KY337" s="9"/>
      <c r="KZ337" s="9"/>
      <c r="LA337" s="9"/>
      <c r="LB337" s="9"/>
      <c r="LC337" s="9"/>
      <c r="LD337" s="9"/>
      <c r="LE337" s="9"/>
      <c r="LF337" s="9"/>
      <c r="LG337" s="9"/>
      <c r="LH337" s="9"/>
      <c r="LI337" s="9"/>
      <c r="LJ337" s="9"/>
      <c r="LK337" s="9"/>
      <c r="LL337" s="9"/>
      <c r="LM337" s="9"/>
      <c r="LN337" s="9"/>
      <c r="LO337" s="9"/>
      <c r="LP337" s="9"/>
      <c r="LQ337" s="9"/>
      <c r="LR337" s="9"/>
      <c r="LS337" s="9"/>
      <c r="LT337" s="9"/>
      <c r="LU337" s="9"/>
      <c r="LV337" s="9"/>
      <c r="LW337" s="9"/>
      <c r="LX337" s="9"/>
      <c r="LY337" s="9"/>
      <c r="LZ337" s="9"/>
      <c r="MA337" s="9"/>
      <c r="MB337" s="9"/>
      <c r="MC337" s="9"/>
      <c r="MD337" s="9"/>
      <c r="ME337" s="9"/>
      <c r="MF337" s="9"/>
      <c r="MG337" s="9"/>
      <c r="MH337" s="9"/>
      <c r="MI337" s="9"/>
      <c r="MJ337" s="9"/>
      <c r="MK337" s="9"/>
      <c r="ML337" s="9"/>
      <c r="MM337" s="9"/>
      <c r="MN337" s="9"/>
      <c r="MO337" s="9"/>
      <c r="MP337" s="9"/>
      <c r="MQ337" s="9"/>
      <c r="MR337" s="9"/>
      <c r="MS337" s="9"/>
      <c r="MT337" s="9"/>
      <c r="MU337" s="9"/>
      <c r="MV337" s="9"/>
      <c r="MW337" s="9"/>
      <c r="MX337" s="9"/>
      <c r="MY337" s="9"/>
      <c r="MZ337" s="9"/>
      <c r="NA337" s="9"/>
      <c r="NB337" s="9"/>
      <c r="NC337" s="9"/>
      <c r="ND337" s="9"/>
      <c r="NE337" s="9"/>
      <c r="NF337" s="9"/>
      <c r="NG337" s="9"/>
      <c r="NH337" s="9"/>
      <c r="NI337" s="9"/>
      <c r="NJ337" s="9"/>
      <c r="NK337" s="9"/>
      <c r="NL337" s="9"/>
      <c r="NM337" s="9"/>
      <c r="NN337" s="9"/>
      <c r="NO337" s="9"/>
      <c r="NP337" s="9"/>
      <c r="NQ337" s="9"/>
      <c r="NR337" s="9"/>
      <c r="NS337" s="9"/>
      <c r="NT337" s="9"/>
      <c r="NU337" s="9"/>
      <c r="NV337" s="9"/>
      <c r="NW337" s="9"/>
      <c r="NX337" s="9"/>
      <c r="NY337" s="9"/>
      <c r="NZ337" s="9"/>
      <c r="OA337" s="9"/>
      <c r="OB337" s="9"/>
      <c r="OC337" s="9"/>
      <c r="OD337" s="9"/>
      <c r="OE337" s="9"/>
      <c r="OF337" s="9"/>
      <c r="OG337" s="9"/>
      <c r="OH337" s="9"/>
      <c r="OI337" s="9"/>
      <c r="OJ337" s="9"/>
      <c r="OK337" s="9"/>
      <c r="OL337" s="9"/>
      <c r="OM337" s="9"/>
      <c r="ON337" s="9"/>
      <c r="OO337" s="9"/>
      <c r="OP337" s="9"/>
      <c r="OQ337" s="9"/>
      <c r="OR337" s="9"/>
      <c r="OS337" s="9"/>
      <c r="OT337" s="9"/>
      <c r="OU337" s="9"/>
      <c r="OV337" s="9"/>
      <c r="OW337" s="9"/>
      <c r="OX337" s="9"/>
      <c r="OY337" s="9"/>
      <c r="OZ337" s="9"/>
      <c r="PA337" s="9"/>
      <c r="PB337" s="9"/>
      <c r="PC337" s="9"/>
      <c r="PD337" s="9"/>
      <c r="PE337" s="9"/>
      <c r="PF337" s="9"/>
      <c r="PG337" s="9"/>
      <c r="PH337" s="9"/>
      <c r="PI337" s="9"/>
      <c r="PJ337" s="9"/>
      <c r="PK337" s="9"/>
      <c r="PL337" s="9"/>
      <c r="PM337" s="9"/>
      <c r="PN337" s="9"/>
      <c r="PO337" s="9"/>
      <c r="PP337" s="9"/>
      <c r="PQ337" s="9"/>
      <c r="PR337" s="9"/>
      <c r="PS337" s="9"/>
      <c r="PT337" s="9"/>
      <c r="PU337" s="9"/>
      <c r="PV337" s="9"/>
      <c r="PW337" s="9"/>
      <c r="PX337" s="9"/>
      <c r="PY337" s="9"/>
      <c r="PZ337" s="9"/>
      <c r="QA337" s="9"/>
      <c r="QB337" s="9"/>
      <c r="QC337" s="9"/>
      <c r="QD337" s="9"/>
      <c r="QE337" s="9"/>
      <c r="QF337" s="9"/>
      <c r="QG337" s="9"/>
      <c r="QH337" s="9"/>
      <c r="QI337" s="9"/>
      <c r="QJ337" s="9"/>
      <c r="QK337" s="9"/>
      <c r="QL337" s="9"/>
      <c r="QM337" s="9"/>
      <c r="QN337" s="9"/>
      <c r="QO337" s="9"/>
      <c r="QP337" s="9"/>
      <c r="QQ337" s="9"/>
      <c r="QR337" s="9"/>
      <c r="QS337" s="9"/>
      <c r="QT337" s="9"/>
      <c r="QU337" s="9"/>
      <c r="QV337" s="9"/>
      <c r="QW337" s="9"/>
      <c r="QX337" s="9"/>
      <c r="QY337" s="9"/>
      <c r="QZ337" s="9"/>
      <c r="RA337" s="9"/>
      <c r="RB337" s="9"/>
      <c r="RC337" s="9"/>
      <c r="RD337" s="9"/>
      <c r="RE337" s="9"/>
      <c r="RF337" s="9"/>
      <c r="RG337" s="9"/>
      <c r="RH337" s="9"/>
      <c r="RI337" s="9"/>
      <c r="RJ337" s="9"/>
      <c r="RK337" s="9"/>
      <c r="RL337" s="9"/>
      <c r="RM337" s="9"/>
      <c r="RN337" s="9"/>
      <c r="RO337" s="9"/>
      <c r="RP337" s="9"/>
      <c r="RQ337" s="9"/>
      <c r="RR337" s="9"/>
      <c r="RS337" s="9"/>
      <c r="RT337" s="9"/>
      <c r="RU337" s="9"/>
      <c r="RV337" s="9"/>
      <c r="RW337" s="9"/>
      <c r="RX337" s="9"/>
      <c r="RY337" s="9"/>
      <c r="RZ337" s="9"/>
      <c r="SA337" s="9"/>
      <c r="SB337" s="9"/>
      <c r="SC337" s="9"/>
      <c r="SD337" s="9"/>
      <c r="SE337" s="9"/>
      <c r="SF337" s="9"/>
      <c r="SG337" s="9"/>
      <c r="SH337" s="9"/>
      <c r="SI337" s="9"/>
      <c r="SJ337" s="9"/>
      <c r="SK337" s="9"/>
      <c r="SL337" s="9"/>
      <c r="SM337" s="9"/>
      <c r="SN337" s="9"/>
      <c r="SO337" s="9"/>
      <c r="SP337" s="9"/>
      <c r="SQ337" s="9"/>
      <c r="SR337" s="9"/>
      <c r="SS337" s="9"/>
      <c r="ST337" s="9"/>
      <c r="SU337" s="9"/>
      <c r="SV337" s="9"/>
      <c r="SW337" s="9"/>
      <c r="SX337" s="9"/>
      <c r="SY337" s="9"/>
      <c r="SZ337" s="9"/>
      <c r="TA337" s="9"/>
      <c r="TB337" s="9"/>
      <c r="TC337" s="9"/>
      <c r="TD337" s="9"/>
      <c r="TE337" s="9"/>
      <c r="TF337" s="9"/>
      <c r="TG337" s="9"/>
      <c r="TH337" s="9"/>
      <c r="TI337" s="9"/>
      <c r="TJ337" s="9"/>
      <c r="TK337" s="9"/>
      <c r="TL337" s="9"/>
      <c r="TM337" s="9"/>
      <c r="TN337" s="9"/>
      <c r="TO337" s="9"/>
      <c r="TP337" s="9"/>
      <c r="TQ337" s="9"/>
      <c r="TR337" s="9"/>
      <c r="TS337" s="9"/>
      <c r="TT337" s="9"/>
      <c r="TU337" s="9"/>
      <c r="TV337" s="9"/>
      <c r="TW337" s="9"/>
      <c r="TX337" s="9"/>
      <c r="TY337" s="9"/>
      <c r="TZ337" s="9"/>
      <c r="UA337" s="9"/>
      <c r="UB337" s="9"/>
      <c r="UC337" s="9"/>
      <c r="UD337" s="9"/>
      <c r="UE337" s="9"/>
      <c r="UF337" s="9"/>
      <c r="UG337" s="9"/>
      <c r="UH337" s="9"/>
      <c r="UI337" s="9"/>
      <c r="UJ337" s="9"/>
      <c r="UK337" s="9"/>
      <c r="UL337" s="9"/>
      <c r="UM337" s="9"/>
      <c r="UN337" s="9"/>
      <c r="UO337" s="9"/>
      <c r="UP337" s="9"/>
      <c r="UQ337" s="9"/>
      <c r="UR337" s="9"/>
      <c r="US337" s="9"/>
      <c r="UT337" s="9"/>
      <c r="UU337" s="9"/>
      <c r="UV337" s="9"/>
      <c r="UW337" s="9"/>
      <c r="UX337" s="9"/>
      <c r="UY337" s="9"/>
      <c r="UZ337" s="9"/>
      <c r="VA337" s="9"/>
      <c r="VB337" s="9"/>
      <c r="VC337" s="9"/>
      <c r="VD337" s="9"/>
      <c r="VE337" s="9"/>
      <c r="VF337" s="9"/>
      <c r="VG337" s="9"/>
      <c r="VH337" s="9"/>
      <c r="VI337" s="9"/>
      <c r="VJ337" s="9"/>
      <c r="VK337" s="9"/>
      <c r="VL337" s="9"/>
      <c r="VM337" s="9"/>
      <c r="VN337" s="9"/>
      <c r="VO337" s="9"/>
      <c r="VP337" s="9"/>
      <c r="VQ337" s="9"/>
      <c r="VR337" s="9"/>
      <c r="VS337" s="9"/>
      <c r="VT337" s="9"/>
      <c r="VU337" s="9"/>
      <c r="VV337" s="9"/>
      <c r="VW337" s="9"/>
      <c r="VX337" s="9"/>
      <c r="VY337" s="9"/>
      <c r="VZ337" s="9"/>
      <c r="WA337" s="9"/>
      <c r="WB337" s="9"/>
      <c r="WC337" s="9"/>
      <c r="WD337" s="9"/>
      <c r="WE337" s="9"/>
      <c r="WF337" s="9"/>
      <c r="WG337" s="9"/>
      <c r="WH337" s="9"/>
      <c r="WI337" s="9"/>
      <c r="WJ337" s="9"/>
      <c r="WK337" s="9"/>
      <c r="WL337" s="9"/>
      <c r="WM337" s="9"/>
      <c r="WN337" s="9"/>
      <c r="WO337" s="9"/>
      <c r="WP337" s="9"/>
      <c r="WQ337" s="9"/>
      <c r="WR337" s="9"/>
      <c r="WS337" s="9"/>
      <c r="WT337" s="9"/>
      <c r="WU337" s="9"/>
      <c r="WV337" s="9"/>
      <c r="WW337" s="9"/>
      <c r="WX337" s="9"/>
      <c r="WY337" s="9"/>
      <c r="WZ337" s="9"/>
      <c r="XA337" s="9"/>
      <c r="XB337" s="9"/>
      <c r="XC337" s="9"/>
      <c r="XD337" s="9"/>
      <c r="XE337" s="9"/>
      <c r="XF337" s="9"/>
      <c r="XG337" s="9"/>
      <c r="XH337" s="9"/>
      <c r="XI337" s="9"/>
      <c r="XJ337" s="9"/>
      <c r="XK337" s="9"/>
      <c r="XL337" s="9"/>
      <c r="XM337" s="9"/>
      <c r="XN337" s="9"/>
      <c r="XO337" s="9"/>
      <c r="XP337" s="9"/>
      <c r="XQ337" s="9"/>
      <c r="XR337" s="9"/>
      <c r="XS337" s="9"/>
      <c r="XT337" s="9"/>
      <c r="XU337" s="9"/>
      <c r="XV337" s="9"/>
      <c r="XW337" s="9"/>
      <c r="XX337" s="9"/>
      <c r="XY337" s="9"/>
      <c r="XZ337" s="9"/>
      <c r="YA337" s="9"/>
      <c r="YB337" s="9"/>
      <c r="YC337" s="9"/>
      <c r="YD337" s="9"/>
      <c r="YE337" s="9"/>
      <c r="YF337" s="9"/>
      <c r="YG337" s="9"/>
      <c r="YH337" s="9"/>
      <c r="YI337" s="9"/>
      <c r="YJ337" s="9"/>
      <c r="YK337" s="9"/>
      <c r="YL337" s="9"/>
      <c r="YM337" s="9"/>
      <c r="YN337" s="9"/>
      <c r="YO337" s="9"/>
      <c r="YP337" s="9"/>
      <c r="YQ337" s="9"/>
      <c r="YR337" s="9"/>
      <c r="YS337" s="9"/>
      <c r="YT337" s="9"/>
      <c r="YU337" s="9"/>
      <c r="YV337" s="9"/>
      <c r="YW337" s="9"/>
      <c r="YX337" s="9"/>
      <c r="YY337" s="9"/>
      <c r="YZ337" s="9"/>
      <c r="ZA337" s="9"/>
      <c r="ZB337" s="9"/>
      <c r="ZC337" s="9"/>
      <c r="ZD337" s="9"/>
      <c r="ZE337" s="9"/>
      <c r="ZF337" s="9"/>
      <c r="ZG337" s="9"/>
      <c r="ZH337" s="9"/>
      <c r="ZI337" s="9"/>
      <c r="ZJ337" s="9"/>
      <c r="ZK337" s="9"/>
      <c r="ZL337" s="9"/>
      <c r="ZM337" s="9"/>
      <c r="ZN337" s="9"/>
      <c r="ZO337" s="9"/>
      <c r="ZP337" s="9"/>
      <c r="ZQ337" s="9"/>
      <c r="ZR337" s="9"/>
      <c r="ZS337" s="9"/>
      <c r="ZT337" s="9"/>
      <c r="ZU337" s="9"/>
      <c r="ZV337" s="9"/>
      <c r="ZW337" s="9"/>
      <c r="ZX337" s="9"/>
      <c r="ZY337" s="9"/>
      <c r="ZZ337" s="9"/>
      <c r="AAA337" s="9"/>
      <c r="AAB337" s="9"/>
      <c r="AAC337" s="9"/>
      <c r="AAD337" s="9"/>
      <c r="AAE337" s="9"/>
      <c r="AAF337" s="9"/>
      <c r="AAG337" s="9"/>
      <c r="AAH337" s="9"/>
      <c r="AAI337" s="9"/>
      <c r="AAJ337" s="9"/>
      <c r="AAK337" s="9"/>
      <c r="AAL337" s="9"/>
      <c r="AAM337" s="9"/>
      <c r="AAN337" s="9"/>
      <c r="AAO337" s="9"/>
      <c r="AAP337" s="9"/>
      <c r="AAQ337" s="9"/>
      <c r="AAR337" s="9"/>
      <c r="AAS337" s="9"/>
      <c r="AAT337" s="9"/>
      <c r="AAU337" s="9"/>
      <c r="AAV337" s="9"/>
      <c r="AAW337" s="9"/>
      <c r="AAX337" s="9"/>
      <c r="AAY337" s="9"/>
      <c r="AAZ337" s="9"/>
      <c r="ABA337" s="9"/>
      <c r="ABB337" s="9"/>
      <c r="ABC337" s="9"/>
      <c r="ABD337" s="9"/>
      <c r="ABE337" s="9"/>
      <c r="ABF337" s="9"/>
      <c r="ABG337" s="9"/>
      <c r="ABH337" s="9"/>
      <c r="ABI337" s="9"/>
      <c r="ABJ337" s="9"/>
      <c r="ABK337" s="9"/>
      <c r="ABL337" s="9"/>
      <c r="ABM337" s="9"/>
      <c r="ABN337" s="9"/>
      <c r="ABO337" s="9"/>
      <c r="ABP337" s="9"/>
      <c r="ABQ337" s="9"/>
      <c r="ABR337" s="9"/>
      <c r="ABS337" s="9"/>
      <c r="ABT337" s="9"/>
      <c r="ABU337" s="9"/>
      <c r="ABV337" s="9"/>
      <c r="ABW337" s="9"/>
      <c r="ABX337" s="9"/>
      <c r="ABY337" s="9"/>
      <c r="ABZ337" s="9"/>
      <c r="ACA337" s="9"/>
      <c r="ACB337" s="9"/>
      <c r="ACC337" s="9"/>
      <c r="ACD337" s="9"/>
      <c r="ACE337" s="9"/>
      <c r="ACF337" s="9"/>
      <c r="ACG337" s="9"/>
      <c r="ACH337" s="9"/>
      <c r="ACI337" s="9"/>
      <c r="ACJ337" s="9"/>
      <c r="ACK337" s="9"/>
      <c r="ACL337" s="9"/>
      <c r="ACM337" s="9"/>
      <c r="ACN337" s="9"/>
      <c r="ACO337" s="9"/>
      <c r="ACP337" s="9"/>
      <c r="ACQ337" s="9"/>
      <c r="ACR337" s="9"/>
      <c r="ACS337" s="9"/>
      <c r="ACT337" s="9"/>
      <c r="ACU337" s="9"/>
      <c r="ACV337" s="9"/>
      <c r="ACW337" s="9"/>
      <c r="ACX337" s="9"/>
      <c r="ACY337" s="9"/>
      <c r="ACZ337" s="9"/>
      <c r="ADA337" s="9"/>
      <c r="ADB337" s="9"/>
      <c r="ADC337" s="9"/>
      <c r="ADD337" s="9"/>
      <c r="ADE337" s="9"/>
      <c r="ADF337" s="9"/>
      <c r="ADG337" s="9"/>
      <c r="ADH337" s="9"/>
      <c r="ADI337" s="9"/>
      <c r="ADJ337" s="9"/>
      <c r="ADK337" s="9"/>
      <c r="ADL337" s="9"/>
      <c r="ADM337" s="9"/>
      <c r="ADN337" s="9"/>
      <c r="ADO337" s="9"/>
      <c r="ADP337" s="9"/>
      <c r="ADQ337" s="9"/>
      <c r="ADR337" s="9"/>
      <c r="ADS337" s="9"/>
      <c r="ADT337" s="9"/>
      <c r="ADU337" s="9"/>
      <c r="ADV337" s="9"/>
      <c r="ADW337" s="9"/>
      <c r="ADX337" s="9"/>
      <c r="ADY337" s="9"/>
      <c r="ADZ337" s="9"/>
      <c r="AEA337" s="9"/>
      <c r="AEB337" s="9"/>
      <c r="AEC337" s="9"/>
      <c r="AED337" s="9"/>
      <c r="AEE337" s="9"/>
      <c r="AEF337" s="9"/>
      <c r="AEG337" s="9"/>
      <c r="AEH337" s="9"/>
      <c r="AEI337" s="9"/>
      <c r="AEJ337" s="9"/>
      <c r="AEK337" s="9"/>
      <c r="AEL337" s="9"/>
      <c r="AEM337" s="9"/>
      <c r="AEN337" s="9"/>
      <c r="AEO337" s="9"/>
      <c r="AEP337" s="9"/>
      <c r="AEQ337" s="9"/>
      <c r="AER337" s="9"/>
      <c r="AES337" s="9"/>
      <c r="AET337" s="9"/>
      <c r="AEU337" s="9"/>
      <c r="AEV337" s="9"/>
      <c r="AEW337" s="9"/>
      <c r="AEX337" s="9"/>
      <c r="AEY337" s="9"/>
      <c r="AEZ337" s="9"/>
      <c r="AFA337" s="9"/>
      <c r="AFB337" s="9"/>
      <c r="AFC337" s="9"/>
      <c r="AFD337" s="9"/>
      <c r="AFE337" s="9"/>
      <c r="AFF337" s="9"/>
      <c r="AFG337" s="9"/>
      <c r="AFH337" s="9"/>
      <c r="AFI337" s="9"/>
      <c r="AFJ337" s="9"/>
      <c r="AFK337" s="9"/>
      <c r="AFL337" s="9"/>
      <c r="AFM337" s="9"/>
      <c r="AFN337" s="9"/>
      <c r="AFO337" s="9"/>
      <c r="AFP337" s="9"/>
      <c r="AFQ337" s="9"/>
      <c r="AFR337" s="9"/>
      <c r="AFS337" s="9"/>
      <c r="AFT337" s="9"/>
      <c r="AFU337" s="9"/>
      <c r="AFV337" s="9"/>
      <c r="AFW337" s="9"/>
      <c r="AFX337" s="9"/>
      <c r="AFY337" s="9"/>
      <c r="AFZ337" s="9"/>
      <c r="AGA337" s="9"/>
      <c r="AGB337" s="9"/>
      <c r="AGC337" s="9"/>
      <c r="AGD337" s="9"/>
      <c r="AGE337" s="9"/>
      <c r="AGF337" s="9"/>
      <c r="AGG337" s="9"/>
      <c r="AGH337" s="9"/>
      <c r="AGI337" s="9"/>
      <c r="AGJ337" s="9"/>
      <c r="AGK337" s="9"/>
      <c r="AGL337" s="9"/>
      <c r="AGM337" s="9"/>
      <c r="AGN337" s="9"/>
      <c r="AGO337" s="9"/>
      <c r="AGP337" s="9"/>
      <c r="AGQ337" s="9"/>
      <c r="AGR337" s="9"/>
      <c r="AGS337" s="9"/>
      <c r="AGT337" s="9"/>
      <c r="AGU337" s="9"/>
      <c r="AGV337" s="9"/>
      <c r="AGW337" s="9"/>
      <c r="AGX337" s="9"/>
      <c r="AGY337" s="9"/>
      <c r="AGZ337" s="9"/>
      <c r="AHA337" s="9"/>
      <c r="AHB337" s="9"/>
      <c r="AHC337" s="9"/>
      <c r="AHD337" s="9"/>
      <c r="AHE337" s="9"/>
      <c r="AHF337" s="9"/>
      <c r="AHG337" s="9"/>
      <c r="AHH337" s="9"/>
      <c r="AHI337" s="9"/>
      <c r="AHJ337" s="9"/>
      <c r="AHK337" s="9"/>
      <c r="AHL337" s="9"/>
      <c r="AHM337" s="9"/>
      <c r="AHN337" s="9"/>
      <c r="AHO337" s="9"/>
      <c r="AHP337" s="9"/>
      <c r="AHQ337" s="9"/>
      <c r="AHR337" s="9"/>
      <c r="AHS337" s="9"/>
      <c r="AHT337" s="9"/>
      <c r="AHU337" s="9"/>
      <c r="AHV337" s="9"/>
      <c r="AHW337" s="9"/>
      <c r="AHX337" s="9"/>
      <c r="AHY337" s="9"/>
      <c r="AHZ337" s="9"/>
      <c r="AIA337" s="9"/>
      <c r="AIB337" s="9"/>
      <c r="AIC337" s="9"/>
      <c r="AID337" s="9"/>
      <c r="AIE337" s="9"/>
      <c r="AIF337" s="9"/>
      <c r="AIG337" s="9"/>
      <c r="AIH337" s="9"/>
      <c r="AII337" s="9"/>
      <c r="AIJ337" s="9"/>
      <c r="AIK337" s="9"/>
      <c r="AIL337" s="9"/>
      <c r="AIM337" s="9"/>
      <c r="AIN337" s="9"/>
      <c r="AIO337" s="9"/>
      <c r="AIP337" s="9"/>
      <c r="AIQ337" s="9"/>
      <c r="AIR337" s="9"/>
      <c r="AIS337" s="9"/>
      <c r="AIT337" s="9"/>
      <c r="AIU337" s="9"/>
      <c r="AIV337" s="9"/>
      <c r="AIW337" s="9"/>
      <c r="AIX337" s="9"/>
      <c r="AIY337" s="9"/>
      <c r="AIZ337" s="9"/>
      <c r="AJA337" s="9"/>
      <c r="AJB337" s="9"/>
      <c r="AJC337" s="9"/>
      <c r="AJD337" s="9"/>
      <c r="AJE337" s="9"/>
      <c r="AJF337" s="9"/>
      <c r="AJG337" s="9"/>
      <c r="AJH337" s="9"/>
      <c r="AJI337" s="9"/>
      <c r="AJJ337" s="9"/>
      <c r="AJK337" s="9"/>
      <c r="AJL337" s="9"/>
      <c r="AJM337" s="9"/>
      <c r="AJN337" s="9"/>
      <c r="AJO337" s="9"/>
      <c r="AJP337" s="9"/>
      <c r="AJQ337" s="9"/>
      <c r="AJR337" s="9"/>
      <c r="AJS337" s="9"/>
      <c r="AJT337" s="9"/>
      <c r="AJU337" s="9"/>
      <c r="AJV337" s="9"/>
      <c r="AJW337" s="9"/>
      <c r="AJX337" s="9"/>
      <c r="AJY337" s="9"/>
      <c r="AJZ337" s="9"/>
      <c r="AKA337" s="9"/>
      <c r="AKB337" s="9"/>
      <c r="AKC337" s="9"/>
      <c r="AKD337" s="9"/>
      <c r="AKE337" s="9"/>
      <c r="AKF337" s="9"/>
      <c r="AKG337" s="9"/>
      <c r="AKH337" s="9"/>
      <c r="AKI337" s="9"/>
      <c r="AKJ337" s="9"/>
      <c r="AKK337" s="9"/>
      <c r="AKL337" s="9"/>
      <c r="AKM337" s="9"/>
      <c r="AKN337" s="9"/>
      <c r="AKO337" s="9"/>
      <c r="AKP337" s="9"/>
      <c r="AKQ337" s="9"/>
      <c r="AKR337" s="9"/>
      <c r="AKS337" s="9"/>
      <c r="AKT337" s="9"/>
      <c r="AKU337" s="9"/>
      <c r="AKV337" s="9"/>
      <c r="AKW337" s="9"/>
      <c r="AKX337" s="9"/>
      <c r="AKY337" s="9"/>
      <c r="AKZ337" s="9"/>
      <c r="ALA337" s="9"/>
      <c r="ALB337" s="9"/>
      <c r="ALC337" s="9"/>
      <c r="ALD337" s="9"/>
      <c r="ALE337" s="9"/>
      <c r="ALF337" s="9"/>
      <c r="ALG337" s="9"/>
      <c r="ALH337" s="9"/>
      <c r="ALI337" s="9"/>
      <c r="ALJ337" s="9"/>
      <c r="ALK337" s="9"/>
      <c r="ALL337" s="9"/>
      <c r="ALM337" s="9"/>
      <c r="ALN337" s="9"/>
      <c r="ALO337" s="9"/>
      <c r="ALP337" s="9"/>
      <c r="ALQ337" s="9"/>
      <c r="ALR337" s="9"/>
      <c r="ALS337" s="9"/>
      <c r="ALT337" s="9"/>
      <c r="ALU337" s="9"/>
      <c r="ALV337" s="9"/>
      <c r="ALW337" s="9"/>
      <c r="ALX337" s="9"/>
      <c r="ALY337" s="9"/>
      <c r="ALZ337" s="9"/>
      <c r="AMA337" s="9"/>
      <c r="AMB337" s="9"/>
      <c r="AMC337" s="9"/>
      <c r="AMD337" s="9"/>
      <c r="AME337" s="9"/>
      <c r="AMF337" s="9"/>
      <c r="AMG337" s="9"/>
      <c r="AMH337" s="9"/>
      <c r="AMI337" s="9"/>
      <c r="AMJ337" s="9"/>
      <c r="AMK337" s="9"/>
      <c r="AML337" s="9"/>
      <c r="AMM337" s="9"/>
      <c r="AMN337" s="9"/>
      <c r="AMO337" s="9"/>
      <c r="AMP337" s="9"/>
    </row>
    <row r="338" spans="1:1030" x14ac:dyDescent="0.2">
      <c r="A338" s="3" t="str">
        <f t="shared" si="1563"/>
        <v>smo_human__wt</v>
      </c>
      <c r="B338" s="3" t="s">
        <v>33</v>
      </c>
      <c r="C338" s="3" t="s">
        <v>100</v>
      </c>
      <c r="D338" s="3" t="str">
        <f>IFERROR(MID(VLOOKUP($B338,Seqs!$A:$B,2,0),E338,1),"")</f>
        <v>T</v>
      </c>
      <c r="E338" s="105">
        <v>223</v>
      </c>
      <c r="F338" s="3" t="str">
        <f>IFERROR(MID(VLOOKUP($B338,Seqs!$A:$B,2,0),G338,1),"")</f>
        <v>D</v>
      </c>
      <c r="G338" s="3">
        <v>255</v>
      </c>
      <c r="H338" s="3" t="str">
        <f>IFERROR(MID(VLOOKUP($B338,Seqs!$A:$B,2,0),I338,1),"")</f>
        <v>W</v>
      </c>
      <c r="I338" s="23">
        <v>256</v>
      </c>
      <c r="J338" s="3" t="str">
        <f>IFERROR(MID(VLOOKUP($B338,Seqs!$A:$B,2,0),K338,1),"")</f>
        <v>N</v>
      </c>
      <c r="K338" s="23">
        <v>260</v>
      </c>
      <c r="L338" s="3" t="str">
        <f>IFERROR(MID(VLOOKUP($B338,Seqs!$A:$B,2,0),M338,1),"")</f>
        <v>R</v>
      </c>
      <c r="M338" s="3">
        <v>261</v>
      </c>
      <c r="N338" s="3" t="str">
        <f>IFERROR(MID(VLOOKUP($B338,Seqs!$A:$B,2,0),O338,1),"")</f>
        <v>F</v>
      </c>
      <c r="O338" s="3">
        <v>285</v>
      </c>
      <c r="P338" s="3" t="str">
        <f>IFERROR(MID(VLOOKUP($B338,Seqs!$A:$B,2,0),Q338,1),"")</f>
        <v/>
      </c>
      <c r="Q338" s="3" t="s">
        <v>23</v>
      </c>
      <c r="R338" s="3" t="str">
        <f>IFERROR(MID(VLOOKUP($B338,Seqs!$A:$B,2,0),S338,1),"")</f>
        <v/>
      </c>
      <c r="S338" s="3" t="s">
        <v>23</v>
      </c>
      <c r="T338" s="3" t="str">
        <f>IFERROR(MID(VLOOKUP($B338,Seqs!$A:$B,2,0),U338,1),"")</f>
        <v>L</v>
      </c>
      <c r="U338" s="3">
        <v>312</v>
      </c>
      <c r="V338" s="3" t="str">
        <f>IFERROR(MID(VLOOKUP($B338,Seqs!$A:$B,2,0),W338,1),"")</f>
        <v>T</v>
      </c>
      <c r="W338" s="3">
        <v>348</v>
      </c>
      <c r="X338" s="3" t="str">
        <f>IFERROR(MID(VLOOKUP($B338,Seqs!$A:$B,2,0),Y338,1),"")</f>
        <v/>
      </c>
      <c r="Y338" s="3" t="s">
        <v>23</v>
      </c>
      <c r="Z338" s="3" t="str">
        <f>IFERROR(MID(VLOOKUP($B338,Seqs!$A:$B,2,0),AA338,1),"")</f>
        <v/>
      </c>
      <c r="AA338" s="3" t="s">
        <v>23</v>
      </c>
      <c r="AB338" s="3" t="str">
        <f>IFERROR(MID(VLOOKUP($B338,Seqs!$A:$B,2,0),AC338,1),"")</f>
        <v>L</v>
      </c>
      <c r="AC338" s="9">
        <v>353</v>
      </c>
      <c r="AD338" s="3" t="str">
        <f>IFERROR(MID(VLOOKUP($B338,Seqs!$A:$B,2,0),AE338,1),"")</f>
        <v>V</v>
      </c>
      <c r="AE338" s="3">
        <v>378</v>
      </c>
      <c r="AF338" s="3" t="str">
        <f>IFERROR(MID(VLOOKUP($B338,Seqs!$A:$B,2,0),AG338,1),"")</f>
        <v>C</v>
      </c>
      <c r="AG338" s="3">
        <v>390</v>
      </c>
      <c r="AH338" s="3" t="str">
        <f>IFERROR(MID(VLOOKUP($B338,Seqs!$A:$B,2,0),AI338,1),"")</f>
        <v>V</v>
      </c>
      <c r="AI338" s="3">
        <v>392</v>
      </c>
      <c r="AJ338" s="3" t="str">
        <f>IFERROR(MID(VLOOKUP($B338,Seqs!$A:$B,2,0),AK338,1),"")</f>
        <v>N</v>
      </c>
      <c r="AK338" s="105">
        <v>396</v>
      </c>
      <c r="AL338" s="3" t="str">
        <f>IFERROR(MID(VLOOKUP($B338,Seqs!$A:$B,2,0),AM338,1),"")</f>
        <v>H</v>
      </c>
      <c r="AM338" s="3">
        <v>433</v>
      </c>
      <c r="AN338" s="3" t="str">
        <f>IFERROR(MID(VLOOKUP($B338,Seqs!$A:$B,2,0),AO338,1),"")</f>
        <v>A</v>
      </c>
      <c r="AO338" s="3">
        <v>442</v>
      </c>
      <c r="AP338" s="3" t="str">
        <f>IFERROR(MID(VLOOKUP($B338,Seqs!$A:$B,2,0),AQ338,1),"")</f>
        <v>I</v>
      </c>
      <c r="AQ338" s="3">
        <v>496</v>
      </c>
      <c r="AR338" s="3" t="str">
        <f>IFERROR(MID(VLOOKUP($B338,Seqs!$A:$B,2,0),AS338,1),"")</f>
        <v>S</v>
      </c>
      <c r="AS338" s="105">
        <v>514</v>
      </c>
      <c r="AT338" s="3" t="str">
        <f>IFERROR(MID(VLOOKUP($B338,Seqs!$A:$B,2,0),AU338,1),"")</f>
        <v>W</v>
      </c>
      <c r="AU338" s="3">
        <v>537</v>
      </c>
      <c r="AV338" s="3" t="str">
        <f>IFERROR(MID(VLOOKUP($B338,Seqs!$A:$B,2,0),AW338,1),"")</f>
        <v>T</v>
      </c>
      <c r="AW338" s="3">
        <v>538</v>
      </c>
      <c r="AX338" s="3" t="str">
        <f>IFERROR(MID(VLOOKUP($B338,Seqs!$A:$B,2,0),AY338,1),"")</f>
        <v>T</v>
      </c>
      <c r="AY338" s="3">
        <v>553</v>
      </c>
      <c r="AZ338" s="77" t="str">
        <f>VLOOKUP(B338,Classification!A:D,2,0)</f>
        <v>F</v>
      </c>
      <c r="BA338" s="94" t="str">
        <f>VLOOKUP(B338,Classification!A:D,4,0)</f>
        <v>Frizzled</v>
      </c>
      <c r="BB338" s="27" t="b">
        <f t="shared" si="1564"/>
        <v>1</v>
      </c>
      <c r="BC338" s="23">
        <f t="shared" si="1537"/>
        <v>264</v>
      </c>
      <c r="BD338" s="56" t="s">
        <v>23</v>
      </c>
      <c r="BE338" s="3" t="s">
        <v>23</v>
      </c>
      <c r="BF338" s="119" t="s">
        <v>23</v>
      </c>
      <c r="BG338" s="49" t="s">
        <v>1378</v>
      </c>
      <c r="BH338" s="49" t="s">
        <v>1383</v>
      </c>
      <c r="BJ338" s="70" t="s">
        <v>1293</v>
      </c>
      <c r="BK338" s="57" t="s">
        <v>1293</v>
      </c>
      <c r="BL338" s="57" t="s">
        <v>1293</v>
      </c>
      <c r="BM338" s="57" t="s">
        <v>1293</v>
      </c>
      <c r="BN338" s="57" t="s">
        <v>1293</v>
      </c>
      <c r="BO338" s="57" t="s">
        <v>1293</v>
      </c>
      <c r="BP338" s="57" t="s">
        <v>1293</v>
      </c>
      <c r="BQ338" s="57" t="s">
        <v>1293</v>
      </c>
      <c r="BR338" s="57" t="s">
        <v>1293</v>
      </c>
      <c r="BS338" s="57" t="s">
        <v>1293</v>
      </c>
      <c r="BT338" s="57" t="s">
        <v>1293</v>
      </c>
      <c r="BU338" s="57" t="s">
        <v>1293</v>
      </c>
      <c r="BV338" s="70">
        <f t="shared" si="1538"/>
        <v>223</v>
      </c>
      <c r="BW338" s="71">
        <f t="shared" si="1539"/>
        <v>256</v>
      </c>
      <c r="BX338" s="72">
        <f t="shared" si="1540"/>
        <v>261</v>
      </c>
      <c r="BY338" s="71" t="str">
        <f t="shared" si="1541"/>
        <v>-</v>
      </c>
      <c r="BZ338" s="72">
        <f t="shared" si="1542"/>
        <v>312</v>
      </c>
      <c r="CA338" s="71" t="str">
        <f t="shared" si="1543"/>
        <v>-</v>
      </c>
      <c r="CB338" s="72">
        <f t="shared" si="1544"/>
        <v>353</v>
      </c>
      <c r="CC338" s="71">
        <f t="shared" si="1545"/>
        <v>390</v>
      </c>
      <c r="CD338" s="72">
        <f t="shared" si="1546"/>
        <v>396</v>
      </c>
      <c r="CE338" s="71">
        <f t="shared" si="1547"/>
        <v>442</v>
      </c>
      <c r="CF338" s="72">
        <f t="shared" si="1548"/>
        <v>514</v>
      </c>
      <c r="CG338" s="71">
        <f t="shared" si="1549"/>
        <v>538</v>
      </c>
      <c r="CH338" s="70">
        <f t="shared" si="1550"/>
        <v>255</v>
      </c>
      <c r="CI338" s="71">
        <f t="shared" si="1551"/>
        <v>260</v>
      </c>
      <c r="CJ338" s="72">
        <f t="shared" si="1552"/>
        <v>285</v>
      </c>
      <c r="CK338" s="72" t="str">
        <f t="shared" si="1553"/>
        <v>-</v>
      </c>
      <c r="CL338" s="72">
        <f t="shared" si="1554"/>
        <v>348</v>
      </c>
      <c r="CM338" s="72" t="str">
        <f t="shared" si="1555"/>
        <v>-</v>
      </c>
      <c r="CN338" s="72">
        <f t="shared" si="1556"/>
        <v>378</v>
      </c>
      <c r="CO338" s="72">
        <f t="shared" si="1557"/>
        <v>392</v>
      </c>
      <c r="CP338" s="72">
        <f t="shared" si="1558"/>
        <v>433</v>
      </c>
      <c r="CQ338" s="72">
        <f t="shared" si="1559"/>
        <v>496</v>
      </c>
      <c r="CR338" s="72">
        <f t="shared" si="1560"/>
        <v>537</v>
      </c>
      <c r="CS338" s="72">
        <f t="shared" si="1561"/>
        <v>553</v>
      </c>
      <c r="CT338" s="23">
        <f t="shared" si="1562"/>
        <v>1</v>
      </c>
    </row>
    <row r="339" spans="1:1030" x14ac:dyDescent="0.2">
      <c r="A339" s="3" t="str">
        <f t="shared" si="1563"/>
        <v>smo_human_4JKV</v>
      </c>
      <c r="B339" s="3" t="s">
        <v>33</v>
      </c>
      <c r="C339" s="3" t="s">
        <v>86</v>
      </c>
      <c r="D339" s="3" t="str">
        <f>IFERROR(MID(VLOOKUP($B339,Seqs!$A:$B,2,0),E339,1),"")</f>
        <v>T</v>
      </c>
      <c r="E339" s="105">
        <v>223</v>
      </c>
      <c r="F339" s="3" t="str">
        <f>IFERROR(MID(VLOOKUP($B339,Seqs!$A:$B,2,0),G339,1),"")</f>
        <v>D</v>
      </c>
      <c r="G339" s="3">
        <v>255</v>
      </c>
      <c r="H339" s="3" t="str">
        <f>IFERROR(MID(VLOOKUP($B339,Seqs!$A:$B,2,0),I339,1),"")</f>
        <v>W</v>
      </c>
      <c r="I339" s="23">
        <v>256</v>
      </c>
      <c r="J339" s="3" t="str">
        <f>IFERROR(MID(VLOOKUP($B339,Seqs!$A:$B,2,0),K339,1),"")</f>
        <v>N</v>
      </c>
      <c r="K339" s="23">
        <v>260</v>
      </c>
      <c r="L339" s="3" t="str">
        <f>IFERROR(MID(VLOOKUP($B339,Seqs!$A:$B,2,0),M339,1),"")</f>
        <v>R</v>
      </c>
      <c r="M339" s="3">
        <v>261</v>
      </c>
      <c r="N339" s="3" t="str">
        <f>IFERROR(MID(VLOOKUP($B339,Seqs!$A:$B,2,0),O339,1),"")</f>
        <v>F</v>
      </c>
      <c r="O339" s="3">
        <v>285</v>
      </c>
      <c r="P339" s="3" t="str">
        <f>IFERROR(MID(VLOOKUP($B339,Seqs!$A:$B,2,0),Q339,1),"")</f>
        <v/>
      </c>
      <c r="Q339" s="3" t="s">
        <v>23</v>
      </c>
      <c r="R339" s="3" t="str">
        <f>IFERROR(MID(VLOOKUP($B339,Seqs!$A:$B,2,0),S339,1),"")</f>
        <v/>
      </c>
      <c r="S339" s="3" t="s">
        <v>23</v>
      </c>
      <c r="T339" s="3" t="str">
        <f>IFERROR(MID(VLOOKUP($B339,Seqs!$A:$B,2,0),U339,1),"")</f>
        <v>L</v>
      </c>
      <c r="U339" s="3">
        <v>312</v>
      </c>
      <c r="V339" s="3" t="str">
        <f>IFERROR(MID(VLOOKUP($B339,Seqs!$A:$B,2,0),W339,1),"")</f>
        <v>T</v>
      </c>
      <c r="W339" s="3">
        <v>348</v>
      </c>
      <c r="X339" s="3" t="str">
        <f>IFERROR(MID(VLOOKUP($B339,Seqs!$A:$B,2,0),Y339,1),"")</f>
        <v/>
      </c>
      <c r="Y339" s="3" t="s">
        <v>23</v>
      </c>
      <c r="Z339" s="3" t="str">
        <f>IFERROR(MID(VLOOKUP($B339,Seqs!$A:$B,2,0),AA339,1),"")</f>
        <v/>
      </c>
      <c r="AA339" s="3" t="s">
        <v>23</v>
      </c>
      <c r="AB339" s="3" t="str">
        <f>IFERROR(MID(VLOOKUP($B339,Seqs!$A:$B,2,0),AC339,1),"")</f>
        <v>F</v>
      </c>
      <c r="AC339" s="9">
        <v>360</v>
      </c>
      <c r="AD339" s="3" t="str">
        <f>IFERROR(MID(VLOOKUP($B339,Seqs!$A:$B,2,0),AE339,1),"")</f>
        <v>V</v>
      </c>
      <c r="AE339" s="3">
        <v>378</v>
      </c>
      <c r="AF339" s="3" t="str">
        <f>IFERROR(MID(VLOOKUP($B339,Seqs!$A:$B,2,0),AG339,1),"")</f>
        <v>C</v>
      </c>
      <c r="AG339" s="3">
        <v>390</v>
      </c>
      <c r="AH339" s="3" t="str">
        <f>IFERROR(MID(VLOOKUP($B339,Seqs!$A:$B,2,0),AI339,1),"")</f>
        <v>V</v>
      </c>
      <c r="AI339" s="3">
        <v>392</v>
      </c>
      <c r="AJ339" s="3" t="str">
        <f>IFERROR(MID(VLOOKUP($B339,Seqs!$A:$B,2,0),AK339,1),"")</f>
        <v>N</v>
      </c>
      <c r="AK339" s="105">
        <v>396</v>
      </c>
      <c r="AL339" s="3" t="str">
        <f>IFERROR(MID(VLOOKUP($B339,Seqs!$A:$B,2,0),AM339,1),"")</f>
        <v>H</v>
      </c>
      <c r="AM339" s="3">
        <v>433</v>
      </c>
      <c r="AN339" s="3" t="str">
        <f>IFERROR(MID(VLOOKUP($B339,Seqs!$A:$B,2,0),AO339,1),"")</f>
        <v>A</v>
      </c>
      <c r="AO339" s="3">
        <v>442</v>
      </c>
      <c r="AP339" s="3" t="str">
        <f>IFERROR(MID(VLOOKUP($B339,Seqs!$A:$B,2,0),AQ339,1),"")</f>
        <v>N</v>
      </c>
      <c r="AQ339" s="3">
        <v>493</v>
      </c>
      <c r="AR339" s="3" t="str">
        <f>IFERROR(MID(VLOOKUP($B339,Seqs!$A:$B,2,0),AS339,1),"")</f>
        <v>S</v>
      </c>
      <c r="AS339" s="105">
        <v>514</v>
      </c>
      <c r="AT339" s="3" t="str">
        <f>IFERROR(MID(VLOOKUP($B339,Seqs!$A:$B,2,0),AU339,1),"")</f>
        <v>W</v>
      </c>
      <c r="AU339" s="3">
        <v>537</v>
      </c>
      <c r="AV339" s="3" t="str">
        <f>IFERROR(MID(VLOOKUP($B339,Seqs!$A:$B,2,0),AW339,1),"")</f>
        <v>T</v>
      </c>
      <c r="AW339" s="3">
        <v>538</v>
      </c>
      <c r="AX339" s="3" t="str">
        <f>IFERROR(MID(VLOOKUP($B339,Seqs!$A:$B,2,0),AY339,1),"")</f>
        <v>C</v>
      </c>
      <c r="AY339" s="3">
        <v>550</v>
      </c>
      <c r="AZ339" s="77" t="str">
        <f>VLOOKUP(B339,Classification!A:D,2,0)</f>
        <v>F</v>
      </c>
      <c r="BA339" s="94" t="str">
        <f>VLOOKUP(B339,Classification!A:D,4,0)</f>
        <v>Frizzled</v>
      </c>
      <c r="BB339" s="27" t="b">
        <f t="shared" si="1564"/>
        <v>1</v>
      </c>
      <c r="BC339" s="23">
        <f t="shared" si="1537"/>
        <v>251</v>
      </c>
      <c r="BD339" s="4" t="s">
        <v>23</v>
      </c>
      <c r="BE339" s="3" t="s">
        <v>1380</v>
      </c>
      <c r="BF339" s="119">
        <v>2.4500000000000002</v>
      </c>
      <c r="BG339" s="49" t="s">
        <v>1383</v>
      </c>
      <c r="BH339" s="49" t="s">
        <v>1383</v>
      </c>
      <c r="BJ339" s="70" t="s">
        <v>1293</v>
      </c>
      <c r="BK339" s="57" t="s">
        <v>1293</v>
      </c>
      <c r="BL339" s="57" t="s">
        <v>1293</v>
      </c>
      <c r="BM339" s="57" t="s">
        <v>1293</v>
      </c>
      <c r="BN339" s="57" t="s">
        <v>1293</v>
      </c>
      <c r="BO339" s="57" t="s">
        <v>1293</v>
      </c>
      <c r="BP339" s="57" t="s">
        <v>1293</v>
      </c>
      <c r="BQ339" s="57" t="s">
        <v>1293</v>
      </c>
      <c r="BR339" s="57" t="s">
        <v>1293</v>
      </c>
      <c r="BS339" s="57" t="s">
        <v>1293</v>
      </c>
      <c r="BT339" s="57" t="s">
        <v>1293</v>
      </c>
      <c r="BU339" s="57" t="s">
        <v>1293</v>
      </c>
      <c r="BV339" s="70">
        <f t="shared" si="1538"/>
        <v>223</v>
      </c>
      <c r="BW339" s="71">
        <f t="shared" si="1539"/>
        <v>256</v>
      </c>
      <c r="BX339" s="72">
        <f t="shared" si="1540"/>
        <v>261</v>
      </c>
      <c r="BY339" s="71" t="str">
        <f t="shared" si="1541"/>
        <v>-</v>
      </c>
      <c r="BZ339" s="72">
        <f t="shared" si="1542"/>
        <v>312</v>
      </c>
      <c r="CA339" s="71" t="str">
        <f t="shared" si="1543"/>
        <v>-</v>
      </c>
      <c r="CB339" s="72">
        <f t="shared" si="1544"/>
        <v>360</v>
      </c>
      <c r="CC339" s="71">
        <f t="shared" si="1545"/>
        <v>390</v>
      </c>
      <c r="CD339" s="72">
        <f t="shared" si="1546"/>
        <v>396</v>
      </c>
      <c r="CE339" s="71">
        <f t="shared" si="1547"/>
        <v>442</v>
      </c>
      <c r="CF339" s="72">
        <f t="shared" si="1548"/>
        <v>514</v>
      </c>
      <c r="CG339" s="71">
        <f t="shared" si="1549"/>
        <v>538</v>
      </c>
      <c r="CH339" s="70">
        <f t="shared" si="1550"/>
        <v>255</v>
      </c>
      <c r="CI339" s="71">
        <f t="shared" si="1551"/>
        <v>260</v>
      </c>
      <c r="CJ339" s="72">
        <f t="shared" si="1552"/>
        <v>285</v>
      </c>
      <c r="CK339" s="72" t="str">
        <f t="shared" si="1553"/>
        <v>-</v>
      </c>
      <c r="CL339" s="72">
        <f t="shared" si="1554"/>
        <v>348</v>
      </c>
      <c r="CM339" s="72" t="str">
        <f t="shared" si="1555"/>
        <v>-</v>
      </c>
      <c r="CN339" s="72">
        <f t="shared" si="1556"/>
        <v>378</v>
      </c>
      <c r="CO339" s="72">
        <f t="shared" si="1557"/>
        <v>392</v>
      </c>
      <c r="CP339" s="72">
        <f t="shared" si="1558"/>
        <v>433</v>
      </c>
      <c r="CQ339" s="72">
        <f t="shared" si="1559"/>
        <v>493</v>
      </c>
      <c r="CR339" s="72">
        <f t="shared" si="1560"/>
        <v>537</v>
      </c>
      <c r="CS339" s="72">
        <f t="shared" si="1561"/>
        <v>550</v>
      </c>
      <c r="CT339" s="23">
        <f t="shared" si="1562"/>
        <v>1</v>
      </c>
    </row>
    <row r="340" spans="1:1030" x14ac:dyDescent="0.2">
      <c r="A340" s="3" t="str">
        <f t="shared" si="1563"/>
        <v>smo_human_4N4W</v>
      </c>
      <c r="B340" s="3" t="s">
        <v>33</v>
      </c>
      <c r="C340" s="3" t="s">
        <v>1048</v>
      </c>
      <c r="D340" s="3" t="str">
        <f>IFERROR(MID(VLOOKUP($B340,Seqs!$A:$B,2,0),E340,1),"")</f>
        <v>T</v>
      </c>
      <c r="E340" s="105">
        <v>223</v>
      </c>
      <c r="F340" s="3" t="str">
        <f>IFERROR(MID(VLOOKUP($B340,Seqs!$A:$B,2,0),G340,1),"")</f>
        <v>D</v>
      </c>
      <c r="G340" s="3">
        <v>255</v>
      </c>
      <c r="H340" s="3" t="str">
        <f>IFERROR(MID(VLOOKUP($B340,Seqs!$A:$B,2,0),I340,1),"")</f>
        <v>W</v>
      </c>
      <c r="I340" s="23">
        <v>256</v>
      </c>
      <c r="J340" s="3" t="str">
        <f>IFERROR(MID(VLOOKUP($B340,Seqs!$A:$B,2,0),K340,1),"")</f>
        <v>N</v>
      </c>
      <c r="K340" s="23">
        <v>260</v>
      </c>
      <c r="L340" s="3" t="str">
        <f>IFERROR(MID(VLOOKUP($B340,Seqs!$A:$B,2,0),M340,1),"")</f>
        <v>R</v>
      </c>
      <c r="M340" s="3">
        <v>261</v>
      </c>
      <c r="N340" s="3" t="str">
        <f>IFERROR(MID(VLOOKUP($B340,Seqs!$A:$B,2,0),O340,1),"")</f>
        <v>F</v>
      </c>
      <c r="O340" s="3">
        <v>285</v>
      </c>
      <c r="P340" s="3" t="str">
        <f>IFERROR(MID(VLOOKUP($B340,Seqs!$A:$B,2,0),Q340,1),"")</f>
        <v/>
      </c>
      <c r="Q340" s="3" t="s">
        <v>23</v>
      </c>
      <c r="R340" s="3" t="str">
        <f>IFERROR(MID(VLOOKUP($B340,Seqs!$A:$B,2,0),S340,1),"")</f>
        <v/>
      </c>
      <c r="S340" s="3" t="s">
        <v>23</v>
      </c>
      <c r="T340" s="3" t="str">
        <f>IFERROR(MID(VLOOKUP($B340,Seqs!$A:$B,2,0),U340,1),"")</f>
        <v>L</v>
      </c>
      <c r="U340" s="3">
        <v>312</v>
      </c>
      <c r="V340" s="3" t="str">
        <f>IFERROR(MID(VLOOKUP($B340,Seqs!$A:$B,2,0),W340,1),"")</f>
        <v>A</v>
      </c>
      <c r="W340" s="3">
        <v>345</v>
      </c>
      <c r="X340" s="3" t="str">
        <f>IFERROR(MID(VLOOKUP($B340,Seqs!$A:$B,2,0),Y340,1),"")</f>
        <v/>
      </c>
      <c r="Y340" s="3" t="s">
        <v>23</v>
      </c>
      <c r="Z340" s="3" t="str">
        <f>IFERROR(MID(VLOOKUP($B340,Seqs!$A:$B,2,0),AA340,1),"")</f>
        <v/>
      </c>
      <c r="AA340" s="3" t="s">
        <v>23</v>
      </c>
      <c r="AB340" s="3" t="str">
        <f>IFERROR(MID(VLOOKUP($B340,Seqs!$A:$B,2,0),AC340,1),"")</f>
        <v>K</v>
      </c>
      <c r="AC340" s="9">
        <v>356</v>
      </c>
      <c r="AD340" s="3" t="str">
        <f>IFERROR(MID(VLOOKUP($B340,Seqs!$A:$B,2,0),AE340,1),"")</f>
        <v>V</v>
      </c>
      <c r="AE340" s="3">
        <v>378</v>
      </c>
      <c r="AF340" s="3" t="str">
        <f>IFERROR(MID(VLOOKUP($B340,Seqs!$A:$B,2,0),AG340,1),"")</f>
        <v>C</v>
      </c>
      <c r="AG340" s="3">
        <v>390</v>
      </c>
      <c r="AH340" s="3" t="str">
        <f>IFERROR(MID(VLOOKUP($B340,Seqs!$A:$B,2,0),AI340,1),"")</f>
        <v>V</v>
      </c>
      <c r="AI340" s="3">
        <v>392</v>
      </c>
      <c r="AJ340" s="3" t="str">
        <f>IFERROR(MID(VLOOKUP($B340,Seqs!$A:$B,2,0),AK340,1),"")</f>
        <v>N</v>
      </c>
      <c r="AK340" s="105">
        <v>396</v>
      </c>
      <c r="AL340" s="3" t="str">
        <f>IFERROR(MID(VLOOKUP($B340,Seqs!$A:$B,2,0),AM340,1),"")</f>
        <v>H</v>
      </c>
      <c r="AM340" s="3">
        <v>433</v>
      </c>
      <c r="AN340" s="3" t="str">
        <f>IFERROR(MID(VLOOKUP($B340,Seqs!$A:$B,2,0),AO340,1),"")</f>
        <v>S</v>
      </c>
      <c r="AO340" s="3">
        <v>443</v>
      </c>
      <c r="AP340" s="3" t="str">
        <f>IFERROR(MID(VLOOKUP($B340,Seqs!$A:$B,2,0),AQ340,1),"")</f>
        <v>Q</v>
      </c>
      <c r="AQ340" s="3">
        <v>491</v>
      </c>
      <c r="AR340" s="3" t="str">
        <f>IFERROR(MID(VLOOKUP($B340,Seqs!$A:$B,2,0),AS340,1),"")</f>
        <v>S</v>
      </c>
      <c r="AS340" s="105">
        <v>514</v>
      </c>
      <c r="AT340" s="3" t="str">
        <f>IFERROR(MID(VLOOKUP($B340,Seqs!$A:$B,2,0),AU340,1),"")</f>
        <v>W</v>
      </c>
      <c r="AU340" s="3">
        <v>537</v>
      </c>
      <c r="AV340" s="3" t="str">
        <f>IFERROR(MID(VLOOKUP($B340,Seqs!$A:$B,2,0),AW340,1),"")</f>
        <v>T</v>
      </c>
      <c r="AW340" s="3">
        <v>538</v>
      </c>
      <c r="AX340" s="3" t="str">
        <f>IFERROR(MID(VLOOKUP($B340,Seqs!$A:$B,2,0),AY340,1),"")</f>
        <v>L</v>
      </c>
      <c r="AY340" s="3">
        <v>552</v>
      </c>
      <c r="AZ340" s="77" t="str">
        <f>VLOOKUP(B340,Classification!A:D,2,0)</f>
        <v>F</v>
      </c>
      <c r="BA340" s="94" t="str">
        <f>VLOOKUP(B340,Classification!A:D,4,0)</f>
        <v>Frizzled</v>
      </c>
      <c r="BB340" s="27" t="b">
        <f t="shared" si="1564"/>
        <v>1</v>
      </c>
      <c r="BC340" s="23">
        <f t="shared" si="1537"/>
        <v>251</v>
      </c>
      <c r="BD340" s="2" t="s">
        <v>23</v>
      </c>
      <c r="BE340" s="3" t="s">
        <v>1380</v>
      </c>
      <c r="BF340" s="119">
        <v>2.8</v>
      </c>
      <c r="BG340" s="49" t="s">
        <v>1383</v>
      </c>
      <c r="BH340" s="49" t="s">
        <v>1383</v>
      </c>
      <c r="BJ340" s="70" t="s">
        <v>1293</v>
      </c>
      <c r="BK340" s="57" t="s">
        <v>1293</v>
      </c>
      <c r="BL340" s="57" t="s">
        <v>1293</v>
      </c>
      <c r="BM340" s="57" t="s">
        <v>1293</v>
      </c>
      <c r="BN340" s="57" t="s">
        <v>1293</v>
      </c>
      <c r="BO340" s="57" t="s">
        <v>1293</v>
      </c>
      <c r="BP340" s="57" t="s">
        <v>1293</v>
      </c>
      <c r="BQ340" s="57" t="s">
        <v>1293</v>
      </c>
      <c r="BR340" s="57" t="s">
        <v>1293</v>
      </c>
      <c r="BS340" s="57" t="s">
        <v>1293</v>
      </c>
      <c r="BT340" s="57" t="s">
        <v>1293</v>
      </c>
      <c r="BU340" s="57" t="s">
        <v>1293</v>
      </c>
      <c r="BV340" s="70">
        <f t="shared" si="1538"/>
        <v>223</v>
      </c>
      <c r="BW340" s="71">
        <f t="shared" si="1539"/>
        <v>256</v>
      </c>
      <c r="BX340" s="72">
        <f t="shared" si="1540"/>
        <v>261</v>
      </c>
      <c r="BY340" s="71" t="str">
        <f t="shared" si="1541"/>
        <v>-</v>
      </c>
      <c r="BZ340" s="72">
        <f t="shared" si="1542"/>
        <v>312</v>
      </c>
      <c r="CA340" s="71" t="str">
        <f t="shared" si="1543"/>
        <v>-</v>
      </c>
      <c r="CB340" s="72">
        <f t="shared" si="1544"/>
        <v>356</v>
      </c>
      <c r="CC340" s="71">
        <f t="shared" si="1545"/>
        <v>390</v>
      </c>
      <c r="CD340" s="72">
        <f t="shared" si="1546"/>
        <v>396</v>
      </c>
      <c r="CE340" s="71">
        <f t="shared" si="1547"/>
        <v>443</v>
      </c>
      <c r="CF340" s="72">
        <f t="shared" si="1548"/>
        <v>514</v>
      </c>
      <c r="CG340" s="71">
        <f t="shared" si="1549"/>
        <v>538</v>
      </c>
      <c r="CH340" s="70">
        <f t="shared" si="1550"/>
        <v>255</v>
      </c>
      <c r="CI340" s="71">
        <f t="shared" si="1551"/>
        <v>260</v>
      </c>
      <c r="CJ340" s="72">
        <f t="shared" si="1552"/>
        <v>285</v>
      </c>
      <c r="CK340" s="72" t="str">
        <f t="shared" si="1553"/>
        <v>-</v>
      </c>
      <c r="CL340" s="72">
        <f t="shared" si="1554"/>
        <v>345</v>
      </c>
      <c r="CM340" s="72" t="str">
        <f t="shared" si="1555"/>
        <v>-</v>
      </c>
      <c r="CN340" s="72">
        <f t="shared" si="1556"/>
        <v>378</v>
      </c>
      <c r="CO340" s="72">
        <f t="shared" si="1557"/>
        <v>392</v>
      </c>
      <c r="CP340" s="72">
        <f t="shared" si="1558"/>
        <v>433</v>
      </c>
      <c r="CQ340" s="72">
        <f t="shared" si="1559"/>
        <v>491</v>
      </c>
      <c r="CR340" s="72">
        <f t="shared" si="1560"/>
        <v>537</v>
      </c>
      <c r="CS340" s="72">
        <f t="shared" si="1561"/>
        <v>552</v>
      </c>
      <c r="CT340" s="23">
        <f t="shared" si="1562"/>
        <v>1</v>
      </c>
    </row>
    <row r="341" spans="1:1030" x14ac:dyDescent="0.2">
      <c r="A341" s="3" t="str">
        <f t="shared" si="1563"/>
        <v>smo_human_4O9R</v>
      </c>
      <c r="B341" s="3" t="s">
        <v>33</v>
      </c>
      <c r="C341" s="3" t="s">
        <v>1050</v>
      </c>
      <c r="D341" s="3" t="str">
        <f>IFERROR(MID(VLOOKUP($B341,Seqs!$A:$B,2,0),E341,1),"")</f>
        <v>T</v>
      </c>
      <c r="E341" s="105">
        <v>223</v>
      </c>
      <c r="F341" s="3" t="str">
        <f>IFERROR(MID(VLOOKUP($B341,Seqs!$A:$B,2,0),G341,1),"")</f>
        <v>D</v>
      </c>
      <c r="G341" s="3">
        <v>255</v>
      </c>
      <c r="H341" s="3" t="str">
        <f>IFERROR(MID(VLOOKUP($B341,Seqs!$A:$B,2,0),I341,1),"")</f>
        <v>W</v>
      </c>
      <c r="I341" s="23">
        <v>256</v>
      </c>
      <c r="J341" s="3" t="str">
        <f>IFERROR(MID(VLOOKUP($B341,Seqs!$A:$B,2,0),K341,1),"")</f>
        <v>N</v>
      </c>
      <c r="K341" s="23">
        <v>260</v>
      </c>
      <c r="L341" s="3" t="str">
        <f>IFERROR(MID(VLOOKUP($B341,Seqs!$A:$B,2,0),M341,1),"")</f>
        <v>R</v>
      </c>
      <c r="M341" s="3">
        <v>261</v>
      </c>
      <c r="N341" s="3" t="str">
        <f>IFERROR(MID(VLOOKUP($B341,Seqs!$A:$B,2,0),O341,1),"")</f>
        <v>F</v>
      </c>
      <c r="O341" s="3">
        <v>285</v>
      </c>
      <c r="P341" s="3" t="str">
        <f>IFERROR(MID(VLOOKUP($B341,Seqs!$A:$B,2,0),Q341,1),"")</f>
        <v/>
      </c>
      <c r="Q341" s="3" t="s">
        <v>23</v>
      </c>
      <c r="R341" s="3" t="str">
        <f>IFERROR(MID(VLOOKUP($B341,Seqs!$A:$B,2,0),S341,1),"")</f>
        <v/>
      </c>
      <c r="S341" s="3" t="s">
        <v>23</v>
      </c>
      <c r="T341" s="3" t="str">
        <f>IFERROR(MID(VLOOKUP($B341,Seqs!$A:$B,2,0),U341,1),"")</f>
        <v>L</v>
      </c>
      <c r="U341" s="3">
        <v>312</v>
      </c>
      <c r="V341" s="3" t="str">
        <f>IFERROR(MID(VLOOKUP($B341,Seqs!$A:$B,2,0),W341,1),"")</f>
        <v>F</v>
      </c>
      <c r="W341" s="3">
        <v>343</v>
      </c>
      <c r="X341" s="3" t="str">
        <f>IFERROR(MID(VLOOKUP($B341,Seqs!$A:$B,2,0),Y341,1),"")</f>
        <v/>
      </c>
      <c r="Y341" s="3" t="s">
        <v>23</v>
      </c>
      <c r="Z341" s="3" t="str">
        <f>IFERROR(MID(VLOOKUP($B341,Seqs!$A:$B,2,0),AA341,1),"")</f>
        <v/>
      </c>
      <c r="AA341" s="3" t="s">
        <v>23</v>
      </c>
      <c r="AB341" s="3" t="str">
        <f>IFERROR(MID(VLOOKUP($B341,Seqs!$A:$B,2,0),AC341,1),"")</f>
        <v>F</v>
      </c>
      <c r="AC341" s="9">
        <v>360</v>
      </c>
      <c r="AD341" s="3" t="str">
        <f>IFERROR(MID(VLOOKUP($B341,Seqs!$A:$B,2,0),AE341,1),"")</f>
        <v>V</v>
      </c>
      <c r="AE341" s="3">
        <v>378</v>
      </c>
      <c r="AF341" s="3" t="str">
        <f>IFERROR(MID(VLOOKUP($B341,Seqs!$A:$B,2,0),AG341,1),"")</f>
        <v>C</v>
      </c>
      <c r="AG341" s="3">
        <v>390</v>
      </c>
      <c r="AH341" s="3" t="str">
        <f>IFERROR(MID(VLOOKUP($B341,Seqs!$A:$B,2,0),AI341,1),"")</f>
        <v>V</v>
      </c>
      <c r="AI341" s="3">
        <v>392</v>
      </c>
      <c r="AJ341" s="3" t="str">
        <f>IFERROR(MID(VLOOKUP($B341,Seqs!$A:$B,2,0),AK341,1),"")</f>
        <v>N</v>
      </c>
      <c r="AK341" s="105">
        <v>396</v>
      </c>
      <c r="AL341" s="3" t="str">
        <f>IFERROR(MID(VLOOKUP($B341,Seqs!$A:$B,2,0),AM341,1),"")</f>
        <v>H</v>
      </c>
      <c r="AM341" s="3">
        <v>433</v>
      </c>
      <c r="AN341" s="3" t="str">
        <f>IFERROR(MID(VLOOKUP($B341,Seqs!$A:$B,2,0),AO341,1),"")</f>
        <v>E</v>
      </c>
      <c r="AO341" s="3">
        <v>447</v>
      </c>
      <c r="AP341" s="3" t="str">
        <f>IFERROR(MID(VLOOKUP($B341,Seqs!$A:$B,2,0),AQ341,1),"")</f>
        <v>N</v>
      </c>
      <c r="AQ341" s="3">
        <v>493</v>
      </c>
      <c r="AR341" s="3" t="str">
        <f>IFERROR(MID(VLOOKUP($B341,Seqs!$A:$B,2,0),AS341,1),"")</f>
        <v>S</v>
      </c>
      <c r="AS341" s="105">
        <v>514</v>
      </c>
      <c r="AT341" s="3" t="str">
        <f>IFERROR(MID(VLOOKUP($B341,Seqs!$A:$B,2,0),AU341,1),"")</f>
        <v>W</v>
      </c>
      <c r="AU341" s="3">
        <v>537</v>
      </c>
      <c r="AV341" s="3" t="str">
        <f>IFERROR(MID(VLOOKUP($B341,Seqs!$A:$B,2,0),AW341,1),"")</f>
        <v>T</v>
      </c>
      <c r="AW341" s="3">
        <v>538</v>
      </c>
      <c r="AX341" s="3" t="str">
        <f>IFERROR(MID(VLOOKUP($B341,Seqs!$A:$B,2,0),AY341,1),"")</f>
        <v>W</v>
      </c>
      <c r="AY341" s="3">
        <v>549</v>
      </c>
      <c r="AZ341" s="78" t="str">
        <f>VLOOKUP(B341,Classification!A:D,2,0)</f>
        <v>F</v>
      </c>
      <c r="BA341" s="94" t="str">
        <f>VLOOKUP(B341,Classification!A:D,4,0)</f>
        <v>Frizzled</v>
      </c>
      <c r="BB341" s="92" t="b">
        <f t="shared" si="1564"/>
        <v>1</v>
      </c>
      <c r="BC341" s="23">
        <f t="shared" si="1537"/>
        <v>240</v>
      </c>
      <c r="BD341" s="74" t="s">
        <v>23</v>
      </c>
      <c r="BE341" s="3" t="s">
        <v>1380</v>
      </c>
      <c r="BF341" s="119">
        <v>3.2</v>
      </c>
      <c r="BG341" s="49" t="s">
        <v>1383</v>
      </c>
      <c r="BH341" s="49" t="s">
        <v>1383</v>
      </c>
      <c r="BJ341" s="75" t="s">
        <v>1293</v>
      </c>
      <c r="BK341" s="57" t="s">
        <v>1293</v>
      </c>
      <c r="BL341" s="57" t="s">
        <v>1293</v>
      </c>
      <c r="BM341" s="57" t="s">
        <v>1293</v>
      </c>
      <c r="BN341" s="57" t="s">
        <v>1293</v>
      </c>
      <c r="BO341" s="57" t="s">
        <v>1293</v>
      </c>
      <c r="BP341" s="57" t="s">
        <v>1293</v>
      </c>
      <c r="BQ341" s="57" t="s">
        <v>1293</v>
      </c>
      <c r="BR341" s="57" t="s">
        <v>1293</v>
      </c>
      <c r="BS341" s="57" t="s">
        <v>1293</v>
      </c>
      <c r="BT341" s="57" t="s">
        <v>1293</v>
      </c>
      <c r="BU341" s="57" t="s">
        <v>1293</v>
      </c>
      <c r="BV341" s="75">
        <f t="shared" si="1538"/>
        <v>223</v>
      </c>
      <c r="BW341" s="71">
        <f t="shared" si="1539"/>
        <v>256</v>
      </c>
      <c r="BX341" s="72">
        <f t="shared" si="1540"/>
        <v>261</v>
      </c>
      <c r="BY341" s="71" t="str">
        <f t="shared" si="1541"/>
        <v>-</v>
      </c>
      <c r="BZ341" s="72">
        <f t="shared" si="1542"/>
        <v>312</v>
      </c>
      <c r="CA341" s="71" t="str">
        <f t="shared" si="1543"/>
        <v>-</v>
      </c>
      <c r="CB341" s="72">
        <f t="shared" si="1544"/>
        <v>360</v>
      </c>
      <c r="CC341" s="71">
        <f t="shared" si="1545"/>
        <v>390</v>
      </c>
      <c r="CD341" s="72">
        <f t="shared" si="1546"/>
        <v>396</v>
      </c>
      <c r="CE341" s="71">
        <f t="shared" si="1547"/>
        <v>447</v>
      </c>
      <c r="CF341" s="72">
        <f t="shared" si="1548"/>
        <v>514</v>
      </c>
      <c r="CG341" s="71">
        <f t="shared" si="1549"/>
        <v>538</v>
      </c>
      <c r="CH341" s="75">
        <f t="shared" si="1550"/>
        <v>255</v>
      </c>
      <c r="CI341" s="71">
        <f t="shared" si="1551"/>
        <v>260</v>
      </c>
      <c r="CJ341" s="72">
        <f t="shared" si="1552"/>
        <v>285</v>
      </c>
      <c r="CK341" s="72" t="str">
        <f t="shared" si="1553"/>
        <v>-</v>
      </c>
      <c r="CL341" s="72">
        <f t="shared" si="1554"/>
        <v>343</v>
      </c>
      <c r="CM341" s="72" t="str">
        <f t="shared" si="1555"/>
        <v>-</v>
      </c>
      <c r="CN341" s="72">
        <f t="shared" si="1556"/>
        <v>378</v>
      </c>
      <c r="CO341" s="72">
        <f t="shared" si="1557"/>
        <v>392</v>
      </c>
      <c r="CP341" s="72">
        <f t="shared" si="1558"/>
        <v>433</v>
      </c>
      <c r="CQ341" s="72">
        <f t="shared" si="1559"/>
        <v>493</v>
      </c>
      <c r="CR341" s="72">
        <f t="shared" si="1560"/>
        <v>537</v>
      </c>
      <c r="CS341" s="72">
        <f t="shared" si="1561"/>
        <v>549</v>
      </c>
      <c r="CT341" s="23">
        <f t="shared" si="1562"/>
        <v>1</v>
      </c>
    </row>
    <row r="342" spans="1:1030" s="6" customFormat="1" x14ac:dyDescent="0.2">
      <c r="A342" s="3" t="str">
        <f t="shared" si="1563"/>
        <v>smo_human_4QIM</v>
      </c>
      <c r="B342" s="3" t="s">
        <v>33</v>
      </c>
      <c r="C342" s="3" t="s">
        <v>1052</v>
      </c>
      <c r="D342" s="3" t="str">
        <f>IFERROR(MID(VLOOKUP($B342,Seqs!$A:$B,2,0),E342,1),"")</f>
        <v>T</v>
      </c>
      <c r="E342" s="105">
        <v>223</v>
      </c>
      <c r="F342" s="3" t="str">
        <f>IFERROR(MID(VLOOKUP($B342,Seqs!$A:$B,2,0),G342,1),"")</f>
        <v>D</v>
      </c>
      <c r="G342" s="3">
        <v>255</v>
      </c>
      <c r="H342" s="3" t="str">
        <f>IFERROR(MID(VLOOKUP($B342,Seqs!$A:$B,2,0),I342,1),"")</f>
        <v>W</v>
      </c>
      <c r="I342" s="23">
        <v>256</v>
      </c>
      <c r="J342" s="3" t="str">
        <f>IFERROR(MID(VLOOKUP($B342,Seqs!$A:$B,2,0),K342,1),"")</f>
        <v>N</v>
      </c>
      <c r="K342" s="23">
        <v>260</v>
      </c>
      <c r="L342" s="3" t="str">
        <f>IFERROR(MID(VLOOKUP($B342,Seqs!$A:$B,2,0),M342,1),"")</f>
        <v>R</v>
      </c>
      <c r="M342" s="3">
        <v>261</v>
      </c>
      <c r="N342" s="3" t="str">
        <f>IFERROR(MID(VLOOKUP($B342,Seqs!$A:$B,2,0),O342,1),"")</f>
        <v>F</v>
      </c>
      <c r="O342" s="3">
        <v>285</v>
      </c>
      <c r="P342" s="3" t="str">
        <f>IFERROR(MID(VLOOKUP($B342,Seqs!$A:$B,2,0),Q342,1),"")</f>
        <v/>
      </c>
      <c r="Q342" s="3" t="s">
        <v>23</v>
      </c>
      <c r="R342" s="3" t="str">
        <f>IFERROR(MID(VLOOKUP($B342,Seqs!$A:$B,2,0),S342,1),"")</f>
        <v/>
      </c>
      <c r="S342" s="3" t="s">
        <v>23</v>
      </c>
      <c r="T342" s="3" t="str">
        <f>IFERROR(MID(VLOOKUP($B342,Seqs!$A:$B,2,0),U342,1),"")</f>
        <v>L</v>
      </c>
      <c r="U342" s="3">
        <v>312</v>
      </c>
      <c r="V342" s="3" t="str">
        <f>IFERROR(MID(VLOOKUP($B342,Seqs!$A:$B,2,0),W342,1),"")</f>
        <v>A</v>
      </c>
      <c r="W342" s="3">
        <v>345</v>
      </c>
      <c r="X342" s="3" t="str">
        <f>IFERROR(MID(VLOOKUP($B342,Seqs!$A:$B,2,0),Y342,1),"")</f>
        <v/>
      </c>
      <c r="Y342" s="3" t="s">
        <v>23</v>
      </c>
      <c r="Z342" s="3" t="str">
        <f>IFERROR(MID(VLOOKUP($B342,Seqs!$A:$B,2,0),AA342,1),"")</f>
        <v/>
      </c>
      <c r="AA342" s="3" t="s">
        <v>23</v>
      </c>
      <c r="AB342" s="3" t="str">
        <f>IFERROR(MID(VLOOKUP($B342,Seqs!$A:$B,2,0),AC342,1),"")</f>
        <v>K</v>
      </c>
      <c r="AC342" s="9">
        <v>356</v>
      </c>
      <c r="AD342" s="3" t="str">
        <f>IFERROR(MID(VLOOKUP($B342,Seqs!$A:$B,2,0),AE342,1),"")</f>
        <v>V</v>
      </c>
      <c r="AE342" s="3">
        <v>378</v>
      </c>
      <c r="AF342" s="3" t="str">
        <f>IFERROR(MID(VLOOKUP($B342,Seqs!$A:$B,2,0),AG342,1),"")</f>
        <v>C</v>
      </c>
      <c r="AG342" s="3">
        <v>390</v>
      </c>
      <c r="AH342" s="3" t="str">
        <f>IFERROR(MID(VLOOKUP($B342,Seqs!$A:$B,2,0),AI342,1),"")</f>
        <v>V</v>
      </c>
      <c r="AI342" s="3">
        <v>392</v>
      </c>
      <c r="AJ342" s="3" t="str">
        <f>IFERROR(MID(VLOOKUP($B342,Seqs!$A:$B,2,0),AK342,1),"")</f>
        <v>N</v>
      </c>
      <c r="AK342" s="105">
        <v>396</v>
      </c>
      <c r="AL342" s="3" t="str">
        <f>IFERROR(MID(VLOOKUP($B342,Seqs!$A:$B,2,0),AM342,1),"")</f>
        <v>H</v>
      </c>
      <c r="AM342" s="3">
        <v>433</v>
      </c>
      <c r="AN342" s="3" t="str">
        <f>IFERROR(MID(VLOOKUP($B342,Seqs!$A:$B,2,0),AO342,1),"")</f>
        <v>E</v>
      </c>
      <c r="AO342" s="3">
        <v>447</v>
      </c>
      <c r="AP342" s="3" t="str">
        <f>IFERROR(MID(VLOOKUP($B342,Seqs!$A:$B,2,0),AQ342,1),"")</f>
        <v>N</v>
      </c>
      <c r="AQ342" s="3">
        <v>493</v>
      </c>
      <c r="AR342" s="3" t="str">
        <f>IFERROR(MID(VLOOKUP($B342,Seqs!$A:$B,2,0),AS342,1),"")</f>
        <v>S</v>
      </c>
      <c r="AS342" s="105">
        <v>514</v>
      </c>
      <c r="AT342" s="3" t="str">
        <f>IFERROR(MID(VLOOKUP($B342,Seqs!$A:$B,2,0),AU342,1),"")</f>
        <v>W</v>
      </c>
      <c r="AU342" s="3">
        <v>537</v>
      </c>
      <c r="AV342" s="3" t="str">
        <f>IFERROR(MID(VLOOKUP($B342,Seqs!$A:$B,2,0),AW342,1),"")</f>
        <v>T</v>
      </c>
      <c r="AW342" s="3">
        <v>538</v>
      </c>
      <c r="AX342" s="3" t="str">
        <f>IFERROR(MID(VLOOKUP($B342,Seqs!$A:$B,2,0),AY342,1),"")</f>
        <v>T</v>
      </c>
      <c r="AY342" s="3">
        <v>553</v>
      </c>
      <c r="AZ342" s="78" t="str">
        <f>VLOOKUP(B342,Classification!A:D,2,0)</f>
        <v>F</v>
      </c>
      <c r="BA342" s="94" t="str">
        <f>VLOOKUP(B342,Classification!A:D,4,0)</f>
        <v>Frizzled</v>
      </c>
      <c r="BB342" s="92" t="b">
        <f t="shared" si="1564"/>
        <v>1</v>
      </c>
      <c r="BC342" s="23">
        <f t="shared" si="1537"/>
        <v>250</v>
      </c>
      <c r="BD342" s="74" t="s">
        <v>23</v>
      </c>
      <c r="BE342" s="3" t="s">
        <v>1380</v>
      </c>
      <c r="BF342" s="119">
        <v>2.61</v>
      </c>
      <c r="BG342" s="49" t="s">
        <v>1383</v>
      </c>
      <c r="BH342" s="49" t="s">
        <v>1383</v>
      </c>
      <c r="BI342" s="3"/>
      <c r="BJ342" s="75" t="s">
        <v>1293</v>
      </c>
      <c r="BK342" s="57" t="s">
        <v>1293</v>
      </c>
      <c r="BL342" s="57" t="s">
        <v>1293</v>
      </c>
      <c r="BM342" s="57" t="s">
        <v>1293</v>
      </c>
      <c r="BN342" s="57" t="s">
        <v>1293</v>
      </c>
      <c r="BO342" s="57" t="s">
        <v>1293</v>
      </c>
      <c r="BP342" s="57" t="s">
        <v>1293</v>
      </c>
      <c r="BQ342" s="57" t="s">
        <v>1293</v>
      </c>
      <c r="BR342" s="57" t="s">
        <v>1293</v>
      </c>
      <c r="BS342" s="57" t="s">
        <v>1293</v>
      </c>
      <c r="BT342" s="57" t="s">
        <v>1293</v>
      </c>
      <c r="BU342" s="57" t="s">
        <v>1293</v>
      </c>
      <c r="BV342" s="75">
        <f t="shared" si="1538"/>
        <v>223</v>
      </c>
      <c r="BW342" s="71">
        <f t="shared" si="1539"/>
        <v>256</v>
      </c>
      <c r="BX342" s="72">
        <f t="shared" si="1540"/>
        <v>261</v>
      </c>
      <c r="BY342" s="71" t="str">
        <f t="shared" si="1541"/>
        <v>-</v>
      </c>
      <c r="BZ342" s="72">
        <f t="shared" si="1542"/>
        <v>312</v>
      </c>
      <c r="CA342" s="71" t="str">
        <f t="shared" si="1543"/>
        <v>-</v>
      </c>
      <c r="CB342" s="72">
        <f t="shared" si="1544"/>
        <v>356</v>
      </c>
      <c r="CC342" s="71">
        <f t="shared" si="1545"/>
        <v>390</v>
      </c>
      <c r="CD342" s="72">
        <f t="shared" si="1546"/>
        <v>396</v>
      </c>
      <c r="CE342" s="71">
        <f t="shared" si="1547"/>
        <v>447</v>
      </c>
      <c r="CF342" s="72">
        <f t="shared" si="1548"/>
        <v>514</v>
      </c>
      <c r="CG342" s="71">
        <f t="shared" si="1549"/>
        <v>538</v>
      </c>
      <c r="CH342" s="75">
        <f t="shared" si="1550"/>
        <v>255</v>
      </c>
      <c r="CI342" s="71">
        <f t="shared" si="1551"/>
        <v>260</v>
      </c>
      <c r="CJ342" s="72">
        <f t="shared" si="1552"/>
        <v>285</v>
      </c>
      <c r="CK342" s="72" t="str">
        <f t="shared" si="1553"/>
        <v>-</v>
      </c>
      <c r="CL342" s="72">
        <f t="shared" si="1554"/>
        <v>345</v>
      </c>
      <c r="CM342" s="72" t="str">
        <f t="shared" si="1555"/>
        <v>-</v>
      </c>
      <c r="CN342" s="72">
        <f t="shared" si="1556"/>
        <v>378</v>
      </c>
      <c r="CO342" s="72">
        <f t="shared" si="1557"/>
        <v>392</v>
      </c>
      <c r="CP342" s="72">
        <f t="shared" si="1558"/>
        <v>433</v>
      </c>
      <c r="CQ342" s="72">
        <f t="shared" si="1559"/>
        <v>493</v>
      </c>
      <c r="CR342" s="72">
        <f t="shared" si="1560"/>
        <v>537</v>
      </c>
      <c r="CS342" s="72">
        <f t="shared" si="1561"/>
        <v>553</v>
      </c>
      <c r="CT342" s="23">
        <f t="shared" si="1562"/>
        <v>1</v>
      </c>
      <c r="CU342" s="3"/>
      <c r="CV342" s="3"/>
      <c r="CW342" s="3"/>
      <c r="CX342" s="3"/>
      <c r="CY342" s="3"/>
      <c r="CZ342" s="3"/>
      <c r="DA342" s="3"/>
      <c r="DB342" s="3"/>
      <c r="DC342" s="3"/>
      <c r="DD342" s="3"/>
      <c r="DE342" s="3"/>
      <c r="DF342" s="3"/>
      <c r="DG342" s="3"/>
      <c r="DH342" s="3"/>
      <c r="DI342" s="3"/>
      <c r="DJ342" s="3"/>
      <c r="DK342" s="3"/>
      <c r="DL342" s="3"/>
      <c r="DM342" s="3"/>
      <c r="DN342" s="3"/>
      <c r="DO342" s="3"/>
      <c r="DP342" s="3"/>
      <c r="DQ342" s="3"/>
      <c r="DR342" s="3"/>
      <c r="DS342" s="3"/>
      <c r="DT342" s="3"/>
      <c r="DU342" s="3"/>
      <c r="DV342" s="3"/>
      <c r="DW342" s="3"/>
      <c r="DX342" s="3"/>
      <c r="DY342" s="3"/>
      <c r="DZ342" s="3"/>
      <c r="EA342" s="3"/>
      <c r="EB342" s="3"/>
      <c r="EC342" s="3"/>
      <c r="ED342" s="3"/>
      <c r="EE342" s="3"/>
      <c r="EF342" s="3"/>
      <c r="EG342" s="3"/>
      <c r="EH342" s="3"/>
      <c r="EI342" s="3"/>
      <c r="EJ342" s="3"/>
      <c r="EK342" s="3"/>
      <c r="EL342" s="3"/>
      <c r="EM342" s="3"/>
      <c r="EN342" s="3"/>
      <c r="EO342" s="3"/>
      <c r="EP342" s="3"/>
      <c r="EQ342" s="3"/>
      <c r="ER342" s="3"/>
      <c r="ES342" s="3"/>
      <c r="ET342" s="3"/>
      <c r="EU342" s="3"/>
      <c r="EV342" s="3"/>
      <c r="EW342" s="3"/>
      <c r="EX342" s="3"/>
      <c r="EY342" s="3"/>
      <c r="EZ342" s="3"/>
      <c r="FA342" s="3"/>
      <c r="FB342" s="3"/>
      <c r="FC342" s="3"/>
      <c r="FD342" s="3"/>
      <c r="FE342" s="3"/>
      <c r="FF342" s="3"/>
      <c r="FG342" s="3"/>
      <c r="FH342" s="3"/>
      <c r="FI342" s="3"/>
      <c r="FJ342" s="3"/>
      <c r="FK342" s="3"/>
      <c r="FL342" s="3"/>
      <c r="FM342" s="3"/>
      <c r="FN342" s="3"/>
      <c r="FO342" s="3"/>
      <c r="FP342" s="3"/>
      <c r="FQ342" s="3"/>
      <c r="FR342" s="3"/>
      <c r="FS342" s="3"/>
      <c r="FT342" s="3"/>
      <c r="FU342" s="3"/>
      <c r="FV342" s="3"/>
      <c r="FW342" s="3"/>
      <c r="FX342" s="3"/>
      <c r="FY342" s="3"/>
      <c r="FZ342" s="3"/>
      <c r="GA342" s="3"/>
      <c r="GB342" s="3"/>
      <c r="GC342" s="3"/>
      <c r="GD342" s="3"/>
      <c r="GE342" s="3"/>
      <c r="GF342" s="3"/>
      <c r="GG342" s="3"/>
      <c r="GH342" s="3"/>
      <c r="GI342" s="3"/>
      <c r="GJ342" s="3"/>
      <c r="GK342" s="3"/>
      <c r="GL342" s="3"/>
      <c r="GM342" s="3"/>
      <c r="GN342" s="3"/>
      <c r="GO342" s="3"/>
      <c r="GP342" s="3"/>
      <c r="GQ342" s="3"/>
      <c r="GR342" s="3"/>
      <c r="GS342" s="3"/>
      <c r="GT342" s="3"/>
      <c r="GU342" s="3"/>
      <c r="GV342" s="3"/>
      <c r="GW342" s="3"/>
      <c r="GX342" s="3"/>
      <c r="GY342" s="3"/>
      <c r="GZ342" s="3"/>
      <c r="HA342" s="3"/>
      <c r="HB342" s="3"/>
      <c r="HC342" s="3"/>
      <c r="HD342" s="3"/>
      <c r="HE342" s="3"/>
      <c r="HF342" s="3"/>
      <c r="HG342" s="3"/>
      <c r="HH342" s="3"/>
      <c r="HI342" s="3"/>
      <c r="HJ342" s="3"/>
      <c r="HK342" s="3"/>
      <c r="HL342" s="3"/>
      <c r="HM342" s="3"/>
      <c r="HN342" s="3"/>
      <c r="HO342" s="3"/>
      <c r="HP342" s="3"/>
      <c r="HQ342" s="3"/>
      <c r="HR342" s="3"/>
      <c r="HS342" s="3"/>
      <c r="HT342" s="3"/>
      <c r="HU342" s="3"/>
      <c r="HV342" s="3"/>
      <c r="HW342" s="3"/>
      <c r="HX342" s="3"/>
      <c r="HY342" s="3"/>
      <c r="HZ342" s="3"/>
      <c r="IA342" s="3"/>
      <c r="IB342" s="3"/>
      <c r="IC342" s="3"/>
      <c r="ID342" s="3"/>
      <c r="IE342" s="3"/>
      <c r="IF342" s="3"/>
      <c r="IG342" s="3"/>
      <c r="IH342" s="3"/>
      <c r="II342" s="3"/>
      <c r="IJ342" s="3"/>
      <c r="IK342" s="3"/>
      <c r="IL342" s="3"/>
      <c r="IM342" s="3"/>
      <c r="IN342" s="3"/>
      <c r="IO342" s="3"/>
      <c r="IP342" s="3"/>
      <c r="IQ342" s="3"/>
      <c r="IR342" s="3"/>
      <c r="IS342" s="3"/>
      <c r="IT342" s="3"/>
      <c r="IU342" s="3"/>
      <c r="IV342" s="3"/>
      <c r="IW342" s="3"/>
      <c r="IX342" s="3"/>
      <c r="IY342" s="3"/>
      <c r="IZ342" s="3"/>
      <c r="JA342" s="3"/>
      <c r="JB342" s="3"/>
      <c r="JC342" s="3"/>
      <c r="JD342" s="3"/>
      <c r="JE342" s="3"/>
      <c r="JF342" s="3"/>
      <c r="JG342" s="3"/>
      <c r="JH342" s="3"/>
      <c r="JI342" s="3"/>
      <c r="JJ342" s="3"/>
      <c r="JK342" s="3"/>
      <c r="JL342" s="3"/>
      <c r="JM342" s="3"/>
      <c r="JN342" s="3"/>
      <c r="JO342" s="3"/>
      <c r="JP342" s="3"/>
      <c r="JQ342" s="3"/>
      <c r="JR342" s="3"/>
      <c r="JS342" s="3"/>
      <c r="JT342" s="3"/>
      <c r="JU342" s="3"/>
      <c r="JV342" s="3"/>
      <c r="JW342" s="3"/>
      <c r="JX342" s="3"/>
      <c r="JY342" s="3"/>
      <c r="JZ342" s="3"/>
      <c r="KA342" s="3"/>
      <c r="KB342" s="3"/>
      <c r="KC342" s="3"/>
      <c r="KD342" s="3"/>
      <c r="KE342" s="3"/>
      <c r="KF342" s="3"/>
      <c r="KG342" s="3"/>
      <c r="KH342" s="3"/>
      <c r="KI342" s="3"/>
      <c r="KJ342" s="3"/>
      <c r="KK342" s="3"/>
      <c r="KL342" s="3"/>
      <c r="KM342" s="3"/>
      <c r="KN342" s="3"/>
      <c r="KO342" s="3"/>
      <c r="KP342" s="3"/>
      <c r="KQ342" s="3"/>
      <c r="KR342" s="3"/>
      <c r="KS342" s="3"/>
      <c r="KT342" s="3"/>
      <c r="KU342" s="3"/>
      <c r="KV342" s="3"/>
      <c r="KW342" s="3"/>
      <c r="KX342" s="3"/>
      <c r="KY342" s="3"/>
      <c r="KZ342" s="3"/>
      <c r="LA342" s="3"/>
      <c r="LB342" s="3"/>
      <c r="LC342" s="3"/>
      <c r="LD342" s="3"/>
      <c r="LE342" s="3"/>
      <c r="LF342" s="3"/>
      <c r="LG342" s="3"/>
      <c r="LH342" s="3"/>
      <c r="LI342" s="3"/>
      <c r="LJ342" s="3"/>
      <c r="LK342" s="3"/>
      <c r="LL342" s="3"/>
      <c r="LM342" s="3"/>
      <c r="LN342" s="3"/>
      <c r="LO342" s="3"/>
      <c r="LP342" s="3"/>
      <c r="LQ342" s="3"/>
      <c r="LR342" s="3"/>
      <c r="LS342" s="3"/>
      <c r="LT342" s="3"/>
      <c r="LU342" s="3"/>
      <c r="LV342" s="3"/>
      <c r="LW342" s="3"/>
      <c r="LX342" s="3"/>
      <c r="LY342" s="3"/>
      <c r="LZ342" s="3"/>
      <c r="MA342" s="3"/>
      <c r="MB342" s="3"/>
      <c r="MC342" s="3"/>
      <c r="MD342" s="3"/>
      <c r="ME342" s="3"/>
      <c r="MF342" s="3"/>
      <c r="MG342" s="3"/>
      <c r="MH342" s="3"/>
      <c r="MI342" s="3"/>
      <c r="MJ342" s="3"/>
      <c r="MK342" s="3"/>
      <c r="ML342" s="3"/>
      <c r="MM342" s="3"/>
      <c r="MN342" s="3"/>
      <c r="MO342" s="3"/>
      <c r="MP342" s="3"/>
      <c r="MQ342" s="3"/>
      <c r="MR342" s="3"/>
      <c r="MS342" s="3"/>
      <c r="MT342" s="3"/>
      <c r="MU342" s="3"/>
      <c r="MV342" s="3"/>
      <c r="MW342" s="3"/>
      <c r="MX342" s="3"/>
      <c r="MY342" s="3"/>
      <c r="MZ342" s="3"/>
      <c r="NA342" s="3"/>
      <c r="NB342" s="3"/>
      <c r="NC342" s="3"/>
      <c r="ND342" s="3"/>
      <c r="NE342" s="3"/>
      <c r="NF342" s="3"/>
      <c r="NG342" s="3"/>
      <c r="NH342" s="3"/>
      <c r="NI342" s="3"/>
      <c r="NJ342" s="3"/>
      <c r="NK342" s="3"/>
      <c r="NL342" s="3"/>
      <c r="NM342" s="3"/>
      <c r="NN342" s="3"/>
      <c r="NO342" s="3"/>
      <c r="NP342" s="3"/>
      <c r="NQ342" s="3"/>
      <c r="NR342" s="3"/>
      <c r="NS342" s="3"/>
      <c r="NT342" s="3"/>
      <c r="NU342" s="3"/>
      <c r="NV342" s="3"/>
      <c r="NW342" s="3"/>
      <c r="NX342" s="3"/>
      <c r="NY342" s="3"/>
      <c r="NZ342" s="3"/>
      <c r="OA342" s="3"/>
      <c r="OB342" s="3"/>
      <c r="OC342" s="3"/>
      <c r="OD342" s="3"/>
      <c r="OE342" s="3"/>
      <c r="OF342" s="3"/>
      <c r="OG342" s="3"/>
      <c r="OH342" s="3"/>
      <c r="OI342" s="3"/>
      <c r="OJ342" s="3"/>
      <c r="OK342" s="3"/>
      <c r="OL342" s="3"/>
      <c r="OM342" s="3"/>
      <c r="ON342" s="3"/>
      <c r="OO342" s="3"/>
      <c r="OP342" s="3"/>
      <c r="OQ342" s="3"/>
      <c r="OR342" s="3"/>
      <c r="OS342" s="3"/>
      <c r="OT342" s="3"/>
      <c r="OU342" s="3"/>
      <c r="OV342" s="3"/>
      <c r="OW342" s="3"/>
      <c r="OX342" s="3"/>
      <c r="OY342" s="3"/>
      <c r="OZ342" s="3"/>
      <c r="PA342" s="3"/>
      <c r="PB342" s="3"/>
      <c r="PC342" s="3"/>
      <c r="PD342" s="3"/>
      <c r="PE342" s="3"/>
      <c r="PF342" s="3"/>
      <c r="PG342" s="3"/>
      <c r="PH342" s="3"/>
      <c r="PI342" s="3"/>
      <c r="PJ342" s="3"/>
      <c r="PK342" s="3"/>
      <c r="PL342" s="3"/>
      <c r="PM342" s="3"/>
      <c r="PN342" s="3"/>
      <c r="PO342" s="3"/>
      <c r="PP342" s="3"/>
      <c r="PQ342" s="3"/>
      <c r="PR342" s="3"/>
      <c r="PS342" s="3"/>
      <c r="PT342" s="3"/>
      <c r="PU342" s="3"/>
      <c r="PV342" s="3"/>
      <c r="PW342" s="3"/>
      <c r="PX342" s="3"/>
      <c r="PY342" s="3"/>
      <c r="PZ342" s="3"/>
      <c r="QA342" s="3"/>
      <c r="QB342" s="3"/>
      <c r="QC342" s="3"/>
      <c r="QD342" s="3"/>
      <c r="QE342" s="3"/>
      <c r="QF342" s="3"/>
      <c r="QG342" s="3"/>
      <c r="QH342" s="3"/>
      <c r="QI342" s="3"/>
      <c r="QJ342" s="3"/>
      <c r="QK342" s="3"/>
      <c r="QL342" s="3"/>
      <c r="QM342" s="3"/>
      <c r="QN342" s="3"/>
      <c r="QO342" s="3"/>
      <c r="QP342" s="3"/>
      <c r="QQ342" s="3"/>
      <c r="QR342" s="3"/>
      <c r="QS342" s="3"/>
      <c r="QT342" s="3"/>
      <c r="QU342" s="3"/>
      <c r="QV342" s="3"/>
      <c r="QW342" s="3"/>
      <c r="QX342" s="3"/>
      <c r="QY342" s="3"/>
      <c r="QZ342" s="3"/>
      <c r="RA342" s="3"/>
      <c r="RB342" s="3"/>
      <c r="RC342" s="3"/>
      <c r="RD342" s="3"/>
      <c r="RE342" s="3"/>
      <c r="RF342" s="3"/>
      <c r="RG342" s="3"/>
      <c r="RH342" s="3"/>
      <c r="RI342" s="3"/>
      <c r="RJ342" s="3"/>
      <c r="RK342" s="3"/>
      <c r="RL342" s="3"/>
      <c r="RM342" s="3"/>
      <c r="RN342" s="3"/>
      <c r="RO342" s="3"/>
      <c r="RP342" s="3"/>
      <c r="RQ342" s="3"/>
      <c r="RR342" s="3"/>
      <c r="RS342" s="3"/>
      <c r="RT342" s="3"/>
      <c r="RU342" s="3"/>
      <c r="RV342" s="3"/>
      <c r="RW342" s="3"/>
      <c r="RX342" s="3"/>
      <c r="RY342" s="3"/>
      <c r="RZ342" s="3"/>
      <c r="SA342" s="3"/>
      <c r="SB342" s="3"/>
      <c r="SC342" s="3"/>
      <c r="SD342" s="3"/>
      <c r="SE342" s="3"/>
      <c r="SF342" s="3"/>
      <c r="SG342" s="3"/>
      <c r="SH342" s="3"/>
      <c r="SI342" s="3"/>
      <c r="SJ342" s="3"/>
      <c r="SK342" s="3"/>
      <c r="SL342" s="3"/>
      <c r="SM342" s="3"/>
      <c r="SN342" s="3"/>
      <c r="SO342" s="3"/>
      <c r="SP342" s="3"/>
      <c r="SQ342" s="3"/>
      <c r="SR342" s="3"/>
      <c r="SS342" s="3"/>
      <c r="ST342" s="3"/>
      <c r="SU342" s="3"/>
      <c r="SV342" s="3"/>
      <c r="SW342" s="3"/>
      <c r="SX342" s="3"/>
      <c r="SY342" s="3"/>
      <c r="SZ342" s="3"/>
      <c r="TA342" s="3"/>
      <c r="TB342" s="3"/>
      <c r="TC342" s="3"/>
      <c r="TD342" s="3"/>
      <c r="TE342" s="3"/>
      <c r="TF342" s="3"/>
      <c r="TG342" s="3"/>
      <c r="TH342" s="3"/>
      <c r="TI342" s="3"/>
      <c r="TJ342" s="3"/>
      <c r="TK342" s="3"/>
      <c r="TL342" s="3"/>
      <c r="TM342" s="3"/>
      <c r="TN342" s="3"/>
      <c r="TO342" s="3"/>
      <c r="TP342" s="3"/>
      <c r="TQ342" s="3"/>
      <c r="TR342" s="3"/>
      <c r="TS342" s="3"/>
      <c r="TT342" s="3"/>
      <c r="TU342" s="3"/>
      <c r="TV342" s="3"/>
      <c r="TW342" s="3"/>
      <c r="TX342" s="3"/>
      <c r="TY342" s="3"/>
      <c r="TZ342" s="3"/>
      <c r="UA342" s="3"/>
      <c r="UB342" s="3"/>
      <c r="UC342" s="3"/>
      <c r="UD342" s="3"/>
      <c r="UE342" s="3"/>
      <c r="UF342" s="3"/>
      <c r="UG342" s="3"/>
      <c r="UH342" s="3"/>
      <c r="UI342" s="3"/>
      <c r="UJ342" s="3"/>
      <c r="UK342" s="3"/>
      <c r="UL342" s="3"/>
      <c r="UM342" s="3"/>
      <c r="UN342" s="3"/>
      <c r="UO342" s="3"/>
      <c r="UP342" s="3"/>
      <c r="UQ342" s="3"/>
      <c r="UR342" s="3"/>
      <c r="US342" s="3"/>
      <c r="UT342" s="3"/>
      <c r="UU342" s="3"/>
      <c r="UV342" s="3"/>
      <c r="UW342" s="3"/>
      <c r="UX342" s="3"/>
      <c r="UY342" s="3"/>
      <c r="UZ342" s="3"/>
      <c r="VA342" s="3"/>
      <c r="VB342" s="3"/>
      <c r="VC342" s="3"/>
      <c r="VD342" s="3"/>
      <c r="VE342" s="3"/>
      <c r="VF342" s="3"/>
      <c r="VG342" s="3"/>
      <c r="VH342" s="3"/>
      <c r="VI342" s="3"/>
      <c r="VJ342" s="3"/>
      <c r="VK342" s="3"/>
      <c r="VL342" s="3"/>
      <c r="VM342" s="3"/>
      <c r="VN342" s="3"/>
      <c r="VO342" s="3"/>
      <c r="VP342" s="3"/>
      <c r="VQ342" s="3"/>
      <c r="VR342" s="3"/>
      <c r="VS342" s="3"/>
      <c r="VT342" s="3"/>
      <c r="VU342" s="3"/>
      <c r="VV342" s="3"/>
      <c r="VW342" s="3"/>
      <c r="VX342" s="3"/>
      <c r="VY342" s="3"/>
      <c r="VZ342" s="3"/>
      <c r="WA342" s="3"/>
      <c r="WB342" s="3"/>
      <c r="WC342" s="3"/>
      <c r="WD342" s="3"/>
      <c r="WE342" s="3"/>
      <c r="WF342" s="3"/>
      <c r="WG342" s="3"/>
      <c r="WH342" s="3"/>
      <c r="WI342" s="3"/>
      <c r="WJ342" s="3"/>
      <c r="WK342" s="3"/>
      <c r="WL342" s="3"/>
      <c r="WM342" s="3"/>
      <c r="WN342" s="3"/>
      <c r="WO342" s="3"/>
      <c r="WP342" s="3"/>
      <c r="WQ342" s="3"/>
      <c r="WR342" s="3"/>
      <c r="WS342" s="3"/>
      <c r="WT342" s="3"/>
      <c r="WU342" s="3"/>
      <c r="WV342" s="3"/>
      <c r="WW342" s="3"/>
      <c r="WX342" s="3"/>
      <c r="WY342" s="3"/>
      <c r="WZ342" s="3"/>
      <c r="XA342" s="3"/>
      <c r="XB342" s="3"/>
      <c r="XC342" s="3"/>
      <c r="XD342" s="3"/>
      <c r="XE342" s="3"/>
      <c r="XF342" s="3"/>
      <c r="XG342" s="3"/>
      <c r="XH342" s="3"/>
      <c r="XI342" s="3"/>
      <c r="XJ342" s="3"/>
      <c r="XK342" s="3"/>
      <c r="XL342" s="3"/>
      <c r="XM342" s="3"/>
      <c r="XN342" s="3"/>
      <c r="XO342" s="3"/>
      <c r="XP342" s="3"/>
      <c r="XQ342" s="3"/>
      <c r="XR342" s="3"/>
      <c r="XS342" s="3"/>
      <c r="XT342" s="3"/>
      <c r="XU342" s="3"/>
      <c r="XV342" s="3"/>
      <c r="XW342" s="3"/>
      <c r="XX342" s="3"/>
      <c r="XY342" s="3"/>
      <c r="XZ342" s="3"/>
      <c r="YA342" s="3"/>
      <c r="YB342" s="3"/>
      <c r="YC342" s="3"/>
      <c r="YD342" s="3"/>
      <c r="YE342" s="3"/>
      <c r="YF342" s="3"/>
      <c r="YG342" s="3"/>
      <c r="YH342" s="3"/>
      <c r="YI342" s="3"/>
      <c r="YJ342" s="3"/>
      <c r="YK342" s="3"/>
      <c r="YL342" s="3"/>
      <c r="YM342" s="3"/>
      <c r="YN342" s="3"/>
      <c r="YO342" s="3"/>
      <c r="YP342" s="3"/>
      <c r="YQ342" s="3"/>
      <c r="YR342" s="3"/>
      <c r="YS342" s="3"/>
      <c r="YT342" s="3"/>
      <c r="YU342" s="3"/>
      <c r="YV342" s="3"/>
      <c r="YW342" s="3"/>
      <c r="YX342" s="3"/>
      <c r="YY342" s="3"/>
      <c r="YZ342" s="3"/>
      <c r="ZA342" s="3"/>
      <c r="ZB342" s="3"/>
      <c r="ZC342" s="3"/>
      <c r="ZD342" s="3"/>
      <c r="ZE342" s="3"/>
      <c r="ZF342" s="3"/>
      <c r="ZG342" s="3"/>
      <c r="ZH342" s="3"/>
      <c r="ZI342" s="3"/>
      <c r="ZJ342" s="3"/>
      <c r="ZK342" s="3"/>
      <c r="ZL342" s="3"/>
      <c r="ZM342" s="3"/>
      <c r="ZN342" s="3"/>
      <c r="ZO342" s="3"/>
      <c r="ZP342" s="3"/>
      <c r="ZQ342" s="3"/>
      <c r="ZR342" s="3"/>
      <c r="ZS342" s="3"/>
      <c r="ZT342" s="3"/>
      <c r="ZU342" s="3"/>
      <c r="ZV342" s="3"/>
      <c r="ZW342" s="3"/>
      <c r="ZX342" s="3"/>
      <c r="ZY342" s="3"/>
      <c r="ZZ342" s="3"/>
      <c r="AAA342" s="3"/>
      <c r="AAB342" s="3"/>
      <c r="AAC342" s="3"/>
      <c r="AAD342" s="3"/>
      <c r="AAE342" s="3"/>
      <c r="AAF342" s="3"/>
      <c r="AAG342" s="3"/>
      <c r="AAH342" s="3"/>
      <c r="AAI342" s="3"/>
      <c r="AAJ342" s="3"/>
      <c r="AAK342" s="3"/>
      <c r="AAL342" s="3"/>
      <c r="AAM342" s="3"/>
      <c r="AAN342" s="3"/>
      <c r="AAO342" s="3"/>
      <c r="AAP342" s="3"/>
      <c r="AAQ342" s="3"/>
      <c r="AAR342" s="3"/>
      <c r="AAS342" s="3"/>
      <c r="AAT342" s="3"/>
      <c r="AAU342" s="3"/>
      <c r="AAV342" s="3"/>
      <c r="AAW342" s="3"/>
      <c r="AAX342" s="3"/>
      <c r="AAY342" s="3"/>
      <c r="AAZ342" s="3"/>
      <c r="ABA342" s="3"/>
      <c r="ABB342" s="3"/>
      <c r="ABC342" s="3"/>
      <c r="ABD342" s="3"/>
      <c r="ABE342" s="3"/>
      <c r="ABF342" s="3"/>
      <c r="ABG342" s="3"/>
      <c r="ABH342" s="3"/>
      <c r="ABI342" s="3"/>
      <c r="ABJ342" s="3"/>
      <c r="ABK342" s="3"/>
      <c r="ABL342" s="3"/>
      <c r="ABM342" s="3"/>
      <c r="ABN342" s="3"/>
      <c r="ABO342" s="3"/>
      <c r="ABP342" s="3"/>
      <c r="ABQ342" s="3"/>
      <c r="ABR342" s="3"/>
      <c r="ABS342" s="3"/>
      <c r="ABT342" s="3"/>
      <c r="ABU342" s="3"/>
      <c r="ABV342" s="3"/>
      <c r="ABW342" s="3"/>
      <c r="ABX342" s="3"/>
      <c r="ABY342" s="3"/>
      <c r="ABZ342" s="3"/>
      <c r="ACA342" s="3"/>
      <c r="ACB342" s="3"/>
      <c r="ACC342" s="3"/>
      <c r="ACD342" s="3"/>
      <c r="ACE342" s="3"/>
      <c r="ACF342" s="3"/>
      <c r="ACG342" s="3"/>
      <c r="ACH342" s="3"/>
      <c r="ACI342" s="3"/>
      <c r="ACJ342" s="3"/>
      <c r="ACK342" s="3"/>
      <c r="ACL342" s="3"/>
      <c r="ACM342" s="3"/>
      <c r="ACN342" s="3"/>
      <c r="ACO342" s="3"/>
      <c r="ACP342" s="3"/>
      <c r="ACQ342" s="3"/>
      <c r="ACR342" s="3"/>
      <c r="ACS342" s="3"/>
      <c r="ACT342" s="3"/>
      <c r="ACU342" s="3"/>
      <c r="ACV342" s="3"/>
      <c r="ACW342" s="3"/>
      <c r="ACX342" s="3"/>
      <c r="ACY342" s="3"/>
      <c r="ACZ342" s="3"/>
      <c r="ADA342" s="3"/>
      <c r="ADB342" s="3"/>
      <c r="ADC342" s="3"/>
      <c r="ADD342" s="3"/>
      <c r="ADE342" s="3"/>
      <c r="ADF342" s="3"/>
      <c r="ADG342" s="3"/>
      <c r="ADH342" s="3"/>
      <c r="ADI342" s="3"/>
      <c r="ADJ342" s="3"/>
      <c r="ADK342" s="3"/>
      <c r="ADL342" s="3"/>
      <c r="ADM342" s="3"/>
      <c r="ADN342" s="3"/>
      <c r="ADO342" s="3"/>
      <c r="ADP342" s="3"/>
      <c r="ADQ342" s="3"/>
      <c r="ADR342" s="3"/>
      <c r="ADS342" s="3"/>
      <c r="ADT342" s="3"/>
      <c r="ADU342" s="3"/>
      <c r="ADV342" s="3"/>
      <c r="ADW342" s="3"/>
      <c r="ADX342" s="3"/>
      <c r="ADY342" s="3"/>
      <c r="ADZ342" s="3"/>
      <c r="AEA342" s="3"/>
      <c r="AEB342" s="3"/>
      <c r="AEC342" s="3"/>
      <c r="AED342" s="3"/>
      <c r="AEE342" s="3"/>
      <c r="AEF342" s="3"/>
      <c r="AEG342" s="3"/>
      <c r="AEH342" s="3"/>
      <c r="AEI342" s="3"/>
      <c r="AEJ342" s="3"/>
      <c r="AEK342" s="3"/>
      <c r="AEL342" s="3"/>
      <c r="AEM342" s="3"/>
      <c r="AEN342" s="3"/>
      <c r="AEO342" s="3"/>
      <c r="AEP342" s="3"/>
      <c r="AEQ342" s="3"/>
      <c r="AER342" s="3"/>
      <c r="AES342" s="3"/>
      <c r="AET342" s="3"/>
      <c r="AEU342" s="3"/>
      <c r="AEV342" s="3"/>
      <c r="AEW342" s="3"/>
      <c r="AEX342" s="3"/>
      <c r="AEY342" s="3"/>
      <c r="AEZ342" s="3"/>
      <c r="AFA342" s="3"/>
      <c r="AFB342" s="3"/>
      <c r="AFC342" s="3"/>
      <c r="AFD342" s="3"/>
      <c r="AFE342" s="3"/>
      <c r="AFF342" s="3"/>
      <c r="AFG342" s="3"/>
      <c r="AFH342" s="3"/>
      <c r="AFI342" s="3"/>
      <c r="AFJ342" s="3"/>
      <c r="AFK342" s="3"/>
      <c r="AFL342" s="3"/>
      <c r="AFM342" s="3"/>
      <c r="AFN342" s="3"/>
      <c r="AFO342" s="3"/>
      <c r="AFP342" s="3"/>
      <c r="AFQ342" s="3"/>
      <c r="AFR342" s="3"/>
      <c r="AFS342" s="3"/>
      <c r="AFT342" s="3"/>
      <c r="AFU342" s="3"/>
      <c r="AFV342" s="3"/>
      <c r="AFW342" s="3"/>
      <c r="AFX342" s="3"/>
      <c r="AFY342" s="3"/>
      <c r="AFZ342" s="3"/>
      <c r="AGA342" s="3"/>
      <c r="AGB342" s="3"/>
      <c r="AGC342" s="3"/>
      <c r="AGD342" s="3"/>
      <c r="AGE342" s="3"/>
      <c r="AGF342" s="3"/>
      <c r="AGG342" s="3"/>
      <c r="AGH342" s="3"/>
      <c r="AGI342" s="3"/>
      <c r="AGJ342" s="3"/>
      <c r="AGK342" s="3"/>
      <c r="AGL342" s="3"/>
      <c r="AGM342" s="3"/>
      <c r="AGN342" s="3"/>
      <c r="AGO342" s="3"/>
      <c r="AGP342" s="3"/>
      <c r="AGQ342" s="3"/>
      <c r="AGR342" s="3"/>
      <c r="AGS342" s="3"/>
      <c r="AGT342" s="3"/>
      <c r="AGU342" s="3"/>
      <c r="AGV342" s="3"/>
      <c r="AGW342" s="3"/>
      <c r="AGX342" s="3"/>
      <c r="AGY342" s="3"/>
      <c r="AGZ342" s="3"/>
      <c r="AHA342" s="3"/>
      <c r="AHB342" s="3"/>
      <c r="AHC342" s="3"/>
      <c r="AHD342" s="3"/>
      <c r="AHE342" s="3"/>
      <c r="AHF342" s="3"/>
      <c r="AHG342" s="3"/>
      <c r="AHH342" s="3"/>
      <c r="AHI342" s="3"/>
      <c r="AHJ342" s="3"/>
      <c r="AHK342" s="3"/>
      <c r="AHL342" s="3"/>
      <c r="AHM342" s="3"/>
      <c r="AHN342" s="3"/>
      <c r="AHO342" s="3"/>
      <c r="AHP342" s="3"/>
      <c r="AHQ342" s="3"/>
      <c r="AHR342" s="3"/>
      <c r="AHS342" s="3"/>
      <c r="AHT342" s="3"/>
      <c r="AHU342" s="3"/>
      <c r="AHV342" s="3"/>
      <c r="AHW342" s="3"/>
      <c r="AHX342" s="3"/>
      <c r="AHY342" s="3"/>
      <c r="AHZ342" s="3"/>
      <c r="AIA342" s="3"/>
      <c r="AIB342" s="3"/>
      <c r="AIC342" s="3"/>
      <c r="AID342" s="3"/>
      <c r="AIE342" s="3"/>
      <c r="AIF342" s="3"/>
      <c r="AIG342" s="3"/>
      <c r="AIH342" s="3"/>
      <c r="AII342" s="3"/>
      <c r="AIJ342" s="3"/>
      <c r="AIK342" s="3"/>
      <c r="AIL342" s="3"/>
      <c r="AIM342" s="3"/>
      <c r="AIN342" s="3"/>
      <c r="AIO342" s="3"/>
      <c r="AIP342" s="3"/>
      <c r="AIQ342" s="3"/>
      <c r="AIR342" s="3"/>
      <c r="AIS342" s="3"/>
      <c r="AIT342" s="3"/>
      <c r="AIU342" s="3"/>
      <c r="AIV342" s="3"/>
      <c r="AIW342" s="3"/>
      <c r="AIX342" s="3"/>
      <c r="AIY342" s="3"/>
      <c r="AIZ342" s="3"/>
      <c r="AJA342" s="3"/>
      <c r="AJB342" s="3"/>
      <c r="AJC342" s="3"/>
      <c r="AJD342" s="3"/>
      <c r="AJE342" s="3"/>
      <c r="AJF342" s="3"/>
      <c r="AJG342" s="3"/>
      <c r="AJH342" s="3"/>
      <c r="AJI342" s="3"/>
      <c r="AJJ342" s="3"/>
      <c r="AJK342" s="3"/>
      <c r="AJL342" s="3"/>
      <c r="AJM342" s="3"/>
      <c r="AJN342" s="3"/>
      <c r="AJO342" s="3"/>
      <c r="AJP342" s="3"/>
      <c r="AJQ342" s="3"/>
      <c r="AJR342" s="3"/>
      <c r="AJS342" s="3"/>
      <c r="AJT342" s="3"/>
      <c r="AJU342" s="3"/>
      <c r="AJV342" s="3"/>
      <c r="AJW342" s="3"/>
      <c r="AJX342" s="3"/>
      <c r="AJY342" s="3"/>
      <c r="AJZ342" s="3"/>
      <c r="AKA342" s="3"/>
      <c r="AKB342" s="3"/>
      <c r="AKC342" s="3"/>
      <c r="AKD342" s="3"/>
      <c r="AKE342" s="3"/>
      <c r="AKF342" s="3"/>
      <c r="AKG342" s="3"/>
      <c r="AKH342" s="3"/>
      <c r="AKI342" s="3"/>
      <c r="AKJ342" s="3"/>
      <c r="AKK342" s="3"/>
      <c r="AKL342" s="3"/>
      <c r="AKM342" s="3"/>
      <c r="AKN342" s="3"/>
      <c r="AKO342" s="3"/>
      <c r="AKP342" s="3"/>
      <c r="AKQ342" s="3"/>
      <c r="AKR342" s="3"/>
      <c r="AKS342" s="3"/>
      <c r="AKT342" s="3"/>
      <c r="AKU342" s="3"/>
      <c r="AKV342" s="3"/>
      <c r="AKW342" s="3"/>
      <c r="AKX342" s="3"/>
      <c r="AKY342" s="3"/>
      <c r="AKZ342" s="3"/>
      <c r="ALA342" s="3"/>
      <c r="ALB342" s="3"/>
      <c r="ALC342" s="3"/>
      <c r="ALD342" s="3"/>
      <c r="ALE342" s="3"/>
      <c r="ALF342" s="3"/>
      <c r="ALG342" s="3"/>
      <c r="ALH342" s="3"/>
      <c r="ALI342" s="3"/>
      <c r="ALJ342" s="3"/>
      <c r="ALK342" s="3"/>
      <c r="ALL342" s="3"/>
      <c r="ALM342" s="3"/>
      <c r="ALN342" s="3"/>
      <c r="ALO342" s="3"/>
      <c r="ALP342" s="3"/>
      <c r="ALQ342" s="3"/>
      <c r="ALR342" s="3"/>
      <c r="ALS342" s="3"/>
      <c r="ALT342" s="3"/>
      <c r="ALU342" s="3"/>
      <c r="ALV342" s="3"/>
      <c r="ALW342" s="3"/>
      <c r="ALX342" s="3"/>
      <c r="ALY342" s="3"/>
      <c r="ALZ342" s="3"/>
      <c r="AMA342" s="3"/>
      <c r="AMB342" s="3"/>
      <c r="AMC342" s="3"/>
      <c r="AMD342" s="3"/>
      <c r="AME342" s="3"/>
      <c r="AMF342" s="3"/>
      <c r="AMG342" s="3"/>
      <c r="AMH342" s="3"/>
      <c r="AMI342" s="3"/>
      <c r="AMJ342" s="3"/>
      <c r="AMK342" s="3"/>
      <c r="AML342" s="3"/>
      <c r="AMM342" s="3"/>
      <c r="AMN342" s="3"/>
      <c r="AMO342" s="3"/>
      <c r="AMP342" s="1"/>
    </row>
    <row r="343" spans="1:1030" s="6" customFormat="1" x14ac:dyDescent="0.2">
      <c r="A343" s="3" t="str">
        <f t="shared" si="1563"/>
        <v>smo_human_4QIN</v>
      </c>
      <c r="B343" s="3" t="s">
        <v>33</v>
      </c>
      <c r="C343" s="3" t="s">
        <v>56</v>
      </c>
      <c r="D343" s="3" t="str">
        <f>IFERROR(MID(VLOOKUP($B343,Seqs!$A:$B,2,0),E343,1),"")</f>
        <v>T</v>
      </c>
      <c r="E343" s="105">
        <v>223</v>
      </c>
      <c r="F343" s="3" t="str">
        <f>IFERROR(MID(VLOOKUP($B343,Seqs!$A:$B,2,0),G343,1),"")</f>
        <v>D</v>
      </c>
      <c r="G343" s="3">
        <v>255</v>
      </c>
      <c r="H343" s="3" t="str">
        <f>IFERROR(MID(VLOOKUP($B343,Seqs!$A:$B,2,0),I343,1),"")</f>
        <v>W</v>
      </c>
      <c r="I343" s="23">
        <v>256</v>
      </c>
      <c r="J343" s="3" t="str">
        <f>IFERROR(MID(VLOOKUP($B343,Seqs!$A:$B,2,0),K343,1),"")</f>
        <v>N</v>
      </c>
      <c r="K343" s="23">
        <v>260</v>
      </c>
      <c r="L343" s="3" t="str">
        <f>IFERROR(MID(VLOOKUP($B343,Seqs!$A:$B,2,0),M343,1),"")</f>
        <v>R</v>
      </c>
      <c r="M343" s="3">
        <v>261</v>
      </c>
      <c r="N343" s="3" t="str">
        <f>IFERROR(MID(VLOOKUP($B343,Seqs!$A:$B,2,0),O343,1),"")</f>
        <v>F</v>
      </c>
      <c r="O343" s="3">
        <v>285</v>
      </c>
      <c r="P343" s="3" t="str">
        <f>IFERROR(MID(VLOOKUP($B343,Seqs!$A:$B,2,0),Q343,1),"")</f>
        <v/>
      </c>
      <c r="Q343" s="3" t="s">
        <v>23</v>
      </c>
      <c r="R343" s="3" t="str">
        <f>IFERROR(MID(VLOOKUP($B343,Seqs!$A:$B,2,0),S343,1),"")</f>
        <v/>
      </c>
      <c r="S343" s="3" t="s">
        <v>23</v>
      </c>
      <c r="T343" s="3" t="str">
        <f>IFERROR(MID(VLOOKUP($B343,Seqs!$A:$B,2,0),U343,1),"")</f>
        <v>L</v>
      </c>
      <c r="U343" s="3">
        <v>312</v>
      </c>
      <c r="V343" s="3" t="str">
        <f>IFERROR(MID(VLOOKUP($B343,Seqs!$A:$B,2,0),W343,1),"")</f>
        <v>A</v>
      </c>
      <c r="W343" s="3">
        <v>345</v>
      </c>
      <c r="X343" s="3" t="str">
        <f>IFERROR(MID(VLOOKUP($B343,Seqs!$A:$B,2,0),Y343,1),"")</f>
        <v/>
      </c>
      <c r="Y343" s="3" t="s">
        <v>23</v>
      </c>
      <c r="Z343" s="3" t="str">
        <f>IFERROR(MID(VLOOKUP($B343,Seqs!$A:$B,2,0),AA343,1),"")</f>
        <v/>
      </c>
      <c r="AA343" s="3" t="s">
        <v>23</v>
      </c>
      <c r="AB343" s="3" t="str">
        <f>IFERROR(MID(VLOOKUP($B343,Seqs!$A:$B,2,0),AC343,1),"")</f>
        <v>L</v>
      </c>
      <c r="AC343" s="9">
        <v>353</v>
      </c>
      <c r="AD343" s="3" t="str">
        <f>IFERROR(MID(VLOOKUP($B343,Seqs!$A:$B,2,0),AE343,1),"")</f>
        <v>V</v>
      </c>
      <c r="AE343" s="3">
        <v>378</v>
      </c>
      <c r="AF343" s="3" t="str">
        <f>IFERROR(MID(VLOOKUP($B343,Seqs!$A:$B,2,0),AG343,1),"")</f>
        <v>C</v>
      </c>
      <c r="AG343" s="3">
        <v>390</v>
      </c>
      <c r="AH343" s="3" t="str">
        <f>IFERROR(MID(VLOOKUP($B343,Seqs!$A:$B,2,0),AI343,1),"")</f>
        <v>V</v>
      </c>
      <c r="AI343" s="3">
        <v>392</v>
      </c>
      <c r="AJ343" s="3" t="str">
        <f>IFERROR(MID(VLOOKUP($B343,Seqs!$A:$B,2,0),AK343,1),"")</f>
        <v>N</v>
      </c>
      <c r="AK343" s="105">
        <v>396</v>
      </c>
      <c r="AL343" s="3" t="str">
        <f>IFERROR(MID(VLOOKUP($B343,Seqs!$A:$B,2,0),AM343,1),"")</f>
        <v>H</v>
      </c>
      <c r="AM343" s="3">
        <v>433</v>
      </c>
      <c r="AN343" s="3" t="str">
        <f>IFERROR(MID(VLOOKUP($B343,Seqs!$A:$B,2,0),AO343,1),"")</f>
        <v>E</v>
      </c>
      <c r="AO343" s="3">
        <v>447</v>
      </c>
      <c r="AP343" s="3" t="str">
        <f>IFERROR(MID(VLOOKUP($B343,Seqs!$A:$B,2,0),AQ343,1),"")</f>
        <v>A</v>
      </c>
      <c r="AQ343" s="3">
        <v>492</v>
      </c>
      <c r="AR343" s="3" t="str">
        <f>IFERROR(MID(VLOOKUP($B343,Seqs!$A:$B,2,0),AS343,1),"")</f>
        <v>S</v>
      </c>
      <c r="AS343" s="105">
        <v>514</v>
      </c>
      <c r="AT343" s="3" t="str">
        <f>IFERROR(MID(VLOOKUP($B343,Seqs!$A:$B,2,0),AU343,1),"")</f>
        <v>W</v>
      </c>
      <c r="AU343" s="3">
        <v>537</v>
      </c>
      <c r="AV343" s="3" t="str">
        <f>IFERROR(MID(VLOOKUP($B343,Seqs!$A:$B,2,0),AW343,1),"")</f>
        <v>T</v>
      </c>
      <c r="AW343" s="3">
        <v>538</v>
      </c>
      <c r="AX343" s="3" t="str">
        <f>IFERROR(MID(VLOOKUP($B343,Seqs!$A:$B,2,0),AY343,1),"")</f>
        <v>R</v>
      </c>
      <c r="AY343" s="3">
        <v>551</v>
      </c>
      <c r="AZ343" s="78" t="str">
        <f>VLOOKUP(B343,Classification!A:D,2,0)</f>
        <v>F</v>
      </c>
      <c r="BA343" s="94" t="str">
        <f>VLOOKUP(B343,Classification!A:D,4,0)</f>
        <v>Frizzled</v>
      </c>
      <c r="BB343" s="92" t="b">
        <f t="shared" si="1564"/>
        <v>1</v>
      </c>
      <c r="BC343" s="23">
        <f t="shared" si="1537"/>
        <v>250</v>
      </c>
      <c r="BD343" s="74" t="s">
        <v>23</v>
      </c>
      <c r="BE343" s="3" t="s">
        <v>1380</v>
      </c>
      <c r="BF343" s="119">
        <v>2.6</v>
      </c>
      <c r="BG343" s="49" t="s">
        <v>1383</v>
      </c>
      <c r="BH343" s="49" t="s">
        <v>1383</v>
      </c>
      <c r="BI343" s="3"/>
      <c r="BJ343" s="75" t="s">
        <v>1293</v>
      </c>
      <c r="BK343" s="57" t="s">
        <v>1293</v>
      </c>
      <c r="BL343" s="57" t="s">
        <v>1293</v>
      </c>
      <c r="BM343" s="57" t="s">
        <v>1293</v>
      </c>
      <c r="BN343" s="57" t="s">
        <v>1293</v>
      </c>
      <c r="BO343" s="57" t="s">
        <v>1293</v>
      </c>
      <c r="BP343" s="57" t="s">
        <v>1293</v>
      </c>
      <c r="BQ343" s="57" t="s">
        <v>1293</v>
      </c>
      <c r="BR343" s="57" t="s">
        <v>1293</v>
      </c>
      <c r="BS343" s="57" t="s">
        <v>1293</v>
      </c>
      <c r="BT343" s="57" t="s">
        <v>1293</v>
      </c>
      <c r="BU343" s="57" t="s">
        <v>1293</v>
      </c>
      <c r="BV343" s="75">
        <f t="shared" si="1538"/>
        <v>223</v>
      </c>
      <c r="BW343" s="71">
        <f t="shared" si="1539"/>
        <v>256</v>
      </c>
      <c r="BX343" s="72">
        <f t="shared" si="1540"/>
        <v>261</v>
      </c>
      <c r="BY343" s="71" t="str">
        <f t="shared" si="1541"/>
        <v>-</v>
      </c>
      <c r="BZ343" s="72">
        <f t="shared" si="1542"/>
        <v>312</v>
      </c>
      <c r="CA343" s="71" t="str">
        <f t="shared" si="1543"/>
        <v>-</v>
      </c>
      <c r="CB343" s="72">
        <f t="shared" si="1544"/>
        <v>353</v>
      </c>
      <c r="CC343" s="71">
        <f t="shared" si="1545"/>
        <v>390</v>
      </c>
      <c r="CD343" s="72">
        <f t="shared" si="1546"/>
        <v>396</v>
      </c>
      <c r="CE343" s="71">
        <f t="shared" si="1547"/>
        <v>447</v>
      </c>
      <c r="CF343" s="72">
        <f t="shared" si="1548"/>
        <v>514</v>
      </c>
      <c r="CG343" s="71">
        <f t="shared" si="1549"/>
        <v>538</v>
      </c>
      <c r="CH343" s="75">
        <f t="shared" si="1550"/>
        <v>255</v>
      </c>
      <c r="CI343" s="71">
        <f t="shared" si="1551"/>
        <v>260</v>
      </c>
      <c r="CJ343" s="72">
        <f t="shared" si="1552"/>
        <v>285</v>
      </c>
      <c r="CK343" s="72" t="str">
        <f t="shared" si="1553"/>
        <v>-</v>
      </c>
      <c r="CL343" s="72">
        <f t="shared" si="1554"/>
        <v>345</v>
      </c>
      <c r="CM343" s="72" t="str">
        <f t="shared" si="1555"/>
        <v>-</v>
      </c>
      <c r="CN343" s="72">
        <f t="shared" si="1556"/>
        <v>378</v>
      </c>
      <c r="CO343" s="72">
        <f t="shared" si="1557"/>
        <v>392</v>
      </c>
      <c r="CP343" s="72">
        <f t="shared" si="1558"/>
        <v>433</v>
      </c>
      <c r="CQ343" s="72">
        <f t="shared" si="1559"/>
        <v>492</v>
      </c>
      <c r="CR343" s="72">
        <f t="shared" si="1560"/>
        <v>537</v>
      </c>
      <c r="CS343" s="72">
        <f t="shared" si="1561"/>
        <v>551</v>
      </c>
      <c r="CT343" s="23">
        <f t="shared" si="1562"/>
        <v>1</v>
      </c>
      <c r="CU343" s="3"/>
      <c r="CV343" s="3"/>
      <c r="CW343" s="3"/>
      <c r="CX343" s="3"/>
      <c r="CY343" s="3"/>
      <c r="CZ343" s="3"/>
      <c r="DA343" s="3"/>
      <c r="DB343" s="3"/>
      <c r="DC343" s="3"/>
      <c r="DD343" s="3"/>
      <c r="DE343" s="3"/>
      <c r="DF343" s="3"/>
      <c r="DG343" s="3"/>
      <c r="DH343" s="3"/>
      <c r="DI343" s="3"/>
      <c r="DJ343" s="3"/>
      <c r="DK343" s="3"/>
      <c r="DL343" s="3"/>
      <c r="DM343" s="3"/>
      <c r="DN343" s="3"/>
      <c r="DO343" s="3"/>
      <c r="DP343" s="3"/>
      <c r="DQ343" s="3"/>
      <c r="DR343" s="3"/>
      <c r="DS343" s="3"/>
      <c r="DT343" s="3"/>
      <c r="DU343" s="3"/>
      <c r="DV343" s="3"/>
      <c r="DW343" s="3"/>
      <c r="DX343" s="3"/>
      <c r="DY343" s="3"/>
      <c r="DZ343" s="3"/>
      <c r="EA343" s="3"/>
      <c r="EB343" s="3"/>
      <c r="EC343" s="3"/>
      <c r="ED343" s="3"/>
      <c r="EE343" s="3"/>
      <c r="EF343" s="3"/>
      <c r="EG343" s="3"/>
      <c r="EH343" s="3"/>
      <c r="EI343" s="3"/>
      <c r="EJ343" s="3"/>
      <c r="EK343" s="3"/>
      <c r="EL343" s="3"/>
      <c r="EM343" s="3"/>
      <c r="EN343" s="3"/>
      <c r="EO343" s="3"/>
      <c r="EP343" s="3"/>
      <c r="EQ343" s="3"/>
      <c r="ER343" s="3"/>
      <c r="ES343" s="3"/>
      <c r="ET343" s="3"/>
      <c r="EU343" s="3"/>
      <c r="EV343" s="3"/>
      <c r="EW343" s="3"/>
      <c r="EX343" s="3"/>
      <c r="EY343" s="3"/>
      <c r="EZ343" s="3"/>
      <c r="FA343" s="3"/>
      <c r="FB343" s="3"/>
      <c r="FC343" s="3"/>
      <c r="FD343" s="3"/>
      <c r="FE343" s="3"/>
      <c r="FF343" s="3"/>
      <c r="FG343" s="3"/>
      <c r="FH343" s="3"/>
      <c r="FI343" s="3"/>
      <c r="FJ343" s="3"/>
      <c r="FK343" s="3"/>
      <c r="FL343" s="3"/>
      <c r="FM343" s="3"/>
      <c r="FN343" s="3"/>
      <c r="FO343" s="3"/>
      <c r="FP343" s="3"/>
      <c r="FQ343" s="3"/>
      <c r="FR343" s="3"/>
      <c r="FS343" s="3"/>
      <c r="FT343" s="3"/>
      <c r="FU343" s="3"/>
      <c r="FV343" s="3"/>
      <c r="FW343" s="3"/>
      <c r="FX343" s="3"/>
      <c r="FY343" s="3"/>
      <c r="FZ343" s="3"/>
      <c r="GA343" s="3"/>
      <c r="GB343" s="3"/>
      <c r="GC343" s="3"/>
      <c r="GD343" s="3"/>
      <c r="GE343" s="3"/>
      <c r="GF343" s="3"/>
      <c r="GG343" s="3"/>
      <c r="GH343" s="3"/>
      <c r="GI343" s="3"/>
      <c r="GJ343" s="3"/>
      <c r="GK343" s="3"/>
      <c r="GL343" s="3"/>
      <c r="GM343" s="3"/>
      <c r="GN343" s="3"/>
      <c r="GO343" s="3"/>
      <c r="GP343" s="3"/>
      <c r="GQ343" s="3"/>
      <c r="GR343" s="3"/>
      <c r="GS343" s="3"/>
      <c r="GT343" s="3"/>
      <c r="GU343" s="3"/>
      <c r="GV343" s="3"/>
      <c r="GW343" s="3"/>
      <c r="GX343" s="3"/>
      <c r="GY343" s="3"/>
      <c r="GZ343" s="3"/>
      <c r="HA343" s="3"/>
      <c r="HB343" s="3"/>
      <c r="HC343" s="3"/>
      <c r="HD343" s="3"/>
      <c r="HE343" s="3"/>
      <c r="HF343" s="3"/>
      <c r="HG343" s="3"/>
      <c r="HH343" s="3"/>
      <c r="HI343" s="3"/>
      <c r="HJ343" s="3"/>
      <c r="HK343" s="3"/>
      <c r="HL343" s="3"/>
      <c r="HM343" s="3"/>
      <c r="HN343" s="3"/>
      <c r="HO343" s="3"/>
      <c r="HP343" s="3"/>
      <c r="HQ343" s="3"/>
      <c r="HR343" s="3"/>
      <c r="HS343" s="3"/>
      <c r="HT343" s="3"/>
      <c r="HU343" s="3"/>
      <c r="HV343" s="3"/>
      <c r="HW343" s="3"/>
      <c r="HX343" s="3"/>
      <c r="HY343" s="3"/>
      <c r="HZ343" s="3"/>
      <c r="IA343" s="3"/>
      <c r="IB343" s="3"/>
      <c r="IC343" s="3"/>
      <c r="ID343" s="3"/>
      <c r="IE343" s="3"/>
      <c r="IF343" s="3"/>
      <c r="IG343" s="3"/>
      <c r="IH343" s="3"/>
      <c r="II343" s="3"/>
      <c r="IJ343" s="3"/>
      <c r="IK343" s="3"/>
      <c r="IL343" s="3"/>
      <c r="IM343" s="3"/>
      <c r="IN343" s="3"/>
      <c r="IO343" s="3"/>
      <c r="IP343" s="3"/>
      <c r="IQ343" s="3"/>
      <c r="IR343" s="3"/>
      <c r="IS343" s="3"/>
      <c r="IT343" s="3"/>
      <c r="IU343" s="3"/>
      <c r="IV343" s="3"/>
      <c r="IW343" s="3"/>
      <c r="IX343" s="3"/>
      <c r="IY343" s="3"/>
      <c r="IZ343" s="3"/>
      <c r="JA343" s="3"/>
      <c r="JB343" s="3"/>
      <c r="JC343" s="3"/>
      <c r="JD343" s="3"/>
      <c r="JE343" s="3"/>
      <c r="JF343" s="3"/>
      <c r="JG343" s="3"/>
      <c r="JH343" s="3"/>
      <c r="JI343" s="3"/>
      <c r="JJ343" s="3"/>
      <c r="JK343" s="3"/>
      <c r="JL343" s="3"/>
      <c r="JM343" s="3"/>
      <c r="JN343" s="3"/>
      <c r="JO343" s="3"/>
      <c r="JP343" s="3"/>
      <c r="JQ343" s="3"/>
      <c r="JR343" s="3"/>
      <c r="JS343" s="3"/>
      <c r="JT343" s="3"/>
      <c r="JU343" s="3"/>
      <c r="JV343" s="3"/>
      <c r="JW343" s="3"/>
      <c r="JX343" s="3"/>
      <c r="JY343" s="3"/>
      <c r="JZ343" s="3"/>
      <c r="KA343" s="3"/>
      <c r="KB343" s="3"/>
      <c r="KC343" s="3"/>
      <c r="KD343" s="3"/>
      <c r="KE343" s="3"/>
      <c r="KF343" s="3"/>
      <c r="KG343" s="3"/>
      <c r="KH343" s="3"/>
      <c r="KI343" s="3"/>
      <c r="KJ343" s="3"/>
      <c r="KK343" s="3"/>
      <c r="KL343" s="3"/>
      <c r="KM343" s="3"/>
      <c r="KN343" s="3"/>
      <c r="KO343" s="3"/>
      <c r="KP343" s="3"/>
      <c r="KQ343" s="3"/>
      <c r="KR343" s="3"/>
      <c r="KS343" s="3"/>
      <c r="KT343" s="3"/>
      <c r="KU343" s="3"/>
      <c r="KV343" s="3"/>
      <c r="KW343" s="3"/>
      <c r="KX343" s="3"/>
      <c r="KY343" s="3"/>
      <c r="KZ343" s="3"/>
      <c r="LA343" s="3"/>
      <c r="LB343" s="3"/>
      <c r="LC343" s="3"/>
      <c r="LD343" s="3"/>
      <c r="LE343" s="3"/>
      <c r="LF343" s="3"/>
      <c r="LG343" s="3"/>
      <c r="LH343" s="3"/>
      <c r="LI343" s="3"/>
      <c r="LJ343" s="3"/>
      <c r="LK343" s="3"/>
      <c r="LL343" s="3"/>
      <c r="LM343" s="3"/>
      <c r="LN343" s="3"/>
      <c r="LO343" s="3"/>
      <c r="LP343" s="3"/>
      <c r="LQ343" s="3"/>
      <c r="LR343" s="3"/>
      <c r="LS343" s="3"/>
      <c r="LT343" s="3"/>
      <c r="LU343" s="3"/>
      <c r="LV343" s="3"/>
      <c r="LW343" s="3"/>
      <c r="LX343" s="3"/>
      <c r="LY343" s="3"/>
      <c r="LZ343" s="3"/>
      <c r="MA343" s="3"/>
      <c r="MB343" s="3"/>
      <c r="MC343" s="3"/>
      <c r="MD343" s="3"/>
      <c r="ME343" s="3"/>
      <c r="MF343" s="3"/>
      <c r="MG343" s="3"/>
      <c r="MH343" s="3"/>
      <c r="MI343" s="3"/>
      <c r="MJ343" s="3"/>
      <c r="MK343" s="3"/>
      <c r="ML343" s="3"/>
      <c r="MM343" s="3"/>
      <c r="MN343" s="3"/>
      <c r="MO343" s="3"/>
      <c r="MP343" s="3"/>
      <c r="MQ343" s="3"/>
      <c r="MR343" s="3"/>
      <c r="MS343" s="3"/>
      <c r="MT343" s="3"/>
      <c r="MU343" s="3"/>
      <c r="MV343" s="3"/>
      <c r="MW343" s="3"/>
      <c r="MX343" s="3"/>
      <c r="MY343" s="3"/>
      <c r="MZ343" s="3"/>
      <c r="NA343" s="3"/>
      <c r="NB343" s="3"/>
      <c r="NC343" s="3"/>
      <c r="ND343" s="3"/>
      <c r="NE343" s="3"/>
      <c r="NF343" s="3"/>
      <c r="NG343" s="3"/>
      <c r="NH343" s="3"/>
      <c r="NI343" s="3"/>
      <c r="NJ343" s="3"/>
      <c r="NK343" s="3"/>
      <c r="NL343" s="3"/>
      <c r="NM343" s="3"/>
      <c r="NN343" s="3"/>
      <c r="NO343" s="3"/>
      <c r="NP343" s="3"/>
      <c r="NQ343" s="3"/>
      <c r="NR343" s="3"/>
      <c r="NS343" s="3"/>
      <c r="NT343" s="3"/>
      <c r="NU343" s="3"/>
      <c r="NV343" s="3"/>
      <c r="NW343" s="3"/>
      <c r="NX343" s="3"/>
      <c r="NY343" s="3"/>
      <c r="NZ343" s="3"/>
      <c r="OA343" s="3"/>
      <c r="OB343" s="3"/>
      <c r="OC343" s="3"/>
      <c r="OD343" s="3"/>
      <c r="OE343" s="3"/>
      <c r="OF343" s="3"/>
      <c r="OG343" s="3"/>
      <c r="OH343" s="3"/>
      <c r="OI343" s="3"/>
      <c r="OJ343" s="3"/>
      <c r="OK343" s="3"/>
      <c r="OL343" s="3"/>
      <c r="OM343" s="3"/>
      <c r="ON343" s="3"/>
      <c r="OO343" s="3"/>
      <c r="OP343" s="3"/>
      <c r="OQ343" s="3"/>
      <c r="OR343" s="3"/>
      <c r="OS343" s="3"/>
      <c r="OT343" s="3"/>
      <c r="OU343" s="3"/>
      <c r="OV343" s="3"/>
      <c r="OW343" s="3"/>
      <c r="OX343" s="3"/>
      <c r="OY343" s="3"/>
      <c r="OZ343" s="3"/>
      <c r="PA343" s="3"/>
      <c r="PB343" s="3"/>
      <c r="PC343" s="3"/>
      <c r="PD343" s="3"/>
      <c r="PE343" s="3"/>
      <c r="PF343" s="3"/>
      <c r="PG343" s="3"/>
      <c r="PH343" s="3"/>
      <c r="PI343" s="3"/>
      <c r="PJ343" s="3"/>
      <c r="PK343" s="3"/>
      <c r="PL343" s="3"/>
      <c r="PM343" s="3"/>
      <c r="PN343" s="3"/>
      <c r="PO343" s="3"/>
      <c r="PP343" s="3"/>
      <c r="PQ343" s="3"/>
      <c r="PR343" s="3"/>
      <c r="PS343" s="3"/>
      <c r="PT343" s="3"/>
      <c r="PU343" s="3"/>
      <c r="PV343" s="3"/>
      <c r="PW343" s="3"/>
      <c r="PX343" s="3"/>
      <c r="PY343" s="3"/>
      <c r="PZ343" s="3"/>
      <c r="QA343" s="3"/>
      <c r="QB343" s="3"/>
      <c r="QC343" s="3"/>
      <c r="QD343" s="3"/>
      <c r="QE343" s="3"/>
      <c r="QF343" s="3"/>
      <c r="QG343" s="3"/>
      <c r="QH343" s="3"/>
      <c r="QI343" s="3"/>
      <c r="QJ343" s="3"/>
      <c r="QK343" s="3"/>
      <c r="QL343" s="3"/>
      <c r="QM343" s="3"/>
      <c r="QN343" s="3"/>
      <c r="QO343" s="3"/>
      <c r="QP343" s="3"/>
      <c r="QQ343" s="3"/>
      <c r="QR343" s="3"/>
      <c r="QS343" s="3"/>
      <c r="QT343" s="3"/>
      <c r="QU343" s="3"/>
      <c r="QV343" s="3"/>
      <c r="QW343" s="3"/>
      <c r="QX343" s="3"/>
      <c r="QY343" s="3"/>
      <c r="QZ343" s="3"/>
      <c r="RA343" s="3"/>
      <c r="RB343" s="3"/>
      <c r="RC343" s="3"/>
      <c r="RD343" s="3"/>
      <c r="RE343" s="3"/>
      <c r="RF343" s="3"/>
      <c r="RG343" s="3"/>
      <c r="RH343" s="3"/>
      <c r="RI343" s="3"/>
      <c r="RJ343" s="3"/>
      <c r="RK343" s="3"/>
      <c r="RL343" s="3"/>
      <c r="RM343" s="3"/>
      <c r="RN343" s="3"/>
      <c r="RO343" s="3"/>
      <c r="RP343" s="3"/>
      <c r="RQ343" s="3"/>
      <c r="RR343" s="3"/>
      <c r="RS343" s="3"/>
      <c r="RT343" s="3"/>
      <c r="RU343" s="3"/>
      <c r="RV343" s="3"/>
      <c r="RW343" s="3"/>
      <c r="RX343" s="3"/>
      <c r="RY343" s="3"/>
      <c r="RZ343" s="3"/>
      <c r="SA343" s="3"/>
      <c r="SB343" s="3"/>
      <c r="SC343" s="3"/>
      <c r="SD343" s="3"/>
      <c r="SE343" s="3"/>
      <c r="SF343" s="3"/>
      <c r="SG343" s="3"/>
      <c r="SH343" s="3"/>
      <c r="SI343" s="3"/>
      <c r="SJ343" s="3"/>
      <c r="SK343" s="3"/>
      <c r="SL343" s="3"/>
      <c r="SM343" s="3"/>
      <c r="SN343" s="3"/>
      <c r="SO343" s="3"/>
      <c r="SP343" s="3"/>
      <c r="SQ343" s="3"/>
      <c r="SR343" s="3"/>
      <c r="SS343" s="3"/>
      <c r="ST343" s="3"/>
      <c r="SU343" s="3"/>
      <c r="SV343" s="3"/>
      <c r="SW343" s="3"/>
      <c r="SX343" s="3"/>
      <c r="SY343" s="3"/>
      <c r="SZ343" s="3"/>
      <c r="TA343" s="3"/>
      <c r="TB343" s="3"/>
      <c r="TC343" s="3"/>
      <c r="TD343" s="3"/>
      <c r="TE343" s="3"/>
      <c r="TF343" s="3"/>
      <c r="TG343" s="3"/>
      <c r="TH343" s="3"/>
      <c r="TI343" s="3"/>
      <c r="TJ343" s="3"/>
      <c r="TK343" s="3"/>
      <c r="TL343" s="3"/>
      <c r="TM343" s="3"/>
      <c r="TN343" s="3"/>
      <c r="TO343" s="3"/>
      <c r="TP343" s="3"/>
      <c r="TQ343" s="3"/>
      <c r="TR343" s="3"/>
      <c r="TS343" s="3"/>
      <c r="TT343" s="3"/>
      <c r="TU343" s="3"/>
      <c r="TV343" s="3"/>
      <c r="TW343" s="3"/>
      <c r="TX343" s="3"/>
      <c r="TY343" s="3"/>
      <c r="TZ343" s="3"/>
      <c r="UA343" s="3"/>
      <c r="UB343" s="3"/>
      <c r="UC343" s="3"/>
      <c r="UD343" s="3"/>
      <c r="UE343" s="3"/>
      <c r="UF343" s="3"/>
      <c r="UG343" s="3"/>
      <c r="UH343" s="3"/>
      <c r="UI343" s="3"/>
      <c r="UJ343" s="3"/>
      <c r="UK343" s="3"/>
      <c r="UL343" s="3"/>
      <c r="UM343" s="3"/>
      <c r="UN343" s="3"/>
      <c r="UO343" s="3"/>
      <c r="UP343" s="3"/>
      <c r="UQ343" s="3"/>
      <c r="UR343" s="3"/>
      <c r="US343" s="3"/>
      <c r="UT343" s="3"/>
      <c r="UU343" s="3"/>
      <c r="UV343" s="3"/>
      <c r="UW343" s="3"/>
      <c r="UX343" s="3"/>
      <c r="UY343" s="3"/>
      <c r="UZ343" s="3"/>
      <c r="VA343" s="3"/>
      <c r="VB343" s="3"/>
      <c r="VC343" s="3"/>
      <c r="VD343" s="3"/>
      <c r="VE343" s="3"/>
      <c r="VF343" s="3"/>
      <c r="VG343" s="3"/>
      <c r="VH343" s="3"/>
      <c r="VI343" s="3"/>
      <c r="VJ343" s="3"/>
      <c r="VK343" s="3"/>
      <c r="VL343" s="3"/>
      <c r="VM343" s="3"/>
      <c r="VN343" s="3"/>
      <c r="VO343" s="3"/>
      <c r="VP343" s="3"/>
      <c r="VQ343" s="3"/>
      <c r="VR343" s="3"/>
      <c r="VS343" s="3"/>
      <c r="VT343" s="3"/>
      <c r="VU343" s="3"/>
      <c r="VV343" s="3"/>
      <c r="VW343" s="3"/>
      <c r="VX343" s="3"/>
      <c r="VY343" s="3"/>
      <c r="VZ343" s="3"/>
      <c r="WA343" s="3"/>
      <c r="WB343" s="3"/>
      <c r="WC343" s="3"/>
      <c r="WD343" s="3"/>
      <c r="WE343" s="3"/>
      <c r="WF343" s="3"/>
      <c r="WG343" s="3"/>
      <c r="WH343" s="3"/>
      <c r="WI343" s="3"/>
      <c r="WJ343" s="3"/>
      <c r="WK343" s="3"/>
      <c r="WL343" s="3"/>
      <c r="WM343" s="3"/>
      <c r="WN343" s="3"/>
      <c r="WO343" s="3"/>
      <c r="WP343" s="3"/>
      <c r="WQ343" s="3"/>
      <c r="WR343" s="3"/>
      <c r="WS343" s="3"/>
      <c r="WT343" s="3"/>
      <c r="WU343" s="3"/>
      <c r="WV343" s="3"/>
      <c r="WW343" s="3"/>
      <c r="WX343" s="3"/>
      <c r="WY343" s="3"/>
      <c r="WZ343" s="3"/>
      <c r="XA343" s="3"/>
      <c r="XB343" s="3"/>
      <c r="XC343" s="3"/>
      <c r="XD343" s="3"/>
      <c r="XE343" s="3"/>
      <c r="XF343" s="3"/>
      <c r="XG343" s="3"/>
      <c r="XH343" s="3"/>
      <c r="XI343" s="3"/>
      <c r="XJ343" s="3"/>
      <c r="XK343" s="3"/>
      <c r="XL343" s="3"/>
      <c r="XM343" s="3"/>
      <c r="XN343" s="3"/>
      <c r="XO343" s="3"/>
      <c r="XP343" s="3"/>
      <c r="XQ343" s="3"/>
      <c r="XR343" s="3"/>
      <c r="XS343" s="3"/>
      <c r="XT343" s="3"/>
      <c r="XU343" s="3"/>
      <c r="XV343" s="3"/>
      <c r="XW343" s="3"/>
      <c r="XX343" s="3"/>
      <c r="XY343" s="3"/>
      <c r="XZ343" s="3"/>
      <c r="YA343" s="3"/>
      <c r="YB343" s="3"/>
      <c r="YC343" s="3"/>
      <c r="YD343" s="3"/>
      <c r="YE343" s="3"/>
      <c r="YF343" s="3"/>
      <c r="YG343" s="3"/>
      <c r="YH343" s="3"/>
      <c r="YI343" s="3"/>
      <c r="YJ343" s="3"/>
      <c r="YK343" s="3"/>
      <c r="YL343" s="3"/>
      <c r="YM343" s="3"/>
      <c r="YN343" s="3"/>
      <c r="YO343" s="3"/>
      <c r="YP343" s="3"/>
      <c r="YQ343" s="3"/>
      <c r="YR343" s="3"/>
      <c r="YS343" s="3"/>
      <c r="YT343" s="3"/>
      <c r="YU343" s="3"/>
      <c r="YV343" s="3"/>
      <c r="YW343" s="3"/>
      <c r="YX343" s="3"/>
      <c r="YY343" s="3"/>
      <c r="YZ343" s="3"/>
      <c r="ZA343" s="3"/>
      <c r="ZB343" s="3"/>
      <c r="ZC343" s="3"/>
      <c r="ZD343" s="3"/>
      <c r="ZE343" s="3"/>
      <c r="ZF343" s="3"/>
      <c r="ZG343" s="3"/>
      <c r="ZH343" s="3"/>
      <c r="ZI343" s="3"/>
      <c r="ZJ343" s="3"/>
      <c r="ZK343" s="3"/>
      <c r="ZL343" s="3"/>
      <c r="ZM343" s="3"/>
      <c r="ZN343" s="3"/>
      <c r="ZO343" s="3"/>
      <c r="ZP343" s="3"/>
      <c r="ZQ343" s="3"/>
      <c r="ZR343" s="3"/>
      <c r="ZS343" s="3"/>
      <c r="ZT343" s="3"/>
      <c r="ZU343" s="3"/>
      <c r="ZV343" s="3"/>
      <c r="ZW343" s="3"/>
      <c r="ZX343" s="3"/>
      <c r="ZY343" s="3"/>
      <c r="ZZ343" s="3"/>
      <c r="AAA343" s="3"/>
      <c r="AAB343" s="3"/>
      <c r="AAC343" s="3"/>
      <c r="AAD343" s="3"/>
      <c r="AAE343" s="3"/>
      <c r="AAF343" s="3"/>
      <c r="AAG343" s="3"/>
      <c r="AAH343" s="3"/>
      <c r="AAI343" s="3"/>
      <c r="AAJ343" s="3"/>
      <c r="AAK343" s="3"/>
      <c r="AAL343" s="3"/>
      <c r="AAM343" s="3"/>
      <c r="AAN343" s="3"/>
      <c r="AAO343" s="3"/>
      <c r="AAP343" s="3"/>
      <c r="AAQ343" s="3"/>
      <c r="AAR343" s="3"/>
      <c r="AAS343" s="3"/>
      <c r="AAT343" s="3"/>
      <c r="AAU343" s="3"/>
      <c r="AAV343" s="3"/>
      <c r="AAW343" s="3"/>
      <c r="AAX343" s="3"/>
      <c r="AAY343" s="3"/>
      <c r="AAZ343" s="3"/>
      <c r="ABA343" s="3"/>
      <c r="ABB343" s="3"/>
      <c r="ABC343" s="3"/>
      <c r="ABD343" s="3"/>
      <c r="ABE343" s="3"/>
      <c r="ABF343" s="3"/>
      <c r="ABG343" s="3"/>
      <c r="ABH343" s="3"/>
      <c r="ABI343" s="3"/>
      <c r="ABJ343" s="3"/>
      <c r="ABK343" s="3"/>
      <c r="ABL343" s="3"/>
      <c r="ABM343" s="3"/>
      <c r="ABN343" s="3"/>
      <c r="ABO343" s="3"/>
      <c r="ABP343" s="3"/>
      <c r="ABQ343" s="3"/>
      <c r="ABR343" s="3"/>
      <c r="ABS343" s="3"/>
      <c r="ABT343" s="3"/>
      <c r="ABU343" s="3"/>
      <c r="ABV343" s="3"/>
      <c r="ABW343" s="3"/>
      <c r="ABX343" s="3"/>
      <c r="ABY343" s="3"/>
      <c r="ABZ343" s="3"/>
      <c r="ACA343" s="3"/>
      <c r="ACB343" s="3"/>
      <c r="ACC343" s="3"/>
      <c r="ACD343" s="3"/>
      <c r="ACE343" s="3"/>
      <c r="ACF343" s="3"/>
      <c r="ACG343" s="3"/>
      <c r="ACH343" s="3"/>
      <c r="ACI343" s="3"/>
      <c r="ACJ343" s="3"/>
      <c r="ACK343" s="3"/>
      <c r="ACL343" s="3"/>
      <c r="ACM343" s="3"/>
      <c r="ACN343" s="3"/>
      <c r="ACO343" s="3"/>
      <c r="ACP343" s="3"/>
      <c r="ACQ343" s="3"/>
      <c r="ACR343" s="3"/>
      <c r="ACS343" s="3"/>
      <c r="ACT343" s="3"/>
      <c r="ACU343" s="3"/>
      <c r="ACV343" s="3"/>
      <c r="ACW343" s="3"/>
      <c r="ACX343" s="3"/>
      <c r="ACY343" s="3"/>
      <c r="ACZ343" s="3"/>
      <c r="ADA343" s="3"/>
      <c r="ADB343" s="3"/>
      <c r="ADC343" s="3"/>
      <c r="ADD343" s="3"/>
      <c r="ADE343" s="3"/>
      <c r="ADF343" s="3"/>
      <c r="ADG343" s="3"/>
      <c r="ADH343" s="3"/>
      <c r="ADI343" s="3"/>
      <c r="ADJ343" s="3"/>
      <c r="ADK343" s="3"/>
      <c r="ADL343" s="3"/>
      <c r="ADM343" s="3"/>
      <c r="ADN343" s="3"/>
      <c r="ADO343" s="3"/>
      <c r="ADP343" s="3"/>
      <c r="ADQ343" s="3"/>
      <c r="ADR343" s="3"/>
      <c r="ADS343" s="3"/>
      <c r="ADT343" s="3"/>
      <c r="ADU343" s="3"/>
      <c r="ADV343" s="3"/>
      <c r="ADW343" s="3"/>
      <c r="ADX343" s="3"/>
      <c r="ADY343" s="3"/>
      <c r="ADZ343" s="3"/>
      <c r="AEA343" s="3"/>
      <c r="AEB343" s="3"/>
      <c r="AEC343" s="3"/>
      <c r="AED343" s="3"/>
      <c r="AEE343" s="3"/>
      <c r="AEF343" s="3"/>
      <c r="AEG343" s="3"/>
      <c r="AEH343" s="3"/>
      <c r="AEI343" s="3"/>
      <c r="AEJ343" s="3"/>
      <c r="AEK343" s="3"/>
      <c r="AEL343" s="3"/>
      <c r="AEM343" s="3"/>
      <c r="AEN343" s="3"/>
      <c r="AEO343" s="3"/>
      <c r="AEP343" s="3"/>
      <c r="AEQ343" s="3"/>
      <c r="AER343" s="3"/>
      <c r="AES343" s="3"/>
      <c r="AET343" s="3"/>
      <c r="AEU343" s="3"/>
      <c r="AEV343" s="3"/>
      <c r="AEW343" s="3"/>
      <c r="AEX343" s="3"/>
      <c r="AEY343" s="3"/>
      <c r="AEZ343" s="3"/>
      <c r="AFA343" s="3"/>
      <c r="AFB343" s="3"/>
      <c r="AFC343" s="3"/>
      <c r="AFD343" s="3"/>
      <c r="AFE343" s="3"/>
      <c r="AFF343" s="3"/>
      <c r="AFG343" s="3"/>
      <c r="AFH343" s="3"/>
      <c r="AFI343" s="3"/>
      <c r="AFJ343" s="3"/>
      <c r="AFK343" s="3"/>
      <c r="AFL343" s="3"/>
      <c r="AFM343" s="3"/>
      <c r="AFN343" s="3"/>
      <c r="AFO343" s="3"/>
      <c r="AFP343" s="3"/>
      <c r="AFQ343" s="3"/>
      <c r="AFR343" s="3"/>
      <c r="AFS343" s="3"/>
      <c r="AFT343" s="3"/>
      <c r="AFU343" s="3"/>
      <c r="AFV343" s="3"/>
      <c r="AFW343" s="3"/>
      <c r="AFX343" s="3"/>
      <c r="AFY343" s="3"/>
      <c r="AFZ343" s="3"/>
      <c r="AGA343" s="3"/>
      <c r="AGB343" s="3"/>
      <c r="AGC343" s="3"/>
      <c r="AGD343" s="3"/>
      <c r="AGE343" s="3"/>
      <c r="AGF343" s="3"/>
      <c r="AGG343" s="3"/>
      <c r="AGH343" s="3"/>
      <c r="AGI343" s="3"/>
      <c r="AGJ343" s="3"/>
      <c r="AGK343" s="3"/>
      <c r="AGL343" s="3"/>
      <c r="AGM343" s="3"/>
      <c r="AGN343" s="3"/>
      <c r="AGO343" s="3"/>
      <c r="AGP343" s="3"/>
      <c r="AGQ343" s="3"/>
      <c r="AGR343" s="3"/>
      <c r="AGS343" s="3"/>
      <c r="AGT343" s="3"/>
      <c r="AGU343" s="3"/>
      <c r="AGV343" s="3"/>
      <c r="AGW343" s="3"/>
      <c r="AGX343" s="3"/>
      <c r="AGY343" s="3"/>
      <c r="AGZ343" s="3"/>
      <c r="AHA343" s="3"/>
      <c r="AHB343" s="3"/>
      <c r="AHC343" s="3"/>
      <c r="AHD343" s="3"/>
      <c r="AHE343" s="3"/>
      <c r="AHF343" s="3"/>
      <c r="AHG343" s="3"/>
      <c r="AHH343" s="3"/>
      <c r="AHI343" s="3"/>
      <c r="AHJ343" s="3"/>
      <c r="AHK343" s="3"/>
      <c r="AHL343" s="3"/>
      <c r="AHM343" s="3"/>
      <c r="AHN343" s="3"/>
      <c r="AHO343" s="3"/>
      <c r="AHP343" s="3"/>
      <c r="AHQ343" s="3"/>
      <c r="AHR343" s="3"/>
      <c r="AHS343" s="3"/>
      <c r="AHT343" s="3"/>
      <c r="AHU343" s="3"/>
      <c r="AHV343" s="3"/>
      <c r="AHW343" s="3"/>
      <c r="AHX343" s="3"/>
      <c r="AHY343" s="3"/>
      <c r="AHZ343" s="3"/>
      <c r="AIA343" s="3"/>
      <c r="AIB343" s="3"/>
      <c r="AIC343" s="3"/>
      <c r="AID343" s="3"/>
      <c r="AIE343" s="3"/>
      <c r="AIF343" s="3"/>
      <c r="AIG343" s="3"/>
      <c r="AIH343" s="3"/>
      <c r="AII343" s="3"/>
      <c r="AIJ343" s="3"/>
      <c r="AIK343" s="3"/>
      <c r="AIL343" s="3"/>
      <c r="AIM343" s="3"/>
      <c r="AIN343" s="3"/>
      <c r="AIO343" s="3"/>
      <c r="AIP343" s="3"/>
      <c r="AIQ343" s="3"/>
      <c r="AIR343" s="3"/>
      <c r="AIS343" s="3"/>
      <c r="AIT343" s="3"/>
      <c r="AIU343" s="3"/>
      <c r="AIV343" s="3"/>
      <c r="AIW343" s="3"/>
      <c r="AIX343" s="3"/>
      <c r="AIY343" s="3"/>
      <c r="AIZ343" s="3"/>
      <c r="AJA343" s="3"/>
      <c r="AJB343" s="3"/>
      <c r="AJC343" s="3"/>
      <c r="AJD343" s="3"/>
      <c r="AJE343" s="3"/>
      <c r="AJF343" s="3"/>
      <c r="AJG343" s="3"/>
      <c r="AJH343" s="3"/>
      <c r="AJI343" s="3"/>
      <c r="AJJ343" s="3"/>
      <c r="AJK343" s="3"/>
      <c r="AJL343" s="3"/>
      <c r="AJM343" s="3"/>
      <c r="AJN343" s="3"/>
      <c r="AJO343" s="3"/>
      <c r="AJP343" s="3"/>
      <c r="AJQ343" s="3"/>
      <c r="AJR343" s="3"/>
      <c r="AJS343" s="3"/>
      <c r="AJT343" s="3"/>
      <c r="AJU343" s="3"/>
      <c r="AJV343" s="3"/>
      <c r="AJW343" s="3"/>
      <c r="AJX343" s="3"/>
      <c r="AJY343" s="3"/>
      <c r="AJZ343" s="3"/>
      <c r="AKA343" s="3"/>
      <c r="AKB343" s="3"/>
      <c r="AKC343" s="3"/>
      <c r="AKD343" s="3"/>
      <c r="AKE343" s="3"/>
      <c r="AKF343" s="3"/>
      <c r="AKG343" s="3"/>
      <c r="AKH343" s="3"/>
      <c r="AKI343" s="3"/>
      <c r="AKJ343" s="3"/>
      <c r="AKK343" s="3"/>
      <c r="AKL343" s="3"/>
      <c r="AKM343" s="3"/>
      <c r="AKN343" s="3"/>
      <c r="AKO343" s="3"/>
      <c r="AKP343" s="3"/>
      <c r="AKQ343" s="3"/>
      <c r="AKR343" s="3"/>
      <c r="AKS343" s="3"/>
      <c r="AKT343" s="3"/>
      <c r="AKU343" s="3"/>
      <c r="AKV343" s="3"/>
      <c r="AKW343" s="3"/>
      <c r="AKX343" s="3"/>
      <c r="AKY343" s="3"/>
      <c r="AKZ343" s="3"/>
      <c r="ALA343" s="3"/>
      <c r="ALB343" s="3"/>
      <c r="ALC343" s="3"/>
      <c r="ALD343" s="3"/>
      <c r="ALE343" s="3"/>
      <c r="ALF343" s="3"/>
      <c r="ALG343" s="3"/>
      <c r="ALH343" s="3"/>
      <c r="ALI343" s="3"/>
      <c r="ALJ343" s="3"/>
      <c r="ALK343" s="3"/>
      <c r="ALL343" s="3"/>
      <c r="ALM343" s="3"/>
      <c r="ALN343" s="3"/>
      <c r="ALO343" s="3"/>
      <c r="ALP343" s="3"/>
      <c r="ALQ343" s="3"/>
      <c r="ALR343" s="3"/>
      <c r="ALS343" s="3"/>
      <c r="ALT343" s="3"/>
      <c r="ALU343" s="3"/>
      <c r="ALV343" s="3"/>
      <c r="ALW343" s="3"/>
      <c r="ALX343" s="3"/>
      <c r="ALY343" s="3"/>
      <c r="ALZ343" s="3"/>
      <c r="AMA343" s="3"/>
      <c r="AMB343" s="3"/>
      <c r="AMC343" s="3"/>
      <c r="AMD343" s="3"/>
      <c r="AME343" s="3"/>
      <c r="AMF343" s="3"/>
      <c r="AMG343" s="3"/>
      <c r="AMH343" s="3"/>
      <c r="AMI343" s="3"/>
      <c r="AMJ343" s="3"/>
      <c r="AMK343" s="3"/>
      <c r="AML343" s="3"/>
      <c r="AMM343" s="3"/>
      <c r="AMN343" s="3"/>
      <c r="AMO343" s="3"/>
      <c r="AMP343" s="1"/>
    </row>
    <row r="344" spans="1:1030" s="6" customFormat="1" x14ac:dyDescent="0.2">
      <c r="A344" s="3" t="str">
        <f t="shared" si="1563"/>
        <v>smo_human_5L7D</v>
      </c>
      <c r="B344" s="3" t="s">
        <v>33</v>
      </c>
      <c r="C344" s="3" t="s">
        <v>1358</v>
      </c>
      <c r="D344" s="3" t="str">
        <f>IFERROR(MID(VLOOKUP($B344,Seqs!$A:$B,2,0),E344,1),"")</f>
        <v>T</v>
      </c>
      <c r="E344" s="105">
        <v>223</v>
      </c>
      <c r="F344" s="3" t="str">
        <f>IFERROR(MID(VLOOKUP($B344,Seqs!$A:$B,2,0),G344,1),"")</f>
        <v>D</v>
      </c>
      <c r="G344" s="3">
        <v>255</v>
      </c>
      <c r="H344" s="3" t="str">
        <f>IFERROR(MID(VLOOKUP($B344,Seqs!$A:$B,2,0),I344,1),"")</f>
        <v>W</v>
      </c>
      <c r="I344" s="23">
        <v>256</v>
      </c>
      <c r="J344" s="3" t="str">
        <f>IFERROR(MID(VLOOKUP($B344,Seqs!$A:$B,2,0),K344,1),"")</f>
        <v>N</v>
      </c>
      <c r="K344" s="23">
        <v>260</v>
      </c>
      <c r="L344" s="3" t="str">
        <f>IFERROR(MID(VLOOKUP($B344,Seqs!$A:$B,2,0),M344,1),"")</f>
        <v>R</v>
      </c>
      <c r="M344" s="3">
        <v>261</v>
      </c>
      <c r="N344" s="3" t="str">
        <f>IFERROR(MID(VLOOKUP($B344,Seqs!$A:$B,2,0),O344,1),"")</f>
        <v>F</v>
      </c>
      <c r="O344" s="3">
        <v>285</v>
      </c>
      <c r="P344" s="3" t="str">
        <f>IFERROR(MID(VLOOKUP($B344,Seqs!$A:$B,2,0),Q344,1),"")</f>
        <v/>
      </c>
      <c r="Q344" s="3" t="s">
        <v>23</v>
      </c>
      <c r="R344" s="3" t="str">
        <f>IFERROR(MID(VLOOKUP($B344,Seqs!$A:$B,2,0),S344,1),"")</f>
        <v/>
      </c>
      <c r="S344" s="3" t="s">
        <v>23</v>
      </c>
      <c r="T344" s="3" t="str">
        <f>IFERROR(MID(VLOOKUP($B344,Seqs!$A:$B,2,0),U344,1),"")</f>
        <v>L</v>
      </c>
      <c r="U344" s="3">
        <v>312</v>
      </c>
      <c r="V344" s="3" t="str">
        <f>IFERROR(MID(VLOOKUP($B344,Seqs!$A:$B,2,0),W344,1),"")</f>
        <v>L</v>
      </c>
      <c r="W344" s="3">
        <v>346</v>
      </c>
      <c r="X344" s="3" t="str">
        <f>IFERROR(MID(VLOOKUP($B344,Seqs!$A:$B,2,0),Y344,1),"")</f>
        <v/>
      </c>
      <c r="Y344" s="3" t="s">
        <v>23</v>
      </c>
      <c r="Z344" s="3" t="str">
        <f>IFERROR(MID(VLOOKUP($B344,Seqs!$A:$B,2,0),AA344,1),"")</f>
        <v/>
      </c>
      <c r="AA344" s="3" t="s">
        <v>23</v>
      </c>
      <c r="AB344" s="3" t="str">
        <f>IFERROR(MID(VLOOKUP($B344,Seqs!$A:$B,2,0),AC344,1),"")</f>
        <v>L</v>
      </c>
      <c r="AC344" s="9">
        <v>353</v>
      </c>
      <c r="AD344" s="3" t="str">
        <f>IFERROR(MID(VLOOKUP($B344,Seqs!$A:$B,2,0),AE344,1),"")</f>
        <v>V</v>
      </c>
      <c r="AE344" s="3">
        <v>378</v>
      </c>
      <c r="AF344" s="3" t="str">
        <f>IFERROR(MID(VLOOKUP($B344,Seqs!$A:$B,2,0),AG344,1),"")</f>
        <v>C</v>
      </c>
      <c r="AG344" s="3">
        <v>390</v>
      </c>
      <c r="AH344" s="3" t="str">
        <f>IFERROR(MID(VLOOKUP($B344,Seqs!$A:$B,2,0),AI344,1),"")</f>
        <v>V</v>
      </c>
      <c r="AI344" s="3">
        <v>392</v>
      </c>
      <c r="AJ344" s="3" t="str">
        <f>IFERROR(MID(VLOOKUP($B344,Seqs!$A:$B,2,0),AK344,1),"")</f>
        <v>N</v>
      </c>
      <c r="AK344" s="105">
        <v>396</v>
      </c>
      <c r="AL344" s="3" t="str">
        <f>IFERROR(MID(VLOOKUP($B344,Seqs!$A:$B,2,0),AM344,1),"")</f>
        <v>S</v>
      </c>
      <c r="AM344" s="3">
        <v>428</v>
      </c>
      <c r="AN344" s="3" t="str">
        <f>IFERROR(MID(VLOOKUP($B344,Seqs!$A:$B,2,0),AO344,1),"")</f>
        <v>E</v>
      </c>
      <c r="AO344" s="3">
        <v>447</v>
      </c>
      <c r="AP344" s="3" t="str">
        <f>IFERROR(MID(VLOOKUP($B344,Seqs!$A:$B,2,0),AQ344,1),"")</f>
        <v>I</v>
      </c>
      <c r="AQ344" s="3">
        <v>496</v>
      </c>
      <c r="AR344" s="3" t="str">
        <f>IFERROR(MID(VLOOKUP($B344,Seqs!$A:$B,2,0),AS344,1),"")</f>
        <v>S</v>
      </c>
      <c r="AS344" s="105">
        <v>514</v>
      </c>
      <c r="AT344" s="3" t="str">
        <f>IFERROR(MID(VLOOKUP($B344,Seqs!$A:$B,2,0),AU344,1),"")</f>
        <v>W</v>
      </c>
      <c r="AU344" s="3">
        <v>537</v>
      </c>
      <c r="AV344" s="3" t="str">
        <f>IFERROR(MID(VLOOKUP($B344,Seqs!$A:$B,2,0),AW344,1),"")</f>
        <v>T</v>
      </c>
      <c r="AW344" s="3">
        <v>538</v>
      </c>
      <c r="AX344" s="3" t="str">
        <f>IFERROR(MID(VLOOKUP($B344,Seqs!$A:$B,2,0),AY344,1),"")</f>
        <v>T</v>
      </c>
      <c r="AY344" s="3">
        <v>553</v>
      </c>
      <c r="AZ344" s="78" t="str">
        <f>VLOOKUP(B344,Classification!A:D,2,0)</f>
        <v>F</v>
      </c>
      <c r="BA344" s="94" t="str">
        <f>VLOOKUP(B344,Classification!A:D,4,0)</f>
        <v>Frizzled</v>
      </c>
      <c r="BB344" s="92" t="b">
        <f t="shared" si="1564"/>
        <v>1</v>
      </c>
      <c r="BC344" s="23">
        <f t="shared" si="1537"/>
        <v>252</v>
      </c>
      <c r="BD344" s="74" t="s">
        <v>1382</v>
      </c>
      <c r="BE344" s="3" t="s">
        <v>1380</v>
      </c>
      <c r="BF344" s="119">
        <v>3.2</v>
      </c>
      <c r="BG344" s="49" t="s">
        <v>1287</v>
      </c>
      <c r="BH344" s="49" t="s">
        <v>1383</v>
      </c>
      <c r="BI344" s="3"/>
      <c r="BJ344" s="75" t="s">
        <v>1293</v>
      </c>
      <c r="BK344" s="57" t="s">
        <v>1293</v>
      </c>
      <c r="BL344" s="57" t="s">
        <v>1293</v>
      </c>
      <c r="BM344" s="57" t="s">
        <v>1293</v>
      </c>
      <c r="BN344" s="57" t="s">
        <v>1293</v>
      </c>
      <c r="BO344" s="57" t="s">
        <v>1293</v>
      </c>
      <c r="BP344" s="57" t="s">
        <v>1293</v>
      </c>
      <c r="BQ344" s="57" t="s">
        <v>1293</v>
      </c>
      <c r="BR344" s="57" t="s">
        <v>1293</v>
      </c>
      <c r="BS344" s="57" t="s">
        <v>1293</v>
      </c>
      <c r="BT344" s="57" t="s">
        <v>1293</v>
      </c>
      <c r="BU344" s="57" t="s">
        <v>1293</v>
      </c>
      <c r="BV344" s="75">
        <f t="shared" si="1538"/>
        <v>223</v>
      </c>
      <c r="BW344" s="71">
        <f t="shared" si="1539"/>
        <v>256</v>
      </c>
      <c r="BX344" s="72">
        <f t="shared" si="1540"/>
        <v>261</v>
      </c>
      <c r="BY344" s="71" t="str">
        <f t="shared" si="1541"/>
        <v>-</v>
      </c>
      <c r="BZ344" s="72">
        <f t="shared" si="1542"/>
        <v>312</v>
      </c>
      <c r="CA344" s="71" t="str">
        <f t="shared" si="1543"/>
        <v>-</v>
      </c>
      <c r="CB344" s="72">
        <f t="shared" si="1544"/>
        <v>353</v>
      </c>
      <c r="CC344" s="71">
        <f t="shared" si="1545"/>
        <v>390</v>
      </c>
      <c r="CD344" s="72">
        <f t="shared" si="1546"/>
        <v>396</v>
      </c>
      <c r="CE344" s="71">
        <f t="shared" si="1547"/>
        <v>447</v>
      </c>
      <c r="CF344" s="72">
        <f t="shared" si="1548"/>
        <v>514</v>
      </c>
      <c r="CG344" s="71">
        <f t="shared" si="1549"/>
        <v>538</v>
      </c>
      <c r="CH344" s="75">
        <f t="shared" si="1550"/>
        <v>255</v>
      </c>
      <c r="CI344" s="71">
        <f t="shared" si="1551"/>
        <v>260</v>
      </c>
      <c r="CJ344" s="72">
        <f t="shared" si="1552"/>
        <v>285</v>
      </c>
      <c r="CK344" s="72" t="str">
        <f t="shared" si="1553"/>
        <v>-</v>
      </c>
      <c r="CL344" s="72">
        <f t="shared" si="1554"/>
        <v>346</v>
      </c>
      <c r="CM344" s="72" t="str">
        <f t="shared" si="1555"/>
        <v>-</v>
      </c>
      <c r="CN344" s="72">
        <f t="shared" si="1556"/>
        <v>378</v>
      </c>
      <c r="CO344" s="72">
        <f t="shared" si="1557"/>
        <v>392</v>
      </c>
      <c r="CP344" s="72">
        <f t="shared" si="1558"/>
        <v>428</v>
      </c>
      <c r="CQ344" s="72">
        <f t="shared" si="1559"/>
        <v>496</v>
      </c>
      <c r="CR344" s="72">
        <f t="shared" si="1560"/>
        <v>537</v>
      </c>
      <c r="CS344" s="72">
        <f t="shared" si="1561"/>
        <v>553</v>
      </c>
      <c r="CT344" s="23">
        <f t="shared" si="1562"/>
        <v>1</v>
      </c>
      <c r="CU344" s="3"/>
      <c r="CV344" s="3"/>
      <c r="CW344" s="3"/>
      <c r="CX344" s="3"/>
      <c r="CY344" s="3"/>
      <c r="CZ344" s="3"/>
      <c r="DA344" s="3"/>
      <c r="DB344" s="3"/>
      <c r="DC344" s="3"/>
      <c r="DD344" s="3"/>
      <c r="DE344" s="3"/>
      <c r="DF344" s="3"/>
      <c r="DG344" s="3"/>
      <c r="DH344" s="3"/>
      <c r="DI344" s="3"/>
      <c r="DJ344" s="3"/>
      <c r="DK344" s="3"/>
      <c r="DL344" s="3"/>
      <c r="DM344" s="3"/>
      <c r="DN344" s="3"/>
      <c r="DO344" s="3"/>
      <c r="DP344" s="3"/>
      <c r="DQ344" s="3"/>
      <c r="DR344" s="3"/>
      <c r="DS344" s="3"/>
      <c r="DT344" s="3"/>
      <c r="DU344" s="3"/>
      <c r="DV344" s="3"/>
      <c r="DW344" s="3"/>
      <c r="DX344" s="3"/>
      <c r="DY344" s="3"/>
      <c r="DZ344" s="3"/>
      <c r="EA344" s="3"/>
      <c r="EB344" s="3"/>
      <c r="EC344" s="3"/>
      <c r="ED344" s="3"/>
      <c r="EE344" s="3"/>
      <c r="EF344" s="3"/>
      <c r="EG344" s="3"/>
      <c r="EH344" s="3"/>
      <c r="EI344" s="3"/>
      <c r="EJ344" s="3"/>
      <c r="EK344" s="3"/>
      <c r="EL344" s="3"/>
      <c r="EM344" s="3"/>
      <c r="EN344" s="3"/>
      <c r="EO344" s="3"/>
      <c r="EP344" s="3"/>
      <c r="EQ344" s="3"/>
      <c r="ER344" s="3"/>
      <c r="ES344" s="3"/>
      <c r="ET344" s="3"/>
      <c r="EU344" s="3"/>
      <c r="EV344" s="3"/>
      <c r="EW344" s="3"/>
      <c r="EX344" s="3"/>
      <c r="EY344" s="3"/>
      <c r="EZ344" s="3"/>
      <c r="FA344" s="3"/>
      <c r="FB344" s="3"/>
      <c r="FC344" s="3"/>
      <c r="FD344" s="3"/>
      <c r="FE344" s="3"/>
      <c r="FF344" s="3"/>
      <c r="FG344" s="3"/>
      <c r="FH344" s="3"/>
      <c r="FI344" s="3"/>
      <c r="FJ344" s="3"/>
      <c r="FK344" s="3"/>
      <c r="FL344" s="3"/>
      <c r="FM344" s="3"/>
      <c r="FN344" s="3"/>
      <c r="FO344" s="3"/>
      <c r="FP344" s="3"/>
      <c r="FQ344" s="3"/>
      <c r="FR344" s="3"/>
      <c r="FS344" s="3"/>
      <c r="FT344" s="3"/>
      <c r="FU344" s="3"/>
      <c r="FV344" s="3"/>
      <c r="FW344" s="3"/>
      <c r="FX344" s="3"/>
      <c r="FY344" s="3"/>
      <c r="FZ344" s="3"/>
      <c r="GA344" s="3"/>
      <c r="GB344" s="3"/>
      <c r="GC344" s="3"/>
      <c r="GD344" s="3"/>
      <c r="GE344" s="3"/>
      <c r="GF344" s="3"/>
      <c r="GG344" s="3"/>
      <c r="GH344" s="3"/>
      <c r="GI344" s="3"/>
      <c r="GJ344" s="3"/>
      <c r="GK344" s="3"/>
      <c r="GL344" s="3"/>
      <c r="GM344" s="3"/>
      <c r="GN344" s="3"/>
      <c r="GO344" s="3"/>
      <c r="GP344" s="3"/>
      <c r="GQ344" s="3"/>
      <c r="GR344" s="3"/>
      <c r="GS344" s="3"/>
      <c r="GT344" s="3"/>
      <c r="GU344" s="3"/>
      <c r="GV344" s="3"/>
      <c r="GW344" s="3"/>
      <c r="GX344" s="3"/>
      <c r="GY344" s="3"/>
      <c r="GZ344" s="3"/>
      <c r="HA344" s="3"/>
      <c r="HB344" s="3"/>
      <c r="HC344" s="3"/>
      <c r="HD344" s="3"/>
      <c r="HE344" s="3"/>
      <c r="HF344" s="3"/>
      <c r="HG344" s="3"/>
      <c r="HH344" s="3"/>
      <c r="HI344" s="3"/>
      <c r="HJ344" s="3"/>
      <c r="HK344" s="3"/>
      <c r="HL344" s="3"/>
      <c r="HM344" s="3"/>
      <c r="HN344" s="3"/>
      <c r="HO344" s="3"/>
      <c r="HP344" s="3"/>
      <c r="HQ344" s="3"/>
      <c r="HR344" s="3"/>
      <c r="HS344" s="3"/>
      <c r="HT344" s="3"/>
      <c r="HU344" s="3"/>
      <c r="HV344" s="3"/>
      <c r="HW344" s="3"/>
      <c r="HX344" s="3"/>
      <c r="HY344" s="3"/>
      <c r="HZ344" s="3"/>
      <c r="IA344" s="3"/>
      <c r="IB344" s="3"/>
      <c r="IC344" s="3"/>
      <c r="ID344" s="3"/>
      <c r="IE344" s="3"/>
      <c r="IF344" s="3"/>
      <c r="IG344" s="3"/>
      <c r="IH344" s="3"/>
      <c r="II344" s="3"/>
      <c r="IJ344" s="3"/>
      <c r="IK344" s="3"/>
      <c r="IL344" s="3"/>
      <c r="IM344" s="3"/>
      <c r="IN344" s="3"/>
      <c r="IO344" s="3"/>
      <c r="IP344" s="3"/>
      <c r="IQ344" s="3"/>
      <c r="IR344" s="3"/>
      <c r="IS344" s="3"/>
      <c r="IT344" s="3"/>
      <c r="IU344" s="3"/>
      <c r="IV344" s="3"/>
      <c r="IW344" s="3"/>
      <c r="IX344" s="3"/>
      <c r="IY344" s="3"/>
      <c r="IZ344" s="3"/>
      <c r="JA344" s="3"/>
      <c r="JB344" s="3"/>
      <c r="JC344" s="3"/>
      <c r="JD344" s="3"/>
      <c r="JE344" s="3"/>
      <c r="JF344" s="3"/>
      <c r="JG344" s="3"/>
      <c r="JH344" s="3"/>
      <c r="JI344" s="3"/>
      <c r="JJ344" s="3"/>
      <c r="JK344" s="3"/>
      <c r="JL344" s="3"/>
      <c r="JM344" s="3"/>
      <c r="JN344" s="3"/>
      <c r="JO344" s="3"/>
      <c r="JP344" s="3"/>
      <c r="JQ344" s="3"/>
      <c r="JR344" s="3"/>
      <c r="JS344" s="3"/>
      <c r="JT344" s="3"/>
      <c r="JU344" s="3"/>
      <c r="JV344" s="3"/>
      <c r="JW344" s="3"/>
      <c r="JX344" s="3"/>
      <c r="JY344" s="3"/>
      <c r="JZ344" s="3"/>
      <c r="KA344" s="3"/>
      <c r="KB344" s="3"/>
      <c r="KC344" s="3"/>
      <c r="KD344" s="3"/>
      <c r="KE344" s="3"/>
      <c r="KF344" s="3"/>
      <c r="KG344" s="3"/>
      <c r="KH344" s="3"/>
      <c r="KI344" s="3"/>
      <c r="KJ344" s="3"/>
      <c r="KK344" s="3"/>
      <c r="KL344" s="3"/>
      <c r="KM344" s="3"/>
      <c r="KN344" s="3"/>
      <c r="KO344" s="3"/>
      <c r="KP344" s="3"/>
      <c r="KQ344" s="3"/>
      <c r="KR344" s="3"/>
      <c r="KS344" s="3"/>
      <c r="KT344" s="3"/>
      <c r="KU344" s="3"/>
      <c r="KV344" s="3"/>
      <c r="KW344" s="3"/>
      <c r="KX344" s="3"/>
      <c r="KY344" s="3"/>
      <c r="KZ344" s="3"/>
      <c r="LA344" s="3"/>
      <c r="LB344" s="3"/>
      <c r="LC344" s="3"/>
      <c r="LD344" s="3"/>
      <c r="LE344" s="3"/>
      <c r="LF344" s="3"/>
      <c r="LG344" s="3"/>
      <c r="LH344" s="3"/>
      <c r="LI344" s="3"/>
      <c r="LJ344" s="3"/>
      <c r="LK344" s="3"/>
      <c r="LL344" s="3"/>
      <c r="LM344" s="3"/>
      <c r="LN344" s="3"/>
      <c r="LO344" s="3"/>
      <c r="LP344" s="3"/>
      <c r="LQ344" s="3"/>
      <c r="LR344" s="3"/>
      <c r="LS344" s="3"/>
      <c r="LT344" s="3"/>
      <c r="LU344" s="3"/>
      <c r="LV344" s="3"/>
      <c r="LW344" s="3"/>
      <c r="LX344" s="3"/>
      <c r="LY344" s="3"/>
      <c r="LZ344" s="3"/>
      <c r="MA344" s="3"/>
      <c r="MB344" s="3"/>
      <c r="MC344" s="3"/>
      <c r="MD344" s="3"/>
      <c r="ME344" s="3"/>
      <c r="MF344" s="3"/>
      <c r="MG344" s="3"/>
      <c r="MH344" s="3"/>
      <c r="MI344" s="3"/>
      <c r="MJ344" s="3"/>
      <c r="MK344" s="3"/>
      <c r="ML344" s="3"/>
      <c r="MM344" s="3"/>
      <c r="MN344" s="3"/>
      <c r="MO344" s="3"/>
      <c r="MP344" s="3"/>
      <c r="MQ344" s="3"/>
      <c r="MR344" s="3"/>
      <c r="MS344" s="3"/>
      <c r="MT344" s="3"/>
      <c r="MU344" s="3"/>
      <c r="MV344" s="3"/>
      <c r="MW344" s="3"/>
      <c r="MX344" s="3"/>
      <c r="MY344" s="3"/>
      <c r="MZ344" s="3"/>
      <c r="NA344" s="3"/>
      <c r="NB344" s="3"/>
      <c r="NC344" s="3"/>
      <c r="ND344" s="3"/>
      <c r="NE344" s="3"/>
      <c r="NF344" s="3"/>
      <c r="NG344" s="3"/>
      <c r="NH344" s="3"/>
      <c r="NI344" s="3"/>
      <c r="NJ344" s="3"/>
      <c r="NK344" s="3"/>
      <c r="NL344" s="3"/>
      <c r="NM344" s="3"/>
      <c r="NN344" s="3"/>
      <c r="NO344" s="3"/>
      <c r="NP344" s="3"/>
      <c r="NQ344" s="3"/>
      <c r="NR344" s="3"/>
      <c r="NS344" s="3"/>
      <c r="NT344" s="3"/>
      <c r="NU344" s="3"/>
      <c r="NV344" s="3"/>
      <c r="NW344" s="3"/>
      <c r="NX344" s="3"/>
      <c r="NY344" s="3"/>
      <c r="NZ344" s="3"/>
      <c r="OA344" s="3"/>
      <c r="OB344" s="3"/>
      <c r="OC344" s="3"/>
      <c r="OD344" s="3"/>
      <c r="OE344" s="3"/>
      <c r="OF344" s="3"/>
      <c r="OG344" s="3"/>
      <c r="OH344" s="3"/>
      <c r="OI344" s="3"/>
      <c r="OJ344" s="3"/>
      <c r="OK344" s="3"/>
      <c r="OL344" s="3"/>
      <c r="OM344" s="3"/>
      <c r="ON344" s="3"/>
      <c r="OO344" s="3"/>
      <c r="OP344" s="3"/>
      <c r="OQ344" s="3"/>
      <c r="OR344" s="3"/>
      <c r="OS344" s="3"/>
      <c r="OT344" s="3"/>
      <c r="OU344" s="3"/>
      <c r="OV344" s="3"/>
      <c r="OW344" s="3"/>
      <c r="OX344" s="3"/>
      <c r="OY344" s="3"/>
      <c r="OZ344" s="3"/>
      <c r="PA344" s="3"/>
      <c r="PB344" s="3"/>
      <c r="PC344" s="3"/>
      <c r="PD344" s="3"/>
      <c r="PE344" s="3"/>
      <c r="PF344" s="3"/>
      <c r="PG344" s="3"/>
      <c r="PH344" s="3"/>
      <c r="PI344" s="3"/>
      <c r="PJ344" s="3"/>
      <c r="PK344" s="3"/>
      <c r="PL344" s="3"/>
      <c r="PM344" s="3"/>
      <c r="PN344" s="3"/>
      <c r="PO344" s="3"/>
      <c r="PP344" s="3"/>
      <c r="PQ344" s="3"/>
      <c r="PR344" s="3"/>
      <c r="PS344" s="3"/>
      <c r="PT344" s="3"/>
      <c r="PU344" s="3"/>
      <c r="PV344" s="3"/>
      <c r="PW344" s="3"/>
      <c r="PX344" s="3"/>
      <c r="PY344" s="3"/>
      <c r="PZ344" s="3"/>
      <c r="QA344" s="3"/>
      <c r="QB344" s="3"/>
      <c r="QC344" s="3"/>
      <c r="QD344" s="3"/>
      <c r="QE344" s="3"/>
      <c r="QF344" s="3"/>
      <c r="QG344" s="3"/>
      <c r="QH344" s="3"/>
      <c r="QI344" s="3"/>
      <c r="QJ344" s="3"/>
      <c r="QK344" s="3"/>
      <c r="QL344" s="3"/>
      <c r="QM344" s="3"/>
      <c r="QN344" s="3"/>
      <c r="QO344" s="3"/>
      <c r="QP344" s="3"/>
      <c r="QQ344" s="3"/>
      <c r="QR344" s="3"/>
      <c r="QS344" s="3"/>
      <c r="QT344" s="3"/>
      <c r="QU344" s="3"/>
      <c r="QV344" s="3"/>
      <c r="QW344" s="3"/>
      <c r="QX344" s="3"/>
      <c r="QY344" s="3"/>
      <c r="QZ344" s="3"/>
      <c r="RA344" s="3"/>
      <c r="RB344" s="3"/>
      <c r="RC344" s="3"/>
      <c r="RD344" s="3"/>
      <c r="RE344" s="3"/>
      <c r="RF344" s="3"/>
      <c r="RG344" s="3"/>
      <c r="RH344" s="3"/>
      <c r="RI344" s="3"/>
      <c r="RJ344" s="3"/>
      <c r="RK344" s="3"/>
      <c r="RL344" s="3"/>
      <c r="RM344" s="3"/>
      <c r="RN344" s="3"/>
      <c r="RO344" s="3"/>
      <c r="RP344" s="3"/>
      <c r="RQ344" s="3"/>
      <c r="RR344" s="3"/>
      <c r="RS344" s="3"/>
      <c r="RT344" s="3"/>
      <c r="RU344" s="3"/>
      <c r="RV344" s="3"/>
      <c r="RW344" s="3"/>
      <c r="RX344" s="3"/>
      <c r="RY344" s="3"/>
      <c r="RZ344" s="3"/>
      <c r="SA344" s="3"/>
      <c r="SB344" s="3"/>
      <c r="SC344" s="3"/>
      <c r="SD344" s="3"/>
      <c r="SE344" s="3"/>
      <c r="SF344" s="3"/>
      <c r="SG344" s="3"/>
      <c r="SH344" s="3"/>
      <c r="SI344" s="3"/>
      <c r="SJ344" s="3"/>
      <c r="SK344" s="3"/>
      <c r="SL344" s="3"/>
      <c r="SM344" s="3"/>
      <c r="SN344" s="3"/>
      <c r="SO344" s="3"/>
      <c r="SP344" s="3"/>
      <c r="SQ344" s="3"/>
      <c r="SR344" s="3"/>
      <c r="SS344" s="3"/>
      <c r="ST344" s="3"/>
      <c r="SU344" s="3"/>
      <c r="SV344" s="3"/>
      <c r="SW344" s="3"/>
      <c r="SX344" s="3"/>
      <c r="SY344" s="3"/>
      <c r="SZ344" s="3"/>
      <c r="TA344" s="3"/>
      <c r="TB344" s="3"/>
      <c r="TC344" s="3"/>
      <c r="TD344" s="3"/>
      <c r="TE344" s="3"/>
      <c r="TF344" s="3"/>
      <c r="TG344" s="3"/>
      <c r="TH344" s="3"/>
      <c r="TI344" s="3"/>
      <c r="TJ344" s="3"/>
      <c r="TK344" s="3"/>
      <c r="TL344" s="3"/>
      <c r="TM344" s="3"/>
      <c r="TN344" s="3"/>
      <c r="TO344" s="3"/>
      <c r="TP344" s="3"/>
      <c r="TQ344" s="3"/>
      <c r="TR344" s="3"/>
      <c r="TS344" s="3"/>
      <c r="TT344" s="3"/>
      <c r="TU344" s="3"/>
      <c r="TV344" s="3"/>
      <c r="TW344" s="3"/>
      <c r="TX344" s="3"/>
      <c r="TY344" s="3"/>
      <c r="TZ344" s="3"/>
      <c r="UA344" s="3"/>
      <c r="UB344" s="3"/>
      <c r="UC344" s="3"/>
      <c r="UD344" s="3"/>
      <c r="UE344" s="3"/>
      <c r="UF344" s="3"/>
      <c r="UG344" s="3"/>
      <c r="UH344" s="3"/>
      <c r="UI344" s="3"/>
      <c r="UJ344" s="3"/>
      <c r="UK344" s="3"/>
      <c r="UL344" s="3"/>
      <c r="UM344" s="3"/>
      <c r="UN344" s="3"/>
      <c r="UO344" s="3"/>
      <c r="UP344" s="3"/>
      <c r="UQ344" s="3"/>
      <c r="UR344" s="3"/>
      <c r="US344" s="3"/>
      <c r="UT344" s="3"/>
      <c r="UU344" s="3"/>
      <c r="UV344" s="3"/>
      <c r="UW344" s="3"/>
      <c r="UX344" s="3"/>
      <c r="UY344" s="3"/>
      <c r="UZ344" s="3"/>
      <c r="VA344" s="3"/>
      <c r="VB344" s="3"/>
      <c r="VC344" s="3"/>
      <c r="VD344" s="3"/>
      <c r="VE344" s="3"/>
      <c r="VF344" s="3"/>
      <c r="VG344" s="3"/>
      <c r="VH344" s="3"/>
      <c r="VI344" s="3"/>
      <c r="VJ344" s="3"/>
      <c r="VK344" s="3"/>
      <c r="VL344" s="3"/>
      <c r="VM344" s="3"/>
      <c r="VN344" s="3"/>
      <c r="VO344" s="3"/>
      <c r="VP344" s="3"/>
      <c r="VQ344" s="3"/>
      <c r="VR344" s="3"/>
      <c r="VS344" s="3"/>
      <c r="VT344" s="3"/>
      <c r="VU344" s="3"/>
      <c r="VV344" s="3"/>
      <c r="VW344" s="3"/>
      <c r="VX344" s="3"/>
      <c r="VY344" s="3"/>
      <c r="VZ344" s="3"/>
      <c r="WA344" s="3"/>
      <c r="WB344" s="3"/>
      <c r="WC344" s="3"/>
      <c r="WD344" s="3"/>
      <c r="WE344" s="3"/>
      <c r="WF344" s="3"/>
      <c r="WG344" s="3"/>
      <c r="WH344" s="3"/>
      <c r="WI344" s="3"/>
      <c r="WJ344" s="3"/>
      <c r="WK344" s="3"/>
      <c r="WL344" s="3"/>
      <c r="WM344" s="3"/>
      <c r="WN344" s="3"/>
      <c r="WO344" s="3"/>
      <c r="WP344" s="3"/>
      <c r="WQ344" s="3"/>
      <c r="WR344" s="3"/>
      <c r="WS344" s="3"/>
      <c r="WT344" s="3"/>
      <c r="WU344" s="3"/>
      <c r="WV344" s="3"/>
      <c r="WW344" s="3"/>
      <c r="WX344" s="3"/>
      <c r="WY344" s="3"/>
      <c r="WZ344" s="3"/>
      <c r="XA344" s="3"/>
      <c r="XB344" s="3"/>
      <c r="XC344" s="3"/>
      <c r="XD344" s="3"/>
      <c r="XE344" s="3"/>
      <c r="XF344" s="3"/>
      <c r="XG344" s="3"/>
      <c r="XH344" s="3"/>
      <c r="XI344" s="3"/>
      <c r="XJ344" s="3"/>
      <c r="XK344" s="3"/>
      <c r="XL344" s="3"/>
      <c r="XM344" s="3"/>
      <c r="XN344" s="3"/>
      <c r="XO344" s="3"/>
      <c r="XP344" s="3"/>
      <c r="XQ344" s="3"/>
      <c r="XR344" s="3"/>
      <c r="XS344" s="3"/>
      <c r="XT344" s="3"/>
      <c r="XU344" s="3"/>
      <c r="XV344" s="3"/>
      <c r="XW344" s="3"/>
      <c r="XX344" s="3"/>
      <c r="XY344" s="3"/>
      <c r="XZ344" s="3"/>
      <c r="YA344" s="3"/>
      <c r="YB344" s="3"/>
      <c r="YC344" s="3"/>
      <c r="YD344" s="3"/>
      <c r="YE344" s="3"/>
      <c r="YF344" s="3"/>
      <c r="YG344" s="3"/>
      <c r="YH344" s="3"/>
      <c r="YI344" s="3"/>
      <c r="YJ344" s="3"/>
      <c r="YK344" s="3"/>
      <c r="YL344" s="3"/>
      <c r="YM344" s="3"/>
      <c r="YN344" s="3"/>
      <c r="YO344" s="3"/>
      <c r="YP344" s="3"/>
      <c r="YQ344" s="3"/>
      <c r="YR344" s="3"/>
      <c r="YS344" s="3"/>
      <c r="YT344" s="3"/>
      <c r="YU344" s="3"/>
      <c r="YV344" s="3"/>
      <c r="YW344" s="3"/>
      <c r="YX344" s="3"/>
      <c r="YY344" s="3"/>
      <c r="YZ344" s="3"/>
      <c r="ZA344" s="3"/>
      <c r="ZB344" s="3"/>
      <c r="ZC344" s="3"/>
      <c r="ZD344" s="3"/>
      <c r="ZE344" s="3"/>
      <c r="ZF344" s="3"/>
      <c r="ZG344" s="3"/>
      <c r="ZH344" s="3"/>
      <c r="ZI344" s="3"/>
      <c r="ZJ344" s="3"/>
      <c r="ZK344" s="3"/>
      <c r="ZL344" s="3"/>
      <c r="ZM344" s="3"/>
      <c r="ZN344" s="3"/>
      <c r="ZO344" s="3"/>
      <c r="ZP344" s="3"/>
      <c r="ZQ344" s="3"/>
      <c r="ZR344" s="3"/>
      <c r="ZS344" s="3"/>
      <c r="ZT344" s="3"/>
      <c r="ZU344" s="3"/>
      <c r="ZV344" s="3"/>
      <c r="ZW344" s="3"/>
      <c r="ZX344" s="3"/>
      <c r="ZY344" s="3"/>
      <c r="ZZ344" s="3"/>
      <c r="AAA344" s="3"/>
      <c r="AAB344" s="3"/>
      <c r="AAC344" s="3"/>
      <c r="AAD344" s="3"/>
      <c r="AAE344" s="3"/>
      <c r="AAF344" s="3"/>
      <c r="AAG344" s="3"/>
      <c r="AAH344" s="3"/>
      <c r="AAI344" s="3"/>
      <c r="AAJ344" s="3"/>
      <c r="AAK344" s="3"/>
      <c r="AAL344" s="3"/>
      <c r="AAM344" s="3"/>
      <c r="AAN344" s="3"/>
      <c r="AAO344" s="3"/>
      <c r="AAP344" s="3"/>
      <c r="AAQ344" s="3"/>
      <c r="AAR344" s="3"/>
      <c r="AAS344" s="3"/>
      <c r="AAT344" s="3"/>
      <c r="AAU344" s="3"/>
      <c r="AAV344" s="3"/>
      <c r="AAW344" s="3"/>
      <c r="AAX344" s="3"/>
      <c r="AAY344" s="3"/>
      <c r="AAZ344" s="3"/>
      <c r="ABA344" s="3"/>
      <c r="ABB344" s="3"/>
      <c r="ABC344" s="3"/>
      <c r="ABD344" s="3"/>
      <c r="ABE344" s="3"/>
      <c r="ABF344" s="3"/>
      <c r="ABG344" s="3"/>
      <c r="ABH344" s="3"/>
      <c r="ABI344" s="3"/>
      <c r="ABJ344" s="3"/>
      <c r="ABK344" s="3"/>
      <c r="ABL344" s="3"/>
      <c r="ABM344" s="3"/>
      <c r="ABN344" s="3"/>
      <c r="ABO344" s="3"/>
      <c r="ABP344" s="3"/>
      <c r="ABQ344" s="3"/>
      <c r="ABR344" s="3"/>
      <c r="ABS344" s="3"/>
      <c r="ABT344" s="3"/>
      <c r="ABU344" s="3"/>
      <c r="ABV344" s="3"/>
      <c r="ABW344" s="3"/>
      <c r="ABX344" s="3"/>
      <c r="ABY344" s="3"/>
      <c r="ABZ344" s="3"/>
      <c r="ACA344" s="3"/>
      <c r="ACB344" s="3"/>
      <c r="ACC344" s="3"/>
      <c r="ACD344" s="3"/>
      <c r="ACE344" s="3"/>
      <c r="ACF344" s="3"/>
      <c r="ACG344" s="3"/>
      <c r="ACH344" s="3"/>
      <c r="ACI344" s="3"/>
      <c r="ACJ344" s="3"/>
      <c r="ACK344" s="3"/>
      <c r="ACL344" s="3"/>
      <c r="ACM344" s="3"/>
      <c r="ACN344" s="3"/>
      <c r="ACO344" s="3"/>
      <c r="ACP344" s="3"/>
      <c r="ACQ344" s="3"/>
      <c r="ACR344" s="3"/>
      <c r="ACS344" s="3"/>
      <c r="ACT344" s="3"/>
      <c r="ACU344" s="3"/>
      <c r="ACV344" s="3"/>
      <c r="ACW344" s="3"/>
      <c r="ACX344" s="3"/>
      <c r="ACY344" s="3"/>
      <c r="ACZ344" s="3"/>
      <c r="ADA344" s="3"/>
      <c r="ADB344" s="3"/>
      <c r="ADC344" s="3"/>
      <c r="ADD344" s="3"/>
      <c r="ADE344" s="3"/>
      <c r="ADF344" s="3"/>
      <c r="ADG344" s="3"/>
      <c r="ADH344" s="3"/>
      <c r="ADI344" s="3"/>
      <c r="ADJ344" s="3"/>
      <c r="ADK344" s="3"/>
      <c r="ADL344" s="3"/>
      <c r="ADM344" s="3"/>
      <c r="ADN344" s="3"/>
      <c r="ADO344" s="3"/>
      <c r="ADP344" s="3"/>
      <c r="ADQ344" s="3"/>
      <c r="ADR344" s="3"/>
      <c r="ADS344" s="3"/>
      <c r="ADT344" s="3"/>
      <c r="ADU344" s="3"/>
      <c r="ADV344" s="3"/>
      <c r="ADW344" s="3"/>
      <c r="ADX344" s="3"/>
      <c r="ADY344" s="3"/>
      <c r="ADZ344" s="3"/>
      <c r="AEA344" s="3"/>
      <c r="AEB344" s="3"/>
      <c r="AEC344" s="3"/>
      <c r="AED344" s="3"/>
      <c r="AEE344" s="3"/>
      <c r="AEF344" s="3"/>
      <c r="AEG344" s="3"/>
      <c r="AEH344" s="3"/>
      <c r="AEI344" s="3"/>
      <c r="AEJ344" s="3"/>
      <c r="AEK344" s="3"/>
      <c r="AEL344" s="3"/>
      <c r="AEM344" s="3"/>
      <c r="AEN344" s="3"/>
      <c r="AEO344" s="3"/>
      <c r="AEP344" s="3"/>
      <c r="AEQ344" s="3"/>
      <c r="AER344" s="3"/>
      <c r="AES344" s="3"/>
      <c r="AET344" s="3"/>
      <c r="AEU344" s="3"/>
      <c r="AEV344" s="3"/>
      <c r="AEW344" s="3"/>
      <c r="AEX344" s="3"/>
      <c r="AEY344" s="3"/>
      <c r="AEZ344" s="3"/>
      <c r="AFA344" s="3"/>
      <c r="AFB344" s="3"/>
      <c r="AFC344" s="3"/>
      <c r="AFD344" s="3"/>
      <c r="AFE344" s="3"/>
      <c r="AFF344" s="3"/>
      <c r="AFG344" s="3"/>
      <c r="AFH344" s="3"/>
      <c r="AFI344" s="3"/>
      <c r="AFJ344" s="3"/>
      <c r="AFK344" s="3"/>
      <c r="AFL344" s="3"/>
      <c r="AFM344" s="3"/>
      <c r="AFN344" s="3"/>
      <c r="AFO344" s="3"/>
      <c r="AFP344" s="3"/>
      <c r="AFQ344" s="3"/>
      <c r="AFR344" s="3"/>
      <c r="AFS344" s="3"/>
      <c r="AFT344" s="3"/>
      <c r="AFU344" s="3"/>
      <c r="AFV344" s="3"/>
      <c r="AFW344" s="3"/>
      <c r="AFX344" s="3"/>
      <c r="AFY344" s="3"/>
      <c r="AFZ344" s="3"/>
      <c r="AGA344" s="3"/>
      <c r="AGB344" s="3"/>
      <c r="AGC344" s="3"/>
      <c r="AGD344" s="3"/>
      <c r="AGE344" s="3"/>
      <c r="AGF344" s="3"/>
      <c r="AGG344" s="3"/>
      <c r="AGH344" s="3"/>
      <c r="AGI344" s="3"/>
      <c r="AGJ344" s="3"/>
      <c r="AGK344" s="3"/>
      <c r="AGL344" s="3"/>
      <c r="AGM344" s="3"/>
      <c r="AGN344" s="3"/>
      <c r="AGO344" s="3"/>
      <c r="AGP344" s="3"/>
      <c r="AGQ344" s="3"/>
      <c r="AGR344" s="3"/>
      <c r="AGS344" s="3"/>
      <c r="AGT344" s="3"/>
      <c r="AGU344" s="3"/>
      <c r="AGV344" s="3"/>
      <c r="AGW344" s="3"/>
      <c r="AGX344" s="3"/>
      <c r="AGY344" s="3"/>
      <c r="AGZ344" s="3"/>
      <c r="AHA344" s="3"/>
      <c r="AHB344" s="3"/>
      <c r="AHC344" s="3"/>
      <c r="AHD344" s="3"/>
      <c r="AHE344" s="3"/>
      <c r="AHF344" s="3"/>
      <c r="AHG344" s="3"/>
      <c r="AHH344" s="3"/>
      <c r="AHI344" s="3"/>
      <c r="AHJ344" s="3"/>
      <c r="AHK344" s="3"/>
      <c r="AHL344" s="3"/>
      <c r="AHM344" s="3"/>
      <c r="AHN344" s="3"/>
      <c r="AHO344" s="3"/>
      <c r="AHP344" s="3"/>
      <c r="AHQ344" s="3"/>
      <c r="AHR344" s="3"/>
      <c r="AHS344" s="3"/>
      <c r="AHT344" s="3"/>
      <c r="AHU344" s="3"/>
      <c r="AHV344" s="3"/>
      <c r="AHW344" s="3"/>
      <c r="AHX344" s="3"/>
      <c r="AHY344" s="3"/>
      <c r="AHZ344" s="3"/>
      <c r="AIA344" s="3"/>
      <c r="AIB344" s="3"/>
      <c r="AIC344" s="3"/>
      <c r="AID344" s="3"/>
      <c r="AIE344" s="3"/>
      <c r="AIF344" s="3"/>
      <c r="AIG344" s="3"/>
      <c r="AIH344" s="3"/>
      <c r="AII344" s="3"/>
      <c r="AIJ344" s="3"/>
      <c r="AIK344" s="3"/>
      <c r="AIL344" s="3"/>
      <c r="AIM344" s="3"/>
      <c r="AIN344" s="3"/>
      <c r="AIO344" s="3"/>
      <c r="AIP344" s="3"/>
      <c r="AIQ344" s="3"/>
      <c r="AIR344" s="3"/>
      <c r="AIS344" s="3"/>
      <c r="AIT344" s="3"/>
      <c r="AIU344" s="3"/>
      <c r="AIV344" s="3"/>
      <c r="AIW344" s="3"/>
      <c r="AIX344" s="3"/>
      <c r="AIY344" s="3"/>
      <c r="AIZ344" s="3"/>
      <c r="AJA344" s="3"/>
      <c r="AJB344" s="3"/>
      <c r="AJC344" s="3"/>
      <c r="AJD344" s="3"/>
      <c r="AJE344" s="3"/>
      <c r="AJF344" s="3"/>
      <c r="AJG344" s="3"/>
      <c r="AJH344" s="3"/>
      <c r="AJI344" s="3"/>
      <c r="AJJ344" s="3"/>
      <c r="AJK344" s="3"/>
      <c r="AJL344" s="3"/>
      <c r="AJM344" s="3"/>
      <c r="AJN344" s="3"/>
      <c r="AJO344" s="3"/>
      <c r="AJP344" s="3"/>
      <c r="AJQ344" s="3"/>
      <c r="AJR344" s="3"/>
      <c r="AJS344" s="3"/>
      <c r="AJT344" s="3"/>
      <c r="AJU344" s="3"/>
      <c r="AJV344" s="3"/>
      <c r="AJW344" s="3"/>
      <c r="AJX344" s="3"/>
      <c r="AJY344" s="3"/>
      <c r="AJZ344" s="3"/>
      <c r="AKA344" s="3"/>
      <c r="AKB344" s="3"/>
      <c r="AKC344" s="3"/>
      <c r="AKD344" s="3"/>
      <c r="AKE344" s="3"/>
      <c r="AKF344" s="3"/>
      <c r="AKG344" s="3"/>
      <c r="AKH344" s="3"/>
      <c r="AKI344" s="3"/>
      <c r="AKJ344" s="3"/>
      <c r="AKK344" s="3"/>
      <c r="AKL344" s="3"/>
      <c r="AKM344" s="3"/>
      <c r="AKN344" s="3"/>
      <c r="AKO344" s="3"/>
      <c r="AKP344" s="3"/>
      <c r="AKQ344" s="3"/>
      <c r="AKR344" s="3"/>
      <c r="AKS344" s="3"/>
      <c r="AKT344" s="3"/>
      <c r="AKU344" s="3"/>
      <c r="AKV344" s="3"/>
      <c r="AKW344" s="3"/>
      <c r="AKX344" s="3"/>
      <c r="AKY344" s="3"/>
      <c r="AKZ344" s="3"/>
      <c r="ALA344" s="3"/>
      <c r="ALB344" s="3"/>
      <c r="ALC344" s="3"/>
      <c r="ALD344" s="3"/>
      <c r="ALE344" s="3"/>
      <c r="ALF344" s="3"/>
      <c r="ALG344" s="3"/>
      <c r="ALH344" s="3"/>
      <c r="ALI344" s="3"/>
      <c r="ALJ344" s="3"/>
      <c r="ALK344" s="3"/>
      <c r="ALL344" s="3"/>
      <c r="ALM344" s="3"/>
      <c r="ALN344" s="3"/>
      <c r="ALO344" s="3"/>
      <c r="ALP344" s="3"/>
      <c r="ALQ344" s="3"/>
      <c r="ALR344" s="3"/>
      <c r="ALS344" s="3"/>
      <c r="ALT344" s="3"/>
      <c r="ALU344" s="3"/>
      <c r="ALV344" s="3"/>
      <c r="ALW344" s="3"/>
      <c r="ALX344" s="3"/>
      <c r="ALY344" s="3"/>
      <c r="ALZ344" s="3"/>
      <c r="AMA344" s="3"/>
      <c r="AMB344" s="3"/>
      <c r="AMC344" s="3"/>
      <c r="AMD344" s="3"/>
      <c r="AME344" s="3"/>
      <c r="AMF344" s="3"/>
      <c r="AMG344" s="3"/>
      <c r="AMH344" s="3"/>
      <c r="AMI344" s="3"/>
      <c r="AMJ344" s="3"/>
      <c r="AMK344" s="3"/>
      <c r="AML344" s="3"/>
      <c r="AMM344" s="3"/>
      <c r="AMN344" s="3"/>
      <c r="AMO344" s="3"/>
      <c r="AMP344" s="1"/>
    </row>
    <row r="345" spans="1:1030" s="6" customFormat="1" x14ac:dyDescent="0.2">
      <c r="A345" s="3" t="str">
        <f t="shared" si="1563"/>
        <v>smo_human_5L7I</v>
      </c>
      <c r="B345" s="3" t="s">
        <v>33</v>
      </c>
      <c r="C345" s="3" t="s">
        <v>1359</v>
      </c>
      <c r="D345" s="3" t="str">
        <f>IFERROR(MID(VLOOKUP($B345,Seqs!$A:$B,2,0),E345,1),"")</f>
        <v>T</v>
      </c>
      <c r="E345" s="105">
        <v>223</v>
      </c>
      <c r="F345" s="3" t="str">
        <f>IFERROR(MID(VLOOKUP($B345,Seqs!$A:$B,2,0),G345,1),"")</f>
        <v>D</v>
      </c>
      <c r="G345" s="3">
        <v>255</v>
      </c>
      <c r="H345" s="3" t="str">
        <f>IFERROR(MID(VLOOKUP($B345,Seqs!$A:$B,2,0),I345,1),"")</f>
        <v>W</v>
      </c>
      <c r="I345" s="23">
        <v>256</v>
      </c>
      <c r="J345" s="3" t="str">
        <f>IFERROR(MID(VLOOKUP($B345,Seqs!$A:$B,2,0),K345,1),"")</f>
        <v>N</v>
      </c>
      <c r="K345" s="23">
        <v>260</v>
      </c>
      <c r="L345" s="3" t="str">
        <f>IFERROR(MID(VLOOKUP($B345,Seqs!$A:$B,2,0),M345,1),"")</f>
        <v>R</v>
      </c>
      <c r="M345" s="3">
        <v>261</v>
      </c>
      <c r="N345" s="3" t="str">
        <f>IFERROR(MID(VLOOKUP($B345,Seqs!$A:$B,2,0),O345,1),"")</f>
        <v>F</v>
      </c>
      <c r="O345" s="3">
        <v>285</v>
      </c>
      <c r="P345" s="3" t="str">
        <f>IFERROR(MID(VLOOKUP($B345,Seqs!$A:$B,2,0),Q345,1),"")</f>
        <v/>
      </c>
      <c r="Q345" s="3" t="s">
        <v>23</v>
      </c>
      <c r="R345" s="3" t="str">
        <f>IFERROR(MID(VLOOKUP($B345,Seqs!$A:$B,2,0),S345,1),"")</f>
        <v/>
      </c>
      <c r="S345" s="3" t="s">
        <v>23</v>
      </c>
      <c r="T345" s="3" t="str">
        <f>IFERROR(MID(VLOOKUP($B345,Seqs!$A:$B,2,0),U345,1),"")</f>
        <v>L</v>
      </c>
      <c r="U345" s="3">
        <v>312</v>
      </c>
      <c r="V345" s="3" t="str">
        <f>IFERROR(MID(VLOOKUP($B345,Seqs!$A:$B,2,0),W345,1),"")</f>
        <v>L</v>
      </c>
      <c r="W345" s="3">
        <v>346</v>
      </c>
      <c r="X345" s="3" t="str">
        <f>IFERROR(MID(VLOOKUP($B345,Seqs!$A:$B,2,0),Y345,1),"")</f>
        <v/>
      </c>
      <c r="Y345" s="3" t="s">
        <v>23</v>
      </c>
      <c r="Z345" s="3" t="str">
        <f>IFERROR(MID(VLOOKUP($B345,Seqs!$A:$B,2,0),AA345,1),"")</f>
        <v/>
      </c>
      <c r="AA345" s="3" t="s">
        <v>23</v>
      </c>
      <c r="AB345" s="3" t="str">
        <f>IFERROR(MID(VLOOKUP($B345,Seqs!$A:$B,2,0),AC345,1),"")</f>
        <v>S</v>
      </c>
      <c r="AC345" s="9">
        <v>354</v>
      </c>
      <c r="AD345" s="3" t="str">
        <f>IFERROR(MID(VLOOKUP($B345,Seqs!$A:$B,2,0),AE345,1),"")</f>
        <v>V</v>
      </c>
      <c r="AE345" s="3">
        <v>378</v>
      </c>
      <c r="AF345" s="3" t="str">
        <f>IFERROR(MID(VLOOKUP($B345,Seqs!$A:$B,2,0),AG345,1),"")</f>
        <v>C</v>
      </c>
      <c r="AG345" s="3">
        <v>390</v>
      </c>
      <c r="AH345" s="3" t="str">
        <f>IFERROR(MID(VLOOKUP($B345,Seqs!$A:$B,2,0),AI345,1),"")</f>
        <v>V</v>
      </c>
      <c r="AI345" s="3">
        <v>392</v>
      </c>
      <c r="AJ345" s="3" t="str">
        <f>IFERROR(MID(VLOOKUP($B345,Seqs!$A:$B,2,0),AK345,1),"")</f>
        <v>N</v>
      </c>
      <c r="AK345" s="105">
        <v>396</v>
      </c>
      <c r="AL345" s="3" t="str">
        <f>IFERROR(MID(VLOOKUP($B345,Seqs!$A:$B,2,0),AM345,1),"")</f>
        <v>S</v>
      </c>
      <c r="AM345" s="3">
        <v>428</v>
      </c>
      <c r="AN345" s="3" t="str">
        <f>IFERROR(MID(VLOOKUP($B345,Seqs!$A:$B,2,0),AO345,1),"")</f>
        <v>E</v>
      </c>
      <c r="AO345" s="3">
        <v>447</v>
      </c>
      <c r="AP345" s="3" t="str">
        <f>IFERROR(MID(VLOOKUP($B345,Seqs!$A:$B,2,0),AQ345,1),"")</f>
        <v>N</v>
      </c>
      <c r="AQ345" s="3">
        <v>493</v>
      </c>
      <c r="AR345" s="3" t="str">
        <f>IFERROR(MID(VLOOKUP($B345,Seqs!$A:$B,2,0),AS345,1),"")</f>
        <v>S</v>
      </c>
      <c r="AS345" s="105">
        <v>514</v>
      </c>
      <c r="AT345" s="3" t="str">
        <f>IFERROR(MID(VLOOKUP($B345,Seqs!$A:$B,2,0),AU345,1),"")</f>
        <v>W</v>
      </c>
      <c r="AU345" s="3">
        <v>537</v>
      </c>
      <c r="AV345" s="3" t="str">
        <f>IFERROR(MID(VLOOKUP($B345,Seqs!$A:$B,2,0),AW345,1),"")</f>
        <v>T</v>
      </c>
      <c r="AW345" s="3">
        <v>538</v>
      </c>
      <c r="AX345" s="3" t="str">
        <f>IFERROR(MID(VLOOKUP($B345,Seqs!$A:$B,2,0),AY345,1),"")</f>
        <v>R</v>
      </c>
      <c r="AY345" s="3">
        <v>551</v>
      </c>
      <c r="AZ345" s="78" t="str">
        <f>VLOOKUP(B345,Classification!A:D,2,0)</f>
        <v>F</v>
      </c>
      <c r="BA345" s="94" t="str">
        <f>VLOOKUP(B345,Classification!A:D,4,0)</f>
        <v>Frizzled</v>
      </c>
      <c r="BB345" s="92" t="b">
        <f t="shared" si="1564"/>
        <v>1</v>
      </c>
      <c r="BC345" s="23">
        <f t="shared" si="1537"/>
        <v>246</v>
      </c>
      <c r="BD345" s="74" t="s">
        <v>23</v>
      </c>
      <c r="BE345" s="3" t="s">
        <v>1380</v>
      </c>
      <c r="BF345" s="119">
        <v>3.3</v>
      </c>
      <c r="BG345" s="49" t="s">
        <v>1287</v>
      </c>
      <c r="BH345" s="49" t="s">
        <v>1383</v>
      </c>
      <c r="BI345" s="3" t="s">
        <v>1367</v>
      </c>
      <c r="BJ345" s="75" t="s">
        <v>1293</v>
      </c>
      <c r="BK345" s="57" t="s">
        <v>1293</v>
      </c>
      <c r="BL345" s="57" t="s">
        <v>1293</v>
      </c>
      <c r="BM345" s="57" t="s">
        <v>1293</v>
      </c>
      <c r="BN345" s="57" t="s">
        <v>1293</v>
      </c>
      <c r="BO345" s="57" t="s">
        <v>1293</v>
      </c>
      <c r="BP345" s="57" t="s">
        <v>1293</v>
      </c>
      <c r="BQ345" s="57" t="s">
        <v>1293</v>
      </c>
      <c r="BR345" s="57" t="s">
        <v>1293</v>
      </c>
      <c r="BS345" s="57" t="s">
        <v>1293</v>
      </c>
      <c r="BT345" s="57" t="s">
        <v>1293</v>
      </c>
      <c r="BU345" s="57" t="s">
        <v>1293</v>
      </c>
      <c r="BV345" s="75">
        <f t="shared" si="1538"/>
        <v>223</v>
      </c>
      <c r="BW345" s="71">
        <f t="shared" si="1539"/>
        <v>256</v>
      </c>
      <c r="BX345" s="72">
        <f t="shared" si="1540"/>
        <v>261</v>
      </c>
      <c r="BY345" s="71" t="str">
        <f t="shared" si="1541"/>
        <v>-</v>
      </c>
      <c r="BZ345" s="72">
        <f t="shared" si="1542"/>
        <v>312</v>
      </c>
      <c r="CA345" s="71" t="str">
        <f t="shared" si="1543"/>
        <v>-</v>
      </c>
      <c r="CB345" s="72">
        <f t="shared" si="1544"/>
        <v>354</v>
      </c>
      <c r="CC345" s="71">
        <f t="shared" si="1545"/>
        <v>390</v>
      </c>
      <c r="CD345" s="72">
        <f t="shared" si="1546"/>
        <v>396</v>
      </c>
      <c r="CE345" s="71">
        <f t="shared" si="1547"/>
        <v>447</v>
      </c>
      <c r="CF345" s="72">
        <f t="shared" si="1548"/>
        <v>514</v>
      </c>
      <c r="CG345" s="71">
        <f t="shared" si="1549"/>
        <v>538</v>
      </c>
      <c r="CH345" s="75">
        <f t="shared" si="1550"/>
        <v>255</v>
      </c>
      <c r="CI345" s="71">
        <f t="shared" si="1551"/>
        <v>260</v>
      </c>
      <c r="CJ345" s="72">
        <f t="shared" si="1552"/>
        <v>285</v>
      </c>
      <c r="CK345" s="72" t="str">
        <f t="shared" si="1553"/>
        <v>-</v>
      </c>
      <c r="CL345" s="72">
        <f t="shared" si="1554"/>
        <v>346</v>
      </c>
      <c r="CM345" s="72" t="str">
        <f t="shared" si="1555"/>
        <v>-</v>
      </c>
      <c r="CN345" s="72">
        <f t="shared" si="1556"/>
        <v>378</v>
      </c>
      <c r="CO345" s="72">
        <f t="shared" si="1557"/>
        <v>392</v>
      </c>
      <c r="CP345" s="72">
        <f t="shared" si="1558"/>
        <v>428</v>
      </c>
      <c r="CQ345" s="72">
        <f t="shared" si="1559"/>
        <v>493</v>
      </c>
      <c r="CR345" s="72">
        <f t="shared" si="1560"/>
        <v>537</v>
      </c>
      <c r="CS345" s="72">
        <f t="shared" si="1561"/>
        <v>551</v>
      </c>
      <c r="CT345" s="23">
        <f t="shared" si="1562"/>
        <v>1</v>
      </c>
      <c r="CU345" s="3"/>
      <c r="CV345" s="3"/>
      <c r="CW345" s="3"/>
      <c r="CX345" s="3"/>
      <c r="CY345" s="3"/>
      <c r="CZ345" s="3"/>
      <c r="DA345" s="3"/>
      <c r="DB345" s="3"/>
      <c r="DC345" s="3"/>
      <c r="DD345" s="3"/>
      <c r="DE345" s="3"/>
      <c r="DF345" s="3"/>
      <c r="DG345" s="3"/>
      <c r="DH345" s="3"/>
      <c r="DI345" s="3"/>
      <c r="DJ345" s="3"/>
      <c r="DK345" s="3"/>
      <c r="DL345" s="3"/>
      <c r="DM345" s="3"/>
      <c r="DN345" s="3"/>
      <c r="DO345" s="3"/>
      <c r="DP345" s="3"/>
      <c r="DQ345" s="3"/>
      <c r="DR345" s="3"/>
      <c r="DS345" s="3"/>
      <c r="DT345" s="3"/>
      <c r="DU345" s="3"/>
      <c r="DV345" s="3"/>
      <c r="DW345" s="3"/>
      <c r="DX345" s="3"/>
      <c r="DY345" s="3"/>
      <c r="DZ345" s="3"/>
      <c r="EA345" s="3"/>
      <c r="EB345" s="3"/>
      <c r="EC345" s="3"/>
      <c r="ED345" s="3"/>
      <c r="EE345" s="3"/>
      <c r="EF345" s="3"/>
      <c r="EG345" s="3"/>
      <c r="EH345" s="3"/>
      <c r="EI345" s="3"/>
      <c r="EJ345" s="3"/>
      <c r="EK345" s="3"/>
      <c r="EL345" s="3"/>
      <c r="EM345" s="3"/>
      <c r="EN345" s="3"/>
      <c r="EO345" s="3"/>
      <c r="EP345" s="3"/>
      <c r="EQ345" s="3"/>
      <c r="ER345" s="3"/>
      <c r="ES345" s="3"/>
      <c r="ET345" s="3"/>
      <c r="EU345" s="3"/>
      <c r="EV345" s="3"/>
      <c r="EW345" s="3"/>
      <c r="EX345" s="3"/>
      <c r="EY345" s="3"/>
      <c r="EZ345" s="3"/>
      <c r="FA345" s="3"/>
      <c r="FB345" s="3"/>
      <c r="FC345" s="3"/>
      <c r="FD345" s="3"/>
      <c r="FE345" s="3"/>
      <c r="FF345" s="3"/>
      <c r="FG345" s="3"/>
      <c r="FH345" s="3"/>
      <c r="FI345" s="3"/>
      <c r="FJ345" s="3"/>
      <c r="FK345" s="3"/>
      <c r="FL345" s="3"/>
      <c r="FM345" s="3"/>
      <c r="FN345" s="3"/>
      <c r="FO345" s="3"/>
      <c r="FP345" s="3"/>
      <c r="FQ345" s="3"/>
      <c r="FR345" s="3"/>
      <c r="FS345" s="3"/>
      <c r="FT345" s="3"/>
      <c r="FU345" s="3"/>
      <c r="FV345" s="3"/>
      <c r="FW345" s="3"/>
      <c r="FX345" s="3"/>
      <c r="FY345" s="3"/>
      <c r="FZ345" s="3"/>
      <c r="GA345" s="3"/>
      <c r="GB345" s="3"/>
      <c r="GC345" s="3"/>
      <c r="GD345" s="3"/>
      <c r="GE345" s="3"/>
      <c r="GF345" s="3"/>
      <c r="GG345" s="3"/>
      <c r="GH345" s="3"/>
      <c r="GI345" s="3"/>
      <c r="GJ345" s="3"/>
      <c r="GK345" s="3"/>
      <c r="GL345" s="3"/>
      <c r="GM345" s="3"/>
      <c r="GN345" s="3"/>
      <c r="GO345" s="3"/>
      <c r="GP345" s="3"/>
      <c r="GQ345" s="3"/>
      <c r="GR345" s="3"/>
      <c r="GS345" s="3"/>
      <c r="GT345" s="3"/>
      <c r="GU345" s="3"/>
      <c r="GV345" s="3"/>
      <c r="GW345" s="3"/>
      <c r="GX345" s="3"/>
      <c r="GY345" s="3"/>
      <c r="GZ345" s="3"/>
      <c r="HA345" s="3"/>
      <c r="HB345" s="3"/>
      <c r="HC345" s="3"/>
      <c r="HD345" s="3"/>
      <c r="HE345" s="3"/>
      <c r="HF345" s="3"/>
      <c r="HG345" s="3"/>
      <c r="HH345" s="3"/>
      <c r="HI345" s="3"/>
      <c r="HJ345" s="3"/>
      <c r="HK345" s="3"/>
      <c r="HL345" s="3"/>
      <c r="HM345" s="3"/>
      <c r="HN345" s="3"/>
      <c r="HO345" s="3"/>
      <c r="HP345" s="3"/>
      <c r="HQ345" s="3"/>
      <c r="HR345" s="3"/>
      <c r="HS345" s="3"/>
      <c r="HT345" s="3"/>
      <c r="HU345" s="3"/>
      <c r="HV345" s="3"/>
      <c r="HW345" s="3"/>
      <c r="HX345" s="3"/>
      <c r="HY345" s="3"/>
      <c r="HZ345" s="3"/>
      <c r="IA345" s="3"/>
      <c r="IB345" s="3"/>
      <c r="IC345" s="3"/>
      <c r="ID345" s="3"/>
      <c r="IE345" s="3"/>
      <c r="IF345" s="3"/>
      <c r="IG345" s="3"/>
      <c r="IH345" s="3"/>
      <c r="II345" s="3"/>
      <c r="IJ345" s="3"/>
      <c r="IK345" s="3"/>
      <c r="IL345" s="3"/>
      <c r="IM345" s="3"/>
      <c r="IN345" s="3"/>
      <c r="IO345" s="3"/>
      <c r="IP345" s="3"/>
      <c r="IQ345" s="3"/>
      <c r="IR345" s="3"/>
      <c r="IS345" s="3"/>
      <c r="IT345" s="3"/>
      <c r="IU345" s="3"/>
      <c r="IV345" s="3"/>
      <c r="IW345" s="3"/>
      <c r="IX345" s="3"/>
      <c r="IY345" s="3"/>
      <c r="IZ345" s="3"/>
      <c r="JA345" s="3"/>
      <c r="JB345" s="3"/>
      <c r="JC345" s="3"/>
      <c r="JD345" s="3"/>
      <c r="JE345" s="3"/>
      <c r="JF345" s="3"/>
      <c r="JG345" s="3"/>
      <c r="JH345" s="3"/>
      <c r="JI345" s="3"/>
      <c r="JJ345" s="3"/>
      <c r="JK345" s="3"/>
      <c r="JL345" s="3"/>
      <c r="JM345" s="3"/>
      <c r="JN345" s="3"/>
      <c r="JO345" s="3"/>
      <c r="JP345" s="3"/>
      <c r="JQ345" s="3"/>
      <c r="JR345" s="3"/>
      <c r="JS345" s="3"/>
      <c r="JT345" s="3"/>
      <c r="JU345" s="3"/>
      <c r="JV345" s="3"/>
      <c r="JW345" s="3"/>
      <c r="JX345" s="3"/>
      <c r="JY345" s="3"/>
      <c r="JZ345" s="3"/>
      <c r="KA345" s="3"/>
      <c r="KB345" s="3"/>
      <c r="KC345" s="3"/>
      <c r="KD345" s="3"/>
      <c r="KE345" s="3"/>
      <c r="KF345" s="3"/>
      <c r="KG345" s="3"/>
      <c r="KH345" s="3"/>
      <c r="KI345" s="3"/>
      <c r="KJ345" s="3"/>
      <c r="KK345" s="3"/>
      <c r="KL345" s="3"/>
      <c r="KM345" s="3"/>
      <c r="KN345" s="3"/>
      <c r="KO345" s="3"/>
      <c r="KP345" s="3"/>
      <c r="KQ345" s="3"/>
      <c r="KR345" s="3"/>
      <c r="KS345" s="3"/>
      <c r="KT345" s="3"/>
      <c r="KU345" s="3"/>
      <c r="KV345" s="3"/>
      <c r="KW345" s="3"/>
      <c r="KX345" s="3"/>
      <c r="KY345" s="3"/>
      <c r="KZ345" s="3"/>
      <c r="LA345" s="3"/>
      <c r="LB345" s="3"/>
      <c r="LC345" s="3"/>
      <c r="LD345" s="3"/>
      <c r="LE345" s="3"/>
      <c r="LF345" s="3"/>
      <c r="LG345" s="3"/>
      <c r="LH345" s="3"/>
      <c r="LI345" s="3"/>
      <c r="LJ345" s="3"/>
      <c r="LK345" s="3"/>
      <c r="LL345" s="3"/>
      <c r="LM345" s="3"/>
      <c r="LN345" s="3"/>
      <c r="LO345" s="3"/>
      <c r="LP345" s="3"/>
      <c r="LQ345" s="3"/>
      <c r="LR345" s="3"/>
      <c r="LS345" s="3"/>
      <c r="LT345" s="3"/>
      <c r="LU345" s="3"/>
      <c r="LV345" s="3"/>
      <c r="LW345" s="3"/>
      <c r="LX345" s="3"/>
      <c r="LY345" s="3"/>
      <c r="LZ345" s="3"/>
      <c r="MA345" s="3"/>
      <c r="MB345" s="3"/>
      <c r="MC345" s="3"/>
      <c r="MD345" s="3"/>
      <c r="ME345" s="3"/>
      <c r="MF345" s="3"/>
      <c r="MG345" s="3"/>
      <c r="MH345" s="3"/>
      <c r="MI345" s="3"/>
      <c r="MJ345" s="3"/>
      <c r="MK345" s="3"/>
      <c r="ML345" s="3"/>
      <c r="MM345" s="3"/>
      <c r="MN345" s="3"/>
      <c r="MO345" s="3"/>
      <c r="MP345" s="3"/>
      <c r="MQ345" s="3"/>
      <c r="MR345" s="3"/>
      <c r="MS345" s="3"/>
      <c r="MT345" s="3"/>
      <c r="MU345" s="3"/>
      <c r="MV345" s="3"/>
      <c r="MW345" s="3"/>
      <c r="MX345" s="3"/>
      <c r="MY345" s="3"/>
      <c r="MZ345" s="3"/>
      <c r="NA345" s="3"/>
      <c r="NB345" s="3"/>
      <c r="NC345" s="3"/>
      <c r="ND345" s="3"/>
      <c r="NE345" s="3"/>
      <c r="NF345" s="3"/>
      <c r="NG345" s="3"/>
      <c r="NH345" s="3"/>
      <c r="NI345" s="3"/>
      <c r="NJ345" s="3"/>
      <c r="NK345" s="3"/>
      <c r="NL345" s="3"/>
      <c r="NM345" s="3"/>
      <c r="NN345" s="3"/>
      <c r="NO345" s="3"/>
      <c r="NP345" s="3"/>
      <c r="NQ345" s="3"/>
      <c r="NR345" s="3"/>
      <c r="NS345" s="3"/>
      <c r="NT345" s="3"/>
      <c r="NU345" s="3"/>
      <c r="NV345" s="3"/>
      <c r="NW345" s="3"/>
      <c r="NX345" s="3"/>
      <c r="NY345" s="3"/>
      <c r="NZ345" s="3"/>
      <c r="OA345" s="3"/>
      <c r="OB345" s="3"/>
      <c r="OC345" s="3"/>
      <c r="OD345" s="3"/>
      <c r="OE345" s="3"/>
      <c r="OF345" s="3"/>
      <c r="OG345" s="3"/>
      <c r="OH345" s="3"/>
      <c r="OI345" s="3"/>
      <c r="OJ345" s="3"/>
      <c r="OK345" s="3"/>
      <c r="OL345" s="3"/>
      <c r="OM345" s="3"/>
      <c r="ON345" s="3"/>
      <c r="OO345" s="3"/>
      <c r="OP345" s="3"/>
      <c r="OQ345" s="3"/>
      <c r="OR345" s="3"/>
      <c r="OS345" s="3"/>
      <c r="OT345" s="3"/>
      <c r="OU345" s="3"/>
      <c r="OV345" s="3"/>
      <c r="OW345" s="3"/>
      <c r="OX345" s="3"/>
      <c r="OY345" s="3"/>
      <c r="OZ345" s="3"/>
      <c r="PA345" s="3"/>
      <c r="PB345" s="3"/>
      <c r="PC345" s="3"/>
      <c r="PD345" s="3"/>
      <c r="PE345" s="3"/>
      <c r="PF345" s="3"/>
      <c r="PG345" s="3"/>
      <c r="PH345" s="3"/>
      <c r="PI345" s="3"/>
      <c r="PJ345" s="3"/>
      <c r="PK345" s="3"/>
      <c r="PL345" s="3"/>
      <c r="PM345" s="3"/>
      <c r="PN345" s="3"/>
      <c r="PO345" s="3"/>
      <c r="PP345" s="3"/>
      <c r="PQ345" s="3"/>
      <c r="PR345" s="3"/>
      <c r="PS345" s="3"/>
      <c r="PT345" s="3"/>
      <c r="PU345" s="3"/>
      <c r="PV345" s="3"/>
      <c r="PW345" s="3"/>
      <c r="PX345" s="3"/>
      <c r="PY345" s="3"/>
      <c r="PZ345" s="3"/>
      <c r="QA345" s="3"/>
      <c r="QB345" s="3"/>
      <c r="QC345" s="3"/>
      <c r="QD345" s="3"/>
      <c r="QE345" s="3"/>
      <c r="QF345" s="3"/>
      <c r="QG345" s="3"/>
      <c r="QH345" s="3"/>
      <c r="QI345" s="3"/>
      <c r="QJ345" s="3"/>
      <c r="QK345" s="3"/>
      <c r="QL345" s="3"/>
      <c r="QM345" s="3"/>
      <c r="QN345" s="3"/>
      <c r="QO345" s="3"/>
      <c r="QP345" s="3"/>
      <c r="QQ345" s="3"/>
      <c r="QR345" s="3"/>
      <c r="QS345" s="3"/>
      <c r="QT345" s="3"/>
      <c r="QU345" s="3"/>
      <c r="QV345" s="3"/>
      <c r="QW345" s="3"/>
      <c r="QX345" s="3"/>
      <c r="QY345" s="3"/>
      <c r="QZ345" s="3"/>
      <c r="RA345" s="3"/>
      <c r="RB345" s="3"/>
      <c r="RC345" s="3"/>
      <c r="RD345" s="3"/>
      <c r="RE345" s="3"/>
      <c r="RF345" s="3"/>
      <c r="RG345" s="3"/>
      <c r="RH345" s="3"/>
      <c r="RI345" s="3"/>
      <c r="RJ345" s="3"/>
      <c r="RK345" s="3"/>
      <c r="RL345" s="3"/>
      <c r="RM345" s="3"/>
      <c r="RN345" s="3"/>
      <c r="RO345" s="3"/>
      <c r="RP345" s="3"/>
      <c r="RQ345" s="3"/>
      <c r="RR345" s="3"/>
      <c r="RS345" s="3"/>
      <c r="RT345" s="3"/>
      <c r="RU345" s="3"/>
      <c r="RV345" s="3"/>
      <c r="RW345" s="3"/>
      <c r="RX345" s="3"/>
      <c r="RY345" s="3"/>
      <c r="RZ345" s="3"/>
      <c r="SA345" s="3"/>
      <c r="SB345" s="3"/>
      <c r="SC345" s="3"/>
      <c r="SD345" s="3"/>
      <c r="SE345" s="3"/>
      <c r="SF345" s="3"/>
      <c r="SG345" s="3"/>
      <c r="SH345" s="3"/>
      <c r="SI345" s="3"/>
      <c r="SJ345" s="3"/>
      <c r="SK345" s="3"/>
      <c r="SL345" s="3"/>
      <c r="SM345" s="3"/>
      <c r="SN345" s="3"/>
      <c r="SO345" s="3"/>
      <c r="SP345" s="3"/>
      <c r="SQ345" s="3"/>
      <c r="SR345" s="3"/>
      <c r="SS345" s="3"/>
      <c r="ST345" s="3"/>
      <c r="SU345" s="3"/>
      <c r="SV345" s="3"/>
      <c r="SW345" s="3"/>
      <c r="SX345" s="3"/>
      <c r="SY345" s="3"/>
      <c r="SZ345" s="3"/>
      <c r="TA345" s="3"/>
      <c r="TB345" s="3"/>
      <c r="TC345" s="3"/>
      <c r="TD345" s="3"/>
      <c r="TE345" s="3"/>
      <c r="TF345" s="3"/>
      <c r="TG345" s="3"/>
      <c r="TH345" s="3"/>
      <c r="TI345" s="3"/>
      <c r="TJ345" s="3"/>
      <c r="TK345" s="3"/>
      <c r="TL345" s="3"/>
      <c r="TM345" s="3"/>
      <c r="TN345" s="3"/>
      <c r="TO345" s="3"/>
      <c r="TP345" s="3"/>
      <c r="TQ345" s="3"/>
      <c r="TR345" s="3"/>
      <c r="TS345" s="3"/>
      <c r="TT345" s="3"/>
      <c r="TU345" s="3"/>
      <c r="TV345" s="3"/>
      <c r="TW345" s="3"/>
      <c r="TX345" s="3"/>
      <c r="TY345" s="3"/>
      <c r="TZ345" s="3"/>
      <c r="UA345" s="3"/>
      <c r="UB345" s="3"/>
      <c r="UC345" s="3"/>
      <c r="UD345" s="3"/>
      <c r="UE345" s="3"/>
      <c r="UF345" s="3"/>
      <c r="UG345" s="3"/>
      <c r="UH345" s="3"/>
      <c r="UI345" s="3"/>
      <c r="UJ345" s="3"/>
      <c r="UK345" s="3"/>
      <c r="UL345" s="3"/>
      <c r="UM345" s="3"/>
      <c r="UN345" s="3"/>
      <c r="UO345" s="3"/>
      <c r="UP345" s="3"/>
      <c r="UQ345" s="3"/>
      <c r="UR345" s="3"/>
      <c r="US345" s="3"/>
      <c r="UT345" s="3"/>
      <c r="UU345" s="3"/>
      <c r="UV345" s="3"/>
      <c r="UW345" s="3"/>
      <c r="UX345" s="3"/>
      <c r="UY345" s="3"/>
      <c r="UZ345" s="3"/>
      <c r="VA345" s="3"/>
      <c r="VB345" s="3"/>
      <c r="VC345" s="3"/>
      <c r="VD345" s="3"/>
      <c r="VE345" s="3"/>
      <c r="VF345" s="3"/>
      <c r="VG345" s="3"/>
      <c r="VH345" s="3"/>
      <c r="VI345" s="3"/>
      <c r="VJ345" s="3"/>
      <c r="VK345" s="3"/>
      <c r="VL345" s="3"/>
      <c r="VM345" s="3"/>
      <c r="VN345" s="3"/>
      <c r="VO345" s="3"/>
      <c r="VP345" s="3"/>
      <c r="VQ345" s="3"/>
      <c r="VR345" s="3"/>
      <c r="VS345" s="3"/>
      <c r="VT345" s="3"/>
      <c r="VU345" s="3"/>
      <c r="VV345" s="3"/>
      <c r="VW345" s="3"/>
      <c r="VX345" s="3"/>
      <c r="VY345" s="3"/>
      <c r="VZ345" s="3"/>
      <c r="WA345" s="3"/>
      <c r="WB345" s="3"/>
      <c r="WC345" s="3"/>
      <c r="WD345" s="3"/>
      <c r="WE345" s="3"/>
      <c r="WF345" s="3"/>
      <c r="WG345" s="3"/>
      <c r="WH345" s="3"/>
      <c r="WI345" s="3"/>
      <c r="WJ345" s="3"/>
      <c r="WK345" s="3"/>
      <c r="WL345" s="3"/>
      <c r="WM345" s="3"/>
      <c r="WN345" s="3"/>
      <c r="WO345" s="3"/>
      <c r="WP345" s="3"/>
      <c r="WQ345" s="3"/>
      <c r="WR345" s="3"/>
      <c r="WS345" s="3"/>
      <c r="WT345" s="3"/>
      <c r="WU345" s="3"/>
      <c r="WV345" s="3"/>
      <c r="WW345" s="3"/>
      <c r="WX345" s="3"/>
      <c r="WY345" s="3"/>
      <c r="WZ345" s="3"/>
      <c r="XA345" s="3"/>
      <c r="XB345" s="3"/>
      <c r="XC345" s="3"/>
      <c r="XD345" s="3"/>
      <c r="XE345" s="3"/>
      <c r="XF345" s="3"/>
      <c r="XG345" s="3"/>
      <c r="XH345" s="3"/>
      <c r="XI345" s="3"/>
      <c r="XJ345" s="3"/>
      <c r="XK345" s="3"/>
      <c r="XL345" s="3"/>
      <c r="XM345" s="3"/>
      <c r="XN345" s="3"/>
      <c r="XO345" s="3"/>
      <c r="XP345" s="3"/>
      <c r="XQ345" s="3"/>
      <c r="XR345" s="3"/>
      <c r="XS345" s="3"/>
      <c r="XT345" s="3"/>
      <c r="XU345" s="3"/>
      <c r="XV345" s="3"/>
      <c r="XW345" s="3"/>
      <c r="XX345" s="3"/>
      <c r="XY345" s="3"/>
      <c r="XZ345" s="3"/>
      <c r="YA345" s="3"/>
      <c r="YB345" s="3"/>
      <c r="YC345" s="3"/>
      <c r="YD345" s="3"/>
      <c r="YE345" s="3"/>
      <c r="YF345" s="3"/>
      <c r="YG345" s="3"/>
      <c r="YH345" s="3"/>
      <c r="YI345" s="3"/>
      <c r="YJ345" s="3"/>
      <c r="YK345" s="3"/>
      <c r="YL345" s="3"/>
      <c r="YM345" s="3"/>
      <c r="YN345" s="3"/>
      <c r="YO345" s="3"/>
      <c r="YP345" s="3"/>
      <c r="YQ345" s="3"/>
      <c r="YR345" s="3"/>
      <c r="YS345" s="3"/>
      <c r="YT345" s="3"/>
      <c r="YU345" s="3"/>
      <c r="YV345" s="3"/>
      <c r="YW345" s="3"/>
      <c r="YX345" s="3"/>
      <c r="YY345" s="3"/>
      <c r="YZ345" s="3"/>
      <c r="ZA345" s="3"/>
      <c r="ZB345" s="3"/>
      <c r="ZC345" s="3"/>
      <c r="ZD345" s="3"/>
      <c r="ZE345" s="3"/>
      <c r="ZF345" s="3"/>
      <c r="ZG345" s="3"/>
      <c r="ZH345" s="3"/>
      <c r="ZI345" s="3"/>
      <c r="ZJ345" s="3"/>
      <c r="ZK345" s="3"/>
      <c r="ZL345" s="3"/>
      <c r="ZM345" s="3"/>
      <c r="ZN345" s="3"/>
      <c r="ZO345" s="3"/>
      <c r="ZP345" s="3"/>
      <c r="ZQ345" s="3"/>
      <c r="ZR345" s="3"/>
      <c r="ZS345" s="3"/>
      <c r="ZT345" s="3"/>
      <c r="ZU345" s="3"/>
      <c r="ZV345" s="3"/>
      <c r="ZW345" s="3"/>
      <c r="ZX345" s="3"/>
      <c r="ZY345" s="3"/>
      <c r="ZZ345" s="3"/>
      <c r="AAA345" s="3"/>
      <c r="AAB345" s="3"/>
      <c r="AAC345" s="3"/>
      <c r="AAD345" s="3"/>
      <c r="AAE345" s="3"/>
      <c r="AAF345" s="3"/>
      <c r="AAG345" s="3"/>
      <c r="AAH345" s="3"/>
      <c r="AAI345" s="3"/>
      <c r="AAJ345" s="3"/>
      <c r="AAK345" s="3"/>
      <c r="AAL345" s="3"/>
      <c r="AAM345" s="3"/>
      <c r="AAN345" s="3"/>
      <c r="AAO345" s="3"/>
      <c r="AAP345" s="3"/>
      <c r="AAQ345" s="3"/>
      <c r="AAR345" s="3"/>
      <c r="AAS345" s="3"/>
      <c r="AAT345" s="3"/>
      <c r="AAU345" s="3"/>
      <c r="AAV345" s="3"/>
      <c r="AAW345" s="3"/>
      <c r="AAX345" s="3"/>
      <c r="AAY345" s="3"/>
      <c r="AAZ345" s="3"/>
      <c r="ABA345" s="3"/>
      <c r="ABB345" s="3"/>
      <c r="ABC345" s="3"/>
      <c r="ABD345" s="3"/>
      <c r="ABE345" s="3"/>
      <c r="ABF345" s="3"/>
      <c r="ABG345" s="3"/>
      <c r="ABH345" s="3"/>
      <c r="ABI345" s="3"/>
      <c r="ABJ345" s="3"/>
      <c r="ABK345" s="3"/>
      <c r="ABL345" s="3"/>
      <c r="ABM345" s="3"/>
      <c r="ABN345" s="3"/>
      <c r="ABO345" s="3"/>
      <c r="ABP345" s="3"/>
      <c r="ABQ345" s="3"/>
      <c r="ABR345" s="3"/>
      <c r="ABS345" s="3"/>
      <c r="ABT345" s="3"/>
      <c r="ABU345" s="3"/>
      <c r="ABV345" s="3"/>
      <c r="ABW345" s="3"/>
      <c r="ABX345" s="3"/>
      <c r="ABY345" s="3"/>
      <c r="ABZ345" s="3"/>
      <c r="ACA345" s="3"/>
      <c r="ACB345" s="3"/>
      <c r="ACC345" s="3"/>
      <c r="ACD345" s="3"/>
      <c r="ACE345" s="3"/>
      <c r="ACF345" s="3"/>
      <c r="ACG345" s="3"/>
      <c r="ACH345" s="3"/>
      <c r="ACI345" s="3"/>
      <c r="ACJ345" s="3"/>
      <c r="ACK345" s="3"/>
      <c r="ACL345" s="3"/>
      <c r="ACM345" s="3"/>
      <c r="ACN345" s="3"/>
      <c r="ACO345" s="3"/>
      <c r="ACP345" s="3"/>
      <c r="ACQ345" s="3"/>
      <c r="ACR345" s="3"/>
      <c r="ACS345" s="3"/>
      <c r="ACT345" s="3"/>
      <c r="ACU345" s="3"/>
      <c r="ACV345" s="3"/>
      <c r="ACW345" s="3"/>
      <c r="ACX345" s="3"/>
      <c r="ACY345" s="3"/>
      <c r="ACZ345" s="3"/>
      <c r="ADA345" s="3"/>
      <c r="ADB345" s="3"/>
      <c r="ADC345" s="3"/>
      <c r="ADD345" s="3"/>
      <c r="ADE345" s="3"/>
      <c r="ADF345" s="3"/>
      <c r="ADG345" s="3"/>
      <c r="ADH345" s="3"/>
      <c r="ADI345" s="3"/>
      <c r="ADJ345" s="3"/>
      <c r="ADK345" s="3"/>
      <c r="ADL345" s="3"/>
      <c r="ADM345" s="3"/>
      <c r="ADN345" s="3"/>
      <c r="ADO345" s="3"/>
      <c r="ADP345" s="3"/>
      <c r="ADQ345" s="3"/>
      <c r="ADR345" s="3"/>
      <c r="ADS345" s="3"/>
      <c r="ADT345" s="3"/>
      <c r="ADU345" s="3"/>
      <c r="ADV345" s="3"/>
      <c r="ADW345" s="3"/>
      <c r="ADX345" s="3"/>
      <c r="ADY345" s="3"/>
      <c r="ADZ345" s="3"/>
      <c r="AEA345" s="3"/>
      <c r="AEB345" s="3"/>
      <c r="AEC345" s="3"/>
      <c r="AED345" s="3"/>
      <c r="AEE345" s="3"/>
      <c r="AEF345" s="3"/>
      <c r="AEG345" s="3"/>
      <c r="AEH345" s="3"/>
      <c r="AEI345" s="3"/>
      <c r="AEJ345" s="3"/>
      <c r="AEK345" s="3"/>
      <c r="AEL345" s="3"/>
      <c r="AEM345" s="3"/>
      <c r="AEN345" s="3"/>
      <c r="AEO345" s="3"/>
      <c r="AEP345" s="3"/>
      <c r="AEQ345" s="3"/>
      <c r="AER345" s="3"/>
      <c r="AES345" s="3"/>
      <c r="AET345" s="3"/>
      <c r="AEU345" s="3"/>
      <c r="AEV345" s="3"/>
      <c r="AEW345" s="3"/>
      <c r="AEX345" s="3"/>
      <c r="AEY345" s="3"/>
      <c r="AEZ345" s="3"/>
      <c r="AFA345" s="3"/>
      <c r="AFB345" s="3"/>
      <c r="AFC345" s="3"/>
      <c r="AFD345" s="3"/>
      <c r="AFE345" s="3"/>
      <c r="AFF345" s="3"/>
      <c r="AFG345" s="3"/>
      <c r="AFH345" s="3"/>
      <c r="AFI345" s="3"/>
      <c r="AFJ345" s="3"/>
      <c r="AFK345" s="3"/>
      <c r="AFL345" s="3"/>
      <c r="AFM345" s="3"/>
      <c r="AFN345" s="3"/>
      <c r="AFO345" s="3"/>
      <c r="AFP345" s="3"/>
      <c r="AFQ345" s="3"/>
      <c r="AFR345" s="3"/>
      <c r="AFS345" s="3"/>
      <c r="AFT345" s="3"/>
      <c r="AFU345" s="3"/>
      <c r="AFV345" s="3"/>
      <c r="AFW345" s="3"/>
      <c r="AFX345" s="3"/>
      <c r="AFY345" s="3"/>
      <c r="AFZ345" s="3"/>
      <c r="AGA345" s="3"/>
      <c r="AGB345" s="3"/>
      <c r="AGC345" s="3"/>
      <c r="AGD345" s="3"/>
      <c r="AGE345" s="3"/>
      <c r="AGF345" s="3"/>
      <c r="AGG345" s="3"/>
      <c r="AGH345" s="3"/>
      <c r="AGI345" s="3"/>
      <c r="AGJ345" s="3"/>
      <c r="AGK345" s="3"/>
      <c r="AGL345" s="3"/>
      <c r="AGM345" s="3"/>
      <c r="AGN345" s="3"/>
      <c r="AGO345" s="3"/>
      <c r="AGP345" s="3"/>
      <c r="AGQ345" s="3"/>
      <c r="AGR345" s="3"/>
      <c r="AGS345" s="3"/>
      <c r="AGT345" s="3"/>
      <c r="AGU345" s="3"/>
      <c r="AGV345" s="3"/>
      <c r="AGW345" s="3"/>
      <c r="AGX345" s="3"/>
      <c r="AGY345" s="3"/>
      <c r="AGZ345" s="3"/>
      <c r="AHA345" s="3"/>
      <c r="AHB345" s="3"/>
      <c r="AHC345" s="3"/>
      <c r="AHD345" s="3"/>
      <c r="AHE345" s="3"/>
      <c r="AHF345" s="3"/>
      <c r="AHG345" s="3"/>
      <c r="AHH345" s="3"/>
      <c r="AHI345" s="3"/>
      <c r="AHJ345" s="3"/>
      <c r="AHK345" s="3"/>
      <c r="AHL345" s="3"/>
      <c r="AHM345" s="3"/>
      <c r="AHN345" s="3"/>
      <c r="AHO345" s="3"/>
      <c r="AHP345" s="3"/>
      <c r="AHQ345" s="3"/>
      <c r="AHR345" s="3"/>
      <c r="AHS345" s="3"/>
      <c r="AHT345" s="3"/>
      <c r="AHU345" s="3"/>
      <c r="AHV345" s="3"/>
      <c r="AHW345" s="3"/>
      <c r="AHX345" s="3"/>
      <c r="AHY345" s="3"/>
      <c r="AHZ345" s="3"/>
      <c r="AIA345" s="3"/>
      <c r="AIB345" s="3"/>
      <c r="AIC345" s="3"/>
      <c r="AID345" s="3"/>
      <c r="AIE345" s="3"/>
      <c r="AIF345" s="3"/>
      <c r="AIG345" s="3"/>
      <c r="AIH345" s="3"/>
      <c r="AII345" s="3"/>
      <c r="AIJ345" s="3"/>
      <c r="AIK345" s="3"/>
      <c r="AIL345" s="3"/>
      <c r="AIM345" s="3"/>
      <c r="AIN345" s="3"/>
      <c r="AIO345" s="3"/>
      <c r="AIP345" s="3"/>
      <c r="AIQ345" s="3"/>
      <c r="AIR345" s="3"/>
      <c r="AIS345" s="3"/>
      <c r="AIT345" s="3"/>
      <c r="AIU345" s="3"/>
      <c r="AIV345" s="3"/>
      <c r="AIW345" s="3"/>
      <c r="AIX345" s="3"/>
      <c r="AIY345" s="3"/>
      <c r="AIZ345" s="3"/>
      <c r="AJA345" s="3"/>
      <c r="AJB345" s="3"/>
      <c r="AJC345" s="3"/>
      <c r="AJD345" s="3"/>
      <c r="AJE345" s="3"/>
      <c r="AJF345" s="3"/>
      <c r="AJG345" s="3"/>
      <c r="AJH345" s="3"/>
      <c r="AJI345" s="3"/>
      <c r="AJJ345" s="3"/>
      <c r="AJK345" s="3"/>
      <c r="AJL345" s="3"/>
      <c r="AJM345" s="3"/>
      <c r="AJN345" s="3"/>
      <c r="AJO345" s="3"/>
      <c r="AJP345" s="3"/>
      <c r="AJQ345" s="3"/>
      <c r="AJR345" s="3"/>
      <c r="AJS345" s="3"/>
      <c r="AJT345" s="3"/>
      <c r="AJU345" s="3"/>
      <c r="AJV345" s="3"/>
      <c r="AJW345" s="3"/>
      <c r="AJX345" s="3"/>
      <c r="AJY345" s="3"/>
      <c r="AJZ345" s="3"/>
      <c r="AKA345" s="3"/>
      <c r="AKB345" s="3"/>
      <c r="AKC345" s="3"/>
      <c r="AKD345" s="3"/>
      <c r="AKE345" s="3"/>
      <c r="AKF345" s="3"/>
      <c r="AKG345" s="3"/>
      <c r="AKH345" s="3"/>
      <c r="AKI345" s="3"/>
      <c r="AKJ345" s="3"/>
      <c r="AKK345" s="3"/>
      <c r="AKL345" s="3"/>
      <c r="AKM345" s="3"/>
      <c r="AKN345" s="3"/>
      <c r="AKO345" s="3"/>
      <c r="AKP345" s="3"/>
      <c r="AKQ345" s="3"/>
      <c r="AKR345" s="3"/>
      <c r="AKS345" s="3"/>
      <c r="AKT345" s="3"/>
      <c r="AKU345" s="3"/>
      <c r="AKV345" s="3"/>
      <c r="AKW345" s="3"/>
      <c r="AKX345" s="3"/>
      <c r="AKY345" s="3"/>
      <c r="AKZ345" s="3"/>
      <c r="ALA345" s="3"/>
      <c r="ALB345" s="3"/>
      <c r="ALC345" s="3"/>
      <c r="ALD345" s="3"/>
      <c r="ALE345" s="3"/>
      <c r="ALF345" s="3"/>
      <c r="ALG345" s="3"/>
      <c r="ALH345" s="3"/>
      <c r="ALI345" s="3"/>
      <c r="ALJ345" s="3"/>
      <c r="ALK345" s="3"/>
      <c r="ALL345" s="3"/>
      <c r="ALM345" s="3"/>
      <c r="ALN345" s="3"/>
      <c r="ALO345" s="3"/>
      <c r="ALP345" s="3"/>
      <c r="ALQ345" s="3"/>
      <c r="ALR345" s="3"/>
      <c r="ALS345" s="3"/>
      <c r="ALT345" s="3"/>
      <c r="ALU345" s="3"/>
      <c r="ALV345" s="3"/>
      <c r="ALW345" s="3"/>
      <c r="ALX345" s="3"/>
      <c r="ALY345" s="3"/>
      <c r="ALZ345" s="3"/>
      <c r="AMA345" s="3"/>
      <c r="AMB345" s="3"/>
      <c r="AMC345" s="3"/>
      <c r="AMD345" s="3"/>
      <c r="AME345" s="3"/>
      <c r="AMF345" s="3"/>
      <c r="AMG345" s="3"/>
      <c r="AMH345" s="3"/>
      <c r="AMI345" s="3"/>
      <c r="AMJ345" s="3"/>
      <c r="AMK345" s="3"/>
      <c r="AML345" s="3"/>
      <c r="AMM345" s="3"/>
      <c r="AMN345" s="3"/>
      <c r="AMO345" s="3"/>
      <c r="AMP345" s="1"/>
    </row>
    <row r="346" spans="1:1030" x14ac:dyDescent="0.2">
      <c r="A346" s="3" t="str">
        <f>CONCATENATE(B346,"_",C346)</f>
        <v>smo_human_5V56</v>
      </c>
      <c r="B346" s="3" t="s">
        <v>33</v>
      </c>
      <c r="C346" s="3" t="s">
        <v>1489</v>
      </c>
      <c r="D346" s="3" t="str">
        <f>IFERROR(MID(VLOOKUP($B346,Seqs!$A:$B,2,0),E346,1),"")</f>
        <v>T</v>
      </c>
      <c r="E346" s="3">
        <v>223</v>
      </c>
      <c r="F346" s="3" t="str">
        <f>IFERROR(MID(VLOOKUP($B346,Seqs!$A:$B,2,0),G346,1),"")</f>
        <v>D</v>
      </c>
      <c r="G346" s="3">
        <v>255</v>
      </c>
      <c r="H346" s="3" t="str">
        <f>IFERROR(MID(VLOOKUP($B346,Seqs!$A:$B,2,0),I346,1),"")</f>
        <v>W</v>
      </c>
      <c r="I346" s="23">
        <v>256</v>
      </c>
      <c r="J346" s="3" t="str">
        <f>IFERROR(MID(VLOOKUP($B346,Seqs!$A:$B,2,0),K346,1),"")</f>
        <v>N</v>
      </c>
      <c r="K346" s="23">
        <v>260</v>
      </c>
      <c r="L346" s="3" t="str">
        <f>IFERROR(MID(VLOOKUP($B346,Seqs!$A:$B,2,0),M346,1),"")</f>
        <v>R</v>
      </c>
      <c r="M346" s="3">
        <v>261</v>
      </c>
      <c r="N346" s="3" t="str">
        <f>IFERROR(MID(VLOOKUP($B346,Seqs!$A:$B,2,0),O346,1),"")</f>
        <v>F</v>
      </c>
      <c r="O346" s="3">
        <v>285</v>
      </c>
      <c r="P346" s="3" t="str">
        <f>IFERROR(MID(VLOOKUP($B346,Seqs!$A:$B,2,0),Q346,1),"")</f>
        <v/>
      </c>
      <c r="Q346" s="3" t="s">
        <v>23</v>
      </c>
      <c r="R346" s="3" t="str">
        <f>IFERROR(MID(VLOOKUP($B346,Seqs!$A:$B,2,0),S346,1),"")</f>
        <v/>
      </c>
      <c r="S346" s="3" t="s">
        <v>23</v>
      </c>
      <c r="T346" s="3" t="str">
        <f>IFERROR(MID(VLOOKUP($B346,Seqs!$A:$B,2,0),U346,1),"")</f>
        <v>L</v>
      </c>
      <c r="U346" s="3">
        <v>312</v>
      </c>
      <c r="V346" s="3" t="str">
        <f>IFERROR(MID(VLOOKUP($B346,Seqs!$A:$B,2,0),W346,1),"")</f>
        <v>S</v>
      </c>
      <c r="W346" s="3">
        <v>342</v>
      </c>
      <c r="X346" s="3" t="str">
        <f>IFERROR(MID(VLOOKUP($B346,Seqs!$A:$B,2,0),Y346,1),"")</f>
        <v/>
      </c>
      <c r="Y346" s="3" t="s">
        <v>23</v>
      </c>
      <c r="Z346" s="3" t="str">
        <f>IFERROR(MID(VLOOKUP($B346,Seqs!$A:$B,2,0),AA346,1),"")</f>
        <v/>
      </c>
      <c r="AA346" s="3" t="s">
        <v>23</v>
      </c>
      <c r="AB346" s="3" t="str">
        <f>IFERROR(MID(VLOOKUP($B346,Seqs!$A:$B,2,0),AC346,1),"")</f>
        <v>K</v>
      </c>
      <c r="AC346" s="3">
        <v>356</v>
      </c>
      <c r="AD346" s="3" t="str">
        <f>IFERROR(MID(VLOOKUP($B346,Seqs!$A:$B,2,0),AE346,1),"")</f>
        <v>V</v>
      </c>
      <c r="AE346" s="3">
        <v>378</v>
      </c>
      <c r="AF346" s="3" t="str">
        <f>IFERROR(MID(VLOOKUP($B346,Seqs!$A:$B,2,0),AG346,1),"")</f>
        <v>C</v>
      </c>
      <c r="AG346" s="3">
        <v>390</v>
      </c>
      <c r="AH346" s="3" t="str">
        <f>IFERROR(MID(VLOOKUP($B346,Seqs!$A:$B,2,0),AI346,1),"")</f>
        <v>V</v>
      </c>
      <c r="AI346" s="3">
        <v>392</v>
      </c>
      <c r="AJ346" s="3" t="str">
        <f>IFERROR(MID(VLOOKUP($B346,Seqs!$A:$B,2,0),AK346,1),"")</f>
        <v>N</v>
      </c>
      <c r="AK346" s="3">
        <v>396</v>
      </c>
      <c r="AL346" s="3" t="str">
        <f>IFERROR(MID(VLOOKUP($B346,Seqs!$A:$B,2,0),AM346,1),"")</f>
        <v>I</v>
      </c>
      <c r="AM346" s="3">
        <v>429</v>
      </c>
      <c r="AN346" s="3" t="str">
        <f>IFERROR(MID(VLOOKUP($B346,Seqs!$A:$B,2,0),AO346,1),"")</f>
        <v>N</v>
      </c>
      <c r="AO346" s="3">
        <v>446</v>
      </c>
      <c r="AP346" s="3" t="str">
        <f>IFERROR(MID(VLOOKUP($B346,Seqs!$A:$B,2,0),AQ346,1),"")</f>
        <v>N</v>
      </c>
      <c r="AQ346" s="3">
        <v>493</v>
      </c>
      <c r="AR346" s="3" t="str">
        <f>IFERROR(MID(VLOOKUP($B346,Seqs!$A:$B,2,0),AS346,1),"")</f>
        <v>S</v>
      </c>
      <c r="AS346" s="3">
        <v>514</v>
      </c>
      <c r="AT346" s="3" t="str">
        <f>IFERROR(MID(VLOOKUP($B346,Seqs!$A:$B,2,0),AU346,1),"")</f>
        <v>W</v>
      </c>
      <c r="AU346" s="3">
        <v>537</v>
      </c>
      <c r="AV346" s="3" t="str">
        <f>IFERROR(MID(VLOOKUP($B346,Seqs!$A:$B,2,0),AW346,1),"")</f>
        <v>T</v>
      </c>
      <c r="AW346" s="3">
        <v>538</v>
      </c>
      <c r="AX346" s="3" t="str">
        <f>IFERROR(MID(VLOOKUP($B346,Seqs!$A:$B,2,0),AY346,1),"")</f>
        <v>T</v>
      </c>
      <c r="AY346" s="3">
        <v>553</v>
      </c>
      <c r="AZ346" s="78" t="str">
        <f>VLOOKUP(B346,Classification!A:D,2,0)</f>
        <v>F</v>
      </c>
      <c r="BA346" s="94" t="str">
        <f>VLOOKUP(B346,Classification!A:D,4,0)</f>
        <v>Frizzled</v>
      </c>
      <c r="BB346" s="92" t="b">
        <f>AND(E346&lt;G346,OR(G346&lt;I346,I346="-"),OR(I346&lt;K346,I346="-"),OR(K346&lt;M346,K346="-"),M346&lt;O346,OR(O346&lt;Q346,Q346="-"),OR(Q346&lt;S346,Q346="-"),OR(S346&lt;U346,S346="-"),U346&lt;W346,OR(W346&lt;Y346,Y346="-"),OR(Y346&lt;AA346,Y346="-"),OR(AA346&lt;AC346,AA346="-"),AC346&lt;AE346,OR(AE346&lt;AG346,AG346="-"),OR(AG346&lt;AI346,AG346="-"),OR(AI346&lt;AK346,AI346="-"),AK346&lt;AM346,AM346&lt;AO346,AO346&lt;AQ346,AQ346&lt;AS346,AS346&lt;AU346,OR(AU346&lt;AW346,AW346="-"),OR(AW346&lt;AY346,AW346="-"))</f>
        <v>1</v>
      </c>
      <c r="BC346" s="23">
        <f>_xlfn.AGGREGATE(9,6,CH346:CS346)-_xlfn.AGGREGATE(9,6,BV346:CG346)+12</f>
        <v>244</v>
      </c>
      <c r="BD346" s="74" t="s">
        <v>23</v>
      </c>
      <c r="BE346" s="3" t="s">
        <v>1380</v>
      </c>
      <c r="BF346" s="119">
        <v>2.9</v>
      </c>
      <c r="BG346" s="49" t="s">
        <v>1287</v>
      </c>
      <c r="BH346" s="49" t="s">
        <v>1287</v>
      </c>
      <c r="BJ346" s="75" t="s">
        <v>1293</v>
      </c>
      <c r="BK346" s="57" t="s">
        <v>1293</v>
      </c>
      <c r="BL346" s="57" t="s">
        <v>1293</v>
      </c>
      <c r="BM346" s="57" t="s">
        <v>1293</v>
      </c>
      <c r="BN346" s="57" t="s">
        <v>1293</v>
      </c>
      <c r="BO346" s="57" t="s">
        <v>1293</v>
      </c>
      <c r="BP346" s="57" t="s">
        <v>1293</v>
      </c>
      <c r="BQ346" s="57" t="s">
        <v>1293</v>
      </c>
      <c r="BR346" s="57" t="s">
        <v>1293</v>
      </c>
      <c r="BS346" s="57" t="s">
        <v>1293</v>
      </c>
      <c r="BT346" s="57" t="s">
        <v>1293</v>
      </c>
      <c r="BU346" s="57" t="s">
        <v>1293</v>
      </c>
      <c r="BV346" s="75">
        <f>E346</f>
        <v>223</v>
      </c>
      <c r="BW346" s="71">
        <f>I346</f>
        <v>256</v>
      </c>
      <c r="BX346" s="72">
        <f>M346</f>
        <v>261</v>
      </c>
      <c r="BY346" s="71" t="str">
        <f>Q346</f>
        <v>-</v>
      </c>
      <c r="BZ346" s="72">
        <f>U346</f>
        <v>312</v>
      </c>
      <c r="CA346" s="71" t="str">
        <f>Y346</f>
        <v>-</v>
      </c>
      <c r="CB346" s="72">
        <f>AC346</f>
        <v>356</v>
      </c>
      <c r="CC346" s="71">
        <f>AG346</f>
        <v>390</v>
      </c>
      <c r="CD346" s="72">
        <f>AK346</f>
        <v>396</v>
      </c>
      <c r="CE346" s="71">
        <f>AO346</f>
        <v>446</v>
      </c>
      <c r="CF346" s="72">
        <f>AS346</f>
        <v>514</v>
      </c>
      <c r="CG346" s="71">
        <f>AW346</f>
        <v>538</v>
      </c>
      <c r="CH346" s="75">
        <f>G346</f>
        <v>255</v>
      </c>
      <c r="CI346" s="71">
        <f>K346</f>
        <v>260</v>
      </c>
      <c r="CJ346" s="72">
        <f>O346</f>
        <v>285</v>
      </c>
      <c r="CK346" s="72" t="str">
        <f>S346</f>
        <v>-</v>
      </c>
      <c r="CL346" s="72">
        <f>W346</f>
        <v>342</v>
      </c>
      <c r="CM346" s="72" t="str">
        <f>AA346</f>
        <v>-</v>
      </c>
      <c r="CN346" s="72">
        <f>AE346</f>
        <v>378</v>
      </c>
      <c r="CO346" s="72">
        <f>AI346</f>
        <v>392</v>
      </c>
      <c r="CP346" s="72">
        <f>AM346</f>
        <v>429</v>
      </c>
      <c r="CQ346" s="72">
        <f>AQ346</f>
        <v>493</v>
      </c>
      <c r="CR346" s="72">
        <f>AU346</f>
        <v>537</v>
      </c>
      <c r="CS346" s="72">
        <f>AY346</f>
        <v>553</v>
      </c>
      <c r="CT346" s="23">
        <f>M346-K346</f>
        <v>1</v>
      </c>
    </row>
    <row r="347" spans="1:1030" x14ac:dyDescent="0.2">
      <c r="A347" s="3" t="str">
        <f>CONCATENATE(B347,"_",C347)</f>
        <v>smo_human_5V57</v>
      </c>
      <c r="B347" s="3" t="s">
        <v>33</v>
      </c>
      <c r="C347" s="3" t="s">
        <v>1490</v>
      </c>
      <c r="D347" s="3" t="str">
        <f>IFERROR(MID(VLOOKUP($B347,Seqs!$A:$B,2,0),E347,1),"")</f>
        <v>T</v>
      </c>
      <c r="E347" s="3">
        <v>223</v>
      </c>
      <c r="F347" s="3" t="str">
        <f>IFERROR(MID(VLOOKUP($B347,Seqs!$A:$B,2,0),G347,1),"")</f>
        <v>D</v>
      </c>
      <c r="G347" s="3">
        <v>255</v>
      </c>
      <c r="H347" s="3" t="str">
        <f>IFERROR(MID(VLOOKUP($B347,Seqs!$A:$B,2,0),I347,1),"")</f>
        <v>W</v>
      </c>
      <c r="I347" s="23">
        <v>256</v>
      </c>
      <c r="J347" s="3" t="str">
        <f>IFERROR(MID(VLOOKUP($B347,Seqs!$A:$B,2,0),K347,1),"")</f>
        <v>N</v>
      </c>
      <c r="K347" s="23">
        <v>260</v>
      </c>
      <c r="L347" s="3" t="str">
        <f>IFERROR(MID(VLOOKUP($B347,Seqs!$A:$B,2,0),M347,1),"")</f>
        <v>R</v>
      </c>
      <c r="M347" s="3">
        <v>261</v>
      </c>
      <c r="N347" s="3" t="str">
        <f>IFERROR(MID(VLOOKUP($B347,Seqs!$A:$B,2,0),O347,1),"")</f>
        <v>F</v>
      </c>
      <c r="O347" s="3">
        <v>285</v>
      </c>
      <c r="P347" s="3" t="str">
        <f>IFERROR(MID(VLOOKUP($B347,Seqs!$A:$B,2,0),Q347,1),"")</f>
        <v/>
      </c>
      <c r="Q347" s="3" t="s">
        <v>23</v>
      </c>
      <c r="R347" s="3" t="str">
        <f>IFERROR(MID(VLOOKUP($B347,Seqs!$A:$B,2,0),S347,1),"")</f>
        <v/>
      </c>
      <c r="S347" s="3" t="s">
        <v>23</v>
      </c>
      <c r="T347" s="3" t="str">
        <f>IFERROR(MID(VLOOKUP($B347,Seqs!$A:$B,2,0),U347,1),"")</f>
        <v>L</v>
      </c>
      <c r="U347" s="3">
        <v>312</v>
      </c>
      <c r="V347" s="3" t="str">
        <f>IFERROR(MID(VLOOKUP($B347,Seqs!$A:$B,2,0),W347,1),"")</f>
        <v>S</v>
      </c>
      <c r="W347" s="3">
        <v>342</v>
      </c>
      <c r="X347" s="3" t="str">
        <f>IFERROR(MID(VLOOKUP($B347,Seqs!$A:$B,2,0),Y347,1),"")</f>
        <v/>
      </c>
      <c r="Y347" s="3" t="s">
        <v>23</v>
      </c>
      <c r="Z347" s="3" t="str">
        <f>IFERROR(MID(VLOOKUP($B347,Seqs!$A:$B,2,0),AA347,1),"")</f>
        <v/>
      </c>
      <c r="AA347" s="3" t="s">
        <v>23</v>
      </c>
      <c r="AB347" s="3" t="str">
        <f>IFERROR(MID(VLOOKUP($B347,Seqs!$A:$B,2,0),AC347,1),"")</f>
        <v>T</v>
      </c>
      <c r="AC347" s="3">
        <v>357</v>
      </c>
      <c r="AD347" s="3" t="str">
        <f>IFERROR(MID(VLOOKUP($B347,Seqs!$A:$B,2,0),AE347,1),"")</f>
        <v>V</v>
      </c>
      <c r="AE347" s="3">
        <v>378</v>
      </c>
      <c r="AF347" s="3" t="str">
        <f>IFERROR(MID(VLOOKUP($B347,Seqs!$A:$B,2,0),AG347,1),"")</f>
        <v>C</v>
      </c>
      <c r="AG347" s="3">
        <v>390</v>
      </c>
      <c r="AH347" s="3" t="str">
        <f>IFERROR(MID(VLOOKUP($B347,Seqs!$A:$B,2,0),AI347,1),"")</f>
        <v>V</v>
      </c>
      <c r="AI347" s="3">
        <v>392</v>
      </c>
      <c r="AJ347" s="3" t="str">
        <f>IFERROR(MID(VLOOKUP($B347,Seqs!$A:$B,2,0),AK347,1),"")</f>
        <v>N</v>
      </c>
      <c r="AK347" s="3">
        <v>396</v>
      </c>
      <c r="AL347" s="3" t="str">
        <f>IFERROR(MID(VLOOKUP($B347,Seqs!$A:$B,2,0),AM347,1),"")</f>
        <v>N</v>
      </c>
      <c r="AM347" s="3">
        <v>432</v>
      </c>
      <c r="AN347" s="3" t="str">
        <f>IFERROR(MID(VLOOKUP($B347,Seqs!$A:$B,2,0),AO347,1),"")</f>
        <v>E</v>
      </c>
      <c r="AO347" s="3">
        <v>447</v>
      </c>
      <c r="AP347" s="3" t="str">
        <f>IFERROR(MID(VLOOKUP($B347,Seqs!$A:$B,2,0),AQ347,1),"")</f>
        <v>N</v>
      </c>
      <c r="AQ347" s="3">
        <v>493</v>
      </c>
      <c r="AR347" s="3" t="str">
        <f>IFERROR(MID(VLOOKUP($B347,Seqs!$A:$B,2,0),AS347,1),"")</f>
        <v>S</v>
      </c>
      <c r="AS347" s="3">
        <v>514</v>
      </c>
      <c r="AT347" s="3" t="str">
        <f>IFERROR(MID(VLOOKUP($B347,Seqs!$A:$B,2,0),AU347,1),"")</f>
        <v>W</v>
      </c>
      <c r="AU347" s="3">
        <v>537</v>
      </c>
      <c r="AV347" s="3" t="str">
        <f>IFERROR(MID(VLOOKUP($B347,Seqs!$A:$B,2,0),AW347,1),"")</f>
        <v>T</v>
      </c>
      <c r="AW347" s="3">
        <v>538</v>
      </c>
      <c r="AX347" s="3" t="str">
        <f>IFERROR(MID(VLOOKUP($B347,Seqs!$A:$B,2,0),AY347,1),"")</f>
        <v>G</v>
      </c>
      <c r="AY347" s="3">
        <v>554</v>
      </c>
      <c r="AZ347" s="78" t="str">
        <f>VLOOKUP(B347,Classification!A:D,2,0)</f>
        <v>F</v>
      </c>
      <c r="BA347" s="94" t="str">
        <f>VLOOKUP(B347,Classification!A:D,4,0)</f>
        <v>Frizzled</v>
      </c>
      <c r="BB347" s="92" t="b">
        <f>AND(E347&lt;G347,OR(G347&lt;I347,I347="-"),OR(I347&lt;K347,I347="-"),OR(K347&lt;M347,K347="-"),M347&lt;O347,OR(O347&lt;Q347,Q347="-"),OR(Q347&lt;S347,Q347="-"),OR(S347&lt;U347,S347="-"),U347&lt;W347,OR(W347&lt;Y347,Y347="-"),OR(Y347&lt;AA347,Y347="-"),OR(AA347&lt;AC347,AA347="-"),AC347&lt;AE347,OR(AE347&lt;AG347,AG347="-"),OR(AG347&lt;AI347,AG347="-"),OR(AI347&lt;AK347,AI347="-"),AK347&lt;AM347,AM347&lt;AO347,AO347&lt;AQ347,AQ347&lt;AS347,AS347&lt;AU347,OR(AU347&lt;AW347,AW347="-"),OR(AW347&lt;AY347,AW347="-"))</f>
        <v>1</v>
      </c>
      <c r="BC347" s="23">
        <f>_xlfn.AGGREGATE(9,6,CH347:CS347)-_xlfn.AGGREGATE(9,6,BV347:CG347)+12</f>
        <v>246</v>
      </c>
      <c r="BD347" s="74" t="s">
        <v>23</v>
      </c>
      <c r="BE347" s="3" t="s">
        <v>1380</v>
      </c>
      <c r="BF347" s="119">
        <v>3</v>
      </c>
      <c r="BG347" s="49" t="s">
        <v>1</v>
      </c>
      <c r="BH347" s="49" t="s">
        <v>1</v>
      </c>
      <c r="BJ347" s="75" t="s">
        <v>1293</v>
      </c>
      <c r="BK347" s="57" t="s">
        <v>1293</v>
      </c>
      <c r="BL347" s="57" t="s">
        <v>1293</v>
      </c>
      <c r="BM347" s="57" t="s">
        <v>1293</v>
      </c>
      <c r="BN347" s="57" t="s">
        <v>1293</v>
      </c>
      <c r="BO347" s="57" t="s">
        <v>1293</v>
      </c>
      <c r="BP347" s="57" t="s">
        <v>1293</v>
      </c>
      <c r="BQ347" s="57" t="s">
        <v>1293</v>
      </c>
      <c r="BR347" s="57" t="s">
        <v>1293</v>
      </c>
      <c r="BS347" s="57" t="s">
        <v>1293</v>
      </c>
      <c r="BT347" s="57" t="s">
        <v>1293</v>
      </c>
      <c r="BU347" s="57" t="s">
        <v>1293</v>
      </c>
      <c r="BV347" s="75">
        <f>E347</f>
        <v>223</v>
      </c>
      <c r="BW347" s="71">
        <f>I347</f>
        <v>256</v>
      </c>
      <c r="BX347" s="72">
        <f>M347</f>
        <v>261</v>
      </c>
      <c r="BY347" s="71" t="str">
        <f>Q347</f>
        <v>-</v>
      </c>
      <c r="BZ347" s="72">
        <f>U347</f>
        <v>312</v>
      </c>
      <c r="CA347" s="71" t="str">
        <f>Y347</f>
        <v>-</v>
      </c>
      <c r="CB347" s="72">
        <f>AC347</f>
        <v>357</v>
      </c>
      <c r="CC347" s="71">
        <f>AG347</f>
        <v>390</v>
      </c>
      <c r="CD347" s="72">
        <f>AK347</f>
        <v>396</v>
      </c>
      <c r="CE347" s="71">
        <f>AO347</f>
        <v>447</v>
      </c>
      <c r="CF347" s="72">
        <f>AS347</f>
        <v>514</v>
      </c>
      <c r="CG347" s="71">
        <f>AW347</f>
        <v>538</v>
      </c>
      <c r="CH347" s="75">
        <f>G347</f>
        <v>255</v>
      </c>
      <c r="CI347" s="71">
        <f>K347</f>
        <v>260</v>
      </c>
      <c r="CJ347" s="72">
        <f>O347</f>
        <v>285</v>
      </c>
      <c r="CK347" s="72" t="str">
        <f>S347</f>
        <v>-</v>
      </c>
      <c r="CL347" s="72">
        <f>W347</f>
        <v>342</v>
      </c>
      <c r="CM347" s="72" t="str">
        <f>AA347</f>
        <v>-</v>
      </c>
      <c r="CN347" s="72">
        <f>AE347</f>
        <v>378</v>
      </c>
      <c r="CO347" s="72">
        <f>AI347</f>
        <v>392</v>
      </c>
      <c r="CP347" s="72">
        <f>AM347</f>
        <v>432</v>
      </c>
      <c r="CQ347" s="72">
        <f>AQ347</f>
        <v>493</v>
      </c>
      <c r="CR347" s="72">
        <f>AU347</f>
        <v>537</v>
      </c>
      <c r="CS347" s="72">
        <f>AY347</f>
        <v>554</v>
      </c>
      <c r="CT347" s="23">
        <f>M347-K347</f>
        <v>1</v>
      </c>
    </row>
    <row r="348" spans="1:1030" x14ac:dyDescent="0.2">
      <c r="A348" s="3" t="str">
        <f>CONCATENATE(B348,"_",C348)</f>
        <v>q98sw5_xenla__wt</v>
      </c>
      <c r="B348" s="3" t="s">
        <v>1509</v>
      </c>
      <c r="C348" s="3" t="s">
        <v>100</v>
      </c>
      <c r="D348" s="3" t="str">
        <f>IFERROR(MID(VLOOKUP($B348,Seqs!$A:$B,2,0),E348,1),"")</f>
        <v>T</v>
      </c>
      <c r="E348" s="3">
        <v>196</v>
      </c>
      <c r="F348" s="3" t="str">
        <f>IFERROR(MID(VLOOKUP($B348,Seqs!$A:$B,2,0),G348,1),"")</f>
        <v>D</v>
      </c>
      <c r="G348" s="3">
        <v>228</v>
      </c>
      <c r="H348" s="3" t="str">
        <f>IFERROR(MID(VLOOKUP($B348,Seqs!$A:$B,2,0),I348,1),"")</f>
        <v>W</v>
      </c>
      <c r="I348" s="23">
        <v>229</v>
      </c>
      <c r="J348" s="3" t="str">
        <f>IFERROR(MID(VLOOKUP($B348,Seqs!$A:$B,2,0),K348,1),"")</f>
        <v>N</v>
      </c>
      <c r="K348" s="23">
        <v>233</v>
      </c>
      <c r="L348" s="3" t="str">
        <f>IFERROR(MID(VLOOKUP($B348,Seqs!$A:$B,2,0),M348,1),"")</f>
        <v>R</v>
      </c>
      <c r="M348" s="3">
        <v>234</v>
      </c>
      <c r="N348" s="3" t="str">
        <f>IFERROR(MID(VLOOKUP($B348,Seqs!$A:$B,2,0),O348,1),"")</f>
        <v>A</v>
      </c>
      <c r="O348" s="3">
        <v>256</v>
      </c>
      <c r="P348" s="3" t="str">
        <f>IFERROR(MID(VLOOKUP($B348,Seqs!$A:$B,2,0),Q348,1),"")</f>
        <v/>
      </c>
      <c r="Q348" s="3" t="s">
        <v>23</v>
      </c>
      <c r="R348" s="3" t="str">
        <f>IFERROR(MID(VLOOKUP($B348,Seqs!$A:$B,2,0),S348,1),"")</f>
        <v/>
      </c>
      <c r="S348" s="3" t="s">
        <v>23</v>
      </c>
      <c r="T348" s="3" t="str">
        <f>IFERROR(MID(VLOOKUP($B348,Seqs!$A:$B,2,0),U348,1),"")</f>
        <v>L</v>
      </c>
      <c r="U348" s="3">
        <v>285</v>
      </c>
      <c r="V348" s="3" t="str">
        <f>IFERROR(MID(VLOOKUP($B348,Seqs!$A:$B,2,0),W348,1),"")</f>
        <v>T</v>
      </c>
      <c r="W348" s="3">
        <v>321</v>
      </c>
      <c r="X348" s="3" t="str">
        <f>IFERROR(MID(VLOOKUP($B348,Seqs!$A:$B,2,0),Y348,1),"")</f>
        <v/>
      </c>
      <c r="Y348" s="3" t="s">
        <v>23</v>
      </c>
      <c r="Z348" s="3" t="str">
        <f>IFERROR(MID(VLOOKUP($B348,Seqs!$A:$B,2,0),AA348,1),"")</f>
        <v/>
      </c>
      <c r="AA348" s="3" t="s">
        <v>23</v>
      </c>
      <c r="AB348" s="3" t="str">
        <f>IFERROR(MID(VLOOKUP($B348,Seqs!$A:$B,2,0),AC348,1),"")</f>
        <v>L</v>
      </c>
      <c r="AC348" s="3">
        <v>326</v>
      </c>
      <c r="AD348" s="3" t="str">
        <f>IFERROR(MID(VLOOKUP($B348,Seqs!$A:$B,2,0),AE348,1),"")</f>
        <v>V</v>
      </c>
      <c r="AE348" s="3">
        <v>351</v>
      </c>
      <c r="AF348" s="3" t="str">
        <f>IFERROR(MID(VLOOKUP($B348,Seqs!$A:$B,2,0),AG348,1),"")</f>
        <v>C</v>
      </c>
      <c r="AG348" s="3">
        <v>363</v>
      </c>
      <c r="AH348" s="3" t="str">
        <f>IFERROR(MID(VLOOKUP($B348,Seqs!$A:$B,2,0),AI348,1),"")</f>
        <v>V</v>
      </c>
      <c r="AI348" s="3">
        <v>365</v>
      </c>
      <c r="AJ348" s="3" t="str">
        <f>IFERROR(MID(VLOOKUP($B348,Seqs!$A:$B,2,0),AK348,1),"")</f>
        <v>N</v>
      </c>
      <c r="AK348" s="3">
        <v>369</v>
      </c>
      <c r="AL348" s="3" t="str">
        <f>IFERROR(MID(VLOOKUP($B348,Seqs!$A:$B,2,0),AM348,1),"")</f>
        <v>H</v>
      </c>
      <c r="AM348" s="3">
        <v>406</v>
      </c>
      <c r="AN348" s="3" t="str">
        <f>IFERROR(MID(VLOOKUP($B348,Seqs!$A:$B,2,0),AO348,1),"")</f>
        <v>A</v>
      </c>
      <c r="AO348" s="3">
        <v>415</v>
      </c>
      <c r="AP348" s="3" t="str">
        <f>IFERROR(MID(VLOOKUP($B348,Seqs!$A:$B,2,0),AQ348,1),"")</f>
        <v>Q</v>
      </c>
      <c r="AQ348" s="3">
        <v>472</v>
      </c>
      <c r="AR348" s="3" t="str">
        <f>IFERROR(MID(VLOOKUP($B348,Seqs!$A:$B,2,0),AS348,1),"")</f>
        <v>S</v>
      </c>
      <c r="AS348" s="3">
        <v>487</v>
      </c>
      <c r="AT348" s="3" t="str">
        <f>IFERROR(MID(VLOOKUP($B348,Seqs!$A:$B,2,0),AU348,1),"")</f>
        <v>W</v>
      </c>
      <c r="AU348" s="3">
        <v>510</v>
      </c>
      <c r="AV348" s="3" t="str">
        <f>IFERROR(MID(VLOOKUP($B348,Seqs!$A:$B,2,0),AW348,1),"")</f>
        <v>T</v>
      </c>
      <c r="AW348" s="3">
        <v>511</v>
      </c>
      <c r="AX348" s="3" t="str">
        <f>IFERROR(MID(VLOOKUP($B348,Seqs!$A:$B,2,0),AY348,1),"")</f>
        <v>L</v>
      </c>
      <c r="AY348" s="3">
        <v>526</v>
      </c>
      <c r="AZ348" s="78" t="str">
        <f>VLOOKUP(B348,Classification!A:D,2,0)</f>
        <v>F</v>
      </c>
      <c r="BA348" s="94" t="str">
        <f>VLOOKUP(B348,Classification!A:D,4,0)</f>
        <v>Frizzled</v>
      </c>
      <c r="BB348" s="92" t="b">
        <f>AND(E348&lt;G348,OR(G348&lt;I348,I348="-"),OR(I348&lt;K348,I348="-"),OR(K348&lt;M348,K348="-"),M348&lt;O348,OR(O348&lt;Q348,Q348="-"),OR(Q348&lt;S348,Q348="-"),OR(S348&lt;U348,S348="-"),U348&lt;W348,OR(W348&lt;Y348,Y348="-"),OR(Y348&lt;AA348,Y348="-"),OR(AA348&lt;AC348,AA348="-"),AC348&lt;AE348,OR(AE348&lt;AG348,AG348="-"),OR(AG348&lt;AI348,AG348="-"),OR(AI348&lt;AK348,AI348="-"),AK348&lt;AM348,AM348&lt;AO348,AO348&lt;AQ348,AQ348&lt;AS348,AS348&lt;AU348,OR(AU348&lt;AW348,AW348="-"),OR(AW348&lt;AY348,AW348="-"))</f>
        <v>1</v>
      </c>
      <c r="BC348" s="23">
        <f>_xlfn.AGGREGATE(9,6,CH348:CS348)-_xlfn.AGGREGATE(9,6,BV348:CG348)+12</f>
        <v>265</v>
      </c>
      <c r="BD348" s="74" t="s">
        <v>23</v>
      </c>
      <c r="BE348" s="3" t="s">
        <v>1380</v>
      </c>
      <c r="BF348" s="119" t="s">
        <v>23</v>
      </c>
      <c r="BG348" s="49" t="s">
        <v>1</v>
      </c>
      <c r="BH348" s="49" t="s">
        <v>1</v>
      </c>
      <c r="BJ348" s="75" t="s">
        <v>1293</v>
      </c>
      <c r="BK348" s="57" t="s">
        <v>1293</v>
      </c>
      <c r="BL348" s="57" t="s">
        <v>1293</v>
      </c>
      <c r="BM348" s="57" t="s">
        <v>1293</v>
      </c>
      <c r="BN348" s="57" t="s">
        <v>1293</v>
      </c>
      <c r="BO348" s="57" t="s">
        <v>1293</v>
      </c>
      <c r="BP348" s="57" t="s">
        <v>1293</v>
      </c>
      <c r="BQ348" s="57" t="s">
        <v>1293</v>
      </c>
      <c r="BR348" s="57" t="s">
        <v>1293</v>
      </c>
      <c r="BS348" s="57" t="s">
        <v>1293</v>
      </c>
      <c r="BT348" s="57" t="s">
        <v>1293</v>
      </c>
      <c r="BU348" s="57" t="s">
        <v>1293</v>
      </c>
      <c r="BV348" s="75">
        <f>E348</f>
        <v>196</v>
      </c>
      <c r="BW348" s="71">
        <f>I348</f>
        <v>229</v>
      </c>
      <c r="BX348" s="72">
        <f>M348</f>
        <v>234</v>
      </c>
      <c r="BY348" s="71" t="str">
        <f>Q348</f>
        <v>-</v>
      </c>
      <c r="BZ348" s="72">
        <f>U348</f>
        <v>285</v>
      </c>
      <c r="CA348" s="71" t="str">
        <f>Y348</f>
        <v>-</v>
      </c>
      <c r="CB348" s="72">
        <f>AC348</f>
        <v>326</v>
      </c>
      <c r="CC348" s="71">
        <f>AG348</f>
        <v>363</v>
      </c>
      <c r="CD348" s="72">
        <f>AK348</f>
        <v>369</v>
      </c>
      <c r="CE348" s="71">
        <f>AO348</f>
        <v>415</v>
      </c>
      <c r="CF348" s="72">
        <f>AS348</f>
        <v>487</v>
      </c>
      <c r="CG348" s="71">
        <f>AW348</f>
        <v>511</v>
      </c>
      <c r="CH348" s="75">
        <f>G348</f>
        <v>228</v>
      </c>
      <c r="CI348" s="71">
        <f>K348</f>
        <v>233</v>
      </c>
      <c r="CJ348" s="72">
        <f>O348</f>
        <v>256</v>
      </c>
      <c r="CK348" s="72" t="str">
        <f>S348</f>
        <v>-</v>
      </c>
      <c r="CL348" s="72">
        <f>W348</f>
        <v>321</v>
      </c>
      <c r="CM348" s="72" t="str">
        <f>AA348</f>
        <v>-</v>
      </c>
      <c r="CN348" s="72">
        <f>AE348</f>
        <v>351</v>
      </c>
      <c r="CO348" s="72">
        <f>AI348</f>
        <v>365</v>
      </c>
      <c r="CP348" s="72">
        <f>AM348</f>
        <v>406</v>
      </c>
      <c r="CQ348" s="72">
        <f>AQ348</f>
        <v>472</v>
      </c>
      <c r="CR348" s="72">
        <f>AU348</f>
        <v>510</v>
      </c>
      <c r="CS348" s="72">
        <f>AY348</f>
        <v>526</v>
      </c>
      <c r="CT348" s="23">
        <f>M348-K348</f>
        <v>1</v>
      </c>
    </row>
    <row r="349" spans="1:1030" x14ac:dyDescent="0.2">
      <c r="A349" s="3" t="str">
        <f>CONCATENATE(B349,"_",C349)</f>
        <v>q98sw5_xenla_6D32</v>
      </c>
      <c r="B349" s="3" t="s">
        <v>1509</v>
      </c>
      <c r="C349" s="3" t="s">
        <v>1508</v>
      </c>
      <c r="D349" s="3" t="str">
        <f>IFERROR(MID(VLOOKUP($B349,Seqs!$A:$B,2,0),E349,1),"")</f>
        <v>T</v>
      </c>
      <c r="E349" s="3">
        <v>196</v>
      </c>
      <c r="F349" s="3" t="str">
        <f>IFERROR(MID(VLOOKUP($B349,Seqs!$A:$B,2,0),G349,1),"")</f>
        <v>D</v>
      </c>
      <c r="G349" s="3">
        <v>228</v>
      </c>
      <c r="H349" s="3" t="str">
        <f>IFERROR(MID(VLOOKUP($B349,Seqs!$A:$B,2,0),I349,1),"")</f>
        <v>W</v>
      </c>
      <c r="I349" s="23">
        <v>229</v>
      </c>
      <c r="J349" s="3" t="str">
        <f>IFERROR(MID(VLOOKUP($B349,Seqs!$A:$B,2,0),K349,1),"")</f>
        <v>N</v>
      </c>
      <c r="K349" s="23">
        <v>233</v>
      </c>
      <c r="L349" s="3" t="str">
        <f>IFERROR(MID(VLOOKUP($B349,Seqs!$A:$B,2,0),M349,1),"")</f>
        <v>R</v>
      </c>
      <c r="M349" s="3">
        <v>234</v>
      </c>
      <c r="N349" s="3" t="str">
        <f>IFERROR(MID(VLOOKUP($B349,Seqs!$A:$B,2,0),O349,1),"")</f>
        <v>A</v>
      </c>
      <c r="O349" s="3">
        <v>256</v>
      </c>
      <c r="P349" s="3" t="str">
        <f>IFERROR(MID(VLOOKUP($B349,Seqs!$A:$B,2,0),Q349,1),"")</f>
        <v/>
      </c>
      <c r="Q349" s="3" t="s">
        <v>23</v>
      </c>
      <c r="R349" s="3" t="str">
        <f>IFERROR(MID(VLOOKUP($B349,Seqs!$A:$B,2,0),S349,1),"")</f>
        <v/>
      </c>
      <c r="S349" s="3" t="s">
        <v>23</v>
      </c>
      <c r="T349" s="3" t="str">
        <f>IFERROR(MID(VLOOKUP($B349,Seqs!$A:$B,2,0),U349,1),"")</f>
        <v>L</v>
      </c>
      <c r="U349" s="3">
        <v>285</v>
      </c>
      <c r="V349" s="3" t="str">
        <f>IFERROR(MID(VLOOKUP($B349,Seqs!$A:$B,2,0),W349,1),"")</f>
        <v>K</v>
      </c>
      <c r="W349" s="3">
        <v>317</v>
      </c>
      <c r="X349" s="3" t="str">
        <f>IFERROR(MID(VLOOKUP($B349,Seqs!$A:$B,2,0),Y349,1),"")</f>
        <v/>
      </c>
      <c r="Y349" s="3" t="s">
        <v>23</v>
      </c>
      <c r="Z349" s="3" t="str">
        <f>IFERROR(MID(VLOOKUP($B349,Seqs!$A:$B,2,0),AA349,1),"")</f>
        <v/>
      </c>
      <c r="AA349" s="3" t="s">
        <v>23</v>
      </c>
      <c r="AB349" s="3" t="str">
        <f>IFERROR(MID(VLOOKUP($B349,Seqs!$A:$B,2,0),AC349,1),"")</f>
        <v>K</v>
      </c>
      <c r="AC349" s="3">
        <v>329</v>
      </c>
      <c r="AD349" s="3" t="str">
        <f>IFERROR(MID(VLOOKUP($B349,Seqs!$A:$B,2,0),AE349,1),"")</f>
        <v>V</v>
      </c>
      <c r="AE349" s="3">
        <v>351</v>
      </c>
      <c r="AF349" s="3" t="str">
        <f>IFERROR(MID(VLOOKUP($B349,Seqs!$A:$B,2,0),AG349,1),"")</f>
        <v>C</v>
      </c>
      <c r="AG349" s="3">
        <v>363</v>
      </c>
      <c r="AH349" s="3" t="str">
        <f>IFERROR(MID(VLOOKUP($B349,Seqs!$A:$B,2,0),AI349,1),"")</f>
        <v>V</v>
      </c>
      <c r="AI349" s="3">
        <v>365</v>
      </c>
      <c r="AJ349" s="3" t="str">
        <f>IFERROR(MID(VLOOKUP($B349,Seqs!$A:$B,2,0),AK349,1),"")</f>
        <v>N</v>
      </c>
      <c r="AK349" s="3">
        <v>369</v>
      </c>
      <c r="AL349" s="3" t="str">
        <f>IFERROR(MID(VLOOKUP($B349,Seqs!$A:$B,2,0),AM349,1),"")</f>
        <v>S</v>
      </c>
      <c r="AM349" s="3">
        <v>401</v>
      </c>
      <c r="AN349" s="3" t="str">
        <f>IFERROR(MID(VLOOKUP($B349,Seqs!$A:$B,2,0),AO349,1),"")</f>
        <v>S</v>
      </c>
      <c r="AO349" s="3">
        <v>416</v>
      </c>
      <c r="AP349" s="3" t="str">
        <f>IFERROR(MID(VLOOKUP($B349,Seqs!$A:$B,2,0),AQ349,1),"")</f>
        <v>Q</v>
      </c>
      <c r="AQ349" s="3">
        <v>472</v>
      </c>
      <c r="AR349" s="3" t="str">
        <f>IFERROR(MID(VLOOKUP($B349,Seqs!$A:$B,2,0),AS349,1),"")</f>
        <v>S</v>
      </c>
      <c r="AS349" s="3">
        <v>487</v>
      </c>
      <c r="AT349" s="3" t="str">
        <f>IFERROR(MID(VLOOKUP($B349,Seqs!$A:$B,2,0),AU349,1),"")</f>
        <v>W</v>
      </c>
      <c r="AU349" s="3">
        <v>510</v>
      </c>
      <c r="AV349" s="3" t="str">
        <f>IFERROR(MID(VLOOKUP($B349,Seqs!$A:$B,2,0),AW349,1),"")</f>
        <v>T</v>
      </c>
      <c r="AW349" s="3">
        <v>511</v>
      </c>
      <c r="AX349" s="3" t="str">
        <f>IFERROR(MID(VLOOKUP($B349,Seqs!$A:$B,2,0),AY349,1),"")</f>
        <v>R</v>
      </c>
      <c r="AY349" s="3">
        <v>520</v>
      </c>
      <c r="AZ349" s="78" t="str">
        <f>VLOOKUP(B349,Classification!A:D,2,0)</f>
        <v>F</v>
      </c>
      <c r="BA349" s="94" t="str">
        <f>VLOOKUP(B349,Classification!A:D,4,0)</f>
        <v>Frizzled</v>
      </c>
      <c r="BB349" s="92" t="b">
        <f>AND(E349&lt;G349,OR(G349&lt;I349,I349="-"),OR(I349&lt;K349,I349="-"),OR(K349&lt;M349,K349="-"),M349&lt;O349,OR(O349&lt;Q349,Q349="-"),OR(Q349&lt;S349,Q349="-"),OR(S349&lt;U349,S349="-"),U349&lt;W349,OR(W349&lt;Y349,Y349="-"),OR(Y349&lt;AA349,Y349="-"),OR(AA349&lt;AC349,AA349="-"),AC349&lt;AE349,OR(AE349&lt;AG349,AG349="-"),OR(AG349&lt;AI349,AG349="-"),OR(AI349&lt;AK349,AI349="-"),AK349&lt;AM349,AM349&lt;AO349,AO349&lt;AQ349,AQ349&lt;AS349,AS349&lt;AU349,OR(AU349&lt;AW349,AW349="-"),OR(AW349&lt;AY349,AW349="-"))</f>
        <v>1</v>
      </c>
      <c r="BC349" s="23">
        <f>_xlfn.AGGREGATE(9,6,CH349:CS349)-_xlfn.AGGREGATE(9,6,BV349:CG349)+12</f>
        <v>246</v>
      </c>
      <c r="BD349" s="74" t="s">
        <v>1382</v>
      </c>
      <c r="BE349" s="3" t="s">
        <v>1380</v>
      </c>
      <c r="BF349" s="119">
        <v>3.7509999999999999</v>
      </c>
      <c r="BG349" s="49" t="s">
        <v>1</v>
      </c>
      <c r="BH349" s="49" t="s">
        <v>1</v>
      </c>
      <c r="BJ349" s="75" t="s">
        <v>1293</v>
      </c>
      <c r="BK349" s="57" t="s">
        <v>1293</v>
      </c>
      <c r="BL349" s="57" t="s">
        <v>1293</v>
      </c>
      <c r="BM349" s="57" t="s">
        <v>1293</v>
      </c>
      <c r="BN349" s="57" t="s">
        <v>1293</v>
      </c>
      <c r="BO349" s="57" t="s">
        <v>1293</v>
      </c>
      <c r="BP349" s="57" t="s">
        <v>1293</v>
      </c>
      <c r="BQ349" s="57" t="s">
        <v>1293</v>
      </c>
      <c r="BR349" s="57" t="s">
        <v>1293</v>
      </c>
      <c r="BS349" s="57" t="s">
        <v>1293</v>
      </c>
      <c r="BT349" s="57" t="s">
        <v>1293</v>
      </c>
      <c r="BU349" s="57" t="s">
        <v>1293</v>
      </c>
      <c r="BV349" s="75">
        <f>E349</f>
        <v>196</v>
      </c>
      <c r="BW349" s="71">
        <f>I349</f>
        <v>229</v>
      </c>
      <c r="BX349" s="72">
        <f>M349</f>
        <v>234</v>
      </c>
      <c r="BY349" s="71" t="str">
        <f>Q349</f>
        <v>-</v>
      </c>
      <c r="BZ349" s="72">
        <f>U349</f>
        <v>285</v>
      </c>
      <c r="CA349" s="71" t="str">
        <f>Y349</f>
        <v>-</v>
      </c>
      <c r="CB349" s="72">
        <f>AC349</f>
        <v>329</v>
      </c>
      <c r="CC349" s="71">
        <f>AG349</f>
        <v>363</v>
      </c>
      <c r="CD349" s="72">
        <f>AK349</f>
        <v>369</v>
      </c>
      <c r="CE349" s="71">
        <f>AO349</f>
        <v>416</v>
      </c>
      <c r="CF349" s="72">
        <f>AS349</f>
        <v>487</v>
      </c>
      <c r="CG349" s="71">
        <f>AW349</f>
        <v>511</v>
      </c>
      <c r="CH349" s="75">
        <f>G349</f>
        <v>228</v>
      </c>
      <c r="CI349" s="71">
        <f>K349</f>
        <v>233</v>
      </c>
      <c r="CJ349" s="72">
        <f>O349</f>
        <v>256</v>
      </c>
      <c r="CK349" s="72" t="str">
        <f>S349</f>
        <v>-</v>
      </c>
      <c r="CL349" s="72">
        <f>W349</f>
        <v>317</v>
      </c>
      <c r="CM349" s="72" t="str">
        <f>AA349</f>
        <v>-</v>
      </c>
      <c r="CN349" s="72">
        <f>AE349</f>
        <v>351</v>
      </c>
      <c r="CO349" s="72">
        <f>AI349</f>
        <v>365</v>
      </c>
      <c r="CP349" s="72">
        <f>AM349</f>
        <v>401</v>
      </c>
      <c r="CQ349" s="72">
        <f>AQ349</f>
        <v>472</v>
      </c>
      <c r="CR349" s="72">
        <f>AU349</f>
        <v>510</v>
      </c>
      <c r="CS349" s="72">
        <f>AY349</f>
        <v>520</v>
      </c>
      <c r="CT349" s="23">
        <f>M349-K349</f>
        <v>1</v>
      </c>
    </row>
    <row r="350" spans="1:1030" x14ac:dyDescent="0.2">
      <c r="A350" s="3" t="str">
        <f>CONCATENATE(B350,"_",C350)</f>
        <v>q98sw5_xenla_6D35</v>
      </c>
      <c r="B350" s="3" t="s">
        <v>1509</v>
      </c>
      <c r="C350" s="3" t="s">
        <v>1512</v>
      </c>
      <c r="D350" s="3" t="str">
        <f>IFERROR(MID(VLOOKUP($B350,Seqs!$A:$B,2,0),E350,1),"")</f>
        <v>T</v>
      </c>
      <c r="E350" s="3">
        <v>196</v>
      </c>
      <c r="F350" s="3" t="str">
        <f>IFERROR(MID(VLOOKUP($B350,Seqs!$A:$B,2,0),G350,1),"")</f>
        <v>D</v>
      </c>
      <c r="G350" s="3">
        <v>228</v>
      </c>
      <c r="H350" s="3" t="str">
        <f>IFERROR(MID(VLOOKUP($B350,Seqs!$A:$B,2,0),I350,1),"")</f>
        <v>W</v>
      </c>
      <c r="I350" s="23">
        <v>229</v>
      </c>
      <c r="J350" s="3" t="str">
        <f>IFERROR(MID(VLOOKUP($B350,Seqs!$A:$B,2,0),K350,1),"")</f>
        <v>N</v>
      </c>
      <c r="K350" s="23">
        <v>233</v>
      </c>
      <c r="L350" s="3" t="str">
        <f>IFERROR(MID(VLOOKUP($B350,Seqs!$A:$B,2,0),M350,1),"")</f>
        <v>R</v>
      </c>
      <c r="M350" s="3">
        <v>234</v>
      </c>
      <c r="N350" s="3" t="str">
        <f>IFERROR(MID(VLOOKUP($B350,Seqs!$A:$B,2,0),O350,1),"")</f>
        <v>A</v>
      </c>
      <c r="O350" s="3">
        <v>256</v>
      </c>
      <c r="P350" s="3" t="str">
        <f>IFERROR(MID(VLOOKUP($B350,Seqs!$A:$B,2,0),Q350,1),"")</f>
        <v/>
      </c>
      <c r="Q350" s="3" t="s">
        <v>23</v>
      </c>
      <c r="R350" s="3" t="str">
        <f>IFERROR(MID(VLOOKUP($B350,Seqs!$A:$B,2,0),S350,1),"")</f>
        <v/>
      </c>
      <c r="S350" s="3" t="s">
        <v>23</v>
      </c>
      <c r="T350" s="3" t="str">
        <f>IFERROR(MID(VLOOKUP($B350,Seqs!$A:$B,2,0),U350,1),"")</f>
        <v>L</v>
      </c>
      <c r="U350" s="3">
        <v>285</v>
      </c>
      <c r="V350" s="3" t="str">
        <f>IFERROR(MID(VLOOKUP($B350,Seqs!$A:$B,2,0),W350,1),"")</f>
        <v>K</v>
      </c>
      <c r="W350" s="3">
        <v>317</v>
      </c>
      <c r="X350" s="3" t="str">
        <f>IFERROR(MID(VLOOKUP($B350,Seqs!$A:$B,2,0),Y350,1),"")</f>
        <v/>
      </c>
      <c r="Y350" s="3" t="s">
        <v>23</v>
      </c>
      <c r="Z350" s="3" t="str">
        <f>IFERROR(MID(VLOOKUP($B350,Seqs!$A:$B,2,0),AA350,1),"")</f>
        <v/>
      </c>
      <c r="AA350" s="3" t="s">
        <v>23</v>
      </c>
      <c r="AB350" s="3" t="str">
        <f>IFERROR(MID(VLOOKUP($B350,Seqs!$A:$B,2,0),AC350,1),"")</f>
        <v>K</v>
      </c>
      <c r="AC350" s="3">
        <v>329</v>
      </c>
      <c r="AD350" s="3" t="str">
        <f>IFERROR(MID(VLOOKUP($B350,Seqs!$A:$B,2,0),AE350,1),"")</f>
        <v>V</v>
      </c>
      <c r="AE350" s="3">
        <v>351</v>
      </c>
      <c r="AF350" s="3" t="str">
        <f>IFERROR(MID(VLOOKUP($B350,Seqs!$A:$B,2,0),AG350,1),"")</f>
        <v>C</v>
      </c>
      <c r="AG350" s="3">
        <v>363</v>
      </c>
      <c r="AH350" s="3" t="str">
        <f>IFERROR(MID(VLOOKUP($B350,Seqs!$A:$B,2,0),AI350,1),"")</f>
        <v>V</v>
      </c>
      <c r="AI350" s="3">
        <v>365</v>
      </c>
      <c r="AJ350" s="3" t="str">
        <f>IFERROR(MID(VLOOKUP($B350,Seqs!$A:$B,2,0),AK350,1),"")</f>
        <v>N</v>
      </c>
      <c r="AK350" s="3">
        <v>369</v>
      </c>
      <c r="AL350" s="3" t="str">
        <f>IFERROR(MID(VLOOKUP($B350,Seqs!$A:$B,2,0),AM350,1),"")</f>
        <v>S</v>
      </c>
      <c r="AM350" s="3">
        <v>401</v>
      </c>
      <c r="AN350" s="3" t="str">
        <f>IFERROR(MID(VLOOKUP($B350,Seqs!$A:$B,2,0),AO350,1),"")</f>
        <v>S</v>
      </c>
      <c r="AO350" s="3">
        <v>416</v>
      </c>
      <c r="AP350" s="3" t="str">
        <f>IFERROR(MID(VLOOKUP($B350,Seqs!$A:$B,2,0),AQ350,1),"")</f>
        <v>Q</v>
      </c>
      <c r="AQ350" s="3">
        <v>472</v>
      </c>
      <c r="AR350" s="3" t="str">
        <f>IFERROR(MID(VLOOKUP($B350,Seqs!$A:$B,2,0),AS350,1),"")</f>
        <v>S</v>
      </c>
      <c r="AS350" s="3">
        <v>487</v>
      </c>
      <c r="AT350" s="3" t="str">
        <f>IFERROR(MID(VLOOKUP($B350,Seqs!$A:$B,2,0),AU350,1),"")</f>
        <v>W</v>
      </c>
      <c r="AU350" s="3">
        <v>510</v>
      </c>
      <c r="AV350" s="3" t="str">
        <f>IFERROR(MID(VLOOKUP($B350,Seqs!$A:$B,2,0),AW350,1),"")</f>
        <v>T</v>
      </c>
      <c r="AW350" s="3">
        <v>511</v>
      </c>
      <c r="AX350" s="3" t="str">
        <f>IFERROR(MID(VLOOKUP($B350,Seqs!$A:$B,2,0),AY350,1),"")</f>
        <v>R</v>
      </c>
      <c r="AY350" s="3">
        <v>520</v>
      </c>
      <c r="AZ350" s="78" t="str">
        <f>VLOOKUP(B350,Classification!A:D,2,0)</f>
        <v>F</v>
      </c>
      <c r="BA350" s="94" t="str">
        <f>VLOOKUP(B350,Classification!A:D,4,0)</f>
        <v>Frizzled</v>
      </c>
      <c r="BB350" s="92" t="b">
        <f>AND(E350&lt;G350,OR(G350&lt;I350,I350="-"),OR(I350&lt;K350,I350="-"),OR(K350&lt;M350,K350="-"),M350&lt;O350,OR(O350&lt;Q350,Q350="-"),OR(Q350&lt;S350,Q350="-"),OR(S350&lt;U350,S350="-"),U350&lt;W350,OR(W350&lt;Y350,Y350="-"),OR(Y350&lt;AA350,Y350="-"),OR(AA350&lt;AC350,AA350="-"),AC350&lt;AE350,OR(AE350&lt;AG350,AG350="-"),OR(AG350&lt;AI350,AG350="-"),OR(AI350&lt;AK350,AI350="-"),AK350&lt;AM350,AM350&lt;AO350,AO350&lt;AQ350,AQ350&lt;AS350,AS350&lt;AU350,OR(AU350&lt;AW350,AW350="-"),OR(AW350&lt;AY350,AW350="-"))</f>
        <v>1</v>
      </c>
      <c r="BC350" s="23">
        <f>_xlfn.AGGREGATE(9,6,CH350:CS350)-_xlfn.AGGREGATE(9,6,BV350:CG350)+12</f>
        <v>246</v>
      </c>
      <c r="BD350" s="74" t="s">
        <v>23</v>
      </c>
      <c r="BE350" s="3" t="s">
        <v>1380</v>
      </c>
      <c r="BF350" s="119">
        <v>3.9</v>
      </c>
      <c r="BG350" s="49" t="s">
        <v>1</v>
      </c>
      <c r="BH350" s="49" t="s">
        <v>1</v>
      </c>
      <c r="BJ350" s="75" t="s">
        <v>1293</v>
      </c>
      <c r="BK350" s="57" t="s">
        <v>1293</v>
      </c>
      <c r="BL350" s="57" t="s">
        <v>1293</v>
      </c>
      <c r="BM350" s="57" t="s">
        <v>1293</v>
      </c>
      <c r="BN350" s="57" t="s">
        <v>1293</v>
      </c>
      <c r="BO350" s="57" t="s">
        <v>1293</v>
      </c>
      <c r="BP350" s="57" t="s">
        <v>1293</v>
      </c>
      <c r="BQ350" s="57" t="s">
        <v>1293</v>
      </c>
      <c r="BR350" s="57" t="s">
        <v>1293</v>
      </c>
      <c r="BS350" s="57" t="s">
        <v>1293</v>
      </c>
      <c r="BT350" s="57" t="s">
        <v>1293</v>
      </c>
      <c r="BU350" s="57" t="s">
        <v>1293</v>
      </c>
      <c r="BV350" s="75">
        <f>E350</f>
        <v>196</v>
      </c>
      <c r="BW350" s="71">
        <f>I350</f>
        <v>229</v>
      </c>
      <c r="BX350" s="72">
        <f>M350</f>
        <v>234</v>
      </c>
      <c r="BY350" s="71" t="str">
        <f>Q350</f>
        <v>-</v>
      </c>
      <c r="BZ350" s="72">
        <f>U350</f>
        <v>285</v>
      </c>
      <c r="CA350" s="71" t="str">
        <f>Y350</f>
        <v>-</v>
      </c>
      <c r="CB350" s="72">
        <f>AC350</f>
        <v>329</v>
      </c>
      <c r="CC350" s="71">
        <f>AG350</f>
        <v>363</v>
      </c>
      <c r="CD350" s="72">
        <f>AK350</f>
        <v>369</v>
      </c>
      <c r="CE350" s="71">
        <f>AO350</f>
        <v>416</v>
      </c>
      <c r="CF350" s="72">
        <f>AS350</f>
        <v>487</v>
      </c>
      <c r="CG350" s="71">
        <f>AW350</f>
        <v>511</v>
      </c>
      <c r="CH350" s="75">
        <f>G350</f>
        <v>228</v>
      </c>
      <c r="CI350" s="71">
        <f>K350</f>
        <v>233</v>
      </c>
      <c r="CJ350" s="72">
        <f>O350</f>
        <v>256</v>
      </c>
      <c r="CK350" s="72" t="str">
        <f>S350</f>
        <v>-</v>
      </c>
      <c r="CL350" s="72">
        <f>W350</f>
        <v>317</v>
      </c>
      <c r="CM350" s="72" t="str">
        <f>AA350</f>
        <v>-</v>
      </c>
      <c r="CN350" s="72">
        <f>AE350</f>
        <v>351</v>
      </c>
      <c r="CO350" s="72">
        <f>AI350</f>
        <v>365</v>
      </c>
      <c r="CP350" s="72">
        <f>AM350</f>
        <v>401</v>
      </c>
      <c r="CQ350" s="72">
        <f>AQ350</f>
        <v>472</v>
      </c>
      <c r="CR350" s="72">
        <f>AU350</f>
        <v>510</v>
      </c>
      <c r="CS350" s="72">
        <f>AY350</f>
        <v>520</v>
      </c>
      <c r="CT350" s="23">
        <f>M350-K350</f>
        <v>1</v>
      </c>
    </row>
    <row r="424" spans="52:86" x14ac:dyDescent="0.2">
      <c r="AZ424" s="77"/>
      <c r="BA424" s="28"/>
      <c r="BB424" s="16"/>
      <c r="BD424" s="2"/>
      <c r="BJ424" s="70"/>
      <c r="BV424" s="70"/>
      <c r="CH424" s="70"/>
    </row>
  </sheetData>
  <sortState ref="A2:AMN255">
    <sortCondition ref="AZ2:AZ255"/>
    <sortCondition ref="B2:B255"/>
    <sortCondition ref="C2:C255"/>
  </sortState>
  <customSheetViews>
    <customSheetView guid="{3E3401AF-8459-8641-BD70-AD04F80E86ED}" scale="110">
      <pane xSplit="3" ySplit="1" topLeftCell="D75" activePane="bottomRight" state="frozenSplit"/>
      <selection pane="bottomRight" activeCell="C96" sqref="C96"/>
      <pageMargins left="0.7" right="0.7" top="0.75" bottom="0.75" header="0.3" footer="0.3"/>
      <pageSetup orientation="portrait" horizontalDpi="300" verticalDpi="300" r:id="rId1"/>
    </customSheetView>
  </customSheetViews>
  <conditionalFormatting sqref="BB124 BB69 BB29:BB33 BB36:BB40">
    <cfRule type="cellIs" dxfId="70" priority="10" operator="equal">
      <formula>0</formula>
    </cfRule>
  </conditionalFormatting>
  <conditionalFormatting sqref="BB264:BB265">
    <cfRule type="cellIs" dxfId="69" priority="11" operator="equal">
      <formula>0</formula>
    </cfRule>
  </conditionalFormatting>
  <conditionalFormatting sqref="BB12">
    <cfRule type="cellIs" dxfId="68" priority="12" operator="equal">
      <formula>0</formula>
    </cfRule>
  </conditionalFormatting>
  <conditionalFormatting sqref="BB289">
    <cfRule type="cellIs" dxfId="67" priority="13" operator="equal">
      <formula>0</formula>
    </cfRule>
  </conditionalFormatting>
  <conditionalFormatting sqref="E289 AW289 AU289 AS289 AQ289 AO289 AM289 AK289 AI289 AG289 AE289 AC289 AA289 Y289 W289 U289 S289 Q289 O289 M289 K289 I289 G289">
    <cfRule type="cellIs" dxfId="66" priority="14" operator="equal">
      <formula>"G"</formula>
    </cfRule>
    <cfRule type="cellIs" dxfId="65" priority="15" operator="equal">
      <formula>"P"</formula>
    </cfRule>
  </conditionalFormatting>
  <conditionalFormatting sqref="BB28">
    <cfRule type="cellIs" dxfId="64" priority="16" operator="equal">
      <formula>0</formula>
    </cfRule>
  </conditionalFormatting>
  <conditionalFormatting sqref="BB11">
    <cfRule type="cellIs" dxfId="63" priority="20" operator="equal">
      <formula>0</formula>
    </cfRule>
  </conditionalFormatting>
  <conditionalFormatting sqref="E11 AW11 AU11 AS11 AQ11 AO11 AM11 AK11 AI11 AG11 AE11 AC11 AA11 Y11 W11 U11 S11 Q11 O11 M11 K11 I11 G11">
    <cfRule type="cellIs" dxfId="62" priority="22" operator="equal">
      <formula>"G"</formula>
    </cfRule>
    <cfRule type="cellIs" dxfId="61" priority="23" operator="equal">
      <formula>"P"</formula>
    </cfRule>
  </conditionalFormatting>
  <conditionalFormatting sqref="BB1:BB33 BB36:BB1048576">
    <cfRule type="cellIs" dxfId="60" priority="8" operator="equal">
      <formula>FALSE</formula>
    </cfRule>
  </conditionalFormatting>
  <conditionalFormatting sqref="BG36:BG47 BG27:BG33 BH27:BH47 BG1:BH26 BG48:BH1048576">
    <cfRule type="cellIs" dxfId="59" priority="7" operator="equal">
      <formula>"?"</formula>
    </cfRule>
  </conditionalFormatting>
  <conditionalFormatting sqref="BB34:BB35">
    <cfRule type="cellIs" dxfId="58" priority="6" operator="equal">
      <formula>FALSE</formula>
    </cfRule>
  </conditionalFormatting>
  <conditionalFormatting sqref="BG34:BG35">
    <cfRule type="cellIs" dxfId="57" priority="5" operator="equal">
      <formula>"?"</formula>
    </cfRule>
  </conditionalFormatting>
  <conditionalFormatting sqref="BE2:BE1048576">
    <cfRule type="notContainsText" dxfId="56" priority="2" operator="notContains" text="In">
      <formula>ISERROR(SEARCH("In",BE2))</formula>
    </cfRule>
    <cfRule type="containsText" dxfId="55" priority="3" operator="containsText" text="Inter">
      <formula>NOT(ISERROR(SEARCH("Inter",BE2)))</formula>
    </cfRule>
    <cfRule type="containsText" dxfId="54" priority="4" operator="containsText" text="Inact">
      <formula>NOT(ISERROR(SEARCH("Inact",BE2)))</formula>
    </cfRule>
  </conditionalFormatting>
  <pageMargins left="0.7" right="0.7" top="0.75" bottom="0.75" header="0.3" footer="0.3"/>
  <pageSetup orientation="portrait" horizontalDpi="300" verticalDpi="300" r:id="rId2"/>
  <ignoredErrors>
    <ignoredError sqref="C192" numberStoredAsText="1"/>
  </ignoredError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" operator="containsText" id="{37300FEC-62E5-C949-9D60-F28988328986}">
            <xm:f>NOT(ISERROR(SEARCH("-",BE2)))</xm:f>
            <xm:f>"-"</xm:f>
            <x14:dxf>
              <font>
                <color theme="1"/>
              </font>
              <fill>
                <patternFill patternType="none">
                  <bgColor auto="1"/>
                </patternFill>
              </fill>
            </x14:dxf>
          </x14:cfRule>
          <xm:sqref>BE2:BE424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L160"/>
  <sheetViews>
    <sheetView workbookViewId="0">
      <pane ySplit="1" topLeftCell="A44" activePane="bottomLeft" state="frozenSplit"/>
      <selection pane="bottomLeft" activeCell="B69" sqref="B69"/>
    </sheetView>
  </sheetViews>
  <sheetFormatPr baseColWidth="10" defaultColWidth="10.83203125" defaultRowHeight="16" x14ac:dyDescent="0.2"/>
  <cols>
    <col min="1" max="1" width="16.83203125" style="2" bestFit="1" customWidth="1"/>
    <col min="2" max="2" width="13.33203125" style="2" bestFit="1" customWidth="1"/>
    <col min="3" max="18" width="4.1640625" style="4" bestFit="1" customWidth="1"/>
    <col min="19" max="19" width="4.6640625" style="4" bestFit="1" customWidth="1"/>
    <col min="20" max="20" width="4.1640625" style="4" bestFit="1" customWidth="1"/>
    <col min="21" max="26" width="4.6640625" style="4" bestFit="1" customWidth="1"/>
    <col min="27" max="27" width="2.6640625" style="50" bestFit="1" customWidth="1"/>
    <col min="28" max="28" width="5" style="97" customWidth="1"/>
    <col min="29" max="30" width="5.6640625" style="50" bestFit="1" customWidth="1"/>
    <col min="31" max="33" width="6" style="50" customWidth="1"/>
    <col min="34" max="35" width="4.6640625" style="50" customWidth="1"/>
    <col min="36" max="36" width="9.83203125" style="50" customWidth="1"/>
    <col min="37" max="38" width="5.5" style="50" customWidth="1"/>
    <col min="39" max="39" width="5.33203125" style="4" customWidth="1"/>
    <col min="40" max="40" width="6" style="39" bestFit="1" customWidth="1"/>
    <col min="41" max="41" width="5" style="4" bestFit="1" customWidth="1"/>
    <col min="42" max="43" width="3.6640625" style="4" customWidth="1"/>
    <col min="44" max="45" width="3.1640625" style="4" customWidth="1"/>
    <col min="46" max="47" width="4.1640625" style="4" customWidth="1"/>
    <col min="48" max="48" width="6" style="4" customWidth="1"/>
    <col min="49" max="49" width="4.33203125" style="4" customWidth="1"/>
    <col min="50" max="51" width="3.6640625" style="4" customWidth="1"/>
    <col min="52" max="53" width="3.1640625" style="4" customWidth="1"/>
    <col min="54" max="55" width="4.1640625" style="4" customWidth="1"/>
    <col min="56" max="63" width="3.1640625" style="4" customWidth="1"/>
    <col min="64" max="64" width="3.33203125" style="4" customWidth="1"/>
    <col min="65" max="16384" width="10.83203125" style="4"/>
  </cols>
  <sheetData>
    <row r="1" spans="1:64" x14ac:dyDescent="0.2">
      <c r="A1" s="30" t="s">
        <v>1077</v>
      </c>
      <c r="B1" s="30" t="s">
        <v>31</v>
      </c>
      <c r="C1" s="30" t="s">
        <v>1061</v>
      </c>
      <c r="D1" s="30" t="s">
        <v>1062</v>
      </c>
      <c r="E1" s="30" t="s">
        <v>1078</v>
      </c>
      <c r="F1" s="30" t="s">
        <v>1079</v>
      </c>
      <c r="G1" s="30" t="s">
        <v>1063</v>
      </c>
      <c r="H1" s="30" t="s">
        <v>1064</v>
      </c>
      <c r="I1" s="30" t="s">
        <v>1080</v>
      </c>
      <c r="J1" s="30" t="s">
        <v>1081</v>
      </c>
      <c r="K1" s="30" t="s">
        <v>1065</v>
      </c>
      <c r="L1" s="30" t="s">
        <v>1066</v>
      </c>
      <c r="M1" s="30" t="s">
        <v>1093</v>
      </c>
      <c r="N1" s="30" t="s">
        <v>1094</v>
      </c>
      <c r="O1" s="30" t="s">
        <v>1067</v>
      </c>
      <c r="P1" s="30" t="s">
        <v>1068</v>
      </c>
      <c r="Q1" s="30" t="s">
        <v>1096</v>
      </c>
      <c r="R1" s="30" t="s">
        <v>1097</v>
      </c>
      <c r="S1" s="30" t="s">
        <v>1069</v>
      </c>
      <c r="T1" s="30" t="s">
        <v>1070</v>
      </c>
      <c r="U1" s="30" t="s">
        <v>1071</v>
      </c>
      <c r="V1" s="30" t="s">
        <v>1072</v>
      </c>
      <c r="W1" s="30" t="s">
        <v>1073</v>
      </c>
      <c r="X1" s="30" t="s">
        <v>1074</v>
      </c>
      <c r="Y1" s="30" t="s">
        <v>1075</v>
      </c>
      <c r="Z1" s="30" t="s">
        <v>1076</v>
      </c>
      <c r="AA1" s="30" t="s">
        <v>99</v>
      </c>
      <c r="AB1" s="95" t="s">
        <v>1386</v>
      </c>
      <c r="AC1" s="30" t="s">
        <v>1295</v>
      </c>
      <c r="AD1" s="30" t="s">
        <v>1294</v>
      </c>
      <c r="AE1" s="30" t="s">
        <v>1288</v>
      </c>
      <c r="AF1" s="30" t="s">
        <v>1231</v>
      </c>
      <c r="AG1" s="30" t="s">
        <v>1289</v>
      </c>
      <c r="AH1" s="30" t="s">
        <v>1242</v>
      </c>
      <c r="AI1" s="30" t="s">
        <v>1291</v>
      </c>
      <c r="AJ1" s="30" t="s">
        <v>1281</v>
      </c>
      <c r="AK1" s="30" t="s">
        <v>1290</v>
      </c>
      <c r="AL1" s="30" t="s">
        <v>1296</v>
      </c>
      <c r="AM1" s="30" t="s">
        <v>1240</v>
      </c>
      <c r="AN1" s="38"/>
      <c r="AO1" s="30"/>
      <c r="AP1" s="30"/>
      <c r="AQ1" s="30"/>
      <c r="AR1" s="30"/>
      <c r="AS1" s="30"/>
      <c r="AT1" s="30"/>
      <c r="AU1" s="30"/>
      <c r="AV1" s="30"/>
      <c r="AW1" s="30"/>
      <c r="AX1" s="30"/>
      <c r="AY1" s="30"/>
      <c r="AZ1" s="30"/>
      <c r="BA1" s="30"/>
      <c r="BB1" s="30"/>
      <c r="BC1" s="30"/>
      <c r="BD1" s="30"/>
      <c r="BE1" s="30"/>
      <c r="BF1" s="30"/>
      <c r="BG1" s="30"/>
      <c r="BH1" s="30"/>
      <c r="BI1" s="30"/>
      <c r="BJ1" s="30"/>
      <c r="BK1" s="30"/>
    </row>
    <row r="2" spans="1:64" s="49" customFormat="1" x14ac:dyDescent="0.2">
      <c r="A2" s="2" t="s">
        <v>1373</v>
      </c>
      <c r="B2" s="2" t="s">
        <v>177</v>
      </c>
      <c r="C2" s="2">
        <f>IFERROR(50+VLOOKUP($A2,'SegEnds_Xtal_Prot#'!$A:$AY,5,FALSE)-VLOOKUP($B2,'SegEnds_NonXtal_Prot#'!$A:$AL,4,FALSE),"-")</f>
        <v>27</v>
      </c>
      <c r="D2" s="2">
        <f>IFERROR(50+VLOOKUP($A2,'SegEnds_Xtal_Prot#'!$A:$AY,7,FALSE)-VLOOKUP($B2,'SegEnds_NonXtal_Prot#'!$A:$AL,4,FALSE),"-")</f>
        <v>60</v>
      </c>
      <c r="E2" s="2">
        <f>IFERROR(50+VLOOKUP($A2,'SegEnds_Xtal_Prot#'!$A:$AY,9,FALSE)-VLOOKUP($B2,'SegEnds_NonXtal_Prot#'!$A:$AL,7,FALSE),"-")</f>
        <v>48</v>
      </c>
      <c r="F2" s="2">
        <f>IFERROR(50+VLOOKUP($A2,'SegEnds_Xtal_Prot#'!$A:$AY,11,FALSE)-VLOOKUP($B2,'SegEnds_NonXtal_Prot#'!$A:$AL,7,FALSE),"-")</f>
        <v>51</v>
      </c>
      <c r="G2" s="2">
        <f>IFERROR(50+VLOOKUP($A2,'SegEnds_Xtal_Prot#'!$A:$AY,13,FALSE)-VLOOKUP($B2,'SegEnds_NonXtal_Prot#'!$A:$AL,10,FALSE),"-")</f>
        <v>37</v>
      </c>
      <c r="H2" s="2">
        <f>IFERROR(50+VLOOKUP($A2,'SegEnds_Xtal_Prot#'!$A:$AY,15,FALSE)-VLOOKUP($B2,'SegEnds_NonXtal_Prot#'!$A:$AL,10,FALSE),"-")</f>
        <v>66</v>
      </c>
      <c r="I2" s="2">
        <f>IFERROR(50+VLOOKUP($A2,'SegEnds_Xtal_Prot#'!$A:$AY,17,FALSE)-VLOOKUP($B2,'SegEnds_NonXtal_Prot#'!$A:$AL,13,FALSE),"-")</f>
        <v>49</v>
      </c>
      <c r="J2" s="2">
        <f>IFERROR(50+VLOOKUP($A2,'SegEnds_Xtal_Prot#'!$A:$AY,19,FALSE)-VLOOKUP($B2,'SegEnds_NonXtal_Prot#'!$A:$AL,13,FALSE),"-")</f>
        <v>52</v>
      </c>
      <c r="K2" s="2">
        <f>IFERROR(50+VLOOKUP($A2,'SegEnds_Xtal_Prot#'!$A:$AY,21,FALSE)-VLOOKUP($B2,'SegEnds_NonXtal_Prot#'!$A:$AL,16,FALSE),"-")</f>
        <v>21</v>
      </c>
      <c r="L2" s="2">
        <f>IFERROR(50+VLOOKUP($A2,'SegEnds_Xtal_Prot#'!$A:$AY,23,FALSE)-VLOOKUP($B2,'SegEnds_NonXtal_Prot#'!$A:$AL,16,FALSE),"-")</f>
        <v>56</v>
      </c>
      <c r="M2" s="2">
        <f>IFERROR(50+VLOOKUP($A2,'SegEnds_Xtal_Prot#'!$A:$AY,25,FALSE)-VLOOKUP($B2,'SegEnds_NonXtal_Prot#'!$A:$AL,19,FALSE),"-")</f>
        <v>50</v>
      </c>
      <c r="N2" s="2">
        <f>IFERROR(50+VLOOKUP($A2,'SegEnds_Xtal_Prot#'!$A:$AY,27,FALSE)-VLOOKUP($B2,'SegEnds_NonXtal_Prot#'!$A:$AL,19,FALSE),"-")</f>
        <v>56</v>
      </c>
      <c r="O2" s="2">
        <f>IFERROR(50+VLOOKUP($A2,'SegEnds_Xtal_Prot#'!$A:$AY,29,FALSE)-VLOOKUP($B2,'SegEnds_NonXtal_Prot#'!$A:$AL,22,FALSE),"-")</f>
        <v>35</v>
      </c>
      <c r="P2" s="2">
        <f>IFERROR(50+VLOOKUP($A2,'SegEnds_Xtal_Prot#'!$A:$AY,31,FALSE)-VLOOKUP($B2,'SegEnds_NonXtal_Prot#'!$A:$AL,22,FALSE),"-")</f>
        <v>64</v>
      </c>
      <c r="Q2" s="2">
        <f>IFERROR(50+VLOOKUP($A2,'SegEnds_Xtal_Prot#'!$A:$AY,33,FALSE)-VLOOKUP($B2,'SegEnds_NonXtal_Prot#'!$A:$AL,25,FALSE),"-")</f>
        <v>50</v>
      </c>
      <c r="R2" s="2">
        <f>IFERROR(50+VLOOKUP($A2,'SegEnds_Xtal_Prot#'!$A:$AY,35,FALSE)-VLOOKUP($B2,'SegEnds_NonXtal_Prot#'!$A:$AL,25,FALSE),"-")</f>
        <v>52</v>
      </c>
      <c r="S2" s="2">
        <f>IFERROR(50+VLOOKUP($A2,'SegEnds_Xtal_Prot#'!$A:$AY,37,FALSE)-VLOOKUP($B2,'SegEnds_NonXtal_Prot#'!$A:$AL,28,FALSE),"-")</f>
        <v>33</v>
      </c>
      <c r="T2" s="2">
        <f>IFERROR(50+VLOOKUP($A2,'SegEnds_Xtal_Prot#'!$A:$AY,39,FALSE)-VLOOKUP($B2,'SegEnds_NonXtal_Prot#'!$A:$AL,28,FALSE),"-")</f>
        <v>68</v>
      </c>
      <c r="U2" s="2">
        <f>IFERROR(50+VLOOKUP($A2,'SegEnds_Xtal_Prot#'!$A:$AY,41,FALSE)-VLOOKUP($B2,'SegEnds_NonXtal_Prot#'!$A:$AL,31,FALSE),"-")</f>
        <v>28</v>
      </c>
      <c r="V2" s="2">
        <f>IFERROR(50+VLOOKUP($A2,'SegEnds_Xtal_Prot#'!$A:$AY,43,FALSE)-VLOOKUP($B2,'SegEnds_NonXtal_Prot#'!$A:$AL,31,FALSE),"-")</f>
        <v>65</v>
      </c>
      <c r="W2" s="2">
        <f>IFERROR(50+VLOOKUP($A2,'SegEnds_Xtal_Prot#'!$A:$AY,45,FALSE)-VLOOKUP($B2,'SegEnds_NonXtal_Prot#'!$A:$AL,34,FALSE),"-")</f>
        <v>24</v>
      </c>
      <c r="X2" s="2">
        <f>IFERROR(50+VLOOKUP($A2,'SegEnds_Xtal_Prot#'!$A:$AY,47,FALSE)-VLOOKUP($B2,'SegEnds_NonXtal_Prot#'!$A:$AL,34,FALSE),"-")</f>
        <v>56</v>
      </c>
      <c r="Y2" s="2">
        <f>IFERROR(50+VLOOKUP($A2,'SegEnds_Xtal_Prot#'!$A:$AY,49,FALSE)-VLOOKUP($B2,'SegEnds_NonXtal_Prot#'!$A:$AL,37,FALSE),"-")</f>
        <v>47</v>
      </c>
      <c r="Z2" s="2">
        <f>IFERROR(50+VLOOKUP($A2,'SegEnds_Xtal_Prot#'!$A:$AY,51,FALSE)-VLOOKUP($B2,'SegEnds_NonXtal_Prot#'!$A:$AL,37,FALSE),"-")</f>
        <v>67</v>
      </c>
      <c r="AA2" s="49" t="str">
        <f>VLOOKUP(B2,Classification!A:D,2,FALSE)</f>
        <v>A</v>
      </c>
      <c r="AB2" s="94" t="str">
        <f>VLOOKUP(B2,Classification!A:D,4,0)</f>
        <v>Chemokine</v>
      </c>
      <c r="AC2" s="49">
        <f>VLOOKUP(B2,'SegEnds_NonXtal_Prot#'!A:AL,6,FALSE)-VLOOKUP(B2,'SegEnds_NonXtal_Prot#'!A:AL,5,FALSE)</f>
        <v>1</v>
      </c>
      <c r="AD2" s="49">
        <f>VLOOKUP(B2,'SegEnds_NonXtal_Prot#'!A:AL,9,FALSE)-VLOOKUP(B2,'SegEnds_NonXtal_Prot#'!A:AL,8,FALSE)</f>
        <v>1</v>
      </c>
      <c r="AE2" s="49">
        <f>VLOOKUP(B2,'SegEnds_NonXtal_Prot#'!A:AL,13,FALSE)-VLOOKUP(B2,'SegEnds_NonXtal_Prot#'!A:AL,10,FALSE)</f>
        <v>18</v>
      </c>
      <c r="AF2" s="49">
        <f>VLOOKUP(B2,'SegEnds_NonXtal_Prot#'!A:AL,12,FALSE)-VLOOKUP(B2,'SegEnds_NonXtal_Prot#'!A:AL,11,FALSE)</f>
        <v>1</v>
      </c>
      <c r="AG2" s="49">
        <f>VLOOKUP(B2,'SegEnds_NonXtal_Prot#'!A:AL,13,FALSE)-VLOOKUP(B2,'SegEnds_NonXtal_Prot#'!A:AL,11,FALSE)</f>
        <v>2</v>
      </c>
      <c r="AH2" s="49">
        <f>VLOOKUP(B2,'SegEnds_NonXtal_Prot#'!A:AL,16,FALSE)-VLOOKUP(B2,'SegEnds_NonXtal_Prot#'!A:AL,10,FALSE)</f>
        <v>50</v>
      </c>
      <c r="AI2" s="49">
        <f>VLOOKUP(B2,'SegEnds_NonXtal_Prot#'!A:AL,16,FALSE)-VLOOKUP(B2,'SegEnds_NonXtal_Prot#'!A:AL,11,FALSE)</f>
        <v>34</v>
      </c>
      <c r="AJ2" s="49">
        <f>VLOOKUP(B2,'SegEnds_NonXtal_Prot#'!A:AL,22,FALSE)-VLOOKUP(B2,'SegEnds_NonXtal_Prot#'!A:AL,19,FALSE)</f>
        <v>22</v>
      </c>
      <c r="AK2" s="49">
        <f>VLOOKUP(B2,'SegEnds_NonXtal_Prot#'!A:AL,15,FALSE)-VLOOKUP(B2,'SegEnds_NonXtal_Prot#'!A:AL,14,FALSE)</f>
        <v>1</v>
      </c>
      <c r="AL2" s="49">
        <f>VLOOKUP(B2,'SegEnds_NonXtal_Prot#'!A:AL,18,FALSE)-VLOOKUP(B2,'SegEnds_NonXtal_Prot#'!A:AL,17,FALSE)</f>
        <v>1</v>
      </c>
      <c r="AM2" s="2">
        <f>VLOOKUP(B2,'SegEnds_NonXtal_Prot#'!A:AL,34,FALSE)-VLOOKUP(B2,'SegEnds_NonXtal_Prot#'!A:AL,31,FALSE)</f>
        <v>45</v>
      </c>
      <c r="AN2" s="37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</row>
    <row r="3" spans="1:64" s="2" customFormat="1" x14ac:dyDescent="0.2">
      <c r="A3" s="2" t="s">
        <v>1385</v>
      </c>
      <c r="B3" s="2" t="s">
        <v>170</v>
      </c>
      <c r="C3" s="2">
        <f>IFERROR(50+VLOOKUP($A3,'SegEnds_Xtal_Prot#'!$A:$AY,5,FALSE)-VLOOKUP($B3,'SegEnds_NonXtal_Prot#'!$A:$AL,4,FALSE),"-")</f>
        <v>27</v>
      </c>
      <c r="D3" s="2">
        <f>IFERROR(50+VLOOKUP($A3,'SegEnds_Xtal_Prot#'!$A:$AY,7,FALSE)-VLOOKUP($B3,'SegEnds_NonXtal_Prot#'!$A:$AL,4,FALSE),"-")</f>
        <v>60</v>
      </c>
      <c r="E3" s="2">
        <f>IFERROR(50+VLOOKUP($A3,'SegEnds_Xtal_Prot#'!$A:$AY,9,FALSE)-VLOOKUP($B3,'SegEnds_NonXtal_Prot#'!$A:$AL,7,FALSE),"-")</f>
        <v>48</v>
      </c>
      <c r="F3" s="2">
        <f>IFERROR(50+VLOOKUP($A3,'SegEnds_Xtal_Prot#'!$A:$AY,11,FALSE)-VLOOKUP($B3,'SegEnds_NonXtal_Prot#'!$A:$AL,7,FALSE),"-")</f>
        <v>51</v>
      </c>
      <c r="G3" s="2">
        <f>IFERROR(50+VLOOKUP($A3,'SegEnds_Xtal_Prot#'!$A:$AY,13,FALSE)-VLOOKUP($B3,'SegEnds_NonXtal_Prot#'!$A:$AL,10,FALSE),"-")</f>
        <v>37</v>
      </c>
      <c r="H3" s="2">
        <f>IFERROR(50+VLOOKUP($A3,'SegEnds_Xtal_Prot#'!$A:$AY,15,FALSE)-VLOOKUP($B3,'SegEnds_NonXtal_Prot#'!$A:$AL,10,FALSE),"-")</f>
        <v>66</v>
      </c>
      <c r="I3" s="2">
        <f>IFERROR(50+VLOOKUP($A3,'SegEnds_Xtal_Prot#'!$A:$AY,17,FALSE)-VLOOKUP($B3,'SegEnds_NonXtal_Prot#'!$A:$AL,13,FALSE),"-")</f>
        <v>49</v>
      </c>
      <c r="J3" s="2">
        <f>IFERROR(50+VLOOKUP($A3,'SegEnds_Xtal_Prot#'!$A:$AY,19,FALSE)-VLOOKUP($B3,'SegEnds_NonXtal_Prot#'!$A:$AL,13,FALSE),"-")</f>
        <v>52</v>
      </c>
      <c r="K3" s="2">
        <f>IFERROR(50+VLOOKUP($A3,'SegEnds_Xtal_Prot#'!$A:$AY,21,FALSE)-VLOOKUP($B3,'SegEnds_NonXtal_Prot#'!$A:$AL,16,FALSE),"-")</f>
        <v>21</v>
      </c>
      <c r="L3" s="2">
        <f>IFERROR(50+VLOOKUP($A3,'SegEnds_Xtal_Prot#'!$A:$AY,23,FALSE)-VLOOKUP($B3,'SegEnds_NonXtal_Prot#'!$A:$AL,16,FALSE),"-")</f>
        <v>56</v>
      </c>
      <c r="M3" s="2">
        <f>IFERROR(50+VLOOKUP($A3,'SegEnds_Xtal_Prot#'!$A:$AY,25,FALSE)-VLOOKUP($B3,'SegEnds_NonXtal_Prot#'!$A:$AL,19,FALSE),"-")</f>
        <v>50</v>
      </c>
      <c r="N3" s="2">
        <f>IFERROR(50+VLOOKUP($A3,'SegEnds_Xtal_Prot#'!$A:$AY,27,FALSE)-VLOOKUP($B3,'SegEnds_NonXtal_Prot#'!$A:$AL,19,FALSE),"-")</f>
        <v>57</v>
      </c>
      <c r="O3" s="2">
        <f>IFERROR(50+VLOOKUP($A3,'SegEnds_Xtal_Prot#'!$A:$AY,29,FALSE)-VLOOKUP($B3,'SegEnds_NonXtal_Prot#'!$A:$AL,22,FALSE),"-")</f>
        <v>38</v>
      </c>
      <c r="P3" s="2">
        <f>IFERROR(50+VLOOKUP($A3,'SegEnds_Xtal_Prot#'!$A:$AY,31,FALSE)-VLOOKUP($B3,'SegEnds_NonXtal_Prot#'!$A:$AL,22,FALSE),"-")</f>
        <v>64</v>
      </c>
      <c r="Q3" s="2">
        <f>IFERROR(50+VLOOKUP($A3,'SegEnds_Xtal_Prot#'!$A:$AY,33,FALSE)-VLOOKUP($B3,'SegEnds_NonXtal_Prot#'!$A:$AL,25,FALSE),"-")</f>
        <v>50</v>
      </c>
      <c r="R3" s="2">
        <f>IFERROR(50+VLOOKUP($A3,'SegEnds_Xtal_Prot#'!$A:$AY,35,FALSE)-VLOOKUP($B3,'SegEnds_NonXtal_Prot#'!$A:$AL,25,FALSE),"-")</f>
        <v>52</v>
      </c>
      <c r="S3" s="2">
        <f>IFERROR(50+VLOOKUP($A3,'SegEnds_Xtal_Prot#'!$A:$AY,37,FALSE)-VLOOKUP($B3,'SegEnds_NonXtal_Prot#'!$A:$AL,28,FALSE),"-")</f>
        <v>31</v>
      </c>
      <c r="T3" s="2">
        <f>IFERROR(50+VLOOKUP($A3,'SegEnds_Xtal_Prot#'!$A:$AY,39,FALSE)-VLOOKUP($B3,'SegEnds_NonXtal_Prot#'!$A:$AL,28,FALSE),"-")</f>
        <v>68</v>
      </c>
      <c r="U3" s="2">
        <f>IFERROR(50+VLOOKUP($A3,'SegEnds_Xtal_Prot#'!$A:$AY,41,FALSE)-VLOOKUP($B3,'SegEnds_NonXtal_Prot#'!$A:$AL,31,FALSE),"-")</f>
        <v>28</v>
      </c>
      <c r="V3" s="2">
        <f>IFERROR(50+VLOOKUP($A3,'SegEnds_Xtal_Prot#'!$A:$AY,43,FALSE)-VLOOKUP($B3,'SegEnds_NonXtal_Prot#'!$A:$AL,31,FALSE),"-")</f>
        <v>65</v>
      </c>
      <c r="W3" s="2">
        <f>IFERROR(50+VLOOKUP($A3,'SegEnds_Xtal_Prot#'!$A:$AY,45,FALSE)-VLOOKUP($B3,'SegEnds_NonXtal_Prot#'!$A:$AL,34,FALSE),"-")</f>
        <v>26</v>
      </c>
      <c r="X3" s="2">
        <f>IFERROR(50+VLOOKUP($A3,'SegEnds_Xtal_Prot#'!$A:$AY,47,FALSE)-VLOOKUP($B3,'SegEnds_NonXtal_Prot#'!$A:$AL,34,FALSE),"-")</f>
        <v>56</v>
      </c>
      <c r="Y3" s="2">
        <f>IFERROR(50+VLOOKUP($A3,'SegEnds_Xtal_Prot#'!$A:$AY,49,FALSE)-VLOOKUP($B3,'SegEnds_NonXtal_Prot#'!$A:$AL,37,FALSE),"-")</f>
        <v>47</v>
      </c>
      <c r="Z3" s="2">
        <f>IFERROR(50+VLOOKUP($A3,'SegEnds_Xtal_Prot#'!$A:$AY,51,FALSE)-VLOOKUP($B3,'SegEnds_NonXtal_Prot#'!$A:$AL,37,FALSE),"-")</f>
        <v>58</v>
      </c>
      <c r="AA3" s="49" t="str">
        <f>VLOOKUP(B3,Classification!A:D,2,FALSE)</f>
        <v>A</v>
      </c>
      <c r="AB3" s="94" t="str">
        <f>VLOOKUP(B3,Classification!A:D,4,0)</f>
        <v>Chemokine</v>
      </c>
      <c r="AC3" s="49">
        <f>VLOOKUP(B3,'SegEnds_NonXtal_Prot#'!A:AL,6,FALSE)-VLOOKUP(B3,'SegEnds_NonXtal_Prot#'!A:AL,5,FALSE)</f>
        <v>1</v>
      </c>
      <c r="AD3" s="49">
        <f>VLOOKUP(B3,'SegEnds_NonXtal_Prot#'!A:AL,9,FALSE)-VLOOKUP(B3,'SegEnds_NonXtal_Prot#'!A:AL,8,FALSE)</f>
        <v>1</v>
      </c>
      <c r="AE3" s="49">
        <f>VLOOKUP(B3,'SegEnds_NonXtal_Prot#'!A:AL,13,FALSE)-VLOOKUP(B3,'SegEnds_NonXtal_Prot#'!A:AL,10,FALSE)</f>
        <v>18</v>
      </c>
      <c r="AF3" s="49">
        <f>VLOOKUP(B3,'SegEnds_NonXtal_Prot#'!A:AL,12,FALSE)-VLOOKUP(B3,'SegEnds_NonXtal_Prot#'!A:AL,11,FALSE)</f>
        <v>1</v>
      </c>
      <c r="AG3" s="49">
        <f>VLOOKUP(B3,'SegEnds_NonXtal_Prot#'!A:AL,13,FALSE)-VLOOKUP(B3,'SegEnds_NonXtal_Prot#'!A:AL,11,FALSE)</f>
        <v>2</v>
      </c>
      <c r="AH3" s="49">
        <f>VLOOKUP(B3,'SegEnds_NonXtal_Prot#'!A:AL,16,FALSE)-VLOOKUP(B3,'SegEnds_NonXtal_Prot#'!A:AL,10,FALSE)</f>
        <v>50</v>
      </c>
      <c r="AI3" s="49">
        <f>VLOOKUP(B3,'SegEnds_NonXtal_Prot#'!A:AL,16,FALSE)-VLOOKUP(B3,'SegEnds_NonXtal_Prot#'!A:AL,11,FALSE)</f>
        <v>34</v>
      </c>
      <c r="AJ3" s="49">
        <f>VLOOKUP(B3,'SegEnds_NonXtal_Prot#'!A:AL,22,FALSE)-VLOOKUP(B3,'SegEnds_NonXtal_Prot#'!A:AL,19,FALSE)</f>
        <v>20</v>
      </c>
      <c r="AK3" s="49">
        <f>VLOOKUP(B3,'SegEnds_NonXtal_Prot#'!A:AL,15,FALSE)-VLOOKUP(B3,'SegEnds_NonXtal_Prot#'!A:AL,14,FALSE)</f>
        <v>1</v>
      </c>
      <c r="AL3" s="49">
        <f>VLOOKUP(B3,'SegEnds_NonXtal_Prot#'!A:AL,18,FALSE)-VLOOKUP(B3,'SegEnds_NonXtal_Prot#'!A:AL,17,FALSE)</f>
        <v>1</v>
      </c>
      <c r="AM3" s="2">
        <f>VLOOKUP(B3,'SegEnds_NonXtal_Prot#'!A:AL,34,FALSE)-VLOOKUP(B3,'SegEnds_NonXtal_Prot#'!A:AL,31,FALSE)</f>
        <v>44</v>
      </c>
      <c r="AN3" s="37"/>
    </row>
    <row r="4" spans="1:64" s="2" customFormat="1" x14ac:dyDescent="0.2">
      <c r="A4" s="2" t="s">
        <v>1476</v>
      </c>
      <c r="B4" s="2" t="s">
        <v>191</v>
      </c>
      <c r="C4" s="2">
        <f>IFERROR(50+VLOOKUP($A4,'SegEnds_Xtal_Prot#'!$A:$AY,5,FALSE)-VLOOKUP($B4,'SegEnds_NonXtal_Prot#'!$A:$AL,4,FALSE),"-")</f>
        <v>29</v>
      </c>
      <c r="D4" s="2">
        <f>IFERROR(50+VLOOKUP($A4,'SegEnds_Xtal_Prot#'!$A:$AY,7,FALSE)-VLOOKUP($B4,'SegEnds_NonXtal_Prot#'!$A:$AL,4,FALSE),"-")</f>
        <v>60</v>
      </c>
      <c r="E4" s="2">
        <f>IFERROR(50+VLOOKUP($A4,'SegEnds_Xtal_Prot#'!$A:$AY,9,FALSE)-VLOOKUP($B4,'SegEnds_NonXtal_Prot#'!$A:$AL,7,FALSE),"-")</f>
        <v>48</v>
      </c>
      <c r="F4" s="2">
        <f>IFERROR(50+VLOOKUP($A4,'SegEnds_Xtal_Prot#'!$A:$AY,11,FALSE)-VLOOKUP($B4,'SegEnds_NonXtal_Prot#'!$A:$AL,7,FALSE),"-")</f>
        <v>51</v>
      </c>
      <c r="G4" s="2">
        <f>IFERROR(50+VLOOKUP($A4,'SegEnds_Xtal_Prot#'!$A:$AY,13,FALSE)-VLOOKUP($B4,'SegEnds_NonXtal_Prot#'!$A:$AL,10,FALSE),"-")</f>
        <v>37</v>
      </c>
      <c r="H4" s="2">
        <f>IFERROR(50+VLOOKUP($A4,'SegEnds_Xtal_Prot#'!$A:$AY,15,FALSE)-VLOOKUP($B4,'SegEnds_NonXtal_Prot#'!$A:$AL,10,FALSE),"-")</f>
        <v>68</v>
      </c>
      <c r="I4" s="2">
        <f>IFERROR(50+VLOOKUP($A4,'SegEnds_Xtal_Prot#'!$A:$AY,17,FALSE)-VLOOKUP($B4,'SegEnds_NonXtal_Prot#'!$A:$AL,13,FALSE),"-")</f>
        <v>49</v>
      </c>
      <c r="J4" s="2">
        <f>IFERROR(50+VLOOKUP($A4,'SegEnds_Xtal_Prot#'!$A:$AY,19,FALSE)-VLOOKUP($B4,'SegEnds_NonXtal_Prot#'!$A:$AL,13,FALSE),"-")</f>
        <v>52</v>
      </c>
      <c r="K4" s="2">
        <f>IFERROR(50+VLOOKUP($A4,'SegEnds_Xtal_Prot#'!$A:$AY,21,FALSE)-VLOOKUP($B4,'SegEnds_NonXtal_Prot#'!$A:$AL,16,FALSE),"-")</f>
        <v>21</v>
      </c>
      <c r="L4" s="2">
        <f>IFERROR(50+VLOOKUP($A4,'SegEnds_Xtal_Prot#'!$A:$AY,23,FALSE)-VLOOKUP($B4,'SegEnds_NonXtal_Prot#'!$A:$AL,16,FALSE),"-")</f>
        <v>56</v>
      </c>
      <c r="M4" s="2">
        <f>IFERROR(50+VLOOKUP($A4,'SegEnds_Xtal_Prot#'!$A:$AY,25,FALSE)-VLOOKUP($B4,'SegEnds_NonXtal_Prot#'!$A:$AL,19,FALSE),"-")</f>
        <v>50</v>
      </c>
      <c r="N4" s="2">
        <f>IFERROR(50+VLOOKUP($A4,'SegEnds_Xtal_Prot#'!$A:$AY,27,FALSE)-VLOOKUP($B4,'SegEnds_NonXtal_Prot#'!$A:$AL,19,FALSE),"-")</f>
        <v>58</v>
      </c>
      <c r="O4" s="2">
        <f>IFERROR(50+VLOOKUP($A4,'SegEnds_Xtal_Prot#'!$A:$AY,29,FALSE)-VLOOKUP($B4,'SegEnds_NonXtal_Prot#'!$A:$AL,22,FALSE),"-")</f>
        <v>38</v>
      </c>
      <c r="P4" s="2">
        <f>IFERROR(50+VLOOKUP($A4,'SegEnds_Xtal_Prot#'!$A:$AY,31,FALSE)-VLOOKUP($B4,'SegEnds_NonXtal_Prot#'!$A:$AL,22,FALSE),"-")</f>
        <v>62</v>
      </c>
      <c r="Q4" s="2">
        <f>IFERROR(50+VLOOKUP($A4,'SegEnds_Xtal_Prot#'!$A:$AY,33,FALSE)-VLOOKUP($B4,'SegEnds_NonXtal_Prot#'!$A:$AL,25,FALSE),"-")</f>
        <v>50</v>
      </c>
      <c r="R4" s="2">
        <f>IFERROR(50+VLOOKUP($A4,'SegEnds_Xtal_Prot#'!$A:$AY,35,FALSE)-VLOOKUP($B4,'SegEnds_NonXtal_Prot#'!$A:$AL,25,FALSE),"-")</f>
        <v>52</v>
      </c>
      <c r="S4" s="2">
        <f>IFERROR(50+VLOOKUP($A4,'SegEnds_Xtal_Prot#'!$A:$AY,37,FALSE)-VLOOKUP($B4,'SegEnds_NonXtal_Prot#'!$A:$AL,28,FALSE),"-")</f>
        <v>35</v>
      </c>
      <c r="T4" s="2">
        <f>IFERROR(50+VLOOKUP($A4,'SegEnds_Xtal_Prot#'!$A:$AY,39,FALSE)-VLOOKUP($B4,'SegEnds_NonXtal_Prot#'!$A:$AL,28,FALSE),"-")</f>
        <v>75</v>
      </c>
      <c r="U4" s="2">
        <f>IFERROR(50+VLOOKUP($A4,'SegEnds_Xtal_Prot#'!$A:$AY,41,FALSE)-VLOOKUP($B4,'SegEnds_NonXtal_Prot#'!$A:$AL,31,FALSE),"-")</f>
        <v>24</v>
      </c>
      <c r="V4" s="2">
        <f>IFERROR(50+VLOOKUP($A4,'SegEnds_Xtal_Prot#'!$A:$AY,43,FALSE)-VLOOKUP($B4,'SegEnds_NonXtal_Prot#'!$A:$AL,31,FALSE),"-")</f>
        <v>61</v>
      </c>
      <c r="W4" s="2">
        <f>IFERROR(50+VLOOKUP($A4,'SegEnds_Xtal_Prot#'!$A:$AY,45,FALSE)-VLOOKUP($B4,'SegEnds_NonXtal_Prot#'!$A:$AL,34,FALSE),"-")</f>
        <v>31</v>
      </c>
      <c r="X4" s="2">
        <f>IFERROR(50+VLOOKUP($A4,'SegEnds_Xtal_Prot#'!$A:$AY,47,FALSE)-VLOOKUP($B4,'SegEnds_NonXtal_Prot#'!$A:$AL,34,FALSE),"-")</f>
        <v>56</v>
      </c>
      <c r="Y4" s="2">
        <f>IFERROR(50+VLOOKUP($A4,'SegEnds_Xtal_Prot#'!$A:$AY,49,FALSE)-VLOOKUP($B4,'SegEnds_NonXtal_Prot#'!$A:$AL,37,FALSE),"-")</f>
        <v>47</v>
      </c>
      <c r="Z4" s="2">
        <f>IFERROR(50+VLOOKUP($A4,'SegEnds_Xtal_Prot#'!$A:$AY,51,FALSE)-VLOOKUP($B4,'SegEnds_NonXtal_Prot#'!$A:$AL,37,FALSE),"-")</f>
        <v>59</v>
      </c>
      <c r="AA4" s="49" t="str">
        <f>VLOOKUP(B4,Classification!A:D,2,FALSE)</f>
        <v>A</v>
      </c>
      <c r="AB4" s="94" t="str">
        <f>VLOOKUP(B4,Classification!A:D,4,0)</f>
        <v>Dopamine</v>
      </c>
      <c r="AC4" s="49">
        <f>VLOOKUP(B4,'SegEnds_NonXtal_Prot#'!A:AL,6,FALSE)-VLOOKUP(B4,'SegEnds_NonXtal_Prot#'!A:AL,5,FALSE)</f>
        <v>1</v>
      </c>
      <c r="AD4" s="49">
        <f>VLOOKUP(B4,'SegEnds_NonXtal_Prot#'!A:AL,9,FALSE)-VLOOKUP(B4,'SegEnds_NonXtal_Prot#'!A:AL,8,FALSE)</f>
        <v>1</v>
      </c>
      <c r="AE4" s="49">
        <f>VLOOKUP(B4,'SegEnds_NonXtal_Prot#'!A:AL,13,FALSE)-VLOOKUP(B4,'SegEnds_NonXtal_Prot#'!A:AL,10,FALSE)</f>
        <v>20</v>
      </c>
      <c r="AF4" s="49">
        <f>VLOOKUP(B4,'SegEnds_NonXtal_Prot#'!A:AL,12,FALSE)-VLOOKUP(B4,'SegEnds_NonXtal_Prot#'!A:AL,11,FALSE)</f>
        <v>1</v>
      </c>
      <c r="AG4" s="49">
        <f>VLOOKUP(B4,'SegEnds_NonXtal_Prot#'!A:AL,13,FALSE)-VLOOKUP(B4,'SegEnds_NonXtal_Prot#'!A:AL,11,FALSE)</f>
        <v>2</v>
      </c>
      <c r="AH4" s="49">
        <f>VLOOKUP(B4,'SegEnds_NonXtal_Prot#'!A:AL,16,FALSE)-VLOOKUP(B4,'SegEnds_NonXtal_Prot#'!A:AL,10,FALSE)</f>
        <v>52</v>
      </c>
      <c r="AI4" s="49">
        <f>VLOOKUP(B4,'SegEnds_NonXtal_Prot#'!A:AL,16,FALSE)-VLOOKUP(B4,'SegEnds_NonXtal_Prot#'!A:AL,11,FALSE)</f>
        <v>34</v>
      </c>
      <c r="AJ4" s="49">
        <f>VLOOKUP(B4,'SegEnds_NonXtal_Prot#'!A:AL,22,FALSE)-VLOOKUP(B4,'SegEnds_NonXtal_Prot#'!A:AL,19,FALSE)</f>
        <v>21</v>
      </c>
      <c r="AK4" s="49">
        <f>VLOOKUP(B4,'SegEnds_NonXtal_Prot#'!A:AL,15,FALSE)-VLOOKUP(B4,'SegEnds_NonXtal_Prot#'!A:AL,14,FALSE)</f>
        <v>1</v>
      </c>
      <c r="AL4" s="49">
        <f>VLOOKUP(B4,'SegEnds_NonXtal_Prot#'!A:AL,18,FALSE)-VLOOKUP(B4,'SegEnds_NonXtal_Prot#'!A:AL,17,FALSE)</f>
        <v>1</v>
      </c>
      <c r="AM4" s="2">
        <f>VLOOKUP(B4,'SegEnds_NonXtal_Prot#'!A:AL,34,FALSE)-VLOOKUP(B4,'SegEnds_NonXtal_Prot#'!A:AL,31,FALSE)</f>
        <v>35</v>
      </c>
      <c r="AN4" s="37"/>
    </row>
    <row r="5" spans="1:64" s="2" customFormat="1" x14ac:dyDescent="0.2">
      <c r="A5" s="2" t="s">
        <v>1257</v>
      </c>
      <c r="B5" s="2" t="s">
        <v>192</v>
      </c>
      <c r="C5" s="2">
        <f>IFERROR(50+VLOOKUP($A5,'SegEnds_Xtal_Prot#'!$A:$AY,5,FALSE)-VLOOKUP($B5,'SegEnds_NonXtal_Prot#'!$A:$AL,4,FALSE),"-")</f>
        <v>29</v>
      </c>
      <c r="D5" s="2">
        <f>IFERROR(50+VLOOKUP($A5,'SegEnds_Xtal_Prot#'!$A:$AY,7,FALSE)-VLOOKUP($B5,'SegEnds_NonXtal_Prot#'!$A:$AL,4,FALSE),"-")</f>
        <v>60</v>
      </c>
      <c r="E5" s="2">
        <f>IFERROR(50+VLOOKUP($A5,'SegEnds_Xtal_Prot#'!$A:$AY,9,FALSE)-VLOOKUP($B5,'SegEnds_NonXtal_Prot#'!$A:$AL,7,FALSE),"-")</f>
        <v>48</v>
      </c>
      <c r="F5" s="2">
        <f>IFERROR(50+VLOOKUP($A5,'SegEnds_Xtal_Prot#'!$A:$AY,11,FALSE)-VLOOKUP($B5,'SegEnds_NonXtal_Prot#'!$A:$AL,7,FALSE),"-")</f>
        <v>51</v>
      </c>
      <c r="G5" s="2">
        <f>IFERROR(50+VLOOKUP($A5,'SegEnds_Xtal_Prot#'!$A:$AY,13,FALSE)-VLOOKUP($B5,'SegEnds_NonXtal_Prot#'!$A:$AL,10,FALSE),"-")</f>
        <v>37</v>
      </c>
      <c r="H5" s="2">
        <f>IFERROR(50+VLOOKUP($A5,'SegEnds_Xtal_Prot#'!$A:$AY,15,FALSE)-VLOOKUP($B5,'SegEnds_NonXtal_Prot#'!$A:$AL,10,FALSE),"-")</f>
        <v>67</v>
      </c>
      <c r="I5" s="2">
        <f>IFERROR(50+VLOOKUP($A5,'SegEnds_Xtal_Prot#'!$A:$AY,17,FALSE)-VLOOKUP($B5,'SegEnds_NonXtal_Prot#'!$A:$AL,13,FALSE),"-")</f>
        <v>49</v>
      </c>
      <c r="J5" s="2">
        <f>IFERROR(50+VLOOKUP($A5,'SegEnds_Xtal_Prot#'!$A:$AY,19,FALSE)-VLOOKUP($B5,'SegEnds_NonXtal_Prot#'!$A:$AL,13,FALSE),"-")</f>
        <v>52</v>
      </c>
      <c r="K5" s="2">
        <f>IFERROR(50+VLOOKUP($A5,'SegEnds_Xtal_Prot#'!$A:$AY,21,FALSE)-VLOOKUP($B5,'SegEnds_NonXtal_Prot#'!$A:$AL,16,FALSE),"-")</f>
        <v>21</v>
      </c>
      <c r="L5" s="2">
        <f>IFERROR(50+VLOOKUP($A5,'SegEnds_Xtal_Prot#'!$A:$AY,23,FALSE)-VLOOKUP($B5,'SegEnds_NonXtal_Prot#'!$A:$AL,16,FALSE),"-")</f>
        <v>56</v>
      </c>
      <c r="M5" s="2">
        <f>IFERROR(50+VLOOKUP($A5,'SegEnds_Xtal_Prot#'!$A:$AY,25,FALSE)-VLOOKUP($B5,'SegEnds_NonXtal_Prot#'!$A:$AL,19,FALSE),"-")</f>
        <v>50</v>
      </c>
      <c r="N5" s="2">
        <f>IFERROR(50+VLOOKUP($A5,'SegEnds_Xtal_Prot#'!$A:$AY,27,FALSE)-VLOOKUP($B5,'SegEnds_NonXtal_Prot#'!$A:$AL,19,FALSE),"-")</f>
        <v>58</v>
      </c>
      <c r="O5" s="2">
        <f>IFERROR(50+VLOOKUP($A5,'SegEnds_Xtal_Prot#'!$A:$AY,29,FALSE)-VLOOKUP($B5,'SegEnds_NonXtal_Prot#'!$A:$AL,22,FALSE),"-")</f>
        <v>38</v>
      </c>
      <c r="P5" s="2">
        <f>IFERROR(50+VLOOKUP($A5,'SegEnds_Xtal_Prot#'!$A:$AY,31,FALSE)-VLOOKUP($B5,'SegEnds_NonXtal_Prot#'!$A:$AL,22,FALSE),"-")</f>
        <v>63</v>
      </c>
      <c r="Q5" s="2">
        <f>IFERROR(50+VLOOKUP($A5,'SegEnds_Xtal_Prot#'!$A:$AY,33,FALSE)-VLOOKUP($B5,'SegEnds_NonXtal_Prot#'!$A:$AL,25,FALSE),"-")</f>
        <v>50</v>
      </c>
      <c r="R5" s="2">
        <f>IFERROR(50+VLOOKUP($A5,'SegEnds_Xtal_Prot#'!$A:$AY,35,FALSE)-VLOOKUP($B5,'SegEnds_NonXtal_Prot#'!$A:$AL,25,FALSE),"-")</f>
        <v>52</v>
      </c>
      <c r="S5" s="2">
        <f>IFERROR(50+VLOOKUP($A5,'SegEnds_Xtal_Prot#'!$A:$AY,37,FALSE)-VLOOKUP($B5,'SegEnds_NonXtal_Prot#'!$A:$AL,28,FALSE),"-")</f>
        <v>35</v>
      </c>
      <c r="T5" s="2">
        <f>IFERROR(50+VLOOKUP($A5,'SegEnds_Xtal_Prot#'!$A:$AY,39,FALSE)-VLOOKUP($B5,'SegEnds_NonXtal_Prot#'!$A:$AL,28,FALSE),"-")</f>
        <v>76</v>
      </c>
      <c r="U5" s="2">
        <f>IFERROR(50+VLOOKUP($A5,'SegEnds_Xtal_Prot#'!$A:$AY,41,FALSE)-VLOOKUP($B5,'SegEnds_NonXtal_Prot#'!$A:$AL,31,FALSE),"-")</f>
        <v>24</v>
      </c>
      <c r="V5" s="2">
        <f>IFERROR(50+VLOOKUP($A5,'SegEnds_Xtal_Prot#'!$A:$AY,43,FALSE)-VLOOKUP($B5,'SegEnds_NonXtal_Prot#'!$A:$AL,31,FALSE),"-")</f>
        <v>60</v>
      </c>
      <c r="W5" s="2">
        <f>IFERROR(50+VLOOKUP($A5,'SegEnds_Xtal_Prot#'!$A:$AY,45,FALSE)-VLOOKUP($B5,'SegEnds_NonXtal_Prot#'!$A:$AL,34,FALSE),"-")</f>
        <v>31</v>
      </c>
      <c r="X5" s="2">
        <f>IFERROR(50+VLOOKUP($A5,'SegEnds_Xtal_Prot#'!$A:$AY,47,FALSE)-VLOOKUP($B5,'SegEnds_NonXtal_Prot#'!$A:$AL,34,FALSE),"-")</f>
        <v>56</v>
      </c>
      <c r="Y5" s="2">
        <f>IFERROR(50+VLOOKUP($A5,'SegEnds_Xtal_Prot#'!$A:$AY,49,FALSE)-VLOOKUP($B5,'SegEnds_NonXtal_Prot#'!$A:$AL,37,FALSE),"-")</f>
        <v>47</v>
      </c>
      <c r="Z5" s="2">
        <f>IFERROR(50+VLOOKUP($A5,'SegEnds_Xtal_Prot#'!$A:$AY,51,FALSE)-VLOOKUP($B5,'SegEnds_NonXtal_Prot#'!$A:$AL,37,FALSE),"-")</f>
        <v>59</v>
      </c>
      <c r="AA5" s="49" t="str">
        <f>VLOOKUP(B5,Classification!A:D,2,FALSE)</f>
        <v>A</v>
      </c>
      <c r="AB5" s="94" t="str">
        <f>VLOOKUP(B5,Classification!A:D,4,0)</f>
        <v>Dopamine</v>
      </c>
      <c r="AC5" s="49">
        <f>VLOOKUP(B5,'SegEnds_NonXtal_Prot#'!A:AL,6,FALSE)-VLOOKUP(B5,'SegEnds_NonXtal_Prot#'!A:AL,5,FALSE)</f>
        <v>1</v>
      </c>
      <c r="AD5" s="49">
        <f>VLOOKUP(B5,'SegEnds_NonXtal_Prot#'!A:AL,9,FALSE)-VLOOKUP(B5,'SegEnds_NonXtal_Prot#'!A:AL,8,FALSE)</f>
        <v>1</v>
      </c>
      <c r="AE5" s="49">
        <f>VLOOKUP(B5,'SegEnds_NonXtal_Prot#'!A:AL,13,FALSE)-VLOOKUP(B5,'SegEnds_NonXtal_Prot#'!A:AL,10,FALSE)</f>
        <v>21</v>
      </c>
      <c r="AF5" s="49">
        <f>VLOOKUP(B5,'SegEnds_NonXtal_Prot#'!A:AL,12,FALSE)-VLOOKUP(B5,'SegEnds_NonXtal_Prot#'!A:AL,11,FALSE)</f>
        <v>3</v>
      </c>
      <c r="AG5" s="49">
        <f>VLOOKUP(B5,'SegEnds_NonXtal_Prot#'!A:AL,13,FALSE)-VLOOKUP(B5,'SegEnds_NonXtal_Prot#'!A:AL,11,FALSE)</f>
        <v>4</v>
      </c>
      <c r="AH5" s="49">
        <f>VLOOKUP(B5,'SegEnds_NonXtal_Prot#'!A:AL,16,FALSE)-VLOOKUP(B5,'SegEnds_NonXtal_Prot#'!A:AL,10,FALSE)</f>
        <v>53</v>
      </c>
      <c r="AI5" s="49">
        <f>VLOOKUP(B5,'SegEnds_NonXtal_Prot#'!A:AL,16,FALSE)-VLOOKUP(B5,'SegEnds_NonXtal_Prot#'!A:AL,11,FALSE)</f>
        <v>36</v>
      </c>
      <c r="AJ5" s="49">
        <f>VLOOKUP(B5,'SegEnds_NonXtal_Prot#'!A:AL,22,FALSE)-VLOOKUP(B5,'SegEnds_NonXtal_Prot#'!A:AL,19,FALSE)</f>
        <v>23</v>
      </c>
      <c r="AK5" s="49">
        <f>VLOOKUP(B5,'SegEnds_NonXtal_Prot#'!A:AL,15,FALSE)-VLOOKUP(B5,'SegEnds_NonXtal_Prot#'!A:AL,14,FALSE)</f>
        <v>1</v>
      </c>
      <c r="AL5" s="49">
        <f>VLOOKUP(B5,'SegEnds_NonXtal_Prot#'!A:AL,18,FALSE)-VLOOKUP(B5,'SegEnds_NonXtal_Prot#'!A:AL,17,FALSE)</f>
        <v>1</v>
      </c>
      <c r="AM5" s="2">
        <f>VLOOKUP(B5,'SegEnds_NonXtal_Prot#'!A:AL,34,FALSE)-VLOOKUP(B5,'SegEnds_NonXtal_Prot#'!A:AL,31,FALSE)</f>
        <v>36</v>
      </c>
      <c r="AN5" s="37"/>
    </row>
    <row r="6" spans="1:64" s="2" customFormat="1" x14ac:dyDescent="0.2">
      <c r="A6" s="2" t="s">
        <v>1456</v>
      </c>
      <c r="B6" s="2" t="s">
        <v>193</v>
      </c>
      <c r="C6" s="2">
        <f>IFERROR(50+VLOOKUP($A6,'SegEnds_Xtal_Prot#'!$A:$AY,5,FALSE)-VLOOKUP($B6,'SegEnds_NonXtal_Prot#'!$A:$AL,4,FALSE),"-")</f>
        <v>29</v>
      </c>
      <c r="D6" s="2">
        <f>IFERROR(50+VLOOKUP($A6,'SegEnds_Xtal_Prot#'!$A:$AY,7,FALSE)-VLOOKUP($B6,'SegEnds_NonXtal_Prot#'!$A:$AL,4,FALSE),"-")</f>
        <v>60</v>
      </c>
      <c r="E6" s="2">
        <f>IFERROR(50+VLOOKUP($A6,'SegEnds_Xtal_Prot#'!$A:$AY,9,FALSE)-VLOOKUP($B6,'SegEnds_NonXtal_Prot#'!$A:$AL,7,FALSE),"-")</f>
        <v>48</v>
      </c>
      <c r="F6" s="2">
        <f>IFERROR(50+VLOOKUP($A6,'SegEnds_Xtal_Prot#'!$A:$AY,11,FALSE)-VLOOKUP($B6,'SegEnds_NonXtal_Prot#'!$A:$AL,7,FALSE),"-")</f>
        <v>51</v>
      </c>
      <c r="G6" s="2">
        <f>IFERROR(50+VLOOKUP($A6,'SegEnds_Xtal_Prot#'!$A:$AY,13,FALSE)-VLOOKUP($B6,'SegEnds_NonXtal_Prot#'!$A:$AL,10,FALSE),"-")</f>
        <v>37</v>
      </c>
      <c r="H6" s="2">
        <f>IFERROR(50+VLOOKUP($A6,'SegEnds_Xtal_Prot#'!$A:$AY,15,FALSE)-VLOOKUP($B6,'SegEnds_NonXtal_Prot#'!$A:$AL,10,FALSE),"-")</f>
        <v>67</v>
      </c>
      <c r="I6" s="2">
        <f>IFERROR(50+VLOOKUP($A6,'SegEnds_Xtal_Prot#'!$A:$AY,17,FALSE)-VLOOKUP($B6,'SegEnds_NonXtal_Prot#'!$A:$AL,13,FALSE),"-")</f>
        <v>49</v>
      </c>
      <c r="J6" s="2">
        <f>IFERROR(50+VLOOKUP($A6,'SegEnds_Xtal_Prot#'!$A:$AY,19,FALSE)-VLOOKUP($B6,'SegEnds_NonXtal_Prot#'!$A:$AL,13,FALSE),"-")</f>
        <v>52</v>
      </c>
      <c r="K6" s="2">
        <f>IFERROR(50+VLOOKUP($A6,'SegEnds_Xtal_Prot#'!$A:$AY,21,FALSE)-VLOOKUP($B6,'SegEnds_NonXtal_Prot#'!$A:$AL,16,FALSE),"-")</f>
        <v>21</v>
      </c>
      <c r="L6" s="2">
        <f>IFERROR(50+VLOOKUP($A6,'SegEnds_Xtal_Prot#'!$A:$AY,23,FALSE)-VLOOKUP($B6,'SegEnds_NonXtal_Prot#'!$A:$AL,16,FALSE),"-")</f>
        <v>56</v>
      </c>
      <c r="M6" s="2">
        <f>IFERROR(50+VLOOKUP($A6,'SegEnds_Xtal_Prot#'!$A:$AY,25,FALSE)-VLOOKUP($B6,'SegEnds_NonXtal_Prot#'!$A:$AL,19,FALSE),"-")</f>
        <v>50</v>
      </c>
      <c r="N6" s="2">
        <f>IFERROR(50+VLOOKUP($A6,'SegEnds_Xtal_Prot#'!$A:$AY,27,FALSE)-VLOOKUP($B6,'SegEnds_NonXtal_Prot#'!$A:$AL,19,FALSE),"-")</f>
        <v>57</v>
      </c>
      <c r="O6" s="2">
        <f>IFERROR(50+VLOOKUP($A6,'SegEnds_Xtal_Prot#'!$A:$AY,29,FALSE)-VLOOKUP($B6,'SegEnds_NonXtal_Prot#'!$A:$AL,22,FALSE),"-")</f>
        <v>38</v>
      </c>
      <c r="P6" s="2">
        <f>IFERROR(50+VLOOKUP($A6,'SegEnds_Xtal_Prot#'!$A:$AY,31,FALSE)-VLOOKUP($B6,'SegEnds_NonXtal_Prot#'!$A:$AL,22,FALSE),"-")</f>
        <v>63</v>
      </c>
      <c r="Q6" s="2">
        <f>IFERROR(50+VLOOKUP($A6,'SegEnds_Xtal_Prot#'!$A:$AY,33,FALSE)-VLOOKUP($B6,'SegEnds_NonXtal_Prot#'!$A:$AL,25,FALSE),"-")</f>
        <v>50</v>
      </c>
      <c r="R6" s="2">
        <f>IFERROR(50+VLOOKUP($A6,'SegEnds_Xtal_Prot#'!$A:$AY,35,FALSE)-VLOOKUP($B6,'SegEnds_NonXtal_Prot#'!$A:$AL,25,FALSE),"-")</f>
        <v>52</v>
      </c>
      <c r="S6" s="2">
        <f>IFERROR(50+VLOOKUP($A6,'SegEnds_Xtal_Prot#'!$A:$AY,37,FALSE)-VLOOKUP($B6,'SegEnds_NonXtal_Prot#'!$A:$AL,28,FALSE),"-")</f>
        <v>35</v>
      </c>
      <c r="T6" s="2">
        <f>IFERROR(50+VLOOKUP($A6,'SegEnds_Xtal_Prot#'!$A:$AY,39,FALSE)-VLOOKUP($B6,'SegEnds_NonXtal_Prot#'!$A:$AL,28,FALSE),"-")</f>
        <v>75</v>
      </c>
      <c r="U6" s="2">
        <f>IFERROR(50+VLOOKUP($A6,'SegEnds_Xtal_Prot#'!$A:$AY,41,FALSE)-VLOOKUP($B6,'SegEnds_NonXtal_Prot#'!$A:$AL,31,FALSE),"-")</f>
        <v>24</v>
      </c>
      <c r="V6" s="2">
        <f>IFERROR(50+VLOOKUP($A6,'SegEnds_Xtal_Prot#'!$A:$AY,43,FALSE)-VLOOKUP($B6,'SegEnds_NonXtal_Prot#'!$A:$AL,31,FALSE),"-")</f>
        <v>61</v>
      </c>
      <c r="W6" s="2">
        <f>IFERROR(50+VLOOKUP($A6,'SegEnds_Xtal_Prot#'!$A:$AY,45,FALSE)-VLOOKUP($B6,'SegEnds_NonXtal_Prot#'!$A:$AL,34,FALSE),"-")</f>
        <v>31</v>
      </c>
      <c r="X6" s="2">
        <f>IFERROR(50+VLOOKUP($A6,'SegEnds_Xtal_Prot#'!$A:$AY,47,FALSE)-VLOOKUP($B6,'SegEnds_NonXtal_Prot#'!$A:$AL,34,FALSE),"-")</f>
        <v>56</v>
      </c>
      <c r="Y6" s="2">
        <f>IFERROR(50+VLOOKUP($A6,'SegEnds_Xtal_Prot#'!$A:$AY,49,FALSE)-VLOOKUP($B6,'SegEnds_NonXtal_Prot#'!$A:$AL,37,FALSE),"-")</f>
        <v>47</v>
      </c>
      <c r="Z6" s="2">
        <f>IFERROR(50+VLOOKUP($A6,'SegEnds_Xtal_Prot#'!$A:$AY,51,FALSE)-VLOOKUP($B6,'SegEnds_NonXtal_Prot#'!$A:$AL,37,FALSE),"-")</f>
        <v>59</v>
      </c>
      <c r="AA6" s="49" t="str">
        <f>VLOOKUP(B6,Classification!A:D,2,FALSE)</f>
        <v>A</v>
      </c>
      <c r="AB6" s="94" t="str">
        <f>VLOOKUP(B6,Classification!A:D,4,0)</f>
        <v>Dopamine</v>
      </c>
      <c r="AC6" s="49">
        <f>VLOOKUP(B6,'SegEnds_NonXtal_Prot#'!A:AL,6,FALSE)-VLOOKUP(B6,'SegEnds_NonXtal_Prot#'!A:AL,5,FALSE)</f>
        <v>1</v>
      </c>
      <c r="AD6" s="49">
        <f>VLOOKUP(B6,'SegEnds_NonXtal_Prot#'!A:AL,9,FALSE)-VLOOKUP(B6,'SegEnds_NonXtal_Prot#'!A:AL,8,FALSE)</f>
        <v>1</v>
      </c>
      <c r="AE6" s="49">
        <f>VLOOKUP(B6,'SegEnds_NonXtal_Prot#'!A:AL,13,FALSE)-VLOOKUP(B6,'SegEnds_NonXtal_Prot#'!A:AL,10,FALSE)</f>
        <v>21</v>
      </c>
      <c r="AF6" s="49">
        <f>VLOOKUP(B6,'SegEnds_NonXtal_Prot#'!A:AL,12,FALSE)-VLOOKUP(B6,'SegEnds_NonXtal_Prot#'!A:AL,11,FALSE)</f>
        <v>3</v>
      </c>
      <c r="AG6" s="49">
        <f>VLOOKUP(B6,'SegEnds_NonXtal_Prot#'!A:AL,13,FALSE)-VLOOKUP(B6,'SegEnds_NonXtal_Prot#'!A:AL,11,FALSE)</f>
        <v>4</v>
      </c>
      <c r="AH6" s="49">
        <f>VLOOKUP(B6,'SegEnds_NonXtal_Prot#'!A:AL,16,FALSE)-VLOOKUP(B6,'SegEnds_NonXtal_Prot#'!A:AL,10,FALSE)</f>
        <v>53</v>
      </c>
      <c r="AI6" s="49">
        <f>VLOOKUP(B6,'SegEnds_NonXtal_Prot#'!A:AL,16,FALSE)-VLOOKUP(B6,'SegEnds_NonXtal_Prot#'!A:AL,11,FALSE)</f>
        <v>36</v>
      </c>
      <c r="AJ6" s="49">
        <f>VLOOKUP(B6,'SegEnds_NonXtal_Prot#'!A:AL,22,FALSE)-VLOOKUP(B6,'SegEnds_NonXtal_Prot#'!A:AL,19,FALSE)</f>
        <v>20</v>
      </c>
      <c r="AK6" s="49">
        <f>VLOOKUP(B6,'SegEnds_NonXtal_Prot#'!A:AL,15,FALSE)-VLOOKUP(B6,'SegEnds_NonXtal_Prot#'!A:AL,14,FALSE)</f>
        <v>1</v>
      </c>
      <c r="AL6" s="49">
        <f>VLOOKUP(B6,'SegEnds_NonXtal_Prot#'!A:AL,18,FALSE)-VLOOKUP(B6,'SegEnds_NonXtal_Prot#'!A:AL,17,FALSE)</f>
        <v>1</v>
      </c>
      <c r="AM6" s="2">
        <f>VLOOKUP(B6,'SegEnds_NonXtal_Prot#'!A:AL,34,FALSE)-VLOOKUP(B6,'SegEnds_NonXtal_Prot#'!A:AL,31,FALSE)</f>
        <v>36</v>
      </c>
      <c r="AN6" s="37"/>
    </row>
    <row r="7" spans="1:64" s="2" customFormat="1" x14ac:dyDescent="0.2">
      <c r="A7" s="2" t="s">
        <v>1244</v>
      </c>
      <c r="B7" s="2" t="s">
        <v>34</v>
      </c>
      <c r="C7" s="2">
        <f>IFERROR(50+VLOOKUP($A7,'SegEnds_Xtal_Prot#'!$A:$AY,5,FALSE)-VLOOKUP($B7,'SegEnds_NonXtal_Prot#'!$A:$AL,4,FALSE),"-")</f>
        <v>28</v>
      </c>
      <c r="D7" s="2">
        <f>IFERROR(50+VLOOKUP($A7,'SegEnds_Xtal_Prot#'!$A:$AY,7,FALSE)-VLOOKUP($B7,'SegEnds_NonXtal_Prot#'!$A:$AL,4,FALSE),"-")</f>
        <v>60</v>
      </c>
      <c r="E7" s="2">
        <f>IFERROR(50+VLOOKUP($A7,'SegEnds_Xtal_Prot#'!$A:$AY,9,FALSE)-VLOOKUP($B7,'SegEnds_NonXtal_Prot#'!$A:$AL,7,FALSE),"-")</f>
        <v>48</v>
      </c>
      <c r="F7" s="2">
        <f>IFERROR(50+VLOOKUP($A7,'SegEnds_Xtal_Prot#'!$A:$AY,11,FALSE)-VLOOKUP($B7,'SegEnds_NonXtal_Prot#'!$A:$AL,7,FALSE),"-")</f>
        <v>51</v>
      </c>
      <c r="G7" s="2">
        <f>IFERROR(50+VLOOKUP($A7,'SegEnds_Xtal_Prot#'!$A:$AY,13,FALSE)-VLOOKUP($B7,'SegEnds_NonXtal_Prot#'!$A:$AL,10,FALSE),"-")</f>
        <v>37</v>
      </c>
      <c r="H7" s="2">
        <f>IFERROR(50+VLOOKUP($A7,'SegEnds_Xtal_Prot#'!$A:$AY,15,FALSE)-VLOOKUP($B7,'SegEnds_NonXtal_Prot#'!$A:$AL,10,FALSE),"-")</f>
        <v>68</v>
      </c>
      <c r="I7" s="2">
        <f>IFERROR(50+VLOOKUP($A7,'SegEnds_Xtal_Prot#'!$A:$AY,17,FALSE)-VLOOKUP($B7,'SegEnds_NonXtal_Prot#'!$A:$AL,13,FALSE),"-")</f>
        <v>49</v>
      </c>
      <c r="J7" s="2">
        <f>IFERROR(50+VLOOKUP($A7,'SegEnds_Xtal_Prot#'!$A:$AY,19,FALSE)-VLOOKUP($B7,'SegEnds_NonXtal_Prot#'!$A:$AL,13,FALSE),"-")</f>
        <v>52</v>
      </c>
      <c r="K7" s="2">
        <f>IFERROR(50+VLOOKUP($A7,'SegEnds_Xtal_Prot#'!$A:$AY,21,FALSE)-VLOOKUP($B7,'SegEnds_NonXtal_Prot#'!$A:$AL,16,FALSE),"-")</f>
        <v>21</v>
      </c>
      <c r="L7" s="2">
        <f>IFERROR(50+VLOOKUP($A7,'SegEnds_Xtal_Prot#'!$A:$AY,23,FALSE)-VLOOKUP($B7,'SegEnds_NonXtal_Prot#'!$A:$AL,16,FALSE),"-")</f>
        <v>56</v>
      </c>
      <c r="M7" s="2">
        <f>IFERROR(50+VLOOKUP($A7,'SegEnds_Xtal_Prot#'!$A:$AY,25,FALSE)-VLOOKUP($B7,'SegEnds_NonXtal_Prot#'!$A:$AL,19,FALSE),"-")</f>
        <v>50</v>
      </c>
      <c r="N7" s="2">
        <f>IFERROR(50+VLOOKUP($A7,'SegEnds_Xtal_Prot#'!$A:$AY,27,FALSE)-VLOOKUP($B7,'SegEnds_NonXtal_Prot#'!$A:$AL,19,FALSE),"-")</f>
        <v>57</v>
      </c>
      <c r="O7" s="2">
        <f>IFERROR(50+VLOOKUP($A7,'SegEnds_Xtal_Prot#'!$A:$AY,29,FALSE)-VLOOKUP($B7,'SegEnds_NonXtal_Prot#'!$A:$AL,22,FALSE),"-")</f>
        <v>38</v>
      </c>
      <c r="P7" s="2">
        <f>IFERROR(50+VLOOKUP($A7,'SegEnds_Xtal_Prot#'!$A:$AY,31,FALSE)-VLOOKUP($B7,'SegEnds_NonXtal_Prot#'!$A:$AL,22,FALSE),"-")</f>
        <v>63</v>
      </c>
      <c r="Q7" s="2">
        <f>IFERROR(50+VLOOKUP($A7,'SegEnds_Xtal_Prot#'!$A:$AY,33,FALSE)-VLOOKUP($B7,'SegEnds_NonXtal_Prot#'!$A:$AL,25,FALSE),"-")</f>
        <v>50</v>
      </c>
      <c r="R7" s="2">
        <f>IFERROR(50+VLOOKUP($A7,'SegEnds_Xtal_Prot#'!$A:$AY,35,FALSE)-VLOOKUP($B7,'SegEnds_NonXtal_Prot#'!$A:$AL,25,FALSE),"-")</f>
        <v>52</v>
      </c>
      <c r="S7" s="2">
        <f>IFERROR(50+VLOOKUP($A7,'SegEnds_Xtal_Prot#'!$A:$AY,37,FALSE)-VLOOKUP($B7,'SegEnds_NonXtal_Prot#'!$A:$AL,28,FALSE),"-")</f>
        <v>35</v>
      </c>
      <c r="T7" s="2">
        <f>IFERROR(50+VLOOKUP($A7,'SegEnds_Xtal_Prot#'!$A:$AY,39,FALSE)-VLOOKUP($B7,'SegEnds_NonXtal_Prot#'!$A:$AL,28,FALSE),"-")</f>
        <v>74</v>
      </c>
      <c r="U7" s="2">
        <f>IFERROR(50+VLOOKUP($A7,'SegEnds_Xtal_Prot#'!$A:$AY,41,FALSE)-VLOOKUP($B7,'SegEnds_NonXtal_Prot#'!$A:$AL,31,FALSE),"-")</f>
        <v>24</v>
      </c>
      <c r="V7" s="2">
        <f>IFERROR(50+VLOOKUP($A7,'SegEnds_Xtal_Prot#'!$A:$AY,43,FALSE)-VLOOKUP($B7,'SegEnds_NonXtal_Prot#'!$A:$AL,31,FALSE),"-")</f>
        <v>60</v>
      </c>
      <c r="W7" s="2">
        <f>IFERROR(50+VLOOKUP($A7,'SegEnds_Xtal_Prot#'!$A:$AY,45,FALSE)-VLOOKUP($B7,'SegEnds_NonXtal_Prot#'!$A:$AL,34,FALSE),"-")</f>
        <v>31</v>
      </c>
      <c r="X7" s="2">
        <f>IFERROR(50+VLOOKUP($A7,'SegEnds_Xtal_Prot#'!$A:$AY,47,FALSE)-VLOOKUP($B7,'SegEnds_NonXtal_Prot#'!$A:$AL,34,FALSE),"-")</f>
        <v>56</v>
      </c>
      <c r="Y7" s="2">
        <f>IFERROR(50+VLOOKUP($A7,'SegEnds_Xtal_Prot#'!$A:$AY,49,FALSE)-VLOOKUP($B7,'SegEnds_NonXtal_Prot#'!$A:$AL,37,FALSE),"-")</f>
        <v>47</v>
      </c>
      <c r="Z7" s="2">
        <f>IFERROR(50+VLOOKUP($A7,'SegEnds_Xtal_Prot#'!$A:$AY,51,FALSE)-VLOOKUP($B7,'SegEnds_NonXtal_Prot#'!$A:$AL,37,FALSE),"-")</f>
        <v>58</v>
      </c>
      <c r="AA7" s="49" t="str">
        <f>VLOOKUP(B7,Classification!A:D,2,FALSE)</f>
        <v>A</v>
      </c>
      <c r="AB7" s="94" t="str">
        <f>VLOOKUP(B7,Classification!A:D,4,0)</f>
        <v>5-Hydroxytryptamine</v>
      </c>
      <c r="AC7" s="49">
        <f>VLOOKUP(B7,'SegEnds_NonXtal_Prot#'!A:AL,6,FALSE)-VLOOKUP(B7,'SegEnds_NonXtal_Prot#'!A:AL,5,FALSE)</f>
        <v>1</v>
      </c>
      <c r="AD7" s="49">
        <f>VLOOKUP(B7,'SegEnds_NonXtal_Prot#'!A:AL,9,FALSE)-VLOOKUP(B7,'SegEnds_NonXtal_Prot#'!A:AL,8,FALSE)</f>
        <v>1</v>
      </c>
      <c r="AE7" s="49">
        <f>VLOOKUP(B7,'SegEnds_NonXtal_Prot#'!A:AL,13,FALSE)-VLOOKUP(B7,'SegEnds_NonXtal_Prot#'!A:AL,10,FALSE)</f>
        <v>20</v>
      </c>
      <c r="AF7" s="49">
        <f>VLOOKUP(B7,'SegEnds_NonXtal_Prot#'!A:AL,12,FALSE)-VLOOKUP(B7,'SegEnds_NonXtal_Prot#'!A:AL,11,FALSE)</f>
        <v>1</v>
      </c>
      <c r="AG7" s="49">
        <f>VLOOKUP(B7,'SegEnds_NonXtal_Prot#'!A:AL,13,FALSE)-VLOOKUP(B7,'SegEnds_NonXtal_Prot#'!A:AL,11,FALSE)</f>
        <v>2</v>
      </c>
      <c r="AH7" s="49">
        <f>VLOOKUP(B7,'SegEnds_NonXtal_Prot#'!A:AL,16,FALSE)-VLOOKUP(B7,'SegEnds_NonXtal_Prot#'!A:AL,10,FALSE)</f>
        <v>52</v>
      </c>
      <c r="AI7" s="49">
        <f>VLOOKUP(B7,'SegEnds_NonXtal_Prot#'!A:AL,16,FALSE)-VLOOKUP(B7,'SegEnds_NonXtal_Prot#'!A:AL,11,FALSE)</f>
        <v>34</v>
      </c>
      <c r="AJ7" s="49">
        <f>VLOOKUP(B7,'SegEnds_NonXtal_Prot#'!A:AL,22,FALSE)-VLOOKUP(B7,'SegEnds_NonXtal_Prot#'!A:AL,19,FALSE)</f>
        <v>20</v>
      </c>
      <c r="AK7" s="49">
        <f>VLOOKUP(B7,'SegEnds_NonXtal_Prot#'!A:AL,15,FALSE)-VLOOKUP(B7,'SegEnds_NonXtal_Prot#'!A:AL,14,FALSE)</f>
        <v>1</v>
      </c>
      <c r="AL7" s="49">
        <f>VLOOKUP(B7,'SegEnds_NonXtal_Prot#'!A:AL,18,FALSE)-VLOOKUP(B7,'SegEnds_NonXtal_Prot#'!A:AL,17,FALSE)</f>
        <v>1</v>
      </c>
      <c r="AM7" s="2">
        <f>VLOOKUP(B7,'SegEnds_NonXtal_Prot#'!A:AL,34,FALSE)-VLOOKUP(B7,'SegEnds_NonXtal_Prot#'!A:AL,31,FALSE)</f>
        <v>37</v>
      </c>
      <c r="AN7" s="37"/>
    </row>
    <row r="8" spans="1:64" s="2" customFormat="1" x14ac:dyDescent="0.2">
      <c r="A8" s="2" t="s">
        <v>1245</v>
      </c>
      <c r="B8" s="2" t="s">
        <v>35</v>
      </c>
      <c r="C8" s="2">
        <f>IFERROR(50+VLOOKUP($A8,'SegEnds_Xtal_Prot#'!$A:$AY,5,FALSE)-VLOOKUP($B8,'SegEnds_NonXtal_Prot#'!$A:$AL,4,FALSE),"-")</f>
        <v>31</v>
      </c>
      <c r="D8" s="2">
        <f>IFERROR(50+VLOOKUP($A8,'SegEnds_Xtal_Prot#'!$A:$AY,7,FALSE)-VLOOKUP($B8,'SegEnds_NonXtal_Prot#'!$A:$AL,4,FALSE),"-")</f>
        <v>60</v>
      </c>
      <c r="E8" s="2">
        <f>IFERROR(50+VLOOKUP($A8,'SegEnds_Xtal_Prot#'!$A:$AY,9,FALSE)-VLOOKUP($B8,'SegEnds_NonXtal_Prot#'!$A:$AL,7,FALSE),"-")</f>
        <v>48</v>
      </c>
      <c r="F8" s="2">
        <f>IFERROR(50+VLOOKUP($A8,'SegEnds_Xtal_Prot#'!$A:$AY,11,FALSE)-VLOOKUP($B8,'SegEnds_NonXtal_Prot#'!$A:$AL,7,FALSE),"-")</f>
        <v>51</v>
      </c>
      <c r="G8" s="2">
        <f>IFERROR(50+VLOOKUP($A8,'SegEnds_Xtal_Prot#'!$A:$AY,13,FALSE)-VLOOKUP($B8,'SegEnds_NonXtal_Prot#'!$A:$AL,10,FALSE),"-")</f>
        <v>37</v>
      </c>
      <c r="H8" s="2">
        <f>IFERROR(50+VLOOKUP($A8,'SegEnds_Xtal_Prot#'!$A:$AY,15,FALSE)-VLOOKUP($B8,'SegEnds_NonXtal_Prot#'!$A:$AL,10,FALSE),"-")</f>
        <v>67</v>
      </c>
      <c r="I8" s="2">
        <f>IFERROR(50+VLOOKUP($A8,'SegEnds_Xtal_Prot#'!$A:$AY,17,FALSE)-VLOOKUP($B8,'SegEnds_NonXtal_Prot#'!$A:$AL,13,FALSE),"-")</f>
        <v>49</v>
      </c>
      <c r="J8" s="2">
        <f>IFERROR(50+VLOOKUP($A8,'SegEnds_Xtal_Prot#'!$A:$AY,19,FALSE)-VLOOKUP($B8,'SegEnds_NonXtal_Prot#'!$A:$AL,13,FALSE),"-")</f>
        <v>52</v>
      </c>
      <c r="K8" s="2">
        <f>IFERROR(50+VLOOKUP($A8,'SegEnds_Xtal_Prot#'!$A:$AY,21,FALSE)-VLOOKUP($B8,'SegEnds_NonXtal_Prot#'!$A:$AL,16,FALSE),"-")</f>
        <v>21</v>
      </c>
      <c r="L8" s="2">
        <f>IFERROR(50+VLOOKUP($A8,'SegEnds_Xtal_Prot#'!$A:$AY,23,FALSE)-VLOOKUP($B8,'SegEnds_NonXtal_Prot#'!$A:$AL,16,FALSE),"-")</f>
        <v>56</v>
      </c>
      <c r="M8" s="2">
        <f>IFERROR(50+VLOOKUP($A8,'SegEnds_Xtal_Prot#'!$A:$AY,25,FALSE)-VLOOKUP($B8,'SegEnds_NonXtal_Prot#'!$A:$AL,19,FALSE),"-")</f>
        <v>50</v>
      </c>
      <c r="N8" s="2">
        <f>IFERROR(50+VLOOKUP($A8,'SegEnds_Xtal_Prot#'!$A:$AY,27,FALSE)-VLOOKUP($B8,'SegEnds_NonXtal_Prot#'!$A:$AL,19,FALSE),"-")</f>
        <v>57</v>
      </c>
      <c r="O8" s="2">
        <f>IFERROR(50+VLOOKUP($A8,'SegEnds_Xtal_Prot#'!$A:$AY,29,FALSE)-VLOOKUP($B8,'SegEnds_NonXtal_Prot#'!$A:$AL,22,FALSE),"-")</f>
        <v>38</v>
      </c>
      <c r="P8" s="2">
        <f>IFERROR(50+VLOOKUP($A8,'SegEnds_Xtal_Prot#'!$A:$AY,31,FALSE)-VLOOKUP($B8,'SegEnds_NonXtal_Prot#'!$A:$AL,22,FALSE),"-")</f>
        <v>64</v>
      </c>
      <c r="Q8" s="2">
        <f>IFERROR(50+VLOOKUP($A8,'SegEnds_Xtal_Prot#'!$A:$AY,33,FALSE)-VLOOKUP($B8,'SegEnds_NonXtal_Prot#'!$A:$AL,25,FALSE),"-")</f>
        <v>50</v>
      </c>
      <c r="R8" s="2">
        <f>IFERROR(50+VLOOKUP($A8,'SegEnds_Xtal_Prot#'!$A:$AY,35,FALSE)-VLOOKUP($B8,'SegEnds_NonXtal_Prot#'!$A:$AL,25,FALSE),"-")</f>
        <v>52</v>
      </c>
      <c r="S8" s="2">
        <f>IFERROR(50+VLOOKUP($A8,'SegEnds_Xtal_Prot#'!$A:$AY,37,FALSE)-VLOOKUP($B8,'SegEnds_NonXtal_Prot#'!$A:$AL,28,FALSE),"-")</f>
        <v>35</v>
      </c>
      <c r="T8" s="2">
        <f>IFERROR(50+VLOOKUP($A8,'SegEnds_Xtal_Prot#'!$A:$AY,39,FALSE)-VLOOKUP($B8,'SegEnds_NonXtal_Prot#'!$A:$AL,28,FALSE),"-")</f>
        <v>76</v>
      </c>
      <c r="U8" s="2">
        <f>IFERROR(50+VLOOKUP($A8,'SegEnds_Xtal_Prot#'!$A:$AY,41,FALSE)-VLOOKUP($B8,'SegEnds_NonXtal_Prot#'!$A:$AL,31,FALSE),"-")</f>
        <v>24</v>
      </c>
      <c r="V8" s="2">
        <f>IFERROR(50+VLOOKUP($A8,'SegEnds_Xtal_Prot#'!$A:$AY,43,FALSE)-VLOOKUP($B8,'SegEnds_NonXtal_Prot#'!$A:$AL,31,FALSE),"-")</f>
        <v>61</v>
      </c>
      <c r="W8" s="2">
        <f>IFERROR(50+VLOOKUP($A8,'SegEnds_Xtal_Prot#'!$A:$AY,45,FALSE)-VLOOKUP($B8,'SegEnds_NonXtal_Prot#'!$A:$AL,34,FALSE),"-")</f>
        <v>27</v>
      </c>
      <c r="X8" s="2">
        <f>IFERROR(50+VLOOKUP($A8,'SegEnds_Xtal_Prot#'!$A:$AY,47,FALSE)-VLOOKUP($B8,'SegEnds_NonXtal_Prot#'!$A:$AL,34,FALSE),"-")</f>
        <v>56</v>
      </c>
      <c r="Y8" s="2">
        <f>IFERROR(50+VLOOKUP($A8,'SegEnds_Xtal_Prot#'!$A:$AY,49,FALSE)-VLOOKUP($B8,'SegEnds_NonXtal_Prot#'!$A:$AL,37,FALSE),"-")</f>
        <v>47</v>
      </c>
      <c r="Z8" s="2">
        <f>IFERROR(50+VLOOKUP($A8,'SegEnds_Xtal_Prot#'!$A:$AY,51,FALSE)-VLOOKUP($B8,'SegEnds_NonXtal_Prot#'!$A:$AL,37,FALSE),"-")</f>
        <v>58</v>
      </c>
      <c r="AA8" s="49" t="str">
        <f>VLOOKUP(B8,Classification!A:D,2,FALSE)</f>
        <v>A</v>
      </c>
      <c r="AB8" s="94" t="str">
        <f>VLOOKUP(B8,Classification!A:D,4,0)</f>
        <v>5-Hydroxytryptamine</v>
      </c>
      <c r="AC8" s="49">
        <f>VLOOKUP(B8,'SegEnds_NonXtal_Prot#'!A:AL,6,FALSE)-VLOOKUP(B8,'SegEnds_NonXtal_Prot#'!A:AL,5,FALSE)</f>
        <v>1</v>
      </c>
      <c r="AD8" s="49">
        <f>VLOOKUP(B8,'SegEnds_NonXtal_Prot#'!A:AL,9,FALSE)-VLOOKUP(B8,'SegEnds_NonXtal_Prot#'!A:AL,8,FALSE)</f>
        <v>1</v>
      </c>
      <c r="AE8" s="49">
        <f>VLOOKUP(B8,'SegEnds_NonXtal_Prot#'!A:AL,13,FALSE)-VLOOKUP(B8,'SegEnds_NonXtal_Prot#'!A:AL,10,FALSE)</f>
        <v>21</v>
      </c>
      <c r="AF8" s="49">
        <f>VLOOKUP(B8,'SegEnds_NonXtal_Prot#'!A:AL,12,FALSE)-VLOOKUP(B8,'SegEnds_NonXtal_Prot#'!A:AL,11,FALSE)</f>
        <v>3</v>
      </c>
      <c r="AG8" s="49">
        <f>VLOOKUP(B8,'SegEnds_NonXtal_Prot#'!A:AL,13,FALSE)-VLOOKUP(B8,'SegEnds_NonXtal_Prot#'!A:AL,11,FALSE)</f>
        <v>4</v>
      </c>
      <c r="AH8" s="49">
        <f>VLOOKUP(B8,'SegEnds_NonXtal_Prot#'!A:AL,16,FALSE)-VLOOKUP(B8,'SegEnds_NonXtal_Prot#'!A:AL,10,FALSE)</f>
        <v>53</v>
      </c>
      <c r="AI8" s="49">
        <f>VLOOKUP(B8,'SegEnds_NonXtal_Prot#'!A:AL,16,FALSE)-VLOOKUP(B8,'SegEnds_NonXtal_Prot#'!A:AL,11,FALSE)</f>
        <v>36</v>
      </c>
      <c r="AJ8" s="49">
        <f>VLOOKUP(B8,'SegEnds_NonXtal_Prot#'!A:AL,22,FALSE)-VLOOKUP(B8,'SegEnds_NonXtal_Prot#'!A:AL,19,FALSE)</f>
        <v>20</v>
      </c>
      <c r="AK8" s="49">
        <f>VLOOKUP(B8,'SegEnds_NonXtal_Prot#'!A:AL,15,FALSE)-VLOOKUP(B8,'SegEnds_NonXtal_Prot#'!A:AL,14,FALSE)</f>
        <v>1</v>
      </c>
      <c r="AL8" s="49">
        <f>VLOOKUP(B8,'SegEnds_NonXtal_Prot#'!A:AL,18,FALSE)-VLOOKUP(B8,'SegEnds_NonXtal_Prot#'!A:AL,17,FALSE)</f>
        <v>1</v>
      </c>
      <c r="AM8" s="2">
        <f>VLOOKUP(B8,'SegEnds_NonXtal_Prot#'!A:AL,34,FALSE)-VLOOKUP(B8,'SegEnds_NonXtal_Prot#'!A:AL,31,FALSE)</f>
        <v>38</v>
      </c>
      <c r="AN8" s="37"/>
    </row>
    <row r="9" spans="1:64" s="2" customFormat="1" x14ac:dyDescent="0.2">
      <c r="A9" s="2" t="s">
        <v>1480</v>
      </c>
      <c r="B9" s="2" t="s">
        <v>133</v>
      </c>
      <c r="C9" s="2">
        <f>IFERROR(50+VLOOKUP($A9,'SegEnds_Xtal_Prot#'!$A:$AY,5,FALSE)-VLOOKUP($B9,'SegEnds_NonXtal_Prot#'!$A:$AL,4,FALSE),"-")</f>
        <v>33</v>
      </c>
      <c r="D9" s="2">
        <f>IFERROR(50+VLOOKUP($A9,'SegEnds_Xtal_Prot#'!$A:$AY,7,FALSE)-VLOOKUP($B9,'SegEnds_NonXtal_Prot#'!$A:$AL,4,FALSE),"-")</f>
        <v>60</v>
      </c>
      <c r="E9" s="2">
        <f>IFERROR(50+VLOOKUP($A9,'SegEnds_Xtal_Prot#'!$A:$AY,9,FALSE)-VLOOKUP($B9,'SegEnds_NonXtal_Prot#'!$A:$AL,7,FALSE),"-")</f>
        <v>48</v>
      </c>
      <c r="F9" s="2">
        <f>IFERROR(50+VLOOKUP($A9,'SegEnds_Xtal_Prot#'!$A:$AY,11,FALSE)-VLOOKUP($B9,'SegEnds_NonXtal_Prot#'!$A:$AL,7,FALSE),"-")</f>
        <v>51</v>
      </c>
      <c r="G9" s="2">
        <f>IFERROR(50+VLOOKUP($A9,'SegEnds_Xtal_Prot#'!$A:$AY,13,FALSE)-VLOOKUP($B9,'SegEnds_NonXtal_Prot#'!$A:$AL,10,FALSE),"-")</f>
        <v>37</v>
      </c>
      <c r="H9" s="2">
        <f>IFERROR(50+VLOOKUP($A9,'SegEnds_Xtal_Prot#'!$A:$AY,15,FALSE)-VLOOKUP($B9,'SegEnds_NonXtal_Prot#'!$A:$AL,10,FALSE),"-")</f>
        <v>68</v>
      </c>
      <c r="I9" s="2">
        <f>IFERROR(50+VLOOKUP($A9,'SegEnds_Xtal_Prot#'!$A:$AY,17,FALSE)-VLOOKUP($B9,'SegEnds_NonXtal_Prot#'!$A:$AL,13,FALSE),"-")</f>
        <v>49</v>
      </c>
      <c r="J9" s="2">
        <f>IFERROR(50+VLOOKUP($A9,'SegEnds_Xtal_Prot#'!$A:$AY,19,FALSE)-VLOOKUP($B9,'SegEnds_NonXtal_Prot#'!$A:$AL,13,FALSE),"-")</f>
        <v>52</v>
      </c>
      <c r="K9" s="2">
        <f>IFERROR(50+VLOOKUP($A9,'SegEnds_Xtal_Prot#'!$A:$AY,21,FALSE)-VLOOKUP($B9,'SegEnds_NonXtal_Prot#'!$A:$AL,16,FALSE),"-")</f>
        <v>21</v>
      </c>
      <c r="L9" s="2">
        <f>IFERROR(50+VLOOKUP($A9,'SegEnds_Xtal_Prot#'!$A:$AY,23,FALSE)-VLOOKUP($B9,'SegEnds_NonXtal_Prot#'!$A:$AL,16,FALSE),"-")</f>
        <v>56</v>
      </c>
      <c r="M9" s="2">
        <f>IFERROR(50+VLOOKUP($A9,'SegEnds_Xtal_Prot#'!$A:$AY,25,FALSE)-VLOOKUP($B9,'SegEnds_NonXtal_Prot#'!$A:$AL,19,FALSE),"-")</f>
        <v>50</v>
      </c>
      <c r="N9" s="2">
        <f>IFERROR(50+VLOOKUP($A9,'SegEnds_Xtal_Prot#'!$A:$AY,27,FALSE)-VLOOKUP($B9,'SegEnds_NonXtal_Prot#'!$A:$AL,19,FALSE),"-")</f>
        <v>57</v>
      </c>
      <c r="O9" s="2">
        <f>IFERROR(50+VLOOKUP($A9,'SegEnds_Xtal_Prot#'!$A:$AY,29,FALSE)-VLOOKUP($B9,'SegEnds_NonXtal_Prot#'!$A:$AL,22,FALSE),"-")</f>
        <v>38</v>
      </c>
      <c r="P9" s="2">
        <f>IFERROR(50+VLOOKUP($A9,'SegEnds_Xtal_Prot#'!$A:$AY,31,FALSE)-VLOOKUP($B9,'SegEnds_NonXtal_Prot#'!$A:$AL,22,FALSE),"-")</f>
        <v>67</v>
      </c>
      <c r="Q9" s="2">
        <f>IFERROR(50+VLOOKUP($A9,'SegEnds_Xtal_Prot#'!$A:$AY,33,FALSE)-VLOOKUP($B9,'SegEnds_NonXtal_Prot#'!$A:$AL,25,FALSE),"-")</f>
        <v>50</v>
      </c>
      <c r="R9" s="2">
        <f>IFERROR(50+VLOOKUP($A9,'SegEnds_Xtal_Prot#'!$A:$AY,35,FALSE)-VLOOKUP($B9,'SegEnds_NonXtal_Prot#'!$A:$AL,25,FALSE),"-")</f>
        <v>52</v>
      </c>
      <c r="S9" s="2">
        <f>IFERROR(50+VLOOKUP($A9,'SegEnds_Xtal_Prot#'!$A:$AY,37,FALSE)-VLOOKUP($B9,'SegEnds_NonXtal_Prot#'!$A:$AL,28,FALSE),"-")</f>
        <v>35</v>
      </c>
      <c r="T9" s="2">
        <f>IFERROR(50+VLOOKUP($A9,'SegEnds_Xtal_Prot#'!$A:$AY,39,FALSE)-VLOOKUP($B9,'SegEnds_NonXtal_Prot#'!$A:$AL,28,FALSE),"-")</f>
        <v>74</v>
      </c>
      <c r="U9" s="2">
        <f>IFERROR(50+VLOOKUP($A9,'SegEnds_Xtal_Prot#'!$A:$AY,41,FALSE)-VLOOKUP($B9,'SegEnds_NonXtal_Prot#'!$A:$AL,31,FALSE),"-")</f>
        <v>24</v>
      </c>
      <c r="V9" s="2">
        <f>IFERROR(50+VLOOKUP($A9,'SegEnds_Xtal_Prot#'!$A:$AY,43,FALSE)-VLOOKUP($B9,'SegEnds_NonXtal_Prot#'!$A:$AL,31,FALSE),"-")</f>
        <v>61</v>
      </c>
      <c r="W9" s="2">
        <f>IFERROR(50+VLOOKUP($A9,'SegEnds_Xtal_Prot#'!$A:$AY,45,FALSE)-VLOOKUP($B9,'SegEnds_NonXtal_Prot#'!$A:$AL,34,FALSE),"-")</f>
        <v>27</v>
      </c>
      <c r="X9" s="2">
        <f>IFERROR(50+VLOOKUP($A9,'SegEnds_Xtal_Prot#'!$A:$AY,47,FALSE)-VLOOKUP($B9,'SegEnds_NonXtal_Prot#'!$A:$AL,34,FALSE),"-")</f>
        <v>56</v>
      </c>
      <c r="Y9" s="2">
        <f>IFERROR(50+VLOOKUP($A9,'SegEnds_Xtal_Prot#'!$A:$AY,49,FALSE)-VLOOKUP($B9,'SegEnds_NonXtal_Prot#'!$A:$AL,37,FALSE),"-")</f>
        <v>47</v>
      </c>
      <c r="Z9" s="2">
        <f>IFERROR(50+VLOOKUP($A9,'SegEnds_Xtal_Prot#'!$A:$AY,51,FALSE)-VLOOKUP($B9,'SegEnds_NonXtal_Prot#'!$A:$AL,37,FALSE),"-")</f>
        <v>60</v>
      </c>
      <c r="AA9" s="49" t="str">
        <f>VLOOKUP(B9,Classification!A:D,2,FALSE)</f>
        <v>A</v>
      </c>
      <c r="AB9" s="94" t="str">
        <f>VLOOKUP(B9,Classification!A:D,4,0)</f>
        <v>5-Hydroxytryptamine</v>
      </c>
      <c r="AC9" s="49">
        <f>VLOOKUP(B9,'SegEnds_NonXtal_Prot#'!A:AL,6,FALSE)-VLOOKUP(B9,'SegEnds_NonXtal_Prot#'!A:AL,5,FALSE)</f>
        <v>1</v>
      </c>
      <c r="AD9" s="49">
        <f>VLOOKUP(B9,'SegEnds_NonXtal_Prot#'!A:AL,9,FALSE)-VLOOKUP(B9,'SegEnds_NonXtal_Prot#'!A:AL,8,FALSE)</f>
        <v>1</v>
      </c>
      <c r="AE9" s="49">
        <f>VLOOKUP(B9,'SegEnds_NonXtal_Prot#'!A:AL,13,FALSE)-VLOOKUP(B9,'SegEnds_NonXtal_Prot#'!A:AL,10,FALSE)</f>
        <v>21</v>
      </c>
      <c r="AF9" s="49">
        <f>VLOOKUP(B9,'SegEnds_NonXtal_Prot#'!A:AL,12,FALSE)-VLOOKUP(B9,'SegEnds_NonXtal_Prot#'!A:AL,11,FALSE)</f>
        <v>2</v>
      </c>
      <c r="AG9" s="49">
        <f>VLOOKUP(B9,'SegEnds_NonXtal_Prot#'!A:AL,13,FALSE)-VLOOKUP(B9,'SegEnds_NonXtal_Prot#'!A:AL,11,FALSE)</f>
        <v>3</v>
      </c>
      <c r="AH9" s="49">
        <f>VLOOKUP(B9,'SegEnds_NonXtal_Prot#'!A:AL,16,FALSE)-VLOOKUP(B9,'SegEnds_NonXtal_Prot#'!A:AL,10,FALSE)</f>
        <v>53</v>
      </c>
      <c r="AI9" s="49">
        <f>VLOOKUP(B9,'SegEnds_NonXtal_Prot#'!A:AL,16,FALSE)-VLOOKUP(B9,'SegEnds_NonXtal_Prot#'!A:AL,11,FALSE)</f>
        <v>35</v>
      </c>
      <c r="AJ9" s="49">
        <f>VLOOKUP(B9,'SegEnds_NonXtal_Prot#'!A:AL,22,FALSE)-VLOOKUP(B9,'SegEnds_NonXtal_Prot#'!A:AL,19,FALSE)</f>
        <v>20</v>
      </c>
      <c r="AK9" s="49">
        <f>VLOOKUP(B9,'SegEnds_NonXtal_Prot#'!A:AL,15,FALSE)-VLOOKUP(B9,'SegEnds_NonXtal_Prot#'!A:AL,14,FALSE)</f>
        <v>1</v>
      </c>
      <c r="AL9" s="49">
        <f>VLOOKUP(B9,'SegEnds_NonXtal_Prot#'!A:AL,18,FALSE)-VLOOKUP(B9,'SegEnds_NonXtal_Prot#'!A:AL,17,FALSE)</f>
        <v>1</v>
      </c>
      <c r="AM9" s="2">
        <f>VLOOKUP(B9,'SegEnds_NonXtal_Prot#'!A:AL,34,FALSE)-VLOOKUP(B9,'SegEnds_NonXtal_Prot#'!A:AL,31,FALSE)</f>
        <v>39</v>
      </c>
      <c r="AN9" s="37"/>
    </row>
    <row r="10" spans="1:64" x14ac:dyDescent="0.2">
      <c r="A10" s="2" t="s">
        <v>1250</v>
      </c>
      <c r="B10" s="2" t="s">
        <v>149</v>
      </c>
      <c r="C10" s="2">
        <f>IFERROR(50+VLOOKUP($A10,'SegEnds_Xtal_Prot#'!$A:$AY,5,FALSE)-VLOOKUP($B10,'SegEnds_NonXtal_Prot#'!$A:$AL,4,FALSE),"-")</f>
        <v>26</v>
      </c>
      <c r="D10" s="2">
        <f>IFERROR(50+VLOOKUP($A10,'SegEnds_Xtal_Prot#'!$A:$AY,7,FALSE)-VLOOKUP($B10,'SegEnds_NonXtal_Prot#'!$A:$AL,4,FALSE),"-")</f>
        <v>60</v>
      </c>
      <c r="E10" s="2">
        <f>IFERROR(50+VLOOKUP($A10,'SegEnds_Xtal_Prot#'!$A:$AY,9,FALSE)-VLOOKUP($B10,'SegEnds_NonXtal_Prot#'!$A:$AL,7,FALSE),"-")</f>
        <v>48</v>
      </c>
      <c r="F10" s="2">
        <f>IFERROR(50+VLOOKUP($A10,'SegEnds_Xtal_Prot#'!$A:$AY,11,FALSE)-VLOOKUP($B10,'SegEnds_NonXtal_Prot#'!$A:$AL,7,FALSE),"-")</f>
        <v>51</v>
      </c>
      <c r="G10" s="2">
        <f>IFERROR(50+VLOOKUP($A10,'SegEnds_Xtal_Prot#'!$A:$AY,13,FALSE)-VLOOKUP($B10,'SegEnds_NonXtal_Prot#'!$A:$AL,10,FALSE),"-")</f>
        <v>37</v>
      </c>
      <c r="H10" s="2">
        <f>IFERROR(50+VLOOKUP($A10,'SegEnds_Xtal_Prot#'!$A:$AY,15,FALSE)-VLOOKUP($B10,'SegEnds_NonXtal_Prot#'!$A:$AL,10,FALSE),"-")</f>
        <v>67</v>
      </c>
      <c r="I10" s="2">
        <f>IFERROR(50+VLOOKUP($A10,'SegEnds_Xtal_Prot#'!$A:$AY,17,FALSE)-VLOOKUP($B10,'SegEnds_NonXtal_Prot#'!$A:$AL,13,FALSE),"-")</f>
        <v>49</v>
      </c>
      <c r="J10" s="2">
        <f>IFERROR(50+VLOOKUP($A10,'SegEnds_Xtal_Prot#'!$A:$AY,19,FALSE)-VLOOKUP($B10,'SegEnds_NonXtal_Prot#'!$A:$AL,13,FALSE),"-")</f>
        <v>52</v>
      </c>
      <c r="K10" s="2">
        <f>IFERROR(50+VLOOKUP($A10,'SegEnds_Xtal_Prot#'!$A:$AY,21,FALSE)-VLOOKUP($B10,'SegEnds_NonXtal_Prot#'!$A:$AL,16,FALSE),"-")</f>
        <v>21</v>
      </c>
      <c r="L10" s="2">
        <f>IFERROR(50+VLOOKUP($A10,'SegEnds_Xtal_Prot#'!$A:$AY,23,FALSE)-VLOOKUP($B10,'SegEnds_NonXtal_Prot#'!$A:$AL,16,FALSE),"-")</f>
        <v>56</v>
      </c>
      <c r="M10" s="2">
        <f>IFERROR(50+VLOOKUP($A10,'SegEnds_Xtal_Prot#'!$A:$AY,25,FALSE)-VLOOKUP($B10,'SegEnds_NonXtal_Prot#'!$A:$AL,19,FALSE),"-")</f>
        <v>50</v>
      </c>
      <c r="N10" s="2">
        <f>IFERROR(50+VLOOKUP($A10,'SegEnds_Xtal_Prot#'!$A:$AY,27,FALSE)-VLOOKUP($B10,'SegEnds_NonXtal_Prot#'!$A:$AL,19,FALSE),"-")</f>
        <v>57</v>
      </c>
      <c r="O10" s="2">
        <f>IFERROR(50+VLOOKUP($A10,'SegEnds_Xtal_Prot#'!$A:$AY,29,FALSE)-VLOOKUP($B10,'SegEnds_NonXtal_Prot#'!$A:$AL,22,FALSE),"-")</f>
        <v>38</v>
      </c>
      <c r="P10" s="2">
        <f>IFERROR(50+VLOOKUP($A10,'SegEnds_Xtal_Prot#'!$A:$AY,31,FALSE)-VLOOKUP($B10,'SegEnds_NonXtal_Prot#'!$A:$AL,22,FALSE),"-")</f>
        <v>69</v>
      </c>
      <c r="Q10" s="2">
        <f>IFERROR(50+VLOOKUP($A10,'SegEnds_Xtal_Prot#'!$A:$AY,33,FALSE)-VLOOKUP($B10,'SegEnds_NonXtal_Prot#'!$A:$AL,25,FALSE),"-")</f>
        <v>50</v>
      </c>
      <c r="R10" s="2">
        <f>IFERROR(50+VLOOKUP($A10,'SegEnds_Xtal_Prot#'!$A:$AY,35,FALSE)-VLOOKUP($B10,'SegEnds_NonXtal_Prot#'!$A:$AL,25,FALSE),"-")</f>
        <v>52</v>
      </c>
      <c r="S10" s="2">
        <f>IFERROR(50+VLOOKUP($A10,'SegEnds_Xtal_Prot#'!$A:$AY,37,FALSE)-VLOOKUP($B10,'SegEnds_NonXtal_Prot#'!$A:$AL,28,FALSE),"-")</f>
        <v>35</v>
      </c>
      <c r="T10" s="2">
        <f>IFERROR(50+VLOOKUP($A10,'SegEnds_Xtal_Prot#'!$A:$AY,39,FALSE)-VLOOKUP($B10,'SegEnds_NonXtal_Prot#'!$A:$AL,28,FALSE),"-")</f>
        <v>75</v>
      </c>
      <c r="U10" s="2">
        <f>IFERROR(50+VLOOKUP($A10,'SegEnds_Xtal_Prot#'!$A:$AY,41,FALSE)-VLOOKUP($B10,'SegEnds_NonXtal_Prot#'!$A:$AL,31,FALSE),"-")</f>
        <v>24</v>
      </c>
      <c r="V10" s="2">
        <f>IFERROR(50+VLOOKUP($A10,'SegEnds_Xtal_Prot#'!$A:$AY,43,FALSE)-VLOOKUP($B10,'SegEnds_NonXtal_Prot#'!$A:$AL,31,FALSE),"-")</f>
        <v>61</v>
      </c>
      <c r="W10" s="2">
        <f>IFERROR(50+VLOOKUP($A10,'SegEnds_Xtal_Prot#'!$A:$AY,45,FALSE)-VLOOKUP($B10,'SegEnds_NonXtal_Prot#'!$A:$AL,34,FALSE),"-")</f>
        <v>31</v>
      </c>
      <c r="X10" s="2">
        <f>IFERROR(50+VLOOKUP($A10,'SegEnds_Xtal_Prot#'!$A:$AY,47,FALSE)-VLOOKUP($B10,'SegEnds_NonXtal_Prot#'!$A:$AL,34,FALSE),"-")</f>
        <v>56</v>
      </c>
      <c r="Y10" s="2">
        <f>IFERROR(50+VLOOKUP($A10,'SegEnds_Xtal_Prot#'!$A:$AY,49,FALSE)-VLOOKUP($B10,'SegEnds_NonXtal_Prot#'!$A:$AL,37,FALSE),"-")</f>
        <v>47</v>
      </c>
      <c r="Z10" s="2">
        <f>IFERROR(50+VLOOKUP($A10,'SegEnds_Xtal_Prot#'!$A:$AY,51,FALSE)-VLOOKUP($B10,'SegEnds_NonXtal_Prot#'!$A:$AL,37,FALSE),"-")</f>
        <v>59</v>
      </c>
      <c r="AA10" s="49" t="str">
        <f>VLOOKUP(B10,Classification!A:D,2,FALSE)</f>
        <v>A</v>
      </c>
      <c r="AB10" s="94" t="str">
        <f>VLOOKUP(B10,Classification!A:D,4,0)</f>
        <v>Acetylcholine(muscarinic)</v>
      </c>
      <c r="AC10" s="49">
        <f>VLOOKUP(B10,'SegEnds_NonXtal_Prot#'!A:AL,6,FALSE)-VLOOKUP(B10,'SegEnds_NonXtal_Prot#'!A:AL,5,FALSE)</f>
        <v>1</v>
      </c>
      <c r="AD10" s="49">
        <f>VLOOKUP(B10,'SegEnds_NonXtal_Prot#'!A:AL,9,FALSE)-VLOOKUP(B10,'SegEnds_NonXtal_Prot#'!A:AL,8,FALSE)</f>
        <v>1</v>
      </c>
      <c r="AE10" s="49">
        <f>VLOOKUP(B10,'SegEnds_NonXtal_Prot#'!A:AL,13,FALSE)-VLOOKUP(B10,'SegEnds_NonXtal_Prot#'!A:AL,10,FALSE)</f>
        <v>20</v>
      </c>
      <c r="AF10" s="49">
        <f>VLOOKUP(B10,'SegEnds_NonXtal_Prot#'!A:AL,12,FALSE)-VLOOKUP(B10,'SegEnds_NonXtal_Prot#'!A:AL,11,FALSE)</f>
        <v>2</v>
      </c>
      <c r="AG10" s="49">
        <f>VLOOKUP(B10,'SegEnds_NonXtal_Prot#'!A:AL,13,FALSE)-VLOOKUP(B10,'SegEnds_NonXtal_Prot#'!A:AL,11,FALSE)</f>
        <v>3</v>
      </c>
      <c r="AH10" s="49">
        <f>VLOOKUP(B10,'SegEnds_NonXtal_Prot#'!A:AL,16,FALSE)-VLOOKUP(B10,'SegEnds_NonXtal_Prot#'!A:AL,10,FALSE)</f>
        <v>52</v>
      </c>
      <c r="AI10" s="49">
        <f>VLOOKUP(B10,'SegEnds_NonXtal_Prot#'!A:AL,16,FALSE)-VLOOKUP(B10,'SegEnds_NonXtal_Prot#'!A:AL,11,FALSE)</f>
        <v>35</v>
      </c>
      <c r="AJ10" s="49">
        <f>VLOOKUP(B10,'SegEnds_NonXtal_Prot#'!A:AL,22,FALSE)-VLOOKUP(B10,'SegEnds_NonXtal_Prot#'!A:AL,19,FALSE)</f>
        <v>20</v>
      </c>
      <c r="AK10" s="49">
        <f>VLOOKUP(B10,'SegEnds_NonXtal_Prot#'!A:AL,15,FALSE)-VLOOKUP(B10,'SegEnds_NonXtal_Prot#'!A:AL,14,FALSE)</f>
        <v>1</v>
      </c>
      <c r="AL10" s="49">
        <f>VLOOKUP(B10,'SegEnds_NonXtal_Prot#'!A:AL,18,FALSE)-VLOOKUP(B10,'SegEnds_NonXtal_Prot#'!A:AL,17,FALSE)</f>
        <v>1</v>
      </c>
      <c r="AM10" s="2">
        <f>VLOOKUP(B10,'SegEnds_NonXtal_Prot#'!A:AL,34,FALSE)-VLOOKUP(B10,'SegEnds_NonXtal_Prot#'!A:AL,31,FALSE)</f>
        <v>35</v>
      </c>
      <c r="AN10" s="37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</row>
    <row r="11" spans="1:64" s="2" customFormat="1" x14ac:dyDescent="0.2">
      <c r="A11" s="2" t="s">
        <v>1247</v>
      </c>
      <c r="B11" s="2" t="s">
        <v>146</v>
      </c>
      <c r="C11" s="2">
        <f>IFERROR(50+VLOOKUP($A11,'SegEnds_Xtal_Prot#'!$A:$AY,5,FALSE)-VLOOKUP($B11,'SegEnds_NonXtal_Prot#'!$A:$AL,4,FALSE),"-")</f>
        <v>29</v>
      </c>
      <c r="D11" s="2">
        <f>IFERROR(50+VLOOKUP($A11,'SegEnds_Xtal_Prot#'!$A:$AY,7,FALSE)-VLOOKUP($B11,'SegEnds_NonXtal_Prot#'!$A:$AL,4,FALSE),"-")</f>
        <v>60</v>
      </c>
      <c r="E11" s="2">
        <f>IFERROR(50+VLOOKUP($A11,'SegEnds_Xtal_Prot#'!$A:$AY,9,FALSE)-VLOOKUP($B11,'SegEnds_NonXtal_Prot#'!$A:$AL,7,FALSE),"-")</f>
        <v>48</v>
      </c>
      <c r="F11" s="2">
        <f>IFERROR(50+VLOOKUP($A11,'SegEnds_Xtal_Prot#'!$A:$AY,11,FALSE)-VLOOKUP($B11,'SegEnds_NonXtal_Prot#'!$A:$AL,7,FALSE),"-")</f>
        <v>51</v>
      </c>
      <c r="G11" s="2">
        <f>IFERROR(50+VLOOKUP($A11,'SegEnds_Xtal_Prot#'!$A:$AY,13,FALSE)-VLOOKUP($B11,'SegEnds_NonXtal_Prot#'!$A:$AL,10,FALSE),"-")</f>
        <v>37</v>
      </c>
      <c r="H11" s="2">
        <f>IFERROR(50+VLOOKUP($A11,'SegEnds_Xtal_Prot#'!$A:$AY,15,FALSE)-VLOOKUP($B11,'SegEnds_NonXtal_Prot#'!$A:$AL,10,FALSE),"-")</f>
        <v>68</v>
      </c>
      <c r="I11" s="2">
        <f>IFERROR(50+VLOOKUP($A11,'SegEnds_Xtal_Prot#'!$A:$AY,17,FALSE)-VLOOKUP($B11,'SegEnds_NonXtal_Prot#'!$A:$AL,13,FALSE),"-")</f>
        <v>49</v>
      </c>
      <c r="J11" s="2">
        <f>IFERROR(50+VLOOKUP($A11,'SegEnds_Xtal_Prot#'!$A:$AY,19,FALSE)-VLOOKUP($B11,'SegEnds_NonXtal_Prot#'!$A:$AL,13,FALSE),"-")</f>
        <v>52</v>
      </c>
      <c r="K11" s="2">
        <f>IFERROR(50+VLOOKUP($A11,'SegEnds_Xtal_Prot#'!$A:$AY,21,FALSE)-VLOOKUP($B11,'SegEnds_NonXtal_Prot#'!$A:$AL,16,FALSE),"-")</f>
        <v>21</v>
      </c>
      <c r="L11" s="2">
        <f>IFERROR(50+VLOOKUP($A11,'SegEnds_Xtal_Prot#'!$A:$AY,23,FALSE)-VLOOKUP($B11,'SegEnds_NonXtal_Prot#'!$A:$AL,16,FALSE),"-")</f>
        <v>56</v>
      </c>
      <c r="M11" s="2">
        <f>IFERROR(50+VLOOKUP($A11,'SegEnds_Xtal_Prot#'!$A:$AY,25,FALSE)-VLOOKUP($B11,'SegEnds_NonXtal_Prot#'!$A:$AL,19,FALSE),"-")</f>
        <v>50</v>
      </c>
      <c r="N11" s="2">
        <f>IFERROR(50+VLOOKUP($A11,'SegEnds_Xtal_Prot#'!$A:$AY,27,FALSE)-VLOOKUP($B11,'SegEnds_NonXtal_Prot#'!$A:$AL,19,FALSE),"-")</f>
        <v>57</v>
      </c>
      <c r="O11" s="2">
        <f>IFERROR(50+VLOOKUP($A11,'SegEnds_Xtal_Prot#'!$A:$AY,29,FALSE)-VLOOKUP($B11,'SegEnds_NonXtal_Prot#'!$A:$AL,22,FALSE),"-")</f>
        <v>38</v>
      </c>
      <c r="P11" s="2">
        <f>IFERROR(50+VLOOKUP($A11,'SegEnds_Xtal_Prot#'!$A:$AY,31,FALSE)-VLOOKUP($B11,'SegEnds_NonXtal_Prot#'!$A:$AL,22,FALSE),"-")</f>
        <v>69</v>
      </c>
      <c r="Q11" s="2">
        <f>IFERROR(50+VLOOKUP($A11,'SegEnds_Xtal_Prot#'!$A:$AY,33,FALSE)-VLOOKUP($B11,'SegEnds_NonXtal_Prot#'!$A:$AL,25,FALSE),"-")</f>
        <v>50</v>
      </c>
      <c r="R11" s="2">
        <f>IFERROR(50+VLOOKUP($A11,'SegEnds_Xtal_Prot#'!$A:$AY,35,FALSE)-VLOOKUP($B11,'SegEnds_NonXtal_Prot#'!$A:$AL,25,FALSE),"-")</f>
        <v>52</v>
      </c>
      <c r="S11" s="2">
        <f>IFERROR(50+VLOOKUP($A11,'SegEnds_Xtal_Prot#'!$A:$AY,37,FALSE)-VLOOKUP($B11,'SegEnds_NonXtal_Prot#'!$A:$AL,28,FALSE),"-")</f>
        <v>35</v>
      </c>
      <c r="T11" s="2">
        <f>IFERROR(50+VLOOKUP($A11,'SegEnds_Xtal_Prot#'!$A:$AY,39,FALSE)-VLOOKUP($B11,'SegEnds_NonXtal_Prot#'!$A:$AL,28,FALSE),"-")</f>
        <v>75</v>
      </c>
      <c r="U11" s="2">
        <f>IFERROR(50+VLOOKUP($A11,'SegEnds_Xtal_Prot#'!$A:$AY,41,FALSE)-VLOOKUP($B11,'SegEnds_NonXtal_Prot#'!$A:$AL,31,FALSE),"-")</f>
        <v>24</v>
      </c>
      <c r="V11" s="2">
        <f>IFERROR(50+VLOOKUP($A11,'SegEnds_Xtal_Prot#'!$A:$AY,43,FALSE)-VLOOKUP($B11,'SegEnds_NonXtal_Prot#'!$A:$AL,31,FALSE),"-")</f>
        <v>61</v>
      </c>
      <c r="W11" s="2">
        <f>IFERROR(50+VLOOKUP($A11,'SegEnds_Xtal_Prot#'!$A:$AY,45,FALSE)-VLOOKUP($B11,'SegEnds_NonXtal_Prot#'!$A:$AL,34,FALSE),"-")</f>
        <v>31</v>
      </c>
      <c r="X11" s="2">
        <f>IFERROR(50+VLOOKUP($A11,'SegEnds_Xtal_Prot#'!$A:$AY,47,FALSE)-VLOOKUP($B11,'SegEnds_NonXtal_Prot#'!$A:$AL,34,FALSE),"-")</f>
        <v>56</v>
      </c>
      <c r="Y11" s="2">
        <f>IFERROR(50+VLOOKUP($A11,'SegEnds_Xtal_Prot#'!$A:$AY,49,FALSE)-VLOOKUP($B11,'SegEnds_NonXtal_Prot#'!$A:$AL,37,FALSE),"-")</f>
        <v>47</v>
      </c>
      <c r="Z11" s="2">
        <f>IFERROR(50+VLOOKUP($A11,'SegEnds_Xtal_Prot#'!$A:$AY,51,FALSE)-VLOOKUP($B11,'SegEnds_NonXtal_Prot#'!$A:$AL,37,FALSE),"-")</f>
        <v>59</v>
      </c>
      <c r="AA11" s="49" t="str">
        <f>VLOOKUP(B11,Classification!A:D,2,FALSE)</f>
        <v>A</v>
      </c>
      <c r="AB11" s="94" t="str">
        <f>VLOOKUP(B11,Classification!A:D,4,0)</f>
        <v>Acetylcholine(muscarinic)</v>
      </c>
      <c r="AC11" s="49">
        <f>VLOOKUP(B11,'SegEnds_NonXtal_Prot#'!A:AL,6,FALSE)-VLOOKUP(B11,'SegEnds_NonXtal_Prot#'!A:AL,5,FALSE)</f>
        <v>1</v>
      </c>
      <c r="AD11" s="49">
        <f>VLOOKUP(B11,'SegEnds_NonXtal_Prot#'!A:AL,9,FALSE)-VLOOKUP(B11,'SegEnds_NonXtal_Prot#'!A:AL,8,FALSE)</f>
        <v>1</v>
      </c>
      <c r="AE11" s="49">
        <f>VLOOKUP(B11,'SegEnds_NonXtal_Prot#'!A:AL,13,FALSE)-VLOOKUP(B11,'SegEnds_NonXtal_Prot#'!A:AL,10,FALSE)</f>
        <v>20</v>
      </c>
      <c r="AF11" s="49">
        <f>VLOOKUP(B11,'SegEnds_NonXtal_Prot#'!A:AL,12,FALSE)-VLOOKUP(B11,'SegEnds_NonXtal_Prot#'!A:AL,11,FALSE)</f>
        <v>1</v>
      </c>
      <c r="AG11" s="49">
        <f>VLOOKUP(B11,'SegEnds_NonXtal_Prot#'!A:AL,13,FALSE)-VLOOKUP(B11,'SegEnds_NonXtal_Prot#'!A:AL,11,FALSE)</f>
        <v>2</v>
      </c>
      <c r="AH11" s="49">
        <f>VLOOKUP(B11,'SegEnds_NonXtal_Prot#'!A:AL,16,FALSE)-VLOOKUP(B11,'SegEnds_NonXtal_Prot#'!A:AL,10,FALSE)</f>
        <v>52</v>
      </c>
      <c r="AI11" s="49">
        <f>VLOOKUP(B11,'SegEnds_NonXtal_Prot#'!A:AL,16,FALSE)-VLOOKUP(B11,'SegEnds_NonXtal_Prot#'!A:AL,11,FALSE)</f>
        <v>34</v>
      </c>
      <c r="AJ11" s="49">
        <f>VLOOKUP(B11,'SegEnds_NonXtal_Prot#'!A:AL,22,FALSE)-VLOOKUP(B11,'SegEnds_NonXtal_Prot#'!A:AL,19,FALSE)</f>
        <v>20</v>
      </c>
      <c r="AK11" s="49">
        <f>VLOOKUP(B11,'SegEnds_NonXtal_Prot#'!A:AL,15,FALSE)-VLOOKUP(B11,'SegEnds_NonXtal_Prot#'!A:AL,14,FALSE)</f>
        <v>1</v>
      </c>
      <c r="AL11" s="49">
        <f>VLOOKUP(B11,'SegEnds_NonXtal_Prot#'!A:AL,18,FALSE)-VLOOKUP(B11,'SegEnds_NonXtal_Prot#'!A:AL,17,FALSE)</f>
        <v>1</v>
      </c>
      <c r="AM11" s="2">
        <f>VLOOKUP(B11,'SegEnds_NonXtal_Prot#'!A:AL,34,FALSE)-VLOOKUP(B11,'SegEnds_NonXtal_Prot#'!A:AL,31,FALSE)</f>
        <v>35</v>
      </c>
      <c r="AN11" s="37"/>
    </row>
    <row r="12" spans="1:64" s="2" customFormat="1" x14ac:dyDescent="0.2">
      <c r="A12" s="2" t="s">
        <v>1249</v>
      </c>
      <c r="B12" s="2" t="s">
        <v>910</v>
      </c>
      <c r="C12" s="2">
        <f>IFERROR(50+VLOOKUP($A12,'SegEnds_Xtal_Prot#'!$A:$AY,5,FALSE)-VLOOKUP($B12,'SegEnds_NonXtal_Prot#'!$A:$AL,4,FALSE),"-")</f>
        <v>29</v>
      </c>
      <c r="D12" s="2">
        <f>IFERROR(50+VLOOKUP($A12,'SegEnds_Xtal_Prot#'!$A:$AY,7,FALSE)-VLOOKUP($B12,'SegEnds_NonXtal_Prot#'!$A:$AL,4,FALSE),"-")</f>
        <v>60</v>
      </c>
      <c r="E12" s="2">
        <f>IFERROR(50+VLOOKUP($A12,'SegEnds_Xtal_Prot#'!$A:$AY,9,FALSE)-VLOOKUP($B12,'SegEnds_NonXtal_Prot#'!$A:$AL,7,FALSE),"-")</f>
        <v>48</v>
      </c>
      <c r="F12" s="2">
        <f>IFERROR(50+VLOOKUP($A12,'SegEnds_Xtal_Prot#'!$A:$AY,11,FALSE)-VLOOKUP($B12,'SegEnds_NonXtal_Prot#'!$A:$AL,7,FALSE),"-")</f>
        <v>51</v>
      </c>
      <c r="G12" s="2">
        <f>IFERROR(50+VLOOKUP($A12,'SegEnds_Xtal_Prot#'!$A:$AY,13,FALSE)-VLOOKUP($B12,'SegEnds_NonXtal_Prot#'!$A:$AL,10,FALSE),"-")</f>
        <v>37</v>
      </c>
      <c r="H12" s="2">
        <f>IFERROR(50+VLOOKUP($A12,'SegEnds_Xtal_Prot#'!$A:$AY,15,FALSE)-VLOOKUP($B12,'SegEnds_NonXtal_Prot#'!$A:$AL,10,FALSE),"-")</f>
        <v>67</v>
      </c>
      <c r="I12" s="2">
        <f>IFERROR(50+VLOOKUP($A12,'SegEnds_Xtal_Prot#'!$A:$AY,17,FALSE)-VLOOKUP($B12,'SegEnds_NonXtal_Prot#'!$A:$AL,13,FALSE),"-")</f>
        <v>49</v>
      </c>
      <c r="J12" s="2">
        <f>IFERROR(50+VLOOKUP($A12,'SegEnds_Xtal_Prot#'!$A:$AY,19,FALSE)-VLOOKUP($B12,'SegEnds_NonXtal_Prot#'!$A:$AL,13,FALSE),"-")</f>
        <v>52</v>
      </c>
      <c r="K12" s="2">
        <f>IFERROR(50+VLOOKUP($A12,'SegEnds_Xtal_Prot#'!$A:$AY,21,FALSE)-VLOOKUP($B12,'SegEnds_NonXtal_Prot#'!$A:$AL,16,FALSE),"-")</f>
        <v>21</v>
      </c>
      <c r="L12" s="2">
        <f>IFERROR(50+VLOOKUP($A12,'SegEnds_Xtal_Prot#'!$A:$AY,23,FALSE)-VLOOKUP($B12,'SegEnds_NonXtal_Prot#'!$A:$AL,16,FALSE),"-")</f>
        <v>56</v>
      </c>
      <c r="M12" s="2">
        <f>IFERROR(50+VLOOKUP($A12,'SegEnds_Xtal_Prot#'!$A:$AY,25,FALSE)-VLOOKUP($B12,'SegEnds_NonXtal_Prot#'!$A:$AL,19,FALSE),"-")</f>
        <v>50</v>
      </c>
      <c r="N12" s="2">
        <f>IFERROR(50+VLOOKUP($A12,'SegEnds_Xtal_Prot#'!$A:$AY,27,FALSE)-VLOOKUP($B12,'SegEnds_NonXtal_Prot#'!$A:$AL,19,FALSE),"-")</f>
        <v>57</v>
      </c>
      <c r="O12" s="2">
        <f>IFERROR(50+VLOOKUP($A12,'SegEnds_Xtal_Prot#'!$A:$AY,29,FALSE)-VLOOKUP($B12,'SegEnds_NonXtal_Prot#'!$A:$AL,22,FALSE),"-")</f>
        <v>38</v>
      </c>
      <c r="P12" s="2">
        <f>IFERROR(50+VLOOKUP($A12,'SegEnds_Xtal_Prot#'!$A:$AY,31,FALSE)-VLOOKUP($B12,'SegEnds_NonXtal_Prot#'!$A:$AL,22,FALSE),"-")</f>
        <v>69</v>
      </c>
      <c r="Q12" s="2">
        <f>IFERROR(50+VLOOKUP($A12,'SegEnds_Xtal_Prot#'!$A:$AY,33,FALSE)-VLOOKUP($B12,'SegEnds_NonXtal_Prot#'!$A:$AL,25,FALSE),"-")</f>
        <v>50</v>
      </c>
      <c r="R12" s="2">
        <f>IFERROR(50+VLOOKUP($A12,'SegEnds_Xtal_Prot#'!$A:$AY,35,FALSE)-VLOOKUP($B12,'SegEnds_NonXtal_Prot#'!$A:$AL,25,FALSE),"-")</f>
        <v>52</v>
      </c>
      <c r="S12" s="2">
        <f>IFERROR(50+VLOOKUP($A12,'SegEnds_Xtal_Prot#'!$A:$AY,37,FALSE)-VLOOKUP($B12,'SegEnds_NonXtal_Prot#'!$A:$AL,28,FALSE),"-")</f>
        <v>35</v>
      </c>
      <c r="T12" s="2">
        <f>IFERROR(50+VLOOKUP($A12,'SegEnds_Xtal_Prot#'!$A:$AY,39,FALSE)-VLOOKUP($B12,'SegEnds_NonXtal_Prot#'!$A:$AL,28,FALSE),"-")</f>
        <v>75</v>
      </c>
      <c r="U12" s="2">
        <f>IFERROR(50+VLOOKUP($A12,'SegEnds_Xtal_Prot#'!$A:$AY,41,FALSE)-VLOOKUP($B12,'SegEnds_NonXtal_Prot#'!$A:$AL,31,FALSE),"-")</f>
        <v>24</v>
      </c>
      <c r="V12" s="2">
        <f>IFERROR(50+VLOOKUP($A12,'SegEnds_Xtal_Prot#'!$A:$AY,43,FALSE)-VLOOKUP($B12,'SegEnds_NonXtal_Prot#'!$A:$AL,31,FALSE),"-")</f>
        <v>61</v>
      </c>
      <c r="W12" s="2">
        <f>IFERROR(50+VLOOKUP($A12,'SegEnds_Xtal_Prot#'!$A:$AY,45,FALSE)-VLOOKUP($B12,'SegEnds_NonXtal_Prot#'!$A:$AL,34,FALSE),"-")</f>
        <v>31</v>
      </c>
      <c r="X12" s="2">
        <f>IFERROR(50+VLOOKUP($A12,'SegEnds_Xtal_Prot#'!$A:$AY,47,FALSE)-VLOOKUP($B12,'SegEnds_NonXtal_Prot#'!$A:$AL,34,FALSE),"-")</f>
        <v>56</v>
      </c>
      <c r="Y12" s="2">
        <f>IFERROR(50+VLOOKUP($A12,'SegEnds_Xtal_Prot#'!$A:$AY,49,FALSE)-VLOOKUP($B12,'SegEnds_NonXtal_Prot#'!$A:$AL,37,FALSE),"-")</f>
        <v>47</v>
      </c>
      <c r="Z12" s="2">
        <f>IFERROR(50+VLOOKUP($A12,'SegEnds_Xtal_Prot#'!$A:$AY,51,FALSE)-VLOOKUP($B12,'SegEnds_NonXtal_Prot#'!$A:$AL,37,FALSE),"-")</f>
        <v>58</v>
      </c>
      <c r="AA12" s="49" t="str">
        <f>VLOOKUP(B12,Classification!A:D,2,FALSE)</f>
        <v>A</v>
      </c>
      <c r="AB12" s="94" t="str">
        <f>VLOOKUP(B12,Classification!A:D,4,0)</f>
        <v>Acetylcholine(muscarinic)</v>
      </c>
      <c r="AC12" s="49">
        <f>VLOOKUP(B12,'SegEnds_NonXtal_Prot#'!A:AL,6,FALSE)-VLOOKUP(B12,'SegEnds_NonXtal_Prot#'!A:AL,5,FALSE)</f>
        <v>1</v>
      </c>
      <c r="AD12" s="49">
        <f>VLOOKUP(B12,'SegEnds_NonXtal_Prot#'!A:AL,9,FALSE)-VLOOKUP(B12,'SegEnds_NonXtal_Prot#'!A:AL,8,FALSE)</f>
        <v>1</v>
      </c>
      <c r="AE12" s="49">
        <f>VLOOKUP(B12,'SegEnds_NonXtal_Prot#'!A:AL,13,FALSE)-VLOOKUP(B12,'SegEnds_NonXtal_Prot#'!A:AL,10,FALSE)</f>
        <v>20</v>
      </c>
      <c r="AF12" s="49">
        <f>VLOOKUP(B12,'SegEnds_NonXtal_Prot#'!A:AL,12,FALSE)-VLOOKUP(B12,'SegEnds_NonXtal_Prot#'!A:AL,11,FALSE)</f>
        <v>2</v>
      </c>
      <c r="AG12" s="49">
        <f>VLOOKUP(B12,'SegEnds_NonXtal_Prot#'!A:AL,13,FALSE)-VLOOKUP(B12,'SegEnds_NonXtal_Prot#'!A:AL,11,FALSE)</f>
        <v>3</v>
      </c>
      <c r="AH12" s="49">
        <f>VLOOKUP(B12,'SegEnds_NonXtal_Prot#'!A:AL,16,FALSE)-VLOOKUP(B12,'SegEnds_NonXtal_Prot#'!A:AL,10,FALSE)</f>
        <v>52</v>
      </c>
      <c r="AI12" s="49">
        <f>VLOOKUP(B12,'SegEnds_NonXtal_Prot#'!A:AL,16,FALSE)-VLOOKUP(B12,'SegEnds_NonXtal_Prot#'!A:AL,11,FALSE)</f>
        <v>35</v>
      </c>
      <c r="AJ12" s="49">
        <f>VLOOKUP(B12,'SegEnds_NonXtal_Prot#'!A:AL,22,FALSE)-VLOOKUP(B12,'SegEnds_NonXtal_Prot#'!A:AL,19,FALSE)</f>
        <v>20</v>
      </c>
      <c r="AK12" s="49">
        <f>VLOOKUP(B12,'SegEnds_NonXtal_Prot#'!A:AL,15,FALSE)-VLOOKUP(B12,'SegEnds_NonXtal_Prot#'!A:AL,14,FALSE)</f>
        <v>1</v>
      </c>
      <c r="AL12" s="49">
        <f>VLOOKUP(B12,'SegEnds_NonXtal_Prot#'!A:AL,18,FALSE)-VLOOKUP(B12,'SegEnds_NonXtal_Prot#'!A:AL,17,FALSE)</f>
        <v>1</v>
      </c>
      <c r="AM12" s="2">
        <f>VLOOKUP(B12,'SegEnds_NonXtal_Prot#'!A:AL,34,FALSE)-VLOOKUP(B12,'SegEnds_NonXtal_Prot#'!A:AL,31,FALSE)</f>
        <v>35</v>
      </c>
      <c r="AN12" s="37"/>
    </row>
    <row r="13" spans="1:64" s="2" customFormat="1" x14ac:dyDescent="0.2">
      <c r="A13" s="2" t="s">
        <v>1248</v>
      </c>
      <c r="B13" s="2" t="s">
        <v>147</v>
      </c>
      <c r="C13" s="2">
        <f>IFERROR(50+VLOOKUP($A13,'SegEnds_Xtal_Prot#'!$A:$AY,5,FALSE)-VLOOKUP($B13,'SegEnds_NonXtal_Prot#'!$A:$AL,4,FALSE),"-")</f>
        <v>28</v>
      </c>
      <c r="D13" s="2">
        <f>IFERROR(50+VLOOKUP($A13,'SegEnds_Xtal_Prot#'!$A:$AY,7,FALSE)-VLOOKUP($B13,'SegEnds_NonXtal_Prot#'!$A:$AL,4,FALSE),"-")</f>
        <v>60</v>
      </c>
      <c r="E13" s="2">
        <f>IFERROR(50+VLOOKUP($A13,'SegEnds_Xtal_Prot#'!$A:$AY,9,FALSE)-VLOOKUP($B13,'SegEnds_NonXtal_Prot#'!$A:$AL,7,FALSE),"-")</f>
        <v>48</v>
      </c>
      <c r="F13" s="2">
        <f>IFERROR(50+VLOOKUP($A13,'SegEnds_Xtal_Prot#'!$A:$AY,11,FALSE)-VLOOKUP($B13,'SegEnds_NonXtal_Prot#'!$A:$AL,7,FALSE),"-")</f>
        <v>51</v>
      </c>
      <c r="G13" s="2">
        <f>IFERROR(50+VLOOKUP($A13,'SegEnds_Xtal_Prot#'!$A:$AY,13,FALSE)-VLOOKUP($B13,'SegEnds_NonXtal_Prot#'!$A:$AL,10,FALSE),"-")</f>
        <v>37</v>
      </c>
      <c r="H13" s="2">
        <f>IFERROR(50+VLOOKUP($A13,'SegEnds_Xtal_Prot#'!$A:$AY,15,FALSE)-VLOOKUP($B13,'SegEnds_NonXtal_Prot#'!$A:$AL,10,FALSE),"-")</f>
        <v>68</v>
      </c>
      <c r="I13" s="2">
        <f>IFERROR(50+VLOOKUP($A13,'SegEnds_Xtal_Prot#'!$A:$AY,17,FALSE)-VLOOKUP($B13,'SegEnds_NonXtal_Prot#'!$A:$AL,13,FALSE),"-")</f>
        <v>49</v>
      </c>
      <c r="J13" s="2">
        <f>IFERROR(50+VLOOKUP($A13,'SegEnds_Xtal_Prot#'!$A:$AY,19,FALSE)-VLOOKUP($B13,'SegEnds_NonXtal_Prot#'!$A:$AL,13,FALSE),"-")</f>
        <v>52</v>
      </c>
      <c r="K13" s="2">
        <f>IFERROR(50+VLOOKUP($A13,'SegEnds_Xtal_Prot#'!$A:$AY,21,FALSE)-VLOOKUP($B13,'SegEnds_NonXtal_Prot#'!$A:$AL,16,FALSE),"-")</f>
        <v>21</v>
      </c>
      <c r="L13" s="2">
        <f>IFERROR(50+VLOOKUP($A13,'SegEnds_Xtal_Prot#'!$A:$AY,23,FALSE)-VLOOKUP($B13,'SegEnds_NonXtal_Prot#'!$A:$AL,16,FALSE),"-")</f>
        <v>56</v>
      </c>
      <c r="M13" s="2">
        <f>IFERROR(50+VLOOKUP($A13,'SegEnds_Xtal_Prot#'!$A:$AY,25,FALSE)-VLOOKUP($B13,'SegEnds_NonXtal_Prot#'!$A:$AL,19,FALSE),"-")</f>
        <v>50</v>
      </c>
      <c r="N13" s="2">
        <f>IFERROR(50+VLOOKUP($A13,'SegEnds_Xtal_Prot#'!$A:$AY,27,FALSE)-VLOOKUP($B13,'SegEnds_NonXtal_Prot#'!$A:$AL,19,FALSE),"-")</f>
        <v>57</v>
      </c>
      <c r="O13" s="2">
        <f>IFERROR(50+VLOOKUP($A13,'SegEnds_Xtal_Prot#'!$A:$AY,29,FALSE)-VLOOKUP($B13,'SegEnds_NonXtal_Prot#'!$A:$AL,22,FALSE),"-")</f>
        <v>38</v>
      </c>
      <c r="P13" s="2">
        <f>IFERROR(50+VLOOKUP($A13,'SegEnds_Xtal_Prot#'!$A:$AY,31,FALSE)-VLOOKUP($B13,'SegEnds_NonXtal_Prot#'!$A:$AL,22,FALSE),"-")</f>
        <v>69</v>
      </c>
      <c r="Q13" s="2">
        <f>IFERROR(50+VLOOKUP($A13,'SegEnds_Xtal_Prot#'!$A:$AY,33,FALSE)-VLOOKUP($B13,'SegEnds_NonXtal_Prot#'!$A:$AL,25,FALSE),"-")</f>
        <v>50</v>
      </c>
      <c r="R13" s="2">
        <f>IFERROR(50+VLOOKUP($A13,'SegEnds_Xtal_Prot#'!$A:$AY,35,FALSE)-VLOOKUP($B13,'SegEnds_NonXtal_Prot#'!$A:$AL,25,FALSE),"-")</f>
        <v>52</v>
      </c>
      <c r="S13" s="2">
        <f>IFERROR(50+VLOOKUP($A13,'SegEnds_Xtal_Prot#'!$A:$AY,37,FALSE)-VLOOKUP($B13,'SegEnds_NonXtal_Prot#'!$A:$AL,28,FALSE),"-")</f>
        <v>35</v>
      </c>
      <c r="T13" s="2">
        <f>IFERROR(50+VLOOKUP($A13,'SegEnds_Xtal_Prot#'!$A:$AY,39,FALSE)-VLOOKUP($B13,'SegEnds_NonXtal_Prot#'!$A:$AL,28,FALSE),"-")</f>
        <v>75</v>
      </c>
      <c r="U13" s="2">
        <f>IFERROR(50+VLOOKUP($A13,'SegEnds_Xtal_Prot#'!$A:$AY,41,FALSE)-VLOOKUP($B13,'SegEnds_NonXtal_Prot#'!$A:$AL,31,FALSE),"-")</f>
        <v>24</v>
      </c>
      <c r="V13" s="2">
        <f>IFERROR(50+VLOOKUP($A13,'SegEnds_Xtal_Prot#'!$A:$AY,43,FALSE)-VLOOKUP($B13,'SegEnds_NonXtal_Prot#'!$A:$AL,31,FALSE),"-")</f>
        <v>61</v>
      </c>
      <c r="W13" s="2">
        <f>IFERROR(50+VLOOKUP($A13,'SegEnds_Xtal_Prot#'!$A:$AY,45,FALSE)-VLOOKUP($B13,'SegEnds_NonXtal_Prot#'!$A:$AL,34,FALSE),"-")</f>
        <v>31</v>
      </c>
      <c r="X13" s="2">
        <f>IFERROR(50+VLOOKUP($A13,'SegEnds_Xtal_Prot#'!$A:$AY,47,FALSE)-VLOOKUP($B13,'SegEnds_NonXtal_Prot#'!$A:$AL,34,FALSE),"-")</f>
        <v>56</v>
      </c>
      <c r="Y13" s="2">
        <f>IFERROR(50+VLOOKUP($A13,'SegEnds_Xtal_Prot#'!$A:$AY,49,FALSE)-VLOOKUP($B13,'SegEnds_NonXtal_Prot#'!$A:$AL,37,FALSE),"-")</f>
        <v>47</v>
      </c>
      <c r="Z13" s="2">
        <f>IFERROR(50+VLOOKUP($A13,'SegEnds_Xtal_Prot#'!$A:$AY,51,FALSE)-VLOOKUP($B13,'SegEnds_NonXtal_Prot#'!$A:$AL,37,FALSE),"-")</f>
        <v>59</v>
      </c>
      <c r="AA13" s="49" t="str">
        <f>VLOOKUP(B13,Classification!A:D,2,FALSE)</f>
        <v>A</v>
      </c>
      <c r="AB13" s="94" t="str">
        <f>VLOOKUP(B13,Classification!A:D,4,0)</f>
        <v>Acetylcholine(muscarinic)</v>
      </c>
      <c r="AC13" s="49">
        <f>VLOOKUP(B13,'SegEnds_NonXtal_Prot#'!A:AL,6,FALSE)-VLOOKUP(B13,'SegEnds_NonXtal_Prot#'!A:AL,5,FALSE)</f>
        <v>1</v>
      </c>
      <c r="AD13" s="49">
        <f>VLOOKUP(B13,'SegEnds_NonXtal_Prot#'!A:AL,9,FALSE)-VLOOKUP(B13,'SegEnds_NonXtal_Prot#'!A:AL,8,FALSE)</f>
        <v>1</v>
      </c>
      <c r="AE13" s="49">
        <f>VLOOKUP(B13,'SegEnds_NonXtal_Prot#'!A:AL,13,FALSE)-VLOOKUP(B13,'SegEnds_NonXtal_Prot#'!A:AL,10,FALSE)</f>
        <v>20</v>
      </c>
      <c r="AF13" s="49">
        <f>VLOOKUP(B13,'SegEnds_NonXtal_Prot#'!A:AL,12,FALSE)-VLOOKUP(B13,'SegEnds_NonXtal_Prot#'!A:AL,11,FALSE)</f>
        <v>1</v>
      </c>
      <c r="AG13" s="49">
        <f>VLOOKUP(B13,'SegEnds_NonXtal_Prot#'!A:AL,13,FALSE)-VLOOKUP(B13,'SegEnds_NonXtal_Prot#'!A:AL,11,FALSE)</f>
        <v>2</v>
      </c>
      <c r="AH13" s="49">
        <f>VLOOKUP(B13,'SegEnds_NonXtal_Prot#'!A:AL,16,FALSE)-VLOOKUP(B13,'SegEnds_NonXtal_Prot#'!A:AL,10,FALSE)</f>
        <v>52</v>
      </c>
      <c r="AI13" s="49">
        <f>VLOOKUP(B13,'SegEnds_NonXtal_Prot#'!A:AL,16,FALSE)-VLOOKUP(B13,'SegEnds_NonXtal_Prot#'!A:AL,11,FALSE)</f>
        <v>34</v>
      </c>
      <c r="AJ13" s="49">
        <f>VLOOKUP(B13,'SegEnds_NonXtal_Prot#'!A:AL,22,FALSE)-VLOOKUP(B13,'SegEnds_NonXtal_Prot#'!A:AL,19,FALSE)</f>
        <v>20</v>
      </c>
      <c r="AK13" s="49">
        <f>VLOOKUP(B13,'SegEnds_NonXtal_Prot#'!A:AL,15,FALSE)-VLOOKUP(B13,'SegEnds_NonXtal_Prot#'!A:AL,14,FALSE)</f>
        <v>1</v>
      </c>
      <c r="AL13" s="49">
        <f>VLOOKUP(B13,'SegEnds_NonXtal_Prot#'!A:AL,18,FALSE)-VLOOKUP(B13,'SegEnds_NonXtal_Prot#'!A:AL,17,FALSE)</f>
        <v>1</v>
      </c>
      <c r="AM13" s="2">
        <f>VLOOKUP(B13,'SegEnds_NonXtal_Prot#'!A:AL,34,FALSE)-VLOOKUP(B13,'SegEnds_NonXtal_Prot#'!A:AL,31,FALSE)</f>
        <v>35</v>
      </c>
      <c r="AN13" s="37"/>
    </row>
    <row r="14" spans="1:64" s="2" customFormat="1" x14ac:dyDescent="0.2">
      <c r="A14" s="2" t="s">
        <v>1396</v>
      </c>
      <c r="B14" s="2" t="s">
        <v>138</v>
      </c>
      <c r="C14" s="2">
        <f>IFERROR(50+VLOOKUP($A14,'SegEnds_Xtal_Prot#'!$A:$AY,5,FALSE)-VLOOKUP($B14,'SegEnds_NonXtal_Prot#'!$A:$AL,4,FALSE),"-")</f>
        <v>29</v>
      </c>
      <c r="D14" s="2">
        <f>IFERROR(50+VLOOKUP($A14,'SegEnds_Xtal_Prot#'!$A:$AY,7,FALSE)-VLOOKUP($B14,'SegEnds_NonXtal_Prot#'!$A:$AL,4,FALSE),"-")</f>
        <v>60</v>
      </c>
      <c r="E14" s="2">
        <f>IFERROR(50+VLOOKUP($A14,'SegEnds_Xtal_Prot#'!$A:$AY,9,FALSE)-VLOOKUP($B14,'SegEnds_NonXtal_Prot#'!$A:$AL,7,FALSE),"-")</f>
        <v>48</v>
      </c>
      <c r="F14" s="2">
        <f>IFERROR(50+VLOOKUP($A14,'SegEnds_Xtal_Prot#'!$A:$AY,11,FALSE)-VLOOKUP($B14,'SegEnds_NonXtal_Prot#'!$A:$AL,7,FALSE),"-")</f>
        <v>51</v>
      </c>
      <c r="G14" s="2">
        <f>IFERROR(50+VLOOKUP($A14,'SegEnds_Xtal_Prot#'!$A:$AY,13,FALSE)-VLOOKUP($B14,'SegEnds_NonXtal_Prot#'!$A:$AL,10,FALSE),"-")</f>
        <v>37</v>
      </c>
      <c r="H14" s="2">
        <f>IFERROR(50+VLOOKUP($A14,'SegEnds_Xtal_Prot#'!$A:$AY,15,FALSE)-VLOOKUP($B14,'SegEnds_NonXtal_Prot#'!$A:$AL,10,FALSE),"-")</f>
        <v>67</v>
      </c>
      <c r="I14" s="2">
        <f>IFERROR(50+VLOOKUP($A14,'SegEnds_Xtal_Prot#'!$A:$AY,17,FALSE)-VLOOKUP($B14,'SegEnds_NonXtal_Prot#'!$A:$AL,13,FALSE),"-")</f>
        <v>50</v>
      </c>
      <c r="J14" s="2">
        <f>IFERROR(50+VLOOKUP($A14,'SegEnds_Xtal_Prot#'!$A:$AY,19,FALSE)-VLOOKUP($B14,'SegEnds_NonXtal_Prot#'!$A:$AL,13,FALSE),"-")</f>
        <v>52</v>
      </c>
      <c r="K14" s="2">
        <f>IFERROR(50+VLOOKUP($A14,'SegEnds_Xtal_Prot#'!$A:$AY,21,FALSE)-VLOOKUP($B14,'SegEnds_NonXtal_Prot#'!$A:$AL,16,FALSE),"-")</f>
        <v>21</v>
      </c>
      <c r="L14" s="2">
        <f>IFERROR(50+VLOOKUP($A14,'SegEnds_Xtal_Prot#'!$A:$AY,23,FALSE)-VLOOKUP($B14,'SegEnds_NonXtal_Prot#'!$A:$AL,16,FALSE),"-")</f>
        <v>56</v>
      </c>
      <c r="M14" s="2">
        <f>IFERROR(50+VLOOKUP($A14,'SegEnds_Xtal_Prot#'!$A:$AY,25,FALSE)-VLOOKUP($B14,'SegEnds_NonXtal_Prot#'!$A:$AL,19,FALSE),"-")</f>
        <v>50</v>
      </c>
      <c r="N14" s="2">
        <f>IFERROR(50+VLOOKUP($A14,'SegEnds_Xtal_Prot#'!$A:$AY,27,FALSE)-VLOOKUP($B14,'SegEnds_NonXtal_Prot#'!$A:$AL,19,FALSE),"-")</f>
        <v>57</v>
      </c>
      <c r="O14" s="2">
        <f>IFERROR(50+VLOOKUP($A14,'SegEnds_Xtal_Prot#'!$A:$AY,29,FALSE)-VLOOKUP($B14,'SegEnds_NonXtal_Prot#'!$A:$AL,22,FALSE),"-")</f>
        <v>38</v>
      </c>
      <c r="P14" s="2">
        <f>IFERROR(50+VLOOKUP($A14,'SegEnds_Xtal_Prot#'!$A:$AY,31,FALSE)-VLOOKUP($B14,'SegEnds_NonXtal_Prot#'!$A:$AL,22,FALSE),"-")</f>
        <v>63</v>
      </c>
      <c r="Q14" s="2">
        <f>IFERROR(50+VLOOKUP($A14,'SegEnds_Xtal_Prot#'!$A:$AY,33,FALSE)-VLOOKUP($B14,'SegEnds_NonXtal_Prot#'!$A:$AL,25,FALSE),"-")</f>
        <v>50</v>
      </c>
      <c r="R14" s="2">
        <f>IFERROR(50+VLOOKUP($A14,'SegEnds_Xtal_Prot#'!$A:$AY,35,FALSE)-VLOOKUP($B14,'SegEnds_NonXtal_Prot#'!$A:$AL,25,FALSE),"-")</f>
        <v>52</v>
      </c>
      <c r="S14" s="2">
        <f>IFERROR(50+VLOOKUP($A14,'SegEnds_Xtal_Prot#'!$A:$AY,37,FALSE)-VLOOKUP($B14,'SegEnds_NonXtal_Prot#'!$A:$AL,28,FALSE),"-")</f>
        <v>34</v>
      </c>
      <c r="T14" s="2">
        <f>IFERROR(50+VLOOKUP($A14,'SegEnds_Xtal_Prot#'!$A:$AY,39,FALSE)-VLOOKUP($B14,'SegEnds_NonXtal_Prot#'!$A:$AL,28,FALSE),"-")</f>
        <v>73</v>
      </c>
      <c r="U14" s="2">
        <f>IFERROR(50+VLOOKUP($A14,'SegEnds_Xtal_Prot#'!$A:$AY,41,FALSE)-VLOOKUP($B14,'SegEnds_NonXtal_Prot#'!$A:$AL,31,FALSE),"-")</f>
        <v>22</v>
      </c>
      <c r="V14" s="2">
        <f>IFERROR(50+VLOOKUP($A14,'SegEnds_Xtal_Prot#'!$A:$AY,43,FALSE)-VLOOKUP($B14,'SegEnds_NonXtal_Prot#'!$A:$AL,31,FALSE),"-")</f>
        <v>61</v>
      </c>
      <c r="W14" s="2">
        <f>IFERROR(50+VLOOKUP($A14,'SegEnds_Xtal_Prot#'!$A:$AY,45,FALSE)-VLOOKUP($B14,'SegEnds_NonXtal_Prot#'!$A:$AL,34,FALSE),"-")</f>
        <v>31</v>
      </c>
      <c r="X14" s="2">
        <f>IFERROR(50+VLOOKUP($A14,'SegEnds_Xtal_Prot#'!$A:$AY,47,FALSE)-VLOOKUP($B14,'SegEnds_NonXtal_Prot#'!$A:$AL,34,FALSE),"-")</f>
        <v>56</v>
      </c>
      <c r="Y14" s="2">
        <f>IFERROR(50+VLOOKUP($A14,'SegEnds_Xtal_Prot#'!$A:$AY,49,FALSE)-VLOOKUP($B14,'SegEnds_NonXtal_Prot#'!$A:$AL,37,FALSE),"-")</f>
        <v>47</v>
      </c>
      <c r="Z14" s="2">
        <f>IFERROR(50+VLOOKUP($A14,'SegEnds_Xtal_Prot#'!$A:$AY,51,FALSE)-VLOOKUP($B14,'SegEnds_NonXtal_Prot#'!$A:$AL,37,FALSE),"-")</f>
        <v>69</v>
      </c>
      <c r="AA14" s="49" t="str">
        <f>VLOOKUP(B14,Classification!A:D,2,FALSE)</f>
        <v>A</v>
      </c>
      <c r="AB14" s="94" t="str">
        <f>VLOOKUP(B14,Classification!A:D,4,0)</f>
        <v>Adenosine</v>
      </c>
      <c r="AC14" s="49">
        <f>VLOOKUP(B14,'SegEnds_NonXtal_Prot#'!A:AL,6,FALSE)-VLOOKUP(B14,'SegEnds_NonXtal_Prot#'!A:AL,5,FALSE)</f>
        <v>1</v>
      </c>
      <c r="AD14" s="49">
        <f>VLOOKUP(B14,'SegEnds_NonXtal_Prot#'!A:AL,9,FALSE)-VLOOKUP(B14,'SegEnds_NonXtal_Prot#'!A:AL,8,FALSE)</f>
        <v>1</v>
      </c>
      <c r="AE14" s="49">
        <f>VLOOKUP(B14,'SegEnds_NonXtal_Prot#'!A:AL,13,FALSE)-VLOOKUP(B14,'SegEnds_NonXtal_Prot#'!A:AL,10,FALSE)</f>
        <v>18</v>
      </c>
      <c r="AF14" s="49">
        <f>VLOOKUP(B14,'SegEnds_NonXtal_Prot#'!A:AL,12,FALSE)-VLOOKUP(B14,'SegEnds_NonXtal_Prot#'!A:AL,11,FALSE)</f>
        <v>1</v>
      </c>
      <c r="AG14" s="49">
        <f>VLOOKUP(B14,'SegEnds_NonXtal_Prot#'!A:AL,13,FALSE)-VLOOKUP(B14,'SegEnds_NonXtal_Prot#'!A:AL,11,FALSE)</f>
        <v>1</v>
      </c>
      <c r="AH14" s="49">
        <f>VLOOKUP(B14,'SegEnds_NonXtal_Prot#'!A:AL,16,FALSE)-VLOOKUP(B14,'SegEnds_NonXtal_Prot#'!A:AL,10,FALSE)</f>
        <v>50</v>
      </c>
      <c r="AI14" s="49">
        <f>VLOOKUP(B14,'SegEnds_NonXtal_Prot#'!A:AL,16,FALSE)-VLOOKUP(B14,'SegEnds_NonXtal_Prot#'!A:AL,11,FALSE)</f>
        <v>33</v>
      </c>
      <c r="AJ14" s="49">
        <f>VLOOKUP(B14,'SegEnds_NonXtal_Prot#'!A:AL,22,FALSE)-VLOOKUP(B14,'SegEnds_NonXtal_Prot#'!A:AL,19,FALSE)</f>
        <v>20</v>
      </c>
      <c r="AK14" s="49">
        <f>VLOOKUP(B14,'SegEnds_NonXtal_Prot#'!A:AL,15,FALSE)-VLOOKUP(B14,'SegEnds_NonXtal_Prot#'!A:AL,14,FALSE)</f>
        <v>1</v>
      </c>
      <c r="AL14" s="49">
        <f>VLOOKUP(B14,'SegEnds_NonXtal_Prot#'!A:AL,18,FALSE)-VLOOKUP(B14,'SegEnds_NonXtal_Prot#'!A:AL,17,FALSE)</f>
        <v>1</v>
      </c>
      <c r="AM14" s="2">
        <f>VLOOKUP(B14,'SegEnds_NonXtal_Prot#'!A:AL,34,FALSE)-VLOOKUP(B14,'SegEnds_NonXtal_Prot#'!A:AL,31,FALSE)</f>
        <v>36</v>
      </c>
      <c r="AN14" s="37"/>
    </row>
    <row r="15" spans="1:64" s="2" customFormat="1" x14ac:dyDescent="0.2">
      <c r="A15" s="2" t="s">
        <v>1246</v>
      </c>
      <c r="B15" s="2" t="s">
        <v>139</v>
      </c>
      <c r="C15" s="2">
        <f>IFERROR(50+VLOOKUP($A15,'SegEnds_Xtal_Prot#'!$A:$AY,5,FALSE)-VLOOKUP($B15,'SegEnds_NonXtal_Prot#'!$A:$AL,4,FALSE),"-")</f>
        <v>27</v>
      </c>
      <c r="D15" s="2">
        <f>IFERROR(50+VLOOKUP($A15,'SegEnds_Xtal_Prot#'!$A:$AY,7,FALSE)-VLOOKUP($B15,'SegEnds_NonXtal_Prot#'!$A:$AL,4,FALSE),"-")</f>
        <v>60</v>
      </c>
      <c r="E15" s="2">
        <f>IFERROR(50+VLOOKUP($A15,'SegEnds_Xtal_Prot#'!$A:$AY,9,FALSE)-VLOOKUP($B15,'SegEnds_NonXtal_Prot#'!$A:$AL,7,FALSE),"-")</f>
        <v>48</v>
      </c>
      <c r="F15" s="2">
        <f>IFERROR(50+VLOOKUP($A15,'SegEnds_Xtal_Prot#'!$A:$AY,11,FALSE)-VLOOKUP($B15,'SegEnds_NonXtal_Prot#'!$A:$AL,7,FALSE),"-")</f>
        <v>51</v>
      </c>
      <c r="G15" s="2">
        <f>IFERROR(50+VLOOKUP($A15,'SegEnds_Xtal_Prot#'!$A:$AY,13,FALSE)-VLOOKUP($B15,'SegEnds_NonXtal_Prot#'!$A:$AL,10,FALSE),"-")</f>
        <v>37</v>
      </c>
      <c r="H15" s="2">
        <f>IFERROR(50+VLOOKUP($A15,'SegEnds_Xtal_Prot#'!$A:$AY,15,FALSE)-VLOOKUP($B15,'SegEnds_NonXtal_Prot#'!$A:$AL,10,FALSE),"-")</f>
        <v>67</v>
      </c>
      <c r="I15" s="2">
        <f>IFERROR(50+VLOOKUP($A15,'SegEnds_Xtal_Prot#'!$A:$AY,17,FALSE)-VLOOKUP($B15,'SegEnds_NonXtal_Prot#'!$A:$AL,13,FALSE),"-")</f>
        <v>50</v>
      </c>
      <c r="J15" s="2">
        <f>IFERROR(50+VLOOKUP($A15,'SegEnds_Xtal_Prot#'!$A:$AY,19,FALSE)-VLOOKUP($B15,'SegEnds_NonXtal_Prot#'!$A:$AL,13,FALSE),"-")</f>
        <v>52</v>
      </c>
      <c r="K15" s="2">
        <f>IFERROR(50+VLOOKUP($A15,'SegEnds_Xtal_Prot#'!$A:$AY,21,FALSE)-VLOOKUP($B15,'SegEnds_NonXtal_Prot#'!$A:$AL,16,FALSE),"-")</f>
        <v>21</v>
      </c>
      <c r="L15" s="2">
        <f>IFERROR(50+VLOOKUP($A15,'SegEnds_Xtal_Prot#'!$A:$AY,23,FALSE)-VLOOKUP($B15,'SegEnds_NonXtal_Prot#'!$A:$AL,16,FALSE),"-")</f>
        <v>56</v>
      </c>
      <c r="M15" s="2">
        <f>IFERROR(50+VLOOKUP($A15,'SegEnds_Xtal_Prot#'!$A:$AY,25,FALSE)-VLOOKUP($B15,'SegEnds_NonXtal_Prot#'!$A:$AL,19,FALSE),"-")</f>
        <v>50</v>
      </c>
      <c r="N15" s="2">
        <f>IFERROR(50+VLOOKUP($A15,'SegEnds_Xtal_Prot#'!$A:$AY,27,FALSE)-VLOOKUP($B15,'SegEnds_NonXtal_Prot#'!$A:$AL,19,FALSE),"-")</f>
        <v>57</v>
      </c>
      <c r="O15" s="2">
        <f>IFERROR(50+VLOOKUP($A15,'SegEnds_Xtal_Prot#'!$A:$AY,29,FALSE)-VLOOKUP($B15,'SegEnds_NonXtal_Prot#'!$A:$AL,22,FALSE),"-")</f>
        <v>38</v>
      </c>
      <c r="P15" s="2">
        <f>IFERROR(50+VLOOKUP($A15,'SegEnds_Xtal_Prot#'!$A:$AY,31,FALSE)-VLOOKUP($B15,'SegEnds_NonXtal_Prot#'!$A:$AL,22,FALSE),"-")</f>
        <v>63</v>
      </c>
      <c r="Q15" s="2">
        <f>IFERROR(50+VLOOKUP($A15,'SegEnds_Xtal_Prot#'!$A:$AY,33,FALSE)-VLOOKUP($B15,'SegEnds_NonXtal_Prot#'!$A:$AL,25,FALSE),"-")</f>
        <v>50</v>
      </c>
      <c r="R15" s="2">
        <f>IFERROR(50+VLOOKUP($A15,'SegEnds_Xtal_Prot#'!$A:$AY,35,FALSE)-VLOOKUP($B15,'SegEnds_NonXtal_Prot#'!$A:$AL,25,FALSE),"-")</f>
        <v>52</v>
      </c>
      <c r="S15" s="2">
        <f>IFERROR(50+VLOOKUP($A15,'SegEnds_Xtal_Prot#'!$A:$AY,37,FALSE)-VLOOKUP($B15,'SegEnds_NonXtal_Prot#'!$A:$AL,28,FALSE),"-")</f>
        <v>34</v>
      </c>
      <c r="T15" s="2">
        <f>IFERROR(50+VLOOKUP($A15,'SegEnds_Xtal_Prot#'!$A:$AY,39,FALSE)-VLOOKUP($B15,'SegEnds_NonXtal_Prot#'!$A:$AL,28,FALSE),"-")</f>
        <v>74</v>
      </c>
      <c r="U15" s="2">
        <f>IFERROR(50+VLOOKUP($A15,'SegEnds_Xtal_Prot#'!$A:$AY,41,FALSE)-VLOOKUP($B15,'SegEnds_NonXtal_Prot#'!$A:$AL,31,FALSE),"-")</f>
        <v>21</v>
      </c>
      <c r="V15" s="2">
        <f>IFERROR(50+VLOOKUP($A15,'SegEnds_Xtal_Prot#'!$A:$AY,43,FALSE)-VLOOKUP($B15,'SegEnds_NonXtal_Prot#'!$A:$AL,31,FALSE),"-")</f>
        <v>61</v>
      </c>
      <c r="W15" s="2">
        <f>IFERROR(50+VLOOKUP($A15,'SegEnds_Xtal_Prot#'!$A:$AY,45,FALSE)-VLOOKUP($B15,'SegEnds_NonXtal_Prot#'!$A:$AL,34,FALSE),"-")</f>
        <v>31</v>
      </c>
      <c r="X15" s="2">
        <f>IFERROR(50+VLOOKUP($A15,'SegEnds_Xtal_Prot#'!$A:$AY,47,FALSE)-VLOOKUP($B15,'SegEnds_NonXtal_Prot#'!$A:$AL,34,FALSE),"-")</f>
        <v>56</v>
      </c>
      <c r="Y15" s="2">
        <f>IFERROR(50+VLOOKUP($A15,'SegEnds_Xtal_Prot#'!$A:$AY,49,FALSE)-VLOOKUP($B15,'SegEnds_NonXtal_Prot#'!$A:$AL,37,FALSE),"-")</f>
        <v>47</v>
      </c>
      <c r="Z15" s="2">
        <f>IFERROR(50+VLOOKUP($A15,'SegEnds_Xtal_Prot#'!$A:$AY,51,FALSE)-VLOOKUP($B15,'SegEnds_NonXtal_Prot#'!$A:$AL,37,FALSE),"-")</f>
        <v>69</v>
      </c>
      <c r="AA15" s="49" t="str">
        <f>VLOOKUP(B15,Classification!A:D,2,FALSE)</f>
        <v>A</v>
      </c>
      <c r="AB15" s="94" t="str">
        <f>VLOOKUP(B15,Classification!A:D,4,0)</f>
        <v>Adenosine</v>
      </c>
      <c r="AC15" s="49">
        <f>VLOOKUP(B15,'SegEnds_NonXtal_Prot#'!A:AL,6,FALSE)-VLOOKUP(B15,'SegEnds_NonXtal_Prot#'!A:AL,5,FALSE)</f>
        <v>1</v>
      </c>
      <c r="AD15" s="49">
        <f>VLOOKUP(B15,'SegEnds_NonXtal_Prot#'!A:AL,9,FALSE)-VLOOKUP(B15,'SegEnds_NonXtal_Prot#'!A:AL,8,FALSE)</f>
        <v>1</v>
      </c>
      <c r="AE15" s="49">
        <f>VLOOKUP(B15,'SegEnds_NonXtal_Prot#'!A:AL,13,FALSE)-VLOOKUP(B15,'SegEnds_NonXtal_Prot#'!A:AL,10,FALSE)</f>
        <v>18</v>
      </c>
      <c r="AF15" s="49">
        <f>VLOOKUP(B15,'SegEnds_NonXtal_Prot#'!A:AL,12,FALSE)-VLOOKUP(B15,'SegEnds_NonXtal_Prot#'!A:AL,11,FALSE)</f>
        <v>1</v>
      </c>
      <c r="AG15" s="49">
        <f>VLOOKUP(B15,'SegEnds_NonXtal_Prot#'!A:AL,13,FALSE)-VLOOKUP(B15,'SegEnds_NonXtal_Prot#'!A:AL,11,FALSE)</f>
        <v>1</v>
      </c>
      <c r="AH15" s="49">
        <f>VLOOKUP(B15,'SegEnds_NonXtal_Prot#'!A:AL,16,FALSE)-VLOOKUP(B15,'SegEnds_NonXtal_Prot#'!A:AL,10,FALSE)</f>
        <v>50</v>
      </c>
      <c r="AI15" s="49">
        <f>VLOOKUP(B15,'SegEnds_NonXtal_Prot#'!A:AL,16,FALSE)-VLOOKUP(B15,'SegEnds_NonXtal_Prot#'!A:AL,11,FALSE)</f>
        <v>33</v>
      </c>
      <c r="AJ15" s="49">
        <f>VLOOKUP(B15,'SegEnds_NonXtal_Prot#'!A:AL,22,FALSE)-VLOOKUP(B15,'SegEnds_NonXtal_Prot#'!A:AL,19,FALSE)</f>
        <v>20</v>
      </c>
      <c r="AK15" s="49">
        <f>VLOOKUP(B15,'SegEnds_NonXtal_Prot#'!A:AL,15,FALSE)-VLOOKUP(B15,'SegEnds_NonXtal_Prot#'!A:AL,14,FALSE)</f>
        <v>1</v>
      </c>
      <c r="AL15" s="49">
        <f>VLOOKUP(B15,'SegEnds_NonXtal_Prot#'!A:AL,18,FALSE)-VLOOKUP(B15,'SegEnds_NonXtal_Prot#'!A:AL,17,FALSE)</f>
        <v>1</v>
      </c>
      <c r="AM15" s="2">
        <f>VLOOKUP(B15,'SegEnds_NonXtal_Prot#'!A:AL,34,FALSE)-VLOOKUP(B15,'SegEnds_NonXtal_Prot#'!A:AL,31,FALSE)</f>
        <v>37</v>
      </c>
      <c r="AN15" s="37"/>
      <c r="AO15" s="2" t="s">
        <v>1283</v>
      </c>
    </row>
    <row r="16" spans="1:64" s="2" customFormat="1" x14ac:dyDescent="0.2">
      <c r="A16" s="2" t="s">
        <v>1252</v>
      </c>
      <c r="B16" s="2" t="s">
        <v>126</v>
      </c>
      <c r="C16" s="2">
        <f>IFERROR(50+VLOOKUP($A16,'SegEnds_Xtal_Prot#'!$A:$AY,5,FALSE)-VLOOKUP($B16,'SegEnds_NonXtal_Prot#'!$A:$AL,4,FALSE),"-")</f>
        <v>25</v>
      </c>
      <c r="D16" s="2">
        <f>IFERROR(50+VLOOKUP($A16,'SegEnds_Xtal_Prot#'!$A:$AY,7,FALSE)-VLOOKUP($B16,'SegEnds_NonXtal_Prot#'!$A:$AL,4,FALSE),"-")</f>
        <v>60</v>
      </c>
      <c r="E16" s="2">
        <f>IFERROR(50+VLOOKUP($A16,'SegEnds_Xtal_Prot#'!$A:$AY,9,FALSE)-VLOOKUP($B16,'SegEnds_NonXtal_Prot#'!$A:$AL,7,FALSE),"-")</f>
        <v>48</v>
      </c>
      <c r="F16" s="2">
        <f>IFERROR(50+VLOOKUP($A16,'SegEnds_Xtal_Prot#'!$A:$AY,11,FALSE)-VLOOKUP($B16,'SegEnds_NonXtal_Prot#'!$A:$AL,7,FALSE),"-")</f>
        <v>51</v>
      </c>
      <c r="G16" s="2">
        <f>IFERROR(50+VLOOKUP($A16,'SegEnds_Xtal_Prot#'!$A:$AY,13,FALSE)-VLOOKUP($B16,'SegEnds_NonXtal_Prot#'!$A:$AL,10,FALSE),"-")</f>
        <v>37</v>
      </c>
      <c r="H16" s="2">
        <f>IFERROR(50+VLOOKUP($A16,'SegEnds_Xtal_Prot#'!$A:$AY,15,FALSE)-VLOOKUP($B16,'SegEnds_NonXtal_Prot#'!$A:$AL,10,FALSE),"-")</f>
        <v>67</v>
      </c>
      <c r="I16" s="2">
        <f>IFERROR(50+VLOOKUP($A16,'SegEnds_Xtal_Prot#'!$A:$AY,17,FALSE)-VLOOKUP($B16,'SegEnds_NonXtal_Prot#'!$A:$AL,13,FALSE),"-")</f>
        <v>49</v>
      </c>
      <c r="J16" s="2">
        <f>IFERROR(50+VLOOKUP($A16,'SegEnds_Xtal_Prot#'!$A:$AY,19,FALSE)-VLOOKUP($B16,'SegEnds_NonXtal_Prot#'!$A:$AL,13,FALSE),"-")</f>
        <v>52</v>
      </c>
      <c r="K16" s="2">
        <f>IFERROR(50+VLOOKUP($A16,'SegEnds_Xtal_Prot#'!$A:$AY,21,FALSE)-VLOOKUP($B16,'SegEnds_NonXtal_Prot#'!$A:$AL,16,FALSE),"-")</f>
        <v>21</v>
      </c>
      <c r="L16" s="2">
        <f>IFERROR(50+VLOOKUP($A16,'SegEnds_Xtal_Prot#'!$A:$AY,23,FALSE)-VLOOKUP($B16,'SegEnds_NonXtal_Prot#'!$A:$AL,16,FALSE),"-")</f>
        <v>56</v>
      </c>
      <c r="M16" s="2">
        <f>IFERROR(50+VLOOKUP($A16,'SegEnds_Xtal_Prot#'!$A:$AY,25,FALSE)-VLOOKUP($B16,'SegEnds_NonXtal_Prot#'!$A:$AL,19,FALSE),"-")</f>
        <v>50</v>
      </c>
      <c r="N16" s="2">
        <f>IFERROR(50+VLOOKUP($A16,'SegEnds_Xtal_Prot#'!$A:$AY,27,FALSE)-VLOOKUP($B16,'SegEnds_NonXtal_Prot#'!$A:$AL,19,FALSE),"-")</f>
        <v>57</v>
      </c>
      <c r="O16" s="2">
        <f>IFERROR(50+VLOOKUP($A16,'SegEnds_Xtal_Prot#'!$A:$AY,29,FALSE)-VLOOKUP($B16,'SegEnds_NonXtal_Prot#'!$A:$AL,22,FALSE),"-")</f>
        <v>38</v>
      </c>
      <c r="P16" s="2">
        <f>IFERROR(50+VLOOKUP($A16,'SegEnds_Xtal_Prot#'!$A:$AY,31,FALSE)-VLOOKUP($B16,'SegEnds_NonXtal_Prot#'!$A:$AL,22,FALSE),"-")</f>
        <v>64</v>
      </c>
      <c r="Q16" s="2">
        <f>IFERROR(50+VLOOKUP($A16,'SegEnds_Xtal_Prot#'!$A:$AY,33,FALSE)-VLOOKUP($B16,'SegEnds_NonXtal_Prot#'!$A:$AL,25,FALSE),"-")</f>
        <v>50</v>
      </c>
      <c r="R16" s="2">
        <f>IFERROR(50+VLOOKUP($A16,'SegEnds_Xtal_Prot#'!$A:$AY,35,FALSE)-VLOOKUP($B16,'SegEnds_NonXtal_Prot#'!$A:$AL,25,FALSE),"-")</f>
        <v>52</v>
      </c>
      <c r="S16" s="2">
        <f>IFERROR(50+VLOOKUP($A16,'SegEnds_Xtal_Prot#'!$A:$AY,37,FALSE)-VLOOKUP($B16,'SegEnds_NonXtal_Prot#'!$A:$AL,28,FALSE),"-")</f>
        <v>35</v>
      </c>
      <c r="T16" s="2">
        <f>IFERROR(50+VLOOKUP($A16,'SegEnds_Xtal_Prot#'!$A:$AY,39,FALSE)-VLOOKUP($B16,'SegEnds_NonXtal_Prot#'!$A:$AL,28,FALSE),"-")</f>
        <v>76</v>
      </c>
      <c r="U16" s="2">
        <f>IFERROR(50+VLOOKUP($A16,'SegEnds_Xtal_Prot#'!$A:$AY,41,FALSE)-VLOOKUP($B16,'SegEnds_NonXtal_Prot#'!$A:$AL,31,FALSE),"-")</f>
        <v>24</v>
      </c>
      <c r="V16" s="2">
        <f>IFERROR(50+VLOOKUP($A16,'SegEnds_Xtal_Prot#'!$A:$AY,43,FALSE)-VLOOKUP($B16,'SegEnds_NonXtal_Prot#'!$A:$AL,31,FALSE),"-")</f>
        <v>61</v>
      </c>
      <c r="W16" s="2">
        <f>IFERROR(50+VLOOKUP($A16,'SegEnds_Xtal_Prot#'!$A:$AY,45,FALSE)-VLOOKUP($B16,'SegEnds_NonXtal_Prot#'!$A:$AL,34,FALSE),"-")</f>
        <v>31</v>
      </c>
      <c r="X16" s="2">
        <f>IFERROR(50+VLOOKUP($A16,'SegEnds_Xtal_Prot#'!$A:$AY,47,FALSE)-VLOOKUP($B16,'SegEnds_NonXtal_Prot#'!$A:$AL,34,FALSE),"-")</f>
        <v>55</v>
      </c>
      <c r="Y16" s="2">
        <f>IFERROR(50+VLOOKUP($A16,'SegEnds_Xtal_Prot#'!$A:$AY,49,FALSE)-VLOOKUP($B16,'SegEnds_NonXtal_Prot#'!$A:$AL,37,FALSE),"-")</f>
        <v>47</v>
      </c>
      <c r="Z16" s="2">
        <f>IFERROR(50+VLOOKUP($A16,'SegEnds_Xtal_Prot#'!$A:$AY,51,FALSE)-VLOOKUP($B16,'SegEnds_NonXtal_Prot#'!$A:$AL,37,FALSE),"-")</f>
        <v>59</v>
      </c>
      <c r="AA16" s="49" t="str">
        <f>VLOOKUP(B16,Classification!A:D,2,FALSE)</f>
        <v>A</v>
      </c>
      <c r="AB16" s="94" t="str">
        <f>VLOOKUP(B16,Classification!A:D,4,0)</f>
        <v>Adrenoceptors</v>
      </c>
      <c r="AC16" s="49">
        <f>VLOOKUP(B16,'SegEnds_NonXtal_Prot#'!A:AL,6,FALSE)-VLOOKUP(B16,'SegEnds_NonXtal_Prot#'!A:AL,5,FALSE)</f>
        <v>1</v>
      </c>
      <c r="AD16" s="49">
        <f>VLOOKUP(B16,'SegEnds_NonXtal_Prot#'!A:AL,9,FALSE)-VLOOKUP(B16,'SegEnds_NonXtal_Prot#'!A:AL,8,FALSE)</f>
        <v>1</v>
      </c>
      <c r="AE16" s="49">
        <f>VLOOKUP(B16,'SegEnds_NonXtal_Prot#'!A:AL,13,FALSE)-VLOOKUP(B16,'SegEnds_NonXtal_Prot#'!A:AL,10,FALSE)</f>
        <v>20</v>
      </c>
      <c r="AF16" s="49">
        <f>VLOOKUP(B16,'SegEnds_NonXtal_Prot#'!A:AL,12,FALSE)-VLOOKUP(B16,'SegEnds_NonXtal_Prot#'!A:AL,11,FALSE)</f>
        <v>2</v>
      </c>
      <c r="AG16" s="49">
        <f>VLOOKUP(B16,'SegEnds_NonXtal_Prot#'!A:AL,13,FALSE)-VLOOKUP(B16,'SegEnds_NonXtal_Prot#'!A:AL,11,FALSE)</f>
        <v>3</v>
      </c>
      <c r="AH16" s="49">
        <f>VLOOKUP(B16,'SegEnds_NonXtal_Prot#'!A:AL,16,FALSE)-VLOOKUP(B16,'SegEnds_NonXtal_Prot#'!A:AL,10,FALSE)</f>
        <v>52</v>
      </c>
      <c r="AI16" s="49">
        <f>VLOOKUP(B16,'SegEnds_NonXtal_Prot#'!A:AL,16,FALSE)-VLOOKUP(B16,'SegEnds_NonXtal_Prot#'!A:AL,11,FALSE)</f>
        <v>35</v>
      </c>
      <c r="AJ16" s="49">
        <f>VLOOKUP(B16,'SegEnds_NonXtal_Prot#'!A:AL,22,FALSE)-VLOOKUP(B16,'SegEnds_NonXtal_Prot#'!A:AL,19,FALSE)</f>
        <v>20</v>
      </c>
      <c r="AK16" s="49">
        <f>VLOOKUP(B16,'SegEnds_NonXtal_Prot#'!A:AL,15,FALSE)-VLOOKUP(B16,'SegEnds_NonXtal_Prot#'!A:AL,14,FALSE)</f>
        <v>1</v>
      </c>
      <c r="AL16" s="49">
        <f>VLOOKUP(B16,'SegEnds_NonXtal_Prot#'!A:AL,18,FALSE)-VLOOKUP(B16,'SegEnds_NonXtal_Prot#'!A:AL,17,FALSE)</f>
        <v>1</v>
      </c>
      <c r="AM16" s="2">
        <f>VLOOKUP(B16,'SegEnds_NonXtal_Prot#'!A:AL,34,FALSE)-VLOOKUP(B16,'SegEnds_NonXtal_Prot#'!A:AL,31,FALSE)</f>
        <v>35</v>
      </c>
      <c r="AN16" s="37"/>
    </row>
    <row r="17" spans="1:64" s="2" customFormat="1" x14ac:dyDescent="0.2">
      <c r="A17" s="2" t="s">
        <v>1251</v>
      </c>
      <c r="B17" s="2" t="s">
        <v>912</v>
      </c>
      <c r="C17" s="2">
        <f>IFERROR(50+VLOOKUP($A17,'SegEnds_Xtal_Prot#'!$A:$AY,5,FALSE)-VLOOKUP($B17,'SegEnds_NonXtal_Prot#'!$A:$AL,4,FALSE),"-")</f>
        <v>24</v>
      </c>
      <c r="D17" s="2">
        <f>IFERROR(50+VLOOKUP($A17,'SegEnds_Xtal_Prot#'!$A:$AY,7,FALSE)-VLOOKUP($B17,'SegEnds_NonXtal_Prot#'!$A:$AL,4,FALSE),"-")</f>
        <v>60</v>
      </c>
      <c r="E17" s="2">
        <f>IFERROR(50+VLOOKUP($A17,'SegEnds_Xtal_Prot#'!$A:$AY,9,FALSE)-VLOOKUP($B17,'SegEnds_NonXtal_Prot#'!$A:$AL,7,FALSE),"-")</f>
        <v>48</v>
      </c>
      <c r="F17" s="2">
        <f>IFERROR(50+VLOOKUP($A17,'SegEnds_Xtal_Prot#'!$A:$AY,11,FALSE)-VLOOKUP($B17,'SegEnds_NonXtal_Prot#'!$A:$AL,7,FALSE),"-")</f>
        <v>51</v>
      </c>
      <c r="G17" s="2">
        <f>IFERROR(50+VLOOKUP($A17,'SegEnds_Xtal_Prot#'!$A:$AY,13,FALSE)-VLOOKUP($B17,'SegEnds_NonXtal_Prot#'!$A:$AL,10,FALSE),"-")</f>
        <v>37</v>
      </c>
      <c r="H17" s="2">
        <f>IFERROR(50+VLOOKUP($A17,'SegEnds_Xtal_Prot#'!$A:$AY,15,FALSE)-VLOOKUP($B17,'SegEnds_NonXtal_Prot#'!$A:$AL,10,FALSE),"-")</f>
        <v>67</v>
      </c>
      <c r="I17" s="2">
        <f>IFERROR(50+VLOOKUP($A17,'SegEnds_Xtal_Prot#'!$A:$AY,17,FALSE)-VLOOKUP($B17,'SegEnds_NonXtal_Prot#'!$A:$AL,13,FALSE),"-")</f>
        <v>49</v>
      </c>
      <c r="J17" s="2">
        <f>IFERROR(50+VLOOKUP($A17,'SegEnds_Xtal_Prot#'!$A:$AY,19,FALSE)-VLOOKUP($B17,'SegEnds_NonXtal_Prot#'!$A:$AL,13,FALSE),"-")</f>
        <v>52</v>
      </c>
      <c r="K17" s="2">
        <f>IFERROR(50+VLOOKUP($A17,'SegEnds_Xtal_Prot#'!$A:$AY,21,FALSE)-VLOOKUP($B17,'SegEnds_NonXtal_Prot#'!$A:$AL,16,FALSE),"-")</f>
        <v>21</v>
      </c>
      <c r="L17" s="2">
        <f>IFERROR(50+VLOOKUP($A17,'SegEnds_Xtal_Prot#'!$A:$AY,23,FALSE)-VLOOKUP($B17,'SegEnds_NonXtal_Prot#'!$A:$AL,16,FALSE),"-")</f>
        <v>56</v>
      </c>
      <c r="M17" s="2">
        <f>IFERROR(50+VLOOKUP($A17,'SegEnds_Xtal_Prot#'!$A:$AY,25,FALSE)-VLOOKUP($B17,'SegEnds_NonXtal_Prot#'!$A:$AL,19,FALSE),"-")</f>
        <v>50</v>
      </c>
      <c r="N17" s="2">
        <f>IFERROR(50+VLOOKUP($A17,'SegEnds_Xtal_Prot#'!$A:$AY,27,FALSE)-VLOOKUP($B17,'SegEnds_NonXtal_Prot#'!$A:$AL,19,FALSE),"-")</f>
        <v>57</v>
      </c>
      <c r="O17" s="2">
        <f>IFERROR(50+VLOOKUP($A17,'SegEnds_Xtal_Prot#'!$A:$AY,29,FALSE)-VLOOKUP($B17,'SegEnds_NonXtal_Prot#'!$A:$AL,22,FALSE),"-")</f>
        <v>38</v>
      </c>
      <c r="P17" s="2">
        <f>IFERROR(50+VLOOKUP($A17,'SegEnds_Xtal_Prot#'!$A:$AY,31,FALSE)-VLOOKUP($B17,'SegEnds_NonXtal_Prot#'!$A:$AL,22,FALSE),"-")</f>
        <v>64</v>
      </c>
      <c r="Q17" s="2">
        <f>IFERROR(50+VLOOKUP($A17,'SegEnds_Xtal_Prot#'!$A:$AY,33,FALSE)-VLOOKUP($B17,'SegEnds_NonXtal_Prot#'!$A:$AL,25,FALSE),"-")</f>
        <v>50</v>
      </c>
      <c r="R17" s="2">
        <f>IFERROR(50+VLOOKUP($A17,'SegEnds_Xtal_Prot#'!$A:$AY,35,FALSE)-VLOOKUP($B17,'SegEnds_NonXtal_Prot#'!$A:$AL,25,FALSE),"-")</f>
        <v>52</v>
      </c>
      <c r="S17" s="2">
        <f>IFERROR(50+VLOOKUP($A17,'SegEnds_Xtal_Prot#'!$A:$AY,37,FALSE)-VLOOKUP($B17,'SegEnds_NonXtal_Prot#'!$A:$AL,28,FALSE),"-")</f>
        <v>35</v>
      </c>
      <c r="T17" s="2">
        <f>IFERROR(50+VLOOKUP($A17,'SegEnds_Xtal_Prot#'!$A:$AY,39,FALSE)-VLOOKUP($B17,'SegEnds_NonXtal_Prot#'!$A:$AL,28,FALSE),"-")</f>
        <v>76</v>
      </c>
      <c r="U17" s="2">
        <f>IFERROR(50+VLOOKUP($A17,'SegEnds_Xtal_Prot#'!$A:$AY,41,FALSE)-VLOOKUP($B17,'SegEnds_NonXtal_Prot#'!$A:$AL,31,FALSE),"-")</f>
        <v>20</v>
      </c>
      <c r="V17" s="2">
        <f>IFERROR(50+VLOOKUP($A17,'SegEnds_Xtal_Prot#'!$A:$AY,43,FALSE)-VLOOKUP($B17,'SegEnds_NonXtal_Prot#'!$A:$AL,31,FALSE),"-")</f>
        <v>61</v>
      </c>
      <c r="W17" s="2">
        <f>IFERROR(50+VLOOKUP($A17,'SegEnds_Xtal_Prot#'!$A:$AY,45,FALSE)-VLOOKUP($B17,'SegEnds_NonXtal_Prot#'!$A:$AL,34,FALSE),"-")</f>
        <v>31</v>
      </c>
      <c r="X17" s="2">
        <f>IFERROR(50+VLOOKUP($A17,'SegEnds_Xtal_Prot#'!$A:$AY,47,FALSE)-VLOOKUP($B17,'SegEnds_NonXtal_Prot#'!$A:$AL,34,FALSE),"-")</f>
        <v>55</v>
      </c>
      <c r="Y17" s="2">
        <f>IFERROR(50+VLOOKUP($A17,'SegEnds_Xtal_Prot#'!$A:$AY,49,FALSE)-VLOOKUP($B17,'SegEnds_NonXtal_Prot#'!$A:$AL,37,FALSE),"-")</f>
        <v>47</v>
      </c>
      <c r="Z17" s="2">
        <f>IFERROR(50+VLOOKUP($A17,'SegEnds_Xtal_Prot#'!$A:$AY,51,FALSE)-VLOOKUP($B17,'SegEnds_NonXtal_Prot#'!$A:$AL,37,FALSE),"-")</f>
        <v>59</v>
      </c>
      <c r="AA17" s="49" t="str">
        <f>VLOOKUP(B17,Classification!A:D,2,FALSE)</f>
        <v>A</v>
      </c>
      <c r="AB17" s="94" t="str">
        <f>VLOOKUP(B17,Classification!A:D,4,0)</f>
        <v>Adrenoceptors</v>
      </c>
      <c r="AC17" s="49">
        <f>VLOOKUP(B17,'SegEnds_NonXtal_Prot#'!A:AL,6,FALSE)-VLOOKUP(B17,'SegEnds_NonXtal_Prot#'!A:AL,5,FALSE)</f>
        <v>1</v>
      </c>
      <c r="AD17" s="49">
        <f>VLOOKUP(B17,'SegEnds_NonXtal_Prot#'!A:AL,9,FALSE)-VLOOKUP(B17,'SegEnds_NonXtal_Prot#'!A:AL,8,FALSE)</f>
        <v>1</v>
      </c>
      <c r="AE17" s="49">
        <f>VLOOKUP(B17,'SegEnds_NonXtal_Prot#'!A:AL,13,FALSE)-VLOOKUP(B17,'SegEnds_NonXtal_Prot#'!A:AL,10,FALSE)</f>
        <v>20</v>
      </c>
      <c r="AF17" s="49">
        <f>VLOOKUP(B17,'SegEnds_NonXtal_Prot#'!A:AL,12,FALSE)-VLOOKUP(B17,'SegEnds_NonXtal_Prot#'!A:AL,11,FALSE)</f>
        <v>2</v>
      </c>
      <c r="AG17" s="49">
        <f>VLOOKUP(B17,'SegEnds_NonXtal_Prot#'!A:AL,13,FALSE)-VLOOKUP(B17,'SegEnds_NonXtal_Prot#'!A:AL,11,FALSE)</f>
        <v>3</v>
      </c>
      <c r="AH17" s="49">
        <f>VLOOKUP(B17,'SegEnds_NonXtal_Prot#'!A:AL,16,FALSE)-VLOOKUP(B17,'SegEnds_NonXtal_Prot#'!A:AL,10,FALSE)</f>
        <v>52</v>
      </c>
      <c r="AI17" s="49">
        <f>VLOOKUP(B17,'SegEnds_NonXtal_Prot#'!A:AL,16,FALSE)-VLOOKUP(B17,'SegEnds_NonXtal_Prot#'!A:AL,11,FALSE)</f>
        <v>35</v>
      </c>
      <c r="AJ17" s="49">
        <f>VLOOKUP(B17,'SegEnds_NonXtal_Prot#'!A:AL,22,FALSE)-VLOOKUP(B17,'SegEnds_NonXtal_Prot#'!A:AL,19,FALSE)</f>
        <v>20</v>
      </c>
      <c r="AK17" s="49">
        <f>VLOOKUP(B17,'SegEnds_NonXtal_Prot#'!A:AL,15,FALSE)-VLOOKUP(B17,'SegEnds_NonXtal_Prot#'!A:AL,14,FALSE)</f>
        <v>1</v>
      </c>
      <c r="AL17" s="49">
        <f>VLOOKUP(B17,'SegEnds_NonXtal_Prot#'!A:AL,18,FALSE)-VLOOKUP(B17,'SegEnds_NonXtal_Prot#'!A:AL,17,FALSE)</f>
        <v>1</v>
      </c>
      <c r="AM17" s="2">
        <f>VLOOKUP(B17,'SegEnds_NonXtal_Prot#'!A:AL,34,FALSE)-VLOOKUP(B17,'SegEnds_NonXtal_Prot#'!A:AL,31,FALSE)</f>
        <v>35</v>
      </c>
      <c r="AN17" s="37"/>
    </row>
    <row r="18" spans="1:64" s="2" customFormat="1" x14ac:dyDescent="0.2">
      <c r="A18" s="2" t="s">
        <v>1253</v>
      </c>
      <c r="B18" s="2" t="s">
        <v>158</v>
      </c>
      <c r="C18" s="2">
        <f>IFERROR(50+VLOOKUP($A18,'SegEnds_Xtal_Prot#'!$A:$AY,5,FALSE)-VLOOKUP($B18,'SegEnds_NonXtal_Prot#'!$A:$AL,4,FALSE),"-")</f>
        <v>28</v>
      </c>
      <c r="D18" s="2">
        <f>IFERROR(50+VLOOKUP($A18,'SegEnds_Xtal_Prot#'!$A:$AY,7,FALSE)-VLOOKUP($B18,'SegEnds_NonXtal_Prot#'!$A:$AL,4,FALSE),"-")</f>
        <v>60</v>
      </c>
      <c r="E18" s="2">
        <f>IFERROR(50+VLOOKUP($A18,'SegEnds_Xtal_Prot#'!$A:$AY,9,FALSE)-VLOOKUP($B18,'SegEnds_NonXtal_Prot#'!$A:$AL,7,FALSE),"-")</f>
        <v>48</v>
      </c>
      <c r="F18" s="2">
        <f>IFERROR(50+VLOOKUP($A18,'SegEnds_Xtal_Prot#'!$A:$AY,11,FALSE)-VLOOKUP($B18,'SegEnds_NonXtal_Prot#'!$A:$AL,7,FALSE),"-")</f>
        <v>51</v>
      </c>
      <c r="G18" s="2">
        <f>IFERROR(50+VLOOKUP($A18,'SegEnds_Xtal_Prot#'!$A:$AY,13,FALSE)-VLOOKUP($B18,'SegEnds_NonXtal_Prot#'!$A:$AL,10,FALSE),"-")</f>
        <v>37</v>
      </c>
      <c r="H18" s="2">
        <f>IFERROR(50+VLOOKUP($A18,'SegEnds_Xtal_Prot#'!$A:$AY,15,FALSE)-VLOOKUP($B18,'SegEnds_NonXtal_Prot#'!$A:$AL,10,FALSE),"-")</f>
        <v>66</v>
      </c>
      <c r="I18" s="2">
        <f>IFERROR(50+VLOOKUP($A18,'SegEnds_Xtal_Prot#'!$A:$AY,17,FALSE)-VLOOKUP($B18,'SegEnds_NonXtal_Prot#'!$A:$AL,13,FALSE),"-")</f>
        <v>49</v>
      </c>
      <c r="J18" s="2">
        <f>IFERROR(50+VLOOKUP($A18,'SegEnds_Xtal_Prot#'!$A:$AY,19,FALSE)-VLOOKUP($B18,'SegEnds_NonXtal_Prot#'!$A:$AL,13,FALSE),"-")</f>
        <v>52</v>
      </c>
      <c r="K18" s="2">
        <f>IFERROR(50+VLOOKUP($A18,'SegEnds_Xtal_Prot#'!$A:$AY,21,FALSE)-VLOOKUP($B18,'SegEnds_NonXtal_Prot#'!$A:$AL,16,FALSE),"-")</f>
        <v>21</v>
      </c>
      <c r="L18" s="2">
        <f>IFERROR(50+VLOOKUP($A18,'SegEnds_Xtal_Prot#'!$A:$AY,23,FALSE)-VLOOKUP($B18,'SegEnds_NonXtal_Prot#'!$A:$AL,16,FALSE),"-")</f>
        <v>56</v>
      </c>
      <c r="M18" s="2">
        <f>IFERROR(50+VLOOKUP($A18,'SegEnds_Xtal_Prot#'!$A:$AY,25,FALSE)-VLOOKUP($B18,'SegEnds_NonXtal_Prot#'!$A:$AL,19,FALSE),"-")</f>
        <v>50</v>
      </c>
      <c r="N18" s="2">
        <f>IFERROR(50+VLOOKUP($A18,'SegEnds_Xtal_Prot#'!$A:$AY,27,FALSE)-VLOOKUP($B18,'SegEnds_NonXtal_Prot#'!$A:$AL,19,FALSE),"-")</f>
        <v>57</v>
      </c>
      <c r="O18" s="2">
        <f>IFERROR(50+VLOOKUP($A18,'SegEnds_Xtal_Prot#'!$A:$AY,29,FALSE)-VLOOKUP($B18,'SegEnds_NonXtal_Prot#'!$A:$AL,22,FALSE),"-")</f>
        <v>38</v>
      </c>
      <c r="P18" s="2">
        <f>IFERROR(50+VLOOKUP($A18,'SegEnds_Xtal_Prot#'!$A:$AY,31,FALSE)-VLOOKUP($B18,'SegEnds_NonXtal_Prot#'!$A:$AL,22,FALSE),"-")</f>
        <v>64</v>
      </c>
      <c r="Q18" s="2">
        <f>IFERROR(50+VLOOKUP($A18,'SegEnds_Xtal_Prot#'!$A:$AY,33,FALSE)-VLOOKUP($B18,'SegEnds_NonXtal_Prot#'!$A:$AL,25,FALSE),"-")</f>
        <v>50</v>
      </c>
      <c r="R18" s="2">
        <f>IFERROR(50+VLOOKUP($A18,'SegEnds_Xtal_Prot#'!$A:$AY,35,FALSE)-VLOOKUP($B18,'SegEnds_NonXtal_Prot#'!$A:$AL,25,FALSE),"-")</f>
        <v>52</v>
      </c>
      <c r="S18" s="2">
        <f>IFERROR(50+VLOOKUP($A18,'SegEnds_Xtal_Prot#'!$A:$AY,37,FALSE)-VLOOKUP($B18,'SegEnds_NonXtal_Prot#'!$A:$AL,28,FALSE),"-")</f>
        <v>34</v>
      </c>
      <c r="T18" s="2">
        <f>IFERROR(50+VLOOKUP($A18,'SegEnds_Xtal_Prot#'!$A:$AY,39,FALSE)-VLOOKUP($B18,'SegEnds_NonXtal_Prot#'!$A:$AL,28,FALSE),"-")</f>
        <v>68</v>
      </c>
      <c r="U18" s="2">
        <f>IFERROR(50+VLOOKUP($A18,'SegEnds_Xtal_Prot#'!$A:$AY,41,FALSE)-VLOOKUP($B18,'SegEnds_NonXtal_Prot#'!$A:$AL,31,FALSE),"-")</f>
        <v>28</v>
      </c>
      <c r="V18" s="2">
        <f>IFERROR(50+VLOOKUP($A18,'SegEnds_Xtal_Prot#'!$A:$AY,43,FALSE)-VLOOKUP($B18,'SegEnds_NonXtal_Prot#'!$A:$AL,31,FALSE),"-")</f>
        <v>64</v>
      </c>
      <c r="W18" s="2">
        <f>IFERROR(50+VLOOKUP($A18,'SegEnds_Xtal_Prot#'!$A:$AY,45,FALSE)-VLOOKUP($B18,'SegEnds_NonXtal_Prot#'!$A:$AL,34,FALSE),"-")</f>
        <v>24</v>
      </c>
      <c r="X18" s="2">
        <f>IFERROR(50+VLOOKUP($A18,'SegEnds_Xtal_Prot#'!$A:$AY,47,FALSE)-VLOOKUP($B18,'SegEnds_NonXtal_Prot#'!$A:$AL,34,FALSE),"-")</f>
        <v>56</v>
      </c>
      <c r="Y18" s="2">
        <f>IFERROR(50+VLOOKUP($A18,'SegEnds_Xtal_Prot#'!$A:$AY,49,FALSE)-VLOOKUP($B18,'SegEnds_NonXtal_Prot#'!$A:$AL,37,FALSE),"-")</f>
        <v>47</v>
      </c>
      <c r="Z18" s="2">
        <f>IFERROR(50+VLOOKUP($A18,'SegEnds_Xtal_Prot#'!$A:$AY,51,FALSE)-VLOOKUP($B18,'SegEnds_NonXtal_Prot#'!$A:$AL,37,FALSE),"-")</f>
        <v>61</v>
      </c>
      <c r="AA18" s="49" t="str">
        <f>VLOOKUP(B18,Classification!A:D,2,FALSE)</f>
        <v>A</v>
      </c>
      <c r="AB18" s="94" t="str">
        <f>VLOOKUP(B18,Classification!A:D,4,0)</f>
        <v>Angiotensin</v>
      </c>
      <c r="AC18" s="49">
        <f>VLOOKUP(B18,'SegEnds_NonXtal_Prot#'!A:AL,6,FALSE)-VLOOKUP(B18,'SegEnds_NonXtal_Prot#'!A:AL,5,FALSE)</f>
        <v>1</v>
      </c>
      <c r="AD18" s="49">
        <f>VLOOKUP(B18,'SegEnds_NonXtal_Prot#'!A:AL,9,FALSE)-VLOOKUP(B18,'SegEnds_NonXtal_Prot#'!A:AL,8,FALSE)</f>
        <v>1</v>
      </c>
      <c r="AE18" s="49">
        <f>VLOOKUP(B18,'SegEnds_NonXtal_Prot#'!A:AL,13,FALSE)-VLOOKUP(B18,'SegEnds_NonXtal_Prot#'!A:AL,10,FALSE)</f>
        <v>20</v>
      </c>
      <c r="AF18" s="49">
        <f>VLOOKUP(B18,'SegEnds_NonXtal_Prot#'!A:AL,12,FALSE)-VLOOKUP(B18,'SegEnds_NonXtal_Prot#'!A:AL,11,FALSE)</f>
        <v>3</v>
      </c>
      <c r="AG18" s="49">
        <f>VLOOKUP(B18,'SegEnds_NonXtal_Prot#'!A:AL,13,FALSE)-VLOOKUP(B18,'SegEnds_NonXtal_Prot#'!A:AL,11,FALSE)</f>
        <v>4</v>
      </c>
      <c r="AH18" s="49">
        <f>VLOOKUP(B18,'SegEnds_NonXtal_Prot#'!A:AL,16,FALSE)-VLOOKUP(B18,'SegEnds_NonXtal_Prot#'!A:AL,10,FALSE)</f>
        <v>52</v>
      </c>
      <c r="AI18" s="49">
        <f>VLOOKUP(B18,'SegEnds_NonXtal_Prot#'!A:AL,16,FALSE)-VLOOKUP(B18,'SegEnds_NonXtal_Prot#'!A:AL,11,FALSE)</f>
        <v>36</v>
      </c>
      <c r="AJ18" s="49">
        <f>VLOOKUP(B18,'SegEnds_NonXtal_Prot#'!A:AL,22,FALSE)-VLOOKUP(B18,'SegEnds_NonXtal_Prot#'!A:AL,19,FALSE)</f>
        <v>20</v>
      </c>
      <c r="AK18" s="49">
        <f>VLOOKUP(B18,'SegEnds_NonXtal_Prot#'!A:AL,15,FALSE)-VLOOKUP(B18,'SegEnds_NonXtal_Prot#'!A:AL,14,FALSE)</f>
        <v>1</v>
      </c>
      <c r="AL18" s="49">
        <f>VLOOKUP(B18,'SegEnds_NonXtal_Prot#'!A:AL,18,FALSE)-VLOOKUP(B18,'SegEnds_NonXtal_Prot#'!A:AL,17,FALSE)</f>
        <v>1</v>
      </c>
      <c r="AM18" s="2">
        <f>VLOOKUP(B18,'SegEnds_NonXtal_Prot#'!A:AL,34,FALSE)-VLOOKUP(B18,'SegEnds_NonXtal_Prot#'!A:AL,31,FALSE)</f>
        <v>44</v>
      </c>
      <c r="AN18" s="37"/>
    </row>
    <row r="19" spans="1:64" s="2" customFormat="1" x14ac:dyDescent="0.2">
      <c r="A19" s="2" t="s">
        <v>1399</v>
      </c>
      <c r="B19" s="2" t="s">
        <v>159</v>
      </c>
      <c r="C19" s="2">
        <f>IFERROR(50+VLOOKUP($A19,'SegEnds_Xtal_Prot#'!$A:$AY,5,FALSE)-VLOOKUP($B19,'SegEnds_NonXtal_Prot#'!$A:$AL,4,FALSE),"-")</f>
        <v>33</v>
      </c>
      <c r="D19" s="2">
        <f>IFERROR(50+VLOOKUP($A19,'SegEnds_Xtal_Prot#'!$A:$AY,7,FALSE)-VLOOKUP($B19,'SegEnds_NonXtal_Prot#'!$A:$AL,4,FALSE),"-")</f>
        <v>60</v>
      </c>
      <c r="E19" s="2" t="str">
        <f>IFERROR(50+VLOOKUP($A19,'SegEnds_Xtal_Prot#'!$A:$AY,9,FALSE)-VLOOKUP($B19,'SegEnds_NonXtal_Prot#'!$A:$AL,7,FALSE),"-")</f>
        <v>-</v>
      </c>
      <c r="F19" s="2" t="str">
        <f>IFERROR(50+VLOOKUP($A19,'SegEnds_Xtal_Prot#'!$A:$AY,11,FALSE)-VLOOKUP($B19,'SegEnds_NonXtal_Prot#'!$A:$AL,7,FALSE),"-")</f>
        <v>-</v>
      </c>
      <c r="G19" s="2">
        <f>IFERROR(50+VLOOKUP($A19,'SegEnds_Xtal_Prot#'!$A:$AY,13,FALSE)-VLOOKUP($B19,'SegEnds_NonXtal_Prot#'!$A:$AL,10,FALSE),"-")</f>
        <v>38</v>
      </c>
      <c r="H19" s="2">
        <f>IFERROR(50+VLOOKUP($A19,'SegEnds_Xtal_Prot#'!$A:$AY,15,FALSE)-VLOOKUP($B19,'SegEnds_NonXtal_Prot#'!$A:$AL,10,FALSE),"-")</f>
        <v>66</v>
      </c>
      <c r="I19" s="2">
        <f>IFERROR(50+VLOOKUP($A19,'SegEnds_Xtal_Prot#'!$A:$AY,17,FALSE)-VLOOKUP($B19,'SegEnds_NonXtal_Prot#'!$A:$AL,13,FALSE),"-")</f>
        <v>47</v>
      </c>
      <c r="J19" s="2">
        <f>IFERROR(50+VLOOKUP($A19,'SegEnds_Xtal_Prot#'!$A:$AY,19,FALSE)-VLOOKUP($B19,'SegEnds_NonXtal_Prot#'!$A:$AL,13,FALSE),"-")</f>
        <v>52</v>
      </c>
      <c r="K19" s="2">
        <f>IFERROR(50+VLOOKUP($A19,'SegEnds_Xtal_Prot#'!$A:$AY,21,FALSE)-VLOOKUP($B19,'SegEnds_NonXtal_Prot#'!$A:$AL,16,FALSE),"-")</f>
        <v>21</v>
      </c>
      <c r="L19" s="2">
        <f>IFERROR(50+VLOOKUP($A19,'SegEnds_Xtal_Prot#'!$A:$AY,23,FALSE)-VLOOKUP($B19,'SegEnds_NonXtal_Prot#'!$A:$AL,16,FALSE),"-")</f>
        <v>56</v>
      </c>
      <c r="M19" s="2">
        <f>IFERROR(50+VLOOKUP($A19,'SegEnds_Xtal_Prot#'!$A:$AY,25,FALSE)-VLOOKUP($B19,'SegEnds_NonXtal_Prot#'!$A:$AL,19,FALSE),"-")</f>
        <v>50</v>
      </c>
      <c r="N19" s="2">
        <f>IFERROR(50+VLOOKUP($A19,'SegEnds_Xtal_Prot#'!$A:$AY,27,FALSE)-VLOOKUP($B19,'SegEnds_NonXtal_Prot#'!$A:$AL,19,FALSE),"-")</f>
        <v>56</v>
      </c>
      <c r="O19" s="2">
        <f>IFERROR(50+VLOOKUP($A19,'SegEnds_Xtal_Prot#'!$A:$AY,29,FALSE)-VLOOKUP($B19,'SegEnds_NonXtal_Prot#'!$A:$AL,22,FALSE),"-")</f>
        <v>38</v>
      </c>
      <c r="P19" s="2">
        <f>IFERROR(50+VLOOKUP($A19,'SegEnds_Xtal_Prot#'!$A:$AY,31,FALSE)-VLOOKUP($B19,'SegEnds_NonXtal_Prot#'!$A:$AL,22,FALSE),"-")</f>
        <v>64</v>
      </c>
      <c r="Q19" s="2">
        <f>IFERROR(50+VLOOKUP($A19,'SegEnds_Xtal_Prot#'!$A:$AY,33,FALSE)-VLOOKUP($B19,'SegEnds_NonXtal_Prot#'!$A:$AL,25,FALSE),"-")</f>
        <v>50</v>
      </c>
      <c r="R19" s="2">
        <f>IFERROR(50+VLOOKUP($A19,'SegEnds_Xtal_Prot#'!$A:$AY,35,FALSE)-VLOOKUP($B19,'SegEnds_NonXtal_Prot#'!$A:$AL,25,FALSE),"-")</f>
        <v>52</v>
      </c>
      <c r="S19" s="2">
        <f>IFERROR(50+VLOOKUP($A19,'SegEnds_Xtal_Prot#'!$A:$AY,37,FALSE)-VLOOKUP($B19,'SegEnds_NonXtal_Prot#'!$A:$AL,28,FALSE),"-")</f>
        <v>30</v>
      </c>
      <c r="T19" s="2">
        <f>IFERROR(50+VLOOKUP($A19,'SegEnds_Xtal_Prot#'!$A:$AY,39,FALSE)-VLOOKUP($B19,'SegEnds_NonXtal_Prot#'!$A:$AL,28,FALSE),"-")</f>
        <v>68</v>
      </c>
      <c r="U19" s="2">
        <f>IFERROR(50+VLOOKUP($A19,'SegEnds_Xtal_Prot#'!$A:$AY,41,FALSE)-VLOOKUP($B19,'SegEnds_NonXtal_Prot#'!$A:$AL,31,FALSE),"-")</f>
        <v>24</v>
      </c>
      <c r="V19" s="2">
        <f>IFERROR(50+VLOOKUP($A19,'SegEnds_Xtal_Prot#'!$A:$AY,43,FALSE)-VLOOKUP($B19,'SegEnds_NonXtal_Prot#'!$A:$AL,31,FALSE),"-")</f>
        <v>64</v>
      </c>
      <c r="W19" s="2">
        <f>IFERROR(50+VLOOKUP($A19,'SegEnds_Xtal_Prot#'!$A:$AY,45,FALSE)-VLOOKUP($B19,'SegEnds_NonXtal_Prot#'!$A:$AL,34,FALSE),"-")</f>
        <v>24</v>
      </c>
      <c r="X19" s="2">
        <f>IFERROR(50+VLOOKUP($A19,'SegEnds_Xtal_Prot#'!$A:$AY,47,FALSE)-VLOOKUP($B19,'SegEnds_NonXtal_Prot#'!$A:$AL,34,FALSE),"-")</f>
        <v>56</v>
      </c>
      <c r="Y19" s="2">
        <f>IFERROR(50+VLOOKUP($A19,'SegEnds_Xtal_Prot#'!$A:$AY,49,FALSE)-VLOOKUP($B19,'SegEnds_NonXtal_Prot#'!$A:$AL,37,FALSE),"-")</f>
        <v>47</v>
      </c>
      <c r="Z19" s="2">
        <f>IFERROR(50+VLOOKUP($A19,'SegEnds_Xtal_Prot#'!$A:$AY,51,FALSE)-VLOOKUP($B19,'SegEnds_NonXtal_Prot#'!$A:$AL,37,FALSE),"-")</f>
        <v>61</v>
      </c>
      <c r="AA19" s="49" t="str">
        <f>VLOOKUP(B19,Classification!A:D,2,FALSE)</f>
        <v>A</v>
      </c>
      <c r="AB19" s="94" t="str">
        <f>VLOOKUP(B19,Classification!A:D,4,0)</f>
        <v>Angiotensin</v>
      </c>
      <c r="AC19" s="49" t="e">
        <f>VLOOKUP(B19,'SegEnds_NonXtal_Prot#'!A:AL,6,FALSE)-VLOOKUP(B19,'SegEnds_NonXtal_Prot#'!A:AL,5,FALSE)</f>
        <v>#VALUE!</v>
      </c>
      <c r="AD19" s="49" t="e">
        <f>VLOOKUP(B19,'SegEnds_NonXtal_Prot#'!A:AL,9,FALSE)-VLOOKUP(B19,'SegEnds_NonXtal_Prot#'!A:AL,8,FALSE)</f>
        <v>#VALUE!</v>
      </c>
      <c r="AE19" s="49">
        <f>VLOOKUP(B19,'SegEnds_NonXtal_Prot#'!A:AL,13,FALSE)-VLOOKUP(B19,'SegEnds_NonXtal_Prot#'!A:AL,10,FALSE)</f>
        <v>20</v>
      </c>
      <c r="AF19" s="49">
        <f>VLOOKUP(B19,'SegEnds_NonXtal_Prot#'!A:AL,12,FALSE)-VLOOKUP(B19,'SegEnds_NonXtal_Prot#'!A:AL,11,FALSE)</f>
        <v>3</v>
      </c>
      <c r="AG19" s="49">
        <f>VLOOKUP(B19,'SegEnds_NonXtal_Prot#'!A:AL,13,FALSE)-VLOOKUP(B19,'SegEnds_NonXtal_Prot#'!A:AL,11,FALSE)</f>
        <v>4</v>
      </c>
      <c r="AH19" s="49">
        <f>VLOOKUP(B19,'SegEnds_NonXtal_Prot#'!A:AL,16,FALSE)-VLOOKUP(B19,'SegEnds_NonXtal_Prot#'!A:AL,10,FALSE)</f>
        <v>52</v>
      </c>
      <c r="AI19" s="49">
        <f>VLOOKUP(B19,'SegEnds_NonXtal_Prot#'!A:AL,16,FALSE)-VLOOKUP(B19,'SegEnds_NonXtal_Prot#'!A:AL,11,FALSE)</f>
        <v>36</v>
      </c>
      <c r="AJ19" s="49">
        <f>VLOOKUP(B19,'SegEnds_NonXtal_Prot#'!A:AL,22,FALSE)-VLOOKUP(B19,'SegEnds_NonXtal_Prot#'!A:AL,19,FALSE)</f>
        <v>19</v>
      </c>
      <c r="AK19" s="49">
        <f>VLOOKUP(B19,'SegEnds_NonXtal_Prot#'!A:AL,15,FALSE)-VLOOKUP(B19,'SegEnds_NonXtal_Prot#'!A:AL,14,FALSE)</f>
        <v>1</v>
      </c>
      <c r="AL19" s="49">
        <f>VLOOKUP(B19,'SegEnds_NonXtal_Prot#'!A:AL,18,FALSE)-VLOOKUP(B19,'SegEnds_NonXtal_Prot#'!A:AL,17,FALSE)</f>
        <v>1</v>
      </c>
      <c r="AM19" s="2">
        <f>VLOOKUP(B19,'SegEnds_NonXtal_Prot#'!A:AL,34,FALSE)-VLOOKUP(B19,'SegEnds_NonXtal_Prot#'!A:AL,31,FALSE)</f>
        <v>44</v>
      </c>
      <c r="AN19" s="37"/>
    </row>
    <row r="20" spans="1:64" s="2" customFormat="1" x14ac:dyDescent="0.2">
      <c r="A20" s="2" t="s">
        <v>1424</v>
      </c>
      <c r="B20" s="2" t="s">
        <v>160</v>
      </c>
      <c r="C20" s="2">
        <f>IFERROR(50+VLOOKUP($A20,'SegEnds_Xtal_Prot#'!$A:$AY,5,FALSE)-VLOOKUP($B20,'SegEnds_NonXtal_Prot#'!$A:$AL,4,FALSE),"-")</f>
        <v>33</v>
      </c>
      <c r="D20" s="2">
        <f>IFERROR(50+VLOOKUP($A20,'SegEnds_Xtal_Prot#'!$A:$AY,7,FALSE)-VLOOKUP($B20,'SegEnds_NonXtal_Prot#'!$A:$AL,4,FALSE),"-")</f>
        <v>60</v>
      </c>
      <c r="E20" s="2">
        <f>IFERROR(50+VLOOKUP($A20,'SegEnds_Xtal_Prot#'!$A:$AY,9,FALSE)-VLOOKUP($B20,'SegEnds_NonXtal_Prot#'!$A:$AL,7,FALSE),"-")</f>
        <v>48</v>
      </c>
      <c r="F20" s="2">
        <f>IFERROR(50+VLOOKUP($A20,'SegEnds_Xtal_Prot#'!$A:$AY,11,FALSE)-VLOOKUP($B20,'SegEnds_NonXtal_Prot#'!$A:$AL,7,FALSE),"-")</f>
        <v>52</v>
      </c>
      <c r="G20" s="2">
        <f>IFERROR(50+VLOOKUP($A20,'SegEnds_Xtal_Prot#'!$A:$AY,13,FALSE)-VLOOKUP($B20,'SegEnds_NonXtal_Prot#'!$A:$AL,10,FALSE),"-")</f>
        <v>37</v>
      </c>
      <c r="H20" s="2">
        <f>IFERROR(50+VLOOKUP($A20,'SegEnds_Xtal_Prot#'!$A:$AY,15,FALSE)-VLOOKUP($B20,'SegEnds_NonXtal_Prot#'!$A:$AL,10,FALSE),"-")</f>
        <v>67</v>
      </c>
      <c r="I20" s="2">
        <f>IFERROR(50+VLOOKUP($A20,'SegEnds_Xtal_Prot#'!$A:$AY,17,FALSE)-VLOOKUP($B20,'SegEnds_NonXtal_Prot#'!$A:$AL,13,FALSE),"-")</f>
        <v>49</v>
      </c>
      <c r="J20" s="2">
        <f>IFERROR(50+VLOOKUP($A20,'SegEnds_Xtal_Prot#'!$A:$AY,19,FALSE)-VLOOKUP($B20,'SegEnds_NonXtal_Prot#'!$A:$AL,13,FALSE),"-")</f>
        <v>52</v>
      </c>
      <c r="K20" s="2">
        <f>IFERROR(50+VLOOKUP($A20,'SegEnds_Xtal_Prot#'!$A:$AY,21,FALSE)-VLOOKUP($B20,'SegEnds_NonXtal_Prot#'!$A:$AL,16,FALSE),"-")</f>
        <v>21</v>
      </c>
      <c r="L20" s="2">
        <f>IFERROR(50+VLOOKUP($A20,'SegEnds_Xtal_Prot#'!$A:$AY,23,FALSE)-VLOOKUP($B20,'SegEnds_NonXtal_Prot#'!$A:$AL,16,FALSE),"-")</f>
        <v>56</v>
      </c>
      <c r="M20" s="2">
        <f>IFERROR(50+VLOOKUP($A20,'SegEnds_Xtal_Prot#'!$A:$AY,25,FALSE)-VLOOKUP($B20,'SegEnds_NonXtal_Prot#'!$A:$AL,19,FALSE),"-")</f>
        <v>50</v>
      </c>
      <c r="N20" s="2">
        <f>IFERROR(50+VLOOKUP($A20,'SegEnds_Xtal_Prot#'!$A:$AY,27,FALSE)-VLOOKUP($B20,'SegEnds_NonXtal_Prot#'!$A:$AL,19,FALSE),"-")</f>
        <v>57</v>
      </c>
      <c r="O20" s="2">
        <f>IFERROR(50+VLOOKUP($A20,'SegEnds_Xtal_Prot#'!$A:$AY,29,FALSE)-VLOOKUP($B20,'SegEnds_NonXtal_Prot#'!$A:$AL,22,FALSE),"-")</f>
        <v>38</v>
      </c>
      <c r="P20" s="2">
        <f>IFERROR(50+VLOOKUP($A20,'SegEnds_Xtal_Prot#'!$A:$AY,31,FALSE)-VLOOKUP($B20,'SegEnds_NonXtal_Prot#'!$A:$AL,22,FALSE),"-")</f>
        <v>64</v>
      </c>
      <c r="Q20" s="2">
        <f>IFERROR(50+VLOOKUP($A20,'SegEnds_Xtal_Prot#'!$A:$AY,33,FALSE)-VLOOKUP($B20,'SegEnds_NonXtal_Prot#'!$A:$AL,25,FALSE),"-")</f>
        <v>50</v>
      </c>
      <c r="R20" s="2">
        <f>IFERROR(50+VLOOKUP($A20,'SegEnds_Xtal_Prot#'!$A:$AY,35,FALSE)-VLOOKUP($B20,'SegEnds_NonXtal_Prot#'!$A:$AL,25,FALSE),"-")</f>
        <v>52</v>
      </c>
      <c r="S20" s="2">
        <f>IFERROR(50+VLOOKUP($A20,'SegEnds_Xtal_Prot#'!$A:$AY,37,FALSE)-VLOOKUP($B20,'SegEnds_NonXtal_Prot#'!$A:$AL,28,FALSE),"-")</f>
        <v>30</v>
      </c>
      <c r="T20" s="2">
        <f>IFERROR(50+VLOOKUP($A20,'SegEnds_Xtal_Prot#'!$A:$AY,39,FALSE)-VLOOKUP($B20,'SegEnds_NonXtal_Prot#'!$A:$AL,28,FALSE),"-")</f>
        <v>72</v>
      </c>
      <c r="U20" s="2">
        <f>IFERROR(50+VLOOKUP($A20,'SegEnds_Xtal_Prot#'!$A:$AY,41,FALSE)-VLOOKUP($B20,'SegEnds_NonXtal_Prot#'!$A:$AL,31,FALSE),"-")</f>
        <v>29</v>
      </c>
      <c r="V20" s="2">
        <f>IFERROR(50+VLOOKUP($A20,'SegEnds_Xtal_Prot#'!$A:$AY,43,FALSE)-VLOOKUP($B20,'SegEnds_NonXtal_Prot#'!$A:$AL,31,FALSE),"-")</f>
        <v>63</v>
      </c>
      <c r="W20" s="2">
        <f>IFERROR(50+VLOOKUP($A20,'SegEnds_Xtal_Prot#'!$A:$AY,45,FALSE)-VLOOKUP($B20,'SegEnds_NonXtal_Prot#'!$A:$AL,34,FALSE),"-")</f>
        <v>24</v>
      </c>
      <c r="X20" s="2">
        <f>IFERROR(50+VLOOKUP($A20,'SegEnds_Xtal_Prot#'!$A:$AY,47,FALSE)-VLOOKUP($B20,'SegEnds_NonXtal_Prot#'!$A:$AL,34,FALSE),"-")</f>
        <v>56</v>
      </c>
      <c r="Y20" s="2">
        <f>IFERROR(50+VLOOKUP($A20,'SegEnds_Xtal_Prot#'!$A:$AY,49,FALSE)-VLOOKUP($B20,'SegEnds_NonXtal_Prot#'!$A:$AL,37,FALSE),"-")</f>
        <v>47</v>
      </c>
      <c r="Z20" s="2">
        <f>IFERROR(50+VLOOKUP($A20,'SegEnds_Xtal_Prot#'!$A:$AY,51,FALSE)-VLOOKUP($B20,'SegEnds_NonXtal_Prot#'!$A:$AL,37,FALSE),"-")</f>
        <v>61</v>
      </c>
      <c r="AA20" s="49" t="str">
        <f>VLOOKUP(B20,Classification!A:D,2,FALSE)</f>
        <v>A</v>
      </c>
      <c r="AB20" s="94" t="str">
        <f>VLOOKUP(B20,Classification!A:D,4,0)</f>
        <v>Apelin</v>
      </c>
      <c r="AC20" s="49">
        <f>VLOOKUP(B20,'SegEnds_NonXtal_Prot#'!A:AL,6,FALSE)-VLOOKUP(B20,'SegEnds_NonXtal_Prot#'!A:AL,5,FALSE)</f>
        <v>1</v>
      </c>
      <c r="AD20" s="49">
        <f>VLOOKUP(B20,'SegEnds_NonXtal_Prot#'!A:AL,9,FALSE)-VLOOKUP(B20,'SegEnds_NonXtal_Prot#'!A:AL,8,FALSE)</f>
        <v>1</v>
      </c>
      <c r="AE20" s="49">
        <f>VLOOKUP(B20,'SegEnds_NonXtal_Prot#'!A:AL,13,FALSE)-VLOOKUP(B20,'SegEnds_NonXtal_Prot#'!A:AL,10,FALSE)</f>
        <v>20</v>
      </c>
      <c r="AF20" s="49">
        <f>VLOOKUP(B20,'SegEnds_NonXtal_Prot#'!A:AL,12,FALSE)-VLOOKUP(B20,'SegEnds_NonXtal_Prot#'!A:AL,11,FALSE)</f>
        <v>2</v>
      </c>
      <c r="AG20" s="49">
        <f>VLOOKUP(B20,'SegEnds_NonXtal_Prot#'!A:AL,13,FALSE)-VLOOKUP(B20,'SegEnds_NonXtal_Prot#'!A:AL,11,FALSE)</f>
        <v>3</v>
      </c>
      <c r="AH20" s="49">
        <f>VLOOKUP(B20,'SegEnds_NonXtal_Prot#'!A:AL,16,FALSE)-VLOOKUP(B20,'SegEnds_NonXtal_Prot#'!A:AL,10,FALSE)</f>
        <v>52</v>
      </c>
      <c r="AI20" s="49">
        <f>VLOOKUP(B20,'SegEnds_NonXtal_Prot#'!A:AL,16,FALSE)-VLOOKUP(B20,'SegEnds_NonXtal_Prot#'!A:AL,11,FALSE)</f>
        <v>35</v>
      </c>
      <c r="AJ20" s="49">
        <f>VLOOKUP(B20,'SegEnds_NonXtal_Prot#'!A:AL,22,FALSE)-VLOOKUP(B20,'SegEnds_NonXtal_Prot#'!A:AL,19,FALSE)</f>
        <v>20</v>
      </c>
      <c r="AK20" s="49">
        <f>VLOOKUP(B20,'SegEnds_NonXtal_Prot#'!A:AL,15,FALSE)-VLOOKUP(B20,'SegEnds_NonXtal_Prot#'!A:AL,14,FALSE)</f>
        <v>1</v>
      </c>
      <c r="AL20" s="49">
        <f>VLOOKUP(B20,'SegEnds_NonXtal_Prot#'!A:AL,18,FALSE)-VLOOKUP(B20,'SegEnds_NonXtal_Prot#'!A:AL,17,FALSE)</f>
        <v>1</v>
      </c>
      <c r="AM20" s="2">
        <f>VLOOKUP(B20,'SegEnds_NonXtal_Prot#'!A:AL,34,FALSE)-VLOOKUP(B20,'SegEnds_NonXtal_Prot#'!A:AL,31,FALSE)</f>
        <v>43</v>
      </c>
      <c r="AN20" s="37"/>
    </row>
    <row r="21" spans="1:64" s="2" customFormat="1" x14ac:dyDescent="0.2">
      <c r="A21" s="2" t="s">
        <v>1368</v>
      </c>
      <c r="B21" s="2" t="s">
        <v>182</v>
      </c>
      <c r="C21" s="2">
        <f>IFERROR(50+VLOOKUP($A21,'SegEnds_Xtal_Prot#'!$A:$AY,5,FALSE)-VLOOKUP($B21,'SegEnds_NonXtal_Prot#'!$A:$AL,4,FALSE),"-")</f>
        <v>28</v>
      </c>
      <c r="D21" s="2">
        <f>IFERROR(50+VLOOKUP($A21,'SegEnds_Xtal_Prot#'!$A:$AY,7,FALSE)-VLOOKUP($B21,'SegEnds_NonXtal_Prot#'!$A:$AL,4,FALSE),"-")</f>
        <v>60</v>
      </c>
      <c r="E21" s="2">
        <f>IFERROR(50+VLOOKUP($A21,'SegEnds_Xtal_Prot#'!$A:$AY,9,FALSE)-VLOOKUP($B21,'SegEnds_NonXtal_Prot#'!$A:$AL,7,FALSE),"-")</f>
        <v>48</v>
      </c>
      <c r="F21" s="2">
        <f>IFERROR(50+VLOOKUP($A21,'SegEnds_Xtal_Prot#'!$A:$AY,11,FALSE)-VLOOKUP($B21,'SegEnds_NonXtal_Prot#'!$A:$AL,7,FALSE),"-")</f>
        <v>51</v>
      </c>
      <c r="G21" s="2">
        <f>IFERROR(50+VLOOKUP($A21,'SegEnds_Xtal_Prot#'!$A:$AY,13,FALSE)-VLOOKUP($B21,'SegEnds_NonXtal_Prot#'!$A:$AL,10,FALSE),"-")</f>
        <v>37</v>
      </c>
      <c r="H21" s="2">
        <f>IFERROR(50+VLOOKUP($A21,'SegEnds_Xtal_Prot#'!$A:$AY,15,FALSE)-VLOOKUP($B21,'SegEnds_NonXtal_Prot#'!$A:$AL,10,FALSE),"-")</f>
        <v>66</v>
      </c>
      <c r="I21" s="2" t="str">
        <f>IFERROR(50+VLOOKUP($A21,'SegEnds_Xtal_Prot#'!$A:$AY,17,FALSE)-VLOOKUP($B21,'SegEnds_NonXtal_Prot#'!$A:$AL,13,FALSE),"-")</f>
        <v>-</v>
      </c>
      <c r="J21" s="2" t="str">
        <f>IFERROR(50+VLOOKUP($A21,'SegEnds_Xtal_Prot#'!$A:$AY,19,FALSE)-VLOOKUP($B21,'SegEnds_NonXtal_Prot#'!$A:$AL,13,FALSE),"-")</f>
        <v>-</v>
      </c>
      <c r="K21" s="2">
        <f>IFERROR(50+VLOOKUP($A21,'SegEnds_Xtal_Prot#'!$A:$AY,21,FALSE)-VLOOKUP($B21,'SegEnds_NonXtal_Prot#'!$A:$AL,16,FALSE),"-")</f>
        <v>21</v>
      </c>
      <c r="L21" s="2">
        <f>IFERROR(50+VLOOKUP($A21,'SegEnds_Xtal_Prot#'!$A:$AY,23,FALSE)-VLOOKUP($B21,'SegEnds_NonXtal_Prot#'!$A:$AL,16,FALSE),"-")</f>
        <v>56</v>
      </c>
      <c r="M21" s="2">
        <f>IFERROR(50+VLOOKUP($A21,'SegEnds_Xtal_Prot#'!$A:$AY,25,FALSE)-VLOOKUP($B21,'SegEnds_NonXtal_Prot#'!$A:$AL,19,FALSE),"-")</f>
        <v>50</v>
      </c>
      <c r="N21" s="2">
        <f>IFERROR(50+VLOOKUP($A21,'SegEnds_Xtal_Prot#'!$A:$AY,27,FALSE)-VLOOKUP($B21,'SegEnds_NonXtal_Prot#'!$A:$AL,19,FALSE),"-")</f>
        <v>57</v>
      </c>
      <c r="O21" s="2">
        <f>IFERROR(50+VLOOKUP($A21,'SegEnds_Xtal_Prot#'!$A:$AY,29,FALSE)-VLOOKUP($B21,'SegEnds_NonXtal_Prot#'!$A:$AL,22,FALSE),"-")</f>
        <v>38</v>
      </c>
      <c r="P21" s="2">
        <f>IFERROR(50+VLOOKUP($A21,'SegEnds_Xtal_Prot#'!$A:$AY,31,FALSE)-VLOOKUP($B21,'SegEnds_NonXtal_Prot#'!$A:$AL,22,FALSE),"-")</f>
        <v>63</v>
      </c>
      <c r="Q21" s="2" t="str">
        <f>IFERROR(50+VLOOKUP($A21,'SegEnds_Xtal_Prot#'!$A:$AY,33,FALSE)-VLOOKUP($B21,'SegEnds_NonXtal_Prot#'!$A:$AL,25,FALSE),"-")</f>
        <v>-</v>
      </c>
      <c r="R21" s="2" t="str">
        <f>IFERROR(50+VLOOKUP($A21,'SegEnds_Xtal_Prot#'!$A:$AY,35,FALSE)-VLOOKUP($B21,'SegEnds_NonXtal_Prot#'!$A:$AL,25,FALSE),"-")</f>
        <v>-</v>
      </c>
      <c r="S21" s="2">
        <f>IFERROR(50+VLOOKUP($A21,'SegEnds_Xtal_Prot#'!$A:$AY,37,FALSE)-VLOOKUP($B21,'SegEnds_NonXtal_Prot#'!$A:$AL,28,FALSE),"-")</f>
        <v>36</v>
      </c>
      <c r="T21" s="2">
        <f>IFERROR(50+VLOOKUP($A21,'SegEnds_Xtal_Prot#'!$A:$AY,39,FALSE)-VLOOKUP($B21,'SegEnds_NonXtal_Prot#'!$A:$AL,28,FALSE),"-")</f>
        <v>76</v>
      </c>
      <c r="U21" s="2">
        <f>IFERROR(50+VLOOKUP($A21,'SegEnds_Xtal_Prot#'!$A:$AY,41,FALSE)-VLOOKUP($B21,'SegEnds_NonXtal_Prot#'!$A:$AL,31,FALSE),"-")</f>
        <v>24</v>
      </c>
      <c r="V21" s="2">
        <f>IFERROR(50+VLOOKUP($A21,'SegEnds_Xtal_Prot#'!$A:$AY,43,FALSE)-VLOOKUP($B21,'SegEnds_NonXtal_Prot#'!$A:$AL,31,FALSE),"-")</f>
        <v>61</v>
      </c>
      <c r="W21" s="2">
        <f>IFERROR(50+VLOOKUP($A21,'SegEnds_Xtal_Prot#'!$A:$AY,45,FALSE)-VLOOKUP($B21,'SegEnds_NonXtal_Prot#'!$A:$AL,34,FALSE),"-")</f>
        <v>28</v>
      </c>
      <c r="X21" s="2">
        <f>IFERROR(50+VLOOKUP($A21,'SegEnds_Xtal_Prot#'!$A:$AY,47,FALSE)-VLOOKUP($B21,'SegEnds_NonXtal_Prot#'!$A:$AL,34,FALSE),"-")</f>
        <v>56</v>
      </c>
      <c r="Y21" s="2">
        <f>IFERROR(50+VLOOKUP($A21,'SegEnds_Xtal_Prot#'!$A:$AY,49,FALSE)-VLOOKUP($B21,'SegEnds_NonXtal_Prot#'!$A:$AL,37,FALSE),"-")</f>
        <v>47</v>
      </c>
      <c r="Z21" s="2">
        <f>IFERROR(50+VLOOKUP($A21,'SegEnds_Xtal_Prot#'!$A:$AY,51,FALSE)-VLOOKUP($B21,'SegEnds_NonXtal_Prot#'!$A:$AL,37,FALSE),"-")</f>
        <v>59</v>
      </c>
      <c r="AA21" s="49" t="str">
        <f>VLOOKUP(B21,Classification!A:D,2,FALSE)</f>
        <v>A</v>
      </c>
      <c r="AB21" s="94" t="str">
        <f>VLOOKUP(B21,Classification!A:D,4,0)</f>
        <v>Cannabinoid</v>
      </c>
      <c r="AC21" s="49">
        <f>VLOOKUP(B21,'SegEnds_NonXtal_Prot#'!A:AL,6,FALSE)-VLOOKUP(B21,'SegEnds_NonXtal_Prot#'!A:AL,5,FALSE)</f>
        <v>1</v>
      </c>
      <c r="AD21" s="49">
        <f>VLOOKUP(B21,'SegEnds_NonXtal_Prot#'!A:AL,9,FALSE)-VLOOKUP(B21,'SegEnds_NonXtal_Prot#'!A:AL,8,FALSE)</f>
        <v>2</v>
      </c>
      <c r="AE21" s="49" t="e">
        <f>VLOOKUP(B21,'SegEnds_NonXtal_Prot#'!A:AL,13,FALSE)-VLOOKUP(B21,'SegEnds_NonXtal_Prot#'!A:AL,10,FALSE)</f>
        <v>#VALUE!</v>
      </c>
      <c r="AF21" s="49" t="e">
        <f>VLOOKUP(B21,'SegEnds_NonXtal_Prot#'!A:AL,12,FALSE)-VLOOKUP(B21,'SegEnds_NonXtal_Prot#'!A:AL,11,FALSE)</f>
        <v>#VALUE!</v>
      </c>
      <c r="AG21" s="49" t="e">
        <f>VLOOKUP(B21,'SegEnds_NonXtal_Prot#'!A:AL,13,FALSE)-VLOOKUP(B21,'SegEnds_NonXtal_Prot#'!A:AL,11,FALSE)</f>
        <v>#VALUE!</v>
      </c>
      <c r="AH21" s="49">
        <f>VLOOKUP(B21,'SegEnds_NonXtal_Prot#'!A:AL,16,FALSE)-VLOOKUP(B21,'SegEnds_NonXtal_Prot#'!A:AL,10,FALSE)</f>
        <v>51</v>
      </c>
      <c r="AI21" s="49">
        <f>VLOOKUP(B21,'SegEnds_NonXtal_Prot#'!A:AL,16,FALSE)-VLOOKUP(B21,'SegEnds_NonXtal_Prot#'!A:AL,11,FALSE)</f>
        <v>35</v>
      </c>
      <c r="AJ21" s="49">
        <f>VLOOKUP(B21,'SegEnds_NonXtal_Prot#'!A:AL,22,FALSE)-VLOOKUP(B21,'SegEnds_NonXtal_Prot#'!A:AL,19,FALSE)</f>
        <v>20</v>
      </c>
      <c r="AK21" s="49" t="e">
        <f>VLOOKUP(B21,'SegEnds_NonXtal_Prot#'!A:AL,15,FALSE)-VLOOKUP(B21,'SegEnds_NonXtal_Prot#'!A:AL,14,FALSE)</f>
        <v>#VALUE!</v>
      </c>
      <c r="AL21" s="49">
        <f>VLOOKUP(B21,'SegEnds_NonXtal_Prot#'!A:AL,18,FALSE)-VLOOKUP(B21,'SegEnds_NonXtal_Prot#'!A:AL,17,FALSE)</f>
        <v>1</v>
      </c>
      <c r="AM21" s="2">
        <f>VLOOKUP(B21,'SegEnds_NonXtal_Prot#'!A:AL,34,FALSE)-VLOOKUP(B21,'SegEnds_NonXtal_Prot#'!A:AL,31,FALSE)</f>
        <v>36</v>
      </c>
      <c r="AN21" s="37"/>
      <c r="BL21" s="49"/>
    </row>
    <row r="22" spans="1:64" s="2" customFormat="1" x14ac:dyDescent="0.2">
      <c r="A22" s="2" t="s">
        <v>1256</v>
      </c>
      <c r="B22" s="2" t="s">
        <v>1172</v>
      </c>
      <c r="C22" s="2">
        <f>IFERROR(50+VLOOKUP($A22,'SegEnds_Xtal_Prot#'!$A:$AY,5,FALSE)-VLOOKUP($B22,'SegEnds_NonXtal_Prot#'!$A:$AL,4,FALSE),"-")</f>
        <v>24</v>
      </c>
      <c r="D22" s="2">
        <f>IFERROR(50+VLOOKUP($A22,'SegEnds_Xtal_Prot#'!$A:$AY,7,FALSE)-VLOOKUP($B22,'SegEnds_NonXtal_Prot#'!$A:$AL,4,FALSE),"-")</f>
        <v>60</v>
      </c>
      <c r="E22" s="2">
        <f>IFERROR(50+VLOOKUP($A22,'SegEnds_Xtal_Prot#'!$A:$AY,9,FALSE)-VLOOKUP($B22,'SegEnds_NonXtal_Prot#'!$A:$AL,7,FALSE),"-")</f>
        <v>48</v>
      </c>
      <c r="F22" s="2">
        <f>IFERROR(50+VLOOKUP($A22,'SegEnds_Xtal_Prot#'!$A:$AY,11,FALSE)-VLOOKUP($B22,'SegEnds_NonXtal_Prot#'!$A:$AL,7,FALSE),"-")</f>
        <v>51</v>
      </c>
      <c r="G22" s="2">
        <f>IFERROR(50+VLOOKUP($A22,'SegEnds_Xtal_Prot#'!$A:$AY,13,FALSE)-VLOOKUP($B22,'SegEnds_NonXtal_Prot#'!$A:$AL,10,FALSE),"-")</f>
        <v>37</v>
      </c>
      <c r="H22" s="2">
        <f>IFERROR(50+VLOOKUP($A22,'SegEnds_Xtal_Prot#'!$A:$AY,15,FALSE)-VLOOKUP($B22,'SegEnds_NonXtal_Prot#'!$A:$AL,10,FALSE),"-")</f>
        <v>66</v>
      </c>
      <c r="I22" s="2">
        <f>IFERROR(50+VLOOKUP($A22,'SegEnds_Xtal_Prot#'!$A:$AY,17,FALSE)-VLOOKUP($B22,'SegEnds_NonXtal_Prot#'!$A:$AL,13,FALSE),"-")</f>
        <v>49</v>
      </c>
      <c r="J22" s="2">
        <f>IFERROR(50+VLOOKUP($A22,'SegEnds_Xtal_Prot#'!$A:$AY,19,FALSE)-VLOOKUP($B22,'SegEnds_NonXtal_Prot#'!$A:$AL,13,FALSE),"-")</f>
        <v>52</v>
      </c>
      <c r="K22" s="2">
        <f>IFERROR(50+VLOOKUP($A22,'SegEnds_Xtal_Prot#'!$A:$AY,21,FALSE)-VLOOKUP($B22,'SegEnds_NonXtal_Prot#'!$A:$AL,16,FALSE),"-")</f>
        <v>21</v>
      </c>
      <c r="L22" s="2">
        <f>IFERROR(50+VLOOKUP($A22,'SegEnds_Xtal_Prot#'!$A:$AY,23,FALSE)-VLOOKUP($B22,'SegEnds_NonXtal_Prot#'!$A:$AL,16,FALSE),"-")</f>
        <v>56</v>
      </c>
      <c r="M22" s="2">
        <f>IFERROR(50+VLOOKUP($A22,'SegEnds_Xtal_Prot#'!$A:$AY,25,FALSE)-VLOOKUP($B22,'SegEnds_NonXtal_Prot#'!$A:$AL,19,FALSE),"-")</f>
        <v>50</v>
      </c>
      <c r="N22" s="2">
        <f>IFERROR(50+VLOOKUP($A22,'SegEnds_Xtal_Prot#'!$A:$AY,27,FALSE)-VLOOKUP($B22,'SegEnds_NonXtal_Prot#'!$A:$AL,19,FALSE),"-")</f>
        <v>57</v>
      </c>
      <c r="O22" s="2">
        <f>IFERROR(50+VLOOKUP($A22,'SegEnds_Xtal_Prot#'!$A:$AY,29,FALSE)-VLOOKUP($B22,'SegEnds_NonXtal_Prot#'!$A:$AL,22,FALSE),"-")</f>
        <v>38</v>
      </c>
      <c r="P22" s="2">
        <f>IFERROR(50+VLOOKUP($A22,'SegEnds_Xtal_Prot#'!$A:$AY,31,FALSE)-VLOOKUP($B22,'SegEnds_NonXtal_Prot#'!$A:$AL,22,FALSE),"-")</f>
        <v>64</v>
      </c>
      <c r="Q22" s="2">
        <f>IFERROR(50+VLOOKUP($A22,'SegEnds_Xtal_Prot#'!$A:$AY,33,FALSE)-VLOOKUP($B22,'SegEnds_NonXtal_Prot#'!$A:$AL,25,FALSE),"-")</f>
        <v>50</v>
      </c>
      <c r="R22" s="2">
        <f>IFERROR(50+VLOOKUP($A22,'SegEnds_Xtal_Prot#'!$A:$AY,35,FALSE)-VLOOKUP($B22,'SegEnds_NonXtal_Prot#'!$A:$AL,25,FALSE),"-")</f>
        <v>52</v>
      </c>
      <c r="S22" s="2">
        <f>IFERROR(50+VLOOKUP($A22,'SegEnds_Xtal_Prot#'!$A:$AY,37,FALSE)-VLOOKUP($B22,'SegEnds_NonXtal_Prot#'!$A:$AL,28,FALSE),"-")</f>
        <v>32</v>
      </c>
      <c r="T22" s="2">
        <f>IFERROR(50+VLOOKUP($A22,'SegEnds_Xtal_Prot#'!$A:$AY,39,FALSE)-VLOOKUP($B22,'SegEnds_NonXtal_Prot#'!$A:$AL,28,FALSE),"-")</f>
        <v>68</v>
      </c>
      <c r="U22" s="2">
        <f>IFERROR(50+VLOOKUP($A22,'SegEnds_Xtal_Prot#'!$A:$AY,41,FALSE)-VLOOKUP($B22,'SegEnds_NonXtal_Prot#'!$A:$AL,31,FALSE),"-")</f>
        <v>30</v>
      </c>
      <c r="V22" s="2">
        <f>IFERROR(50+VLOOKUP($A22,'SegEnds_Xtal_Prot#'!$A:$AY,43,FALSE)-VLOOKUP($B22,'SegEnds_NonXtal_Prot#'!$A:$AL,31,FALSE),"-")</f>
        <v>64</v>
      </c>
      <c r="W22" s="2">
        <f>IFERROR(50+VLOOKUP($A22,'SegEnds_Xtal_Prot#'!$A:$AY,45,FALSE)-VLOOKUP($B22,'SegEnds_NonXtal_Prot#'!$A:$AL,34,FALSE),"-")</f>
        <v>24</v>
      </c>
      <c r="X22" s="2">
        <f>IFERROR(50+VLOOKUP($A22,'SegEnds_Xtal_Prot#'!$A:$AY,47,FALSE)-VLOOKUP($B22,'SegEnds_NonXtal_Prot#'!$A:$AL,34,FALSE),"-")</f>
        <v>56</v>
      </c>
      <c r="Y22" s="2">
        <f>IFERROR(50+VLOOKUP($A22,'SegEnds_Xtal_Prot#'!$A:$AY,49,FALSE)-VLOOKUP($B22,'SegEnds_NonXtal_Prot#'!$A:$AL,37,FALSE),"-")</f>
        <v>47</v>
      </c>
      <c r="Z22" s="2">
        <f>IFERROR(50+VLOOKUP($A22,'SegEnds_Xtal_Prot#'!$A:$AY,51,FALSE)-VLOOKUP($B22,'SegEnds_NonXtal_Prot#'!$A:$AL,37,FALSE),"-")</f>
        <v>59</v>
      </c>
      <c r="AA22" s="49" t="str">
        <f>VLOOKUP(B22,Classification!A:D,2,FALSE)</f>
        <v>A</v>
      </c>
      <c r="AB22" s="94" t="str">
        <f>VLOOKUP(B22,Classification!A:D,4,0)</f>
        <v>Chemokine</v>
      </c>
      <c r="AC22" s="49">
        <f>VLOOKUP(B22,'SegEnds_NonXtal_Prot#'!A:AL,6,FALSE)-VLOOKUP(B22,'SegEnds_NonXtal_Prot#'!A:AL,5,FALSE)</f>
        <v>1</v>
      </c>
      <c r="AD22" s="49">
        <f>VLOOKUP(B22,'SegEnds_NonXtal_Prot#'!A:AL,9,FALSE)-VLOOKUP(B22,'SegEnds_NonXtal_Prot#'!A:AL,8,FALSE)</f>
        <v>1</v>
      </c>
      <c r="AE22" s="49">
        <f>VLOOKUP(B22,'SegEnds_NonXtal_Prot#'!A:AL,13,FALSE)-VLOOKUP(B22,'SegEnds_NonXtal_Prot#'!A:AL,10,FALSE)</f>
        <v>18</v>
      </c>
      <c r="AF22" s="49">
        <f>VLOOKUP(B22,'SegEnds_NonXtal_Prot#'!A:AL,12,FALSE)-VLOOKUP(B22,'SegEnds_NonXtal_Prot#'!A:AL,11,FALSE)</f>
        <v>1</v>
      </c>
      <c r="AG22" s="49">
        <f>VLOOKUP(B22,'SegEnds_NonXtal_Prot#'!A:AL,13,FALSE)-VLOOKUP(B22,'SegEnds_NonXtal_Prot#'!A:AL,11,FALSE)</f>
        <v>2</v>
      </c>
      <c r="AH22" s="49">
        <f>VLOOKUP(B22,'SegEnds_NonXtal_Prot#'!A:AL,16,FALSE)-VLOOKUP(B22,'SegEnds_NonXtal_Prot#'!A:AL,10,FALSE)</f>
        <v>50</v>
      </c>
      <c r="AI22" s="49">
        <f>VLOOKUP(B22,'SegEnds_NonXtal_Prot#'!A:AL,16,FALSE)-VLOOKUP(B22,'SegEnds_NonXtal_Prot#'!A:AL,11,FALSE)</f>
        <v>34</v>
      </c>
      <c r="AJ22" s="49">
        <f>VLOOKUP(B22,'SegEnds_NonXtal_Prot#'!A:AL,22,FALSE)-VLOOKUP(B22,'SegEnds_NonXtal_Prot#'!A:AL,19,FALSE)</f>
        <v>20</v>
      </c>
      <c r="AK22" s="49">
        <f>VLOOKUP(B22,'SegEnds_NonXtal_Prot#'!A:AL,15,FALSE)-VLOOKUP(B22,'SegEnds_NonXtal_Prot#'!A:AL,14,FALSE)</f>
        <v>1</v>
      </c>
      <c r="AL22" s="49">
        <f>VLOOKUP(B22,'SegEnds_NonXtal_Prot#'!A:AL,18,FALSE)-VLOOKUP(B22,'SegEnds_NonXtal_Prot#'!A:AL,17,FALSE)</f>
        <v>1</v>
      </c>
      <c r="AM22" s="2">
        <f>VLOOKUP(B22,'SegEnds_NonXtal_Prot#'!A:AL,34,FALSE)-VLOOKUP(B22,'SegEnds_NonXtal_Prot#'!A:AL,31,FALSE)</f>
        <v>45</v>
      </c>
      <c r="AN22" s="37"/>
    </row>
    <row r="23" spans="1:64" s="2" customFormat="1" x14ac:dyDescent="0.2">
      <c r="A23" s="2" t="s">
        <v>1280</v>
      </c>
      <c r="B23" s="2" t="s">
        <v>924</v>
      </c>
      <c r="C23" s="2">
        <f>IFERROR(50+VLOOKUP($A23,'SegEnds_Xtal_Prot#'!$A:$AY,5,FALSE)-VLOOKUP($B23,'SegEnds_NonXtal_Prot#'!$A:$AL,4,FALSE),"-")</f>
        <v>24</v>
      </c>
      <c r="D23" s="2">
        <f>IFERROR(50+VLOOKUP($A23,'SegEnds_Xtal_Prot#'!$A:$AY,7,FALSE)-VLOOKUP($B23,'SegEnds_NonXtal_Prot#'!$A:$AL,4,FALSE),"-")</f>
        <v>60</v>
      </c>
      <c r="E23" s="2">
        <f>IFERROR(50+VLOOKUP($A23,'SegEnds_Xtal_Prot#'!$A:$AY,9,FALSE)-VLOOKUP($B23,'SegEnds_NonXtal_Prot#'!$A:$AL,7,FALSE),"-")</f>
        <v>48</v>
      </c>
      <c r="F23" s="2">
        <f>IFERROR(50+VLOOKUP($A23,'SegEnds_Xtal_Prot#'!$A:$AY,11,FALSE)-VLOOKUP($B23,'SegEnds_NonXtal_Prot#'!$A:$AL,7,FALSE),"-")</f>
        <v>51</v>
      </c>
      <c r="G23" s="2">
        <f>IFERROR(50+VLOOKUP($A23,'SegEnds_Xtal_Prot#'!$A:$AY,13,FALSE)-VLOOKUP($B23,'SegEnds_NonXtal_Prot#'!$A:$AL,10,FALSE),"-")</f>
        <v>37</v>
      </c>
      <c r="H23" s="2">
        <f>IFERROR(50+VLOOKUP($A23,'SegEnds_Xtal_Prot#'!$A:$AY,15,FALSE)-VLOOKUP($B23,'SegEnds_NonXtal_Prot#'!$A:$AL,10,FALSE),"-")</f>
        <v>66</v>
      </c>
      <c r="I23" s="2" t="str">
        <f>IFERROR(50+VLOOKUP($A23,'SegEnds_Xtal_Prot#'!$A:$AY,17,FALSE)-VLOOKUP($B23,'SegEnds_NonXtal_Prot#'!$A:$AL,13,FALSE),"-")</f>
        <v>-</v>
      </c>
      <c r="J23" s="2" t="str">
        <f>IFERROR(50+VLOOKUP($A23,'SegEnds_Xtal_Prot#'!$A:$AY,19,FALSE)-VLOOKUP($B23,'SegEnds_NonXtal_Prot#'!$A:$AL,13,FALSE),"-")</f>
        <v>-</v>
      </c>
      <c r="K23" s="2">
        <f>IFERROR(50+VLOOKUP($A23,'SegEnds_Xtal_Prot#'!$A:$AY,21,FALSE)-VLOOKUP($B23,'SegEnds_NonXtal_Prot#'!$A:$AL,16,FALSE),"-")</f>
        <v>21</v>
      </c>
      <c r="L23" s="2">
        <f>IFERROR(50+VLOOKUP($A23,'SegEnds_Xtal_Prot#'!$A:$AY,23,FALSE)-VLOOKUP($B23,'SegEnds_NonXtal_Prot#'!$A:$AL,16,FALSE),"-")</f>
        <v>55</v>
      </c>
      <c r="M23" s="2" t="str">
        <f>IFERROR(50+VLOOKUP($A23,'SegEnds_Xtal_Prot#'!$A:$AY,25,FALSE)-VLOOKUP($B23,'SegEnds_NonXtal_Prot#'!$A:$AL,19,FALSE),"-")</f>
        <v>-</v>
      </c>
      <c r="N23" s="2" t="str">
        <f>IFERROR(50+VLOOKUP($A23,'SegEnds_Xtal_Prot#'!$A:$AY,27,FALSE)-VLOOKUP($B23,'SegEnds_NonXtal_Prot#'!$A:$AL,19,FALSE),"-")</f>
        <v>-</v>
      </c>
      <c r="O23" s="2">
        <f>IFERROR(50+VLOOKUP($A23,'SegEnds_Xtal_Prot#'!$A:$AY,29,FALSE)-VLOOKUP($B23,'SegEnds_NonXtal_Prot#'!$A:$AL,22,FALSE),"-")</f>
        <v>38</v>
      </c>
      <c r="P23" s="2">
        <f>IFERROR(50+VLOOKUP($A23,'SegEnds_Xtal_Prot#'!$A:$AY,31,FALSE)-VLOOKUP($B23,'SegEnds_NonXtal_Prot#'!$A:$AL,22,FALSE),"-")</f>
        <v>62</v>
      </c>
      <c r="Q23" s="2">
        <f>IFERROR(50+VLOOKUP($A23,'SegEnds_Xtal_Prot#'!$A:$AY,33,FALSE)-VLOOKUP($B23,'SegEnds_NonXtal_Prot#'!$A:$AL,25,FALSE),"-")</f>
        <v>50</v>
      </c>
      <c r="R23" s="2">
        <f>IFERROR(50+VLOOKUP($A23,'SegEnds_Xtal_Prot#'!$A:$AY,35,FALSE)-VLOOKUP($B23,'SegEnds_NonXtal_Prot#'!$A:$AL,25,FALSE),"-")</f>
        <v>52</v>
      </c>
      <c r="S23" s="2">
        <f>IFERROR(50+VLOOKUP($A23,'SegEnds_Xtal_Prot#'!$A:$AY,37,FALSE)-VLOOKUP($B23,'SegEnds_NonXtal_Prot#'!$A:$AL,28,FALSE),"-")</f>
        <v>33</v>
      </c>
      <c r="T23" s="2">
        <f>IFERROR(50+VLOOKUP($A23,'SegEnds_Xtal_Prot#'!$A:$AY,39,FALSE)-VLOOKUP($B23,'SegEnds_NonXtal_Prot#'!$A:$AL,28,FALSE),"-")</f>
        <v>68</v>
      </c>
      <c r="U23" s="2">
        <f>IFERROR(50+VLOOKUP($A23,'SegEnds_Xtal_Prot#'!$A:$AY,41,FALSE)-VLOOKUP($B23,'SegEnds_NonXtal_Prot#'!$A:$AL,31,FALSE),"-")</f>
        <v>29</v>
      </c>
      <c r="V23" s="2">
        <f>IFERROR(50+VLOOKUP($A23,'SegEnds_Xtal_Prot#'!$A:$AY,43,FALSE)-VLOOKUP($B23,'SegEnds_NonXtal_Prot#'!$A:$AL,31,FALSE),"-")</f>
        <v>64</v>
      </c>
      <c r="W23" s="2">
        <f>IFERROR(50+VLOOKUP($A23,'SegEnds_Xtal_Prot#'!$A:$AY,45,FALSE)-VLOOKUP($B23,'SegEnds_NonXtal_Prot#'!$A:$AL,34,FALSE),"-")</f>
        <v>24</v>
      </c>
      <c r="X23" s="2">
        <f>IFERROR(50+VLOOKUP($A23,'SegEnds_Xtal_Prot#'!$A:$AY,47,FALSE)-VLOOKUP($B23,'SegEnds_NonXtal_Prot#'!$A:$AL,34,FALSE),"-")</f>
        <v>56</v>
      </c>
      <c r="Y23" s="2">
        <f>IFERROR(50+VLOOKUP($A23,'SegEnds_Xtal_Prot#'!$A:$AY,49,FALSE)-VLOOKUP($B23,'SegEnds_NonXtal_Prot#'!$A:$AL,37,FALSE),"-")</f>
        <v>47</v>
      </c>
      <c r="Z23" s="2">
        <f>IFERROR(50+VLOOKUP($A23,'SegEnds_Xtal_Prot#'!$A:$AY,51,FALSE)-VLOOKUP($B23,'SegEnds_NonXtal_Prot#'!$A:$AL,37,FALSE),"-")</f>
        <v>62</v>
      </c>
      <c r="AA23" s="49" t="str">
        <f>VLOOKUP(B23,Classification!A:D,2,FALSE)</f>
        <v>A</v>
      </c>
      <c r="AB23" s="94" t="str">
        <f>VLOOKUP(B23,Classification!A:D,4,0)</f>
        <v>Chemokine</v>
      </c>
      <c r="AC23" s="49">
        <f>VLOOKUP(B23,'SegEnds_NonXtal_Prot#'!A:AL,6,FALSE)-VLOOKUP(B23,'SegEnds_NonXtal_Prot#'!A:AL,5,FALSE)</f>
        <v>1</v>
      </c>
      <c r="AD23" s="49">
        <f>VLOOKUP(B23,'SegEnds_NonXtal_Prot#'!A:AL,9,FALSE)-VLOOKUP(B23,'SegEnds_NonXtal_Prot#'!A:AL,8,FALSE)</f>
        <v>1</v>
      </c>
      <c r="AE23" s="49" t="e">
        <f>VLOOKUP(B23,'SegEnds_NonXtal_Prot#'!A:AL,13,FALSE)-VLOOKUP(B23,'SegEnds_NonXtal_Prot#'!A:AL,10,FALSE)</f>
        <v>#VALUE!</v>
      </c>
      <c r="AF23" s="49" t="e">
        <f>VLOOKUP(B23,'SegEnds_NonXtal_Prot#'!A:AL,12,FALSE)-VLOOKUP(B23,'SegEnds_NonXtal_Prot#'!A:AL,11,FALSE)</f>
        <v>#VALUE!</v>
      </c>
      <c r="AG23" s="49" t="e">
        <f>VLOOKUP(B23,'SegEnds_NonXtal_Prot#'!A:AL,13,FALSE)-VLOOKUP(B23,'SegEnds_NonXtal_Prot#'!A:AL,11,FALSE)</f>
        <v>#VALUE!</v>
      </c>
      <c r="AH23" s="49">
        <f>VLOOKUP(B23,'SegEnds_NonXtal_Prot#'!A:AL,16,FALSE)-VLOOKUP(B23,'SegEnds_NonXtal_Prot#'!A:AL,10,FALSE)</f>
        <v>50</v>
      </c>
      <c r="AI23" s="49">
        <f>VLOOKUP(B23,'SegEnds_NonXtal_Prot#'!A:AL,16,FALSE)-VLOOKUP(B23,'SegEnds_NonXtal_Prot#'!A:AL,11,FALSE)</f>
        <v>34</v>
      </c>
      <c r="AJ23" s="49" t="e">
        <f>VLOOKUP(B23,'SegEnds_NonXtal_Prot#'!A:AL,22,FALSE)-VLOOKUP(B23,'SegEnds_NonXtal_Prot#'!A:AL,19,FALSE)</f>
        <v>#VALUE!</v>
      </c>
      <c r="AK23" s="49" t="e">
        <f>VLOOKUP(B23,'SegEnds_NonXtal_Prot#'!A:AL,15,FALSE)-VLOOKUP(B23,'SegEnds_NonXtal_Prot#'!A:AL,14,FALSE)</f>
        <v>#VALUE!</v>
      </c>
      <c r="AL23" s="49" t="e">
        <f>VLOOKUP(B23,'SegEnds_NonXtal_Prot#'!A:AL,18,FALSE)-VLOOKUP(B23,'SegEnds_NonXtal_Prot#'!A:AL,17,FALSE)</f>
        <v>#VALUE!</v>
      </c>
      <c r="AM23" s="2">
        <f>VLOOKUP(B23,'SegEnds_NonXtal_Prot#'!A:AL,34,FALSE)-VLOOKUP(B23,'SegEnds_NonXtal_Prot#'!A:AL,31,FALSE)</f>
        <v>45</v>
      </c>
      <c r="AN23" s="37"/>
    </row>
    <row r="24" spans="1:64" s="2" customFormat="1" x14ac:dyDescent="0.2">
      <c r="A24" s="2" t="s">
        <v>1254</v>
      </c>
      <c r="B24" s="2" t="s">
        <v>173</v>
      </c>
      <c r="C24" s="2">
        <f>IFERROR(50+VLOOKUP($A24,'SegEnds_Xtal_Prot#'!$A:$AY,5,FALSE)-VLOOKUP($B24,'SegEnds_NonXtal_Prot#'!$A:$AL,4,FALSE),"-")</f>
        <v>24</v>
      </c>
      <c r="D24" s="2">
        <f>IFERROR(50+VLOOKUP($A24,'SegEnds_Xtal_Prot#'!$A:$AY,7,FALSE)-VLOOKUP($B24,'SegEnds_NonXtal_Prot#'!$A:$AL,4,FALSE),"-")</f>
        <v>60</v>
      </c>
      <c r="E24" s="2">
        <f>IFERROR(50+VLOOKUP($A24,'SegEnds_Xtal_Prot#'!$A:$AY,9,FALSE)-VLOOKUP($B24,'SegEnds_NonXtal_Prot#'!$A:$AL,7,FALSE),"-")</f>
        <v>48</v>
      </c>
      <c r="F24" s="2">
        <f>IFERROR(50+VLOOKUP($A24,'SegEnds_Xtal_Prot#'!$A:$AY,11,FALSE)-VLOOKUP($B24,'SegEnds_NonXtal_Prot#'!$A:$AL,7,FALSE),"-")</f>
        <v>51</v>
      </c>
      <c r="G24" s="2">
        <f>IFERROR(50+VLOOKUP($A24,'SegEnds_Xtal_Prot#'!$A:$AY,13,FALSE)-VLOOKUP($B24,'SegEnds_NonXtal_Prot#'!$A:$AL,10,FALSE),"-")</f>
        <v>37</v>
      </c>
      <c r="H24" s="2">
        <f>IFERROR(50+VLOOKUP($A24,'SegEnds_Xtal_Prot#'!$A:$AY,15,FALSE)-VLOOKUP($B24,'SegEnds_NonXtal_Prot#'!$A:$AL,10,FALSE),"-")</f>
        <v>66</v>
      </c>
      <c r="I24" s="2">
        <f>IFERROR(50+VLOOKUP($A24,'SegEnds_Xtal_Prot#'!$A:$AY,17,FALSE)-VLOOKUP($B24,'SegEnds_NonXtal_Prot#'!$A:$AL,13,FALSE),"-")</f>
        <v>49</v>
      </c>
      <c r="J24" s="2">
        <f>IFERROR(50+VLOOKUP($A24,'SegEnds_Xtal_Prot#'!$A:$AY,19,FALSE)-VLOOKUP($B24,'SegEnds_NonXtal_Prot#'!$A:$AL,13,FALSE),"-")</f>
        <v>52</v>
      </c>
      <c r="K24" s="2">
        <f>IFERROR(50+VLOOKUP($A24,'SegEnds_Xtal_Prot#'!$A:$AY,21,FALSE)-VLOOKUP($B24,'SegEnds_NonXtal_Prot#'!$A:$AL,16,FALSE),"-")</f>
        <v>21</v>
      </c>
      <c r="L24" s="2">
        <f>IFERROR(50+VLOOKUP($A24,'SegEnds_Xtal_Prot#'!$A:$AY,23,FALSE)-VLOOKUP($B24,'SegEnds_NonXtal_Prot#'!$A:$AL,16,FALSE),"-")</f>
        <v>56</v>
      </c>
      <c r="M24" s="2">
        <f>IFERROR(50+VLOOKUP($A24,'SegEnds_Xtal_Prot#'!$A:$AY,25,FALSE)-VLOOKUP($B24,'SegEnds_NonXtal_Prot#'!$A:$AL,19,FALSE),"-")</f>
        <v>50</v>
      </c>
      <c r="N24" s="2">
        <f>IFERROR(50+VLOOKUP($A24,'SegEnds_Xtal_Prot#'!$A:$AY,27,FALSE)-VLOOKUP($B24,'SegEnds_NonXtal_Prot#'!$A:$AL,19,FALSE),"-")</f>
        <v>57</v>
      </c>
      <c r="O24" s="2">
        <f>IFERROR(50+VLOOKUP($A24,'SegEnds_Xtal_Prot#'!$A:$AY,29,FALSE)-VLOOKUP($B24,'SegEnds_NonXtal_Prot#'!$A:$AL,22,FALSE),"-")</f>
        <v>38</v>
      </c>
      <c r="P24" s="2">
        <f>IFERROR(50+VLOOKUP($A24,'SegEnds_Xtal_Prot#'!$A:$AY,31,FALSE)-VLOOKUP($B24,'SegEnds_NonXtal_Prot#'!$A:$AL,22,FALSE),"-")</f>
        <v>64</v>
      </c>
      <c r="Q24" s="2">
        <f>IFERROR(50+VLOOKUP($A24,'SegEnds_Xtal_Prot#'!$A:$AY,33,FALSE)-VLOOKUP($B24,'SegEnds_NonXtal_Prot#'!$A:$AL,25,FALSE),"-")</f>
        <v>50</v>
      </c>
      <c r="R24" s="2">
        <f>IFERROR(50+VLOOKUP($A24,'SegEnds_Xtal_Prot#'!$A:$AY,35,FALSE)-VLOOKUP($B24,'SegEnds_NonXtal_Prot#'!$A:$AL,25,FALSE),"-")</f>
        <v>52</v>
      </c>
      <c r="S24" s="2">
        <f>IFERROR(50+VLOOKUP($A24,'SegEnds_Xtal_Prot#'!$A:$AY,37,FALSE)-VLOOKUP($B24,'SegEnds_NonXtal_Prot#'!$A:$AL,28,FALSE),"-")</f>
        <v>30</v>
      </c>
      <c r="T24" s="2">
        <f>IFERROR(50+VLOOKUP($A24,'SegEnds_Xtal_Prot#'!$A:$AY,39,FALSE)-VLOOKUP($B24,'SegEnds_NonXtal_Prot#'!$A:$AL,28,FALSE),"-")</f>
        <v>68</v>
      </c>
      <c r="U24" s="2">
        <f>IFERROR(50+VLOOKUP($A24,'SegEnds_Xtal_Prot#'!$A:$AY,41,FALSE)-VLOOKUP($B24,'SegEnds_NonXtal_Prot#'!$A:$AL,31,FALSE),"-")</f>
        <v>28</v>
      </c>
      <c r="V24" s="2">
        <f>IFERROR(50+VLOOKUP($A24,'SegEnds_Xtal_Prot#'!$A:$AY,43,FALSE)-VLOOKUP($B24,'SegEnds_NonXtal_Prot#'!$A:$AL,31,FALSE),"-")</f>
        <v>65</v>
      </c>
      <c r="W24" s="2">
        <f>IFERROR(50+VLOOKUP($A24,'SegEnds_Xtal_Prot#'!$A:$AY,45,FALSE)-VLOOKUP($B24,'SegEnds_NonXtal_Prot#'!$A:$AL,34,FALSE),"-")</f>
        <v>24</v>
      </c>
      <c r="X24" s="2">
        <f>IFERROR(50+VLOOKUP($A24,'SegEnds_Xtal_Prot#'!$A:$AY,47,FALSE)-VLOOKUP($B24,'SegEnds_NonXtal_Prot#'!$A:$AL,34,FALSE),"-")</f>
        <v>56</v>
      </c>
      <c r="Y24" s="2">
        <f>IFERROR(50+VLOOKUP($A24,'SegEnds_Xtal_Prot#'!$A:$AY,49,FALSE)-VLOOKUP($B24,'SegEnds_NonXtal_Prot#'!$A:$AL,37,FALSE),"-")</f>
        <v>47</v>
      </c>
      <c r="Z24" s="2">
        <f>IFERROR(50+VLOOKUP($A24,'SegEnds_Xtal_Prot#'!$A:$AY,51,FALSE)-VLOOKUP($B24,'SegEnds_NonXtal_Prot#'!$A:$AL,37,FALSE),"-")</f>
        <v>59</v>
      </c>
      <c r="AA24" s="49" t="str">
        <f>VLOOKUP(B24,Classification!A:D,2,FALSE)</f>
        <v>A</v>
      </c>
      <c r="AB24" s="94" t="str">
        <f>VLOOKUP(B24,Classification!A:D,4,0)</f>
        <v>Chemokine</v>
      </c>
      <c r="AC24" s="49">
        <f>VLOOKUP(B24,'SegEnds_NonXtal_Prot#'!A:AL,6,FALSE)-VLOOKUP(B24,'SegEnds_NonXtal_Prot#'!A:AL,5,FALSE)</f>
        <v>1</v>
      </c>
      <c r="AD24" s="49">
        <f>VLOOKUP(B24,'SegEnds_NonXtal_Prot#'!A:AL,9,FALSE)-VLOOKUP(B24,'SegEnds_NonXtal_Prot#'!A:AL,8,FALSE)</f>
        <v>1</v>
      </c>
      <c r="AE24" s="49">
        <f>VLOOKUP(B24,'SegEnds_NonXtal_Prot#'!A:AL,13,FALSE)-VLOOKUP(B24,'SegEnds_NonXtal_Prot#'!A:AL,10,FALSE)</f>
        <v>18</v>
      </c>
      <c r="AF24" s="49">
        <f>VLOOKUP(B24,'SegEnds_NonXtal_Prot#'!A:AL,12,FALSE)-VLOOKUP(B24,'SegEnds_NonXtal_Prot#'!A:AL,11,FALSE)</f>
        <v>1</v>
      </c>
      <c r="AG24" s="49">
        <f>VLOOKUP(B24,'SegEnds_NonXtal_Prot#'!A:AL,13,FALSE)-VLOOKUP(B24,'SegEnds_NonXtal_Prot#'!A:AL,11,FALSE)</f>
        <v>2</v>
      </c>
      <c r="AH24" s="49">
        <f>VLOOKUP(B24,'SegEnds_NonXtal_Prot#'!A:AL,16,FALSE)-VLOOKUP(B24,'SegEnds_NonXtal_Prot#'!A:AL,10,FALSE)</f>
        <v>50</v>
      </c>
      <c r="AI24" s="49">
        <f>VLOOKUP(B24,'SegEnds_NonXtal_Prot#'!A:AL,15,FALSE)-VLOOKUP(B24,'SegEnds_NonXtal_Prot#'!A:AL,11,FALSE)</f>
        <v>5</v>
      </c>
      <c r="AJ24" s="49">
        <f>VLOOKUP(B24,'SegEnds_NonXtal_Prot#'!A:AL,22,FALSE)-VLOOKUP(B24,'SegEnds_NonXtal_Prot#'!A:AL,19,FALSE)</f>
        <v>20</v>
      </c>
      <c r="AK24" s="49">
        <f>VLOOKUP(B24,'SegEnds_NonXtal_Prot#'!A:AL,15,FALSE)-VLOOKUP(B24,'SegEnds_NonXtal_Prot#'!A:AL,14,FALSE)</f>
        <v>1</v>
      </c>
      <c r="AL24" s="49">
        <f>VLOOKUP(B24,'SegEnds_NonXtal_Prot#'!A:AL,18,FALSE)-VLOOKUP(B24,'SegEnds_NonXtal_Prot#'!A:AL,17,FALSE)</f>
        <v>1</v>
      </c>
      <c r="AM24" s="2">
        <f>VLOOKUP(B24,'SegEnds_NonXtal_Prot#'!A:AL,34,FALSE)-VLOOKUP(B24,'SegEnds_NonXtal_Prot#'!A:AL,31,FALSE)</f>
        <v>44</v>
      </c>
      <c r="AN24" s="37"/>
    </row>
    <row r="25" spans="1:64" s="2" customFormat="1" x14ac:dyDescent="0.2">
      <c r="A25" s="2" t="s">
        <v>1335</v>
      </c>
      <c r="B25" s="2" t="s">
        <v>196</v>
      </c>
      <c r="C25" s="2">
        <f>IFERROR(50+VLOOKUP($A25,'SegEnds_Xtal_Prot#'!$A:$AY,5,FALSE)-VLOOKUP($B25,'SegEnds_NonXtal_Prot#'!$A:$AL,4,FALSE),"-")</f>
        <v>22</v>
      </c>
      <c r="D25" s="2">
        <f>IFERROR(50+VLOOKUP($A25,'SegEnds_Xtal_Prot#'!$A:$AY,7,FALSE)-VLOOKUP($B25,'SegEnds_NonXtal_Prot#'!$A:$AL,4,FALSE),"-")</f>
        <v>60</v>
      </c>
      <c r="E25" s="2">
        <f>IFERROR(50+VLOOKUP($A25,'SegEnds_Xtal_Prot#'!$A:$AY,9,FALSE)-VLOOKUP($B25,'SegEnds_NonXtal_Prot#'!$A:$AL,7,FALSE),"-")</f>
        <v>48</v>
      </c>
      <c r="F25" s="2">
        <f>IFERROR(50+VLOOKUP($A25,'SegEnds_Xtal_Prot#'!$A:$AY,11,FALSE)-VLOOKUP($B25,'SegEnds_NonXtal_Prot#'!$A:$AL,7,FALSE),"-")</f>
        <v>52</v>
      </c>
      <c r="G25" s="2">
        <f>IFERROR(50+VLOOKUP($A25,'SegEnds_Xtal_Prot#'!$A:$AY,13,FALSE)-VLOOKUP($B25,'SegEnds_NonXtal_Prot#'!$A:$AL,10,FALSE),"-")</f>
        <v>38</v>
      </c>
      <c r="H25" s="2">
        <f>IFERROR(50+VLOOKUP($A25,'SegEnds_Xtal_Prot#'!$A:$AY,15,FALSE)-VLOOKUP($B25,'SegEnds_NonXtal_Prot#'!$A:$AL,10,FALSE),"-")</f>
        <v>67</v>
      </c>
      <c r="I25" s="2">
        <f>IFERROR(50+VLOOKUP($A25,'SegEnds_Xtal_Prot#'!$A:$AY,17,FALSE)-VLOOKUP($B25,'SegEnds_NonXtal_Prot#'!$A:$AL,13,FALSE),"-")</f>
        <v>49</v>
      </c>
      <c r="J25" s="2">
        <f>IFERROR(50+VLOOKUP($A25,'SegEnds_Xtal_Prot#'!$A:$AY,19,FALSE)-VLOOKUP($B25,'SegEnds_NonXtal_Prot#'!$A:$AL,13,FALSE),"-")</f>
        <v>52</v>
      </c>
      <c r="K25" s="2">
        <f>IFERROR(50+VLOOKUP($A25,'SegEnds_Xtal_Prot#'!$A:$AY,21,FALSE)-VLOOKUP($B25,'SegEnds_NonXtal_Prot#'!$A:$AL,16,FALSE),"-")</f>
        <v>21</v>
      </c>
      <c r="L25" s="2">
        <f>IFERROR(50+VLOOKUP($A25,'SegEnds_Xtal_Prot#'!$A:$AY,23,FALSE)-VLOOKUP($B25,'SegEnds_NonXtal_Prot#'!$A:$AL,16,FALSE),"-")</f>
        <v>56</v>
      </c>
      <c r="M25" s="2">
        <f>IFERROR(50+VLOOKUP($A25,'SegEnds_Xtal_Prot#'!$A:$AY,25,FALSE)-VLOOKUP($B25,'SegEnds_NonXtal_Prot#'!$A:$AL,19,FALSE),"-")</f>
        <v>50</v>
      </c>
      <c r="N25" s="2">
        <f>IFERROR(50+VLOOKUP($A25,'SegEnds_Xtal_Prot#'!$A:$AY,27,FALSE)-VLOOKUP($B25,'SegEnds_NonXtal_Prot#'!$A:$AL,19,FALSE),"-")</f>
        <v>57</v>
      </c>
      <c r="O25" s="2">
        <f>IFERROR(50+VLOOKUP($A25,'SegEnds_Xtal_Prot#'!$A:$AY,29,FALSE)-VLOOKUP($B25,'SegEnds_NonXtal_Prot#'!$A:$AL,22,FALSE),"-")</f>
        <v>38</v>
      </c>
      <c r="P25" s="2">
        <f>IFERROR(50+VLOOKUP($A25,'SegEnds_Xtal_Prot#'!$A:$AY,31,FALSE)-VLOOKUP($B25,'SegEnds_NonXtal_Prot#'!$A:$AL,22,FALSE),"-")</f>
        <v>64</v>
      </c>
      <c r="Q25" s="2">
        <f>IFERROR(50+VLOOKUP($A25,'SegEnds_Xtal_Prot#'!$A:$AY,33,FALSE)-VLOOKUP($B25,'SegEnds_NonXtal_Prot#'!$A:$AL,25,FALSE),"-")</f>
        <v>50</v>
      </c>
      <c r="R25" s="2">
        <f>IFERROR(50+VLOOKUP($A25,'SegEnds_Xtal_Prot#'!$A:$AY,35,FALSE)-VLOOKUP($B25,'SegEnds_NonXtal_Prot#'!$A:$AL,25,FALSE),"-")</f>
        <v>52</v>
      </c>
      <c r="S25" s="2">
        <f>IFERROR(50+VLOOKUP($A25,'SegEnds_Xtal_Prot#'!$A:$AY,37,FALSE)-VLOOKUP($B25,'SegEnds_NonXtal_Prot#'!$A:$AL,28,FALSE),"-")</f>
        <v>28</v>
      </c>
      <c r="T25" s="2">
        <f>IFERROR(50+VLOOKUP($A25,'SegEnds_Xtal_Prot#'!$A:$AY,39,FALSE)-VLOOKUP($B25,'SegEnds_NonXtal_Prot#'!$A:$AL,28,FALSE),"-")</f>
        <v>72</v>
      </c>
      <c r="U25" s="2">
        <f>IFERROR(50+VLOOKUP($A25,'SegEnds_Xtal_Prot#'!$A:$AY,41,FALSE)-VLOOKUP($B25,'SegEnds_NonXtal_Prot#'!$A:$AL,31,FALSE),"-")</f>
        <v>24</v>
      </c>
      <c r="V25" s="2">
        <f>IFERROR(50+VLOOKUP($A25,'SegEnds_Xtal_Prot#'!$A:$AY,43,FALSE)-VLOOKUP($B25,'SegEnds_NonXtal_Prot#'!$A:$AL,31,FALSE),"-")</f>
        <v>62</v>
      </c>
      <c r="W25" s="2">
        <f>IFERROR(50+VLOOKUP($A25,'SegEnds_Xtal_Prot#'!$A:$AY,45,FALSE)-VLOOKUP($B25,'SegEnds_NonXtal_Prot#'!$A:$AL,34,FALSE),"-")</f>
        <v>24</v>
      </c>
      <c r="X25" s="2">
        <f>IFERROR(50+VLOOKUP($A25,'SegEnds_Xtal_Prot#'!$A:$AY,47,FALSE)-VLOOKUP($B25,'SegEnds_NonXtal_Prot#'!$A:$AL,34,FALSE),"-")</f>
        <v>56</v>
      </c>
      <c r="Y25" s="2">
        <f>IFERROR(50+VLOOKUP($A25,'SegEnds_Xtal_Prot#'!$A:$AY,49,FALSE)-VLOOKUP($B25,'SegEnds_NonXtal_Prot#'!$A:$AL,37,FALSE),"-")</f>
        <v>47</v>
      </c>
      <c r="Z25" s="2">
        <f>IFERROR(50+VLOOKUP($A25,'SegEnds_Xtal_Prot#'!$A:$AY,51,FALSE)-VLOOKUP($B25,'SegEnds_NonXtal_Prot#'!$A:$AL,37,FALSE),"-")</f>
        <v>60</v>
      </c>
      <c r="AA25" s="49" t="str">
        <f>VLOOKUP(B25,Classification!A:D,2,FALSE)</f>
        <v>A</v>
      </c>
      <c r="AB25" s="94" t="str">
        <f>VLOOKUP(B25,Classification!A:D,4,0)</f>
        <v>Endothelin</v>
      </c>
      <c r="AC25" s="49">
        <f>VLOOKUP(B25,'SegEnds_NonXtal_Prot#'!A:AL,6,FALSE)-VLOOKUP(B25,'SegEnds_NonXtal_Prot#'!A:AL,5,FALSE)</f>
        <v>1</v>
      </c>
      <c r="AD25" s="49">
        <f>VLOOKUP(B25,'SegEnds_NonXtal_Prot#'!A:AL,9,FALSE)-VLOOKUP(B25,'SegEnds_NonXtal_Prot#'!A:AL,8,FALSE)</f>
        <v>1</v>
      </c>
      <c r="AE25" s="49">
        <f>VLOOKUP(B25,'SegEnds_NonXtal_Prot#'!A:AL,13,FALSE)-VLOOKUP(B25,'SegEnds_NonXtal_Prot#'!A:AL,10,FALSE)</f>
        <v>20</v>
      </c>
      <c r="AF25" s="49">
        <f>VLOOKUP(B25,'SegEnds_NonXtal_Prot#'!A:AL,12,FALSE)-VLOOKUP(B25,'SegEnds_NonXtal_Prot#'!A:AL,11,FALSE)</f>
        <v>2</v>
      </c>
      <c r="AG25" s="49">
        <f>VLOOKUP(B25,'SegEnds_NonXtal_Prot#'!A:AL,13,FALSE)-VLOOKUP(B25,'SegEnds_NonXtal_Prot#'!A:AL,11,FALSE)</f>
        <v>3</v>
      </c>
      <c r="AH25" s="49">
        <f>VLOOKUP(B25,'SegEnds_NonXtal_Prot#'!A:AL,16,FALSE)-VLOOKUP(B25,'SegEnds_NonXtal_Prot#'!A:AL,10,FALSE)</f>
        <v>52</v>
      </c>
      <c r="AI25" s="49">
        <f>VLOOKUP(B25,'SegEnds_NonXtal_Prot#'!A:AL,16,FALSE)-VLOOKUP(B25,'SegEnds_NonXtal_Prot#'!A:AL,11,FALSE)</f>
        <v>35</v>
      </c>
      <c r="AJ25" s="49">
        <f>VLOOKUP(B25,'SegEnds_NonXtal_Prot#'!A:AL,22,FALSE)-VLOOKUP(B25,'SegEnds_NonXtal_Prot#'!A:AL,19,FALSE)</f>
        <v>20</v>
      </c>
      <c r="AK25" s="49">
        <f>VLOOKUP(B25,'SegEnds_NonXtal_Prot#'!A:AL,15,FALSE)-VLOOKUP(B25,'SegEnds_NonXtal_Prot#'!A:AL,14,FALSE)</f>
        <v>1</v>
      </c>
      <c r="AL25" s="49">
        <f>VLOOKUP(B25,'SegEnds_NonXtal_Prot#'!A:AL,18,FALSE)-VLOOKUP(B25,'SegEnds_NonXtal_Prot#'!A:AL,17,FALSE)</f>
        <v>1</v>
      </c>
      <c r="AM25" s="2">
        <f>VLOOKUP(B25,'SegEnds_NonXtal_Prot#'!A:AL,34,FALSE)-VLOOKUP(B25,'SegEnds_NonXtal_Prot#'!A:AL,31,FALSE)</f>
        <v>45</v>
      </c>
      <c r="AN25" s="37"/>
    </row>
    <row r="26" spans="1:64" s="2" customFormat="1" x14ac:dyDescent="0.2">
      <c r="A26" s="2" t="s">
        <v>1258</v>
      </c>
      <c r="B26" s="2" t="s">
        <v>1173</v>
      </c>
      <c r="C26" s="2">
        <f>IFERROR(50+VLOOKUP($A26,'SegEnds_Xtal_Prot#'!$A:$AY,5,FALSE)-VLOOKUP($B26,'SegEnds_NonXtal_Prot#'!$A:$AL,4,FALSE),"-")</f>
        <v>31</v>
      </c>
      <c r="D26" s="2">
        <f>IFERROR(50+VLOOKUP($A26,'SegEnds_Xtal_Prot#'!$A:$AY,7,FALSE)-VLOOKUP($B26,'SegEnds_NonXtal_Prot#'!$A:$AL,4,FALSE),"-")</f>
        <v>64</v>
      </c>
      <c r="E26" s="2" t="str">
        <f>IFERROR(50+VLOOKUP($A26,'SegEnds_Xtal_Prot#'!$A:$AY,9,FALSE)-VLOOKUP($B26,'SegEnds_NonXtal_Prot#'!$A:$AL,7,FALSE),"-")</f>
        <v>-</v>
      </c>
      <c r="F26" s="2" t="str">
        <f>IFERROR(50+VLOOKUP($A26,'SegEnds_Xtal_Prot#'!$A:$AY,11,FALSE)-VLOOKUP($B26,'SegEnds_NonXtal_Prot#'!$A:$AL,7,FALSE),"-")</f>
        <v>-</v>
      </c>
      <c r="G26" s="2">
        <f>IFERROR(50+VLOOKUP($A26,'SegEnds_Xtal_Prot#'!$A:$AY,13,FALSE)-VLOOKUP($B26,'SegEnds_NonXtal_Prot#'!$A:$AL,10,FALSE),"-")</f>
        <v>37</v>
      </c>
      <c r="H26" s="2">
        <f>IFERROR(50+VLOOKUP($A26,'SegEnds_Xtal_Prot#'!$A:$AY,15,FALSE)-VLOOKUP($B26,'SegEnds_NonXtal_Prot#'!$A:$AL,10,FALSE),"-")</f>
        <v>67</v>
      </c>
      <c r="I26" s="2">
        <f>IFERROR(50+VLOOKUP($A26,'SegEnds_Xtal_Prot#'!$A:$AY,17,FALSE)-VLOOKUP($B26,'SegEnds_NonXtal_Prot#'!$A:$AL,13,FALSE),"-")</f>
        <v>49</v>
      </c>
      <c r="J26" s="2">
        <f>IFERROR(50+VLOOKUP($A26,'SegEnds_Xtal_Prot#'!$A:$AY,19,FALSE)-VLOOKUP($B26,'SegEnds_NonXtal_Prot#'!$A:$AL,13,FALSE),"-")</f>
        <v>52</v>
      </c>
      <c r="K26" s="2">
        <f>IFERROR(50+VLOOKUP($A26,'SegEnds_Xtal_Prot#'!$A:$AY,21,FALSE)-VLOOKUP($B26,'SegEnds_NonXtal_Prot#'!$A:$AL,16,FALSE),"-")</f>
        <v>21</v>
      </c>
      <c r="L26" s="2">
        <f>IFERROR(50+VLOOKUP($A26,'SegEnds_Xtal_Prot#'!$A:$AY,23,FALSE)-VLOOKUP($B26,'SegEnds_NonXtal_Prot#'!$A:$AL,16,FALSE),"-")</f>
        <v>56</v>
      </c>
      <c r="M26" s="2">
        <f>IFERROR(50+VLOOKUP($A26,'SegEnds_Xtal_Prot#'!$A:$AY,25,FALSE)-VLOOKUP($B26,'SegEnds_NonXtal_Prot#'!$A:$AL,19,FALSE),"-")</f>
        <v>50</v>
      </c>
      <c r="N26" s="2">
        <f>IFERROR(50+VLOOKUP($A26,'SegEnds_Xtal_Prot#'!$A:$AY,27,FALSE)-VLOOKUP($B26,'SegEnds_NonXtal_Prot#'!$A:$AL,19,FALSE),"-")</f>
        <v>57</v>
      </c>
      <c r="O26" s="2">
        <f>IFERROR(50+VLOOKUP($A26,'SegEnds_Xtal_Prot#'!$A:$AY,29,FALSE)-VLOOKUP($B26,'SegEnds_NonXtal_Prot#'!$A:$AL,22,FALSE),"-")</f>
        <v>38</v>
      </c>
      <c r="P26" s="2">
        <f>IFERROR(50+VLOOKUP($A26,'SegEnds_Xtal_Prot#'!$A:$AY,31,FALSE)-VLOOKUP($B26,'SegEnds_NonXtal_Prot#'!$A:$AL,22,FALSE),"-")</f>
        <v>65</v>
      </c>
      <c r="Q26" s="2">
        <f>IFERROR(50+VLOOKUP($A26,'SegEnds_Xtal_Prot#'!$A:$AY,33,FALSE)-VLOOKUP($B26,'SegEnds_NonXtal_Prot#'!$A:$AL,25,FALSE),"-")</f>
        <v>50</v>
      </c>
      <c r="R26" s="2">
        <f>IFERROR(50+VLOOKUP($A26,'SegEnds_Xtal_Prot#'!$A:$AY,35,FALSE)-VLOOKUP($B26,'SegEnds_NonXtal_Prot#'!$A:$AL,25,FALSE),"-")</f>
        <v>52</v>
      </c>
      <c r="S26" s="2">
        <f>IFERROR(50+VLOOKUP($A26,'SegEnds_Xtal_Prot#'!$A:$AY,37,FALSE)-VLOOKUP($B26,'SegEnds_NonXtal_Prot#'!$A:$AL,28,FALSE),"-")</f>
        <v>31</v>
      </c>
      <c r="T26" s="2">
        <f>IFERROR(50+VLOOKUP($A26,'SegEnds_Xtal_Prot#'!$A:$AY,39,FALSE)-VLOOKUP($B26,'SegEnds_NonXtal_Prot#'!$A:$AL,28,FALSE),"-")</f>
        <v>67</v>
      </c>
      <c r="U26" s="2">
        <f>IFERROR(50+VLOOKUP($A26,'SegEnds_Xtal_Prot#'!$A:$AY,41,FALSE)-VLOOKUP($B26,'SegEnds_NonXtal_Prot#'!$A:$AL,31,FALSE),"-")</f>
        <v>28</v>
      </c>
      <c r="V26" s="2">
        <f>IFERROR(50+VLOOKUP($A26,'SegEnds_Xtal_Prot#'!$A:$AY,43,FALSE)-VLOOKUP($B26,'SegEnds_NonXtal_Prot#'!$A:$AL,31,FALSE),"-")</f>
        <v>61</v>
      </c>
      <c r="W26" s="2">
        <f>IFERROR(50+VLOOKUP($A26,'SegEnds_Xtal_Prot#'!$A:$AY,45,FALSE)-VLOOKUP($B26,'SegEnds_NonXtal_Prot#'!$A:$AL,34,FALSE),"-")</f>
        <v>32</v>
      </c>
      <c r="X26" s="2">
        <f>IFERROR(50+VLOOKUP($A26,'SegEnds_Xtal_Prot#'!$A:$AY,47,FALSE)-VLOOKUP($B26,'SegEnds_NonXtal_Prot#'!$A:$AL,34,FALSE),"-")</f>
        <v>56</v>
      </c>
      <c r="Y26" s="2">
        <f>IFERROR(50+VLOOKUP($A26,'SegEnds_Xtal_Prot#'!$A:$AY,49,FALSE)-VLOOKUP($B26,'SegEnds_NonXtal_Prot#'!$A:$AL,37,FALSE),"-")</f>
        <v>47</v>
      </c>
      <c r="Z26" s="2">
        <f>IFERROR(50+VLOOKUP($A26,'SegEnds_Xtal_Prot#'!$A:$AY,51,FALSE)-VLOOKUP($B26,'SegEnds_NonXtal_Prot#'!$A:$AL,37,FALSE),"-")</f>
        <v>61</v>
      </c>
      <c r="AA26" s="49" t="str">
        <f>VLOOKUP(B26,Classification!A:D,2,FALSE)</f>
        <v>A</v>
      </c>
      <c r="AB26" s="94" t="str">
        <f>VLOOKUP(B26,Classification!A:D,4,0)</f>
        <v>Freefattyacid</v>
      </c>
      <c r="AC26" s="49" t="e">
        <f>VLOOKUP(B26,'SegEnds_NonXtal_Prot#'!A:AL,6,FALSE)-VLOOKUP(B26,'SegEnds_NonXtal_Prot#'!A:AL,5,FALSE)</f>
        <v>#VALUE!</v>
      </c>
      <c r="AD26" s="49" t="e">
        <f>VLOOKUP(B26,'SegEnds_NonXtal_Prot#'!A:AL,9,FALSE)-VLOOKUP(B26,'SegEnds_NonXtal_Prot#'!A:AL,8,FALSE)</f>
        <v>#VALUE!</v>
      </c>
      <c r="AE26" s="49">
        <f>VLOOKUP(B26,'SegEnds_NonXtal_Prot#'!A:AL,13,FALSE)-VLOOKUP(B26,'SegEnds_NonXtal_Prot#'!A:AL,10,FALSE)</f>
        <v>20</v>
      </c>
      <c r="AF26" s="49">
        <f>VLOOKUP(B26,'SegEnds_NonXtal_Prot#'!A:AL,12,FALSE)-VLOOKUP(B26,'SegEnds_NonXtal_Prot#'!A:AL,11,FALSE)</f>
        <v>2</v>
      </c>
      <c r="AG26" s="49">
        <f>VLOOKUP(B26,'SegEnds_NonXtal_Prot#'!A:AL,13,FALSE)-VLOOKUP(B26,'SegEnds_NonXtal_Prot#'!A:AL,11,FALSE)</f>
        <v>3</v>
      </c>
      <c r="AH26" s="49">
        <f>VLOOKUP(B26,'SegEnds_NonXtal_Prot#'!A:AL,16,FALSE)-VLOOKUP(B26,'SegEnds_NonXtal_Prot#'!A:AL,10,FALSE)</f>
        <v>52</v>
      </c>
      <c r="AI26" s="49">
        <f>VLOOKUP(B26,'SegEnds_NonXtal_Prot#'!A:AL,16,FALSE)-VLOOKUP(B26,'SegEnds_NonXtal_Prot#'!A:AL,11,FALSE)</f>
        <v>35</v>
      </c>
      <c r="AJ26" s="49">
        <f>VLOOKUP(B26,'SegEnds_NonXtal_Prot#'!A:AL,22,FALSE)-VLOOKUP(B26,'SegEnds_NonXtal_Prot#'!A:AL,19,FALSE)</f>
        <v>20</v>
      </c>
      <c r="AK26" s="49">
        <f>VLOOKUP(B26,'SegEnds_NonXtal_Prot#'!A:AL,15,FALSE)-VLOOKUP(B26,'SegEnds_NonXtal_Prot#'!A:AL,14,FALSE)</f>
        <v>1</v>
      </c>
      <c r="AL26" s="49">
        <f>VLOOKUP(B26,'SegEnds_NonXtal_Prot#'!A:AL,18,FALSE)-VLOOKUP(B26,'SegEnds_NonXtal_Prot#'!A:AL,17,FALSE)</f>
        <v>1</v>
      </c>
      <c r="AM26" s="2">
        <f>VLOOKUP(B26,'SegEnds_NonXtal_Prot#'!A:AL,34,FALSE)-VLOOKUP(B26,'SegEnds_NonXtal_Prot#'!A:AL,31,FALSE)</f>
        <v>34</v>
      </c>
      <c r="AN26" s="37"/>
    </row>
    <row r="27" spans="1:64" s="2" customFormat="1" x14ac:dyDescent="0.2">
      <c r="A27" s="2" t="s">
        <v>1262</v>
      </c>
      <c r="B27" s="2" t="s">
        <v>278</v>
      </c>
      <c r="C27" s="2">
        <f>IFERROR(50+VLOOKUP($A27,'SegEnds_Xtal_Prot#'!$A:$AY,5,FALSE)-VLOOKUP($B27,'SegEnds_NonXtal_Prot#'!$A:$AL,4,FALSE),"-")</f>
        <v>34</v>
      </c>
      <c r="D27" s="2">
        <f>IFERROR(50+VLOOKUP($A27,'SegEnds_Xtal_Prot#'!$A:$AY,7,FALSE)-VLOOKUP($B27,'SegEnds_NonXtal_Prot#'!$A:$AL,4,FALSE),"-")</f>
        <v>60</v>
      </c>
      <c r="E27" s="2">
        <f>IFERROR(50+VLOOKUP($A27,'SegEnds_Xtal_Prot#'!$A:$AY,9,FALSE)-VLOOKUP($B27,'SegEnds_NonXtal_Prot#'!$A:$AL,7,FALSE),"-")</f>
        <v>48</v>
      </c>
      <c r="F27" s="2">
        <f>IFERROR(50+VLOOKUP($A27,'SegEnds_Xtal_Prot#'!$A:$AY,11,FALSE)-VLOOKUP($B27,'SegEnds_NonXtal_Prot#'!$A:$AL,7,FALSE),"-")</f>
        <v>51</v>
      </c>
      <c r="G27" s="2">
        <f>IFERROR(50+VLOOKUP($A27,'SegEnds_Xtal_Prot#'!$A:$AY,13,FALSE)-VLOOKUP($B27,'SegEnds_NonXtal_Prot#'!$A:$AL,10,FALSE),"-")</f>
        <v>37</v>
      </c>
      <c r="H27" s="2">
        <f>IFERROR(50+VLOOKUP($A27,'SegEnds_Xtal_Prot#'!$A:$AY,15,FALSE)-VLOOKUP($B27,'SegEnds_NonXtal_Prot#'!$A:$AL,10,FALSE),"-")</f>
        <v>67</v>
      </c>
      <c r="I27" s="2">
        <f>IFERROR(50+VLOOKUP($A27,'SegEnds_Xtal_Prot#'!$A:$AY,17,FALSE)-VLOOKUP($B27,'SegEnds_NonXtal_Prot#'!$A:$AL,13,FALSE),"-")</f>
        <v>49</v>
      </c>
      <c r="J27" s="2">
        <f>IFERROR(50+VLOOKUP($A27,'SegEnds_Xtal_Prot#'!$A:$AY,19,FALSE)-VLOOKUP($B27,'SegEnds_NonXtal_Prot#'!$A:$AL,13,FALSE),"-")</f>
        <v>52</v>
      </c>
      <c r="K27" s="2">
        <f>IFERROR(50+VLOOKUP($A27,'SegEnds_Xtal_Prot#'!$A:$AY,21,FALSE)-VLOOKUP($B27,'SegEnds_NonXtal_Prot#'!$A:$AL,16,FALSE),"-")</f>
        <v>21</v>
      </c>
      <c r="L27" s="2">
        <f>IFERROR(50+VLOOKUP($A27,'SegEnds_Xtal_Prot#'!$A:$AY,23,FALSE)-VLOOKUP($B27,'SegEnds_NonXtal_Prot#'!$A:$AL,16,FALSE),"-")</f>
        <v>56</v>
      </c>
      <c r="M27" s="2">
        <f>IFERROR(50+VLOOKUP($A27,'SegEnds_Xtal_Prot#'!$A:$AY,25,FALSE)-VLOOKUP($B27,'SegEnds_NonXtal_Prot#'!$A:$AL,19,FALSE),"-")</f>
        <v>50</v>
      </c>
      <c r="N27" s="2">
        <f>IFERROR(50+VLOOKUP($A27,'SegEnds_Xtal_Prot#'!$A:$AY,27,FALSE)-VLOOKUP($B27,'SegEnds_NonXtal_Prot#'!$A:$AL,19,FALSE),"-")</f>
        <v>57</v>
      </c>
      <c r="O27" s="2">
        <f>IFERROR(50+VLOOKUP($A27,'SegEnds_Xtal_Prot#'!$A:$AY,29,FALSE)-VLOOKUP($B27,'SegEnds_NonXtal_Prot#'!$A:$AL,22,FALSE),"-")</f>
        <v>38</v>
      </c>
      <c r="P27" s="2">
        <f>IFERROR(50+VLOOKUP($A27,'SegEnds_Xtal_Prot#'!$A:$AY,31,FALSE)-VLOOKUP($B27,'SegEnds_NonXtal_Prot#'!$A:$AL,22,FALSE),"-")</f>
        <v>62</v>
      </c>
      <c r="Q27" s="2">
        <f>IFERROR(50+VLOOKUP($A27,'SegEnds_Xtal_Prot#'!$A:$AY,33,FALSE)-VLOOKUP($B27,'SegEnds_NonXtal_Prot#'!$A:$AL,25,FALSE),"-")</f>
        <v>50</v>
      </c>
      <c r="R27" s="2">
        <f>IFERROR(50+VLOOKUP($A27,'SegEnds_Xtal_Prot#'!$A:$AY,35,FALSE)-VLOOKUP($B27,'SegEnds_NonXtal_Prot#'!$A:$AL,25,FALSE),"-")</f>
        <v>52</v>
      </c>
      <c r="S27" s="2">
        <f>IFERROR(50+VLOOKUP($A27,'SegEnds_Xtal_Prot#'!$A:$AY,37,FALSE)-VLOOKUP($B27,'SegEnds_NonXtal_Prot#'!$A:$AL,28,FALSE),"-")</f>
        <v>35</v>
      </c>
      <c r="T27" s="2">
        <f>IFERROR(50+VLOOKUP($A27,'SegEnds_Xtal_Prot#'!$A:$AY,39,FALSE)-VLOOKUP($B27,'SegEnds_NonXtal_Prot#'!$A:$AL,28,FALSE),"-")</f>
        <v>76</v>
      </c>
      <c r="U27" s="2">
        <f>IFERROR(50+VLOOKUP($A27,'SegEnds_Xtal_Prot#'!$A:$AY,41,FALSE)-VLOOKUP($B27,'SegEnds_NonXtal_Prot#'!$A:$AL,31,FALSE),"-")</f>
        <v>24</v>
      </c>
      <c r="V27" s="2">
        <f>IFERROR(50+VLOOKUP($A27,'SegEnds_Xtal_Prot#'!$A:$AY,43,FALSE)-VLOOKUP($B27,'SegEnds_NonXtal_Prot#'!$A:$AL,31,FALSE),"-")</f>
        <v>61</v>
      </c>
      <c r="W27" s="2">
        <f>IFERROR(50+VLOOKUP($A27,'SegEnds_Xtal_Prot#'!$A:$AY,45,FALSE)-VLOOKUP($B27,'SegEnds_NonXtal_Prot#'!$A:$AL,34,FALSE),"-")</f>
        <v>31</v>
      </c>
      <c r="X27" s="2">
        <f>IFERROR(50+VLOOKUP($A27,'SegEnds_Xtal_Prot#'!$A:$AY,47,FALSE)-VLOOKUP($B27,'SegEnds_NonXtal_Prot#'!$A:$AL,34,FALSE),"-")</f>
        <v>56</v>
      </c>
      <c r="Y27" s="2">
        <f>IFERROR(50+VLOOKUP($A27,'SegEnds_Xtal_Prot#'!$A:$AY,49,FALSE)-VLOOKUP($B27,'SegEnds_NonXtal_Prot#'!$A:$AL,37,FALSE),"-")</f>
        <v>47</v>
      </c>
      <c r="Z27" s="2">
        <f>IFERROR(50+VLOOKUP($A27,'SegEnds_Xtal_Prot#'!$A:$AY,51,FALSE)-VLOOKUP($B27,'SegEnds_NonXtal_Prot#'!$A:$AL,37,FALSE),"-")</f>
        <v>59</v>
      </c>
      <c r="AA27" s="49" t="str">
        <f>VLOOKUP(B27,Classification!A:D,2,FALSE)</f>
        <v>A</v>
      </c>
      <c r="AB27" s="94" t="str">
        <f>VLOOKUP(B27,Classification!A:D,4,0)</f>
        <v>Histamine</v>
      </c>
      <c r="AC27" s="49">
        <f>VLOOKUP(B27,'SegEnds_NonXtal_Prot#'!A:AL,6,FALSE)-VLOOKUP(B27,'SegEnds_NonXtal_Prot#'!A:AL,5,FALSE)</f>
        <v>1</v>
      </c>
      <c r="AD27" s="49">
        <f>VLOOKUP(B27,'SegEnds_NonXtal_Prot#'!A:AL,9,FALSE)-VLOOKUP(B27,'SegEnds_NonXtal_Prot#'!A:AL,8,FALSE)</f>
        <v>1</v>
      </c>
      <c r="AE27" s="49">
        <f>VLOOKUP(B27,'SegEnds_NonXtal_Prot#'!A:AL,13,FALSE)-VLOOKUP(B27,'SegEnds_NonXtal_Prot#'!A:AL,10,FALSE)</f>
        <v>20</v>
      </c>
      <c r="AF27" s="49">
        <f>VLOOKUP(B27,'SegEnds_NonXtal_Prot#'!A:AL,12,FALSE)-VLOOKUP(B27,'SegEnds_NonXtal_Prot#'!A:AL,11,FALSE)</f>
        <v>2</v>
      </c>
      <c r="AG27" s="49">
        <f>VLOOKUP(B27,'SegEnds_NonXtal_Prot#'!A:AL,13,FALSE)-VLOOKUP(B27,'SegEnds_NonXtal_Prot#'!A:AL,11,FALSE)</f>
        <v>3</v>
      </c>
      <c r="AH27" s="49">
        <f>VLOOKUP(B27,'SegEnds_NonXtal_Prot#'!A:AL,16,FALSE)-VLOOKUP(B27,'SegEnds_NonXtal_Prot#'!A:AL,10,FALSE)</f>
        <v>52</v>
      </c>
      <c r="AI27" s="49">
        <f>VLOOKUP(B27,'SegEnds_NonXtal_Prot#'!A:AL,16,FALSE)-VLOOKUP(B27,'SegEnds_NonXtal_Prot#'!A:AL,11,FALSE)</f>
        <v>35</v>
      </c>
      <c r="AJ27" s="49">
        <f>VLOOKUP(B27,'SegEnds_NonXtal_Prot#'!A:AL,22,FALSE)-VLOOKUP(B27,'SegEnds_NonXtal_Prot#'!A:AL,19,FALSE)</f>
        <v>20</v>
      </c>
      <c r="AK27" s="49">
        <f>VLOOKUP(B27,'SegEnds_NonXtal_Prot#'!A:AL,15,FALSE)-VLOOKUP(B27,'SegEnds_NonXtal_Prot#'!A:AL,14,FALSE)</f>
        <v>1</v>
      </c>
      <c r="AL27" s="49">
        <f>VLOOKUP(B27,'SegEnds_NonXtal_Prot#'!A:AL,18,FALSE)-VLOOKUP(B27,'SegEnds_NonXtal_Prot#'!A:AL,17,FALSE)</f>
        <v>1</v>
      </c>
      <c r="AM27" s="2">
        <f>VLOOKUP(B27,'SegEnds_NonXtal_Prot#'!A:AL,34,FALSE)-VLOOKUP(B27,'SegEnds_NonXtal_Prot#'!A:AL,31,FALSE)</f>
        <v>35</v>
      </c>
      <c r="AN27" s="37"/>
    </row>
    <row r="28" spans="1:64" s="2" customFormat="1" x14ac:dyDescent="0.2">
      <c r="A28" s="2" t="s">
        <v>1263</v>
      </c>
      <c r="B28" s="2" t="s">
        <v>103</v>
      </c>
      <c r="C28" s="2">
        <f>IFERROR(50+VLOOKUP($A28,'SegEnds_Xtal_Prot#'!$A:$AY,5,FALSE)-VLOOKUP($B28,'SegEnds_NonXtal_Prot#'!$A:$AL,4,FALSE),"-")</f>
        <v>30</v>
      </c>
      <c r="D28" s="2">
        <f>IFERROR(50+VLOOKUP($A28,'SegEnds_Xtal_Prot#'!$A:$AY,7,FALSE)-VLOOKUP($B28,'SegEnds_NonXtal_Prot#'!$A:$AL,4,FALSE),"-")</f>
        <v>60</v>
      </c>
      <c r="E28" s="2">
        <f>IFERROR(50+VLOOKUP($A28,'SegEnds_Xtal_Prot#'!$A:$AY,9,FALSE)-VLOOKUP($B28,'SegEnds_NonXtal_Prot#'!$A:$AL,7,FALSE),"-")</f>
        <v>48</v>
      </c>
      <c r="F28" s="2">
        <f>IFERROR(50+VLOOKUP($A28,'SegEnds_Xtal_Prot#'!$A:$AY,11,FALSE)-VLOOKUP($B28,'SegEnds_NonXtal_Prot#'!$A:$AL,7,FALSE),"-")</f>
        <v>51</v>
      </c>
      <c r="G28" s="2">
        <f>IFERROR(50+VLOOKUP($A28,'SegEnds_Xtal_Prot#'!$A:$AY,13,FALSE)-VLOOKUP($B28,'SegEnds_NonXtal_Prot#'!$A:$AL,10,FALSE),"-")</f>
        <v>37</v>
      </c>
      <c r="H28" s="2">
        <f>IFERROR(50+VLOOKUP($A28,'SegEnds_Xtal_Prot#'!$A:$AY,15,FALSE)-VLOOKUP($B28,'SegEnds_NonXtal_Prot#'!$A:$AL,10,FALSE),"-")</f>
        <v>63</v>
      </c>
      <c r="I28" s="2">
        <f>IFERROR(50+VLOOKUP($A28,'SegEnds_Xtal_Prot#'!$A:$AY,17,FALSE)-VLOOKUP($B28,'SegEnds_NonXtal_Prot#'!$A:$AL,13,FALSE),"-")</f>
        <v>47</v>
      </c>
      <c r="J28" s="2">
        <f>IFERROR(50+VLOOKUP($A28,'SegEnds_Xtal_Prot#'!$A:$AY,19,FALSE)-VLOOKUP($B28,'SegEnds_NonXtal_Prot#'!$A:$AL,13,FALSE),"-")</f>
        <v>53</v>
      </c>
      <c r="K28" s="2">
        <f>IFERROR(50+VLOOKUP($A28,'SegEnds_Xtal_Prot#'!$A:$AY,21,FALSE)-VLOOKUP($B28,'SegEnds_NonXtal_Prot#'!$A:$AL,16,FALSE),"-")</f>
        <v>21</v>
      </c>
      <c r="L28" s="2">
        <f>IFERROR(50+VLOOKUP($A28,'SegEnds_Xtal_Prot#'!$A:$AY,23,FALSE)-VLOOKUP($B28,'SegEnds_NonXtal_Prot#'!$A:$AL,16,FALSE),"-")</f>
        <v>56</v>
      </c>
      <c r="M28" s="2">
        <f>IFERROR(50+VLOOKUP($A28,'SegEnds_Xtal_Prot#'!$A:$AY,25,FALSE)-VLOOKUP($B28,'SegEnds_NonXtal_Prot#'!$A:$AL,19,FALSE),"-")</f>
        <v>50</v>
      </c>
      <c r="N28" s="2">
        <f>IFERROR(50+VLOOKUP($A28,'SegEnds_Xtal_Prot#'!$A:$AY,27,FALSE)-VLOOKUP($B28,'SegEnds_NonXtal_Prot#'!$A:$AL,19,FALSE),"-")</f>
        <v>56</v>
      </c>
      <c r="O28" s="2">
        <f>IFERROR(50+VLOOKUP($A28,'SegEnds_Xtal_Prot#'!$A:$AY,29,FALSE)-VLOOKUP($B28,'SegEnds_NonXtal_Prot#'!$A:$AL,22,FALSE),"-")</f>
        <v>38</v>
      </c>
      <c r="P28" s="2">
        <f>IFERROR(50+VLOOKUP($A28,'SegEnds_Xtal_Prot#'!$A:$AY,31,FALSE)-VLOOKUP($B28,'SegEnds_NonXtal_Prot#'!$A:$AL,22,FALSE),"-")</f>
        <v>63</v>
      </c>
      <c r="Q28" s="2" t="str">
        <f>IFERROR(50+VLOOKUP($A28,'SegEnds_Xtal_Prot#'!$A:$AY,33,FALSE)-VLOOKUP($B28,'SegEnds_NonXtal_Prot#'!$A:$AL,25,FALSE),"-")</f>
        <v>-</v>
      </c>
      <c r="R28" s="2" t="str">
        <f>IFERROR(50+VLOOKUP($A28,'SegEnds_Xtal_Prot#'!$A:$AY,35,FALSE)-VLOOKUP($B28,'SegEnds_NonXtal_Prot#'!$A:$AL,25,FALSE),"-")</f>
        <v>-</v>
      </c>
      <c r="S28" s="2">
        <f>IFERROR(50+VLOOKUP($A28,'SegEnds_Xtal_Prot#'!$A:$AY,37,FALSE)-VLOOKUP($B28,'SegEnds_NonXtal_Prot#'!$A:$AL,28,FALSE),"-")</f>
        <v>36</v>
      </c>
      <c r="T28" s="2">
        <f>IFERROR(50+VLOOKUP($A28,'SegEnds_Xtal_Prot#'!$A:$AY,39,FALSE)-VLOOKUP($B28,'SegEnds_NonXtal_Prot#'!$A:$AL,28,FALSE),"-")</f>
        <v>73</v>
      </c>
      <c r="U28" s="2">
        <f>IFERROR(50+VLOOKUP($A28,'SegEnds_Xtal_Prot#'!$A:$AY,41,FALSE)-VLOOKUP($B28,'SegEnds_NonXtal_Prot#'!$A:$AL,31,FALSE),"-")</f>
        <v>22</v>
      </c>
      <c r="V28" s="2">
        <f>IFERROR(50+VLOOKUP($A28,'SegEnds_Xtal_Prot#'!$A:$AY,43,FALSE)-VLOOKUP($B28,'SegEnds_NonXtal_Prot#'!$A:$AL,31,FALSE),"-")</f>
        <v>61</v>
      </c>
      <c r="W28" s="2">
        <f>IFERROR(50+VLOOKUP($A28,'SegEnds_Xtal_Prot#'!$A:$AY,45,FALSE)-VLOOKUP($B28,'SegEnds_NonXtal_Prot#'!$A:$AL,34,FALSE),"-")</f>
        <v>30</v>
      </c>
      <c r="X28" s="2">
        <f>IFERROR(50+VLOOKUP($A28,'SegEnds_Xtal_Prot#'!$A:$AY,47,FALSE)-VLOOKUP($B28,'SegEnds_NonXtal_Prot#'!$A:$AL,34,FALSE),"-")</f>
        <v>56</v>
      </c>
      <c r="Y28" s="2">
        <f>IFERROR(50+VLOOKUP($A28,'SegEnds_Xtal_Prot#'!$A:$AY,49,FALSE)-VLOOKUP($B28,'SegEnds_NonXtal_Prot#'!$A:$AL,37,FALSE),"-")</f>
        <v>47</v>
      </c>
      <c r="Z28" s="2">
        <f>IFERROR(50+VLOOKUP($A28,'SegEnds_Xtal_Prot#'!$A:$AY,51,FALSE)-VLOOKUP($B28,'SegEnds_NonXtal_Prot#'!$A:$AL,37,FALSE),"-")</f>
        <v>59</v>
      </c>
      <c r="AA28" s="49" t="str">
        <f>VLOOKUP(B28,Classification!A:D,2,FALSE)</f>
        <v>A</v>
      </c>
      <c r="AB28" s="94" t="str">
        <f>VLOOKUP(B28,Classification!A:D,4,0)</f>
        <v>Lysophospholipid(LPA)</v>
      </c>
      <c r="AC28" s="49">
        <f>VLOOKUP(B28,'SegEnds_NonXtal_Prot#'!A:AL,6,FALSE)-VLOOKUP(B28,'SegEnds_NonXtal_Prot#'!A:AL,5,FALSE)</f>
        <v>1</v>
      </c>
      <c r="AD28" s="49">
        <f>VLOOKUP(B28,'SegEnds_NonXtal_Prot#'!A:AL,9,FALSE)-VLOOKUP(B28,'SegEnds_NonXtal_Prot#'!A:AL,8,FALSE)</f>
        <v>1</v>
      </c>
      <c r="AE28" s="49">
        <f>VLOOKUP(B28,'SegEnds_NonXtal_Prot#'!A:AL,13,FALSE)-VLOOKUP(B28,'SegEnds_NonXtal_Prot#'!A:AL,10,FALSE)</f>
        <v>18</v>
      </c>
      <c r="AF28" s="49">
        <f>VLOOKUP(B28,'SegEnds_NonXtal_Prot#'!A:AL,12,FALSE)-VLOOKUP(B28,'SegEnds_NonXtal_Prot#'!A:AL,11,FALSE)</f>
        <v>2</v>
      </c>
      <c r="AG28" s="49">
        <f>VLOOKUP(B28,'SegEnds_NonXtal_Prot#'!A:AL,13,FALSE)-VLOOKUP(B28,'SegEnds_NonXtal_Prot#'!A:AL,11,FALSE)</f>
        <v>5</v>
      </c>
      <c r="AH28" s="49">
        <f>VLOOKUP(B28,'SegEnds_NonXtal_Prot#'!A:AL,16,FALSE)-VLOOKUP(B28,'SegEnds_NonXtal_Prot#'!A:AL,10,FALSE)</f>
        <v>51</v>
      </c>
      <c r="AI28" s="49">
        <f>VLOOKUP(B28,'SegEnds_NonXtal_Prot#'!A:AL,16,FALSE)-VLOOKUP(B28,'SegEnds_NonXtal_Prot#'!A:AL,11,FALSE)</f>
        <v>38</v>
      </c>
      <c r="AJ28" s="49">
        <f>VLOOKUP(B28,'SegEnds_NonXtal_Prot#'!A:AL,22,FALSE)-VLOOKUP(B28,'SegEnds_NonXtal_Prot#'!A:AL,19,FALSE)</f>
        <v>19</v>
      </c>
      <c r="AK28" s="49">
        <f>VLOOKUP(B28,'SegEnds_NonXtal_Prot#'!A:AL,15,FALSE)-VLOOKUP(B28,'SegEnds_NonXtal_Prot#'!A:AL,14,FALSE)</f>
        <v>1</v>
      </c>
      <c r="AL28" s="49">
        <f>VLOOKUP(B28,'SegEnds_NonXtal_Prot#'!A:AL,18,FALSE)-VLOOKUP(B28,'SegEnds_NonXtal_Prot#'!A:AL,17,FALSE)</f>
        <v>1</v>
      </c>
      <c r="AM28" s="2">
        <f>VLOOKUP(B28,'SegEnds_NonXtal_Prot#'!A:AL,34,FALSE)-VLOOKUP(B28,'SegEnds_NonXtal_Prot#'!A:AL,31,FALSE)</f>
        <v>35</v>
      </c>
      <c r="AN28" s="37"/>
    </row>
    <row r="29" spans="1:64" s="2" customFormat="1" x14ac:dyDescent="0.2">
      <c r="A29" s="2" t="s">
        <v>1278</v>
      </c>
      <c r="B29" s="2" t="s">
        <v>104</v>
      </c>
      <c r="C29" s="2">
        <f>IFERROR(50+VLOOKUP($A29,'SegEnds_Xtal_Prot#'!$A:$AY,5,FALSE)-VLOOKUP($B29,'SegEnds_NonXtal_Prot#'!$A:$AL,4,FALSE),"-")</f>
        <v>29</v>
      </c>
      <c r="D29" s="2">
        <f>IFERROR(50+VLOOKUP($A29,'SegEnds_Xtal_Prot#'!$A:$AY,7,FALSE)-VLOOKUP($B29,'SegEnds_NonXtal_Prot#'!$A:$AL,4,FALSE),"-")</f>
        <v>60</v>
      </c>
      <c r="E29" s="2">
        <f>IFERROR(50+VLOOKUP($A29,'SegEnds_Xtal_Prot#'!$A:$AY,9,FALSE)-VLOOKUP($B29,'SegEnds_NonXtal_Prot#'!$A:$AL,7,FALSE),"-")</f>
        <v>48</v>
      </c>
      <c r="F29" s="2">
        <f>IFERROR(50+VLOOKUP($A29,'SegEnds_Xtal_Prot#'!$A:$AY,11,FALSE)-VLOOKUP($B29,'SegEnds_NonXtal_Prot#'!$A:$AL,7,FALSE),"-")</f>
        <v>51</v>
      </c>
      <c r="G29" s="2">
        <f>IFERROR(50+VLOOKUP($A29,'SegEnds_Xtal_Prot#'!$A:$AY,13,FALSE)-VLOOKUP($B29,'SegEnds_NonXtal_Prot#'!$A:$AL,10,FALSE),"-")</f>
        <v>37</v>
      </c>
      <c r="H29" s="2">
        <f>IFERROR(50+VLOOKUP($A29,'SegEnds_Xtal_Prot#'!$A:$AY,15,FALSE)-VLOOKUP($B29,'SegEnds_NonXtal_Prot#'!$A:$AL,10,FALSE),"-")</f>
        <v>63</v>
      </c>
      <c r="I29" s="2">
        <f>IFERROR(50+VLOOKUP($A29,'SegEnds_Xtal_Prot#'!$A:$AY,17,FALSE)-VLOOKUP($B29,'SegEnds_NonXtal_Prot#'!$A:$AL,13,FALSE),"-")</f>
        <v>47</v>
      </c>
      <c r="J29" s="2">
        <f>IFERROR(50+VLOOKUP($A29,'SegEnds_Xtal_Prot#'!$A:$AY,19,FALSE)-VLOOKUP($B29,'SegEnds_NonXtal_Prot#'!$A:$AL,13,FALSE),"-")</f>
        <v>53</v>
      </c>
      <c r="K29" s="2">
        <f>IFERROR(50+VLOOKUP($A29,'SegEnds_Xtal_Prot#'!$A:$AY,21,FALSE)-VLOOKUP($B29,'SegEnds_NonXtal_Prot#'!$A:$AL,16,FALSE),"-")</f>
        <v>21</v>
      </c>
      <c r="L29" s="2">
        <f>IFERROR(50+VLOOKUP($A29,'SegEnds_Xtal_Prot#'!$A:$AY,23,FALSE)-VLOOKUP($B29,'SegEnds_NonXtal_Prot#'!$A:$AL,16,FALSE),"-")</f>
        <v>56</v>
      </c>
      <c r="M29" s="2">
        <f>IFERROR(50+VLOOKUP($A29,'SegEnds_Xtal_Prot#'!$A:$AY,25,FALSE)-VLOOKUP($B29,'SegEnds_NonXtal_Prot#'!$A:$AL,19,FALSE),"-")</f>
        <v>50</v>
      </c>
      <c r="N29" s="2">
        <f>IFERROR(50+VLOOKUP($A29,'SegEnds_Xtal_Prot#'!$A:$AY,27,FALSE)-VLOOKUP($B29,'SegEnds_NonXtal_Prot#'!$A:$AL,19,FALSE),"-")</f>
        <v>56</v>
      </c>
      <c r="O29" s="2">
        <f>IFERROR(50+VLOOKUP($A29,'SegEnds_Xtal_Prot#'!$A:$AY,29,FALSE)-VLOOKUP($B29,'SegEnds_NonXtal_Prot#'!$A:$AL,22,FALSE),"-")</f>
        <v>38</v>
      </c>
      <c r="P29" s="2">
        <f>IFERROR(50+VLOOKUP($A29,'SegEnds_Xtal_Prot#'!$A:$AY,31,FALSE)-VLOOKUP($B29,'SegEnds_NonXtal_Prot#'!$A:$AL,22,FALSE),"-")</f>
        <v>63</v>
      </c>
      <c r="Q29" s="2" t="str">
        <f>IFERROR(50+VLOOKUP($A29,'SegEnds_Xtal_Prot#'!$A:$AY,33,FALSE)-VLOOKUP($B29,'SegEnds_NonXtal_Prot#'!$A:$AL,25,FALSE),"-")</f>
        <v>-</v>
      </c>
      <c r="R29" s="2" t="str">
        <f>IFERROR(50+VLOOKUP($A29,'SegEnds_Xtal_Prot#'!$A:$AY,35,FALSE)-VLOOKUP($B29,'SegEnds_NonXtal_Prot#'!$A:$AL,25,FALSE),"-")</f>
        <v>-</v>
      </c>
      <c r="S29" s="2">
        <f>IFERROR(50+VLOOKUP($A29,'SegEnds_Xtal_Prot#'!$A:$AY,37,FALSE)-VLOOKUP($B29,'SegEnds_NonXtal_Prot#'!$A:$AL,28,FALSE),"-")</f>
        <v>36</v>
      </c>
      <c r="T29" s="2">
        <f>IFERROR(50+VLOOKUP($A29,'SegEnds_Xtal_Prot#'!$A:$AY,39,FALSE)-VLOOKUP($B29,'SegEnds_NonXtal_Prot#'!$A:$AL,28,FALSE),"-")</f>
        <v>73</v>
      </c>
      <c r="U29" s="2">
        <f>IFERROR(50+VLOOKUP($A29,'SegEnds_Xtal_Prot#'!$A:$AY,41,FALSE)-VLOOKUP($B29,'SegEnds_NonXtal_Prot#'!$A:$AL,31,FALSE),"-")</f>
        <v>24</v>
      </c>
      <c r="V29" s="2">
        <f>IFERROR(50+VLOOKUP($A29,'SegEnds_Xtal_Prot#'!$A:$AY,43,FALSE)-VLOOKUP($B29,'SegEnds_NonXtal_Prot#'!$A:$AL,31,FALSE),"-")</f>
        <v>61</v>
      </c>
      <c r="W29" s="2">
        <f>IFERROR(50+VLOOKUP($A29,'SegEnds_Xtal_Prot#'!$A:$AY,45,FALSE)-VLOOKUP($B29,'SegEnds_NonXtal_Prot#'!$A:$AL,34,FALSE),"-")</f>
        <v>30</v>
      </c>
      <c r="X29" s="2">
        <f>IFERROR(50+VLOOKUP($A29,'SegEnds_Xtal_Prot#'!$A:$AY,47,FALSE)-VLOOKUP($B29,'SegEnds_NonXtal_Prot#'!$A:$AL,34,FALSE),"-")</f>
        <v>56</v>
      </c>
      <c r="Y29" s="2">
        <f>IFERROR(50+VLOOKUP($A29,'SegEnds_Xtal_Prot#'!$A:$AY,49,FALSE)-VLOOKUP($B29,'SegEnds_NonXtal_Prot#'!$A:$AL,37,FALSE),"-")</f>
        <v>47</v>
      </c>
      <c r="Z29" s="2">
        <f>IFERROR(50+VLOOKUP($A29,'SegEnds_Xtal_Prot#'!$A:$AY,51,FALSE)-VLOOKUP($B29,'SegEnds_NonXtal_Prot#'!$A:$AL,37,FALSE),"-")</f>
        <v>59</v>
      </c>
      <c r="AA29" s="49" t="str">
        <f>VLOOKUP(B29,Classification!A:D,2,FALSE)</f>
        <v>A</v>
      </c>
      <c r="AB29" s="94" t="str">
        <f>VLOOKUP(B29,Classification!A:D,4,0)</f>
        <v>Lysophospholipid(S1P)</v>
      </c>
      <c r="AC29" s="49">
        <f>VLOOKUP(B29,'SegEnds_NonXtal_Prot#'!A:AL,6,FALSE)-VLOOKUP(B29,'SegEnds_NonXtal_Prot#'!A:AL,5,FALSE)</f>
        <v>1</v>
      </c>
      <c r="AD29" s="49">
        <f>VLOOKUP(B29,'SegEnds_NonXtal_Prot#'!A:AL,9,FALSE)-VLOOKUP(B29,'SegEnds_NonXtal_Prot#'!A:AL,8,FALSE)</f>
        <v>1</v>
      </c>
      <c r="AE29" s="49">
        <f>VLOOKUP(B29,'SegEnds_NonXtal_Prot#'!A:AL,13,FALSE)-VLOOKUP(B29,'SegEnds_NonXtal_Prot#'!A:AL,10,FALSE)</f>
        <v>18</v>
      </c>
      <c r="AF29" s="49">
        <f>VLOOKUP(B29,'SegEnds_NonXtal_Prot#'!A:AL,12,FALSE)-VLOOKUP(B29,'SegEnds_NonXtal_Prot#'!A:AL,11,FALSE)</f>
        <v>2</v>
      </c>
      <c r="AG29" s="49">
        <f>VLOOKUP(B29,'SegEnds_NonXtal_Prot#'!A:AL,13,FALSE)-VLOOKUP(B29,'SegEnds_NonXtal_Prot#'!A:AL,11,FALSE)</f>
        <v>5</v>
      </c>
      <c r="AH29" s="49">
        <f>VLOOKUP(B29,'SegEnds_NonXtal_Prot#'!A:AL,16,FALSE)-VLOOKUP(B29,'SegEnds_NonXtal_Prot#'!A:AL,10,FALSE)</f>
        <v>51</v>
      </c>
      <c r="AI29" s="49">
        <f>VLOOKUP(B29,'SegEnds_NonXtal_Prot#'!A:AL,16,FALSE)-VLOOKUP(B29,'SegEnds_NonXtal_Prot#'!A:AL,11,FALSE)</f>
        <v>38</v>
      </c>
      <c r="AJ29" s="49">
        <f>VLOOKUP(B29,'SegEnds_NonXtal_Prot#'!A:AL,22,FALSE)-VLOOKUP(B29,'SegEnds_NonXtal_Prot#'!A:AL,19,FALSE)</f>
        <v>19</v>
      </c>
      <c r="AK29" s="49">
        <f>VLOOKUP(B29,'SegEnds_NonXtal_Prot#'!A:AL,15,FALSE)-VLOOKUP(B29,'SegEnds_NonXtal_Prot#'!A:AL,14,FALSE)</f>
        <v>1</v>
      </c>
      <c r="AL29" s="49">
        <f>VLOOKUP(B29,'SegEnds_NonXtal_Prot#'!A:AL,18,FALSE)-VLOOKUP(B29,'SegEnds_NonXtal_Prot#'!A:AL,17,FALSE)</f>
        <v>1</v>
      </c>
      <c r="AM29" s="2">
        <f>VLOOKUP(B29,'SegEnds_NonXtal_Prot#'!A:AL,34,FALSE)-VLOOKUP(B29,'SegEnds_NonXtal_Prot#'!A:AL,31,FALSE)</f>
        <v>37</v>
      </c>
      <c r="AN29" s="37"/>
    </row>
    <row r="30" spans="1:64" s="2" customFormat="1" x14ac:dyDescent="0.2">
      <c r="A30" s="2" t="s">
        <v>1264</v>
      </c>
      <c r="B30" s="2" t="s">
        <v>914</v>
      </c>
      <c r="C30" s="2">
        <f>IFERROR(50+VLOOKUP($A30,'SegEnds_Xtal_Prot#'!$A:$AY,5,FALSE)-VLOOKUP($B30,'SegEnds_NonXtal_Prot#'!$A:$AL,4,FALSE),"-")</f>
        <v>29</v>
      </c>
      <c r="D30" s="2">
        <f>IFERROR(50+VLOOKUP($A30,'SegEnds_Xtal_Prot#'!$A:$AY,7,FALSE)-VLOOKUP($B30,'SegEnds_NonXtal_Prot#'!$A:$AL,4,FALSE),"-")</f>
        <v>60</v>
      </c>
      <c r="E30" s="2">
        <f>IFERROR(50+VLOOKUP($A30,'SegEnds_Xtal_Prot#'!$A:$AY,9,FALSE)-VLOOKUP($B30,'SegEnds_NonXtal_Prot#'!$A:$AL,7,FALSE),"-")</f>
        <v>48</v>
      </c>
      <c r="F30" s="2">
        <f>IFERROR(50+VLOOKUP($A30,'SegEnds_Xtal_Prot#'!$A:$AY,11,FALSE)-VLOOKUP($B30,'SegEnds_NonXtal_Prot#'!$A:$AL,7,FALSE),"-")</f>
        <v>51</v>
      </c>
      <c r="G30" s="2">
        <f>IFERROR(50+VLOOKUP($A30,'SegEnds_Xtal_Prot#'!$A:$AY,13,FALSE)-VLOOKUP($B30,'SegEnds_NonXtal_Prot#'!$A:$AL,10,FALSE),"-")</f>
        <v>34</v>
      </c>
      <c r="H30" s="2">
        <f>IFERROR(50+VLOOKUP($A30,'SegEnds_Xtal_Prot#'!$A:$AY,15,FALSE)-VLOOKUP($B30,'SegEnds_NonXtal_Prot#'!$A:$AL,10,FALSE),"-")</f>
        <v>68</v>
      </c>
      <c r="I30" s="2">
        <f>IFERROR(50+VLOOKUP($A30,'SegEnds_Xtal_Prot#'!$A:$AY,17,FALSE)-VLOOKUP($B30,'SegEnds_NonXtal_Prot#'!$A:$AL,13,FALSE),"-")</f>
        <v>49</v>
      </c>
      <c r="J30" s="2">
        <f>IFERROR(50+VLOOKUP($A30,'SegEnds_Xtal_Prot#'!$A:$AY,19,FALSE)-VLOOKUP($B30,'SegEnds_NonXtal_Prot#'!$A:$AL,13,FALSE),"-")</f>
        <v>52</v>
      </c>
      <c r="K30" s="2">
        <f>IFERROR(50+VLOOKUP($A30,'SegEnds_Xtal_Prot#'!$A:$AY,21,FALSE)-VLOOKUP($B30,'SegEnds_NonXtal_Prot#'!$A:$AL,16,FALSE),"-")</f>
        <v>21</v>
      </c>
      <c r="L30" s="2">
        <f>IFERROR(50+VLOOKUP($A30,'SegEnds_Xtal_Prot#'!$A:$AY,23,FALSE)-VLOOKUP($B30,'SegEnds_NonXtal_Prot#'!$A:$AL,16,FALSE),"-")</f>
        <v>56</v>
      </c>
      <c r="M30" s="2">
        <f>IFERROR(50+VLOOKUP($A30,'SegEnds_Xtal_Prot#'!$A:$AY,25,FALSE)-VLOOKUP($B30,'SegEnds_NonXtal_Prot#'!$A:$AL,19,FALSE),"-")</f>
        <v>50</v>
      </c>
      <c r="N30" s="2">
        <f>IFERROR(50+VLOOKUP($A30,'SegEnds_Xtal_Prot#'!$A:$AY,27,FALSE)-VLOOKUP($B30,'SegEnds_NonXtal_Prot#'!$A:$AL,19,FALSE),"-")</f>
        <v>57</v>
      </c>
      <c r="O30" s="2">
        <f>IFERROR(50+VLOOKUP($A30,'SegEnds_Xtal_Prot#'!$A:$AY,29,FALSE)-VLOOKUP($B30,'SegEnds_NonXtal_Prot#'!$A:$AL,22,FALSE),"-")</f>
        <v>38</v>
      </c>
      <c r="P30" s="2">
        <f>IFERROR(50+VLOOKUP($A30,'SegEnds_Xtal_Prot#'!$A:$AY,31,FALSE)-VLOOKUP($B30,'SegEnds_NonXtal_Prot#'!$A:$AL,22,FALSE),"-")</f>
        <v>64</v>
      </c>
      <c r="Q30" s="2">
        <f>IFERROR(50+VLOOKUP($A30,'SegEnds_Xtal_Prot#'!$A:$AY,33,FALSE)-VLOOKUP($B30,'SegEnds_NonXtal_Prot#'!$A:$AL,25,FALSE),"-")</f>
        <v>50</v>
      </c>
      <c r="R30" s="2">
        <f>IFERROR(50+VLOOKUP($A30,'SegEnds_Xtal_Prot#'!$A:$AY,35,FALSE)-VLOOKUP($B30,'SegEnds_NonXtal_Prot#'!$A:$AL,25,FALSE),"-")</f>
        <v>52</v>
      </c>
      <c r="S30" s="2">
        <f>IFERROR(50+VLOOKUP($A30,'SegEnds_Xtal_Prot#'!$A:$AY,37,FALSE)-VLOOKUP($B30,'SegEnds_NonXtal_Prot#'!$A:$AL,28,FALSE),"-")</f>
        <v>32</v>
      </c>
      <c r="T30" s="2">
        <f>IFERROR(50+VLOOKUP($A30,'SegEnds_Xtal_Prot#'!$A:$AY,39,FALSE)-VLOOKUP($B30,'SegEnds_NonXtal_Prot#'!$A:$AL,28,FALSE),"-")</f>
        <v>76</v>
      </c>
      <c r="U30" s="2">
        <f>IFERROR(50+VLOOKUP($A30,'SegEnds_Xtal_Prot#'!$A:$AY,41,FALSE)-VLOOKUP($B30,'SegEnds_NonXtal_Prot#'!$A:$AL,31,FALSE),"-")</f>
        <v>24</v>
      </c>
      <c r="V30" s="2">
        <f>IFERROR(50+VLOOKUP($A30,'SegEnds_Xtal_Prot#'!$A:$AY,43,FALSE)-VLOOKUP($B30,'SegEnds_NonXtal_Prot#'!$A:$AL,31,FALSE),"-")</f>
        <v>61</v>
      </c>
      <c r="W30" s="2">
        <f>IFERROR(50+VLOOKUP($A30,'SegEnds_Xtal_Prot#'!$A:$AY,45,FALSE)-VLOOKUP($B30,'SegEnds_NonXtal_Prot#'!$A:$AL,34,FALSE),"-")</f>
        <v>24</v>
      </c>
      <c r="X30" s="2">
        <f>IFERROR(50+VLOOKUP($A30,'SegEnds_Xtal_Prot#'!$A:$AY,47,FALSE)-VLOOKUP($B30,'SegEnds_NonXtal_Prot#'!$A:$AL,34,FALSE),"-")</f>
        <v>56</v>
      </c>
      <c r="Y30" s="2">
        <f>IFERROR(50+VLOOKUP($A30,'SegEnds_Xtal_Prot#'!$A:$AY,49,FALSE)-VLOOKUP($B30,'SegEnds_NonXtal_Prot#'!$A:$AL,37,FALSE),"-")</f>
        <v>47</v>
      </c>
      <c r="Z30" s="2">
        <f>IFERROR(50+VLOOKUP($A30,'SegEnds_Xtal_Prot#'!$A:$AY,51,FALSE)-VLOOKUP($B30,'SegEnds_NonXtal_Prot#'!$A:$AL,37,FALSE),"-")</f>
        <v>58</v>
      </c>
      <c r="AA30" s="49" t="str">
        <f>VLOOKUP(B30,Classification!A:D,2,FALSE)</f>
        <v>A</v>
      </c>
      <c r="AB30" s="94" t="str">
        <f>VLOOKUP(B30,Classification!A:D,4,0)</f>
        <v>Neurotensin</v>
      </c>
      <c r="AC30" s="49">
        <f>VLOOKUP(B30,'SegEnds_NonXtal_Prot#'!A:AL,6,FALSE)-VLOOKUP(B30,'SegEnds_NonXtal_Prot#'!A:AL,5,FALSE)</f>
        <v>1</v>
      </c>
      <c r="AD30" s="49">
        <f>VLOOKUP(B30,'SegEnds_NonXtal_Prot#'!A:AL,9,FALSE)-VLOOKUP(B30,'SegEnds_NonXtal_Prot#'!A:AL,8,FALSE)</f>
        <v>1</v>
      </c>
      <c r="AE30" s="49">
        <f>VLOOKUP(B30,'SegEnds_NonXtal_Prot#'!A:AL,13,FALSE)-VLOOKUP(B30,'SegEnds_NonXtal_Prot#'!A:AL,10,FALSE)</f>
        <v>22</v>
      </c>
      <c r="AF30" s="49">
        <f>VLOOKUP(B30,'SegEnds_NonXtal_Prot#'!A:AL,12,FALSE)-VLOOKUP(B30,'SegEnds_NonXtal_Prot#'!A:AL,11,FALSE)</f>
        <v>3</v>
      </c>
      <c r="AG30" s="49">
        <f>VLOOKUP(B30,'SegEnds_NonXtal_Prot#'!A:AL,13,FALSE)-VLOOKUP(B30,'SegEnds_NonXtal_Prot#'!A:AL,11,FALSE)</f>
        <v>4</v>
      </c>
      <c r="AH30" s="49">
        <f>VLOOKUP(B30,'SegEnds_NonXtal_Prot#'!A:AL,16,FALSE)-VLOOKUP(B30,'SegEnds_NonXtal_Prot#'!A:AL,10,FALSE)</f>
        <v>54</v>
      </c>
      <c r="AI30" s="49">
        <f>VLOOKUP(B30,'SegEnds_NonXtal_Prot#'!A:AL,16,FALSE)-VLOOKUP(B30,'SegEnds_NonXtal_Prot#'!A:AL,11,FALSE)</f>
        <v>36</v>
      </c>
      <c r="AJ30" s="49">
        <f>VLOOKUP(B30,'SegEnds_NonXtal_Prot#'!A:AL,22,FALSE)-VLOOKUP(B30,'SegEnds_NonXtal_Prot#'!A:AL,19,FALSE)</f>
        <v>20</v>
      </c>
      <c r="AK30" s="49">
        <f>VLOOKUP(B30,'SegEnds_NonXtal_Prot#'!A:AL,15,FALSE)-VLOOKUP(B30,'SegEnds_NonXtal_Prot#'!A:AL,14,FALSE)</f>
        <v>1</v>
      </c>
      <c r="AL30" s="49">
        <f>VLOOKUP(B30,'SegEnds_NonXtal_Prot#'!A:AL,18,FALSE)-VLOOKUP(B30,'SegEnds_NonXtal_Prot#'!A:AL,17,FALSE)</f>
        <v>1</v>
      </c>
      <c r="AM30" s="2">
        <f>VLOOKUP(B30,'SegEnds_NonXtal_Prot#'!A:AL,34,FALSE)-VLOOKUP(B30,'SegEnds_NonXtal_Prot#'!A:AL,31,FALSE)</f>
        <v>43</v>
      </c>
      <c r="AN30" s="37"/>
    </row>
    <row r="31" spans="1:64" s="2" customFormat="1" x14ac:dyDescent="0.2">
      <c r="A31" s="2" t="s">
        <v>1266</v>
      </c>
      <c r="B31" s="2" t="s">
        <v>916</v>
      </c>
      <c r="C31" s="2">
        <f>IFERROR(50+VLOOKUP($A31,'SegEnds_Xtal_Prot#'!$A:$AY,5,FALSE)-VLOOKUP($B31,'SegEnds_NonXtal_Prot#'!$A:$AL,4,FALSE),"-")</f>
        <v>24</v>
      </c>
      <c r="D31" s="2">
        <f>IFERROR(50+VLOOKUP($A31,'SegEnds_Xtal_Prot#'!$A:$AY,7,FALSE)-VLOOKUP($B31,'SegEnds_NonXtal_Prot#'!$A:$AL,4,FALSE),"-")</f>
        <v>60</v>
      </c>
      <c r="E31" s="2">
        <f>IFERROR(50+VLOOKUP($A31,'SegEnds_Xtal_Prot#'!$A:$AY,9,FALSE)-VLOOKUP($B31,'SegEnds_NonXtal_Prot#'!$A:$AL,7,FALSE),"-")</f>
        <v>48</v>
      </c>
      <c r="F31" s="2">
        <f>IFERROR(50+VLOOKUP($A31,'SegEnds_Xtal_Prot#'!$A:$AY,11,FALSE)-VLOOKUP($B31,'SegEnds_NonXtal_Prot#'!$A:$AL,7,FALSE),"-")</f>
        <v>51</v>
      </c>
      <c r="G31" s="2">
        <f>IFERROR(50+VLOOKUP($A31,'SegEnds_Xtal_Prot#'!$A:$AY,13,FALSE)-VLOOKUP($B31,'SegEnds_NonXtal_Prot#'!$A:$AL,10,FALSE),"-")</f>
        <v>37</v>
      </c>
      <c r="H31" s="2">
        <f>IFERROR(50+VLOOKUP($A31,'SegEnds_Xtal_Prot#'!$A:$AY,15,FALSE)-VLOOKUP($B31,'SegEnds_NonXtal_Prot#'!$A:$AL,10,FALSE),"-")</f>
        <v>66</v>
      </c>
      <c r="I31" s="2">
        <f>IFERROR(50+VLOOKUP($A31,'SegEnds_Xtal_Prot#'!$A:$AY,17,FALSE)-VLOOKUP($B31,'SegEnds_NonXtal_Prot#'!$A:$AL,13,FALSE),"-")</f>
        <v>49</v>
      </c>
      <c r="J31" s="2">
        <f>IFERROR(50+VLOOKUP($A31,'SegEnds_Xtal_Prot#'!$A:$AY,19,FALSE)-VLOOKUP($B31,'SegEnds_NonXtal_Prot#'!$A:$AL,13,FALSE),"-")</f>
        <v>52</v>
      </c>
      <c r="K31" s="2">
        <f>IFERROR(50+VLOOKUP($A31,'SegEnds_Xtal_Prot#'!$A:$AY,21,FALSE)-VLOOKUP($B31,'SegEnds_NonXtal_Prot#'!$A:$AL,16,FALSE),"-")</f>
        <v>21</v>
      </c>
      <c r="L31" s="2">
        <f>IFERROR(50+VLOOKUP($A31,'SegEnds_Xtal_Prot#'!$A:$AY,23,FALSE)-VLOOKUP($B31,'SegEnds_NonXtal_Prot#'!$A:$AL,16,FALSE),"-")</f>
        <v>56</v>
      </c>
      <c r="M31" s="2">
        <f>IFERROR(50+VLOOKUP($A31,'SegEnds_Xtal_Prot#'!$A:$AY,25,FALSE)-VLOOKUP($B31,'SegEnds_NonXtal_Prot#'!$A:$AL,19,FALSE),"-")</f>
        <v>50</v>
      </c>
      <c r="N31" s="2">
        <f>IFERROR(50+VLOOKUP($A31,'SegEnds_Xtal_Prot#'!$A:$AY,27,FALSE)-VLOOKUP($B31,'SegEnds_NonXtal_Prot#'!$A:$AL,19,FALSE),"-")</f>
        <v>57</v>
      </c>
      <c r="O31" s="2">
        <f>IFERROR(50+VLOOKUP($A31,'SegEnds_Xtal_Prot#'!$A:$AY,29,FALSE)-VLOOKUP($B31,'SegEnds_NonXtal_Prot#'!$A:$AL,22,FALSE),"-")</f>
        <v>38</v>
      </c>
      <c r="P31" s="2">
        <f>IFERROR(50+VLOOKUP($A31,'SegEnds_Xtal_Prot#'!$A:$AY,31,FALSE)-VLOOKUP($B31,'SegEnds_NonXtal_Prot#'!$A:$AL,22,FALSE),"-")</f>
        <v>64</v>
      </c>
      <c r="Q31" s="2">
        <f>IFERROR(50+VLOOKUP($A31,'SegEnds_Xtal_Prot#'!$A:$AY,33,FALSE)-VLOOKUP($B31,'SegEnds_NonXtal_Prot#'!$A:$AL,25,FALSE),"-")</f>
        <v>50</v>
      </c>
      <c r="R31" s="2">
        <f>IFERROR(50+VLOOKUP($A31,'SegEnds_Xtal_Prot#'!$A:$AY,35,FALSE)-VLOOKUP($B31,'SegEnds_NonXtal_Prot#'!$A:$AL,25,FALSE),"-")</f>
        <v>52</v>
      </c>
      <c r="S31" s="2">
        <f>IFERROR(50+VLOOKUP($A31,'SegEnds_Xtal_Prot#'!$A:$AY,37,FALSE)-VLOOKUP($B31,'SegEnds_NonXtal_Prot#'!$A:$AL,28,FALSE),"-")</f>
        <v>31</v>
      </c>
      <c r="T31" s="2">
        <f>IFERROR(50+VLOOKUP($A31,'SegEnds_Xtal_Prot#'!$A:$AY,39,FALSE)-VLOOKUP($B31,'SegEnds_NonXtal_Prot#'!$A:$AL,28,FALSE),"-")</f>
        <v>68</v>
      </c>
      <c r="U31" s="2">
        <f>IFERROR(50+VLOOKUP($A31,'SegEnds_Xtal_Prot#'!$A:$AY,41,FALSE)-VLOOKUP($B31,'SegEnds_NonXtal_Prot#'!$A:$AL,31,FALSE),"-")</f>
        <v>23</v>
      </c>
      <c r="V31" s="2">
        <f>IFERROR(50+VLOOKUP($A31,'SegEnds_Xtal_Prot#'!$A:$AY,43,FALSE)-VLOOKUP($B31,'SegEnds_NonXtal_Prot#'!$A:$AL,31,FALSE),"-")</f>
        <v>61</v>
      </c>
      <c r="W31" s="2">
        <f>IFERROR(50+VLOOKUP($A31,'SegEnds_Xtal_Prot#'!$A:$AY,45,FALSE)-VLOOKUP($B31,'SegEnds_NonXtal_Prot#'!$A:$AL,34,FALSE),"-")</f>
        <v>28</v>
      </c>
      <c r="X31" s="2">
        <f>IFERROR(50+VLOOKUP($A31,'SegEnds_Xtal_Prot#'!$A:$AY,47,FALSE)-VLOOKUP($B31,'SegEnds_NonXtal_Prot#'!$A:$AL,34,FALSE),"-")</f>
        <v>56</v>
      </c>
      <c r="Y31" s="2">
        <f>IFERROR(50+VLOOKUP($A31,'SegEnds_Xtal_Prot#'!$A:$AY,49,FALSE)-VLOOKUP($B31,'SegEnds_NonXtal_Prot#'!$A:$AL,37,FALSE),"-")</f>
        <v>47</v>
      </c>
      <c r="Z31" s="2">
        <f>IFERROR(50+VLOOKUP($A31,'SegEnds_Xtal_Prot#'!$A:$AY,51,FALSE)-VLOOKUP($B31,'SegEnds_NonXtal_Prot#'!$A:$AL,37,FALSE),"-")</f>
        <v>60</v>
      </c>
      <c r="AA31" s="49" t="str">
        <f>VLOOKUP(B31,Classification!A:D,2,FALSE)</f>
        <v>A</v>
      </c>
      <c r="AB31" s="94" t="str">
        <f>VLOOKUP(B31,Classification!A:D,4,0)</f>
        <v>Opioid</v>
      </c>
      <c r="AC31" s="49">
        <f>VLOOKUP(B31,'SegEnds_NonXtal_Prot#'!A:AL,6,FALSE)-VLOOKUP(B31,'SegEnds_NonXtal_Prot#'!A:AL,5,FALSE)</f>
        <v>1</v>
      </c>
      <c r="AD31" s="49">
        <f>VLOOKUP(B31,'SegEnds_NonXtal_Prot#'!A:AL,9,FALSE)-VLOOKUP(B31,'SegEnds_NonXtal_Prot#'!A:AL,8,FALSE)</f>
        <v>1</v>
      </c>
      <c r="AE31" s="49">
        <f>VLOOKUP(B31,'SegEnds_NonXtal_Prot#'!A:AL,13,FALSE)-VLOOKUP(B31,'SegEnds_NonXtal_Prot#'!A:AL,10,FALSE)</f>
        <v>19</v>
      </c>
      <c r="AF31" s="49">
        <f>VLOOKUP(B31,'SegEnds_NonXtal_Prot#'!A:AL,12,FALSE)-VLOOKUP(B31,'SegEnds_NonXtal_Prot#'!A:AL,11,FALSE)</f>
        <v>2</v>
      </c>
      <c r="AG31" s="49">
        <f>VLOOKUP(B31,'SegEnds_NonXtal_Prot#'!A:AL,13,FALSE)-VLOOKUP(B31,'SegEnds_NonXtal_Prot#'!A:AL,11,FALSE)</f>
        <v>3</v>
      </c>
      <c r="AH31" s="49">
        <f>VLOOKUP(B31,'SegEnds_NonXtal_Prot#'!A:AL,16,FALSE)-VLOOKUP(B31,'SegEnds_NonXtal_Prot#'!A:AL,10,FALSE)</f>
        <v>51</v>
      </c>
      <c r="AI31" s="49">
        <f>VLOOKUP(B31,'SegEnds_NonXtal_Prot#'!A:AL,16,FALSE)-VLOOKUP(B31,'SegEnds_NonXtal_Prot#'!A:AL,11,FALSE)</f>
        <v>35</v>
      </c>
      <c r="AJ31" s="49">
        <f>VLOOKUP(B31,'SegEnds_NonXtal_Prot#'!A:AL,22,FALSE)-VLOOKUP(B31,'SegEnds_NonXtal_Prot#'!A:AL,19,FALSE)</f>
        <v>20</v>
      </c>
      <c r="AK31" s="49">
        <f>VLOOKUP(B31,'SegEnds_NonXtal_Prot#'!A:AL,15,FALSE)-VLOOKUP(B31,'SegEnds_NonXtal_Prot#'!A:AL,14,FALSE)</f>
        <v>1</v>
      </c>
      <c r="AL31" s="49">
        <f>VLOOKUP(B31,'SegEnds_NonXtal_Prot#'!A:AL,18,FALSE)-VLOOKUP(B31,'SegEnds_NonXtal_Prot#'!A:AL,17,FALSE)</f>
        <v>1</v>
      </c>
      <c r="AM31" s="2">
        <f>VLOOKUP(B31,'SegEnds_NonXtal_Prot#'!A:AL,34,FALSE)-VLOOKUP(B31,'SegEnds_NonXtal_Prot#'!A:AL,31,FALSE)</f>
        <v>39</v>
      </c>
      <c r="AN31" s="37"/>
    </row>
    <row r="32" spans="1:64" s="2" customFormat="1" x14ac:dyDescent="0.2">
      <c r="A32" s="2" t="s">
        <v>1267</v>
      </c>
      <c r="B32" s="2" t="s">
        <v>336</v>
      </c>
      <c r="C32" s="2">
        <f>IFERROR(50+VLOOKUP($A32,'SegEnds_Xtal_Prot#'!$A:$AY,5,FALSE)-VLOOKUP($B32,'SegEnds_NonXtal_Prot#'!$A:$AL,4,FALSE),"-")</f>
        <v>30</v>
      </c>
      <c r="D32" s="2">
        <f>IFERROR(50+VLOOKUP($A32,'SegEnds_Xtal_Prot#'!$A:$AY,7,FALSE)-VLOOKUP($B32,'SegEnds_NonXtal_Prot#'!$A:$AL,4,FALSE),"-")</f>
        <v>60</v>
      </c>
      <c r="E32" s="2">
        <f>IFERROR(50+VLOOKUP($A32,'SegEnds_Xtal_Prot#'!$A:$AY,9,FALSE)-VLOOKUP($B32,'SegEnds_NonXtal_Prot#'!$A:$AL,7,FALSE),"-")</f>
        <v>48</v>
      </c>
      <c r="F32" s="2">
        <f>IFERROR(50+VLOOKUP($A32,'SegEnds_Xtal_Prot#'!$A:$AY,11,FALSE)-VLOOKUP($B32,'SegEnds_NonXtal_Prot#'!$A:$AL,7,FALSE),"-")</f>
        <v>51</v>
      </c>
      <c r="G32" s="2">
        <f>IFERROR(50+VLOOKUP($A32,'SegEnds_Xtal_Prot#'!$A:$AY,13,FALSE)-VLOOKUP($B32,'SegEnds_NonXtal_Prot#'!$A:$AL,10,FALSE),"-")</f>
        <v>37</v>
      </c>
      <c r="H32" s="2">
        <f>IFERROR(50+VLOOKUP($A32,'SegEnds_Xtal_Prot#'!$A:$AY,15,FALSE)-VLOOKUP($B32,'SegEnds_NonXtal_Prot#'!$A:$AL,10,FALSE),"-")</f>
        <v>67</v>
      </c>
      <c r="I32" s="2">
        <f>IFERROR(50+VLOOKUP($A32,'SegEnds_Xtal_Prot#'!$A:$AY,17,FALSE)-VLOOKUP($B32,'SegEnds_NonXtal_Prot#'!$A:$AL,13,FALSE),"-")</f>
        <v>49</v>
      </c>
      <c r="J32" s="2">
        <f>IFERROR(50+VLOOKUP($A32,'SegEnds_Xtal_Prot#'!$A:$AY,19,FALSE)-VLOOKUP($B32,'SegEnds_NonXtal_Prot#'!$A:$AL,13,FALSE),"-")</f>
        <v>52</v>
      </c>
      <c r="K32" s="2">
        <f>IFERROR(50+VLOOKUP($A32,'SegEnds_Xtal_Prot#'!$A:$AY,21,FALSE)-VLOOKUP($B32,'SegEnds_NonXtal_Prot#'!$A:$AL,16,FALSE),"-")</f>
        <v>21</v>
      </c>
      <c r="L32" s="2">
        <f>IFERROR(50+VLOOKUP($A32,'SegEnds_Xtal_Prot#'!$A:$AY,23,FALSE)-VLOOKUP($B32,'SegEnds_NonXtal_Prot#'!$A:$AL,16,FALSE),"-")</f>
        <v>56</v>
      </c>
      <c r="M32" s="2">
        <f>IFERROR(50+VLOOKUP($A32,'SegEnds_Xtal_Prot#'!$A:$AY,25,FALSE)-VLOOKUP($B32,'SegEnds_NonXtal_Prot#'!$A:$AL,19,FALSE),"-")</f>
        <v>50</v>
      </c>
      <c r="N32" s="2">
        <f>IFERROR(50+VLOOKUP($A32,'SegEnds_Xtal_Prot#'!$A:$AY,27,FALSE)-VLOOKUP($B32,'SegEnds_NonXtal_Prot#'!$A:$AL,19,FALSE),"-")</f>
        <v>57</v>
      </c>
      <c r="O32" s="2">
        <f>IFERROR(50+VLOOKUP($A32,'SegEnds_Xtal_Prot#'!$A:$AY,29,FALSE)-VLOOKUP($B32,'SegEnds_NonXtal_Prot#'!$A:$AL,22,FALSE),"-")</f>
        <v>38</v>
      </c>
      <c r="P32" s="2">
        <f>IFERROR(50+VLOOKUP($A32,'SegEnds_Xtal_Prot#'!$A:$AY,31,FALSE)-VLOOKUP($B32,'SegEnds_NonXtal_Prot#'!$A:$AL,22,FALSE),"-")</f>
        <v>64</v>
      </c>
      <c r="Q32" s="2">
        <f>IFERROR(50+VLOOKUP($A32,'SegEnds_Xtal_Prot#'!$A:$AY,33,FALSE)-VLOOKUP($B32,'SegEnds_NonXtal_Prot#'!$A:$AL,25,FALSE),"-")</f>
        <v>50</v>
      </c>
      <c r="R32" s="2">
        <f>IFERROR(50+VLOOKUP($A32,'SegEnds_Xtal_Prot#'!$A:$AY,35,FALSE)-VLOOKUP($B32,'SegEnds_NonXtal_Prot#'!$A:$AL,25,FALSE),"-")</f>
        <v>52</v>
      </c>
      <c r="S32" s="2">
        <f>IFERROR(50+VLOOKUP($A32,'SegEnds_Xtal_Prot#'!$A:$AY,37,FALSE)-VLOOKUP($B32,'SegEnds_NonXtal_Prot#'!$A:$AL,28,FALSE),"-")</f>
        <v>30</v>
      </c>
      <c r="T32" s="2">
        <f>IFERROR(50+VLOOKUP($A32,'SegEnds_Xtal_Prot#'!$A:$AY,39,FALSE)-VLOOKUP($B32,'SegEnds_NonXtal_Prot#'!$A:$AL,28,FALSE),"-")</f>
        <v>68</v>
      </c>
      <c r="U32" s="2">
        <f>IFERROR(50+VLOOKUP($A32,'SegEnds_Xtal_Prot#'!$A:$AY,41,FALSE)-VLOOKUP($B32,'SegEnds_NonXtal_Prot#'!$A:$AL,31,FALSE),"-")</f>
        <v>23</v>
      </c>
      <c r="V32" s="2">
        <f>IFERROR(50+VLOOKUP($A32,'SegEnds_Xtal_Prot#'!$A:$AY,43,FALSE)-VLOOKUP($B32,'SegEnds_NonXtal_Prot#'!$A:$AL,31,FALSE),"-")</f>
        <v>61</v>
      </c>
      <c r="W32" s="2">
        <f>IFERROR(50+VLOOKUP($A32,'SegEnds_Xtal_Prot#'!$A:$AY,45,FALSE)-VLOOKUP($B32,'SegEnds_NonXtal_Prot#'!$A:$AL,34,FALSE),"-")</f>
        <v>28</v>
      </c>
      <c r="X32" s="2">
        <f>IFERROR(50+VLOOKUP($A32,'SegEnds_Xtal_Prot#'!$A:$AY,47,FALSE)-VLOOKUP($B32,'SegEnds_NonXtal_Prot#'!$A:$AL,34,FALSE),"-")</f>
        <v>56</v>
      </c>
      <c r="Y32" s="2">
        <f>IFERROR(50+VLOOKUP($A32,'SegEnds_Xtal_Prot#'!$A:$AY,49,FALSE)-VLOOKUP($B32,'SegEnds_NonXtal_Prot#'!$A:$AL,37,FALSE),"-")</f>
        <v>47</v>
      </c>
      <c r="Z32" s="2">
        <f>IFERROR(50+VLOOKUP($A32,'SegEnds_Xtal_Prot#'!$A:$AY,51,FALSE)-VLOOKUP($B32,'SegEnds_NonXtal_Prot#'!$A:$AL,37,FALSE),"-")</f>
        <v>59</v>
      </c>
      <c r="AA32" s="49" t="str">
        <f>VLOOKUP(B32,Classification!A:D,2,FALSE)</f>
        <v>A</v>
      </c>
      <c r="AB32" s="94" t="str">
        <f>VLOOKUP(B32,Classification!A:D,4,0)</f>
        <v>Opioid</v>
      </c>
      <c r="AC32" s="49">
        <f>VLOOKUP(B32,'SegEnds_NonXtal_Prot#'!A:AL,6,FALSE)-VLOOKUP(B32,'SegEnds_NonXtal_Prot#'!A:AL,5,FALSE)</f>
        <v>1</v>
      </c>
      <c r="AD32" s="49">
        <f>VLOOKUP(B32,'SegEnds_NonXtal_Prot#'!A:AL,9,FALSE)-VLOOKUP(B32,'SegEnds_NonXtal_Prot#'!A:AL,8,FALSE)</f>
        <v>1</v>
      </c>
      <c r="AE32" s="49">
        <f>VLOOKUP(B32,'SegEnds_NonXtal_Prot#'!A:AL,13,FALSE)-VLOOKUP(B32,'SegEnds_NonXtal_Prot#'!A:AL,10,FALSE)</f>
        <v>19</v>
      </c>
      <c r="AF32" s="49">
        <f>VLOOKUP(B32,'SegEnds_NonXtal_Prot#'!A:AL,12,FALSE)-VLOOKUP(B32,'SegEnds_NonXtal_Prot#'!A:AL,11,FALSE)</f>
        <v>2</v>
      </c>
      <c r="AG32" s="49">
        <f>VLOOKUP(B32,'SegEnds_NonXtal_Prot#'!A:AL,13,FALSE)-VLOOKUP(B32,'SegEnds_NonXtal_Prot#'!A:AL,11,FALSE)</f>
        <v>3</v>
      </c>
      <c r="AH32" s="49">
        <f>VLOOKUP(B32,'SegEnds_NonXtal_Prot#'!A:AL,16,FALSE)-VLOOKUP(B32,'SegEnds_NonXtal_Prot#'!A:AL,10,FALSE)</f>
        <v>51</v>
      </c>
      <c r="AI32" s="49">
        <f>VLOOKUP(B32,'SegEnds_NonXtal_Prot#'!A:AL,16,FALSE)-VLOOKUP(B32,'SegEnds_NonXtal_Prot#'!A:AL,11,FALSE)</f>
        <v>35</v>
      </c>
      <c r="AJ32" s="49">
        <f>VLOOKUP(B32,'SegEnds_NonXtal_Prot#'!A:AL,22,FALSE)-VLOOKUP(B32,'SegEnds_NonXtal_Prot#'!A:AL,19,FALSE)</f>
        <v>20</v>
      </c>
      <c r="AK32" s="49">
        <f>VLOOKUP(B32,'SegEnds_NonXtal_Prot#'!A:AL,15,FALSE)-VLOOKUP(B32,'SegEnds_NonXtal_Prot#'!A:AL,14,FALSE)</f>
        <v>1</v>
      </c>
      <c r="AL32" s="49">
        <f>VLOOKUP(B32,'SegEnds_NonXtal_Prot#'!A:AL,18,FALSE)-VLOOKUP(B32,'SegEnds_NonXtal_Prot#'!A:AL,17,FALSE)</f>
        <v>1</v>
      </c>
      <c r="AM32" s="2">
        <f>VLOOKUP(B32,'SegEnds_NonXtal_Prot#'!A:AL,34,FALSE)-VLOOKUP(B32,'SegEnds_NonXtal_Prot#'!A:AL,31,FALSE)</f>
        <v>38</v>
      </c>
      <c r="AN32" s="37"/>
    </row>
    <row r="33" spans="1:64" s="2" customFormat="1" x14ac:dyDescent="0.2">
      <c r="A33" s="2" t="s">
        <v>1269</v>
      </c>
      <c r="B33" s="2" t="s">
        <v>1174</v>
      </c>
      <c r="C33" s="2">
        <f>IFERROR(50+VLOOKUP($A33,'SegEnds_Xtal_Prot#'!$A:$AY,5,FALSE)-VLOOKUP($B33,'SegEnds_NonXtal_Prot#'!$A:$AL,4,FALSE),"-")</f>
        <v>29</v>
      </c>
      <c r="D33" s="2">
        <f>IFERROR(50+VLOOKUP($A33,'SegEnds_Xtal_Prot#'!$A:$AY,7,FALSE)-VLOOKUP($B33,'SegEnds_NonXtal_Prot#'!$A:$AL,4,FALSE),"-")</f>
        <v>60</v>
      </c>
      <c r="E33" s="2">
        <f>IFERROR(50+VLOOKUP($A33,'SegEnds_Xtal_Prot#'!$A:$AY,9,FALSE)-VLOOKUP($B33,'SegEnds_NonXtal_Prot#'!$A:$AL,7,FALSE),"-")</f>
        <v>48</v>
      </c>
      <c r="F33" s="2">
        <f>IFERROR(50+VLOOKUP($A33,'SegEnds_Xtal_Prot#'!$A:$AY,11,FALSE)-VLOOKUP($B33,'SegEnds_NonXtal_Prot#'!$A:$AL,7,FALSE),"-")</f>
        <v>51</v>
      </c>
      <c r="G33" s="2">
        <f>IFERROR(50+VLOOKUP($A33,'SegEnds_Xtal_Prot#'!$A:$AY,13,FALSE)-VLOOKUP($B33,'SegEnds_NonXtal_Prot#'!$A:$AL,10,FALSE),"-")</f>
        <v>37</v>
      </c>
      <c r="H33" s="2">
        <f>IFERROR(50+VLOOKUP($A33,'SegEnds_Xtal_Prot#'!$A:$AY,15,FALSE)-VLOOKUP($B33,'SegEnds_NonXtal_Prot#'!$A:$AL,10,FALSE),"-")</f>
        <v>66</v>
      </c>
      <c r="I33" s="2">
        <f>IFERROR(50+VLOOKUP($A33,'SegEnds_Xtal_Prot#'!$A:$AY,17,FALSE)-VLOOKUP($B33,'SegEnds_NonXtal_Prot#'!$A:$AL,13,FALSE),"-")</f>
        <v>49</v>
      </c>
      <c r="J33" s="2">
        <f>IFERROR(50+VLOOKUP($A33,'SegEnds_Xtal_Prot#'!$A:$AY,19,FALSE)-VLOOKUP($B33,'SegEnds_NonXtal_Prot#'!$A:$AL,13,FALSE),"-")</f>
        <v>52</v>
      </c>
      <c r="K33" s="2">
        <f>IFERROR(50+VLOOKUP($A33,'SegEnds_Xtal_Prot#'!$A:$AY,21,FALSE)-VLOOKUP($B33,'SegEnds_NonXtal_Prot#'!$A:$AL,16,FALSE),"-")</f>
        <v>21</v>
      </c>
      <c r="L33" s="2">
        <f>IFERROR(50+VLOOKUP($A33,'SegEnds_Xtal_Prot#'!$A:$AY,23,FALSE)-VLOOKUP($B33,'SegEnds_NonXtal_Prot#'!$A:$AL,16,FALSE),"-")</f>
        <v>56</v>
      </c>
      <c r="M33" s="2">
        <f>IFERROR(50+VLOOKUP($A33,'SegEnds_Xtal_Prot#'!$A:$AY,25,FALSE)-VLOOKUP($B33,'SegEnds_NonXtal_Prot#'!$A:$AL,19,FALSE),"-")</f>
        <v>50</v>
      </c>
      <c r="N33" s="2">
        <f>IFERROR(50+VLOOKUP($A33,'SegEnds_Xtal_Prot#'!$A:$AY,27,FALSE)-VLOOKUP($B33,'SegEnds_NonXtal_Prot#'!$A:$AL,19,FALSE),"-")</f>
        <v>57</v>
      </c>
      <c r="O33" s="2">
        <f>IFERROR(50+VLOOKUP($A33,'SegEnds_Xtal_Prot#'!$A:$AY,29,FALSE)-VLOOKUP($B33,'SegEnds_NonXtal_Prot#'!$A:$AL,22,FALSE),"-")</f>
        <v>38</v>
      </c>
      <c r="P33" s="2">
        <f>IFERROR(50+VLOOKUP($A33,'SegEnds_Xtal_Prot#'!$A:$AY,31,FALSE)-VLOOKUP($B33,'SegEnds_NonXtal_Prot#'!$A:$AL,22,FALSE),"-")</f>
        <v>64</v>
      </c>
      <c r="Q33" s="2">
        <f>IFERROR(50+VLOOKUP($A33,'SegEnds_Xtal_Prot#'!$A:$AY,33,FALSE)-VLOOKUP($B33,'SegEnds_NonXtal_Prot#'!$A:$AL,25,FALSE),"-")</f>
        <v>50</v>
      </c>
      <c r="R33" s="2">
        <f>IFERROR(50+VLOOKUP($A33,'SegEnds_Xtal_Prot#'!$A:$AY,35,FALSE)-VLOOKUP($B33,'SegEnds_NonXtal_Prot#'!$A:$AL,25,FALSE),"-")</f>
        <v>52</v>
      </c>
      <c r="S33" s="2">
        <f>IFERROR(50+VLOOKUP($A33,'SegEnds_Xtal_Prot#'!$A:$AY,37,FALSE)-VLOOKUP($B33,'SegEnds_NonXtal_Prot#'!$A:$AL,28,FALSE),"-")</f>
        <v>31</v>
      </c>
      <c r="T33" s="2">
        <f>IFERROR(50+VLOOKUP($A33,'SegEnds_Xtal_Prot#'!$A:$AY,39,FALSE)-VLOOKUP($B33,'SegEnds_NonXtal_Prot#'!$A:$AL,28,FALSE),"-")</f>
        <v>68</v>
      </c>
      <c r="U33" s="2">
        <f>IFERROR(50+VLOOKUP($A33,'SegEnds_Xtal_Prot#'!$A:$AY,41,FALSE)-VLOOKUP($B33,'SegEnds_NonXtal_Prot#'!$A:$AL,31,FALSE),"-")</f>
        <v>23</v>
      </c>
      <c r="V33" s="2">
        <f>IFERROR(50+VLOOKUP($A33,'SegEnds_Xtal_Prot#'!$A:$AY,43,FALSE)-VLOOKUP($B33,'SegEnds_NonXtal_Prot#'!$A:$AL,31,FALSE),"-")</f>
        <v>61</v>
      </c>
      <c r="W33" s="2">
        <f>IFERROR(50+VLOOKUP($A33,'SegEnds_Xtal_Prot#'!$A:$AY,45,FALSE)-VLOOKUP($B33,'SegEnds_NonXtal_Prot#'!$A:$AL,34,FALSE),"-")</f>
        <v>28</v>
      </c>
      <c r="X33" s="2">
        <f>IFERROR(50+VLOOKUP($A33,'SegEnds_Xtal_Prot#'!$A:$AY,47,FALSE)-VLOOKUP($B33,'SegEnds_NonXtal_Prot#'!$A:$AL,34,FALSE),"-")</f>
        <v>56</v>
      </c>
      <c r="Y33" s="2">
        <f>IFERROR(50+VLOOKUP($A33,'SegEnds_Xtal_Prot#'!$A:$AY,49,FALSE)-VLOOKUP($B33,'SegEnds_NonXtal_Prot#'!$A:$AL,37,FALSE),"-")</f>
        <v>47</v>
      </c>
      <c r="Z33" s="2">
        <f>IFERROR(50+VLOOKUP($A33,'SegEnds_Xtal_Prot#'!$A:$AY,51,FALSE)-VLOOKUP($B33,'SegEnds_NonXtal_Prot#'!$A:$AL,37,FALSE),"-")</f>
        <v>59</v>
      </c>
      <c r="AA33" s="49" t="str">
        <f>VLOOKUP(B33,Classification!A:D,2,FALSE)</f>
        <v>A</v>
      </c>
      <c r="AB33" s="94" t="str">
        <f>VLOOKUP(B33,Classification!A:D,4,0)</f>
        <v>Opioid</v>
      </c>
      <c r="AC33" s="49">
        <f>VLOOKUP(B33,'SegEnds_NonXtal_Prot#'!A:AL,6,FALSE)-VLOOKUP(B33,'SegEnds_NonXtal_Prot#'!A:AL,5,FALSE)</f>
        <v>1</v>
      </c>
      <c r="AD33" s="49">
        <f>VLOOKUP(B33,'SegEnds_NonXtal_Prot#'!A:AL,9,FALSE)-VLOOKUP(B33,'SegEnds_NonXtal_Prot#'!A:AL,8,FALSE)</f>
        <v>1</v>
      </c>
      <c r="AE33" s="49">
        <f>VLOOKUP(B33,'SegEnds_NonXtal_Prot#'!A:AL,13,FALSE)-VLOOKUP(B33,'SegEnds_NonXtal_Prot#'!A:AL,10,FALSE)</f>
        <v>19</v>
      </c>
      <c r="AF33" s="49">
        <f>VLOOKUP(B33,'SegEnds_NonXtal_Prot#'!A:AL,12,FALSE)-VLOOKUP(B33,'SegEnds_NonXtal_Prot#'!A:AL,11,FALSE)</f>
        <v>2</v>
      </c>
      <c r="AG33" s="49">
        <f>VLOOKUP(B33,'SegEnds_NonXtal_Prot#'!A:AL,13,FALSE)-VLOOKUP(B33,'SegEnds_NonXtal_Prot#'!A:AL,11,FALSE)</f>
        <v>3</v>
      </c>
      <c r="AH33" s="49">
        <f>VLOOKUP(B33,'SegEnds_NonXtal_Prot#'!A:AL,16,FALSE)-VLOOKUP(B33,'SegEnds_NonXtal_Prot#'!A:AL,10,FALSE)</f>
        <v>51</v>
      </c>
      <c r="AI33" s="49">
        <f>VLOOKUP(B33,'SegEnds_NonXtal_Prot#'!A:AL,16,FALSE)-VLOOKUP(B33,'SegEnds_NonXtal_Prot#'!A:AL,11,FALSE)</f>
        <v>35</v>
      </c>
      <c r="AJ33" s="49">
        <f>VLOOKUP(B33,'SegEnds_NonXtal_Prot#'!A:AL,22,FALSE)-VLOOKUP(B33,'SegEnds_NonXtal_Prot#'!A:AL,19,FALSE)</f>
        <v>20</v>
      </c>
      <c r="AK33" s="49">
        <f>VLOOKUP(B33,'SegEnds_NonXtal_Prot#'!A:AL,15,FALSE)-VLOOKUP(B33,'SegEnds_NonXtal_Prot#'!A:AL,14,FALSE)</f>
        <v>1</v>
      </c>
      <c r="AL33" s="49">
        <f>VLOOKUP(B33,'SegEnds_NonXtal_Prot#'!A:AL,18,FALSE)-VLOOKUP(B33,'SegEnds_NonXtal_Prot#'!A:AL,17,FALSE)</f>
        <v>1</v>
      </c>
      <c r="AM33" s="2">
        <f>VLOOKUP(B33,'SegEnds_NonXtal_Prot#'!A:AL,34,FALSE)-VLOOKUP(B33,'SegEnds_NonXtal_Prot#'!A:AL,31,FALSE)</f>
        <v>38</v>
      </c>
      <c r="AN33" s="37"/>
    </row>
    <row r="34" spans="1:64" s="2" customFormat="1" x14ac:dyDescent="0.2">
      <c r="A34" s="2" t="s">
        <v>1268</v>
      </c>
      <c r="B34" s="2" t="s">
        <v>918</v>
      </c>
      <c r="C34" s="2">
        <f>IFERROR(50+VLOOKUP($A34,'SegEnds_Xtal_Prot#'!$A:$AY,5,FALSE)-VLOOKUP($B34,'SegEnds_NonXtal_Prot#'!$A:$AL,4,FALSE),"-")</f>
        <v>29</v>
      </c>
      <c r="D34" s="2">
        <f>IFERROR(50+VLOOKUP($A34,'SegEnds_Xtal_Prot#'!$A:$AY,7,FALSE)-VLOOKUP($B34,'SegEnds_NonXtal_Prot#'!$A:$AL,4,FALSE),"-")</f>
        <v>60</v>
      </c>
      <c r="E34" s="2">
        <f>IFERROR(50+VLOOKUP($A34,'SegEnds_Xtal_Prot#'!$A:$AY,9,FALSE)-VLOOKUP($B34,'SegEnds_NonXtal_Prot#'!$A:$AL,7,FALSE),"-")</f>
        <v>48</v>
      </c>
      <c r="F34" s="2">
        <f>IFERROR(50+VLOOKUP($A34,'SegEnds_Xtal_Prot#'!$A:$AY,11,FALSE)-VLOOKUP($B34,'SegEnds_NonXtal_Prot#'!$A:$AL,7,FALSE),"-")</f>
        <v>51</v>
      </c>
      <c r="G34" s="2">
        <f>IFERROR(50+VLOOKUP($A34,'SegEnds_Xtal_Prot#'!$A:$AY,13,FALSE)-VLOOKUP($B34,'SegEnds_NonXtal_Prot#'!$A:$AL,10,FALSE),"-")</f>
        <v>37</v>
      </c>
      <c r="H34" s="2">
        <f>IFERROR(50+VLOOKUP($A34,'SegEnds_Xtal_Prot#'!$A:$AY,15,FALSE)-VLOOKUP($B34,'SegEnds_NonXtal_Prot#'!$A:$AL,10,FALSE),"-")</f>
        <v>66</v>
      </c>
      <c r="I34" s="2">
        <f>IFERROR(50+VLOOKUP($A34,'SegEnds_Xtal_Prot#'!$A:$AY,17,FALSE)-VLOOKUP($B34,'SegEnds_NonXtal_Prot#'!$A:$AL,13,FALSE),"-")</f>
        <v>49</v>
      </c>
      <c r="J34" s="2">
        <f>IFERROR(50+VLOOKUP($A34,'SegEnds_Xtal_Prot#'!$A:$AY,19,FALSE)-VLOOKUP($B34,'SegEnds_NonXtal_Prot#'!$A:$AL,13,FALSE),"-")</f>
        <v>52</v>
      </c>
      <c r="K34" s="2">
        <f>IFERROR(50+VLOOKUP($A34,'SegEnds_Xtal_Prot#'!$A:$AY,21,FALSE)-VLOOKUP($B34,'SegEnds_NonXtal_Prot#'!$A:$AL,16,FALSE),"-")</f>
        <v>21</v>
      </c>
      <c r="L34" s="2">
        <f>IFERROR(50+VLOOKUP($A34,'SegEnds_Xtal_Prot#'!$A:$AY,23,FALSE)-VLOOKUP($B34,'SegEnds_NonXtal_Prot#'!$A:$AL,16,FALSE),"-")</f>
        <v>56</v>
      </c>
      <c r="M34" s="2">
        <f>IFERROR(50+VLOOKUP($A34,'SegEnds_Xtal_Prot#'!$A:$AY,25,FALSE)-VLOOKUP($B34,'SegEnds_NonXtal_Prot#'!$A:$AL,19,FALSE),"-")</f>
        <v>50</v>
      </c>
      <c r="N34" s="2">
        <f>IFERROR(50+VLOOKUP($A34,'SegEnds_Xtal_Prot#'!$A:$AY,27,FALSE)-VLOOKUP($B34,'SegEnds_NonXtal_Prot#'!$A:$AL,19,FALSE),"-")</f>
        <v>57</v>
      </c>
      <c r="O34" s="2">
        <f>IFERROR(50+VLOOKUP($A34,'SegEnds_Xtal_Prot#'!$A:$AY,29,FALSE)-VLOOKUP($B34,'SegEnds_NonXtal_Prot#'!$A:$AL,22,FALSE),"-")</f>
        <v>38</v>
      </c>
      <c r="P34" s="2">
        <f>IFERROR(50+VLOOKUP($A34,'SegEnds_Xtal_Prot#'!$A:$AY,31,FALSE)-VLOOKUP($B34,'SegEnds_NonXtal_Prot#'!$A:$AL,22,FALSE),"-")</f>
        <v>64</v>
      </c>
      <c r="Q34" s="2">
        <f>IFERROR(50+VLOOKUP($A34,'SegEnds_Xtal_Prot#'!$A:$AY,33,FALSE)-VLOOKUP($B34,'SegEnds_NonXtal_Prot#'!$A:$AL,25,FALSE),"-")</f>
        <v>50</v>
      </c>
      <c r="R34" s="2">
        <f>IFERROR(50+VLOOKUP($A34,'SegEnds_Xtal_Prot#'!$A:$AY,35,FALSE)-VLOOKUP($B34,'SegEnds_NonXtal_Prot#'!$A:$AL,25,FALSE),"-")</f>
        <v>52</v>
      </c>
      <c r="S34" s="2">
        <f>IFERROR(50+VLOOKUP($A34,'SegEnds_Xtal_Prot#'!$A:$AY,37,FALSE)-VLOOKUP($B34,'SegEnds_NonXtal_Prot#'!$A:$AL,28,FALSE),"-")</f>
        <v>31</v>
      </c>
      <c r="T34" s="2">
        <f>IFERROR(50+VLOOKUP($A34,'SegEnds_Xtal_Prot#'!$A:$AY,39,FALSE)-VLOOKUP($B34,'SegEnds_NonXtal_Prot#'!$A:$AL,28,FALSE),"-")</f>
        <v>68</v>
      </c>
      <c r="U34" s="2">
        <f>IFERROR(50+VLOOKUP($A34,'SegEnds_Xtal_Prot#'!$A:$AY,41,FALSE)-VLOOKUP($B34,'SegEnds_NonXtal_Prot#'!$A:$AL,31,FALSE),"-")</f>
        <v>23</v>
      </c>
      <c r="V34" s="2">
        <f>IFERROR(50+VLOOKUP($A34,'SegEnds_Xtal_Prot#'!$A:$AY,43,FALSE)-VLOOKUP($B34,'SegEnds_NonXtal_Prot#'!$A:$AL,31,FALSE),"-")</f>
        <v>61</v>
      </c>
      <c r="W34" s="2">
        <f>IFERROR(50+VLOOKUP($A34,'SegEnds_Xtal_Prot#'!$A:$AY,45,FALSE)-VLOOKUP($B34,'SegEnds_NonXtal_Prot#'!$A:$AL,34,FALSE),"-")</f>
        <v>28</v>
      </c>
      <c r="X34" s="2">
        <f>IFERROR(50+VLOOKUP($A34,'SegEnds_Xtal_Prot#'!$A:$AY,47,FALSE)-VLOOKUP($B34,'SegEnds_NonXtal_Prot#'!$A:$AL,34,FALSE),"-")</f>
        <v>56</v>
      </c>
      <c r="Y34" s="2">
        <f>IFERROR(50+VLOOKUP($A34,'SegEnds_Xtal_Prot#'!$A:$AY,49,FALSE)-VLOOKUP($B34,'SegEnds_NonXtal_Prot#'!$A:$AL,37,FALSE),"-")</f>
        <v>47</v>
      </c>
      <c r="Z34" s="2">
        <f>IFERROR(50+VLOOKUP($A34,'SegEnds_Xtal_Prot#'!$A:$AY,51,FALSE)-VLOOKUP($B34,'SegEnds_NonXtal_Prot#'!$A:$AL,37,FALSE),"-")</f>
        <v>59</v>
      </c>
      <c r="AA34" s="49" t="str">
        <f>VLOOKUP(B34,Classification!A:D,2,FALSE)</f>
        <v>A</v>
      </c>
      <c r="AB34" s="94" t="str">
        <f>VLOOKUP(B34,Classification!A:D,4,0)</f>
        <v>Opioid</v>
      </c>
      <c r="AC34" s="49">
        <f>VLOOKUP(B34,'SegEnds_NonXtal_Prot#'!A:AL,6,FALSE)-VLOOKUP(B34,'SegEnds_NonXtal_Prot#'!A:AL,5,FALSE)</f>
        <v>1</v>
      </c>
      <c r="AD34" s="49">
        <f>VLOOKUP(B34,'SegEnds_NonXtal_Prot#'!A:AL,9,FALSE)-VLOOKUP(B34,'SegEnds_NonXtal_Prot#'!A:AL,8,FALSE)</f>
        <v>1</v>
      </c>
      <c r="AE34" s="49">
        <f>VLOOKUP(B34,'SegEnds_NonXtal_Prot#'!A:AL,13,FALSE)-VLOOKUP(B34,'SegEnds_NonXtal_Prot#'!A:AL,10,FALSE)</f>
        <v>19</v>
      </c>
      <c r="AF34" s="49">
        <f>VLOOKUP(B34,'SegEnds_NonXtal_Prot#'!A:AL,12,FALSE)-VLOOKUP(B34,'SegEnds_NonXtal_Prot#'!A:AL,11,FALSE)</f>
        <v>2</v>
      </c>
      <c r="AG34" s="49">
        <f>VLOOKUP(B34,'SegEnds_NonXtal_Prot#'!A:AL,13,FALSE)-VLOOKUP(B34,'SegEnds_NonXtal_Prot#'!A:AL,11,FALSE)</f>
        <v>3</v>
      </c>
      <c r="AH34" s="49">
        <f>VLOOKUP(B34,'SegEnds_NonXtal_Prot#'!A:AL,16,FALSE)-VLOOKUP(B34,'SegEnds_NonXtal_Prot#'!A:AL,10,FALSE)</f>
        <v>51</v>
      </c>
      <c r="AI34" s="49">
        <f>VLOOKUP(B34,'SegEnds_NonXtal_Prot#'!A:AL,16,FALSE)-VLOOKUP(B34,'SegEnds_NonXtal_Prot#'!A:AL,11,FALSE)</f>
        <v>35</v>
      </c>
      <c r="AJ34" s="49">
        <f>VLOOKUP(B34,'SegEnds_NonXtal_Prot#'!A:AL,22,FALSE)-VLOOKUP(B34,'SegEnds_NonXtal_Prot#'!A:AL,19,FALSE)</f>
        <v>20</v>
      </c>
      <c r="AK34" s="49">
        <f>VLOOKUP(B34,'SegEnds_NonXtal_Prot#'!A:AL,15,FALSE)-VLOOKUP(B34,'SegEnds_NonXtal_Prot#'!A:AL,14,FALSE)</f>
        <v>1</v>
      </c>
      <c r="AL34" s="49">
        <f>VLOOKUP(B34,'SegEnds_NonXtal_Prot#'!A:AL,18,FALSE)-VLOOKUP(B34,'SegEnds_NonXtal_Prot#'!A:AL,17,FALSE)</f>
        <v>1</v>
      </c>
      <c r="AM34" s="2">
        <f>VLOOKUP(B34,'SegEnds_NonXtal_Prot#'!A:AL,34,FALSE)-VLOOKUP(B34,'SegEnds_NonXtal_Prot#'!A:AL,31,FALSE)</f>
        <v>38</v>
      </c>
      <c r="AN34" s="37"/>
    </row>
    <row r="35" spans="1:64" s="2" customFormat="1" x14ac:dyDescent="0.2">
      <c r="A35" s="2" t="s">
        <v>1265</v>
      </c>
      <c r="B35" s="2" t="s">
        <v>335</v>
      </c>
      <c r="C35" s="2">
        <f>IFERROR(50+VLOOKUP($A35,'SegEnds_Xtal_Prot#'!$A:$AY,5,FALSE)-VLOOKUP($B35,'SegEnds_NonXtal_Prot#'!$A:$AL,4,FALSE),"-")</f>
        <v>22</v>
      </c>
      <c r="D35" s="2">
        <f>IFERROR(50+VLOOKUP($A35,'SegEnds_Xtal_Prot#'!$A:$AY,7,FALSE)-VLOOKUP($B35,'SegEnds_NonXtal_Prot#'!$A:$AL,4,FALSE),"-")</f>
        <v>60</v>
      </c>
      <c r="E35" s="2">
        <f>IFERROR(50+VLOOKUP($A35,'SegEnds_Xtal_Prot#'!$A:$AY,9,FALSE)-VLOOKUP($B35,'SegEnds_NonXtal_Prot#'!$A:$AL,7,FALSE),"-")</f>
        <v>48</v>
      </c>
      <c r="F35" s="2">
        <f>IFERROR(50+VLOOKUP($A35,'SegEnds_Xtal_Prot#'!$A:$AY,11,FALSE)-VLOOKUP($B35,'SegEnds_NonXtal_Prot#'!$A:$AL,7,FALSE),"-")</f>
        <v>51</v>
      </c>
      <c r="G35" s="2">
        <f>IFERROR(50+VLOOKUP($A35,'SegEnds_Xtal_Prot#'!$A:$AY,13,FALSE)-VLOOKUP($B35,'SegEnds_NonXtal_Prot#'!$A:$AL,10,FALSE),"-")</f>
        <v>37</v>
      </c>
      <c r="H35" s="2">
        <f>IFERROR(50+VLOOKUP($A35,'SegEnds_Xtal_Prot#'!$A:$AY,15,FALSE)-VLOOKUP($B35,'SegEnds_NonXtal_Prot#'!$A:$AL,10,FALSE),"-")</f>
        <v>66</v>
      </c>
      <c r="I35" s="2">
        <f>IFERROR(50+VLOOKUP($A35,'SegEnds_Xtal_Prot#'!$A:$AY,17,FALSE)-VLOOKUP($B35,'SegEnds_NonXtal_Prot#'!$A:$AL,13,FALSE),"-")</f>
        <v>49</v>
      </c>
      <c r="J35" s="2">
        <f>IFERROR(50+VLOOKUP($A35,'SegEnds_Xtal_Prot#'!$A:$AY,19,FALSE)-VLOOKUP($B35,'SegEnds_NonXtal_Prot#'!$A:$AL,13,FALSE),"-")</f>
        <v>52</v>
      </c>
      <c r="K35" s="2">
        <f>IFERROR(50+VLOOKUP($A35,'SegEnds_Xtal_Prot#'!$A:$AY,21,FALSE)-VLOOKUP($B35,'SegEnds_NonXtal_Prot#'!$A:$AL,16,FALSE),"-")</f>
        <v>21</v>
      </c>
      <c r="L35" s="2">
        <f>IFERROR(50+VLOOKUP($A35,'SegEnds_Xtal_Prot#'!$A:$AY,23,FALSE)-VLOOKUP($B35,'SegEnds_NonXtal_Prot#'!$A:$AL,16,FALSE),"-")</f>
        <v>56</v>
      </c>
      <c r="M35" s="2">
        <f>IFERROR(50+VLOOKUP($A35,'SegEnds_Xtal_Prot#'!$A:$AY,25,FALSE)-VLOOKUP($B35,'SegEnds_NonXtal_Prot#'!$A:$AL,19,FALSE),"-")</f>
        <v>50</v>
      </c>
      <c r="N35" s="2">
        <f>IFERROR(50+VLOOKUP($A35,'SegEnds_Xtal_Prot#'!$A:$AY,27,FALSE)-VLOOKUP($B35,'SegEnds_NonXtal_Prot#'!$A:$AL,19,FALSE),"-")</f>
        <v>57</v>
      </c>
      <c r="O35" s="2">
        <f>IFERROR(50+VLOOKUP($A35,'SegEnds_Xtal_Prot#'!$A:$AY,29,FALSE)-VLOOKUP($B35,'SegEnds_NonXtal_Prot#'!$A:$AL,22,FALSE),"-")</f>
        <v>38</v>
      </c>
      <c r="P35" s="2">
        <f>IFERROR(50+VLOOKUP($A35,'SegEnds_Xtal_Prot#'!$A:$AY,31,FALSE)-VLOOKUP($B35,'SegEnds_NonXtal_Prot#'!$A:$AL,22,FALSE),"-")</f>
        <v>64</v>
      </c>
      <c r="Q35" s="2">
        <f>IFERROR(50+VLOOKUP($A35,'SegEnds_Xtal_Prot#'!$A:$AY,33,FALSE)-VLOOKUP($B35,'SegEnds_NonXtal_Prot#'!$A:$AL,25,FALSE),"-")</f>
        <v>50</v>
      </c>
      <c r="R35" s="2">
        <f>IFERROR(50+VLOOKUP($A35,'SegEnds_Xtal_Prot#'!$A:$AY,35,FALSE)-VLOOKUP($B35,'SegEnds_NonXtal_Prot#'!$A:$AL,25,FALSE),"-")</f>
        <v>52</v>
      </c>
      <c r="S35" s="2">
        <f>IFERROR(50+VLOOKUP($A35,'SegEnds_Xtal_Prot#'!$A:$AY,37,FALSE)-VLOOKUP($B35,'SegEnds_NonXtal_Prot#'!$A:$AL,28,FALSE),"-")</f>
        <v>31</v>
      </c>
      <c r="T35" s="2">
        <f>IFERROR(50+VLOOKUP($A35,'SegEnds_Xtal_Prot#'!$A:$AY,39,FALSE)-VLOOKUP($B35,'SegEnds_NonXtal_Prot#'!$A:$AL,28,FALSE),"-")</f>
        <v>68</v>
      </c>
      <c r="U35" s="2">
        <f>IFERROR(50+VLOOKUP($A35,'SegEnds_Xtal_Prot#'!$A:$AY,41,FALSE)-VLOOKUP($B35,'SegEnds_NonXtal_Prot#'!$A:$AL,31,FALSE),"-")</f>
        <v>23</v>
      </c>
      <c r="V35" s="2">
        <f>IFERROR(50+VLOOKUP($A35,'SegEnds_Xtal_Prot#'!$A:$AY,43,FALSE)-VLOOKUP($B35,'SegEnds_NonXtal_Prot#'!$A:$AL,31,FALSE),"-")</f>
        <v>61</v>
      </c>
      <c r="W35" s="2">
        <f>IFERROR(50+VLOOKUP($A35,'SegEnds_Xtal_Prot#'!$A:$AY,45,FALSE)-VLOOKUP($B35,'SegEnds_NonXtal_Prot#'!$A:$AL,34,FALSE),"-")</f>
        <v>28</v>
      </c>
      <c r="X35" s="2">
        <f>IFERROR(50+VLOOKUP($A35,'SegEnds_Xtal_Prot#'!$A:$AY,47,FALSE)-VLOOKUP($B35,'SegEnds_NonXtal_Prot#'!$A:$AL,34,FALSE),"-")</f>
        <v>56</v>
      </c>
      <c r="Y35" s="2">
        <f>IFERROR(50+VLOOKUP($A35,'SegEnds_Xtal_Prot#'!$A:$AY,49,FALSE)-VLOOKUP($B35,'SegEnds_NonXtal_Prot#'!$A:$AL,37,FALSE),"-")</f>
        <v>47</v>
      </c>
      <c r="Z35" s="2">
        <f>IFERROR(50+VLOOKUP($A35,'SegEnds_Xtal_Prot#'!$A:$AY,51,FALSE)-VLOOKUP($B35,'SegEnds_NonXtal_Prot#'!$A:$AL,37,FALSE),"-")</f>
        <v>60</v>
      </c>
      <c r="AA35" s="49" t="str">
        <f>VLOOKUP(B35,Classification!A:D,2,FALSE)</f>
        <v>A</v>
      </c>
      <c r="AB35" s="94" t="str">
        <f>VLOOKUP(B35,Classification!A:D,4,0)</f>
        <v>Opioid</v>
      </c>
      <c r="AC35" s="49">
        <f>VLOOKUP(B35,'SegEnds_NonXtal_Prot#'!A:AL,6,FALSE)-VLOOKUP(B35,'SegEnds_NonXtal_Prot#'!A:AL,5,FALSE)</f>
        <v>1</v>
      </c>
      <c r="AD35" s="49">
        <f>VLOOKUP(B35,'SegEnds_NonXtal_Prot#'!A:AL,9,FALSE)-VLOOKUP(B35,'SegEnds_NonXtal_Prot#'!A:AL,8,FALSE)</f>
        <v>1</v>
      </c>
      <c r="AE35" s="49">
        <f>VLOOKUP(B35,'SegEnds_NonXtal_Prot#'!A:AL,13,FALSE)-VLOOKUP(B35,'SegEnds_NonXtal_Prot#'!A:AL,10,FALSE)</f>
        <v>19</v>
      </c>
      <c r="AF35" s="49">
        <f>VLOOKUP(B35,'SegEnds_NonXtal_Prot#'!A:AL,12,FALSE)-VLOOKUP(B35,'SegEnds_NonXtal_Prot#'!A:AL,11,FALSE)</f>
        <v>2</v>
      </c>
      <c r="AG35" s="49">
        <f>VLOOKUP(B35,'SegEnds_NonXtal_Prot#'!A:AL,13,FALSE)-VLOOKUP(B35,'SegEnds_NonXtal_Prot#'!A:AL,11,FALSE)</f>
        <v>3</v>
      </c>
      <c r="AH35" s="49">
        <f>VLOOKUP(B35,'SegEnds_NonXtal_Prot#'!A:AL,16,FALSE)-VLOOKUP(B35,'SegEnds_NonXtal_Prot#'!A:AL,10,FALSE)</f>
        <v>51</v>
      </c>
      <c r="AI35" s="49">
        <f>VLOOKUP(B35,'SegEnds_NonXtal_Prot#'!A:AL,16,FALSE)-VLOOKUP(B35,'SegEnds_NonXtal_Prot#'!A:AL,11,FALSE)</f>
        <v>35</v>
      </c>
      <c r="AJ35" s="49">
        <f>VLOOKUP(B35,'SegEnds_NonXtal_Prot#'!A:AL,22,FALSE)-VLOOKUP(B35,'SegEnds_NonXtal_Prot#'!A:AL,19,FALSE)</f>
        <v>20</v>
      </c>
      <c r="AK35" s="49">
        <f>VLOOKUP(B35,'SegEnds_NonXtal_Prot#'!A:AL,15,FALSE)-VLOOKUP(B35,'SegEnds_NonXtal_Prot#'!A:AL,14,FALSE)</f>
        <v>1</v>
      </c>
      <c r="AL35" s="49">
        <f>VLOOKUP(B35,'SegEnds_NonXtal_Prot#'!A:AL,18,FALSE)-VLOOKUP(B35,'SegEnds_NonXtal_Prot#'!A:AL,17,FALSE)</f>
        <v>1</v>
      </c>
      <c r="AM35" s="2">
        <f>VLOOKUP(B35,'SegEnds_NonXtal_Prot#'!A:AL,34,FALSE)-VLOOKUP(B35,'SegEnds_NonXtal_Prot#'!A:AL,31,FALSE)</f>
        <v>39</v>
      </c>
      <c r="AN35" s="37"/>
    </row>
    <row r="36" spans="1:64" s="2" customFormat="1" x14ac:dyDescent="0.2">
      <c r="A36" s="2" t="s">
        <v>1270</v>
      </c>
      <c r="B36" s="2" t="s">
        <v>920</v>
      </c>
      <c r="C36" s="2">
        <f>IFERROR(50+VLOOKUP($A36,'SegEnds_Xtal_Prot#'!$A:$AY,5,FALSE)-VLOOKUP($B36,'SegEnds_NonXtal_Prot#'!$A:$AL,4,FALSE),"-")</f>
        <v>28</v>
      </c>
      <c r="D36" s="2">
        <f>IFERROR(50+VLOOKUP($A36,'SegEnds_Xtal_Prot#'!$A:$AY,7,FALSE)-VLOOKUP($B36,'SegEnds_NonXtal_Prot#'!$A:$AL,4,FALSE),"-")</f>
        <v>60</v>
      </c>
      <c r="E36" s="2">
        <f>IFERROR(50+VLOOKUP($A36,'SegEnds_Xtal_Prot#'!$A:$AY,9,FALSE)-VLOOKUP($B36,'SegEnds_NonXtal_Prot#'!$A:$AL,7,FALSE),"-")</f>
        <v>48</v>
      </c>
      <c r="F36" s="2">
        <f>IFERROR(50+VLOOKUP($A36,'SegEnds_Xtal_Prot#'!$A:$AY,11,FALSE)-VLOOKUP($B36,'SegEnds_NonXtal_Prot#'!$A:$AL,7,FALSE),"-")</f>
        <v>51</v>
      </c>
      <c r="G36" s="2">
        <f>IFERROR(50+VLOOKUP($A36,'SegEnds_Xtal_Prot#'!$A:$AY,13,FALSE)-VLOOKUP($B36,'SegEnds_NonXtal_Prot#'!$A:$AL,10,FALSE),"-")</f>
        <v>37</v>
      </c>
      <c r="H36" s="2">
        <f>IFERROR(50+VLOOKUP($A36,'SegEnds_Xtal_Prot#'!$A:$AY,15,FALSE)-VLOOKUP($B36,'SegEnds_NonXtal_Prot#'!$A:$AL,10,FALSE),"-")</f>
        <v>67</v>
      </c>
      <c r="I36" s="2">
        <f>IFERROR(50+VLOOKUP($A36,'SegEnds_Xtal_Prot#'!$A:$AY,17,FALSE)-VLOOKUP($B36,'SegEnds_NonXtal_Prot#'!$A:$AL,13,FALSE),"-")</f>
        <v>49</v>
      </c>
      <c r="J36" s="2">
        <f>IFERROR(50+VLOOKUP($A36,'SegEnds_Xtal_Prot#'!$A:$AY,19,FALSE)-VLOOKUP($B36,'SegEnds_NonXtal_Prot#'!$A:$AL,13,FALSE),"-")</f>
        <v>52</v>
      </c>
      <c r="K36" s="2">
        <f>IFERROR(50+VLOOKUP($A36,'SegEnds_Xtal_Prot#'!$A:$AY,21,FALSE)-VLOOKUP($B36,'SegEnds_NonXtal_Prot#'!$A:$AL,16,FALSE),"-")</f>
        <v>21</v>
      </c>
      <c r="L36" s="2">
        <f>IFERROR(50+VLOOKUP($A36,'SegEnds_Xtal_Prot#'!$A:$AY,23,FALSE)-VLOOKUP($B36,'SegEnds_NonXtal_Prot#'!$A:$AL,16,FALSE),"-")</f>
        <v>56</v>
      </c>
      <c r="M36" s="2">
        <f>IFERROR(50+VLOOKUP($A36,'SegEnds_Xtal_Prot#'!$A:$AY,25,FALSE)-VLOOKUP($B36,'SegEnds_NonXtal_Prot#'!$A:$AL,19,FALSE),"-")</f>
        <v>50</v>
      </c>
      <c r="N36" s="2">
        <f>IFERROR(50+VLOOKUP($A36,'SegEnds_Xtal_Prot#'!$A:$AY,27,FALSE)-VLOOKUP($B36,'SegEnds_NonXtal_Prot#'!$A:$AL,19,FALSE),"-")</f>
        <v>56</v>
      </c>
      <c r="O36" s="2">
        <f>IFERROR(50+VLOOKUP($A36,'SegEnds_Xtal_Prot#'!$A:$AY,29,FALSE)-VLOOKUP($B36,'SegEnds_NonXtal_Prot#'!$A:$AL,22,FALSE),"-")</f>
        <v>38</v>
      </c>
      <c r="P36" s="2">
        <f>IFERROR(50+VLOOKUP($A36,'SegEnds_Xtal_Prot#'!$A:$AY,31,FALSE)-VLOOKUP($B36,'SegEnds_NonXtal_Prot#'!$A:$AL,22,FALSE),"-")</f>
        <v>62</v>
      </c>
      <c r="Q36" s="2">
        <f>IFERROR(50+VLOOKUP($A36,'SegEnds_Xtal_Prot#'!$A:$AY,33,FALSE)-VLOOKUP($B36,'SegEnds_NonXtal_Prot#'!$A:$AL,25,FALSE),"-")</f>
        <v>50</v>
      </c>
      <c r="R36" s="2">
        <f>IFERROR(50+VLOOKUP($A36,'SegEnds_Xtal_Prot#'!$A:$AY,35,FALSE)-VLOOKUP($B36,'SegEnds_NonXtal_Prot#'!$A:$AL,25,FALSE),"-")</f>
        <v>52</v>
      </c>
      <c r="S36" s="2">
        <f>IFERROR(50+VLOOKUP($A36,'SegEnds_Xtal_Prot#'!$A:$AY,37,FALSE)-VLOOKUP($B36,'SegEnds_NonXtal_Prot#'!$A:$AL,28,FALSE),"-")</f>
        <v>34</v>
      </c>
      <c r="T36" s="2">
        <f>IFERROR(50+VLOOKUP($A36,'SegEnds_Xtal_Prot#'!$A:$AY,39,FALSE)-VLOOKUP($B36,'SegEnds_NonXtal_Prot#'!$A:$AL,28,FALSE),"-")</f>
        <v>72</v>
      </c>
      <c r="U36" s="2">
        <f>IFERROR(50+VLOOKUP($A36,'SegEnds_Xtal_Prot#'!$A:$AY,41,FALSE)-VLOOKUP($B36,'SegEnds_NonXtal_Prot#'!$A:$AL,31,FALSE),"-")</f>
        <v>24</v>
      </c>
      <c r="V36" s="2">
        <f>IFERROR(50+VLOOKUP($A36,'SegEnds_Xtal_Prot#'!$A:$AY,43,FALSE)-VLOOKUP($B36,'SegEnds_NonXtal_Prot#'!$A:$AL,31,FALSE),"-")</f>
        <v>61</v>
      </c>
      <c r="W36" s="2">
        <f>IFERROR(50+VLOOKUP($A36,'SegEnds_Xtal_Prot#'!$A:$AY,45,FALSE)-VLOOKUP($B36,'SegEnds_NonXtal_Prot#'!$A:$AL,34,FALSE),"-")</f>
        <v>31</v>
      </c>
      <c r="X36" s="2">
        <f>IFERROR(50+VLOOKUP($A36,'SegEnds_Xtal_Prot#'!$A:$AY,47,FALSE)-VLOOKUP($B36,'SegEnds_NonXtal_Prot#'!$A:$AL,34,FALSE),"-")</f>
        <v>56</v>
      </c>
      <c r="Y36" s="2">
        <f>IFERROR(50+VLOOKUP($A36,'SegEnds_Xtal_Prot#'!$A:$AY,49,FALSE)-VLOOKUP($B36,'SegEnds_NonXtal_Prot#'!$A:$AL,37,FALSE),"-")</f>
        <v>47</v>
      </c>
      <c r="Z36" s="2">
        <f>IFERROR(50+VLOOKUP($A36,'SegEnds_Xtal_Prot#'!$A:$AY,51,FALSE)-VLOOKUP($B36,'SegEnds_NonXtal_Prot#'!$A:$AL,37,FALSE),"-")</f>
        <v>59</v>
      </c>
      <c r="AA36" s="49" t="str">
        <f>VLOOKUP(B36,Classification!A:D,2,FALSE)</f>
        <v>A</v>
      </c>
      <c r="AB36" s="94" t="str">
        <f>VLOOKUP(B36,Classification!A:D,4,0)</f>
        <v>Opsins</v>
      </c>
      <c r="AC36" s="49">
        <f>VLOOKUP(B36,'SegEnds_NonXtal_Prot#'!A:AL,6,FALSE)-VLOOKUP(B36,'SegEnds_NonXtal_Prot#'!A:AL,5,FALSE)</f>
        <v>1</v>
      </c>
      <c r="AD36" s="49">
        <f>VLOOKUP(B36,'SegEnds_NonXtal_Prot#'!A:AL,9,FALSE)-VLOOKUP(B36,'SegEnds_NonXtal_Prot#'!A:AL,8,FALSE)</f>
        <v>1</v>
      </c>
      <c r="AE36" s="49">
        <f>VLOOKUP(B36,'SegEnds_NonXtal_Prot#'!A:AL,13,FALSE)-VLOOKUP(B36,'SegEnds_NonXtal_Prot#'!A:AL,10,FALSE)</f>
        <v>20</v>
      </c>
      <c r="AF36" s="49">
        <f>VLOOKUP(B36,'SegEnds_NonXtal_Prot#'!A:AL,12,FALSE)-VLOOKUP(B36,'SegEnds_NonXtal_Prot#'!A:AL,11,FALSE)</f>
        <v>2</v>
      </c>
      <c r="AG36" s="49">
        <f>VLOOKUP(B36,'SegEnds_NonXtal_Prot#'!A:AL,13,FALSE)-VLOOKUP(B36,'SegEnds_NonXtal_Prot#'!A:AL,11,FALSE)</f>
        <v>3</v>
      </c>
      <c r="AH36" s="49">
        <f>VLOOKUP(B36,'SegEnds_NonXtal_Prot#'!A:AL,16,FALSE)-VLOOKUP(B36,'SegEnds_NonXtal_Prot#'!A:AL,10,FALSE)</f>
        <v>52</v>
      </c>
      <c r="AI36" s="49">
        <f>VLOOKUP(B36,'SegEnds_NonXtal_Prot#'!A:AL,16,FALSE)-VLOOKUP(B36,'SegEnds_NonXtal_Prot#'!A:AL,11,FALSE)</f>
        <v>35</v>
      </c>
      <c r="AJ36" s="49">
        <f>VLOOKUP(B36,'SegEnds_NonXtal_Prot#'!A:AL,22,FALSE)-VLOOKUP(B36,'SegEnds_NonXtal_Prot#'!A:AL,19,FALSE)</f>
        <v>19</v>
      </c>
      <c r="AK36" s="49">
        <f>VLOOKUP(B36,'SegEnds_NonXtal_Prot#'!A:AL,15,FALSE)-VLOOKUP(B36,'SegEnds_NonXtal_Prot#'!A:AL,14,FALSE)</f>
        <v>1</v>
      </c>
      <c r="AL36" s="49">
        <f>VLOOKUP(B36,'SegEnds_NonXtal_Prot#'!A:AL,18,FALSE)-VLOOKUP(B36,'SegEnds_NonXtal_Prot#'!A:AL,17,FALSE)</f>
        <v>1</v>
      </c>
      <c r="AM36" s="2">
        <f>VLOOKUP(B36,'SegEnds_NonXtal_Prot#'!A:AL,34,FALSE)-VLOOKUP(B36,'SegEnds_NonXtal_Prot#'!A:AL,31,FALSE)</f>
        <v>36</v>
      </c>
      <c r="AN36" s="37"/>
      <c r="AO36" s="2" t="s">
        <v>1284</v>
      </c>
      <c r="AP36" s="2" t="s">
        <v>1286</v>
      </c>
    </row>
    <row r="37" spans="1:64" s="2" customFormat="1" x14ac:dyDescent="0.2">
      <c r="A37" s="2" t="s">
        <v>1272</v>
      </c>
      <c r="B37" s="2" t="s">
        <v>922</v>
      </c>
      <c r="C37" s="2">
        <f>IFERROR(50+VLOOKUP($A37,'SegEnds_Xtal_Prot#'!$A:$AY,5,FALSE)-VLOOKUP($B37,'SegEnds_NonXtal_Prot#'!$A:$AL,4,FALSE),"-")</f>
        <v>29</v>
      </c>
      <c r="D37" s="2">
        <f>IFERROR(50+VLOOKUP($A37,'SegEnds_Xtal_Prot#'!$A:$AY,7,FALSE)-VLOOKUP($B37,'SegEnds_NonXtal_Prot#'!$A:$AL,4,FALSE),"-")</f>
        <v>60</v>
      </c>
      <c r="E37" s="2">
        <f>IFERROR(50+VLOOKUP($A37,'SegEnds_Xtal_Prot#'!$A:$AY,9,FALSE)-VLOOKUP($B37,'SegEnds_NonXtal_Prot#'!$A:$AL,7,FALSE),"-")</f>
        <v>48</v>
      </c>
      <c r="F37" s="2">
        <f>IFERROR(50+VLOOKUP($A37,'SegEnds_Xtal_Prot#'!$A:$AY,11,FALSE)-VLOOKUP($B37,'SegEnds_NonXtal_Prot#'!$A:$AL,7,FALSE),"-")</f>
        <v>51</v>
      </c>
      <c r="G37" s="2">
        <f>IFERROR(50+VLOOKUP($A37,'SegEnds_Xtal_Prot#'!$A:$AY,13,FALSE)-VLOOKUP($B37,'SegEnds_NonXtal_Prot#'!$A:$AL,10,FALSE),"-")</f>
        <v>37</v>
      </c>
      <c r="H37" s="2">
        <f>IFERROR(50+VLOOKUP($A37,'SegEnds_Xtal_Prot#'!$A:$AY,15,FALSE)-VLOOKUP($B37,'SegEnds_NonXtal_Prot#'!$A:$AL,10,FALSE),"-")</f>
        <v>69</v>
      </c>
      <c r="I37" s="2">
        <f>IFERROR(50+VLOOKUP($A37,'SegEnds_Xtal_Prot#'!$A:$AY,17,FALSE)-VLOOKUP($B37,'SegEnds_NonXtal_Prot#'!$A:$AL,13,FALSE),"-")</f>
        <v>49</v>
      </c>
      <c r="J37" s="2">
        <f>IFERROR(50+VLOOKUP($A37,'SegEnds_Xtal_Prot#'!$A:$AY,19,FALSE)-VLOOKUP($B37,'SegEnds_NonXtal_Prot#'!$A:$AL,13,FALSE),"-")</f>
        <v>52</v>
      </c>
      <c r="K37" s="2">
        <f>IFERROR(50+VLOOKUP($A37,'SegEnds_Xtal_Prot#'!$A:$AY,21,FALSE)-VLOOKUP($B37,'SegEnds_NonXtal_Prot#'!$A:$AL,16,FALSE),"-")</f>
        <v>21</v>
      </c>
      <c r="L37" s="2">
        <f>IFERROR(50+VLOOKUP($A37,'SegEnds_Xtal_Prot#'!$A:$AY,23,FALSE)-VLOOKUP($B37,'SegEnds_NonXtal_Prot#'!$A:$AL,16,FALSE),"-")</f>
        <v>56</v>
      </c>
      <c r="M37" s="2">
        <f>IFERROR(50+VLOOKUP($A37,'SegEnds_Xtal_Prot#'!$A:$AY,25,FALSE)-VLOOKUP($B37,'SegEnds_NonXtal_Prot#'!$A:$AL,19,FALSE),"-")</f>
        <v>50</v>
      </c>
      <c r="N37" s="2">
        <f>IFERROR(50+VLOOKUP($A37,'SegEnds_Xtal_Prot#'!$A:$AY,27,FALSE)-VLOOKUP($B37,'SegEnds_NonXtal_Prot#'!$A:$AL,19,FALSE),"-")</f>
        <v>57</v>
      </c>
      <c r="O37" s="2">
        <f>IFERROR(50+VLOOKUP($A37,'SegEnds_Xtal_Prot#'!$A:$AY,29,FALSE)-VLOOKUP($B37,'SegEnds_NonXtal_Prot#'!$A:$AL,22,FALSE),"-")</f>
        <v>38</v>
      </c>
      <c r="P37" s="2">
        <f>IFERROR(50+VLOOKUP($A37,'SegEnds_Xtal_Prot#'!$A:$AY,31,FALSE)-VLOOKUP($B37,'SegEnds_NonXtal_Prot#'!$A:$AL,22,FALSE),"-")</f>
        <v>62</v>
      </c>
      <c r="Q37" s="2">
        <f>IFERROR(50+VLOOKUP($A37,'SegEnds_Xtal_Prot#'!$A:$AY,33,FALSE)-VLOOKUP($B37,'SegEnds_NonXtal_Prot#'!$A:$AL,25,FALSE),"-")</f>
        <v>50</v>
      </c>
      <c r="R37" s="2">
        <f>IFERROR(50+VLOOKUP($A37,'SegEnds_Xtal_Prot#'!$A:$AY,35,FALSE)-VLOOKUP($B37,'SegEnds_NonXtal_Prot#'!$A:$AL,25,FALSE),"-")</f>
        <v>52</v>
      </c>
      <c r="S37" s="2">
        <f>IFERROR(50+VLOOKUP($A37,'SegEnds_Xtal_Prot#'!$A:$AY,37,FALSE)-VLOOKUP($B37,'SegEnds_NonXtal_Prot#'!$A:$AL,28,FALSE),"-")</f>
        <v>32</v>
      </c>
      <c r="T37" s="2">
        <f>IFERROR(50+VLOOKUP($A37,'SegEnds_Xtal_Prot#'!$A:$AY,39,FALSE)-VLOOKUP($B37,'SegEnds_NonXtal_Prot#'!$A:$AL,28,FALSE),"-")</f>
        <v>77</v>
      </c>
      <c r="U37" s="2">
        <f>IFERROR(50+VLOOKUP($A37,'SegEnds_Xtal_Prot#'!$A:$AY,41,FALSE)-VLOOKUP($B37,'SegEnds_NonXtal_Prot#'!$A:$AL,31,FALSE),"-")</f>
        <v>18</v>
      </c>
      <c r="V37" s="2">
        <f>IFERROR(50+VLOOKUP($A37,'SegEnds_Xtal_Prot#'!$A:$AY,43,FALSE)-VLOOKUP($B37,'SegEnds_NonXtal_Prot#'!$A:$AL,31,FALSE),"-")</f>
        <v>61</v>
      </c>
      <c r="W37" s="2">
        <f>IFERROR(50+VLOOKUP($A37,'SegEnds_Xtal_Prot#'!$A:$AY,45,FALSE)-VLOOKUP($B37,'SegEnds_NonXtal_Prot#'!$A:$AL,34,FALSE),"-")</f>
        <v>31</v>
      </c>
      <c r="X37" s="2">
        <f>IFERROR(50+VLOOKUP($A37,'SegEnds_Xtal_Prot#'!$A:$AY,47,FALSE)-VLOOKUP($B37,'SegEnds_NonXtal_Prot#'!$A:$AL,34,FALSE),"-")</f>
        <v>56</v>
      </c>
      <c r="Y37" s="2">
        <f>IFERROR(50+VLOOKUP($A37,'SegEnds_Xtal_Prot#'!$A:$AY,49,FALSE)-VLOOKUP($B37,'SegEnds_NonXtal_Prot#'!$A:$AL,37,FALSE),"-")</f>
        <v>47</v>
      </c>
      <c r="Z37" s="2">
        <f>IFERROR(50+VLOOKUP($A37,'SegEnds_Xtal_Prot#'!$A:$AY,51,FALSE)-VLOOKUP($B37,'SegEnds_NonXtal_Prot#'!$A:$AL,37,FALSE),"-")</f>
        <v>58</v>
      </c>
      <c r="AA37" s="49" t="str">
        <f>VLOOKUP(B37,Classification!A:D,2,FALSE)</f>
        <v>A</v>
      </c>
      <c r="AB37" s="94" t="str">
        <f>VLOOKUP(B37,Classification!A:D,4,0)</f>
        <v>Opsins</v>
      </c>
      <c r="AC37" s="49">
        <f>VLOOKUP(B37,'SegEnds_NonXtal_Prot#'!A:AL,6,FALSE)-VLOOKUP(B37,'SegEnds_NonXtal_Prot#'!A:AL,5,FALSE)</f>
        <v>1</v>
      </c>
      <c r="AD37" s="49">
        <f>VLOOKUP(B37,'SegEnds_NonXtal_Prot#'!A:AL,9,FALSE)-VLOOKUP(B37,'SegEnds_NonXtal_Prot#'!A:AL,8,FALSE)</f>
        <v>1</v>
      </c>
      <c r="AE37" s="49">
        <f>VLOOKUP(B37,'SegEnds_NonXtal_Prot#'!A:AL,13,FALSE)-VLOOKUP(B37,'SegEnds_NonXtal_Prot#'!A:AL,10,FALSE)</f>
        <v>21</v>
      </c>
      <c r="AF37" s="49">
        <f>VLOOKUP(B37,'SegEnds_NonXtal_Prot#'!A:AL,12,FALSE)-VLOOKUP(B37,'SegEnds_NonXtal_Prot#'!A:AL,11,FALSE)</f>
        <v>1</v>
      </c>
      <c r="AG37" s="49">
        <f>VLOOKUP(B37,'SegEnds_NonXtal_Prot#'!A:AL,13,FALSE)-VLOOKUP(B37,'SegEnds_NonXtal_Prot#'!A:AL,11,FALSE)</f>
        <v>2</v>
      </c>
      <c r="AH37" s="49">
        <f>VLOOKUP(B37,'SegEnds_NonXtal_Prot#'!A:AL,16,FALSE)-VLOOKUP(B37,'SegEnds_NonXtal_Prot#'!A:AL,10,FALSE)</f>
        <v>53</v>
      </c>
      <c r="AI37" s="49">
        <f>VLOOKUP(B37,'SegEnds_NonXtal_Prot#'!A:AL,16,FALSE)-VLOOKUP(B37,'SegEnds_NonXtal_Prot#'!A:AL,11,FALSE)</f>
        <v>34</v>
      </c>
      <c r="AJ37" s="49">
        <f>VLOOKUP(B37,'SegEnds_NonXtal_Prot#'!A:AL,22,FALSE)-VLOOKUP(B37,'SegEnds_NonXtal_Prot#'!A:AL,19,FALSE)</f>
        <v>20</v>
      </c>
      <c r="AK37" s="49">
        <f>VLOOKUP(B37,'SegEnds_NonXtal_Prot#'!A:AL,15,FALSE)-VLOOKUP(B37,'SegEnds_NonXtal_Prot#'!A:AL,14,FALSE)</f>
        <v>1</v>
      </c>
      <c r="AL37" s="49">
        <f>VLOOKUP(B37,'SegEnds_NonXtal_Prot#'!A:AL,18,FALSE)-VLOOKUP(B37,'SegEnds_NonXtal_Prot#'!A:AL,17,FALSE)</f>
        <v>1</v>
      </c>
      <c r="AM37" s="2">
        <f>VLOOKUP(B37,'SegEnds_NonXtal_Prot#'!A:AL,34,FALSE)-VLOOKUP(B37,'SegEnds_NonXtal_Prot#'!A:AL,31,FALSE)</f>
        <v>36</v>
      </c>
      <c r="AN37" s="37"/>
    </row>
    <row r="38" spans="1:64" s="2" customFormat="1" x14ac:dyDescent="0.2">
      <c r="A38" s="2" t="s">
        <v>1271</v>
      </c>
      <c r="B38" s="2" t="s">
        <v>339</v>
      </c>
      <c r="C38" s="2">
        <f>IFERROR(50+VLOOKUP($A38,'SegEnds_Xtal_Prot#'!$A:$AY,5,FALSE)-VLOOKUP($B38,'SegEnds_NonXtal_Prot#'!$A:$AL,4,FALSE),"-")</f>
        <v>29</v>
      </c>
      <c r="D38" s="2">
        <f>IFERROR(50+VLOOKUP($A38,'SegEnds_Xtal_Prot#'!$A:$AY,7,FALSE)-VLOOKUP($B38,'SegEnds_NonXtal_Prot#'!$A:$AL,4,FALSE),"-")</f>
        <v>60</v>
      </c>
      <c r="E38" s="2">
        <f>IFERROR(50+VLOOKUP($A38,'SegEnds_Xtal_Prot#'!$A:$AY,9,FALSE)-VLOOKUP($B38,'SegEnds_NonXtal_Prot#'!$A:$AL,7,FALSE),"-")</f>
        <v>48</v>
      </c>
      <c r="F38" s="2">
        <f>IFERROR(50+VLOOKUP($A38,'SegEnds_Xtal_Prot#'!$A:$AY,11,FALSE)-VLOOKUP($B38,'SegEnds_NonXtal_Prot#'!$A:$AL,7,FALSE),"-")</f>
        <v>51</v>
      </c>
      <c r="G38" s="2">
        <f>IFERROR(50+VLOOKUP($A38,'SegEnds_Xtal_Prot#'!$A:$AY,13,FALSE)-VLOOKUP($B38,'SegEnds_NonXtal_Prot#'!$A:$AL,10,FALSE),"-")</f>
        <v>37</v>
      </c>
      <c r="H38" s="2">
        <f>IFERROR(50+VLOOKUP($A38,'SegEnds_Xtal_Prot#'!$A:$AY,15,FALSE)-VLOOKUP($B38,'SegEnds_NonXtal_Prot#'!$A:$AL,10,FALSE),"-")</f>
        <v>67</v>
      </c>
      <c r="I38" s="2">
        <f>IFERROR(50+VLOOKUP($A38,'SegEnds_Xtal_Prot#'!$A:$AY,17,FALSE)-VLOOKUP($B38,'SegEnds_NonXtal_Prot#'!$A:$AL,13,FALSE),"-")</f>
        <v>49</v>
      </c>
      <c r="J38" s="2">
        <f>IFERROR(50+VLOOKUP($A38,'SegEnds_Xtal_Prot#'!$A:$AY,19,FALSE)-VLOOKUP($B38,'SegEnds_NonXtal_Prot#'!$A:$AL,13,FALSE),"-")</f>
        <v>52</v>
      </c>
      <c r="K38" s="2">
        <f>IFERROR(50+VLOOKUP($A38,'SegEnds_Xtal_Prot#'!$A:$AY,21,FALSE)-VLOOKUP($B38,'SegEnds_NonXtal_Prot#'!$A:$AL,16,FALSE),"-")</f>
        <v>21</v>
      </c>
      <c r="L38" s="2">
        <f>IFERROR(50+VLOOKUP($A38,'SegEnds_Xtal_Prot#'!$A:$AY,23,FALSE)-VLOOKUP($B38,'SegEnds_NonXtal_Prot#'!$A:$AL,16,FALSE),"-")</f>
        <v>56</v>
      </c>
      <c r="M38" s="2">
        <f>IFERROR(50+VLOOKUP($A38,'SegEnds_Xtal_Prot#'!$A:$AY,25,FALSE)-VLOOKUP($B38,'SegEnds_NonXtal_Prot#'!$A:$AL,19,FALSE),"-")</f>
        <v>50</v>
      </c>
      <c r="N38" s="2">
        <f>IFERROR(50+VLOOKUP($A38,'SegEnds_Xtal_Prot#'!$A:$AY,27,FALSE)-VLOOKUP($B38,'SegEnds_NonXtal_Prot#'!$A:$AL,19,FALSE),"-")</f>
        <v>56</v>
      </c>
      <c r="O38" s="2">
        <f>IFERROR(50+VLOOKUP($A38,'SegEnds_Xtal_Prot#'!$A:$AY,29,FALSE)-VLOOKUP($B38,'SegEnds_NonXtal_Prot#'!$A:$AL,22,FALSE),"-")</f>
        <v>38</v>
      </c>
      <c r="P38" s="2">
        <f>IFERROR(50+VLOOKUP($A38,'SegEnds_Xtal_Prot#'!$A:$AY,31,FALSE)-VLOOKUP($B38,'SegEnds_NonXtal_Prot#'!$A:$AL,22,FALSE),"-")</f>
        <v>62</v>
      </c>
      <c r="Q38" s="2">
        <f>IFERROR(50+VLOOKUP($A38,'SegEnds_Xtal_Prot#'!$A:$AY,33,FALSE)-VLOOKUP($B38,'SegEnds_NonXtal_Prot#'!$A:$AL,25,FALSE),"-")</f>
        <v>50</v>
      </c>
      <c r="R38" s="2">
        <f>IFERROR(50+VLOOKUP($A38,'SegEnds_Xtal_Prot#'!$A:$AY,35,FALSE)-VLOOKUP($B38,'SegEnds_NonXtal_Prot#'!$A:$AL,25,FALSE),"-")</f>
        <v>52</v>
      </c>
      <c r="S38" s="2">
        <f>IFERROR(50+VLOOKUP($A38,'SegEnds_Xtal_Prot#'!$A:$AY,37,FALSE)-VLOOKUP($B38,'SegEnds_NonXtal_Prot#'!$A:$AL,28,FALSE),"-")</f>
        <v>34</v>
      </c>
      <c r="T38" s="2">
        <f>IFERROR(50+VLOOKUP($A38,'SegEnds_Xtal_Prot#'!$A:$AY,39,FALSE)-VLOOKUP($B38,'SegEnds_NonXtal_Prot#'!$A:$AL,28,FALSE),"-")</f>
        <v>72</v>
      </c>
      <c r="U38" s="2">
        <f>IFERROR(50+VLOOKUP($A38,'SegEnds_Xtal_Prot#'!$A:$AY,41,FALSE)-VLOOKUP($B38,'SegEnds_NonXtal_Prot#'!$A:$AL,31,FALSE),"-")</f>
        <v>24</v>
      </c>
      <c r="V38" s="2">
        <f>IFERROR(50+VLOOKUP($A38,'SegEnds_Xtal_Prot#'!$A:$AY,43,FALSE)-VLOOKUP($B38,'SegEnds_NonXtal_Prot#'!$A:$AL,31,FALSE),"-")</f>
        <v>61</v>
      </c>
      <c r="W38" s="2">
        <f>IFERROR(50+VLOOKUP($A38,'SegEnds_Xtal_Prot#'!$A:$AY,45,FALSE)-VLOOKUP($B38,'SegEnds_NonXtal_Prot#'!$A:$AL,34,FALSE),"-")</f>
        <v>31</v>
      </c>
      <c r="X38" s="2">
        <f>IFERROR(50+VLOOKUP($A38,'SegEnds_Xtal_Prot#'!$A:$AY,47,FALSE)-VLOOKUP($B38,'SegEnds_NonXtal_Prot#'!$A:$AL,34,FALSE),"-")</f>
        <v>56</v>
      </c>
      <c r="Y38" s="2">
        <f>IFERROR(50+VLOOKUP($A38,'SegEnds_Xtal_Prot#'!$A:$AY,49,FALSE)-VLOOKUP($B38,'SegEnds_NonXtal_Prot#'!$A:$AL,37,FALSE),"-")</f>
        <v>47</v>
      </c>
      <c r="Z38" s="2">
        <f>IFERROR(50+VLOOKUP($A38,'SegEnds_Xtal_Prot#'!$A:$AY,51,FALSE)-VLOOKUP($B38,'SegEnds_NonXtal_Prot#'!$A:$AL,37,FALSE),"-")</f>
        <v>59</v>
      </c>
      <c r="AA38" s="49" t="str">
        <f>VLOOKUP(B38,Classification!A:D,2,FALSE)</f>
        <v>A</v>
      </c>
      <c r="AB38" s="94" t="str">
        <f>VLOOKUP(B38,Classification!A:D,4,0)</f>
        <v>Opsins</v>
      </c>
      <c r="AC38" s="49">
        <f>VLOOKUP(B38,'SegEnds_NonXtal_Prot#'!A:AL,6,FALSE)-VLOOKUP(B38,'SegEnds_NonXtal_Prot#'!A:AL,5,FALSE)</f>
        <v>1</v>
      </c>
      <c r="AD38" s="49">
        <f>VLOOKUP(B38,'SegEnds_NonXtal_Prot#'!A:AL,9,FALSE)-VLOOKUP(B38,'SegEnds_NonXtal_Prot#'!A:AL,8,FALSE)</f>
        <v>1</v>
      </c>
      <c r="AE38" s="49">
        <f>VLOOKUP(B38,'SegEnds_NonXtal_Prot#'!A:AL,13,FALSE)-VLOOKUP(B38,'SegEnds_NonXtal_Prot#'!A:AL,10,FALSE)</f>
        <v>20</v>
      </c>
      <c r="AF38" s="49">
        <f>VLOOKUP(B38,'SegEnds_NonXtal_Prot#'!A:AL,12,FALSE)-VLOOKUP(B38,'SegEnds_NonXtal_Prot#'!A:AL,11,FALSE)</f>
        <v>2</v>
      </c>
      <c r="AG38" s="49">
        <f>VLOOKUP(B38,'SegEnds_NonXtal_Prot#'!A:AL,13,FALSE)-VLOOKUP(B38,'SegEnds_NonXtal_Prot#'!A:AL,11,FALSE)</f>
        <v>3</v>
      </c>
      <c r="AH38" s="49">
        <f>VLOOKUP(B38,'SegEnds_NonXtal_Prot#'!A:AL,16,FALSE)-VLOOKUP(B38,'SegEnds_NonXtal_Prot#'!A:AL,10,FALSE)</f>
        <v>52</v>
      </c>
      <c r="AI38" s="49">
        <f>VLOOKUP(B38,'SegEnds_NonXtal_Prot#'!A:AL,16,FALSE)-VLOOKUP(B38,'SegEnds_NonXtal_Prot#'!A:AL,11,FALSE)</f>
        <v>35</v>
      </c>
      <c r="AJ38" s="49">
        <f>VLOOKUP(B38,'SegEnds_NonXtal_Prot#'!A:AL,22,FALSE)-VLOOKUP(B38,'SegEnds_NonXtal_Prot#'!A:AL,19,FALSE)</f>
        <v>19</v>
      </c>
      <c r="AK38" s="49">
        <f>VLOOKUP(B38,'SegEnds_NonXtal_Prot#'!A:AL,15,FALSE)-VLOOKUP(B38,'SegEnds_NonXtal_Prot#'!A:AL,14,FALSE)</f>
        <v>1</v>
      </c>
      <c r="AL38" s="49">
        <f>VLOOKUP(B38,'SegEnds_NonXtal_Prot#'!A:AL,18,FALSE)-VLOOKUP(B38,'SegEnds_NonXtal_Prot#'!A:AL,17,FALSE)</f>
        <v>1</v>
      </c>
      <c r="AM38" s="2">
        <f>VLOOKUP(B38,'SegEnds_NonXtal_Prot#'!A:AL,34,FALSE)-VLOOKUP(B38,'SegEnds_NonXtal_Prot#'!A:AL,31,FALSE)</f>
        <v>36</v>
      </c>
      <c r="AN38" s="37"/>
    </row>
    <row r="39" spans="1:64" s="2" customFormat="1" x14ac:dyDescent="0.2">
      <c r="A39" s="2" t="s">
        <v>1274</v>
      </c>
      <c r="B39" s="2" t="s">
        <v>1176</v>
      </c>
      <c r="C39" s="2">
        <f>IFERROR(50+VLOOKUP($A39,'SegEnds_Xtal_Prot#'!$A:$AY,5,FALSE)-VLOOKUP($B39,'SegEnds_NonXtal_Prot#'!$A:$AL,4,FALSE),"-")</f>
        <v>31</v>
      </c>
      <c r="D39" s="2">
        <f>IFERROR(50+VLOOKUP($A39,'SegEnds_Xtal_Prot#'!$A:$AY,7,FALSE)-VLOOKUP($B39,'SegEnds_NonXtal_Prot#'!$A:$AL,4,FALSE),"-")</f>
        <v>60</v>
      </c>
      <c r="E39" s="2">
        <f>IFERROR(50+VLOOKUP($A39,'SegEnds_Xtal_Prot#'!$A:$AY,9,FALSE)-VLOOKUP($B39,'SegEnds_NonXtal_Prot#'!$A:$AL,7,FALSE),"-")</f>
        <v>48</v>
      </c>
      <c r="F39" s="2">
        <f>IFERROR(50+VLOOKUP($A39,'SegEnds_Xtal_Prot#'!$A:$AY,11,FALSE)-VLOOKUP($B39,'SegEnds_NonXtal_Prot#'!$A:$AL,7,FALSE),"-")</f>
        <v>51</v>
      </c>
      <c r="G39" s="2">
        <f>IFERROR(50+VLOOKUP($A39,'SegEnds_Xtal_Prot#'!$A:$AY,13,FALSE)-VLOOKUP($B39,'SegEnds_NonXtal_Prot#'!$A:$AL,10,FALSE),"-")</f>
        <v>37</v>
      </c>
      <c r="H39" s="2">
        <f>IFERROR(50+VLOOKUP($A39,'SegEnds_Xtal_Prot#'!$A:$AY,15,FALSE)-VLOOKUP($B39,'SegEnds_NonXtal_Prot#'!$A:$AL,10,FALSE),"-")</f>
        <v>68</v>
      </c>
      <c r="I39" s="2">
        <f>IFERROR(50+VLOOKUP($A39,'SegEnds_Xtal_Prot#'!$A:$AY,17,FALSE)-VLOOKUP($B39,'SegEnds_NonXtal_Prot#'!$A:$AL,13,FALSE),"-")</f>
        <v>49</v>
      </c>
      <c r="J39" s="2">
        <f>IFERROR(50+VLOOKUP($A39,'SegEnds_Xtal_Prot#'!$A:$AY,19,FALSE)-VLOOKUP($B39,'SegEnds_NonXtal_Prot#'!$A:$AL,13,FALSE),"-")</f>
        <v>52</v>
      </c>
      <c r="K39" s="2">
        <f>IFERROR(50+VLOOKUP($A39,'SegEnds_Xtal_Prot#'!$A:$AY,21,FALSE)-VLOOKUP($B39,'SegEnds_NonXtal_Prot#'!$A:$AL,16,FALSE),"-")</f>
        <v>21</v>
      </c>
      <c r="L39" s="2">
        <f>IFERROR(50+VLOOKUP($A39,'SegEnds_Xtal_Prot#'!$A:$AY,23,FALSE)-VLOOKUP($B39,'SegEnds_NonXtal_Prot#'!$A:$AL,16,FALSE),"-")</f>
        <v>56</v>
      </c>
      <c r="M39" s="2">
        <f>IFERROR(50+VLOOKUP($A39,'SegEnds_Xtal_Prot#'!$A:$AY,25,FALSE)-VLOOKUP($B39,'SegEnds_NonXtal_Prot#'!$A:$AL,19,FALSE),"-")</f>
        <v>50</v>
      </c>
      <c r="N39" s="2">
        <f>IFERROR(50+VLOOKUP($A39,'SegEnds_Xtal_Prot#'!$A:$AY,27,FALSE)-VLOOKUP($B39,'SegEnds_NonXtal_Prot#'!$A:$AL,19,FALSE),"-")</f>
        <v>53</v>
      </c>
      <c r="O39" s="2">
        <f>IFERROR(50+VLOOKUP($A39,'SegEnds_Xtal_Prot#'!$A:$AY,29,FALSE)-VLOOKUP($B39,'SegEnds_NonXtal_Prot#'!$A:$AL,22,FALSE),"-")</f>
        <v>38</v>
      </c>
      <c r="P39" s="2">
        <f>IFERROR(50+VLOOKUP($A39,'SegEnds_Xtal_Prot#'!$A:$AY,31,FALSE)-VLOOKUP($B39,'SegEnds_NonXtal_Prot#'!$A:$AL,22,FALSE),"-")</f>
        <v>64</v>
      </c>
      <c r="Q39" s="2">
        <f>IFERROR(50+VLOOKUP($A39,'SegEnds_Xtal_Prot#'!$A:$AY,33,FALSE)-VLOOKUP($B39,'SegEnds_NonXtal_Prot#'!$A:$AL,25,FALSE),"-")</f>
        <v>50</v>
      </c>
      <c r="R39" s="2">
        <f>IFERROR(50+VLOOKUP($A39,'SegEnds_Xtal_Prot#'!$A:$AY,35,FALSE)-VLOOKUP($B39,'SegEnds_NonXtal_Prot#'!$A:$AL,25,FALSE),"-")</f>
        <v>52</v>
      </c>
      <c r="S39" s="2">
        <f>IFERROR(50+VLOOKUP($A39,'SegEnds_Xtal_Prot#'!$A:$AY,37,FALSE)-VLOOKUP($B39,'SegEnds_NonXtal_Prot#'!$A:$AL,28,FALSE),"-")</f>
        <v>33</v>
      </c>
      <c r="T39" s="2">
        <f>IFERROR(50+VLOOKUP($A39,'SegEnds_Xtal_Prot#'!$A:$AY,39,FALSE)-VLOOKUP($B39,'SegEnds_NonXtal_Prot#'!$A:$AL,28,FALSE),"-")</f>
        <v>71</v>
      </c>
      <c r="U39" s="2">
        <f>IFERROR(50+VLOOKUP($A39,'SegEnds_Xtal_Prot#'!$A:$AY,41,FALSE)-VLOOKUP($B39,'SegEnds_NonXtal_Prot#'!$A:$AL,31,FALSE),"-")</f>
        <v>20</v>
      </c>
      <c r="V39" s="2">
        <f>IFERROR(50+VLOOKUP($A39,'SegEnds_Xtal_Prot#'!$A:$AY,43,FALSE)-VLOOKUP($B39,'SegEnds_NonXtal_Prot#'!$A:$AL,31,FALSE),"-")</f>
        <v>61</v>
      </c>
      <c r="W39" s="2">
        <f>IFERROR(50+VLOOKUP($A39,'SegEnds_Xtal_Prot#'!$A:$AY,45,FALSE)-VLOOKUP($B39,'SegEnds_NonXtal_Prot#'!$A:$AL,34,FALSE),"-")</f>
        <v>27</v>
      </c>
      <c r="X39" s="2">
        <f>IFERROR(50+VLOOKUP($A39,'SegEnds_Xtal_Prot#'!$A:$AY,47,FALSE)-VLOOKUP($B39,'SegEnds_NonXtal_Prot#'!$A:$AL,34,FALSE),"-")</f>
        <v>56</v>
      </c>
      <c r="Y39" s="2">
        <f>IFERROR(50+VLOOKUP($A39,'SegEnds_Xtal_Prot#'!$A:$AY,49,FALSE)-VLOOKUP($B39,'SegEnds_NonXtal_Prot#'!$A:$AL,37,FALSE),"-")</f>
        <v>47</v>
      </c>
      <c r="Z39" s="2">
        <f>IFERROR(50+VLOOKUP($A39,'SegEnds_Xtal_Prot#'!$A:$AY,51,FALSE)-VLOOKUP($B39,'SegEnds_NonXtal_Prot#'!$A:$AL,37,FALSE),"-")</f>
        <v>58</v>
      </c>
      <c r="AA39" s="49" t="str">
        <f>VLOOKUP(B39,Classification!A:D,2,FALSE)</f>
        <v>A</v>
      </c>
      <c r="AB39" s="94" t="str">
        <f>VLOOKUP(B39,Classification!A:D,4,0)</f>
        <v>Orexin</v>
      </c>
      <c r="AC39" s="49">
        <f>VLOOKUP(B39,'SegEnds_NonXtal_Prot#'!A:AL,6,FALSE)-VLOOKUP(B39,'SegEnds_NonXtal_Prot#'!A:AL,5,FALSE)</f>
        <v>1</v>
      </c>
      <c r="AD39" s="49">
        <f>VLOOKUP(B39,'SegEnds_NonXtal_Prot#'!A:AL,9,FALSE)-VLOOKUP(B39,'SegEnds_NonXtal_Prot#'!A:AL,8,FALSE)</f>
        <v>1</v>
      </c>
      <c r="AE39" s="49">
        <f>VLOOKUP(B39,'SegEnds_NonXtal_Prot#'!A:AL,13,FALSE)-VLOOKUP(B39,'SegEnds_NonXtal_Prot#'!A:AL,10,FALSE)</f>
        <v>20</v>
      </c>
      <c r="AF39" s="49">
        <f>VLOOKUP(B39,'SegEnds_NonXtal_Prot#'!A:AL,12,FALSE)-VLOOKUP(B39,'SegEnds_NonXtal_Prot#'!A:AL,11,FALSE)</f>
        <v>1</v>
      </c>
      <c r="AG39" s="49">
        <f>VLOOKUP(B39,'SegEnds_NonXtal_Prot#'!A:AL,13,FALSE)-VLOOKUP(B39,'SegEnds_NonXtal_Prot#'!A:AL,11,FALSE)</f>
        <v>2</v>
      </c>
      <c r="AH39" s="49">
        <f>VLOOKUP(B39,'SegEnds_NonXtal_Prot#'!A:AL,16,FALSE)-VLOOKUP(B39,'SegEnds_NonXtal_Prot#'!A:AL,10,FALSE)</f>
        <v>52</v>
      </c>
      <c r="AI39" s="49">
        <f>VLOOKUP(B39,'SegEnds_NonXtal_Prot#'!A:AL,16,FALSE)-VLOOKUP(B39,'SegEnds_NonXtal_Prot#'!A:AL,11,FALSE)</f>
        <v>34</v>
      </c>
      <c r="AJ39" s="49">
        <f>VLOOKUP(B39,'SegEnds_NonXtal_Prot#'!A:AL,22,FALSE)-VLOOKUP(B39,'SegEnds_NonXtal_Prot#'!A:AL,19,FALSE)</f>
        <v>18</v>
      </c>
      <c r="AK39" s="49">
        <f>VLOOKUP(B39,'SegEnds_NonXtal_Prot#'!A:AL,15,FALSE)-VLOOKUP(B39,'SegEnds_NonXtal_Prot#'!A:AL,14,FALSE)</f>
        <v>1</v>
      </c>
      <c r="AL39" s="49">
        <f>VLOOKUP(B39,'SegEnds_NonXtal_Prot#'!A:AL,18,FALSE)-VLOOKUP(B39,'SegEnds_NonXtal_Prot#'!A:AL,17,FALSE)</f>
        <v>1</v>
      </c>
      <c r="AM39" s="2">
        <f>VLOOKUP(B39,'SegEnds_NonXtal_Prot#'!A:AL,34,FALSE)-VLOOKUP(B39,'SegEnds_NonXtal_Prot#'!A:AL,31,FALSE)</f>
        <v>42</v>
      </c>
      <c r="AN39" s="37"/>
    </row>
    <row r="40" spans="1:64" s="2" customFormat="1" x14ac:dyDescent="0.2">
      <c r="A40" s="2" t="s">
        <v>1273</v>
      </c>
      <c r="B40" s="2" t="s">
        <v>1175</v>
      </c>
      <c r="C40" s="2">
        <f>IFERROR(50+VLOOKUP($A40,'SegEnds_Xtal_Prot#'!$A:$AY,5,FALSE)-VLOOKUP($B40,'SegEnds_NonXtal_Prot#'!$A:$AL,4,FALSE),"-")</f>
        <v>32</v>
      </c>
      <c r="D40" s="2">
        <f>IFERROR(50+VLOOKUP($A40,'SegEnds_Xtal_Prot#'!$A:$AY,7,FALSE)-VLOOKUP($B40,'SegEnds_NonXtal_Prot#'!$A:$AL,4,FALSE),"-")</f>
        <v>60</v>
      </c>
      <c r="E40" s="2">
        <f>IFERROR(50+VLOOKUP($A40,'SegEnds_Xtal_Prot#'!$A:$AY,9,FALSE)-VLOOKUP($B40,'SegEnds_NonXtal_Prot#'!$A:$AL,7,FALSE),"-")</f>
        <v>48</v>
      </c>
      <c r="F40" s="2">
        <f>IFERROR(50+VLOOKUP($A40,'SegEnds_Xtal_Prot#'!$A:$AY,11,FALSE)-VLOOKUP($B40,'SegEnds_NonXtal_Prot#'!$A:$AL,7,FALSE),"-")</f>
        <v>51</v>
      </c>
      <c r="G40" s="2">
        <f>IFERROR(50+VLOOKUP($A40,'SegEnds_Xtal_Prot#'!$A:$AY,13,FALSE)-VLOOKUP($B40,'SegEnds_NonXtal_Prot#'!$A:$AL,10,FALSE),"-")</f>
        <v>37</v>
      </c>
      <c r="H40" s="2">
        <f>IFERROR(50+VLOOKUP($A40,'SegEnds_Xtal_Prot#'!$A:$AY,15,FALSE)-VLOOKUP($B40,'SegEnds_NonXtal_Prot#'!$A:$AL,10,FALSE),"-")</f>
        <v>67</v>
      </c>
      <c r="I40" s="2">
        <f>IFERROR(50+VLOOKUP($A40,'SegEnds_Xtal_Prot#'!$A:$AY,17,FALSE)-VLOOKUP($B40,'SegEnds_NonXtal_Prot#'!$A:$AL,13,FALSE),"-")</f>
        <v>49</v>
      </c>
      <c r="J40" s="2">
        <f>IFERROR(50+VLOOKUP($A40,'SegEnds_Xtal_Prot#'!$A:$AY,19,FALSE)-VLOOKUP($B40,'SegEnds_NonXtal_Prot#'!$A:$AL,13,FALSE),"-")</f>
        <v>52</v>
      </c>
      <c r="K40" s="2">
        <f>IFERROR(50+VLOOKUP($A40,'SegEnds_Xtal_Prot#'!$A:$AY,21,FALSE)-VLOOKUP($B40,'SegEnds_NonXtal_Prot#'!$A:$AL,16,FALSE),"-")</f>
        <v>21</v>
      </c>
      <c r="L40" s="2">
        <f>IFERROR(50+VLOOKUP($A40,'SegEnds_Xtal_Prot#'!$A:$AY,23,FALSE)-VLOOKUP($B40,'SegEnds_NonXtal_Prot#'!$A:$AL,16,FALSE),"-")</f>
        <v>56</v>
      </c>
      <c r="M40" s="2">
        <f>IFERROR(50+VLOOKUP($A40,'SegEnds_Xtal_Prot#'!$A:$AY,25,FALSE)-VLOOKUP($B40,'SegEnds_NonXtal_Prot#'!$A:$AL,19,FALSE),"-")</f>
        <v>50</v>
      </c>
      <c r="N40" s="2">
        <f>IFERROR(50+VLOOKUP($A40,'SegEnds_Xtal_Prot#'!$A:$AY,27,FALSE)-VLOOKUP($B40,'SegEnds_NonXtal_Prot#'!$A:$AL,19,FALSE),"-")</f>
        <v>53</v>
      </c>
      <c r="O40" s="2">
        <f>IFERROR(50+VLOOKUP($A40,'SegEnds_Xtal_Prot#'!$A:$AY,29,FALSE)-VLOOKUP($B40,'SegEnds_NonXtal_Prot#'!$A:$AL,22,FALSE),"-")</f>
        <v>38</v>
      </c>
      <c r="P40" s="2">
        <f>IFERROR(50+VLOOKUP($A40,'SegEnds_Xtal_Prot#'!$A:$AY,31,FALSE)-VLOOKUP($B40,'SegEnds_NonXtal_Prot#'!$A:$AL,22,FALSE),"-")</f>
        <v>64</v>
      </c>
      <c r="Q40" s="2">
        <f>IFERROR(50+VLOOKUP($A40,'SegEnds_Xtal_Prot#'!$A:$AY,33,FALSE)-VLOOKUP($B40,'SegEnds_NonXtal_Prot#'!$A:$AL,25,FALSE),"-")</f>
        <v>50</v>
      </c>
      <c r="R40" s="2">
        <f>IFERROR(50+VLOOKUP($A40,'SegEnds_Xtal_Prot#'!$A:$AY,35,FALSE)-VLOOKUP($B40,'SegEnds_NonXtal_Prot#'!$A:$AL,25,FALSE),"-")</f>
        <v>52</v>
      </c>
      <c r="S40" s="2">
        <f>IFERROR(50+VLOOKUP($A40,'SegEnds_Xtal_Prot#'!$A:$AY,37,FALSE)-VLOOKUP($B40,'SegEnds_NonXtal_Prot#'!$A:$AL,28,FALSE),"-")</f>
        <v>32</v>
      </c>
      <c r="T40" s="2">
        <f>IFERROR(50+VLOOKUP($A40,'SegEnds_Xtal_Prot#'!$A:$AY,39,FALSE)-VLOOKUP($B40,'SegEnds_NonXtal_Prot#'!$A:$AL,28,FALSE),"-")</f>
        <v>71</v>
      </c>
      <c r="U40" s="2">
        <f>IFERROR(50+VLOOKUP($A40,'SegEnds_Xtal_Prot#'!$A:$AY,41,FALSE)-VLOOKUP($B40,'SegEnds_NonXtal_Prot#'!$A:$AL,31,FALSE),"-")</f>
        <v>20</v>
      </c>
      <c r="V40" s="2">
        <f>IFERROR(50+VLOOKUP($A40,'SegEnds_Xtal_Prot#'!$A:$AY,43,FALSE)-VLOOKUP($B40,'SegEnds_NonXtal_Prot#'!$A:$AL,31,FALSE),"-")</f>
        <v>61</v>
      </c>
      <c r="W40" s="2">
        <f>IFERROR(50+VLOOKUP($A40,'SegEnds_Xtal_Prot#'!$A:$AY,45,FALSE)-VLOOKUP($B40,'SegEnds_NonXtal_Prot#'!$A:$AL,34,FALSE),"-")</f>
        <v>28</v>
      </c>
      <c r="X40" s="2">
        <f>IFERROR(50+VLOOKUP($A40,'SegEnds_Xtal_Prot#'!$A:$AY,47,FALSE)-VLOOKUP($B40,'SegEnds_NonXtal_Prot#'!$A:$AL,34,FALSE),"-")</f>
        <v>56</v>
      </c>
      <c r="Y40" s="2">
        <f>IFERROR(50+VLOOKUP($A40,'SegEnds_Xtal_Prot#'!$A:$AY,49,FALSE)-VLOOKUP($B40,'SegEnds_NonXtal_Prot#'!$A:$AL,37,FALSE),"-")</f>
        <v>47</v>
      </c>
      <c r="Z40" s="2">
        <f>IFERROR(50+VLOOKUP($A40,'SegEnds_Xtal_Prot#'!$A:$AY,51,FALSE)-VLOOKUP($B40,'SegEnds_NonXtal_Prot#'!$A:$AL,37,FALSE),"-")</f>
        <v>58</v>
      </c>
      <c r="AA40" s="49" t="str">
        <f>VLOOKUP(B40,Classification!A:D,2,FALSE)</f>
        <v>A</v>
      </c>
      <c r="AB40" s="94" t="str">
        <f>VLOOKUP(B40,Classification!A:D,4,0)</f>
        <v>Orexin</v>
      </c>
      <c r="AC40" s="49">
        <f>VLOOKUP(B40,'SegEnds_NonXtal_Prot#'!A:AL,6,FALSE)-VLOOKUP(B40,'SegEnds_NonXtal_Prot#'!A:AL,5,FALSE)</f>
        <v>1</v>
      </c>
      <c r="AD40" s="49">
        <f>VLOOKUP(B40,'SegEnds_NonXtal_Prot#'!A:AL,9,FALSE)-VLOOKUP(B40,'SegEnds_NonXtal_Prot#'!A:AL,8,FALSE)</f>
        <v>1</v>
      </c>
      <c r="AE40" s="49">
        <f>VLOOKUP(B40,'SegEnds_NonXtal_Prot#'!A:AL,13,FALSE)-VLOOKUP(B40,'SegEnds_NonXtal_Prot#'!A:AL,10,FALSE)</f>
        <v>20</v>
      </c>
      <c r="AF40" s="49">
        <f>VLOOKUP(B40,'SegEnds_NonXtal_Prot#'!A:AL,12,FALSE)-VLOOKUP(B40,'SegEnds_NonXtal_Prot#'!A:AL,11,FALSE)</f>
        <v>2</v>
      </c>
      <c r="AG40" s="49">
        <f>VLOOKUP(B40,'SegEnds_NonXtal_Prot#'!A:AL,13,FALSE)-VLOOKUP(B40,'SegEnds_NonXtal_Prot#'!A:AL,11,FALSE)</f>
        <v>3</v>
      </c>
      <c r="AH40" s="49">
        <f>VLOOKUP(B40,'SegEnds_NonXtal_Prot#'!A:AL,16,FALSE)-VLOOKUP(B40,'SegEnds_NonXtal_Prot#'!A:AL,10,FALSE)</f>
        <v>52</v>
      </c>
      <c r="AI40" s="49">
        <f>VLOOKUP(B40,'SegEnds_NonXtal_Prot#'!A:AL,16,FALSE)-VLOOKUP(B40,'SegEnds_NonXtal_Prot#'!A:AL,11,FALSE)</f>
        <v>35</v>
      </c>
      <c r="AJ40" s="49">
        <f>VLOOKUP(B40,'SegEnds_NonXtal_Prot#'!A:AL,22,FALSE)-VLOOKUP(B40,'SegEnds_NonXtal_Prot#'!A:AL,19,FALSE)</f>
        <v>18</v>
      </c>
      <c r="AK40" s="49">
        <f>VLOOKUP(B40,'SegEnds_NonXtal_Prot#'!A:AL,15,FALSE)-VLOOKUP(B40,'SegEnds_NonXtal_Prot#'!A:AL,14,FALSE)</f>
        <v>1</v>
      </c>
      <c r="AL40" s="49">
        <f>VLOOKUP(B40,'SegEnds_NonXtal_Prot#'!A:AL,18,FALSE)-VLOOKUP(B40,'SegEnds_NonXtal_Prot#'!A:AL,17,FALSE)</f>
        <v>1</v>
      </c>
      <c r="AM40" s="2">
        <f>VLOOKUP(B40,'SegEnds_NonXtal_Prot#'!A:AL,34,FALSE)-VLOOKUP(B40,'SegEnds_NonXtal_Prot#'!A:AL,31,FALSE)</f>
        <v>42</v>
      </c>
      <c r="AN40" s="37"/>
    </row>
    <row r="41" spans="1:64" s="2" customFormat="1" x14ac:dyDescent="0.2">
      <c r="A41" s="2" t="s">
        <v>1275</v>
      </c>
      <c r="B41" s="2" t="s">
        <v>345</v>
      </c>
      <c r="C41" s="2">
        <f>IFERROR(50+VLOOKUP($A41,'SegEnds_Xtal_Prot#'!$A:$AY,5,FALSE)-VLOOKUP($B41,'SegEnds_NonXtal_Prot#'!$A:$AL,4,FALSE),"-")</f>
        <v>30</v>
      </c>
      <c r="D41" s="2">
        <f>IFERROR(50+VLOOKUP($A41,'SegEnds_Xtal_Prot#'!$A:$AY,7,FALSE)-VLOOKUP($B41,'SegEnds_NonXtal_Prot#'!$A:$AL,4,FALSE),"-")</f>
        <v>60</v>
      </c>
      <c r="E41" s="2" t="str">
        <f>IFERROR(50+VLOOKUP($A41,'SegEnds_Xtal_Prot#'!$A:$AY,9,FALSE)-VLOOKUP($B41,'SegEnds_NonXtal_Prot#'!$A:$AL,7,FALSE),"-")</f>
        <v>-</v>
      </c>
      <c r="F41" s="2" t="str">
        <f>IFERROR(50+VLOOKUP($A41,'SegEnds_Xtal_Prot#'!$A:$AY,11,FALSE)-VLOOKUP($B41,'SegEnds_NonXtal_Prot#'!$A:$AL,7,FALSE),"-")</f>
        <v>-</v>
      </c>
      <c r="G41" s="2">
        <f>IFERROR(50+VLOOKUP($A41,'SegEnds_Xtal_Prot#'!$A:$AY,13,FALSE)-VLOOKUP($B41,'SegEnds_NonXtal_Prot#'!$A:$AL,10,FALSE),"-")</f>
        <v>37</v>
      </c>
      <c r="H41" s="2">
        <f>IFERROR(50+VLOOKUP($A41,'SegEnds_Xtal_Prot#'!$A:$AY,15,FALSE)-VLOOKUP($B41,'SegEnds_NonXtal_Prot#'!$A:$AL,10,FALSE),"-")</f>
        <v>66</v>
      </c>
      <c r="I41" s="2">
        <f>IFERROR(50+VLOOKUP($A41,'SegEnds_Xtal_Prot#'!$A:$AY,17,FALSE)-VLOOKUP($B41,'SegEnds_NonXtal_Prot#'!$A:$AL,13,FALSE),"-")</f>
        <v>49</v>
      </c>
      <c r="J41" s="2">
        <f>IFERROR(50+VLOOKUP($A41,'SegEnds_Xtal_Prot#'!$A:$AY,19,FALSE)-VLOOKUP($B41,'SegEnds_NonXtal_Prot#'!$A:$AL,13,FALSE),"-")</f>
        <v>52</v>
      </c>
      <c r="K41" s="2">
        <f>IFERROR(50+VLOOKUP($A41,'SegEnds_Xtal_Prot#'!$A:$AY,21,FALSE)-VLOOKUP($B41,'SegEnds_NonXtal_Prot#'!$A:$AL,16,FALSE),"-")</f>
        <v>21</v>
      </c>
      <c r="L41" s="2">
        <f>IFERROR(50+VLOOKUP($A41,'SegEnds_Xtal_Prot#'!$A:$AY,23,FALSE)-VLOOKUP($B41,'SegEnds_NonXtal_Prot#'!$A:$AL,16,FALSE),"-")</f>
        <v>56</v>
      </c>
      <c r="M41" s="2">
        <f>IFERROR(50+VLOOKUP($A41,'SegEnds_Xtal_Prot#'!$A:$AY,25,FALSE)-VLOOKUP($B41,'SegEnds_NonXtal_Prot#'!$A:$AL,19,FALSE),"-")</f>
        <v>50</v>
      </c>
      <c r="N41" s="2">
        <f>IFERROR(50+VLOOKUP($A41,'SegEnds_Xtal_Prot#'!$A:$AY,27,FALSE)-VLOOKUP($B41,'SegEnds_NonXtal_Prot#'!$A:$AL,19,FALSE),"-")</f>
        <v>57</v>
      </c>
      <c r="O41" s="2">
        <f>IFERROR(50+VLOOKUP($A41,'SegEnds_Xtal_Prot#'!$A:$AY,29,FALSE)-VLOOKUP($B41,'SegEnds_NonXtal_Prot#'!$A:$AL,22,FALSE),"-")</f>
        <v>38</v>
      </c>
      <c r="P41" s="2">
        <f>IFERROR(50+VLOOKUP($A41,'SegEnds_Xtal_Prot#'!$A:$AY,31,FALSE)-VLOOKUP($B41,'SegEnds_NonXtal_Prot#'!$A:$AL,22,FALSE),"-")</f>
        <v>64</v>
      </c>
      <c r="Q41" s="2">
        <f>IFERROR(50+VLOOKUP($A41,'SegEnds_Xtal_Prot#'!$A:$AY,33,FALSE)-VLOOKUP($B41,'SegEnds_NonXtal_Prot#'!$A:$AL,25,FALSE),"-")</f>
        <v>50</v>
      </c>
      <c r="R41" s="2">
        <f>IFERROR(50+VLOOKUP($A41,'SegEnds_Xtal_Prot#'!$A:$AY,35,FALSE)-VLOOKUP($B41,'SegEnds_NonXtal_Prot#'!$A:$AL,25,FALSE),"-")</f>
        <v>52</v>
      </c>
      <c r="S41" s="2">
        <f>IFERROR(50+VLOOKUP($A41,'SegEnds_Xtal_Prot#'!$A:$AY,37,FALSE)-VLOOKUP($B41,'SegEnds_NonXtal_Prot#'!$A:$AL,28,FALSE),"-")</f>
        <v>32</v>
      </c>
      <c r="T41" s="2">
        <f>IFERROR(50+VLOOKUP($A41,'SegEnds_Xtal_Prot#'!$A:$AY,39,FALSE)-VLOOKUP($B41,'SegEnds_NonXtal_Prot#'!$A:$AL,28,FALSE),"-")</f>
        <v>68</v>
      </c>
      <c r="U41" s="2">
        <f>IFERROR(50+VLOOKUP($A41,'SegEnds_Xtal_Prot#'!$A:$AY,41,FALSE)-VLOOKUP($B41,'SegEnds_NonXtal_Prot#'!$A:$AL,31,FALSE),"-")</f>
        <v>28</v>
      </c>
      <c r="V41" s="2">
        <f>IFERROR(50+VLOOKUP($A41,'SegEnds_Xtal_Prot#'!$A:$AY,43,FALSE)-VLOOKUP($B41,'SegEnds_NonXtal_Prot#'!$A:$AL,31,FALSE),"-")</f>
        <v>64</v>
      </c>
      <c r="W41" s="2">
        <f>IFERROR(50+VLOOKUP($A41,'SegEnds_Xtal_Prot#'!$A:$AY,45,FALSE)-VLOOKUP($B41,'SegEnds_NonXtal_Prot#'!$A:$AL,34,FALSE),"-")</f>
        <v>24</v>
      </c>
      <c r="X41" s="2">
        <f>IFERROR(50+VLOOKUP($A41,'SegEnds_Xtal_Prot#'!$A:$AY,47,FALSE)-VLOOKUP($B41,'SegEnds_NonXtal_Prot#'!$A:$AL,34,FALSE),"-")</f>
        <v>56</v>
      </c>
      <c r="Y41" s="2">
        <f>IFERROR(50+VLOOKUP($A41,'SegEnds_Xtal_Prot#'!$A:$AY,49,FALSE)-VLOOKUP($B41,'SegEnds_NonXtal_Prot#'!$A:$AL,37,FALSE),"-")</f>
        <v>47</v>
      </c>
      <c r="Z41" s="2">
        <f>IFERROR(50+VLOOKUP($A41,'SegEnds_Xtal_Prot#'!$A:$AY,51,FALSE)-VLOOKUP($B41,'SegEnds_NonXtal_Prot#'!$A:$AL,37,FALSE),"-")</f>
        <v>59</v>
      </c>
      <c r="AA41" s="49" t="str">
        <f>VLOOKUP(B41,Classification!A:D,2,FALSE)</f>
        <v>A</v>
      </c>
      <c r="AB41" s="94" t="str">
        <f>VLOOKUP(B41,Classification!A:D,4,0)</f>
        <v>P2Y</v>
      </c>
      <c r="AC41" s="49" t="e">
        <f>VLOOKUP(B41,'SegEnds_NonXtal_Prot#'!A:AL,6,FALSE)-VLOOKUP(B41,'SegEnds_NonXtal_Prot#'!A:AL,5,FALSE)</f>
        <v>#VALUE!</v>
      </c>
      <c r="AD41" s="49" t="e">
        <f>VLOOKUP(B41,'SegEnds_NonXtal_Prot#'!A:AL,9,FALSE)-VLOOKUP(B41,'SegEnds_NonXtal_Prot#'!A:AL,8,FALSE)</f>
        <v>#VALUE!</v>
      </c>
      <c r="AE41" s="49">
        <f>VLOOKUP(B41,'SegEnds_NonXtal_Prot#'!A:AL,13,FALSE)-VLOOKUP(B41,'SegEnds_NonXtal_Prot#'!A:AL,10,FALSE)</f>
        <v>20</v>
      </c>
      <c r="AF41" s="49">
        <f>VLOOKUP(B41,'SegEnds_NonXtal_Prot#'!A:AL,12,FALSE)-VLOOKUP(B41,'SegEnds_NonXtal_Prot#'!A:AL,11,FALSE)</f>
        <v>3</v>
      </c>
      <c r="AG41" s="49">
        <f>VLOOKUP(B41,'SegEnds_NonXtal_Prot#'!A:AL,13,FALSE)-VLOOKUP(B41,'SegEnds_NonXtal_Prot#'!A:AL,11,FALSE)</f>
        <v>4</v>
      </c>
      <c r="AH41" s="49">
        <f>VLOOKUP(B41,'SegEnds_NonXtal_Prot#'!A:AL,16,FALSE)-VLOOKUP(B41,'SegEnds_NonXtal_Prot#'!A:AL,10,FALSE)</f>
        <v>52</v>
      </c>
      <c r="AI41" s="49">
        <f>VLOOKUP(B41,'SegEnds_NonXtal_Prot#'!A:AL,16,FALSE)-VLOOKUP(B41,'SegEnds_NonXtal_Prot#'!A:AL,11,FALSE)</f>
        <v>36</v>
      </c>
      <c r="AJ41" s="49">
        <f>VLOOKUP(B41,'SegEnds_NonXtal_Prot#'!A:AL,22,FALSE)-VLOOKUP(B41,'SegEnds_NonXtal_Prot#'!A:AL,19,FALSE)</f>
        <v>20</v>
      </c>
      <c r="AK41" s="49">
        <f>VLOOKUP(B41,'SegEnds_NonXtal_Prot#'!A:AL,15,FALSE)-VLOOKUP(B41,'SegEnds_NonXtal_Prot#'!A:AL,14,FALSE)</f>
        <v>1</v>
      </c>
      <c r="AL41" s="49">
        <f>VLOOKUP(B41,'SegEnds_NonXtal_Prot#'!A:AL,18,FALSE)-VLOOKUP(B41,'SegEnds_NonXtal_Prot#'!A:AL,17,FALSE)</f>
        <v>1</v>
      </c>
      <c r="AM41" s="2">
        <f>VLOOKUP(B41,'SegEnds_NonXtal_Prot#'!A:AL,34,FALSE)-VLOOKUP(B41,'SegEnds_NonXtal_Prot#'!A:AL,31,FALSE)</f>
        <v>46</v>
      </c>
      <c r="AN41" s="37"/>
    </row>
    <row r="42" spans="1:64" s="2" customFormat="1" x14ac:dyDescent="0.2">
      <c r="A42" s="2" t="s">
        <v>1276</v>
      </c>
      <c r="B42" s="2" t="s">
        <v>352</v>
      </c>
      <c r="C42" s="2">
        <f>IFERROR(50+VLOOKUP($A42,'SegEnds_Xtal_Prot#'!$A:$AY,5,FALSE)-VLOOKUP($B42,'SegEnds_NonXtal_Prot#'!$A:$AL,4,FALSE),"-")</f>
        <v>28</v>
      </c>
      <c r="D42" s="2">
        <f>IFERROR(50+VLOOKUP($A42,'SegEnds_Xtal_Prot#'!$A:$AY,7,FALSE)-VLOOKUP($B42,'SegEnds_NonXtal_Prot#'!$A:$AL,4,FALSE),"-")</f>
        <v>60</v>
      </c>
      <c r="E42" s="2" t="str">
        <f>IFERROR(50+VLOOKUP($A42,'SegEnds_Xtal_Prot#'!$A:$AY,9,FALSE)-VLOOKUP($B42,'SegEnds_NonXtal_Prot#'!$A:$AL,7,FALSE),"-")</f>
        <v>-</v>
      </c>
      <c r="F42" s="2" t="str">
        <f>IFERROR(50+VLOOKUP($A42,'SegEnds_Xtal_Prot#'!$A:$AY,11,FALSE)-VLOOKUP($B42,'SegEnds_NonXtal_Prot#'!$A:$AL,7,FALSE),"-")</f>
        <v>-</v>
      </c>
      <c r="G42" s="2">
        <f>IFERROR(50+VLOOKUP($A42,'SegEnds_Xtal_Prot#'!$A:$AY,13,FALSE)-VLOOKUP($B42,'SegEnds_NonXtal_Prot#'!$A:$AL,10,FALSE),"-")</f>
        <v>37</v>
      </c>
      <c r="H42" s="2">
        <f>IFERROR(50+VLOOKUP($A42,'SegEnds_Xtal_Prot#'!$A:$AY,15,FALSE)-VLOOKUP($B42,'SegEnds_NonXtal_Prot#'!$A:$AL,10,FALSE),"-")</f>
        <v>66</v>
      </c>
      <c r="I42" s="2" t="str">
        <f>IFERROR(50+VLOOKUP($A42,'SegEnds_Xtal_Prot#'!$A:$AY,17,FALSE)-VLOOKUP($B42,'SegEnds_NonXtal_Prot#'!$A:$AL,13,FALSE),"-")</f>
        <v>-</v>
      </c>
      <c r="J42" s="2" t="str">
        <f>IFERROR(50+VLOOKUP($A42,'SegEnds_Xtal_Prot#'!$A:$AY,19,FALSE)-VLOOKUP($B42,'SegEnds_NonXtal_Prot#'!$A:$AL,13,FALSE),"-")</f>
        <v>-</v>
      </c>
      <c r="K42" s="2">
        <f>IFERROR(50+VLOOKUP($A42,'SegEnds_Xtal_Prot#'!$A:$AY,21,FALSE)-VLOOKUP($B42,'SegEnds_NonXtal_Prot#'!$A:$AL,16,FALSE),"-")</f>
        <v>18</v>
      </c>
      <c r="L42" s="2">
        <f>IFERROR(50+VLOOKUP($A42,'SegEnds_Xtal_Prot#'!$A:$AY,23,FALSE)-VLOOKUP($B42,'SegEnds_NonXtal_Prot#'!$A:$AL,16,FALSE),"-")</f>
        <v>56</v>
      </c>
      <c r="M42" s="2">
        <f>IFERROR(50+VLOOKUP($A42,'SegEnds_Xtal_Prot#'!$A:$AY,25,FALSE)-VLOOKUP($B42,'SegEnds_NonXtal_Prot#'!$A:$AL,19,FALSE),"-")</f>
        <v>50</v>
      </c>
      <c r="N42" s="2">
        <f>IFERROR(50+VLOOKUP($A42,'SegEnds_Xtal_Prot#'!$A:$AY,27,FALSE)-VLOOKUP($B42,'SegEnds_NonXtal_Prot#'!$A:$AL,19,FALSE),"-")</f>
        <v>57</v>
      </c>
      <c r="O42" s="2">
        <f>IFERROR(50+VLOOKUP($A42,'SegEnds_Xtal_Prot#'!$A:$AY,29,FALSE)-VLOOKUP($B42,'SegEnds_NonXtal_Prot#'!$A:$AL,22,FALSE),"-")</f>
        <v>38</v>
      </c>
      <c r="P42" s="2">
        <f>IFERROR(50+VLOOKUP($A42,'SegEnds_Xtal_Prot#'!$A:$AY,31,FALSE)-VLOOKUP($B42,'SegEnds_NonXtal_Prot#'!$A:$AL,22,FALSE),"-")</f>
        <v>64</v>
      </c>
      <c r="Q42" s="2">
        <f>IFERROR(50+VLOOKUP($A42,'SegEnds_Xtal_Prot#'!$A:$AY,33,FALSE)-VLOOKUP($B42,'SegEnds_NonXtal_Prot#'!$A:$AL,25,FALSE),"-")</f>
        <v>50</v>
      </c>
      <c r="R42" s="2">
        <f>IFERROR(50+VLOOKUP($A42,'SegEnds_Xtal_Prot#'!$A:$AY,35,FALSE)-VLOOKUP($B42,'SegEnds_NonXtal_Prot#'!$A:$AL,25,FALSE),"-")</f>
        <v>52</v>
      </c>
      <c r="S42" s="2">
        <f>IFERROR(50+VLOOKUP($A42,'SegEnds_Xtal_Prot#'!$A:$AY,37,FALSE)-VLOOKUP($B42,'SegEnds_NonXtal_Prot#'!$A:$AL,28,FALSE),"-")</f>
        <v>30</v>
      </c>
      <c r="T42" s="2">
        <f>IFERROR(50+VLOOKUP($A42,'SegEnds_Xtal_Prot#'!$A:$AY,39,FALSE)-VLOOKUP($B42,'SegEnds_NonXtal_Prot#'!$A:$AL,28,FALSE),"-")</f>
        <v>72</v>
      </c>
      <c r="U42" s="2">
        <f>IFERROR(50+VLOOKUP($A42,'SegEnds_Xtal_Prot#'!$A:$AY,41,FALSE)-VLOOKUP($B42,'SegEnds_NonXtal_Prot#'!$A:$AL,31,FALSE),"-")</f>
        <v>29</v>
      </c>
      <c r="V42" s="2">
        <f>IFERROR(50+VLOOKUP($A42,'SegEnds_Xtal_Prot#'!$A:$AY,43,FALSE)-VLOOKUP($B42,'SegEnds_NonXtal_Prot#'!$A:$AL,31,FALSE),"-")</f>
        <v>64</v>
      </c>
      <c r="W42" s="2">
        <f>IFERROR(50+VLOOKUP($A42,'SegEnds_Xtal_Prot#'!$A:$AY,45,FALSE)-VLOOKUP($B42,'SegEnds_NonXtal_Prot#'!$A:$AL,34,FALSE),"-")</f>
        <v>24</v>
      </c>
      <c r="X42" s="2">
        <f>IFERROR(50+VLOOKUP($A42,'SegEnds_Xtal_Prot#'!$A:$AY,47,FALSE)-VLOOKUP($B42,'SegEnds_NonXtal_Prot#'!$A:$AL,34,FALSE),"-")</f>
        <v>56</v>
      </c>
      <c r="Y42" s="2">
        <f>IFERROR(50+VLOOKUP($A42,'SegEnds_Xtal_Prot#'!$A:$AY,49,FALSE)-VLOOKUP($B42,'SegEnds_NonXtal_Prot#'!$A:$AL,37,FALSE),"-")</f>
        <v>47</v>
      </c>
      <c r="Z42" s="2">
        <f>IFERROR(50+VLOOKUP($A42,'SegEnds_Xtal_Prot#'!$A:$AY,51,FALSE)-VLOOKUP($B42,'SegEnds_NonXtal_Prot#'!$A:$AL,37,FALSE),"-")</f>
        <v>57</v>
      </c>
      <c r="AA42" s="49" t="str">
        <f>VLOOKUP(B42,Classification!A:D,2,FALSE)</f>
        <v>A</v>
      </c>
      <c r="AB42" s="94" t="str">
        <f>VLOOKUP(B42,Classification!A:D,4,0)</f>
        <v>P2Y</v>
      </c>
      <c r="AC42" s="49" t="e">
        <f>VLOOKUP(B42,'SegEnds_NonXtal_Prot#'!A:AL,6,FALSE)-VLOOKUP(B42,'SegEnds_NonXtal_Prot#'!A:AL,5,FALSE)</f>
        <v>#VALUE!</v>
      </c>
      <c r="AD42" s="49" t="e">
        <f>VLOOKUP(B42,'SegEnds_NonXtal_Prot#'!A:AL,9,FALSE)-VLOOKUP(B42,'SegEnds_NonXtal_Prot#'!A:AL,8,FALSE)</f>
        <v>#VALUE!</v>
      </c>
      <c r="AE42" s="49" t="e">
        <f>VLOOKUP(B42,'SegEnds_NonXtal_Prot#'!A:AL,13,FALSE)-VLOOKUP(B42,'SegEnds_NonXtal_Prot#'!A:AL,10,FALSE)</f>
        <v>#VALUE!</v>
      </c>
      <c r="AF42" s="49" t="e">
        <f>VLOOKUP(B42,'SegEnds_NonXtal_Prot#'!A:AL,12,FALSE)-VLOOKUP(B42,'SegEnds_NonXtal_Prot#'!A:AL,11,FALSE)</f>
        <v>#VALUE!</v>
      </c>
      <c r="AG42" s="49" t="e">
        <f>VLOOKUP(B42,'SegEnds_NonXtal_Prot#'!A:AL,13,FALSE)-VLOOKUP(B42,'SegEnds_NonXtal_Prot#'!A:AL,11,FALSE)</f>
        <v>#VALUE!</v>
      </c>
      <c r="AH42" s="49">
        <f>VLOOKUP(B42,'SegEnds_NonXtal_Prot#'!A:AL,16,FALSE)-VLOOKUP(B42,'SegEnds_NonXtal_Prot#'!A:AL,10,FALSE)</f>
        <v>52</v>
      </c>
      <c r="AI42" s="49">
        <f>VLOOKUP(B42,'SegEnds_NonXtal_Prot#'!A:AL,16,FALSE)-VLOOKUP(B42,'SegEnds_NonXtal_Prot#'!A:AL,11,FALSE)</f>
        <v>36</v>
      </c>
      <c r="AJ42" s="49">
        <f>VLOOKUP(B42,'SegEnds_NonXtal_Prot#'!A:AL,22,FALSE)-VLOOKUP(B42,'SegEnds_NonXtal_Prot#'!A:AL,19,FALSE)</f>
        <v>20</v>
      </c>
      <c r="AK42" s="49" t="e">
        <f>VLOOKUP(B42,'SegEnds_NonXtal_Prot#'!A:AL,15,FALSE)-VLOOKUP(B42,'SegEnds_NonXtal_Prot#'!A:AL,14,FALSE)</f>
        <v>#VALUE!</v>
      </c>
      <c r="AL42" s="49">
        <f>VLOOKUP(B42,'SegEnds_NonXtal_Prot#'!A:AL,18,FALSE)-VLOOKUP(B42,'SegEnds_NonXtal_Prot#'!A:AL,17,FALSE)</f>
        <v>1</v>
      </c>
      <c r="AM42" s="2">
        <f>VLOOKUP(B42,'SegEnds_NonXtal_Prot#'!A:AL,34,FALSE)-VLOOKUP(B42,'SegEnds_NonXtal_Prot#'!A:AL,31,FALSE)</f>
        <v>44</v>
      </c>
      <c r="AN42" s="37"/>
    </row>
    <row r="43" spans="1:64" s="2" customFormat="1" x14ac:dyDescent="0.2">
      <c r="A43" s="2" t="s">
        <v>1277</v>
      </c>
      <c r="B43" s="2" t="s">
        <v>355</v>
      </c>
      <c r="C43" s="2">
        <f>IFERROR(50+VLOOKUP($A43,'SegEnds_Xtal_Prot#'!$A:$AY,5,FALSE)-VLOOKUP($B43,'SegEnds_NonXtal_Prot#'!$A:$AL,4,FALSE),"-")</f>
        <v>29</v>
      </c>
      <c r="D43" s="2">
        <f>IFERROR(50+VLOOKUP($A43,'SegEnds_Xtal_Prot#'!$A:$AY,7,FALSE)-VLOOKUP($B43,'SegEnds_NonXtal_Prot#'!$A:$AL,4,FALSE),"-")</f>
        <v>60</v>
      </c>
      <c r="E43" s="2">
        <f>IFERROR(50+VLOOKUP($A43,'SegEnds_Xtal_Prot#'!$A:$AY,9,FALSE)-VLOOKUP($B43,'SegEnds_NonXtal_Prot#'!$A:$AL,7,FALSE),"-")</f>
        <v>48</v>
      </c>
      <c r="F43" s="2">
        <f>IFERROR(50+VLOOKUP($A43,'SegEnds_Xtal_Prot#'!$A:$AY,11,FALSE)-VLOOKUP($B43,'SegEnds_NonXtal_Prot#'!$A:$AL,7,FALSE),"-")</f>
        <v>51</v>
      </c>
      <c r="G43" s="2">
        <f>IFERROR(50+VLOOKUP($A43,'SegEnds_Xtal_Prot#'!$A:$AY,13,FALSE)-VLOOKUP($B43,'SegEnds_NonXtal_Prot#'!$A:$AL,10,FALSE),"-")</f>
        <v>37</v>
      </c>
      <c r="H43" s="2">
        <f>IFERROR(50+VLOOKUP($A43,'SegEnds_Xtal_Prot#'!$A:$AY,15,FALSE)-VLOOKUP($B43,'SegEnds_NonXtal_Prot#'!$A:$AL,10,FALSE),"-")</f>
        <v>66</v>
      </c>
      <c r="I43" s="2">
        <f>IFERROR(50+VLOOKUP($A43,'SegEnds_Xtal_Prot#'!$A:$AY,17,FALSE)-VLOOKUP($B43,'SegEnds_NonXtal_Prot#'!$A:$AL,13,FALSE),"-")</f>
        <v>49</v>
      </c>
      <c r="J43" s="2">
        <f>IFERROR(50+VLOOKUP($A43,'SegEnds_Xtal_Prot#'!$A:$AY,19,FALSE)-VLOOKUP($B43,'SegEnds_NonXtal_Prot#'!$A:$AL,13,FALSE),"-")</f>
        <v>52</v>
      </c>
      <c r="K43" s="2">
        <f>IFERROR(50+VLOOKUP($A43,'SegEnds_Xtal_Prot#'!$A:$AY,21,FALSE)-VLOOKUP($B43,'SegEnds_NonXtal_Prot#'!$A:$AL,16,FALSE),"-")</f>
        <v>21</v>
      </c>
      <c r="L43" s="2">
        <f>IFERROR(50+VLOOKUP($A43,'SegEnds_Xtal_Prot#'!$A:$AY,23,FALSE)-VLOOKUP($B43,'SegEnds_NonXtal_Prot#'!$A:$AL,16,FALSE),"-")</f>
        <v>56</v>
      </c>
      <c r="M43" s="2">
        <f>IFERROR(50+VLOOKUP($A43,'SegEnds_Xtal_Prot#'!$A:$AY,25,FALSE)-VLOOKUP($B43,'SegEnds_NonXtal_Prot#'!$A:$AL,19,FALSE),"-")</f>
        <v>50</v>
      </c>
      <c r="N43" s="2">
        <f>IFERROR(50+VLOOKUP($A43,'SegEnds_Xtal_Prot#'!$A:$AY,27,FALSE)-VLOOKUP($B43,'SegEnds_NonXtal_Prot#'!$A:$AL,19,FALSE),"-")</f>
        <v>57</v>
      </c>
      <c r="O43" s="2">
        <f>IFERROR(50+VLOOKUP($A43,'SegEnds_Xtal_Prot#'!$A:$AY,29,FALSE)-VLOOKUP($B43,'SegEnds_NonXtal_Prot#'!$A:$AL,22,FALSE),"-")</f>
        <v>38</v>
      </c>
      <c r="P43" s="2">
        <f>IFERROR(50+VLOOKUP($A43,'SegEnds_Xtal_Prot#'!$A:$AY,31,FALSE)-VLOOKUP($B43,'SegEnds_NonXtal_Prot#'!$A:$AL,22,FALSE),"-")</f>
        <v>63</v>
      </c>
      <c r="Q43" s="2">
        <f>IFERROR(50+VLOOKUP($A43,'SegEnds_Xtal_Prot#'!$A:$AY,33,FALSE)-VLOOKUP($B43,'SegEnds_NonXtal_Prot#'!$A:$AL,25,FALSE),"-")</f>
        <v>50</v>
      </c>
      <c r="R43" s="2">
        <f>IFERROR(50+VLOOKUP($A43,'SegEnds_Xtal_Prot#'!$A:$AY,35,FALSE)-VLOOKUP($B43,'SegEnds_NonXtal_Prot#'!$A:$AL,25,FALSE),"-")</f>
        <v>52</v>
      </c>
      <c r="S43" s="2">
        <f>IFERROR(50+VLOOKUP($A43,'SegEnds_Xtal_Prot#'!$A:$AY,37,FALSE)-VLOOKUP($B43,'SegEnds_NonXtal_Prot#'!$A:$AL,28,FALSE),"-")</f>
        <v>32</v>
      </c>
      <c r="T43" s="2">
        <f>IFERROR(50+VLOOKUP($A43,'SegEnds_Xtal_Prot#'!$A:$AY,39,FALSE)-VLOOKUP($B43,'SegEnds_NonXtal_Prot#'!$A:$AL,28,FALSE),"-")</f>
        <v>67</v>
      </c>
      <c r="U43" s="2">
        <f>IFERROR(50+VLOOKUP($A43,'SegEnds_Xtal_Prot#'!$A:$AY,41,FALSE)-VLOOKUP($B43,'SegEnds_NonXtal_Prot#'!$A:$AL,31,FALSE),"-")</f>
        <v>26</v>
      </c>
      <c r="V43" s="2">
        <f>IFERROR(50+VLOOKUP($A43,'SegEnds_Xtal_Prot#'!$A:$AY,43,FALSE)-VLOOKUP($B43,'SegEnds_NonXtal_Prot#'!$A:$AL,31,FALSE),"-")</f>
        <v>62</v>
      </c>
      <c r="W43" s="2">
        <f>IFERROR(50+VLOOKUP($A43,'SegEnds_Xtal_Prot#'!$A:$AY,45,FALSE)-VLOOKUP($B43,'SegEnds_NonXtal_Prot#'!$A:$AL,34,FALSE),"-")</f>
        <v>28</v>
      </c>
      <c r="X43" s="2">
        <f>IFERROR(50+VLOOKUP($A43,'SegEnds_Xtal_Prot#'!$A:$AY,47,FALSE)-VLOOKUP($B43,'SegEnds_NonXtal_Prot#'!$A:$AL,34,FALSE),"-")</f>
        <v>56</v>
      </c>
      <c r="Y43" s="2">
        <f>IFERROR(50+VLOOKUP($A43,'SegEnds_Xtal_Prot#'!$A:$AY,49,FALSE)-VLOOKUP($B43,'SegEnds_NonXtal_Prot#'!$A:$AL,37,FALSE),"-")</f>
        <v>47</v>
      </c>
      <c r="Z43" s="2">
        <f>IFERROR(50+VLOOKUP($A43,'SegEnds_Xtal_Prot#'!$A:$AY,51,FALSE)-VLOOKUP($B43,'SegEnds_NonXtal_Prot#'!$A:$AL,37,FALSE),"-")</f>
        <v>61</v>
      </c>
      <c r="AA43" s="49" t="str">
        <f>VLOOKUP(B43,Classification!A:D,2,FALSE)</f>
        <v>A</v>
      </c>
      <c r="AB43" s="94" t="str">
        <f>VLOOKUP(B43,Classification!A:D,4,0)</f>
        <v>Proteinase-activated</v>
      </c>
      <c r="AC43" s="49">
        <f>VLOOKUP(B43,'SegEnds_NonXtal_Prot#'!A:AL,6,FALSE)-VLOOKUP(B43,'SegEnds_NonXtal_Prot#'!A:AL,5,FALSE)</f>
        <v>1</v>
      </c>
      <c r="AD43" s="49">
        <f>VLOOKUP(B43,'SegEnds_NonXtal_Prot#'!A:AL,9,FALSE)-VLOOKUP(B43,'SegEnds_NonXtal_Prot#'!A:AL,8,FALSE)</f>
        <v>1</v>
      </c>
      <c r="AE43" s="49">
        <f>VLOOKUP(B43,'SegEnds_NonXtal_Prot#'!A:AL,13,FALSE)-VLOOKUP(B43,'SegEnds_NonXtal_Prot#'!A:AL,10,FALSE)</f>
        <v>20</v>
      </c>
      <c r="AF43" s="49">
        <f>VLOOKUP(B43,'SegEnds_NonXtal_Prot#'!A:AL,12,FALSE)-VLOOKUP(B43,'SegEnds_NonXtal_Prot#'!A:AL,11,FALSE)</f>
        <v>3</v>
      </c>
      <c r="AG43" s="49">
        <f>VLOOKUP(B43,'SegEnds_NonXtal_Prot#'!A:AL,13,FALSE)-VLOOKUP(B43,'SegEnds_NonXtal_Prot#'!A:AL,11,FALSE)</f>
        <v>4</v>
      </c>
      <c r="AH43" s="49">
        <f>VLOOKUP(B43,'SegEnds_NonXtal_Prot#'!A:AL,16,FALSE)-VLOOKUP(B43,'SegEnds_NonXtal_Prot#'!A:AL,10,FALSE)</f>
        <v>52</v>
      </c>
      <c r="AI43" s="49">
        <f>VLOOKUP(B43,'SegEnds_NonXtal_Prot#'!A:AL,16,FALSE)-VLOOKUP(B43,'SegEnds_NonXtal_Prot#'!A:AL,11,FALSE)</f>
        <v>36</v>
      </c>
      <c r="AJ43" s="49">
        <f>VLOOKUP(B43,'SegEnds_NonXtal_Prot#'!A:AL,22,FALSE)-VLOOKUP(B43,'SegEnds_NonXtal_Prot#'!A:AL,19,FALSE)</f>
        <v>20</v>
      </c>
      <c r="AK43" s="49">
        <f>VLOOKUP(B43,'SegEnds_NonXtal_Prot#'!A:AL,15,FALSE)-VLOOKUP(B43,'SegEnds_NonXtal_Prot#'!A:AL,14,FALSE)</f>
        <v>1</v>
      </c>
      <c r="AL43" s="49">
        <f>VLOOKUP(B43,'SegEnds_NonXtal_Prot#'!A:AL,18,FALSE)-VLOOKUP(B43,'SegEnds_NonXtal_Prot#'!A:AL,17,FALSE)</f>
        <v>1</v>
      </c>
      <c r="AM43" s="2">
        <f>VLOOKUP(B43,'SegEnds_NonXtal_Prot#'!A:AL,34,FALSE)-VLOOKUP(B43,'SegEnds_NonXtal_Prot#'!A:AL,31,FALSE)</f>
        <v>40</v>
      </c>
      <c r="AN43" s="37"/>
    </row>
    <row r="44" spans="1:64" s="2" customFormat="1" x14ac:dyDescent="0.2">
      <c r="A44" s="2" t="s">
        <v>1404</v>
      </c>
      <c r="B44" s="2" t="s">
        <v>356</v>
      </c>
      <c r="C44" s="2">
        <f>IFERROR(50+VLOOKUP($A44,'SegEnds_Xtal_Prot#'!$A:$AY,5,FALSE)-VLOOKUP($B44,'SegEnds_NonXtal_Prot#'!$A:$AL,4,FALSE),"-")</f>
        <v>28</v>
      </c>
      <c r="D44" s="2">
        <f>IFERROR(50+VLOOKUP($A44,'SegEnds_Xtal_Prot#'!$A:$AY,7,FALSE)-VLOOKUP($B44,'SegEnds_NonXtal_Prot#'!$A:$AL,4,FALSE),"-")</f>
        <v>60</v>
      </c>
      <c r="E44" s="2" t="str">
        <f>IFERROR(50+VLOOKUP($A44,'SegEnds_Xtal_Prot#'!$A:$AY,9,FALSE)-VLOOKUP($B44,'SegEnds_NonXtal_Prot#'!$A:$AL,7,FALSE),"-")</f>
        <v>-</v>
      </c>
      <c r="F44" s="2" t="str">
        <f>IFERROR(50+VLOOKUP($A44,'SegEnds_Xtal_Prot#'!$A:$AY,11,FALSE)-VLOOKUP($B44,'SegEnds_NonXtal_Prot#'!$A:$AL,7,FALSE),"-")</f>
        <v>-</v>
      </c>
      <c r="G44" s="2">
        <f>IFERROR(50+VLOOKUP($A44,'SegEnds_Xtal_Prot#'!$A:$AY,13,FALSE)-VLOOKUP($B44,'SegEnds_NonXtal_Prot#'!$A:$AL,10,FALSE),"-")</f>
        <v>37</v>
      </c>
      <c r="H44" s="2">
        <f>IFERROR(50+VLOOKUP($A44,'SegEnds_Xtal_Prot#'!$A:$AY,15,FALSE)-VLOOKUP($B44,'SegEnds_NonXtal_Prot#'!$A:$AL,10,FALSE),"-")</f>
        <v>66</v>
      </c>
      <c r="I44" s="2">
        <f>IFERROR(50+VLOOKUP($A44,'SegEnds_Xtal_Prot#'!$A:$AY,17,FALSE)-VLOOKUP($B44,'SegEnds_NonXtal_Prot#'!$A:$AL,13,FALSE),"-")</f>
        <v>47</v>
      </c>
      <c r="J44" s="2">
        <f>IFERROR(50+VLOOKUP($A44,'SegEnds_Xtal_Prot#'!$A:$AY,19,FALSE)-VLOOKUP($B44,'SegEnds_NonXtal_Prot#'!$A:$AL,13,FALSE),"-")</f>
        <v>52</v>
      </c>
      <c r="K44" s="2">
        <f>IFERROR(50+VLOOKUP($A44,'SegEnds_Xtal_Prot#'!$A:$AY,21,FALSE)-VLOOKUP($B44,'SegEnds_NonXtal_Prot#'!$A:$AL,16,FALSE),"-")</f>
        <v>21</v>
      </c>
      <c r="L44" s="2">
        <f>IFERROR(50+VLOOKUP($A44,'SegEnds_Xtal_Prot#'!$A:$AY,23,FALSE)-VLOOKUP($B44,'SegEnds_NonXtal_Prot#'!$A:$AL,16,FALSE),"-")</f>
        <v>56</v>
      </c>
      <c r="M44" s="2">
        <f>IFERROR(50+VLOOKUP($A44,'SegEnds_Xtal_Prot#'!$A:$AY,25,FALSE)-VLOOKUP($B44,'SegEnds_NonXtal_Prot#'!$A:$AL,19,FALSE),"-")</f>
        <v>50</v>
      </c>
      <c r="N44" s="2">
        <f>IFERROR(50+VLOOKUP($A44,'SegEnds_Xtal_Prot#'!$A:$AY,27,FALSE)-VLOOKUP($B44,'SegEnds_NonXtal_Prot#'!$A:$AL,19,FALSE),"-")</f>
        <v>56</v>
      </c>
      <c r="O44" s="2">
        <f>IFERROR(50+VLOOKUP($A44,'SegEnds_Xtal_Prot#'!$A:$AY,29,FALSE)-VLOOKUP($B44,'SegEnds_NonXtal_Prot#'!$A:$AL,22,FALSE),"-")</f>
        <v>38</v>
      </c>
      <c r="P44" s="2">
        <f>IFERROR(50+VLOOKUP($A44,'SegEnds_Xtal_Prot#'!$A:$AY,31,FALSE)-VLOOKUP($B44,'SegEnds_NonXtal_Prot#'!$A:$AL,22,FALSE),"-")</f>
        <v>62</v>
      </c>
      <c r="Q44" s="2">
        <f>IFERROR(50+VLOOKUP($A44,'SegEnds_Xtal_Prot#'!$A:$AY,33,FALSE)-VLOOKUP($B44,'SegEnds_NonXtal_Prot#'!$A:$AL,25,FALSE),"-")</f>
        <v>50</v>
      </c>
      <c r="R44" s="2">
        <f>IFERROR(50+VLOOKUP($A44,'SegEnds_Xtal_Prot#'!$A:$AY,35,FALSE)-VLOOKUP($B44,'SegEnds_NonXtal_Prot#'!$A:$AL,25,FALSE),"-")</f>
        <v>52</v>
      </c>
      <c r="S44" s="2">
        <f>IFERROR(50+VLOOKUP($A44,'SegEnds_Xtal_Prot#'!$A:$AY,37,FALSE)-VLOOKUP($B44,'SegEnds_NonXtal_Prot#'!$A:$AL,28,FALSE),"-")</f>
        <v>31</v>
      </c>
      <c r="T44" s="2">
        <f>IFERROR(50+VLOOKUP($A44,'SegEnds_Xtal_Prot#'!$A:$AY,39,FALSE)-VLOOKUP($B44,'SegEnds_NonXtal_Prot#'!$A:$AL,28,FALSE),"-")</f>
        <v>68</v>
      </c>
      <c r="U44" s="2">
        <f>IFERROR(50+VLOOKUP($A44,'SegEnds_Xtal_Prot#'!$A:$AY,41,FALSE)-VLOOKUP($B44,'SegEnds_NonXtal_Prot#'!$A:$AL,31,FALSE),"-")</f>
        <v>26</v>
      </c>
      <c r="V44" s="2">
        <f>IFERROR(50+VLOOKUP($A44,'SegEnds_Xtal_Prot#'!$A:$AY,43,FALSE)-VLOOKUP($B44,'SegEnds_NonXtal_Prot#'!$A:$AL,31,FALSE),"-")</f>
        <v>65</v>
      </c>
      <c r="W44" s="2">
        <f>IFERROR(50+VLOOKUP($A44,'SegEnds_Xtal_Prot#'!$A:$AY,45,FALSE)-VLOOKUP($B44,'SegEnds_NonXtal_Prot#'!$A:$AL,34,FALSE),"-")</f>
        <v>31</v>
      </c>
      <c r="X44" s="2">
        <f>IFERROR(50+VLOOKUP($A44,'SegEnds_Xtal_Prot#'!$A:$AY,47,FALSE)-VLOOKUP($B44,'SegEnds_NonXtal_Prot#'!$A:$AL,34,FALSE),"-")</f>
        <v>56</v>
      </c>
      <c r="Y44" s="2">
        <f>IFERROR(50+VLOOKUP($A44,'SegEnds_Xtal_Prot#'!$A:$AY,49,FALSE)-VLOOKUP($B44,'SegEnds_NonXtal_Prot#'!$A:$AL,37,FALSE),"-")</f>
        <v>47</v>
      </c>
      <c r="Z44" s="2">
        <f>IFERROR(50+VLOOKUP($A44,'SegEnds_Xtal_Prot#'!$A:$AY,51,FALSE)-VLOOKUP($B44,'SegEnds_NonXtal_Prot#'!$A:$AL,37,FALSE),"-")</f>
        <v>61</v>
      </c>
      <c r="AA44" s="49" t="str">
        <f>VLOOKUP(B44,Classification!A:D,2,FALSE)</f>
        <v>A</v>
      </c>
      <c r="AB44" s="94" t="str">
        <f>VLOOKUP(B44,Classification!A:D,4,0)</f>
        <v>Proteinase-activated</v>
      </c>
      <c r="AC44" s="49" t="e">
        <f>VLOOKUP(B44,'SegEnds_NonXtal_Prot#'!A:AL,6,FALSE)-VLOOKUP(B44,'SegEnds_NonXtal_Prot#'!A:AL,5,FALSE)</f>
        <v>#VALUE!</v>
      </c>
      <c r="AD44" s="49" t="e">
        <f>VLOOKUP(B44,'SegEnds_NonXtal_Prot#'!A:AL,9,FALSE)-VLOOKUP(B44,'SegEnds_NonXtal_Prot#'!A:AL,8,FALSE)</f>
        <v>#VALUE!</v>
      </c>
      <c r="AE44" s="49">
        <f>VLOOKUP(B44,'SegEnds_NonXtal_Prot#'!A:AL,13,FALSE)-VLOOKUP(B44,'SegEnds_NonXtal_Prot#'!A:AL,10,FALSE)</f>
        <v>20</v>
      </c>
      <c r="AF44" s="49">
        <f>VLOOKUP(B44,'SegEnds_NonXtal_Prot#'!A:AL,12,FALSE)-VLOOKUP(B44,'SegEnds_NonXtal_Prot#'!A:AL,11,FALSE)</f>
        <v>3</v>
      </c>
      <c r="AG44" s="49">
        <f>VLOOKUP(B44,'SegEnds_NonXtal_Prot#'!A:AL,13,FALSE)-VLOOKUP(B44,'SegEnds_NonXtal_Prot#'!A:AL,11,FALSE)</f>
        <v>4</v>
      </c>
      <c r="AH44" s="49">
        <f>VLOOKUP(B44,'SegEnds_NonXtal_Prot#'!A:AL,16,FALSE)-VLOOKUP(B44,'SegEnds_NonXtal_Prot#'!A:AL,10,FALSE)</f>
        <v>52</v>
      </c>
      <c r="AI44" s="49">
        <f>VLOOKUP(B44,'SegEnds_NonXtal_Prot#'!A:AL,16,FALSE)-VLOOKUP(B44,'SegEnds_NonXtal_Prot#'!A:AL,11,FALSE)</f>
        <v>36</v>
      </c>
      <c r="AJ44" s="49">
        <f>VLOOKUP(B44,'SegEnds_NonXtal_Prot#'!A:AL,22,FALSE)-VLOOKUP(B44,'SegEnds_NonXtal_Prot#'!A:AL,19,FALSE)</f>
        <v>19</v>
      </c>
      <c r="AK44" s="49">
        <f>VLOOKUP(B44,'SegEnds_NonXtal_Prot#'!A:AL,15,FALSE)-VLOOKUP(B44,'SegEnds_NonXtal_Prot#'!A:AL,14,FALSE)</f>
        <v>1</v>
      </c>
      <c r="AL44" s="49">
        <f>VLOOKUP(B44,'SegEnds_NonXtal_Prot#'!A:AL,18,FALSE)-VLOOKUP(B44,'SegEnds_NonXtal_Prot#'!A:AL,17,FALSE)</f>
        <v>1</v>
      </c>
      <c r="AM44" s="2">
        <f>VLOOKUP(B44,'SegEnds_NonXtal_Prot#'!A:AL,34,FALSE)-VLOOKUP(B44,'SegEnds_NonXtal_Prot#'!A:AL,31,FALSE)</f>
        <v>39</v>
      </c>
      <c r="AN44" s="37"/>
    </row>
    <row r="45" spans="1:64" s="2" customFormat="1" x14ac:dyDescent="0.2">
      <c r="A45" s="2" t="s">
        <v>1410</v>
      </c>
      <c r="B45" s="2" t="s">
        <v>401</v>
      </c>
      <c r="C45" s="2">
        <f>IFERROR(50+VLOOKUP($A45,'SegEnds_Xtal_Prot#'!$A:$AY,5,FALSE)-VLOOKUP($B45,'SegEnds_NonXtal_Prot#'!$A:$AL,4,FALSE),"-")</f>
        <v>19</v>
      </c>
      <c r="D45" s="2">
        <f>IFERROR(50+VLOOKUP($A45,'SegEnds_Xtal_Prot#'!$A:$AY,7,FALSE)-VLOOKUP($B45,'SegEnds_NonXtal_Prot#'!$A:$AL,4,FALSE),"-")</f>
        <v>60</v>
      </c>
      <c r="E45" s="2">
        <f>IFERROR(50+VLOOKUP($A45,'SegEnds_Xtal_Prot#'!$A:$AY,9,FALSE)-VLOOKUP($B45,'SegEnds_NonXtal_Prot#'!$A:$AL,7,FALSE),"-")</f>
        <v>48</v>
      </c>
      <c r="F45" s="2">
        <f>IFERROR(50+VLOOKUP($A45,'SegEnds_Xtal_Prot#'!$A:$AY,11,FALSE)-VLOOKUP($B45,'SegEnds_NonXtal_Prot#'!$A:$AL,7,FALSE),"-")</f>
        <v>51</v>
      </c>
      <c r="G45" s="2">
        <f>IFERROR(50+VLOOKUP($A45,'SegEnds_Xtal_Prot#'!$A:$AY,13,FALSE)-VLOOKUP($B45,'SegEnds_NonXtal_Prot#'!$A:$AL,10,FALSE),"-")</f>
        <v>37</v>
      </c>
      <c r="H45" s="2">
        <f>IFERROR(50+VLOOKUP($A45,'SegEnds_Xtal_Prot#'!$A:$AY,15,FALSE)-VLOOKUP($B45,'SegEnds_NonXtal_Prot#'!$A:$AL,10,FALSE),"-")</f>
        <v>64</v>
      </c>
      <c r="I45" s="2" t="str">
        <f>IFERROR(50+VLOOKUP($A45,'SegEnds_Xtal_Prot#'!$A:$AY,17,FALSE)-VLOOKUP($B45,'SegEnds_NonXtal_Prot#'!$A:$AL,13,FALSE),"-")</f>
        <v>-</v>
      </c>
      <c r="J45" s="2" t="str">
        <f>IFERROR(50+VLOOKUP($A45,'SegEnds_Xtal_Prot#'!$A:$AY,19,FALSE)-VLOOKUP($B45,'SegEnds_NonXtal_Prot#'!$A:$AL,13,FALSE),"-")</f>
        <v>-</v>
      </c>
      <c r="K45" s="2">
        <f>IFERROR(50+VLOOKUP($A45,'SegEnds_Xtal_Prot#'!$A:$AY,21,FALSE)-VLOOKUP($B45,'SegEnds_NonXtal_Prot#'!$A:$AL,16,FALSE),"-")</f>
        <v>23</v>
      </c>
      <c r="L45" s="2">
        <f>IFERROR(50+VLOOKUP($A45,'SegEnds_Xtal_Prot#'!$A:$AY,23,FALSE)-VLOOKUP($B45,'SegEnds_NonXtal_Prot#'!$A:$AL,16,FALSE),"-")</f>
        <v>56</v>
      </c>
      <c r="M45" s="2" t="str">
        <f>IFERROR(50+VLOOKUP($A45,'SegEnds_Xtal_Prot#'!$A:$AY,25,FALSE)-VLOOKUP($B45,'SegEnds_NonXtal_Prot#'!$A:$AL,19,FALSE),"-")</f>
        <v>-</v>
      </c>
      <c r="N45" s="2" t="str">
        <f>IFERROR(50+VLOOKUP($A45,'SegEnds_Xtal_Prot#'!$A:$AY,27,FALSE)-VLOOKUP($B45,'SegEnds_NonXtal_Prot#'!$A:$AL,19,FALSE),"-")</f>
        <v>-</v>
      </c>
      <c r="O45" s="2">
        <f>IFERROR(50+VLOOKUP($A45,'SegEnds_Xtal_Prot#'!$A:$AY,29,FALSE)-VLOOKUP($B45,'SegEnds_NonXtal_Prot#'!$A:$AL,22,FALSE),"-")</f>
        <v>41</v>
      </c>
      <c r="P45" s="2">
        <f>IFERROR(50+VLOOKUP($A45,'SegEnds_Xtal_Prot#'!$A:$AY,31,FALSE)-VLOOKUP($B45,'SegEnds_NonXtal_Prot#'!$A:$AL,22,FALSE),"-")</f>
        <v>68</v>
      </c>
      <c r="Q45" s="2">
        <f>IFERROR(50+VLOOKUP($A45,'SegEnds_Xtal_Prot#'!$A:$AY,33,FALSE)-VLOOKUP($B45,'SegEnds_NonXtal_Prot#'!$A:$AL,25,FALSE),"-")</f>
        <v>50</v>
      </c>
      <c r="R45" s="2">
        <f>IFERROR(50+VLOOKUP($A45,'SegEnds_Xtal_Prot#'!$A:$AY,35,FALSE)-VLOOKUP($B45,'SegEnds_NonXtal_Prot#'!$A:$AL,25,FALSE),"-")</f>
        <v>52</v>
      </c>
      <c r="S45" s="2">
        <f>IFERROR(50+VLOOKUP($A45,'SegEnds_Xtal_Prot#'!$A:$AY,37,FALSE)-VLOOKUP($B45,'SegEnds_NonXtal_Prot#'!$A:$AL,28,FALSE),"-")</f>
        <v>40</v>
      </c>
      <c r="T45" s="2">
        <f>IFERROR(50+VLOOKUP($A45,'SegEnds_Xtal_Prot#'!$A:$AY,39,FALSE)-VLOOKUP($B45,'SegEnds_NonXtal_Prot#'!$A:$AL,28,FALSE),"-")</f>
        <v>70</v>
      </c>
      <c r="U45" s="2">
        <f>IFERROR(50+VLOOKUP($A45,'SegEnds_Xtal_Prot#'!$A:$AY,41,FALSE)-VLOOKUP($B45,'SegEnds_NonXtal_Prot#'!$A:$AL,31,FALSE),"-")</f>
        <v>30</v>
      </c>
      <c r="V45" s="2">
        <f>IFERROR(50+VLOOKUP($A45,'SegEnds_Xtal_Prot#'!$A:$AY,43,FALSE)-VLOOKUP($B45,'SegEnds_NonXtal_Prot#'!$A:$AL,31,FALSE),"-")</f>
        <v>53</v>
      </c>
      <c r="W45" s="2">
        <f>IFERROR(50+VLOOKUP($A45,'SegEnds_Xtal_Prot#'!$A:$AY,45,FALSE)-VLOOKUP($B45,'SegEnds_NonXtal_Prot#'!$A:$AL,34,FALSE),"-")</f>
        <v>28</v>
      </c>
      <c r="X45" s="2">
        <f>IFERROR(50+VLOOKUP($A45,'SegEnds_Xtal_Prot#'!$A:$AY,47,FALSE)-VLOOKUP($B45,'SegEnds_NonXtal_Prot#'!$A:$AL,34,FALSE),"-")</f>
        <v>56</v>
      </c>
      <c r="Y45" s="2">
        <f>IFERROR(50+VLOOKUP($A45,'SegEnds_Xtal_Prot#'!$A:$AY,49,FALSE)-VLOOKUP($B45,'SegEnds_NonXtal_Prot#'!$A:$AL,37,FALSE),"-")</f>
        <v>47</v>
      </c>
      <c r="Z45" s="2">
        <f>IFERROR(50+VLOOKUP($A45,'SegEnds_Xtal_Prot#'!$A:$AY,51,FALSE)-VLOOKUP($B45,'SegEnds_NonXtal_Prot#'!$A:$AL,37,FALSE),"-")</f>
        <v>72</v>
      </c>
      <c r="AA45" s="49" t="str">
        <f>VLOOKUP(B45,Classification!A:D,2,FALSE)</f>
        <v>B1</v>
      </c>
      <c r="AB45" s="94" t="str">
        <f>VLOOKUP(B45,Classification!A:D,4,0)</f>
        <v>Calcitonin</v>
      </c>
      <c r="AC45" s="49">
        <f>VLOOKUP(B45,'SegEnds_NonXtal_Prot#'!A:AL,6,FALSE)-VLOOKUP(B45,'SegEnds_NonXtal_Prot#'!A:AL,5,FALSE)</f>
        <v>1</v>
      </c>
      <c r="AD45" s="49">
        <f>VLOOKUP(B45,'SegEnds_NonXtal_Prot#'!A:AL,9,FALSE)-VLOOKUP(B45,'SegEnds_NonXtal_Prot#'!A:AL,8,FALSE)</f>
        <v>1</v>
      </c>
      <c r="AE45" s="49" t="e">
        <f>VLOOKUP(B45,'SegEnds_NonXtal_Prot#'!A:AL,13,FALSE)-VLOOKUP(B45,'SegEnds_NonXtal_Prot#'!A:AL,10,FALSE)</f>
        <v>#VALUE!</v>
      </c>
      <c r="AF45" s="49" t="e">
        <f>VLOOKUP(B45,'SegEnds_NonXtal_Prot#'!A:AL,12,FALSE)-VLOOKUP(B45,'SegEnds_NonXtal_Prot#'!A:AL,11,FALSE)</f>
        <v>#VALUE!</v>
      </c>
      <c r="AG45" s="49" t="e">
        <f>VLOOKUP(B45,'SegEnds_NonXtal_Prot#'!A:AL,13,FALSE)-VLOOKUP(B45,'SegEnds_NonXtal_Prot#'!A:AL,11,FALSE)</f>
        <v>#VALUE!</v>
      </c>
      <c r="AH45" s="49">
        <f>VLOOKUP(B45,'SegEnds_NonXtal_Prot#'!A:AL,16,FALSE)-VLOOKUP(B45,'SegEnds_NonXtal_Prot#'!A:AL,10,FALSE)</f>
        <v>53</v>
      </c>
      <c r="AI45" s="49">
        <f>VLOOKUP(B45,'SegEnds_NonXtal_Prot#'!A:AL,16,FALSE)-VLOOKUP(B45,'SegEnds_NonXtal_Prot#'!A:AL,11,FALSE)</f>
        <v>39</v>
      </c>
      <c r="AJ45" s="49" t="e">
        <f>VLOOKUP(B45,'SegEnds_NonXtal_Prot#'!A:AL,22,FALSE)-VLOOKUP(B45,'SegEnds_NonXtal_Prot#'!A:AL,19,FALSE)</f>
        <v>#VALUE!</v>
      </c>
      <c r="AK45" s="49" t="e">
        <f>VLOOKUP(B45,'SegEnds_NonXtal_Prot#'!A:AL,15,FALSE)-VLOOKUP(B45,'SegEnds_NonXtal_Prot#'!A:AL,14,FALSE)</f>
        <v>#VALUE!</v>
      </c>
      <c r="AL45" s="49" t="e">
        <f>VLOOKUP(B45,'SegEnds_NonXtal_Prot#'!A:AL,18,FALSE)-VLOOKUP(B45,'SegEnds_NonXtal_Prot#'!A:AL,17,FALSE)</f>
        <v>#VALUE!</v>
      </c>
      <c r="AM45" s="2">
        <f>VLOOKUP(B45,'SegEnds_NonXtal_Prot#'!A:AL,34,FALSE)-VLOOKUP(B45,'SegEnds_NonXtal_Prot#'!A:AL,31,FALSE)</f>
        <v>30</v>
      </c>
      <c r="AN45" s="37"/>
    </row>
    <row r="46" spans="1:64" s="2" customFormat="1" x14ac:dyDescent="0.2">
      <c r="A46" s="2" t="s">
        <v>1255</v>
      </c>
      <c r="B46" s="2" t="s">
        <v>38</v>
      </c>
      <c r="C46" s="2">
        <f>IFERROR(50+VLOOKUP($A46,'SegEnds_Xtal_Prot#'!$A:$AY,5,FALSE)-VLOOKUP($B46,'SegEnds_NonXtal_Prot#'!$A:$AL,4,FALSE),"-")</f>
        <v>19</v>
      </c>
      <c r="D46" s="2">
        <f>IFERROR(50+VLOOKUP($A46,'SegEnds_Xtal_Prot#'!$A:$AY,7,FALSE)-VLOOKUP($B46,'SegEnds_NonXtal_Prot#'!$A:$AL,4,FALSE),"-")</f>
        <v>60</v>
      </c>
      <c r="E46" s="2">
        <f>IFERROR(50+VLOOKUP($A46,'SegEnds_Xtal_Prot#'!$A:$AY,9,FALSE)-VLOOKUP($B46,'SegEnds_NonXtal_Prot#'!$A:$AL,7,FALSE),"-")</f>
        <v>48</v>
      </c>
      <c r="F46" s="2">
        <f>IFERROR(50+VLOOKUP($A46,'SegEnds_Xtal_Prot#'!$A:$AY,11,FALSE)-VLOOKUP($B46,'SegEnds_NonXtal_Prot#'!$A:$AL,7,FALSE),"-")</f>
        <v>51</v>
      </c>
      <c r="G46" s="2">
        <f>IFERROR(50+VLOOKUP($A46,'SegEnds_Xtal_Prot#'!$A:$AY,13,FALSE)-VLOOKUP($B46,'SegEnds_NonXtal_Prot#'!$A:$AL,10,FALSE),"-")</f>
        <v>37</v>
      </c>
      <c r="H46" s="2">
        <f>IFERROR(50+VLOOKUP($A46,'SegEnds_Xtal_Prot#'!$A:$AY,15,FALSE)-VLOOKUP($B46,'SegEnds_NonXtal_Prot#'!$A:$AL,10,FALSE),"-")</f>
        <v>63</v>
      </c>
      <c r="I46" s="2" t="str">
        <f>IFERROR(50+VLOOKUP($A46,'SegEnds_Xtal_Prot#'!$A:$AY,17,FALSE)-VLOOKUP($B46,'SegEnds_NonXtal_Prot#'!$A:$AL,13,FALSE),"-")</f>
        <v>-</v>
      </c>
      <c r="J46" s="2" t="str">
        <f>IFERROR(50+VLOOKUP($A46,'SegEnds_Xtal_Prot#'!$A:$AY,19,FALSE)-VLOOKUP($B46,'SegEnds_NonXtal_Prot#'!$A:$AL,13,FALSE),"-")</f>
        <v>-</v>
      </c>
      <c r="K46" s="2">
        <f>IFERROR(50+VLOOKUP($A46,'SegEnds_Xtal_Prot#'!$A:$AY,21,FALSE)-VLOOKUP($B46,'SegEnds_NonXtal_Prot#'!$A:$AL,16,FALSE),"-")</f>
        <v>22</v>
      </c>
      <c r="L46" s="2">
        <f>IFERROR(50+VLOOKUP($A46,'SegEnds_Xtal_Prot#'!$A:$AY,23,FALSE)-VLOOKUP($B46,'SegEnds_NonXtal_Prot#'!$A:$AL,16,FALSE),"-")</f>
        <v>56</v>
      </c>
      <c r="M46" s="2" t="str">
        <f>IFERROR(50+VLOOKUP($A46,'SegEnds_Xtal_Prot#'!$A:$AY,25,FALSE)-VLOOKUP($B46,'SegEnds_NonXtal_Prot#'!$A:$AL,19,FALSE),"-")</f>
        <v>-</v>
      </c>
      <c r="N46" s="2" t="str">
        <f>IFERROR(50+VLOOKUP($A46,'SegEnds_Xtal_Prot#'!$A:$AY,27,FALSE)-VLOOKUP($B46,'SegEnds_NonXtal_Prot#'!$A:$AL,19,FALSE),"-")</f>
        <v>-</v>
      </c>
      <c r="O46" s="2">
        <f>IFERROR(50+VLOOKUP($A46,'SegEnds_Xtal_Prot#'!$A:$AY,29,FALSE)-VLOOKUP($B46,'SegEnds_NonXtal_Prot#'!$A:$AL,22,FALSE),"-")</f>
        <v>40</v>
      </c>
      <c r="P46" s="2">
        <f>IFERROR(50+VLOOKUP($A46,'SegEnds_Xtal_Prot#'!$A:$AY,31,FALSE)-VLOOKUP($B46,'SegEnds_NonXtal_Prot#'!$A:$AL,22,FALSE),"-")</f>
        <v>68</v>
      </c>
      <c r="Q46" s="2">
        <f>IFERROR(50+VLOOKUP($A46,'SegEnds_Xtal_Prot#'!$A:$AY,33,FALSE)-VLOOKUP($B46,'SegEnds_NonXtal_Prot#'!$A:$AL,25,FALSE),"-")</f>
        <v>50</v>
      </c>
      <c r="R46" s="2">
        <f>IFERROR(50+VLOOKUP($A46,'SegEnds_Xtal_Prot#'!$A:$AY,35,FALSE)-VLOOKUP($B46,'SegEnds_NonXtal_Prot#'!$A:$AL,25,FALSE),"-")</f>
        <v>52</v>
      </c>
      <c r="S46" s="2">
        <f>IFERROR(50+VLOOKUP($A46,'SegEnds_Xtal_Prot#'!$A:$AY,37,FALSE)-VLOOKUP($B46,'SegEnds_NonXtal_Prot#'!$A:$AL,28,FALSE),"-")</f>
        <v>39</v>
      </c>
      <c r="T46" s="2">
        <f>IFERROR(50+VLOOKUP($A46,'SegEnds_Xtal_Prot#'!$A:$AY,39,FALSE)-VLOOKUP($B46,'SegEnds_NonXtal_Prot#'!$A:$AL,28,FALSE),"-")</f>
        <v>69</v>
      </c>
      <c r="U46" s="2">
        <f>IFERROR(50+VLOOKUP($A46,'SegEnds_Xtal_Prot#'!$A:$AY,41,FALSE)-VLOOKUP($B46,'SegEnds_NonXtal_Prot#'!$A:$AL,31,FALSE),"-")</f>
        <v>25</v>
      </c>
      <c r="V46" s="2">
        <f>IFERROR(50+VLOOKUP($A46,'SegEnds_Xtal_Prot#'!$A:$AY,43,FALSE)-VLOOKUP($B46,'SegEnds_NonXtal_Prot#'!$A:$AL,31,FALSE),"-")</f>
        <v>53</v>
      </c>
      <c r="W46" s="2">
        <f>IFERROR(50+VLOOKUP($A46,'SegEnds_Xtal_Prot#'!$A:$AY,45,FALSE)-VLOOKUP($B46,'SegEnds_NonXtal_Prot#'!$A:$AL,34,FALSE),"-")</f>
        <v>29</v>
      </c>
      <c r="X46" s="2">
        <f>IFERROR(50+VLOOKUP($A46,'SegEnds_Xtal_Prot#'!$A:$AY,47,FALSE)-VLOOKUP($B46,'SegEnds_NonXtal_Prot#'!$A:$AL,34,FALSE),"-")</f>
        <v>56</v>
      </c>
      <c r="Y46" s="2">
        <f>IFERROR(50+VLOOKUP($A46,'SegEnds_Xtal_Prot#'!$A:$AY,49,FALSE)-VLOOKUP($B46,'SegEnds_NonXtal_Prot#'!$A:$AL,37,FALSE),"-")</f>
        <v>47</v>
      </c>
      <c r="Z46" s="2">
        <f>IFERROR(50+VLOOKUP($A46,'SegEnds_Xtal_Prot#'!$A:$AY,51,FALSE)-VLOOKUP($B46,'SegEnds_NonXtal_Prot#'!$A:$AL,37,FALSE),"-")</f>
        <v>72</v>
      </c>
      <c r="AA46" s="49" t="str">
        <f>VLOOKUP(B46,Classification!A:D,2,FALSE)</f>
        <v>B1</v>
      </c>
      <c r="AB46" s="94" t="str">
        <f>VLOOKUP(B46,Classification!A:D,4,0)</f>
        <v>Corticotropin-releasingfact</v>
      </c>
      <c r="AC46" s="49">
        <f>VLOOKUP(B46,'SegEnds_NonXtal_Prot#'!A:AL,6,FALSE)-VLOOKUP(B46,'SegEnds_NonXtal_Prot#'!A:AL,5,FALSE)</f>
        <v>1</v>
      </c>
      <c r="AD46" s="49">
        <f>VLOOKUP(B46,'SegEnds_NonXtal_Prot#'!A:AL,9,FALSE)-VLOOKUP(B46,'SegEnds_NonXtal_Prot#'!A:AL,8,FALSE)</f>
        <v>1</v>
      </c>
      <c r="AE46" s="49" t="e">
        <f>VLOOKUP(B46,'SegEnds_NonXtal_Prot#'!A:AL,13,FALSE)-VLOOKUP(B46,'SegEnds_NonXtal_Prot#'!A:AL,10,FALSE)</f>
        <v>#VALUE!</v>
      </c>
      <c r="AF46" s="49" t="e">
        <f>VLOOKUP(B46,'SegEnds_NonXtal_Prot#'!A:AL,12,FALSE)-VLOOKUP(B46,'SegEnds_NonXtal_Prot#'!A:AL,11,FALSE)</f>
        <v>#VALUE!</v>
      </c>
      <c r="AG46" s="49" t="e">
        <f>VLOOKUP(B46,'SegEnds_NonXtal_Prot#'!A:AL,13,FALSE)-VLOOKUP(B46,'SegEnds_NonXtal_Prot#'!A:AL,11,FALSE)</f>
        <v>#VALUE!</v>
      </c>
      <c r="AH46" s="49">
        <f>VLOOKUP(B46,'SegEnds_NonXtal_Prot#'!A:AL,16,FALSE)-VLOOKUP(B46,'SegEnds_NonXtal_Prot#'!A:AL,10,FALSE)</f>
        <v>51</v>
      </c>
      <c r="AI46" s="49">
        <f>VLOOKUP(B46,'SegEnds_NonXtal_Prot#'!A:AL,16,FALSE)-VLOOKUP(B46,'SegEnds_NonXtal_Prot#'!A:AL,11,FALSE)</f>
        <v>38</v>
      </c>
      <c r="AJ46" s="49" t="e">
        <f>VLOOKUP(B46,'SegEnds_NonXtal_Prot#'!A:AL,22,FALSE)-VLOOKUP(B46,'SegEnds_NonXtal_Prot#'!A:AL,19,FALSE)</f>
        <v>#VALUE!</v>
      </c>
      <c r="AK46" s="49" t="e">
        <f>VLOOKUP(B46,'SegEnds_NonXtal_Prot#'!A:AL,15,FALSE)-VLOOKUP(B46,'SegEnds_NonXtal_Prot#'!A:AL,14,FALSE)</f>
        <v>#VALUE!</v>
      </c>
      <c r="AL46" s="49" t="e">
        <f>VLOOKUP(B46,'SegEnds_NonXtal_Prot#'!A:AL,18,FALSE)-VLOOKUP(B46,'SegEnds_NonXtal_Prot#'!A:AL,17,FALSE)</f>
        <v>#VALUE!</v>
      </c>
      <c r="AM46" s="2">
        <f>VLOOKUP(B46,'SegEnds_NonXtal_Prot#'!A:AL,34,FALSE)-VLOOKUP(B46,'SegEnds_NonXtal_Prot#'!A:AL,31,FALSE)</f>
        <v>31</v>
      </c>
      <c r="AN46" s="39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</row>
    <row r="47" spans="1:64" s="2" customFormat="1" x14ac:dyDescent="0.2">
      <c r="A47" s="2" t="s">
        <v>1259</v>
      </c>
      <c r="B47" s="2" t="s">
        <v>32</v>
      </c>
      <c r="C47" s="2">
        <f>IFERROR(50+VLOOKUP($A47,'SegEnds_Xtal_Prot#'!$A:$AY,5,FALSE)-VLOOKUP($B47,'SegEnds_NonXtal_Prot#'!$A:$AL,4,FALSE),"-")</f>
        <v>25</v>
      </c>
      <c r="D47" s="2">
        <f>IFERROR(50+VLOOKUP($A47,'SegEnds_Xtal_Prot#'!$A:$AY,7,FALSE)-VLOOKUP($B47,'SegEnds_NonXtal_Prot#'!$A:$AL,4,FALSE),"-")</f>
        <v>60</v>
      </c>
      <c r="E47" s="2">
        <f>IFERROR(50+VLOOKUP($A47,'SegEnds_Xtal_Prot#'!$A:$AY,9,FALSE)-VLOOKUP($B47,'SegEnds_NonXtal_Prot#'!$A:$AL,7,FALSE),"-")</f>
        <v>48</v>
      </c>
      <c r="F47" s="2">
        <f>IFERROR(50+VLOOKUP($A47,'SegEnds_Xtal_Prot#'!$A:$AY,11,FALSE)-VLOOKUP($B47,'SegEnds_NonXtal_Prot#'!$A:$AL,7,FALSE),"-")</f>
        <v>51</v>
      </c>
      <c r="G47" s="2">
        <f>IFERROR(50+VLOOKUP($A47,'SegEnds_Xtal_Prot#'!$A:$AY,13,FALSE)-VLOOKUP($B47,'SegEnds_NonXtal_Prot#'!$A:$AL,10,FALSE),"-")</f>
        <v>37</v>
      </c>
      <c r="H47" s="2">
        <f>IFERROR(50+VLOOKUP($A47,'SegEnds_Xtal_Prot#'!$A:$AY,15,FALSE)-VLOOKUP($B47,'SegEnds_NonXtal_Prot#'!$A:$AL,10,FALSE),"-")</f>
        <v>69</v>
      </c>
      <c r="I47" s="2" t="str">
        <f>IFERROR(50+VLOOKUP($A47,'SegEnds_Xtal_Prot#'!$A:$AY,17,FALSE)-VLOOKUP($B47,'SegEnds_NonXtal_Prot#'!$A:$AL,13,FALSE),"-")</f>
        <v>-</v>
      </c>
      <c r="J47" s="2" t="str">
        <f>IFERROR(50+VLOOKUP($A47,'SegEnds_Xtal_Prot#'!$A:$AY,19,FALSE)-VLOOKUP($B47,'SegEnds_NonXtal_Prot#'!$A:$AL,13,FALSE),"-")</f>
        <v>-</v>
      </c>
      <c r="K47" s="2">
        <f>IFERROR(50+VLOOKUP($A47,'SegEnds_Xtal_Prot#'!$A:$AY,21,FALSE)-VLOOKUP($B47,'SegEnds_NonXtal_Prot#'!$A:$AL,16,FALSE),"-")</f>
        <v>21</v>
      </c>
      <c r="L47" s="2">
        <f>IFERROR(50+VLOOKUP($A47,'SegEnds_Xtal_Prot#'!$A:$AY,23,FALSE)-VLOOKUP($B47,'SegEnds_NonXtal_Prot#'!$A:$AL,16,FALSE),"-")</f>
        <v>56</v>
      </c>
      <c r="M47" s="2" t="str">
        <f>IFERROR(50+VLOOKUP($A47,'SegEnds_Xtal_Prot#'!$A:$AY,25,FALSE)-VLOOKUP($B47,'SegEnds_NonXtal_Prot#'!$A:$AL,19,FALSE),"-")</f>
        <v>-</v>
      </c>
      <c r="N47" s="2" t="str">
        <f>IFERROR(50+VLOOKUP($A47,'SegEnds_Xtal_Prot#'!$A:$AY,27,FALSE)-VLOOKUP($B47,'SegEnds_NonXtal_Prot#'!$A:$AL,19,FALSE),"-")</f>
        <v>-</v>
      </c>
      <c r="O47" s="2">
        <f>IFERROR(50+VLOOKUP($A47,'SegEnds_Xtal_Prot#'!$A:$AY,29,FALSE)-VLOOKUP($B47,'SegEnds_NonXtal_Prot#'!$A:$AL,22,FALSE),"-")</f>
        <v>40</v>
      </c>
      <c r="P47" s="2">
        <f>IFERROR(50+VLOOKUP($A47,'SegEnds_Xtal_Prot#'!$A:$AY,31,FALSE)-VLOOKUP($B47,'SegEnds_NonXtal_Prot#'!$A:$AL,22,FALSE),"-")</f>
        <v>68</v>
      </c>
      <c r="Q47" s="2">
        <f>IFERROR(50+VLOOKUP($A47,'SegEnds_Xtal_Prot#'!$A:$AY,33,FALSE)-VLOOKUP($B47,'SegEnds_NonXtal_Prot#'!$A:$AL,25,FALSE),"-")</f>
        <v>50</v>
      </c>
      <c r="R47" s="2">
        <f>IFERROR(50+VLOOKUP($A47,'SegEnds_Xtal_Prot#'!$A:$AY,35,FALSE)-VLOOKUP($B47,'SegEnds_NonXtal_Prot#'!$A:$AL,25,FALSE),"-")</f>
        <v>52</v>
      </c>
      <c r="S47" s="2">
        <f>IFERROR(50+VLOOKUP($A47,'SegEnds_Xtal_Prot#'!$A:$AY,37,FALSE)-VLOOKUP($B47,'SegEnds_NonXtal_Prot#'!$A:$AL,28,FALSE),"-")</f>
        <v>36</v>
      </c>
      <c r="T47" s="2">
        <f>IFERROR(50+VLOOKUP($A47,'SegEnds_Xtal_Prot#'!$A:$AY,39,FALSE)-VLOOKUP($B47,'SegEnds_NonXtal_Prot#'!$A:$AL,28,FALSE),"-")</f>
        <v>71</v>
      </c>
      <c r="U47" s="2">
        <f>IFERROR(50+VLOOKUP($A47,'SegEnds_Xtal_Prot#'!$A:$AY,41,FALSE)-VLOOKUP($B47,'SegEnds_NonXtal_Prot#'!$A:$AL,31,FALSE),"-")</f>
        <v>28</v>
      </c>
      <c r="V47" s="2">
        <f>IFERROR(50+VLOOKUP($A47,'SegEnds_Xtal_Prot#'!$A:$AY,43,FALSE)-VLOOKUP($B47,'SegEnds_NonXtal_Prot#'!$A:$AL,31,FALSE),"-")</f>
        <v>53</v>
      </c>
      <c r="W47" s="2">
        <f>IFERROR(50+VLOOKUP($A47,'SegEnds_Xtal_Prot#'!$A:$AY,45,FALSE)-VLOOKUP($B47,'SegEnds_NonXtal_Prot#'!$A:$AL,34,FALSE),"-")</f>
        <v>27</v>
      </c>
      <c r="X47" s="2">
        <f>IFERROR(50+VLOOKUP($A47,'SegEnds_Xtal_Prot#'!$A:$AY,47,FALSE)-VLOOKUP($B47,'SegEnds_NonXtal_Prot#'!$A:$AL,34,FALSE),"-")</f>
        <v>56</v>
      </c>
      <c r="Y47" s="2">
        <f>IFERROR(50+VLOOKUP($A47,'SegEnds_Xtal_Prot#'!$A:$AY,49,FALSE)-VLOOKUP($B47,'SegEnds_NonXtal_Prot#'!$A:$AL,37,FALSE),"-")</f>
        <v>47</v>
      </c>
      <c r="Z47" s="2">
        <f>IFERROR(50+VLOOKUP($A47,'SegEnds_Xtal_Prot#'!$A:$AY,51,FALSE)-VLOOKUP($B47,'SegEnds_NonXtal_Prot#'!$A:$AL,37,FALSE),"-")</f>
        <v>72</v>
      </c>
      <c r="AA47" s="49" t="str">
        <f>VLOOKUP(B47,Classification!A:D,2,FALSE)</f>
        <v>B1</v>
      </c>
      <c r="AB47" s="94" t="str">
        <f>VLOOKUP(B47,Classification!A:D,4,0)</f>
        <v>Glucagonreceptorfamily</v>
      </c>
      <c r="AC47" s="49">
        <f>VLOOKUP(B47,'SegEnds_NonXtal_Prot#'!A:AL,6,FALSE)-VLOOKUP(B47,'SegEnds_NonXtal_Prot#'!A:AL,5,FALSE)</f>
        <v>1</v>
      </c>
      <c r="AD47" s="49">
        <f>VLOOKUP(B47,'SegEnds_NonXtal_Prot#'!A:AL,9,FALSE)-VLOOKUP(B47,'SegEnds_NonXtal_Prot#'!A:AL,8,FALSE)</f>
        <v>1</v>
      </c>
      <c r="AE47" s="49" t="e">
        <f>VLOOKUP(B47,'SegEnds_NonXtal_Prot#'!A:AL,13,FALSE)-VLOOKUP(B47,'SegEnds_NonXtal_Prot#'!A:AL,10,FALSE)</f>
        <v>#VALUE!</v>
      </c>
      <c r="AF47" s="49" t="e">
        <f>VLOOKUP(B47,'SegEnds_NonXtal_Prot#'!A:AL,12,FALSE)-VLOOKUP(B47,'SegEnds_NonXtal_Prot#'!A:AL,11,FALSE)</f>
        <v>#VALUE!</v>
      </c>
      <c r="AG47" s="49" t="e">
        <f>VLOOKUP(B47,'SegEnds_NonXtal_Prot#'!A:AL,13,FALSE)-VLOOKUP(B47,'SegEnds_NonXtal_Prot#'!A:AL,11,FALSE)</f>
        <v>#VALUE!</v>
      </c>
      <c r="AH47" s="49">
        <f>VLOOKUP(B47,'SegEnds_NonXtal_Prot#'!A:AL,16,FALSE)-VLOOKUP(B47,'SegEnds_NonXtal_Prot#'!A:AL,10,FALSE)</f>
        <v>65</v>
      </c>
      <c r="AI47" s="49">
        <f>VLOOKUP(B47,'SegEnds_NonXtal_Prot#'!A:AL,16,FALSE)-VLOOKUP(B47,'SegEnds_NonXtal_Prot#'!A:AL,11,FALSE)</f>
        <v>46</v>
      </c>
      <c r="AJ47" s="49" t="e">
        <f>VLOOKUP(B47,'SegEnds_NonXtal_Prot#'!A:AL,22,FALSE)-VLOOKUP(B47,'SegEnds_NonXtal_Prot#'!A:AL,19,FALSE)</f>
        <v>#VALUE!</v>
      </c>
      <c r="AK47" s="49" t="e">
        <f>VLOOKUP(B47,'SegEnds_NonXtal_Prot#'!A:AL,15,FALSE)-VLOOKUP(B47,'SegEnds_NonXtal_Prot#'!A:AL,14,FALSE)</f>
        <v>#VALUE!</v>
      </c>
      <c r="AL47" s="49" t="e">
        <f>VLOOKUP(B47,'SegEnds_NonXtal_Prot#'!A:AL,18,FALSE)-VLOOKUP(B47,'SegEnds_NonXtal_Prot#'!A:AL,17,FALSE)</f>
        <v>#VALUE!</v>
      </c>
      <c r="AM47" s="2">
        <f>VLOOKUP(B47,'SegEnds_NonXtal_Prot#'!A:AL,34,FALSE)-VLOOKUP(B47,'SegEnds_NonXtal_Prot#'!A:AL,31,FALSE)</f>
        <v>33</v>
      </c>
      <c r="AN47" s="37"/>
    </row>
    <row r="48" spans="1:64" s="2" customFormat="1" x14ac:dyDescent="0.2">
      <c r="A48" s="2" t="s">
        <v>1416</v>
      </c>
      <c r="B48" s="2" t="s">
        <v>406</v>
      </c>
      <c r="C48" s="2">
        <f>IFERROR(50+VLOOKUP($A48,'SegEnds_Xtal_Prot#'!$A:$AY,5,FALSE)-VLOOKUP($B48,'SegEnds_NonXtal_Prot#'!$A:$AL,4,FALSE),"-")</f>
        <v>29</v>
      </c>
      <c r="D48" s="2">
        <f>IFERROR(50+VLOOKUP($A48,'SegEnds_Xtal_Prot#'!$A:$AY,7,FALSE)-VLOOKUP($B48,'SegEnds_NonXtal_Prot#'!$A:$AL,4,FALSE),"-")</f>
        <v>60</v>
      </c>
      <c r="E48" s="2">
        <f>IFERROR(50+VLOOKUP($A48,'SegEnds_Xtal_Prot#'!$A:$AY,9,FALSE)-VLOOKUP($B48,'SegEnds_NonXtal_Prot#'!$A:$AL,7,FALSE),"-")</f>
        <v>48</v>
      </c>
      <c r="F48" s="2">
        <f>IFERROR(50+VLOOKUP($A48,'SegEnds_Xtal_Prot#'!$A:$AY,11,FALSE)-VLOOKUP($B48,'SegEnds_NonXtal_Prot#'!$A:$AL,7,FALSE),"-")</f>
        <v>51</v>
      </c>
      <c r="G48" s="2">
        <f>IFERROR(50+VLOOKUP($A48,'SegEnds_Xtal_Prot#'!$A:$AY,13,FALSE)-VLOOKUP($B48,'SegEnds_NonXtal_Prot#'!$A:$AL,10,FALSE),"-")</f>
        <v>37</v>
      </c>
      <c r="H48" s="2">
        <f>IFERROR(50+VLOOKUP($A48,'SegEnds_Xtal_Prot#'!$A:$AY,15,FALSE)-VLOOKUP($B48,'SegEnds_NonXtal_Prot#'!$A:$AL,10,FALSE),"-")</f>
        <v>69</v>
      </c>
      <c r="I48" s="2" t="str">
        <f>IFERROR(50+VLOOKUP($A48,'SegEnds_Xtal_Prot#'!$A:$AY,17,FALSE)-VLOOKUP($B48,'SegEnds_NonXtal_Prot#'!$A:$AL,13,FALSE),"-")</f>
        <v>-</v>
      </c>
      <c r="J48" s="2" t="str">
        <f>IFERROR(50+VLOOKUP($A48,'SegEnds_Xtal_Prot#'!$A:$AY,19,FALSE)-VLOOKUP($B48,'SegEnds_NonXtal_Prot#'!$A:$AL,13,FALSE),"-")</f>
        <v>-</v>
      </c>
      <c r="K48" s="2">
        <f>IFERROR(50+VLOOKUP($A48,'SegEnds_Xtal_Prot#'!$A:$AY,21,FALSE)-VLOOKUP($B48,'SegEnds_NonXtal_Prot#'!$A:$AL,16,FALSE),"-")</f>
        <v>23</v>
      </c>
      <c r="L48" s="2">
        <f>IFERROR(50+VLOOKUP($A48,'SegEnds_Xtal_Prot#'!$A:$AY,23,FALSE)-VLOOKUP($B48,'SegEnds_NonXtal_Prot#'!$A:$AL,16,FALSE),"-")</f>
        <v>56</v>
      </c>
      <c r="M48" s="2" t="str">
        <f>IFERROR(50+VLOOKUP($A48,'SegEnds_Xtal_Prot#'!$A:$AY,25,FALSE)-VLOOKUP($B48,'SegEnds_NonXtal_Prot#'!$A:$AL,19,FALSE),"-")</f>
        <v>-</v>
      </c>
      <c r="N48" s="2" t="str">
        <f>IFERROR(50+VLOOKUP($A48,'SegEnds_Xtal_Prot#'!$A:$AY,27,FALSE)-VLOOKUP($B48,'SegEnds_NonXtal_Prot#'!$A:$AL,19,FALSE),"-")</f>
        <v>-</v>
      </c>
      <c r="O48" s="2">
        <f>IFERROR(50+VLOOKUP($A48,'SegEnds_Xtal_Prot#'!$A:$AY,29,FALSE)-VLOOKUP($B48,'SegEnds_NonXtal_Prot#'!$A:$AL,22,FALSE),"-")</f>
        <v>38</v>
      </c>
      <c r="P48" s="2">
        <f>IFERROR(50+VLOOKUP($A48,'SegEnds_Xtal_Prot#'!$A:$AY,31,FALSE)-VLOOKUP($B48,'SegEnds_NonXtal_Prot#'!$A:$AL,22,FALSE),"-")</f>
        <v>68</v>
      </c>
      <c r="Q48" s="2">
        <f>IFERROR(50+VLOOKUP($A48,'SegEnds_Xtal_Prot#'!$A:$AY,33,FALSE)-VLOOKUP($B48,'SegEnds_NonXtal_Prot#'!$A:$AL,25,FALSE),"-")</f>
        <v>50</v>
      </c>
      <c r="R48" s="2">
        <f>IFERROR(50+VLOOKUP($A48,'SegEnds_Xtal_Prot#'!$A:$AY,35,FALSE)-VLOOKUP($B48,'SegEnds_NonXtal_Prot#'!$A:$AL,25,FALSE),"-")</f>
        <v>52</v>
      </c>
      <c r="S48" s="2">
        <f>IFERROR(50+VLOOKUP($A48,'SegEnds_Xtal_Prot#'!$A:$AY,37,FALSE)-VLOOKUP($B48,'SegEnds_NonXtal_Prot#'!$A:$AL,28,FALSE),"-")</f>
        <v>36</v>
      </c>
      <c r="T48" s="2">
        <f>IFERROR(50+VLOOKUP($A48,'SegEnds_Xtal_Prot#'!$A:$AY,39,FALSE)-VLOOKUP($B48,'SegEnds_NonXtal_Prot#'!$A:$AL,28,FALSE),"-")</f>
        <v>71</v>
      </c>
      <c r="U48" s="2">
        <f>IFERROR(50+VLOOKUP($A48,'SegEnds_Xtal_Prot#'!$A:$AY,41,FALSE)-VLOOKUP($B48,'SegEnds_NonXtal_Prot#'!$A:$AL,31,FALSE),"-")</f>
        <v>28</v>
      </c>
      <c r="V48" s="2">
        <f>IFERROR(50+VLOOKUP($A48,'SegEnds_Xtal_Prot#'!$A:$AY,43,FALSE)-VLOOKUP($B48,'SegEnds_NonXtal_Prot#'!$A:$AL,31,FALSE),"-")</f>
        <v>53</v>
      </c>
      <c r="W48" s="2">
        <f>IFERROR(50+VLOOKUP($A48,'SegEnds_Xtal_Prot#'!$A:$AY,45,FALSE)-VLOOKUP($B48,'SegEnds_NonXtal_Prot#'!$A:$AL,34,FALSE),"-")</f>
        <v>28</v>
      </c>
      <c r="X48" s="2">
        <f>IFERROR(50+VLOOKUP($A48,'SegEnds_Xtal_Prot#'!$A:$AY,47,FALSE)-VLOOKUP($B48,'SegEnds_NonXtal_Prot#'!$A:$AL,34,FALSE),"-")</f>
        <v>56</v>
      </c>
      <c r="Y48" s="2">
        <f>IFERROR(50+VLOOKUP($A48,'SegEnds_Xtal_Prot#'!$A:$AY,49,FALSE)-VLOOKUP($B48,'SegEnds_NonXtal_Prot#'!$A:$AL,37,FALSE),"-")</f>
        <v>47</v>
      </c>
      <c r="Z48" s="2">
        <f>IFERROR(50+VLOOKUP($A48,'SegEnds_Xtal_Prot#'!$A:$AY,51,FALSE)-VLOOKUP($B48,'SegEnds_NonXtal_Prot#'!$A:$AL,37,FALSE),"-")</f>
        <v>72</v>
      </c>
      <c r="AA48" s="49" t="str">
        <f>VLOOKUP(B48,Classification!A:D,2,FALSE)</f>
        <v>B1</v>
      </c>
      <c r="AB48" s="94" t="str">
        <f>VLOOKUP(B48,Classification!A:D,4,0)</f>
        <v>Glucagonreceptorfamily</v>
      </c>
      <c r="AC48" s="49">
        <f>VLOOKUP(B48,'SegEnds_NonXtal_Prot#'!A:AL,6,FALSE)-VLOOKUP(B48,'SegEnds_NonXtal_Prot#'!A:AL,5,FALSE)</f>
        <v>1</v>
      </c>
      <c r="AD48" s="49">
        <f>VLOOKUP(B48,'SegEnds_NonXtal_Prot#'!A:AL,9,FALSE)-VLOOKUP(B48,'SegEnds_NonXtal_Prot#'!A:AL,8,FALSE)</f>
        <v>1</v>
      </c>
      <c r="AE48" s="49" t="e">
        <f>VLOOKUP(B48,'SegEnds_NonXtal_Prot#'!A:AL,13,FALSE)-VLOOKUP(B48,'SegEnds_NonXtal_Prot#'!A:AL,10,FALSE)</f>
        <v>#VALUE!</v>
      </c>
      <c r="AF48" s="49" t="e">
        <f>VLOOKUP(B48,'SegEnds_NonXtal_Prot#'!A:AL,12,FALSE)-VLOOKUP(B48,'SegEnds_NonXtal_Prot#'!A:AL,11,FALSE)</f>
        <v>#VALUE!</v>
      </c>
      <c r="AG48" s="49" t="e">
        <f>VLOOKUP(B48,'SegEnds_NonXtal_Prot#'!A:AL,13,FALSE)-VLOOKUP(B48,'SegEnds_NonXtal_Prot#'!A:AL,11,FALSE)</f>
        <v>#VALUE!</v>
      </c>
      <c r="AH48" s="49">
        <f>VLOOKUP(B48,'SegEnds_NonXtal_Prot#'!A:AL,16,FALSE)-VLOOKUP(B48,'SegEnds_NonXtal_Prot#'!A:AL,10,FALSE)</f>
        <v>64</v>
      </c>
      <c r="AI48" s="49">
        <f>VLOOKUP(B48,'SegEnds_NonXtal_Prot#'!A:AL,16,FALSE)-VLOOKUP(B48,'SegEnds_NonXtal_Prot#'!A:AL,11,FALSE)</f>
        <v>50</v>
      </c>
      <c r="AJ48" s="49" t="e">
        <f>VLOOKUP(B48,'SegEnds_NonXtal_Prot#'!A:AL,22,FALSE)-VLOOKUP(B48,'SegEnds_NonXtal_Prot#'!A:AL,19,FALSE)</f>
        <v>#VALUE!</v>
      </c>
      <c r="AK48" s="49" t="e">
        <f>VLOOKUP(B48,'SegEnds_NonXtal_Prot#'!A:AL,15,FALSE)-VLOOKUP(B48,'SegEnds_NonXtal_Prot#'!A:AL,14,FALSE)</f>
        <v>#VALUE!</v>
      </c>
      <c r="AL48" s="49" t="e">
        <f>VLOOKUP(B48,'SegEnds_NonXtal_Prot#'!A:AL,18,FALSE)-VLOOKUP(B48,'SegEnds_NonXtal_Prot#'!A:AL,17,FALSE)</f>
        <v>#VALUE!</v>
      </c>
      <c r="AM48" s="2">
        <f>VLOOKUP(B48,'SegEnds_NonXtal_Prot#'!A:AL,34,FALSE)-VLOOKUP(B48,'SegEnds_NonXtal_Prot#'!A:AL,31,FALSE)</f>
        <v>33</v>
      </c>
      <c r="AN48" s="37"/>
    </row>
    <row r="49" spans="1:40" s="2" customFormat="1" x14ac:dyDescent="0.2">
      <c r="A49" s="2" t="s">
        <v>1430</v>
      </c>
      <c r="B49" s="2" t="s">
        <v>1429</v>
      </c>
      <c r="C49" s="2">
        <f>IFERROR(50+VLOOKUP($A49,'SegEnds_Xtal_Prot#'!$A:$AY,5,FALSE)-VLOOKUP($B49,'SegEnds_NonXtal_Prot#'!$A:$AL,4,FALSE),"-")</f>
        <v>28</v>
      </c>
      <c r="D49" s="2">
        <f>IFERROR(50+VLOOKUP($A49,'SegEnds_Xtal_Prot#'!$A:$AY,7,FALSE)-VLOOKUP($B49,'SegEnds_NonXtal_Prot#'!$A:$AL,4,FALSE),"-")</f>
        <v>60</v>
      </c>
      <c r="E49" s="2">
        <f>IFERROR(50+VLOOKUP($A49,'SegEnds_Xtal_Prot#'!$A:$AY,9,FALSE)-VLOOKUP($B49,'SegEnds_NonXtal_Prot#'!$A:$AL,7,FALSE),"-")</f>
        <v>48</v>
      </c>
      <c r="F49" s="2">
        <f>IFERROR(50+VLOOKUP($A49,'SegEnds_Xtal_Prot#'!$A:$AY,11,FALSE)-VLOOKUP($B49,'SegEnds_NonXtal_Prot#'!$A:$AL,7,FALSE),"-")</f>
        <v>51</v>
      </c>
      <c r="G49" s="2">
        <f>IFERROR(50+VLOOKUP($A49,'SegEnds_Xtal_Prot#'!$A:$AY,13,FALSE)-VLOOKUP($B49,'SegEnds_NonXtal_Prot#'!$A:$AL,10,FALSE),"-")</f>
        <v>37</v>
      </c>
      <c r="H49" s="2">
        <f>IFERROR(50+VLOOKUP($A49,'SegEnds_Xtal_Prot#'!$A:$AY,15,FALSE)-VLOOKUP($B49,'SegEnds_NonXtal_Prot#'!$A:$AL,10,FALSE),"-")</f>
        <v>74</v>
      </c>
      <c r="I49" s="2" t="str">
        <f>IFERROR(50+VLOOKUP($A49,'SegEnds_Xtal_Prot#'!$A:$AY,17,FALSE)-VLOOKUP($B49,'SegEnds_NonXtal_Prot#'!$A:$AL,13,FALSE),"-")</f>
        <v>-</v>
      </c>
      <c r="J49" s="2" t="str">
        <f>IFERROR(50+VLOOKUP($A49,'SegEnds_Xtal_Prot#'!$A:$AY,19,FALSE)-VLOOKUP($B49,'SegEnds_NonXtal_Prot#'!$A:$AL,13,FALSE),"-")</f>
        <v>-</v>
      </c>
      <c r="K49" s="2">
        <f>IFERROR(50+VLOOKUP($A49,'SegEnds_Xtal_Prot#'!$A:$AY,21,FALSE)-VLOOKUP($B49,'SegEnds_NonXtal_Prot#'!$A:$AL,16,FALSE),"-")</f>
        <v>23</v>
      </c>
      <c r="L49" s="2">
        <f>IFERROR(50+VLOOKUP($A49,'SegEnds_Xtal_Prot#'!$A:$AY,23,FALSE)-VLOOKUP($B49,'SegEnds_NonXtal_Prot#'!$A:$AL,16,FALSE),"-")</f>
        <v>56</v>
      </c>
      <c r="M49" s="2" t="str">
        <f>IFERROR(50+VLOOKUP($A49,'SegEnds_Xtal_Prot#'!$A:$AY,25,FALSE)-VLOOKUP($B49,'SegEnds_NonXtal_Prot#'!$A:$AL,19,FALSE),"-")</f>
        <v>-</v>
      </c>
      <c r="N49" s="2" t="str">
        <f>IFERROR(50+VLOOKUP($A49,'SegEnds_Xtal_Prot#'!$A:$AY,27,FALSE)-VLOOKUP($B49,'SegEnds_NonXtal_Prot#'!$A:$AL,19,FALSE),"-")</f>
        <v>-</v>
      </c>
      <c r="O49" s="2">
        <f>IFERROR(50+VLOOKUP($A49,'SegEnds_Xtal_Prot#'!$A:$AY,29,FALSE)-VLOOKUP($B49,'SegEnds_NonXtal_Prot#'!$A:$AL,22,FALSE),"-")</f>
        <v>37</v>
      </c>
      <c r="P49" s="2">
        <f>IFERROR(50+VLOOKUP($A49,'SegEnds_Xtal_Prot#'!$A:$AY,31,FALSE)-VLOOKUP($B49,'SegEnds_NonXtal_Prot#'!$A:$AL,22,FALSE),"-")</f>
        <v>68</v>
      </c>
      <c r="Q49" s="2">
        <f>IFERROR(50+VLOOKUP($A49,'SegEnds_Xtal_Prot#'!$A:$AY,33,FALSE)-VLOOKUP($B49,'SegEnds_NonXtal_Prot#'!$A:$AL,25,FALSE),"-")</f>
        <v>50</v>
      </c>
      <c r="R49" s="2">
        <f>IFERROR(50+VLOOKUP($A49,'SegEnds_Xtal_Prot#'!$A:$AY,35,FALSE)-VLOOKUP($B49,'SegEnds_NonXtal_Prot#'!$A:$AL,25,FALSE),"-")</f>
        <v>52</v>
      </c>
      <c r="S49" s="2">
        <f>IFERROR(50+VLOOKUP($A49,'SegEnds_Xtal_Prot#'!$A:$AY,37,FALSE)-VLOOKUP($B49,'SegEnds_NonXtal_Prot#'!$A:$AL,28,FALSE),"-")</f>
        <v>39</v>
      </c>
      <c r="T49" s="2">
        <f>IFERROR(50+VLOOKUP($A49,'SegEnds_Xtal_Prot#'!$A:$AY,39,FALSE)-VLOOKUP($B49,'SegEnds_NonXtal_Prot#'!$A:$AL,28,FALSE),"-")</f>
        <v>71</v>
      </c>
      <c r="U49" s="2">
        <f>IFERROR(50+VLOOKUP($A49,'SegEnds_Xtal_Prot#'!$A:$AY,41,FALSE)-VLOOKUP($B49,'SegEnds_NonXtal_Prot#'!$A:$AL,31,FALSE),"-")</f>
        <v>30</v>
      </c>
      <c r="V49" s="2">
        <f>IFERROR(50+VLOOKUP($A49,'SegEnds_Xtal_Prot#'!$A:$AY,43,FALSE)-VLOOKUP($B49,'SegEnds_NonXtal_Prot#'!$A:$AL,31,FALSE),"-")</f>
        <v>53</v>
      </c>
      <c r="W49" s="2">
        <f>IFERROR(50+VLOOKUP($A49,'SegEnds_Xtal_Prot#'!$A:$AY,45,FALSE)-VLOOKUP($B49,'SegEnds_NonXtal_Prot#'!$A:$AL,34,FALSE),"-")</f>
        <v>30</v>
      </c>
      <c r="X49" s="2">
        <f>IFERROR(50+VLOOKUP($A49,'SegEnds_Xtal_Prot#'!$A:$AY,47,FALSE)-VLOOKUP($B49,'SegEnds_NonXtal_Prot#'!$A:$AL,34,FALSE),"-")</f>
        <v>56</v>
      </c>
      <c r="Y49" s="2">
        <f>IFERROR(50+VLOOKUP($A49,'SegEnds_Xtal_Prot#'!$A:$AY,49,FALSE)-VLOOKUP($B49,'SegEnds_NonXtal_Prot#'!$A:$AL,37,FALSE),"-")</f>
        <v>47</v>
      </c>
      <c r="Z49" s="2">
        <f>IFERROR(50+VLOOKUP($A49,'SegEnds_Xtal_Prot#'!$A:$AY,51,FALSE)-VLOOKUP($B49,'SegEnds_NonXtal_Prot#'!$A:$AL,37,FALSE),"-")</f>
        <v>72</v>
      </c>
      <c r="AA49" s="49" t="str">
        <f>VLOOKUP(B49,Classification!A:D,2,FALSE)</f>
        <v>B1</v>
      </c>
      <c r="AB49" s="94" t="str">
        <f>VLOOKUP(B49,Classification!A:D,4,0)</f>
        <v>Glucagonreceptorfamily</v>
      </c>
      <c r="AC49" s="49">
        <f>VLOOKUP(B49,'SegEnds_NonXtal_Prot#'!A:AL,6,FALSE)-VLOOKUP(B49,'SegEnds_NonXtal_Prot#'!A:AL,5,FALSE)</f>
        <v>1</v>
      </c>
      <c r="AD49" s="49">
        <f>VLOOKUP(B49,'SegEnds_NonXtal_Prot#'!A:AL,9,FALSE)-VLOOKUP(B49,'SegEnds_NonXtal_Prot#'!A:AL,8,FALSE)</f>
        <v>1</v>
      </c>
      <c r="AE49" s="49" t="e">
        <f>VLOOKUP(B49,'SegEnds_NonXtal_Prot#'!A:AL,13,FALSE)-VLOOKUP(B49,'SegEnds_NonXtal_Prot#'!A:AL,10,FALSE)</f>
        <v>#VALUE!</v>
      </c>
      <c r="AF49" s="49" t="e">
        <f>VLOOKUP(B49,'SegEnds_NonXtal_Prot#'!A:AL,12,FALSE)-VLOOKUP(B49,'SegEnds_NonXtal_Prot#'!A:AL,11,FALSE)</f>
        <v>#VALUE!</v>
      </c>
      <c r="AG49" s="49" t="e">
        <f>VLOOKUP(B49,'SegEnds_NonXtal_Prot#'!A:AL,13,FALSE)-VLOOKUP(B49,'SegEnds_NonXtal_Prot#'!A:AL,11,FALSE)</f>
        <v>#VALUE!</v>
      </c>
      <c r="AH49" s="49">
        <f>VLOOKUP(B49,'SegEnds_NonXtal_Prot#'!A:AL,16,FALSE)-VLOOKUP(B49,'SegEnds_NonXtal_Prot#'!A:AL,10,FALSE)</f>
        <v>64</v>
      </c>
      <c r="AI49" s="49">
        <f>VLOOKUP(B49,'SegEnds_NonXtal_Prot#'!A:AL,16,FALSE)-VLOOKUP(B49,'SegEnds_NonXtal_Prot#'!A:AL,11,FALSE)</f>
        <v>40</v>
      </c>
      <c r="AJ49" s="49" t="e">
        <f>VLOOKUP(B49,'SegEnds_NonXtal_Prot#'!A:AL,22,FALSE)-VLOOKUP(B49,'SegEnds_NonXtal_Prot#'!A:AL,19,FALSE)</f>
        <v>#VALUE!</v>
      </c>
      <c r="AK49" s="49" t="e">
        <f>VLOOKUP(B49,'SegEnds_NonXtal_Prot#'!A:AL,15,FALSE)-VLOOKUP(B49,'SegEnds_NonXtal_Prot#'!A:AL,14,FALSE)</f>
        <v>#VALUE!</v>
      </c>
      <c r="AL49" s="49" t="e">
        <f>VLOOKUP(B49,'SegEnds_NonXtal_Prot#'!A:AL,18,FALSE)-VLOOKUP(B49,'SegEnds_NonXtal_Prot#'!A:AL,17,FALSE)</f>
        <v>#VALUE!</v>
      </c>
      <c r="AM49" s="2">
        <f>VLOOKUP(B49,'SegEnds_NonXtal_Prot#'!A:AL,34,FALSE)-VLOOKUP(B49,'SegEnds_NonXtal_Prot#'!A:AL,31,FALSE)</f>
        <v>33</v>
      </c>
      <c r="AN49" s="37"/>
    </row>
    <row r="50" spans="1:40" s="2" customFormat="1" x14ac:dyDescent="0.2">
      <c r="A50" s="2" t="s">
        <v>1261</v>
      </c>
      <c r="B50" s="2" t="s">
        <v>41</v>
      </c>
      <c r="C50" s="2">
        <f>IFERROR(50+VLOOKUP($A50,'SegEnds_Xtal_Prot#'!$A:$AY,5,FALSE)-VLOOKUP($B50,'SegEnds_NonXtal_Prot#'!$A:$AL,4,FALSE),"-")</f>
        <v>34</v>
      </c>
      <c r="D50" s="2">
        <f>IFERROR(50+VLOOKUP($A50,'SegEnds_Xtal_Prot#'!$A:$AY,7,FALSE)-VLOOKUP($B50,'SegEnds_NonXtal_Prot#'!$A:$AL,4,FALSE),"-")</f>
        <v>60</v>
      </c>
      <c r="E50" s="2">
        <f>IFERROR(50+VLOOKUP($A50,'SegEnds_Xtal_Prot#'!$A:$AY,9,FALSE)-VLOOKUP($B50,'SegEnds_NonXtal_Prot#'!$A:$AL,7,FALSE),"-")</f>
        <v>47</v>
      </c>
      <c r="F50" s="2">
        <f>IFERROR(50+VLOOKUP($A50,'SegEnds_Xtal_Prot#'!$A:$AY,11,FALSE)-VLOOKUP($B50,'SegEnds_NonXtal_Prot#'!$A:$AL,7,FALSE),"-")</f>
        <v>53</v>
      </c>
      <c r="G50" s="2">
        <f>IFERROR(50+VLOOKUP($A50,'SegEnds_Xtal_Prot#'!$A:$AY,13,FALSE)-VLOOKUP($B50,'SegEnds_NonXtal_Prot#'!$A:$AL,10,FALSE),"-")</f>
        <v>39</v>
      </c>
      <c r="H50" s="2">
        <f>IFERROR(50+VLOOKUP($A50,'SegEnds_Xtal_Prot#'!$A:$AY,15,FALSE)-VLOOKUP($B50,'SegEnds_NonXtal_Prot#'!$A:$AL,10,FALSE),"-")</f>
        <v>61</v>
      </c>
      <c r="I50" s="2" t="str">
        <f>IFERROR(50+VLOOKUP($A50,'SegEnds_Xtal_Prot#'!$A:$AY,17,FALSE)-VLOOKUP($B50,'SegEnds_NonXtal_Prot#'!$A:$AL,13,FALSE),"-")</f>
        <v>-</v>
      </c>
      <c r="J50" s="2" t="str">
        <f>IFERROR(50+VLOOKUP($A50,'SegEnds_Xtal_Prot#'!$A:$AY,19,FALSE)-VLOOKUP($B50,'SegEnds_NonXtal_Prot#'!$A:$AL,13,FALSE),"-")</f>
        <v>-</v>
      </c>
      <c r="K50" s="2">
        <f>IFERROR(50+VLOOKUP($A50,'SegEnds_Xtal_Prot#'!$A:$AY,21,FALSE)-VLOOKUP($B50,'SegEnds_NonXtal_Prot#'!$A:$AL,16,FALSE),"-")</f>
        <v>21</v>
      </c>
      <c r="L50" s="2">
        <f>IFERROR(50+VLOOKUP($A50,'SegEnds_Xtal_Prot#'!$A:$AY,23,FALSE)-VLOOKUP($B50,'SegEnds_NonXtal_Prot#'!$A:$AL,16,FALSE),"-")</f>
        <v>54</v>
      </c>
      <c r="M50" s="2" t="str">
        <f>IFERROR(50+VLOOKUP($A50,'SegEnds_Xtal_Prot#'!$A:$AY,25,FALSE)-VLOOKUP($B50,'SegEnds_NonXtal_Prot#'!$A:$AL,19,FALSE),"-")</f>
        <v>-</v>
      </c>
      <c r="N50" s="2" t="str">
        <f>IFERROR(50+VLOOKUP($A50,'SegEnds_Xtal_Prot#'!$A:$AY,27,FALSE)-VLOOKUP($B50,'SegEnds_NonXtal_Prot#'!$A:$AL,19,FALSE),"-")</f>
        <v>-</v>
      </c>
      <c r="O50" s="2">
        <f>IFERROR(50+VLOOKUP($A50,'SegEnds_Xtal_Prot#'!$A:$AY,29,FALSE)-VLOOKUP($B50,'SegEnds_NonXtal_Prot#'!$A:$AL,22,FALSE),"-")</f>
        <v>38</v>
      </c>
      <c r="P50" s="2">
        <f>IFERROR(50+VLOOKUP($A50,'SegEnds_Xtal_Prot#'!$A:$AY,31,FALSE)-VLOOKUP($B50,'SegEnds_NonXtal_Prot#'!$A:$AL,22,FALSE),"-")</f>
        <v>64</v>
      </c>
      <c r="Q50" s="2">
        <f>IFERROR(50+VLOOKUP($A50,'SegEnds_Xtal_Prot#'!$A:$AY,33,FALSE)-VLOOKUP($B50,'SegEnds_NonXtal_Prot#'!$A:$AL,25,FALSE),"-")</f>
        <v>50</v>
      </c>
      <c r="R50" s="2">
        <f>IFERROR(50+VLOOKUP($A50,'SegEnds_Xtal_Prot#'!$A:$AY,35,FALSE)-VLOOKUP($B50,'SegEnds_NonXtal_Prot#'!$A:$AL,25,FALSE),"-")</f>
        <v>52</v>
      </c>
      <c r="S50" s="2">
        <f>IFERROR(50+VLOOKUP($A50,'SegEnds_Xtal_Prot#'!$A:$AY,37,FALSE)-VLOOKUP($B50,'SegEnds_NonXtal_Prot#'!$A:$AL,28,FALSE),"-")</f>
        <v>36</v>
      </c>
      <c r="T50" s="2">
        <f>IFERROR(50+VLOOKUP($A50,'SegEnds_Xtal_Prot#'!$A:$AY,39,FALSE)-VLOOKUP($B50,'SegEnds_NonXtal_Prot#'!$A:$AL,28,FALSE),"-")</f>
        <v>61</v>
      </c>
      <c r="U50" s="2">
        <f>IFERROR(50+VLOOKUP($A50,'SegEnds_Xtal_Prot#'!$A:$AY,41,FALSE)-VLOOKUP($B50,'SegEnds_NonXtal_Prot#'!$A:$AL,31,FALSE),"-")</f>
        <v>33</v>
      </c>
      <c r="V50" s="2">
        <f>IFERROR(50+VLOOKUP($A50,'SegEnds_Xtal_Prot#'!$A:$AY,43,FALSE)-VLOOKUP($B50,'SegEnds_NonXtal_Prot#'!$A:$AL,31,FALSE),"-")</f>
        <v>57</v>
      </c>
      <c r="W50" s="2">
        <f>IFERROR(50+VLOOKUP($A50,'SegEnds_Xtal_Prot#'!$A:$AY,45,FALSE)-VLOOKUP($B50,'SegEnds_NonXtal_Prot#'!$A:$AL,34,FALSE),"-")</f>
        <v>33</v>
      </c>
      <c r="X50" s="2">
        <f>IFERROR(50+VLOOKUP($A50,'SegEnds_Xtal_Prot#'!$A:$AY,47,FALSE)-VLOOKUP($B50,'SegEnds_NonXtal_Prot#'!$A:$AL,34,FALSE),"-")</f>
        <v>64</v>
      </c>
      <c r="Y50" s="2">
        <f>IFERROR(50+VLOOKUP($A50,'SegEnds_Xtal_Prot#'!$A:$AY,49,FALSE)-VLOOKUP($B50,'SegEnds_NonXtal_Prot#'!$A:$AL,37,FALSE),"-")</f>
        <v>46</v>
      </c>
      <c r="Z50" s="2">
        <f>IFERROR(50+VLOOKUP($A50,'SegEnds_Xtal_Prot#'!$A:$AY,51,FALSE)-VLOOKUP($B50,'SegEnds_NonXtal_Prot#'!$A:$AL,37,FALSE),"-")</f>
        <v>57</v>
      </c>
      <c r="AA50" s="49" t="str">
        <f>VLOOKUP(B50,Classification!A:D,2,FALSE)</f>
        <v>C</v>
      </c>
      <c r="AB50" s="94" t="str">
        <f>VLOOKUP(B50,Classification!A:D,4,0)</f>
        <v>Metabotropicglutamate</v>
      </c>
      <c r="AC50" s="49">
        <f>VLOOKUP(B50,'SegEnds_NonXtal_Prot#'!A:AL,6,FALSE)-VLOOKUP(B50,'SegEnds_NonXtal_Prot#'!A:AL,5,FALSE)</f>
        <v>3</v>
      </c>
      <c r="AD50" s="49">
        <f>VLOOKUP(B50,'SegEnds_NonXtal_Prot#'!A:AL,9,FALSE)-VLOOKUP(B50,'SegEnds_NonXtal_Prot#'!A:AL,8,FALSE)</f>
        <v>1</v>
      </c>
      <c r="AE50" s="49" t="e">
        <f>VLOOKUP(B50,'SegEnds_NonXtal_Prot#'!A:AL,13,FALSE)-VLOOKUP(B50,'SegEnds_NonXtal_Prot#'!A:AL,10,FALSE)</f>
        <v>#VALUE!</v>
      </c>
      <c r="AF50" s="49" t="e">
        <f>VLOOKUP(B50,'SegEnds_NonXtal_Prot#'!A:AL,12,FALSE)-VLOOKUP(B50,'SegEnds_NonXtal_Prot#'!A:AL,11,FALSE)</f>
        <v>#VALUE!</v>
      </c>
      <c r="AG50" s="49" t="e">
        <f>VLOOKUP(B50,'SegEnds_NonXtal_Prot#'!A:AL,13,FALSE)-VLOOKUP(B50,'SegEnds_NonXtal_Prot#'!A:AL,11,FALSE)</f>
        <v>#VALUE!</v>
      </c>
      <c r="AH50" s="49">
        <f>VLOOKUP(B50,'SegEnds_NonXtal_Prot#'!A:AL,16,FALSE)-VLOOKUP(B50,'SegEnds_NonXtal_Prot#'!A:AL,10,FALSE)</f>
        <v>44</v>
      </c>
      <c r="AI50" s="49">
        <f>VLOOKUP(B50,'SegEnds_NonXtal_Prot#'!A:AL,16,FALSE)-VLOOKUP(B50,'SegEnds_NonXtal_Prot#'!A:AL,11,FALSE)</f>
        <v>33</v>
      </c>
      <c r="AJ50" s="49" t="e">
        <f>VLOOKUP(B50,'SegEnds_NonXtal_Prot#'!A:AL,22,FALSE)-VLOOKUP(B50,'SegEnds_NonXtal_Prot#'!A:AL,19,FALSE)</f>
        <v>#VALUE!</v>
      </c>
      <c r="AK50" s="49" t="e">
        <f>VLOOKUP(B50,'SegEnds_NonXtal_Prot#'!A:AL,15,FALSE)-VLOOKUP(B50,'SegEnds_NonXtal_Prot#'!A:AL,14,FALSE)</f>
        <v>#VALUE!</v>
      </c>
      <c r="AL50" s="49" t="e">
        <f>VLOOKUP(B50,'SegEnds_NonXtal_Prot#'!A:AL,18,FALSE)-VLOOKUP(B50,'SegEnds_NonXtal_Prot#'!A:AL,17,FALSE)</f>
        <v>#VALUE!</v>
      </c>
      <c r="AM50" s="2">
        <f>VLOOKUP(B50,'SegEnds_NonXtal_Prot#'!A:AL,34,FALSE)-VLOOKUP(B50,'SegEnds_NonXtal_Prot#'!A:AL,31,FALSE)</f>
        <v>27</v>
      </c>
      <c r="AN50" s="37"/>
    </row>
    <row r="51" spans="1:40" s="2" customFormat="1" x14ac:dyDescent="0.2">
      <c r="A51" s="2" t="s">
        <v>1260</v>
      </c>
      <c r="B51" s="2" t="s">
        <v>40</v>
      </c>
      <c r="C51" s="2">
        <f>IFERROR(50+VLOOKUP($A51,'SegEnds_Xtal_Prot#'!$A:$AY,5,FALSE)-VLOOKUP($B51,'SegEnds_NonXtal_Prot#'!$A:$AL,4,FALSE),"-")</f>
        <v>34</v>
      </c>
      <c r="D51" s="2">
        <f>IFERROR(50+VLOOKUP($A51,'SegEnds_Xtal_Prot#'!$A:$AY,7,FALSE)-VLOOKUP($B51,'SegEnds_NonXtal_Prot#'!$A:$AL,4,FALSE),"-")</f>
        <v>60</v>
      </c>
      <c r="E51" s="2">
        <f>IFERROR(50+VLOOKUP($A51,'SegEnds_Xtal_Prot#'!$A:$AY,9,FALSE)-VLOOKUP($B51,'SegEnds_NonXtal_Prot#'!$A:$AL,7,FALSE),"-")</f>
        <v>47</v>
      </c>
      <c r="F51" s="2">
        <f>IFERROR(50+VLOOKUP($A51,'SegEnds_Xtal_Prot#'!$A:$AY,11,FALSE)-VLOOKUP($B51,'SegEnds_NonXtal_Prot#'!$A:$AL,7,FALSE),"-")</f>
        <v>53</v>
      </c>
      <c r="G51" s="2">
        <f>IFERROR(50+VLOOKUP($A51,'SegEnds_Xtal_Prot#'!$A:$AY,13,FALSE)-VLOOKUP($B51,'SegEnds_NonXtal_Prot#'!$A:$AL,10,FALSE),"-")</f>
        <v>39</v>
      </c>
      <c r="H51" s="2">
        <f>IFERROR(50+VLOOKUP($A51,'SegEnds_Xtal_Prot#'!$A:$AY,15,FALSE)-VLOOKUP($B51,'SegEnds_NonXtal_Prot#'!$A:$AL,10,FALSE),"-")</f>
        <v>61</v>
      </c>
      <c r="I51" s="2" t="str">
        <f>IFERROR(50+VLOOKUP($A51,'SegEnds_Xtal_Prot#'!$A:$AY,17,FALSE)-VLOOKUP($B51,'SegEnds_NonXtal_Prot#'!$A:$AL,13,FALSE),"-")</f>
        <v>-</v>
      </c>
      <c r="J51" s="2" t="str">
        <f>IFERROR(50+VLOOKUP($A51,'SegEnds_Xtal_Prot#'!$A:$AY,19,FALSE)-VLOOKUP($B51,'SegEnds_NonXtal_Prot#'!$A:$AL,13,FALSE),"-")</f>
        <v>-</v>
      </c>
      <c r="K51" s="2">
        <f>IFERROR(50+VLOOKUP($A51,'SegEnds_Xtal_Prot#'!$A:$AY,21,FALSE)-VLOOKUP($B51,'SegEnds_NonXtal_Prot#'!$A:$AL,16,FALSE),"-")</f>
        <v>22</v>
      </c>
      <c r="L51" s="2">
        <f>IFERROR(50+VLOOKUP($A51,'SegEnds_Xtal_Prot#'!$A:$AY,23,FALSE)-VLOOKUP($B51,'SegEnds_NonXtal_Prot#'!$A:$AL,16,FALSE),"-")</f>
        <v>54</v>
      </c>
      <c r="M51" s="2" t="str">
        <f>IFERROR(50+VLOOKUP($A51,'SegEnds_Xtal_Prot#'!$A:$AY,25,FALSE)-VLOOKUP($B51,'SegEnds_NonXtal_Prot#'!$A:$AL,19,FALSE),"-")</f>
        <v>-</v>
      </c>
      <c r="N51" s="2" t="str">
        <f>IFERROR(50+VLOOKUP($A51,'SegEnds_Xtal_Prot#'!$A:$AY,27,FALSE)-VLOOKUP($B51,'SegEnds_NonXtal_Prot#'!$A:$AL,19,FALSE),"-")</f>
        <v>-</v>
      </c>
      <c r="O51" s="2">
        <f>IFERROR(50+VLOOKUP($A51,'SegEnds_Xtal_Prot#'!$A:$AY,29,FALSE)-VLOOKUP($B51,'SegEnds_NonXtal_Prot#'!$A:$AL,22,FALSE),"-")</f>
        <v>38</v>
      </c>
      <c r="P51" s="2">
        <f>IFERROR(50+VLOOKUP($A51,'SegEnds_Xtal_Prot#'!$A:$AY,31,FALSE)-VLOOKUP($B51,'SegEnds_NonXtal_Prot#'!$A:$AL,22,FALSE),"-")</f>
        <v>64</v>
      </c>
      <c r="Q51" s="2">
        <f>IFERROR(50+VLOOKUP($A51,'SegEnds_Xtal_Prot#'!$A:$AY,33,FALSE)-VLOOKUP($B51,'SegEnds_NonXtal_Prot#'!$A:$AL,25,FALSE),"-")</f>
        <v>50</v>
      </c>
      <c r="R51" s="2">
        <f>IFERROR(50+VLOOKUP($A51,'SegEnds_Xtal_Prot#'!$A:$AY,35,FALSE)-VLOOKUP($B51,'SegEnds_NonXtal_Prot#'!$A:$AL,25,FALSE),"-")</f>
        <v>52</v>
      </c>
      <c r="S51" s="2">
        <f>IFERROR(50+VLOOKUP($A51,'SegEnds_Xtal_Prot#'!$A:$AY,37,FALSE)-VLOOKUP($B51,'SegEnds_NonXtal_Prot#'!$A:$AL,28,FALSE),"-")</f>
        <v>36</v>
      </c>
      <c r="T51" s="2">
        <f>IFERROR(50+VLOOKUP($A51,'SegEnds_Xtal_Prot#'!$A:$AY,39,FALSE)-VLOOKUP($B51,'SegEnds_NonXtal_Prot#'!$A:$AL,28,FALSE),"-")</f>
        <v>61</v>
      </c>
      <c r="U51" s="2">
        <f>IFERROR(50+VLOOKUP($A51,'SegEnds_Xtal_Prot#'!$A:$AY,41,FALSE)-VLOOKUP($B51,'SegEnds_NonXtal_Prot#'!$A:$AL,31,FALSE),"-")</f>
        <v>33</v>
      </c>
      <c r="V51" s="2">
        <f>IFERROR(50+VLOOKUP($A51,'SegEnds_Xtal_Prot#'!$A:$AY,43,FALSE)-VLOOKUP($B51,'SegEnds_NonXtal_Prot#'!$A:$AL,31,FALSE),"-")</f>
        <v>57</v>
      </c>
      <c r="W51" s="2">
        <f>IFERROR(50+VLOOKUP($A51,'SegEnds_Xtal_Prot#'!$A:$AY,45,FALSE)-VLOOKUP($B51,'SegEnds_NonXtal_Prot#'!$A:$AL,34,FALSE),"-")</f>
        <v>33</v>
      </c>
      <c r="X51" s="2">
        <f>IFERROR(50+VLOOKUP($A51,'SegEnds_Xtal_Prot#'!$A:$AY,47,FALSE)-VLOOKUP($B51,'SegEnds_NonXtal_Prot#'!$A:$AL,34,FALSE),"-")</f>
        <v>64</v>
      </c>
      <c r="Y51" s="2">
        <f>IFERROR(50+VLOOKUP($A51,'SegEnds_Xtal_Prot#'!$A:$AY,49,FALSE)-VLOOKUP($B51,'SegEnds_NonXtal_Prot#'!$A:$AL,37,FALSE),"-")</f>
        <v>46</v>
      </c>
      <c r="Z51" s="2">
        <f>IFERROR(50+VLOOKUP($A51,'SegEnds_Xtal_Prot#'!$A:$AY,51,FALSE)-VLOOKUP($B51,'SegEnds_NonXtal_Prot#'!$A:$AL,37,FALSE),"-")</f>
        <v>57</v>
      </c>
      <c r="AA51" s="49" t="str">
        <f>VLOOKUP(B51,Classification!A:D,2,FALSE)</f>
        <v>C</v>
      </c>
      <c r="AB51" s="94" t="str">
        <f>VLOOKUP(B51,Classification!A:D,4,0)</f>
        <v>Metabotropicglutamate</v>
      </c>
      <c r="AC51" s="49">
        <f>VLOOKUP(B51,'SegEnds_NonXtal_Prot#'!A:AL,6,FALSE)-VLOOKUP(B51,'SegEnds_NonXtal_Prot#'!A:AL,5,FALSE)</f>
        <v>3</v>
      </c>
      <c r="AD51" s="49">
        <f>VLOOKUP(B51,'SegEnds_NonXtal_Prot#'!A:AL,9,FALSE)-VLOOKUP(B51,'SegEnds_NonXtal_Prot#'!A:AL,8,FALSE)</f>
        <v>1</v>
      </c>
      <c r="AE51" s="49" t="e">
        <f>VLOOKUP(B51,'SegEnds_NonXtal_Prot#'!A:AL,13,FALSE)-VLOOKUP(B51,'SegEnds_NonXtal_Prot#'!A:AL,10,FALSE)</f>
        <v>#VALUE!</v>
      </c>
      <c r="AF51" s="49" t="e">
        <f>VLOOKUP(B51,'SegEnds_NonXtal_Prot#'!A:AL,12,FALSE)-VLOOKUP(B51,'SegEnds_NonXtal_Prot#'!A:AL,11,FALSE)</f>
        <v>#VALUE!</v>
      </c>
      <c r="AG51" s="49" t="e">
        <f>VLOOKUP(B51,'SegEnds_NonXtal_Prot#'!A:AL,13,FALSE)-VLOOKUP(B51,'SegEnds_NonXtal_Prot#'!A:AL,11,FALSE)</f>
        <v>#VALUE!</v>
      </c>
      <c r="AH51" s="49">
        <f>VLOOKUP(B51,'SegEnds_NonXtal_Prot#'!A:AL,16,FALSE)-VLOOKUP(B51,'SegEnds_NonXtal_Prot#'!A:AL,10,FALSE)</f>
        <v>44</v>
      </c>
      <c r="AI51" s="49">
        <f>VLOOKUP(B51,'SegEnds_NonXtal_Prot#'!A:AL,16,FALSE)-VLOOKUP(B51,'SegEnds_NonXtal_Prot#'!A:AL,11,FALSE)</f>
        <v>33</v>
      </c>
      <c r="AJ51" s="49" t="e">
        <f>VLOOKUP(B51,'SegEnds_NonXtal_Prot#'!A:AL,22,FALSE)-VLOOKUP(B51,'SegEnds_NonXtal_Prot#'!A:AL,19,FALSE)</f>
        <v>#VALUE!</v>
      </c>
      <c r="AK51" s="49" t="e">
        <f>VLOOKUP(B51,'SegEnds_NonXtal_Prot#'!A:AL,15,FALSE)-VLOOKUP(B51,'SegEnds_NonXtal_Prot#'!A:AL,14,FALSE)</f>
        <v>#VALUE!</v>
      </c>
      <c r="AL51" s="49" t="e">
        <f>VLOOKUP(B51,'SegEnds_NonXtal_Prot#'!A:AL,18,FALSE)-VLOOKUP(B51,'SegEnds_NonXtal_Prot#'!A:AL,17,FALSE)</f>
        <v>#VALUE!</v>
      </c>
      <c r="AM51" s="2">
        <f>VLOOKUP(B51,'SegEnds_NonXtal_Prot#'!A:AL,34,FALSE)-VLOOKUP(B51,'SegEnds_NonXtal_Prot#'!A:AL,31,FALSE)</f>
        <v>27</v>
      </c>
      <c r="AN51" s="37"/>
    </row>
    <row r="52" spans="1:40" x14ac:dyDescent="0.2">
      <c r="A52" s="2" t="s">
        <v>1279</v>
      </c>
      <c r="B52" s="2" t="s">
        <v>33</v>
      </c>
      <c r="C52" s="2">
        <f>IFERROR(50+VLOOKUP($A52,'SegEnds_Xtal_Prot#'!$A:$AY,5,FALSE)-VLOOKUP($B52,'SegEnds_NonXtal_Prot#'!$A:$AL,4,FALSE),"-")</f>
        <v>28</v>
      </c>
      <c r="D52" s="2">
        <f>IFERROR(50+VLOOKUP($A52,'SegEnds_Xtal_Prot#'!$A:$AY,7,FALSE)-VLOOKUP($B52,'SegEnds_NonXtal_Prot#'!$A:$AL,4,FALSE),"-")</f>
        <v>60</v>
      </c>
      <c r="E52" s="2">
        <f>IFERROR(50+VLOOKUP($A52,'SegEnds_Xtal_Prot#'!$A:$AY,9,FALSE)-VLOOKUP($B52,'SegEnds_NonXtal_Prot#'!$A:$AL,7,FALSE),"-")</f>
        <v>47</v>
      </c>
      <c r="F52" s="2">
        <f>IFERROR(50+VLOOKUP($A52,'SegEnds_Xtal_Prot#'!$A:$AY,11,FALSE)-VLOOKUP($B52,'SegEnds_NonXtal_Prot#'!$A:$AL,7,FALSE),"-")</f>
        <v>51</v>
      </c>
      <c r="G52" s="2">
        <f>IFERROR(50+VLOOKUP($A52,'SegEnds_Xtal_Prot#'!$A:$AY,13,FALSE)-VLOOKUP($B52,'SegEnds_NonXtal_Prot#'!$A:$AL,10,FALSE),"-")</f>
        <v>39</v>
      </c>
      <c r="H52" s="2">
        <f>IFERROR(50+VLOOKUP($A52,'SegEnds_Xtal_Prot#'!$A:$AY,15,FALSE)-VLOOKUP($B52,'SegEnds_NonXtal_Prot#'!$A:$AL,10,FALSE),"-")</f>
        <v>63</v>
      </c>
      <c r="I52" s="2" t="str">
        <f>IFERROR(50+VLOOKUP($A52,'SegEnds_Xtal_Prot#'!$A:$AY,17,FALSE)-VLOOKUP($B52,'SegEnds_NonXtal_Prot#'!$A:$AL,13,FALSE),"-")</f>
        <v>-</v>
      </c>
      <c r="J52" s="2" t="str">
        <f>IFERROR(50+VLOOKUP($A52,'SegEnds_Xtal_Prot#'!$A:$AY,19,FALSE)-VLOOKUP($B52,'SegEnds_NonXtal_Prot#'!$A:$AL,13,FALSE),"-")</f>
        <v>-</v>
      </c>
      <c r="K52" s="2">
        <f>IFERROR(50+VLOOKUP($A52,'SegEnds_Xtal_Prot#'!$A:$AY,21,FALSE)-VLOOKUP($B52,'SegEnds_NonXtal_Prot#'!$A:$AL,16,FALSE),"-")</f>
        <v>23</v>
      </c>
      <c r="L52" s="2">
        <f>IFERROR(50+VLOOKUP($A52,'SegEnds_Xtal_Prot#'!$A:$AY,23,FALSE)-VLOOKUP($B52,'SegEnds_NonXtal_Prot#'!$A:$AL,16,FALSE),"-")</f>
        <v>59</v>
      </c>
      <c r="M52" s="2" t="str">
        <f>IFERROR(50+VLOOKUP($A52,'SegEnds_Xtal_Prot#'!$A:$AY,25,FALSE)-VLOOKUP($B52,'SegEnds_NonXtal_Prot#'!$A:$AL,19,FALSE),"-")</f>
        <v>-</v>
      </c>
      <c r="N52" s="2" t="str">
        <f>IFERROR(50+VLOOKUP($A52,'SegEnds_Xtal_Prot#'!$A:$AY,27,FALSE)-VLOOKUP($B52,'SegEnds_NonXtal_Prot#'!$A:$AL,19,FALSE),"-")</f>
        <v>-</v>
      </c>
      <c r="O52" s="2">
        <f>IFERROR(50+VLOOKUP($A52,'SegEnds_Xtal_Prot#'!$A:$AY,29,FALSE)-VLOOKUP($B52,'SegEnds_NonXtal_Prot#'!$A:$AL,22,FALSE),"-")</f>
        <v>38</v>
      </c>
      <c r="P52" s="2">
        <f>IFERROR(50+VLOOKUP($A52,'SegEnds_Xtal_Prot#'!$A:$AY,31,FALSE)-VLOOKUP($B52,'SegEnds_NonXtal_Prot#'!$A:$AL,22,FALSE),"-")</f>
        <v>63</v>
      </c>
      <c r="Q52" s="2">
        <f>IFERROR(50+VLOOKUP($A52,'SegEnds_Xtal_Prot#'!$A:$AY,33,FALSE)-VLOOKUP($B52,'SegEnds_NonXtal_Prot#'!$A:$AL,25,FALSE),"-")</f>
        <v>50</v>
      </c>
      <c r="R52" s="2">
        <f>IFERROR(50+VLOOKUP($A52,'SegEnds_Xtal_Prot#'!$A:$AY,35,FALSE)-VLOOKUP($B52,'SegEnds_NonXtal_Prot#'!$A:$AL,25,FALSE),"-")</f>
        <v>52</v>
      </c>
      <c r="S52" s="2">
        <f>IFERROR(50+VLOOKUP($A52,'SegEnds_Xtal_Prot#'!$A:$AY,37,FALSE)-VLOOKUP($B52,'SegEnds_NonXtal_Prot#'!$A:$AL,28,FALSE),"-")</f>
        <v>35</v>
      </c>
      <c r="T52" s="2">
        <f>IFERROR(50+VLOOKUP($A52,'SegEnds_Xtal_Prot#'!$A:$AY,39,FALSE)-VLOOKUP($B52,'SegEnds_NonXtal_Prot#'!$A:$AL,28,FALSE),"-")</f>
        <v>72</v>
      </c>
      <c r="U52" s="2">
        <f>IFERROR(50+VLOOKUP($A52,'SegEnds_Xtal_Prot#'!$A:$AY,41,FALSE)-VLOOKUP($B52,'SegEnds_NonXtal_Prot#'!$A:$AL,31,FALSE),"-")</f>
        <v>24</v>
      </c>
      <c r="V52" s="2">
        <f>IFERROR(50+VLOOKUP($A52,'SegEnds_Xtal_Prot#'!$A:$AY,43,FALSE)-VLOOKUP($B52,'SegEnds_NonXtal_Prot#'!$A:$AL,31,FALSE),"-")</f>
        <v>78</v>
      </c>
      <c r="W52" s="2">
        <f>IFERROR(50+VLOOKUP($A52,'SegEnds_Xtal_Prot#'!$A:$AY,45,FALSE)-VLOOKUP($B52,'SegEnds_NonXtal_Prot#'!$A:$AL,34,FALSE),"-")</f>
        <v>34</v>
      </c>
      <c r="X52" s="2">
        <f>IFERROR(50+VLOOKUP($A52,'SegEnds_Xtal_Prot#'!$A:$AY,47,FALSE)-VLOOKUP($B52,'SegEnds_NonXtal_Prot#'!$A:$AL,34,FALSE),"-")</f>
        <v>57</v>
      </c>
      <c r="Y52" s="2">
        <f>IFERROR(50+VLOOKUP($A52,'SegEnds_Xtal_Prot#'!$A:$AY,49,FALSE)-VLOOKUP($B52,'SegEnds_NonXtal_Prot#'!$A:$AL,37,FALSE),"-")</f>
        <v>47</v>
      </c>
      <c r="Z52" s="2">
        <f>IFERROR(50+VLOOKUP($A52,'SegEnds_Xtal_Prot#'!$A:$AY,51,FALSE)-VLOOKUP($B52,'SegEnds_NonXtal_Prot#'!$A:$AL,37,FALSE),"-")</f>
        <v>62</v>
      </c>
      <c r="AA52" s="49" t="str">
        <f>VLOOKUP(B52,Classification!A:D,2,FALSE)</f>
        <v>F</v>
      </c>
      <c r="AB52" s="94" t="str">
        <f>VLOOKUP(B52,Classification!A:D,4,0)</f>
        <v>Frizzled</v>
      </c>
      <c r="AC52" s="49">
        <f>VLOOKUP(B52,'SegEnds_NonXtal_Prot#'!A:AL,6,FALSE)-VLOOKUP(B52,'SegEnds_NonXtal_Prot#'!A:AL,5,FALSE)</f>
        <v>1</v>
      </c>
      <c r="AD52" s="49">
        <f>VLOOKUP(B52,'SegEnds_NonXtal_Prot#'!A:AL,9,FALSE)-VLOOKUP(B52,'SegEnds_NonXtal_Prot#'!A:AL,8,FALSE)</f>
        <v>1</v>
      </c>
      <c r="AE52" s="49" t="e">
        <f>VLOOKUP(B52,'SegEnds_NonXtal_Prot#'!A:AL,13,FALSE)-VLOOKUP(B52,'SegEnds_NonXtal_Prot#'!A:AL,10,FALSE)</f>
        <v>#VALUE!</v>
      </c>
      <c r="AF52" s="49" t="e">
        <f>VLOOKUP(B52,'SegEnds_NonXtal_Prot#'!A:AL,12,FALSE)-VLOOKUP(B52,'SegEnds_NonXtal_Prot#'!A:AL,11,FALSE)</f>
        <v>#VALUE!</v>
      </c>
      <c r="AG52" s="49" t="e">
        <f>VLOOKUP(B52,'SegEnds_NonXtal_Prot#'!A:AL,13,FALSE)-VLOOKUP(B52,'SegEnds_NonXtal_Prot#'!A:AL,11,FALSE)</f>
        <v>#VALUE!</v>
      </c>
      <c r="AH52" s="49">
        <f>VLOOKUP(B52,'SegEnds_NonXtal_Prot#'!A:AL,16,FALSE)-VLOOKUP(B52,'SegEnds_NonXtal_Prot#'!A:AL,10,FALSE)</f>
        <v>67</v>
      </c>
      <c r="AI52" s="49">
        <f>VLOOKUP(B52,'SegEnds_NonXtal_Prot#'!A:AL,16,FALSE)-VLOOKUP(B52,'SegEnds_NonXtal_Prot#'!A:AL,11,FALSE)</f>
        <v>54</v>
      </c>
      <c r="AJ52" s="49" t="e">
        <f>VLOOKUP(B52,'SegEnds_NonXtal_Prot#'!A:AL,22,FALSE)-VLOOKUP(B52,'SegEnds_NonXtal_Prot#'!A:AL,19,FALSE)</f>
        <v>#VALUE!</v>
      </c>
      <c r="AK52" s="49" t="e">
        <f>VLOOKUP(B52,'SegEnds_NonXtal_Prot#'!A:AL,15,FALSE)-VLOOKUP(B52,'SegEnds_NonXtal_Prot#'!A:AL,14,FALSE)</f>
        <v>#VALUE!</v>
      </c>
      <c r="AL52" s="49" t="e">
        <f>VLOOKUP(B52,'SegEnds_NonXtal_Prot#'!A:AL,18,FALSE)-VLOOKUP(B52,'SegEnds_NonXtal_Prot#'!A:AL,17,FALSE)</f>
        <v>#VALUE!</v>
      </c>
      <c r="AM52" s="2">
        <f>VLOOKUP(B52,'SegEnds_NonXtal_Prot#'!A:AL,34,FALSE)-VLOOKUP(B52,'SegEnds_NonXtal_Prot#'!A:AL,31,FALSE)</f>
        <v>62</v>
      </c>
    </row>
    <row r="53" spans="1:40" x14ac:dyDescent="0.2">
      <c r="A53" s="123" t="s">
        <v>1510</v>
      </c>
      <c r="B53" s="123" t="s">
        <v>1509</v>
      </c>
      <c r="C53" s="2">
        <f>IFERROR(50+VLOOKUP($A53,'SegEnds_Xtal_Prot#'!$A:$AY,5,FALSE)-VLOOKUP($B53,'SegEnds_NonXtal_Prot#'!$A:$AL,4,FALSE),"-")</f>
        <v>28</v>
      </c>
      <c r="D53" s="2">
        <f>IFERROR(50+VLOOKUP($A53,'SegEnds_Xtal_Prot#'!$A:$AY,7,FALSE)-VLOOKUP($B53,'SegEnds_NonXtal_Prot#'!$A:$AL,4,FALSE),"-")</f>
        <v>60</v>
      </c>
      <c r="E53" s="2">
        <f>IFERROR(50+VLOOKUP($A53,'SegEnds_Xtal_Prot#'!$A:$AY,9,FALSE)-VLOOKUP($B53,'SegEnds_NonXtal_Prot#'!$A:$AL,7,FALSE),"-")</f>
        <v>47</v>
      </c>
      <c r="F53" s="2">
        <f>IFERROR(50+VLOOKUP($A53,'SegEnds_Xtal_Prot#'!$A:$AY,11,FALSE)-VLOOKUP($B53,'SegEnds_NonXtal_Prot#'!$A:$AL,7,FALSE),"-")</f>
        <v>51</v>
      </c>
      <c r="G53" s="2">
        <f>IFERROR(50+VLOOKUP($A53,'SegEnds_Xtal_Prot#'!$A:$AY,13,FALSE)-VLOOKUP($B53,'SegEnds_NonXtal_Prot#'!$A:$AL,10,FALSE),"-")</f>
        <v>39</v>
      </c>
      <c r="H53" s="2">
        <f>IFERROR(50+VLOOKUP($A53,'SegEnds_Xtal_Prot#'!$A:$AY,15,FALSE)-VLOOKUP($B53,'SegEnds_NonXtal_Prot#'!$A:$AL,10,FALSE),"-")</f>
        <v>61</v>
      </c>
      <c r="I53" s="2" t="str">
        <f>IFERROR(50+VLOOKUP($A53,'SegEnds_Xtal_Prot#'!$A:$AY,17,FALSE)-VLOOKUP($B53,'SegEnds_NonXtal_Prot#'!$A:$AL,13,FALSE),"-")</f>
        <v>-</v>
      </c>
      <c r="J53" s="2" t="str">
        <f>IFERROR(50+VLOOKUP($A53,'SegEnds_Xtal_Prot#'!$A:$AY,19,FALSE)-VLOOKUP($B53,'SegEnds_NonXtal_Prot#'!$A:$AL,13,FALSE),"-")</f>
        <v>-</v>
      </c>
      <c r="K53" s="2">
        <f>IFERROR(50+VLOOKUP($A53,'SegEnds_Xtal_Prot#'!$A:$AY,21,FALSE)-VLOOKUP($B53,'SegEnds_NonXtal_Prot#'!$A:$AL,16,FALSE),"-")</f>
        <v>23</v>
      </c>
      <c r="L53" s="2">
        <f>IFERROR(50+VLOOKUP($A53,'SegEnds_Xtal_Prot#'!$A:$AY,23,FALSE)-VLOOKUP($B53,'SegEnds_NonXtal_Prot#'!$A:$AL,16,FALSE),"-")</f>
        <v>59</v>
      </c>
      <c r="M53" s="2" t="str">
        <f>IFERROR(50+VLOOKUP($A53,'SegEnds_Xtal_Prot#'!$A:$AY,25,FALSE)-VLOOKUP($B53,'SegEnds_NonXtal_Prot#'!$A:$AL,19,FALSE),"-")</f>
        <v>-</v>
      </c>
      <c r="N53" s="2" t="str">
        <f>IFERROR(50+VLOOKUP($A53,'SegEnds_Xtal_Prot#'!$A:$AY,27,FALSE)-VLOOKUP($B53,'SegEnds_NonXtal_Prot#'!$A:$AL,19,FALSE),"-")</f>
        <v>-</v>
      </c>
      <c r="O53" s="2">
        <f>IFERROR(50+VLOOKUP($A53,'SegEnds_Xtal_Prot#'!$A:$AY,29,FALSE)-VLOOKUP($B53,'SegEnds_NonXtal_Prot#'!$A:$AL,22,FALSE),"-")</f>
        <v>38</v>
      </c>
      <c r="P53" s="2">
        <f>IFERROR(50+VLOOKUP($A53,'SegEnds_Xtal_Prot#'!$A:$AY,31,FALSE)-VLOOKUP($B53,'SegEnds_NonXtal_Prot#'!$A:$AL,22,FALSE),"-")</f>
        <v>63</v>
      </c>
      <c r="Q53" s="2">
        <f>IFERROR(50+VLOOKUP($A53,'SegEnds_Xtal_Prot#'!$A:$AY,33,FALSE)-VLOOKUP($B53,'SegEnds_NonXtal_Prot#'!$A:$AL,25,FALSE),"-")</f>
        <v>50</v>
      </c>
      <c r="R53" s="2">
        <f>IFERROR(50+VLOOKUP($A53,'SegEnds_Xtal_Prot#'!$A:$AY,35,FALSE)-VLOOKUP($B53,'SegEnds_NonXtal_Prot#'!$A:$AL,25,FALSE),"-")</f>
        <v>52</v>
      </c>
      <c r="S53" s="2">
        <f>IFERROR(50+VLOOKUP($A53,'SegEnds_Xtal_Prot#'!$A:$AY,37,FALSE)-VLOOKUP($B53,'SegEnds_NonXtal_Prot#'!$A:$AL,28,FALSE),"-")</f>
        <v>35</v>
      </c>
      <c r="T53" s="2">
        <f>IFERROR(50+VLOOKUP($A53,'SegEnds_Xtal_Prot#'!$A:$AY,39,FALSE)-VLOOKUP($B53,'SegEnds_NonXtal_Prot#'!$A:$AL,28,FALSE),"-")</f>
        <v>72</v>
      </c>
      <c r="U53" s="2">
        <f>IFERROR(50+VLOOKUP($A53,'SegEnds_Xtal_Prot#'!$A:$AY,41,FALSE)-VLOOKUP($B53,'SegEnds_NonXtal_Prot#'!$A:$AL,31,FALSE),"-")</f>
        <v>24</v>
      </c>
      <c r="V53" s="2">
        <f>IFERROR(50+VLOOKUP($A53,'SegEnds_Xtal_Prot#'!$A:$AY,43,FALSE)-VLOOKUP($B53,'SegEnds_NonXtal_Prot#'!$A:$AL,31,FALSE),"-")</f>
        <v>81</v>
      </c>
      <c r="W53" s="2">
        <f>IFERROR(50+VLOOKUP($A53,'SegEnds_Xtal_Prot#'!$A:$AY,45,FALSE)-VLOOKUP($B53,'SegEnds_NonXtal_Prot#'!$A:$AL,34,FALSE),"-")</f>
        <v>34</v>
      </c>
      <c r="X53" s="2">
        <f>IFERROR(50+VLOOKUP($A53,'SegEnds_Xtal_Prot#'!$A:$AY,47,FALSE)-VLOOKUP($B53,'SegEnds_NonXtal_Prot#'!$A:$AL,34,FALSE),"-")</f>
        <v>57</v>
      </c>
      <c r="Y53" s="2">
        <f>IFERROR(50+VLOOKUP($A53,'SegEnds_Xtal_Prot#'!$A:$AY,49,FALSE)-VLOOKUP($B53,'SegEnds_NonXtal_Prot#'!$A:$AL,37,FALSE),"-")</f>
        <v>47</v>
      </c>
      <c r="Z53" s="2">
        <f>IFERROR(50+VLOOKUP($A53,'SegEnds_Xtal_Prot#'!$A:$AY,51,FALSE)-VLOOKUP($B53,'SegEnds_NonXtal_Prot#'!$A:$AL,37,FALSE),"-")</f>
        <v>62</v>
      </c>
      <c r="AA53" s="49" t="str">
        <f>VLOOKUP(B53,Classification!A:D,2,FALSE)</f>
        <v>F</v>
      </c>
      <c r="AB53" s="94" t="str">
        <f>VLOOKUP(B53,Classification!A:D,4,0)</f>
        <v>Frizzled</v>
      </c>
      <c r="AC53" s="49">
        <f>VLOOKUP(B53,'SegEnds_NonXtal_Prot#'!A:AL,6,FALSE)-VLOOKUP(B53,'SegEnds_NonXtal_Prot#'!A:AL,5,FALSE)</f>
        <v>1</v>
      </c>
      <c r="AD53" s="49">
        <f>VLOOKUP(B53,'SegEnds_NonXtal_Prot#'!A:AL,9,FALSE)-VLOOKUP(B53,'SegEnds_NonXtal_Prot#'!A:AL,8,FALSE)</f>
        <v>1</v>
      </c>
      <c r="AE53" s="49" t="e">
        <f>VLOOKUP(B53,'SegEnds_NonXtal_Prot#'!A:AL,13,FALSE)-VLOOKUP(B53,'SegEnds_NonXtal_Prot#'!A:AL,10,FALSE)</f>
        <v>#VALUE!</v>
      </c>
      <c r="AF53" s="49" t="e">
        <f>VLOOKUP(B53,'SegEnds_NonXtal_Prot#'!A:AL,12,FALSE)-VLOOKUP(B53,'SegEnds_NonXtal_Prot#'!A:AL,11,FALSE)</f>
        <v>#VALUE!</v>
      </c>
      <c r="AG53" s="49" t="e">
        <f>VLOOKUP(B53,'SegEnds_NonXtal_Prot#'!A:AL,13,FALSE)-VLOOKUP(B53,'SegEnds_NonXtal_Prot#'!A:AL,11,FALSE)</f>
        <v>#VALUE!</v>
      </c>
      <c r="AH53" s="49">
        <f>VLOOKUP(B53,'SegEnds_NonXtal_Prot#'!A:AL,16,FALSE)-VLOOKUP(B53,'SegEnds_NonXtal_Prot#'!A:AL,10,FALSE)</f>
        <v>67</v>
      </c>
      <c r="AI53" s="49">
        <f>VLOOKUP(B53,'SegEnds_NonXtal_Prot#'!A:AL,16,FALSE)-VLOOKUP(B53,'SegEnds_NonXtal_Prot#'!A:AL,11,FALSE)</f>
        <v>56</v>
      </c>
      <c r="AJ53" s="49" t="e">
        <f>VLOOKUP(B53,'SegEnds_NonXtal_Prot#'!A:AL,22,FALSE)-VLOOKUP(B53,'SegEnds_NonXtal_Prot#'!A:AL,19,FALSE)</f>
        <v>#VALUE!</v>
      </c>
      <c r="AK53" s="49" t="e">
        <f>VLOOKUP(B53,'SegEnds_NonXtal_Prot#'!A:AL,15,FALSE)-VLOOKUP(B53,'SegEnds_NonXtal_Prot#'!A:AL,14,FALSE)</f>
        <v>#VALUE!</v>
      </c>
      <c r="AL53" s="49" t="e">
        <f>VLOOKUP(B53,'SegEnds_NonXtal_Prot#'!A:AL,18,FALSE)-VLOOKUP(B53,'SegEnds_NonXtal_Prot#'!A:AL,17,FALSE)</f>
        <v>#VALUE!</v>
      </c>
      <c r="AM53" s="2">
        <f>VLOOKUP(B53,'SegEnds_NonXtal_Prot#'!A:AL,34,FALSE)-VLOOKUP(B53,'SegEnds_NonXtal_Prot#'!A:AL,31,FALSE)</f>
        <v>62</v>
      </c>
    </row>
    <row r="54" spans="1:40" x14ac:dyDescent="0.2">
      <c r="A54" s="2" t="s">
        <v>1453</v>
      </c>
      <c r="B54" s="2" t="s">
        <v>1450</v>
      </c>
      <c r="C54" s="2">
        <f>IFERROR(50+VLOOKUP($A54,'SegEnds_Xtal_Prot#'!$A:$AY,5,FALSE)-VLOOKUP($B54,'SegEnds_NonXtal_Prot#'!$A:$AL,4,FALSE),"-")</f>
        <v>31</v>
      </c>
      <c r="D54" s="2">
        <f>IFERROR(50+VLOOKUP($A54,'SegEnds_Xtal_Prot#'!$A:$AY,7,FALSE)-VLOOKUP($B54,'SegEnds_NonXtal_Prot#'!$A:$AL,4,FALSE),"-")</f>
        <v>60</v>
      </c>
      <c r="E54" s="2">
        <f>IFERROR(50+VLOOKUP($A54,'SegEnds_Xtal_Prot#'!$A:$AY,9,FALSE)-VLOOKUP($B54,'SegEnds_NonXtal_Prot#'!$A:$AL,7,FALSE),"-")</f>
        <v>48</v>
      </c>
      <c r="F54" s="2">
        <f>IFERROR(50+VLOOKUP($A54,'SegEnds_Xtal_Prot#'!$A:$AY,11,FALSE)-VLOOKUP($B54,'SegEnds_NonXtal_Prot#'!$A:$AL,7,FALSE),"-")</f>
        <v>51</v>
      </c>
      <c r="G54" s="2">
        <f>IFERROR(50+VLOOKUP($A54,'SegEnds_Xtal_Prot#'!$A:$AY,13,FALSE)-VLOOKUP($B54,'SegEnds_NonXtal_Prot#'!$A:$AL,10,FALSE),"-")</f>
        <v>37</v>
      </c>
      <c r="H54" s="2">
        <f>IFERROR(50+VLOOKUP($A54,'SegEnds_Xtal_Prot#'!$A:$AY,15,FALSE)-VLOOKUP($B54,'SegEnds_NonXtal_Prot#'!$A:$AL,10,FALSE),"-")</f>
        <v>66</v>
      </c>
      <c r="I54" s="2">
        <f>IFERROR(50+VLOOKUP($A54,'SegEnds_Xtal_Prot#'!$A:$AY,17,FALSE)-VLOOKUP($B54,'SegEnds_NonXtal_Prot#'!$A:$AL,13,FALSE),"-")</f>
        <v>49</v>
      </c>
      <c r="J54" s="2">
        <f>IFERROR(50+VLOOKUP($A54,'SegEnds_Xtal_Prot#'!$A:$AY,19,FALSE)-VLOOKUP($B54,'SegEnds_NonXtal_Prot#'!$A:$AL,13,FALSE),"-")</f>
        <v>52</v>
      </c>
      <c r="K54" s="2">
        <f>IFERROR(50+VLOOKUP($A54,'SegEnds_Xtal_Prot#'!$A:$AY,21,FALSE)-VLOOKUP($B54,'SegEnds_NonXtal_Prot#'!$A:$AL,16,FALSE),"-")</f>
        <v>21</v>
      </c>
      <c r="L54" s="2">
        <f>IFERROR(50+VLOOKUP($A54,'SegEnds_Xtal_Prot#'!$A:$AY,23,FALSE)-VLOOKUP($B54,'SegEnds_NonXtal_Prot#'!$A:$AL,16,FALSE),"-")</f>
        <v>56</v>
      </c>
      <c r="M54" s="2">
        <f>IFERROR(50+VLOOKUP($A54,'SegEnds_Xtal_Prot#'!$A:$AY,25,FALSE)-VLOOKUP($B54,'SegEnds_NonXtal_Prot#'!$A:$AL,19,FALSE),"-")</f>
        <v>50</v>
      </c>
      <c r="N54" s="2">
        <f>IFERROR(50+VLOOKUP($A54,'SegEnds_Xtal_Prot#'!$A:$AY,27,FALSE)-VLOOKUP($B54,'SegEnds_NonXtal_Prot#'!$A:$AL,19,FALSE),"-")</f>
        <v>57</v>
      </c>
      <c r="O54" s="2">
        <f>IFERROR(50+VLOOKUP($A54,'SegEnds_Xtal_Prot#'!$A:$AY,29,FALSE)-VLOOKUP($B54,'SegEnds_NonXtal_Prot#'!$A:$AL,22,FALSE),"-")</f>
        <v>38</v>
      </c>
      <c r="P54" s="2">
        <f>IFERROR(50+VLOOKUP($A54,'SegEnds_Xtal_Prot#'!$A:$AY,31,FALSE)-VLOOKUP($B54,'SegEnds_NonXtal_Prot#'!$A:$AL,22,FALSE),"-")</f>
        <v>65</v>
      </c>
      <c r="Q54" s="2">
        <f>IFERROR(50+VLOOKUP($A54,'SegEnds_Xtal_Prot#'!$A:$AY,33,FALSE)-VLOOKUP($B54,'SegEnds_NonXtal_Prot#'!$A:$AL,25,FALSE),"-")</f>
        <v>50</v>
      </c>
      <c r="R54" s="2">
        <f>IFERROR(50+VLOOKUP($A54,'SegEnds_Xtal_Prot#'!$A:$AY,35,FALSE)-VLOOKUP($B54,'SegEnds_NonXtal_Prot#'!$A:$AL,25,FALSE),"-")</f>
        <v>52</v>
      </c>
      <c r="S54" s="2">
        <f>IFERROR(50+VLOOKUP($A54,'SegEnds_Xtal_Prot#'!$A:$AY,37,FALSE)-VLOOKUP($B54,'SegEnds_NonXtal_Prot#'!$A:$AL,28,FALSE),"-")</f>
        <v>31</v>
      </c>
      <c r="T54" s="2">
        <f>IFERROR(50+VLOOKUP($A54,'SegEnds_Xtal_Prot#'!$A:$AY,39,FALSE)-VLOOKUP($B54,'SegEnds_NonXtal_Prot#'!$A:$AL,28,FALSE),"-")</f>
        <v>68</v>
      </c>
      <c r="U54" s="2">
        <f>IFERROR(50+VLOOKUP($A54,'SegEnds_Xtal_Prot#'!$A:$AY,41,FALSE)-VLOOKUP($B54,'SegEnds_NonXtal_Prot#'!$A:$AL,31,FALSE),"-")</f>
        <v>24</v>
      </c>
      <c r="V54" s="2">
        <f>IFERROR(50+VLOOKUP($A54,'SegEnds_Xtal_Prot#'!$A:$AY,43,FALSE)-VLOOKUP($B54,'SegEnds_NonXtal_Prot#'!$A:$AL,31,FALSE),"-")</f>
        <v>64</v>
      </c>
      <c r="W54" s="2">
        <f>IFERROR(50+VLOOKUP($A54,'SegEnds_Xtal_Prot#'!$A:$AY,45,FALSE)-VLOOKUP($B54,'SegEnds_NonXtal_Prot#'!$A:$AL,34,FALSE),"-")</f>
        <v>24</v>
      </c>
      <c r="X54" s="2">
        <f>IFERROR(50+VLOOKUP($A54,'SegEnds_Xtal_Prot#'!$A:$AY,47,FALSE)-VLOOKUP($B54,'SegEnds_NonXtal_Prot#'!$A:$AL,34,FALSE),"-")</f>
        <v>56</v>
      </c>
      <c r="Y54" s="2">
        <f>IFERROR(50+VLOOKUP($A54,'SegEnds_Xtal_Prot#'!$A:$AY,49,FALSE)-VLOOKUP($B54,'SegEnds_NonXtal_Prot#'!$A:$AL,37,FALSE),"-")</f>
        <v>47</v>
      </c>
      <c r="Z54" s="2">
        <f>IFERROR(50+VLOOKUP($A54,'SegEnds_Xtal_Prot#'!$A:$AY,51,FALSE)-VLOOKUP($B54,'SegEnds_NonXtal_Prot#'!$A:$AL,37,FALSE),"-")</f>
        <v>61</v>
      </c>
      <c r="AA54" s="49" t="str">
        <f>VLOOKUP(B54,Classification!A:D,2,FALSE)</f>
        <v>A</v>
      </c>
      <c r="AB54" s="94" t="str">
        <f>VLOOKUP(B54,Classification!A:D,4,0)</f>
        <v>Lysophospholipid(LPA)</v>
      </c>
      <c r="AC54" s="49">
        <f>VLOOKUP(B54,'SegEnds_NonXtal_Prot#'!A:AL,6,FALSE)-VLOOKUP(B54,'SegEnds_NonXtal_Prot#'!A:AL,5,FALSE)</f>
        <v>1</v>
      </c>
      <c r="AD54" s="49">
        <f>VLOOKUP(B54,'SegEnds_NonXtal_Prot#'!A:AL,9,FALSE)-VLOOKUP(B54,'SegEnds_NonXtal_Prot#'!A:AL,8,FALSE)</f>
        <v>1</v>
      </c>
      <c r="AE54" s="49">
        <f>VLOOKUP(B54,'SegEnds_NonXtal_Prot#'!A:AL,13,FALSE)-VLOOKUP(B54,'SegEnds_NonXtal_Prot#'!A:AL,10,FALSE)</f>
        <v>19</v>
      </c>
      <c r="AF54" s="49">
        <f>VLOOKUP(B54,'SegEnds_NonXtal_Prot#'!A:AL,12,FALSE)-VLOOKUP(B54,'SegEnds_NonXtal_Prot#'!A:AL,11,FALSE)</f>
        <v>2</v>
      </c>
      <c r="AG54" s="49">
        <f>VLOOKUP(B54,'SegEnds_NonXtal_Prot#'!A:AL,13,FALSE)-VLOOKUP(B54,'SegEnds_NonXtal_Prot#'!A:AL,11,FALSE)</f>
        <v>3</v>
      </c>
      <c r="AH54" s="49">
        <f>VLOOKUP(B54,'SegEnds_NonXtal_Prot#'!A:AL,16,FALSE)-VLOOKUP(B54,'SegEnds_NonXtal_Prot#'!A:AL,10,FALSE)</f>
        <v>51</v>
      </c>
      <c r="AI54" s="49">
        <f>VLOOKUP(B54,'SegEnds_NonXtal_Prot#'!A:AL,16,FALSE)-VLOOKUP(B54,'SegEnds_NonXtal_Prot#'!A:AL,11,FALSE)</f>
        <v>35</v>
      </c>
      <c r="AJ54" s="49">
        <f>VLOOKUP(B54,'SegEnds_NonXtal_Prot#'!A:AL,22,FALSE)-VLOOKUP(B54,'SegEnds_NonXtal_Prot#'!A:AL,19,FALSE)</f>
        <v>20</v>
      </c>
      <c r="AK54" s="49">
        <f>VLOOKUP(B54,'SegEnds_NonXtal_Prot#'!A:AL,15,FALSE)-VLOOKUP(B54,'SegEnds_NonXtal_Prot#'!A:AL,14,FALSE)</f>
        <v>1</v>
      </c>
      <c r="AL54" s="49">
        <f>VLOOKUP(B54,'SegEnds_NonXtal_Prot#'!A:AL,18,FALSE)-VLOOKUP(B54,'SegEnds_NonXtal_Prot#'!A:AL,17,FALSE)</f>
        <v>1</v>
      </c>
      <c r="AM54" s="2">
        <f>VLOOKUP(B54,'SegEnds_NonXtal_Prot#'!A:AL,34,FALSE)-VLOOKUP(B54,'SegEnds_NonXtal_Prot#'!A:AL,31,FALSE)</f>
        <v>44</v>
      </c>
    </row>
    <row r="55" spans="1:40" x14ac:dyDescent="0.2">
      <c r="A55" s="2" t="s">
        <v>1465</v>
      </c>
      <c r="B55" s="2" t="s">
        <v>1462</v>
      </c>
      <c r="C55" s="2">
        <f>IFERROR(50+VLOOKUP($A55,'SegEnds_Xtal_Prot#'!$A:$AY,5,FALSE)-VLOOKUP($B55,'SegEnds_NonXtal_Prot#'!$A:$AL,4,FALSE),"-")</f>
        <v>29</v>
      </c>
      <c r="D55" s="2">
        <f>IFERROR(50+VLOOKUP($A55,'SegEnds_Xtal_Prot#'!$A:$AY,7,FALSE)-VLOOKUP($B55,'SegEnds_NonXtal_Prot#'!$A:$AL,4,FALSE),"-")</f>
        <v>60</v>
      </c>
      <c r="E55" s="2">
        <f>IFERROR(50+VLOOKUP($A55,'SegEnds_Xtal_Prot#'!$A:$AY,9,FALSE)-VLOOKUP($B55,'SegEnds_NonXtal_Prot#'!$A:$AL,7,FALSE),"-")</f>
        <v>48</v>
      </c>
      <c r="F55" s="2">
        <f>IFERROR(50+VLOOKUP($A55,'SegEnds_Xtal_Prot#'!$A:$AY,11,FALSE)-VLOOKUP($B55,'SegEnds_NonXtal_Prot#'!$A:$AL,7,FALSE),"-")</f>
        <v>51</v>
      </c>
      <c r="G55" s="2">
        <f>IFERROR(50+VLOOKUP($A55,'SegEnds_Xtal_Prot#'!$A:$AY,13,FALSE)-VLOOKUP($B55,'SegEnds_NonXtal_Prot#'!$A:$AL,10,FALSE),"-")</f>
        <v>37</v>
      </c>
      <c r="H55" s="2">
        <f>IFERROR(50+VLOOKUP($A55,'SegEnds_Xtal_Prot#'!$A:$AY,15,FALSE)-VLOOKUP($B55,'SegEnds_NonXtal_Prot#'!$A:$AL,10,FALSE),"-")</f>
        <v>67</v>
      </c>
      <c r="I55" s="2">
        <f>IFERROR(50+VLOOKUP($A55,'SegEnds_Xtal_Prot#'!$A:$AY,17,FALSE)-VLOOKUP($B55,'SegEnds_NonXtal_Prot#'!$A:$AL,13,FALSE),"-")</f>
        <v>49</v>
      </c>
      <c r="J55" s="2">
        <f>IFERROR(50+VLOOKUP($A55,'SegEnds_Xtal_Prot#'!$A:$AY,19,FALSE)-VLOOKUP($B55,'SegEnds_NonXtal_Prot#'!$A:$AL,13,FALSE),"-")</f>
        <v>52</v>
      </c>
      <c r="K55" s="2">
        <f>IFERROR(50+VLOOKUP($A55,'SegEnds_Xtal_Prot#'!$A:$AY,21,FALSE)-VLOOKUP($B55,'SegEnds_NonXtal_Prot#'!$A:$AL,16,FALSE),"-")</f>
        <v>21</v>
      </c>
      <c r="L55" s="2">
        <f>IFERROR(50+VLOOKUP($A55,'SegEnds_Xtal_Prot#'!$A:$AY,23,FALSE)-VLOOKUP($B55,'SegEnds_NonXtal_Prot#'!$A:$AL,16,FALSE),"-")</f>
        <v>56</v>
      </c>
      <c r="M55" s="2">
        <f>IFERROR(50+VLOOKUP($A55,'SegEnds_Xtal_Prot#'!$A:$AY,25,FALSE)-VLOOKUP($B55,'SegEnds_NonXtal_Prot#'!$A:$AL,19,FALSE),"-")</f>
        <v>50</v>
      </c>
      <c r="N55" s="2">
        <f>IFERROR(50+VLOOKUP($A55,'SegEnds_Xtal_Prot#'!$A:$AY,27,FALSE)-VLOOKUP($B55,'SegEnds_NonXtal_Prot#'!$A:$AL,19,FALSE),"-")</f>
        <v>57</v>
      </c>
      <c r="O55" s="2">
        <f>IFERROR(50+VLOOKUP($A55,'SegEnds_Xtal_Prot#'!$A:$AY,29,FALSE)-VLOOKUP($B55,'SegEnds_NonXtal_Prot#'!$A:$AL,22,FALSE),"-")</f>
        <v>38</v>
      </c>
      <c r="P55" s="2">
        <f>IFERROR(50+VLOOKUP($A55,'SegEnds_Xtal_Prot#'!$A:$AY,31,FALSE)-VLOOKUP($B55,'SegEnds_NonXtal_Prot#'!$A:$AL,22,FALSE),"-")</f>
        <v>64</v>
      </c>
      <c r="Q55" s="2">
        <f>IFERROR(50+VLOOKUP($A55,'SegEnds_Xtal_Prot#'!$A:$AY,33,FALSE)-VLOOKUP($B55,'SegEnds_NonXtal_Prot#'!$A:$AL,25,FALSE),"-")</f>
        <v>50</v>
      </c>
      <c r="R55" s="2">
        <f>IFERROR(50+VLOOKUP($A55,'SegEnds_Xtal_Prot#'!$A:$AY,35,FALSE)-VLOOKUP($B55,'SegEnds_NonXtal_Prot#'!$A:$AL,25,FALSE),"-")</f>
        <v>52</v>
      </c>
      <c r="S55" s="2">
        <f>IFERROR(50+VLOOKUP($A55,'SegEnds_Xtal_Prot#'!$A:$AY,37,FALSE)-VLOOKUP($B55,'SegEnds_NonXtal_Prot#'!$A:$AL,28,FALSE),"-")</f>
        <v>31</v>
      </c>
      <c r="T55" s="2">
        <f>IFERROR(50+VLOOKUP($A55,'SegEnds_Xtal_Prot#'!$A:$AY,39,FALSE)-VLOOKUP($B55,'SegEnds_NonXtal_Prot#'!$A:$AL,28,FALSE),"-")</f>
        <v>68</v>
      </c>
      <c r="U55" s="2">
        <f>IFERROR(50+VLOOKUP($A55,'SegEnds_Xtal_Prot#'!$A:$AY,41,FALSE)-VLOOKUP($B55,'SegEnds_NonXtal_Prot#'!$A:$AL,31,FALSE),"-")</f>
        <v>30</v>
      </c>
      <c r="V55" s="2">
        <f>IFERROR(50+VLOOKUP($A55,'SegEnds_Xtal_Prot#'!$A:$AY,43,FALSE)-VLOOKUP($B55,'SegEnds_NonXtal_Prot#'!$A:$AL,31,FALSE),"-")</f>
        <v>64</v>
      </c>
      <c r="W55" s="2">
        <f>IFERROR(50+VLOOKUP($A55,'SegEnds_Xtal_Prot#'!$A:$AY,45,FALSE)-VLOOKUP($B55,'SegEnds_NonXtal_Prot#'!$A:$AL,34,FALSE),"-")</f>
        <v>24</v>
      </c>
      <c r="X55" s="2">
        <f>IFERROR(50+VLOOKUP($A55,'SegEnds_Xtal_Prot#'!$A:$AY,47,FALSE)-VLOOKUP($B55,'SegEnds_NonXtal_Prot#'!$A:$AL,34,FALSE),"-")</f>
        <v>56</v>
      </c>
      <c r="Y55" s="2">
        <f>IFERROR(50+VLOOKUP($A55,'SegEnds_Xtal_Prot#'!$A:$AY,49,FALSE)-VLOOKUP($B55,'SegEnds_NonXtal_Prot#'!$A:$AL,37,FALSE),"-")</f>
        <v>47</v>
      </c>
      <c r="Z55" s="2">
        <f>IFERROR(50+VLOOKUP($A55,'SegEnds_Xtal_Prot#'!$A:$AY,51,FALSE)-VLOOKUP($B55,'SegEnds_NonXtal_Prot#'!$A:$AL,37,FALSE),"-")</f>
        <v>61</v>
      </c>
      <c r="AA55" s="49" t="str">
        <f>VLOOKUP(B55,Classification!A:D,2,FALSE)</f>
        <v>A</v>
      </c>
      <c r="AB55" s="94" t="str">
        <f>VLOOKUP(B55,Classification!A:D,4,0)</f>
        <v>Leukotriene</v>
      </c>
      <c r="AC55" s="49">
        <f>VLOOKUP(B55,'SegEnds_NonXtal_Prot#'!A:AL,6,FALSE)-VLOOKUP(B55,'SegEnds_NonXtal_Prot#'!A:AL,5,FALSE)</f>
        <v>1</v>
      </c>
      <c r="AD55" s="49">
        <f>VLOOKUP(B55,'SegEnds_NonXtal_Prot#'!A:AL,9,FALSE)-VLOOKUP(B55,'SegEnds_NonXtal_Prot#'!A:AL,8,FALSE)</f>
        <v>1</v>
      </c>
      <c r="AE55" s="49">
        <f>VLOOKUP(B55,'SegEnds_NonXtal_Prot#'!A:AL,13,FALSE)-VLOOKUP(B55,'SegEnds_NonXtal_Prot#'!A:AL,10,FALSE)</f>
        <v>19</v>
      </c>
      <c r="AF55" s="49">
        <f>VLOOKUP(B55,'SegEnds_NonXtal_Prot#'!A:AL,12,FALSE)-VLOOKUP(B55,'SegEnds_NonXtal_Prot#'!A:AL,11,FALSE)</f>
        <v>1</v>
      </c>
      <c r="AG55" s="49">
        <f>VLOOKUP(B55,'SegEnds_NonXtal_Prot#'!A:AL,13,FALSE)-VLOOKUP(B55,'SegEnds_NonXtal_Prot#'!A:AL,11,FALSE)</f>
        <v>2</v>
      </c>
      <c r="AH55" s="49">
        <f>VLOOKUP(B55,'SegEnds_NonXtal_Prot#'!A:AL,16,FALSE)-VLOOKUP(B55,'SegEnds_NonXtal_Prot#'!A:AL,10,FALSE)</f>
        <v>51</v>
      </c>
      <c r="AI55" s="49">
        <f>VLOOKUP(B55,'SegEnds_NonXtal_Prot#'!A:AL,16,FALSE)-VLOOKUP(B55,'SegEnds_NonXtal_Prot#'!A:AL,11,FALSE)</f>
        <v>34</v>
      </c>
      <c r="AJ55" s="49">
        <f>VLOOKUP(B55,'SegEnds_NonXtal_Prot#'!A:AL,22,FALSE)-VLOOKUP(B55,'SegEnds_NonXtal_Prot#'!A:AL,19,FALSE)</f>
        <v>20</v>
      </c>
      <c r="AK55" s="49">
        <f>VLOOKUP(B55,'SegEnds_NonXtal_Prot#'!A:AL,15,FALSE)-VLOOKUP(B55,'SegEnds_NonXtal_Prot#'!A:AL,14,FALSE)</f>
        <v>1</v>
      </c>
      <c r="AL55" s="49">
        <f>VLOOKUP(B55,'SegEnds_NonXtal_Prot#'!A:AL,18,FALSE)-VLOOKUP(B55,'SegEnds_NonXtal_Prot#'!A:AL,17,FALSE)</f>
        <v>1</v>
      </c>
      <c r="AM55" s="2">
        <f>VLOOKUP(B55,'SegEnds_NonXtal_Prot#'!A:AL,34,FALSE)-VLOOKUP(B55,'SegEnds_NonXtal_Prot#'!A:AL,31,FALSE)</f>
        <v>43</v>
      </c>
    </row>
    <row r="56" spans="1:40" x14ac:dyDescent="0.2">
      <c r="A56" s="2" t="s">
        <v>1492</v>
      </c>
      <c r="B56" s="2" t="s">
        <v>165</v>
      </c>
      <c r="C56" s="2">
        <f>IFERROR(50+VLOOKUP($A56,'SegEnds_Xtal_Prot#'!$A:$AY,5,FALSE)-VLOOKUP($B56,'SegEnds_NonXtal_Prot#'!$A:$AL,4,FALSE),"-")</f>
        <v>29</v>
      </c>
      <c r="D56" s="2">
        <f>IFERROR(50+VLOOKUP($A56,'SegEnds_Xtal_Prot#'!$A:$AY,7,FALSE)-VLOOKUP($B56,'SegEnds_NonXtal_Prot#'!$A:$AL,4,FALSE),"-")</f>
        <v>60</v>
      </c>
      <c r="E56" s="2" t="str">
        <f>IFERROR(50+VLOOKUP($A56,'SegEnds_Xtal_Prot#'!$A:$AY,9,FALSE)-VLOOKUP($B56,'SegEnds_NonXtal_Prot#'!$A:$AL,7,FALSE),"-")</f>
        <v>-</v>
      </c>
      <c r="F56" s="2" t="str">
        <f>IFERROR(50+VLOOKUP($A56,'SegEnds_Xtal_Prot#'!$A:$AY,11,FALSE)-VLOOKUP($B56,'SegEnds_NonXtal_Prot#'!$A:$AL,7,FALSE),"-")</f>
        <v>-</v>
      </c>
      <c r="G56" s="2">
        <f>IFERROR(50+VLOOKUP($A56,'SegEnds_Xtal_Prot#'!$A:$AY,13,FALSE)-VLOOKUP($B56,'SegEnds_NonXtal_Prot#'!$A:$AL,10,FALSE),"-")</f>
        <v>37</v>
      </c>
      <c r="H56" s="2">
        <f>IFERROR(50+VLOOKUP($A56,'SegEnds_Xtal_Prot#'!$A:$AY,15,FALSE)-VLOOKUP($B56,'SegEnds_NonXtal_Prot#'!$A:$AL,10,FALSE),"-")</f>
        <v>67</v>
      </c>
      <c r="I56" s="2">
        <f>IFERROR(50+VLOOKUP($A56,'SegEnds_Xtal_Prot#'!$A:$AY,17,FALSE)-VLOOKUP($B56,'SegEnds_NonXtal_Prot#'!$A:$AL,13,FALSE),"-")</f>
        <v>49</v>
      </c>
      <c r="J56" s="2">
        <f>IFERROR(50+VLOOKUP($A56,'SegEnds_Xtal_Prot#'!$A:$AY,19,FALSE)-VLOOKUP($B56,'SegEnds_NonXtal_Prot#'!$A:$AL,13,FALSE),"-")</f>
        <v>52</v>
      </c>
      <c r="K56" s="2">
        <f>IFERROR(50+VLOOKUP($A56,'SegEnds_Xtal_Prot#'!$A:$AY,21,FALSE)-VLOOKUP($B56,'SegEnds_NonXtal_Prot#'!$A:$AL,16,FALSE),"-")</f>
        <v>21</v>
      </c>
      <c r="L56" s="2">
        <f>IFERROR(50+VLOOKUP($A56,'SegEnds_Xtal_Prot#'!$A:$AY,23,FALSE)-VLOOKUP($B56,'SegEnds_NonXtal_Prot#'!$A:$AL,16,FALSE),"-")</f>
        <v>56</v>
      </c>
      <c r="M56" s="2">
        <f>IFERROR(50+VLOOKUP($A56,'SegEnds_Xtal_Prot#'!$A:$AY,25,FALSE)-VLOOKUP($B56,'SegEnds_NonXtal_Prot#'!$A:$AL,19,FALSE),"-")</f>
        <v>50</v>
      </c>
      <c r="N56" s="2">
        <f>IFERROR(50+VLOOKUP($A56,'SegEnds_Xtal_Prot#'!$A:$AY,27,FALSE)-VLOOKUP($B56,'SegEnds_NonXtal_Prot#'!$A:$AL,19,FALSE),"-")</f>
        <v>57</v>
      </c>
      <c r="O56" s="2">
        <f>IFERROR(50+VLOOKUP($A56,'SegEnds_Xtal_Prot#'!$A:$AY,29,FALSE)-VLOOKUP($B56,'SegEnds_NonXtal_Prot#'!$A:$AL,22,FALSE),"-")</f>
        <v>38</v>
      </c>
      <c r="P56" s="2">
        <f>IFERROR(50+VLOOKUP($A56,'SegEnds_Xtal_Prot#'!$A:$AY,31,FALSE)-VLOOKUP($B56,'SegEnds_NonXtal_Prot#'!$A:$AL,22,FALSE),"-")</f>
        <v>64</v>
      </c>
      <c r="Q56" s="2">
        <f>IFERROR(50+VLOOKUP($A56,'SegEnds_Xtal_Prot#'!$A:$AY,33,FALSE)-VLOOKUP($B56,'SegEnds_NonXtal_Prot#'!$A:$AL,25,FALSE),"-")</f>
        <v>50</v>
      </c>
      <c r="R56" s="2">
        <f>IFERROR(50+VLOOKUP($A56,'SegEnds_Xtal_Prot#'!$A:$AY,35,FALSE)-VLOOKUP($B56,'SegEnds_NonXtal_Prot#'!$A:$AL,25,FALSE),"-")</f>
        <v>52</v>
      </c>
      <c r="S56" s="2">
        <f>IFERROR(50+VLOOKUP($A56,'SegEnds_Xtal_Prot#'!$A:$AY,37,FALSE)-VLOOKUP($B56,'SegEnds_NonXtal_Prot#'!$A:$AL,28,FALSE),"-")</f>
        <v>31</v>
      </c>
      <c r="T56" s="2">
        <f>IFERROR(50+VLOOKUP($A56,'SegEnds_Xtal_Prot#'!$A:$AY,39,FALSE)-VLOOKUP($B56,'SegEnds_NonXtal_Prot#'!$A:$AL,28,FALSE),"-")</f>
        <v>68</v>
      </c>
      <c r="U56" s="2">
        <f>IFERROR(50+VLOOKUP($A56,'SegEnds_Xtal_Prot#'!$A:$AY,41,FALSE)-VLOOKUP($B56,'SegEnds_NonXtal_Prot#'!$A:$AL,31,FALSE),"-")</f>
        <v>31</v>
      </c>
      <c r="V56" s="2">
        <f>IFERROR(50+VLOOKUP($A56,'SegEnds_Xtal_Prot#'!$A:$AY,43,FALSE)-VLOOKUP($B56,'SegEnds_NonXtal_Prot#'!$A:$AL,31,FALSE),"-")</f>
        <v>61</v>
      </c>
      <c r="W56" s="2">
        <f>IFERROR(50+VLOOKUP($A56,'SegEnds_Xtal_Prot#'!$A:$AY,45,FALSE)-VLOOKUP($B56,'SegEnds_NonXtal_Prot#'!$A:$AL,34,FALSE),"-")</f>
        <v>25</v>
      </c>
      <c r="X56" s="2">
        <f>IFERROR(50+VLOOKUP($A56,'SegEnds_Xtal_Prot#'!$A:$AY,47,FALSE)-VLOOKUP($B56,'SegEnds_NonXtal_Prot#'!$A:$AL,34,FALSE),"-")</f>
        <v>56</v>
      </c>
      <c r="Y56" s="2">
        <f>IFERROR(50+VLOOKUP($A56,'SegEnds_Xtal_Prot#'!$A:$AY,49,FALSE)-VLOOKUP($B56,'SegEnds_NonXtal_Prot#'!$A:$AL,37,FALSE),"-")</f>
        <v>47</v>
      </c>
      <c r="Z56" s="2">
        <f>IFERROR(50+VLOOKUP($A56,'SegEnds_Xtal_Prot#'!$A:$AY,51,FALSE)-VLOOKUP($B56,'SegEnds_NonXtal_Prot#'!$A:$AL,37,FALSE),"-")</f>
        <v>56</v>
      </c>
      <c r="AA56" s="49" t="str">
        <f>VLOOKUP(B56,Classification!A:D,2,FALSE)</f>
        <v>A</v>
      </c>
      <c r="AB56" s="94" t="str">
        <f>VLOOKUP(B56,Classification!A:D,4,0)</f>
        <v>Complementpeptide</v>
      </c>
      <c r="AC56" s="49" t="e">
        <f>VLOOKUP(B56,'SegEnds_NonXtal_Prot#'!A:AL,6,FALSE)-VLOOKUP(B56,'SegEnds_NonXtal_Prot#'!A:AL,5,FALSE)</f>
        <v>#VALUE!</v>
      </c>
      <c r="AD56" s="49" t="e">
        <f>VLOOKUP(B56,'SegEnds_NonXtal_Prot#'!A:AL,9,FALSE)-VLOOKUP(B56,'SegEnds_NonXtal_Prot#'!A:AL,8,FALSE)</f>
        <v>#VALUE!</v>
      </c>
      <c r="AE56" s="49">
        <f>VLOOKUP(B56,'SegEnds_NonXtal_Prot#'!A:AL,13,FALSE)-VLOOKUP(B56,'SegEnds_NonXtal_Prot#'!A:AL,10,FALSE)</f>
        <v>20</v>
      </c>
      <c r="AF56" s="49">
        <f>VLOOKUP(B56,'SegEnds_NonXtal_Prot#'!A:AL,12,FALSE)-VLOOKUP(B56,'SegEnds_NonXtal_Prot#'!A:AL,11,FALSE)</f>
        <v>2</v>
      </c>
      <c r="AG56" s="49">
        <f>VLOOKUP(B56,'SegEnds_NonXtal_Prot#'!A:AL,13,FALSE)-VLOOKUP(B56,'SegEnds_NonXtal_Prot#'!A:AL,11,FALSE)</f>
        <v>3</v>
      </c>
      <c r="AH56" s="49">
        <f>VLOOKUP(B56,'SegEnds_NonXtal_Prot#'!A:AL,16,FALSE)-VLOOKUP(B56,'SegEnds_NonXtal_Prot#'!A:AL,10,FALSE)</f>
        <v>52</v>
      </c>
      <c r="AI56" s="49">
        <f>VLOOKUP(B56,'SegEnds_NonXtal_Prot#'!A:AL,16,FALSE)-VLOOKUP(B56,'SegEnds_NonXtal_Prot#'!A:AL,11,FALSE)</f>
        <v>35</v>
      </c>
      <c r="AJ56" s="49">
        <f>VLOOKUP(B56,'SegEnds_NonXtal_Prot#'!A:AL,22,FALSE)-VLOOKUP(B56,'SegEnds_NonXtal_Prot#'!A:AL,19,FALSE)</f>
        <v>20</v>
      </c>
      <c r="AK56" s="49">
        <f>VLOOKUP(B56,'SegEnds_NonXtal_Prot#'!A:AL,15,FALSE)-VLOOKUP(B56,'SegEnds_NonXtal_Prot#'!A:AL,14,FALSE)</f>
        <v>1</v>
      </c>
      <c r="AL56" s="49">
        <f>VLOOKUP(B56,'SegEnds_NonXtal_Prot#'!A:AL,18,FALSE)-VLOOKUP(B56,'SegEnds_NonXtal_Prot#'!A:AL,17,FALSE)</f>
        <v>1</v>
      </c>
      <c r="AM56" s="2">
        <f>VLOOKUP(B56,'SegEnds_NonXtal_Prot#'!A:AL,34,FALSE)-VLOOKUP(B56,'SegEnds_NonXtal_Prot#'!A:AL,31,FALSE)</f>
        <v>40</v>
      </c>
    </row>
    <row r="57" spans="1:40" x14ac:dyDescent="0.2">
      <c r="A57" s="2" t="s">
        <v>1504</v>
      </c>
      <c r="B57" s="2" t="s">
        <v>325</v>
      </c>
      <c r="C57" s="2">
        <f>IFERROR(50+VLOOKUP($A57,'SegEnds_Xtal_Prot#'!$A:$AY,5,FALSE)-VLOOKUP($B57,'SegEnds_NonXtal_Prot#'!$A:$AL,4,FALSE),"-")</f>
        <v>28</v>
      </c>
      <c r="D57" s="2">
        <f>IFERROR(50+VLOOKUP($A57,'SegEnds_Xtal_Prot#'!$A:$AY,7,FALSE)-VLOOKUP($B57,'SegEnds_NonXtal_Prot#'!$A:$AL,4,FALSE),"-")</f>
        <v>60</v>
      </c>
      <c r="E57" s="2">
        <f>IFERROR(50+VLOOKUP($A57,'SegEnds_Xtal_Prot#'!$A:$AY,9,FALSE)-VLOOKUP($B57,'SegEnds_NonXtal_Prot#'!$A:$AL,7,FALSE),"-")</f>
        <v>48</v>
      </c>
      <c r="F57" s="2">
        <f>IFERROR(50+VLOOKUP($A57,'SegEnds_Xtal_Prot#'!$A:$AY,11,FALSE)-VLOOKUP($B57,'SegEnds_NonXtal_Prot#'!$A:$AL,7,FALSE),"-")</f>
        <v>51</v>
      </c>
      <c r="G57" s="2">
        <f>IFERROR(50+VLOOKUP($A57,'SegEnds_Xtal_Prot#'!$A:$AY,13,FALSE)-VLOOKUP($B57,'SegEnds_NonXtal_Prot#'!$A:$AL,10,FALSE),"-")</f>
        <v>37</v>
      </c>
      <c r="H57" s="2">
        <f>IFERROR(50+VLOOKUP($A57,'SegEnds_Xtal_Prot#'!$A:$AY,15,FALSE)-VLOOKUP($B57,'SegEnds_NonXtal_Prot#'!$A:$AL,10,FALSE),"-")</f>
        <v>68</v>
      </c>
      <c r="I57" s="2">
        <f>IFERROR(50+VLOOKUP($A57,'SegEnds_Xtal_Prot#'!$A:$AY,17,FALSE)-VLOOKUP($B57,'SegEnds_NonXtal_Prot#'!$A:$AL,13,FALSE),"-")</f>
        <v>49</v>
      </c>
      <c r="J57" s="2">
        <f>IFERROR(50+VLOOKUP($A57,'SegEnds_Xtal_Prot#'!$A:$AY,19,FALSE)-VLOOKUP($B57,'SegEnds_NonXtal_Prot#'!$A:$AL,13,FALSE),"-")</f>
        <v>52</v>
      </c>
      <c r="K57" s="2">
        <f>IFERROR(50+VLOOKUP($A57,'SegEnds_Xtal_Prot#'!$A:$AY,21,FALSE)-VLOOKUP($B57,'SegEnds_NonXtal_Prot#'!$A:$AL,16,FALSE),"-")</f>
        <v>21</v>
      </c>
      <c r="L57" s="2">
        <f>IFERROR(50+VLOOKUP($A57,'SegEnds_Xtal_Prot#'!$A:$AY,23,FALSE)-VLOOKUP($B57,'SegEnds_NonXtal_Prot#'!$A:$AL,16,FALSE),"-")</f>
        <v>56</v>
      </c>
      <c r="M57" s="2" t="str">
        <f>IFERROR(50+VLOOKUP($A57,'SegEnds_Xtal_Prot#'!$A:$AY,25,FALSE)-VLOOKUP($B57,'SegEnds_NonXtal_Prot#'!$A:$AL,19,FALSE),"-")</f>
        <v>-</v>
      </c>
      <c r="N57" s="2" t="str">
        <f>IFERROR(50+VLOOKUP($A57,'SegEnds_Xtal_Prot#'!$A:$AY,27,FALSE)-VLOOKUP($B57,'SegEnds_NonXtal_Prot#'!$A:$AL,19,FALSE),"-")</f>
        <v>-</v>
      </c>
      <c r="O57" s="2">
        <f>IFERROR(50+VLOOKUP($A57,'SegEnds_Xtal_Prot#'!$A:$AY,29,FALSE)-VLOOKUP($B57,'SegEnds_NonXtal_Prot#'!$A:$AL,22,FALSE),"-")</f>
        <v>38</v>
      </c>
      <c r="P57" s="2">
        <f>IFERROR(50+VLOOKUP($A57,'SegEnds_Xtal_Prot#'!$A:$AY,31,FALSE)-VLOOKUP($B57,'SegEnds_NonXtal_Prot#'!$A:$AL,22,FALSE),"-")</f>
        <v>64</v>
      </c>
      <c r="Q57" s="2">
        <f>IFERROR(50+VLOOKUP($A57,'SegEnds_Xtal_Prot#'!$A:$AY,33,FALSE)-VLOOKUP($B57,'SegEnds_NonXtal_Prot#'!$A:$AL,25,FALSE),"-")</f>
        <v>50</v>
      </c>
      <c r="R57" s="2">
        <f>IFERROR(50+VLOOKUP($A57,'SegEnds_Xtal_Prot#'!$A:$AY,35,FALSE)-VLOOKUP($B57,'SegEnds_NonXtal_Prot#'!$A:$AL,25,FALSE),"-")</f>
        <v>52</v>
      </c>
      <c r="S57" s="2">
        <f>IFERROR(50+VLOOKUP($A57,'SegEnds_Xtal_Prot#'!$A:$AY,37,FALSE)-VLOOKUP($B57,'SegEnds_NonXtal_Prot#'!$A:$AL,28,FALSE),"-")</f>
        <v>31</v>
      </c>
      <c r="T57" s="2">
        <f>IFERROR(50+VLOOKUP($A57,'SegEnds_Xtal_Prot#'!$A:$AY,39,FALSE)-VLOOKUP($B57,'SegEnds_NonXtal_Prot#'!$A:$AL,28,FALSE),"-")</f>
        <v>72</v>
      </c>
      <c r="U57" s="2">
        <f>IFERROR(50+VLOOKUP($A57,'SegEnds_Xtal_Prot#'!$A:$AY,41,FALSE)-VLOOKUP($B57,'SegEnds_NonXtal_Prot#'!$A:$AL,31,FALSE),"-")</f>
        <v>22</v>
      </c>
      <c r="V57" s="2">
        <f>IFERROR(50+VLOOKUP($A57,'SegEnds_Xtal_Prot#'!$A:$AY,43,FALSE)-VLOOKUP($B57,'SegEnds_NonXtal_Prot#'!$A:$AL,31,FALSE),"-")</f>
        <v>61</v>
      </c>
      <c r="W57" s="2">
        <f>IFERROR(50+VLOOKUP($A57,'SegEnds_Xtal_Prot#'!$A:$AY,45,FALSE)-VLOOKUP($B57,'SegEnds_NonXtal_Prot#'!$A:$AL,34,FALSE),"-")</f>
        <v>28</v>
      </c>
      <c r="X57" s="2">
        <f>IFERROR(50+VLOOKUP($A57,'SegEnds_Xtal_Prot#'!$A:$AY,47,FALSE)-VLOOKUP($B57,'SegEnds_NonXtal_Prot#'!$A:$AL,34,FALSE),"-")</f>
        <v>56</v>
      </c>
      <c r="Y57" s="2">
        <f>IFERROR(50+VLOOKUP($A57,'SegEnds_Xtal_Prot#'!$A:$AY,49,FALSE)-VLOOKUP($B57,'SegEnds_NonXtal_Prot#'!$A:$AL,37,FALSE),"-")</f>
        <v>47</v>
      </c>
      <c r="Z57" s="2">
        <f>IFERROR(50+VLOOKUP($A57,'SegEnds_Xtal_Prot#'!$A:$AY,51,FALSE)-VLOOKUP($B57,'SegEnds_NonXtal_Prot#'!$A:$AL,37,FALSE),"-")</f>
        <v>58</v>
      </c>
      <c r="AA57" s="49" t="str">
        <f>VLOOKUP(B57,Classification!A:D,2,FALSE)</f>
        <v>A</v>
      </c>
      <c r="AB57" s="94" t="str">
        <f>VLOOKUP(B57,Classification!A:D,4,0)</f>
        <v>NeuropeptideY</v>
      </c>
      <c r="AC57" s="49">
        <f>VLOOKUP(B57,'SegEnds_NonXtal_Prot#'!A:AL,6,FALSE)-VLOOKUP(B57,'SegEnds_NonXtal_Prot#'!A:AL,5,FALSE)</f>
        <v>1</v>
      </c>
      <c r="AD57" s="49">
        <f>VLOOKUP(B57,'SegEnds_NonXtal_Prot#'!A:AL,9,FALSE)-VLOOKUP(B57,'SegEnds_NonXtal_Prot#'!A:AL,8,FALSE)</f>
        <v>1</v>
      </c>
      <c r="AE57" s="49">
        <f>VLOOKUP(B57,'SegEnds_NonXtal_Prot#'!A:AL,13,FALSE)-VLOOKUP(B57,'SegEnds_NonXtal_Prot#'!A:AL,10,FALSE)</f>
        <v>20</v>
      </c>
      <c r="AF57" s="49">
        <f>VLOOKUP(B57,'SegEnds_NonXtal_Prot#'!A:AL,12,FALSE)-VLOOKUP(B57,'SegEnds_NonXtal_Prot#'!A:AL,11,FALSE)</f>
        <v>1</v>
      </c>
      <c r="AG57" s="49">
        <f>VLOOKUP(B57,'SegEnds_NonXtal_Prot#'!A:AL,13,FALSE)-VLOOKUP(B57,'SegEnds_NonXtal_Prot#'!A:AL,11,FALSE)</f>
        <v>2</v>
      </c>
      <c r="AH57" s="49">
        <f>VLOOKUP(B57,'SegEnds_NonXtal_Prot#'!A:AL,16,FALSE)-VLOOKUP(B57,'SegEnds_NonXtal_Prot#'!A:AL,10,FALSE)</f>
        <v>52</v>
      </c>
      <c r="AI57" s="49">
        <f>VLOOKUP(B57,'SegEnds_NonXtal_Prot#'!A:AL,16,FALSE)-VLOOKUP(B57,'SegEnds_NonXtal_Prot#'!A:AL,11,FALSE)</f>
        <v>34</v>
      </c>
      <c r="AJ57" s="49" t="e">
        <f>VLOOKUP(B57,'SegEnds_NonXtal_Prot#'!A:AL,22,FALSE)-VLOOKUP(B57,'SegEnds_NonXtal_Prot#'!A:AL,19,FALSE)</f>
        <v>#VALUE!</v>
      </c>
      <c r="AK57" s="49">
        <f>VLOOKUP(B57,'SegEnds_NonXtal_Prot#'!A:AL,15,FALSE)-VLOOKUP(B57,'SegEnds_NonXtal_Prot#'!A:AL,14,FALSE)</f>
        <v>1</v>
      </c>
      <c r="AL57" s="49" t="e">
        <f>VLOOKUP(B57,'SegEnds_NonXtal_Prot#'!A:AL,18,FALSE)-VLOOKUP(B57,'SegEnds_NonXtal_Prot#'!A:AL,17,FALSE)</f>
        <v>#VALUE!</v>
      </c>
      <c r="AM57" s="2">
        <f>VLOOKUP(B57,'SegEnds_NonXtal_Prot#'!A:AL,34,FALSE)-VLOOKUP(B57,'SegEnds_NonXtal_Prot#'!A:AL,31,FALSE)</f>
        <v>39</v>
      </c>
    </row>
    <row r="58" spans="1:40" x14ac:dyDescent="0.2">
      <c r="A58" s="2" t="s">
        <v>1521</v>
      </c>
      <c r="B58" s="2" t="s">
        <v>371</v>
      </c>
      <c r="C58" s="2">
        <f>IFERROR(50+VLOOKUP($A58,'SegEnds_Xtal_Prot#'!$A:$AY,5,FALSE)-VLOOKUP($B58,'SegEnds_NonXtal_Prot#'!$A:$AL,4,FALSE),"-")</f>
        <v>27</v>
      </c>
      <c r="D58" s="2">
        <f>IFERROR(50+VLOOKUP($A58,'SegEnds_Xtal_Prot#'!$A:$AY,7,FALSE)-VLOOKUP($B58,'SegEnds_NonXtal_Prot#'!$A:$AL,4,FALSE),"-")</f>
        <v>61</v>
      </c>
      <c r="E58" s="2" t="str">
        <f>IFERROR(50+VLOOKUP($A58,'SegEnds_Xtal_Prot#'!$A:$AY,9,FALSE)-VLOOKUP($B58,'SegEnds_NonXtal_Prot#'!$A:$AL,7,FALSE),"-")</f>
        <v>-</v>
      </c>
      <c r="F58" s="2" t="str">
        <f>IFERROR(50+VLOOKUP($A58,'SegEnds_Xtal_Prot#'!$A:$AY,11,FALSE)-VLOOKUP($B58,'SegEnds_NonXtal_Prot#'!$A:$AL,7,FALSE),"-")</f>
        <v>-</v>
      </c>
      <c r="G58" s="2">
        <f>IFERROR(50+VLOOKUP($A58,'SegEnds_Xtal_Prot#'!$A:$AY,13,FALSE)-VLOOKUP($B58,'SegEnds_NonXtal_Prot#'!$A:$AL,10,FALSE),"-")</f>
        <v>36</v>
      </c>
      <c r="H58" s="2">
        <f>IFERROR(50+VLOOKUP($A58,'SegEnds_Xtal_Prot#'!$A:$AY,15,FALSE)-VLOOKUP($B58,'SegEnds_NonXtal_Prot#'!$A:$AL,10,FALSE),"-")</f>
        <v>67</v>
      </c>
      <c r="I58" s="2">
        <f>IFERROR(50+VLOOKUP($A58,'SegEnds_Xtal_Prot#'!$A:$AY,17,FALSE)-VLOOKUP($B58,'SegEnds_NonXtal_Prot#'!$A:$AL,13,FALSE),"-")</f>
        <v>49</v>
      </c>
      <c r="J58" s="2">
        <f>IFERROR(50+VLOOKUP($A58,'SegEnds_Xtal_Prot#'!$A:$AY,19,FALSE)-VLOOKUP($B58,'SegEnds_NonXtal_Prot#'!$A:$AL,13,FALSE),"-")</f>
        <v>52</v>
      </c>
      <c r="K58" s="2">
        <f>IFERROR(50+VLOOKUP($A58,'SegEnds_Xtal_Prot#'!$A:$AY,21,FALSE)-VLOOKUP($B58,'SegEnds_NonXtal_Prot#'!$A:$AL,16,FALSE),"-")</f>
        <v>21</v>
      </c>
      <c r="L58" s="2">
        <f>IFERROR(50+VLOOKUP($A58,'SegEnds_Xtal_Prot#'!$A:$AY,23,FALSE)-VLOOKUP($B58,'SegEnds_NonXtal_Prot#'!$A:$AL,16,FALSE),"-")</f>
        <v>56</v>
      </c>
      <c r="M58" s="2">
        <f>IFERROR(50+VLOOKUP($A58,'SegEnds_Xtal_Prot#'!$A:$AY,25,FALSE)-VLOOKUP($B58,'SegEnds_NonXtal_Prot#'!$A:$AL,19,FALSE),"-")</f>
        <v>50</v>
      </c>
      <c r="N58" s="2">
        <f>IFERROR(50+VLOOKUP($A58,'SegEnds_Xtal_Prot#'!$A:$AY,27,FALSE)-VLOOKUP($B58,'SegEnds_NonXtal_Prot#'!$A:$AL,19,FALSE),"-")</f>
        <v>57</v>
      </c>
      <c r="O58" s="2">
        <f>IFERROR(50+VLOOKUP($A58,'SegEnds_Xtal_Prot#'!$A:$AY,29,FALSE)-VLOOKUP($B58,'SegEnds_NonXtal_Prot#'!$A:$AL,22,FALSE),"-")</f>
        <v>38</v>
      </c>
      <c r="P58" s="2">
        <f>IFERROR(50+VLOOKUP($A58,'SegEnds_Xtal_Prot#'!$A:$AY,31,FALSE)-VLOOKUP($B58,'SegEnds_NonXtal_Prot#'!$A:$AL,22,FALSE),"-")</f>
        <v>63</v>
      </c>
      <c r="Q58" s="2">
        <f>IFERROR(50+VLOOKUP($A58,'SegEnds_Xtal_Prot#'!$A:$AY,33,FALSE)-VLOOKUP($B58,'SegEnds_NonXtal_Prot#'!$A:$AL,25,FALSE),"-")</f>
        <v>50</v>
      </c>
      <c r="R58" s="2">
        <f>IFERROR(50+VLOOKUP($A58,'SegEnds_Xtal_Prot#'!$A:$AY,35,FALSE)-VLOOKUP($B58,'SegEnds_NonXtal_Prot#'!$A:$AL,25,FALSE),"-")</f>
        <v>52</v>
      </c>
      <c r="S58" s="2">
        <f>IFERROR(50+VLOOKUP($A58,'SegEnds_Xtal_Prot#'!$A:$AY,37,FALSE)-VLOOKUP($B58,'SegEnds_NonXtal_Prot#'!$A:$AL,28,FALSE),"-")</f>
        <v>33</v>
      </c>
      <c r="T58" s="2">
        <f>IFERROR(50+VLOOKUP($A58,'SegEnds_Xtal_Prot#'!$A:$AY,39,FALSE)-VLOOKUP($B58,'SegEnds_NonXtal_Prot#'!$A:$AL,28,FALSE),"-")</f>
        <v>68</v>
      </c>
      <c r="U58" s="2">
        <f>IFERROR(50+VLOOKUP($A58,'SegEnds_Xtal_Prot#'!$A:$AY,41,FALSE)-VLOOKUP($B58,'SegEnds_NonXtal_Prot#'!$A:$AL,31,FALSE),"-")</f>
        <v>24</v>
      </c>
      <c r="V58" s="2">
        <f>IFERROR(50+VLOOKUP($A58,'SegEnds_Xtal_Prot#'!$A:$AY,43,FALSE)-VLOOKUP($B58,'SegEnds_NonXtal_Prot#'!$A:$AL,31,FALSE),"-")</f>
        <v>64</v>
      </c>
      <c r="W58" s="2">
        <f>IFERROR(50+VLOOKUP($A58,'SegEnds_Xtal_Prot#'!$A:$AY,45,FALSE)-VLOOKUP($B58,'SegEnds_NonXtal_Prot#'!$A:$AL,34,FALSE),"-")</f>
        <v>24</v>
      </c>
      <c r="X58" s="2">
        <f>IFERROR(50+VLOOKUP($A58,'SegEnds_Xtal_Prot#'!$A:$AY,47,FALSE)-VLOOKUP($B58,'SegEnds_NonXtal_Prot#'!$A:$AL,34,FALSE),"-")</f>
        <v>59</v>
      </c>
      <c r="Y58" s="2">
        <f>IFERROR(50+VLOOKUP($A58,'SegEnds_Xtal_Prot#'!$A:$AY,49,FALSE)-VLOOKUP($B58,'SegEnds_NonXtal_Prot#'!$A:$AL,37,FALSE),"-")</f>
        <v>50</v>
      </c>
      <c r="Z58" s="2">
        <f>IFERROR(50+VLOOKUP($A58,'SegEnds_Xtal_Prot#'!$A:$AY,51,FALSE)-VLOOKUP($B58,'SegEnds_NonXtal_Prot#'!$A:$AL,37,FALSE),"-")</f>
        <v>63</v>
      </c>
      <c r="AA58" s="49" t="str">
        <f>VLOOKUP(B58,Classification!A:D,2,FALSE)</f>
        <v>A</v>
      </c>
      <c r="AB58" s="94" t="str">
        <f>VLOOKUP(B58,Classification!A:D,4,0)</f>
        <v>Platelet-activatingfactor</v>
      </c>
      <c r="AC58" s="49" t="e">
        <f>VLOOKUP(B58,'SegEnds_NonXtal_Prot#'!A:AL,6,FALSE)-VLOOKUP(B58,'SegEnds_NonXtal_Prot#'!A:AL,5,FALSE)</f>
        <v>#VALUE!</v>
      </c>
      <c r="AD58" s="49" t="e">
        <f>VLOOKUP(B58,'SegEnds_NonXtal_Prot#'!A:AL,9,FALSE)-VLOOKUP(B58,'SegEnds_NonXtal_Prot#'!A:AL,8,FALSE)</f>
        <v>#VALUE!</v>
      </c>
      <c r="AE58" s="49">
        <f>VLOOKUP(B58,'SegEnds_NonXtal_Prot#'!A:AL,13,FALSE)-VLOOKUP(B58,'SegEnds_NonXtal_Prot#'!A:AL,10,FALSE)</f>
        <v>20</v>
      </c>
      <c r="AF58" s="49">
        <f>VLOOKUP(B58,'SegEnds_NonXtal_Prot#'!A:AL,12,FALSE)-VLOOKUP(B58,'SegEnds_NonXtal_Prot#'!A:AL,11,FALSE)</f>
        <v>2</v>
      </c>
      <c r="AG58" s="49">
        <f>VLOOKUP(B58,'SegEnds_NonXtal_Prot#'!A:AL,13,FALSE)-VLOOKUP(B58,'SegEnds_NonXtal_Prot#'!A:AL,11,FALSE)</f>
        <v>3</v>
      </c>
      <c r="AH58" s="49">
        <f>VLOOKUP(B58,'SegEnds_NonXtal_Prot#'!A:AL,16,FALSE)-VLOOKUP(B58,'SegEnds_NonXtal_Prot#'!A:AL,10,FALSE)</f>
        <v>52</v>
      </c>
      <c r="AI58" s="49">
        <f>VLOOKUP(B58,'SegEnds_NonXtal_Prot#'!A:AL,16,FALSE)-VLOOKUP(B58,'SegEnds_NonXtal_Prot#'!A:AL,11,FALSE)</f>
        <v>35</v>
      </c>
      <c r="AJ58" s="49">
        <f>VLOOKUP(B58,'SegEnds_NonXtal_Prot#'!A:AL,22,FALSE)-VLOOKUP(B58,'SegEnds_NonXtal_Prot#'!A:AL,19,FALSE)</f>
        <v>20</v>
      </c>
      <c r="AK58" s="49">
        <f>VLOOKUP(B58,'SegEnds_NonXtal_Prot#'!A:AL,15,FALSE)-VLOOKUP(B58,'SegEnds_NonXtal_Prot#'!A:AL,14,FALSE)</f>
        <v>1</v>
      </c>
      <c r="AL58" s="49">
        <f>VLOOKUP(B58,'SegEnds_NonXtal_Prot#'!A:AL,18,FALSE)-VLOOKUP(B58,'SegEnds_NonXtal_Prot#'!A:AL,17,FALSE)</f>
        <v>1</v>
      </c>
      <c r="AM58" s="2">
        <f>VLOOKUP(B58,'SegEnds_NonXtal_Prot#'!A:AL,34,FALSE)-VLOOKUP(B58,'SegEnds_NonXtal_Prot#'!A:AL,31,FALSE)</f>
        <v>43</v>
      </c>
    </row>
    <row r="59" spans="1:40" x14ac:dyDescent="0.2">
      <c r="A59" s="2" t="s">
        <v>1527</v>
      </c>
      <c r="B59" s="2" t="s">
        <v>1523</v>
      </c>
      <c r="C59" s="2">
        <f>IFERROR(50+VLOOKUP($A59,'SegEnds_Xtal_Prot#'!$A:$AY,5,FALSE)-VLOOKUP($B59,'SegEnds_NonXtal_Prot#'!$A:$AL,4,FALSE),"-")</f>
        <v>24</v>
      </c>
      <c r="D59" s="2">
        <f>IFERROR(50+VLOOKUP($A59,'SegEnds_Xtal_Prot#'!$A:$AY,7,FALSE)-VLOOKUP($B59,'SegEnds_NonXtal_Prot#'!$A:$AL,4,FALSE),"-")</f>
        <v>60</v>
      </c>
      <c r="E59" s="2">
        <f>IFERROR(50+VLOOKUP($A59,'SegEnds_Xtal_Prot#'!$A:$AY,9,FALSE)-VLOOKUP($B59,'SegEnds_NonXtal_Prot#'!$A:$AL,7,FALSE),"-")</f>
        <v>48</v>
      </c>
      <c r="F59" s="2">
        <f>IFERROR(50+VLOOKUP($A59,'SegEnds_Xtal_Prot#'!$A:$AY,11,FALSE)-VLOOKUP($B59,'SegEnds_NonXtal_Prot#'!$A:$AL,7,FALSE),"-")</f>
        <v>51</v>
      </c>
      <c r="G59" s="2">
        <f>IFERROR(50+VLOOKUP($A59,'SegEnds_Xtal_Prot#'!$A:$AY,13,FALSE)-VLOOKUP($B59,'SegEnds_NonXtal_Prot#'!$A:$AL,10,FALSE),"-")</f>
        <v>37</v>
      </c>
      <c r="H59" s="2">
        <f>IFERROR(50+VLOOKUP($A59,'SegEnds_Xtal_Prot#'!$A:$AY,15,FALSE)-VLOOKUP($B59,'SegEnds_NonXtal_Prot#'!$A:$AL,10,FALSE),"-")</f>
        <v>66</v>
      </c>
      <c r="I59" s="2" t="str">
        <f>IFERROR(50+VLOOKUP($A59,'SegEnds_Xtal_Prot#'!$A:$AY,17,FALSE)-VLOOKUP($B59,'SegEnds_NonXtal_Prot#'!$A:$AL,13,FALSE),"-")</f>
        <v>-</v>
      </c>
      <c r="J59" s="2" t="str">
        <f>IFERROR(50+VLOOKUP($A59,'SegEnds_Xtal_Prot#'!$A:$AY,19,FALSE)-VLOOKUP($B59,'SegEnds_NonXtal_Prot#'!$A:$AL,13,FALSE),"-")</f>
        <v>-</v>
      </c>
      <c r="K59" s="2">
        <f>IFERROR(50+VLOOKUP($A59,'SegEnds_Xtal_Prot#'!$A:$AY,21,FALSE)-VLOOKUP($B59,'SegEnds_NonXtal_Prot#'!$A:$AL,16,FALSE),"-")</f>
        <v>21</v>
      </c>
      <c r="L59" s="2">
        <f>IFERROR(50+VLOOKUP($A59,'SegEnds_Xtal_Prot#'!$A:$AY,23,FALSE)-VLOOKUP($B59,'SegEnds_NonXtal_Prot#'!$A:$AL,16,FALSE),"-")</f>
        <v>55</v>
      </c>
      <c r="M59" s="2" t="str">
        <f>IFERROR(50+VLOOKUP($A59,'SegEnds_Xtal_Prot#'!$A:$AY,25,FALSE)-VLOOKUP($B59,'SegEnds_NonXtal_Prot#'!$A:$AL,19,FALSE),"-")</f>
        <v>-</v>
      </c>
      <c r="N59" s="2" t="str">
        <f>IFERROR(50+VLOOKUP($A59,'SegEnds_Xtal_Prot#'!$A:$AY,27,FALSE)-VLOOKUP($B59,'SegEnds_NonXtal_Prot#'!$A:$AL,19,FALSE),"-")</f>
        <v>-</v>
      </c>
      <c r="O59" s="2">
        <f>IFERROR(50+VLOOKUP($A59,'SegEnds_Xtal_Prot#'!$A:$AY,29,FALSE)-VLOOKUP($B59,'SegEnds_NonXtal_Prot#'!$A:$AL,22,FALSE),"-")</f>
        <v>38</v>
      </c>
      <c r="P59" s="2">
        <f>IFERROR(50+VLOOKUP($A59,'SegEnds_Xtal_Prot#'!$A:$AY,31,FALSE)-VLOOKUP($B59,'SegEnds_NonXtal_Prot#'!$A:$AL,22,FALSE),"-")</f>
        <v>62</v>
      </c>
      <c r="Q59" s="2">
        <f>IFERROR(50+VLOOKUP($A59,'SegEnds_Xtal_Prot#'!$A:$AY,33,FALSE)-VLOOKUP($B59,'SegEnds_NonXtal_Prot#'!$A:$AL,25,FALSE),"-")</f>
        <v>50</v>
      </c>
      <c r="R59" s="2">
        <f>IFERROR(50+VLOOKUP($A59,'SegEnds_Xtal_Prot#'!$A:$AY,35,FALSE)-VLOOKUP($B59,'SegEnds_NonXtal_Prot#'!$A:$AL,25,FALSE),"-")</f>
        <v>52</v>
      </c>
      <c r="S59" s="2">
        <f>IFERROR(50+VLOOKUP($A59,'SegEnds_Xtal_Prot#'!$A:$AY,37,FALSE)-VLOOKUP($B59,'SegEnds_NonXtal_Prot#'!$A:$AL,28,FALSE),"-")</f>
        <v>33</v>
      </c>
      <c r="T59" s="2">
        <f>IFERROR(50+VLOOKUP($A59,'SegEnds_Xtal_Prot#'!$A:$AY,39,FALSE)-VLOOKUP($B59,'SegEnds_NonXtal_Prot#'!$A:$AL,28,FALSE),"-")</f>
        <v>68</v>
      </c>
      <c r="U59" s="2">
        <f>IFERROR(50+VLOOKUP($A59,'SegEnds_Xtal_Prot#'!$A:$AY,41,FALSE)-VLOOKUP($B59,'SegEnds_NonXtal_Prot#'!$A:$AL,31,FALSE),"-")</f>
        <v>29</v>
      </c>
      <c r="V59" s="2">
        <f>IFERROR(50+VLOOKUP($A59,'SegEnds_Xtal_Prot#'!$A:$AY,43,FALSE)-VLOOKUP($B59,'SegEnds_NonXtal_Prot#'!$A:$AL,31,FALSE),"-")</f>
        <v>64</v>
      </c>
      <c r="W59" s="2">
        <f>IFERROR(50+VLOOKUP($A59,'SegEnds_Xtal_Prot#'!$A:$AY,45,FALSE)-VLOOKUP($B59,'SegEnds_NonXtal_Prot#'!$A:$AL,34,FALSE),"-")</f>
        <v>24</v>
      </c>
      <c r="X59" s="2">
        <f>IFERROR(50+VLOOKUP($A59,'SegEnds_Xtal_Prot#'!$A:$AY,47,FALSE)-VLOOKUP($B59,'SegEnds_NonXtal_Prot#'!$A:$AL,34,FALSE),"-")</f>
        <v>56</v>
      </c>
      <c r="Y59" s="2">
        <f>IFERROR(50+VLOOKUP($A59,'SegEnds_Xtal_Prot#'!$A:$AY,49,FALSE)-VLOOKUP($B59,'SegEnds_NonXtal_Prot#'!$A:$AL,37,FALSE),"-")</f>
        <v>47</v>
      </c>
      <c r="Z59" s="2">
        <f>IFERROR(50+VLOOKUP($A59,'SegEnds_Xtal_Prot#'!$A:$AY,51,FALSE)-VLOOKUP($B59,'SegEnds_NonXtal_Prot#'!$A:$AL,37,FALSE),"-")</f>
        <v>62</v>
      </c>
      <c r="AA59" s="49" t="str">
        <f>VLOOKUP(B59,Classification!A:D,2,FALSE)</f>
        <v>A</v>
      </c>
      <c r="AB59" s="94" t="str">
        <f>VLOOKUP(B59,Classification!A:D,4,0)</f>
        <v>Chemokine</v>
      </c>
      <c r="AC59" s="49">
        <f>VLOOKUP(B59,'SegEnds_NonXtal_Prot#'!A:AL,6,FALSE)-VLOOKUP(B59,'SegEnds_NonXtal_Prot#'!A:AL,5,FALSE)</f>
        <v>1</v>
      </c>
      <c r="AD59" s="49">
        <f>VLOOKUP(B59,'SegEnds_NonXtal_Prot#'!A:AL,9,FALSE)-VLOOKUP(B59,'SegEnds_NonXtal_Prot#'!A:AL,8,FALSE)</f>
        <v>1</v>
      </c>
      <c r="AE59" s="49" t="e">
        <f>VLOOKUP(B59,'SegEnds_NonXtal_Prot#'!A:AL,13,FALSE)-VLOOKUP(B59,'SegEnds_NonXtal_Prot#'!A:AL,10,FALSE)</f>
        <v>#VALUE!</v>
      </c>
      <c r="AF59" s="49" t="e">
        <f>VLOOKUP(B59,'SegEnds_NonXtal_Prot#'!A:AL,12,FALSE)-VLOOKUP(B59,'SegEnds_NonXtal_Prot#'!A:AL,11,FALSE)</f>
        <v>#VALUE!</v>
      </c>
      <c r="AG59" s="49" t="e">
        <f>VLOOKUP(B59,'SegEnds_NonXtal_Prot#'!A:AL,13,FALSE)-VLOOKUP(B59,'SegEnds_NonXtal_Prot#'!A:AL,11,FALSE)</f>
        <v>#VALUE!</v>
      </c>
      <c r="AH59" s="49">
        <f>VLOOKUP(B59,'SegEnds_NonXtal_Prot#'!A:AL,16,FALSE)-VLOOKUP(B59,'SegEnds_NonXtal_Prot#'!A:AL,10,FALSE)</f>
        <v>50</v>
      </c>
      <c r="AI59" s="49">
        <f>VLOOKUP(B59,'SegEnds_NonXtal_Prot#'!A:AL,16,FALSE)-VLOOKUP(B59,'SegEnds_NonXtal_Prot#'!A:AL,11,FALSE)</f>
        <v>34</v>
      </c>
      <c r="AJ59" s="49" t="e">
        <f>VLOOKUP(B59,'SegEnds_NonXtal_Prot#'!A:AL,22,FALSE)-VLOOKUP(B59,'SegEnds_NonXtal_Prot#'!A:AL,19,FALSE)</f>
        <v>#VALUE!</v>
      </c>
      <c r="AK59" s="49" t="e">
        <f>VLOOKUP(B59,'SegEnds_NonXtal_Prot#'!A:AL,15,FALSE)-VLOOKUP(B59,'SegEnds_NonXtal_Prot#'!A:AL,14,FALSE)</f>
        <v>#VALUE!</v>
      </c>
      <c r="AL59" s="49" t="e">
        <f>VLOOKUP(B59,'SegEnds_NonXtal_Prot#'!A:AL,18,FALSE)-VLOOKUP(B59,'SegEnds_NonXtal_Prot#'!A:AL,17,FALSE)</f>
        <v>#VALUE!</v>
      </c>
      <c r="AM59" s="2">
        <f>VLOOKUP(B59,'SegEnds_NonXtal_Prot#'!A:AL,34,FALSE)-VLOOKUP(B59,'SegEnds_NonXtal_Prot#'!A:AL,31,FALSE)</f>
        <v>45</v>
      </c>
    </row>
    <row r="60" spans="1:40" x14ac:dyDescent="0.2">
      <c r="A60" s="2" t="s">
        <v>1534</v>
      </c>
      <c r="B60" s="2" t="s">
        <v>402</v>
      </c>
      <c r="C60" s="2">
        <f>IFERROR(50+VLOOKUP($A60,'SegEnds_Xtal_Prot#'!$A:$AY,5,FALSE)-VLOOKUP($B60,'SegEnds_NonXtal_Prot#'!$A:$AL,4,FALSE),"-")</f>
        <v>24</v>
      </c>
      <c r="D60" s="2">
        <f>IFERROR(50+VLOOKUP($A60,'SegEnds_Xtal_Prot#'!$A:$AY,7,FALSE)-VLOOKUP($B60,'SegEnds_NonXtal_Prot#'!$A:$AL,4,FALSE),"-")</f>
        <v>60</v>
      </c>
      <c r="E60" s="2">
        <f>IFERROR(50+VLOOKUP($A60,'SegEnds_Xtal_Prot#'!$A:$AY,9,FALSE)-VLOOKUP($B60,'SegEnds_NonXtal_Prot#'!$A:$AL,7,FALSE),"-")</f>
        <v>48</v>
      </c>
      <c r="F60" s="2">
        <f>IFERROR(50+VLOOKUP($A60,'SegEnds_Xtal_Prot#'!$A:$AY,11,FALSE)-VLOOKUP($B60,'SegEnds_NonXtal_Prot#'!$A:$AL,7,FALSE),"-")</f>
        <v>51</v>
      </c>
      <c r="G60" s="2">
        <f>IFERROR(50+VLOOKUP($A60,'SegEnds_Xtal_Prot#'!$A:$AY,13,FALSE)-VLOOKUP($B60,'SegEnds_NonXtal_Prot#'!$A:$AL,10,FALSE),"-")</f>
        <v>37</v>
      </c>
      <c r="H60" s="2">
        <f>IFERROR(50+VLOOKUP($A60,'SegEnds_Xtal_Prot#'!$A:$AY,15,FALSE)-VLOOKUP($B60,'SegEnds_NonXtal_Prot#'!$A:$AL,10,FALSE),"-")</f>
        <v>64</v>
      </c>
      <c r="I60" s="2" t="str">
        <f>IFERROR(50+VLOOKUP($A60,'SegEnds_Xtal_Prot#'!$A:$AY,17,FALSE)-VLOOKUP($B60,'SegEnds_NonXtal_Prot#'!$A:$AL,13,FALSE),"-")</f>
        <v>-</v>
      </c>
      <c r="J60" s="2" t="str">
        <f>IFERROR(50+VLOOKUP($A60,'SegEnds_Xtal_Prot#'!$A:$AY,19,FALSE)-VLOOKUP($B60,'SegEnds_NonXtal_Prot#'!$A:$AL,13,FALSE),"-")</f>
        <v>-</v>
      </c>
      <c r="K60" s="2">
        <f>IFERROR(50+VLOOKUP($A60,'SegEnds_Xtal_Prot#'!$A:$AY,21,FALSE)-VLOOKUP($B60,'SegEnds_NonXtal_Prot#'!$A:$AL,16,FALSE),"-")</f>
        <v>23</v>
      </c>
      <c r="L60" s="2">
        <f>IFERROR(50+VLOOKUP($A60,'SegEnds_Xtal_Prot#'!$A:$AY,23,FALSE)-VLOOKUP($B60,'SegEnds_NonXtal_Prot#'!$A:$AL,16,FALSE),"-")</f>
        <v>56</v>
      </c>
      <c r="M60" s="2" t="str">
        <f>IFERROR(50+VLOOKUP($A60,'SegEnds_Xtal_Prot#'!$A:$AY,25,FALSE)-VLOOKUP($B60,'SegEnds_NonXtal_Prot#'!$A:$AL,19,FALSE),"-")</f>
        <v>-</v>
      </c>
      <c r="N60" s="2" t="str">
        <f>IFERROR(50+VLOOKUP($A60,'SegEnds_Xtal_Prot#'!$A:$AY,27,FALSE)-VLOOKUP($B60,'SegEnds_NonXtal_Prot#'!$A:$AL,19,FALSE),"-")</f>
        <v>-</v>
      </c>
      <c r="O60" s="2">
        <f>IFERROR(50+VLOOKUP($A60,'SegEnds_Xtal_Prot#'!$A:$AY,29,FALSE)-VLOOKUP($B60,'SegEnds_NonXtal_Prot#'!$A:$AL,22,FALSE),"-")</f>
        <v>41</v>
      </c>
      <c r="P60" s="2">
        <f>IFERROR(50+VLOOKUP($A60,'SegEnds_Xtal_Prot#'!$A:$AY,31,FALSE)-VLOOKUP($B60,'SegEnds_NonXtal_Prot#'!$A:$AL,22,FALSE),"-")</f>
        <v>67</v>
      </c>
      <c r="Q60" s="2">
        <f>IFERROR(50+VLOOKUP($A60,'SegEnds_Xtal_Prot#'!$A:$AY,33,FALSE)-VLOOKUP($B60,'SegEnds_NonXtal_Prot#'!$A:$AL,25,FALSE),"-")</f>
        <v>50</v>
      </c>
      <c r="R60" s="2">
        <f>IFERROR(50+VLOOKUP($A60,'SegEnds_Xtal_Prot#'!$A:$AY,35,FALSE)-VLOOKUP($B60,'SegEnds_NonXtal_Prot#'!$A:$AL,25,FALSE),"-")</f>
        <v>52</v>
      </c>
      <c r="S60" s="2">
        <f>IFERROR(50+VLOOKUP($A60,'SegEnds_Xtal_Prot#'!$A:$AY,37,FALSE)-VLOOKUP($B60,'SegEnds_NonXtal_Prot#'!$A:$AL,28,FALSE),"-")</f>
        <v>39</v>
      </c>
      <c r="T60" s="2">
        <f>IFERROR(50+VLOOKUP($A60,'SegEnds_Xtal_Prot#'!$A:$AY,39,FALSE)-VLOOKUP($B60,'SegEnds_NonXtal_Prot#'!$A:$AL,28,FALSE),"-")</f>
        <v>70</v>
      </c>
      <c r="U60" s="2">
        <f>IFERROR(50+VLOOKUP($A60,'SegEnds_Xtal_Prot#'!$A:$AY,41,FALSE)-VLOOKUP($B60,'SegEnds_NonXtal_Prot#'!$A:$AL,31,FALSE),"-")</f>
        <v>30</v>
      </c>
      <c r="V60" s="2">
        <f>IFERROR(50+VLOOKUP($A60,'SegEnds_Xtal_Prot#'!$A:$AY,43,FALSE)-VLOOKUP($B60,'SegEnds_NonXtal_Prot#'!$A:$AL,31,FALSE),"-")</f>
        <v>53</v>
      </c>
      <c r="W60" s="2">
        <f>IFERROR(50+VLOOKUP($A60,'SegEnds_Xtal_Prot#'!$A:$AY,45,FALSE)-VLOOKUP($B60,'SegEnds_NonXtal_Prot#'!$A:$AL,34,FALSE),"-")</f>
        <v>28</v>
      </c>
      <c r="X60" s="2">
        <f>IFERROR(50+VLOOKUP($A60,'SegEnds_Xtal_Prot#'!$A:$AY,47,FALSE)-VLOOKUP($B60,'SegEnds_NonXtal_Prot#'!$A:$AL,34,FALSE),"-")</f>
        <v>56</v>
      </c>
      <c r="Y60" s="2">
        <f>IFERROR(50+VLOOKUP($A60,'SegEnds_Xtal_Prot#'!$A:$AY,49,FALSE)-VLOOKUP($B60,'SegEnds_NonXtal_Prot#'!$A:$AL,37,FALSE),"-")</f>
        <v>47</v>
      </c>
      <c r="Z60" s="2">
        <f>IFERROR(50+VLOOKUP($A60,'SegEnds_Xtal_Prot#'!$A:$AY,51,FALSE)-VLOOKUP($B60,'SegEnds_NonXtal_Prot#'!$A:$AL,37,FALSE),"-")</f>
        <v>72</v>
      </c>
      <c r="AA60" s="49" t="str">
        <f>VLOOKUP(B60,Classification!A:D,2,FALSE)</f>
        <v>B1</v>
      </c>
      <c r="AB60" s="94" t="str">
        <f>VLOOKUP(B60,Classification!A:D,4,0)</f>
        <v>Calcitonin</v>
      </c>
      <c r="AC60" s="49">
        <f>VLOOKUP(B60,'SegEnds_NonXtal_Prot#'!A:AL,6,FALSE)-VLOOKUP(B60,'SegEnds_NonXtal_Prot#'!A:AL,5,FALSE)</f>
        <v>1</v>
      </c>
      <c r="AD60" s="49">
        <f>VLOOKUP(B60,'SegEnds_NonXtal_Prot#'!A:AL,9,FALSE)-VLOOKUP(B60,'SegEnds_NonXtal_Prot#'!A:AL,8,FALSE)</f>
        <v>1</v>
      </c>
      <c r="AE60" s="49" t="e">
        <f>VLOOKUP(B60,'SegEnds_NonXtal_Prot#'!A:AL,13,FALSE)-VLOOKUP(B60,'SegEnds_NonXtal_Prot#'!A:AL,10,FALSE)</f>
        <v>#VALUE!</v>
      </c>
      <c r="AF60" s="49" t="e">
        <f>VLOOKUP(B60,'SegEnds_NonXtal_Prot#'!A:AL,12,FALSE)-VLOOKUP(B60,'SegEnds_NonXtal_Prot#'!A:AL,11,FALSE)</f>
        <v>#VALUE!</v>
      </c>
      <c r="AG60" s="49" t="e">
        <f>VLOOKUP(B60,'SegEnds_NonXtal_Prot#'!A:AL,13,FALSE)-VLOOKUP(B60,'SegEnds_NonXtal_Prot#'!A:AL,11,FALSE)</f>
        <v>#VALUE!</v>
      </c>
      <c r="AH60" s="49">
        <f>VLOOKUP(B60,'SegEnds_NonXtal_Prot#'!A:AL,16,FALSE)-VLOOKUP(B60,'SegEnds_NonXtal_Prot#'!A:AL,10,FALSE)</f>
        <v>53</v>
      </c>
      <c r="AI60" s="49">
        <f>VLOOKUP(B60,'SegEnds_NonXtal_Prot#'!A:AL,16,FALSE)-VLOOKUP(B60,'SegEnds_NonXtal_Prot#'!A:AL,11,FALSE)</f>
        <v>39</v>
      </c>
      <c r="AJ60" s="49" t="e">
        <f>VLOOKUP(B60,'SegEnds_NonXtal_Prot#'!A:AL,22,FALSE)-VLOOKUP(B60,'SegEnds_NonXtal_Prot#'!A:AL,19,FALSE)</f>
        <v>#VALUE!</v>
      </c>
      <c r="AK60" s="49" t="e">
        <f>VLOOKUP(B60,'SegEnds_NonXtal_Prot#'!A:AL,15,FALSE)-VLOOKUP(B60,'SegEnds_NonXtal_Prot#'!A:AL,14,FALSE)</f>
        <v>#VALUE!</v>
      </c>
      <c r="AL60" s="49" t="e">
        <f>VLOOKUP(B60,'SegEnds_NonXtal_Prot#'!A:AL,18,FALSE)-VLOOKUP(B60,'SegEnds_NonXtal_Prot#'!A:AL,17,FALSE)</f>
        <v>#VALUE!</v>
      </c>
      <c r="AM60" s="2">
        <f>VLOOKUP(B60,'SegEnds_NonXtal_Prot#'!A:AL,34,FALSE)-VLOOKUP(B60,'SegEnds_NonXtal_Prot#'!A:AL,31,FALSE)</f>
        <v>30</v>
      </c>
    </row>
    <row r="61" spans="1:40" x14ac:dyDescent="0.2">
      <c r="A61" s="2" t="s">
        <v>1536</v>
      </c>
      <c r="B61" s="2" t="s">
        <v>360</v>
      </c>
      <c r="C61" s="2">
        <f>IFERROR(50+VLOOKUP($A61,'SegEnds_Xtal_Prot#'!$A:$AY,5,FALSE)-VLOOKUP($B61,'SegEnds_NonXtal_Prot#'!$A:$AL,4,FALSE),"-")</f>
        <v>32</v>
      </c>
      <c r="D61" s="2">
        <f>IFERROR(50+VLOOKUP($A61,'SegEnds_Xtal_Prot#'!$A:$AY,7,FALSE)-VLOOKUP($B61,'SegEnds_NonXtal_Prot#'!$A:$AL,4,FALSE),"-")</f>
        <v>60</v>
      </c>
      <c r="E61" s="2" t="str">
        <f>IFERROR(50+VLOOKUP($A61,'SegEnds_Xtal_Prot#'!$A:$AY,9,FALSE)-VLOOKUP($B61,'SegEnds_NonXtal_Prot#'!$A:$AL,7,FALSE),"-")</f>
        <v>-</v>
      </c>
      <c r="F61" s="2" t="str">
        <f>IFERROR(50+VLOOKUP($A61,'SegEnds_Xtal_Prot#'!$A:$AY,11,FALSE)-VLOOKUP($B61,'SegEnds_NonXtal_Prot#'!$A:$AL,7,FALSE),"-")</f>
        <v>-</v>
      </c>
      <c r="G61" s="2">
        <f>IFERROR(50+VLOOKUP($A61,'SegEnds_Xtal_Prot#'!$A:$AY,13,FALSE)-VLOOKUP($B61,'SegEnds_NonXtal_Prot#'!$A:$AL,10,FALSE),"-")</f>
        <v>37</v>
      </c>
      <c r="H61" s="2">
        <f>IFERROR(50+VLOOKUP($A61,'SegEnds_Xtal_Prot#'!$A:$AY,15,FALSE)-VLOOKUP($B61,'SegEnds_NonXtal_Prot#'!$A:$AL,10,FALSE),"-")</f>
        <v>67</v>
      </c>
      <c r="I61" s="2">
        <f>IFERROR(50+VLOOKUP($A61,'SegEnds_Xtal_Prot#'!$A:$AY,17,FALSE)-VLOOKUP($B61,'SegEnds_NonXtal_Prot#'!$A:$AL,13,FALSE),"-")</f>
        <v>49</v>
      </c>
      <c r="J61" s="2">
        <f>IFERROR(50+VLOOKUP($A61,'SegEnds_Xtal_Prot#'!$A:$AY,19,FALSE)-VLOOKUP($B61,'SegEnds_NonXtal_Prot#'!$A:$AL,13,FALSE),"-")</f>
        <v>52</v>
      </c>
      <c r="K61" s="2">
        <f>IFERROR(50+VLOOKUP($A61,'SegEnds_Xtal_Prot#'!$A:$AY,21,FALSE)-VLOOKUP($B61,'SegEnds_NonXtal_Prot#'!$A:$AL,16,FALSE),"-")</f>
        <v>21</v>
      </c>
      <c r="L61" s="2">
        <f>IFERROR(50+VLOOKUP($A61,'SegEnds_Xtal_Prot#'!$A:$AY,23,FALSE)-VLOOKUP($B61,'SegEnds_NonXtal_Prot#'!$A:$AL,16,FALSE),"-")</f>
        <v>56</v>
      </c>
      <c r="M61" s="2">
        <f>IFERROR(50+VLOOKUP($A61,'SegEnds_Xtal_Prot#'!$A:$AY,25,FALSE)-VLOOKUP($B61,'SegEnds_NonXtal_Prot#'!$A:$AL,19,FALSE),"-")</f>
        <v>50</v>
      </c>
      <c r="N61" s="2">
        <f>IFERROR(50+VLOOKUP($A61,'SegEnds_Xtal_Prot#'!$A:$AY,27,FALSE)-VLOOKUP($B61,'SegEnds_NonXtal_Prot#'!$A:$AL,19,FALSE),"-")</f>
        <v>57</v>
      </c>
      <c r="O61" s="2">
        <f>IFERROR(50+VLOOKUP($A61,'SegEnds_Xtal_Prot#'!$A:$AY,29,FALSE)-VLOOKUP($B61,'SegEnds_NonXtal_Prot#'!$A:$AL,22,FALSE),"-")</f>
        <v>38</v>
      </c>
      <c r="P61" s="2">
        <f>IFERROR(50+VLOOKUP($A61,'SegEnds_Xtal_Prot#'!$A:$AY,31,FALSE)-VLOOKUP($B61,'SegEnds_NonXtal_Prot#'!$A:$AL,22,FALSE),"-")</f>
        <v>64</v>
      </c>
      <c r="Q61" s="2">
        <f>IFERROR(50+VLOOKUP($A61,'SegEnds_Xtal_Prot#'!$A:$AY,33,FALSE)-VLOOKUP($B61,'SegEnds_NonXtal_Prot#'!$A:$AL,25,FALSE),"-")</f>
        <v>50</v>
      </c>
      <c r="R61" s="2">
        <f>IFERROR(50+VLOOKUP($A61,'SegEnds_Xtal_Prot#'!$A:$AY,35,FALSE)-VLOOKUP($B61,'SegEnds_NonXtal_Prot#'!$A:$AL,25,FALSE),"-")</f>
        <v>52</v>
      </c>
      <c r="S61" s="2">
        <f>IFERROR(50+VLOOKUP($A61,'SegEnds_Xtal_Prot#'!$A:$AY,37,FALSE)-VLOOKUP($B61,'SegEnds_NonXtal_Prot#'!$A:$AL,28,FALSE),"-")</f>
        <v>26</v>
      </c>
      <c r="T61" s="2">
        <f>IFERROR(50+VLOOKUP($A61,'SegEnds_Xtal_Prot#'!$A:$AY,39,FALSE)-VLOOKUP($B61,'SegEnds_NonXtal_Prot#'!$A:$AL,28,FALSE),"-")</f>
        <v>68</v>
      </c>
      <c r="U61" s="2">
        <f>IFERROR(50+VLOOKUP($A61,'SegEnds_Xtal_Prot#'!$A:$AY,41,FALSE)-VLOOKUP($B61,'SegEnds_NonXtal_Prot#'!$A:$AL,31,FALSE),"-")</f>
        <v>30</v>
      </c>
      <c r="V61" s="2">
        <f>IFERROR(50+VLOOKUP($A61,'SegEnds_Xtal_Prot#'!$A:$AY,43,FALSE)-VLOOKUP($B61,'SegEnds_NonXtal_Prot#'!$A:$AL,31,FALSE),"-")</f>
        <v>61</v>
      </c>
      <c r="W61" s="2">
        <f>IFERROR(50+VLOOKUP($A61,'SegEnds_Xtal_Prot#'!$A:$AY,45,FALSE)-VLOOKUP($B61,'SegEnds_NonXtal_Prot#'!$A:$AL,34,FALSE),"-")</f>
        <v>27</v>
      </c>
      <c r="X61" s="2">
        <f>IFERROR(50+VLOOKUP($A61,'SegEnds_Xtal_Prot#'!$A:$AY,47,FALSE)-VLOOKUP($B61,'SegEnds_NonXtal_Prot#'!$A:$AL,34,FALSE),"-")</f>
        <v>56</v>
      </c>
      <c r="Y61" s="2">
        <f>IFERROR(50+VLOOKUP($A61,'SegEnds_Xtal_Prot#'!$A:$AY,49,FALSE)-VLOOKUP($B61,'SegEnds_NonXtal_Prot#'!$A:$AL,37,FALSE),"-")</f>
        <v>47</v>
      </c>
      <c r="Z61" s="2">
        <f>IFERROR(50+VLOOKUP($A61,'SegEnds_Xtal_Prot#'!$A:$AY,51,FALSE)-VLOOKUP($B61,'SegEnds_NonXtal_Prot#'!$A:$AL,37,FALSE),"-")</f>
        <v>64</v>
      </c>
      <c r="AA61" s="49" t="str">
        <f>VLOOKUP(B61,Classification!A:D,2,FALSE)</f>
        <v>A</v>
      </c>
      <c r="AB61" s="94" t="str">
        <f>VLOOKUP(B61,Classification!A:D,4,0)</f>
        <v>Prostanoid</v>
      </c>
      <c r="AC61" s="49" t="e">
        <f>VLOOKUP(B61,'SegEnds_NonXtal_Prot#'!A:AL,6,FALSE)-VLOOKUP(B61,'SegEnds_NonXtal_Prot#'!A:AL,5,FALSE)</f>
        <v>#VALUE!</v>
      </c>
      <c r="AD61" s="49" t="e">
        <f>VLOOKUP(B61,'SegEnds_NonXtal_Prot#'!A:AL,9,FALSE)-VLOOKUP(B61,'SegEnds_NonXtal_Prot#'!A:AL,8,FALSE)</f>
        <v>#VALUE!</v>
      </c>
      <c r="AE61" s="49">
        <f>VLOOKUP(B61,'SegEnds_NonXtal_Prot#'!A:AL,13,FALSE)-VLOOKUP(B61,'SegEnds_NonXtal_Prot#'!A:AL,10,FALSE)</f>
        <v>20</v>
      </c>
      <c r="AF61" s="49">
        <f>VLOOKUP(B61,'SegEnds_NonXtal_Prot#'!A:AL,12,FALSE)-VLOOKUP(B61,'SegEnds_NonXtal_Prot#'!A:AL,11,FALSE)</f>
        <v>2</v>
      </c>
      <c r="AG61" s="49">
        <f>VLOOKUP(B61,'SegEnds_NonXtal_Prot#'!A:AL,13,FALSE)-VLOOKUP(B61,'SegEnds_NonXtal_Prot#'!A:AL,11,FALSE)</f>
        <v>3</v>
      </c>
      <c r="AH61" s="49">
        <f>VLOOKUP(B61,'SegEnds_NonXtal_Prot#'!A:AL,16,FALSE)-VLOOKUP(B61,'SegEnds_NonXtal_Prot#'!A:AL,10,FALSE)</f>
        <v>52</v>
      </c>
      <c r="AI61" s="49">
        <f>VLOOKUP(B61,'SegEnds_NonXtal_Prot#'!A:AL,16,FALSE)-VLOOKUP(B61,'SegEnds_NonXtal_Prot#'!A:AL,11,FALSE)</f>
        <v>35</v>
      </c>
      <c r="AJ61" s="49">
        <f>VLOOKUP(B61,'SegEnds_NonXtal_Prot#'!A:AL,22,FALSE)-VLOOKUP(B61,'SegEnds_NonXtal_Prot#'!A:AL,19,FALSE)</f>
        <v>20</v>
      </c>
      <c r="AK61" s="49">
        <f>VLOOKUP(B61,'SegEnds_NonXtal_Prot#'!A:AL,15,FALSE)-VLOOKUP(B61,'SegEnds_NonXtal_Prot#'!A:AL,14,FALSE)</f>
        <v>1</v>
      </c>
      <c r="AL61" s="49">
        <f>VLOOKUP(B61,'SegEnds_NonXtal_Prot#'!A:AL,18,FALSE)-VLOOKUP(B61,'SegEnds_NonXtal_Prot#'!A:AL,17,FALSE)</f>
        <v>1</v>
      </c>
      <c r="AM61" s="2">
        <f>VLOOKUP(B61,'SegEnds_NonXtal_Prot#'!A:AL,34,FALSE)-VLOOKUP(B61,'SegEnds_NonXtal_Prot#'!A:AL,31,FALSE)</f>
        <v>40</v>
      </c>
    </row>
    <row r="62" spans="1:40" x14ac:dyDescent="0.2">
      <c r="A62" s="2" t="s">
        <v>1547</v>
      </c>
      <c r="B62" s="2" t="s">
        <v>409</v>
      </c>
      <c r="C62" s="2">
        <f>IFERROR(50+VLOOKUP($A62,'SegEnds_Xtal_Prot#'!$A:$AY,5,FALSE)-VLOOKUP($B62,'SegEnds_NonXtal_Prot#'!$A:$AL,4,FALSE),"-")</f>
        <v>27</v>
      </c>
      <c r="D62" s="2">
        <f>IFERROR(50+VLOOKUP($A62,'SegEnds_Xtal_Prot#'!$A:$AY,7,FALSE)-VLOOKUP($B62,'SegEnds_NonXtal_Prot#'!$A:$AL,4,FALSE),"-")</f>
        <v>60</v>
      </c>
      <c r="E62" s="2">
        <f>IFERROR(50+VLOOKUP($A62,'SegEnds_Xtal_Prot#'!$A:$AY,9,FALSE)-VLOOKUP($B62,'SegEnds_NonXtal_Prot#'!$A:$AL,7,FALSE),"-")</f>
        <v>48</v>
      </c>
      <c r="F62" s="2">
        <f>IFERROR(50+VLOOKUP($A62,'SegEnds_Xtal_Prot#'!$A:$AY,11,FALSE)-VLOOKUP($B62,'SegEnds_NonXtal_Prot#'!$A:$AL,7,FALSE),"-")</f>
        <v>51</v>
      </c>
      <c r="G62" s="2">
        <f>IFERROR(50+VLOOKUP($A62,'SegEnds_Xtal_Prot#'!$A:$AY,13,FALSE)-VLOOKUP($B62,'SegEnds_NonXtal_Prot#'!$A:$AL,10,FALSE),"-")</f>
        <v>37</v>
      </c>
      <c r="H62" s="2">
        <f>IFERROR(50+VLOOKUP($A62,'SegEnds_Xtal_Prot#'!$A:$AY,15,FALSE)-VLOOKUP($B62,'SegEnds_NonXtal_Prot#'!$A:$AL,10,FALSE),"-")</f>
        <v>69</v>
      </c>
      <c r="I62" s="2" t="str">
        <f>IFERROR(50+VLOOKUP($A62,'SegEnds_Xtal_Prot#'!$A:$AY,17,FALSE)-VLOOKUP($B62,'SegEnds_NonXtal_Prot#'!$A:$AL,13,FALSE),"-")</f>
        <v>-</v>
      </c>
      <c r="J62" s="2" t="str">
        <f>IFERROR(50+VLOOKUP($A62,'SegEnds_Xtal_Prot#'!$A:$AY,19,FALSE)-VLOOKUP($B62,'SegEnds_NonXtal_Prot#'!$A:$AL,13,FALSE),"-")</f>
        <v>-</v>
      </c>
      <c r="K62" s="2">
        <f>IFERROR(50+VLOOKUP($A62,'SegEnds_Xtal_Prot#'!$A:$AY,21,FALSE)-VLOOKUP($B62,'SegEnds_NonXtal_Prot#'!$A:$AL,16,FALSE),"-")</f>
        <v>21</v>
      </c>
      <c r="L62" s="2">
        <f>IFERROR(50+VLOOKUP($A62,'SegEnds_Xtal_Prot#'!$A:$AY,23,FALSE)-VLOOKUP($B62,'SegEnds_NonXtal_Prot#'!$A:$AL,16,FALSE),"-")</f>
        <v>56</v>
      </c>
      <c r="M62" s="2" t="str">
        <f>IFERROR(50+VLOOKUP($A62,'SegEnds_Xtal_Prot#'!$A:$AY,25,FALSE)-VLOOKUP($B62,'SegEnds_NonXtal_Prot#'!$A:$AL,19,FALSE),"-")</f>
        <v>-</v>
      </c>
      <c r="N62" s="2" t="str">
        <f>IFERROR(50+VLOOKUP($A62,'SegEnds_Xtal_Prot#'!$A:$AY,27,FALSE)-VLOOKUP($B62,'SegEnds_NonXtal_Prot#'!$A:$AL,19,FALSE),"-")</f>
        <v>-</v>
      </c>
      <c r="O62" s="2">
        <f>IFERROR(50+VLOOKUP($A62,'SegEnds_Xtal_Prot#'!$A:$AY,29,FALSE)-VLOOKUP($B62,'SegEnds_NonXtal_Prot#'!$A:$AL,22,FALSE),"-")</f>
        <v>37</v>
      </c>
      <c r="P62" s="2">
        <f>IFERROR(50+VLOOKUP($A62,'SegEnds_Xtal_Prot#'!$A:$AY,31,FALSE)-VLOOKUP($B62,'SegEnds_NonXtal_Prot#'!$A:$AL,22,FALSE),"-")</f>
        <v>68</v>
      </c>
      <c r="Q62" s="2">
        <f>IFERROR(50+VLOOKUP($A62,'SegEnds_Xtal_Prot#'!$A:$AY,33,FALSE)-VLOOKUP($B62,'SegEnds_NonXtal_Prot#'!$A:$AL,25,FALSE),"-")</f>
        <v>50</v>
      </c>
      <c r="R62" s="2">
        <f>IFERROR(50+VLOOKUP($A62,'SegEnds_Xtal_Prot#'!$A:$AY,35,FALSE)-VLOOKUP($B62,'SegEnds_NonXtal_Prot#'!$A:$AL,25,FALSE),"-")</f>
        <v>52</v>
      </c>
      <c r="S62" s="2">
        <f>IFERROR(50+VLOOKUP($A62,'SegEnds_Xtal_Prot#'!$A:$AY,37,FALSE)-VLOOKUP($B62,'SegEnds_NonXtal_Prot#'!$A:$AL,28,FALSE),"-")</f>
        <v>38</v>
      </c>
      <c r="T62" s="2">
        <f>IFERROR(50+VLOOKUP($A62,'SegEnds_Xtal_Prot#'!$A:$AY,39,FALSE)-VLOOKUP($B62,'SegEnds_NonXtal_Prot#'!$A:$AL,28,FALSE),"-")</f>
        <v>69</v>
      </c>
      <c r="U62" s="2">
        <f>IFERROR(50+VLOOKUP($A62,'SegEnds_Xtal_Prot#'!$A:$AY,41,FALSE)-VLOOKUP($B62,'SegEnds_NonXtal_Prot#'!$A:$AL,31,FALSE),"-")</f>
        <v>25</v>
      </c>
      <c r="V62" s="2">
        <f>IFERROR(50+VLOOKUP($A62,'SegEnds_Xtal_Prot#'!$A:$AY,43,FALSE)-VLOOKUP($B62,'SegEnds_NonXtal_Prot#'!$A:$AL,31,FALSE),"-")</f>
        <v>54</v>
      </c>
      <c r="W62" s="2">
        <f>IFERROR(50+VLOOKUP($A62,'SegEnds_Xtal_Prot#'!$A:$AY,45,FALSE)-VLOOKUP($B62,'SegEnds_NonXtal_Prot#'!$A:$AL,34,FALSE),"-")</f>
        <v>28</v>
      </c>
      <c r="X62" s="2">
        <f>IFERROR(50+VLOOKUP($A62,'SegEnds_Xtal_Prot#'!$A:$AY,47,FALSE)-VLOOKUP($B62,'SegEnds_NonXtal_Prot#'!$A:$AL,34,FALSE),"-")</f>
        <v>56</v>
      </c>
      <c r="Y62" s="2">
        <f>IFERROR(50+VLOOKUP($A62,'SegEnds_Xtal_Prot#'!$A:$AY,49,FALSE)-VLOOKUP($B62,'SegEnds_NonXtal_Prot#'!$A:$AL,37,FALSE),"-")</f>
        <v>47</v>
      </c>
      <c r="Z62" s="2">
        <f>IFERROR(50+VLOOKUP($A62,'SegEnds_Xtal_Prot#'!$A:$AY,51,FALSE)-VLOOKUP($B62,'SegEnds_NonXtal_Prot#'!$A:$AL,37,FALSE),"-")</f>
        <v>72</v>
      </c>
      <c r="AA62" s="49" t="str">
        <f>VLOOKUP(B62,Classification!A:D,2,FALSE)</f>
        <v>B1</v>
      </c>
      <c r="AB62" s="94" t="str">
        <f>VLOOKUP(B62,Classification!A:D,4,0)</f>
        <v>Parathyroidhormone</v>
      </c>
      <c r="AC62" s="49">
        <f>VLOOKUP(B62,'SegEnds_NonXtal_Prot#'!A:AL,6,FALSE)-VLOOKUP(B62,'SegEnds_NonXtal_Prot#'!A:AL,5,FALSE)</f>
        <v>1</v>
      </c>
      <c r="AD62" s="49">
        <f>VLOOKUP(B62,'SegEnds_NonXtal_Prot#'!A:AL,9,FALSE)-VLOOKUP(B62,'SegEnds_NonXtal_Prot#'!A:AL,8,FALSE)</f>
        <v>1</v>
      </c>
      <c r="AE62" s="49" t="e">
        <f>VLOOKUP(B62,'SegEnds_NonXtal_Prot#'!A:AL,13,FALSE)-VLOOKUP(B62,'SegEnds_NonXtal_Prot#'!A:AL,10,FALSE)</f>
        <v>#VALUE!</v>
      </c>
      <c r="AF62" s="49" t="e">
        <f>VLOOKUP(B62,'SegEnds_NonXtal_Prot#'!A:AL,12,FALSE)-VLOOKUP(B62,'SegEnds_NonXtal_Prot#'!A:AL,11,FALSE)</f>
        <v>#VALUE!</v>
      </c>
      <c r="AG62" s="49" t="e">
        <f>VLOOKUP(B62,'SegEnds_NonXtal_Prot#'!A:AL,13,FALSE)-VLOOKUP(B62,'SegEnds_NonXtal_Prot#'!A:AL,11,FALSE)</f>
        <v>#VALUE!</v>
      </c>
      <c r="AH62" s="49">
        <f>VLOOKUP(B62,'SegEnds_NonXtal_Prot#'!A:AL,16,FALSE)-VLOOKUP(B62,'SegEnds_NonXtal_Prot#'!A:AL,10,FALSE)</f>
        <v>76</v>
      </c>
      <c r="AI62" s="49">
        <f>VLOOKUP(B62,'SegEnds_NonXtal_Prot#'!A:AL,16,FALSE)-VLOOKUP(B62,'SegEnds_NonXtal_Prot#'!A:AL,11,FALSE)</f>
        <v>57</v>
      </c>
      <c r="AJ62" s="49" t="e">
        <f>VLOOKUP(B62,'SegEnds_NonXtal_Prot#'!A:AL,22,FALSE)-VLOOKUP(B62,'SegEnds_NonXtal_Prot#'!A:AL,19,FALSE)</f>
        <v>#VALUE!</v>
      </c>
      <c r="AK62" s="49" t="e">
        <f>VLOOKUP(B62,'SegEnds_NonXtal_Prot#'!A:AL,15,FALSE)-VLOOKUP(B62,'SegEnds_NonXtal_Prot#'!A:AL,14,FALSE)</f>
        <v>#VALUE!</v>
      </c>
      <c r="AL62" s="49" t="e">
        <f>VLOOKUP(B62,'SegEnds_NonXtal_Prot#'!A:AL,18,FALSE)-VLOOKUP(B62,'SegEnds_NonXtal_Prot#'!A:AL,17,FALSE)</f>
        <v>#VALUE!</v>
      </c>
      <c r="AM62" s="2">
        <f>VLOOKUP(B62,'SegEnds_NonXtal_Prot#'!A:AL,34,FALSE)-VLOOKUP(B62,'SegEnds_NonXtal_Prot#'!A:AL,31,FALSE)</f>
        <v>33</v>
      </c>
    </row>
    <row r="63" spans="1:40" x14ac:dyDescent="0.2">
      <c r="A63" s="2" t="s">
        <v>1556</v>
      </c>
      <c r="B63" s="2" t="s">
        <v>314</v>
      </c>
      <c r="C63" s="2">
        <f>IFERROR(50+VLOOKUP($A63,'SegEnds_Xtal_Prot#'!$A:$AY,5,FALSE)-VLOOKUP($B63,'SegEnds_NonXtal_Prot#'!$A:$AL,4,FALSE),"-")</f>
        <v>28</v>
      </c>
      <c r="D63" s="2">
        <f>IFERROR(50+VLOOKUP($A63,'SegEnds_Xtal_Prot#'!$A:$AY,7,FALSE)-VLOOKUP($B63,'SegEnds_NonXtal_Prot#'!$A:$AL,4,FALSE),"-")</f>
        <v>60</v>
      </c>
      <c r="E63" s="2">
        <f>IFERROR(50+VLOOKUP($A63,'SegEnds_Xtal_Prot#'!$A:$AY,9,FALSE)-VLOOKUP($B63,'SegEnds_NonXtal_Prot#'!$A:$AL,7,FALSE),"-")</f>
        <v>48</v>
      </c>
      <c r="F63" s="2">
        <f>IFERROR(50+VLOOKUP($A63,'SegEnds_Xtal_Prot#'!$A:$AY,11,FALSE)-VLOOKUP($B63,'SegEnds_NonXtal_Prot#'!$A:$AL,7,FALSE),"-")</f>
        <v>51</v>
      </c>
      <c r="G63" s="2">
        <f>IFERROR(50+VLOOKUP($A63,'SegEnds_Xtal_Prot#'!$A:$AY,13,FALSE)-VLOOKUP($B63,'SegEnds_NonXtal_Prot#'!$A:$AL,10,FALSE),"-")</f>
        <v>37</v>
      </c>
      <c r="H63" s="2">
        <f>IFERROR(50+VLOOKUP($A63,'SegEnds_Xtal_Prot#'!$A:$AY,15,FALSE)-VLOOKUP($B63,'SegEnds_NonXtal_Prot#'!$A:$AL,10,FALSE),"-")</f>
        <v>68</v>
      </c>
      <c r="I63" s="2">
        <f>IFERROR(50+VLOOKUP($A63,'SegEnds_Xtal_Prot#'!$A:$AY,17,FALSE)-VLOOKUP($B63,'SegEnds_NonXtal_Prot#'!$A:$AL,13,FALSE),"-")</f>
        <v>49</v>
      </c>
      <c r="J63" s="2">
        <f>IFERROR(50+VLOOKUP($A63,'SegEnds_Xtal_Prot#'!$A:$AY,19,FALSE)-VLOOKUP($B63,'SegEnds_NonXtal_Prot#'!$A:$AL,13,FALSE),"-")</f>
        <v>52</v>
      </c>
      <c r="K63" s="2">
        <f>IFERROR(50+VLOOKUP($A63,'SegEnds_Xtal_Prot#'!$A:$AY,21,FALSE)-VLOOKUP($B63,'SegEnds_NonXtal_Prot#'!$A:$AL,16,FALSE),"-")</f>
        <v>21</v>
      </c>
      <c r="L63" s="2">
        <f>IFERROR(50+VLOOKUP($A63,'SegEnds_Xtal_Prot#'!$A:$AY,23,FALSE)-VLOOKUP($B63,'SegEnds_NonXtal_Prot#'!$A:$AL,16,FALSE),"-")</f>
        <v>56</v>
      </c>
      <c r="M63" s="2" t="str">
        <f>IFERROR(50+VLOOKUP($A63,'SegEnds_Xtal_Prot#'!$A:$AY,25,FALSE)-VLOOKUP($B63,'SegEnds_NonXtal_Prot#'!$A:$AL,19,FALSE),"-")</f>
        <v>-</v>
      </c>
      <c r="N63" s="2" t="str">
        <f>IFERROR(50+VLOOKUP($A63,'SegEnds_Xtal_Prot#'!$A:$AY,27,FALSE)-VLOOKUP($B63,'SegEnds_NonXtal_Prot#'!$A:$AL,19,FALSE),"-")</f>
        <v>-</v>
      </c>
      <c r="O63" s="2">
        <f>IFERROR(50+VLOOKUP($A63,'SegEnds_Xtal_Prot#'!$A:$AY,29,FALSE)-VLOOKUP($B63,'SegEnds_NonXtal_Prot#'!$A:$AL,22,FALSE),"-")</f>
        <v>38</v>
      </c>
      <c r="P63" s="2">
        <f>IFERROR(50+VLOOKUP($A63,'SegEnds_Xtal_Prot#'!$A:$AY,31,FALSE)-VLOOKUP($B63,'SegEnds_NonXtal_Prot#'!$A:$AL,22,FALSE),"-")</f>
        <v>64</v>
      </c>
      <c r="Q63" s="2">
        <f>IFERROR(50+VLOOKUP($A63,'SegEnds_Xtal_Prot#'!$A:$AY,33,FALSE)-VLOOKUP($B63,'SegEnds_NonXtal_Prot#'!$A:$AL,25,FALSE),"-")</f>
        <v>50</v>
      </c>
      <c r="R63" s="2">
        <f>IFERROR(50+VLOOKUP($A63,'SegEnds_Xtal_Prot#'!$A:$AY,35,FALSE)-VLOOKUP($B63,'SegEnds_NonXtal_Prot#'!$A:$AL,25,FALSE),"-")</f>
        <v>52</v>
      </c>
      <c r="S63" s="2">
        <f>IFERROR(50+VLOOKUP($A63,'SegEnds_Xtal_Prot#'!$A:$AY,37,FALSE)-VLOOKUP($B63,'SegEnds_NonXtal_Prot#'!$A:$AL,28,FALSE),"-")</f>
        <v>30</v>
      </c>
      <c r="T63" s="2">
        <f>IFERROR(50+VLOOKUP($A63,'SegEnds_Xtal_Prot#'!$A:$AY,39,FALSE)-VLOOKUP($B63,'SegEnds_NonXtal_Prot#'!$A:$AL,28,FALSE),"-")</f>
        <v>73</v>
      </c>
      <c r="U63" s="2">
        <f>IFERROR(50+VLOOKUP($A63,'SegEnds_Xtal_Prot#'!$A:$AY,41,FALSE)-VLOOKUP($B63,'SegEnds_NonXtal_Prot#'!$A:$AL,31,FALSE),"-")</f>
        <v>22</v>
      </c>
      <c r="V63" s="2">
        <f>IFERROR(50+VLOOKUP($A63,'SegEnds_Xtal_Prot#'!$A:$AY,43,FALSE)-VLOOKUP($B63,'SegEnds_NonXtal_Prot#'!$A:$AL,31,FALSE),"-")</f>
        <v>61</v>
      </c>
      <c r="W63" s="2">
        <f>IFERROR(50+VLOOKUP($A63,'SegEnds_Xtal_Prot#'!$A:$AY,45,FALSE)-VLOOKUP($B63,'SegEnds_NonXtal_Prot#'!$A:$AL,34,FALSE),"-")</f>
        <v>30</v>
      </c>
      <c r="X63" s="2">
        <f>IFERROR(50+VLOOKUP($A63,'SegEnds_Xtal_Prot#'!$A:$AY,47,FALSE)-VLOOKUP($B63,'SegEnds_NonXtal_Prot#'!$A:$AL,34,FALSE),"-")</f>
        <v>56</v>
      </c>
      <c r="Y63" s="2">
        <f>IFERROR(50+VLOOKUP($A63,'SegEnds_Xtal_Prot#'!$A:$AY,49,FALSE)-VLOOKUP($B63,'SegEnds_NonXtal_Prot#'!$A:$AL,37,FALSE),"-")</f>
        <v>47</v>
      </c>
      <c r="Z63" s="2">
        <f>IFERROR(50+VLOOKUP($A63,'SegEnds_Xtal_Prot#'!$A:$AY,51,FALSE)-VLOOKUP($B63,'SegEnds_NonXtal_Prot#'!$A:$AL,37,FALSE),"-")</f>
        <v>58</v>
      </c>
      <c r="AA63" s="49" t="str">
        <f>VLOOKUP(B63,Classification!A:D,2,FALSE)</f>
        <v>A</v>
      </c>
      <c r="AB63" s="94" t="str">
        <f>VLOOKUP(B63,Classification!A:D,4,0)</f>
        <v>Tachykinin</v>
      </c>
      <c r="AC63" s="49">
        <f>VLOOKUP(B63,'SegEnds_NonXtal_Prot#'!A:AL,6,FALSE)-VLOOKUP(B63,'SegEnds_NonXtal_Prot#'!A:AL,5,FALSE)</f>
        <v>1</v>
      </c>
      <c r="AD63" s="49">
        <f>VLOOKUP(B63,'SegEnds_NonXtal_Prot#'!A:AL,9,FALSE)-VLOOKUP(B63,'SegEnds_NonXtal_Prot#'!A:AL,8,FALSE)</f>
        <v>1</v>
      </c>
      <c r="AE63" s="49">
        <f>VLOOKUP(B63,'SegEnds_NonXtal_Prot#'!A:AL,13,FALSE)-VLOOKUP(B63,'SegEnds_NonXtal_Prot#'!A:AL,10,FALSE)</f>
        <v>20</v>
      </c>
      <c r="AF63" s="49">
        <f>VLOOKUP(B63,'SegEnds_NonXtal_Prot#'!A:AL,12,FALSE)-VLOOKUP(B63,'SegEnds_NonXtal_Prot#'!A:AL,11,FALSE)</f>
        <v>1</v>
      </c>
      <c r="AG63" s="49">
        <f>VLOOKUP(B63,'SegEnds_NonXtal_Prot#'!A:AL,13,FALSE)-VLOOKUP(B63,'SegEnds_NonXtal_Prot#'!A:AL,11,FALSE)</f>
        <v>2</v>
      </c>
      <c r="AH63" s="49">
        <f>VLOOKUP(B63,'SegEnds_NonXtal_Prot#'!A:AL,16,FALSE)-VLOOKUP(B63,'SegEnds_NonXtal_Prot#'!A:AL,10,FALSE)</f>
        <v>52</v>
      </c>
      <c r="AI63" s="49">
        <f>VLOOKUP(B63,'SegEnds_NonXtal_Prot#'!A:AL,16,FALSE)-VLOOKUP(B63,'SegEnds_NonXtal_Prot#'!A:AL,11,FALSE)</f>
        <v>34</v>
      </c>
      <c r="AJ63" s="49" t="e">
        <f>VLOOKUP(B63,'SegEnds_NonXtal_Prot#'!A:AL,22,FALSE)-VLOOKUP(B63,'SegEnds_NonXtal_Prot#'!A:AL,19,FALSE)</f>
        <v>#VALUE!</v>
      </c>
      <c r="AK63" s="49">
        <f>VLOOKUP(B63,'SegEnds_NonXtal_Prot#'!A:AL,15,FALSE)-VLOOKUP(B63,'SegEnds_NonXtal_Prot#'!A:AL,14,FALSE)</f>
        <v>1</v>
      </c>
      <c r="AL63" s="49" t="e">
        <f>VLOOKUP(B63,'SegEnds_NonXtal_Prot#'!A:AL,18,FALSE)-VLOOKUP(B63,'SegEnds_NonXtal_Prot#'!A:AL,17,FALSE)</f>
        <v>#VALUE!</v>
      </c>
      <c r="AM63" s="2">
        <f>VLOOKUP(B63,'SegEnds_NonXtal_Prot#'!A:AL,34,FALSE)-VLOOKUP(B63,'SegEnds_NonXtal_Prot#'!A:AL,31,FALSE)</f>
        <v>39</v>
      </c>
    </row>
    <row r="64" spans="1:40" x14ac:dyDescent="0.2">
      <c r="A64" s="2" t="s">
        <v>1564</v>
      </c>
      <c r="B64" s="2" t="s">
        <v>363</v>
      </c>
      <c r="C64" s="2">
        <f>IFERROR(50+VLOOKUP($A64,'SegEnds_Xtal_Prot#'!$A:$AY,5,FALSE)-VLOOKUP($B64,'SegEnds_NonXtal_Prot#'!$A:$AL,4,FALSE),"-")</f>
        <v>36</v>
      </c>
      <c r="D64" s="2">
        <f>IFERROR(50+VLOOKUP($A64,'SegEnds_Xtal_Prot#'!$A:$AY,7,FALSE)-VLOOKUP($B64,'SegEnds_NonXtal_Prot#'!$A:$AL,4,FALSE),"-")</f>
        <v>62</v>
      </c>
      <c r="E64" s="2" t="str">
        <f>IFERROR(50+VLOOKUP($A64,'SegEnds_Xtal_Prot#'!$A:$AY,9,FALSE)-VLOOKUP($B64,'SegEnds_NonXtal_Prot#'!$A:$AL,7,FALSE),"-")</f>
        <v>-</v>
      </c>
      <c r="F64" s="2" t="str">
        <f>IFERROR(50+VLOOKUP($A64,'SegEnds_Xtal_Prot#'!$A:$AY,11,FALSE)-VLOOKUP($B64,'SegEnds_NonXtal_Prot#'!$A:$AL,7,FALSE),"-")</f>
        <v>-</v>
      </c>
      <c r="G64" s="2">
        <f>IFERROR(50+VLOOKUP($A64,'SegEnds_Xtal_Prot#'!$A:$AY,13,FALSE)-VLOOKUP($B64,'SegEnds_NonXtal_Prot#'!$A:$AL,10,FALSE),"-")</f>
        <v>36</v>
      </c>
      <c r="H64" s="2">
        <f>IFERROR(50+VLOOKUP($A64,'SegEnds_Xtal_Prot#'!$A:$AY,15,FALSE)-VLOOKUP($B64,'SegEnds_NonXtal_Prot#'!$A:$AL,10,FALSE),"-")</f>
        <v>68</v>
      </c>
      <c r="I64" s="2">
        <f>IFERROR(50+VLOOKUP($A64,'SegEnds_Xtal_Prot#'!$A:$AY,17,FALSE)-VLOOKUP($B64,'SegEnds_NonXtal_Prot#'!$A:$AL,13,FALSE),"-")</f>
        <v>48</v>
      </c>
      <c r="J64" s="2">
        <f>IFERROR(50+VLOOKUP($A64,'SegEnds_Xtal_Prot#'!$A:$AY,19,FALSE)-VLOOKUP($B64,'SegEnds_NonXtal_Prot#'!$A:$AL,13,FALSE),"-")</f>
        <v>56</v>
      </c>
      <c r="K64" s="2">
        <f>IFERROR(50+VLOOKUP($A64,'SegEnds_Xtal_Prot#'!$A:$AY,21,FALSE)-VLOOKUP($B64,'SegEnds_NonXtal_Prot#'!$A:$AL,16,FALSE),"-")</f>
        <v>22</v>
      </c>
      <c r="L64" s="2">
        <f>IFERROR(50+VLOOKUP($A64,'SegEnds_Xtal_Prot#'!$A:$AY,23,FALSE)-VLOOKUP($B64,'SegEnds_NonXtal_Prot#'!$A:$AL,16,FALSE),"-")</f>
        <v>56</v>
      </c>
      <c r="M64" s="2">
        <f>IFERROR(50+VLOOKUP($A64,'SegEnds_Xtal_Prot#'!$A:$AY,25,FALSE)-VLOOKUP($B64,'SegEnds_NonXtal_Prot#'!$A:$AL,19,FALSE),"-")</f>
        <v>50</v>
      </c>
      <c r="N64" s="2">
        <f>IFERROR(50+VLOOKUP($A64,'SegEnds_Xtal_Prot#'!$A:$AY,27,FALSE)-VLOOKUP($B64,'SegEnds_NonXtal_Prot#'!$A:$AL,19,FALSE),"-")</f>
        <v>57</v>
      </c>
      <c r="O64" s="2">
        <f>IFERROR(50+VLOOKUP($A64,'SegEnds_Xtal_Prot#'!$A:$AY,29,FALSE)-VLOOKUP($B64,'SegEnds_NonXtal_Prot#'!$A:$AL,22,FALSE),"-")</f>
        <v>38</v>
      </c>
      <c r="P64" s="2">
        <f>IFERROR(50+VLOOKUP($A64,'SegEnds_Xtal_Prot#'!$A:$AY,31,FALSE)-VLOOKUP($B64,'SegEnds_NonXtal_Prot#'!$A:$AL,22,FALSE),"-")</f>
        <v>63</v>
      </c>
      <c r="Q64" s="2">
        <f>IFERROR(50+VLOOKUP($A64,'SegEnds_Xtal_Prot#'!$A:$AY,33,FALSE)-VLOOKUP($B64,'SegEnds_NonXtal_Prot#'!$A:$AL,25,FALSE),"-")</f>
        <v>50</v>
      </c>
      <c r="R64" s="2">
        <f>IFERROR(50+VLOOKUP($A64,'SegEnds_Xtal_Prot#'!$A:$AY,35,FALSE)-VLOOKUP($B64,'SegEnds_NonXtal_Prot#'!$A:$AL,25,FALSE),"-")</f>
        <v>52</v>
      </c>
      <c r="S64" s="2">
        <f>IFERROR(50+VLOOKUP($A64,'SegEnds_Xtal_Prot#'!$A:$AY,37,FALSE)-VLOOKUP($B64,'SegEnds_NonXtal_Prot#'!$A:$AL,28,FALSE),"-")</f>
        <v>34</v>
      </c>
      <c r="T64" s="2">
        <f>IFERROR(50+VLOOKUP($A64,'SegEnds_Xtal_Prot#'!$A:$AY,39,FALSE)-VLOOKUP($B64,'SegEnds_NonXtal_Prot#'!$A:$AL,28,FALSE),"-")</f>
        <v>74</v>
      </c>
      <c r="U64" s="2">
        <f>IFERROR(50+VLOOKUP($A64,'SegEnds_Xtal_Prot#'!$A:$AY,41,FALSE)-VLOOKUP($B64,'SegEnds_NonXtal_Prot#'!$A:$AL,31,FALSE),"-")</f>
        <v>24</v>
      </c>
      <c r="V64" s="2">
        <f>IFERROR(50+VLOOKUP($A64,'SegEnds_Xtal_Prot#'!$A:$AY,43,FALSE)-VLOOKUP($B64,'SegEnds_NonXtal_Prot#'!$A:$AL,31,FALSE),"-")</f>
        <v>64</v>
      </c>
      <c r="W64" s="2">
        <f>IFERROR(50+VLOOKUP($A64,'SegEnds_Xtal_Prot#'!$A:$AY,45,FALSE)-VLOOKUP($B64,'SegEnds_NonXtal_Prot#'!$A:$AL,34,FALSE),"-")</f>
        <v>24</v>
      </c>
      <c r="X64" s="2">
        <f>IFERROR(50+VLOOKUP($A64,'SegEnds_Xtal_Prot#'!$A:$AY,47,FALSE)-VLOOKUP($B64,'SegEnds_NonXtal_Prot#'!$A:$AL,34,FALSE),"-")</f>
        <v>53</v>
      </c>
      <c r="Y64" s="2">
        <f>IFERROR(50+VLOOKUP($A64,'SegEnds_Xtal_Prot#'!$A:$AY,49,FALSE)-VLOOKUP($B64,'SegEnds_NonXtal_Prot#'!$A:$AL,37,FALSE),"-")</f>
        <v>44</v>
      </c>
      <c r="Z64" s="2">
        <f>IFERROR(50+VLOOKUP($A64,'SegEnds_Xtal_Prot#'!$A:$AY,51,FALSE)-VLOOKUP($B64,'SegEnds_NonXtal_Prot#'!$A:$AL,37,FALSE),"-")</f>
        <v>66</v>
      </c>
      <c r="AA64" s="49" t="str">
        <f>VLOOKUP(B64,Classification!A:D,2,FALSE)</f>
        <v>A</v>
      </c>
      <c r="AB64" s="94" t="str">
        <f>VLOOKUP(B64,Classification!A:D,4,0)</f>
        <v>Prostanoid</v>
      </c>
      <c r="AC64" s="49" t="e">
        <f>VLOOKUP(B64,'SegEnds_NonXtal_Prot#'!A:AL,6,FALSE)-VLOOKUP(B64,'SegEnds_NonXtal_Prot#'!A:AL,5,FALSE)</f>
        <v>#VALUE!</v>
      </c>
      <c r="AD64" s="49" t="e">
        <f>VLOOKUP(B64,'SegEnds_NonXtal_Prot#'!A:AL,9,FALSE)-VLOOKUP(B64,'SegEnds_NonXtal_Prot#'!A:AL,8,FALSE)</f>
        <v>#VALUE!</v>
      </c>
      <c r="AE64" s="49">
        <f>VLOOKUP(B64,'SegEnds_NonXtal_Prot#'!A:AL,13,FALSE)-VLOOKUP(B64,'SegEnds_NonXtal_Prot#'!A:AL,10,FALSE)</f>
        <v>21</v>
      </c>
      <c r="AF64" s="49">
        <f>VLOOKUP(B64,'SegEnds_NonXtal_Prot#'!A:AL,12,FALSE)-VLOOKUP(B64,'SegEnds_NonXtal_Prot#'!A:AL,11,FALSE)</f>
        <v>2</v>
      </c>
      <c r="AG64" s="49">
        <f>VLOOKUP(B64,'SegEnds_NonXtal_Prot#'!A:AL,13,FALSE)-VLOOKUP(B64,'SegEnds_NonXtal_Prot#'!A:AL,11,FALSE)</f>
        <v>3</v>
      </c>
      <c r="AH64" s="49">
        <f>VLOOKUP(B64,'SegEnds_NonXtal_Prot#'!A:AL,16,FALSE)-VLOOKUP(B64,'SegEnds_NonXtal_Prot#'!A:AL,10,FALSE)</f>
        <v>56</v>
      </c>
      <c r="AI64" s="49">
        <f>VLOOKUP(B64,'SegEnds_NonXtal_Prot#'!A:AL,16,FALSE)-VLOOKUP(B64,'SegEnds_NonXtal_Prot#'!A:AL,11,FALSE)</f>
        <v>38</v>
      </c>
      <c r="AJ64" s="49">
        <f>VLOOKUP(B64,'SegEnds_NonXtal_Prot#'!A:AL,22,FALSE)-VLOOKUP(B64,'SegEnds_NonXtal_Prot#'!A:AL,19,FALSE)</f>
        <v>20</v>
      </c>
      <c r="AK64" s="49">
        <f>VLOOKUP(B64,'SegEnds_NonXtal_Prot#'!A:AL,15,FALSE)-VLOOKUP(B64,'SegEnds_NonXtal_Prot#'!A:AL,14,FALSE)</f>
        <v>1</v>
      </c>
      <c r="AL64" s="49">
        <f>VLOOKUP(B64,'SegEnds_NonXtal_Prot#'!A:AL,18,FALSE)-VLOOKUP(B64,'SegEnds_NonXtal_Prot#'!A:AL,17,FALSE)</f>
        <v>1</v>
      </c>
      <c r="AM64" s="2">
        <f>VLOOKUP(B64,'SegEnds_NonXtal_Prot#'!A:AL,34,FALSE)-VLOOKUP(B64,'SegEnds_NonXtal_Prot#'!A:AL,31,FALSE)</f>
        <v>46</v>
      </c>
    </row>
    <row r="65" spans="1:64" x14ac:dyDescent="0.2">
      <c r="A65" s="2" t="s">
        <v>1558</v>
      </c>
      <c r="B65" s="2" t="s">
        <v>364</v>
      </c>
      <c r="C65" s="2">
        <f>IFERROR(50+VLOOKUP($A65,'SegEnds_Xtal_Prot#'!$A:$AY,5,FALSE)-VLOOKUP($B65,'SegEnds_NonXtal_Prot#'!$A:$AL,4,FALSE),"-")</f>
        <v>33</v>
      </c>
      <c r="D65" s="2">
        <f>IFERROR(50+VLOOKUP($A65,'SegEnds_Xtal_Prot#'!$A:$AY,7,FALSE)-VLOOKUP($B65,'SegEnds_NonXtal_Prot#'!$A:$AL,4,FALSE),"-")</f>
        <v>58</v>
      </c>
      <c r="E65" s="2" t="str">
        <f>IFERROR(50+VLOOKUP($A65,'SegEnds_Xtal_Prot#'!$A:$AY,9,FALSE)-VLOOKUP($B65,'SegEnds_NonXtal_Prot#'!$A:$AL,7,FALSE),"-")</f>
        <v>-</v>
      </c>
      <c r="F65" s="2" t="str">
        <f>IFERROR(50+VLOOKUP($A65,'SegEnds_Xtal_Prot#'!$A:$AY,11,FALSE)-VLOOKUP($B65,'SegEnds_NonXtal_Prot#'!$A:$AL,7,FALSE),"-")</f>
        <v>-</v>
      </c>
      <c r="G65" s="2">
        <f>IFERROR(50+VLOOKUP($A65,'SegEnds_Xtal_Prot#'!$A:$AY,13,FALSE)-VLOOKUP($B65,'SegEnds_NonXtal_Prot#'!$A:$AL,10,FALSE),"-")</f>
        <v>36</v>
      </c>
      <c r="H65" s="2">
        <f>IFERROR(50+VLOOKUP($A65,'SegEnds_Xtal_Prot#'!$A:$AY,15,FALSE)-VLOOKUP($B65,'SegEnds_NonXtal_Prot#'!$A:$AL,10,FALSE),"-")</f>
        <v>67</v>
      </c>
      <c r="I65" s="2">
        <f>IFERROR(50+VLOOKUP($A65,'SegEnds_Xtal_Prot#'!$A:$AY,17,FALSE)-VLOOKUP($B65,'SegEnds_NonXtal_Prot#'!$A:$AL,13,FALSE),"-")</f>
        <v>49</v>
      </c>
      <c r="J65" s="2">
        <f>IFERROR(50+VLOOKUP($A65,'SegEnds_Xtal_Prot#'!$A:$AY,19,FALSE)-VLOOKUP($B65,'SegEnds_NonXtal_Prot#'!$A:$AL,13,FALSE),"-")</f>
        <v>52</v>
      </c>
      <c r="K65" s="2">
        <f>IFERROR(50+VLOOKUP($A65,'SegEnds_Xtal_Prot#'!$A:$AY,21,FALSE)-VLOOKUP($B65,'SegEnds_NonXtal_Prot#'!$A:$AL,16,FALSE),"-")</f>
        <v>21</v>
      </c>
      <c r="L65" s="2">
        <f>IFERROR(50+VLOOKUP($A65,'SegEnds_Xtal_Prot#'!$A:$AY,23,FALSE)-VLOOKUP($B65,'SegEnds_NonXtal_Prot#'!$A:$AL,16,FALSE),"-")</f>
        <v>56</v>
      </c>
      <c r="M65" s="2">
        <f>IFERROR(50+VLOOKUP($A65,'SegEnds_Xtal_Prot#'!$A:$AY,25,FALSE)-VLOOKUP($B65,'SegEnds_NonXtal_Prot#'!$A:$AL,19,FALSE),"-")</f>
        <v>50</v>
      </c>
      <c r="N65" s="2">
        <f>IFERROR(50+VLOOKUP($A65,'SegEnds_Xtal_Prot#'!$A:$AY,27,FALSE)-VLOOKUP($B65,'SegEnds_NonXtal_Prot#'!$A:$AL,19,FALSE),"-")</f>
        <v>57</v>
      </c>
      <c r="O65" s="2">
        <f>IFERROR(50+VLOOKUP($A65,'SegEnds_Xtal_Prot#'!$A:$AY,29,FALSE)-VLOOKUP($B65,'SegEnds_NonXtal_Prot#'!$A:$AL,22,FALSE),"-")</f>
        <v>38</v>
      </c>
      <c r="P65" s="2">
        <f>IFERROR(50+VLOOKUP($A65,'SegEnds_Xtal_Prot#'!$A:$AY,31,FALSE)-VLOOKUP($B65,'SegEnds_NonXtal_Prot#'!$A:$AL,22,FALSE),"-")</f>
        <v>63</v>
      </c>
      <c r="Q65" s="2">
        <f>IFERROR(50+VLOOKUP($A65,'SegEnds_Xtal_Prot#'!$A:$AY,33,FALSE)-VLOOKUP($B65,'SegEnds_NonXtal_Prot#'!$A:$AL,25,FALSE),"-")</f>
        <v>50</v>
      </c>
      <c r="R65" s="2">
        <f>IFERROR(50+VLOOKUP($A65,'SegEnds_Xtal_Prot#'!$A:$AY,35,FALSE)-VLOOKUP($B65,'SegEnds_NonXtal_Prot#'!$A:$AL,25,FALSE),"-")</f>
        <v>52</v>
      </c>
      <c r="S65" s="2">
        <f>IFERROR(50+VLOOKUP($A65,'SegEnds_Xtal_Prot#'!$A:$AY,37,FALSE)-VLOOKUP($B65,'SegEnds_NonXtal_Prot#'!$A:$AL,28,FALSE),"-")</f>
        <v>33</v>
      </c>
      <c r="T65" s="2">
        <f>IFERROR(50+VLOOKUP($A65,'SegEnds_Xtal_Prot#'!$A:$AY,39,FALSE)-VLOOKUP($B65,'SegEnds_NonXtal_Prot#'!$A:$AL,28,FALSE),"-")</f>
        <v>78</v>
      </c>
      <c r="U65" s="2">
        <f>IFERROR(50+VLOOKUP($A65,'SegEnds_Xtal_Prot#'!$A:$AY,41,FALSE)-VLOOKUP($B65,'SegEnds_NonXtal_Prot#'!$A:$AL,31,FALSE),"-")</f>
        <v>24</v>
      </c>
      <c r="V65" s="2">
        <f>IFERROR(50+VLOOKUP($A65,'SegEnds_Xtal_Prot#'!$A:$AY,43,FALSE)-VLOOKUP($B65,'SegEnds_NonXtal_Prot#'!$A:$AL,31,FALSE),"-")</f>
        <v>61</v>
      </c>
      <c r="W65" s="2">
        <f>IFERROR(50+VLOOKUP($A65,'SegEnds_Xtal_Prot#'!$A:$AY,45,FALSE)-VLOOKUP($B65,'SegEnds_NonXtal_Prot#'!$A:$AL,34,FALSE),"-")</f>
        <v>33</v>
      </c>
      <c r="X65" s="2">
        <f>IFERROR(50+VLOOKUP($A65,'SegEnds_Xtal_Prot#'!$A:$AY,47,FALSE)-VLOOKUP($B65,'SegEnds_NonXtal_Prot#'!$A:$AL,34,FALSE),"-")</f>
        <v>56</v>
      </c>
      <c r="Y65" s="2">
        <f>IFERROR(50+VLOOKUP($A65,'SegEnds_Xtal_Prot#'!$A:$AY,49,FALSE)-VLOOKUP($B65,'SegEnds_NonXtal_Prot#'!$A:$AL,37,FALSE),"-")</f>
        <v>47</v>
      </c>
      <c r="Z65" s="2">
        <f>IFERROR(50+VLOOKUP($A65,'SegEnds_Xtal_Prot#'!$A:$AY,51,FALSE)-VLOOKUP($B65,'SegEnds_NonXtal_Prot#'!$A:$AL,37,FALSE),"-")</f>
        <v>60</v>
      </c>
      <c r="AA65" s="49" t="str">
        <f>VLOOKUP(B65,Classification!A:D,2,FALSE)</f>
        <v>A</v>
      </c>
      <c r="AB65" s="94" t="str">
        <f>VLOOKUP(B65,Classification!A:D,4,0)</f>
        <v>Prostanoid</v>
      </c>
      <c r="AC65" s="49" t="e">
        <f>VLOOKUP(B65,'SegEnds_NonXtal_Prot#'!A:AL,6,FALSE)-VLOOKUP(B65,'SegEnds_NonXtal_Prot#'!A:AL,5,FALSE)</f>
        <v>#VALUE!</v>
      </c>
      <c r="AD65" s="49" t="e">
        <f>VLOOKUP(B65,'SegEnds_NonXtal_Prot#'!A:AL,9,FALSE)-VLOOKUP(B65,'SegEnds_NonXtal_Prot#'!A:AL,8,FALSE)</f>
        <v>#VALUE!</v>
      </c>
      <c r="AE65" s="49">
        <f>VLOOKUP(B65,'SegEnds_NonXtal_Prot#'!A:AL,13,FALSE)-VLOOKUP(B65,'SegEnds_NonXtal_Prot#'!A:AL,10,FALSE)</f>
        <v>20</v>
      </c>
      <c r="AF65" s="49">
        <f>VLOOKUP(B65,'SegEnds_NonXtal_Prot#'!A:AL,12,FALSE)-VLOOKUP(B65,'SegEnds_NonXtal_Prot#'!A:AL,11,FALSE)</f>
        <v>2</v>
      </c>
      <c r="AG65" s="49">
        <f>VLOOKUP(B65,'SegEnds_NonXtal_Prot#'!A:AL,13,FALSE)-VLOOKUP(B65,'SegEnds_NonXtal_Prot#'!A:AL,11,FALSE)</f>
        <v>3</v>
      </c>
      <c r="AH65" s="49">
        <f>VLOOKUP(B65,'SegEnds_NonXtal_Prot#'!A:AL,16,FALSE)-VLOOKUP(B65,'SegEnds_NonXtal_Prot#'!A:AL,10,FALSE)</f>
        <v>52</v>
      </c>
      <c r="AI65" s="49">
        <f>VLOOKUP(B65,'SegEnds_NonXtal_Prot#'!A:AL,16,FALSE)-VLOOKUP(B65,'SegEnds_NonXtal_Prot#'!A:AL,11,FALSE)</f>
        <v>35</v>
      </c>
      <c r="AJ65" s="49">
        <f>VLOOKUP(B65,'SegEnds_NonXtal_Prot#'!A:AL,22,FALSE)-VLOOKUP(B65,'SegEnds_NonXtal_Prot#'!A:AL,19,FALSE)</f>
        <v>20</v>
      </c>
      <c r="AK65" s="49">
        <f>VLOOKUP(B65,'SegEnds_NonXtal_Prot#'!A:AL,15,FALSE)-VLOOKUP(B65,'SegEnds_NonXtal_Prot#'!A:AL,14,FALSE)</f>
        <v>1</v>
      </c>
      <c r="AL65" s="49">
        <f>VLOOKUP(B65,'SegEnds_NonXtal_Prot#'!A:AL,18,FALSE)-VLOOKUP(B65,'SegEnds_NonXtal_Prot#'!A:AL,17,FALSE)</f>
        <v>1</v>
      </c>
      <c r="AM65" s="2">
        <f>VLOOKUP(B65,'SegEnds_NonXtal_Prot#'!A:AL,34,FALSE)-VLOOKUP(B65,'SegEnds_NonXtal_Prot#'!A:AL,31,FALSE)</f>
        <v>39</v>
      </c>
    </row>
    <row r="66" spans="1:64" x14ac:dyDescent="0.2">
      <c r="A66" s="2" t="s">
        <v>1572</v>
      </c>
      <c r="B66" s="2" t="s">
        <v>473</v>
      </c>
      <c r="C66" s="2">
        <f>IFERROR(50+VLOOKUP($A66,'SegEnds_Xtal_Prot#'!$A:$AY,5,FALSE)-VLOOKUP($B66,'SegEnds_NonXtal_Prot#'!$A:$AL,4,FALSE),"-")</f>
        <v>35</v>
      </c>
      <c r="D66" s="2">
        <f>IFERROR(50+VLOOKUP($A66,'SegEnds_Xtal_Prot#'!$A:$AY,7,FALSE)-VLOOKUP($B66,'SegEnds_NonXtal_Prot#'!$A:$AL,4,FALSE),"-")</f>
        <v>62</v>
      </c>
      <c r="E66" s="2" t="str">
        <f>IFERROR(50+VLOOKUP($A66,'SegEnds_Xtal_Prot#'!$A:$AY,9,FALSE)-VLOOKUP($B66,'SegEnds_NonXtal_Prot#'!$A:$AL,7,FALSE),"-")</f>
        <v>-</v>
      </c>
      <c r="F66" s="2" t="str">
        <f>IFERROR(50+VLOOKUP($A66,'SegEnds_Xtal_Prot#'!$A:$AY,11,FALSE)-VLOOKUP($B66,'SegEnds_NonXtal_Prot#'!$A:$AL,7,FALSE),"-")</f>
        <v>-</v>
      </c>
      <c r="G66" s="2">
        <f>IFERROR(50+VLOOKUP($A66,'SegEnds_Xtal_Prot#'!$A:$AY,13,FALSE)-VLOOKUP($B66,'SegEnds_NonXtal_Prot#'!$A:$AL,10,FALSE),"-")</f>
        <v>37</v>
      </c>
      <c r="H66" s="2">
        <f>IFERROR(50+VLOOKUP($A66,'SegEnds_Xtal_Prot#'!$A:$AY,15,FALSE)-VLOOKUP($B66,'SegEnds_NonXtal_Prot#'!$A:$AL,10,FALSE),"-")</f>
        <v>67</v>
      </c>
      <c r="I66" s="2">
        <f>IFERROR(50+VLOOKUP($A66,'SegEnds_Xtal_Prot#'!$A:$AY,17,FALSE)-VLOOKUP($B66,'SegEnds_NonXtal_Prot#'!$A:$AL,13,FALSE),"-")</f>
        <v>49</v>
      </c>
      <c r="J66" s="2">
        <f>IFERROR(50+VLOOKUP($A66,'SegEnds_Xtal_Prot#'!$A:$AY,19,FALSE)-VLOOKUP($B66,'SegEnds_NonXtal_Prot#'!$A:$AL,13,FALSE),"-")</f>
        <v>53</v>
      </c>
      <c r="K66" s="2">
        <f>IFERROR(50+VLOOKUP($A66,'SegEnds_Xtal_Prot#'!$A:$AY,21,FALSE)-VLOOKUP($B66,'SegEnds_NonXtal_Prot#'!$A:$AL,16,FALSE),"-")</f>
        <v>22</v>
      </c>
      <c r="L66" s="2">
        <f>IFERROR(50+VLOOKUP($A66,'SegEnds_Xtal_Prot#'!$A:$AY,23,FALSE)-VLOOKUP($B66,'SegEnds_NonXtal_Prot#'!$A:$AL,16,FALSE),"-")</f>
        <v>56</v>
      </c>
      <c r="M66" s="2">
        <f>IFERROR(50+VLOOKUP($A66,'SegEnds_Xtal_Prot#'!$A:$AY,25,FALSE)-VLOOKUP($B66,'SegEnds_NonXtal_Prot#'!$A:$AL,19,FALSE),"-")</f>
        <v>50</v>
      </c>
      <c r="N66" s="2">
        <f>IFERROR(50+VLOOKUP($A66,'SegEnds_Xtal_Prot#'!$A:$AY,27,FALSE)-VLOOKUP($B66,'SegEnds_NonXtal_Prot#'!$A:$AL,19,FALSE),"-")</f>
        <v>57</v>
      </c>
      <c r="O66" s="2">
        <f>IFERROR(50+VLOOKUP($A66,'SegEnds_Xtal_Prot#'!$A:$AY,29,FALSE)-VLOOKUP($B66,'SegEnds_NonXtal_Prot#'!$A:$AL,22,FALSE),"-")</f>
        <v>38</v>
      </c>
      <c r="P66" s="2">
        <f>IFERROR(50+VLOOKUP($A66,'SegEnds_Xtal_Prot#'!$A:$AY,31,FALSE)-VLOOKUP($B66,'SegEnds_NonXtal_Prot#'!$A:$AL,22,FALSE),"-")</f>
        <v>63</v>
      </c>
      <c r="Q66" s="2">
        <f>IFERROR(50+VLOOKUP($A66,'SegEnds_Xtal_Prot#'!$A:$AY,33,FALSE)-VLOOKUP($B66,'SegEnds_NonXtal_Prot#'!$A:$AL,25,FALSE),"-")</f>
        <v>50</v>
      </c>
      <c r="R66" s="2">
        <f>IFERROR(50+VLOOKUP($A66,'SegEnds_Xtal_Prot#'!$A:$AY,35,FALSE)-VLOOKUP($B66,'SegEnds_NonXtal_Prot#'!$A:$AL,25,FALSE),"-")</f>
        <v>52</v>
      </c>
      <c r="S66" s="2">
        <f>IFERROR(50+VLOOKUP($A66,'SegEnds_Xtal_Prot#'!$A:$AY,37,FALSE)-VLOOKUP($B66,'SegEnds_NonXtal_Prot#'!$A:$AL,28,FALSE),"-")</f>
        <v>33</v>
      </c>
      <c r="T66" s="2">
        <f>IFERROR(50+VLOOKUP($A66,'SegEnds_Xtal_Prot#'!$A:$AY,39,FALSE)-VLOOKUP($B66,'SegEnds_NonXtal_Prot#'!$A:$AL,28,FALSE),"-")</f>
        <v>79</v>
      </c>
      <c r="U66" s="2">
        <f>IFERROR(50+VLOOKUP($A66,'SegEnds_Xtal_Prot#'!$A:$AY,41,FALSE)-VLOOKUP($B66,'SegEnds_NonXtal_Prot#'!$A:$AL,31,FALSE),"-")</f>
        <v>30</v>
      </c>
      <c r="V66" s="2">
        <f>IFERROR(50+VLOOKUP($A66,'SegEnds_Xtal_Prot#'!$A:$AY,43,FALSE)-VLOOKUP($B66,'SegEnds_NonXtal_Prot#'!$A:$AL,31,FALSE),"-")</f>
        <v>61</v>
      </c>
      <c r="W66" s="2">
        <f>IFERROR(50+VLOOKUP($A66,'SegEnds_Xtal_Prot#'!$A:$AY,45,FALSE)-VLOOKUP($B66,'SegEnds_NonXtal_Prot#'!$A:$AL,34,FALSE),"-")</f>
        <v>28</v>
      </c>
      <c r="X66" s="2">
        <f>IFERROR(50+VLOOKUP($A66,'SegEnds_Xtal_Prot#'!$A:$AY,47,FALSE)-VLOOKUP($B66,'SegEnds_NonXtal_Prot#'!$A:$AL,34,FALSE),"-")</f>
        <v>56</v>
      </c>
      <c r="Y66" s="2">
        <f>IFERROR(50+VLOOKUP($A66,'SegEnds_Xtal_Prot#'!$A:$AY,49,FALSE)-VLOOKUP($B66,'SegEnds_NonXtal_Prot#'!$A:$AL,37,FALSE),"-")</f>
        <v>47</v>
      </c>
      <c r="Z66" s="2">
        <f>IFERROR(50+VLOOKUP($A66,'SegEnds_Xtal_Prot#'!$A:$AY,51,FALSE)-VLOOKUP($B66,'SegEnds_NonXtal_Prot#'!$A:$AL,37,FALSE),"-")</f>
        <v>66</v>
      </c>
      <c r="AA66" s="49" t="str">
        <f>VLOOKUP(B66,Classification!A:D,2,FALSE)</f>
        <v>A</v>
      </c>
      <c r="AB66" s="94" t="str">
        <f>VLOOKUP(B66,Classification!A:D,4,0)</f>
        <v>Prostanoid</v>
      </c>
      <c r="AC66" s="49" t="e">
        <f>VLOOKUP(B66,'SegEnds_NonXtal_Prot#'!A:AL,6,FALSE)-VLOOKUP(B66,'SegEnds_NonXtal_Prot#'!A:AL,5,FALSE)</f>
        <v>#VALUE!</v>
      </c>
      <c r="AD66" s="49" t="e">
        <f>VLOOKUP(B66,'SegEnds_NonXtal_Prot#'!A:AL,9,FALSE)-VLOOKUP(B66,'SegEnds_NonXtal_Prot#'!A:AL,8,FALSE)</f>
        <v>#VALUE!</v>
      </c>
      <c r="AE66" s="49">
        <f>VLOOKUP(B66,'SegEnds_NonXtal_Prot#'!A:AL,13,FALSE)-VLOOKUP(B66,'SegEnds_NonXtal_Prot#'!A:AL,10,FALSE)</f>
        <v>21</v>
      </c>
      <c r="AF66" s="49">
        <f>VLOOKUP(B66,'SegEnds_NonXtal_Prot#'!A:AL,12,FALSE)-VLOOKUP(B66,'SegEnds_NonXtal_Prot#'!A:AL,11,FALSE)</f>
        <v>3</v>
      </c>
      <c r="AG66" s="49">
        <f>VLOOKUP(B66,'SegEnds_NonXtal_Prot#'!A:AL,13,FALSE)-VLOOKUP(B66,'SegEnds_NonXtal_Prot#'!A:AL,11,FALSE)</f>
        <v>4</v>
      </c>
      <c r="AH66" s="49">
        <f>VLOOKUP(B66,'SegEnds_NonXtal_Prot#'!A:AL,16,FALSE)-VLOOKUP(B66,'SegEnds_NonXtal_Prot#'!A:AL,10,FALSE)</f>
        <v>56</v>
      </c>
      <c r="AI66" s="49">
        <f>VLOOKUP(B66,'SegEnds_NonXtal_Prot#'!A:AL,16,FALSE)-VLOOKUP(B66,'SegEnds_NonXtal_Prot#'!A:AL,11,FALSE)</f>
        <v>39</v>
      </c>
      <c r="AJ66" s="49">
        <f>VLOOKUP(B66,'SegEnds_NonXtal_Prot#'!A:AL,22,FALSE)-VLOOKUP(B66,'SegEnds_NonXtal_Prot#'!A:AL,19,FALSE)</f>
        <v>20</v>
      </c>
      <c r="AK66" s="49">
        <f>VLOOKUP(B66,'SegEnds_NonXtal_Prot#'!A:AL,15,FALSE)-VLOOKUP(B66,'SegEnds_NonXtal_Prot#'!A:AL,14,FALSE)</f>
        <v>4</v>
      </c>
      <c r="AL66" s="49">
        <f>VLOOKUP(B66,'SegEnds_NonXtal_Prot#'!A:AL,18,FALSE)-VLOOKUP(B66,'SegEnds_NonXtal_Prot#'!A:AL,17,FALSE)</f>
        <v>1</v>
      </c>
      <c r="AM66" s="2">
        <f>VLOOKUP(B66,'SegEnds_NonXtal_Prot#'!A:AL,34,FALSE)-VLOOKUP(B66,'SegEnds_NonXtal_Prot#'!A:AL,31,FALSE)</f>
        <v>45</v>
      </c>
    </row>
    <row r="67" spans="1:64" x14ac:dyDescent="0.2">
      <c r="A67" s="2" t="s">
        <v>1579</v>
      </c>
      <c r="B67" s="2" t="s">
        <v>450</v>
      </c>
      <c r="C67" s="2">
        <f>IFERROR(50+VLOOKUP($A67,'SegEnds_Xtal_Prot#'!$A:$AY,5,FALSE)-VLOOKUP($B67,'SegEnds_NonXtal_Prot#'!$A:$AL,4,FALSE),"-")</f>
        <v>28</v>
      </c>
      <c r="D67" s="2">
        <f>IFERROR(50+VLOOKUP($A67,'SegEnds_Xtal_Prot#'!$A:$AY,7,FALSE)-VLOOKUP($B67,'SegEnds_NonXtal_Prot#'!$A:$AL,4,FALSE),"-")</f>
        <v>60</v>
      </c>
      <c r="E67" s="2">
        <f>IFERROR(50+VLOOKUP($A67,'SegEnds_Xtal_Prot#'!$A:$AY,9,FALSE)-VLOOKUP($B67,'SegEnds_NonXtal_Prot#'!$A:$AL,7,FALSE),"-")</f>
        <v>47</v>
      </c>
      <c r="F67" s="2">
        <f>IFERROR(50+VLOOKUP($A67,'SegEnds_Xtal_Prot#'!$A:$AY,11,FALSE)-VLOOKUP($B67,'SegEnds_NonXtal_Prot#'!$A:$AL,7,FALSE),"-")</f>
        <v>51</v>
      </c>
      <c r="G67" s="2">
        <f>IFERROR(50+VLOOKUP($A67,'SegEnds_Xtal_Prot#'!$A:$AY,13,FALSE)-VLOOKUP($B67,'SegEnds_NonXtal_Prot#'!$A:$AL,10,FALSE),"-")</f>
        <v>40</v>
      </c>
      <c r="H67" s="2">
        <f>IFERROR(50+VLOOKUP($A67,'SegEnds_Xtal_Prot#'!$A:$AY,15,FALSE)-VLOOKUP($B67,'SegEnds_NonXtal_Prot#'!$A:$AL,10,FALSE),"-")</f>
        <v>66</v>
      </c>
      <c r="I67" s="2" t="str">
        <f>IFERROR(50+VLOOKUP($A67,'SegEnds_Xtal_Prot#'!$A:$AY,17,FALSE)-VLOOKUP($B67,'SegEnds_NonXtal_Prot#'!$A:$AL,13,FALSE),"-")</f>
        <v>-</v>
      </c>
      <c r="J67" s="2" t="str">
        <f>IFERROR(50+VLOOKUP($A67,'SegEnds_Xtal_Prot#'!$A:$AY,19,FALSE)-VLOOKUP($B67,'SegEnds_NonXtal_Prot#'!$A:$AL,13,FALSE),"-")</f>
        <v>-</v>
      </c>
      <c r="K67" s="2">
        <f>IFERROR(50+VLOOKUP($A67,'SegEnds_Xtal_Prot#'!$A:$AY,21,FALSE)-VLOOKUP($B67,'SegEnds_NonXtal_Prot#'!$A:$AL,16,FALSE),"-")</f>
        <v>22</v>
      </c>
      <c r="L67" s="2">
        <f>IFERROR(50+VLOOKUP($A67,'SegEnds_Xtal_Prot#'!$A:$AY,23,FALSE)-VLOOKUP($B67,'SegEnds_NonXtal_Prot#'!$A:$AL,16,FALSE),"-")</f>
        <v>55</v>
      </c>
      <c r="M67" s="2" t="str">
        <f>IFERROR(50+VLOOKUP($A67,'SegEnds_Xtal_Prot#'!$A:$AY,25,FALSE)-VLOOKUP($B67,'SegEnds_NonXtal_Prot#'!$A:$AL,19,FALSE),"-")</f>
        <v>-</v>
      </c>
      <c r="N67" s="2" t="str">
        <f>IFERROR(50+VLOOKUP($A67,'SegEnds_Xtal_Prot#'!$A:$AY,27,FALSE)-VLOOKUP($B67,'SegEnds_NonXtal_Prot#'!$A:$AL,19,FALSE),"-")</f>
        <v>-</v>
      </c>
      <c r="O67" s="2">
        <f>IFERROR(50+VLOOKUP($A67,'SegEnds_Xtal_Prot#'!$A:$AY,29,FALSE)-VLOOKUP($B67,'SegEnds_NonXtal_Prot#'!$A:$AL,22,FALSE),"-")</f>
        <v>41</v>
      </c>
      <c r="P67" s="2">
        <f>IFERROR(50+VLOOKUP($A67,'SegEnds_Xtal_Prot#'!$A:$AY,31,FALSE)-VLOOKUP($B67,'SegEnds_NonXtal_Prot#'!$A:$AL,22,FALSE),"-")</f>
        <v>64</v>
      </c>
      <c r="Q67" s="2">
        <f>IFERROR(50+VLOOKUP($A67,'SegEnds_Xtal_Prot#'!$A:$AY,33,FALSE)-VLOOKUP($B67,'SegEnds_NonXtal_Prot#'!$A:$AL,25,FALSE),"-")</f>
        <v>50</v>
      </c>
      <c r="R67" s="2">
        <f>IFERROR(50+VLOOKUP($A67,'SegEnds_Xtal_Prot#'!$A:$AY,35,FALSE)-VLOOKUP($B67,'SegEnds_NonXtal_Prot#'!$A:$AL,25,FALSE),"-")</f>
        <v>52</v>
      </c>
      <c r="S67" s="2">
        <f>IFERROR(50+VLOOKUP($A67,'SegEnds_Xtal_Prot#'!$A:$AY,37,FALSE)-VLOOKUP($B67,'SegEnds_NonXtal_Prot#'!$A:$AL,28,FALSE),"-")</f>
        <v>35</v>
      </c>
      <c r="T67" s="2">
        <f>IFERROR(50+VLOOKUP($A67,'SegEnds_Xtal_Prot#'!$A:$AY,39,FALSE)-VLOOKUP($B67,'SegEnds_NonXtal_Prot#'!$A:$AL,28,FALSE),"-")</f>
        <v>72</v>
      </c>
      <c r="U67" s="2">
        <f>IFERROR(50+VLOOKUP($A67,'SegEnds_Xtal_Prot#'!$A:$AY,41,FALSE)-VLOOKUP($B67,'SegEnds_NonXtal_Prot#'!$A:$AL,31,FALSE),"-")</f>
        <v>28</v>
      </c>
      <c r="V67" s="2">
        <f>IFERROR(50+VLOOKUP($A67,'SegEnds_Xtal_Prot#'!$A:$AY,43,FALSE)-VLOOKUP($B67,'SegEnds_NonXtal_Prot#'!$A:$AL,31,FALSE),"-")</f>
        <v>58</v>
      </c>
      <c r="W67" s="2">
        <f>IFERROR(50+VLOOKUP($A67,'SegEnds_Xtal_Prot#'!$A:$AY,45,FALSE)-VLOOKUP($B67,'SegEnds_NonXtal_Prot#'!$A:$AL,34,FALSE),"-")</f>
        <v>34</v>
      </c>
      <c r="X67" s="2">
        <f>IFERROR(50+VLOOKUP($A67,'SegEnds_Xtal_Prot#'!$A:$AY,47,FALSE)-VLOOKUP($B67,'SegEnds_NonXtal_Prot#'!$A:$AL,34,FALSE),"-")</f>
        <v>57</v>
      </c>
      <c r="Y67" s="2">
        <f>IFERROR(50+VLOOKUP($A67,'SegEnds_Xtal_Prot#'!$A:$AY,49,FALSE)-VLOOKUP($B67,'SegEnds_NonXtal_Prot#'!$A:$AL,37,FALSE),"-")</f>
        <v>47</v>
      </c>
      <c r="Z67" s="2">
        <f>IFERROR(50+VLOOKUP($A67,'SegEnds_Xtal_Prot#'!$A:$AY,51,FALSE)-VLOOKUP($B67,'SegEnds_NonXtal_Prot#'!$A:$AL,37,FALSE),"-")</f>
        <v>62</v>
      </c>
      <c r="AA67" s="49" t="str">
        <f>VLOOKUP(B67,Classification!A:D,2,FALSE)</f>
        <v>F</v>
      </c>
      <c r="AB67" s="94" t="str">
        <f>VLOOKUP(B67,Classification!A:D,4,0)</f>
        <v>Frizzled</v>
      </c>
      <c r="AC67" s="49">
        <f>VLOOKUP(B67,'SegEnds_NonXtal_Prot#'!A:AL,6,FALSE)-VLOOKUP(B67,'SegEnds_NonXtal_Prot#'!A:AL,5,FALSE)</f>
        <v>1</v>
      </c>
      <c r="AD67" s="49">
        <f>VLOOKUP(B67,'SegEnds_NonXtal_Prot#'!A:AL,9,FALSE)-VLOOKUP(B67,'SegEnds_NonXtal_Prot#'!A:AL,8,FALSE)</f>
        <v>1</v>
      </c>
      <c r="AE67" s="49" t="e">
        <f>VLOOKUP(B67,'SegEnds_NonXtal_Prot#'!A:AL,13,FALSE)-VLOOKUP(B67,'SegEnds_NonXtal_Prot#'!A:AL,10,FALSE)</f>
        <v>#VALUE!</v>
      </c>
      <c r="AF67" s="49" t="e">
        <f>VLOOKUP(B67,'SegEnds_NonXtal_Prot#'!A:AL,12,FALSE)-VLOOKUP(B67,'SegEnds_NonXtal_Prot#'!A:AL,11,FALSE)</f>
        <v>#VALUE!</v>
      </c>
      <c r="AG67" s="49" t="e">
        <f>VLOOKUP(B67,'SegEnds_NonXtal_Prot#'!A:AL,13,FALSE)-VLOOKUP(B67,'SegEnds_NonXtal_Prot#'!A:AL,11,FALSE)</f>
        <v>#VALUE!</v>
      </c>
      <c r="AH67" s="49">
        <f>VLOOKUP(B67,'SegEnds_NonXtal_Prot#'!A:AL,16,FALSE)-VLOOKUP(B67,'SegEnds_NonXtal_Prot#'!A:AL,10,FALSE)</f>
        <v>67</v>
      </c>
      <c r="AI67" s="49">
        <f>VLOOKUP(B67,'SegEnds_NonXtal_Prot#'!A:AL,16,FALSE)-VLOOKUP(B67,'SegEnds_NonXtal_Prot#'!A:AL,11,FALSE)</f>
        <v>51</v>
      </c>
      <c r="AJ67" s="49" t="e">
        <f>VLOOKUP(B67,'SegEnds_NonXtal_Prot#'!A:AL,22,FALSE)-VLOOKUP(B67,'SegEnds_NonXtal_Prot#'!A:AL,19,FALSE)</f>
        <v>#VALUE!</v>
      </c>
      <c r="AK67" s="49" t="e">
        <f>VLOOKUP(B67,'SegEnds_NonXtal_Prot#'!A:AL,15,FALSE)-VLOOKUP(B67,'SegEnds_NonXtal_Prot#'!A:AL,14,FALSE)</f>
        <v>#VALUE!</v>
      </c>
      <c r="AL67" s="49" t="e">
        <f>VLOOKUP(B67,'SegEnds_NonXtal_Prot#'!A:AL,18,FALSE)-VLOOKUP(B67,'SegEnds_NonXtal_Prot#'!A:AL,17,FALSE)</f>
        <v>#VALUE!</v>
      </c>
      <c r="AM67" s="2">
        <f>VLOOKUP(B67,'SegEnds_NonXtal_Prot#'!A:AL,34,FALSE)-VLOOKUP(B67,'SegEnds_NonXtal_Prot#'!A:AL,31,FALSE)</f>
        <v>36</v>
      </c>
    </row>
    <row r="68" spans="1:64" x14ac:dyDescent="0.2">
      <c r="A68" s="2" t="s">
        <v>1583</v>
      </c>
      <c r="B68" s="2" t="s">
        <v>183</v>
      </c>
      <c r="C68" s="2">
        <f>IFERROR(50+VLOOKUP($A68,'SegEnds_Xtal_Prot#'!$A:$AY,5,FALSE)-VLOOKUP($B68,'SegEnds_NonXtal_Prot#'!$A:$AL,4,FALSE),"-")</f>
        <v>28</v>
      </c>
      <c r="D68" s="2">
        <f>IFERROR(50+VLOOKUP($A68,'SegEnds_Xtal_Prot#'!$A:$AY,7,FALSE)-VLOOKUP($B68,'SegEnds_NonXtal_Prot#'!$A:$AL,4,FALSE),"-")</f>
        <v>60</v>
      </c>
      <c r="E68" s="2">
        <f>IFERROR(50+VLOOKUP($A68,'SegEnds_Xtal_Prot#'!$A:$AY,9,FALSE)-VLOOKUP($B68,'SegEnds_NonXtal_Prot#'!$A:$AL,7,FALSE),"-")</f>
        <v>48</v>
      </c>
      <c r="F68" s="2">
        <f>IFERROR(50+VLOOKUP($A68,'SegEnds_Xtal_Prot#'!$A:$AY,11,FALSE)-VLOOKUP($B68,'SegEnds_NonXtal_Prot#'!$A:$AL,7,FALSE),"-")</f>
        <v>51</v>
      </c>
      <c r="G68" s="2">
        <f>IFERROR(50+VLOOKUP($A68,'SegEnds_Xtal_Prot#'!$A:$AY,13,FALSE)-VLOOKUP($B68,'SegEnds_NonXtal_Prot#'!$A:$AL,10,FALSE),"-")</f>
        <v>37</v>
      </c>
      <c r="H68" s="2">
        <f>IFERROR(50+VLOOKUP($A68,'SegEnds_Xtal_Prot#'!$A:$AY,15,FALSE)-VLOOKUP($B68,'SegEnds_NonXtal_Prot#'!$A:$AL,10,FALSE),"-")</f>
        <v>66</v>
      </c>
      <c r="I68" s="2" t="str">
        <f>IFERROR(50+VLOOKUP($A68,'SegEnds_Xtal_Prot#'!$A:$AY,17,FALSE)-VLOOKUP($B68,'SegEnds_NonXtal_Prot#'!$A:$AL,13,FALSE),"-")</f>
        <v>-</v>
      </c>
      <c r="J68" s="2" t="str">
        <f>IFERROR(50+VLOOKUP($A68,'SegEnds_Xtal_Prot#'!$A:$AY,19,FALSE)-VLOOKUP($B68,'SegEnds_NonXtal_Prot#'!$A:$AL,13,FALSE),"-")</f>
        <v>-</v>
      </c>
      <c r="K68" s="2">
        <f>IFERROR(50+VLOOKUP($A68,'SegEnds_Xtal_Prot#'!$A:$AY,21,FALSE)-VLOOKUP($B68,'SegEnds_NonXtal_Prot#'!$A:$AL,16,FALSE),"-")</f>
        <v>21</v>
      </c>
      <c r="L68" s="2">
        <f>IFERROR(50+VLOOKUP($A68,'SegEnds_Xtal_Prot#'!$A:$AY,23,FALSE)-VLOOKUP($B68,'SegEnds_NonXtal_Prot#'!$A:$AL,16,FALSE),"-")</f>
        <v>56</v>
      </c>
      <c r="M68" s="2">
        <f>IFERROR(50+VLOOKUP($A68,'SegEnds_Xtal_Prot#'!$A:$AY,25,FALSE)-VLOOKUP($B68,'SegEnds_NonXtal_Prot#'!$A:$AL,19,FALSE),"-")</f>
        <v>50</v>
      </c>
      <c r="N68" s="2">
        <f>IFERROR(50+VLOOKUP($A68,'SegEnds_Xtal_Prot#'!$A:$AY,27,FALSE)-VLOOKUP($B68,'SegEnds_NonXtal_Prot#'!$A:$AL,19,FALSE),"-")</f>
        <v>57</v>
      </c>
      <c r="O68" s="2">
        <f>IFERROR(50+VLOOKUP($A68,'SegEnds_Xtal_Prot#'!$A:$AY,29,FALSE)-VLOOKUP($B68,'SegEnds_NonXtal_Prot#'!$A:$AL,22,FALSE),"-")</f>
        <v>38</v>
      </c>
      <c r="P68" s="2">
        <f>IFERROR(50+VLOOKUP($A68,'SegEnds_Xtal_Prot#'!$A:$AY,31,FALSE)-VLOOKUP($B68,'SegEnds_NonXtal_Prot#'!$A:$AL,22,FALSE),"-")</f>
        <v>63</v>
      </c>
      <c r="Q68" s="2" t="str">
        <f>IFERROR(50+VLOOKUP($A68,'SegEnds_Xtal_Prot#'!$A:$AY,33,FALSE)-VLOOKUP($B68,'SegEnds_NonXtal_Prot#'!$A:$AL,25,FALSE),"-")</f>
        <v>-</v>
      </c>
      <c r="R68" s="2" t="str">
        <f>IFERROR(50+VLOOKUP($A68,'SegEnds_Xtal_Prot#'!$A:$AY,35,FALSE)-VLOOKUP($B68,'SegEnds_NonXtal_Prot#'!$A:$AL,25,FALSE),"-")</f>
        <v>-</v>
      </c>
      <c r="S68" s="2">
        <f>IFERROR(50+VLOOKUP($A68,'SegEnds_Xtal_Prot#'!$A:$AY,37,FALSE)-VLOOKUP($B68,'SegEnds_NonXtal_Prot#'!$A:$AL,28,FALSE),"-")</f>
        <v>36</v>
      </c>
      <c r="T68" s="2">
        <f>IFERROR(50+VLOOKUP($A68,'SegEnds_Xtal_Prot#'!$A:$AY,39,FALSE)-VLOOKUP($B68,'SegEnds_NonXtal_Prot#'!$A:$AL,28,FALSE),"-")</f>
        <v>74</v>
      </c>
      <c r="U68" s="2">
        <f>IFERROR(50+VLOOKUP($A68,'SegEnds_Xtal_Prot#'!$A:$AY,41,FALSE)-VLOOKUP($B68,'SegEnds_NonXtal_Prot#'!$A:$AL,31,FALSE),"-")</f>
        <v>21</v>
      </c>
      <c r="V68" s="2">
        <f>IFERROR(50+VLOOKUP($A68,'SegEnds_Xtal_Prot#'!$A:$AY,43,FALSE)-VLOOKUP($B68,'SegEnds_NonXtal_Prot#'!$A:$AL,31,FALSE),"-")</f>
        <v>61</v>
      </c>
      <c r="W68" s="2">
        <f>IFERROR(50+VLOOKUP($A68,'SegEnds_Xtal_Prot#'!$A:$AY,45,FALSE)-VLOOKUP($B68,'SegEnds_NonXtal_Prot#'!$A:$AL,34,FALSE),"-")</f>
        <v>28</v>
      </c>
      <c r="X68" s="2">
        <f>IFERROR(50+VLOOKUP($A68,'SegEnds_Xtal_Prot#'!$A:$AY,47,FALSE)-VLOOKUP($B68,'SegEnds_NonXtal_Prot#'!$A:$AL,34,FALSE),"-")</f>
        <v>56</v>
      </c>
      <c r="Y68" s="2">
        <f>IFERROR(50+VLOOKUP($A68,'SegEnds_Xtal_Prot#'!$A:$AY,49,FALSE)-VLOOKUP($B68,'SegEnds_NonXtal_Prot#'!$A:$AL,37,FALSE),"-")</f>
        <v>47</v>
      </c>
      <c r="Z68" s="2">
        <f>IFERROR(50+VLOOKUP($A68,'SegEnds_Xtal_Prot#'!$A:$AY,51,FALSE)-VLOOKUP($B68,'SegEnds_NonXtal_Prot#'!$A:$AL,37,FALSE),"-")</f>
        <v>63</v>
      </c>
      <c r="AA68" s="49" t="str">
        <f>VLOOKUP(B68,Classification!A:D,2,FALSE)</f>
        <v>A</v>
      </c>
      <c r="AB68" s="94" t="str">
        <f>VLOOKUP(B68,Classification!A:D,4,0)</f>
        <v>Cannabinoid</v>
      </c>
      <c r="AC68" s="49">
        <f>VLOOKUP(B68,'SegEnds_NonXtal_Prot#'!A:AL,6,FALSE)-VLOOKUP(B68,'SegEnds_NonXtal_Prot#'!A:AL,5,FALSE)</f>
        <v>1</v>
      </c>
      <c r="AD68" s="49">
        <f>VLOOKUP(B68,'SegEnds_NonXtal_Prot#'!A:AL,9,FALSE)-VLOOKUP(B68,'SegEnds_NonXtal_Prot#'!A:AL,8,FALSE)</f>
        <v>2</v>
      </c>
      <c r="AE68" s="49" t="e">
        <f>VLOOKUP(B68,'SegEnds_NonXtal_Prot#'!A:AL,13,FALSE)-VLOOKUP(B68,'SegEnds_NonXtal_Prot#'!A:AL,10,FALSE)</f>
        <v>#VALUE!</v>
      </c>
      <c r="AF68" s="49" t="e">
        <f>VLOOKUP(B68,'SegEnds_NonXtal_Prot#'!A:AL,12,FALSE)-VLOOKUP(B68,'SegEnds_NonXtal_Prot#'!A:AL,11,FALSE)</f>
        <v>#VALUE!</v>
      </c>
      <c r="AG68" s="49" t="e">
        <f>VLOOKUP(B68,'SegEnds_NonXtal_Prot#'!A:AL,13,FALSE)-VLOOKUP(B68,'SegEnds_NonXtal_Prot#'!A:AL,11,FALSE)</f>
        <v>#VALUE!</v>
      </c>
      <c r="AH68" s="49">
        <f>VLOOKUP(B68,'SegEnds_NonXtal_Prot#'!A:AL,16,FALSE)-VLOOKUP(B68,'SegEnds_NonXtal_Prot#'!A:AL,10,FALSE)</f>
        <v>51</v>
      </c>
      <c r="AI68" s="49">
        <f>VLOOKUP(B68,'SegEnds_NonXtal_Prot#'!A:AL,16,FALSE)-VLOOKUP(B68,'SegEnds_NonXtal_Prot#'!A:AL,11,FALSE)</f>
        <v>35</v>
      </c>
      <c r="AJ68" s="49">
        <f>VLOOKUP(B68,'SegEnds_NonXtal_Prot#'!A:AL,22,FALSE)-VLOOKUP(B68,'SegEnds_NonXtal_Prot#'!A:AL,19,FALSE)</f>
        <v>20</v>
      </c>
      <c r="AK68" s="49" t="e">
        <f>VLOOKUP(B68,'SegEnds_NonXtal_Prot#'!A:AL,15,FALSE)-VLOOKUP(B68,'SegEnds_NonXtal_Prot#'!A:AL,14,FALSE)</f>
        <v>#VALUE!</v>
      </c>
      <c r="AL68" s="49">
        <f>VLOOKUP(B68,'SegEnds_NonXtal_Prot#'!A:AL,18,FALSE)-VLOOKUP(B68,'SegEnds_NonXtal_Prot#'!A:AL,17,FALSE)</f>
        <v>1</v>
      </c>
      <c r="AM68" s="2">
        <f>VLOOKUP(B68,'SegEnds_NonXtal_Prot#'!A:AL,34,FALSE)-VLOOKUP(B68,'SegEnds_NonXtal_Prot#'!A:AL,31,FALSE)</f>
        <v>36</v>
      </c>
    </row>
    <row r="69" spans="1:64" x14ac:dyDescent="0.2">
      <c r="A69" s="2" t="s">
        <v>1586</v>
      </c>
      <c r="B69" s="2" t="s">
        <v>132</v>
      </c>
      <c r="C69" s="2">
        <f>IFERROR(50+VLOOKUP($A69,'SegEnds_Xtal_Prot#'!$A:$AY,5,FALSE)-VLOOKUP($B69,'SegEnds_NonXtal_Prot#'!$A:$AL,4,FALSE),"-")</f>
        <v>27</v>
      </c>
      <c r="D69" s="2">
        <f>IFERROR(50+VLOOKUP($A69,'SegEnds_Xtal_Prot#'!$A:$AY,7,FALSE)-VLOOKUP($B69,'SegEnds_NonXtal_Prot#'!$A:$AL,4,FALSE),"-")</f>
        <v>60</v>
      </c>
      <c r="E69" s="2">
        <f>IFERROR(50+VLOOKUP($A69,'SegEnds_Xtal_Prot#'!$A:$AY,9,FALSE)-VLOOKUP($B69,'SegEnds_NonXtal_Prot#'!$A:$AL,7,FALSE),"-")</f>
        <v>48</v>
      </c>
      <c r="F69" s="2">
        <f>IFERROR(50+VLOOKUP($A69,'SegEnds_Xtal_Prot#'!$A:$AY,11,FALSE)-VLOOKUP($B69,'SegEnds_NonXtal_Prot#'!$A:$AL,7,FALSE),"-")</f>
        <v>51</v>
      </c>
      <c r="G69" s="2">
        <f>IFERROR(50+VLOOKUP($A69,'SegEnds_Xtal_Prot#'!$A:$AY,13,FALSE)-VLOOKUP($B69,'SegEnds_NonXtal_Prot#'!$A:$AL,10,FALSE),"-")</f>
        <v>37</v>
      </c>
      <c r="H69" s="2">
        <f>IFERROR(50+VLOOKUP($A69,'SegEnds_Xtal_Prot#'!$A:$AY,15,FALSE)-VLOOKUP($B69,'SegEnds_NonXtal_Prot#'!$A:$AL,10,FALSE),"-")</f>
        <v>68</v>
      </c>
      <c r="I69" s="2">
        <f>IFERROR(50+VLOOKUP($A69,'SegEnds_Xtal_Prot#'!$A:$AY,17,FALSE)-VLOOKUP($B69,'SegEnds_NonXtal_Prot#'!$A:$AL,13,FALSE),"-")</f>
        <v>49</v>
      </c>
      <c r="J69" s="2">
        <f>IFERROR(50+VLOOKUP($A69,'SegEnds_Xtal_Prot#'!$A:$AY,19,FALSE)-VLOOKUP($B69,'SegEnds_NonXtal_Prot#'!$A:$AL,13,FALSE),"-")</f>
        <v>52</v>
      </c>
      <c r="K69" s="2">
        <f>IFERROR(50+VLOOKUP($A69,'SegEnds_Xtal_Prot#'!$A:$AY,21,FALSE)-VLOOKUP($B69,'SegEnds_NonXtal_Prot#'!$A:$AL,16,FALSE),"-")</f>
        <v>21</v>
      </c>
      <c r="L69" s="2">
        <f>IFERROR(50+VLOOKUP($A69,'SegEnds_Xtal_Prot#'!$A:$AY,23,FALSE)-VLOOKUP($B69,'SegEnds_NonXtal_Prot#'!$A:$AL,16,FALSE),"-")</f>
        <v>56</v>
      </c>
      <c r="M69" s="2">
        <f>IFERROR(50+VLOOKUP($A69,'SegEnds_Xtal_Prot#'!$A:$AY,25,FALSE)-VLOOKUP($B69,'SegEnds_NonXtal_Prot#'!$A:$AL,19,FALSE),"-")</f>
        <v>50</v>
      </c>
      <c r="N69" s="2">
        <f>IFERROR(50+VLOOKUP($A69,'SegEnds_Xtal_Prot#'!$A:$AY,27,FALSE)-VLOOKUP($B69,'SegEnds_NonXtal_Prot#'!$A:$AL,19,FALSE),"-")</f>
        <v>57</v>
      </c>
      <c r="O69" s="2">
        <f>IFERROR(50+VLOOKUP($A69,'SegEnds_Xtal_Prot#'!$A:$AY,29,FALSE)-VLOOKUP($B69,'SegEnds_NonXtal_Prot#'!$A:$AL,22,FALSE),"-")</f>
        <v>38</v>
      </c>
      <c r="P69" s="2">
        <f>IFERROR(50+VLOOKUP($A69,'SegEnds_Xtal_Prot#'!$A:$AY,31,FALSE)-VLOOKUP($B69,'SegEnds_NonXtal_Prot#'!$A:$AL,22,FALSE),"-")</f>
        <v>67</v>
      </c>
      <c r="Q69" s="2">
        <f>IFERROR(50+VLOOKUP($A69,'SegEnds_Xtal_Prot#'!$A:$AY,33,FALSE)-VLOOKUP($B69,'SegEnds_NonXtal_Prot#'!$A:$AL,25,FALSE),"-")</f>
        <v>50</v>
      </c>
      <c r="R69" s="2">
        <f>IFERROR(50+VLOOKUP($A69,'SegEnds_Xtal_Prot#'!$A:$AY,35,FALSE)-VLOOKUP($B69,'SegEnds_NonXtal_Prot#'!$A:$AL,25,FALSE),"-")</f>
        <v>52</v>
      </c>
      <c r="S69" s="2">
        <f>IFERROR(50+VLOOKUP($A69,'SegEnds_Xtal_Prot#'!$A:$AY,37,FALSE)-VLOOKUP($B69,'SegEnds_NonXtal_Prot#'!$A:$AL,28,FALSE),"-")</f>
        <v>35</v>
      </c>
      <c r="T69" s="2">
        <f>IFERROR(50+VLOOKUP($A69,'SegEnds_Xtal_Prot#'!$A:$AY,39,FALSE)-VLOOKUP($B69,'SegEnds_NonXtal_Prot#'!$A:$AL,28,FALSE),"-")</f>
        <v>76</v>
      </c>
      <c r="U69" s="2">
        <f>IFERROR(50+VLOOKUP($A69,'SegEnds_Xtal_Prot#'!$A:$AY,41,FALSE)-VLOOKUP($B69,'SegEnds_NonXtal_Prot#'!$A:$AL,31,FALSE),"-")</f>
        <v>24</v>
      </c>
      <c r="V69" s="2">
        <f>IFERROR(50+VLOOKUP($A69,'SegEnds_Xtal_Prot#'!$A:$AY,43,FALSE)-VLOOKUP($B69,'SegEnds_NonXtal_Prot#'!$A:$AL,31,FALSE),"-")</f>
        <v>61</v>
      </c>
      <c r="W69" s="2">
        <f>IFERROR(50+VLOOKUP($A69,'SegEnds_Xtal_Prot#'!$A:$AY,45,FALSE)-VLOOKUP($B69,'SegEnds_NonXtal_Prot#'!$A:$AL,34,FALSE),"-")</f>
        <v>27</v>
      </c>
      <c r="X69" s="2">
        <f>IFERROR(50+VLOOKUP($A69,'SegEnds_Xtal_Prot#'!$A:$AY,47,FALSE)-VLOOKUP($B69,'SegEnds_NonXtal_Prot#'!$A:$AL,34,FALSE),"-")</f>
        <v>56</v>
      </c>
      <c r="Y69" s="2">
        <f>IFERROR(50+VLOOKUP($A69,'SegEnds_Xtal_Prot#'!$A:$AY,49,FALSE)-VLOOKUP($B69,'SegEnds_NonXtal_Prot#'!$A:$AL,37,FALSE),"-")</f>
        <v>47</v>
      </c>
      <c r="Z69" s="2">
        <f>IFERROR(50+VLOOKUP($A69,'SegEnds_Xtal_Prot#'!$A:$AY,51,FALSE)-VLOOKUP($B69,'SegEnds_NonXtal_Prot#'!$A:$AL,37,FALSE),"-")</f>
        <v>60</v>
      </c>
      <c r="AA69" s="49" t="str">
        <f>VLOOKUP(B69,Classification!A:D,2,FALSE)</f>
        <v>A</v>
      </c>
      <c r="AB69" s="94" t="str">
        <f>VLOOKUP(B69,Classification!A:D,4,0)</f>
        <v>5-Hydroxytryptamine</v>
      </c>
      <c r="AC69" s="49">
        <f>VLOOKUP(B69,'SegEnds_NonXtal_Prot#'!A:AL,6,FALSE)-VLOOKUP(B69,'SegEnds_NonXtal_Prot#'!A:AL,5,FALSE)</f>
        <v>1</v>
      </c>
      <c r="AD69" s="49">
        <f>VLOOKUP(B69,'SegEnds_NonXtal_Prot#'!A:AL,9,FALSE)-VLOOKUP(B69,'SegEnds_NonXtal_Prot#'!A:AL,8,FALSE)</f>
        <v>1</v>
      </c>
      <c r="AE69" s="49">
        <f>VLOOKUP(B69,'SegEnds_NonXtal_Prot#'!A:AL,13,FALSE)-VLOOKUP(B69,'SegEnds_NonXtal_Prot#'!A:AL,10,FALSE)</f>
        <v>21</v>
      </c>
      <c r="AF69" s="49">
        <f>VLOOKUP(B69,'SegEnds_NonXtal_Prot#'!A:AL,12,FALSE)-VLOOKUP(B69,'SegEnds_NonXtal_Prot#'!A:AL,11,FALSE)</f>
        <v>2</v>
      </c>
      <c r="AG69" s="49">
        <f>VLOOKUP(B69,'SegEnds_NonXtal_Prot#'!A:AL,13,FALSE)-VLOOKUP(B69,'SegEnds_NonXtal_Prot#'!A:AL,11,FALSE)</f>
        <v>3</v>
      </c>
      <c r="AH69" s="49">
        <f>VLOOKUP(B69,'SegEnds_NonXtal_Prot#'!A:AL,16,FALSE)-VLOOKUP(B69,'SegEnds_NonXtal_Prot#'!A:AL,10,FALSE)</f>
        <v>53</v>
      </c>
      <c r="AI69" s="49">
        <f>VLOOKUP(B69,'SegEnds_NonXtal_Prot#'!A:AL,16,FALSE)-VLOOKUP(B69,'SegEnds_NonXtal_Prot#'!A:AL,11,FALSE)</f>
        <v>35</v>
      </c>
      <c r="AJ69" s="49">
        <f>VLOOKUP(B69,'SegEnds_NonXtal_Prot#'!A:AL,22,FALSE)-VLOOKUP(B69,'SegEnds_NonXtal_Prot#'!A:AL,19,FALSE)</f>
        <v>20</v>
      </c>
      <c r="AK69" s="49">
        <f>VLOOKUP(B69,'SegEnds_NonXtal_Prot#'!A:AL,15,FALSE)-VLOOKUP(B69,'SegEnds_NonXtal_Prot#'!A:AL,14,FALSE)</f>
        <v>1</v>
      </c>
      <c r="AL69" s="49">
        <f>VLOOKUP(B69,'SegEnds_NonXtal_Prot#'!A:AL,18,FALSE)-VLOOKUP(B69,'SegEnds_NonXtal_Prot#'!A:AL,17,FALSE)</f>
        <v>1</v>
      </c>
      <c r="AM69" s="2">
        <f>VLOOKUP(B69,'SegEnds_NonXtal_Prot#'!A:AL,34,FALSE)-VLOOKUP(B69,'SegEnds_NonXtal_Prot#'!A:AL,31,FALSE)</f>
        <v>39</v>
      </c>
    </row>
    <row r="70" spans="1:64" x14ac:dyDescent="0.2">
      <c r="A70" s="4"/>
      <c r="B70" s="4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49"/>
      <c r="AB70" s="96"/>
      <c r="AC70" s="49"/>
      <c r="AD70" s="49"/>
      <c r="AE70" s="49"/>
      <c r="AF70" s="49"/>
      <c r="AG70" s="49"/>
      <c r="AH70" s="49"/>
      <c r="AI70" s="49"/>
      <c r="AJ70" s="49"/>
      <c r="AK70" s="49"/>
      <c r="AL70" s="49"/>
      <c r="AM70" s="2"/>
      <c r="AN70" s="38"/>
      <c r="AO70" s="30" t="s">
        <v>1061</v>
      </c>
      <c r="AP70" s="30" t="s">
        <v>1062</v>
      </c>
      <c r="AQ70" s="30" t="s">
        <v>1078</v>
      </c>
      <c r="AR70" s="30" t="s">
        <v>1079</v>
      </c>
      <c r="AS70" s="30" t="s">
        <v>1063</v>
      </c>
      <c r="AT70" s="30" t="s">
        <v>1064</v>
      </c>
      <c r="AU70" s="30" t="s">
        <v>1080</v>
      </c>
      <c r="AV70" s="30" t="s">
        <v>1081</v>
      </c>
      <c r="AW70" s="30" t="s">
        <v>1065</v>
      </c>
      <c r="AX70" s="30" t="s">
        <v>1066</v>
      </c>
      <c r="AY70" s="30" t="s">
        <v>1093</v>
      </c>
      <c r="AZ70" s="30" t="s">
        <v>1094</v>
      </c>
      <c r="BA70" s="30" t="s">
        <v>1067</v>
      </c>
      <c r="BB70" s="30" t="s">
        <v>1068</v>
      </c>
      <c r="BC70" s="30" t="s">
        <v>1096</v>
      </c>
      <c r="BD70" s="30" t="s">
        <v>1097</v>
      </c>
      <c r="BE70" s="30" t="s">
        <v>1069</v>
      </c>
      <c r="BF70" s="30" t="s">
        <v>1070</v>
      </c>
      <c r="BG70" s="30" t="s">
        <v>1071</v>
      </c>
      <c r="BH70" s="30" t="s">
        <v>1072</v>
      </c>
      <c r="BI70" s="30" t="s">
        <v>1073</v>
      </c>
      <c r="BJ70" s="30" t="s">
        <v>1074</v>
      </c>
      <c r="BK70" s="30" t="s">
        <v>1075</v>
      </c>
      <c r="BL70" s="30" t="s">
        <v>1076</v>
      </c>
    </row>
    <row r="71" spans="1:64" x14ac:dyDescent="0.2"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N71" s="38" t="s">
        <v>1</v>
      </c>
      <c r="AO71" s="4">
        <f t="shared" ref="AO71:BL71" si="0">MAX(C2:C42)</f>
        <v>34</v>
      </c>
      <c r="AP71" s="4">
        <f t="shared" si="0"/>
        <v>64</v>
      </c>
      <c r="AQ71" s="4">
        <f t="shared" si="0"/>
        <v>48</v>
      </c>
      <c r="AR71" s="4">
        <f t="shared" si="0"/>
        <v>52</v>
      </c>
      <c r="AS71" s="4">
        <f t="shared" si="0"/>
        <v>38</v>
      </c>
      <c r="AT71" s="4">
        <f t="shared" si="0"/>
        <v>69</v>
      </c>
      <c r="AU71" s="4">
        <f t="shared" si="0"/>
        <v>50</v>
      </c>
      <c r="AV71" s="4">
        <f t="shared" si="0"/>
        <v>53</v>
      </c>
      <c r="AW71" s="4">
        <f t="shared" si="0"/>
        <v>21</v>
      </c>
      <c r="AX71" s="4">
        <f t="shared" si="0"/>
        <v>56</v>
      </c>
      <c r="AY71" s="4">
        <f t="shared" si="0"/>
        <v>50</v>
      </c>
      <c r="AZ71" s="4">
        <f t="shared" si="0"/>
        <v>58</v>
      </c>
      <c r="BA71" s="4">
        <f t="shared" si="0"/>
        <v>38</v>
      </c>
      <c r="BB71" s="4">
        <f t="shared" si="0"/>
        <v>69</v>
      </c>
      <c r="BC71" s="4">
        <f t="shared" si="0"/>
        <v>50</v>
      </c>
      <c r="BD71" s="4">
        <f t="shared" si="0"/>
        <v>52</v>
      </c>
      <c r="BE71" s="4">
        <f t="shared" si="0"/>
        <v>36</v>
      </c>
      <c r="BF71" s="4">
        <f t="shared" si="0"/>
        <v>77</v>
      </c>
      <c r="BG71" s="4">
        <f t="shared" si="0"/>
        <v>30</v>
      </c>
      <c r="BH71" s="4">
        <f t="shared" si="0"/>
        <v>65</v>
      </c>
      <c r="BI71" s="4">
        <f t="shared" si="0"/>
        <v>32</v>
      </c>
      <c r="BJ71" s="4">
        <f t="shared" si="0"/>
        <v>56</v>
      </c>
      <c r="BK71" s="4">
        <f t="shared" si="0"/>
        <v>47</v>
      </c>
      <c r="BL71" s="4">
        <f t="shared" si="0"/>
        <v>69</v>
      </c>
    </row>
    <row r="72" spans="1:64" x14ac:dyDescent="0.2"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O72" s="4">
        <f t="shared" ref="AO72:BL72" si="1">MIN(C2:C42)</f>
        <v>22</v>
      </c>
      <c r="AP72" s="4">
        <f t="shared" si="1"/>
        <v>60</v>
      </c>
      <c r="AQ72" s="4">
        <f t="shared" si="1"/>
        <v>48</v>
      </c>
      <c r="AR72" s="4">
        <f t="shared" si="1"/>
        <v>51</v>
      </c>
      <c r="AS72" s="4">
        <f t="shared" si="1"/>
        <v>34</v>
      </c>
      <c r="AT72" s="4">
        <f t="shared" si="1"/>
        <v>63</v>
      </c>
      <c r="AU72" s="4">
        <f t="shared" si="1"/>
        <v>47</v>
      </c>
      <c r="AV72" s="4">
        <f t="shared" si="1"/>
        <v>52</v>
      </c>
      <c r="AW72" s="4">
        <f t="shared" si="1"/>
        <v>18</v>
      </c>
      <c r="AX72" s="4">
        <f t="shared" si="1"/>
        <v>55</v>
      </c>
      <c r="AY72" s="4">
        <f t="shared" si="1"/>
        <v>50</v>
      </c>
      <c r="AZ72" s="4">
        <f t="shared" si="1"/>
        <v>53</v>
      </c>
      <c r="BA72" s="4">
        <f t="shared" si="1"/>
        <v>35</v>
      </c>
      <c r="BB72" s="4">
        <f t="shared" si="1"/>
        <v>62</v>
      </c>
      <c r="BC72" s="4">
        <f t="shared" si="1"/>
        <v>50</v>
      </c>
      <c r="BD72" s="4">
        <f t="shared" si="1"/>
        <v>52</v>
      </c>
      <c r="BE72" s="4">
        <f t="shared" si="1"/>
        <v>28</v>
      </c>
      <c r="BF72" s="4">
        <f t="shared" si="1"/>
        <v>67</v>
      </c>
      <c r="BG72" s="4">
        <f t="shared" si="1"/>
        <v>18</v>
      </c>
      <c r="BH72" s="4">
        <f t="shared" si="1"/>
        <v>60</v>
      </c>
      <c r="BI72" s="4">
        <f t="shared" si="1"/>
        <v>24</v>
      </c>
      <c r="BJ72" s="4">
        <f t="shared" si="1"/>
        <v>55</v>
      </c>
      <c r="BK72" s="4">
        <f t="shared" si="1"/>
        <v>47</v>
      </c>
      <c r="BL72" s="4">
        <f t="shared" si="1"/>
        <v>57</v>
      </c>
    </row>
    <row r="73" spans="1:64" x14ac:dyDescent="0.2"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O73" s="4">
        <f t="shared" ref="AO73:BL73" si="2">AO71-AO72</f>
        <v>12</v>
      </c>
      <c r="AP73" s="4">
        <f t="shared" si="2"/>
        <v>4</v>
      </c>
      <c r="AQ73" s="4">
        <f t="shared" si="2"/>
        <v>0</v>
      </c>
      <c r="AR73" s="4">
        <f t="shared" si="2"/>
        <v>1</v>
      </c>
      <c r="AS73" s="4">
        <f t="shared" si="2"/>
        <v>4</v>
      </c>
      <c r="AT73" s="4">
        <f t="shared" si="2"/>
        <v>6</v>
      </c>
      <c r="AU73" s="4">
        <f t="shared" si="2"/>
        <v>3</v>
      </c>
      <c r="AV73" s="4">
        <f t="shared" si="2"/>
        <v>1</v>
      </c>
      <c r="AW73" s="4">
        <f t="shared" si="2"/>
        <v>3</v>
      </c>
      <c r="AX73" s="4">
        <f t="shared" si="2"/>
        <v>1</v>
      </c>
      <c r="AY73" s="4">
        <f t="shared" si="2"/>
        <v>0</v>
      </c>
      <c r="AZ73" s="4">
        <f t="shared" si="2"/>
        <v>5</v>
      </c>
      <c r="BA73" s="4">
        <f t="shared" si="2"/>
        <v>3</v>
      </c>
      <c r="BB73" s="4">
        <f t="shared" si="2"/>
        <v>7</v>
      </c>
      <c r="BC73" s="4">
        <f t="shared" si="2"/>
        <v>0</v>
      </c>
      <c r="BD73" s="4">
        <f t="shared" si="2"/>
        <v>0</v>
      </c>
      <c r="BE73" s="4">
        <f t="shared" si="2"/>
        <v>8</v>
      </c>
      <c r="BF73" s="4">
        <f t="shared" si="2"/>
        <v>10</v>
      </c>
      <c r="BG73" s="4">
        <f t="shared" si="2"/>
        <v>12</v>
      </c>
      <c r="BH73" s="4">
        <f t="shared" si="2"/>
        <v>5</v>
      </c>
      <c r="BI73" s="4">
        <f t="shared" si="2"/>
        <v>8</v>
      </c>
      <c r="BJ73" s="4">
        <f t="shared" si="2"/>
        <v>1</v>
      </c>
      <c r="BK73" s="4">
        <f t="shared" si="2"/>
        <v>0</v>
      </c>
      <c r="BL73" s="4">
        <f t="shared" si="2"/>
        <v>12</v>
      </c>
    </row>
    <row r="74" spans="1:64" x14ac:dyDescent="0.2"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N74" s="38" t="s">
        <v>1287</v>
      </c>
      <c r="AO74" s="4">
        <f t="shared" ref="AO74:BL74" si="3">MAX(C43:C46)</f>
        <v>29</v>
      </c>
      <c r="AP74" s="4">
        <f t="shared" si="3"/>
        <v>60</v>
      </c>
      <c r="AQ74" s="4">
        <f t="shared" si="3"/>
        <v>48</v>
      </c>
      <c r="AR74" s="4">
        <f t="shared" si="3"/>
        <v>51</v>
      </c>
      <c r="AS74" s="4">
        <f t="shared" si="3"/>
        <v>37</v>
      </c>
      <c r="AT74" s="4">
        <f t="shared" si="3"/>
        <v>66</v>
      </c>
      <c r="AU74" s="4">
        <f t="shared" si="3"/>
        <v>49</v>
      </c>
      <c r="AV74" s="4">
        <f t="shared" si="3"/>
        <v>52</v>
      </c>
      <c r="AW74" s="4">
        <f t="shared" si="3"/>
        <v>23</v>
      </c>
      <c r="AX74" s="4">
        <f t="shared" si="3"/>
        <v>56</v>
      </c>
      <c r="AY74" s="4">
        <f t="shared" si="3"/>
        <v>50</v>
      </c>
      <c r="AZ74" s="4">
        <f t="shared" si="3"/>
        <v>57</v>
      </c>
      <c r="BA74" s="4">
        <f t="shared" si="3"/>
        <v>41</v>
      </c>
      <c r="BB74" s="4">
        <f t="shared" si="3"/>
        <v>68</v>
      </c>
      <c r="BC74" s="4">
        <f t="shared" si="3"/>
        <v>50</v>
      </c>
      <c r="BD74" s="4">
        <f t="shared" si="3"/>
        <v>52</v>
      </c>
      <c r="BE74" s="4">
        <f t="shared" si="3"/>
        <v>40</v>
      </c>
      <c r="BF74" s="4">
        <f t="shared" si="3"/>
        <v>70</v>
      </c>
      <c r="BG74" s="4">
        <f t="shared" si="3"/>
        <v>30</v>
      </c>
      <c r="BH74" s="4">
        <f t="shared" si="3"/>
        <v>65</v>
      </c>
      <c r="BI74" s="4">
        <f t="shared" si="3"/>
        <v>31</v>
      </c>
      <c r="BJ74" s="4">
        <f t="shared" si="3"/>
        <v>56</v>
      </c>
      <c r="BK74" s="4">
        <f t="shared" si="3"/>
        <v>47</v>
      </c>
      <c r="BL74" s="4">
        <f t="shared" si="3"/>
        <v>72</v>
      </c>
    </row>
    <row r="75" spans="1:64" x14ac:dyDescent="0.2"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O75" s="4">
        <f t="shared" ref="AO75:BL75" si="4">MIN(C43:C46)</f>
        <v>19</v>
      </c>
      <c r="AP75" s="4">
        <f t="shared" si="4"/>
        <v>60</v>
      </c>
      <c r="AQ75" s="4">
        <f t="shared" si="4"/>
        <v>48</v>
      </c>
      <c r="AR75" s="4">
        <f t="shared" si="4"/>
        <v>51</v>
      </c>
      <c r="AS75" s="4">
        <f t="shared" si="4"/>
        <v>37</v>
      </c>
      <c r="AT75" s="4">
        <f t="shared" si="4"/>
        <v>63</v>
      </c>
      <c r="AU75" s="4">
        <f t="shared" si="4"/>
        <v>47</v>
      </c>
      <c r="AV75" s="4">
        <f t="shared" si="4"/>
        <v>52</v>
      </c>
      <c r="AW75" s="4">
        <f t="shared" si="4"/>
        <v>21</v>
      </c>
      <c r="AX75" s="4">
        <f t="shared" si="4"/>
        <v>56</v>
      </c>
      <c r="AY75" s="4">
        <f t="shared" si="4"/>
        <v>50</v>
      </c>
      <c r="AZ75" s="4">
        <f t="shared" si="4"/>
        <v>56</v>
      </c>
      <c r="BA75" s="4">
        <f t="shared" si="4"/>
        <v>38</v>
      </c>
      <c r="BB75" s="4">
        <f t="shared" si="4"/>
        <v>62</v>
      </c>
      <c r="BC75" s="4">
        <f t="shared" si="4"/>
        <v>50</v>
      </c>
      <c r="BD75" s="4">
        <f t="shared" si="4"/>
        <v>52</v>
      </c>
      <c r="BE75" s="4">
        <f t="shared" si="4"/>
        <v>31</v>
      </c>
      <c r="BF75" s="4">
        <f t="shared" si="4"/>
        <v>67</v>
      </c>
      <c r="BG75" s="4">
        <f t="shared" si="4"/>
        <v>25</v>
      </c>
      <c r="BH75" s="4">
        <f t="shared" si="4"/>
        <v>53</v>
      </c>
      <c r="BI75" s="4">
        <f t="shared" si="4"/>
        <v>28</v>
      </c>
      <c r="BJ75" s="4">
        <f t="shared" si="4"/>
        <v>56</v>
      </c>
      <c r="BK75" s="4">
        <f t="shared" si="4"/>
        <v>47</v>
      </c>
      <c r="BL75" s="4">
        <f t="shared" si="4"/>
        <v>61</v>
      </c>
    </row>
    <row r="76" spans="1:64" x14ac:dyDescent="0.2"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O76" s="4">
        <f t="shared" ref="AO76:BL76" si="5">AO74-AO75</f>
        <v>10</v>
      </c>
      <c r="AP76" s="4">
        <f t="shared" si="5"/>
        <v>0</v>
      </c>
      <c r="AQ76" s="4">
        <f t="shared" si="5"/>
        <v>0</v>
      </c>
      <c r="AR76" s="4">
        <f t="shared" si="5"/>
        <v>0</v>
      </c>
      <c r="AS76" s="4">
        <f t="shared" si="5"/>
        <v>0</v>
      </c>
      <c r="AT76" s="4">
        <f t="shared" si="5"/>
        <v>3</v>
      </c>
      <c r="AU76" s="4">
        <f t="shared" si="5"/>
        <v>2</v>
      </c>
      <c r="AV76" s="4">
        <f t="shared" si="5"/>
        <v>0</v>
      </c>
      <c r="AW76" s="4">
        <f t="shared" si="5"/>
        <v>2</v>
      </c>
      <c r="AX76" s="4">
        <f t="shared" si="5"/>
        <v>0</v>
      </c>
      <c r="AY76" s="4">
        <f t="shared" si="5"/>
        <v>0</v>
      </c>
      <c r="AZ76" s="4">
        <f t="shared" si="5"/>
        <v>1</v>
      </c>
      <c r="BA76" s="4">
        <f t="shared" si="5"/>
        <v>3</v>
      </c>
      <c r="BB76" s="4">
        <f t="shared" si="5"/>
        <v>6</v>
      </c>
      <c r="BC76" s="4">
        <f t="shared" si="5"/>
        <v>0</v>
      </c>
      <c r="BD76" s="4">
        <f t="shared" si="5"/>
        <v>0</v>
      </c>
      <c r="BE76" s="4">
        <f t="shared" si="5"/>
        <v>9</v>
      </c>
      <c r="BF76" s="4">
        <f t="shared" si="5"/>
        <v>3</v>
      </c>
      <c r="BG76" s="4">
        <f t="shared" si="5"/>
        <v>5</v>
      </c>
      <c r="BH76" s="4">
        <f t="shared" si="5"/>
        <v>12</v>
      </c>
      <c r="BI76" s="4">
        <f t="shared" si="5"/>
        <v>3</v>
      </c>
      <c r="BJ76" s="4">
        <f t="shared" si="5"/>
        <v>0</v>
      </c>
      <c r="BK76" s="4">
        <f t="shared" si="5"/>
        <v>0</v>
      </c>
      <c r="BL76" s="4">
        <f t="shared" si="5"/>
        <v>11</v>
      </c>
    </row>
    <row r="77" spans="1:64" x14ac:dyDescent="0.2"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N77" s="38" t="s">
        <v>27</v>
      </c>
      <c r="AO77" s="4">
        <f t="shared" ref="AO77:BL77" si="6">MAX(C47:C50)</f>
        <v>34</v>
      </c>
      <c r="AP77" s="4">
        <f t="shared" si="6"/>
        <v>60</v>
      </c>
      <c r="AQ77" s="4">
        <f t="shared" si="6"/>
        <v>48</v>
      </c>
      <c r="AR77" s="4">
        <f t="shared" si="6"/>
        <v>53</v>
      </c>
      <c r="AS77" s="4">
        <f t="shared" si="6"/>
        <v>39</v>
      </c>
      <c r="AT77" s="4">
        <f t="shared" si="6"/>
        <v>74</v>
      </c>
      <c r="AU77" s="4">
        <f t="shared" si="6"/>
        <v>0</v>
      </c>
      <c r="AV77" s="4">
        <f t="shared" si="6"/>
        <v>0</v>
      </c>
      <c r="AW77" s="4">
        <f t="shared" si="6"/>
        <v>23</v>
      </c>
      <c r="AX77" s="4">
        <f t="shared" si="6"/>
        <v>56</v>
      </c>
      <c r="AY77" s="4">
        <f t="shared" si="6"/>
        <v>0</v>
      </c>
      <c r="AZ77" s="4">
        <f t="shared" si="6"/>
        <v>0</v>
      </c>
      <c r="BA77" s="4">
        <f t="shared" si="6"/>
        <v>40</v>
      </c>
      <c r="BB77" s="4">
        <f t="shared" si="6"/>
        <v>68</v>
      </c>
      <c r="BC77" s="4">
        <f t="shared" si="6"/>
        <v>50</v>
      </c>
      <c r="BD77" s="4">
        <f t="shared" si="6"/>
        <v>52</v>
      </c>
      <c r="BE77" s="4">
        <f t="shared" si="6"/>
        <v>39</v>
      </c>
      <c r="BF77" s="4">
        <f t="shared" si="6"/>
        <v>71</v>
      </c>
      <c r="BG77" s="4">
        <f t="shared" si="6"/>
        <v>33</v>
      </c>
      <c r="BH77" s="4">
        <f t="shared" si="6"/>
        <v>57</v>
      </c>
      <c r="BI77" s="4">
        <f t="shared" si="6"/>
        <v>33</v>
      </c>
      <c r="BJ77" s="4">
        <f t="shared" si="6"/>
        <v>64</v>
      </c>
      <c r="BK77" s="4">
        <f t="shared" si="6"/>
        <v>47</v>
      </c>
      <c r="BL77" s="4">
        <f t="shared" si="6"/>
        <v>72</v>
      </c>
    </row>
    <row r="78" spans="1:64" x14ac:dyDescent="0.2"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O78" s="4">
        <f t="shared" ref="AO78:BL78" si="7">MIN(C47:C50)</f>
        <v>25</v>
      </c>
      <c r="AP78" s="4">
        <f t="shared" si="7"/>
        <v>60</v>
      </c>
      <c r="AQ78" s="4">
        <f t="shared" si="7"/>
        <v>47</v>
      </c>
      <c r="AR78" s="4">
        <f t="shared" si="7"/>
        <v>51</v>
      </c>
      <c r="AS78" s="4">
        <f t="shared" si="7"/>
        <v>37</v>
      </c>
      <c r="AT78" s="4">
        <f t="shared" si="7"/>
        <v>61</v>
      </c>
      <c r="AU78" s="4">
        <f t="shared" si="7"/>
        <v>0</v>
      </c>
      <c r="AV78" s="4">
        <f t="shared" si="7"/>
        <v>0</v>
      </c>
      <c r="AW78" s="4">
        <f t="shared" si="7"/>
        <v>21</v>
      </c>
      <c r="AX78" s="4">
        <f t="shared" si="7"/>
        <v>54</v>
      </c>
      <c r="AY78" s="4">
        <f t="shared" si="7"/>
        <v>0</v>
      </c>
      <c r="AZ78" s="4">
        <f t="shared" si="7"/>
        <v>0</v>
      </c>
      <c r="BA78" s="4">
        <f t="shared" si="7"/>
        <v>37</v>
      </c>
      <c r="BB78" s="4">
        <f t="shared" si="7"/>
        <v>64</v>
      </c>
      <c r="BC78" s="4">
        <f t="shared" si="7"/>
        <v>50</v>
      </c>
      <c r="BD78" s="4">
        <f t="shared" si="7"/>
        <v>52</v>
      </c>
      <c r="BE78" s="4">
        <f t="shared" si="7"/>
        <v>36</v>
      </c>
      <c r="BF78" s="4">
        <f t="shared" si="7"/>
        <v>61</v>
      </c>
      <c r="BG78" s="4">
        <f t="shared" si="7"/>
        <v>28</v>
      </c>
      <c r="BH78" s="4">
        <f t="shared" si="7"/>
        <v>53</v>
      </c>
      <c r="BI78" s="4">
        <f t="shared" si="7"/>
        <v>27</v>
      </c>
      <c r="BJ78" s="4">
        <f t="shared" si="7"/>
        <v>56</v>
      </c>
      <c r="BK78" s="4">
        <f t="shared" si="7"/>
        <v>46</v>
      </c>
      <c r="BL78" s="4">
        <f t="shared" si="7"/>
        <v>57</v>
      </c>
    </row>
    <row r="79" spans="1:64" x14ac:dyDescent="0.2"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O79" s="4">
        <f t="shared" ref="AO79:BL79" si="8">AO77-AO78</f>
        <v>9</v>
      </c>
      <c r="AP79" s="4">
        <f t="shared" si="8"/>
        <v>0</v>
      </c>
      <c r="AQ79" s="4">
        <f t="shared" si="8"/>
        <v>1</v>
      </c>
      <c r="AR79" s="4">
        <f t="shared" si="8"/>
        <v>2</v>
      </c>
      <c r="AS79" s="4">
        <f t="shared" si="8"/>
        <v>2</v>
      </c>
      <c r="AT79" s="4">
        <f t="shared" si="8"/>
        <v>13</v>
      </c>
      <c r="AU79" s="4">
        <f t="shared" si="8"/>
        <v>0</v>
      </c>
      <c r="AV79" s="4">
        <f t="shared" si="8"/>
        <v>0</v>
      </c>
      <c r="AW79" s="4">
        <f t="shared" si="8"/>
        <v>2</v>
      </c>
      <c r="AX79" s="4">
        <f t="shared" si="8"/>
        <v>2</v>
      </c>
      <c r="AY79" s="4">
        <f t="shared" si="8"/>
        <v>0</v>
      </c>
      <c r="AZ79" s="4">
        <f t="shared" si="8"/>
        <v>0</v>
      </c>
      <c r="BA79" s="4">
        <f t="shared" si="8"/>
        <v>3</v>
      </c>
      <c r="BB79" s="4">
        <f t="shared" si="8"/>
        <v>4</v>
      </c>
      <c r="BC79" s="4">
        <f t="shared" si="8"/>
        <v>0</v>
      </c>
      <c r="BD79" s="4">
        <f t="shared" si="8"/>
        <v>0</v>
      </c>
      <c r="BE79" s="4">
        <f t="shared" si="8"/>
        <v>3</v>
      </c>
      <c r="BF79" s="4">
        <f t="shared" si="8"/>
        <v>10</v>
      </c>
      <c r="BG79" s="4">
        <f t="shared" si="8"/>
        <v>5</v>
      </c>
      <c r="BH79" s="4">
        <f t="shared" si="8"/>
        <v>4</v>
      </c>
      <c r="BI79" s="4">
        <f t="shared" si="8"/>
        <v>6</v>
      </c>
      <c r="BJ79" s="4">
        <f t="shared" si="8"/>
        <v>8</v>
      </c>
      <c r="BK79" s="4">
        <f t="shared" si="8"/>
        <v>1</v>
      </c>
      <c r="BL79" s="4">
        <f t="shared" si="8"/>
        <v>15</v>
      </c>
    </row>
    <row r="80" spans="1:64" x14ac:dyDescent="0.2"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N80" s="38" t="s">
        <v>28</v>
      </c>
      <c r="AO80" s="4">
        <f t="shared" ref="AO80:BL80" si="9">MAX(C51)</f>
        <v>34</v>
      </c>
      <c r="AP80" s="4">
        <f t="shared" si="9"/>
        <v>60</v>
      </c>
      <c r="AQ80" s="4">
        <f t="shared" si="9"/>
        <v>47</v>
      </c>
      <c r="AR80" s="4">
        <f t="shared" si="9"/>
        <v>53</v>
      </c>
      <c r="AS80" s="4">
        <f t="shared" si="9"/>
        <v>39</v>
      </c>
      <c r="AT80" s="4">
        <f t="shared" si="9"/>
        <v>61</v>
      </c>
      <c r="AU80" s="4">
        <f t="shared" si="9"/>
        <v>0</v>
      </c>
      <c r="AV80" s="4">
        <f t="shared" si="9"/>
        <v>0</v>
      </c>
      <c r="AW80" s="4">
        <f t="shared" si="9"/>
        <v>22</v>
      </c>
      <c r="AX80" s="4">
        <f t="shared" si="9"/>
        <v>54</v>
      </c>
      <c r="AY80" s="4">
        <f t="shared" si="9"/>
        <v>0</v>
      </c>
      <c r="AZ80" s="4">
        <f t="shared" si="9"/>
        <v>0</v>
      </c>
      <c r="BA80" s="4">
        <f t="shared" si="9"/>
        <v>38</v>
      </c>
      <c r="BB80" s="4">
        <f t="shared" si="9"/>
        <v>64</v>
      </c>
      <c r="BC80" s="4">
        <f t="shared" si="9"/>
        <v>50</v>
      </c>
      <c r="BD80" s="4">
        <f t="shared" si="9"/>
        <v>52</v>
      </c>
      <c r="BE80" s="4">
        <f t="shared" si="9"/>
        <v>36</v>
      </c>
      <c r="BF80" s="4">
        <f t="shared" si="9"/>
        <v>61</v>
      </c>
      <c r="BG80" s="4">
        <f t="shared" si="9"/>
        <v>33</v>
      </c>
      <c r="BH80" s="4">
        <f t="shared" si="9"/>
        <v>57</v>
      </c>
      <c r="BI80" s="4">
        <f t="shared" si="9"/>
        <v>33</v>
      </c>
      <c r="BJ80" s="4">
        <f t="shared" si="9"/>
        <v>64</v>
      </c>
      <c r="BK80" s="4">
        <f t="shared" si="9"/>
        <v>46</v>
      </c>
      <c r="BL80" s="4">
        <f t="shared" si="9"/>
        <v>57</v>
      </c>
    </row>
    <row r="81" spans="3:64" x14ac:dyDescent="0.2"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O81" s="4">
        <f t="shared" ref="AO81:BL81" si="10">MIN(C51)</f>
        <v>34</v>
      </c>
      <c r="AP81" s="4">
        <f t="shared" si="10"/>
        <v>60</v>
      </c>
      <c r="AQ81" s="4">
        <f t="shared" si="10"/>
        <v>47</v>
      </c>
      <c r="AR81" s="4">
        <f t="shared" si="10"/>
        <v>53</v>
      </c>
      <c r="AS81" s="4">
        <f t="shared" si="10"/>
        <v>39</v>
      </c>
      <c r="AT81" s="4">
        <f t="shared" si="10"/>
        <v>61</v>
      </c>
      <c r="AU81" s="4">
        <f t="shared" si="10"/>
        <v>0</v>
      </c>
      <c r="AV81" s="4">
        <f t="shared" si="10"/>
        <v>0</v>
      </c>
      <c r="AW81" s="4">
        <f t="shared" si="10"/>
        <v>22</v>
      </c>
      <c r="AX81" s="4">
        <f t="shared" si="10"/>
        <v>54</v>
      </c>
      <c r="AY81" s="4">
        <f t="shared" si="10"/>
        <v>0</v>
      </c>
      <c r="AZ81" s="4">
        <f t="shared" si="10"/>
        <v>0</v>
      </c>
      <c r="BA81" s="4">
        <f t="shared" si="10"/>
        <v>38</v>
      </c>
      <c r="BB81" s="4">
        <f t="shared" si="10"/>
        <v>64</v>
      </c>
      <c r="BC81" s="4">
        <f t="shared" si="10"/>
        <v>50</v>
      </c>
      <c r="BD81" s="4">
        <f t="shared" si="10"/>
        <v>52</v>
      </c>
      <c r="BE81" s="4">
        <f t="shared" si="10"/>
        <v>36</v>
      </c>
      <c r="BF81" s="4">
        <f t="shared" si="10"/>
        <v>61</v>
      </c>
      <c r="BG81" s="4">
        <f t="shared" si="10"/>
        <v>33</v>
      </c>
      <c r="BH81" s="4">
        <f t="shared" si="10"/>
        <v>57</v>
      </c>
      <c r="BI81" s="4">
        <f t="shared" si="10"/>
        <v>33</v>
      </c>
      <c r="BJ81" s="4">
        <f t="shared" si="10"/>
        <v>64</v>
      </c>
      <c r="BK81" s="4">
        <f t="shared" si="10"/>
        <v>46</v>
      </c>
      <c r="BL81" s="4">
        <f t="shared" si="10"/>
        <v>57</v>
      </c>
    </row>
    <row r="82" spans="3:64" x14ac:dyDescent="0.2"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O82" s="4">
        <f t="shared" ref="AO82:BL82" si="11">AO80-AO81</f>
        <v>0</v>
      </c>
      <c r="AP82" s="4">
        <f t="shared" si="11"/>
        <v>0</v>
      </c>
      <c r="AQ82" s="4">
        <f t="shared" si="11"/>
        <v>0</v>
      </c>
      <c r="AR82" s="4">
        <f t="shared" si="11"/>
        <v>0</v>
      </c>
      <c r="AS82" s="4">
        <f t="shared" si="11"/>
        <v>0</v>
      </c>
      <c r="AT82" s="4">
        <f t="shared" si="11"/>
        <v>0</v>
      </c>
      <c r="AU82" s="4">
        <f t="shared" si="11"/>
        <v>0</v>
      </c>
      <c r="AV82" s="4">
        <f t="shared" si="11"/>
        <v>0</v>
      </c>
      <c r="AW82" s="4">
        <f t="shared" si="11"/>
        <v>0</v>
      </c>
      <c r="AX82" s="4">
        <f t="shared" si="11"/>
        <v>0</v>
      </c>
      <c r="AY82" s="4">
        <f t="shared" si="11"/>
        <v>0</v>
      </c>
      <c r="AZ82" s="4">
        <f t="shared" si="11"/>
        <v>0</v>
      </c>
      <c r="BA82" s="4">
        <f t="shared" si="11"/>
        <v>0</v>
      </c>
      <c r="BB82" s="4">
        <f t="shared" si="11"/>
        <v>0</v>
      </c>
      <c r="BC82" s="4">
        <f t="shared" si="11"/>
        <v>0</v>
      </c>
      <c r="BD82" s="4">
        <f t="shared" si="11"/>
        <v>0</v>
      </c>
      <c r="BE82" s="4">
        <f t="shared" si="11"/>
        <v>0</v>
      </c>
      <c r="BF82" s="4">
        <f t="shared" si="11"/>
        <v>0</v>
      </c>
      <c r="BG82" s="4">
        <f t="shared" si="11"/>
        <v>0</v>
      </c>
      <c r="BH82" s="4">
        <f t="shared" si="11"/>
        <v>0</v>
      </c>
      <c r="BI82" s="4">
        <f t="shared" si="11"/>
        <v>0</v>
      </c>
      <c r="BJ82" s="4">
        <f t="shared" si="11"/>
        <v>0</v>
      </c>
      <c r="BK82" s="4">
        <f t="shared" si="11"/>
        <v>0</v>
      </c>
      <c r="BL82" s="4">
        <f t="shared" si="11"/>
        <v>0</v>
      </c>
    </row>
    <row r="83" spans="3:64" x14ac:dyDescent="0.2"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O83" s="4">
        <f t="shared" ref="AO83:BL83" si="12">AO73+AO76+AO79+AO82</f>
        <v>31</v>
      </c>
      <c r="AP83" s="4">
        <f t="shared" si="12"/>
        <v>4</v>
      </c>
      <c r="AQ83" s="4">
        <f t="shared" si="12"/>
        <v>1</v>
      </c>
      <c r="AR83" s="4">
        <f t="shared" si="12"/>
        <v>3</v>
      </c>
      <c r="AS83" s="4">
        <f t="shared" si="12"/>
        <v>6</v>
      </c>
      <c r="AT83" s="4">
        <f t="shared" si="12"/>
        <v>22</v>
      </c>
      <c r="AU83" s="4">
        <f t="shared" si="12"/>
        <v>5</v>
      </c>
      <c r="AV83" s="4">
        <f t="shared" si="12"/>
        <v>1</v>
      </c>
      <c r="AW83" s="4">
        <f t="shared" si="12"/>
        <v>7</v>
      </c>
      <c r="AX83" s="4">
        <f t="shared" si="12"/>
        <v>3</v>
      </c>
      <c r="AY83" s="4">
        <f t="shared" si="12"/>
        <v>0</v>
      </c>
      <c r="AZ83" s="4">
        <f t="shared" si="12"/>
        <v>6</v>
      </c>
      <c r="BA83" s="4">
        <f t="shared" si="12"/>
        <v>9</v>
      </c>
      <c r="BB83" s="4">
        <f t="shared" si="12"/>
        <v>17</v>
      </c>
      <c r="BC83" s="4">
        <f t="shared" si="12"/>
        <v>0</v>
      </c>
      <c r="BD83" s="4">
        <f t="shared" si="12"/>
        <v>0</v>
      </c>
      <c r="BE83" s="4">
        <f t="shared" si="12"/>
        <v>20</v>
      </c>
      <c r="BF83" s="4">
        <f t="shared" si="12"/>
        <v>23</v>
      </c>
      <c r="BG83" s="4">
        <f t="shared" si="12"/>
        <v>22</v>
      </c>
      <c r="BH83" s="4">
        <f t="shared" si="12"/>
        <v>21</v>
      </c>
      <c r="BI83" s="4">
        <f t="shared" si="12"/>
        <v>17</v>
      </c>
      <c r="BJ83" s="4">
        <f t="shared" si="12"/>
        <v>9</v>
      </c>
      <c r="BK83" s="4">
        <f t="shared" si="12"/>
        <v>1</v>
      </c>
      <c r="BL83" s="4">
        <f t="shared" si="12"/>
        <v>38</v>
      </c>
    </row>
    <row r="84" spans="3:64" x14ac:dyDescent="0.2"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3:64" x14ac:dyDescent="0.2"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3:64" x14ac:dyDescent="0.2"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3:64" x14ac:dyDescent="0.2"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3:64" x14ac:dyDescent="0.2"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3:64" x14ac:dyDescent="0.2"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3:64" x14ac:dyDescent="0.2"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3:64" x14ac:dyDescent="0.2"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3:64" x14ac:dyDescent="0.2"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3:64" x14ac:dyDescent="0.2"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3:64" x14ac:dyDescent="0.2"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3:64" x14ac:dyDescent="0.2"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3:64" x14ac:dyDescent="0.2"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3:26" x14ac:dyDescent="0.2"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3:26" x14ac:dyDescent="0.2"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3:26" x14ac:dyDescent="0.2"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3:26" x14ac:dyDescent="0.2"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3:26" x14ac:dyDescent="0.2"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3:26" x14ac:dyDescent="0.2"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3:26" x14ac:dyDescent="0.2"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3:26" x14ac:dyDescent="0.2"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3:26" x14ac:dyDescent="0.2"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3:26" x14ac:dyDescent="0.2"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3:26" x14ac:dyDescent="0.2"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3:26" x14ac:dyDescent="0.2"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3:26" x14ac:dyDescent="0.2"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3:26" x14ac:dyDescent="0.2"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3:26" x14ac:dyDescent="0.2"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3:26" x14ac:dyDescent="0.2"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3:26" x14ac:dyDescent="0.2"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3:26" x14ac:dyDescent="0.2"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3:26" x14ac:dyDescent="0.2"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3:26" x14ac:dyDescent="0.2"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3:26" x14ac:dyDescent="0.2"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3:26" x14ac:dyDescent="0.2"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3:26" x14ac:dyDescent="0.2"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3:26" x14ac:dyDescent="0.2"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3:26" x14ac:dyDescent="0.2"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3:26" x14ac:dyDescent="0.2"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3:26" x14ac:dyDescent="0.2"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3:26" x14ac:dyDescent="0.2"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3:26" x14ac:dyDescent="0.2"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3:26" x14ac:dyDescent="0.2"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3:26" x14ac:dyDescent="0.2"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3:26" x14ac:dyDescent="0.2"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3:26" x14ac:dyDescent="0.2"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3:26" x14ac:dyDescent="0.2"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3:26" x14ac:dyDescent="0.2"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3:26" x14ac:dyDescent="0.2"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3:26" x14ac:dyDescent="0.2"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3:26" x14ac:dyDescent="0.2"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3:26" x14ac:dyDescent="0.2"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3:26" x14ac:dyDescent="0.2"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3:26" x14ac:dyDescent="0.2"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3:26" x14ac:dyDescent="0.2"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3:26" x14ac:dyDescent="0.2"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3:26" x14ac:dyDescent="0.2"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3:26" x14ac:dyDescent="0.2"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3:26" x14ac:dyDescent="0.2"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3:26" x14ac:dyDescent="0.2"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3:26" x14ac:dyDescent="0.2"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3:26" x14ac:dyDescent="0.2"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3:26" x14ac:dyDescent="0.2"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3:26" x14ac:dyDescent="0.2"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3:26" x14ac:dyDescent="0.2"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3:26" x14ac:dyDescent="0.2"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3:26" x14ac:dyDescent="0.2"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3:26" x14ac:dyDescent="0.2"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3:26" x14ac:dyDescent="0.2"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3:26" x14ac:dyDescent="0.2"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3:26" x14ac:dyDescent="0.2"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3:26" x14ac:dyDescent="0.2"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3:26" x14ac:dyDescent="0.2"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3:26" x14ac:dyDescent="0.2"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3:26" x14ac:dyDescent="0.2"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3:26" x14ac:dyDescent="0.2"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3:26" x14ac:dyDescent="0.2"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</sheetData>
  <sortState ref="A2:BL136">
    <sortCondition ref="AA2:AA136"/>
    <sortCondition ref="O2:O136"/>
  </sortState>
  <customSheetViews>
    <customSheetView guid="{3E3401AF-8459-8641-BD70-AD04F80E86ED}">
      <pane ySplit="1" topLeftCell="A2" activePane="bottomLeft" state="frozenSplit"/>
      <selection pane="bottomLeft" activeCell="B1" sqref="B1:B1048576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1"/>
  <sheetViews>
    <sheetView zoomScale="113" zoomScaleNormal="113" zoomScalePageLayoutView="113" workbookViewId="0">
      <pane ySplit="1" topLeftCell="A3" activePane="bottomLeft" state="frozenSplit"/>
      <selection pane="bottomLeft" activeCell="A10" sqref="A10:XFD10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8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8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8" s="24" customFormat="1" x14ac:dyDescent="0.2">
      <c r="A3" s="15" t="s">
        <v>1394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8" s="24" customFormat="1" x14ac:dyDescent="0.2">
      <c r="A4" s="15" t="s">
        <v>1394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8" s="24" customFormat="1" x14ac:dyDescent="0.2">
      <c r="A5" s="15" t="s">
        <v>1394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8" s="24" customFormat="1" x14ac:dyDescent="0.2">
      <c r="A6" s="3" t="str">
        <f>D6&amp;"__wt"</f>
        <v>cxcr4_human__wt</v>
      </c>
      <c r="B6" s="3" t="str">
        <f>VLOOKUP(D6,Classification!A:D,3,FALSE)</f>
        <v>Protein</v>
      </c>
      <c r="C6" s="3" t="str">
        <f>VLOOKUP(D6,Classification!A:D,4,FALSE)</f>
        <v>Chemokine</v>
      </c>
      <c r="D6" s="3" t="s">
        <v>1172</v>
      </c>
      <c r="E6" s="3">
        <f>VLOOKUP($D6,'SegEnds_NonXtal_Prot#'!$A:$AZ,30,FALSE)-VLOOKUP($D6,'SegEnds_NonXtal_Prot#'!$A:$AZ,29,FALSE)</f>
        <v>5</v>
      </c>
      <c r="F6" s="1">
        <f>VLOOKUP($D6,'SegEnds_NonXtal_Prot#'!$A:$AZ,31,FALSE)-VLOOKUP($D6,'SegEnds_NonXtal_Prot#'!$A:$AZ,28,FALSE)</f>
        <v>43</v>
      </c>
      <c r="G6" s="3">
        <f>50+VLOOKUP($A6,'SegEnds_Xtal_Prot#'!$A:$AY,39,FALSE)-VLOOKUP($D6,'SegEnds_NonXtal_Prot#'!$A:$AZ,28,FALSE)</f>
        <v>68</v>
      </c>
      <c r="H6" s="3">
        <f>50+VLOOKUP($A6,'SegEnds_Xtal_Prot#'!$A:$AY,41,FALSE)-VLOOKUP($D6,'SegEnds_NonXtal_Prot#'!$A:$AZ,31,FALSE)</f>
        <v>30</v>
      </c>
      <c r="I6" s="8"/>
      <c r="J6" s="8"/>
      <c r="K6" s="8"/>
      <c r="L6" s="8"/>
      <c r="M6" s="8"/>
      <c r="N6" s="8"/>
    </row>
    <row r="7" spans="1:18" s="24" customFormat="1" ht="17" thickBot="1" x14ac:dyDescent="0.25">
      <c r="A7" s="3" t="str">
        <f>D7&amp;"__wt"</f>
        <v>c5ar1_human__wt</v>
      </c>
      <c r="B7" s="3" t="str">
        <f>VLOOKUP(D7,Classification!A:D,3,FALSE)</f>
        <v>Peptide</v>
      </c>
      <c r="C7" s="3" t="str">
        <f>VLOOKUP(D7,Classification!A:D,4,FALSE)</f>
        <v>Complementpeptide</v>
      </c>
      <c r="D7" s="3" t="s">
        <v>165</v>
      </c>
      <c r="E7" s="3">
        <f>VLOOKUP($D7,'SegEnds_NonXtal_Prot#'!$A:$AZ,30,FALSE)-VLOOKUP($D7,'SegEnds_NonXtal_Prot#'!$A:$AZ,29,FALSE)</f>
        <v>6</v>
      </c>
      <c r="F7" s="1">
        <f>VLOOKUP($D7,'SegEnds_NonXtal_Prot#'!$A:$AZ,31,FALSE)-VLOOKUP($D7,'SegEnds_NonXtal_Prot#'!$A:$AZ,28,FALSE)</f>
        <v>43</v>
      </c>
      <c r="G7" s="3">
        <f>50+VLOOKUP($A7,'SegEnds_Xtal_Prot#'!$A:$AY,39,FALSE)-VLOOKUP($D7,'SegEnds_NonXtal_Prot#'!$A:$AZ,28,FALSE)</f>
        <v>68</v>
      </c>
      <c r="H7" s="3">
        <f>50+VLOOKUP($A7,'SegEnds_Xtal_Prot#'!$A:$AY,41,FALSE)-VLOOKUP($D7,'SegEnds_NonXtal_Prot#'!$A:$AZ,31,FALSE)</f>
        <v>31</v>
      </c>
      <c r="I7" s="8"/>
      <c r="J7" s="8"/>
      <c r="K7" s="8"/>
      <c r="L7" s="8"/>
      <c r="M7" s="8"/>
      <c r="N7" s="8"/>
    </row>
    <row r="8" spans="1:18" ht="17" thickBot="1" x14ac:dyDescent="0.25">
      <c r="A8" s="3" t="str">
        <f t="shared" ref="A8:A23" si="0">D8&amp;"__wt"</f>
        <v>ccr9_human__wt</v>
      </c>
      <c r="B8" s="3" t="str">
        <f>VLOOKUP(D8,Classification!A:D,3,FALSE)</f>
        <v>Protein</v>
      </c>
      <c r="C8" s="3" t="str">
        <f>VLOOKUP(D8,Classification!A:D,4,FALSE)</f>
        <v>Chemokine</v>
      </c>
      <c r="D8" s="3" t="s">
        <v>177</v>
      </c>
      <c r="E8" s="3">
        <f>VLOOKUP($D8,'SegEnds_NonXtal_Prot#'!$A:$AZ,30,FALSE)-VLOOKUP($D8,'SegEnds_NonXtal_Prot#'!$A:$AZ,29,FALSE)</f>
        <v>5</v>
      </c>
      <c r="F8" s="80">
        <f>VLOOKUP($D8,'SegEnds_NonXtal_Prot#'!$A:$AZ,31,FALSE)-VLOOKUP($D8,'SegEnds_NonXtal_Prot#'!$A:$AZ,28,FALSE)</f>
        <v>43</v>
      </c>
      <c r="G8" s="81">
        <f>50+VLOOKUP($A8,'SegEnds_Xtal_Prot#'!$A:$AY,39,FALSE)-VLOOKUP($D8,'SegEnds_NonXtal_Prot#'!$A:$AZ,28,FALSE)</f>
        <v>68</v>
      </c>
      <c r="H8" s="82">
        <f>50+VLOOKUP($A8,'SegEnds_Xtal_Prot#'!$A:$AY,41,FALSE)-VLOOKUP($D8,'SegEnds_NonXtal_Prot#'!$A:$AZ,31,FALSE)</f>
        <v>28</v>
      </c>
      <c r="I8" s="3"/>
      <c r="J8" s="3"/>
      <c r="K8" s="1"/>
      <c r="L8" s="1"/>
      <c r="M8" s="1"/>
      <c r="N8" s="1"/>
      <c r="Q8" s="8"/>
      <c r="R8" s="8"/>
    </row>
    <row r="9" spans="1:18" ht="17" thickBot="1" x14ac:dyDescent="0.25">
      <c r="A9" s="3" t="str">
        <f t="shared" si="0"/>
        <v>us28_hcmva__wt</v>
      </c>
      <c r="B9" s="3" t="str">
        <f>VLOOKUP(D9,Classification!A:D,3,FALSE)</f>
        <v>Peptide</v>
      </c>
      <c r="C9" s="3" t="str">
        <f>VLOOKUP(D9,Classification!A:D,4,FALSE)</f>
        <v>Chemokine</v>
      </c>
      <c r="D9" s="3" t="s">
        <v>924</v>
      </c>
      <c r="E9" s="3">
        <f>VLOOKUP($D9,'SegEnds_NonXtal_Prot#'!$A:$AZ,30,FALSE)-VLOOKUP($D9,'SegEnds_NonXtal_Prot#'!$A:$AZ,29,FALSE)</f>
        <v>4</v>
      </c>
      <c r="F9" s="1">
        <f>VLOOKUP($D9,'SegEnds_NonXtal_Prot#'!$A:$AZ,31,FALSE)-VLOOKUP($D9,'SegEnds_NonXtal_Prot#'!$A:$AZ,28,FALSE)</f>
        <v>43</v>
      </c>
      <c r="G9" s="3">
        <f>50+VLOOKUP($A9,'SegEnds_Xtal_Prot#'!$A:$AY,39,FALSE)-VLOOKUP($D9,'SegEnds_NonXtal_Prot#'!$A:$AZ,28,FALSE)</f>
        <v>68</v>
      </c>
      <c r="H9" s="3">
        <f>50+VLOOKUP($A9,'SegEnds_Xtal_Prot#'!$A:$AY,41,FALSE)-VLOOKUP($D9,'SegEnds_NonXtal_Prot#'!$A:$AZ,31,FALSE)</f>
        <v>29</v>
      </c>
      <c r="I9" s="3">
        <f>G9</f>
        <v>68</v>
      </c>
      <c r="J9" s="3">
        <f>H9</f>
        <v>29</v>
      </c>
      <c r="K9" s="1" t="s">
        <v>1297</v>
      </c>
      <c r="L9" s="1"/>
      <c r="M9" s="1"/>
      <c r="N9" s="1"/>
    </row>
    <row r="10" spans="1:18" ht="17" thickBot="1" x14ac:dyDescent="0.25">
      <c r="A10" s="3" t="str">
        <f>D10&amp;"__wt"</f>
        <v>ccr5_human__wt</v>
      </c>
      <c r="B10" s="3" t="str">
        <f>VLOOKUP(D10,Classification!A:D,3,FALSE)</f>
        <v>Protein</v>
      </c>
      <c r="C10" s="3" t="str">
        <f>VLOOKUP(D10,Classification!A:D,4,FALSE)</f>
        <v>Chemokine</v>
      </c>
      <c r="D10" s="3" t="s">
        <v>173</v>
      </c>
      <c r="E10" s="3">
        <f>VLOOKUP($D10,'SegEnds_NonXtal_Prot#'!$A:$AZ,30,FALSE)-VLOOKUP($D10,'SegEnds_NonXtal_Prot#'!$A:$AZ,29,FALSE)</f>
        <v>4</v>
      </c>
      <c r="F10" s="80">
        <f>VLOOKUP($D10,'SegEnds_NonXtal_Prot#'!$A:$AZ,31,FALSE)-VLOOKUP($D10,'SegEnds_NonXtal_Prot#'!$A:$AZ,28,FALSE)</f>
        <v>44</v>
      </c>
      <c r="G10" s="81">
        <f>50+VLOOKUP($A10,'SegEnds_Xtal_Prot#'!$A:$AY,39,FALSE)-VLOOKUP($D10,'SegEnds_NonXtal_Prot#'!$A:$AZ,28,FALSE)</f>
        <v>68</v>
      </c>
      <c r="H10" s="82">
        <f>50+VLOOKUP($A10,'SegEnds_Xtal_Prot#'!$A:$AY,41,FALSE)-VLOOKUP($D10,'SegEnds_NonXtal_Prot#'!$A:$AZ,31,FALSE)</f>
        <v>28</v>
      </c>
      <c r="I10" s="3"/>
      <c r="J10" s="3"/>
      <c r="K10" s="1"/>
      <c r="L10" s="1"/>
      <c r="M10" s="1"/>
      <c r="N10" s="1"/>
    </row>
    <row r="11" spans="1:18" x14ac:dyDescent="0.2">
      <c r="A11" s="3" t="str">
        <f t="shared" si="0"/>
        <v>ffar1_human__wt</v>
      </c>
      <c r="B11" s="3" t="str">
        <f>VLOOKUP(D11,Classification!A:D,3,FALSE)</f>
        <v>Lipid</v>
      </c>
      <c r="C11" s="3" t="str">
        <f>VLOOKUP(D11,Classification!A:D,4,FALSE)</f>
        <v>Freefattyacid</v>
      </c>
      <c r="D11" s="3" t="s">
        <v>1173</v>
      </c>
      <c r="E11" s="3">
        <f>VLOOKUP($D11,'SegEnds_NonXtal_Prot#'!$A:$AZ,30,FALSE)-VLOOKUP($D11,'SegEnds_NonXtal_Prot#'!$A:$AZ,29,FALSE)</f>
        <v>6</v>
      </c>
      <c r="F11" s="1">
        <f>VLOOKUP($D11,'SegEnds_NonXtal_Prot#'!$A:$AZ,31,FALSE)-VLOOKUP($D11,'SegEnds_NonXtal_Prot#'!$A:$AZ,28,FALSE)</f>
        <v>45</v>
      </c>
      <c r="G11" s="3">
        <f>50+VLOOKUP($A11,'SegEnds_Xtal_Prot#'!$A:$AY,39,FALSE)-VLOOKUP($D11,'SegEnds_NonXtal_Prot#'!$A:$AZ,28,FALSE)</f>
        <v>67</v>
      </c>
      <c r="H11" s="3">
        <f>50+VLOOKUP($A11,'SegEnds_Xtal_Prot#'!$A:$AY,41,FALSE)-VLOOKUP($D11,'SegEnds_NonXtal_Prot#'!$A:$AZ,31,FALSE)</f>
        <v>28</v>
      </c>
      <c r="I11" s="3"/>
      <c r="J11" s="3"/>
      <c r="K11" s="1"/>
      <c r="L11" s="1"/>
      <c r="M11" s="1"/>
      <c r="N11" s="1"/>
    </row>
    <row r="12" spans="1:18" x14ac:dyDescent="0.2">
      <c r="A12" s="3" t="str">
        <f t="shared" si="0"/>
        <v>par1_human__wt</v>
      </c>
      <c r="B12" s="3" t="str">
        <f>VLOOKUP(D12,Classification!A:D,3,FALSE)</f>
        <v>Peptide</v>
      </c>
      <c r="C12" s="3" t="str">
        <f>VLOOKUP(D12,Classification!A:D,4,FALSE)</f>
        <v>Proteinase-activated</v>
      </c>
      <c r="D12" s="3" t="s">
        <v>355</v>
      </c>
      <c r="E12" s="3">
        <f>VLOOKUP($D12,'SegEnds_NonXtal_Prot#'!$A:$AZ,30,FALSE)-VLOOKUP($D12,'SegEnds_NonXtal_Prot#'!$A:$AZ,29,FALSE)</f>
        <v>5</v>
      </c>
      <c r="F12" s="1">
        <f>VLOOKUP($D12,'SegEnds_NonXtal_Prot#'!$A:$AZ,31,FALSE)-VLOOKUP($D12,'SegEnds_NonXtal_Prot#'!$A:$AZ,28,FALSE)</f>
        <v>46</v>
      </c>
      <c r="G12" s="3">
        <f>50+VLOOKUP($A12,'SegEnds_Xtal_Prot#'!$A:$AY,39,FALSE)-VLOOKUP($D12,'SegEnds_NonXtal_Prot#'!$A:$AZ,28,FALSE)</f>
        <v>67</v>
      </c>
      <c r="H12" s="3">
        <f>50+VLOOKUP($A12,'SegEnds_Xtal_Prot#'!$A:$AY,41,FALSE)-VLOOKUP($D12,'SegEnds_NonXtal_Prot#'!$A:$AZ,31,FALSE)</f>
        <v>26</v>
      </c>
      <c r="I12" s="3"/>
      <c r="J12" s="3"/>
      <c r="K12" s="1"/>
      <c r="L12" s="1"/>
      <c r="M12" s="1"/>
      <c r="N12" s="1"/>
    </row>
    <row r="13" spans="1:18" x14ac:dyDescent="0.2">
      <c r="A13" s="3" t="str">
        <f t="shared" si="0"/>
        <v>p2ry1_human__wt</v>
      </c>
      <c r="B13" s="3" t="str">
        <f>VLOOKUP(D13,Classification!A:D,3,FALSE)</f>
        <v>Nucleotide</v>
      </c>
      <c r="C13" s="3" t="str">
        <f>VLOOKUP(D13,Classification!A:D,4,FALSE)</f>
        <v>P2Y</v>
      </c>
      <c r="D13" s="3" t="s">
        <v>345</v>
      </c>
      <c r="E13" s="3">
        <f>VLOOKUP($D13,'SegEnds_NonXtal_Prot#'!$A:$AZ,30,FALSE)-VLOOKUP($D13,'SegEnds_NonXtal_Prot#'!$A:$AZ,29,FALSE)</f>
        <v>6</v>
      </c>
      <c r="F13" s="1">
        <f>VLOOKUP($D13,'SegEnds_NonXtal_Prot#'!$A:$AZ,31,FALSE)-VLOOKUP($D13,'SegEnds_NonXtal_Prot#'!$A:$AZ,28,FALSE)</f>
        <v>46</v>
      </c>
      <c r="G13" s="3">
        <f>50+VLOOKUP($A13,'SegEnds_Xtal_Prot#'!$A:$AY,39,FALSE)-VLOOKUP($D13,'SegEnds_NonXtal_Prot#'!$A:$AZ,28,FALSE)</f>
        <v>68</v>
      </c>
      <c r="H13" s="3">
        <f>50+VLOOKUP($A13,'SegEnds_Xtal_Prot#'!$A:$AY,41,FALSE)-VLOOKUP($D13,'SegEnds_NonXtal_Prot#'!$A:$AZ,31,FALSE)</f>
        <v>28</v>
      </c>
      <c r="I13" s="3"/>
      <c r="J13" s="3"/>
      <c r="K13" s="1"/>
      <c r="L13" s="1"/>
      <c r="M13" s="1"/>
      <c r="N13" s="1"/>
    </row>
    <row r="14" spans="1:18" x14ac:dyDescent="0.2">
      <c r="A14" s="9" t="str">
        <f>D14&amp;"__wt"</f>
        <v>agtr2_human__wt</v>
      </c>
      <c r="B14" s="3" t="str">
        <f>VLOOKUP(D14,Classification!A:D,3,FALSE)</f>
        <v>Peptide</v>
      </c>
      <c r="C14" s="3" t="str">
        <f>VLOOKUP(D14,Classification!A:D,4,FALSE)</f>
        <v>Angiotensin</v>
      </c>
      <c r="D14" s="3" t="s">
        <v>159</v>
      </c>
      <c r="E14" s="3">
        <f>VLOOKUP($D14,'SegEnds_NonXtal_Prot#'!$A:$AZ,30,FALSE)-VLOOKUP($D14,'SegEnds_NonXtal_Prot#'!$A:$AZ,29,FALSE)</f>
        <v>4</v>
      </c>
      <c r="F14" s="1">
        <f>VLOOKUP($D14,'SegEnds_NonXtal_Prot#'!$A:$AZ,31,FALSE)-VLOOKUP($D14,'SegEnds_NonXtal_Prot#'!$A:$AZ,28,FALSE)</f>
        <v>48</v>
      </c>
      <c r="G14" s="3">
        <f>50+VLOOKUP($A14,'SegEnds_Xtal_Prot#'!$A:$AY,39,FALSE)-VLOOKUP($D14,'SegEnds_NonXtal_Prot#'!$A:$AZ,28,FALSE)</f>
        <v>68</v>
      </c>
      <c r="H14" s="3">
        <f>50+VLOOKUP($A14,'SegEnds_Xtal_Prot#'!$A:$AY,41,FALSE)-VLOOKUP($D14,'SegEnds_NonXtal_Prot#'!$A:$AZ,31,FALSE)</f>
        <v>24</v>
      </c>
      <c r="I14" s="3"/>
      <c r="J14" s="3"/>
      <c r="K14" s="1"/>
      <c r="L14" s="1"/>
      <c r="M14" s="1"/>
      <c r="N14" s="1"/>
    </row>
    <row r="15" spans="1:18" x14ac:dyDescent="0.2">
      <c r="A15" s="3" t="str">
        <f t="shared" si="0"/>
        <v>agtr1_human__wt</v>
      </c>
      <c r="B15" s="3" t="str">
        <f>VLOOKUP(D15,Classification!A:D,3,FALSE)</f>
        <v>Peptide</v>
      </c>
      <c r="C15" s="3" t="str">
        <f>VLOOKUP(D15,Classification!A:D,4,FALSE)</f>
        <v>Angiotensin</v>
      </c>
      <c r="D15" s="3" t="s">
        <v>158</v>
      </c>
      <c r="E15" s="3">
        <f>VLOOKUP($D15,'SegEnds_NonXtal_Prot#'!$A:$AZ,30,FALSE)-VLOOKUP($D15,'SegEnds_NonXtal_Prot#'!$A:$AZ,29,FALSE)</f>
        <v>4</v>
      </c>
      <c r="F15" s="1">
        <f>VLOOKUP($D15,'SegEnds_NonXtal_Prot#'!$A:$AZ,31,FALSE)-VLOOKUP($D15,'SegEnds_NonXtal_Prot#'!$A:$AZ,28,FALSE)</f>
        <v>48</v>
      </c>
      <c r="G15" s="3">
        <f>50+VLOOKUP($A15,'SegEnds_Xtal_Prot#'!$A:$AY,39,FALSE)-VLOOKUP($D15,'SegEnds_NonXtal_Prot#'!$A:$AZ,28,FALSE)</f>
        <v>68</v>
      </c>
      <c r="H15" s="3">
        <f>50+VLOOKUP($A15,'SegEnds_Xtal_Prot#'!$A:$AY,41,FALSE)-VLOOKUP($D15,'SegEnds_NonXtal_Prot#'!$A:$AZ,31,FALSE)</f>
        <v>28</v>
      </c>
      <c r="I15" s="3"/>
      <c r="J15" s="3"/>
      <c r="K15" s="1"/>
      <c r="L15" s="1"/>
      <c r="M15" s="1"/>
      <c r="N15" s="1"/>
    </row>
    <row r="16" spans="1:18" x14ac:dyDescent="0.2">
      <c r="A16" s="3" t="str">
        <f t="shared" si="0"/>
        <v>p2y12_human__wt</v>
      </c>
      <c r="B16" s="3" t="str">
        <f>VLOOKUP(D16,Classification!A:D,3,FALSE)</f>
        <v>Nucleotide</v>
      </c>
      <c r="C16" s="3" t="str">
        <f>VLOOKUP(D16,Classification!A:D,4,FALSE)</f>
        <v>P2Y</v>
      </c>
      <c r="D16" s="9" t="s">
        <v>352</v>
      </c>
      <c r="E16" s="3">
        <f>VLOOKUP($D16,'SegEnds_NonXtal_Prot#'!$A:$AZ,30,FALSE)-VLOOKUP($D16,'SegEnds_NonXtal_Prot#'!$A:$AZ,29,FALSE)</f>
        <v>7</v>
      </c>
      <c r="F16" s="1">
        <f>VLOOKUP($D16,'SegEnds_NonXtal_Prot#'!$A:$AZ,31,FALSE)-VLOOKUP($D16,'SegEnds_NonXtal_Prot#'!$A:$AZ,28,FALSE)</f>
        <v>50</v>
      </c>
      <c r="G16" s="3">
        <f>50+VLOOKUP($A16,'SegEnds_Xtal_Prot#'!$A:$AY,39,FALSE)-VLOOKUP($D16,'SegEnds_NonXtal_Prot#'!$A:$AZ,28,FALSE)</f>
        <v>72</v>
      </c>
      <c r="H16" s="3">
        <f>50+VLOOKUP($A16,'SegEnds_Xtal_Prot#'!$A:$AY,41,FALSE)-VLOOKUP($D16,'SegEnds_NonXtal_Prot#'!$A:$AZ,31,FALSE)</f>
        <v>29</v>
      </c>
      <c r="I16" s="3"/>
      <c r="J16" s="3"/>
      <c r="K16" s="1"/>
      <c r="L16" s="1"/>
      <c r="M16" s="1" t="s">
        <v>1308</v>
      </c>
      <c r="N16" s="1"/>
    </row>
    <row r="17" spans="1:14" x14ac:dyDescent="0.2">
      <c r="A17" s="3" t="str">
        <f t="shared" si="0"/>
        <v>oprd_human__wt</v>
      </c>
      <c r="B17" s="3" t="str">
        <f>VLOOKUP(D17,Classification!A:D,3,FALSE)</f>
        <v>Peptide</v>
      </c>
      <c r="C17" s="3" t="str">
        <f>VLOOKUP(D17,Classification!A:D,4,FALSE)</f>
        <v>Opioid</v>
      </c>
      <c r="D17" s="3" t="s">
        <v>335</v>
      </c>
      <c r="E17" s="3">
        <f>VLOOKUP($D17,'SegEnds_NonXtal_Prot#'!$A:$AZ,30,FALSE)-VLOOKUP($D17,'SegEnds_NonXtal_Prot#'!$A:$AZ,29,FALSE)</f>
        <v>6</v>
      </c>
      <c r="F17" s="1">
        <f>VLOOKUP($D17,'SegEnds_NonXtal_Prot#'!$A:$AZ,31,FALSE)-VLOOKUP($D17,'SegEnds_NonXtal_Prot#'!$A:$AZ,28,FALSE)</f>
        <v>51</v>
      </c>
      <c r="G17" s="3">
        <f>50+VLOOKUP($A17,'SegEnds_Xtal_Prot#'!$A:$AY,39,FALSE)-VLOOKUP($D17,'SegEnds_NonXtal_Prot#'!$A:$AZ,28,FALSE)</f>
        <v>68</v>
      </c>
      <c r="H17" s="3">
        <f>50+VLOOKUP($A17,'SegEnds_Xtal_Prot#'!$A:$AY,41,FALSE)-VLOOKUP($D17,'SegEnds_NonXtal_Prot#'!$A:$AZ,31,FALSE)</f>
        <v>23</v>
      </c>
      <c r="I17" s="3"/>
      <c r="J17" s="3"/>
      <c r="K17" s="1"/>
      <c r="L17" s="1"/>
      <c r="M17" s="1"/>
      <c r="N17" s="1"/>
    </row>
    <row r="18" spans="1:14" x14ac:dyDescent="0.2">
      <c r="A18" s="3" t="str">
        <f t="shared" si="0"/>
        <v>oprd_mouse__wt</v>
      </c>
      <c r="B18" s="3" t="str">
        <f>VLOOKUP(D18,Classification!A:D,3,FALSE)</f>
        <v>Peptide</v>
      </c>
      <c r="C18" s="3" t="str">
        <f>VLOOKUP(D18,Classification!A:D,4,FALSE)</f>
        <v>Opioid</v>
      </c>
      <c r="D18" s="3" t="s">
        <v>916</v>
      </c>
      <c r="E18" s="3">
        <f>VLOOKUP($D18,'SegEnds_NonXtal_Prot#'!$A:$AZ,30,FALSE)-VLOOKUP($D18,'SegEnds_NonXtal_Prot#'!$A:$AZ,29,FALSE)</f>
        <v>6</v>
      </c>
      <c r="F18" s="1">
        <f>VLOOKUP($D18,'SegEnds_NonXtal_Prot#'!$A:$AZ,31,FALSE)-VLOOKUP($D18,'SegEnds_NonXtal_Prot#'!$A:$AZ,28,FALSE)</f>
        <v>51</v>
      </c>
      <c r="G18" s="3">
        <f>50+VLOOKUP($A18,'SegEnds_Xtal_Prot#'!$A:$AY,39,FALSE)-VLOOKUP($D18,'SegEnds_NonXtal_Prot#'!$A:$AZ,28,FALSE)</f>
        <v>68</v>
      </c>
      <c r="H18" s="3">
        <f>50+VLOOKUP($A18,'SegEnds_Xtal_Prot#'!$A:$AY,41,FALSE)-VLOOKUP($D18,'SegEnds_NonXtal_Prot#'!$A:$AZ,31,FALSE)</f>
        <v>23</v>
      </c>
      <c r="I18" s="3"/>
      <c r="J18" s="3"/>
      <c r="K18" s="1"/>
      <c r="L18" s="1"/>
      <c r="M18" s="1"/>
      <c r="N18" s="1"/>
    </row>
    <row r="19" spans="1:14" x14ac:dyDescent="0.2">
      <c r="A19" s="3" t="str">
        <f t="shared" si="0"/>
        <v>oprk_human__wt</v>
      </c>
      <c r="B19" s="3" t="str">
        <f>VLOOKUP(D19,Classification!A:D,3,FALSE)</f>
        <v>Peptide</v>
      </c>
      <c r="C19" s="3" t="str">
        <f>VLOOKUP(D19,Classification!A:D,4,FALSE)</f>
        <v>Opioid</v>
      </c>
      <c r="D19" s="3" t="s">
        <v>336</v>
      </c>
      <c r="E19" s="3">
        <f>VLOOKUP($D19,'SegEnds_NonXtal_Prot#'!$A:$AZ,30,FALSE)-VLOOKUP($D19,'SegEnds_NonXtal_Prot#'!$A:$AZ,29,FALSE)</f>
        <v>6</v>
      </c>
      <c r="F19" s="1">
        <f>VLOOKUP($D19,'SegEnds_NonXtal_Prot#'!$A:$AZ,31,FALSE)-VLOOKUP($D19,'SegEnds_NonXtal_Prot#'!$A:$AZ,28,FALSE)</f>
        <v>51</v>
      </c>
      <c r="G19" s="3">
        <f>50+VLOOKUP($A19,'SegEnds_Xtal_Prot#'!$A:$AY,39,FALSE)-VLOOKUP($D19,'SegEnds_NonXtal_Prot#'!$A:$AZ,28,FALSE)</f>
        <v>68</v>
      </c>
      <c r="H19" s="3">
        <f>50+VLOOKUP($A19,'SegEnds_Xtal_Prot#'!$A:$AY,41,FALSE)-VLOOKUP($D19,'SegEnds_NonXtal_Prot#'!$A:$AZ,31,FALSE)</f>
        <v>23</v>
      </c>
      <c r="I19" s="3"/>
      <c r="J19" s="3"/>
      <c r="K19" s="1"/>
      <c r="L19" s="1"/>
      <c r="M19" s="1"/>
      <c r="N19" s="1"/>
    </row>
    <row r="20" spans="1:14" x14ac:dyDescent="0.2">
      <c r="A20" s="3" t="str">
        <f t="shared" si="0"/>
        <v>oprm_mouse__wt</v>
      </c>
      <c r="B20" s="3" t="str">
        <f>VLOOKUP(D20,Classification!A:D,3,FALSE)</f>
        <v>Peptide</v>
      </c>
      <c r="C20" s="3" t="str">
        <f>VLOOKUP(D20,Classification!A:D,4,FALSE)</f>
        <v>Opioid</v>
      </c>
      <c r="D20" s="3" t="s">
        <v>918</v>
      </c>
      <c r="E20" s="3">
        <f>VLOOKUP($D20,'SegEnds_NonXtal_Prot#'!$A:$AZ,30,FALSE)-VLOOKUP($D20,'SegEnds_NonXtal_Prot#'!$A:$AZ,29,FALSE)</f>
        <v>6</v>
      </c>
      <c r="F20" s="1">
        <f>VLOOKUP($D20,'SegEnds_NonXtal_Prot#'!$A:$AZ,31,FALSE)-VLOOKUP($D20,'SegEnds_NonXtal_Prot#'!$A:$AZ,28,FALSE)</f>
        <v>51</v>
      </c>
      <c r="G20" s="3">
        <f>50+VLOOKUP($A20,'SegEnds_Xtal_Prot#'!$A:$AY,39,FALSE)-VLOOKUP($D20,'SegEnds_NonXtal_Prot#'!$A:$AZ,28,FALSE)</f>
        <v>68</v>
      </c>
      <c r="H20" s="3">
        <f>50+VLOOKUP($A20,'SegEnds_Xtal_Prot#'!$A:$AY,41,FALSE)-VLOOKUP($D20,'SegEnds_NonXtal_Prot#'!$A:$AZ,31,FALSE)</f>
        <v>23</v>
      </c>
      <c r="I20" s="3">
        <f>G20</f>
        <v>68</v>
      </c>
      <c r="J20" s="3">
        <f>H20</f>
        <v>23</v>
      </c>
      <c r="K20" s="1" t="s">
        <v>1297</v>
      </c>
      <c r="L20" s="1"/>
      <c r="M20" s="1"/>
      <c r="N20" s="1"/>
    </row>
    <row r="21" spans="1:14" x14ac:dyDescent="0.2">
      <c r="A21" s="3" t="str">
        <f t="shared" si="0"/>
        <v>oprx_human__wt</v>
      </c>
      <c r="B21" s="3" t="str">
        <f>VLOOKUP(D21,Classification!A:D,3,FALSE)</f>
        <v>Peptide</v>
      </c>
      <c r="C21" s="3" t="str">
        <f>VLOOKUP(D21,Classification!A:D,4,FALSE)</f>
        <v>Opioid</v>
      </c>
      <c r="D21" s="3" t="s">
        <v>1174</v>
      </c>
      <c r="E21" s="3">
        <f>VLOOKUP($D21,'SegEnds_NonXtal_Prot#'!$A:$AZ,30,FALSE)-VLOOKUP($D21,'SegEnds_NonXtal_Prot#'!$A:$AZ,29,FALSE)</f>
        <v>6</v>
      </c>
      <c r="F21" s="1">
        <f>VLOOKUP($D21,'SegEnds_NonXtal_Prot#'!$A:$AZ,31,FALSE)-VLOOKUP($D21,'SegEnds_NonXtal_Prot#'!$A:$AZ,28,FALSE)</f>
        <v>51</v>
      </c>
      <c r="G21" s="3">
        <f>50+VLOOKUP($A21,'SegEnds_Xtal_Prot#'!$A:$AY,39,FALSE)-VLOOKUP($D21,'SegEnds_NonXtal_Prot#'!$A:$AZ,28,FALSE)</f>
        <v>68</v>
      </c>
      <c r="H21" s="3">
        <f>50+VLOOKUP($A21,'SegEnds_Xtal_Prot#'!$A:$AY,41,FALSE)-VLOOKUP($D21,'SegEnds_NonXtal_Prot#'!$A:$AZ,31,FALSE)</f>
        <v>23</v>
      </c>
      <c r="I21" s="3"/>
      <c r="J21" s="3"/>
      <c r="K21" s="1"/>
      <c r="L21" s="1"/>
      <c r="M21" s="1"/>
      <c r="N21" s="1"/>
    </row>
    <row r="22" spans="1:14" x14ac:dyDescent="0.2">
      <c r="A22" s="3" t="str">
        <f t="shared" si="0"/>
        <v>opsd_bovin__wt</v>
      </c>
      <c r="B22" s="3" t="str">
        <f>VLOOKUP(D22,Classification!A:D,3,FALSE)</f>
        <v>Sensory</v>
      </c>
      <c r="C22" s="3" t="str">
        <f>VLOOKUP(D22,Classification!A:D,4,FALSE)</f>
        <v>Opsins</v>
      </c>
      <c r="D22" s="3" t="s">
        <v>920</v>
      </c>
      <c r="E22" s="3">
        <f>VLOOKUP($D22,'SegEnds_NonXtal_Prot#'!$A:$AZ,30,FALSE)-VLOOKUP($D22,'SegEnds_NonXtal_Prot#'!$A:$AZ,29,FALSE)</f>
        <v>4</v>
      </c>
      <c r="F22" s="1">
        <f>VLOOKUP($D22,'SegEnds_NonXtal_Prot#'!$A:$AZ,31,FALSE)-VLOOKUP($D22,'SegEnds_NonXtal_Prot#'!$A:$AZ,28,FALSE)</f>
        <v>52</v>
      </c>
      <c r="G22" s="3">
        <f>50+VLOOKUP($A22,'SegEnds_Xtal_Prot#'!$A:$AY,39,FALSE)-VLOOKUP($D22,'SegEnds_NonXtal_Prot#'!$A:$AZ,28,FALSE)</f>
        <v>72</v>
      </c>
      <c r="H22" s="3">
        <f>50+VLOOKUP($A22,'SegEnds_Xtal_Prot#'!$A:$AY,41,FALSE)-VLOOKUP($D22,'SegEnds_NonXtal_Prot#'!$A:$AZ,31,FALSE)</f>
        <v>24</v>
      </c>
      <c r="I22" s="3"/>
      <c r="J22" s="3"/>
      <c r="K22" s="1" t="s">
        <v>1297</v>
      </c>
      <c r="L22" s="1"/>
      <c r="M22" s="1"/>
      <c r="N22" s="1"/>
    </row>
    <row r="23" spans="1:14" customFormat="1" x14ac:dyDescent="0.2">
      <c r="A23" s="3" t="str">
        <f t="shared" si="0"/>
        <v>opsd_human__wt</v>
      </c>
      <c r="B23" s="3" t="str">
        <f>VLOOKUP(D23,Classification!A:D,3,FALSE)</f>
        <v>Sensory</v>
      </c>
      <c r="C23" s="3" t="str">
        <f>VLOOKUP(D23,Classification!A:D,4,FALSE)</f>
        <v>Opsins</v>
      </c>
      <c r="D23" s="3" t="s">
        <v>339</v>
      </c>
      <c r="E23" s="3">
        <f>VLOOKUP($D23,'SegEnds_NonXtal_Prot#'!$A:$AZ,30,FALSE)-VLOOKUP($D23,'SegEnds_NonXtal_Prot#'!$A:$AZ,29,FALSE)</f>
        <v>4</v>
      </c>
      <c r="F23" s="1">
        <f>VLOOKUP($D23,'SegEnds_NonXtal_Prot#'!$A:$AZ,31,FALSE)-VLOOKUP($D23,'SegEnds_NonXtal_Prot#'!$A:$AZ,28,FALSE)</f>
        <v>52</v>
      </c>
      <c r="G23" s="3">
        <f>50+VLOOKUP($A23,'SegEnds_Xtal_Prot#'!$A:$AY,39,FALSE)-VLOOKUP($D23,'SegEnds_NonXtal_Prot#'!$A:$AZ,28,FALSE)</f>
        <v>72</v>
      </c>
      <c r="H23" s="3">
        <f>50+VLOOKUP($A23,'SegEnds_Xtal_Prot#'!$A:$AY,41,FALSE)-VLOOKUP($D23,'SegEnds_NonXtal_Prot#'!$A:$AZ,31,FALSE)</f>
        <v>24</v>
      </c>
      <c r="I23" s="3"/>
      <c r="J23" s="3"/>
    </row>
    <row r="24" spans="1:14" customFormat="1" x14ac:dyDescent="0.2">
      <c r="A24" s="1" t="s">
        <v>1335</v>
      </c>
      <c r="B24" s="3" t="str">
        <f>VLOOKUP(D24,Classification!A:D,3,FALSE)</f>
        <v>Peptide</v>
      </c>
      <c r="C24" s="3" t="str">
        <f>VLOOKUP(D24,Classification!A:D,4,FALSE)</f>
        <v>Endothelin</v>
      </c>
      <c r="D24" s="3" t="s">
        <v>196</v>
      </c>
      <c r="E24" s="3">
        <f>VLOOKUP($D24,'SegEnds_NonXtal_Prot#'!$A:$AZ,30,FALSE)-VLOOKUP($D24,'SegEnds_NonXtal_Prot#'!$A:$AZ,29,FALSE)</f>
        <v>5</v>
      </c>
      <c r="F24" s="1">
        <f>VLOOKUP($D24,'SegEnds_NonXtal_Prot#'!$A:$AZ,31,FALSE)-VLOOKUP($D24,'SegEnds_NonXtal_Prot#'!$A:$AZ,28,FALSE)</f>
        <v>53</v>
      </c>
      <c r="G24" s="3">
        <f>50+VLOOKUP($A24,'SegEnds_Xtal_Prot#'!$A:$AY,39,FALSE)-VLOOKUP($D24,'SegEnds_NonXtal_Prot#'!$A:$AZ,28,FALSE)</f>
        <v>72</v>
      </c>
      <c r="H24" s="3">
        <f>50+VLOOKUP($A24,'SegEnds_Xtal_Prot#'!$A:$AY,41,FALSE)-VLOOKUP($D24,'SegEnds_NonXtal_Prot#'!$A:$AZ,31,FALSE)</f>
        <v>24</v>
      </c>
    </row>
    <row r="25" spans="1:14" customFormat="1" x14ac:dyDescent="0.2">
      <c r="A25" s="3" t="str">
        <f t="shared" ref="A25:A41" si="1">D25&amp;"__wt"</f>
        <v>lpar1_human__wt</v>
      </c>
      <c r="B25" s="3" t="str">
        <f>VLOOKUP(D25,Classification!A:D,3,FALSE)</f>
        <v>Lipid</v>
      </c>
      <c r="C25" s="3" t="str">
        <f>VLOOKUP(D25,Classification!A:D,4,FALSE)</f>
        <v>Lysophospholipid(LPA)</v>
      </c>
      <c r="D25" s="9" t="s">
        <v>103</v>
      </c>
      <c r="E25" s="3">
        <f>VLOOKUP($D25,'SegEnds_NonXtal_Prot#'!$A:$AZ,30,FALSE)-VLOOKUP($D25,'SegEnds_NonXtal_Prot#'!$A:$AZ,29,FALSE)</f>
        <v>5</v>
      </c>
      <c r="F25" s="1">
        <f>VLOOKUP($D25,'SegEnds_NonXtal_Prot#'!$A:$AZ,31,FALSE)-VLOOKUP($D25,'SegEnds_NonXtal_Prot#'!$A:$AZ,28,FALSE)</f>
        <v>56</v>
      </c>
      <c r="G25" s="3">
        <f>50+VLOOKUP($A25,'SegEnds_Xtal_Prot#'!$A:$AY,39,FALSE)-VLOOKUP($D25,'SegEnds_NonXtal_Prot#'!$A:$AZ,28,FALSE)</f>
        <v>73</v>
      </c>
      <c r="H25" s="3">
        <f>50+VLOOKUP($A25,'SegEnds_Xtal_Prot#'!$A:$AY,41,FALSE)-VLOOKUP($D25,'SegEnds_NonXtal_Prot#'!$A:$AZ,31,FALSE)</f>
        <v>22</v>
      </c>
      <c r="I25" s="3"/>
      <c r="J25" s="3"/>
      <c r="M25" t="s">
        <v>1304</v>
      </c>
    </row>
    <row r="26" spans="1:14" customFormat="1" x14ac:dyDescent="0.2">
      <c r="A26" s="3" t="str">
        <f t="shared" si="1"/>
        <v>s1pr1_human__wt</v>
      </c>
      <c r="B26" s="3" t="str">
        <f>VLOOKUP(D26,Classification!A:D,3,FALSE)</f>
        <v>Lipid</v>
      </c>
      <c r="C26" s="3" t="str">
        <f>VLOOKUP(D26,Classification!A:D,4,FALSE)</f>
        <v>Lysophospholipid(S1P)</v>
      </c>
      <c r="D26" s="9" t="s">
        <v>104</v>
      </c>
      <c r="E26" s="3">
        <f>VLOOKUP($D26,'SegEnds_NonXtal_Prot#'!$A:$AZ,30,FALSE)-VLOOKUP($D26,'SegEnds_NonXtal_Prot#'!$A:$AZ,29,FALSE)</f>
        <v>9</v>
      </c>
      <c r="F26" s="1">
        <f>VLOOKUP($D26,'SegEnds_NonXtal_Prot#'!$A:$AZ,31,FALSE)-VLOOKUP($D26,'SegEnds_NonXtal_Prot#'!$A:$AZ,28,FALSE)</f>
        <v>58</v>
      </c>
      <c r="G26" s="3">
        <f>50+VLOOKUP($A26,'SegEnds_Xtal_Prot#'!$A:$AY,39,FALSE)-VLOOKUP($D26,'SegEnds_NonXtal_Prot#'!$A:$AZ,28,FALSE)</f>
        <v>73</v>
      </c>
      <c r="H26" s="3">
        <f>50+VLOOKUP($A26,'SegEnds_Xtal_Prot#'!$A:$AY,41,FALSE)-VLOOKUP($D26,'SegEnds_NonXtal_Prot#'!$A:$AZ,31,FALSE)</f>
        <v>24</v>
      </c>
      <c r="I26" s="3"/>
      <c r="J26" s="3"/>
      <c r="M26" t="s">
        <v>1305</v>
      </c>
    </row>
    <row r="27" spans="1:14" customFormat="1" x14ac:dyDescent="0.2">
      <c r="A27" s="3" t="str">
        <f t="shared" si="1"/>
        <v>aa2ar_human__wt</v>
      </c>
      <c r="B27" s="3" t="str">
        <f>VLOOKUP(D27,Classification!A:D,3,FALSE)</f>
        <v>Nucleotide</v>
      </c>
      <c r="C27" s="3" t="str">
        <f>VLOOKUP(D27,Classification!A:D,4,FALSE)</f>
        <v>Adenosine</v>
      </c>
      <c r="D27" s="3" t="s">
        <v>139</v>
      </c>
      <c r="E27" s="3">
        <f>VLOOKUP($D27,'SegEnds_NonXtal_Prot#'!$A:$AZ,30,FALSE)-VLOOKUP($D27,'SegEnds_NonXtal_Prot#'!$A:$AZ,29,FALSE)</f>
        <v>6</v>
      </c>
      <c r="F27" s="1">
        <f>VLOOKUP($D27,'SegEnds_NonXtal_Prot#'!$A:$AZ,31,FALSE)-VLOOKUP($D27,'SegEnds_NonXtal_Prot#'!$A:$AZ,28,FALSE)</f>
        <v>59</v>
      </c>
      <c r="G27" s="3">
        <f>50+VLOOKUP($A27,'SegEnds_Xtal_Prot#'!$A:$AY,39,FALSE)-VLOOKUP($D27,'SegEnds_NonXtal_Prot#'!$A:$AZ,28,FALSE)</f>
        <v>74</v>
      </c>
      <c r="H27" s="3">
        <f>50+VLOOKUP($A27,'SegEnds_Xtal_Prot#'!$A:$AY,41,FALSE)-VLOOKUP($D27,'SegEnds_NonXtal_Prot#'!$A:$AZ,31,FALSE)</f>
        <v>21</v>
      </c>
      <c r="I27" s="3">
        <f>G27</f>
        <v>74</v>
      </c>
      <c r="J27" s="3">
        <f>H27</f>
        <v>21</v>
      </c>
      <c r="K27" s="1" t="s">
        <v>1297</v>
      </c>
      <c r="L27" s="1"/>
    </row>
    <row r="28" spans="1:14" customFormat="1" x14ac:dyDescent="0.2">
      <c r="A28" s="3" t="str">
        <f t="shared" si="1"/>
        <v>ntr1_rat__wt</v>
      </c>
      <c r="B28" s="3" t="str">
        <f>VLOOKUP(D28,Classification!A:D,3,FALSE)</f>
        <v>Peptide</v>
      </c>
      <c r="C28" s="3" t="str">
        <f>VLOOKUP(D28,Classification!A:D,4,FALSE)</f>
        <v>Neurotensin</v>
      </c>
      <c r="D28" s="48" t="s">
        <v>914</v>
      </c>
      <c r="E28" s="3">
        <f>VLOOKUP($D28,'SegEnds_NonXtal_Prot#'!$A:$AZ,30,FALSE)-VLOOKUP($D28,'SegEnds_NonXtal_Prot#'!$A:$AZ,29,FALSE)</f>
        <v>22</v>
      </c>
      <c r="F28" s="1">
        <f>VLOOKUP($D28,'SegEnds_NonXtal_Prot#'!$A:$AZ,31,FALSE)-VLOOKUP($D28,'SegEnds_NonXtal_Prot#'!$A:$AZ,28,FALSE)</f>
        <v>74</v>
      </c>
      <c r="G28" s="3">
        <f>50+VLOOKUP($A28,'SegEnds_Xtal_Prot#'!$A:$AY,39,FALSE)-VLOOKUP($D28,'SegEnds_NonXtal_Prot#'!$A:$AZ,28,FALSE)</f>
        <v>76</v>
      </c>
      <c r="H28" s="3">
        <f>50+VLOOKUP($A28,'SegEnds_Xtal_Prot#'!$A:$AY,41,FALSE)-VLOOKUP($D28,'SegEnds_NonXtal_Prot#'!$A:$AZ,31,FALSE)</f>
        <v>24</v>
      </c>
      <c r="I28" s="3"/>
      <c r="J28" s="3"/>
      <c r="M28" t="s">
        <v>1301</v>
      </c>
    </row>
    <row r="29" spans="1:14" customFormat="1" x14ac:dyDescent="0.2">
      <c r="A29" s="3" t="str">
        <f t="shared" si="1"/>
        <v>adrb2_human__wt</v>
      </c>
      <c r="B29" s="3" t="str">
        <f>VLOOKUP(D29,Classification!A:D,3,FALSE)</f>
        <v>Aminergic</v>
      </c>
      <c r="C29" s="3" t="str">
        <f>VLOOKUP(D29,Classification!A:D,4,FALSE)</f>
        <v>Adrenoceptors</v>
      </c>
      <c r="D29" s="48" t="s">
        <v>126</v>
      </c>
      <c r="E29" s="3">
        <f>VLOOKUP($D29,'SegEnds_NonXtal_Prot#'!$A:$AZ,30,FALSE)-VLOOKUP($D29,'SegEnds_NonXtal_Prot#'!$A:$AZ,29,FALSE)</f>
        <v>25</v>
      </c>
      <c r="F29" s="1">
        <f>VLOOKUP($D29,'SegEnds_NonXtal_Prot#'!$A:$AZ,31,FALSE)-VLOOKUP($D29,'SegEnds_NonXtal_Prot#'!$A:$AZ,28,FALSE)</f>
        <v>77</v>
      </c>
      <c r="G29" s="3">
        <f>50+VLOOKUP($A29,'SegEnds_Xtal_Prot#'!$A:$AY,39,FALSE)-VLOOKUP($D29,'SegEnds_NonXtal_Prot#'!$A:$AZ,28,FALSE)</f>
        <v>76</v>
      </c>
      <c r="H29" s="3">
        <f>50+VLOOKUP($A29,'SegEnds_Xtal_Prot#'!$A:$AY,41,FALSE)-VLOOKUP($D29,'SegEnds_NonXtal_Prot#'!$A:$AZ,31,FALSE)</f>
        <v>24</v>
      </c>
      <c r="I29" s="3">
        <f>G29</f>
        <v>76</v>
      </c>
      <c r="J29" s="3"/>
      <c r="K29" s="1" t="s">
        <v>1297</v>
      </c>
      <c r="L29" s="1"/>
      <c r="N29" t="s">
        <v>1307</v>
      </c>
    </row>
    <row r="30" spans="1:14" x14ac:dyDescent="0.2">
      <c r="A30" s="3" t="str">
        <f t="shared" si="1"/>
        <v>5ht1b_human__wt</v>
      </c>
      <c r="B30" s="3" t="str">
        <f>VLOOKUP(D30,Classification!A:D,3,FALSE)</f>
        <v>Aminergic</v>
      </c>
      <c r="C30" s="3" t="str">
        <f>VLOOKUP(D30,Classification!A:D,4,FALSE)</f>
        <v>5-Hydroxytryptamine</v>
      </c>
      <c r="D30" s="3" t="s">
        <v>34</v>
      </c>
      <c r="E30" s="3">
        <f>VLOOKUP($D30,'SegEnds_NonXtal_Prot#'!$A:$AZ,30,FALSE)-VLOOKUP($D30,'SegEnds_NonXtal_Prot#'!$A:$AZ,29,FALSE)</f>
        <v>59</v>
      </c>
      <c r="F30" s="1">
        <f>VLOOKUP($D30,'SegEnds_NonXtal_Prot#'!$A:$AZ,31,FALSE)-VLOOKUP($D30,'SegEnds_NonXtal_Prot#'!$A:$AZ,28,FALSE)</f>
        <v>109</v>
      </c>
      <c r="G30" s="3">
        <f>50+VLOOKUP($A30,'SegEnds_Xtal_Prot#'!$A:$AY,39,FALSE)-VLOOKUP($D30,'SegEnds_NonXtal_Prot#'!$A:$AZ,28,FALSE)</f>
        <v>74</v>
      </c>
      <c r="H30" s="3">
        <f>50+VLOOKUP($A30,'SegEnds_Xtal_Prot#'!$A:$AY,41,FALSE)-VLOOKUP($D30,'SegEnds_NonXtal_Prot#'!$A:$AZ,31,FALSE)</f>
        <v>24</v>
      </c>
      <c r="I30" s="3"/>
      <c r="J30" s="3"/>
      <c r="K30" s="1"/>
      <c r="L30" s="1">
        <v>76</v>
      </c>
      <c r="M30" s="1"/>
      <c r="N30" s="1"/>
    </row>
    <row r="31" spans="1:14" x14ac:dyDescent="0.2">
      <c r="A31" s="3" t="str">
        <f t="shared" si="1"/>
        <v>5ht2b_human__wt</v>
      </c>
      <c r="B31" s="3" t="str">
        <f>VLOOKUP(D31,Classification!A:D,3,FALSE)</f>
        <v>Aminergic</v>
      </c>
      <c r="C31" s="3" t="str">
        <f>VLOOKUP(D31,Classification!A:D,4,FALSE)</f>
        <v>5-Hydroxytryptamine</v>
      </c>
      <c r="D31" s="3" t="s">
        <v>35</v>
      </c>
      <c r="E31" s="3">
        <f>VLOOKUP($D31,'SegEnds_NonXtal_Prot#'!$A:$AZ,30,FALSE)-VLOOKUP($D31,'SegEnds_NonXtal_Prot#'!$A:$AZ,29,FALSE)</f>
        <v>58</v>
      </c>
      <c r="F31" s="1">
        <f>VLOOKUP($D31,'SegEnds_NonXtal_Prot#'!$A:$AZ,31,FALSE)-VLOOKUP($D31,'SegEnds_NonXtal_Prot#'!$A:$AZ,28,FALSE)</f>
        <v>110</v>
      </c>
      <c r="G31" s="3">
        <f>50+VLOOKUP($A31,'SegEnds_Xtal_Prot#'!$A:$AY,39,FALSE)-VLOOKUP($D31,'SegEnds_NonXtal_Prot#'!$A:$AZ,28,FALSE)</f>
        <v>76</v>
      </c>
      <c r="H31" s="3">
        <f>50+VLOOKUP($A31,'SegEnds_Xtal_Prot#'!$A:$AY,41,FALSE)-VLOOKUP($D31,'SegEnds_NonXtal_Prot#'!$A:$AZ,31,FALSE)</f>
        <v>24</v>
      </c>
      <c r="I31" s="3"/>
      <c r="J31" s="3"/>
      <c r="K31" s="1"/>
      <c r="L31" s="1"/>
      <c r="M31" s="1"/>
      <c r="N31" s="1"/>
    </row>
    <row r="32" spans="1:14" x14ac:dyDescent="0.2">
      <c r="A32" s="3" t="str">
        <f t="shared" si="1"/>
        <v>drd3_human__wt</v>
      </c>
      <c r="B32" s="3" t="str">
        <f>VLOOKUP(D32,Classification!A:D,3,FALSE)</f>
        <v>Aminergic</v>
      </c>
      <c r="C32" s="3" t="str">
        <f>VLOOKUP(D32,Classification!A:D,4,FALSE)</f>
        <v>Dopamine</v>
      </c>
      <c r="D32" s="3" t="s">
        <v>192</v>
      </c>
      <c r="E32" s="3">
        <f>VLOOKUP($D32,'SegEnds_NonXtal_Prot#'!$A:$AZ,30,FALSE)-VLOOKUP($D32,'SegEnds_NonXtal_Prot#'!$A:$AZ,29,FALSE)</f>
        <v>92</v>
      </c>
      <c r="F32" s="1">
        <f>VLOOKUP($D32,'SegEnds_NonXtal_Prot#'!$A:$AZ,31,FALSE)-VLOOKUP($D32,'SegEnds_NonXtal_Prot#'!$A:$AZ,28,FALSE)</f>
        <v>144</v>
      </c>
      <c r="G32" s="3">
        <f>50+VLOOKUP($A32,'SegEnds_Xtal_Prot#'!$A:$AY,39,FALSE)-VLOOKUP($D32,'SegEnds_NonXtal_Prot#'!$A:$AZ,28,FALSE)</f>
        <v>76</v>
      </c>
      <c r="H32" s="3">
        <f>50+VLOOKUP($A32,'SegEnds_Xtal_Prot#'!$A:$AY,41,FALSE)-VLOOKUP($D32,'SegEnds_NonXtal_Prot#'!$A:$AZ,31,FALSE)</f>
        <v>24</v>
      </c>
      <c r="I32" s="3"/>
      <c r="J32" s="3"/>
      <c r="K32" s="1"/>
      <c r="L32" s="1"/>
      <c r="M32" s="1"/>
      <c r="N32" s="1"/>
    </row>
    <row r="33" spans="1:14" x14ac:dyDescent="0.2">
      <c r="A33" s="3" t="str">
        <f t="shared" si="1"/>
        <v>acm1_human__wt</v>
      </c>
      <c r="B33" s="3" t="str">
        <f>VLOOKUP(D33,Classification!A:D,3,FALSE)</f>
        <v>Aminergic</v>
      </c>
      <c r="C33" s="3" t="str">
        <f>VLOOKUP(D33,Classification!A:D,4,FALSE)</f>
        <v>Acetylcholine(muscarinic)</v>
      </c>
      <c r="D33" s="3" t="s">
        <v>146</v>
      </c>
      <c r="E33" s="3">
        <f>VLOOKUP($D33,'SegEnds_NonXtal_Prot#'!$A:$AZ,30,FALSE)-VLOOKUP($D33,'SegEnds_NonXtal_Prot#'!$A:$AZ,29,FALSE)</f>
        <v>129</v>
      </c>
      <c r="F33" s="1">
        <f>VLOOKUP($D33,'SegEnds_NonXtal_Prot#'!$A:$AZ,31,FALSE)-VLOOKUP($D33,'SegEnds_NonXtal_Prot#'!$A:$AZ,28,FALSE)</f>
        <v>180</v>
      </c>
      <c r="G33" s="3">
        <f>50+VLOOKUP($A33,'SegEnds_Xtal_Prot#'!$A:$AY,39,FALSE)-VLOOKUP($D33,'SegEnds_NonXtal_Prot#'!$A:$AZ,28,FALSE)</f>
        <v>75</v>
      </c>
      <c r="H33" s="3">
        <f>50+VLOOKUP($A33,'SegEnds_Xtal_Prot#'!$A:$AY,41,FALSE)-VLOOKUP($D33,'SegEnds_NonXtal_Prot#'!$A:$AZ,31,FALSE)</f>
        <v>24</v>
      </c>
      <c r="I33" s="3"/>
      <c r="J33" s="3"/>
      <c r="K33" s="1"/>
      <c r="L33" s="1"/>
      <c r="M33" s="1"/>
      <c r="N33" s="1"/>
    </row>
    <row r="34" spans="1:14" x14ac:dyDescent="0.2">
      <c r="A34" s="3" t="str">
        <f t="shared" si="1"/>
        <v>acm2_human__wt</v>
      </c>
      <c r="B34" s="3" t="str">
        <f>VLOOKUP(D34,Classification!A:D,3,FALSE)</f>
        <v>Aminergic</v>
      </c>
      <c r="C34" s="3" t="str">
        <f>VLOOKUP(D34,Classification!A:D,4,FALSE)</f>
        <v>Acetylcholine(muscarinic)</v>
      </c>
      <c r="D34" s="3" t="s">
        <v>147</v>
      </c>
      <c r="E34" s="3">
        <f>VLOOKUP($D34,'SegEnds_NonXtal_Prot#'!$A:$AZ,30,FALSE)-VLOOKUP($D34,'SegEnds_NonXtal_Prot#'!$A:$AZ,29,FALSE)</f>
        <v>153</v>
      </c>
      <c r="F34" s="1">
        <f>VLOOKUP($D34,'SegEnds_NonXtal_Prot#'!$A:$AZ,31,FALSE)-VLOOKUP($D34,'SegEnds_NonXtal_Prot#'!$A:$AZ,28,FALSE)</f>
        <v>204</v>
      </c>
      <c r="G34" s="3">
        <f>50+VLOOKUP($A34,'SegEnds_Xtal_Prot#'!$A:$AY,39,FALSE)-VLOOKUP($D34,'SegEnds_NonXtal_Prot#'!$A:$AZ,28,FALSE)</f>
        <v>75</v>
      </c>
      <c r="H34" s="3">
        <f>50+VLOOKUP($A34,'SegEnds_Xtal_Prot#'!$A:$AY,41,FALSE)-VLOOKUP($D34,'SegEnds_NonXtal_Prot#'!$A:$AZ,31,FALSE)</f>
        <v>24</v>
      </c>
      <c r="I34" s="3">
        <f>G34</f>
        <v>75</v>
      </c>
      <c r="J34" s="3">
        <f>H34</f>
        <v>24</v>
      </c>
      <c r="K34" s="1" t="s">
        <v>1297</v>
      </c>
      <c r="L34" s="1"/>
      <c r="M34" s="1"/>
      <c r="N34" s="1"/>
    </row>
    <row r="35" spans="1:14" x14ac:dyDescent="0.2">
      <c r="A35" s="3" t="str">
        <f t="shared" si="1"/>
        <v>acm4_human__wt</v>
      </c>
      <c r="B35" s="3" t="str">
        <f>VLOOKUP(D35,Classification!A:D,3,FALSE)</f>
        <v>Aminergic</v>
      </c>
      <c r="C35" s="3" t="str">
        <f>VLOOKUP(D35,Classification!A:D,4,FALSE)</f>
        <v>Acetylcholine(muscarinic)</v>
      </c>
      <c r="D35" s="3" t="s">
        <v>149</v>
      </c>
      <c r="E35" s="3">
        <f>VLOOKUP($D35,'SegEnds_NonXtal_Prot#'!$A:$AZ,30,FALSE)-VLOOKUP($D35,'SegEnds_NonXtal_Prot#'!$A:$AZ,29,FALSE)</f>
        <v>157</v>
      </c>
      <c r="F35" s="1">
        <f>VLOOKUP($D35,'SegEnds_NonXtal_Prot#'!$A:$AZ,31,FALSE)-VLOOKUP($D35,'SegEnds_NonXtal_Prot#'!$A:$AZ,28,FALSE)</f>
        <v>208</v>
      </c>
      <c r="G35" s="3">
        <f>50+VLOOKUP($A35,'SegEnds_Xtal_Prot#'!$A:$AY,39,FALSE)-VLOOKUP($D35,'SegEnds_NonXtal_Prot#'!$A:$AZ,28,FALSE)</f>
        <v>75</v>
      </c>
      <c r="H35" s="3">
        <f>50+VLOOKUP($A35,'SegEnds_Xtal_Prot#'!$A:$AY,41,FALSE)-VLOOKUP($D35,'SegEnds_NonXtal_Prot#'!$A:$AZ,31,FALSE)</f>
        <v>24</v>
      </c>
      <c r="I35" s="3"/>
      <c r="J35" s="3"/>
      <c r="K35" s="1"/>
      <c r="L35" s="1"/>
      <c r="M35" s="1"/>
      <c r="N35" s="1"/>
    </row>
    <row r="36" spans="1:14" customFormat="1" x14ac:dyDescent="0.2">
      <c r="A36" s="3" t="str">
        <f t="shared" si="1"/>
        <v>hrh1_human__wt</v>
      </c>
      <c r="B36" s="3" t="str">
        <f>VLOOKUP(D36,Classification!A:D,3,FALSE)</f>
        <v>Aminergic</v>
      </c>
      <c r="C36" s="3" t="str">
        <f>VLOOKUP(D36,Classification!A:D,4,FALSE)</f>
        <v>Histamine</v>
      </c>
      <c r="D36" s="3" t="s">
        <v>278</v>
      </c>
      <c r="E36" s="3">
        <f>VLOOKUP($D36,'SegEnds_NonXtal_Prot#'!$A:$AZ,30,FALSE)-VLOOKUP($D36,'SegEnds_NonXtal_Prot#'!$A:$AZ,29,FALSE)</f>
        <v>176</v>
      </c>
      <c r="F36" s="1">
        <f>VLOOKUP($D36,'SegEnds_NonXtal_Prot#'!$A:$AZ,31,FALSE)-VLOOKUP($D36,'SegEnds_NonXtal_Prot#'!$A:$AZ,28,FALSE)</f>
        <v>228</v>
      </c>
      <c r="G36" s="3">
        <f>50+VLOOKUP($A36,'SegEnds_Xtal_Prot#'!$A:$AY,39,FALSE)-VLOOKUP($D36,'SegEnds_NonXtal_Prot#'!$A:$AZ,28,FALSE)</f>
        <v>76</v>
      </c>
      <c r="H36" s="3">
        <f>50+VLOOKUP($A36,'SegEnds_Xtal_Prot#'!$A:$AY,41,FALSE)-VLOOKUP($D36,'SegEnds_NonXtal_Prot#'!$A:$AZ,31,FALSE)</f>
        <v>24</v>
      </c>
      <c r="I36" s="3"/>
      <c r="J36" s="3"/>
    </row>
    <row r="37" spans="1:14" customFormat="1" x14ac:dyDescent="0.2">
      <c r="A37" s="3" t="str">
        <f t="shared" si="1"/>
        <v>acm3_rat__wt</v>
      </c>
      <c r="B37" s="3" t="str">
        <f>VLOOKUP(D37,Classification!A:D,3,FALSE)</f>
        <v>Aminergic</v>
      </c>
      <c r="C37" s="3" t="str">
        <f>VLOOKUP(D37,Classification!A:D,4,FALSE)</f>
        <v>Acetylcholine(muscarinic)</v>
      </c>
      <c r="D37" s="3" t="s">
        <v>910</v>
      </c>
      <c r="E37" s="3">
        <f>VLOOKUP($D37,'SegEnds_NonXtal_Prot#'!$A:$AZ,30,FALSE)-VLOOKUP($D37,'SegEnds_NonXtal_Prot#'!$A:$AZ,29,FALSE)</f>
        <v>212</v>
      </c>
      <c r="F37" s="1">
        <f>VLOOKUP($D37,'SegEnds_NonXtal_Prot#'!$A:$AZ,31,FALSE)-VLOOKUP($D37,'SegEnds_NonXtal_Prot#'!$A:$AZ,28,FALSE)</f>
        <v>263</v>
      </c>
      <c r="G37" s="3">
        <f>50+VLOOKUP($A37,'SegEnds_Xtal_Prot#'!$A:$AY,39,FALSE)-VLOOKUP($D37,'SegEnds_NonXtal_Prot#'!$A:$AZ,28,FALSE)</f>
        <v>75</v>
      </c>
      <c r="H37" s="3">
        <f>50+VLOOKUP($A37,'SegEnds_Xtal_Prot#'!$A:$AY,41,FALSE)-VLOOKUP($D37,'SegEnds_NonXtal_Prot#'!$A:$AZ,31,FALSE)</f>
        <v>24</v>
      </c>
      <c r="I37" s="3"/>
      <c r="J37" s="3"/>
    </row>
    <row r="38" spans="1:14" s="60" customFormat="1" x14ac:dyDescent="0.2">
      <c r="A38" s="59" t="str">
        <f t="shared" si="1"/>
        <v>opsd_todpa__wt</v>
      </c>
      <c r="B38" s="59" t="str">
        <f>VLOOKUP(D38,Classification!A:D,3,FALSE)</f>
        <v>Sensory</v>
      </c>
      <c r="C38" s="59" t="str">
        <f>VLOOKUP(D38,Classification!A:D,4,FALSE)</f>
        <v>Opsins</v>
      </c>
      <c r="D38" s="59" t="s">
        <v>922</v>
      </c>
      <c r="E38" s="59">
        <f>VLOOKUP($D38,'SegEnds_NonXtal_Prot#'!$A:$AZ,30,FALSE)-VLOOKUP($D38,'SegEnds_NonXtal_Prot#'!$A:$AZ,29,FALSE)</f>
        <v>5</v>
      </c>
      <c r="F38" s="42">
        <f>VLOOKUP($D38,'SegEnds_NonXtal_Prot#'!$A:$AZ,31,FALSE)-VLOOKUP($D38,'SegEnds_NonXtal_Prot#'!$A:$AZ,28,FALSE)</f>
        <v>64</v>
      </c>
      <c r="G38" s="59">
        <f>50+VLOOKUP($A38,'SegEnds_Xtal_Prot#'!$A:$AY,39,FALSE)-VLOOKUP($D38,'SegEnds_NonXtal_Prot#'!$A:$AZ,28,FALSE)</f>
        <v>77</v>
      </c>
      <c r="H38" s="59">
        <f>50+VLOOKUP($A38,'SegEnds_Xtal_Prot#'!$A:$AY,41,FALSE)-VLOOKUP($D38,'SegEnds_NonXtal_Prot#'!$A:$AZ,31,FALSE)</f>
        <v>18</v>
      </c>
      <c r="I38" s="79" t="s">
        <v>1337</v>
      </c>
      <c r="J38" s="59"/>
    </row>
    <row r="39" spans="1:14" x14ac:dyDescent="0.2">
      <c r="A39" s="3" t="str">
        <f t="shared" si="1"/>
        <v>ox2r_human__wt</v>
      </c>
      <c r="B39" s="3" t="str">
        <f>VLOOKUP(D39,Classification!A:D,3,FALSE)</f>
        <v>Peptide</v>
      </c>
      <c r="C39" s="3" t="str">
        <f>VLOOKUP(D39,Classification!A:D,4,FALSE)</f>
        <v>Orexin</v>
      </c>
      <c r="D39" s="48" t="s">
        <v>1176</v>
      </c>
      <c r="E39" s="3">
        <f>VLOOKUP($D39,'SegEnds_NonXtal_Prot#'!$A:$AZ,30,FALSE)-VLOOKUP($D39,'SegEnds_NonXtal_Prot#'!$A:$AZ,29,FALSE)</f>
        <v>33</v>
      </c>
      <c r="F39" s="1">
        <f>VLOOKUP($D39,'SegEnds_NonXtal_Prot#'!$A:$AZ,31,FALSE)-VLOOKUP($D39,'SegEnds_NonXtal_Prot#'!$A:$AZ,28,FALSE)</f>
        <v>84</v>
      </c>
      <c r="G39" s="3">
        <f>50+VLOOKUP($A39,'SegEnds_Xtal_Prot#'!$A:$AY,39,FALSE)-VLOOKUP($D39,'SegEnds_NonXtal_Prot#'!$A:$AZ,28,FALSE)</f>
        <v>71</v>
      </c>
      <c r="H39" s="3">
        <f>50+VLOOKUP($A39,'SegEnds_Xtal_Prot#'!$A:$AY,41,FALSE)-VLOOKUP($D39,'SegEnds_NonXtal_Prot#'!$A:$AZ,31,FALSE)</f>
        <v>20</v>
      </c>
      <c r="I39" s="3"/>
      <c r="J39" s="3"/>
      <c r="K39" s="1"/>
      <c r="L39" s="1"/>
      <c r="M39" s="1" t="s">
        <v>1300</v>
      </c>
      <c r="N39" s="1" t="s">
        <v>1306</v>
      </c>
    </row>
    <row r="40" spans="1:14" customFormat="1" x14ac:dyDescent="0.2">
      <c r="A40" s="3" t="str">
        <f t="shared" si="1"/>
        <v>ox1r_human__wt</v>
      </c>
      <c r="B40" s="3" t="str">
        <f>VLOOKUP(D40,Classification!A:D,3,FALSE)</f>
        <v>Peptide</v>
      </c>
      <c r="C40" s="3" t="str">
        <f>VLOOKUP(D40,Classification!A:D,4,FALSE)</f>
        <v>Orexin</v>
      </c>
      <c r="D40" s="48" t="s">
        <v>1175</v>
      </c>
      <c r="E40" s="3">
        <f>VLOOKUP($D40,'SegEnds_NonXtal_Prot#'!$A:$AZ,30,FALSE)-VLOOKUP($D40,'SegEnds_NonXtal_Prot#'!$A:$AZ,29,FALSE)</f>
        <v>35</v>
      </c>
      <c r="F40" s="1">
        <f>VLOOKUP($D40,'SegEnds_NonXtal_Prot#'!$A:$AZ,31,FALSE)-VLOOKUP($D40,'SegEnds_NonXtal_Prot#'!$A:$AZ,28,FALSE)</f>
        <v>86</v>
      </c>
      <c r="G40" s="3">
        <f>50+VLOOKUP($A40,'SegEnds_Xtal_Prot#'!$A:$AY,39,FALSE)-VLOOKUP($D40,'SegEnds_NonXtal_Prot#'!$A:$AZ,28,FALSE)</f>
        <v>71</v>
      </c>
      <c r="H40" s="3">
        <f>50+VLOOKUP($A40,'SegEnds_Xtal_Prot#'!$A:$AY,41,FALSE)-VLOOKUP($D40,'SegEnds_NonXtal_Prot#'!$A:$AZ,31,FALSE)</f>
        <v>20</v>
      </c>
      <c r="I40" s="3"/>
      <c r="J40" s="3"/>
      <c r="M40" s="1" t="s">
        <v>1300</v>
      </c>
      <c r="N40" s="1" t="s">
        <v>1306</v>
      </c>
    </row>
    <row r="41" spans="1:14" x14ac:dyDescent="0.2">
      <c r="A41" s="3" t="str">
        <f t="shared" si="1"/>
        <v>adrb1_melga__wt</v>
      </c>
      <c r="B41" s="3" t="str">
        <f>VLOOKUP(D41,Classification!A:D,3,FALSE)</f>
        <v>Aminergic</v>
      </c>
      <c r="C41" s="3" t="str">
        <f>VLOOKUP(D41,Classification!A:D,4,FALSE)</f>
        <v>Adrenoceptors</v>
      </c>
      <c r="D41" s="3" t="s">
        <v>912</v>
      </c>
      <c r="E41" s="3">
        <f>VLOOKUP($D41,'SegEnds_NonXtal_Prot#'!$A:$AZ,30,FALSE)-VLOOKUP($D41,'SegEnds_NonXtal_Prot#'!$A:$AZ,29,FALSE)</f>
        <v>30</v>
      </c>
      <c r="F41" s="1">
        <f>VLOOKUP($D41,'SegEnds_NonXtal_Prot#'!$A:$AZ,31,FALSE)-VLOOKUP($D41,'SegEnds_NonXtal_Prot#'!$A:$AZ,28,FALSE)</f>
        <v>86</v>
      </c>
      <c r="G41" s="3">
        <f>50+VLOOKUP($A41,'SegEnds_Xtal_Prot#'!$A:$AY,39,FALSE)-VLOOKUP($D41,'SegEnds_NonXtal_Prot#'!$A:$AZ,28,FALSE)</f>
        <v>76</v>
      </c>
      <c r="H41" s="3">
        <f>50+VLOOKUP($A41,'SegEnds_Xtal_Prot#'!$A:$AY,41,FALSE)-VLOOKUP($D41,'SegEnds_NonXtal_Prot#'!$A:$AZ,31,FALSE)</f>
        <v>20</v>
      </c>
      <c r="I41" s="3">
        <f>G41</f>
        <v>76</v>
      </c>
      <c r="J41" s="3">
        <f>H41</f>
        <v>20</v>
      </c>
      <c r="K41" s="1" t="s">
        <v>1297</v>
      </c>
      <c r="L41" s="1"/>
      <c r="M41" s="1"/>
      <c r="N41" s="1"/>
    </row>
  </sheetData>
  <sortState ref="A2:O32">
    <sortCondition ref="F2:F32"/>
    <sortCondition ref="G2:G32"/>
    <sortCondition ref="H2:H32"/>
  </sortState>
  <customSheetViews>
    <customSheetView guid="{3E3401AF-8459-8641-BD70-AD04F80E86ED}" scale="113">
      <pane ySplit="1" topLeftCell="A2" activePane="bottomLeft" state="frozenSplit"/>
      <selection pane="bottomLeft" activeCell="A8" sqref="A8:XFD8"/>
      <pageMargins left="0.7" right="0.7" top="0.75" bottom="0.75" header="0.3" footer="0.3"/>
      <pageSetup paperSize="9" orientation="portrait" horizontalDpi="0" verticalDpi="0" copies="2"/>
    </customSheetView>
  </customSheetViews>
  <phoneticPr fontId="6" type="noConversion"/>
  <conditionalFormatting sqref="C1:C1048576">
    <cfRule type="cellIs" dxfId="52" priority="10" operator="equal">
      <formula>"Opsins"</formula>
    </cfRule>
    <cfRule type="cellIs" dxfId="51" priority="11" operator="equal">
      <formula>"Opioid"</formula>
    </cfRule>
    <cfRule type="cellIs" dxfId="50" priority="12" operator="equal">
      <formula>"P2Y"</formula>
    </cfRule>
    <cfRule type="cellIs" dxfId="49" priority="13" operator="equal">
      <formula>"Chemokine"</formula>
    </cfRule>
  </conditionalFormatting>
  <conditionalFormatting sqref="B6:B41">
    <cfRule type="cellIs" dxfId="48" priority="5" operator="equal">
      <formula>"Aminergic"</formula>
    </cfRule>
    <cfRule type="cellIs" dxfId="47" priority="6" operator="equal">
      <formula>"Opsins"</formula>
    </cfRule>
    <cfRule type="cellIs" dxfId="46" priority="7" operator="equal">
      <formula>"Opioid"</formula>
    </cfRule>
    <cfRule type="cellIs" dxfId="45" priority="8" operator="equal">
      <formula>"P2Y"</formula>
    </cfRule>
    <cfRule type="cellIs" dxfId="44" priority="9" operator="equal">
      <formula>"Chemokine"</formula>
    </cfRule>
  </conditionalFormatting>
  <conditionalFormatting sqref="F1:F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7 H1:J1048576">
    <cfRule type="colorScale" priority="7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41">
    <cfRule type="colorScale" priority="30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"/>
  <sheetViews>
    <sheetView zoomScale="113" zoomScaleNormal="113" zoomScalePageLayoutView="113" workbookViewId="0">
      <pane ySplit="1" topLeftCell="A2" activePane="bottomLeft" state="frozenSplit"/>
      <selection pane="bottomLeft" activeCell="D12" sqref="D12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5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5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5" s="24" customFormat="1" x14ac:dyDescent="0.2">
      <c r="A3" s="15" t="s">
        <v>1394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5" s="24" customFormat="1" x14ac:dyDescent="0.2">
      <c r="A4" s="15" t="s">
        <v>1394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5" s="24" customFormat="1" x14ac:dyDescent="0.2">
      <c r="A5" s="15" t="s">
        <v>1394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5" x14ac:dyDescent="0.2">
      <c r="A6" s="3" t="str">
        <f>D6&amp;"__wt"</f>
        <v>glp1r_human__wt</v>
      </c>
      <c r="B6" s="3" t="str">
        <f>VLOOKUP(D6,Classification!A:D,3,FALSE)</f>
        <v>Peptide</v>
      </c>
      <c r="C6" s="3" t="str">
        <f>VLOOKUP(D6,Classification!A:D,4,FALSE)</f>
        <v>Glucagonreceptorfamily</v>
      </c>
      <c r="D6" s="3" t="s">
        <v>406</v>
      </c>
      <c r="E6" s="3">
        <f>VLOOKUP($D6,'SegEnds_NonXtal_Prot#'!$A:$AZ,30,FALSE)-VLOOKUP($D6,'SegEnds_NonXtal_Prot#'!$A:$AZ,29,FALSE)</f>
        <v>7</v>
      </c>
      <c r="F6" s="1">
        <f>VLOOKUP($D6,'SegEnds_NonXtal_Prot#'!$A:$AZ,31,FALSE)-VLOOKUP($D6,'SegEnds_NonXtal_Prot#'!$A:$AZ,28,FALSE)</f>
        <v>50</v>
      </c>
      <c r="G6" s="3">
        <f>50+VLOOKUP($A6,'SegEnds_Xtal_Prot#'!$A:$AY,39,FALSE)-VLOOKUP($D6,'SegEnds_NonXtal_Prot#'!$A:$AZ,28,FALSE)</f>
        <v>71</v>
      </c>
      <c r="H6" s="3">
        <f>50+VLOOKUP($A6,'SegEnds_Xtal_Prot#'!$A:$AY,41,FALSE)-VLOOKUP($D6,'SegEnds_NonXtal_Prot#'!$A:$AZ,31,FALSE)</f>
        <v>28</v>
      </c>
      <c r="I6" s="3"/>
      <c r="J6" s="3"/>
      <c r="K6" s="1"/>
      <c r="L6" s="1"/>
      <c r="M6" s="1"/>
      <c r="N6" s="1"/>
      <c r="O6" s="1" t="s">
        <v>1417</v>
      </c>
    </row>
    <row r="7" spans="1:15" x14ac:dyDescent="0.2">
      <c r="A7" s="3" t="str">
        <f>D7&amp;"__wt"</f>
        <v>glr_human__wt</v>
      </c>
      <c r="B7" s="3" t="str">
        <f>VLOOKUP(D7,Classification!A:D,3,FALSE)</f>
        <v>Peptide</v>
      </c>
      <c r="C7" s="3" t="str">
        <f>VLOOKUP(D7,Classification!A:D,4,FALSE)</f>
        <v>Glucagonreceptorfamily</v>
      </c>
      <c r="D7" s="3" t="s">
        <v>32</v>
      </c>
      <c r="E7" s="3">
        <f>VLOOKUP($D7,'SegEnds_NonXtal_Prot#'!$A:$AZ,30,FALSE)-VLOOKUP($D7,'SegEnds_NonXtal_Prot#'!$A:$AZ,29,FALSE)</f>
        <v>7</v>
      </c>
      <c r="F7" s="1">
        <f>VLOOKUP($D7,'SegEnds_NonXtal_Prot#'!$A:$AZ,31,FALSE)-VLOOKUP($D7,'SegEnds_NonXtal_Prot#'!$A:$AZ,28,FALSE)</f>
        <v>50</v>
      </c>
      <c r="G7" s="3">
        <f>50+VLOOKUP($A7,'SegEnds_Xtal_Prot#'!$A:$AY,39,FALSE)-VLOOKUP($D7,'SegEnds_NonXtal_Prot#'!$A:$AZ,28,FALSE)</f>
        <v>71</v>
      </c>
      <c r="H7" s="3">
        <f>50+VLOOKUP($A7,'SegEnds_Xtal_Prot#'!$A:$AY,41,FALSE)-VLOOKUP($D7,'SegEnds_NonXtal_Prot#'!$A:$AZ,31,FALSE)</f>
        <v>28</v>
      </c>
      <c r="I7" s="3"/>
      <c r="J7" s="3"/>
      <c r="K7" s="1"/>
      <c r="L7" s="1"/>
      <c r="M7" s="1"/>
      <c r="N7" s="1"/>
    </row>
    <row r="8" spans="1:15" x14ac:dyDescent="0.2">
      <c r="A8" s="3" t="str">
        <f>D8&amp;"__wt"</f>
        <v>g1sgd4_rabit__wt</v>
      </c>
      <c r="B8" s="3" t="str">
        <f>VLOOKUP(D8,Classification!A:D,3,FALSE)</f>
        <v>Peptide</v>
      </c>
      <c r="C8" s="3" t="str">
        <f>VLOOKUP(D8,Classification!A:D,4,FALSE)</f>
        <v>Glucagonreceptorfamily</v>
      </c>
      <c r="D8" s="3" t="s">
        <v>1429</v>
      </c>
      <c r="E8" s="3">
        <f>VLOOKUP($D8,'SegEnds_NonXtal_Prot#'!$A:$AZ,30,FALSE)-VLOOKUP($D8,'SegEnds_NonXtal_Prot#'!$A:$AZ,29,FALSE)</f>
        <v>9</v>
      </c>
      <c r="F8" s="1">
        <f>VLOOKUP($D8,'SegEnds_NonXtal_Prot#'!$A:$AZ,31,FALSE)-VLOOKUP($D8,'SegEnds_NonXtal_Prot#'!$A:$AZ,28,FALSE)</f>
        <v>50</v>
      </c>
      <c r="G8" s="3">
        <f>50+VLOOKUP($A8,'SegEnds_Xtal_Prot#'!$A:$AY,39,FALSE)-VLOOKUP($D8,'SegEnds_NonXtal_Prot#'!$A:$AZ,28,FALSE)</f>
        <v>71</v>
      </c>
      <c r="H8" s="3">
        <f>50+VLOOKUP($A8,'SegEnds_Xtal_Prot#'!$A:$AY,41,FALSE)-VLOOKUP($D8,'SegEnds_NonXtal_Prot#'!$A:$AZ,31,FALSE)</f>
        <v>30</v>
      </c>
      <c r="I8" s="3"/>
      <c r="J8" s="3"/>
      <c r="K8" s="1"/>
      <c r="L8" s="1"/>
      <c r="M8" s="1"/>
      <c r="N8" s="1"/>
    </row>
  </sheetData>
  <conditionalFormatting sqref="C1:C1048576">
    <cfRule type="cellIs" dxfId="43" priority="8" operator="equal">
      <formula>"Opsins"</formula>
    </cfRule>
    <cfRule type="cellIs" dxfId="42" priority="9" operator="equal">
      <formula>"Opioid"</formula>
    </cfRule>
    <cfRule type="cellIs" dxfId="41" priority="10" operator="equal">
      <formula>"P2Y"</formula>
    </cfRule>
    <cfRule type="cellIs" dxfId="40" priority="11" operator="equal">
      <formula>"Chemokine"</formula>
    </cfRule>
  </conditionalFormatting>
  <conditionalFormatting sqref="B6:B8">
    <cfRule type="cellIs" dxfId="39" priority="3" operator="equal">
      <formula>"Aminergic"</formula>
    </cfRule>
    <cfRule type="cellIs" dxfId="38" priority="4" operator="equal">
      <formula>"Opsins"</formula>
    </cfRule>
    <cfRule type="cellIs" dxfId="37" priority="5" operator="equal">
      <formula>"Opioid"</formula>
    </cfRule>
    <cfRule type="cellIs" dxfId="36" priority="6" operator="equal">
      <formula>"P2Y"</formula>
    </cfRule>
    <cfRule type="cellIs" dxfId="35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10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:E8">
    <cfRule type="colorScale" priority="1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6"/>
  <sheetViews>
    <sheetView zoomScale="113" zoomScaleNormal="113" zoomScalePageLayoutView="113" workbookViewId="0">
      <pane ySplit="1" topLeftCell="A2" activePane="bottomLeft" state="frozenSplit"/>
      <selection pane="bottomLeft" activeCell="A25" sqref="A25"/>
    </sheetView>
  </sheetViews>
  <sheetFormatPr baseColWidth="10" defaultColWidth="11.1640625" defaultRowHeight="16" x14ac:dyDescent="0.2"/>
  <cols>
    <col min="1" max="1" width="17.1640625" style="1" customWidth="1"/>
    <col min="2" max="2" width="7.6640625" style="1" customWidth="1"/>
    <col min="3" max="4" width="12.5" customWidth="1"/>
    <col min="5" max="5" width="4.5" customWidth="1"/>
    <col min="6" max="6" width="4.1640625" bestFit="1" customWidth="1"/>
    <col min="7" max="10" width="4" customWidth="1"/>
    <col min="11" max="12" width="6.1640625" customWidth="1"/>
    <col min="13" max="13" width="10" customWidth="1"/>
    <col min="15" max="16384" width="11.1640625" style="1"/>
  </cols>
  <sheetData>
    <row r="1" spans="1:14" s="24" customFormat="1" x14ac:dyDescent="0.2">
      <c r="A1" s="8" t="s">
        <v>1077</v>
      </c>
      <c r="B1" s="8" t="s">
        <v>0</v>
      </c>
      <c r="C1" s="8" t="s">
        <v>1206</v>
      </c>
      <c r="D1" s="8" t="s">
        <v>31</v>
      </c>
      <c r="E1" s="8" t="s">
        <v>1299</v>
      </c>
      <c r="F1" s="8" t="s">
        <v>1243</v>
      </c>
      <c r="G1" s="8" t="s">
        <v>1070</v>
      </c>
      <c r="H1" s="8" t="s">
        <v>1071</v>
      </c>
      <c r="I1" s="8"/>
      <c r="J1" s="8"/>
      <c r="K1" s="8" t="s">
        <v>1297</v>
      </c>
      <c r="L1" s="8" t="s">
        <v>1336</v>
      </c>
      <c r="M1" s="8" t="s">
        <v>1302</v>
      </c>
      <c r="N1" s="8" t="s">
        <v>1303</v>
      </c>
    </row>
    <row r="2" spans="1:14" s="24" customFormat="1" x14ac:dyDescent="0.2">
      <c r="A2" s="15" t="s">
        <v>1309</v>
      </c>
      <c r="B2" s="8" t="s">
        <v>23</v>
      </c>
      <c r="C2" s="8" t="s">
        <v>23</v>
      </c>
      <c r="D2" s="15" t="s">
        <v>1310</v>
      </c>
      <c r="E2" s="8" t="s">
        <v>23</v>
      </c>
      <c r="F2" s="8">
        <v>36</v>
      </c>
      <c r="G2" s="8">
        <v>64</v>
      </c>
      <c r="H2" s="8">
        <v>34</v>
      </c>
      <c r="I2" s="8"/>
      <c r="J2" s="8"/>
      <c r="K2" s="8"/>
      <c r="L2" s="8"/>
      <c r="M2" s="8"/>
      <c r="N2" s="8"/>
    </row>
    <row r="3" spans="1:14" s="24" customFormat="1" x14ac:dyDescent="0.2">
      <c r="A3" s="15" t="s">
        <v>1394</v>
      </c>
      <c r="B3" s="8" t="s">
        <v>23</v>
      </c>
      <c r="C3" s="8" t="s">
        <v>23</v>
      </c>
      <c r="D3" s="15" t="s">
        <v>1310</v>
      </c>
      <c r="E3" s="8" t="s">
        <v>23</v>
      </c>
      <c r="F3" s="8">
        <v>39</v>
      </c>
      <c r="G3" s="8">
        <v>66</v>
      </c>
      <c r="H3" s="8">
        <v>30</v>
      </c>
      <c r="I3" s="8"/>
      <c r="J3" s="8"/>
      <c r="K3" s="8"/>
      <c r="L3" s="8"/>
      <c r="M3" s="8"/>
      <c r="N3" s="8"/>
    </row>
    <row r="4" spans="1:14" s="24" customFormat="1" x14ac:dyDescent="0.2">
      <c r="A4" s="15" t="s">
        <v>1394</v>
      </c>
      <c r="B4" s="8" t="s">
        <v>23</v>
      </c>
      <c r="C4" s="8" t="s">
        <v>23</v>
      </c>
      <c r="D4" s="15" t="s">
        <v>1310</v>
      </c>
      <c r="E4" s="8" t="s">
        <v>23</v>
      </c>
      <c r="F4" s="8">
        <v>41</v>
      </c>
      <c r="G4" s="8">
        <v>67</v>
      </c>
      <c r="H4" s="8">
        <v>30</v>
      </c>
      <c r="I4" s="8"/>
      <c r="J4" s="8"/>
      <c r="K4" s="8"/>
      <c r="L4" s="8"/>
      <c r="M4" s="8"/>
      <c r="N4" s="8"/>
    </row>
    <row r="5" spans="1:14" s="24" customFormat="1" x14ac:dyDescent="0.2">
      <c r="A5" s="15" t="s">
        <v>1394</v>
      </c>
      <c r="B5" s="8" t="s">
        <v>23</v>
      </c>
      <c r="C5" s="8" t="s">
        <v>23</v>
      </c>
      <c r="D5" s="15" t="s">
        <v>1310</v>
      </c>
      <c r="E5" s="8" t="s">
        <v>23</v>
      </c>
      <c r="F5" s="8">
        <v>42</v>
      </c>
      <c r="G5" s="8">
        <v>68</v>
      </c>
      <c r="H5" s="8">
        <v>30</v>
      </c>
      <c r="I5" s="8"/>
      <c r="J5" s="8"/>
      <c r="K5" s="8"/>
      <c r="L5" s="8"/>
      <c r="M5" s="8"/>
      <c r="N5" s="8"/>
    </row>
    <row r="6" spans="1:14" customFormat="1" x14ac:dyDescent="0.2">
      <c r="A6" s="3" t="str">
        <f>D6&amp;"__wt"</f>
        <v>smo_human__wt</v>
      </c>
      <c r="B6" s="3" t="str">
        <f>VLOOKUP(D6,Classification!A:D,3,FALSE)</f>
        <v>Protein</v>
      </c>
      <c r="C6" s="3" t="str">
        <f>VLOOKUP(D6,Classification!A:D,4,FALSE)</f>
        <v>Frizzled</v>
      </c>
      <c r="D6" s="3" t="s">
        <v>33</v>
      </c>
      <c r="E6" s="3">
        <f>VLOOKUP($D6,'SegEnds_NonXtal_Prot#'!$A:$AZ,30,FALSE)-VLOOKUP($D6,'SegEnds_NonXtal_Prot#'!$A:$AZ,29,FALSE)</f>
        <v>9</v>
      </c>
      <c r="F6" s="1">
        <f>VLOOKUP($D6,'SegEnds_NonXtal_Prot#'!$A:$AZ,31,FALSE)-VLOOKUP($D6,'SegEnds_NonXtal_Prot#'!$A:$AZ,28,FALSE)</f>
        <v>57</v>
      </c>
      <c r="G6" s="3">
        <f>50+VLOOKUP($A6,'SegEnds_Xtal_Prot#'!$A:$AY,39,FALSE)-VLOOKUP($D6,'SegEnds_NonXtal_Prot#'!$A:$AZ,28,FALSE)</f>
        <v>72</v>
      </c>
      <c r="H6" s="3">
        <f>50+VLOOKUP($A6,'SegEnds_Xtal_Prot#'!$A:$AY,41,FALSE)-VLOOKUP($D6,'SegEnds_NonXtal_Prot#'!$A:$AZ,31,FALSE)</f>
        <v>24</v>
      </c>
      <c r="I6" s="3"/>
      <c r="J6" s="3"/>
    </row>
  </sheetData>
  <conditionalFormatting sqref="C1:C1048576">
    <cfRule type="cellIs" dxfId="34" priority="8" operator="equal">
      <formula>"Opsins"</formula>
    </cfRule>
    <cfRule type="cellIs" dxfId="33" priority="9" operator="equal">
      <formula>"Opioid"</formula>
    </cfRule>
    <cfRule type="cellIs" dxfId="32" priority="10" operator="equal">
      <formula>"P2Y"</formula>
    </cfRule>
    <cfRule type="cellIs" dxfId="31" priority="11" operator="equal">
      <formula>"Chemokine"</formula>
    </cfRule>
  </conditionalFormatting>
  <conditionalFormatting sqref="B6">
    <cfRule type="cellIs" dxfId="30" priority="3" operator="equal">
      <formula>"Aminergic"</formula>
    </cfRule>
    <cfRule type="cellIs" dxfId="29" priority="4" operator="equal">
      <formula>"Opsins"</formula>
    </cfRule>
    <cfRule type="cellIs" dxfId="28" priority="5" operator="equal">
      <formula>"Opioid"</formula>
    </cfRule>
    <cfRule type="cellIs" dxfId="27" priority="6" operator="equal">
      <formula>"P2Y"</formula>
    </cfRule>
    <cfRule type="cellIs" dxfId="26" priority="7" operator="equal">
      <formula>"Chemokine"</formula>
    </cfRule>
  </conditionalFormatting>
  <conditionalFormatting sqref="F1:F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N5 H1:J1048576">
    <cfRule type="colorScale" priority="2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6">
    <cfRule type="colorScale" priority="2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 copies="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00B0F0"/>
  </sheetPr>
  <dimension ref="A1:AL411"/>
  <sheetViews>
    <sheetView zoomScale="135" zoomScaleNormal="135" zoomScalePageLayoutView="135" workbookViewId="0">
      <pane ySplit="1" topLeftCell="A362" activePane="bottomLeft" state="frozenSplit"/>
      <selection pane="bottomLeft" activeCell="Y374" sqref="Y374"/>
    </sheetView>
  </sheetViews>
  <sheetFormatPr baseColWidth="10" defaultColWidth="10.83203125" defaultRowHeight="16" x14ac:dyDescent="0.2"/>
  <cols>
    <col min="1" max="1" width="13.33203125" style="1" bestFit="1" customWidth="1"/>
    <col min="2" max="2" width="12.83203125" style="1" bestFit="1" customWidth="1"/>
    <col min="3" max="3" width="3.5" style="5" customWidth="1"/>
    <col min="4" max="4" width="3.1640625" style="1" bestFit="1" customWidth="1"/>
    <col min="5" max="6" width="3.6640625" style="1" bestFit="1" customWidth="1"/>
    <col min="7" max="7" width="3.1640625" style="1" bestFit="1" customWidth="1"/>
    <col min="8" max="8" width="3.1640625" style="12" bestFit="1" customWidth="1"/>
    <col min="9" max="10" width="4.1640625" style="1" bestFit="1" customWidth="1"/>
    <col min="11" max="11" width="3.1640625" style="12" bestFit="1" customWidth="1"/>
    <col min="12" max="12" width="3.1640625" style="1" bestFit="1" customWidth="1"/>
    <col min="13" max="13" width="3.6640625" style="1" bestFit="1" customWidth="1"/>
    <col min="14" max="14" width="3.6640625" style="12" bestFit="1" customWidth="1"/>
    <col min="15" max="15" width="3.1640625" style="87" bestFit="1" customWidth="1"/>
    <col min="16" max="16" width="3.33203125" style="1" customWidth="1"/>
    <col min="17" max="18" width="4.1640625" style="1" bestFit="1" customWidth="1"/>
    <col min="19" max="19" width="3.1640625" style="1" bestFit="1" customWidth="1"/>
    <col min="20" max="20" width="3.33203125" style="1" customWidth="1"/>
    <col min="21" max="26" width="3.1640625" style="1" bestFit="1" customWidth="1"/>
    <col min="27" max="27" width="3.33203125" style="27" customWidth="1"/>
    <col min="28" max="28" width="5" style="50" bestFit="1" customWidth="1"/>
    <col min="29" max="29" width="4.6640625" style="1" customWidth="1"/>
    <col min="30" max="30" width="8.1640625" style="1" customWidth="1"/>
    <col min="31" max="31" width="5" style="1" customWidth="1"/>
    <col min="32" max="32" width="6.83203125" style="1" customWidth="1"/>
    <col min="33" max="35" width="6.5" style="1" customWidth="1"/>
    <col min="36" max="36" width="5.83203125" style="1" customWidth="1"/>
    <col min="37" max="37" width="5" style="1" customWidth="1"/>
    <col min="38" max="16384" width="10.83203125" style="1"/>
  </cols>
  <sheetData>
    <row r="1" spans="1:38" x14ac:dyDescent="0.2">
      <c r="A1" s="10" t="s">
        <v>31</v>
      </c>
      <c r="B1" s="10" t="s">
        <v>1207</v>
      </c>
      <c r="C1" s="26" t="s">
        <v>1061</v>
      </c>
      <c r="D1" s="8" t="s">
        <v>1062</v>
      </c>
      <c r="E1" s="8" t="s">
        <v>1078</v>
      </c>
      <c r="F1" s="8" t="s">
        <v>1079</v>
      </c>
      <c r="G1" s="8" t="s">
        <v>1063</v>
      </c>
      <c r="H1" s="99" t="s">
        <v>1064</v>
      </c>
      <c r="I1" s="8" t="s">
        <v>1080</v>
      </c>
      <c r="J1" s="8" t="s">
        <v>1081</v>
      </c>
      <c r="K1" s="99" t="s">
        <v>1065</v>
      </c>
      <c r="L1" s="8" t="s">
        <v>1066</v>
      </c>
      <c r="M1" s="8" t="s">
        <v>1093</v>
      </c>
      <c r="N1" s="99" t="s">
        <v>1094</v>
      </c>
      <c r="O1" s="86" t="s">
        <v>1067</v>
      </c>
      <c r="P1" s="8" t="s">
        <v>1068</v>
      </c>
      <c r="Q1" s="8" t="s">
        <v>1096</v>
      </c>
      <c r="R1" s="8" t="s">
        <v>1097</v>
      </c>
      <c r="S1" s="8" t="s">
        <v>1069</v>
      </c>
      <c r="T1" s="8" t="s">
        <v>1070</v>
      </c>
      <c r="U1" s="8" t="s">
        <v>1071</v>
      </c>
      <c r="V1" s="8" t="s">
        <v>1072</v>
      </c>
      <c r="W1" s="8" t="s">
        <v>1073</v>
      </c>
      <c r="X1" s="8" t="s">
        <v>1074</v>
      </c>
      <c r="Y1" s="8" t="s">
        <v>1075</v>
      </c>
      <c r="Z1" s="8" t="s">
        <v>1076</v>
      </c>
      <c r="AA1" s="26" t="s">
        <v>99</v>
      </c>
      <c r="AB1" s="30" t="s">
        <v>1241</v>
      </c>
      <c r="AC1" s="30" t="s">
        <v>1292</v>
      </c>
      <c r="AD1" s="30" t="s">
        <v>1288</v>
      </c>
      <c r="AE1" s="30" t="s">
        <v>1242</v>
      </c>
      <c r="AF1" s="30" t="s">
        <v>1281</v>
      </c>
      <c r="AG1" s="26" t="s">
        <v>1285</v>
      </c>
      <c r="AH1" s="30" t="s">
        <v>1397</v>
      </c>
      <c r="AI1" s="30" t="s">
        <v>1243</v>
      </c>
      <c r="AJ1" s="30" t="s">
        <v>1240</v>
      </c>
      <c r="AK1" s="30" t="s">
        <v>1493</v>
      </c>
      <c r="AL1" s="30" t="s">
        <v>1227</v>
      </c>
    </row>
    <row r="2" spans="1:38" x14ac:dyDescent="0.2">
      <c r="A2" s="1" t="s">
        <v>220</v>
      </c>
      <c r="B2" s="1" t="str">
        <f>VLOOKUP(A2,Xtal_Templ!A:B,2,FALSE)</f>
        <v>aa1r_human</v>
      </c>
      <c r="C2" s="5">
        <f>VLOOKUP($B2&amp;"__wt",'SegEnds_Xtal_BW#'!$A:$Z,3,FALSE)</f>
        <v>29</v>
      </c>
      <c r="D2" s="1">
        <f>VLOOKUP($B2&amp;"__wt",'SegEnds_Xtal_BW#'!$A:$Z,4,FALSE)</f>
        <v>60</v>
      </c>
      <c r="E2" s="1">
        <f>VLOOKUP($B2&amp;"__wt",'SegEnds_Xtal_BW#'!$A:$Z,5,FALSE)</f>
        <v>48</v>
      </c>
      <c r="F2" s="1">
        <f>VLOOKUP($B2&amp;"__wt",'SegEnds_Xtal_BW#'!$A:$Z,6,FALSE)</f>
        <v>51</v>
      </c>
      <c r="G2" s="1">
        <v>37</v>
      </c>
      <c r="H2" s="12">
        <v>66</v>
      </c>
      <c r="I2" s="1">
        <f>VLOOKUP($B2&amp;"__wt",'SegEnds_Xtal_BW#'!$A:$Z,9,FALSE)</f>
        <v>50</v>
      </c>
      <c r="J2" s="1">
        <f>VLOOKUP($B2&amp;"__wt",'SegEnds_Xtal_BW#'!$A:$Z,10,FALSE)</f>
        <v>52</v>
      </c>
      <c r="K2" s="12">
        <v>24</v>
      </c>
      <c r="L2" s="1">
        <f>VLOOKUP($B2&amp;"__wt",'SegEnds_Xtal_BW#'!$A:$Z,12,FALSE)</f>
        <v>56</v>
      </c>
      <c r="M2" s="1">
        <f>VLOOKUP($B2&amp;"__wt",'SegEnds_Xtal_BW#'!$A:$Z,13,FALSE)</f>
        <v>50</v>
      </c>
      <c r="N2" s="12">
        <v>57</v>
      </c>
      <c r="O2" s="87">
        <v>38</v>
      </c>
      <c r="P2" s="1">
        <f>VLOOKUP($B2&amp;"__wt",'SegEnds_Xtal_BW#'!$A:$Z,16,FALSE)</f>
        <v>63</v>
      </c>
      <c r="Q2" s="1">
        <f>VLOOKUP($B2&amp;"__wt",'SegEnds_Xtal_BW#'!$A:$Z,17,FALSE)</f>
        <v>50</v>
      </c>
      <c r="R2" s="1">
        <f>VLOOKUP($B2&amp;"__wt",'SegEnds_Xtal_BW#'!$A:$Z,18,FALSE)</f>
        <v>52</v>
      </c>
      <c r="S2" s="1">
        <v>35</v>
      </c>
      <c r="T2" s="1">
        <f t="array" ref="T2">INDEX(ICL3_classA!$G$2:$G$37,MATCH(MIN(ABS(AI2-ICL3_classA!$F$2:$F$37)),ABS(AI2-ICL3_classA!$F$2:$F$37),0))</f>
        <v>76</v>
      </c>
      <c r="U2" s="1">
        <f t="array" ref="U2">INDEX(ICL3_classA!$H$2:$H$37,MATCH(MIN(ABS(AI2-ICL3_classA!$F$2:$F$37)),ABS(AI2-ICL3_classA!$F$2:$F$37),0))</f>
        <v>24</v>
      </c>
      <c r="V2" s="1">
        <v>58</v>
      </c>
      <c r="W2" s="1">
        <v>36</v>
      </c>
      <c r="X2" s="1">
        <f>VLOOKUP($B2&amp;"__wt",'SegEnds_Xtal_BW#'!$A:$Z,24,FALSE)</f>
        <v>56</v>
      </c>
      <c r="Y2" s="1">
        <f>VLOOKUP($B2&amp;"__wt",'SegEnds_Xtal_BW#'!$A:$Z,25,FALSE)</f>
        <v>47</v>
      </c>
      <c r="Z2" s="1">
        <f>VLOOKUP($B2&amp;"__wt",'SegEnds_Xtal_BW#'!$A:$Z,26,FALSE)</f>
        <v>69</v>
      </c>
      <c r="AA2" s="27" t="str">
        <f>VLOOKUP(A2,Classification!A:B,2,FALSE)</f>
        <v>A</v>
      </c>
      <c r="AB2" s="1">
        <f>VLOOKUP(A2,'SegEnds_NonXtal_Prot#'!A:AL,10,FALSE)-VLOOKUP(A2,'SegEnds_NonXtal_Prot#'!A:AL,4,FALSE)</f>
        <v>29</v>
      </c>
      <c r="AC2" s="1">
        <f>VLOOKUP(A2,'SegEnds_NonXtal_Prot#'!A:AL,10,FALSE)-VLOOKUP(A2,'SegEnds_NonXtal_Prot#'!A:AL,7,FALSE)</f>
        <v>16</v>
      </c>
      <c r="AD2" s="1">
        <f>VLOOKUP(A2,'SegEnds_NonXtal_Prot#'!A:AL,13,FALSE)-VLOOKUP(A2,'SegEnds_NonXtal_Prot#'!A:AL,10,FALSE)</f>
        <v>18</v>
      </c>
      <c r="AE2" s="1">
        <f>VLOOKUP(A2,'SegEnds_NonXtal_Prot#'!A:AL,16,FALSE)-VLOOKUP(A2,'SegEnds_NonXtal_Prot#'!A:AL,10,FALSE)</f>
        <v>50</v>
      </c>
      <c r="AF2" s="1">
        <f>VLOOKUP(A2,'SegEnds_NonXtal_Prot#'!A:AL,22,FALSE)-VLOOKUP(A2,'SegEnds_NonXtal_Prot#'!A:AL,19,FALSE)</f>
        <v>20</v>
      </c>
      <c r="AG2" s="1" t="e">
        <f>VLOOKUP(A2,'SegEnds_NonXtal_Prot#'!A:AL,28,FALSE)-VLOOKUP(A2,'SegEnds_NonXtal_Prot#'!A:AL,25,FALSE)</f>
        <v>#VALUE!</v>
      </c>
      <c r="AH2" s="1">
        <f>VLOOKUP(A2,'SegEnds_NonXtal_Prot#'!A:AL,28,FALSE)-VLOOKUP(A2,'SegEnds_NonXtal_Prot#'!A:AL,22,FALSE)</f>
        <v>38</v>
      </c>
      <c r="AI2" s="1">
        <f>VLOOKUP(A2,'SegEnds_NonXtal_Prot#'!A:AL,31,FALSE)-VLOOKUP(A2,'SegEnds_NonXtal_Prot#'!A:AL,28,FALSE)</f>
        <v>68</v>
      </c>
      <c r="AJ2" s="1">
        <f>VLOOKUP(A2,'SegEnds_NonXtal_Prot#'!A:AL,34,FALSE)-VLOOKUP(A2,'SegEnds_NonXtal_Prot#'!A:AL,31,FALSE)</f>
        <v>30</v>
      </c>
      <c r="AK2" s="1">
        <f>VLOOKUP(A2,'SegEnds_NonXtal_Prot#'!A:AL,37,FALSE)-VLOOKUP(A2,'SegEnds_NonXtal_Prot#'!A:AL,34,FALSE)</f>
        <v>11</v>
      </c>
      <c r="AL2" s="1" t="str">
        <f>IF(ISERROR(MATCH(A2,'SegEnds_Xtal_Prot#'!B:B, 0)), "NoXtal", "Xtal")</f>
        <v>NoXtal</v>
      </c>
    </row>
    <row r="3" spans="1:38" x14ac:dyDescent="0.2">
      <c r="A3" s="1" t="s">
        <v>264</v>
      </c>
      <c r="B3" s="1" t="str">
        <f>VLOOKUP(A3,Xtal_Templ!A:B,2,FALSE)</f>
        <v>drd3_human</v>
      </c>
      <c r="C3" s="5">
        <f>VLOOKUP($B3&amp;"__wt",'SegEnds_Xtal_BW#'!$A:$Z,3,FALSE)</f>
        <v>29</v>
      </c>
      <c r="D3" s="1">
        <f>VLOOKUP($B3&amp;"__wt",'SegEnds_Xtal_BW#'!$A:$Z,4,FALSE)</f>
        <v>60</v>
      </c>
      <c r="E3" s="1">
        <f>VLOOKUP($B3&amp;"__wt",'SegEnds_Xtal_BW#'!$A:$Z,5,FALSE)</f>
        <v>48</v>
      </c>
      <c r="F3" s="1">
        <f>VLOOKUP($B3&amp;"__wt",'SegEnds_Xtal_BW#'!$A:$Z,6,FALSE)</f>
        <v>51</v>
      </c>
      <c r="G3" s="1">
        <v>37</v>
      </c>
      <c r="H3" s="12">
        <f>VLOOKUP($B3&amp;"__wt",'SegEnds_Xtal_BW#'!$A:$Z,8,FALSE)</f>
        <v>67</v>
      </c>
      <c r="I3" s="1">
        <f>VLOOKUP($B3&amp;"__wt",'SegEnds_Xtal_BW#'!$A:$Z,9,FALSE)</f>
        <v>49</v>
      </c>
      <c r="J3" s="1">
        <f>VLOOKUP($B3&amp;"__wt",'SegEnds_Xtal_BW#'!$A:$Z,10,FALSE)</f>
        <v>52</v>
      </c>
      <c r="K3" s="12">
        <v>18</v>
      </c>
      <c r="L3" s="1">
        <f>VLOOKUP($B3&amp;"__wt",'SegEnds_Xtal_BW#'!$A:$Z,12,FALSE)</f>
        <v>56</v>
      </c>
      <c r="M3" s="1">
        <f>VLOOKUP($B3&amp;"__wt",'SegEnds_Xtal_BW#'!$A:$Z,13,FALSE)</f>
        <v>50</v>
      </c>
      <c r="N3" s="12">
        <f>VLOOKUP($B3&amp;"__wt",'SegEnds_Xtal_BW#'!$A:$Z,14,FALSE)</f>
        <v>58</v>
      </c>
      <c r="O3" s="87">
        <f>VLOOKUP($B3&amp;"__wt",'SegEnds_Xtal_BW#'!$A:$Z,15,FALSE)</f>
        <v>38</v>
      </c>
      <c r="P3" s="1">
        <f>VLOOKUP($B3&amp;"__wt",'SegEnds_Xtal_BW#'!$A:$Z,16,FALSE)</f>
        <v>63</v>
      </c>
      <c r="Q3" s="1">
        <f>VLOOKUP($B3&amp;"__wt",'SegEnds_Xtal_BW#'!$A:$Z,17,FALSE)</f>
        <v>50</v>
      </c>
      <c r="R3" s="1">
        <f>VLOOKUP($B3&amp;"__wt",'SegEnds_Xtal_BW#'!$A:$Z,18,FALSE)</f>
        <v>52</v>
      </c>
      <c r="S3" s="1">
        <v>35</v>
      </c>
      <c r="T3" s="1">
        <f t="array" ref="T3">INDEX(ICL3_classA!$G$2:$G$37,MATCH(MIN(ABS(AI3-ICL3_classA!$F$2:$F$37)),ABS(AI3-ICL3_classA!$F$2:$F$37),0))</f>
        <v>76</v>
      </c>
      <c r="U3" s="1">
        <f t="array" ref="U3">INDEX(ICL3_classA!$H$2:$H$37,MATCH(MIN(ABS(AI3-ICL3_classA!$F$2:$F$37)),ABS(AI3-ICL3_classA!$F$2:$F$37),0))</f>
        <v>24</v>
      </c>
      <c r="V3" s="1">
        <v>58</v>
      </c>
      <c r="W3" s="1">
        <v>35</v>
      </c>
      <c r="X3" s="1">
        <f>VLOOKUP($B3&amp;"__wt",'SegEnds_Xtal_BW#'!$A:$Z,24,FALSE)</f>
        <v>56</v>
      </c>
      <c r="Y3" s="1">
        <f>VLOOKUP($B3&amp;"__wt",'SegEnds_Xtal_BW#'!$A:$Z,25,FALSE)</f>
        <v>47</v>
      </c>
      <c r="Z3" s="1">
        <f>VLOOKUP($B3&amp;"__wt",'SegEnds_Xtal_BW#'!$A:$Z,26,FALSE)</f>
        <v>59</v>
      </c>
      <c r="AA3" s="27" t="str">
        <f>VLOOKUP(A3,Classification!A:B,2,FALSE)</f>
        <v>A</v>
      </c>
      <c r="AB3" s="1">
        <f>VLOOKUP(A3,'SegEnds_NonXtal_Prot#'!A:AL,10,FALSE)-VLOOKUP(A3,'SegEnds_NonXtal_Prot#'!A:AL,4,FALSE)</f>
        <v>26</v>
      </c>
      <c r="AC3" s="1" t="e">
        <f>VLOOKUP(A3,'SegEnds_NonXtal_Prot#'!A:AL,10,FALSE)-VLOOKUP(A3,'SegEnds_NonXtal_Prot#'!A:AL,7,FALSE)</f>
        <v>#VALUE!</v>
      </c>
      <c r="AD3" s="1" t="e">
        <f>VLOOKUP(A3,'SegEnds_NonXtal_Prot#'!A:AL,13,FALSE)-VLOOKUP(A3,'SegEnds_NonXtal_Prot#'!A:AL,10,FALSE)</f>
        <v>#VALUE!</v>
      </c>
      <c r="AE3" s="1">
        <f>VLOOKUP(A3,'SegEnds_NonXtal_Prot#'!A:AL,16,FALSE)-VLOOKUP(A3,'SegEnds_NonXtal_Prot#'!A:AL,10,FALSE)</f>
        <v>55</v>
      </c>
      <c r="AF3" s="1" t="e">
        <f>VLOOKUP(A3,'SegEnds_NonXtal_Prot#'!A:AL,22,FALSE)-VLOOKUP(A3,'SegEnds_NonXtal_Prot#'!A:AL,19,FALSE)</f>
        <v>#VALUE!</v>
      </c>
      <c r="AG3" s="1">
        <f>VLOOKUP(A3,'SegEnds_NonXtal_Prot#'!A:AL,28,FALSE)-VLOOKUP(A3,'SegEnds_NonXtal_Prot#'!A:AL,25,FALSE)</f>
        <v>22</v>
      </c>
      <c r="AH3" s="1">
        <f>VLOOKUP(A3,'SegEnds_NonXtal_Prot#'!A:AL,28,FALSE)-VLOOKUP(A3,'SegEnds_NonXtal_Prot#'!A:AL,22,FALSE)</f>
        <v>47</v>
      </c>
      <c r="AI3" s="1">
        <f>VLOOKUP(A3,'SegEnds_NonXtal_Prot#'!A:AL,31,FALSE)-VLOOKUP(A3,'SegEnds_NonXtal_Prot#'!A:AL,28,FALSE)</f>
        <v>72</v>
      </c>
      <c r="AJ3" s="1">
        <f>VLOOKUP(A3,'SegEnds_NonXtal_Prot#'!A:AL,34,FALSE)-VLOOKUP(A3,'SegEnds_NonXtal_Prot#'!A:AL,31,FALSE)</f>
        <v>31</v>
      </c>
      <c r="AK3" s="1">
        <f>VLOOKUP(A3,'SegEnds_NonXtal_Prot#'!A:AL,37,FALSE)-VLOOKUP(A3,'SegEnds_NonXtal_Prot#'!A:AL,34,FALSE)</f>
        <v>10</v>
      </c>
      <c r="AL3" s="1" t="str">
        <f>IF(ISERROR(MATCH(A3,'SegEnds_Xtal_Prot#'!B:B, 0)), "NoXtal", "Xtal")</f>
        <v>NoXtal</v>
      </c>
    </row>
    <row r="4" spans="1:38" x14ac:dyDescent="0.2">
      <c r="A4" s="4" t="s">
        <v>238</v>
      </c>
      <c r="B4" s="4" t="str">
        <f>VLOOKUP(A4,Xtal_Templ!A:B,2,FALSE)</f>
        <v>lpar1_human</v>
      </c>
      <c r="C4" s="5">
        <f>VLOOKUP($B4&amp;"__wt",'SegEnds_Xtal_BW#'!$A:$Z,3,FALSE)</f>
        <v>30</v>
      </c>
      <c r="D4" s="4">
        <f>VLOOKUP($B4&amp;"__wt",'SegEnds_Xtal_BW#'!$A:$Z,4,FALSE)</f>
        <v>60</v>
      </c>
      <c r="E4" s="4">
        <f>VLOOKUP($B4&amp;"__wt",'SegEnds_Xtal_BW#'!$A:$Z,5,FALSE)</f>
        <v>48</v>
      </c>
      <c r="F4" s="4">
        <f>VLOOKUP($B4&amp;"__wt",'SegEnds_Xtal_BW#'!$A:$Z,6,FALSE)</f>
        <v>51</v>
      </c>
      <c r="G4" s="4">
        <v>37</v>
      </c>
      <c r="H4" s="11">
        <v>62</v>
      </c>
      <c r="I4" s="4">
        <v>48</v>
      </c>
      <c r="J4" s="4">
        <v>52</v>
      </c>
      <c r="K4" s="11">
        <v>24</v>
      </c>
      <c r="L4" s="4">
        <f>VLOOKUP($B4&amp;"__wt",'SegEnds_Xtal_BW#'!$A:$Z,12,FALSE)</f>
        <v>56</v>
      </c>
      <c r="M4" s="4">
        <f>VLOOKUP($B4&amp;"__wt",'SegEnds_Xtal_BW#'!$A:$Z,13,FALSE)</f>
        <v>50</v>
      </c>
      <c r="N4" s="11">
        <v>57</v>
      </c>
      <c r="O4" s="88">
        <v>38</v>
      </c>
      <c r="P4" s="4">
        <f>VLOOKUP($B4&amp;"__wt",'SegEnds_Xtal_BW#'!$A:$Z,16,FALSE)</f>
        <v>63</v>
      </c>
      <c r="Q4" s="4" t="str">
        <f>VLOOKUP($B4&amp;"__wt",'SegEnds_Xtal_BW#'!$A:$Z,17,FALSE)</f>
        <v>-</v>
      </c>
      <c r="R4" s="4" t="str">
        <f>VLOOKUP($B4&amp;"__wt",'SegEnds_Xtal_BW#'!$A:$Z,18,FALSE)</f>
        <v>-</v>
      </c>
      <c r="S4" s="4">
        <f>VLOOKUP($B4&amp;"__wt",'SegEnds_Xtal_BW#'!$A:$Z,19,FALSE)</f>
        <v>36</v>
      </c>
      <c r="T4" s="4">
        <f t="array" ref="T4">INDEX(ICL3_classA!$G$2:$G$37,MATCH(MIN(ABS(AI4-ICL3_classA!$F$2:$F$37)),ABS(AI4-ICL3_classA!$F$2:$F$37),0))</f>
        <v>73</v>
      </c>
      <c r="U4" s="4">
        <f t="array" ref="U4">INDEX(ICL3_classA!$H$2:$H$37,MATCH(MIN(ABS(AI4-ICL3_classA!$F$2:$F$37)),ABS(AI4-ICL3_classA!$F$2:$F$37),0))</f>
        <v>22</v>
      </c>
      <c r="V4" s="4">
        <v>61</v>
      </c>
      <c r="W4" s="4">
        <v>34</v>
      </c>
      <c r="X4" s="4">
        <f>VLOOKUP($B4&amp;"__wt",'SegEnds_Xtal_BW#'!$A:$Z,24,FALSE)</f>
        <v>56</v>
      </c>
      <c r="Y4" s="4">
        <f>VLOOKUP($B4&amp;"__wt",'SegEnds_Xtal_BW#'!$A:$Z,25,FALSE)</f>
        <v>47</v>
      </c>
      <c r="Z4" s="4">
        <f>VLOOKUP($B4&amp;"__wt",'SegEnds_Xtal_BW#'!$A:$Z,26,FALSE)</f>
        <v>59</v>
      </c>
      <c r="AA4" s="27" t="str">
        <f>VLOOKUP(A4,Classification!A:B,2,FALSE)</f>
        <v>A</v>
      </c>
      <c r="AB4" s="1">
        <f>VLOOKUP(A4,'SegEnds_NonXtal_Prot#'!A:AL,10,FALSE)-VLOOKUP(A4,'SegEnds_NonXtal_Prot#'!A:AL,4,FALSE)</f>
        <v>28</v>
      </c>
      <c r="AC4" s="4" t="e">
        <f>VLOOKUP(A4,'SegEnds_NonXtal_Prot#'!A:AL,10,FALSE)-VLOOKUP(A4,'SegEnds_NonXtal_Prot#'!A:AL,7,FALSE)</f>
        <v>#VALUE!</v>
      </c>
      <c r="AD4" s="4">
        <f>VLOOKUP(A4,'SegEnds_NonXtal_Prot#'!A:AL,13,FALSE)-VLOOKUP(A4,'SegEnds_NonXtal_Prot#'!A:AL,10,FALSE)</f>
        <v>15</v>
      </c>
      <c r="AE4" s="4">
        <f>VLOOKUP(A4,'SegEnds_NonXtal_Prot#'!A:AL,16,FALSE)-VLOOKUP(A4,'SegEnds_NonXtal_Prot#'!A:AL,10,FALSE)</f>
        <v>48</v>
      </c>
      <c r="AF4" s="1">
        <f>VLOOKUP(A4,'SegEnds_NonXtal_Prot#'!A:AL,22,FALSE)-VLOOKUP(A4,'SegEnds_NonXtal_Prot#'!A:AL,19,FALSE)</f>
        <v>20</v>
      </c>
      <c r="AG4" s="4" t="e">
        <f>VLOOKUP(A4,'SegEnds_NonXtal_Prot#'!A:AL,28,FALSE)-VLOOKUP(A4,'SegEnds_NonXtal_Prot#'!A:AL,25,FALSE)</f>
        <v>#VALUE!</v>
      </c>
      <c r="AH4" s="1">
        <f>VLOOKUP(A4,'SegEnds_NonXtal_Prot#'!A:AL,28,FALSE)-VLOOKUP(A4,'SegEnds_NonXtal_Prot#'!A:AL,22,FALSE)</f>
        <v>44</v>
      </c>
      <c r="AI4" s="4">
        <f>VLOOKUP(A4,'SegEnds_NonXtal_Prot#'!A:AL,31,FALSE)-VLOOKUP(A4,'SegEnds_NonXtal_Prot#'!A:AL,28,FALSE)</f>
        <v>57</v>
      </c>
      <c r="AJ4" s="4">
        <f>VLOOKUP(A4,'SegEnds_NonXtal_Prot#'!A:AL,34,FALSE)-VLOOKUP(A4,'SegEnds_NonXtal_Prot#'!A:AL,31,FALSE)</f>
        <v>32</v>
      </c>
      <c r="AK4" s="1">
        <f>VLOOKUP(A4,'SegEnds_NonXtal_Prot#'!A:AL,37,FALSE)-VLOOKUP(A4,'SegEnds_NonXtal_Prot#'!A:AL,34,FALSE)</f>
        <v>10</v>
      </c>
      <c r="AL4" s="1" t="str">
        <f>IF(ISERROR(MATCH(A4,'SegEnds_Xtal_Prot#'!B:B, 0)), "NoXtal", "Xtal")</f>
        <v>NoXtal</v>
      </c>
    </row>
    <row r="5" spans="1:38" x14ac:dyDescent="0.2">
      <c r="A5" s="1" t="s">
        <v>249</v>
      </c>
      <c r="B5" s="1" t="str">
        <f>VLOOKUP(A5,Xtal_Templ!A:B,2,FALSE)</f>
        <v>lpar1_human</v>
      </c>
      <c r="C5" s="5">
        <f>VLOOKUP($B5&amp;"__wt",'SegEnds_Xtal_BW#'!$A:$Z,3,FALSE)</f>
        <v>30</v>
      </c>
      <c r="D5" s="1">
        <f>VLOOKUP($B5&amp;"__wt",'SegEnds_Xtal_BW#'!$A:$Z,4,FALSE)</f>
        <v>60</v>
      </c>
      <c r="E5" s="1">
        <f>VLOOKUP($B5&amp;"__wt",'SegEnds_Xtal_BW#'!$A:$Z,5,FALSE)</f>
        <v>48</v>
      </c>
      <c r="F5" s="1">
        <f>VLOOKUP($B5&amp;"__wt",'SegEnds_Xtal_BW#'!$A:$Z,6,FALSE)</f>
        <v>51</v>
      </c>
      <c r="G5" s="1">
        <v>37</v>
      </c>
      <c r="H5" s="12">
        <v>62</v>
      </c>
      <c r="I5" s="1">
        <v>48</v>
      </c>
      <c r="J5" s="1">
        <v>52</v>
      </c>
      <c r="K5" s="12">
        <v>24</v>
      </c>
      <c r="L5" s="1">
        <f>VLOOKUP($B5&amp;"__wt",'SegEnds_Xtal_BW#'!$A:$Z,12,FALSE)</f>
        <v>56</v>
      </c>
      <c r="M5" s="1">
        <f>VLOOKUP($B5&amp;"__wt",'SegEnds_Xtal_BW#'!$A:$Z,13,FALSE)</f>
        <v>50</v>
      </c>
      <c r="N5" s="12">
        <v>57</v>
      </c>
      <c r="O5" s="87">
        <v>38</v>
      </c>
      <c r="P5" s="1">
        <f>VLOOKUP($B5&amp;"__wt",'SegEnds_Xtal_BW#'!$A:$Z,16,FALSE)</f>
        <v>63</v>
      </c>
      <c r="Q5" s="1" t="str">
        <f>VLOOKUP($B5&amp;"__wt",'SegEnds_Xtal_BW#'!$A:$Z,17,FALSE)</f>
        <v>-</v>
      </c>
      <c r="R5" s="1" t="str">
        <f>VLOOKUP($B5&amp;"__wt",'SegEnds_Xtal_BW#'!$A:$Z,18,FALSE)</f>
        <v>-</v>
      </c>
      <c r="S5" s="1">
        <f>VLOOKUP($B5&amp;"__wt",'SegEnds_Xtal_BW#'!$A:$Z,19,FALSE)</f>
        <v>36</v>
      </c>
      <c r="T5" s="1">
        <f t="array" ref="T5">INDEX(ICL3_classA!$G$2:$G$37,MATCH(MIN(ABS(AI5-ICL3_classA!$F$2:$F$37)),ABS(AI5-ICL3_classA!$F$2:$F$37),0))</f>
        <v>73</v>
      </c>
      <c r="U5" s="1">
        <f t="array" ref="U5">INDEX(ICL3_classA!$H$2:$H$37,MATCH(MIN(ABS(AI5-ICL3_classA!$F$2:$F$37)),ABS(AI5-ICL3_classA!$F$2:$F$37),0))</f>
        <v>22</v>
      </c>
      <c r="V5" s="1">
        <v>61</v>
      </c>
      <c r="W5" s="1">
        <v>34</v>
      </c>
      <c r="X5" s="1">
        <f>VLOOKUP($B5&amp;"__wt",'SegEnds_Xtal_BW#'!$A:$Z,24,FALSE)</f>
        <v>56</v>
      </c>
      <c r="Y5" s="1">
        <f>VLOOKUP($B5&amp;"__wt",'SegEnds_Xtal_BW#'!$A:$Z,25,FALSE)</f>
        <v>47</v>
      </c>
      <c r="Z5" s="1">
        <f>VLOOKUP($B5&amp;"__wt",'SegEnds_Xtal_BW#'!$A:$Z,26,FALSE)</f>
        <v>59</v>
      </c>
      <c r="AA5" s="27" t="str">
        <f>VLOOKUP(A5,Classification!A:B,2,FALSE)</f>
        <v>A</v>
      </c>
      <c r="AB5" s="1">
        <f>VLOOKUP(A5,'SegEnds_NonXtal_Prot#'!A:AL,10,FALSE)-VLOOKUP(A5,'SegEnds_NonXtal_Prot#'!A:AL,4,FALSE)</f>
        <v>28</v>
      </c>
      <c r="AC5" s="1">
        <f>VLOOKUP(A5,'SegEnds_NonXtal_Prot#'!A:AL,10,FALSE)-VLOOKUP(A5,'SegEnds_NonXtal_Prot#'!A:AL,7,FALSE)</f>
        <v>15</v>
      </c>
      <c r="AD5" s="1">
        <f>VLOOKUP(A5,'SegEnds_NonXtal_Prot#'!A:AL,13,FALSE)-VLOOKUP(A5,'SegEnds_NonXtal_Prot#'!A:AL,10,FALSE)</f>
        <v>15</v>
      </c>
      <c r="AE5" s="1">
        <f>VLOOKUP(A5,'SegEnds_NonXtal_Prot#'!A:AL,16,FALSE)-VLOOKUP(A5,'SegEnds_NonXtal_Prot#'!A:AL,10,FALSE)</f>
        <v>48</v>
      </c>
      <c r="AF5" s="1">
        <f>VLOOKUP(A5,'SegEnds_NonXtal_Prot#'!A:AL,22,FALSE)-VLOOKUP(A5,'SegEnds_NonXtal_Prot#'!A:AL,19,FALSE)</f>
        <v>20</v>
      </c>
      <c r="AG5" s="1" t="e">
        <f>VLOOKUP(A5,'SegEnds_NonXtal_Prot#'!A:AL,28,FALSE)-VLOOKUP(A5,'SegEnds_NonXtal_Prot#'!A:AL,25,FALSE)</f>
        <v>#VALUE!</v>
      </c>
      <c r="AH5" s="1">
        <f>VLOOKUP(A5,'SegEnds_NonXtal_Prot#'!A:AL,28,FALSE)-VLOOKUP(A5,'SegEnds_NonXtal_Prot#'!A:AL,22,FALSE)</f>
        <v>44</v>
      </c>
      <c r="AI5" s="1">
        <f>VLOOKUP(A5,'SegEnds_NonXtal_Prot#'!A:AL,31,FALSE)-VLOOKUP(A5,'SegEnds_NonXtal_Prot#'!A:AL,28,FALSE)</f>
        <v>57</v>
      </c>
      <c r="AJ5" s="1">
        <f>VLOOKUP(A5,'SegEnds_NonXtal_Prot#'!A:AL,34,FALSE)-VLOOKUP(A5,'SegEnds_NonXtal_Prot#'!A:AL,31,FALSE)</f>
        <v>32</v>
      </c>
      <c r="AK5" s="1">
        <f>VLOOKUP(A5,'SegEnds_NonXtal_Prot#'!A:AL,37,FALSE)-VLOOKUP(A5,'SegEnds_NonXtal_Prot#'!A:AL,34,FALSE)</f>
        <v>10</v>
      </c>
      <c r="AL5" s="1" t="str">
        <f>IF(ISERROR(MATCH(A5,'SegEnds_Xtal_Prot#'!B:B, 0)), "NoXtal", "Xtal")</f>
        <v>NoXtal</v>
      </c>
    </row>
    <row r="6" spans="1:38" x14ac:dyDescent="0.2">
      <c r="A6" s="1" t="s">
        <v>262</v>
      </c>
      <c r="B6" s="1" t="str">
        <f>VLOOKUP(A6,Xtal_Templ!A:B,2,FALSE)</f>
        <v>s1pr1_human</v>
      </c>
      <c r="C6" s="5">
        <f>VLOOKUP($B6&amp;"__wt",'SegEnds_Xtal_BW#'!$A:$Z,3,FALSE)</f>
        <v>29</v>
      </c>
      <c r="D6" s="1">
        <f>VLOOKUP($B6&amp;"__wt",'SegEnds_Xtal_BW#'!$A:$Z,4,FALSE)</f>
        <v>60</v>
      </c>
      <c r="E6" s="1">
        <f>VLOOKUP($B6&amp;"__wt",'SegEnds_Xtal_BW#'!$A:$Z,5,FALSE)</f>
        <v>48</v>
      </c>
      <c r="F6" s="1">
        <f>VLOOKUP($B6&amp;"__wt",'SegEnds_Xtal_BW#'!$A:$Z,6,FALSE)</f>
        <v>51</v>
      </c>
      <c r="G6" s="1">
        <v>37</v>
      </c>
      <c r="H6" s="12">
        <v>62</v>
      </c>
      <c r="I6" s="1">
        <v>48</v>
      </c>
      <c r="J6" s="1">
        <v>52</v>
      </c>
      <c r="K6" s="12">
        <v>24</v>
      </c>
      <c r="L6" s="1">
        <f>VLOOKUP($B6&amp;"__wt",'SegEnds_Xtal_BW#'!$A:$Z,12,FALSE)</f>
        <v>56</v>
      </c>
      <c r="M6" s="1">
        <f>VLOOKUP($B6&amp;"__wt",'SegEnds_Xtal_BW#'!$A:$Z,13,FALSE)</f>
        <v>50</v>
      </c>
      <c r="N6" s="12">
        <v>57</v>
      </c>
      <c r="O6" s="87">
        <v>38</v>
      </c>
      <c r="P6" s="1">
        <f>VLOOKUP($B6&amp;"__wt",'SegEnds_Xtal_BW#'!$A:$Z,16,FALSE)</f>
        <v>63</v>
      </c>
      <c r="Q6" s="1" t="str">
        <f>VLOOKUP($B6&amp;"__wt",'SegEnds_Xtal_BW#'!$A:$Z,17,FALSE)</f>
        <v>-</v>
      </c>
      <c r="R6" s="1" t="str">
        <f>VLOOKUP($B6&amp;"__wt",'SegEnds_Xtal_BW#'!$A:$Z,18,FALSE)</f>
        <v>-</v>
      </c>
      <c r="S6" s="1">
        <f>VLOOKUP($B6&amp;"__wt",'SegEnds_Xtal_BW#'!$A:$Z,19,FALSE)</f>
        <v>36</v>
      </c>
      <c r="T6" s="1">
        <f t="array" ref="T6">INDEX(ICL3_classA!$G$2:$G$37,MATCH(MIN(ABS(AI6-ICL3_classA!$F$2:$F$37)),ABS(AI6-ICL3_classA!$F$2:$F$37),0))</f>
        <v>73</v>
      </c>
      <c r="U6" s="1">
        <f t="array" ref="U6">INDEX(ICL3_classA!$H$2:$H$37,MATCH(MIN(ABS(AI6-ICL3_classA!$F$2:$F$37)),ABS(AI6-ICL3_classA!$F$2:$F$37),0))</f>
        <v>22</v>
      </c>
      <c r="V6" s="1">
        <v>61</v>
      </c>
      <c r="W6" s="1">
        <v>34</v>
      </c>
      <c r="X6" s="1">
        <f>VLOOKUP($B6&amp;"__wt",'SegEnds_Xtal_BW#'!$A:$Z,24,FALSE)</f>
        <v>56</v>
      </c>
      <c r="Y6" s="1">
        <f>VLOOKUP($B6&amp;"__wt",'SegEnds_Xtal_BW#'!$A:$Z,25,FALSE)</f>
        <v>47</v>
      </c>
      <c r="Z6" s="1">
        <f>VLOOKUP($B6&amp;"__wt",'SegEnds_Xtal_BW#'!$A:$Z,26,FALSE)</f>
        <v>59</v>
      </c>
      <c r="AA6" s="27" t="str">
        <f>VLOOKUP(A6,Classification!A:B,2,FALSE)</f>
        <v>A</v>
      </c>
      <c r="AB6" s="1">
        <f>VLOOKUP(A6,'SegEnds_NonXtal_Prot#'!A:AL,10,FALSE)-VLOOKUP(A6,'SegEnds_NonXtal_Prot#'!A:AL,4,FALSE)</f>
        <v>28</v>
      </c>
      <c r="AC6" s="1">
        <f>VLOOKUP(A6,'SegEnds_NonXtal_Prot#'!A:AL,10,FALSE)-VLOOKUP(A6,'SegEnds_NonXtal_Prot#'!A:AL,7,FALSE)</f>
        <v>15</v>
      </c>
      <c r="AD6" s="1">
        <f>VLOOKUP(A6,'SegEnds_NonXtal_Prot#'!A:AL,13,FALSE)-VLOOKUP(A6,'SegEnds_NonXtal_Prot#'!A:AL,10,FALSE)</f>
        <v>15</v>
      </c>
      <c r="AE6" s="1">
        <f>VLOOKUP(A6,'SegEnds_NonXtal_Prot#'!A:AL,16,FALSE)-VLOOKUP(A6,'SegEnds_NonXtal_Prot#'!A:AL,10,FALSE)</f>
        <v>48</v>
      </c>
      <c r="AF6" s="1">
        <f>VLOOKUP(A6,'SegEnds_NonXtal_Prot#'!A:AL,22,FALSE)-VLOOKUP(A6,'SegEnds_NonXtal_Prot#'!A:AL,19,FALSE)</f>
        <v>20</v>
      </c>
      <c r="AG6" s="1" t="e">
        <f>VLOOKUP(A6,'SegEnds_NonXtal_Prot#'!A:AL,28,FALSE)-VLOOKUP(A6,'SegEnds_NonXtal_Prot#'!A:AL,25,FALSE)</f>
        <v>#VALUE!</v>
      </c>
      <c r="AH6" s="1">
        <f>VLOOKUP(A6,'SegEnds_NonXtal_Prot#'!A:AL,28,FALSE)-VLOOKUP(A6,'SegEnds_NonXtal_Prot#'!A:AL,22,FALSE)</f>
        <v>44</v>
      </c>
      <c r="AI6" s="1">
        <f>VLOOKUP(A6,'SegEnds_NonXtal_Prot#'!A:AL,31,FALSE)-VLOOKUP(A6,'SegEnds_NonXtal_Prot#'!A:AL,28,FALSE)</f>
        <v>57</v>
      </c>
      <c r="AJ6" s="1">
        <f>VLOOKUP(A6,'SegEnds_NonXtal_Prot#'!A:AL,34,FALSE)-VLOOKUP(A6,'SegEnds_NonXtal_Prot#'!A:AL,31,FALSE)</f>
        <v>32</v>
      </c>
      <c r="AK6" s="1">
        <f>VLOOKUP(A6,'SegEnds_NonXtal_Prot#'!A:AL,37,FALSE)-VLOOKUP(A6,'SegEnds_NonXtal_Prot#'!A:AL,34,FALSE)</f>
        <v>10</v>
      </c>
      <c r="AL6" s="1" t="str">
        <f>IF(ISERROR(MATCH(A6,'SegEnds_Xtal_Prot#'!B:B, 0)), "NoXtal", "Xtal")</f>
        <v>NoXtal</v>
      </c>
    </row>
    <row r="7" spans="1:38" x14ac:dyDescent="0.2">
      <c r="A7" s="1" t="s">
        <v>295</v>
      </c>
      <c r="B7" s="1" t="str">
        <f>VLOOKUP(A7,Xtal_Templ!A:B,2,FALSE)</f>
        <v>ccr9_human</v>
      </c>
      <c r="C7" s="5">
        <f>VLOOKUP($B7&amp;"__wt",'SegEnds_Xtal_BW#'!$A:$Z,3,FALSE)</f>
        <v>27</v>
      </c>
      <c r="D7" s="1">
        <f>VLOOKUP($B7&amp;"__wt",'SegEnds_Xtal_BW#'!$A:$Z,4,FALSE)</f>
        <v>60</v>
      </c>
      <c r="E7" s="1">
        <f>VLOOKUP($B7&amp;"__wt",'SegEnds_Xtal_BW#'!$A:$Z,5,FALSE)</f>
        <v>48</v>
      </c>
      <c r="F7" s="1">
        <f>VLOOKUP($B7&amp;"__wt",'SegEnds_Xtal_BW#'!$A:$Z,6,FALSE)</f>
        <v>51</v>
      </c>
      <c r="G7" s="1">
        <v>37</v>
      </c>
      <c r="H7" s="12">
        <f>VLOOKUP($B7&amp;"__wt",'SegEnds_Xtal_BW#'!$A:$Z,8,FALSE)</f>
        <v>66</v>
      </c>
      <c r="I7" s="1">
        <f>VLOOKUP($B7&amp;"__wt",'SegEnds_Xtal_BW#'!$A:$Z,9,FALSE)</f>
        <v>49</v>
      </c>
      <c r="J7" s="1">
        <f>VLOOKUP($B7&amp;"__wt",'SegEnds_Xtal_BW#'!$A:$Z,10,FALSE)</f>
        <v>52</v>
      </c>
      <c r="K7" s="12">
        <v>18</v>
      </c>
      <c r="L7" s="1">
        <f>VLOOKUP($B7&amp;"__wt",'SegEnds_Xtal_BW#'!$A:$Z,12,FALSE)</f>
        <v>56</v>
      </c>
      <c r="M7" s="1">
        <f>VLOOKUP($B7&amp;"__wt",'SegEnds_Xtal_BW#'!$A:$Z,13,FALSE)</f>
        <v>50</v>
      </c>
      <c r="N7" s="12">
        <v>57</v>
      </c>
      <c r="O7" s="87">
        <v>38</v>
      </c>
      <c r="P7" s="1">
        <f>VLOOKUP($B7&amp;"__wt",'SegEnds_Xtal_BW#'!$A:$Z,16,FALSE)</f>
        <v>64</v>
      </c>
      <c r="Q7" s="1">
        <f>VLOOKUP($B7&amp;"__wt",'SegEnds_Xtal_BW#'!$A:$Z,17,FALSE)</f>
        <v>50</v>
      </c>
      <c r="R7" s="1">
        <f>VLOOKUP($B7&amp;"__wt",'SegEnds_Xtal_BW#'!$A:$Z,18,FALSE)</f>
        <v>52</v>
      </c>
      <c r="S7" s="1">
        <f>VLOOKUP($B7&amp;"__wt",'SegEnds_Xtal_BW#'!$A:$Z,19,FALSE)</f>
        <v>33</v>
      </c>
      <c r="T7" s="1">
        <f t="array" ref="T7">INDEX(ICL3_classA!$G$2:$G$37,MATCH(MIN(ABS(AI7-ICL3_classA!$F$2:$F$37)),ABS(AI7-ICL3_classA!$F$2:$F$37),0))</f>
        <v>68</v>
      </c>
      <c r="U7" s="1">
        <f t="array" ref="U7">INDEX(ICL3_classA!$H$2:$H$37,MATCH(MIN(ABS(AI7-ICL3_classA!$F$2:$F$37)),ABS(AI7-ICL3_classA!$F$2:$F$37),0))</f>
        <v>30</v>
      </c>
      <c r="V7" s="1">
        <v>61</v>
      </c>
      <c r="W7" s="1">
        <v>34</v>
      </c>
      <c r="X7" s="1">
        <f>VLOOKUP($B7&amp;"__wt",'SegEnds_Xtal_BW#'!$A:$Z,24,FALSE)</f>
        <v>56</v>
      </c>
      <c r="Y7" s="1">
        <f>VLOOKUP($B7&amp;"__wt",'SegEnds_Xtal_BW#'!$A:$Z,25,FALSE)</f>
        <v>47</v>
      </c>
      <c r="Z7" s="1">
        <f>VLOOKUP($B7&amp;"__wt",'SegEnds_Xtal_BW#'!$A:$Z,26,FALSE)</f>
        <v>67</v>
      </c>
      <c r="AA7" s="27" t="str">
        <f>VLOOKUP(A7,Classification!A:B,2,FALSE)</f>
        <v>A</v>
      </c>
      <c r="AB7" s="1">
        <f>VLOOKUP(A7,'SegEnds_NonXtal_Prot#'!A:AL,10,FALSE)-VLOOKUP(A7,'SegEnds_NonXtal_Prot#'!A:AL,4,FALSE)</f>
        <v>26</v>
      </c>
      <c r="AC7" s="1" t="e">
        <f>VLOOKUP(A7,'SegEnds_NonXtal_Prot#'!A:AL,10,FALSE)-VLOOKUP(A7,'SegEnds_NonXtal_Prot#'!A:AL,7,FALSE)</f>
        <v>#VALUE!</v>
      </c>
      <c r="AD7" s="1" t="e">
        <f>VLOOKUP(A7,'SegEnds_NonXtal_Prot#'!A:AL,13,FALSE)-VLOOKUP(A7,'SegEnds_NonXtal_Prot#'!A:AL,10,FALSE)</f>
        <v>#VALUE!</v>
      </c>
      <c r="AE7" s="1">
        <f>VLOOKUP(A7,'SegEnds_NonXtal_Prot#'!A:AL,16,FALSE)-VLOOKUP(A7,'SegEnds_NonXtal_Prot#'!A:AL,10,FALSE)</f>
        <v>52</v>
      </c>
      <c r="AF7" s="1">
        <f>VLOOKUP(A7,'SegEnds_NonXtal_Prot#'!A:AL,22,FALSE)-VLOOKUP(A7,'SegEnds_NonXtal_Prot#'!A:AL,19,FALSE)</f>
        <v>20</v>
      </c>
      <c r="AG7" s="1" t="e">
        <f>VLOOKUP(A7,'SegEnds_NonXtal_Prot#'!A:AL,28,FALSE)-VLOOKUP(A7,'SegEnds_NonXtal_Prot#'!A:AL,25,FALSE)</f>
        <v>#VALUE!</v>
      </c>
      <c r="AH7" s="1">
        <f>VLOOKUP(A7,'SegEnds_NonXtal_Prot#'!A:AL,28,FALSE)-VLOOKUP(A7,'SegEnds_NonXtal_Prot#'!A:AL,22,FALSE)</f>
        <v>39</v>
      </c>
      <c r="AI7" s="1">
        <f>VLOOKUP(A7,'SegEnds_NonXtal_Prot#'!A:AL,31,FALSE)-VLOOKUP(A7,'SegEnds_NonXtal_Prot#'!A:AL,28,FALSE)</f>
        <v>42</v>
      </c>
      <c r="AJ7" s="1">
        <f>VLOOKUP(A7,'SegEnds_NonXtal_Prot#'!A:AL,34,FALSE)-VLOOKUP(A7,'SegEnds_NonXtal_Prot#'!A:AL,31,FALSE)</f>
        <v>32</v>
      </c>
      <c r="AK7" s="1">
        <f>VLOOKUP(A7,'SegEnds_NonXtal_Prot#'!A:AL,37,FALSE)-VLOOKUP(A7,'SegEnds_NonXtal_Prot#'!A:AL,34,FALSE)</f>
        <v>10</v>
      </c>
      <c r="AL7" s="1" t="str">
        <f>IF(ISERROR(MATCH(A7,'SegEnds_Xtal_Prot#'!B:B, 0)), "NoXtal", "Xtal")</f>
        <v>NoXtal</v>
      </c>
    </row>
    <row r="8" spans="1:38" x14ac:dyDescent="0.2">
      <c r="A8" s="1" t="s">
        <v>198</v>
      </c>
      <c r="B8" s="1" t="str">
        <f>VLOOKUP(A8,Xtal_Templ!A:B,2,FALSE)</f>
        <v>par2_human</v>
      </c>
      <c r="C8" s="5">
        <f>VLOOKUP($B8&amp;"__wt",'SegEnds_Xtal_BW#'!$A:$Z,3,FALSE)</f>
        <v>28</v>
      </c>
      <c r="D8" s="1">
        <f>VLOOKUP($B8&amp;"__wt",'SegEnds_Xtal_BW#'!$A:$Z,4,FALSE)</f>
        <v>60</v>
      </c>
      <c r="E8" s="1" t="str">
        <f>VLOOKUP($B8&amp;"__wt",'SegEnds_Xtal_BW#'!$A:$Z,5,FALSE)</f>
        <v>-</v>
      </c>
      <c r="F8" s="1" t="str">
        <f>VLOOKUP($B8&amp;"__wt",'SegEnds_Xtal_BW#'!$A:$Z,6,FALSE)</f>
        <v>-</v>
      </c>
      <c r="G8" s="1">
        <v>37</v>
      </c>
      <c r="H8" s="12">
        <f>VLOOKUP($B8&amp;"__wt",'SegEnds_Xtal_BW#'!$A:$Z,8,FALSE)</f>
        <v>66</v>
      </c>
      <c r="I8" s="1">
        <f>VLOOKUP($B8&amp;"__wt",'SegEnds_Xtal_BW#'!$A:$Z,9,FALSE)</f>
        <v>47</v>
      </c>
      <c r="J8" s="1">
        <f>VLOOKUP($B8&amp;"__wt",'SegEnds_Xtal_BW#'!$A:$Z,10,FALSE)</f>
        <v>52</v>
      </c>
      <c r="K8" s="12">
        <v>18</v>
      </c>
      <c r="L8" s="1">
        <f>VLOOKUP($B8&amp;"__wt",'SegEnds_Xtal_BW#'!$A:$Z,12,FALSE)</f>
        <v>56</v>
      </c>
      <c r="M8" s="1">
        <f>VLOOKUP($B8&amp;"__wt",'SegEnds_Xtal_BW#'!$A:$Z,13,FALSE)</f>
        <v>50</v>
      </c>
      <c r="N8" s="12">
        <v>57</v>
      </c>
      <c r="O8" s="87">
        <f>VLOOKUP($B8&amp;"__wt",'SegEnds_Xtal_BW#'!$A:$Z,15,FALSE)</f>
        <v>38</v>
      </c>
      <c r="P8" s="1">
        <f>VLOOKUP($B8&amp;"__wt",'SegEnds_Xtal_BW#'!$A:$Z,16,FALSE)</f>
        <v>62</v>
      </c>
      <c r="Q8" s="1">
        <f>VLOOKUP($B8&amp;"__wt",'SegEnds_Xtal_BW#'!$A:$Z,17,FALSE)</f>
        <v>50</v>
      </c>
      <c r="R8" s="1">
        <f>VLOOKUP($B8&amp;"__wt",'SegEnds_Xtal_BW#'!$A:$Z,18,FALSE)</f>
        <v>52</v>
      </c>
      <c r="S8" s="1">
        <f>VLOOKUP($B8&amp;"__wt",'SegEnds_Xtal_BW#'!$A:$Z,19,FALSE)</f>
        <v>31</v>
      </c>
      <c r="T8" s="1">
        <f t="array" ref="T8">INDEX(ICL3_classA!$G$2:$G$37,MATCH(MIN(ABS(AI8-ICL3_classA!$F$2:$F$37)),ABS(AI8-ICL3_classA!$F$2:$F$37),0))</f>
        <v>67</v>
      </c>
      <c r="U8" s="1">
        <f t="array" ref="U8">INDEX(ICL3_classA!$H$2:$H$37,MATCH(MIN(ABS(AI8-ICL3_classA!$F$2:$F$37)),ABS(AI8-ICL3_classA!$F$2:$F$37),0))</f>
        <v>26</v>
      </c>
      <c r="V8" s="1">
        <v>61</v>
      </c>
      <c r="W8" s="1">
        <v>33</v>
      </c>
      <c r="X8" s="1">
        <f>VLOOKUP($B8&amp;"__wt",'SegEnds_Xtal_BW#'!$A:$Z,24,FALSE)</f>
        <v>56</v>
      </c>
      <c r="Y8" s="1">
        <f>VLOOKUP($B8&amp;"__wt",'SegEnds_Xtal_BW#'!$A:$Z,25,FALSE)</f>
        <v>47</v>
      </c>
      <c r="Z8" s="1">
        <f>VLOOKUP($B8&amp;"__wt",'SegEnds_Xtal_BW#'!$A:$Z,26,FALSE)</f>
        <v>61</v>
      </c>
      <c r="AA8" s="27" t="str">
        <f>VLOOKUP(A8,Classification!A:B,2,FALSE)</f>
        <v>A</v>
      </c>
      <c r="AB8" s="1">
        <f>VLOOKUP(A8,'SegEnds_NonXtal_Prot#'!A:AL,10,FALSE)-VLOOKUP(A8,'SegEnds_NonXtal_Prot#'!A:AL,4,FALSE)</f>
        <v>30</v>
      </c>
      <c r="AC8" s="1" t="e">
        <f>VLOOKUP(A8,'SegEnds_NonXtal_Prot#'!A:AL,10,FALSE)-VLOOKUP(A8,'SegEnds_NonXtal_Prot#'!A:AL,7,FALSE)</f>
        <v>#VALUE!</v>
      </c>
      <c r="AD8" s="1">
        <f>VLOOKUP(A8,'SegEnds_NonXtal_Prot#'!A:AL,13,FALSE)-VLOOKUP(A8,'SegEnds_NonXtal_Prot#'!A:AL,10,FALSE)</f>
        <v>20</v>
      </c>
      <c r="AE8" s="1">
        <f>VLOOKUP(A8,'SegEnds_NonXtal_Prot#'!A:AL,16,FALSE)-VLOOKUP(A8,'SegEnds_NonXtal_Prot#'!A:AL,10,FALSE)</f>
        <v>52</v>
      </c>
      <c r="AF8" s="1">
        <f>VLOOKUP(A8,'SegEnds_NonXtal_Prot#'!A:AL,22,FALSE)-VLOOKUP(A8,'SegEnds_NonXtal_Prot#'!A:AL,19,FALSE)</f>
        <v>20</v>
      </c>
      <c r="AG8" s="1">
        <f>VLOOKUP(A8,'SegEnds_NonXtal_Prot#'!A:AL,28,FALSE)-VLOOKUP(A8,'SegEnds_NonXtal_Prot#'!A:AL,25,FALSE)</f>
        <v>27</v>
      </c>
      <c r="AH8" s="1">
        <f>VLOOKUP(A8,'SegEnds_NonXtal_Prot#'!A:AL,28,FALSE)-VLOOKUP(A8,'SegEnds_NonXtal_Prot#'!A:AL,22,FALSE)</f>
        <v>57</v>
      </c>
      <c r="AI8" s="1">
        <f>VLOOKUP(A8,'SegEnds_NonXtal_Prot#'!A:AL,31,FALSE)-VLOOKUP(A8,'SegEnds_NonXtal_Prot#'!A:AL,28,FALSE)</f>
        <v>46</v>
      </c>
      <c r="AJ8" s="1">
        <f>VLOOKUP(A8,'SegEnds_NonXtal_Prot#'!A:AL,34,FALSE)-VLOOKUP(A8,'SegEnds_NonXtal_Prot#'!A:AL,31,FALSE)</f>
        <v>33</v>
      </c>
      <c r="AK8" s="1">
        <f>VLOOKUP(A8,'SegEnds_NonXtal_Prot#'!A:AL,37,FALSE)-VLOOKUP(A8,'SegEnds_NonXtal_Prot#'!A:AL,34,FALSE)</f>
        <v>10</v>
      </c>
      <c r="AL8" s="1" t="str">
        <f>IF(ISERROR(MATCH(A8,'SegEnds_Xtal_Prot#'!B:B, 0)), "NoXtal", "Xtal")</f>
        <v>NoXtal</v>
      </c>
    </row>
    <row r="9" spans="1:38" x14ac:dyDescent="0.2">
      <c r="A9" s="1" t="s">
        <v>199</v>
      </c>
      <c r="B9" s="1" t="str">
        <f>VLOOKUP(A9,Xtal_Templ!A:B,2,FALSE)</f>
        <v>par1_human</v>
      </c>
      <c r="C9" s="5">
        <f>VLOOKUP($B9&amp;"__wt",'SegEnds_Xtal_BW#'!$A:$Z,3,FALSE)</f>
        <v>29</v>
      </c>
      <c r="D9" s="1">
        <f>VLOOKUP($B9&amp;"__wt",'SegEnds_Xtal_BW#'!$A:$Z,4,FALSE)</f>
        <v>60</v>
      </c>
      <c r="E9" s="1">
        <f>VLOOKUP($B9&amp;"__wt",'SegEnds_Xtal_BW#'!$A:$Z,5,FALSE)</f>
        <v>48</v>
      </c>
      <c r="F9" s="1">
        <f>VLOOKUP($B9&amp;"__wt",'SegEnds_Xtal_BW#'!$A:$Z,6,FALSE)</f>
        <v>51</v>
      </c>
      <c r="G9" s="1">
        <v>37</v>
      </c>
      <c r="H9" s="12">
        <f>VLOOKUP($B9&amp;"__wt",'SegEnds_Xtal_BW#'!$A:$Z,8,FALSE)</f>
        <v>66</v>
      </c>
      <c r="I9" s="1">
        <f>VLOOKUP($B9&amp;"__wt",'SegEnds_Xtal_BW#'!$A:$Z,9,FALSE)</f>
        <v>49</v>
      </c>
      <c r="J9" s="1">
        <f>VLOOKUP($B9&amp;"__wt",'SegEnds_Xtal_BW#'!$A:$Z,10,FALSE)</f>
        <v>52</v>
      </c>
      <c r="K9" s="12">
        <v>18</v>
      </c>
      <c r="L9" s="1">
        <f>VLOOKUP($B9&amp;"__wt",'SegEnds_Xtal_BW#'!$A:$Z,12,FALSE)</f>
        <v>56</v>
      </c>
      <c r="M9" s="1">
        <f>VLOOKUP($B9&amp;"__wt",'SegEnds_Xtal_BW#'!$A:$Z,13,FALSE)</f>
        <v>50</v>
      </c>
      <c r="N9" s="12">
        <v>57</v>
      </c>
      <c r="O9" s="87">
        <f>VLOOKUP($B9&amp;"__wt",'SegEnds_Xtal_BW#'!$A:$Z,15,FALSE)</f>
        <v>38</v>
      </c>
      <c r="P9" s="1">
        <f>VLOOKUP($B9&amp;"__wt",'SegEnds_Xtal_BW#'!$A:$Z,16,FALSE)</f>
        <v>63</v>
      </c>
      <c r="Q9" s="1">
        <f>VLOOKUP($B9&amp;"__wt",'SegEnds_Xtal_BW#'!$A:$Z,17,FALSE)</f>
        <v>50</v>
      </c>
      <c r="R9" s="1">
        <f>VLOOKUP($B9&amp;"__wt",'SegEnds_Xtal_BW#'!$A:$Z,18,FALSE)</f>
        <v>52</v>
      </c>
      <c r="S9" s="1">
        <f>VLOOKUP($B9&amp;"__wt",'SegEnds_Xtal_BW#'!$A:$Z,19,FALSE)</f>
        <v>32</v>
      </c>
      <c r="T9" s="1">
        <f t="array" ref="T9">INDEX(ICL3_classA!$G$2:$G$37,MATCH(MIN(ABS(AI9-ICL3_classA!$F$2:$F$37)),ABS(AI9-ICL3_classA!$F$2:$F$37),0))</f>
        <v>68</v>
      </c>
      <c r="U9" s="1">
        <f t="array" ref="U9">INDEX(ICL3_classA!$H$2:$H$37,MATCH(MIN(ABS(AI9-ICL3_classA!$F$2:$F$37)),ABS(AI9-ICL3_classA!$F$2:$F$37),0))</f>
        <v>28</v>
      </c>
      <c r="V9" s="1">
        <v>61</v>
      </c>
      <c r="W9" s="1">
        <v>33</v>
      </c>
      <c r="X9" s="1">
        <f>VLOOKUP($B9&amp;"__wt",'SegEnds_Xtal_BW#'!$A:$Z,24,FALSE)</f>
        <v>56</v>
      </c>
      <c r="Y9" s="1">
        <f>VLOOKUP($B9&amp;"__wt",'SegEnds_Xtal_BW#'!$A:$Z,25,FALSE)</f>
        <v>47</v>
      </c>
      <c r="Z9" s="1">
        <f>VLOOKUP($B9&amp;"__wt",'SegEnds_Xtal_BW#'!$A:$Z,26,FALSE)</f>
        <v>61</v>
      </c>
      <c r="AA9" s="27" t="str">
        <f>VLOOKUP(A9,Classification!A:B,2,FALSE)</f>
        <v>A</v>
      </c>
      <c r="AB9" s="1">
        <f>VLOOKUP(A9,'SegEnds_NonXtal_Prot#'!A:AL,10,FALSE)-VLOOKUP(A9,'SegEnds_NonXtal_Prot#'!A:AL,4,FALSE)</f>
        <v>29</v>
      </c>
      <c r="AC9" s="1" t="e">
        <f>VLOOKUP(A9,'SegEnds_NonXtal_Prot#'!A:AL,10,FALSE)-VLOOKUP(A9,'SegEnds_NonXtal_Prot#'!A:AL,7,FALSE)</f>
        <v>#VALUE!</v>
      </c>
      <c r="AD9" s="1">
        <f>VLOOKUP(A9,'SegEnds_NonXtal_Prot#'!A:AL,13,FALSE)-VLOOKUP(A9,'SegEnds_NonXtal_Prot#'!A:AL,10,FALSE)</f>
        <v>20</v>
      </c>
      <c r="AE9" s="1">
        <f>VLOOKUP(A9,'SegEnds_NonXtal_Prot#'!A:AL,16,FALSE)-VLOOKUP(A9,'SegEnds_NonXtal_Prot#'!A:AL,10,FALSE)</f>
        <v>52</v>
      </c>
      <c r="AF9" s="1">
        <f>VLOOKUP(A9,'SegEnds_NonXtal_Prot#'!A:AL,22,FALSE)-VLOOKUP(A9,'SegEnds_NonXtal_Prot#'!A:AL,19,FALSE)</f>
        <v>20</v>
      </c>
      <c r="AG9" s="1">
        <f>VLOOKUP(A9,'SegEnds_NonXtal_Prot#'!A:AL,28,FALSE)-VLOOKUP(A9,'SegEnds_NonXtal_Prot#'!A:AL,25,FALSE)</f>
        <v>27</v>
      </c>
      <c r="AH9" s="1">
        <f>VLOOKUP(A9,'SegEnds_NonXtal_Prot#'!A:AL,28,FALSE)-VLOOKUP(A9,'SegEnds_NonXtal_Prot#'!A:AL,22,FALSE)</f>
        <v>56</v>
      </c>
      <c r="AI9" s="1">
        <f>VLOOKUP(A9,'SegEnds_NonXtal_Prot#'!A:AL,31,FALSE)-VLOOKUP(A9,'SegEnds_NonXtal_Prot#'!A:AL,28,FALSE)</f>
        <v>44</v>
      </c>
      <c r="AJ9" s="1">
        <f>VLOOKUP(A9,'SegEnds_NonXtal_Prot#'!A:AL,34,FALSE)-VLOOKUP(A9,'SegEnds_NonXtal_Prot#'!A:AL,31,FALSE)</f>
        <v>33</v>
      </c>
      <c r="AK9" s="1">
        <f>VLOOKUP(A9,'SegEnds_NonXtal_Prot#'!A:AL,37,FALSE)-VLOOKUP(A9,'SegEnds_NonXtal_Prot#'!A:AL,34,FALSE)</f>
        <v>10</v>
      </c>
      <c r="AL9" s="1" t="str">
        <f>IF(ISERROR(MATCH(A9,'SegEnds_Xtal_Prot#'!B:B, 0)), "NoXtal", "Xtal")</f>
        <v>NoXtal</v>
      </c>
    </row>
    <row r="10" spans="1:38" x14ac:dyDescent="0.2">
      <c r="A10" s="1" t="s">
        <v>258</v>
      </c>
      <c r="B10" s="1" t="str">
        <f>VLOOKUP(A10,Xtal_Templ!A:B,2,FALSE)</f>
        <v>par1_human</v>
      </c>
      <c r="C10" s="5">
        <f>VLOOKUP($B10&amp;"__wt",'SegEnds_Xtal_BW#'!$A:$Z,3,FALSE)</f>
        <v>29</v>
      </c>
      <c r="D10" s="1">
        <f>VLOOKUP($B10&amp;"__wt",'SegEnds_Xtal_BW#'!$A:$Z,4,FALSE)</f>
        <v>60</v>
      </c>
      <c r="E10" s="1">
        <f>VLOOKUP($B10&amp;"__wt",'SegEnds_Xtal_BW#'!$A:$Z,5,FALSE)</f>
        <v>48</v>
      </c>
      <c r="F10" s="1">
        <f>VLOOKUP($B10&amp;"__wt",'SegEnds_Xtal_BW#'!$A:$Z,6,FALSE)</f>
        <v>51</v>
      </c>
      <c r="G10" s="1">
        <v>37</v>
      </c>
      <c r="H10" s="12">
        <f>VLOOKUP($B10&amp;"__wt",'SegEnds_Xtal_BW#'!$A:$Z,8,FALSE)</f>
        <v>66</v>
      </c>
      <c r="I10" s="1">
        <f>VLOOKUP($B10&amp;"__wt",'SegEnds_Xtal_BW#'!$A:$Z,9,FALSE)</f>
        <v>49</v>
      </c>
      <c r="J10" s="1">
        <f>VLOOKUP($B10&amp;"__wt",'SegEnds_Xtal_BW#'!$A:$Z,10,FALSE)</f>
        <v>52</v>
      </c>
      <c r="K10" s="12">
        <v>18</v>
      </c>
      <c r="L10" s="1">
        <f>VLOOKUP($B10&amp;"__wt",'SegEnds_Xtal_BW#'!$A:$Z,12,FALSE)</f>
        <v>56</v>
      </c>
      <c r="M10" s="1">
        <f>VLOOKUP($B10&amp;"__wt",'SegEnds_Xtal_BW#'!$A:$Z,13,FALSE)</f>
        <v>50</v>
      </c>
      <c r="N10" s="12">
        <v>57</v>
      </c>
      <c r="O10" s="87">
        <f>VLOOKUP($B10&amp;"__wt",'SegEnds_Xtal_BW#'!$A:$Z,15,FALSE)</f>
        <v>38</v>
      </c>
      <c r="P10" s="1">
        <f>VLOOKUP($B10&amp;"__wt",'SegEnds_Xtal_BW#'!$A:$Z,16,FALSE)</f>
        <v>63</v>
      </c>
      <c r="Q10" s="1">
        <f>VLOOKUP($B10&amp;"__wt",'SegEnds_Xtal_BW#'!$A:$Z,17,FALSE)</f>
        <v>50</v>
      </c>
      <c r="R10" s="1">
        <f>VLOOKUP($B10&amp;"__wt",'SegEnds_Xtal_BW#'!$A:$Z,18,FALSE)</f>
        <v>52</v>
      </c>
      <c r="S10" s="1">
        <f>VLOOKUP($B10&amp;"__wt",'SegEnds_Xtal_BW#'!$A:$Z,19,FALSE)</f>
        <v>32</v>
      </c>
      <c r="T10" s="1">
        <f t="array" ref="T10">INDEX(ICL3_classA!$G$2:$G$37,MATCH(MIN(ABS(AI10-ICL3_classA!$F$2:$F$37)),ABS(AI10-ICL3_classA!$F$2:$F$37),0))</f>
        <v>68</v>
      </c>
      <c r="U10" s="1">
        <f t="array" ref="U10">INDEX(ICL3_classA!$H$2:$H$37,MATCH(MIN(ABS(AI10-ICL3_classA!$F$2:$F$37)),ABS(AI10-ICL3_classA!$F$2:$F$37),0))</f>
        <v>28</v>
      </c>
      <c r="V10" s="1">
        <v>61</v>
      </c>
      <c r="W10" s="1">
        <v>33</v>
      </c>
      <c r="X10" s="1">
        <f>VLOOKUP($B10&amp;"__wt",'SegEnds_Xtal_BW#'!$A:$Z,24,FALSE)</f>
        <v>56</v>
      </c>
      <c r="Y10" s="1">
        <f>VLOOKUP($B10&amp;"__wt",'SegEnds_Xtal_BW#'!$A:$Z,25,FALSE)</f>
        <v>47</v>
      </c>
      <c r="Z10" s="1">
        <f>VLOOKUP($B10&amp;"__wt",'SegEnds_Xtal_BW#'!$A:$Z,26,FALSE)</f>
        <v>61</v>
      </c>
      <c r="AA10" s="27" t="str">
        <f>VLOOKUP(A10,Classification!A:B,2,FALSE)</f>
        <v>A</v>
      </c>
      <c r="AB10" s="1">
        <f>VLOOKUP(A10,'SegEnds_NonXtal_Prot#'!A:AL,10,FALSE)-VLOOKUP(A10,'SegEnds_NonXtal_Prot#'!A:AL,4,FALSE)</f>
        <v>29</v>
      </c>
      <c r="AC10" s="1" t="e">
        <f>VLOOKUP(A10,'SegEnds_NonXtal_Prot#'!A:AL,10,FALSE)-VLOOKUP(A10,'SegEnds_NonXtal_Prot#'!A:AL,7,FALSE)</f>
        <v>#VALUE!</v>
      </c>
      <c r="AD10" s="1">
        <f>VLOOKUP(A10,'SegEnds_NonXtal_Prot#'!A:AL,13,FALSE)-VLOOKUP(A10,'SegEnds_NonXtal_Prot#'!A:AL,10,FALSE)</f>
        <v>20</v>
      </c>
      <c r="AE10" s="1">
        <f>VLOOKUP(A10,'SegEnds_NonXtal_Prot#'!A:AL,16,FALSE)-VLOOKUP(A10,'SegEnds_NonXtal_Prot#'!A:AL,10,FALSE)</f>
        <v>52</v>
      </c>
      <c r="AF10" s="1">
        <f>VLOOKUP(A10,'SegEnds_NonXtal_Prot#'!A:AL,22,FALSE)-VLOOKUP(A10,'SegEnds_NonXtal_Prot#'!A:AL,19,FALSE)</f>
        <v>20</v>
      </c>
      <c r="AG10" s="1">
        <f>VLOOKUP(A10,'SegEnds_NonXtal_Prot#'!A:AL,28,FALSE)-VLOOKUP(A10,'SegEnds_NonXtal_Prot#'!A:AL,25,FALSE)</f>
        <v>27</v>
      </c>
      <c r="AH10" s="1">
        <f>VLOOKUP(A10,'SegEnds_NonXtal_Prot#'!A:AL,28,FALSE)-VLOOKUP(A10,'SegEnds_NonXtal_Prot#'!A:AL,22,FALSE)</f>
        <v>56</v>
      </c>
      <c r="AI10" s="1">
        <f>VLOOKUP(A10,'SegEnds_NonXtal_Prot#'!A:AL,31,FALSE)-VLOOKUP(A10,'SegEnds_NonXtal_Prot#'!A:AL,28,FALSE)</f>
        <v>44</v>
      </c>
      <c r="AJ10" s="1">
        <f>VLOOKUP(A10,'SegEnds_NonXtal_Prot#'!A:AL,34,FALSE)-VLOOKUP(A10,'SegEnds_NonXtal_Prot#'!A:AL,31,FALSE)</f>
        <v>33</v>
      </c>
      <c r="AK10" s="1">
        <f>VLOOKUP(A10,'SegEnds_NonXtal_Prot#'!A:AL,37,FALSE)-VLOOKUP(A10,'SegEnds_NonXtal_Prot#'!A:AL,34,FALSE)</f>
        <v>10</v>
      </c>
      <c r="AL10" s="1" t="str">
        <f>IF(ISERROR(MATCH(A10,'SegEnds_Xtal_Prot#'!B:B, 0)), "NoXtal", "Xtal")</f>
        <v>NoXtal</v>
      </c>
    </row>
    <row r="11" spans="1:38" x14ac:dyDescent="0.2">
      <c r="A11" s="1" t="s">
        <v>270</v>
      </c>
      <c r="B11" s="1" t="str">
        <f>VLOOKUP(A11,Xtal_Templ!A:B,2,FALSE)</f>
        <v>5ht2a_human</v>
      </c>
      <c r="C11" s="5">
        <f>VLOOKUP($B11&amp;"__wt",'SegEnds_Xtal_BW#'!$A:$Z,3,FALSE)</f>
        <v>27</v>
      </c>
      <c r="D11" s="1">
        <f>VLOOKUP($B11&amp;"__wt",'SegEnds_Xtal_BW#'!$A:$Z,4,FALSE)</f>
        <v>60</v>
      </c>
      <c r="E11" s="1">
        <f>VLOOKUP($B11&amp;"__wt",'SegEnds_Xtal_BW#'!$A:$Z,5,FALSE)</f>
        <v>48</v>
      </c>
      <c r="F11" s="1">
        <f>VLOOKUP($B11&amp;"__wt",'SegEnds_Xtal_BW#'!$A:$Z,6,FALSE)</f>
        <v>51</v>
      </c>
      <c r="G11" s="1">
        <v>37</v>
      </c>
      <c r="H11" s="12">
        <f>VLOOKUP($B11&amp;"__wt",'SegEnds_Xtal_BW#'!$A:$Z,8,FALSE)</f>
        <v>68</v>
      </c>
      <c r="I11" s="1">
        <f>VLOOKUP($B11&amp;"__wt",'SegEnds_Xtal_BW#'!$A:$Z,9,FALSE)</f>
        <v>49</v>
      </c>
      <c r="J11" s="1">
        <f>VLOOKUP($B11&amp;"__wt",'SegEnds_Xtal_BW#'!$A:$Z,10,FALSE)</f>
        <v>52</v>
      </c>
      <c r="K11" s="12">
        <v>21</v>
      </c>
      <c r="L11" s="1">
        <f>VLOOKUP($B11&amp;"__wt",'SegEnds_Xtal_BW#'!$A:$Z,12,FALSE)</f>
        <v>56</v>
      </c>
      <c r="M11" s="1">
        <f>VLOOKUP($B11&amp;"__wt",'SegEnds_Xtal_BW#'!$A:$Z,13,FALSE)</f>
        <v>50</v>
      </c>
      <c r="N11" s="12">
        <v>57</v>
      </c>
      <c r="O11" s="87">
        <v>38</v>
      </c>
      <c r="P11" s="1">
        <f>VLOOKUP($B11&amp;"__wt",'SegEnds_Xtal_BW#'!$A:$Z,16,FALSE)</f>
        <v>67</v>
      </c>
      <c r="Q11" s="1">
        <f>VLOOKUP($B11&amp;"__wt",'SegEnds_Xtal_BW#'!$A:$Z,17,FALSE)</f>
        <v>50</v>
      </c>
      <c r="R11" s="1">
        <f>VLOOKUP($B11&amp;"__wt",'SegEnds_Xtal_BW#'!$A:$Z,18,FALSE)</f>
        <v>52</v>
      </c>
      <c r="S11" s="1">
        <f>VLOOKUP($B11&amp;"__wt",'SegEnds_Xtal_BW#'!$A:$Z,19,FALSE)</f>
        <v>35</v>
      </c>
      <c r="T11" s="1">
        <f t="array" ref="T11">INDEX(ICL3_classA!$G$2:$G$37,MATCH(MIN(ABS(AI11-ICL3_classA!$F$2:$F$37)),ABS(AI11-ICL3_classA!$F$2:$F$37),0))</f>
        <v>74</v>
      </c>
      <c r="U11" s="1">
        <f t="array" ref="U11">INDEX(ICL3_classA!$H$2:$H$37,MATCH(MIN(ABS(AI11-ICL3_classA!$F$2:$F$37)),ABS(AI11-ICL3_classA!$F$2:$F$37),0))</f>
        <v>24</v>
      </c>
      <c r="V11" s="1">
        <v>61</v>
      </c>
      <c r="W11" s="1">
        <v>33</v>
      </c>
      <c r="X11" s="1">
        <f>VLOOKUP($B11&amp;"__wt",'SegEnds_Xtal_BW#'!$A:$Z,24,FALSE)</f>
        <v>56</v>
      </c>
      <c r="Y11" s="1">
        <f>VLOOKUP($B11&amp;"__wt",'SegEnds_Xtal_BW#'!$A:$Z,25,FALSE)</f>
        <v>47</v>
      </c>
      <c r="Z11" s="1">
        <f>VLOOKUP($B11&amp;"__wt",'SegEnds_Xtal_BW#'!$A:$Z,26,FALSE)</f>
        <v>60</v>
      </c>
      <c r="AA11" s="27" t="str">
        <f>VLOOKUP(A11,Classification!A:B,2,FALSE)</f>
        <v>A</v>
      </c>
      <c r="AB11" s="1">
        <f>VLOOKUP(A11,'SegEnds_NonXtal_Prot#'!A:AL,10,FALSE)-VLOOKUP(A11,'SegEnds_NonXtal_Prot#'!A:AL,4,FALSE)</f>
        <v>28</v>
      </c>
      <c r="AC11" s="1">
        <f>VLOOKUP(A11,'SegEnds_NonXtal_Prot#'!A:AL,10,FALSE)-VLOOKUP(A11,'SegEnds_NonXtal_Prot#'!A:AL,7,FALSE)</f>
        <v>15</v>
      </c>
      <c r="AD11" s="1" t="e">
        <f>VLOOKUP(A11,'SegEnds_NonXtal_Prot#'!A:AL,13,FALSE)-VLOOKUP(A11,'SegEnds_NonXtal_Prot#'!A:AL,10,FALSE)</f>
        <v>#VALUE!</v>
      </c>
      <c r="AE11" s="1">
        <f>VLOOKUP(A11,'SegEnds_NonXtal_Prot#'!A:AL,16,FALSE)-VLOOKUP(A11,'SegEnds_NonXtal_Prot#'!A:AL,10,FALSE)</f>
        <v>52</v>
      </c>
      <c r="AF11" s="1">
        <f>VLOOKUP(A11,'SegEnds_NonXtal_Prot#'!A:AL,22,FALSE)-VLOOKUP(A11,'SegEnds_NonXtal_Prot#'!A:AL,19,FALSE)</f>
        <v>20</v>
      </c>
      <c r="AG11" s="1">
        <f>VLOOKUP(A11,'SegEnds_NonXtal_Prot#'!A:AL,28,FALSE)-VLOOKUP(A11,'SegEnds_NonXtal_Prot#'!A:AL,25,FALSE)</f>
        <v>67</v>
      </c>
      <c r="AH11" s="1">
        <f>VLOOKUP(A11,'SegEnds_NonXtal_Prot#'!A:AL,28,FALSE)-VLOOKUP(A11,'SegEnds_NonXtal_Prot#'!A:AL,22,FALSE)</f>
        <v>90</v>
      </c>
      <c r="AI11" s="1">
        <f>VLOOKUP(A11,'SegEnds_NonXtal_Prot#'!A:AL,31,FALSE)-VLOOKUP(A11,'SegEnds_NonXtal_Prot#'!A:AL,28,FALSE)</f>
        <v>99</v>
      </c>
      <c r="AJ11" s="1">
        <f>VLOOKUP(A11,'SegEnds_NonXtal_Prot#'!A:AL,34,FALSE)-VLOOKUP(A11,'SegEnds_NonXtal_Prot#'!A:AL,31,FALSE)</f>
        <v>33</v>
      </c>
      <c r="AK11" s="1">
        <f>VLOOKUP(A11,'SegEnds_NonXtal_Prot#'!A:AL,37,FALSE)-VLOOKUP(A11,'SegEnds_NonXtal_Prot#'!A:AL,34,FALSE)</f>
        <v>10</v>
      </c>
      <c r="AL11" s="1" t="str">
        <f>IF(ISERROR(MATCH(A11,'SegEnds_Xtal_Prot#'!B:B, 0)), "NoXtal", "Xtal")</f>
        <v>NoXtal</v>
      </c>
    </row>
    <row r="12" spans="1:38" x14ac:dyDescent="0.2">
      <c r="A12" s="1" t="s">
        <v>362</v>
      </c>
      <c r="B12" s="1" t="str">
        <f>VLOOKUP(A12,Xtal_Templ!A:B,2,FALSE)</f>
        <v>pe2r4_human</v>
      </c>
      <c r="C12" s="5">
        <f>VLOOKUP($B12&amp;"__wt",'SegEnds_Xtal_BW#'!$A:$Z,3,FALSE)</f>
        <v>33</v>
      </c>
      <c r="D12" s="1">
        <f>VLOOKUP($B12&amp;"__wt",'SegEnds_Xtal_BW#'!$A:$Z,4,FALSE)</f>
        <v>58</v>
      </c>
      <c r="E12" s="1" t="str">
        <f>VLOOKUP($B12&amp;"__wt",'SegEnds_Xtal_BW#'!$A:$Z,5,FALSE)</f>
        <v>-</v>
      </c>
      <c r="F12" s="1" t="str">
        <f>VLOOKUP($B12&amp;"__wt",'SegEnds_Xtal_BW#'!$A:$Z,6,FALSE)</f>
        <v>-</v>
      </c>
      <c r="G12" s="1">
        <v>37</v>
      </c>
      <c r="H12" s="12">
        <f>VLOOKUP($B12&amp;"__wt",'SegEnds_Xtal_BW#'!$A:$Z,8,FALSE)</f>
        <v>67</v>
      </c>
      <c r="I12" s="1">
        <f>VLOOKUP($B12&amp;"__wt",'SegEnds_Xtal_BW#'!$A:$Z,9,FALSE)</f>
        <v>49</v>
      </c>
      <c r="J12" s="1">
        <f>VLOOKUP($B12&amp;"__wt",'SegEnds_Xtal_BW#'!$A:$Z,10,FALSE)</f>
        <v>52</v>
      </c>
      <c r="K12" s="12">
        <v>18</v>
      </c>
      <c r="L12" s="1">
        <f>VLOOKUP($B12&amp;"__wt",'SegEnds_Xtal_BW#'!$A:$Z,12,FALSE)</f>
        <v>56</v>
      </c>
      <c r="M12" s="1">
        <f>VLOOKUP($B12&amp;"__wt",'SegEnds_Xtal_BW#'!$A:$Z,13,FALSE)</f>
        <v>50</v>
      </c>
      <c r="N12" s="12">
        <v>57</v>
      </c>
      <c r="O12" s="87">
        <f>VLOOKUP($B12&amp;"__wt",'SegEnds_Xtal_BW#'!$A:$Z,15,FALSE)</f>
        <v>38</v>
      </c>
      <c r="P12" s="1">
        <f>VLOOKUP($B12&amp;"__wt",'SegEnds_Xtal_BW#'!$A:$Z,16,FALSE)</f>
        <v>63</v>
      </c>
      <c r="Q12" s="1">
        <f>VLOOKUP($B12&amp;"__wt",'SegEnds_Xtal_BW#'!$A:$Z,17,FALSE)</f>
        <v>50</v>
      </c>
      <c r="R12" s="1">
        <f>VLOOKUP($B12&amp;"__wt",'SegEnds_Xtal_BW#'!$A:$Z,18,FALSE)</f>
        <v>52</v>
      </c>
      <c r="S12" s="1">
        <v>35</v>
      </c>
      <c r="T12" s="1">
        <f t="array" ref="T12">INDEX(ICL3_classA!$G$2:$G$37,MATCH(MIN(ABS(AI12-ICL3_classA!$F$2:$F$37)),ABS(AI12-ICL3_classA!$F$2:$F$37),0))</f>
        <v>76</v>
      </c>
      <c r="U12" s="1">
        <f t="array" ref="U12">INDEX(ICL3_classA!$H$2:$H$37,MATCH(MIN(ABS(AI12-ICL3_classA!$F$2:$F$37)),ABS(AI12-ICL3_classA!$F$2:$F$37),0))</f>
        <v>24</v>
      </c>
      <c r="V12" s="1">
        <v>61</v>
      </c>
      <c r="W12" s="1">
        <v>33</v>
      </c>
      <c r="X12" s="1">
        <f>VLOOKUP($B12&amp;"__wt",'SegEnds_Xtal_BW#'!$A:$Z,24,FALSE)</f>
        <v>56</v>
      </c>
      <c r="Y12" s="1">
        <f>VLOOKUP($B12&amp;"__wt",'SegEnds_Xtal_BW#'!$A:$Z,25,FALSE)</f>
        <v>47</v>
      </c>
      <c r="Z12" s="1">
        <f>VLOOKUP($B12&amp;"__wt",'SegEnds_Xtal_BW#'!$A:$Z,26,FALSE)</f>
        <v>60</v>
      </c>
      <c r="AA12" s="27" t="str">
        <f>VLOOKUP(A12,Classification!A:B,2,FALSE)</f>
        <v>A</v>
      </c>
      <c r="AB12" s="1">
        <f>VLOOKUP(A12,'SegEnds_NonXtal_Prot#'!A:AL,10,FALSE)-VLOOKUP(A12,'SegEnds_NonXtal_Prot#'!A:AL,4,FALSE)</f>
        <v>39</v>
      </c>
      <c r="AC12" s="1">
        <f>VLOOKUP(A12,'SegEnds_NonXtal_Prot#'!A:AL,10,FALSE)-VLOOKUP(A12,'SegEnds_NonXtal_Prot#'!A:AL,7,FALSE)</f>
        <v>20</v>
      </c>
      <c r="AD12" s="1" t="e">
        <f>VLOOKUP(A12,'SegEnds_NonXtal_Prot#'!A:AL,13,FALSE)-VLOOKUP(A12,'SegEnds_NonXtal_Prot#'!A:AL,10,FALSE)</f>
        <v>#VALUE!</v>
      </c>
      <c r="AE12" s="1">
        <f>VLOOKUP(A12,'SegEnds_NonXtal_Prot#'!A:AL,16,FALSE)-VLOOKUP(A12,'SegEnds_NonXtal_Prot#'!A:AL,10,FALSE)</f>
        <v>56</v>
      </c>
      <c r="AF12" s="1">
        <f>VLOOKUP(A12,'SegEnds_NonXtal_Prot#'!A:AL,22,FALSE)-VLOOKUP(A12,'SegEnds_NonXtal_Prot#'!A:AL,19,FALSE)</f>
        <v>20</v>
      </c>
      <c r="AG12" s="1">
        <f>VLOOKUP(A12,'SegEnds_NonXtal_Prot#'!A:AL,28,FALSE)-VLOOKUP(A12,'SegEnds_NonXtal_Prot#'!A:AL,25,FALSE)</f>
        <v>22</v>
      </c>
      <c r="AH12" s="1">
        <f>VLOOKUP(A12,'SegEnds_NonXtal_Prot#'!A:AL,28,FALSE)-VLOOKUP(A12,'SegEnds_NonXtal_Prot#'!A:AL,22,FALSE)</f>
        <v>48</v>
      </c>
      <c r="AI12" s="1">
        <f>VLOOKUP(A12,'SegEnds_NonXtal_Prot#'!A:AL,31,FALSE)-VLOOKUP(A12,'SegEnds_NonXtal_Prot#'!A:AL,28,FALSE)</f>
        <v>70</v>
      </c>
      <c r="AJ12" s="1">
        <f>VLOOKUP(A12,'SegEnds_NonXtal_Prot#'!A:AL,34,FALSE)-VLOOKUP(A12,'SegEnds_NonXtal_Prot#'!A:AL,31,FALSE)</f>
        <v>33</v>
      </c>
      <c r="AK12" s="1">
        <f>VLOOKUP(A12,'SegEnds_NonXtal_Prot#'!A:AL,37,FALSE)-VLOOKUP(A12,'SegEnds_NonXtal_Prot#'!A:AL,34,FALSE)</f>
        <v>10</v>
      </c>
      <c r="AL12" s="1" t="str">
        <f>IF(ISERROR(MATCH(A12,'SegEnds_Xtal_Prot#'!B:B, 0)), "NoXtal", "Xtal")</f>
        <v>NoXtal</v>
      </c>
    </row>
    <row r="13" spans="1:38" x14ac:dyDescent="0.2">
      <c r="A13" s="1" t="s">
        <v>136</v>
      </c>
      <c r="B13" s="1" t="str">
        <f>VLOOKUP(A13,Xtal_Templ!A:B,2,FALSE)</f>
        <v>5ht2c_human</v>
      </c>
      <c r="C13" s="5">
        <f>VLOOKUP($B13&amp;"__wt",'SegEnds_Xtal_BW#'!$A:$Z,3,FALSE)</f>
        <v>33</v>
      </c>
      <c r="D13" s="1">
        <f>VLOOKUP($B13&amp;"__wt",'SegEnds_Xtal_BW#'!$A:$Z,4,FALSE)</f>
        <v>60</v>
      </c>
      <c r="E13" s="1">
        <f>VLOOKUP($B13&amp;"__wt",'SegEnds_Xtal_BW#'!$A:$Z,5,FALSE)</f>
        <v>48</v>
      </c>
      <c r="F13" s="1">
        <f>VLOOKUP($B13&amp;"__wt",'SegEnds_Xtal_BW#'!$A:$Z,6,FALSE)</f>
        <v>51</v>
      </c>
      <c r="G13" s="1">
        <v>37</v>
      </c>
      <c r="H13" s="12">
        <f>VLOOKUP($B13&amp;"__wt",'SegEnds_Xtal_BW#'!$A:$Z,8,FALSE)</f>
        <v>68</v>
      </c>
      <c r="I13" s="1">
        <f>VLOOKUP($B13&amp;"__wt",'SegEnds_Xtal_BW#'!$A:$Z,9,FALSE)</f>
        <v>49</v>
      </c>
      <c r="J13" s="1">
        <f>VLOOKUP($B13&amp;"__wt",'SegEnds_Xtal_BW#'!$A:$Z,10,FALSE)</f>
        <v>52</v>
      </c>
      <c r="K13" s="12">
        <v>18</v>
      </c>
      <c r="L13" s="1">
        <f>VLOOKUP($B13&amp;"__wt",'SegEnds_Xtal_BW#'!$A:$Z,12,FALSE)</f>
        <v>56</v>
      </c>
      <c r="M13" s="1">
        <f>VLOOKUP($B13&amp;"__wt",'SegEnds_Xtal_BW#'!$A:$Z,13,FALSE)</f>
        <v>50</v>
      </c>
      <c r="N13" s="12">
        <v>57</v>
      </c>
      <c r="O13" s="87">
        <v>38</v>
      </c>
      <c r="P13" s="1">
        <f>VLOOKUP($B13&amp;"__wt",'SegEnds_Xtal_BW#'!$A:$Z,16,FALSE)</f>
        <v>67</v>
      </c>
      <c r="Q13" s="1">
        <f>VLOOKUP($B13&amp;"__wt",'SegEnds_Xtal_BW#'!$A:$Z,17,FALSE)</f>
        <v>50</v>
      </c>
      <c r="R13" s="1">
        <f>VLOOKUP($B13&amp;"__wt",'SegEnds_Xtal_BW#'!$A:$Z,18,FALSE)</f>
        <v>52</v>
      </c>
      <c r="S13" s="1">
        <v>35</v>
      </c>
      <c r="T13" s="1">
        <f t="array" ref="T13">INDEX(ICL3_classA!$G$2:$G$37,MATCH(MIN(ABS(AI13-ICL3_classA!$F$2:$F$37)),ABS(AI13-ICL3_classA!$F$2:$F$37),0))</f>
        <v>76</v>
      </c>
      <c r="U13" s="1">
        <f t="array" ref="U13">INDEX(ICL3_classA!$H$2:$H$37,MATCH(MIN(ABS(AI13-ICL3_classA!$F$2:$F$37)),ABS(AI13-ICL3_classA!$F$2:$F$37),0))</f>
        <v>24</v>
      </c>
      <c r="V13" s="1">
        <v>61</v>
      </c>
      <c r="W13" s="1">
        <v>32</v>
      </c>
      <c r="X13" s="1">
        <f>VLOOKUP($B13&amp;"__wt",'SegEnds_Xtal_BW#'!$A:$Z,24,FALSE)</f>
        <v>56</v>
      </c>
      <c r="Y13" s="1">
        <f>VLOOKUP($B13&amp;"__wt",'SegEnds_Xtal_BW#'!$A:$Z,25,FALSE)</f>
        <v>47</v>
      </c>
      <c r="Z13" s="1">
        <f>VLOOKUP($B13&amp;"__wt",'SegEnds_Xtal_BW#'!$A:$Z,26,FALSE)</f>
        <v>60</v>
      </c>
      <c r="AA13" s="27" t="str">
        <f>VLOOKUP(A13,Classification!A:B,2,FALSE)</f>
        <v>A</v>
      </c>
      <c r="AB13" s="1">
        <f>VLOOKUP(A13,'SegEnds_NonXtal_Prot#'!A:AL,10,FALSE)-VLOOKUP(A13,'SegEnds_NonXtal_Prot#'!A:AL,4,FALSE)</f>
        <v>28</v>
      </c>
      <c r="AC13" s="1">
        <f>VLOOKUP(A13,'SegEnds_NonXtal_Prot#'!A:AL,10,FALSE)-VLOOKUP(A13,'SegEnds_NonXtal_Prot#'!A:AL,7,FALSE)</f>
        <v>15</v>
      </c>
      <c r="AD13" s="1">
        <f>VLOOKUP(A13,'SegEnds_NonXtal_Prot#'!A:AL,13,FALSE)-VLOOKUP(A13,'SegEnds_NonXtal_Prot#'!A:AL,10,FALSE)</f>
        <v>20</v>
      </c>
      <c r="AE13" s="1">
        <f>VLOOKUP(A13,'SegEnds_NonXtal_Prot#'!A:AL,16,FALSE)-VLOOKUP(A13,'SegEnds_NonXtal_Prot#'!A:AL,10,FALSE)</f>
        <v>52</v>
      </c>
      <c r="AF13" s="1">
        <f>VLOOKUP(A13,'SegEnds_NonXtal_Prot#'!A:AL,22,FALSE)-VLOOKUP(A13,'SegEnds_NonXtal_Prot#'!A:AL,19,FALSE)</f>
        <v>20</v>
      </c>
      <c r="AG13" s="1">
        <f>VLOOKUP(A13,'SegEnds_NonXtal_Prot#'!A:AL,28,FALSE)-VLOOKUP(A13,'SegEnds_NonXtal_Prot#'!A:AL,25,FALSE)</f>
        <v>20</v>
      </c>
      <c r="AH13" s="1">
        <f>VLOOKUP(A13,'SegEnds_NonXtal_Prot#'!A:AL,28,FALSE)-VLOOKUP(A13,'SegEnds_NonXtal_Prot#'!A:AL,22,FALSE)</f>
        <v>49</v>
      </c>
      <c r="AI13" s="1">
        <f>VLOOKUP(A13,'SegEnds_NonXtal_Prot#'!A:AL,31,FALSE)-VLOOKUP(A13,'SegEnds_NonXtal_Prot#'!A:AL,28,FALSE)</f>
        <v>83</v>
      </c>
      <c r="AJ13" s="1">
        <f>VLOOKUP(A13,'SegEnds_NonXtal_Prot#'!A:AL,34,FALSE)-VLOOKUP(A13,'SegEnds_NonXtal_Prot#'!A:AL,31,FALSE)</f>
        <v>34</v>
      </c>
      <c r="AK13" s="1">
        <f>VLOOKUP(A13,'SegEnds_NonXtal_Prot#'!A:AL,37,FALSE)-VLOOKUP(A13,'SegEnds_NonXtal_Prot#'!A:AL,34,FALSE)</f>
        <v>10</v>
      </c>
      <c r="AL13" s="1" t="str">
        <f>IF(ISERROR(MATCH(A13,'SegEnds_Xtal_Prot#'!B:B, 0)), "NoXtal", "Xtal")</f>
        <v>NoXtal</v>
      </c>
    </row>
    <row r="14" spans="1:38" x14ac:dyDescent="0.2">
      <c r="A14" s="1" t="s">
        <v>141</v>
      </c>
      <c r="B14" s="1" t="str">
        <f>VLOOKUP(A14,Xtal_Templ!A:B,2,FALSE)</f>
        <v>aa1r_human</v>
      </c>
      <c r="C14" s="5">
        <f>VLOOKUP($B14&amp;"__wt",'SegEnds_Xtal_BW#'!$A:$Z,3,FALSE)</f>
        <v>29</v>
      </c>
      <c r="D14" s="1">
        <f>VLOOKUP($B14&amp;"__wt",'SegEnds_Xtal_BW#'!$A:$Z,4,FALSE)</f>
        <v>60</v>
      </c>
      <c r="E14" s="1">
        <f>VLOOKUP($B14&amp;"__wt",'SegEnds_Xtal_BW#'!$A:$Z,5,FALSE)</f>
        <v>48</v>
      </c>
      <c r="F14" s="1">
        <f>VLOOKUP($B14&amp;"__wt",'SegEnds_Xtal_BW#'!$A:$Z,6,FALSE)</f>
        <v>51</v>
      </c>
      <c r="G14" s="1">
        <v>37</v>
      </c>
      <c r="H14" s="108">
        <v>66</v>
      </c>
      <c r="I14" s="1">
        <f>VLOOKUP($B14&amp;"__wt",'SegEnds_Xtal_BW#'!$A:$Z,9,FALSE)</f>
        <v>50</v>
      </c>
      <c r="J14" s="1">
        <f>VLOOKUP($B14&amp;"__wt",'SegEnds_Xtal_BW#'!$A:$Z,10,FALSE)</f>
        <v>52</v>
      </c>
      <c r="K14" s="12">
        <v>24</v>
      </c>
      <c r="L14" s="1">
        <f>VLOOKUP($B14&amp;"__wt",'SegEnds_Xtal_BW#'!$A:$Z,12,FALSE)</f>
        <v>56</v>
      </c>
      <c r="M14" s="1">
        <f>VLOOKUP($B14&amp;"__wt",'SegEnds_Xtal_BW#'!$A:$Z,13,FALSE)</f>
        <v>50</v>
      </c>
      <c r="N14" s="12">
        <v>57</v>
      </c>
      <c r="O14" s="87">
        <v>38</v>
      </c>
      <c r="P14" s="1">
        <f>VLOOKUP($B14&amp;"__wt",'SegEnds_Xtal_BW#'!$A:$Z,16,FALSE)</f>
        <v>63</v>
      </c>
      <c r="Q14" s="1">
        <f>VLOOKUP($B14&amp;"__wt",'SegEnds_Xtal_BW#'!$A:$Z,17,FALSE)</f>
        <v>50</v>
      </c>
      <c r="R14" s="1">
        <f>VLOOKUP($B14&amp;"__wt",'SegEnds_Xtal_BW#'!$A:$Z,18,FALSE)</f>
        <v>52</v>
      </c>
      <c r="S14" s="1">
        <f>VLOOKUP($B14&amp;"__wt",'SegEnds_Xtal_BW#'!$A:$Z,19,FALSE)</f>
        <v>34</v>
      </c>
      <c r="T14" s="1">
        <f t="array" ref="T14">INDEX(ICL3_classA!$G$2:$G$37,MATCH(MIN(ABS(AI14-ICL3_classA!$F$2:$F$37)),ABS(AI14-ICL3_classA!$F$2:$F$37),0))</f>
        <v>73</v>
      </c>
      <c r="U14" s="1">
        <f t="array" ref="U14">INDEX(ICL3_classA!$H$2:$H$37,MATCH(MIN(ABS(AI14-ICL3_classA!$F$2:$F$37)),ABS(AI14-ICL3_classA!$F$2:$F$37),0))</f>
        <v>22</v>
      </c>
      <c r="V14" s="1">
        <v>61</v>
      </c>
      <c r="W14" s="1">
        <v>32</v>
      </c>
      <c r="X14" s="1">
        <f>VLOOKUP($B14&amp;"__wt",'SegEnds_Xtal_BW#'!$A:$Z,24,FALSE)</f>
        <v>56</v>
      </c>
      <c r="Y14" s="1">
        <f>VLOOKUP($B14&amp;"__wt",'SegEnds_Xtal_BW#'!$A:$Z,25,FALSE)</f>
        <v>47</v>
      </c>
      <c r="Z14" s="1">
        <f>VLOOKUP($B14&amp;"__wt",'SegEnds_Xtal_BW#'!$A:$Z,26,FALSE)</f>
        <v>69</v>
      </c>
      <c r="AA14" s="27" t="str">
        <f>VLOOKUP(A14,Classification!A:B,2,FALSE)</f>
        <v>A</v>
      </c>
      <c r="AB14" s="1">
        <f>VLOOKUP(A14,'SegEnds_NonXtal_Prot#'!A:AL,10,FALSE)-VLOOKUP(A14,'SegEnds_NonXtal_Prot#'!A:AL,4,FALSE)</f>
        <v>28</v>
      </c>
      <c r="AC14" s="1">
        <f>VLOOKUP(A14,'SegEnds_NonXtal_Prot#'!A:AL,10,FALSE)-VLOOKUP(A14,'SegEnds_NonXtal_Prot#'!A:AL,7,FALSE)</f>
        <v>15</v>
      </c>
      <c r="AD14" s="1">
        <f>VLOOKUP(A14,'SegEnds_NonXtal_Prot#'!A:AL,13,FALSE)-VLOOKUP(A14,'SegEnds_NonXtal_Prot#'!A:AL,10,FALSE)</f>
        <v>18</v>
      </c>
      <c r="AE14" s="1">
        <f>VLOOKUP(A14,'SegEnds_NonXtal_Prot#'!A:AL,16,FALSE)-VLOOKUP(A14,'SegEnds_NonXtal_Prot#'!A:AL,10,FALSE)</f>
        <v>50</v>
      </c>
      <c r="AF14" s="1">
        <f>VLOOKUP(A14,'SegEnds_NonXtal_Prot#'!A:AL,22,FALSE)-VLOOKUP(A14,'SegEnds_NonXtal_Prot#'!A:AL,19,FALSE)</f>
        <v>20</v>
      </c>
      <c r="AG14" s="1">
        <f>VLOOKUP(A14,'SegEnds_NonXtal_Prot#'!A:AL,28,FALSE)-VLOOKUP(A14,'SegEnds_NonXtal_Prot#'!A:AL,25,FALSE)</f>
        <v>23</v>
      </c>
      <c r="AH14" s="1">
        <f>VLOOKUP(A14,'SegEnds_NonXtal_Prot#'!A:AL,28,FALSE)-VLOOKUP(A14,'SegEnds_NonXtal_Prot#'!A:AL,22,FALSE)</f>
        <v>54</v>
      </c>
      <c r="AI14" s="1">
        <f>VLOOKUP(A14,'SegEnds_NonXtal_Prot#'!A:AL,31,FALSE)-VLOOKUP(A14,'SegEnds_NonXtal_Prot#'!A:AL,28,FALSE)</f>
        <v>56</v>
      </c>
      <c r="AJ14" s="1">
        <f>VLOOKUP(A14,'SegEnds_NonXtal_Prot#'!A:AL,34,FALSE)-VLOOKUP(A14,'SegEnds_NonXtal_Prot#'!A:AL,31,FALSE)</f>
        <v>34</v>
      </c>
      <c r="AK14" s="1">
        <f>VLOOKUP(A14,'SegEnds_NonXtal_Prot#'!A:AL,37,FALSE)-VLOOKUP(A14,'SegEnds_NonXtal_Prot#'!A:AL,34,FALSE)</f>
        <v>10</v>
      </c>
      <c r="AL14" s="1" t="str">
        <f>IF(ISERROR(MATCH(A14,'SegEnds_Xtal_Prot#'!B:B, 0)), "NoXtal", "Xtal")</f>
        <v>NoXtal</v>
      </c>
    </row>
    <row r="15" spans="1:38" x14ac:dyDescent="0.2">
      <c r="A15" s="1" t="s">
        <v>155</v>
      </c>
      <c r="B15" s="1" t="str">
        <f>VLOOKUP(A15,Xtal_Templ!A:B,2,FALSE)</f>
        <v>drd2_human</v>
      </c>
      <c r="C15" s="5">
        <f>VLOOKUP($B15&amp;"__wt",'SegEnds_Xtal_BW#'!$A:$Z,3,FALSE)</f>
        <v>29</v>
      </c>
      <c r="D15" s="1">
        <f>VLOOKUP($B15&amp;"__wt",'SegEnds_Xtal_BW#'!$A:$Z,4,FALSE)</f>
        <v>60</v>
      </c>
      <c r="E15" s="1">
        <f>VLOOKUP($B15&amp;"__wt",'SegEnds_Xtal_BW#'!$A:$Z,5,FALSE)</f>
        <v>48</v>
      </c>
      <c r="F15" s="1">
        <f>VLOOKUP($B15&amp;"__wt",'SegEnds_Xtal_BW#'!$A:$Z,6,FALSE)</f>
        <v>51</v>
      </c>
      <c r="G15" s="1">
        <v>37</v>
      </c>
      <c r="H15" s="12">
        <f>VLOOKUP($B15&amp;"__wt",'SegEnds_Xtal_BW#'!$A:$Z,8,FALSE)</f>
        <v>68</v>
      </c>
      <c r="I15" s="1">
        <f>VLOOKUP($B15&amp;"__wt",'SegEnds_Xtal_BW#'!$A:$Z,9,FALSE)</f>
        <v>49</v>
      </c>
      <c r="J15" s="1">
        <f>VLOOKUP($B15&amp;"__wt",'SegEnds_Xtal_BW#'!$A:$Z,10,FALSE)</f>
        <v>52</v>
      </c>
      <c r="K15" s="12">
        <v>18</v>
      </c>
      <c r="L15" s="1">
        <f>VLOOKUP($B15&amp;"__wt",'SegEnds_Xtal_BW#'!$A:$Z,12,FALSE)</f>
        <v>56</v>
      </c>
      <c r="M15" s="1">
        <f>VLOOKUP($B15&amp;"__wt",'SegEnds_Xtal_BW#'!$A:$Z,13,FALSE)</f>
        <v>50</v>
      </c>
      <c r="N15" s="12">
        <v>57</v>
      </c>
      <c r="O15" s="87">
        <v>38</v>
      </c>
      <c r="P15" s="1">
        <f>VLOOKUP($B15&amp;"__wt",'SegEnds_Xtal_BW#'!$A:$Z,16,FALSE)</f>
        <v>62</v>
      </c>
      <c r="Q15" s="1">
        <f>VLOOKUP($B15&amp;"__wt",'SegEnds_Xtal_BW#'!$A:$Z,17,FALSE)</f>
        <v>50</v>
      </c>
      <c r="R15" s="1">
        <f>VLOOKUP($B15&amp;"__wt",'SegEnds_Xtal_BW#'!$A:$Z,18,FALSE)</f>
        <v>52</v>
      </c>
      <c r="S15" s="1">
        <v>35</v>
      </c>
      <c r="T15" s="1">
        <f t="array" ref="T15">INDEX(ICL3_classA!$G$2:$G$37,MATCH(MIN(ABS(AI15-ICL3_classA!$F$2:$F$37)),ABS(AI15-ICL3_classA!$F$2:$F$37),0))</f>
        <v>75</v>
      </c>
      <c r="U15" s="1">
        <f t="array" ref="U15">INDEX(ICL3_classA!$H$2:$H$37,MATCH(MIN(ABS(AI15-ICL3_classA!$F$2:$F$37)),ABS(AI15-ICL3_classA!$F$2:$F$37),0))</f>
        <v>24</v>
      </c>
      <c r="V15" s="1">
        <v>61</v>
      </c>
      <c r="W15" s="1">
        <v>32</v>
      </c>
      <c r="X15" s="1">
        <f>VLOOKUP($B15&amp;"__wt",'SegEnds_Xtal_BW#'!$A:$Z,24,FALSE)</f>
        <v>56</v>
      </c>
      <c r="Y15" s="1">
        <f>VLOOKUP($B15&amp;"__wt",'SegEnds_Xtal_BW#'!$A:$Z,25,FALSE)</f>
        <v>47</v>
      </c>
      <c r="Z15" s="1">
        <f>VLOOKUP($B15&amp;"__wt",'SegEnds_Xtal_BW#'!$A:$Z,26,FALSE)</f>
        <v>59</v>
      </c>
      <c r="AA15" s="27" t="str">
        <f>VLOOKUP(A15,Classification!A:B,2,FALSE)</f>
        <v>A</v>
      </c>
      <c r="AB15" s="1">
        <f>VLOOKUP(A15,'SegEnds_NonXtal_Prot#'!A:AL,10,FALSE)-VLOOKUP(A15,'SegEnds_NonXtal_Prot#'!A:AL,4,FALSE)</f>
        <v>28</v>
      </c>
      <c r="AC15" s="1">
        <f>VLOOKUP(A15,'SegEnds_NonXtal_Prot#'!A:AL,10,FALSE)-VLOOKUP(A15,'SegEnds_NonXtal_Prot#'!A:AL,7,FALSE)</f>
        <v>15</v>
      </c>
      <c r="AD15" s="1">
        <f>VLOOKUP(A15,'SegEnds_NonXtal_Prot#'!A:AL,13,FALSE)-VLOOKUP(A15,'SegEnds_NonXtal_Prot#'!A:AL,10,FALSE)</f>
        <v>20</v>
      </c>
      <c r="AE15" s="1">
        <f>VLOOKUP(A15,'SegEnds_NonXtal_Prot#'!A:AL,16,FALSE)-VLOOKUP(A15,'SegEnds_NonXtal_Prot#'!A:AL,10,FALSE)</f>
        <v>52</v>
      </c>
      <c r="AF15" s="1">
        <f>VLOOKUP(A15,'SegEnds_NonXtal_Prot#'!A:AL,22,FALSE)-VLOOKUP(A15,'SegEnds_NonXtal_Prot#'!A:AL,19,FALSE)</f>
        <v>20</v>
      </c>
      <c r="AG15" s="1">
        <f>VLOOKUP(A15,'SegEnds_NonXtal_Prot#'!A:AL,28,FALSE)-VLOOKUP(A15,'SegEnds_NonXtal_Prot#'!A:AL,25,FALSE)</f>
        <v>20</v>
      </c>
      <c r="AH15" s="1">
        <f>VLOOKUP(A15,'SegEnds_NonXtal_Prot#'!A:AL,28,FALSE)-VLOOKUP(A15,'SegEnds_NonXtal_Prot#'!A:AL,22,FALSE)</f>
        <v>50</v>
      </c>
      <c r="AI15" s="1">
        <f>VLOOKUP(A15,'SegEnds_NonXtal_Prot#'!A:AL,31,FALSE)-VLOOKUP(A15,'SegEnds_NonXtal_Prot#'!A:AL,28,FALSE)</f>
        <v>181</v>
      </c>
      <c r="AJ15" s="1">
        <f>VLOOKUP(A15,'SegEnds_NonXtal_Prot#'!A:AL,34,FALSE)-VLOOKUP(A15,'SegEnds_NonXtal_Prot#'!A:AL,31,FALSE)</f>
        <v>34</v>
      </c>
      <c r="AK15" s="1">
        <f>VLOOKUP(A15,'SegEnds_NonXtal_Prot#'!A:AL,37,FALSE)-VLOOKUP(A15,'SegEnds_NonXtal_Prot#'!A:AL,34,FALSE)</f>
        <v>10</v>
      </c>
      <c r="AL15" s="1" t="str">
        <f>IF(ISERROR(MATCH(A15,'SegEnds_Xtal_Prot#'!B:B, 0)), "NoXtal", "Xtal")</f>
        <v>NoXtal</v>
      </c>
    </row>
    <row r="16" spans="1:38" x14ac:dyDescent="0.2">
      <c r="A16" s="1" t="s">
        <v>1173</v>
      </c>
      <c r="B16" s="1" t="str">
        <f>VLOOKUP(A16,Xtal_Templ!A:B,2,FALSE)</f>
        <v>ffar1_human</v>
      </c>
      <c r="C16" s="5">
        <f>VLOOKUP($B16&amp;"__wt",'SegEnds_Xtal_BW#'!$A:$Z,3,FALSE)</f>
        <v>31</v>
      </c>
      <c r="D16" s="1">
        <f>VLOOKUP($B16&amp;"__wt",'SegEnds_Xtal_BW#'!$A:$Z,4,FALSE)</f>
        <v>64</v>
      </c>
      <c r="E16" s="1" t="str">
        <f>VLOOKUP($B16&amp;"__wt",'SegEnds_Xtal_BW#'!$A:$Z,5,FALSE)</f>
        <v>-</v>
      </c>
      <c r="F16" s="1" t="str">
        <f>VLOOKUP($B16&amp;"__wt",'SegEnds_Xtal_BW#'!$A:$Z,6,FALSE)</f>
        <v>-</v>
      </c>
      <c r="G16" s="1">
        <v>37</v>
      </c>
      <c r="H16" s="12">
        <f>VLOOKUP($B16&amp;"__wt",'SegEnds_Xtal_BW#'!$A:$Z,8,FALSE)</f>
        <v>67</v>
      </c>
      <c r="I16" s="1">
        <f>VLOOKUP($B16&amp;"__wt",'SegEnds_Xtal_BW#'!$A:$Z,9,FALSE)</f>
        <v>49</v>
      </c>
      <c r="J16" s="1">
        <f>VLOOKUP($B16&amp;"__wt",'SegEnds_Xtal_BW#'!$A:$Z,10,FALSE)</f>
        <v>52</v>
      </c>
      <c r="K16" s="12">
        <v>18</v>
      </c>
      <c r="L16" s="1">
        <f>VLOOKUP($B16&amp;"__wt",'SegEnds_Xtal_BW#'!$A:$Z,12,FALSE)</f>
        <v>56</v>
      </c>
      <c r="M16" s="1">
        <f>VLOOKUP($B16&amp;"__wt",'SegEnds_Xtal_BW#'!$A:$Z,13,FALSE)</f>
        <v>50</v>
      </c>
      <c r="N16" s="12">
        <f>VLOOKUP($B16&amp;"__wt",'SegEnds_Xtal_BW#'!$A:$Z,14,FALSE)</f>
        <v>57</v>
      </c>
      <c r="O16" s="87">
        <f>VLOOKUP($B16&amp;"__wt",'SegEnds_Xtal_BW#'!$A:$Z,15,FALSE)</f>
        <v>38</v>
      </c>
      <c r="P16" s="1">
        <f>VLOOKUP($B16&amp;"__wt",'SegEnds_Xtal_BW#'!$A:$Z,16,FALSE)</f>
        <v>65</v>
      </c>
      <c r="Q16" s="1">
        <f>VLOOKUP($B16&amp;"__wt",'SegEnds_Xtal_BW#'!$A:$Z,17,FALSE)</f>
        <v>50</v>
      </c>
      <c r="R16" s="1">
        <f>VLOOKUP($B16&amp;"__wt",'SegEnds_Xtal_BW#'!$A:$Z,18,FALSE)</f>
        <v>52</v>
      </c>
      <c r="S16" s="1">
        <f>VLOOKUP($B16&amp;"__wt",'SegEnds_Xtal_BW#'!$A:$Z,19,FALSE)</f>
        <v>31</v>
      </c>
      <c r="T16" s="1">
        <f t="array" ref="T16">INDEX(ICL3_classA!$G$2:$G$37,MATCH(MIN(ABS(AI16-ICL3_classA!$F$2:$F$37)),ABS(AI16-ICL3_classA!$F$2:$F$37),0))</f>
        <v>67</v>
      </c>
      <c r="U16" s="1">
        <f t="array" ref="U16">INDEX(ICL3_classA!$H$2:$H$37,MATCH(MIN(ABS(AI16-ICL3_classA!$F$2:$F$37)),ABS(AI16-ICL3_classA!$F$2:$F$37),0))</f>
        <v>28</v>
      </c>
      <c r="V16" s="1">
        <v>61</v>
      </c>
      <c r="W16" s="1">
        <v>32</v>
      </c>
      <c r="X16" s="1">
        <f>VLOOKUP($B16&amp;"__wt",'SegEnds_Xtal_BW#'!$A:$Z,24,FALSE)</f>
        <v>56</v>
      </c>
      <c r="Y16" s="1">
        <f>VLOOKUP($B16&amp;"__wt",'SegEnds_Xtal_BW#'!$A:$Z,25,FALSE)</f>
        <v>47</v>
      </c>
      <c r="Z16" s="1">
        <f>VLOOKUP($B16&amp;"__wt",'SegEnds_Xtal_BW#'!$A:$Z,26,FALSE)</f>
        <v>61</v>
      </c>
      <c r="AA16" s="27" t="str">
        <f>VLOOKUP(A16,Classification!A:B,2,FALSE)</f>
        <v>A</v>
      </c>
      <c r="AB16" s="1">
        <f>VLOOKUP(A16,'SegEnds_NonXtal_Prot#'!A:AL,10,FALSE)-VLOOKUP(A16,'SegEnds_NonXtal_Prot#'!A:AL,4,FALSE)</f>
        <v>29</v>
      </c>
      <c r="AC16" s="1" t="e">
        <f>VLOOKUP(A16,'SegEnds_NonXtal_Prot#'!A:AL,10,FALSE)-VLOOKUP(A16,'SegEnds_NonXtal_Prot#'!A:AL,7,FALSE)</f>
        <v>#VALUE!</v>
      </c>
      <c r="AD16" s="1">
        <f>VLOOKUP(A16,'SegEnds_NonXtal_Prot#'!A:AL,13,FALSE)-VLOOKUP(A16,'SegEnds_NonXtal_Prot#'!A:AL,10,FALSE)</f>
        <v>20</v>
      </c>
      <c r="AE16" s="1">
        <f>VLOOKUP(A16,'SegEnds_NonXtal_Prot#'!A:AL,16,FALSE)-VLOOKUP(A16,'SegEnds_NonXtal_Prot#'!A:AL,10,FALSE)</f>
        <v>52</v>
      </c>
      <c r="AF16" s="1">
        <f>VLOOKUP(A16,'SegEnds_NonXtal_Prot#'!A:AL,22,FALSE)-VLOOKUP(A16,'SegEnds_NonXtal_Prot#'!A:AL,19,FALSE)</f>
        <v>20</v>
      </c>
      <c r="AG16" s="1">
        <f>VLOOKUP(A16,'SegEnds_NonXtal_Prot#'!A:AL,28,FALSE)-VLOOKUP(A16,'SegEnds_NonXtal_Prot#'!A:AL,25,FALSE)</f>
        <v>24</v>
      </c>
      <c r="AH16" s="1">
        <f>VLOOKUP(A16,'SegEnds_NonXtal_Prot#'!A:AL,28,FALSE)-VLOOKUP(A16,'SegEnds_NonXtal_Prot#'!A:AL,22,FALSE)</f>
        <v>63</v>
      </c>
      <c r="AI16" s="1">
        <f>VLOOKUP(A16,'SegEnds_NonXtal_Prot#'!A:AL,31,FALSE)-VLOOKUP(A16,'SegEnds_NonXtal_Prot#'!A:AL,28,FALSE)</f>
        <v>45</v>
      </c>
      <c r="AJ16" s="1">
        <f>VLOOKUP(A16,'SegEnds_NonXtal_Prot#'!A:AL,34,FALSE)-VLOOKUP(A16,'SegEnds_NonXtal_Prot#'!A:AL,31,FALSE)</f>
        <v>34</v>
      </c>
      <c r="AK16" s="1">
        <f>VLOOKUP(A16,'SegEnds_NonXtal_Prot#'!A:AL,37,FALSE)-VLOOKUP(A16,'SegEnds_NonXtal_Prot#'!A:AL,34,FALSE)</f>
        <v>10</v>
      </c>
      <c r="AL16" s="1" t="str">
        <f>IF(ISERROR(MATCH(A16,'SegEnds_Xtal_Prot#'!B:B, 0)), "NoXtal", "Xtal")</f>
        <v>Xtal</v>
      </c>
    </row>
    <row r="17" spans="1:38" x14ac:dyDescent="0.2">
      <c r="A17" s="1" t="s">
        <v>221</v>
      </c>
      <c r="B17" s="1" t="str">
        <f>VLOOKUP(A17,Xtal_Templ!A:B,2,FALSE)</f>
        <v>s1pr1_human</v>
      </c>
      <c r="C17" s="5">
        <f>VLOOKUP($B17&amp;"__wt",'SegEnds_Xtal_BW#'!$A:$Z,3,FALSE)</f>
        <v>29</v>
      </c>
      <c r="D17" s="1">
        <f>VLOOKUP($B17&amp;"__wt",'SegEnds_Xtal_BW#'!$A:$Z,4,FALSE)</f>
        <v>60</v>
      </c>
      <c r="E17" s="1">
        <f>VLOOKUP($B17&amp;"__wt",'SegEnds_Xtal_BW#'!$A:$Z,5,FALSE)</f>
        <v>48</v>
      </c>
      <c r="F17" s="1">
        <f>VLOOKUP($B17&amp;"__wt",'SegEnds_Xtal_BW#'!$A:$Z,6,FALSE)</f>
        <v>51</v>
      </c>
      <c r="G17" s="1">
        <v>37</v>
      </c>
      <c r="H17" s="12">
        <v>67</v>
      </c>
      <c r="I17" s="1">
        <f>VLOOKUP($B17&amp;"__wt",'SegEnds_Xtal_BW#'!$A:$Z,9,FALSE)</f>
        <v>47</v>
      </c>
      <c r="J17" s="1">
        <f>VLOOKUP($B17&amp;"__wt",'SegEnds_Xtal_BW#'!$A:$Z,10,FALSE)</f>
        <v>53</v>
      </c>
      <c r="K17" s="12">
        <v>18</v>
      </c>
      <c r="L17" s="1">
        <f>VLOOKUP($B17&amp;"__wt",'SegEnds_Xtal_BW#'!$A:$Z,12,FALSE)</f>
        <v>56</v>
      </c>
      <c r="M17" s="108" t="s">
        <v>23</v>
      </c>
      <c r="N17" s="12" t="s">
        <v>23</v>
      </c>
      <c r="O17" s="87">
        <f>VLOOKUP($B17&amp;"__wt",'SegEnds_Xtal_BW#'!$A:$Z,15,FALSE)</f>
        <v>38</v>
      </c>
      <c r="P17" s="1">
        <f>VLOOKUP($B17&amp;"__wt",'SegEnds_Xtal_BW#'!$A:$Z,16,FALSE)</f>
        <v>63</v>
      </c>
      <c r="Q17" s="1" t="str">
        <f>VLOOKUP($B17&amp;"__wt",'SegEnds_Xtal_BW#'!$A:$Z,17,FALSE)</f>
        <v>-</v>
      </c>
      <c r="R17" s="1" t="str">
        <f>VLOOKUP($B17&amp;"__wt",'SegEnds_Xtal_BW#'!$A:$Z,18,FALSE)</f>
        <v>-</v>
      </c>
      <c r="S17" s="1">
        <f>VLOOKUP($B17&amp;"__wt",'SegEnds_Xtal_BW#'!$A:$Z,19,FALSE)</f>
        <v>36</v>
      </c>
      <c r="T17" s="1">
        <f t="array" ref="T17">INDEX(ICL3_classA!$G$2:$G$37,MATCH(MIN(ABS(AI17-ICL3_classA!$F$2:$F$37)),ABS(AI17-ICL3_classA!$F$2:$F$37),0))</f>
        <v>76</v>
      </c>
      <c r="U17" s="1">
        <f t="array" ref="U17">INDEX(ICL3_classA!$H$2:$H$37,MATCH(MIN(ABS(AI17-ICL3_classA!$F$2:$F$37)),ABS(AI17-ICL3_classA!$F$2:$F$37),0))</f>
        <v>24</v>
      </c>
      <c r="V17" s="1">
        <v>61</v>
      </c>
      <c r="W17" s="1">
        <v>32</v>
      </c>
      <c r="X17" s="1">
        <f>VLOOKUP($B17&amp;"__wt",'SegEnds_Xtal_BW#'!$A:$Z,24,FALSE)</f>
        <v>56</v>
      </c>
      <c r="Y17" s="1">
        <f>VLOOKUP($B17&amp;"__wt",'SegEnds_Xtal_BW#'!$A:$Z,25,FALSE)</f>
        <v>47</v>
      </c>
      <c r="Z17" s="1">
        <f>VLOOKUP($B17&amp;"__wt",'SegEnds_Xtal_BW#'!$A:$Z,26,FALSE)</f>
        <v>59</v>
      </c>
      <c r="AA17" s="27" t="str">
        <f>VLOOKUP(A17,Classification!A:B,2,FALSE)</f>
        <v>A</v>
      </c>
      <c r="AB17" s="1">
        <f>VLOOKUP(A17,'SegEnds_NonXtal_Prot#'!A:AL,10,FALSE)-VLOOKUP(A17,'SegEnds_NonXtal_Prot#'!A:AL,4,FALSE)</f>
        <v>29</v>
      </c>
      <c r="AC17" s="1" t="e">
        <f>VLOOKUP(A17,'SegEnds_NonXtal_Prot#'!A:AL,10,FALSE)-VLOOKUP(A17,'SegEnds_NonXtal_Prot#'!A:AL,7,FALSE)</f>
        <v>#VALUE!</v>
      </c>
      <c r="AD17" s="1">
        <f>VLOOKUP(A17,'SegEnds_NonXtal_Prot#'!A:AL,13,FALSE)-VLOOKUP(A17,'SegEnds_NonXtal_Prot#'!A:AL,10,FALSE)</f>
        <v>26</v>
      </c>
      <c r="AE17" s="1">
        <f>VLOOKUP(A17,'SegEnds_NonXtal_Prot#'!A:AL,16,FALSE)-VLOOKUP(A17,'SegEnds_NonXtal_Prot#'!A:AL,10,FALSE)</f>
        <v>69</v>
      </c>
      <c r="AF17" s="1" t="e">
        <f>VLOOKUP(A17,'SegEnds_NonXtal_Prot#'!A:AL,22,FALSE)-VLOOKUP(A17,'SegEnds_NonXtal_Prot#'!A:AL,19,FALSE)</f>
        <v>#VALUE!</v>
      </c>
      <c r="AG17" s="1" t="e">
        <f>VLOOKUP(A17,'SegEnds_NonXtal_Prot#'!A:AL,28,FALSE)-VLOOKUP(A17,'SegEnds_NonXtal_Prot#'!A:AL,25,FALSE)</f>
        <v>#VALUE!</v>
      </c>
      <c r="AH17" s="1">
        <f>VLOOKUP(A17,'SegEnds_NonXtal_Prot#'!A:AL,28,FALSE)-VLOOKUP(A17,'SegEnds_NonXtal_Prot#'!A:AL,22,FALSE)</f>
        <v>53</v>
      </c>
      <c r="AI17" s="1">
        <f>VLOOKUP(A17,'SegEnds_NonXtal_Prot#'!A:AL,31,FALSE)-VLOOKUP(A17,'SegEnds_NonXtal_Prot#'!A:AL,28,FALSE)</f>
        <v>114</v>
      </c>
      <c r="AJ17" s="1">
        <f>VLOOKUP(A17,'SegEnds_NonXtal_Prot#'!A:AL,34,FALSE)-VLOOKUP(A17,'SegEnds_NonXtal_Prot#'!A:AL,31,FALSE)</f>
        <v>34</v>
      </c>
      <c r="AK17" s="1">
        <f>VLOOKUP(A17,'SegEnds_NonXtal_Prot#'!A:AL,37,FALSE)-VLOOKUP(A17,'SegEnds_NonXtal_Prot#'!A:AL,34,FALSE)</f>
        <v>10</v>
      </c>
      <c r="AL17" s="1" t="str">
        <f>IF(ISERROR(MATCH(A17,'SegEnds_Xtal_Prot#'!B:B, 0)), "NoXtal", "Xtal")</f>
        <v>NoXtal</v>
      </c>
    </row>
    <row r="18" spans="1:38" x14ac:dyDescent="0.2">
      <c r="A18" s="1" t="s">
        <v>225</v>
      </c>
      <c r="B18" s="1" t="str">
        <f>VLOOKUP(A18,Xtal_Templ!A:B,2,FALSE)</f>
        <v>5ht2a_human</v>
      </c>
      <c r="C18" s="5">
        <f>VLOOKUP($B18&amp;"__wt",'SegEnds_Xtal_BW#'!$A:$Z,3,FALSE)</f>
        <v>27</v>
      </c>
      <c r="D18" s="1">
        <f>VLOOKUP($B18&amp;"__wt",'SegEnds_Xtal_BW#'!$A:$Z,4,FALSE)</f>
        <v>60</v>
      </c>
      <c r="E18" s="1">
        <f>VLOOKUP($B18&amp;"__wt",'SegEnds_Xtal_BW#'!$A:$Z,5,FALSE)</f>
        <v>48</v>
      </c>
      <c r="F18" s="1">
        <f>VLOOKUP($B18&amp;"__wt",'SegEnds_Xtal_BW#'!$A:$Z,6,FALSE)</f>
        <v>51</v>
      </c>
      <c r="G18" s="1">
        <v>37</v>
      </c>
      <c r="H18" s="12">
        <f>VLOOKUP($B18&amp;"__wt",'SegEnds_Xtal_BW#'!$A:$Z,8,FALSE)</f>
        <v>68</v>
      </c>
      <c r="I18" s="1">
        <f>VLOOKUP($B18&amp;"__wt",'SegEnds_Xtal_BW#'!$A:$Z,9,FALSE)</f>
        <v>49</v>
      </c>
      <c r="J18" s="1">
        <f>VLOOKUP($B18&amp;"__wt",'SegEnds_Xtal_BW#'!$A:$Z,10,FALSE)</f>
        <v>52</v>
      </c>
      <c r="K18" s="12">
        <v>18</v>
      </c>
      <c r="L18" s="1">
        <f>VLOOKUP($B18&amp;"__wt",'SegEnds_Xtal_BW#'!$A:$Z,12,FALSE)</f>
        <v>56</v>
      </c>
      <c r="M18" s="1">
        <f>VLOOKUP($B18&amp;"__wt",'SegEnds_Xtal_BW#'!$A:$Z,13,FALSE)</f>
        <v>50</v>
      </c>
      <c r="N18" s="12">
        <v>57</v>
      </c>
      <c r="O18" s="87">
        <f>VLOOKUP($B18&amp;"__wt",'SegEnds_Xtal_BW#'!$A:$Z,15,FALSE)</f>
        <v>38</v>
      </c>
      <c r="P18" s="1">
        <v>63</v>
      </c>
      <c r="Q18" s="1">
        <f>VLOOKUP($B18&amp;"__wt",'SegEnds_Xtal_BW#'!$A:$Z,17,FALSE)</f>
        <v>50</v>
      </c>
      <c r="R18" s="1">
        <f>VLOOKUP($B18&amp;"__wt",'SegEnds_Xtal_BW#'!$A:$Z,18,FALSE)</f>
        <v>52</v>
      </c>
      <c r="S18" s="1">
        <v>35</v>
      </c>
      <c r="T18" s="1">
        <f t="array" ref="T18">INDEX(ICL3_classA!$G$2:$G$37,MATCH(MIN(ABS(AI18-ICL3_classA!$F$2:$F$37)),ABS(AI18-ICL3_classA!$F$2:$F$37),0))</f>
        <v>76</v>
      </c>
      <c r="U18" s="1">
        <f t="array" ref="U18">INDEX(ICL3_classA!$H$2:$H$37,MATCH(MIN(ABS(AI18-ICL3_classA!$F$2:$F$37)),ABS(AI18-ICL3_classA!$F$2:$F$37),0))</f>
        <v>24</v>
      </c>
      <c r="V18" s="1">
        <v>61</v>
      </c>
      <c r="W18" s="1">
        <v>32</v>
      </c>
      <c r="X18" s="108">
        <v>55</v>
      </c>
      <c r="Y18" s="1">
        <f>VLOOKUP($B18&amp;"__wt",'SegEnds_Xtal_BW#'!$A:$Z,25,FALSE)</f>
        <v>47</v>
      </c>
      <c r="Z18" s="1">
        <f>VLOOKUP($B18&amp;"__wt",'SegEnds_Xtal_BW#'!$A:$Z,26,FALSE)</f>
        <v>60</v>
      </c>
      <c r="AA18" s="27" t="str">
        <f>VLOOKUP(A18,Classification!A:B,2,FALSE)</f>
        <v>A</v>
      </c>
      <c r="AB18" s="1">
        <f>VLOOKUP(A18,'SegEnds_NonXtal_Prot#'!A:AL,10,FALSE)-VLOOKUP(A18,'SegEnds_NonXtal_Prot#'!A:AL,4,FALSE)</f>
        <v>27</v>
      </c>
      <c r="AC18" s="1">
        <f>VLOOKUP(A18,'SegEnds_NonXtal_Prot#'!A:AL,10,FALSE)-VLOOKUP(A18,'SegEnds_NonXtal_Prot#'!A:AL,7,FALSE)</f>
        <v>14</v>
      </c>
      <c r="AD18" s="1">
        <f>VLOOKUP(A18,'SegEnds_NonXtal_Prot#'!A:AL,13,FALSE)-VLOOKUP(A18,'SegEnds_NonXtal_Prot#'!A:AL,10,FALSE)</f>
        <v>24</v>
      </c>
      <c r="AE18" s="1">
        <f>VLOOKUP(A18,'SegEnds_NonXtal_Prot#'!A:AL,16,FALSE)-VLOOKUP(A18,'SegEnds_NonXtal_Prot#'!A:AL,10,FALSE)</f>
        <v>56</v>
      </c>
      <c r="AF18" s="1">
        <f>VLOOKUP(A18,'SegEnds_NonXtal_Prot#'!A:AL,22,FALSE)-VLOOKUP(A18,'SegEnds_NonXtal_Prot#'!A:AL,19,FALSE)</f>
        <v>20</v>
      </c>
      <c r="AG18" s="1">
        <f>VLOOKUP(A18,'SegEnds_NonXtal_Prot#'!A:AL,28,FALSE)-VLOOKUP(A18,'SegEnds_NonXtal_Prot#'!A:AL,25,FALSE)</f>
        <v>23</v>
      </c>
      <c r="AH18" s="1">
        <f>VLOOKUP(A18,'SegEnds_NonXtal_Prot#'!A:AL,28,FALSE)-VLOOKUP(A18,'SegEnds_NonXtal_Prot#'!A:AL,22,FALSE)</f>
        <v>49</v>
      </c>
      <c r="AI18" s="1">
        <f>VLOOKUP(A18,'SegEnds_NonXtal_Prot#'!A:AL,31,FALSE)-VLOOKUP(A18,'SegEnds_NonXtal_Prot#'!A:AL,28,FALSE)</f>
        <v>76</v>
      </c>
      <c r="AJ18" s="1">
        <f>VLOOKUP(A18,'SegEnds_NonXtal_Prot#'!A:AL,34,FALSE)-VLOOKUP(A18,'SegEnds_NonXtal_Prot#'!A:AL,31,FALSE)</f>
        <v>34</v>
      </c>
      <c r="AK18" s="1">
        <f>VLOOKUP(A18,'SegEnds_NonXtal_Prot#'!A:AL,37,FALSE)-VLOOKUP(A18,'SegEnds_NonXtal_Prot#'!A:AL,34,FALSE)</f>
        <v>9</v>
      </c>
      <c r="AL18" s="1" t="str">
        <f>IF(ISERROR(MATCH(A18,'SegEnds_Xtal_Prot#'!B:B, 0)), "NoXtal", "Xtal")</f>
        <v>NoXtal</v>
      </c>
    </row>
    <row r="19" spans="1:38" x14ac:dyDescent="0.2">
      <c r="A19" s="1" t="s">
        <v>228</v>
      </c>
      <c r="B19" s="1" t="str">
        <f>VLOOKUP(A19,Xtal_Templ!A:B,2,FALSE)</f>
        <v>npy1r_human</v>
      </c>
      <c r="C19" s="5">
        <f>VLOOKUP($B19&amp;"__wt",'SegEnds_Xtal_BW#'!$A:$Z,3,FALSE)</f>
        <v>28</v>
      </c>
      <c r="D19" s="1">
        <f>VLOOKUP($B19&amp;"__wt",'SegEnds_Xtal_BW#'!$A:$Z,4,FALSE)</f>
        <v>60</v>
      </c>
      <c r="E19" s="1">
        <f>VLOOKUP($B19&amp;"__wt",'SegEnds_Xtal_BW#'!$A:$Z,5,FALSE)</f>
        <v>48</v>
      </c>
      <c r="F19" s="1">
        <f>VLOOKUP($B19&amp;"__wt",'SegEnds_Xtal_BW#'!$A:$Z,6,FALSE)</f>
        <v>51</v>
      </c>
      <c r="G19" s="1">
        <v>37</v>
      </c>
      <c r="H19" s="12">
        <f>VLOOKUP($B19&amp;"__wt",'SegEnds_Xtal_BW#'!$A:$Z,8,FALSE)</f>
        <v>68</v>
      </c>
      <c r="I19" s="1">
        <f>VLOOKUP($B19&amp;"__wt",'SegEnds_Xtal_BW#'!$A:$Z,9,FALSE)</f>
        <v>49</v>
      </c>
      <c r="J19" s="1">
        <f>VLOOKUP($B19&amp;"__wt",'SegEnds_Xtal_BW#'!$A:$Z,10,FALSE)</f>
        <v>52</v>
      </c>
      <c r="K19" s="12">
        <v>18</v>
      </c>
      <c r="L19" s="1">
        <f>VLOOKUP($B19&amp;"__wt",'SegEnds_Xtal_BW#'!$A:$Z,12,FALSE)</f>
        <v>56</v>
      </c>
      <c r="M19" s="108">
        <v>50</v>
      </c>
      <c r="N19" s="12">
        <v>57</v>
      </c>
      <c r="O19" s="87">
        <f>VLOOKUP($B19&amp;"__wt",'SegEnds_Xtal_BW#'!$A:$Z,15,FALSE)</f>
        <v>38</v>
      </c>
      <c r="P19" s="1">
        <f>VLOOKUP($B19&amp;"__wt",'SegEnds_Xtal_BW#'!$A:$Z,16,FALSE)</f>
        <v>64</v>
      </c>
      <c r="Q19" s="1">
        <f>VLOOKUP($B19&amp;"__wt",'SegEnds_Xtal_BW#'!$A:$Z,17,FALSE)</f>
        <v>50</v>
      </c>
      <c r="R19" s="1">
        <f>VLOOKUP($B19&amp;"__wt",'SegEnds_Xtal_BW#'!$A:$Z,18,FALSE)</f>
        <v>52</v>
      </c>
      <c r="S19" s="1">
        <v>35</v>
      </c>
      <c r="T19" s="1">
        <f t="array" ref="T19">INDEX(ICL3_classA!$G$2:$G$37,MATCH(MIN(ABS(AI19-ICL3_classA!$F$2:$F$37)),ABS(AI19-ICL3_classA!$F$2:$F$37),0))</f>
        <v>74</v>
      </c>
      <c r="U19" s="1">
        <f t="array" ref="U19">INDEX(ICL3_classA!$H$2:$H$37,MATCH(MIN(ABS(AI19-ICL3_classA!$F$2:$F$37)),ABS(AI19-ICL3_classA!$F$2:$F$37),0))</f>
        <v>24</v>
      </c>
      <c r="V19" s="1">
        <v>61</v>
      </c>
      <c r="W19" s="1">
        <v>32</v>
      </c>
      <c r="X19" s="108">
        <v>55</v>
      </c>
      <c r="Y19" s="1">
        <f>VLOOKUP($B19&amp;"__wt",'SegEnds_Xtal_BW#'!$A:$Z,25,FALSE)</f>
        <v>47</v>
      </c>
      <c r="Z19" s="1">
        <f>VLOOKUP($B19&amp;"__wt",'SegEnds_Xtal_BW#'!$A:$Z,26,FALSE)</f>
        <v>58</v>
      </c>
      <c r="AA19" s="27" t="str">
        <f>VLOOKUP(A19,Classification!A:B,2,FALSE)</f>
        <v>A</v>
      </c>
      <c r="AB19" s="1">
        <f>VLOOKUP(A19,'SegEnds_NonXtal_Prot#'!A:AL,10,FALSE)-VLOOKUP(A19,'SegEnds_NonXtal_Prot#'!A:AL,4,FALSE)</f>
        <v>27</v>
      </c>
      <c r="AC19" s="1">
        <f>VLOOKUP(A19,'SegEnds_NonXtal_Prot#'!A:AL,10,FALSE)-VLOOKUP(A19,'SegEnds_NonXtal_Prot#'!A:AL,7,FALSE)</f>
        <v>14</v>
      </c>
      <c r="AD19" s="1">
        <f>VLOOKUP(A19,'SegEnds_NonXtal_Prot#'!A:AL,13,FALSE)-VLOOKUP(A19,'SegEnds_NonXtal_Prot#'!A:AL,10,FALSE)</f>
        <v>25</v>
      </c>
      <c r="AE19" s="1">
        <f>VLOOKUP(A19,'SegEnds_NonXtal_Prot#'!A:AL,16,FALSE)-VLOOKUP(A19,'SegEnds_NonXtal_Prot#'!A:AL,10,FALSE)</f>
        <v>57</v>
      </c>
      <c r="AF19" s="1">
        <f>VLOOKUP(A19,'SegEnds_NonXtal_Prot#'!A:AL,22,FALSE)-VLOOKUP(A19,'SegEnds_NonXtal_Prot#'!A:AL,19,FALSE)</f>
        <v>20</v>
      </c>
      <c r="AG19" s="1">
        <f>VLOOKUP(A19,'SegEnds_NonXtal_Prot#'!A:AL,28,FALSE)-VLOOKUP(A19,'SegEnds_NonXtal_Prot#'!A:AL,25,FALSE)</f>
        <v>23</v>
      </c>
      <c r="AH19" s="1">
        <f>VLOOKUP(A19,'SegEnds_NonXtal_Prot#'!A:AL,28,FALSE)-VLOOKUP(A19,'SegEnds_NonXtal_Prot#'!A:AL,22,FALSE)</f>
        <v>49</v>
      </c>
      <c r="AI19" s="1">
        <f>VLOOKUP(A19,'SegEnds_NonXtal_Prot#'!A:AL,31,FALSE)-VLOOKUP(A19,'SegEnds_NonXtal_Prot#'!A:AL,28,FALSE)</f>
        <v>96</v>
      </c>
      <c r="AJ19" s="1">
        <f>VLOOKUP(A19,'SegEnds_NonXtal_Prot#'!A:AL,34,FALSE)-VLOOKUP(A19,'SegEnds_NonXtal_Prot#'!A:AL,31,FALSE)</f>
        <v>34</v>
      </c>
      <c r="AK19" s="1">
        <f>VLOOKUP(A19,'SegEnds_NonXtal_Prot#'!A:AL,37,FALSE)-VLOOKUP(A19,'SegEnds_NonXtal_Prot#'!A:AL,34,FALSE)</f>
        <v>9</v>
      </c>
      <c r="AL19" s="1" t="str">
        <f>IF(ISERROR(MATCH(A19,'SegEnds_Xtal_Prot#'!B:B, 0)), "NoXtal", "Xtal")</f>
        <v>NoXtal</v>
      </c>
    </row>
    <row r="20" spans="1:38" x14ac:dyDescent="0.2">
      <c r="A20" s="1" t="s">
        <v>244</v>
      </c>
      <c r="B20" s="1" t="str">
        <f>VLOOKUP(A20,Xtal_Templ!A:B,2,FALSE)</f>
        <v>5ht2c_human</v>
      </c>
      <c r="C20" s="5">
        <f>VLOOKUP($B20&amp;"__wt",'SegEnds_Xtal_BW#'!$A:$Z,3,FALSE)</f>
        <v>33</v>
      </c>
      <c r="D20" s="1">
        <f>VLOOKUP($B20&amp;"__wt",'SegEnds_Xtal_BW#'!$A:$Z,4,FALSE)</f>
        <v>60</v>
      </c>
      <c r="E20" s="1">
        <f>VLOOKUP($B20&amp;"__wt",'SegEnds_Xtal_BW#'!$A:$Z,5,FALSE)</f>
        <v>48</v>
      </c>
      <c r="F20" s="1">
        <f>VLOOKUP($B20&amp;"__wt",'SegEnds_Xtal_BW#'!$A:$Z,6,FALSE)</f>
        <v>51</v>
      </c>
      <c r="G20" s="1">
        <v>37</v>
      </c>
      <c r="H20" s="108">
        <v>66</v>
      </c>
      <c r="I20" s="1">
        <f>VLOOKUP($B20&amp;"__wt",'SegEnds_Xtal_BW#'!$A:$Z,9,FALSE)</f>
        <v>49</v>
      </c>
      <c r="J20" s="1">
        <f>VLOOKUP($B20&amp;"__wt",'SegEnds_Xtal_BW#'!$A:$Z,10,FALSE)</f>
        <v>52</v>
      </c>
      <c r="K20" s="12">
        <v>18</v>
      </c>
      <c r="L20" s="1">
        <f>VLOOKUP($B20&amp;"__wt",'SegEnds_Xtal_BW#'!$A:$Z,12,FALSE)</f>
        <v>56</v>
      </c>
      <c r="M20" s="1">
        <f>VLOOKUP($B20&amp;"__wt",'SegEnds_Xtal_BW#'!$A:$Z,13,FALSE)</f>
        <v>50</v>
      </c>
      <c r="N20" s="12">
        <v>57</v>
      </c>
      <c r="O20" s="87">
        <v>38</v>
      </c>
      <c r="P20" s="1">
        <f>VLOOKUP($B20&amp;"__wt",'SegEnds_Xtal_BW#'!$A:$Z,16,FALSE)</f>
        <v>67</v>
      </c>
      <c r="Q20" s="1">
        <f>VLOOKUP($B20&amp;"__wt",'SegEnds_Xtal_BW#'!$A:$Z,17,FALSE)</f>
        <v>50</v>
      </c>
      <c r="R20" s="1">
        <f>VLOOKUP($B20&amp;"__wt",'SegEnds_Xtal_BW#'!$A:$Z,18,FALSE)</f>
        <v>52</v>
      </c>
      <c r="S20" s="1">
        <v>35</v>
      </c>
      <c r="T20" s="1">
        <f t="array" ref="T20">INDEX(ICL3_classA!$G$2:$G$37,MATCH(MIN(ABS(AI20-ICL3_classA!$F$2:$F$37)),ABS(AI20-ICL3_classA!$F$2:$F$37),0))</f>
        <v>74</v>
      </c>
      <c r="U20" s="1">
        <f t="array" ref="U20">INDEX(ICL3_classA!$H$2:$H$37,MATCH(MIN(ABS(AI20-ICL3_classA!$F$2:$F$37)),ABS(AI20-ICL3_classA!$F$2:$F$37),0))</f>
        <v>21</v>
      </c>
      <c r="V20" s="1">
        <v>61</v>
      </c>
      <c r="W20" s="1">
        <v>32</v>
      </c>
      <c r="X20" s="1">
        <f>VLOOKUP($B20&amp;"__wt",'SegEnds_Xtal_BW#'!$A:$Z,24,FALSE)</f>
        <v>56</v>
      </c>
      <c r="Y20" s="1">
        <f>VLOOKUP($B20&amp;"__wt",'SegEnds_Xtal_BW#'!$A:$Z,25,FALSE)</f>
        <v>47</v>
      </c>
      <c r="Z20" s="1">
        <f>VLOOKUP($B20&amp;"__wt",'SegEnds_Xtal_BW#'!$A:$Z,26,FALSE)</f>
        <v>60</v>
      </c>
      <c r="AA20" s="27" t="str">
        <f>VLOOKUP(A20,Classification!A:B,2,FALSE)</f>
        <v>A</v>
      </c>
      <c r="AB20" s="1">
        <f>VLOOKUP(A20,'SegEnds_NonXtal_Prot#'!A:AL,10,FALSE)-VLOOKUP(A20,'SegEnds_NonXtal_Prot#'!A:AL,4,FALSE)</f>
        <v>29</v>
      </c>
      <c r="AC20" s="1">
        <f>VLOOKUP(A20,'SegEnds_NonXtal_Prot#'!A:AL,10,FALSE)-VLOOKUP(A20,'SegEnds_NonXtal_Prot#'!A:AL,7,FALSE)</f>
        <v>16</v>
      </c>
      <c r="AD20" s="1" t="e">
        <f>VLOOKUP(A20,'SegEnds_NonXtal_Prot#'!A:AL,13,FALSE)-VLOOKUP(A20,'SegEnds_NonXtal_Prot#'!A:AL,10,FALSE)</f>
        <v>#VALUE!</v>
      </c>
      <c r="AE20" s="1">
        <f>VLOOKUP(A20,'SegEnds_NonXtal_Prot#'!A:AL,16,FALSE)-VLOOKUP(A20,'SegEnds_NonXtal_Prot#'!A:AL,10,FALSE)</f>
        <v>52</v>
      </c>
      <c r="AF20" s="1">
        <f>VLOOKUP(A20,'SegEnds_NonXtal_Prot#'!A:AL,22,FALSE)-VLOOKUP(A20,'SegEnds_NonXtal_Prot#'!A:AL,19,FALSE)</f>
        <v>20</v>
      </c>
      <c r="AG20" s="1">
        <f>VLOOKUP(A20,'SegEnds_NonXtal_Prot#'!A:AL,28,FALSE)-VLOOKUP(A20,'SegEnds_NonXtal_Prot#'!A:AL,25,FALSE)</f>
        <v>21</v>
      </c>
      <c r="AH20" s="1">
        <f>VLOOKUP(A20,'SegEnds_NonXtal_Prot#'!A:AL,28,FALSE)-VLOOKUP(A20,'SegEnds_NonXtal_Prot#'!A:AL,22,FALSE)</f>
        <v>48</v>
      </c>
      <c r="AI20" s="1">
        <f>VLOOKUP(A20,'SegEnds_NonXtal_Prot#'!A:AL,31,FALSE)-VLOOKUP(A20,'SegEnds_NonXtal_Prot#'!A:AL,28,FALSE)</f>
        <v>65</v>
      </c>
      <c r="AJ20" s="1">
        <f>VLOOKUP(A20,'SegEnds_NonXtal_Prot#'!A:AL,34,FALSE)-VLOOKUP(A20,'SegEnds_NonXtal_Prot#'!A:AL,31,FALSE)</f>
        <v>34</v>
      </c>
      <c r="AK20" s="1">
        <f>VLOOKUP(A20,'SegEnds_NonXtal_Prot#'!A:AL,37,FALSE)-VLOOKUP(A20,'SegEnds_NonXtal_Prot#'!A:AL,34,FALSE)</f>
        <v>10</v>
      </c>
      <c r="AL20" s="1" t="str">
        <f>IF(ISERROR(MATCH(A20,'SegEnds_Xtal_Prot#'!B:B, 0)), "NoXtal", "Xtal")</f>
        <v>NoXtal</v>
      </c>
    </row>
    <row r="21" spans="1:38" x14ac:dyDescent="0.2">
      <c r="A21" s="1" t="s">
        <v>260</v>
      </c>
      <c r="B21" s="1" t="str">
        <f>VLOOKUP(A21,Xtal_Templ!A:B,2,FALSE)</f>
        <v>5ht2a_human</v>
      </c>
      <c r="C21" s="5">
        <f>VLOOKUP($B21&amp;"__wt",'SegEnds_Xtal_BW#'!$A:$Z,3,FALSE)</f>
        <v>27</v>
      </c>
      <c r="D21" s="1">
        <f>VLOOKUP($B21&amp;"__wt",'SegEnds_Xtal_BW#'!$A:$Z,4,FALSE)</f>
        <v>60</v>
      </c>
      <c r="E21" s="1">
        <f>VLOOKUP($B21&amp;"__wt",'SegEnds_Xtal_BW#'!$A:$Z,5,FALSE)</f>
        <v>48</v>
      </c>
      <c r="F21" s="1">
        <f>VLOOKUP($B21&amp;"__wt",'SegEnds_Xtal_BW#'!$A:$Z,6,FALSE)</f>
        <v>51</v>
      </c>
      <c r="G21" s="1">
        <v>37</v>
      </c>
      <c r="H21" s="108">
        <v>66</v>
      </c>
      <c r="I21" s="1">
        <f>VLOOKUP($B21&amp;"__wt",'SegEnds_Xtal_BW#'!$A:$Z,9,FALSE)</f>
        <v>49</v>
      </c>
      <c r="J21" s="1">
        <f>VLOOKUP($B21&amp;"__wt",'SegEnds_Xtal_BW#'!$A:$Z,10,FALSE)</f>
        <v>52</v>
      </c>
      <c r="K21" s="12">
        <v>18</v>
      </c>
      <c r="L21" s="1">
        <f>VLOOKUP($B21&amp;"__wt",'SegEnds_Xtal_BW#'!$A:$Z,12,FALSE)</f>
        <v>56</v>
      </c>
      <c r="M21" s="1">
        <f>VLOOKUP($B21&amp;"__wt",'SegEnds_Xtal_BW#'!$A:$Z,13,FALSE)</f>
        <v>50</v>
      </c>
      <c r="N21" s="12">
        <v>57</v>
      </c>
      <c r="O21" s="87">
        <v>38</v>
      </c>
      <c r="P21" s="1">
        <f>VLOOKUP($B21&amp;"__wt",'SegEnds_Xtal_BW#'!$A:$Z,16,FALSE)</f>
        <v>67</v>
      </c>
      <c r="Q21" s="1">
        <f>VLOOKUP($B21&amp;"__wt",'SegEnds_Xtal_BW#'!$A:$Z,17,FALSE)</f>
        <v>50</v>
      </c>
      <c r="R21" s="1">
        <f>VLOOKUP($B21&amp;"__wt",'SegEnds_Xtal_BW#'!$A:$Z,18,FALSE)</f>
        <v>52</v>
      </c>
      <c r="S21" s="1">
        <v>35</v>
      </c>
      <c r="T21" s="1">
        <f t="array" ref="T21">INDEX(ICL3_classA!$G$2:$G$37,MATCH(MIN(ABS(AI21-ICL3_classA!$F$2:$F$37)),ABS(AI21-ICL3_classA!$F$2:$F$37),0))</f>
        <v>74</v>
      </c>
      <c r="U21" s="1">
        <f t="array" ref="U21">INDEX(ICL3_classA!$H$2:$H$37,MATCH(MIN(ABS(AI21-ICL3_classA!$F$2:$F$37)),ABS(AI21-ICL3_classA!$F$2:$F$37),0))</f>
        <v>21</v>
      </c>
      <c r="V21" s="1">
        <v>61</v>
      </c>
      <c r="W21" s="1">
        <v>32</v>
      </c>
      <c r="X21" s="1">
        <f>VLOOKUP($B21&amp;"__wt",'SegEnds_Xtal_BW#'!$A:$Z,24,FALSE)</f>
        <v>56</v>
      </c>
      <c r="Y21" s="1">
        <f>VLOOKUP($B21&amp;"__wt",'SegEnds_Xtal_BW#'!$A:$Z,25,FALSE)</f>
        <v>47</v>
      </c>
      <c r="Z21" s="1">
        <f>VLOOKUP($B21&amp;"__wt",'SegEnds_Xtal_BW#'!$A:$Z,26,FALSE)</f>
        <v>60</v>
      </c>
      <c r="AA21" s="27" t="str">
        <f>VLOOKUP(A21,Classification!A:B,2,FALSE)</f>
        <v>A</v>
      </c>
      <c r="AB21" s="1">
        <f>VLOOKUP(A21,'SegEnds_NonXtal_Prot#'!A:AL,10,FALSE)-VLOOKUP(A21,'SegEnds_NonXtal_Prot#'!A:AL,4,FALSE)</f>
        <v>29</v>
      </c>
      <c r="AC21" s="1">
        <f>VLOOKUP(A21,'SegEnds_NonXtal_Prot#'!A:AL,10,FALSE)-VLOOKUP(A21,'SegEnds_NonXtal_Prot#'!A:AL,7,FALSE)</f>
        <v>16</v>
      </c>
      <c r="AD21" s="1" t="e">
        <f>VLOOKUP(A21,'SegEnds_NonXtal_Prot#'!A:AL,13,FALSE)-VLOOKUP(A21,'SegEnds_NonXtal_Prot#'!A:AL,10,FALSE)</f>
        <v>#VALUE!</v>
      </c>
      <c r="AE21" s="1">
        <f>VLOOKUP(A21,'SegEnds_NonXtal_Prot#'!A:AL,16,FALSE)-VLOOKUP(A21,'SegEnds_NonXtal_Prot#'!A:AL,10,FALSE)</f>
        <v>52</v>
      </c>
      <c r="AF21" s="1">
        <f>VLOOKUP(A21,'SegEnds_NonXtal_Prot#'!A:AL,22,FALSE)-VLOOKUP(A21,'SegEnds_NonXtal_Prot#'!A:AL,19,FALSE)</f>
        <v>20</v>
      </c>
      <c r="AG21" s="1">
        <f>VLOOKUP(A21,'SegEnds_NonXtal_Prot#'!A:AL,28,FALSE)-VLOOKUP(A21,'SegEnds_NonXtal_Prot#'!A:AL,25,FALSE)</f>
        <v>21</v>
      </c>
      <c r="AH21" s="1">
        <f>VLOOKUP(A21,'SegEnds_NonXtal_Prot#'!A:AL,28,FALSE)-VLOOKUP(A21,'SegEnds_NonXtal_Prot#'!A:AL,22,FALSE)</f>
        <v>48</v>
      </c>
      <c r="AI21" s="1">
        <f>VLOOKUP(A21,'SegEnds_NonXtal_Prot#'!A:AL,31,FALSE)-VLOOKUP(A21,'SegEnds_NonXtal_Prot#'!A:AL,28,FALSE)</f>
        <v>66</v>
      </c>
      <c r="AJ21" s="1">
        <f>VLOOKUP(A21,'SegEnds_NonXtal_Prot#'!A:AL,34,FALSE)-VLOOKUP(A21,'SegEnds_NonXtal_Prot#'!A:AL,31,FALSE)</f>
        <v>34</v>
      </c>
      <c r="AK21" s="1">
        <f>VLOOKUP(A21,'SegEnds_NonXtal_Prot#'!A:AL,37,FALSE)-VLOOKUP(A21,'SegEnds_NonXtal_Prot#'!A:AL,34,FALSE)</f>
        <v>10</v>
      </c>
      <c r="AL21" s="1" t="str">
        <f>IF(ISERROR(MATCH(A21,'SegEnds_Xtal_Prot#'!B:B, 0)), "NoXtal", "Xtal")</f>
        <v>NoXtal</v>
      </c>
    </row>
    <row r="22" spans="1:38" x14ac:dyDescent="0.2">
      <c r="A22" s="1" t="s">
        <v>273</v>
      </c>
      <c r="B22" s="1" t="str">
        <f>VLOOKUP(A22,Xtal_Templ!A:B,2,FALSE)</f>
        <v>ox1r_human</v>
      </c>
      <c r="C22" s="5">
        <f>VLOOKUP($B22&amp;"__wt",'SegEnds_Xtal_BW#'!$A:$Z,3,FALSE)</f>
        <v>32</v>
      </c>
      <c r="D22" s="1">
        <f>VLOOKUP($B22&amp;"__wt",'SegEnds_Xtal_BW#'!$A:$Z,4,FALSE)</f>
        <v>60</v>
      </c>
      <c r="E22" s="1">
        <f>VLOOKUP($B22&amp;"__wt",'SegEnds_Xtal_BW#'!$A:$Z,5,FALSE)</f>
        <v>48</v>
      </c>
      <c r="F22" s="1">
        <f>VLOOKUP($B22&amp;"__wt",'SegEnds_Xtal_BW#'!$A:$Z,6,FALSE)</f>
        <v>51</v>
      </c>
      <c r="G22" s="1">
        <v>37</v>
      </c>
      <c r="H22" s="12">
        <f>VLOOKUP($B22&amp;"__wt",'SegEnds_Xtal_BW#'!$A:$Z,8,FALSE)</f>
        <v>67</v>
      </c>
      <c r="I22" s="1">
        <f>VLOOKUP($B22&amp;"__wt",'SegEnds_Xtal_BW#'!$A:$Z,9,FALSE)</f>
        <v>49</v>
      </c>
      <c r="J22" s="1">
        <f>VLOOKUP($B22&amp;"__wt",'SegEnds_Xtal_BW#'!$A:$Z,10,FALSE)</f>
        <v>52</v>
      </c>
      <c r="K22" s="12">
        <v>18</v>
      </c>
      <c r="L22" s="1">
        <f>VLOOKUP($B22&amp;"__wt",'SegEnds_Xtal_BW#'!$A:$Z,12,FALSE)</f>
        <v>56</v>
      </c>
      <c r="M22" s="1">
        <f>VLOOKUP($B22&amp;"__wt",'SegEnds_Xtal_BW#'!$A:$Z,13,FALSE)</f>
        <v>50</v>
      </c>
      <c r="N22" s="12">
        <v>57</v>
      </c>
      <c r="O22" s="87">
        <f>VLOOKUP($B22&amp;"__wt",'SegEnds_Xtal_BW#'!$A:$Z,15,FALSE)</f>
        <v>38</v>
      </c>
      <c r="P22" s="1">
        <f>VLOOKUP($B22&amp;"__wt",'SegEnds_Xtal_BW#'!$A:$Z,16,FALSE)</f>
        <v>64</v>
      </c>
      <c r="Q22" s="1">
        <f>VLOOKUP($B22&amp;"__wt",'SegEnds_Xtal_BW#'!$A:$Z,17,FALSE)</f>
        <v>50</v>
      </c>
      <c r="R22" s="1">
        <f>VLOOKUP($B22&amp;"__wt",'SegEnds_Xtal_BW#'!$A:$Z,18,FALSE)</f>
        <v>52</v>
      </c>
      <c r="S22" s="1">
        <v>35</v>
      </c>
      <c r="T22" s="1">
        <f t="array" ref="T22">INDEX(ICL3_classA!$G$2:$G$37,MATCH(MIN(ABS(AI22-ICL3_classA!$F$2:$F$37)),ABS(AI22-ICL3_classA!$F$2:$F$37),0))</f>
        <v>74</v>
      </c>
      <c r="U22" s="1">
        <f t="array" ref="U22">INDEX(ICL3_classA!$H$2:$H$37,MATCH(MIN(ABS(AI22-ICL3_classA!$F$2:$F$37)),ABS(AI22-ICL3_classA!$F$2:$F$37),0))</f>
        <v>21</v>
      </c>
      <c r="V22" s="1">
        <v>61</v>
      </c>
      <c r="W22" s="1">
        <v>32</v>
      </c>
      <c r="X22" s="1">
        <f>VLOOKUP($B22&amp;"__wt",'SegEnds_Xtal_BW#'!$A:$Z,24,FALSE)</f>
        <v>56</v>
      </c>
      <c r="Y22" s="1">
        <f>VLOOKUP($B22&amp;"__wt",'SegEnds_Xtal_BW#'!$A:$Z,25,FALSE)</f>
        <v>47</v>
      </c>
      <c r="Z22" s="1">
        <f>VLOOKUP($B22&amp;"__wt",'SegEnds_Xtal_BW#'!$A:$Z,26,FALSE)</f>
        <v>58</v>
      </c>
      <c r="AA22" s="27" t="str">
        <f>VLOOKUP(A22,Classification!A:B,2,FALSE)</f>
        <v>A</v>
      </c>
      <c r="AB22" s="1">
        <f>VLOOKUP(A22,'SegEnds_NonXtal_Prot#'!A:AL,10,FALSE)-VLOOKUP(A22,'SegEnds_NonXtal_Prot#'!A:AL,4,FALSE)</f>
        <v>28</v>
      </c>
      <c r="AC22" s="1">
        <f>VLOOKUP(A22,'SegEnds_NonXtal_Prot#'!A:AL,10,FALSE)-VLOOKUP(A22,'SegEnds_NonXtal_Prot#'!A:AL,7,FALSE)</f>
        <v>15</v>
      </c>
      <c r="AD22" s="1" t="e">
        <f>VLOOKUP(A22,'SegEnds_NonXtal_Prot#'!A:AL,13,FALSE)-VLOOKUP(A22,'SegEnds_NonXtal_Prot#'!A:AL,10,FALSE)</f>
        <v>#VALUE!</v>
      </c>
      <c r="AE22" s="1">
        <f>VLOOKUP(A22,'SegEnds_NonXtal_Prot#'!A:AL,16,FALSE)-VLOOKUP(A22,'SegEnds_NonXtal_Prot#'!A:AL,10,FALSE)</f>
        <v>61</v>
      </c>
      <c r="AF22" s="1">
        <f>VLOOKUP(A22,'SegEnds_NonXtal_Prot#'!A:AL,22,FALSE)-VLOOKUP(A22,'SegEnds_NonXtal_Prot#'!A:AL,19,FALSE)</f>
        <v>20</v>
      </c>
      <c r="AG22" s="1" t="e">
        <f>VLOOKUP(A22,'SegEnds_NonXtal_Prot#'!A:AL,28,FALSE)-VLOOKUP(A22,'SegEnds_NonXtal_Prot#'!A:AL,25,FALSE)</f>
        <v>#VALUE!</v>
      </c>
      <c r="AH22" s="1">
        <f>VLOOKUP(A22,'SegEnds_NonXtal_Prot#'!A:AL,28,FALSE)-VLOOKUP(A22,'SegEnds_NonXtal_Prot#'!A:AL,22,FALSE)</f>
        <v>72</v>
      </c>
      <c r="AI22" s="1">
        <f>VLOOKUP(A22,'SegEnds_NonXtal_Prot#'!A:AL,31,FALSE)-VLOOKUP(A22,'SegEnds_NonXtal_Prot#'!A:AL,28,FALSE)</f>
        <v>61</v>
      </c>
      <c r="AJ22" s="1">
        <f>VLOOKUP(A22,'SegEnds_NonXtal_Prot#'!A:AL,34,FALSE)-VLOOKUP(A22,'SegEnds_NonXtal_Prot#'!A:AL,31,FALSE)</f>
        <v>34</v>
      </c>
      <c r="AK22" s="1">
        <f>VLOOKUP(A22,'SegEnds_NonXtal_Prot#'!A:AL,37,FALSE)-VLOOKUP(A22,'SegEnds_NonXtal_Prot#'!A:AL,34,FALSE)</f>
        <v>10</v>
      </c>
      <c r="AL22" s="1" t="str">
        <f>IF(ISERROR(MATCH(A22,'SegEnds_Xtal_Prot#'!B:B, 0)), "NoXtal", "Xtal")</f>
        <v>NoXtal</v>
      </c>
    </row>
    <row r="23" spans="1:38" x14ac:dyDescent="0.2">
      <c r="A23" s="1" t="s">
        <v>294</v>
      </c>
      <c r="B23" s="1" t="str">
        <f>VLOOKUP(A23,Xtal_Templ!A:B,2,FALSE)</f>
        <v>agtr1_human</v>
      </c>
      <c r="C23" s="5">
        <f>VLOOKUP($B23&amp;"__wt",'SegEnds_Xtal_BW#'!$A:$Z,3,FALSE)</f>
        <v>28</v>
      </c>
      <c r="D23" s="1">
        <f>VLOOKUP($B23&amp;"__wt",'SegEnds_Xtal_BW#'!$A:$Z,4,FALSE)</f>
        <v>60</v>
      </c>
      <c r="E23" s="1">
        <f>VLOOKUP($B23&amp;"__wt",'SegEnds_Xtal_BW#'!$A:$Z,5,FALSE)</f>
        <v>48</v>
      </c>
      <c r="F23" s="1">
        <f>VLOOKUP($B23&amp;"__wt",'SegEnds_Xtal_BW#'!$A:$Z,6,FALSE)</f>
        <v>51</v>
      </c>
      <c r="G23" s="1">
        <v>37</v>
      </c>
      <c r="H23" s="12">
        <v>67</v>
      </c>
      <c r="I23" s="1">
        <f>VLOOKUP($B23&amp;"__wt",'SegEnds_Xtal_BW#'!$A:$Z,9,FALSE)</f>
        <v>49</v>
      </c>
      <c r="J23" s="1">
        <f>VLOOKUP($B23&amp;"__wt",'SegEnds_Xtal_BW#'!$A:$Z,10,FALSE)</f>
        <v>52</v>
      </c>
      <c r="K23" s="12">
        <v>18</v>
      </c>
      <c r="L23" s="1">
        <f>VLOOKUP($B23&amp;"__wt",'SegEnds_Xtal_BW#'!$A:$Z,12,FALSE)</f>
        <v>56</v>
      </c>
      <c r="M23" s="1">
        <f>VLOOKUP($B23&amp;"__wt",'SegEnds_Xtal_BW#'!$A:$Z,13,FALSE)</f>
        <v>50</v>
      </c>
      <c r="N23" s="12">
        <v>57</v>
      </c>
      <c r="O23" s="87">
        <f>VLOOKUP($B23&amp;"__wt",'SegEnds_Xtal_BW#'!$A:$Z,15,FALSE)</f>
        <v>38</v>
      </c>
      <c r="P23" s="1">
        <f>VLOOKUP($B23&amp;"__wt",'SegEnds_Xtal_BW#'!$A:$Z,16,FALSE)</f>
        <v>64</v>
      </c>
      <c r="Q23" s="1">
        <f>VLOOKUP($B23&amp;"__wt",'SegEnds_Xtal_BW#'!$A:$Z,17,FALSE)</f>
        <v>50</v>
      </c>
      <c r="R23" s="1">
        <f>VLOOKUP($B23&amp;"__wt",'SegEnds_Xtal_BW#'!$A:$Z,18,FALSE)</f>
        <v>52</v>
      </c>
      <c r="S23" s="1">
        <f>VLOOKUP($B23&amp;"__wt",'SegEnds_Xtal_BW#'!$A:$Z,19,FALSE)</f>
        <v>34</v>
      </c>
      <c r="T23" s="1">
        <f t="array" ref="T23">INDEX(ICL3_classA!$G$2:$G$37,MATCH(MIN(ABS(AI23-ICL3_classA!$F$2:$F$37)),ABS(AI23-ICL3_classA!$F$2:$F$37),0))</f>
        <v>68</v>
      </c>
      <c r="U23" s="1">
        <f t="array" ref="U23">INDEX(ICL3_classA!$H$2:$H$37,MATCH(MIN(ABS(AI23-ICL3_classA!$F$2:$F$37)),ABS(AI23-ICL3_classA!$F$2:$F$37),0))</f>
        <v>30</v>
      </c>
      <c r="V23" s="1">
        <v>61</v>
      </c>
      <c r="W23" s="1">
        <v>32</v>
      </c>
      <c r="X23" s="1">
        <f>VLOOKUP($B23&amp;"__wt",'SegEnds_Xtal_BW#'!$A:$Z,24,FALSE)</f>
        <v>56</v>
      </c>
      <c r="Y23" s="1">
        <f>VLOOKUP($B23&amp;"__wt",'SegEnds_Xtal_BW#'!$A:$Z,25,FALSE)</f>
        <v>47</v>
      </c>
      <c r="Z23" s="1">
        <f>VLOOKUP($B23&amp;"__wt",'SegEnds_Xtal_BW#'!$A:$Z,26,FALSE)</f>
        <v>61</v>
      </c>
      <c r="AA23" s="27" t="str">
        <f>VLOOKUP(A23,Classification!A:B,2,FALSE)</f>
        <v>A</v>
      </c>
      <c r="AB23" s="1">
        <f>VLOOKUP(A23,'SegEnds_NonXtal_Prot#'!A:AL,10,FALSE)-VLOOKUP(A23,'SegEnds_NonXtal_Prot#'!A:AL,4,FALSE)</f>
        <v>27</v>
      </c>
      <c r="AC23" s="1" t="e">
        <f>VLOOKUP(A23,'SegEnds_NonXtal_Prot#'!A:AL,10,FALSE)-VLOOKUP(A23,'SegEnds_NonXtal_Prot#'!A:AL,7,FALSE)</f>
        <v>#VALUE!</v>
      </c>
      <c r="AD23" s="1" t="e">
        <f>VLOOKUP(A23,'SegEnds_NonXtal_Prot#'!A:AL,13,FALSE)-VLOOKUP(A23,'SegEnds_NonXtal_Prot#'!A:AL,10,FALSE)</f>
        <v>#VALUE!</v>
      </c>
      <c r="AE23" s="1">
        <f>VLOOKUP(A23,'SegEnds_NonXtal_Prot#'!A:AL,16,FALSE)-VLOOKUP(A23,'SegEnds_NonXtal_Prot#'!A:AL,10,FALSE)</f>
        <v>53</v>
      </c>
      <c r="AF23" s="1">
        <f>VLOOKUP(A23,'SegEnds_NonXtal_Prot#'!A:AL,22,FALSE)-VLOOKUP(A23,'SegEnds_NonXtal_Prot#'!A:AL,19,FALSE)</f>
        <v>20</v>
      </c>
      <c r="AG23" s="1" t="e">
        <f>VLOOKUP(A23,'SegEnds_NonXtal_Prot#'!A:AL,28,FALSE)-VLOOKUP(A23,'SegEnds_NonXtal_Prot#'!A:AL,25,FALSE)</f>
        <v>#VALUE!</v>
      </c>
      <c r="AH23" s="1">
        <f>VLOOKUP(A23,'SegEnds_NonXtal_Prot#'!A:AL,28,FALSE)-VLOOKUP(A23,'SegEnds_NonXtal_Prot#'!A:AL,22,FALSE)</f>
        <v>44</v>
      </c>
      <c r="AI23" s="1">
        <f>VLOOKUP(A23,'SegEnds_NonXtal_Prot#'!A:AL,31,FALSE)-VLOOKUP(A23,'SegEnds_NonXtal_Prot#'!A:AL,28,FALSE)</f>
        <v>42</v>
      </c>
      <c r="AJ23" s="1">
        <f>VLOOKUP(A23,'SegEnds_NonXtal_Prot#'!A:AL,34,FALSE)-VLOOKUP(A23,'SegEnds_NonXtal_Prot#'!A:AL,31,FALSE)</f>
        <v>34</v>
      </c>
      <c r="AK23" s="1">
        <f>VLOOKUP(A23,'SegEnds_NonXtal_Prot#'!A:AL,37,FALSE)-VLOOKUP(A23,'SegEnds_NonXtal_Prot#'!A:AL,34,FALSE)</f>
        <v>10</v>
      </c>
      <c r="AL23" s="1" t="str">
        <f>IF(ISERROR(MATCH(A23,'SegEnds_Xtal_Prot#'!B:B, 0)), "NoXtal", "Xtal")</f>
        <v>NoXtal</v>
      </c>
    </row>
    <row r="24" spans="1:38" x14ac:dyDescent="0.2">
      <c r="A24" s="1" t="s">
        <v>302</v>
      </c>
      <c r="B24" s="1" t="str">
        <f>VLOOKUP(A24,Xtal_Templ!A:B,2,FALSE)</f>
        <v>cxcr4_human</v>
      </c>
      <c r="C24" s="5">
        <f>VLOOKUP($B24&amp;"__wt",'SegEnds_Xtal_BW#'!$A:$Z,3,FALSE)</f>
        <v>24</v>
      </c>
      <c r="D24" s="1">
        <f>VLOOKUP($B24&amp;"__wt",'SegEnds_Xtal_BW#'!$A:$Z,4,FALSE)</f>
        <v>60</v>
      </c>
      <c r="E24" s="1">
        <f>VLOOKUP($B24&amp;"__wt",'SegEnds_Xtal_BW#'!$A:$Z,5,FALSE)</f>
        <v>48</v>
      </c>
      <c r="F24" s="1">
        <f>VLOOKUP($B24&amp;"__wt",'SegEnds_Xtal_BW#'!$A:$Z,6,FALSE)</f>
        <v>51</v>
      </c>
      <c r="G24" s="1">
        <v>37</v>
      </c>
      <c r="H24" s="12">
        <f>VLOOKUP($B24&amp;"__wt",'SegEnds_Xtal_BW#'!$A:$Z,8,FALSE)</f>
        <v>66</v>
      </c>
      <c r="I24" s="1">
        <f>VLOOKUP($B24&amp;"__wt",'SegEnds_Xtal_BW#'!$A:$Z,9,FALSE)</f>
        <v>49</v>
      </c>
      <c r="J24" s="1">
        <f>VLOOKUP($B24&amp;"__wt",'SegEnds_Xtal_BW#'!$A:$Z,10,FALSE)</f>
        <v>52</v>
      </c>
      <c r="K24" s="12">
        <v>21</v>
      </c>
      <c r="L24" s="1">
        <f>VLOOKUP($B24&amp;"__wt",'SegEnds_Xtal_BW#'!$A:$Z,12,FALSE)</f>
        <v>56</v>
      </c>
      <c r="M24" s="1">
        <f>VLOOKUP($B24&amp;"__wt",'SegEnds_Xtal_BW#'!$A:$Z,13,FALSE)</f>
        <v>50</v>
      </c>
      <c r="N24" s="12">
        <v>57</v>
      </c>
      <c r="O24" s="87">
        <v>38</v>
      </c>
      <c r="P24" s="1">
        <f>VLOOKUP($B24&amp;"__wt",'SegEnds_Xtal_BW#'!$A:$Z,16,FALSE)</f>
        <v>64</v>
      </c>
      <c r="Q24" s="1">
        <f>VLOOKUP($B24&amp;"__wt",'SegEnds_Xtal_BW#'!$A:$Z,17,FALSE)</f>
        <v>50</v>
      </c>
      <c r="R24" s="1">
        <f>VLOOKUP($B24&amp;"__wt",'SegEnds_Xtal_BW#'!$A:$Z,18,FALSE)</f>
        <v>52</v>
      </c>
      <c r="S24" s="1">
        <f>VLOOKUP($B24&amp;"__wt",'SegEnds_Xtal_BW#'!$A:$Z,19,FALSE)</f>
        <v>32</v>
      </c>
      <c r="T24" s="1">
        <f t="array" ref="T24">INDEX(ICL3_classA!$G$2:$G$37,MATCH(MIN(ABS(AI24-ICL3_classA!$F$2:$F$37)),ABS(AI24-ICL3_classA!$F$2:$F$37),0))</f>
        <v>68</v>
      </c>
      <c r="U24" s="1">
        <f t="array" ref="U24">INDEX(ICL3_classA!$H$2:$H$37,MATCH(MIN(ABS(AI24-ICL3_classA!$F$2:$F$37)),ABS(AI24-ICL3_classA!$F$2:$F$37),0))</f>
        <v>30</v>
      </c>
      <c r="V24" s="1">
        <v>61</v>
      </c>
      <c r="W24" s="1">
        <v>32</v>
      </c>
      <c r="X24" s="1">
        <f>VLOOKUP($B24&amp;"__wt",'SegEnds_Xtal_BW#'!$A:$Z,24,FALSE)</f>
        <v>56</v>
      </c>
      <c r="Y24" s="1">
        <f>VLOOKUP($B24&amp;"__wt",'SegEnds_Xtal_BW#'!$A:$Z,25,FALSE)</f>
        <v>47</v>
      </c>
      <c r="Z24" s="1">
        <f>VLOOKUP($B24&amp;"__wt",'SegEnds_Xtal_BW#'!$A:$Z,26,FALSE)</f>
        <v>59</v>
      </c>
      <c r="AA24" s="27" t="str">
        <f>VLOOKUP(A24,Classification!A:B,2,FALSE)</f>
        <v>A</v>
      </c>
      <c r="AB24" s="1">
        <f>VLOOKUP(A24,'SegEnds_NonXtal_Prot#'!A:AL,10,FALSE)-VLOOKUP(A24,'SegEnds_NonXtal_Prot#'!A:AL,4,FALSE)</f>
        <v>27</v>
      </c>
      <c r="AC24" s="1" t="e">
        <f>VLOOKUP(A24,'SegEnds_NonXtal_Prot#'!A:AL,10,FALSE)-VLOOKUP(A24,'SegEnds_NonXtal_Prot#'!A:AL,7,FALSE)</f>
        <v>#VALUE!</v>
      </c>
      <c r="AD24" s="1" t="e">
        <f>VLOOKUP(A24,'SegEnds_NonXtal_Prot#'!A:AL,13,FALSE)-VLOOKUP(A24,'SegEnds_NonXtal_Prot#'!A:AL,10,FALSE)</f>
        <v>#VALUE!</v>
      </c>
      <c r="AE24" s="1">
        <f>VLOOKUP(A24,'SegEnds_NonXtal_Prot#'!A:AL,16,FALSE)-VLOOKUP(A24,'SegEnds_NonXtal_Prot#'!A:AL,10,FALSE)</f>
        <v>52</v>
      </c>
      <c r="AF24" s="1">
        <f>VLOOKUP(A24,'SegEnds_NonXtal_Prot#'!A:AL,22,FALSE)-VLOOKUP(A24,'SegEnds_NonXtal_Prot#'!A:AL,19,FALSE)</f>
        <v>20</v>
      </c>
      <c r="AG24" s="1" t="e">
        <f>VLOOKUP(A24,'SegEnds_NonXtal_Prot#'!A:AL,28,FALSE)-VLOOKUP(A24,'SegEnds_NonXtal_Prot#'!A:AL,25,FALSE)</f>
        <v>#VALUE!</v>
      </c>
      <c r="AH24" s="1">
        <f>VLOOKUP(A24,'SegEnds_NonXtal_Prot#'!A:AL,28,FALSE)-VLOOKUP(A24,'SegEnds_NonXtal_Prot#'!A:AL,22,FALSE)</f>
        <v>42</v>
      </c>
      <c r="AI24" s="1">
        <f>VLOOKUP(A24,'SegEnds_NonXtal_Prot#'!A:AL,31,FALSE)-VLOOKUP(A24,'SegEnds_NonXtal_Prot#'!A:AL,28,FALSE)</f>
        <v>42</v>
      </c>
      <c r="AJ24" s="1">
        <f>VLOOKUP(A24,'SegEnds_NonXtal_Prot#'!A:AL,34,FALSE)-VLOOKUP(A24,'SegEnds_NonXtal_Prot#'!A:AL,31,FALSE)</f>
        <v>34</v>
      </c>
      <c r="AK24" s="1">
        <f>VLOOKUP(A24,'SegEnds_NonXtal_Prot#'!A:AL,37,FALSE)-VLOOKUP(A24,'SegEnds_NonXtal_Prot#'!A:AL,34,FALSE)</f>
        <v>10</v>
      </c>
      <c r="AL24" s="1" t="str">
        <f>IF(ISERROR(MATCH(A24,'SegEnds_Xtal_Prot#'!B:B, 0)), "NoXtal", "Xtal")</f>
        <v>NoXtal</v>
      </c>
    </row>
    <row r="25" spans="1:38" x14ac:dyDescent="0.2">
      <c r="A25" s="1" t="s">
        <v>303</v>
      </c>
      <c r="B25" s="1" t="str">
        <f>VLOOKUP(A25,Xtal_Templ!A:B,2,FALSE)</f>
        <v>c5ar1_human</v>
      </c>
      <c r="C25" s="5">
        <f>VLOOKUP($B25&amp;"__wt",'SegEnds_Xtal_BW#'!$A:$Z,3,FALSE)</f>
        <v>29</v>
      </c>
      <c r="D25" s="1">
        <f>VLOOKUP($B25&amp;"__wt",'SegEnds_Xtal_BW#'!$A:$Z,4,FALSE)</f>
        <v>60</v>
      </c>
      <c r="E25" s="1" t="str">
        <f>VLOOKUP($B25&amp;"__wt",'SegEnds_Xtal_BW#'!$A:$Z,5,FALSE)</f>
        <v>-</v>
      </c>
      <c r="F25" s="1" t="str">
        <f>VLOOKUP($B25&amp;"__wt",'SegEnds_Xtal_BW#'!$A:$Z,6,FALSE)</f>
        <v>-</v>
      </c>
      <c r="G25" s="1">
        <v>37</v>
      </c>
      <c r="H25" s="12">
        <f>VLOOKUP($B25&amp;"__wt",'SegEnds_Xtal_BW#'!$A:$Z,8,FALSE)</f>
        <v>67</v>
      </c>
      <c r="I25" s="1">
        <f>VLOOKUP($B25&amp;"__wt",'SegEnds_Xtal_BW#'!$A:$Z,9,FALSE)</f>
        <v>49</v>
      </c>
      <c r="J25" s="1">
        <f>VLOOKUP($B25&amp;"__wt",'SegEnds_Xtal_BW#'!$A:$Z,10,FALSE)</f>
        <v>52</v>
      </c>
      <c r="K25" s="12">
        <v>21</v>
      </c>
      <c r="L25" s="1">
        <f>VLOOKUP($B25&amp;"__wt",'SegEnds_Xtal_BW#'!$A:$Z,12,FALSE)</f>
        <v>56</v>
      </c>
      <c r="M25" s="1">
        <f>VLOOKUP($B25&amp;"__wt",'SegEnds_Xtal_BW#'!$A:$Z,13,FALSE)</f>
        <v>50</v>
      </c>
      <c r="N25" s="12">
        <v>57</v>
      </c>
      <c r="O25" s="87">
        <v>38</v>
      </c>
      <c r="P25" s="1">
        <f>VLOOKUP($B25&amp;"__wt",'SegEnds_Xtal_BW#'!$A:$Z,16,FALSE)</f>
        <v>64</v>
      </c>
      <c r="Q25" s="1">
        <f>VLOOKUP($B25&amp;"__wt",'SegEnds_Xtal_BW#'!$A:$Z,17,FALSE)</f>
        <v>50</v>
      </c>
      <c r="R25" s="1">
        <f>VLOOKUP($B25&amp;"__wt",'SegEnds_Xtal_BW#'!$A:$Z,18,FALSE)</f>
        <v>52</v>
      </c>
      <c r="S25" s="1">
        <f>VLOOKUP($B25&amp;"__wt",'SegEnds_Xtal_BW#'!$A:$Z,19,FALSE)</f>
        <v>31</v>
      </c>
      <c r="T25" s="1">
        <f t="array" ref="T25">INDEX(ICL3_classA!$G$2:$G$37,MATCH(MIN(ABS(AI25-ICL3_classA!$F$2:$F$37)),ABS(AI25-ICL3_classA!$F$2:$F$37),0))</f>
        <v>68</v>
      </c>
      <c r="U25" s="1">
        <f t="array" ref="U25">INDEX(ICL3_classA!$H$2:$H$37,MATCH(MIN(ABS(AI25-ICL3_classA!$F$2:$F$37)),ABS(AI25-ICL3_classA!$F$2:$F$37),0))</f>
        <v>30</v>
      </c>
      <c r="V25" s="1">
        <v>61</v>
      </c>
      <c r="W25" s="1">
        <v>32</v>
      </c>
      <c r="X25" s="108">
        <v>56</v>
      </c>
      <c r="Y25" s="1">
        <f>VLOOKUP($B25&amp;"__wt",'SegEnds_Xtal_BW#'!$A:$Z,25,FALSE)</f>
        <v>47</v>
      </c>
      <c r="Z25" s="1">
        <f>VLOOKUP($B25&amp;"__wt",'SegEnds_Xtal_BW#'!$A:$Z,26,FALSE)</f>
        <v>56</v>
      </c>
      <c r="AA25" s="27" t="str">
        <f>VLOOKUP(A25,Classification!A:B,2,FALSE)</f>
        <v>A</v>
      </c>
      <c r="AB25" s="1">
        <f>VLOOKUP(A25,'SegEnds_NonXtal_Prot#'!A:AL,10,FALSE)-VLOOKUP(A25,'SegEnds_NonXtal_Prot#'!A:AL,4,FALSE)</f>
        <v>27</v>
      </c>
      <c r="AC25" s="1" t="e">
        <f>VLOOKUP(A25,'SegEnds_NonXtal_Prot#'!A:AL,10,FALSE)-VLOOKUP(A25,'SegEnds_NonXtal_Prot#'!A:AL,7,FALSE)</f>
        <v>#VALUE!</v>
      </c>
      <c r="AD25" s="1" t="e">
        <f>VLOOKUP(A25,'SegEnds_NonXtal_Prot#'!A:AL,13,FALSE)-VLOOKUP(A25,'SegEnds_NonXtal_Prot#'!A:AL,10,FALSE)</f>
        <v>#VALUE!</v>
      </c>
      <c r="AE25" s="1">
        <f>VLOOKUP(A25,'SegEnds_NonXtal_Prot#'!A:AL,16,FALSE)-VLOOKUP(A25,'SegEnds_NonXtal_Prot#'!A:AL,10,FALSE)</f>
        <v>52</v>
      </c>
      <c r="AF25" s="1">
        <f>VLOOKUP(A25,'SegEnds_NonXtal_Prot#'!A:AL,22,FALSE)-VLOOKUP(A25,'SegEnds_NonXtal_Prot#'!A:AL,19,FALSE)</f>
        <v>20</v>
      </c>
      <c r="AG25" s="1" t="e">
        <f>VLOOKUP(A25,'SegEnds_NonXtal_Prot#'!A:AL,28,FALSE)-VLOOKUP(A25,'SegEnds_NonXtal_Prot#'!A:AL,25,FALSE)</f>
        <v>#VALUE!</v>
      </c>
      <c r="AH25" s="1">
        <f>VLOOKUP(A25,'SegEnds_NonXtal_Prot#'!A:AL,28,FALSE)-VLOOKUP(A25,'SegEnds_NonXtal_Prot#'!A:AL,22,FALSE)</f>
        <v>43</v>
      </c>
      <c r="AI25" s="1">
        <f>VLOOKUP(A25,'SegEnds_NonXtal_Prot#'!A:AL,31,FALSE)-VLOOKUP(A25,'SegEnds_NonXtal_Prot#'!A:AL,28,FALSE)</f>
        <v>43</v>
      </c>
      <c r="AJ25" s="1">
        <f>VLOOKUP(A25,'SegEnds_NonXtal_Prot#'!A:AL,34,FALSE)-VLOOKUP(A25,'SegEnds_NonXtal_Prot#'!A:AL,31,FALSE)</f>
        <v>34</v>
      </c>
      <c r="AK25" s="1">
        <f>VLOOKUP(A25,'SegEnds_NonXtal_Prot#'!A:AL,37,FALSE)-VLOOKUP(A25,'SegEnds_NonXtal_Prot#'!A:AL,34,FALSE)</f>
        <v>10</v>
      </c>
      <c r="AL25" s="1" t="str">
        <f>IF(ISERROR(MATCH(A25,'SegEnds_Xtal_Prot#'!B:B, 0)), "NoXtal", "Xtal")</f>
        <v>NoXtal</v>
      </c>
    </row>
    <row r="26" spans="1:38" x14ac:dyDescent="0.2">
      <c r="A26" s="1" t="s">
        <v>304</v>
      </c>
      <c r="B26" s="1" t="str">
        <f>VLOOKUP(A26,Xtal_Templ!A:B,2,FALSE)</f>
        <v>pd2r2_human</v>
      </c>
      <c r="C26" s="5">
        <f>VLOOKUP($B26&amp;"__wt",'SegEnds_Xtal_BW#'!$A:$Z,3,FALSE)</f>
        <v>32</v>
      </c>
      <c r="D26" s="1">
        <f>VLOOKUP($B26&amp;"__wt",'SegEnds_Xtal_BW#'!$A:$Z,4,FALSE)</f>
        <v>60</v>
      </c>
      <c r="E26" s="1" t="str">
        <f>VLOOKUP($B26&amp;"__wt",'SegEnds_Xtal_BW#'!$A:$Z,5,FALSE)</f>
        <v>-</v>
      </c>
      <c r="F26" s="1" t="str">
        <f>VLOOKUP($B26&amp;"__wt",'SegEnds_Xtal_BW#'!$A:$Z,6,FALSE)</f>
        <v>-</v>
      </c>
      <c r="G26" s="1">
        <v>37</v>
      </c>
      <c r="H26" s="12">
        <v>63</v>
      </c>
      <c r="I26" s="1">
        <f>VLOOKUP($B26&amp;"__wt",'SegEnds_Xtal_BW#'!$A:$Z,9,FALSE)</f>
        <v>49</v>
      </c>
      <c r="J26" s="1">
        <f>VLOOKUP($B26&amp;"__wt",'SegEnds_Xtal_BW#'!$A:$Z,10,FALSE)</f>
        <v>52</v>
      </c>
      <c r="K26" s="108">
        <v>24</v>
      </c>
      <c r="L26" s="1">
        <f>VLOOKUP($B26&amp;"__wt",'SegEnds_Xtal_BW#'!$A:$Z,12,FALSE)</f>
        <v>56</v>
      </c>
      <c r="M26" s="1">
        <f>VLOOKUP($B26&amp;"__wt",'SegEnds_Xtal_BW#'!$A:$Z,13,FALSE)</f>
        <v>50</v>
      </c>
      <c r="N26" s="12">
        <v>57</v>
      </c>
      <c r="O26" s="87">
        <v>38</v>
      </c>
      <c r="P26" s="1">
        <f>VLOOKUP($B26&amp;"__wt",'SegEnds_Xtal_BW#'!$A:$Z,16,FALSE)</f>
        <v>64</v>
      </c>
      <c r="Q26" s="1">
        <f>VLOOKUP($B26&amp;"__wt",'SegEnds_Xtal_BW#'!$A:$Z,17,FALSE)</f>
        <v>50</v>
      </c>
      <c r="R26" s="1">
        <f>VLOOKUP($B26&amp;"__wt",'SegEnds_Xtal_BW#'!$A:$Z,18,FALSE)</f>
        <v>52</v>
      </c>
      <c r="S26" s="1">
        <f>VLOOKUP($B26&amp;"__wt",'SegEnds_Xtal_BW#'!$A:$Z,19,FALSE)</f>
        <v>26</v>
      </c>
      <c r="T26" s="1">
        <f t="array" ref="T26">INDEX(ICL3_classA!$G$2:$G$37,MATCH(MIN(ABS(AI26-ICL3_classA!$F$2:$F$37)),ABS(AI26-ICL3_classA!$F$2:$F$37),0))</f>
        <v>67</v>
      </c>
      <c r="U26" s="1">
        <f t="array" ref="U26">INDEX(ICL3_classA!$H$2:$H$37,MATCH(MIN(ABS(AI26-ICL3_classA!$F$2:$F$37)),ABS(AI26-ICL3_classA!$F$2:$F$37),0))</f>
        <v>30</v>
      </c>
      <c r="V26" s="1">
        <v>61</v>
      </c>
      <c r="W26" s="1">
        <v>32</v>
      </c>
      <c r="X26" s="1">
        <f>VLOOKUP($B26&amp;"__wt",'SegEnds_Xtal_BW#'!$A:$Z,24,FALSE)</f>
        <v>56</v>
      </c>
      <c r="Y26" s="1">
        <f>VLOOKUP($B26&amp;"__wt",'SegEnds_Xtal_BW#'!$A:$Z,25,FALSE)</f>
        <v>47</v>
      </c>
      <c r="Z26" s="1">
        <f>VLOOKUP($B26&amp;"__wt",'SegEnds_Xtal_BW#'!$A:$Z,26,FALSE)</f>
        <v>64</v>
      </c>
      <c r="AA26" s="27" t="str">
        <f>VLOOKUP(A26,Classification!A:B,2,FALSE)</f>
        <v>A</v>
      </c>
      <c r="AB26" s="1">
        <f>VLOOKUP(A26,'SegEnds_NonXtal_Prot#'!A:AL,10,FALSE)-VLOOKUP(A26,'SegEnds_NonXtal_Prot#'!A:AL,4,FALSE)</f>
        <v>27</v>
      </c>
      <c r="AC26" s="1" t="e">
        <f>VLOOKUP(A26,'SegEnds_NonXtal_Prot#'!A:AL,10,FALSE)-VLOOKUP(A26,'SegEnds_NonXtal_Prot#'!A:AL,7,FALSE)</f>
        <v>#VALUE!</v>
      </c>
      <c r="AD26" s="1" t="e">
        <f>VLOOKUP(A26,'SegEnds_NonXtal_Prot#'!A:AL,13,FALSE)-VLOOKUP(A26,'SegEnds_NonXtal_Prot#'!A:AL,10,FALSE)</f>
        <v>#VALUE!</v>
      </c>
      <c r="AE26" s="1">
        <f>VLOOKUP(A26,'SegEnds_NonXtal_Prot#'!A:AL,16,FALSE)-VLOOKUP(A26,'SegEnds_NonXtal_Prot#'!A:AL,10,FALSE)</f>
        <v>46</v>
      </c>
      <c r="AF26" s="1">
        <f>VLOOKUP(A26,'SegEnds_NonXtal_Prot#'!A:AL,22,FALSE)-VLOOKUP(A26,'SegEnds_NonXtal_Prot#'!A:AL,19,FALSE)</f>
        <v>20</v>
      </c>
      <c r="AG26" s="1" t="e">
        <f>VLOOKUP(A26,'SegEnds_NonXtal_Prot#'!A:AL,28,FALSE)-VLOOKUP(A26,'SegEnds_NonXtal_Prot#'!A:AL,25,FALSE)</f>
        <v>#VALUE!</v>
      </c>
      <c r="AH26" s="1">
        <f>VLOOKUP(A26,'SegEnds_NonXtal_Prot#'!A:AL,28,FALSE)-VLOOKUP(A26,'SegEnds_NonXtal_Prot#'!A:AL,22,FALSE)</f>
        <v>42</v>
      </c>
      <c r="AI26" s="1">
        <f>VLOOKUP(A26,'SegEnds_NonXtal_Prot#'!A:AL,31,FALSE)-VLOOKUP(A26,'SegEnds_NonXtal_Prot#'!A:AL,28,FALSE)</f>
        <v>41</v>
      </c>
      <c r="AJ26" s="1">
        <f>VLOOKUP(A26,'SegEnds_NonXtal_Prot#'!A:AL,34,FALSE)-VLOOKUP(A26,'SegEnds_NonXtal_Prot#'!A:AL,31,FALSE)</f>
        <v>34</v>
      </c>
      <c r="AK26" s="1">
        <f>VLOOKUP(A26,'SegEnds_NonXtal_Prot#'!A:AL,37,FALSE)-VLOOKUP(A26,'SegEnds_NonXtal_Prot#'!A:AL,34,FALSE)</f>
        <v>10</v>
      </c>
      <c r="AL26" s="1" t="str">
        <f>IF(ISERROR(MATCH(A26,'SegEnds_Xtal_Prot#'!B:B, 0)), "NoXtal", "Xtal")</f>
        <v>NoXtal</v>
      </c>
    </row>
    <row r="27" spans="1:38" x14ac:dyDescent="0.2">
      <c r="A27" s="1" t="s">
        <v>381</v>
      </c>
      <c r="B27" s="1" t="str">
        <f>VLOOKUP(A27,Xtal_Templ!A:B,2,FALSE)</f>
        <v>oprk_human</v>
      </c>
      <c r="C27" s="5">
        <f>VLOOKUP($B27&amp;"__wt",'SegEnds_Xtal_BW#'!$A:$Z,3,FALSE)</f>
        <v>30</v>
      </c>
      <c r="D27" s="1">
        <f>VLOOKUP($B27&amp;"__wt",'SegEnds_Xtal_BW#'!$A:$Z,4,FALSE)</f>
        <v>60</v>
      </c>
      <c r="E27" s="1">
        <f>VLOOKUP($B27&amp;"__wt",'SegEnds_Xtal_BW#'!$A:$Z,5,FALSE)</f>
        <v>48</v>
      </c>
      <c r="F27" s="1">
        <f>VLOOKUP($B27&amp;"__wt",'SegEnds_Xtal_BW#'!$A:$Z,6,FALSE)</f>
        <v>51</v>
      </c>
      <c r="G27" s="1">
        <v>37</v>
      </c>
      <c r="H27" s="12">
        <v>66</v>
      </c>
      <c r="I27" s="1">
        <f>VLOOKUP($B27&amp;"__wt",'SegEnds_Xtal_BW#'!$A:$Z,9,FALSE)</f>
        <v>49</v>
      </c>
      <c r="J27" s="1">
        <f>VLOOKUP($B27&amp;"__wt",'SegEnds_Xtal_BW#'!$A:$Z,10,FALSE)</f>
        <v>52</v>
      </c>
      <c r="K27" s="12">
        <v>21</v>
      </c>
      <c r="L27" s="1">
        <f>VLOOKUP($B27&amp;"__wt",'SegEnds_Xtal_BW#'!$A:$Z,12,FALSE)</f>
        <v>56</v>
      </c>
      <c r="M27" s="1">
        <f>VLOOKUP($B27&amp;"__wt",'SegEnds_Xtal_BW#'!$A:$Z,13,FALSE)</f>
        <v>50</v>
      </c>
      <c r="N27" s="12">
        <v>57</v>
      </c>
      <c r="O27" s="87">
        <v>38</v>
      </c>
      <c r="P27" s="1">
        <f>VLOOKUP($B27&amp;"__wt",'SegEnds_Xtal_BW#'!$A:$Z,16,FALSE)</f>
        <v>64</v>
      </c>
      <c r="Q27" s="1">
        <f>VLOOKUP($B27&amp;"__wt",'SegEnds_Xtal_BW#'!$A:$Z,17,FALSE)</f>
        <v>50</v>
      </c>
      <c r="R27" s="1">
        <f>VLOOKUP($B27&amp;"__wt",'SegEnds_Xtal_BW#'!$A:$Z,18,FALSE)</f>
        <v>52</v>
      </c>
      <c r="S27" s="1">
        <f>VLOOKUP($B27&amp;"__wt",'SegEnds_Xtal_BW#'!$A:$Z,19,FALSE)</f>
        <v>30</v>
      </c>
      <c r="T27" s="1">
        <f t="array" ref="T27">INDEX(ICL3_classA!$G$2:$G$37,MATCH(MIN(ABS(AI27-ICL3_classA!$F$2:$F$37)),ABS(AI27-ICL3_classA!$F$2:$F$37),0))</f>
        <v>68</v>
      </c>
      <c r="U27" s="1">
        <f t="array" ref="U27">INDEX(ICL3_classA!$H$2:$H$37,MATCH(MIN(ABS(AI27-ICL3_classA!$F$2:$F$37)),ABS(AI27-ICL3_classA!$F$2:$F$37),0))</f>
        <v>23</v>
      </c>
      <c r="V27" s="1">
        <v>61</v>
      </c>
      <c r="W27" s="1">
        <v>32</v>
      </c>
      <c r="X27" s="1">
        <f>VLOOKUP($B27&amp;"__wt",'SegEnds_Xtal_BW#'!$A:$Z,24,FALSE)</f>
        <v>56</v>
      </c>
      <c r="Y27" s="1">
        <f>VLOOKUP($B27&amp;"__wt",'SegEnds_Xtal_BW#'!$A:$Z,25,FALSE)</f>
        <v>47</v>
      </c>
      <c r="Z27" s="1">
        <f>VLOOKUP($B27&amp;"__wt",'SegEnds_Xtal_BW#'!$A:$Z,26,FALSE)</f>
        <v>59</v>
      </c>
      <c r="AA27" s="27" t="str">
        <f>VLOOKUP(A27,Classification!A:B,2,FALSE)</f>
        <v>A</v>
      </c>
      <c r="AB27" s="1">
        <f>VLOOKUP(A27,'SegEnds_NonXtal_Prot#'!A:AL,10,FALSE)-VLOOKUP(A27,'SegEnds_NonXtal_Prot#'!A:AL,4,FALSE)</f>
        <v>28</v>
      </c>
      <c r="AC27" s="1">
        <f>VLOOKUP(A27,'SegEnds_NonXtal_Prot#'!A:AL,10,FALSE)-VLOOKUP(A27,'SegEnds_NonXtal_Prot#'!A:AL,7,FALSE)</f>
        <v>15</v>
      </c>
      <c r="AD27" s="1">
        <f>VLOOKUP(A27,'SegEnds_NonXtal_Prot#'!A:AL,13,FALSE)-VLOOKUP(A27,'SegEnds_NonXtal_Prot#'!A:AL,10,FALSE)</f>
        <v>19</v>
      </c>
      <c r="AE27" s="1">
        <f>VLOOKUP(A27,'SegEnds_NonXtal_Prot#'!A:AL,16,FALSE)-VLOOKUP(A27,'SegEnds_NonXtal_Prot#'!A:AL,10,FALSE)</f>
        <v>51</v>
      </c>
      <c r="AF27" s="1">
        <f>VLOOKUP(A27,'SegEnds_NonXtal_Prot#'!A:AL,22,FALSE)-VLOOKUP(A27,'SegEnds_NonXtal_Prot#'!A:AL,19,FALSE)</f>
        <v>20</v>
      </c>
      <c r="AG27" s="1">
        <f>VLOOKUP(A27,'SegEnds_NonXtal_Prot#'!A:AL,28,FALSE)-VLOOKUP(A27,'SegEnds_NonXtal_Prot#'!A:AL,25,FALSE)</f>
        <v>27</v>
      </c>
      <c r="AH27" s="1">
        <f>VLOOKUP(A27,'SegEnds_NonXtal_Prot#'!A:AL,28,FALSE)-VLOOKUP(A27,'SegEnds_NonXtal_Prot#'!A:AL,22,FALSE)</f>
        <v>53</v>
      </c>
      <c r="AI27" s="1">
        <f>VLOOKUP(A27,'SegEnds_NonXtal_Prot#'!A:AL,31,FALSE)-VLOOKUP(A27,'SegEnds_NonXtal_Prot#'!A:AL,28,FALSE)</f>
        <v>51</v>
      </c>
      <c r="AJ27" s="1">
        <f>VLOOKUP(A27,'SegEnds_NonXtal_Prot#'!A:AL,34,FALSE)-VLOOKUP(A27,'SegEnds_NonXtal_Prot#'!A:AL,31,FALSE)</f>
        <v>34</v>
      </c>
      <c r="AK27" s="1">
        <f>VLOOKUP(A27,'SegEnds_NonXtal_Prot#'!A:AL,37,FALSE)-VLOOKUP(A27,'SegEnds_NonXtal_Prot#'!A:AL,34,FALSE)</f>
        <v>10</v>
      </c>
      <c r="AL27" s="1" t="str">
        <f>IF(ISERROR(MATCH(A27,'SegEnds_Xtal_Prot#'!B:B, 0)), "NoXtal", "Xtal")</f>
        <v>NoXtal</v>
      </c>
    </row>
    <row r="28" spans="1:38" x14ac:dyDescent="0.2">
      <c r="A28" s="1" t="s">
        <v>384</v>
      </c>
      <c r="B28" s="1" t="str">
        <f>VLOOKUP(A28,Xtal_Templ!A:B,2,FALSE)</f>
        <v>oprd_human</v>
      </c>
      <c r="C28" s="5">
        <f>VLOOKUP($B28&amp;"__wt",'SegEnds_Xtal_BW#'!$A:$Z,3,FALSE)</f>
        <v>22</v>
      </c>
      <c r="D28" s="1">
        <f>VLOOKUP($B28&amp;"__wt",'SegEnds_Xtal_BW#'!$A:$Z,4,FALSE)</f>
        <v>60</v>
      </c>
      <c r="E28" s="1">
        <f>VLOOKUP($B28&amp;"__wt",'SegEnds_Xtal_BW#'!$A:$Z,5,FALSE)</f>
        <v>48</v>
      </c>
      <c r="F28" s="1">
        <f>VLOOKUP($B28&amp;"__wt",'SegEnds_Xtal_BW#'!$A:$Z,6,FALSE)</f>
        <v>51</v>
      </c>
      <c r="G28" s="1">
        <v>37</v>
      </c>
      <c r="H28" s="12">
        <v>66</v>
      </c>
      <c r="I28" s="1">
        <f>VLOOKUP($B28&amp;"__wt",'SegEnds_Xtal_BW#'!$A:$Z,9,FALSE)</f>
        <v>49</v>
      </c>
      <c r="J28" s="1">
        <f>VLOOKUP($B28&amp;"__wt",'SegEnds_Xtal_BW#'!$A:$Z,10,FALSE)</f>
        <v>52</v>
      </c>
      <c r="K28" s="12">
        <v>21</v>
      </c>
      <c r="L28" s="1">
        <f>VLOOKUP($B28&amp;"__wt",'SegEnds_Xtal_BW#'!$A:$Z,12,FALSE)</f>
        <v>56</v>
      </c>
      <c r="M28" s="1">
        <f>VLOOKUP($B28&amp;"__wt",'SegEnds_Xtal_BW#'!$A:$Z,13,FALSE)</f>
        <v>50</v>
      </c>
      <c r="N28" s="12">
        <v>57</v>
      </c>
      <c r="O28" s="87">
        <v>38</v>
      </c>
      <c r="P28" s="1">
        <f>VLOOKUP($B28&amp;"__wt",'SegEnds_Xtal_BW#'!$A:$Z,16,FALSE)</f>
        <v>64</v>
      </c>
      <c r="Q28" s="1">
        <f>VLOOKUP($B28&amp;"__wt",'SegEnds_Xtal_BW#'!$A:$Z,17,FALSE)</f>
        <v>50</v>
      </c>
      <c r="R28" s="1">
        <f>VLOOKUP($B28&amp;"__wt",'SegEnds_Xtal_BW#'!$A:$Z,18,FALSE)</f>
        <v>52</v>
      </c>
      <c r="S28" s="1">
        <f>VLOOKUP($B28&amp;"__wt",'SegEnds_Xtal_BW#'!$A:$Z,19,FALSE)</f>
        <v>31</v>
      </c>
      <c r="T28" s="1">
        <f t="array" ref="T28">INDEX(ICL3_classA!$G$2:$G$37,MATCH(MIN(ABS(AI28-ICL3_classA!$F$2:$F$37)),ABS(AI28-ICL3_classA!$F$2:$F$37),0))</f>
        <v>68</v>
      </c>
      <c r="U28" s="1">
        <f t="array" ref="U28">INDEX(ICL3_classA!$H$2:$H$37,MATCH(MIN(ABS(AI28-ICL3_classA!$F$2:$F$37)),ABS(AI28-ICL3_classA!$F$2:$F$37),0))</f>
        <v>23</v>
      </c>
      <c r="V28" s="1">
        <v>61</v>
      </c>
      <c r="W28" s="1">
        <v>32</v>
      </c>
      <c r="X28" s="1">
        <f>VLOOKUP($B28&amp;"__wt",'SegEnds_Xtal_BW#'!$A:$Z,24,FALSE)</f>
        <v>56</v>
      </c>
      <c r="Y28" s="1">
        <f>VLOOKUP($B28&amp;"__wt",'SegEnds_Xtal_BW#'!$A:$Z,25,FALSE)</f>
        <v>47</v>
      </c>
      <c r="Z28" s="1">
        <f>VLOOKUP($B28&amp;"__wt",'SegEnds_Xtal_BW#'!$A:$Z,26,FALSE)</f>
        <v>60</v>
      </c>
      <c r="AA28" s="27" t="str">
        <f>VLOOKUP(A28,Classification!A:B,2,FALSE)</f>
        <v>A</v>
      </c>
      <c r="AB28" s="1">
        <f>VLOOKUP(A28,'SegEnds_NonXtal_Prot#'!A:AL,10,FALSE)-VLOOKUP(A28,'SegEnds_NonXtal_Prot#'!A:AL,4,FALSE)</f>
        <v>28</v>
      </c>
      <c r="AC28" s="1">
        <f>VLOOKUP(A28,'SegEnds_NonXtal_Prot#'!A:AL,10,FALSE)-VLOOKUP(A28,'SegEnds_NonXtal_Prot#'!A:AL,7,FALSE)</f>
        <v>15</v>
      </c>
      <c r="AD28" s="1">
        <f>VLOOKUP(A28,'SegEnds_NonXtal_Prot#'!A:AL,13,FALSE)-VLOOKUP(A28,'SegEnds_NonXtal_Prot#'!A:AL,10,FALSE)</f>
        <v>19</v>
      </c>
      <c r="AE28" s="1">
        <f>VLOOKUP(A28,'SegEnds_NonXtal_Prot#'!A:AL,16,FALSE)-VLOOKUP(A28,'SegEnds_NonXtal_Prot#'!A:AL,10,FALSE)</f>
        <v>51</v>
      </c>
      <c r="AF28" s="1">
        <f>VLOOKUP(A28,'SegEnds_NonXtal_Prot#'!A:AL,22,FALSE)-VLOOKUP(A28,'SegEnds_NonXtal_Prot#'!A:AL,19,FALSE)</f>
        <v>20</v>
      </c>
      <c r="AG28" s="1">
        <f>VLOOKUP(A28,'SegEnds_NonXtal_Prot#'!A:AL,28,FALSE)-VLOOKUP(A28,'SegEnds_NonXtal_Prot#'!A:AL,25,FALSE)</f>
        <v>25</v>
      </c>
      <c r="AH28" s="1">
        <f>VLOOKUP(A28,'SegEnds_NonXtal_Prot#'!A:AL,28,FALSE)-VLOOKUP(A28,'SegEnds_NonXtal_Prot#'!A:AL,22,FALSE)</f>
        <v>52</v>
      </c>
      <c r="AI28" s="1">
        <f>VLOOKUP(A28,'SegEnds_NonXtal_Prot#'!A:AL,31,FALSE)-VLOOKUP(A28,'SegEnds_NonXtal_Prot#'!A:AL,28,FALSE)</f>
        <v>51</v>
      </c>
      <c r="AJ28" s="1">
        <f>VLOOKUP(A28,'SegEnds_NonXtal_Prot#'!A:AL,34,FALSE)-VLOOKUP(A28,'SegEnds_NonXtal_Prot#'!A:AL,31,FALSE)</f>
        <v>34</v>
      </c>
      <c r="AK28" s="1">
        <f>VLOOKUP(A28,'SegEnds_NonXtal_Prot#'!A:AL,37,FALSE)-VLOOKUP(A28,'SegEnds_NonXtal_Prot#'!A:AL,34,FALSE)</f>
        <v>10</v>
      </c>
      <c r="AL28" s="1" t="str">
        <f>IF(ISERROR(MATCH(A28,'SegEnds_Xtal_Prot#'!B:B, 0)), "NoXtal", "Xtal")</f>
        <v>NoXtal</v>
      </c>
    </row>
    <row r="29" spans="1:38" x14ac:dyDescent="0.2">
      <c r="A29" s="1" t="s">
        <v>130</v>
      </c>
      <c r="B29" s="1" t="str">
        <f>VLOOKUP(A29,Xtal_Templ!A:B,2,FALSE)</f>
        <v>5ht1b_human</v>
      </c>
      <c r="C29" s="5">
        <f>VLOOKUP($B29&amp;"__wt",'SegEnds_Xtal_BW#'!$A:$Z,3,FALSE)</f>
        <v>28</v>
      </c>
      <c r="D29" s="1">
        <f>VLOOKUP($B29&amp;"__wt",'SegEnds_Xtal_BW#'!$A:$Z,4,FALSE)</f>
        <v>60</v>
      </c>
      <c r="E29" s="1">
        <f>VLOOKUP($B29&amp;"__wt",'SegEnds_Xtal_BW#'!$A:$Z,5,FALSE)</f>
        <v>48</v>
      </c>
      <c r="F29" s="1">
        <f>VLOOKUP($B29&amp;"__wt",'SegEnds_Xtal_BW#'!$A:$Z,6,FALSE)</f>
        <v>51</v>
      </c>
      <c r="G29" s="1">
        <v>37</v>
      </c>
      <c r="H29" s="12">
        <f>VLOOKUP($B29&amp;"__wt",'SegEnds_Xtal_BW#'!$A:$Z,8,FALSE)</f>
        <v>68</v>
      </c>
      <c r="I29" s="1">
        <f>VLOOKUP($B29&amp;"__wt",'SegEnds_Xtal_BW#'!$A:$Z,9,FALSE)</f>
        <v>49</v>
      </c>
      <c r="J29" s="1">
        <f>VLOOKUP($B29&amp;"__wt",'SegEnds_Xtal_BW#'!$A:$Z,10,FALSE)</f>
        <v>52</v>
      </c>
      <c r="K29" s="12">
        <v>18</v>
      </c>
      <c r="L29" s="1">
        <f>VLOOKUP($B29&amp;"__wt",'SegEnds_Xtal_BW#'!$A:$Z,12,FALSE)</f>
        <v>56</v>
      </c>
      <c r="M29" s="1">
        <f>VLOOKUP($B29&amp;"__wt",'SegEnds_Xtal_BW#'!$A:$Z,13,FALSE)</f>
        <v>50</v>
      </c>
      <c r="N29" s="12">
        <v>57</v>
      </c>
      <c r="O29" s="87">
        <v>38</v>
      </c>
      <c r="P29" s="1">
        <f>VLOOKUP($B29&amp;"__wt",'SegEnds_Xtal_BW#'!$A:$Z,16,FALSE)</f>
        <v>63</v>
      </c>
      <c r="Q29" s="1">
        <f>VLOOKUP($B29&amp;"__wt",'SegEnds_Xtal_BW#'!$A:$Z,17,FALSE)</f>
        <v>50</v>
      </c>
      <c r="R29" s="1">
        <f>VLOOKUP($B29&amp;"__wt",'SegEnds_Xtal_BW#'!$A:$Z,18,FALSE)</f>
        <v>52</v>
      </c>
      <c r="S29" s="1">
        <f>VLOOKUP($B29&amp;"__wt",'SegEnds_Xtal_BW#'!$A:$Z,19,FALSE)</f>
        <v>35</v>
      </c>
      <c r="T29" s="1">
        <f t="array" ref="T29">INDEX(ICL3_classA!$G$2:$G$37,MATCH(MIN(ABS(AI29-ICL3_classA!$F$2:$F$37)),ABS(AI29-ICL3_classA!$F$2:$F$37),0))</f>
        <v>76</v>
      </c>
      <c r="U29" s="1">
        <f t="array" ref="U29">INDEX(ICL3_classA!$H$2:$H$37,MATCH(MIN(ABS(AI29-ICL3_classA!$F$2:$F$37)),ABS(AI29-ICL3_classA!$F$2:$F$37),0))</f>
        <v>24</v>
      </c>
      <c r="V29" s="1">
        <v>61</v>
      </c>
      <c r="W29" s="1">
        <v>31</v>
      </c>
      <c r="X29" s="1">
        <f>VLOOKUP($B29&amp;"__wt",'SegEnds_Xtal_BW#'!$A:$Z,24,FALSE)</f>
        <v>56</v>
      </c>
      <c r="Y29" s="1">
        <f>VLOOKUP($B29&amp;"__wt",'SegEnds_Xtal_BW#'!$A:$Z,25,FALSE)</f>
        <v>47</v>
      </c>
      <c r="Z29" s="1">
        <f>VLOOKUP($B29&amp;"__wt",'SegEnds_Xtal_BW#'!$A:$Z,26,FALSE)</f>
        <v>58</v>
      </c>
      <c r="AA29" s="27" t="str">
        <f>VLOOKUP(A29,Classification!A:B,2,FALSE)</f>
        <v>A</v>
      </c>
      <c r="AB29" s="1">
        <f>VLOOKUP(A29,'SegEnds_NonXtal_Prot#'!A:AL,10,FALSE)-VLOOKUP(A29,'SegEnds_NonXtal_Prot#'!A:AL,4,FALSE)</f>
        <v>28</v>
      </c>
      <c r="AC29" s="1">
        <f>VLOOKUP(A29,'SegEnds_NonXtal_Prot#'!A:AL,10,FALSE)-VLOOKUP(A29,'SegEnds_NonXtal_Prot#'!A:AL,7,FALSE)</f>
        <v>15</v>
      </c>
      <c r="AD29" s="1">
        <f>VLOOKUP(A29,'SegEnds_NonXtal_Prot#'!A:AL,13,FALSE)-VLOOKUP(A29,'SegEnds_NonXtal_Prot#'!A:AL,10,FALSE)</f>
        <v>20</v>
      </c>
      <c r="AE29" s="1">
        <f>VLOOKUP(A29,'SegEnds_NonXtal_Prot#'!A:AL,16,FALSE)-VLOOKUP(A29,'SegEnds_NonXtal_Prot#'!A:AL,10,FALSE)</f>
        <v>52</v>
      </c>
      <c r="AF29" s="1">
        <f>VLOOKUP(A29,'SegEnds_NonXtal_Prot#'!A:AL,22,FALSE)-VLOOKUP(A29,'SegEnds_NonXtal_Prot#'!A:AL,19,FALSE)</f>
        <v>20</v>
      </c>
      <c r="AG29" s="1">
        <f>VLOOKUP(A29,'SegEnds_NonXtal_Prot#'!A:AL,28,FALSE)-VLOOKUP(A29,'SegEnds_NonXtal_Prot#'!A:AL,25,FALSE)</f>
        <v>21</v>
      </c>
      <c r="AH29" s="1">
        <f>VLOOKUP(A29,'SegEnds_NonXtal_Prot#'!A:AL,28,FALSE)-VLOOKUP(A29,'SegEnds_NonXtal_Prot#'!A:AL,22,FALSE)</f>
        <v>47</v>
      </c>
      <c r="AI29" s="1">
        <f>VLOOKUP(A29,'SegEnds_NonXtal_Prot#'!A:AL,31,FALSE)-VLOOKUP(A29,'SegEnds_NonXtal_Prot#'!A:AL,28,FALSE)</f>
        <v>112</v>
      </c>
      <c r="AJ29" s="1">
        <f>VLOOKUP(A29,'SegEnds_NonXtal_Prot#'!A:AL,34,FALSE)-VLOOKUP(A29,'SegEnds_NonXtal_Prot#'!A:AL,31,FALSE)</f>
        <v>35</v>
      </c>
      <c r="AK29" s="1">
        <f>VLOOKUP(A29,'SegEnds_NonXtal_Prot#'!A:AL,37,FALSE)-VLOOKUP(A29,'SegEnds_NonXtal_Prot#'!A:AL,34,FALSE)</f>
        <v>10</v>
      </c>
      <c r="AL29" s="1" t="str">
        <f>IF(ISERROR(MATCH(A29,'SegEnds_Xtal_Prot#'!B:B, 0)), "NoXtal", "Xtal")</f>
        <v>NoXtal</v>
      </c>
    </row>
    <row r="30" spans="1:38" x14ac:dyDescent="0.2">
      <c r="A30" s="1" t="s">
        <v>134</v>
      </c>
      <c r="B30" s="1" t="str">
        <f>VLOOKUP(A30,Xtal_Templ!A:B,2,FALSE)</f>
        <v>drd2_human</v>
      </c>
      <c r="C30" s="5">
        <f>VLOOKUP($B30&amp;"__wt",'SegEnds_Xtal_BW#'!$A:$Z,3,FALSE)</f>
        <v>29</v>
      </c>
      <c r="D30" s="1">
        <f>VLOOKUP($B30&amp;"__wt",'SegEnds_Xtal_BW#'!$A:$Z,4,FALSE)</f>
        <v>60</v>
      </c>
      <c r="E30" s="1">
        <f>VLOOKUP($B30&amp;"__wt",'SegEnds_Xtal_BW#'!$A:$Z,5,FALSE)</f>
        <v>48</v>
      </c>
      <c r="F30" s="1">
        <f>VLOOKUP($B30&amp;"__wt",'SegEnds_Xtal_BW#'!$A:$Z,6,FALSE)</f>
        <v>51</v>
      </c>
      <c r="G30" s="1">
        <v>37</v>
      </c>
      <c r="H30" s="12">
        <f>VLOOKUP($B30&amp;"__wt",'SegEnds_Xtal_BW#'!$A:$Z,8,FALSE)</f>
        <v>68</v>
      </c>
      <c r="I30" s="1">
        <f>VLOOKUP($B30&amp;"__wt",'SegEnds_Xtal_BW#'!$A:$Z,9,FALSE)</f>
        <v>49</v>
      </c>
      <c r="J30" s="1">
        <f>VLOOKUP($B30&amp;"__wt",'SegEnds_Xtal_BW#'!$A:$Z,10,FALSE)</f>
        <v>52</v>
      </c>
      <c r="K30" s="12">
        <v>18</v>
      </c>
      <c r="L30" s="1">
        <f>VLOOKUP($B30&amp;"__wt",'SegEnds_Xtal_BW#'!$A:$Z,12,FALSE)</f>
        <v>56</v>
      </c>
      <c r="M30" s="1">
        <f>VLOOKUP($B30&amp;"__wt",'SegEnds_Xtal_BW#'!$A:$Z,13,FALSE)</f>
        <v>50</v>
      </c>
      <c r="N30" s="12">
        <v>57</v>
      </c>
      <c r="O30" s="87">
        <v>38</v>
      </c>
      <c r="P30" s="1">
        <f>VLOOKUP($B30&amp;"__wt",'SegEnds_Xtal_BW#'!$A:$Z,16,FALSE)</f>
        <v>62</v>
      </c>
      <c r="Q30" s="1">
        <f>VLOOKUP($B30&amp;"__wt",'SegEnds_Xtal_BW#'!$A:$Z,17,FALSE)</f>
        <v>50</v>
      </c>
      <c r="R30" s="1">
        <f>VLOOKUP($B30&amp;"__wt",'SegEnds_Xtal_BW#'!$A:$Z,18,FALSE)</f>
        <v>52</v>
      </c>
      <c r="S30" s="1">
        <f>VLOOKUP($B30&amp;"__wt",'SegEnds_Xtal_BW#'!$A:$Z,19,FALSE)</f>
        <v>35</v>
      </c>
      <c r="T30" s="1">
        <f t="array" ref="T30">INDEX(ICL3_classA!$G$2:$G$37,MATCH(MIN(ABS(AI30-ICL3_classA!$F$2:$F$37)),ABS(AI30-ICL3_classA!$F$2:$F$37),0))</f>
        <v>76</v>
      </c>
      <c r="U30" s="1">
        <f t="array" ref="U30">INDEX(ICL3_classA!$H$2:$H$37,MATCH(MIN(ABS(AI30-ICL3_classA!$F$2:$F$37)),ABS(AI30-ICL3_classA!$F$2:$F$37),0))</f>
        <v>24</v>
      </c>
      <c r="V30" s="1">
        <v>61</v>
      </c>
      <c r="W30" s="1">
        <v>31</v>
      </c>
      <c r="X30" s="126">
        <v>56</v>
      </c>
      <c r="Y30" s="1">
        <f>VLOOKUP($B30&amp;"__wt",'SegEnds_Xtal_BW#'!$A:$Z,25,FALSE)</f>
        <v>47</v>
      </c>
      <c r="Z30" s="1">
        <f>VLOOKUP($B30&amp;"__wt",'SegEnds_Xtal_BW#'!$A:$Z,26,FALSE)</f>
        <v>59</v>
      </c>
      <c r="AA30" s="27" t="str">
        <f>VLOOKUP(A30,Classification!A:B,2,FALSE)</f>
        <v>A</v>
      </c>
      <c r="AB30" s="1">
        <f>VLOOKUP(A30,'SegEnds_NonXtal_Prot#'!A:AL,10,FALSE)-VLOOKUP(A30,'SegEnds_NonXtal_Prot#'!A:AL,4,FALSE)</f>
        <v>29</v>
      </c>
      <c r="AC30" s="1">
        <f>VLOOKUP(A30,'SegEnds_NonXtal_Prot#'!A:AL,10,FALSE)-VLOOKUP(A30,'SegEnds_NonXtal_Prot#'!A:AL,7,FALSE)</f>
        <v>16</v>
      </c>
      <c r="AD30" s="1">
        <f>VLOOKUP(A30,'SegEnds_NonXtal_Prot#'!A:AL,13,FALSE)-VLOOKUP(A30,'SegEnds_NonXtal_Prot#'!A:AL,10,FALSE)</f>
        <v>20</v>
      </c>
      <c r="AE30" s="1">
        <f>VLOOKUP(A30,'SegEnds_NonXtal_Prot#'!A:AL,16,FALSE)-VLOOKUP(A30,'SegEnds_NonXtal_Prot#'!A:AL,10,FALSE)</f>
        <v>52</v>
      </c>
      <c r="AF30" s="1">
        <f>VLOOKUP(A30,'SegEnds_NonXtal_Prot#'!A:AL,22,FALSE)-VLOOKUP(A30,'SegEnds_NonXtal_Prot#'!A:AL,19,FALSE)</f>
        <v>20</v>
      </c>
      <c r="AG30" s="1">
        <f>VLOOKUP(A30,'SegEnds_NonXtal_Prot#'!A:AL,28,FALSE)-VLOOKUP(A30,'SegEnds_NonXtal_Prot#'!A:AL,25,FALSE)</f>
        <v>20</v>
      </c>
      <c r="AH30" s="1">
        <f>VLOOKUP(A30,'SegEnds_NonXtal_Prot#'!A:AL,28,FALSE)-VLOOKUP(A30,'SegEnds_NonXtal_Prot#'!A:AL,22,FALSE)</f>
        <v>58</v>
      </c>
      <c r="AI30" s="1">
        <f>VLOOKUP(A30,'SegEnds_NonXtal_Prot#'!A:AL,31,FALSE)-VLOOKUP(A30,'SegEnds_NonXtal_Prot#'!A:AL,28,FALSE)</f>
        <v>70</v>
      </c>
      <c r="AJ30" s="1">
        <f>VLOOKUP(A30,'SegEnds_NonXtal_Prot#'!A:AL,34,FALSE)-VLOOKUP(A30,'SegEnds_NonXtal_Prot#'!A:AL,31,FALSE)</f>
        <v>35</v>
      </c>
      <c r="AK30" s="1">
        <f>VLOOKUP(A30,'SegEnds_NonXtal_Prot#'!A:AL,37,FALSE)-VLOOKUP(A30,'SegEnds_NonXtal_Prot#'!A:AL,34,FALSE)</f>
        <v>10</v>
      </c>
      <c r="AL30" s="1" t="str">
        <f>IF(ISERROR(MATCH(A30,'SegEnds_Xtal_Prot#'!B:B, 0)), "NoXtal", "Xtal")</f>
        <v>NoXtal</v>
      </c>
    </row>
    <row r="31" spans="1:38" ht="17" customHeight="1" x14ac:dyDescent="0.2">
      <c r="A31" s="1" t="s">
        <v>135</v>
      </c>
      <c r="B31" s="1" t="str">
        <f>VLOOKUP(A31,Xtal_Templ!A:B,2,FALSE)</f>
        <v>5ht1b_human</v>
      </c>
      <c r="C31" s="5">
        <f>VLOOKUP($B31&amp;"__wt",'SegEnds_Xtal_BW#'!$A:$Z,3,FALSE)</f>
        <v>28</v>
      </c>
      <c r="D31" s="1">
        <f>VLOOKUP($B31&amp;"__wt",'SegEnds_Xtal_BW#'!$A:$Z,4,FALSE)</f>
        <v>60</v>
      </c>
      <c r="E31" s="1">
        <f>VLOOKUP($B31&amp;"__wt",'SegEnds_Xtal_BW#'!$A:$Z,5,FALSE)</f>
        <v>48</v>
      </c>
      <c r="F31" s="1">
        <f>VLOOKUP($B31&amp;"__wt",'SegEnds_Xtal_BW#'!$A:$Z,6,FALSE)</f>
        <v>51</v>
      </c>
      <c r="G31" s="1">
        <v>37</v>
      </c>
      <c r="H31" s="12">
        <f>VLOOKUP($B31&amp;"__wt",'SegEnds_Xtal_BW#'!$A:$Z,8,FALSE)</f>
        <v>68</v>
      </c>
      <c r="I31" s="1">
        <f>VLOOKUP($B31&amp;"__wt",'SegEnds_Xtal_BW#'!$A:$Z,9,FALSE)</f>
        <v>49</v>
      </c>
      <c r="J31" s="1">
        <f>VLOOKUP($B31&amp;"__wt",'SegEnds_Xtal_BW#'!$A:$Z,10,FALSE)</f>
        <v>52</v>
      </c>
      <c r="K31" s="12">
        <v>18</v>
      </c>
      <c r="L31" s="1">
        <f>VLOOKUP($B31&amp;"__wt",'SegEnds_Xtal_BW#'!$A:$Z,12,FALSE)</f>
        <v>56</v>
      </c>
      <c r="M31" s="1">
        <f>VLOOKUP($B31&amp;"__wt",'SegEnds_Xtal_BW#'!$A:$Z,13,FALSE)</f>
        <v>50</v>
      </c>
      <c r="N31" s="12">
        <f>VLOOKUP($B31&amp;"__wt",'SegEnds_Xtal_BW#'!$A:$Z,14,FALSE)</f>
        <v>57</v>
      </c>
      <c r="O31" s="87">
        <f>VLOOKUP($B31&amp;"__wt",'SegEnds_Xtal_BW#'!$A:$Z,15,FALSE)</f>
        <v>38</v>
      </c>
      <c r="P31" s="1">
        <f>VLOOKUP($B31&amp;"__wt",'SegEnds_Xtal_BW#'!$A:$Z,16,FALSE)</f>
        <v>63</v>
      </c>
      <c r="Q31" s="1">
        <f>VLOOKUP($B31&amp;"__wt",'SegEnds_Xtal_BW#'!$A:$Z,17,FALSE)</f>
        <v>50</v>
      </c>
      <c r="R31" s="1">
        <f>VLOOKUP($B31&amp;"__wt",'SegEnds_Xtal_BW#'!$A:$Z,18,FALSE)</f>
        <v>52</v>
      </c>
      <c r="S31" s="1">
        <f>VLOOKUP($B31&amp;"__wt",'SegEnds_Xtal_BW#'!$A:$Z,19,FALSE)</f>
        <v>35</v>
      </c>
      <c r="T31" s="1">
        <f t="array" ref="T31">INDEX(ICL3_classA!$G$2:$G$37,MATCH(MIN(ABS(AI31-ICL3_classA!$F$2:$F$37)),ABS(AI31-ICL3_classA!$F$2:$F$37),0))</f>
        <v>76</v>
      </c>
      <c r="U31" s="1">
        <f t="array" ref="U31">INDEX(ICL3_classA!$H$2:$H$37,MATCH(MIN(ABS(AI31-ICL3_classA!$F$2:$F$37)),ABS(AI31-ICL3_classA!$F$2:$F$37),0))</f>
        <v>24</v>
      </c>
      <c r="V31" s="1">
        <v>61</v>
      </c>
      <c r="W31" s="1">
        <v>31</v>
      </c>
      <c r="X31" s="1">
        <f>VLOOKUP($B31&amp;"__wt",'SegEnds_Xtal_BW#'!$A:$Z,24,FALSE)</f>
        <v>56</v>
      </c>
      <c r="Y31" s="1">
        <f>VLOOKUP($B31&amp;"__wt",'SegEnds_Xtal_BW#'!$A:$Z,25,FALSE)</f>
        <v>47</v>
      </c>
      <c r="Z31" s="1">
        <f>VLOOKUP($B31&amp;"__wt",'SegEnds_Xtal_BW#'!$A:$Z,26,FALSE)</f>
        <v>58</v>
      </c>
      <c r="AA31" s="27" t="str">
        <f>VLOOKUP(A31,Classification!A:B,2,FALSE)</f>
        <v>A</v>
      </c>
      <c r="AB31" s="1">
        <f>VLOOKUP(A31,'SegEnds_NonXtal_Prot#'!A:AL,10,FALSE)-VLOOKUP(A31,'SegEnds_NonXtal_Prot#'!A:AL,4,FALSE)</f>
        <v>28</v>
      </c>
      <c r="AC31" s="1">
        <f>VLOOKUP(A31,'SegEnds_NonXtal_Prot#'!A:AL,10,FALSE)-VLOOKUP(A31,'SegEnds_NonXtal_Prot#'!A:AL,7,FALSE)</f>
        <v>15</v>
      </c>
      <c r="AD31" s="1">
        <f>VLOOKUP(A31,'SegEnds_NonXtal_Prot#'!A:AL,13,FALSE)-VLOOKUP(A31,'SegEnds_NonXtal_Prot#'!A:AL,10,FALSE)</f>
        <v>21</v>
      </c>
      <c r="AE31" s="1">
        <f>VLOOKUP(A31,'SegEnds_NonXtal_Prot#'!A:AL,16,FALSE)-VLOOKUP(A31,'SegEnds_NonXtal_Prot#'!A:AL,10,FALSE)</f>
        <v>53</v>
      </c>
      <c r="AF31" s="1">
        <f>VLOOKUP(A31,'SegEnds_NonXtal_Prot#'!A:AL,22,FALSE)-VLOOKUP(A31,'SegEnds_NonXtal_Prot#'!A:AL,19,FALSE)</f>
        <v>20</v>
      </c>
      <c r="AG31" s="1">
        <f>VLOOKUP(A31,'SegEnds_NonXtal_Prot#'!A:AL,28,FALSE)-VLOOKUP(A31,'SegEnds_NonXtal_Prot#'!A:AL,25,FALSE)</f>
        <v>20</v>
      </c>
      <c r="AH31" s="1">
        <f>VLOOKUP(A31,'SegEnds_NonXtal_Prot#'!A:AL,28,FALSE)-VLOOKUP(A31,'SegEnds_NonXtal_Prot#'!A:AL,22,FALSE)</f>
        <v>46</v>
      </c>
      <c r="AI31" s="1">
        <f>VLOOKUP(A31,'SegEnds_NonXtal_Prot#'!A:AL,31,FALSE)-VLOOKUP(A31,'SegEnds_NonXtal_Prot#'!A:AL,28,FALSE)</f>
        <v>88</v>
      </c>
      <c r="AJ31" s="1">
        <f>VLOOKUP(A31,'SegEnds_NonXtal_Prot#'!A:AL,34,FALSE)-VLOOKUP(A31,'SegEnds_NonXtal_Prot#'!A:AL,31,FALSE)</f>
        <v>35</v>
      </c>
      <c r="AK31" s="1">
        <f>VLOOKUP(A31,'SegEnds_NonXtal_Prot#'!A:AL,37,FALSE)-VLOOKUP(A31,'SegEnds_NonXtal_Prot#'!A:AL,34,FALSE)</f>
        <v>10</v>
      </c>
      <c r="AL31" s="1" t="str">
        <f>IF(ISERROR(MATCH(A31,'SegEnds_Xtal_Prot#'!B:B, 0)), "NoXtal", "Xtal")</f>
        <v>NoXtal</v>
      </c>
    </row>
    <row r="32" spans="1:38" x14ac:dyDescent="0.2">
      <c r="A32" s="1" t="s">
        <v>146</v>
      </c>
      <c r="B32" s="1" t="str">
        <f>VLOOKUP(A32,Xtal_Templ!A:B,2,FALSE)</f>
        <v>acm1_human</v>
      </c>
      <c r="C32" s="5">
        <f>VLOOKUP($B32&amp;"__wt",'SegEnds_Xtal_BW#'!$A:$Z,3,FALSE)</f>
        <v>29</v>
      </c>
      <c r="D32" s="1">
        <f>VLOOKUP($B32&amp;"__wt",'SegEnds_Xtal_BW#'!$A:$Z,4,FALSE)</f>
        <v>60</v>
      </c>
      <c r="E32" s="1">
        <f>VLOOKUP($B32&amp;"__wt",'SegEnds_Xtal_BW#'!$A:$Z,5,FALSE)</f>
        <v>48</v>
      </c>
      <c r="F32" s="1">
        <f>VLOOKUP($B32&amp;"__wt",'SegEnds_Xtal_BW#'!$A:$Z,6,FALSE)</f>
        <v>51</v>
      </c>
      <c r="G32" s="1">
        <v>37</v>
      </c>
      <c r="H32" s="12">
        <f>VLOOKUP($B32&amp;"__wt",'SegEnds_Xtal_BW#'!$A:$Z,8,FALSE)</f>
        <v>68</v>
      </c>
      <c r="I32" s="1">
        <f>VLOOKUP($B32&amp;"__wt",'SegEnds_Xtal_BW#'!$A:$Z,9,FALSE)</f>
        <v>49</v>
      </c>
      <c r="J32" s="1">
        <f>VLOOKUP($B32&amp;"__wt",'SegEnds_Xtal_BW#'!$A:$Z,10,FALSE)</f>
        <v>52</v>
      </c>
      <c r="K32" s="12">
        <v>18</v>
      </c>
      <c r="L32" s="1">
        <f>VLOOKUP($B32&amp;"__wt",'SegEnds_Xtal_BW#'!$A:$Z,12,FALSE)</f>
        <v>56</v>
      </c>
      <c r="M32" s="1">
        <f>VLOOKUP($B32&amp;"__wt",'SegEnds_Xtal_BW#'!$A:$Z,13,FALSE)</f>
        <v>50</v>
      </c>
      <c r="N32" s="12">
        <f>VLOOKUP($B32&amp;"__wt",'SegEnds_Xtal_BW#'!$A:$Z,14,FALSE)</f>
        <v>57</v>
      </c>
      <c r="O32" s="87">
        <f>VLOOKUP($B32&amp;"__wt",'SegEnds_Xtal_BW#'!$A:$Z,15,FALSE)</f>
        <v>38</v>
      </c>
      <c r="P32" s="1">
        <f>VLOOKUP($B32&amp;"__wt",'SegEnds_Xtal_BW#'!$A:$Z,16,FALSE)</f>
        <v>69</v>
      </c>
      <c r="Q32" s="1">
        <f>VLOOKUP($B32&amp;"__wt",'SegEnds_Xtal_BW#'!$A:$Z,17,FALSE)</f>
        <v>50</v>
      </c>
      <c r="R32" s="1">
        <f>VLOOKUP($B32&amp;"__wt",'SegEnds_Xtal_BW#'!$A:$Z,18,FALSE)</f>
        <v>52</v>
      </c>
      <c r="S32" s="1">
        <f>VLOOKUP($B32&amp;"__wt",'SegEnds_Xtal_BW#'!$A:$Z,19,FALSE)</f>
        <v>35</v>
      </c>
      <c r="T32" s="1">
        <f t="array" ref="T32">INDEX(ICL3_classA!$G$2:$G$37,MATCH(MIN(ABS(AI32-ICL3_classA!$F$2:$F$37)),ABS(AI32-ICL3_classA!$F$2:$F$37),0))</f>
        <v>75</v>
      </c>
      <c r="U32" s="1">
        <f t="array" ref="U32">INDEX(ICL3_classA!$H$2:$H$37,MATCH(MIN(ABS(AI32-ICL3_classA!$F$2:$F$37)),ABS(AI32-ICL3_classA!$F$2:$F$37),0))</f>
        <v>24</v>
      </c>
      <c r="V32" s="1">
        <v>61</v>
      </c>
      <c r="W32" s="1">
        <v>31</v>
      </c>
      <c r="X32" s="1">
        <f>VLOOKUP($B32&amp;"__wt",'SegEnds_Xtal_BW#'!$A:$Z,24,FALSE)</f>
        <v>56</v>
      </c>
      <c r="Y32" s="1">
        <f>VLOOKUP($B32&amp;"__wt",'SegEnds_Xtal_BW#'!$A:$Z,25,FALSE)</f>
        <v>47</v>
      </c>
      <c r="Z32" s="1">
        <f>VLOOKUP($B32&amp;"__wt",'SegEnds_Xtal_BW#'!$A:$Z,26,FALSE)</f>
        <v>59</v>
      </c>
      <c r="AA32" s="27" t="str">
        <f>VLOOKUP(A32,Classification!A:B,2,FALSE)</f>
        <v>A</v>
      </c>
      <c r="AB32" s="1">
        <f>VLOOKUP(A32,'SegEnds_NonXtal_Prot#'!A:AL,10,FALSE)-VLOOKUP(A32,'SegEnds_NonXtal_Prot#'!A:AL,4,FALSE)</f>
        <v>28</v>
      </c>
      <c r="AC32" s="1">
        <f>VLOOKUP(A32,'SegEnds_NonXtal_Prot#'!A:AL,10,FALSE)-VLOOKUP(A32,'SegEnds_NonXtal_Prot#'!A:AL,7,FALSE)</f>
        <v>15</v>
      </c>
      <c r="AD32" s="1">
        <f>VLOOKUP(A32,'SegEnds_NonXtal_Prot#'!A:AL,13,FALSE)-VLOOKUP(A32,'SegEnds_NonXtal_Prot#'!A:AL,10,FALSE)</f>
        <v>20</v>
      </c>
      <c r="AE32" s="1">
        <f>VLOOKUP(A32,'SegEnds_NonXtal_Prot#'!A:AL,16,FALSE)-VLOOKUP(A32,'SegEnds_NonXtal_Prot#'!A:AL,10,FALSE)</f>
        <v>52</v>
      </c>
      <c r="AF32" s="1">
        <f>VLOOKUP(A32,'SegEnds_NonXtal_Prot#'!A:AL,22,FALSE)-VLOOKUP(A32,'SegEnds_NonXtal_Prot#'!A:AL,19,FALSE)</f>
        <v>20</v>
      </c>
      <c r="AG32" s="1">
        <f>VLOOKUP(A32,'SegEnds_NonXtal_Prot#'!A:AL,28,FALSE)-VLOOKUP(A32,'SegEnds_NonXtal_Prot#'!A:AL,25,FALSE)</f>
        <v>22</v>
      </c>
      <c r="AH32" s="1">
        <f>VLOOKUP(A32,'SegEnds_NonXtal_Prot#'!A:AL,28,FALSE)-VLOOKUP(A32,'SegEnds_NonXtal_Prot#'!A:AL,22,FALSE)</f>
        <v>50</v>
      </c>
      <c r="AI32" s="1">
        <f>VLOOKUP(A32,'SegEnds_NonXtal_Prot#'!A:AL,31,FALSE)-VLOOKUP(A32,'SegEnds_NonXtal_Prot#'!A:AL,28,FALSE)</f>
        <v>180</v>
      </c>
      <c r="AJ32" s="1">
        <f>VLOOKUP(A32,'SegEnds_NonXtal_Prot#'!A:AL,34,FALSE)-VLOOKUP(A32,'SegEnds_NonXtal_Prot#'!A:AL,31,FALSE)</f>
        <v>35</v>
      </c>
      <c r="AK32" s="1">
        <f>VLOOKUP(A32,'SegEnds_NonXtal_Prot#'!A:AL,37,FALSE)-VLOOKUP(A32,'SegEnds_NonXtal_Prot#'!A:AL,34,FALSE)</f>
        <v>10</v>
      </c>
      <c r="AL32" s="1" t="str">
        <f>IF(ISERROR(MATCH(A32,'SegEnds_Xtal_Prot#'!B:B, 0)), "NoXtal", "Xtal")</f>
        <v>Xtal</v>
      </c>
    </row>
    <row r="33" spans="1:38" x14ac:dyDescent="0.2">
      <c r="A33" s="1" t="s">
        <v>147</v>
      </c>
      <c r="B33" s="1" t="str">
        <f>VLOOKUP(A33,Xtal_Templ!A:B,2,FALSE)</f>
        <v>acm2_human</v>
      </c>
      <c r="C33" s="5">
        <f>VLOOKUP($B33&amp;"__wt",'SegEnds_Xtal_BW#'!$A:$Z,3,FALSE)</f>
        <v>28</v>
      </c>
      <c r="D33" s="1">
        <f>VLOOKUP($B33&amp;"__wt",'SegEnds_Xtal_BW#'!$A:$Z,4,FALSE)</f>
        <v>60</v>
      </c>
      <c r="E33" s="1">
        <f>VLOOKUP($B33&amp;"__wt",'SegEnds_Xtal_BW#'!$A:$Z,5,FALSE)</f>
        <v>48</v>
      </c>
      <c r="F33" s="1">
        <f>VLOOKUP($B33&amp;"__wt",'SegEnds_Xtal_BW#'!$A:$Z,6,FALSE)</f>
        <v>51</v>
      </c>
      <c r="G33" s="1">
        <v>37</v>
      </c>
      <c r="H33" s="12">
        <f>VLOOKUP($B33&amp;"__wt",'SegEnds_Xtal_BW#'!$A:$Z,8,FALSE)</f>
        <v>68</v>
      </c>
      <c r="I33" s="1">
        <f>VLOOKUP($B33&amp;"__wt",'SegEnds_Xtal_BW#'!$A:$Z,9,FALSE)</f>
        <v>49</v>
      </c>
      <c r="J33" s="1">
        <f>VLOOKUP($B33&amp;"__wt",'SegEnds_Xtal_BW#'!$A:$Z,10,FALSE)</f>
        <v>52</v>
      </c>
      <c r="K33" s="12">
        <v>18</v>
      </c>
      <c r="L33" s="1">
        <f>VLOOKUP($B33&amp;"__wt",'SegEnds_Xtal_BW#'!$A:$Z,12,FALSE)</f>
        <v>56</v>
      </c>
      <c r="M33" s="1">
        <f>VLOOKUP($B33&amp;"__wt",'SegEnds_Xtal_BW#'!$A:$Z,13,FALSE)</f>
        <v>50</v>
      </c>
      <c r="N33" s="12">
        <f>VLOOKUP($B33&amp;"__wt",'SegEnds_Xtal_BW#'!$A:$Z,14,FALSE)</f>
        <v>57</v>
      </c>
      <c r="O33" s="87">
        <f>VLOOKUP($B33&amp;"__wt",'SegEnds_Xtal_BW#'!$A:$Z,15,FALSE)</f>
        <v>38</v>
      </c>
      <c r="P33" s="1">
        <f>VLOOKUP($B33&amp;"__wt",'SegEnds_Xtal_BW#'!$A:$Z,16,FALSE)</f>
        <v>69</v>
      </c>
      <c r="Q33" s="1">
        <f>VLOOKUP($B33&amp;"__wt",'SegEnds_Xtal_BW#'!$A:$Z,17,FALSE)</f>
        <v>50</v>
      </c>
      <c r="R33" s="1">
        <f>VLOOKUP($B33&amp;"__wt",'SegEnds_Xtal_BW#'!$A:$Z,18,FALSE)</f>
        <v>52</v>
      </c>
      <c r="S33" s="1">
        <f>VLOOKUP($B33&amp;"__wt",'SegEnds_Xtal_BW#'!$A:$Z,19,FALSE)</f>
        <v>35</v>
      </c>
      <c r="T33" s="1">
        <f t="array" ref="T33">INDEX(ICL3_classA!$G$2:$G$37,MATCH(MIN(ABS(AI33-ICL3_classA!$F$2:$F$37)),ABS(AI33-ICL3_classA!$F$2:$F$37),0))</f>
        <v>75</v>
      </c>
      <c r="U33" s="1">
        <f t="array" ref="U33">INDEX(ICL3_classA!$H$2:$H$37,MATCH(MIN(ABS(AI33-ICL3_classA!$F$2:$F$37)),ABS(AI33-ICL3_classA!$F$2:$F$37),0))</f>
        <v>24</v>
      </c>
      <c r="V33" s="1">
        <v>61</v>
      </c>
      <c r="W33" s="1">
        <v>31</v>
      </c>
      <c r="X33" s="1">
        <f>VLOOKUP($B33&amp;"__wt",'SegEnds_Xtal_BW#'!$A:$Z,24,FALSE)</f>
        <v>56</v>
      </c>
      <c r="Y33" s="1">
        <f>VLOOKUP($B33&amp;"__wt",'SegEnds_Xtal_BW#'!$A:$Z,25,FALSE)</f>
        <v>47</v>
      </c>
      <c r="Z33" s="1">
        <f>VLOOKUP($B33&amp;"__wt",'SegEnds_Xtal_BW#'!$A:$Z,26,FALSE)</f>
        <v>59</v>
      </c>
      <c r="AA33" s="27" t="str">
        <f>VLOOKUP(A33,Classification!A:B,2,FALSE)</f>
        <v>A</v>
      </c>
      <c r="AB33" s="1">
        <f>VLOOKUP(A33,'SegEnds_NonXtal_Prot#'!A:AL,10,FALSE)-VLOOKUP(A33,'SegEnds_NonXtal_Prot#'!A:AL,4,FALSE)</f>
        <v>28</v>
      </c>
      <c r="AC33" s="1">
        <f>VLOOKUP(A33,'SegEnds_NonXtal_Prot#'!A:AL,10,FALSE)-VLOOKUP(A33,'SegEnds_NonXtal_Prot#'!A:AL,7,FALSE)</f>
        <v>15</v>
      </c>
      <c r="AD33" s="1">
        <f>VLOOKUP(A33,'SegEnds_NonXtal_Prot#'!A:AL,13,FALSE)-VLOOKUP(A33,'SegEnds_NonXtal_Prot#'!A:AL,10,FALSE)</f>
        <v>20</v>
      </c>
      <c r="AE33" s="1">
        <f>VLOOKUP(A33,'SegEnds_NonXtal_Prot#'!A:AL,16,FALSE)-VLOOKUP(A33,'SegEnds_NonXtal_Prot#'!A:AL,10,FALSE)</f>
        <v>52</v>
      </c>
      <c r="AF33" s="1">
        <f>VLOOKUP(A33,'SegEnds_NonXtal_Prot#'!A:AL,22,FALSE)-VLOOKUP(A33,'SegEnds_NonXtal_Prot#'!A:AL,19,FALSE)</f>
        <v>20</v>
      </c>
      <c r="AG33" s="1">
        <f>VLOOKUP(A33,'SegEnds_NonXtal_Prot#'!A:AL,28,FALSE)-VLOOKUP(A33,'SegEnds_NonXtal_Prot#'!A:AL,25,FALSE)</f>
        <v>22</v>
      </c>
      <c r="AH33" s="1">
        <f>VLOOKUP(A33,'SegEnds_NonXtal_Prot#'!A:AL,28,FALSE)-VLOOKUP(A33,'SegEnds_NonXtal_Prot#'!A:AL,22,FALSE)</f>
        <v>50</v>
      </c>
      <c r="AI33" s="1">
        <f>VLOOKUP(A33,'SegEnds_NonXtal_Prot#'!A:AL,31,FALSE)-VLOOKUP(A33,'SegEnds_NonXtal_Prot#'!A:AL,28,FALSE)</f>
        <v>204</v>
      </c>
      <c r="AJ33" s="1">
        <f>VLOOKUP(A33,'SegEnds_NonXtal_Prot#'!A:AL,34,FALSE)-VLOOKUP(A33,'SegEnds_NonXtal_Prot#'!A:AL,31,FALSE)</f>
        <v>35</v>
      </c>
      <c r="AK33" s="1">
        <f>VLOOKUP(A33,'SegEnds_NonXtal_Prot#'!A:AL,37,FALSE)-VLOOKUP(A33,'SegEnds_NonXtal_Prot#'!A:AL,34,FALSE)</f>
        <v>10</v>
      </c>
      <c r="AL33" s="1" t="str">
        <f>IF(ISERROR(MATCH(A33,'SegEnds_Xtal_Prot#'!B:B, 0)), "NoXtal", "Xtal")</f>
        <v>Xtal</v>
      </c>
    </row>
    <row r="34" spans="1:38" x14ac:dyDescent="0.2">
      <c r="A34" s="1" t="s">
        <v>148</v>
      </c>
      <c r="B34" s="1" t="str">
        <f>VLOOKUP(A34,Xtal_Templ!A:B,2,FALSE)</f>
        <v>acm3_rat</v>
      </c>
      <c r="C34" s="5">
        <f>VLOOKUP($B34&amp;"__wt",'SegEnds_Xtal_BW#'!$A:$Z,3,FALSE)</f>
        <v>29</v>
      </c>
      <c r="D34" s="1">
        <f>VLOOKUP($B34&amp;"__wt",'SegEnds_Xtal_BW#'!$A:$Z,4,FALSE)</f>
        <v>60</v>
      </c>
      <c r="E34" s="1">
        <f>VLOOKUP($B34&amp;"__wt",'SegEnds_Xtal_BW#'!$A:$Z,5,FALSE)</f>
        <v>48</v>
      </c>
      <c r="F34" s="1">
        <f>VLOOKUP($B34&amp;"__wt",'SegEnds_Xtal_BW#'!$A:$Z,6,FALSE)</f>
        <v>51</v>
      </c>
      <c r="G34" s="1">
        <v>37</v>
      </c>
      <c r="H34" s="12">
        <f>VLOOKUP($B34&amp;"__wt",'SegEnds_Xtal_BW#'!$A:$Z,8,FALSE)</f>
        <v>67</v>
      </c>
      <c r="I34" s="1">
        <f>VLOOKUP($B34&amp;"__wt",'SegEnds_Xtal_BW#'!$A:$Z,9,FALSE)</f>
        <v>49</v>
      </c>
      <c r="J34" s="1">
        <f>VLOOKUP($B34&amp;"__wt",'SegEnds_Xtal_BW#'!$A:$Z,10,FALSE)</f>
        <v>52</v>
      </c>
      <c r="K34" s="12">
        <v>18</v>
      </c>
      <c r="L34" s="1">
        <f>VLOOKUP($B34&amp;"__wt",'SegEnds_Xtal_BW#'!$A:$Z,12,FALSE)</f>
        <v>56</v>
      </c>
      <c r="M34" s="1">
        <f>VLOOKUP($B34&amp;"__wt",'SegEnds_Xtal_BW#'!$A:$Z,13,FALSE)</f>
        <v>50</v>
      </c>
      <c r="N34" s="12">
        <v>57</v>
      </c>
      <c r="O34" s="87">
        <v>38</v>
      </c>
      <c r="P34" s="1">
        <f>VLOOKUP($B34&amp;"__wt",'SegEnds_Xtal_BW#'!$A:$Z,16,FALSE)</f>
        <v>69</v>
      </c>
      <c r="Q34" s="1">
        <f>VLOOKUP($B34&amp;"__wt",'SegEnds_Xtal_BW#'!$A:$Z,17,FALSE)</f>
        <v>50</v>
      </c>
      <c r="R34" s="1">
        <f>VLOOKUP($B34&amp;"__wt",'SegEnds_Xtal_BW#'!$A:$Z,18,FALSE)</f>
        <v>52</v>
      </c>
      <c r="S34" s="1">
        <f>VLOOKUP($B34&amp;"__wt",'SegEnds_Xtal_BW#'!$A:$Z,19,FALSE)</f>
        <v>35</v>
      </c>
      <c r="T34" s="1">
        <f t="array" ref="T34">INDEX(ICL3_classA!$G$2:$G$37,MATCH(MIN(ABS(AI34-ICL3_classA!$F$2:$F$37)),ABS(AI34-ICL3_classA!$F$2:$F$37),0))</f>
        <v>75</v>
      </c>
      <c r="U34" s="1">
        <f t="array" ref="U34">INDEX(ICL3_classA!$H$2:$H$37,MATCH(MIN(ABS(AI34-ICL3_classA!$F$2:$F$37)),ABS(AI34-ICL3_classA!$F$2:$F$37),0))</f>
        <v>24</v>
      </c>
      <c r="V34" s="1">
        <v>61</v>
      </c>
      <c r="W34" s="1">
        <v>31</v>
      </c>
      <c r="X34" s="1">
        <f>VLOOKUP($B34&amp;"__wt",'SegEnds_Xtal_BW#'!$A:$Z,24,FALSE)</f>
        <v>56</v>
      </c>
      <c r="Y34" s="1">
        <f>VLOOKUP($B34&amp;"__wt",'SegEnds_Xtal_BW#'!$A:$Z,25,FALSE)</f>
        <v>47</v>
      </c>
      <c r="Z34" s="1">
        <f>VLOOKUP($B34&amp;"__wt",'SegEnds_Xtal_BW#'!$A:$Z,26,FALSE)</f>
        <v>58</v>
      </c>
      <c r="AA34" s="27" t="str">
        <f>VLOOKUP(A34,Classification!A:B,2,FALSE)</f>
        <v>A</v>
      </c>
      <c r="AB34" s="1">
        <f>VLOOKUP(A34,'SegEnds_NonXtal_Prot#'!A:AL,10,FALSE)-VLOOKUP(A34,'SegEnds_NonXtal_Prot#'!A:AL,4,FALSE)</f>
        <v>28</v>
      </c>
      <c r="AC34" s="1">
        <f>VLOOKUP(A34,'SegEnds_NonXtal_Prot#'!A:AL,10,FALSE)-VLOOKUP(A34,'SegEnds_NonXtal_Prot#'!A:AL,7,FALSE)</f>
        <v>15</v>
      </c>
      <c r="AD34" s="1">
        <f>VLOOKUP(A34,'SegEnds_NonXtal_Prot#'!A:AL,13,FALSE)-VLOOKUP(A34,'SegEnds_NonXtal_Prot#'!A:AL,10,FALSE)</f>
        <v>20</v>
      </c>
      <c r="AE34" s="1">
        <f>VLOOKUP(A34,'SegEnds_NonXtal_Prot#'!A:AL,16,FALSE)-VLOOKUP(A34,'SegEnds_NonXtal_Prot#'!A:AL,10,FALSE)</f>
        <v>52</v>
      </c>
      <c r="AF34" s="1">
        <f>VLOOKUP(A34,'SegEnds_NonXtal_Prot#'!A:AL,22,FALSE)-VLOOKUP(A34,'SegEnds_NonXtal_Prot#'!A:AL,19,FALSE)</f>
        <v>20</v>
      </c>
      <c r="AG34" s="1">
        <f>VLOOKUP(A34,'SegEnds_NonXtal_Prot#'!A:AL,28,FALSE)-VLOOKUP(A34,'SegEnds_NonXtal_Prot#'!A:AL,25,FALSE)</f>
        <v>22</v>
      </c>
      <c r="AH34" s="1">
        <f>VLOOKUP(A34,'SegEnds_NonXtal_Prot#'!A:AL,28,FALSE)-VLOOKUP(A34,'SegEnds_NonXtal_Prot#'!A:AL,22,FALSE)</f>
        <v>50</v>
      </c>
      <c r="AI34" s="1">
        <f>VLOOKUP(A34,'SegEnds_NonXtal_Prot#'!A:AL,31,FALSE)-VLOOKUP(A34,'SegEnds_NonXtal_Prot#'!A:AL,28,FALSE)</f>
        <v>263</v>
      </c>
      <c r="AJ34" s="1">
        <f>VLOOKUP(A34,'SegEnds_NonXtal_Prot#'!A:AL,34,FALSE)-VLOOKUP(A34,'SegEnds_NonXtal_Prot#'!A:AL,31,FALSE)</f>
        <v>35</v>
      </c>
      <c r="AK34" s="1">
        <f>VLOOKUP(A34,'SegEnds_NonXtal_Prot#'!A:AL,37,FALSE)-VLOOKUP(A34,'SegEnds_NonXtal_Prot#'!A:AL,34,FALSE)</f>
        <v>10</v>
      </c>
      <c r="AL34" s="1" t="str">
        <f>IF(ISERROR(MATCH(A34,'SegEnds_Xtal_Prot#'!B:B, 0)), "NoXtal", "Xtal")</f>
        <v>NoXtal</v>
      </c>
    </row>
    <row r="35" spans="1:38" x14ac:dyDescent="0.2">
      <c r="A35" s="4" t="s">
        <v>910</v>
      </c>
      <c r="B35" s="4" t="str">
        <f>VLOOKUP(A35,Xtal_Templ!A:B,2,FALSE)</f>
        <v>acm3_rat</v>
      </c>
      <c r="C35" s="5">
        <f>VLOOKUP($B35&amp;"__wt",'SegEnds_Xtal_BW#'!$A:$Z,3,FALSE)</f>
        <v>29</v>
      </c>
      <c r="D35" s="4">
        <f>VLOOKUP($B35&amp;"__wt",'SegEnds_Xtal_BW#'!$A:$Z,4,FALSE)</f>
        <v>60</v>
      </c>
      <c r="E35" s="4">
        <f>VLOOKUP($B35&amp;"__wt",'SegEnds_Xtal_BW#'!$A:$Z,5,FALSE)</f>
        <v>48</v>
      </c>
      <c r="F35" s="4">
        <f>VLOOKUP($B35&amp;"__wt",'SegEnds_Xtal_BW#'!$A:$Z,6,FALSE)</f>
        <v>51</v>
      </c>
      <c r="G35" s="4">
        <v>37</v>
      </c>
      <c r="H35" s="11">
        <f>VLOOKUP($B35&amp;"__wt",'SegEnds_Xtal_BW#'!$A:$Z,8,FALSE)</f>
        <v>67</v>
      </c>
      <c r="I35" s="4">
        <f>VLOOKUP($B35&amp;"__wt",'SegEnds_Xtal_BW#'!$A:$Z,9,FALSE)</f>
        <v>49</v>
      </c>
      <c r="J35" s="4">
        <f>VLOOKUP($B35&amp;"__wt",'SegEnds_Xtal_BW#'!$A:$Z,10,FALSE)</f>
        <v>52</v>
      </c>
      <c r="K35" s="11">
        <v>18</v>
      </c>
      <c r="L35" s="4">
        <f>VLOOKUP($B35&amp;"__wt",'SegEnds_Xtal_BW#'!$A:$Z,12,FALSE)</f>
        <v>56</v>
      </c>
      <c r="M35" s="4">
        <f>VLOOKUP($B35&amp;"__wt",'SegEnds_Xtal_BW#'!$A:$Z,13,FALSE)</f>
        <v>50</v>
      </c>
      <c r="N35" s="12">
        <f>VLOOKUP($B35&amp;"__wt",'SegEnds_Xtal_BW#'!$A:$Z,14,FALSE)</f>
        <v>57</v>
      </c>
      <c r="O35" s="87">
        <f>VLOOKUP($B35&amp;"__wt",'SegEnds_Xtal_BW#'!$A:$Z,15,FALSE)</f>
        <v>38</v>
      </c>
      <c r="P35" s="4">
        <f>VLOOKUP($B35&amp;"__wt",'SegEnds_Xtal_BW#'!$A:$Z,16,FALSE)</f>
        <v>69</v>
      </c>
      <c r="Q35" s="4">
        <f>VLOOKUP($B35&amp;"__wt",'SegEnds_Xtal_BW#'!$A:$Z,17,FALSE)</f>
        <v>50</v>
      </c>
      <c r="R35" s="4">
        <f>VLOOKUP($B35&amp;"__wt",'SegEnds_Xtal_BW#'!$A:$Z,18,FALSE)</f>
        <v>52</v>
      </c>
      <c r="S35" s="1">
        <f>VLOOKUP($B35&amp;"__wt",'SegEnds_Xtal_BW#'!$A:$Z,19,FALSE)</f>
        <v>35</v>
      </c>
      <c r="T35" s="4">
        <f t="array" ref="T35">INDEX(ICL3_classA!$G$2:$G$37,MATCH(MIN(ABS(AI35-ICL3_classA!$F$2:$F$37)),ABS(AI35-ICL3_classA!$F$2:$F$37),0))</f>
        <v>75</v>
      </c>
      <c r="U35" s="4">
        <f t="array" ref="U35">INDEX(ICL3_classA!$H$2:$H$37,MATCH(MIN(ABS(AI35-ICL3_classA!$F$2:$F$37)),ABS(AI35-ICL3_classA!$F$2:$F$37),0))</f>
        <v>24</v>
      </c>
      <c r="V35" s="4">
        <v>61</v>
      </c>
      <c r="W35" s="4">
        <v>31</v>
      </c>
      <c r="X35" s="4">
        <f>VLOOKUP($B35&amp;"__wt",'SegEnds_Xtal_BW#'!$A:$Z,24,FALSE)</f>
        <v>56</v>
      </c>
      <c r="Y35" s="4">
        <f>VLOOKUP($B35&amp;"__wt",'SegEnds_Xtal_BW#'!$A:$Z,25,FALSE)</f>
        <v>47</v>
      </c>
      <c r="Z35" s="4">
        <f>VLOOKUP($B35&amp;"__wt",'SegEnds_Xtal_BW#'!$A:$Z,26,FALSE)</f>
        <v>58</v>
      </c>
      <c r="AA35" s="27" t="str">
        <f>VLOOKUP(A35,Classification!A:B,2,FALSE)</f>
        <v>A</v>
      </c>
      <c r="AB35" s="1">
        <f>VLOOKUP(A35,'SegEnds_NonXtal_Prot#'!A:AL,10,FALSE)-VLOOKUP(A35,'SegEnds_NonXtal_Prot#'!A:AL,4,FALSE)</f>
        <v>28</v>
      </c>
      <c r="AC35" s="4">
        <f>VLOOKUP(A35,'SegEnds_NonXtal_Prot#'!A:AL,10,FALSE)-VLOOKUP(A35,'SegEnds_NonXtal_Prot#'!A:AL,7,FALSE)</f>
        <v>15</v>
      </c>
      <c r="AD35" s="4">
        <f>VLOOKUP(A35,'SegEnds_NonXtal_Prot#'!A:AL,13,FALSE)-VLOOKUP(A35,'SegEnds_NonXtal_Prot#'!A:AL,10,FALSE)</f>
        <v>20</v>
      </c>
      <c r="AE35" s="4">
        <f>VLOOKUP(A35,'SegEnds_NonXtal_Prot#'!A:AL,16,FALSE)-VLOOKUP(A35,'SegEnds_NonXtal_Prot#'!A:AL,10,FALSE)</f>
        <v>52</v>
      </c>
      <c r="AF35" s="1">
        <f>VLOOKUP(A35,'SegEnds_NonXtal_Prot#'!A:AL,22,FALSE)-VLOOKUP(A35,'SegEnds_NonXtal_Prot#'!A:AL,19,FALSE)</f>
        <v>20</v>
      </c>
      <c r="AG35" s="4">
        <f>VLOOKUP(A35,'SegEnds_NonXtal_Prot#'!A:AL,28,FALSE)-VLOOKUP(A35,'SegEnds_NonXtal_Prot#'!A:AL,25,FALSE)</f>
        <v>22</v>
      </c>
      <c r="AH35" s="1">
        <f>VLOOKUP(A35,'SegEnds_NonXtal_Prot#'!A:AL,28,FALSE)-VLOOKUP(A35,'SegEnds_NonXtal_Prot#'!A:AL,22,FALSE)</f>
        <v>50</v>
      </c>
      <c r="AI35" s="4">
        <f>VLOOKUP(A35,'SegEnds_NonXtal_Prot#'!A:AL,31,FALSE)-VLOOKUP(A35,'SegEnds_NonXtal_Prot#'!A:AL,28,FALSE)</f>
        <v>263</v>
      </c>
      <c r="AJ35" s="4">
        <f>VLOOKUP(A35,'SegEnds_NonXtal_Prot#'!A:AL,34,FALSE)-VLOOKUP(A35,'SegEnds_NonXtal_Prot#'!A:AL,31,FALSE)</f>
        <v>35</v>
      </c>
      <c r="AK35" s="1">
        <f>VLOOKUP(A35,'SegEnds_NonXtal_Prot#'!A:AL,37,FALSE)-VLOOKUP(A35,'SegEnds_NonXtal_Prot#'!A:AL,34,FALSE)</f>
        <v>10</v>
      </c>
      <c r="AL35" s="1" t="str">
        <f>IF(ISERROR(MATCH(A35,'SegEnds_Xtal_Prot#'!B:B, 0)), "NoXtal", "Xtal")</f>
        <v>Xtal</v>
      </c>
    </row>
    <row r="36" spans="1:38" x14ac:dyDescent="0.2">
      <c r="A36" s="1" t="s">
        <v>149</v>
      </c>
      <c r="B36" s="1" t="str">
        <f>VLOOKUP(A36,Xtal_Templ!A:B,2,FALSE)</f>
        <v>acm4_human</v>
      </c>
      <c r="C36" s="5">
        <f>VLOOKUP($B36&amp;"__wt",'SegEnds_Xtal_BW#'!$A:$Z,3,FALSE)</f>
        <v>26</v>
      </c>
      <c r="D36" s="1">
        <f>VLOOKUP($B36&amp;"__wt",'SegEnds_Xtal_BW#'!$A:$Z,4,FALSE)</f>
        <v>60</v>
      </c>
      <c r="E36" s="1">
        <f>VLOOKUP($B36&amp;"__wt",'SegEnds_Xtal_BW#'!$A:$Z,5,FALSE)</f>
        <v>48</v>
      </c>
      <c r="F36" s="1">
        <f>VLOOKUP($B36&amp;"__wt",'SegEnds_Xtal_BW#'!$A:$Z,6,FALSE)</f>
        <v>51</v>
      </c>
      <c r="G36" s="1">
        <v>37</v>
      </c>
      <c r="H36" s="12">
        <f>VLOOKUP($B36&amp;"__wt",'SegEnds_Xtal_BW#'!$A:$Z,8,FALSE)</f>
        <v>67</v>
      </c>
      <c r="I36" s="1">
        <f>VLOOKUP($B36&amp;"__wt",'SegEnds_Xtal_BW#'!$A:$Z,9,FALSE)</f>
        <v>49</v>
      </c>
      <c r="J36" s="1">
        <f>VLOOKUP($B36&amp;"__wt",'SegEnds_Xtal_BW#'!$A:$Z,10,FALSE)</f>
        <v>52</v>
      </c>
      <c r="K36" s="12">
        <v>18</v>
      </c>
      <c r="L36" s="1">
        <f>VLOOKUP($B36&amp;"__wt",'SegEnds_Xtal_BW#'!$A:$Z,12,FALSE)</f>
        <v>56</v>
      </c>
      <c r="M36" s="1">
        <f>VLOOKUP($B36&amp;"__wt",'SegEnds_Xtal_BW#'!$A:$Z,13,FALSE)</f>
        <v>50</v>
      </c>
      <c r="N36" s="12">
        <f>VLOOKUP($B36&amp;"__wt",'SegEnds_Xtal_BW#'!$A:$Z,14,FALSE)</f>
        <v>57</v>
      </c>
      <c r="O36" s="87">
        <f>VLOOKUP($B36&amp;"__wt",'SegEnds_Xtal_BW#'!$A:$Z,15,FALSE)</f>
        <v>38</v>
      </c>
      <c r="P36" s="1">
        <f>VLOOKUP($B36&amp;"__wt",'SegEnds_Xtal_BW#'!$A:$Z,16,FALSE)</f>
        <v>69</v>
      </c>
      <c r="Q36" s="1">
        <f>VLOOKUP($B36&amp;"__wt",'SegEnds_Xtal_BW#'!$A:$Z,17,FALSE)</f>
        <v>50</v>
      </c>
      <c r="R36" s="1">
        <f>VLOOKUP($B36&amp;"__wt",'SegEnds_Xtal_BW#'!$A:$Z,18,FALSE)</f>
        <v>52</v>
      </c>
      <c r="S36" s="1">
        <f>VLOOKUP($B36&amp;"__wt",'SegEnds_Xtal_BW#'!$A:$Z,19,FALSE)</f>
        <v>35</v>
      </c>
      <c r="T36" s="1">
        <f t="array" ref="T36">INDEX(ICL3_classA!$G$2:$G$37,MATCH(MIN(ABS(AI36-ICL3_classA!$F$2:$F$37)),ABS(AI36-ICL3_classA!$F$2:$F$37),0))</f>
        <v>75</v>
      </c>
      <c r="U36" s="1">
        <f t="array" ref="U36">INDEX(ICL3_classA!$H$2:$H$37,MATCH(MIN(ABS(AI36-ICL3_classA!$F$2:$F$37)),ABS(AI36-ICL3_classA!$F$2:$F$37),0))</f>
        <v>24</v>
      </c>
      <c r="V36" s="1">
        <v>61</v>
      </c>
      <c r="W36" s="1">
        <v>31</v>
      </c>
      <c r="X36" s="1">
        <f>VLOOKUP($B36&amp;"__wt",'SegEnds_Xtal_BW#'!$A:$Z,24,FALSE)</f>
        <v>56</v>
      </c>
      <c r="Y36" s="1">
        <f>VLOOKUP($B36&amp;"__wt",'SegEnds_Xtal_BW#'!$A:$Z,25,FALSE)</f>
        <v>47</v>
      </c>
      <c r="Z36" s="1">
        <f>VLOOKUP($B36&amp;"__wt",'SegEnds_Xtal_BW#'!$A:$Z,26,FALSE)</f>
        <v>59</v>
      </c>
      <c r="AA36" s="27" t="str">
        <f>VLOOKUP(A36,Classification!A:B,2,FALSE)</f>
        <v>A</v>
      </c>
      <c r="AB36" s="1">
        <f>VLOOKUP(A36,'SegEnds_NonXtal_Prot#'!A:AL,10,FALSE)-VLOOKUP(A36,'SegEnds_NonXtal_Prot#'!A:AL,4,FALSE)</f>
        <v>28</v>
      </c>
      <c r="AC36" s="1">
        <f>VLOOKUP(A36,'SegEnds_NonXtal_Prot#'!A:AL,10,FALSE)-VLOOKUP(A36,'SegEnds_NonXtal_Prot#'!A:AL,7,FALSE)</f>
        <v>15</v>
      </c>
      <c r="AD36" s="1">
        <f>VLOOKUP(A36,'SegEnds_NonXtal_Prot#'!A:AL,13,FALSE)-VLOOKUP(A36,'SegEnds_NonXtal_Prot#'!A:AL,10,FALSE)</f>
        <v>20</v>
      </c>
      <c r="AE36" s="1">
        <f>VLOOKUP(A36,'SegEnds_NonXtal_Prot#'!A:AL,16,FALSE)-VLOOKUP(A36,'SegEnds_NonXtal_Prot#'!A:AL,10,FALSE)</f>
        <v>52</v>
      </c>
      <c r="AF36" s="1">
        <f>VLOOKUP(A36,'SegEnds_NonXtal_Prot#'!A:AL,22,FALSE)-VLOOKUP(A36,'SegEnds_NonXtal_Prot#'!A:AL,19,FALSE)</f>
        <v>20</v>
      </c>
      <c r="AG36" s="1">
        <f>VLOOKUP(A36,'SegEnds_NonXtal_Prot#'!A:AL,28,FALSE)-VLOOKUP(A36,'SegEnds_NonXtal_Prot#'!A:AL,25,FALSE)</f>
        <v>22</v>
      </c>
      <c r="AH36" s="1">
        <f>VLOOKUP(A36,'SegEnds_NonXtal_Prot#'!A:AL,28,FALSE)-VLOOKUP(A36,'SegEnds_NonXtal_Prot#'!A:AL,22,FALSE)</f>
        <v>50</v>
      </c>
      <c r="AI36" s="1">
        <f>VLOOKUP(A36,'SegEnds_NonXtal_Prot#'!A:AL,31,FALSE)-VLOOKUP(A36,'SegEnds_NonXtal_Prot#'!A:AL,28,FALSE)</f>
        <v>208</v>
      </c>
      <c r="AJ36" s="1">
        <f>VLOOKUP(A36,'SegEnds_NonXtal_Prot#'!A:AL,34,FALSE)-VLOOKUP(A36,'SegEnds_NonXtal_Prot#'!A:AL,31,FALSE)</f>
        <v>35</v>
      </c>
      <c r="AK36" s="1">
        <f>VLOOKUP(A36,'SegEnds_NonXtal_Prot#'!A:AL,37,FALSE)-VLOOKUP(A36,'SegEnds_NonXtal_Prot#'!A:AL,34,FALSE)</f>
        <v>10</v>
      </c>
      <c r="AL36" s="1" t="str">
        <f>IF(ISERROR(MATCH(A36,'SegEnds_Xtal_Prot#'!B:B, 0)), "NoXtal", "Xtal")</f>
        <v>Xtal</v>
      </c>
    </row>
    <row r="37" spans="1:38" x14ac:dyDescent="0.2">
      <c r="A37" s="1" t="s">
        <v>150</v>
      </c>
      <c r="B37" s="1" t="str">
        <f>VLOOKUP(A37,Xtal_Templ!A:B,2,FALSE)</f>
        <v>acm3_rat</v>
      </c>
      <c r="C37" s="5">
        <f>VLOOKUP($B37&amp;"__wt",'SegEnds_Xtal_BW#'!$A:$Z,3,FALSE)</f>
        <v>29</v>
      </c>
      <c r="D37" s="1">
        <f>VLOOKUP($B37&amp;"__wt",'SegEnds_Xtal_BW#'!$A:$Z,4,FALSE)</f>
        <v>60</v>
      </c>
      <c r="E37" s="1">
        <f>VLOOKUP($B37&amp;"__wt",'SegEnds_Xtal_BW#'!$A:$Z,5,FALSE)</f>
        <v>48</v>
      </c>
      <c r="F37" s="1">
        <f>VLOOKUP($B37&amp;"__wt",'SegEnds_Xtal_BW#'!$A:$Z,6,FALSE)</f>
        <v>51</v>
      </c>
      <c r="G37" s="1">
        <v>37</v>
      </c>
      <c r="H37" s="12">
        <f>VLOOKUP($B37&amp;"__wt",'SegEnds_Xtal_BW#'!$A:$Z,8,FALSE)</f>
        <v>67</v>
      </c>
      <c r="I37" s="1">
        <f>VLOOKUP($B37&amp;"__wt",'SegEnds_Xtal_BW#'!$A:$Z,9,FALSE)</f>
        <v>49</v>
      </c>
      <c r="J37" s="1">
        <f>VLOOKUP($B37&amp;"__wt",'SegEnds_Xtal_BW#'!$A:$Z,10,FALSE)</f>
        <v>52</v>
      </c>
      <c r="K37" s="12">
        <v>18</v>
      </c>
      <c r="L37" s="1">
        <f>VLOOKUP($B37&amp;"__wt",'SegEnds_Xtal_BW#'!$A:$Z,12,FALSE)</f>
        <v>56</v>
      </c>
      <c r="M37" s="1">
        <f>VLOOKUP($B37&amp;"__wt",'SegEnds_Xtal_BW#'!$A:$Z,13,FALSE)</f>
        <v>50</v>
      </c>
      <c r="N37" s="12">
        <v>57</v>
      </c>
      <c r="O37" s="87">
        <v>38</v>
      </c>
      <c r="P37" s="1">
        <f>VLOOKUP($B37&amp;"__wt",'SegEnds_Xtal_BW#'!$A:$Z,16,FALSE)</f>
        <v>69</v>
      </c>
      <c r="Q37" s="1">
        <f>VLOOKUP($B37&amp;"__wt",'SegEnds_Xtal_BW#'!$A:$Z,17,FALSE)</f>
        <v>50</v>
      </c>
      <c r="R37" s="1">
        <f>VLOOKUP($B37&amp;"__wt",'SegEnds_Xtal_BW#'!$A:$Z,18,FALSE)</f>
        <v>52</v>
      </c>
      <c r="S37" s="1">
        <f>VLOOKUP($B37&amp;"__wt",'SegEnds_Xtal_BW#'!$A:$Z,19,FALSE)</f>
        <v>35</v>
      </c>
      <c r="T37" s="1">
        <f t="array" ref="T37">INDEX(ICL3_classA!$G$2:$G$37,MATCH(MIN(ABS(AI37-ICL3_classA!$F$2:$F$37)),ABS(AI37-ICL3_classA!$F$2:$F$37),0))</f>
        <v>75</v>
      </c>
      <c r="U37" s="1">
        <f t="array" ref="U37">INDEX(ICL3_classA!$H$2:$H$37,MATCH(MIN(ABS(AI37-ICL3_classA!$F$2:$F$37)),ABS(AI37-ICL3_classA!$F$2:$F$37),0))</f>
        <v>24</v>
      </c>
      <c r="V37" s="1">
        <v>61</v>
      </c>
      <c r="W37" s="1">
        <v>31</v>
      </c>
      <c r="X37" s="1">
        <f>VLOOKUP($B37&amp;"__wt",'SegEnds_Xtal_BW#'!$A:$Z,24,FALSE)</f>
        <v>56</v>
      </c>
      <c r="Y37" s="1">
        <f>VLOOKUP($B37&amp;"__wt",'SegEnds_Xtal_BW#'!$A:$Z,25,FALSE)</f>
        <v>47</v>
      </c>
      <c r="Z37" s="1">
        <f>VLOOKUP($B37&amp;"__wt",'SegEnds_Xtal_BW#'!$A:$Z,26,FALSE)</f>
        <v>58</v>
      </c>
      <c r="AA37" s="27" t="str">
        <f>VLOOKUP(A37,Classification!A:B,2,FALSE)</f>
        <v>A</v>
      </c>
      <c r="AB37" s="1">
        <f>VLOOKUP(A37,'SegEnds_NonXtal_Prot#'!A:AL,10,FALSE)-VLOOKUP(A37,'SegEnds_NonXtal_Prot#'!A:AL,4,FALSE)</f>
        <v>28</v>
      </c>
      <c r="AC37" s="1">
        <f>VLOOKUP(A37,'SegEnds_NonXtal_Prot#'!A:AL,10,FALSE)-VLOOKUP(A37,'SegEnds_NonXtal_Prot#'!A:AL,7,FALSE)</f>
        <v>15</v>
      </c>
      <c r="AD37" s="1">
        <f>VLOOKUP(A37,'SegEnds_NonXtal_Prot#'!A:AL,13,FALSE)-VLOOKUP(A37,'SegEnds_NonXtal_Prot#'!A:AL,10,FALSE)</f>
        <v>20</v>
      </c>
      <c r="AE37" s="1">
        <f>VLOOKUP(A37,'SegEnds_NonXtal_Prot#'!A:AL,16,FALSE)-VLOOKUP(A37,'SegEnds_NonXtal_Prot#'!A:AL,10,FALSE)</f>
        <v>52</v>
      </c>
      <c r="AF37" s="1">
        <f>VLOOKUP(A37,'SegEnds_NonXtal_Prot#'!A:AL,22,FALSE)-VLOOKUP(A37,'SegEnds_NonXtal_Prot#'!A:AL,19,FALSE)</f>
        <v>20</v>
      </c>
      <c r="AG37" s="1">
        <f>VLOOKUP(A37,'SegEnds_NonXtal_Prot#'!A:AL,28,FALSE)-VLOOKUP(A37,'SegEnds_NonXtal_Prot#'!A:AL,25,FALSE)</f>
        <v>22</v>
      </c>
      <c r="AH37" s="1">
        <f>VLOOKUP(A37,'SegEnds_NonXtal_Prot#'!A:AL,28,FALSE)-VLOOKUP(A37,'SegEnds_NonXtal_Prot#'!A:AL,22,FALSE)</f>
        <v>50</v>
      </c>
      <c r="AI37" s="1">
        <f>VLOOKUP(A37,'SegEnds_NonXtal_Prot#'!A:AL,31,FALSE)-VLOOKUP(A37,'SegEnds_NonXtal_Prot#'!A:AL,28,FALSE)</f>
        <v>252</v>
      </c>
      <c r="AJ37" s="1">
        <f>VLOOKUP(A37,'SegEnds_NonXtal_Prot#'!A:AL,34,FALSE)-VLOOKUP(A37,'SegEnds_NonXtal_Prot#'!A:AL,31,FALSE)</f>
        <v>35</v>
      </c>
      <c r="AK37" s="1">
        <f>VLOOKUP(A37,'SegEnds_NonXtal_Prot#'!A:AL,37,FALSE)-VLOOKUP(A37,'SegEnds_NonXtal_Prot#'!A:AL,34,FALSE)</f>
        <v>10</v>
      </c>
      <c r="AL37" s="1" t="str">
        <f>IF(ISERROR(MATCH(A37,'SegEnds_Xtal_Prot#'!B:B, 0)), "NoXtal", "Xtal")</f>
        <v>NoXtal</v>
      </c>
    </row>
    <row r="38" spans="1:38" x14ac:dyDescent="0.2">
      <c r="A38" s="1" t="s">
        <v>125</v>
      </c>
      <c r="B38" s="1" t="str">
        <f>VLOOKUP(A38,Xtal_Templ!A:B,2,FALSE)</f>
        <v>adrb2_human</v>
      </c>
      <c r="C38" s="5">
        <f>VLOOKUP($B38&amp;"__wt",'SegEnds_Xtal_BW#'!$A:$Z,3,FALSE)</f>
        <v>25</v>
      </c>
      <c r="D38" s="1">
        <f>VLOOKUP($B38&amp;"__wt",'SegEnds_Xtal_BW#'!$A:$Z,4,FALSE)</f>
        <v>60</v>
      </c>
      <c r="E38" s="1">
        <f>VLOOKUP($B38&amp;"__wt",'SegEnds_Xtal_BW#'!$A:$Z,5,FALSE)</f>
        <v>48</v>
      </c>
      <c r="F38" s="1">
        <f>VLOOKUP($B38&amp;"__wt",'SegEnds_Xtal_BW#'!$A:$Z,6,FALSE)</f>
        <v>51</v>
      </c>
      <c r="G38" s="1">
        <v>37</v>
      </c>
      <c r="H38" s="12">
        <f>VLOOKUP($B38&amp;"__wt",'SegEnds_Xtal_BW#'!$A:$Z,8,FALSE)</f>
        <v>67</v>
      </c>
      <c r="I38" s="1">
        <f>VLOOKUP($B38&amp;"__wt",'SegEnds_Xtal_BW#'!$A:$Z,9,FALSE)</f>
        <v>49</v>
      </c>
      <c r="J38" s="1">
        <f>VLOOKUP($B38&amp;"__wt",'SegEnds_Xtal_BW#'!$A:$Z,10,FALSE)</f>
        <v>52</v>
      </c>
      <c r="K38" s="12">
        <v>18</v>
      </c>
      <c r="L38" s="1">
        <f>VLOOKUP($B38&amp;"__wt",'SegEnds_Xtal_BW#'!$A:$Z,12,FALSE)</f>
        <v>56</v>
      </c>
      <c r="M38" s="1">
        <f>VLOOKUP($B38&amp;"__wt",'SegEnds_Xtal_BW#'!$A:$Z,13,FALSE)</f>
        <v>50</v>
      </c>
      <c r="N38" s="12">
        <v>57</v>
      </c>
      <c r="O38" s="87">
        <v>38</v>
      </c>
      <c r="P38" s="1">
        <f>VLOOKUP($B38&amp;"__wt",'SegEnds_Xtal_BW#'!$A:$Z,16,FALSE)</f>
        <v>64</v>
      </c>
      <c r="Q38" s="1">
        <f>VLOOKUP($B38&amp;"__wt",'SegEnds_Xtal_BW#'!$A:$Z,17,FALSE)</f>
        <v>50</v>
      </c>
      <c r="R38" s="1">
        <f>VLOOKUP($B38&amp;"__wt",'SegEnds_Xtal_BW#'!$A:$Z,18,FALSE)</f>
        <v>52</v>
      </c>
      <c r="S38" s="1">
        <f>VLOOKUP($B38&amp;"__wt",'SegEnds_Xtal_BW#'!$A:$Z,19,FALSE)</f>
        <v>35</v>
      </c>
      <c r="T38" s="1">
        <f t="array" ref="T38">INDEX(ICL3_classA!$G$2:$G$37,MATCH(MIN(ABS(AI38-ICL3_classA!$F$2:$F$37)),ABS(AI38-ICL3_classA!$F$2:$F$37),0))</f>
        <v>74</v>
      </c>
      <c r="U38" s="1">
        <f t="array" ref="U38">INDEX(ICL3_classA!$H$2:$H$37,MATCH(MIN(ABS(AI38-ICL3_classA!$F$2:$F$37)),ABS(AI38-ICL3_classA!$F$2:$F$37),0))</f>
        <v>24</v>
      </c>
      <c r="V38" s="1">
        <v>61</v>
      </c>
      <c r="W38" s="1">
        <v>31</v>
      </c>
      <c r="X38" s="1">
        <f>VLOOKUP($B38&amp;"__wt",'SegEnds_Xtal_BW#'!$A:$Z,24,FALSE)</f>
        <v>55</v>
      </c>
      <c r="Y38" s="1">
        <f>VLOOKUP($B38&amp;"__wt",'SegEnds_Xtal_BW#'!$A:$Z,25,FALSE)</f>
        <v>47</v>
      </c>
      <c r="Z38" s="1">
        <f>VLOOKUP($B38&amp;"__wt",'SegEnds_Xtal_BW#'!$A:$Z,26,FALSE)</f>
        <v>59</v>
      </c>
      <c r="AA38" s="27" t="str">
        <f>VLOOKUP(A38,Classification!A:B,2,FALSE)</f>
        <v>A</v>
      </c>
      <c r="AB38" s="1">
        <f>VLOOKUP(A38,'SegEnds_NonXtal_Prot#'!A:AL,10,FALSE)-VLOOKUP(A38,'SegEnds_NonXtal_Prot#'!A:AL,4,FALSE)</f>
        <v>28</v>
      </c>
      <c r="AC38" s="1">
        <f>VLOOKUP(A38,'SegEnds_NonXtal_Prot#'!A:AL,10,FALSE)-VLOOKUP(A38,'SegEnds_NonXtal_Prot#'!A:AL,7,FALSE)</f>
        <v>15</v>
      </c>
      <c r="AD38" s="1">
        <f>VLOOKUP(A38,'SegEnds_NonXtal_Prot#'!A:AL,13,FALSE)-VLOOKUP(A38,'SegEnds_NonXtal_Prot#'!A:AL,10,FALSE)</f>
        <v>20</v>
      </c>
      <c r="AE38" s="1">
        <f>VLOOKUP(A38,'SegEnds_NonXtal_Prot#'!A:AL,16,FALSE)-VLOOKUP(A38,'SegEnds_NonXtal_Prot#'!A:AL,10,FALSE)</f>
        <v>52</v>
      </c>
      <c r="AF38" s="1">
        <f>VLOOKUP(A38,'SegEnds_NonXtal_Prot#'!A:AL,22,FALSE)-VLOOKUP(A38,'SegEnds_NonXtal_Prot#'!A:AL,19,FALSE)</f>
        <v>20</v>
      </c>
      <c r="AG38" s="1">
        <f>VLOOKUP(A38,'SegEnds_NonXtal_Prot#'!A:AL,28,FALSE)-VLOOKUP(A38,'SegEnds_NonXtal_Prot#'!A:AL,25,FALSE)</f>
        <v>20</v>
      </c>
      <c r="AH38" s="1">
        <f>VLOOKUP(A38,'SegEnds_NonXtal_Prot#'!A:AL,28,FALSE)-VLOOKUP(A38,'SegEnds_NonXtal_Prot#'!A:AL,22,FALSE)</f>
        <v>53</v>
      </c>
      <c r="AI38" s="1">
        <f>VLOOKUP(A38,'SegEnds_NonXtal_Prot#'!A:AL,31,FALSE)-VLOOKUP(A38,'SegEnds_NonXtal_Prot#'!A:AL,28,FALSE)</f>
        <v>103</v>
      </c>
      <c r="AJ38" s="1">
        <f>VLOOKUP(A38,'SegEnds_NonXtal_Prot#'!A:AL,34,FALSE)-VLOOKUP(A38,'SegEnds_NonXtal_Prot#'!A:AL,31,FALSE)</f>
        <v>35</v>
      </c>
      <c r="AK38" s="1">
        <f>VLOOKUP(A38,'SegEnds_NonXtal_Prot#'!A:AL,37,FALSE)-VLOOKUP(A38,'SegEnds_NonXtal_Prot#'!A:AL,34,FALSE)</f>
        <v>9</v>
      </c>
      <c r="AL38" s="1" t="str">
        <f>IF(ISERROR(MATCH(A38,'SegEnds_Xtal_Prot#'!B:B, 0)), "NoXtal", "Xtal")</f>
        <v>NoXtal</v>
      </c>
    </row>
    <row r="39" spans="1:38" x14ac:dyDescent="0.2">
      <c r="A39" s="1" t="s">
        <v>912</v>
      </c>
      <c r="B39" s="1" t="str">
        <f>VLOOKUP(A39,Xtal_Templ!A:B,2,FALSE)</f>
        <v>adrb1_melga</v>
      </c>
      <c r="C39" s="5">
        <f>VLOOKUP($B39&amp;"__wt",'SegEnds_Xtal_BW#'!$A:$Z,3,FALSE)</f>
        <v>24</v>
      </c>
      <c r="D39" s="1">
        <f>VLOOKUP($B39&amp;"__wt",'SegEnds_Xtal_BW#'!$A:$Z,4,FALSE)</f>
        <v>60</v>
      </c>
      <c r="E39" s="1">
        <f>VLOOKUP($B39&amp;"__wt",'SegEnds_Xtal_BW#'!$A:$Z,5,FALSE)</f>
        <v>48</v>
      </c>
      <c r="F39" s="1">
        <f>VLOOKUP($B39&amp;"__wt",'SegEnds_Xtal_BW#'!$A:$Z,6,FALSE)</f>
        <v>51</v>
      </c>
      <c r="G39" s="1">
        <v>37</v>
      </c>
      <c r="H39" s="12">
        <f>VLOOKUP($B39&amp;"__wt",'SegEnds_Xtal_BW#'!$A:$Z,8,FALSE)</f>
        <v>67</v>
      </c>
      <c r="I39" s="1">
        <f>VLOOKUP($B39&amp;"__wt",'SegEnds_Xtal_BW#'!$A:$Z,9,FALSE)</f>
        <v>49</v>
      </c>
      <c r="J39" s="1">
        <f>VLOOKUP($B39&amp;"__wt",'SegEnds_Xtal_BW#'!$A:$Z,10,FALSE)</f>
        <v>52</v>
      </c>
      <c r="K39" s="12">
        <v>18</v>
      </c>
      <c r="L39" s="1">
        <f>VLOOKUP($B39&amp;"__wt",'SegEnds_Xtal_BW#'!$A:$Z,12,FALSE)</f>
        <v>56</v>
      </c>
      <c r="M39" s="1">
        <f>VLOOKUP($B39&amp;"__wt",'SegEnds_Xtal_BW#'!$A:$Z,13,FALSE)</f>
        <v>50</v>
      </c>
      <c r="N39" s="12">
        <f>VLOOKUP($B39&amp;"__wt",'SegEnds_Xtal_BW#'!$A:$Z,14,FALSE)</f>
        <v>57</v>
      </c>
      <c r="O39" s="87">
        <f>VLOOKUP($B39&amp;"__wt",'SegEnds_Xtal_BW#'!$A:$Z,15,FALSE)</f>
        <v>38</v>
      </c>
      <c r="P39" s="1">
        <f>VLOOKUP($B39&amp;"__wt",'SegEnds_Xtal_BW#'!$A:$Z,16,FALSE)</f>
        <v>64</v>
      </c>
      <c r="Q39" s="1">
        <f>VLOOKUP($B39&amp;"__wt",'SegEnds_Xtal_BW#'!$A:$Z,17,FALSE)</f>
        <v>50</v>
      </c>
      <c r="R39" s="1">
        <f>VLOOKUP($B39&amp;"__wt",'SegEnds_Xtal_BW#'!$A:$Z,18,FALSE)</f>
        <v>52</v>
      </c>
      <c r="S39" s="1">
        <f>VLOOKUP($B39&amp;"__wt",'SegEnds_Xtal_BW#'!$A:$Z,19,FALSE)</f>
        <v>35</v>
      </c>
      <c r="T39" s="1">
        <f t="array" ref="T39">INDEX(ICL3_classA!$G$2:$G$37,MATCH(MIN(ABS(AI39-ICL3_classA!$F$2:$F$37)),ABS(AI39-ICL3_classA!$F$2:$F$37),0))</f>
        <v>76</v>
      </c>
      <c r="U39" s="1">
        <v>20</v>
      </c>
      <c r="V39" s="1">
        <v>61</v>
      </c>
      <c r="W39" s="1">
        <v>31</v>
      </c>
      <c r="X39" s="1">
        <f>VLOOKUP($B39&amp;"__wt",'SegEnds_Xtal_BW#'!$A:$Z,24,FALSE)</f>
        <v>55</v>
      </c>
      <c r="Y39" s="1">
        <f>VLOOKUP($B39&amp;"__wt",'SegEnds_Xtal_BW#'!$A:$Z,25,FALSE)</f>
        <v>47</v>
      </c>
      <c r="Z39" s="1">
        <f>VLOOKUP($B39&amp;"__wt",'SegEnds_Xtal_BW#'!$A:$Z,26,FALSE)</f>
        <v>59</v>
      </c>
      <c r="AA39" s="27" t="str">
        <f>VLOOKUP(A39,Classification!A:B,2,FALSE)</f>
        <v>A</v>
      </c>
      <c r="AB39" s="1">
        <f>VLOOKUP(A39,'SegEnds_NonXtal_Prot#'!A:AL,10,FALSE)-VLOOKUP(A39,'SegEnds_NonXtal_Prot#'!A:AL,4,FALSE)</f>
        <v>28</v>
      </c>
      <c r="AC39" s="1">
        <f>VLOOKUP(A39,'SegEnds_NonXtal_Prot#'!A:AL,10,FALSE)-VLOOKUP(A39,'SegEnds_NonXtal_Prot#'!A:AL,7,FALSE)</f>
        <v>15</v>
      </c>
      <c r="AD39" s="1">
        <f>VLOOKUP(A39,'SegEnds_NonXtal_Prot#'!A:AL,13,FALSE)-VLOOKUP(A39,'SegEnds_NonXtal_Prot#'!A:AL,10,FALSE)</f>
        <v>20</v>
      </c>
      <c r="AE39" s="1">
        <f>VLOOKUP(A39,'SegEnds_NonXtal_Prot#'!A:AL,16,FALSE)-VLOOKUP(A39,'SegEnds_NonXtal_Prot#'!A:AL,10,FALSE)</f>
        <v>52</v>
      </c>
      <c r="AF39" s="1">
        <f>VLOOKUP(A39,'SegEnds_NonXtal_Prot#'!A:AL,22,FALSE)-VLOOKUP(A39,'SegEnds_NonXtal_Prot#'!A:AL,19,FALSE)</f>
        <v>20</v>
      </c>
      <c r="AG39" s="1">
        <f>VLOOKUP(A39,'SegEnds_NonXtal_Prot#'!A:AL,28,FALSE)-VLOOKUP(A39,'SegEnds_NonXtal_Prot#'!A:AL,25,FALSE)</f>
        <v>20</v>
      </c>
      <c r="AH39" s="1">
        <f>VLOOKUP(A39,'SegEnds_NonXtal_Prot#'!A:AL,28,FALSE)-VLOOKUP(A39,'SegEnds_NonXtal_Prot#'!A:AL,22,FALSE)</f>
        <v>53</v>
      </c>
      <c r="AI39" s="1">
        <f>VLOOKUP(A39,'SegEnds_NonXtal_Prot#'!A:AL,31,FALSE)-VLOOKUP(A39,'SegEnds_NonXtal_Prot#'!A:AL,28,FALSE)</f>
        <v>86</v>
      </c>
      <c r="AJ39" s="1">
        <f>VLOOKUP(A39,'SegEnds_NonXtal_Prot#'!A:AL,34,FALSE)-VLOOKUP(A39,'SegEnds_NonXtal_Prot#'!A:AL,31,FALSE)</f>
        <v>35</v>
      </c>
      <c r="AK39" s="1">
        <f>VLOOKUP(A39,'SegEnds_NonXtal_Prot#'!A:AL,37,FALSE)-VLOOKUP(A39,'SegEnds_NonXtal_Prot#'!A:AL,34,FALSE)</f>
        <v>9</v>
      </c>
      <c r="AL39" s="1" t="str">
        <f>IF(ISERROR(MATCH(A39,'SegEnds_Xtal_Prot#'!B:B, 0)), "NoXtal", "Xtal")</f>
        <v>Xtal</v>
      </c>
    </row>
    <row r="40" spans="1:38" x14ac:dyDescent="0.2">
      <c r="A40" s="1" t="s">
        <v>126</v>
      </c>
      <c r="B40" s="1" t="str">
        <f>VLOOKUP(A40,Xtal_Templ!A:B,2,FALSE)</f>
        <v>adrb2_human</v>
      </c>
      <c r="C40" s="5">
        <f>VLOOKUP($B40&amp;"__wt",'SegEnds_Xtal_BW#'!$A:$Z,3,FALSE)</f>
        <v>25</v>
      </c>
      <c r="D40" s="1">
        <f>VLOOKUP($B40&amp;"__wt",'SegEnds_Xtal_BW#'!$A:$Z,4,FALSE)</f>
        <v>60</v>
      </c>
      <c r="E40" s="1">
        <f>VLOOKUP($B40&amp;"__wt",'SegEnds_Xtal_BW#'!$A:$Z,5,FALSE)</f>
        <v>48</v>
      </c>
      <c r="F40" s="1">
        <f>VLOOKUP($B40&amp;"__wt",'SegEnds_Xtal_BW#'!$A:$Z,6,FALSE)</f>
        <v>51</v>
      </c>
      <c r="G40" s="1">
        <v>37</v>
      </c>
      <c r="H40" s="12">
        <f>VLOOKUP($B40&amp;"__wt",'SegEnds_Xtal_BW#'!$A:$Z,8,FALSE)</f>
        <v>67</v>
      </c>
      <c r="I40" s="1">
        <f>VLOOKUP($B40&amp;"__wt",'SegEnds_Xtal_BW#'!$A:$Z,9,FALSE)</f>
        <v>49</v>
      </c>
      <c r="J40" s="1">
        <f>VLOOKUP($B40&amp;"__wt",'SegEnds_Xtal_BW#'!$A:$Z,10,FALSE)</f>
        <v>52</v>
      </c>
      <c r="K40" s="12">
        <v>18</v>
      </c>
      <c r="L40" s="1">
        <f>VLOOKUP($B40&amp;"__wt",'SegEnds_Xtal_BW#'!$A:$Z,12,FALSE)</f>
        <v>56</v>
      </c>
      <c r="M40" s="1">
        <f>VLOOKUP($B40&amp;"__wt",'SegEnds_Xtal_BW#'!$A:$Z,13,FALSE)</f>
        <v>50</v>
      </c>
      <c r="N40" s="12">
        <f>VLOOKUP($B40&amp;"__wt",'SegEnds_Xtal_BW#'!$A:$Z,14,FALSE)</f>
        <v>57</v>
      </c>
      <c r="O40" s="87">
        <f>VLOOKUP($B40&amp;"__wt",'SegEnds_Xtal_BW#'!$A:$Z,15,FALSE)</f>
        <v>38</v>
      </c>
      <c r="P40" s="1">
        <f>VLOOKUP($B40&amp;"__wt",'SegEnds_Xtal_BW#'!$A:$Z,16,FALSE)</f>
        <v>64</v>
      </c>
      <c r="Q40" s="1">
        <f>VLOOKUP($B40&amp;"__wt",'SegEnds_Xtal_BW#'!$A:$Z,17,FALSE)</f>
        <v>50</v>
      </c>
      <c r="R40" s="1">
        <f>VLOOKUP($B40&amp;"__wt",'SegEnds_Xtal_BW#'!$A:$Z,18,FALSE)</f>
        <v>52</v>
      </c>
      <c r="S40" s="1">
        <f>VLOOKUP($B40&amp;"__wt",'SegEnds_Xtal_BW#'!$A:$Z,19,FALSE)</f>
        <v>35</v>
      </c>
      <c r="T40" s="1">
        <f t="array" ref="T40">INDEX(ICL3_classA!$G$2:$G$37,MATCH(MIN(ABS(AI40-ICL3_classA!$F$2:$F$37)),ABS(AI40-ICL3_classA!$F$2:$F$37),0))</f>
        <v>76</v>
      </c>
      <c r="U40" s="1">
        <f t="array" ref="U40">INDEX(ICL3_classA!$H$2:$H$37,MATCH(MIN(ABS(AI40-ICL3_classA!$F$2:$F$37)),ABS(AI40-ICL3_classA!$F$2:$F$37),0))</f>
        <v>24</v>
      </c>
      <c r="V40" s="1">
        <v>61</v>
      </c>
      <c r="W40" s="1">
        <v>31</v>
      </c>
      <c r="X40" s="1">
        <f>VLOOKUP($B40&amp;"__wt",'SegEnds_Xtal_BW#'!$A:$Z,24,FALSE)</f>
        <v>55</v>
      </c>
      <c r="Y40" s="1">
        <f>VLOOKUP($B40&amp;"__wt",'SegEnds_Xtal_BW#'!$A:$Z,25,FALSE)</f>
        <v>47</v>
      </c>
      <c r="Z40" s="1">
        <f>VLOOKUP($B40&amp;"__wt",'SegEnds_Xtal_BW#'!$A:$Z,26,FALSE)</f>
        <v>59</v>
      </c>
      <c r="AA40" s="27" t="str">
        <f>VLOOKUP(A40,Classification!A:B,2,FALSE)</f>
        <v>A</v>
      </c>
      <c r="AB40" s="1">
        <f>VLOOKUP(A40,'SegEnds_NonXtal_Prot#'!A:AL,10,FALSE)-VLOOKUP(A40,'SegEnds_NonXtal_Prot#'!A:AL,4,FALSE)</f>
        <v>28</v>
      </c>
      <c r="AC40" s="1">
        <f>VLOOKUP(A40,'SegEnds_NonXtal_Prot#'!A:AL,10,FALSE)-VLOOKUP(A40,'SegEnds_NonXtal_Prot#'!A:AL,7,FALSE)</f>
        <v>15</v>
      </c>
      <c r="AD40" s="1">
        <f>VLOOKUP(A40,'SegEnds_NonXtal_Prot#'!A:AL,13,FALSE)-VLOOKUP(A40,'SegEnds_NonXtal_Prot#'!A:AL,10,FALSE)</f>
        <v>20</v>
      </c>
      <c r="AE40" s="1">
        <f>VLOOKUP(A40,'SegEnds_NonXtal_Prot#'!A:AL,16,FALSE)-VLOOKUP(A40,'SegEnds_NonXtal_Prot#'!A:AL,10,FALSE)</f>
        <v>52</v>
      </c>
      <c r="AF40" s="1">
        <f>VLOOKUP(A40,'SegEnds_NonXtal_Prot#'!A:AL,22,FALSE)-VLOOKUP(A40,'SegEnds_NonXtal_Prot#'!A:AL,19,FALSE)</f>
        <v>20</v>
      </c>
      <c r="AG40" s="1">
        <f>VLOOKUP(A40,'SegEnds_NonXtal_Prot#'!A:AL,28,FALSE)-VLOOKUP(A40,'SegEnds_NonXtal_Prot#'!A:AL,25,FALSE)</f>
        <v>20</v>
      </c>
      <c r="AH40" s="1">
        <f>VLOOKUP(A40,'SegEnds_NonXtal_Prot#'!A:AL,28,FALSE)-VLOOKUP(A40,'SegEnds_NonXtal_Prot#'!A:AL,22,FALSE)</f>
        <v>53</v>
      </c>
      <c r="AI40" s="1">
        <f>VLOOKUP(A40,'SegEnds_NonXtal_Prot#'!A:AL,31,FALSE)-VLOOKUP(A40,'SegEnds_NonXtal_Prot#'!A:AL,28,FALSE)</f>
        <v>77</v>
      </c>
      <c r="AJ40" s="1">
        <f>VLOOKUP(A40,'SegEnds_NonXtal_Prot#'!A:AL,34,FALSE)-VLOOKUP(A40,'SegEnds_NonXtal_Prot#'!A:AL,31,FALSE)</f>
        <v>35</v>
      </c>
      <c r="AK40" s="1">
        <f>VLOOKUP(A40,'SegEnds_NonXtal_Prot#'!A:AL,37,FALSE)-VLOOKUP(A40,'SegEnds_NonXtal_Prot#'!A:AL,34,FALSE)</f>
        <v>9</v>
      </c>
      <c r="AL40" s="1" t="str">
        <f>IF(ISERROR(MATCH(A40,'SegEnds_Xtal_Prot#'!B:B, 0)), "NoXtal", "Xtal")</f>
        <v>Xtal</v>
      </c>
    </row>
    <row r="41" spans="1:38" x14ac:dyDescent="0.2">
      <c r="A41" s="1" t="s">
        <v>191</v>
      </c>
      <c r="B41" s="1" t="str">
        <f>VLOOKUP(A41,Xtal_Templ!A:B,2,FALSE)</f>
        <v>drd2_human</v>
      </c>
      <c r="C41" s="5">
        <f>VLOOKUP($B41&amp;"__wt",'SegEnds_Xtal_BW#'!$A:$Z,3,FALSE)</f>
        <v>29</v>
      </c>
      <c r="D41" s="1">
        <f>VLOOKUP($B41&amp;"__wt",'SegEnds_Xtal_BW#'!$A:$Z,4,FALSE)</f>
        <v>60</v>
      </c>
      <c r="E41" s="1">
        <f>VLOOKUP($B41&amp;"__wt",'SegEnds_Xtal_BW#'!$A:$Z,5,FALSE)</f>
        <v>48</v>
      </c>
      <c r="F41" s="1">
        <f>VLOOKUP($B41&amp;"__wt",'SegEnds_Xtal_BW#'!$A:$Z,6,FALSE)</f>
        <v>51</v>
      </c>
      <c r="G41" s="1">
        <v>37</v>
      </c>
      <c r="H41" s="12">
        <f>VLOOKUP($B41&amp;"__wt",'SegEnds_Xtal_BW#'!$A:$Z,8,FALSE)</f>
        <v>68</v>
      </c>
      <c r="I41" s="1">
        <f>VLOOKUP($B41&amp;"__wt",'SegEnds_Xtal_BW#'!$A:$Z,9,FALSE)</f>
        <v>49</v>
      </c>
      <c r="J41" s="1">
        <f>VLOOKUP($B41&amp;"__wt",'SegEnds_Xtal_BW#'!$A:$Z,10,FALSE)</f>
        <v>52</v>
      </c>
      <c r="K41" s="12">
        <v>18</v>
      </c>
      <c r="L41" s="1">
        <f>VLOOKUP($B41&amp;"__wt",'SegEnds_Xtal_BW#'!$A:$Z,12,FALSE)</f>
        <v>56</v>
      </c>
      <c r="M41" s="1">
        <f>VLOOKUP($B41&amp;"__wt",'SegEnds_Xtal_BW#'!$A:$Z,13,FALSE)</f>
        <v>50</v>
      </c>
      <c r="N41" s="12">
        <f>VLOOKUP($B41&amp;"__wt",'SegEnds_Xtal_BW#'!$A:$Z,14,FALSE)</f>
        <v>58</v>
      </c>
      <c r="O41" s="87">
        <v>38</v>
      </c>
      <c r="P41" s="1">
        <f>VLOOKUP($B41&amp;"__wt",'SegEnds_Xtal_BW#'!$A:$Z,16,FALSE)</f>
        <v>62</v>
      </c>
      <c r="Q41" s="1">
        <f>VLOOKUP($B41&amp;"__wt",'SegEnds_Xtal_BW#'!$A:$Z,17,FALSE)</f>
        <v>50</v>
      </c>
      <c r="R41" s="1">
        <f>VLOOKUP($B41&amp;"__wt",'SegEnds_Xtal_BW#'!$A:$Z,18,FALSE)</f>
        <v>52</v>
      </c>
      <c r="S41" s="1">
        <f>VLOOKUP($B41&amp;"__wt",'SegEnds_Xtal_BW#'!$A:$Z,19,FALSE)</f>
        <v>35</v>
      </c>
      <c r="T41" s="1">
        <f t="array" ref="T41">INDEX(ICL3_classA!$G$2:$G$37,MATCH(MIN(ABS(AI41-ICL3_classA!$F$2:$F$37)),ABS(AI41-ICL3_classA!$F$2:$F$37),0))</f>
        <v>75</v>
      </c>
      <c r="U41" s="1">
        <f t="array" ref="U41">INDEX(ICL3_classA!$H$2:$H$37,MATCH(MIN(ABS(AI41-ICL3_classA!$F$2:$F$37)),ABS(AI41-ICL3_classA!$F$2:$F$37),0))</f>
        <v>24</v>
      </c>
      <c r="V41" s="1">
        <v>61</v>
      </c>
      <c r="W41" s="1">
        <v>31</v>
      </c>
      <c r="X41" s="1">
        <f>VLOOKUP($B41&amp;"__wt",'SegEnds_Xtal_BW#'!$A:$Z,24,FALSE)</f>
        <v>56</v>
      </c>
      <c r="Y41" s="1">
        <f>VLOOKUP($B41&amp;"__wt",'SegEnds_Xtal_BW#'!$A:$Z,25,FALSE)</f>
        <v>47</v>
      </c>
      <c r="Z41" s="1">
        <f>VLOOKUP($B41&amp;"__wt",'SegEnds_Xtal_BW#'!$A:$Z,26,FALSE)</f>
        <v>59</v>
      </c>
      <c r="AA41" s="27" t="str">
        <f>VLOOKUP(A41,Classification!A:B,2,FALSE)</f>
        <v>A</v>
      </c>
      <c r="AB41" s="1">
        <f>VLOOKUP(A41,'SegEnds_NonXtal_Prot#'!A:AL,10,FALSE)-VLOOKUP(A41,'SegEnds_NonXtal_Prot#'!A:AL,4,FALSE)</f>
        <v>28</v>
      </c>
      <c r="AC41" s="1">
        <f>VLOOKUP(A41,'SegEnds_NonXtal_Prot#'!A:AL,10,FALSE)-VLOOKUP(A41,'SegEnds_NonXtal_Prot#'!A:AL,7,FALSE)</f>
        <v>15</v>
      </c>
      <c r="AD41" s="1">
        <f>VLOOKUP(A41,'SegEnds_NonXtal_Prot#'!A:AL,13,FALSE)-VLOOKUP(A41,'SegEnds_NonXtal_Prot#'!A:AL,10,FALSE)</f>
        <v>20</v>
      </c>
      <c r="AE41" s="1">
        <f>VLOOKUP(A41,'SegEnds_NonXtal_Prot#'!A:AL,16,FALSE)-VLOOKUP(A41,'SegEnds_NonXtal_Prot#'!A:AL,10,FALSE)</f>
        <v>52</v>
      </c>
      <c r="AF41" s="1">
        <f>VLOOKUP(A41,'SegEnds_NonXtal_Prot#'!A:AL,22,FALSE)-VLOOKUP(A41,'SegEnds_NonXtal_Prot#'!A:AL,19,FALSE)</f>
        <v>21</v>
      </c>
      <c r="AG41" s="1">
        <f>VLOOKUP(A41,'SegEnds_NonXtal_Prot#'!A:AL,28,FALSE)-VLOOKUP(A41,'SegEnds_NonXtal_Prot#'!A:AL,25,FALSE)</f>
        <v>19</v>
      </c>
      <c r="AH41" s="1">
        <f>VLOOKUP(A41,'SegEnds_NonXtal_Prot#'!A:AL,28,FALSE)-VLOOKUP(A41,'SegEnds_NonXtal_Prot#'!A:AL,22,FALSE)</f>
        <v>41</v>
      </c>
      <c r="AI41" s="1">
        <f>VLOOKUP(A41,'SegEnds_NonXtal_Prot#'!A:AL,31,FALSE)-VLOOKUP(A41,'SegEnds_NonXtal_Prot#'!A:AL,28,FALSE)</f>
        <v>187</v>
      </c>
      <c r="AJ41" s="1">
        <f>VLOOKUP(A41,'SegEnds_NonXtal_Prot#'!A:AL,34,FALSE)-VLOOKUP(A41,'SegEnds_NonXtal_Prot#'!A:AL,31,FALSE)</f>
        <v>35</v>
      </c>
      <c r="AK41" s="1">
        <f>VLOOKUP(A41,'SegEnds_NonXtal_Prot#'!A:AL,37,FALSE)-VLOOKUP(A41,'SegEnds_NonXtal_Prot#'!A:AL,34,FALSE)</f>
        <v>10</v>
      </c>
      <c r="AL41" s="1" t="str">
        <f>IF(ISERROR(MATCH(A41,'SegEnds_Xtal_Prot#'!B:B, 0)), "NoXtal", "Xtal")</f>
        <v>Xtal</v>
      </c>
    </row>
    <row r="42" spans="1:38" x14ac:dyDescent="0.2">
      <c r="A42" s="1" t="s">
        <v>226</v>
      </c>
      <c r="B42" s="1" t="str">
        <f>VLOOKUP(A42,Xtal_Templ!A:B,2,FALSE)</f>
        <v>par1_human</v>
      </c>
      <c r="C42" s="5">
        <f>VLOOKUP($B42&amp;"__wt",'SegEnds_Xtal_BW#'!$A:$Z,3,FALSE)</f>
        <v>29</v>
      </c>
      <c r="D42" s="1">
        <f>VLOOKUP($B42&amp;"__wt",'SegEnds_Xtal_BW#'!$A:$Z,4,FALSE)</f>
        <v>60</v>
      </c>
      <c r="E42" s="1">
        <f>VLOOKUP($B42&amp;"__wt",'SegEnds_Xtal_BW#'!$A:$Z,5,FALSE)</f>
        <v>48</v>
      </c>
      <c r="F42" s="1">
        <f>VLOOKUP($B42&amp;"__wt",'SegEnds_Xtal_BW#'!$A:$Z,6,FALSE)</f>
        <v>51</v>
      </c>
      <c r="G42" s="1">
        <v>37</v>
      </c>
      <c r="H42" s="12">
        <f>VLOOKUP($B42&amp;"__wt",'SegEnds_Xtal_BW#'!$A:$Z,8,FALSE)</f>
        <v>66</v>
      </c>
      <c r="I42" s="1">
        <f>VLOOKUP($B42&amp;"__wt",'SegEnds_Xtal_BW#'!$A:$Z,9,FALSE)</f>
        <v>49</v>
      </c>
      <c r="J42" s="1">
        <f>VLOOKUP($B42&amp;"__wt",'SegEnds_Xtal_BW#'!$A:$Z,10,FALSE)</f>
        <v>52</v>
      </c>
      <c r="K42" s="12">
        <v>18</v>
      </c>
      <c r="L42" s="1">
        <f>VLOOKUP($B42&amp;"__wt",'SegEnds_Xtal_BW#'!$A:$Z,12,FALSE)</f>
        <v>56</v>
      </c>
      <c r="M42" s="1">
        <f>VLOOKUP($B42&amp;"__wt",'SegEnds_Xtal_BW#'!$A:$Z,13,FALSE)</f>
        <v>50</v>
      </c>
      <c r="N42" s="12">
        <v>57</v>
      </c>
      <c r="O42" s="87">
        <f>VLOOKUP($B42&amp;"__wt",'SegEnds_Xtal_BW#'!$A:$Z,15,FALSE)</f>
        <v>38</v>
      </c>
      <c r="P42" s="1">
        <v>63</v>
      </c>
      <c r="Q42" s="1">
        <f>VLOOKUP($B42&amp;"__wt",'SegEnds_Xtal_BW#'!$A:$Z,17,FALSE)</f>
        <v>50</v>
      </c>
      <c r="R42" s="1">
        <f>VLOOKUP($B42&amp;"__wt",'SegEnds_Xtal_BW#'!$A:$Z,18,FALSE)</f>
        <v>52</v>
      </c>
      <c r="S42" s="1">
        <v>35</v>
      </c>
      <c r="T42" s="1">
        <f t="array" ref="T42">INDEX(ICL3_classA!$G$2:$G$37,MATCH(MIN(ABS(AI42-ICL3_classA!$F$2:$F$37)),ABS(AI42-ICL3_classA!$F$2:$F$37),0))</f>
        <v>73</v>
      </c>
      <c r="U42" s="1">
        <f t="array" ref="U42">INDEX(ICL3_classA!$H$2:$H$37,MATCH(MIN(ABS(AI42-ICL3_classA!$F$2:$F$37)),ABS(AI42-ICL3_classA!$F$2:$F$37),0))</f>
        <v>24</v>
      </c>
      <c r="V42" s="1">
        <v>61</v>
      </c>
      <c r="W42" s="1">
        <v>31</v>
      </c>
      <c r="X42" s="1">
        <f>VLOOKUP($B42&amp;"__wt",'SegEnds_Xtal_BW#'!$A:$Z,24,FALSE)</f>
        <v>56</v>
      </c>
      <c r="Y42" s="1">
        <f>VLOOKUP($B42&amp;"__wt",'SegEnds_Xtal_BW#'!$A:$Z,25,FALSE)</f>
        <v>47</v>
      </c>
      <c r="Z42" s="1">
        <f>VLOOKUP($B42&amp;"__wt",'SegEnds_Xtal_BW#'!$A:$Z,26,FALSE)</f>
        <v>61</v>
      </c>
      <c r="AA42" s="27" t="str">
        <f>VLOOKUP(A42,Classification!A:B,2,FALSE)</f>
        <v>A</v>
      </c>
      <c r="AB42" s="1">
        <f>VLOOKUP(A42,'SegEnds_NonXtal_Prot#'!A:AL,10,FALSE)-VLOOKUP(A42,'SegEnds_NonXtal_Prot#'!A:AL,4,FALSE)</f>
        <v>27</v>
      </c>
      <c r="AC42" s="1" t="e">
        <f>VLOOKUP(A42,'SegEnds_NonXtal_Prot#'!A:AL,10,FALSE)-VLOOKUP(A42,'SegEnds_NonXtal_Prot#'!A:AL,7,FALSE)</f>
        <v>#VALUE!</v>
      </c>
      <c r="AD42" s="1" t="e">
        <f>VLOOKUP(A42,'SegEnds_NonXtal_Prot#'!A:AL,13,FALSE)-VLOOKUP(A42,'SegEnds_NonXtal_Prot#'!A:AL,10,FALSE)</f>
        <v>#VALUE!</v>
      </c>
      <c r="AE42" s="1">
        <f>VLOOKUP(A42,'SegEnds_NonXtal_Prot#'!A:AL,16,FALSE)-VLOOKUP(A42,'SegEnds_NonXtal_Prot#'!A:AL,10,FALSE)</f>
        <v>54</v>
      </c>
      <c r="AF42" s="1" t="e">
        <f>VLOOKUP(A42,'SegEnds_NonXtal_Prot#'!A:AL,22,FALSE)-VLOOKUP(A42,'SegEnds_NonXtal_Prot#'!A:AL,19,FALSE)</f>
        <v>#VALUE!</v>
      </c>
      <c r="AG42" s="1">
        <f>VLOOKUP(A42,'SegEnds_NonXtal_Prot#'!A:AL,28,FALSE)-VLOOKUP(A42,'SegEnds_NonXtal_Prot#'!A:AL,25,FALSE)</f>
        <v>22</v>
      </c>
      <c r="AH42" s="1">
        <f>VLOOKUP(A42,'SegEnds_NonXtal_Prot#'!A:AL,28,FALSE)-VLOOKUP(A42,'SegEnds_NonXtal_Prot#'!A:AL,22,FALSE)</f>
        <v>49</v>
      </c>
      <c r="AI42" s="1">
        <f>VLOOKUP(A42,'SegEnds_NonXtal_Prot#'!A:AL,31,FALSE)-VLOOKUP(A42,'SegEnds_NonXtal_Prot#'!A:AL,28,FALSE)</f>
        <v>58</v>
      </c>
      <c r="AJ42" s="1">
        <f>VLOOKUP(A42,'SegEnds_NonXtal_Prot#'!A:AL,34,FALSE)-VLOOKUP(A42,'SegEnds_NonXtal_Prot#'!A:AL,31,FALSE)</f>
        <v>35</v>
      </c>
      <c r="AK42" s="1">
        <f>VLOOKUP(A42,'SegEnds_NonXtal_Prot#'!A:AL,37,FALSE)-VLOOKUP(A42,'SegEnds_NonXtal_Prot#'!A:AL,34,FALSE)</f>
        <v>10</v>
      </c>
      <c r="AL42" s="1" t="str">
        <f>IF(ISERROR(MATCH(A42,'SegEnds_Xtal_Prot#'!B:B, 0)), "NoXtal", "Xtal")</f>
        <v>NoXtal</v>
      </c>
    </row>
    <row r="43" spans="1:38" x14ac:dyDescent="0.2">
      <c r="A43" s="1" t="s">
        <v>247</v>
      </c>
      <c r="B43" s="1" t="str">
        <f>VLOOKUP(A43,Xtal_Templ!A:B,2,FALSE)</f>
        <v>drd2_human</v>
      </c>
      <c r="C43" s="5">
        <f>VLOOKUP($B43&amp;"__wt",'SegEnds_Xtal_BW#'!$A:$Z,3,FALSE)</f>
        <v>29</v>
      </c>
      <c r="D43" s="1">
        <f>VLOOKUP($B43&amp;"__wt",'SegEnds_Xtal_BW#'!$A:$Z,4,FALSE)</f>
        <v>60</v>
      </c>
      <c r="E43" s="1">
        <f>VLOOKUP($B43&amp;"__wt",'SegEnds_Xtal_BW#'!$A:$Z,5,FALSE)</f>
        <v>48</v>
      </c>
      <c r="F43" s="1">
        <f>VLOOKUP($B43&amp;"__wt",'SegEnds_Xtal_BW#'!$A:$Z,6,FALSE)</f>
        <v>51</v>
      </c>
      <c r="G43" s="1">
        <v>37</v>
      </c>
      <c r="H43" s="12">
        <f>VLOOKUP($B43&amp;"__wt",'SegEnds_Xtal_BW#'!$A:$Z,8,FALSE)</f>
        <v>68</v>
      </c>
      <c r="I43" s="1">
        <f>VLOOKUP($B43&amp;"__wt",'SegEnds_Xtal_BW#'!$A:$Z,9,FALSE)</f>
        <v>49</v>
      </c>
      <c r="J43" s="1">
        <f>VLOOKUP($B43&amp;"__wt",'SegEnds_Xtal_BW#'!$A:$Z,10,FALSE)</f>
        <v>52</v>
      </c>
      <c r="K43" s="12">
        <v>21</v>
      </c>
      <c r="L43" s="1">
        <f>VLOOKUP($B43&amp;"__wt",'SegEnds_Xtal_BW#'!$A:$Z,12,FALSE)</f>
        <v>56</v>
      </c>
      <c r="M43" s="1">
        <f>VLOOKUP($B43&amp;"__wt",'SegEnds_Xtal_BW#'!$A:$Z,13,FALSE)</f>
        <v>50</v>
      </c>
      <c r="N43" s="12">
        <v>57</v>
      </c>
      <c r="O43" s="87">
        <v>38</v>
      </c>
      <c r="P43" s="1">
        <f>VLOOKUP($B43&amp;"__wt",'SegEnds_Xtal_BW#'!$A:$Z,16,FALSE)</f>
        <v>62</v>
      </c>
      <c r="Q43" s="1">
        <f>VLOOKUP($B43&amp;"__wt",'SegEnds_Xtal_BW#'!$A:$Z,17,FALSE)</f>
        <v>50</v>
      </c>
      <c r="R43" s="1">
        <f>VLOOKUP($B43&amp;"__wt",'SegEnds_Xtal_BW#'!$A:$Z,18,FALSE)</f>
        <v>52</v>
      </c>
      <c r="S43" s="1">
        <v>35</v>
      </c>
      <c r="T43" s="1">
        <f t="array" ref="T43">INDEX(ICL3_classA!$G$2:$G$37,MATCH(MIN(ABS(AI43-ICL3_classA!$F$2:$F$37)),ABS(AI43-ICL3_classA!$F$2:$F$37),0))</f>
        <v>76</v>
      </c>
      <c r="U43" s="1">
        <f t="array" ref="U43">INDEX(ICL3_classA!$H$2:$H$37,MATCH(MIN(ABS(AI43-ICL3_classA!$F$2:$F$37)),ABS(AI43-ICL3_classA!$F$2:$F$37),0))</f>
        <v>24</v>
      </c>
      <c r="V43" s="1">
        <v>61</v>
      </c>
      <c r="W43" s="1">
        <v>31</v>
      </c>
      <c r="X43" s="1">
        <f>VLOOKUP($B43&amp;"__wt",'SegEnds_Xtal_BW#'!$A:$Z,24,FALSE)</f>
        <v>56</v>
      </c>
      <c r="Y43" s="1">
        <f>VLOOKUP($B43&amp;"__wt",'SegEnds_Xtal_BW#'!$A:$Z,25,FALSE)</f>
        <v>47</v>
      </c>
      <c r="Z43" s="1">
        <f>VLOOKUP($B43&amp;"__wt",'SegEnds_Xtal_BW#'!$A:$Z,26,FALSE)</f>
        <v>59</v>
      </c>
      <c r="AA43" s="27" t="str">
        <f>VLOOKUP(A43,Classification!A:B,2,FALSE)</f>
        <v>A</v>
      </c>
      <c r="AB43" s="1">
        <f>VLOOKUP(A43,'SegEnds_NonXtal_Prot#'!A:AL,10,FALSE)-VLOOKUP(A43,'SegEnds_NonXtal_Prot#'!A:AL,4,FALSE)</f>
        <v>29</v>
      </c>
      <c r="AC43" s="1">
        <f>VLOOKUP(A43,'SegEnds_NonXtal_Prot#'!A:AL,10,FALSE)-VLOOKUP(A43,'SegEnds_NonXtal_Prot#'!A:AL,7,FALSE)</f>
        <v>16</v>
      </c>
      <c r="AD43" s="1" t="e">
        <f>VLOOKUP(A43,'SegEnds_NonXtal_Prot#'!A:AL,13,FALSE)-VLOOKUP(A43,'SegEnds_NonXtal_Prot#'!A:AL,10,FALSE)</f>
        <v>#VALUE!</v>
      </c>
      <c r="AE43" s="1">
        <f>VLOOKUP(A43,'SegEnds_NonXtal_Prot#'!A:AL,16,FALSE)-VLOOKUP(A43,'SegEnds_NonXtal_Prot#'!A:AL,10,FALSE)</f>
        <v>52</v>
      </c>
      <c r="AF43" s="1">
        <f>VLOOKUP(A43,'SegEnds_NonXtal_Prot#'!A:AL,22,FALSE)-VLOOKUP(A43,'SegEnds_NonXtal_Prot#'!A:AL,19,FALSE)</f>
        <v>20</v>
      </c>
      <c r="AG43" s="1">
        <f>VLOOKUP(A43,'SegEnds_NonXtal_Prot#'!A:AL,28,FALSE)-VLOOKUP(A43,'SegEnds_NonXtal_Prot#'!A:AL,25,FALSE)</f>
        <v>25</v>
      </c>
      <c r="AH43" s="1">
        <f>VLOOKUP(A43,'SegEnds_NonXtal_Prot#'!A:AL,28,FALSE)-VLOOKUP(A43,'SegEnds_NonXtal_Prot#'!A:AL,22,FALSE)</f>
        <v>53</v>
      </c>
      <c r="AI43" s="1">
        <f>VLOOKUP(A43,'SegEnds_NonXtal_Prot#'!A:AL,31,FALSE)-VLOOKUP(A43,'SegEnds_NonXtal_Prot#'!A:AL,28,FALSE)</f>
        <v>72</v>
      </c>
      <c r="AJ43" s="1">
        <f>VLOOKUP(A43,'SegEnds_NonXtal_Prot#'!A:AL,34,FALSE)-VLOOKUP(A43,'SegEnds_NonXtal_Prot#'!A:AL,31,FALSE)</f>
        <v>35</v>
      </c>
      <c r="AK43" s="1">
        <f>VLOOKUP(A43,'SegEnds_NonXtal_Prot#'!A:AL,37,FALSE)-VLOOKUP(A43,'SegEnds_NonXtal_Prot#'!A:AL,34,FALSE)</f>
        <v>10</v>
      </c>
      <c r="AL43" s="1" t="str">
        <f>IF(ISERROR(MATCH(A43,'SegEnds_Xtal_Prot#'!B:B, 0)), "NoXtal", "Xtal")</f>
        <v>NoXtal</v>
      </c>
    </row>
    <row r="44" spans="1:38" x14ac:dyDescent="0.2">
      <c r="A44" s="1" t="s">
        <v>267</v>
      </c>
      <c r="B44" s="1" t="str">
        <f>VLOOKUP(A44,Xtal_Templ!A:B,2,FALSE)</f>
        <v>drd2_human</v>
      </c>
      <c r="C44" s="5">
        <f>VLOOKUP($B44&amp;"__wt",'SegEnds_Xtal_BW#'!$A:$Z,3,FALSE)</f>
        <v>29</v>
      </c>
      <c r="D44" s="1">
        <f>VLOOKUP($B44&amp;"__wt",'SegEnds_Xtal_BW#'!$A:$Z,4,FALSE)</f>
        <v>60</v>
      </c>
      <c r="E44" s="1">
        <f>VLOOKUP($B44&amp;"__wt",'SegEnds_Xtal_BW#'!$A:$Z,5,FALSE)</f>
        <v>48</v>
      </c>
      <c r="F44" s="1">
        <f>VLOOKUP($B44&amp;"__wt",'SegEnds_Xtal_BW#'!$A:$Z,6,FALSE)</f>
        <v>51</v>
      </c>
      <c r="G44" s="1">
        <v>37</v>
      </c>
      <c r="H44" s="12">
        <f>VLOOKUP($B44&amp;"__wt",'SegEnds_Xtal_BW#'!$A:$Z,8,FALSE)</f>
        <v>68</v>
      </c>
      <c r="I44" s="1">
        <f>VLOOKUP($B44&amp;"__wt",'SegEnds_Xtal_BW#'!$A:$Z,9,FALSE)</f>
        <v>49</v>
      </c>
      <c r="J44" s="1">
        <f>VLOOKUP($B44&amp;"__wt",'SegEnds_Xtal_BW#'!$A:$Z,10,FALSE)</f>
        <v>52</v>
      </c>
      <c r="K44" s="12">
        <v>21</v>
      </c>
      <c r="L44" s="1">
        <f>VLOOKUP($B44&amp;"__wt",'SegEnds_Xtal_BW#'!$A:$Z,12,FALSE)</f>
        <v>56</v>
      </c>
      <c r="M44" s="1">
        <f>VLOOKUP($B44&amp;"__wt",'SegEnds_Xtal_BW#'!$A:$Z,13,FALSE)</f>
        <v>50</v>
      </c>
      <c r="N44" s="12">
        <v>57</v>
      </c>
      <c r="O44" s="87">
        <v>38</v>
      </c>
      <c r="P44" s="1">
        <f>VLOOKUP($B44&amp;"__wt",'SegEnds_Xtal_BW#'!$A:$Z,16,FALSE)</f>
        <v>62</v>
      </c>
      <c r="Q44" s="1">
        <f>VLOOKUP($B44&amp;"__wt",'SegEnds_Xtal_BW#'!$A:$Z,17,FALSE)</f>
        <v>50</v>
      </c>
      <c r="R44" s="1">
        <f>VLOOKUP($B44&amp;"__wt",'SegEnds_Xtal_BW#'!$A:$Z,18,FALSE)</f>
        <v>52</v>
      </c>
      <c r="S44" s="1">
        <f>VLOOKUP($B44&amp;"__wt",'SegEnds_Xtal_BW#'!$A:$Z,19,FALSE)</f>
        <v>35</v>
      </c>
      <c r="T44" s="1">
        <f t="array" ref="T44">INDEX(ICL3_classA!$G$2:$G$37,MATCH(MIN(ABS(AI44-ICL3_classA!$F$2:$F$37)),ABS(AI44-ICL3_classA!$F$2:$F$37),0))</f>
        <v>76</v>
      </c>
      <c r="U44" s="1">
        <f t="array" ref="U44">INDEX(ICL3_classA!$H$2:$H$37,MATCH(MIN(ABS(AI44-ICL3_classA!$F$2:$F$37)),ABS(AI44-ICL3_classA!$F$2:$F$37),0))</f>
        <v>24</v>
      </c>
      <c r="V44" s="1">
        <v>61</v>
      </c>
      <c r="W44" s="1">
        <v>31</v>
      </c>
      <c r="X44" s="1">
        <f>VLOOKUP($B44&amp;"__wt",'SegEnds_Xtal_BW#'!$A:$Z,24,FALSE)</f>
        <v>56</v>
      </c>
      <c r="Y44" s="1">
        <f>VLOOKUP($B44&amp;"__wt",'SegEnds_Xtal_BW#'!$A:$Z,25,FALSE)</f>
        <v>47</v>
      </c>
      <c r="Z44" s="1">
        <f>VLOOKUP($B44&amp;"__wt",'SegEnds_Xtal_BW#'!$A:$Z,26,FALSE)</f>
        <v>59</v>
      </c>
      <c r="AA44" s="27" t="str">
        <f>VLOOKUP(A44,Classification!A:B,2,FALSE)</f>
        <v>A</v>
      </c>
      <c r="AB44" s="1">
        <f>VLOOKUP(A44,'SegEnds_NonXtal_Prot#'!A:AL,10,FALSE)-VLOOKUP(A44,'SegEnds_NonXtal_Prot#'!A:AL,4,FALSE)</f>
        <v>29</v>
      </c>
      <c r="AC44" s="1">
        <f>VLOOKUP(A44,'SegEnds_NonXtal_Prot#'!A:AL,10,FALSE)-VLOOKUP(A44,'SegEnds_NonXtal_Prot#'!A:AL,7,FALSE)</f>
        <v>16</v>
      </c>
      <c r="AD44" s="1" t="e">
        <f>VLOOKUP(A44,'SegEnds_NonXtal_Prot#'!A:AL,13,FALSE)-VLOOKUP(A44,'SegEnds_NonXtal_Prot#'!A:AL,10,FALSE)</f>
        <v>#VALUE!</v>
      </c>
      <c r="AE44" s="1">
        <f>VLOOKUP(A44,'SegEnds_NonXtal_Prot#'!A:AL,16,FALSE)-VLOOKUP(A44,'SegEnds_NonXtal_Prot#'!A:AL,10,FALSE)</f>
        <v>52</v>
      </c>
      <c r="AF44" s="1">
        <f>VLOOKUP(A44,'SegEnds_NonXtal_Prot#'!A:AL,22,FALSE)-VLOOKUP(A44,'SegEnds_NonXtal_Prot#'!A:AL,19,FALSE)</f>
        <v>20</v>
      </c>
      <c r="AG44" s="1">
        <f>VLOOKUP(A44,'SegEnds_NonXtal_Prot#'!A:AL,28,FALSE)-VLOOKUP(A44,'SegEnds_NonXtal_Prot#'!A:AL,25,FALSE)</f>
        <v>28</v>
      </c>
      <c r="AH44" s="1">
        <f>VLOOKUP(A44,'SegEnds_NonXtal_Prot#'!A:AL,28,FALSE)-VLOOKUP(A44,'SegEnds_NonXtal_Prot#'!A:AL,22,FALSE)</f>
        <v>53</v>
      </c>
      <c r="AI44" s="1">
        <f>VLOOKUP(A44,'SegEnds_NonXtal_Prot#'!A:AL,31,FALSE)-VLOOKUP(A44,'SegEnds_NonXtal_Prot#'!A:AL,28,FALSE)</f>
        <v>72</v>
      </c>
      <c r="AJ44" s="1">
        <f>VLOOKUP(A44,'SegEnds_NonXtal_Prot#'!A:AL,34,FALSE)-VLOOKUP(A44,'SegEnds_NonXtal_Prot#'!A:AL,31,FALSE)</f>
        <v>35</v>
      </c>
      <c r="AK44" s="1">
        <f>VLOOKUP(A44,'SegEnds_NonXtal_Prot#'!A:AL,37,FALSE)-VLOOKUP(A44,'SegEnds_NonXtal_Prot#'!A:AL,34,FALSE)</f>
        <v>10</v>
      </c>
      <c r="AL44" s="1" t="str">
        <f>IF(ISERROR(MATCH(A44,'SegEnds_Xtal_Prot#'!B:B, 0)), "NoXtal", "Xtal")</f>
        <v>NoXtal</v>
      </c>
    </row>
    <row r="45" spans="1:38" x14ac:dyDescent="0.2">
      <c r="A45" s="1" t="s">
        <v>269</v>
      </c>
      <c r="B45" s="1" t="str">
        <f>VLOOKUP(A45,Xtal_Templ!A:B,2,FALSE)</f>
        <v>ox2r_human</v>
      </c>
      <c r="C45" s="5">
        <f>VLOOKUP($B45&amp;"__wt",'SegEnds_Xtal_BW#'!$A:$Z,3,FALSE)</f>
        <v>31</v>
      </c>
      <c r="D45" s="1">
        <f>VLOOKUP($B45&amp;"__wt",'SegEnds_Xtal_BW#'!$A:$Z,4,FALSE)</f>
        <v>60</v>
      </c>
      <c r="E45" s="1">
        <f>VLOOKUP($B45&amp;"__wt",'SegEnds_Xtal_BW#'!$A:$Z,5,FALSE)</f>
        <v>48</v>
      </c>
      <c r="F45" s="1">
        <f>VLOOKUP($B45&amp;"__wt",'SegEnds_Xtal_BW#'!$A:$Z,6,FALSE)</f>
        <v>51</v>
      </c>
      <c r="G45" s="1">
        <v>37</v>
      </c>
      <c r="H45" s="12">
        <f>VLOOKUP($B45&amp;"__wt",'SegEnds_Xtal_BW#'!$A:$Z,8,FALSE)</f>
        <v>68</v>
      </c>
      <c r="I45" s="1">
        <f>VLOOKUP($B45&amp;"__wt",'SegEnds_Xtal_BW#'!$A:$Z,9,FALSE)</f>
        <v>49</v>
      </c>
      <c r="J45" s="1">
        <f>VLOOKUP($B45&amp;"__wt",'SegEnds_Xtal_BW#'!$A:$Z,10,FALSE)</f>
        <v>52</v>
      </c>
      <c r="K45" s="12">
        <v>18</v>
      </c>
      <c r="L45" s="1">
        <f>VLOOKUP($B45&amp;"__wt",'SegEnds_Xtal_BW#'!$A:$Z,12,FALSE)</f>
        <v>56</v>
      </c>
      <c r="M45" s="1">
        <f>VLOOKUP($B45&amp;"__wt",'SegEnds_Xtal_BW#'!$A:$Z,13,FALSE)</f>
        <v>50</v>
      </c>
      <c r="N45" s="12">
        <v>56</v>
      </c>
      <c r="O45" s="87">
        <f>VLOOKUP($B45&amp;"__wt",'SegEnds_Xtal_BW#'!$A:$Z,15,FALSE)</f>
        <v>38</v>
      </c>
      <c r="P45" s="1">
        <f>VLOOKUP($B45&amp;"__wt",'SegEnds_Xtal_BW#'!$A:$Z,16,FALSE)</f>
        <v>64</v>
      </c>
      <c r="Q45" s="1">
        <f>VLOOKUP($B45&amp;"__wt",'SegEnds_Xtal_BW#'!$A:$Z,17,FALSE)</f>
        <v>50</v>
      </c>
      <c r="R45" s="1">
        <f>VLOOKUP($B45&amp;"__wt",'SegEnds_Xtal_BW#'!$A:$Z,18,FALSE)</f>
        <v>52</v>
      </c>
      <c r="S45" s="1">
        <f>VLOOKUP($B45&amp;"__wt",'SegEnds_Xtal_BW#'!$A:$Z,19,FALSE)</f>
        <v>33</v>
      </c>
      <c r="T45" s="1">
        <f t="array" ref="T45">INDEX(ICL3_classA!$G$2:$G$37,MATCH(MIN(ABS(AI45-ICL3_classA!$F$2:$F$37)),ABS(AI45-ICL3_classA!$F$2:$F$37),0))</f>
        <v>73</v>
      </c>
      <c r="U45" s="1">
        <f t="array" ref="U45">INDEX(ICL3_classA!$H$2:$H$37,MATCH(MIN(ABS(AI45-ICL3_classA!$F$2:$F$37)),ABS(AI45-ICL3_classA!$F$2:$F$37),0))</f>
        <v>22</v>
      </c>
      <c r="V45" s="1">
        <v>61</v>
      </c>
      <c r="W45" s="1">
        <v>31</v>
      </c>
      <c r="X45" s="1">
        <f>VLOOKUP($B45&amp;"__wt",'SegEnds_Xtal_BW#'!$A:$Z,24,FALSE)</f>
        <v>56</v>
      </c>
      <c r="Y45" s="1">
        <f>VLOOKUP($B45&amp;"__wt",'SegEnds_Xtal_BW#'!$A:$Z,25,FALSE)</f>
        <v>47</v>
      </c>
      <c r="Z45" s="1">
        <f>VLOOKUP($B45&amp;"__wt",'SegEnds_Xtal_BW#'!$A:$Z,26,FALSE)</f>
        <v>58</v>
      </c>
      <c r="AA45" s="27" t="str">
        <f>VLOOKUP(A45,Classification!A:B,2,FALSE)</f>
        <v>A</v>
      </c>
      <c r="AB45" s="1">
        <f>VLOOKUP(A45,'SegEnds_NonXtal_Prot#'!A:AL,10,FALSE)-VLOOKUP(A45,'SegEnds_NonXtal_Prot#'!A:AL,4,FALSE)</f>
        <v>28</v>
      </c>
      <c r="AC45" s="1">
        <f>VLOOKUP(A45,'SegEnds_NonXtal_Prot#'!A:AL,10,FALSE)-VLOOKUP(A45,'SegEnds_NonXtal_Prot#'!A:AL,7,FALSE)</f>
        <v>15</v>
      </c>
      <c r="AD45" s="1">
        <f>VLOOKUP(A45,'SegEnds_NonXtal_Prot#'!A:AL,13,FALSE)-VLOOKUP(A45,'SegEnds_NonXtal_Prot#'!A:AL,10,FALSE)</f>
        <v>20</v>
      </c>
      <c r="AE45" s="1">
        <f>VLOOKUP(A45,'SegEnds_NonXtal_Prot#'!A:AL,16,FALSE)-VLOOKUP(A45,'SegEnds_NonXtal_Prot#'!A:AL,10,FALSE)</f>
        <v>52</v>
      </c>
      <c r="AF45" s="1" t="e">
        <f>VLOOKUP(A45,'SegEnds_NonXtal_Prot#'!A:AL,22,FALSE)-VLOOKUP(A45,'SegEnds_NonXtal_Prot#'!A:AL,19,FALSE)</f>
        <v>#VALUE!</v>
      </c>
      <c r="AG45" s="1">
        <f>VLOOKUP(A45,'SegEnds_NonXtal_Prot#'!A:AL,28,FALSE)-VLOOKUP(A45,'SegEnds_NonXtal_Prot#'!A:AL,25,FALSE)</f>
        <v>27</v>
      </c>
      <c r="AH45" s="1">
        <f>VLOOKUP(A45,'SegEnds_NonXtal_Prot#'!A:AL,28,FALSE)-VLOOKUP(A45,'SegEnds_NonXtal_Prot#'!A:AL,22,FALSE)</f>
        <v>57</v>
      </c>
      <c r="AI45" s="1">
        <f>VLOOKUP(A45,'SegEnds_NonXtal_Prot#'!A:AL,31,FALSE)-VLOOKUP(A45,'SegEnds_NonXtal_Prot#'!A:AL,28,FALSE)</f>
        <v>56</v>
      </c>
      <c r="AJ45" s="1">
        <f>VLOOKUP(A45,'SegEnds_NonXtal_Prot#'!A:AL,34,FALSE)-VLOOKUP(A45,'SegEnds_NonXtal_Prot#'!A:AL,31,FALSE)</f>
        <v>35</v>
      </c>
      <c r="AK45" s="1">
        <f>VLOOKUP(A45,'SegEnds_NonXtal_Prot#'!A:AL,37,FALSE)-VLOOKUP(A45,'SegEnds_NonXtal_Prot#'!A:AL,34,FALSE)</f>
        <v>10</v>
      </c>
      <c r="AL45" s="1" t="str">
        <f>IF(ISERROR(MATCH(A45,'SegEnds_Xtal_Prot#'!B:B, 0)), "NoXtal", "Xtal")</f>
        <v>NoXtal</v>
      </c>
    </row>
    <row r="46" spans="1:38" x14ac:dyDescent="0.2">
      <c r="A46" s="1" t="s">
        <v>278</v>
      </c>
      <c r="B46" s="1" t="str">
        <f>VLOOKUP(A46,Xtal_Templ!A:B,2,FALSE)</f>
        <v>hrh1_human</v>
      </c>
      <c r="C46" s="5">
        <f>VLOOKUP($B46&amp;"__wt",'SegEnds_Xtal_BW#'!$A:$Z,3,FALSE)</f>
        <v>34</v>
      </c>
      <c r="D46" s="1">
        <f>VLOOKUP($B46&amp;"__wt",'SegEnds_Xtal_BW#'!$A:$Z,4,FALSE)</f>
        <v>60</v>
      </c>
      <c r="E46" s="1">
        <f>VLOOKUP($B46&amp;"__wt",'SegEnds_Xtal_BW#'!$A:$Z,5,FALSE)</f>
        <v>48</v>
      </c>
      <c r="F46" s="1">
        <f>VLOOKUP($B46&amp;"__wt",'SegEnds_Xtal_BW#'!$A:$Z,6,FALSE)</f>
        <v>51</v>
      </c>
      <c r="G46" s="1">
        <v>37</v>
      </c>
      <c r="H46" s="12">
        <f>VLOOKUP($B46&amp;"__wt",'SegEnds_Xtal_BW#'!$A:$Z,8,FALSE)</f>
        <v>67</v>
      </c>
      <c r="I46" s="1">
        <f>VLOOKUP($B46&amp;"__wt",'SegEnds_Xtal_BW#'!$A:$Z,9,FALSE)</f>
        <v>49</v>
      </c>
      <c r="J46" s="1">
        <f>VLOOKUP($B46&amp;"__wt",'SegEnds_Xtal_BW#'!$A:$Z,10,FALSE)</f>
        <v>52</v>
      </c>
      <c r="K46" s="12">
        <v>18</v>
      </c>
      <c r="L46" s="1">
        <f>VLOOKUP($B46&amp;"__wt",'SegEnds_Xtal_BW#'!$A:$Z,12,FALSE)</f>
        <v>56</v>
      </c>
      <c r="M46" s="1">
        <f>VLOOKUP($B46&amp;"__wt",'SegEnds_Xtal_BW#'!$A:$Z,13,FALSE)</f>
        <v>50</v>
      </c>
      <c r="N46" s="12">
        <f>VLOOKUP($B46&amp;"__wt",'SegEnds_Xtal_BW#'!$A:$Z,14,FALSE)</f>
        <v>57</v>
      </c>
      <c r="O46" s="87">
        <f>VLOOKUP($B46&amp;"__wt",'SegEnds_Xtal_BW#'!$A:$Z,15,FALSE)</f>
        <v>38</v>
      </c>
      <c r="P46" s="1">
        <f>VLOOKUP($B46&amp;"__wt",'SegEnds_Xtal_BW#'!$A:$Z,16,FALSE)</f>
        <v>62</v>
      </c>
      <c r="Q46" s="1">
        <f>VLOOKUP($B46&amp;"__wt",'SegEnds_Xtal_BW#'!$A:$Z,17,FALSE)</f>
        <v>50</v>
      </c>
      <c r="R46" s="1">
        <f>VLOOKUP($B46&amp;"__wt",'SegEnds_Xtal_BW#'!$A:$Z,18,FALSE)</f>
        <v>52</v>
      </c>
      <c r="S46" s="1">
        <v>35</v>
      </c>
      <c r="T46" s="1">
        <f t="array" ref="T46">INDEX(ICL3_classA!$G$2:$G$37,MATCH(MIN(ABS(AI46-ICL3_classA!$F$2:$F$37)),ABS(AI46-ICL3_classA!$F$2:$F$37),0))</f>
        <v>76</v>
      </c>
      <c r="U46" s="1">
        <f t="array" ref="U46">INDEX(ICL3_classA!$H$2:$H$37,MATCH(MIN(ABS(AI46-ICL3_classA!$F$2:$F$37)),ABS(AI46-ICL3_classA!$F$2:$F$37),0))</f>
        <v>24</v>
      </c>
      <c r="V46" s="1">
        <v>61</v>
      </c>
      <c r="W46" s="1">
        <v>31</v>
      </c>
      <c r="X46" s="1">
        <f>VLOOKUP($B46&amp;"__wt",'SegEnds_Xtal_BW#'!$A:$Z,24,FALSE)</f>
        <v>56</v>
      </c>
      <c r="Y46" s="1">
        <f>VLOOKUP($B46&amp;"__wt",'SegEnds_Xtal_BW#'!$A:$Z,25,FALSE)</f>
        <v>47</v>
      </c>
      <c r="Z46" s="1">
        <f>VLOOKUP($B46&amp;"__wt",'SegEnds_Xtal_BW#'!$A:$Z,26,FALSE)</f>
        <v>59</v>
      </c>
      <c r="AA46" s="27" t="str">
        <f>VLOOKUP(A46,Classification!A:B,2,FALSE)</f>
        <v>A</v>
      </c>
      <c r="AB46" s="1">
        <f>VLOOKUP(A46,'SegEnds_NonXtal_Prot#'!A:AL,10,FALSE)-VLOOKUP(A46,'SegEnds_NonXtal_Prot#'!A:AL,4,FALSE)</f>
        <v>28</v>
      </c>
      <c r="AC46" s="1">
        <f>VLOOKUP(A46,'SegEnds_NonXtal_Prot#'!A:AL,10,FALSE)-VLOOKUP(A46,'SegEnds_NonXtal_Prot#'!A:AL,7,FALSE)</f>
        <v>15</v>
      </c>
      <c r="AD46" s="1">
        <f>VLOOKUP(A46,'SegEnds_NonXtal_Prot#'!A:AL,13,FALSE)-VLOOKUP(A46,'SegEnds_NonXtal_Prot#'!A:AL,10,FALSE)</f>
        <v>20</v>
      </c>
      <c r="AE46" s="1">
        <f>VLOOKUP(A46,'SegEnds_NonXtal_Prot#'!A:AL,16,FALSE)-VLOOKUP(A46,'SegEnds_NonXtal_Prot#'!A:AL,10,FALSE)</f>
        <v>52</v>
      </c>
      <c r="AF46" s="1">
        <f>VLOOKUP(A46,'SegEnds_NonXtal_Prot#'!A:AL,22,FALSE)-VLOOKUP(A46,'SegEnds_NonXtal_Prot#'!A:AL,19,FALSE)</f>
        <v>20</v>
      </c>
      <c r="AG46" s="1">
        <f>VLOOKUP(A46,'SegEnds_NonXtal_Prot#'!A:AL,28,FALSE)-VLOOKUP(A46,'SegEnds_NonXtal_Prot#'!A:AL,25,FALSE)</f>
        <v>22</v>
      </c>
      <c r="AH46" s="1">
        <f>VLOOKUP(A46,'SegEnds_NonXtal_Prot#'!A:AL,28,FALSE)-VLOOKUP(A46,'SegEnds_NonXtal_Prot#'!A:AL,22,FALSE)</f>
        <v>50</v>
      </c>
      <c r="AI46" s="1">
        <f>VLOOKUP(A46,'SegEnds_NonXtal_Prot#'!A:AL,31,FALSE)-VLOOKUP(A46,'SegEnds_NonXtal_Prot#'!A:AL,28,FALSE)</f>
        <v>228</v>
      </c>
      <c r="AJ46" s="1">
        <f>VLOOKUP(A46,'SegEnds_NonXtal_Prot#'!A:AL,34,FALSE)-VLOOKUP(A46,'SegEnds_NonXtal_Prot#'!A:AL,31,FALSE)</f>
        <v>35</v>
      </c>
      <c r="AK46" s="1">
        <f>VLOOKUP(A46,'SegEnds_NonXtal_Prot#'!A:AL,37,FALSE)-VLOOKUP(A46,'SegEnds_NonXtal_Prot#'!A:AL,34,FALSE)</f>
        <v>10</v>
      </c>
      <c r="AL46" s="1" t="str">
        <f>IF(ISERROR(MATCH(A46,'SegEnds_Xtal_Prot#'!B:B, 0)), "NoXtal", "Xtal")</f>
        <v>Xtal</v>
      </c>
    </row>
    <row r="47" spans="1:38" x14ac:dyDescent="0.2">
      <c r="A47" s="1" t="s">
        <v>103</v>
      </c>
      <c r="B47" s="1" t="str">
        <f>VLOOKUP(A47,Xtal_Templ!A:B,2,FALSE)</f>
        <v>lpar1_human</v>
      </c>
      <c r="C47" s="5">
        <f>VLOOKUP($B47&amp;"__wt",'SegEnds_Xtal_BW#'!$A:$Z,3,FALSE)</f>
        <v>30</v>
      </c>
      <c r="D47" s="1">
        <f>VLOOKUP($B47&amp;"__wt",'SegEnds_Xtal_BW#'!$A:$Z,4,FALSE)</f>
        <v>60</v>
      </c>
      <c r="E47" s="1">
        <f>VLOOKUP($B47&amp;"__wt",'SegEnds_Xtal_BW#'!$A:$Z,5,FALSE)</f>
        <v>48</v>
      </c>
      <c r="F47" s="1">
        <f>VLOOKUP($B47&amp;"__wt",'SegEnds_Xtal_BW#'!$A:$Z,6,FALSE)</f>
        <v>51</v>
      </c>
      <c r="G47" s="1">
        <v>37</v>
      </c>
      <c r="H47" s="12">
        <v>63</v>
      </c>
      <c r="I47" s="1">
        <f>VLOOKUP($B47&amp;"__wt",'SegEnds_Xtal_BW#'!$A:$Z,9,FALSE)</f>
        <v>47</v>
      </c>
      <c r="J47" s="1">
        <f>VLOOKUP($B47&amp;"__wt",'SegEnds_Xtal_BW#'!$A:$Z,10,FALSE)</f>
        <v>53</v>
      </c>
      <c r="K47" s="12">
        <f>VLOOKUP($B47&amp;"__wt",'SegEnds_Xtal_BW#'!$A:$Z,11,FALSE)</f>
        <v>21</v>
      </c>
      <c r="L47" s="1">
        <f>VLOOKUP($B47&amp;"__wt",'SegEnds_Xtal_BW#'!$A:$Z,12,FALSE)</f>
        <v>56</v>
      </c>
      <c r="M47" s="1">
        <f>VLOOKUP($B47&amp;"__wt",'SegEnds_Xtal_BW#'!$A:$Z,13,FALSE)</f>
        <v>50</v>
      </c>
      <c r="N47" s="12">
        <f>VLOOKUP($B47&amp;"__wt",'SegEnds_Xtal_BW#'!$A:$Z,14,FALSE)</f>
        <v>56</v>
      </c>
      <c r="O47" s="87">
        <f>VLOOKUP($B47&amp;"__wt",'SegEnds_Xtal_BW#'!$A:$Z,15,FALSE)</f>
        <v>38</v>
      </c>
      <c r="P47" s="1">
        <f>VLOOKUP($B47&amp;"__wt",'SegEnds_Xtal_BW#'!$A:$Z,16,FALSE)</f>
        <v>63</v>
      </c>
      <c r="Q47" s="1" t="str">
        <f>VLOOKUP($B47&amp;"__wt",'SegEnds_Xtal_BW#'!$A:$Z,17,FALSE)</f>
        <v>-</v>
      </c>
      <c r="R47" s="1" t="str">
        <f>VLOOKUP($B47&amp;"__wt",'SegEnds_Xtal_BW#'!$A:$Z,18,FALSE)</f>
        <v>-</v>
      </c>
      <c r="S47" s="1">
        <f>VLOOKUP($B47&amp;"__wt",'SegEnds_Xtal_BW#'!$A:$Z,19,FALSE)</f>
        <v>36</v>
      </c>
      <c r="T47" s="1">
        <f t="array" ref="T47">INDEX(ICL3_classA!$G$2:$G$37,MATCH(MIN(ABS(AI47-ICL3_classA!$F$2:$F$37)),ABS(AI47-ICL3_classA!$F$2:$F$37),0))</f>
        <v>73</v>
      </c>
      <c r="U47" s="1">
        <f t="array" ref="U47">INDEX(ICL3_classA!$H$2:$H$37,MATCH(MIN(ABS(AI47-ICL3_classA!$F$2:$F$37)),ABS(AI47-ICL3_classA!$F$2:$F$37),0))</f>
        <v>22</v>
      </c>
      <c r="V47" s="1">
        <v>61</v>
      </c>
      <c r="W47" s="1">
        <v>30</v>
      </c>
      <c r="X47" s="1">
        <f>VLOOKUP($B47&amp;"__wt",'SegEnds_Xtal_BW#'!$A:$Z,24,FALSE)</f>
        <v>56</v>
      </c>
      <c r="Y47" s="1">
        <f>VLOOKUP($B47&amp;"__wt",'SegEnds_Xtal_BW#'!$A:$Z,25,FALSE)</f>
        <v>47</v>
      </c>
      <c r="Z47" s="1">
        <f>VLOOKUP($B47&amp;"__wt",'SegEnds_Xtal_BW#'!$A:$Z,26,FALSE)</f>
        <v>59</v>
      </c>
      <c r="AA47" s="27" t="str">
        <f>VLOOKUP(A47,Classification!A:B,2,FALSE)</f>
        <v>A</v>
      </c>
      <c r="AB47" s="1">
        <f>VLOOKUP(A47,'SegEnds_NonXtal_Prot#'!A:AL,10,FALSE)-VLOOKUP(A47,'SegEnds_NonXtal_Prot#'!A:AL,4,FALSE)</f>
        <v>28</v>
      </c>
      <c r="AC47" s="1">
        <f>VLOOKUP(A47,'SegEnds_NonXtal_Prot#'!A:AL,10,FALSE)-VLOOKUP(A47,'SegEnds_NonXtal_Prot#'!A:AL,7,FALSE)</f>
        <v>15</v>
      </c>
      <c r="AD47" s="1">
        <f>VLOOKUP(A47,'SegEnds_NonXtal_Prot#'!A:AL,13,FALSE)-VLOOKUP(A47,'SegEnds_NonXtal_Prot#'!A:AL,10,FALSE)</f>
        <v>18</v>
      </c>
      <c r="AE47" s="1">
        <f>VLOOKUP(A47,'SegEnds_NonXtal_Prot#'!A:AL,16,FALSE)-VLOOKUP(A47,'SegEnds_NonXtal_Prot#'!A:AL,10,FALSE)</f>
        <v>51</v>
      </c>
      <c r="AF47" s="1">
        <f>VLOOKUP(A47,'SegEnds_NonXtal_Prot#'!A:AL,22,FALSE)-VLOOKUP(A47,'SegEnds_NonXtal_Prot#'!A:AL,19,FALSE)</f>
        <v>19</v>
      </c>
      <c r="AG47" s="1" t="e">
        <f>VLOOKUP(A47,'SegEnds_NonXtal_Prot#'!A:AL,28,FALSE)-VLOOKUP(A47,'SegEnds_NonXtal_Prot#'!A:AL,25,FALSE)</f>
        <v>#VALUE!</v>
      </c>
      <c r="AH47" s="1">
        <f>VLOOKUP(A47,'SegEnds_NonXtal_Prot#'!A:AL,28,FALSE)-VLOOKUP(A47,'SegEnds_NonXtal_Prot#'!A:AL,22,FALSE)</f>
        <v>45</v>
      </c>
      <c r="AI47" s="1">
        <f>VLOOKUP(A47,'SegEnds_NonXtal_Prot#'!A:AL,31,FALSE)-VLOOKUP(A47,'SegEnds_NonXtal_Prot#'!A:AL,28,FALSE)</f>
        <v>56</v>
      </c>
      <c r="AJ47" s="1">
        <f>VLOOKUP(A47,'SegEnds_NonXtal_Prot#'!A:AL,34,FALSE)-VLOOKUP(A47,'SegEnds_NonXtal_Prot#'!A:AL,31,FALSE)</f>
        <v>35</v>
      </c>
      <c r="AK47" s="1">
        <f>VLOOKUP(A47,'SegEnds_NonXtal_Prot#'!A:AL,37,FALSE)-VLOOKUP(A47,'SegEnds_NonXtal_Prot#'!A:AL,34,FALSE)</f>
        <v>10</v>
      </c>
      <c r="AL47" s="1" t="str">
        <f>IF(ISERROR(MATCH(A47,'SegEnds_Xtal_Prot#'!B:B, 0)), "NoXtal", "Xtal")</f>
        <v>Xtal</v>
      </c>
    </row>
    <row r="48" spans="1:38" x14ac:dyDescent="0.2">
      <c r="A48" s="1" t="s">
        <v>366</v>
      </c>
      <c r="B48" s="1" t="str">
        <f>VLOOKUP(A48,Xtal_Templ!A:B,2,FALSE)</f>
        <v>pe2r4_human</v>
      </c>
      <c r="C48" s="5">
        <f>VLOOKUP($B48&amp;"__wt",'SegEnds_Xtal_BW#'!$A:$Z,3,FALSE)</f>
        <v>33</v>
      </c>
      <c r="D48" s="1">
        <f>VLOOKUP($B48&amp;"__wt",'SegEnds_Xtal_BW#'!$A:$Z,4,FALSE)</f>
        <v>58</v>
      </c>
      <c r="E48" s="1" t="str">
        <f>VLOOKUP($B48&amp;"__wt",'SegEnds_Xtal_BW#'!$A:$Z,5,FALSE)</f>
        <v>-</v>
      </c>
      <c r="F48" s="1" t="str">
        <f>VLOOKUP($B48&amp;"__wt",'SegEnds_Xtal_BW#'!$A:$Z,6,FALSE)</f>
        <v>-</v>
      </c>
      <c r="G48" s="1">
        <v>37</v>
      </c>
      <c r="H48" s="12">
        <v>67</v>
      </c>
      <c r="I48" s="1">
        <f>VLOOKUP($B48&amp;"__wt",'SegEnds_Xtal_BW#'!$A:$Z,9,FALSE)</f>
        <v>49</v>
      </c>
      <c r="J48" s="1">
        <f>VLOOKUP($B48&amp;"__wt",'SegEnds_Xtal_BW#'!$A:$Z,10,FALSE)</f>
        <v>52</v>
      </c>
      <c r="K48" s="12">
        <v>18</v>
      </c>
      <c r="L48" s="1">
        <f>VLOOKUP($B48&amp;"__wt",'SegEnds_Xtal_BW#'!$A:$Z,12,FALSE)</f>
        <v>56</v>
      </c>
      <c r="M48" s="1">
        <f>VLOOKUP($B48&amp;"__wt",'SegEnds_Xtal_BW#'!$A:$Z,13,FALSE)</f>
        <v>50</v>
      </c>
      <c r="N48" s="12">
        <v>57</v>
      </c>
      <c r="O48" s="87">
        <f>VLOOKUP($B48&amp;"__wt",'SegEnds_Xtal_BW#'!$A:$Z,15,FALSE)</f>
        <v>38</v>
      </c>
      <c r="P48" s="1">
        <f>VLOOKUP($B48&amp;"__wt",'SegEnds_Xtal_BW#'!$A:$Z,16,FALSE)</f>
        <v>63</v>
      </c>
      <c r="Q48" s="1">
        <f>VLOOKUP($B48&amp;"__wt",'SegEnds_Xtal_BW#'!$A:$Z,17,FALSE)</f>
        <v>50</v>
      </c>
      <c r="R48" s="1">
        <f>VLOOKUP($B48&amp;"__wt",'SegEnds_Xtal_BW#'!$A:$Z,18,FALSE)</f>
        <v>52</v>
      </c>
      <c r="S48" s="1">
        <f>VLOOKUP($B48&amp;"__wt",'SegEnds_Xtal_BW#'!$A:$Z,19,FALSE)</f>
        <v>33</v>
      </c>
      <c r="T48" s="1">
        <f t="array" ref="T48">INDEX(ICL3_classA!$G$2:$G$37,MATCH(MIN(ABS(AI48-ICL3_classA!$F$2:$F$37)),ABS(AI48-ICL3_classA!$F$2:$F$37),0))</f>
        <v>73</v>
      </c>
      <c r="U48" s="1">
        <f t="array" ref="U48">INDEX(ICL3_classA!$H$2:$H$37,MATCH(MIN(ABS(AI48-ICL3_classA!$F$2:$F$37)),ABS(AI48-ICL3_classA!$F$2:$F$37),0))</f>
        <v>22</v>
      </c>
      <c r="V48" s="1">
        <v>61</v>
      </c>
      <c r="W48" s="1">
        <v>31</v>
      </c>
      <c r="X48" s="108">
        <v>56</v>
      </c>
      <c r="Y48" s="1">
        <f>VLOOKUP($B48&amp;"__wt",'SegEnds_Xtal_BW#'!$A:$Z,25,FALSE)</f>
        <v>47</v>
      </c>
      <c r="Z48" s="1">
        <f>VLOOKUP($B48&amp;"__wt",'SegEnds_Xtal_BW#'!$A:$Z,26,FALSE)</f>
        <v>60</v>
      </c>
      <c r="AA48" s="27" t="str">
        <f>VLOOKUP(A48,Classification!A:B,2,FALSE)</f>
        <v>A</v>
      </c>
      <c r="AB48" s="1">
        <f>VLOOKUP(A48,'SegEnds_NonXtal_Prot#'!A:AL,10,FALSE)-VLOOKUP(A48,'SegEnds_NonXtal_Prot#'!A:AL,4,FALSE)</f>
        <v>29</v>
      </c>
      <c r="AC48" s="1" t="e">
        <f>VLOOKUP(A48,'SegEnds_NonXtal_Prot#'!A:AL,10,FALSE)-VLOOKUP(A48,'SegEnds_NonXtal_Prot#'!A:AL,7,FALSE)</f>
        <v>#VALUE!</v>
      </c>
      <c r="AD48" s="1" t="e">
        <f>VLOOKUP(A48,'SegEnds_NonXtal_Prot#'!A:AL,13,FALSE)-VLOOKUP(A48,'SegEnds_NonXtal_Prot#'!A:AL,10,FALSE)</f>
        <v>#VALUE!</v>
      </c>
      <c r="AE48" s="1">
        <f>VLOOKUP(A48,'SegEnds_NonXtal_Prot#'!A:AL,16,FALSE)-VLOOKUP(A48,'SegEnds_NonXtal_Prot#'!A:AL,10,FALSE)</f>
        <v>57</v>
      </c>
      <c r="AF48" s="1">
        <f>VLOOKUP(A48,'SegEnds_NonXtal_Prot#'!A:AL,22,FALSE)-VLOOKUP(A48,'SegEnds_NonXtal_Prot#'!A:AL,19,FALSE)</f>
        <v>20</v>
      </c>
      <c r="AG48" s="1">
        <f>VLOOKUP(A48,'SegEnds_NonXtal_Prot#'!A:AL,28,FALSE)-VLOOKUP(A48,'SegEnds_NonXtal_Prot#'!A:AL,25,FALSE)</f>
        <v>27</v>
      </c>
      <c r="AH48" s="1">
        <f>VLOOKUP(A48,'SegEnds_NonXtal_Prot#'!A:AL,28,FALSE)-VLOOKUP(A48,'SegEnds_NonXtal_Prot#'!A:AL,22,FALSE)</f>
        <v>53</v>
      </c>
      <c r="AI48" s="1">
        <f>VLOOKUP(A48,'SegEnds_NonXtal_Prot#'!A:AL,31,FALSE)-VLOOKUP(A48,'SegEnds_NonXtal_Prot#'!A:AL,28,FALSE)</f>
        <v>57</v>
      </c>
      <c r="AJ48" s="1">
        <f>VLOOKUP(A48,'SegEnds_NonXtal_Prot#'!A:AL,34,FALSE)-VLOOKUP(A48,'SegEnds_NonXtal_Prot#'!A:AL,31,FALSE)</f>
        <v>35</v>
      </c>
      <c r="AK48" s="1">
        <f>VLOOKUP(A48,'SegEnds_NonXtal_Prot#'!A:AL,37,FALSE)-VLOOKUP(A48,'SegEnds_NonXtal_Prot#'!A:AL,34,FALSE)</f>
        <v>10</v>
      </c>
      <c r="AL48" s="1" t="str">
        <f>IF(ISERROR(MATCH(A48,'SegEnds_Xtal_Prot#'!B:B, 0)), "NoXtal", "Xtal")</f>
        <v>NoXtal</v>
      </c>
    </row>
    <row r="49" spans="1:38" x14ac:dyDescent="0.2">
      <c r="A49" s="1" t="s">
        <v>375</v>
      </c>
      <c r="B49" s="1" t="str">
        <f>VLOOKUP(A49,Xtal_Templ!A:B,2,FALSE)</f>
        <v>aa1r_human</v>
      </c>
      <c r="C49" s="5">
        <f>VLOOKUP($B49&amp;"__wt",'SegEnds_Xtal_BW#'!$A:$Z,3,FALSE)</f>
        <v>29</v>
      </c>
      <c r="D49" s="1">
        <f>VLOOKUP($B49&amp;"__wt",'SegEnds_Xtal_BW#'!$A:$Z,4,FALSE)</f>
        <v>60</v>
      </c>
      <c r="E49" s="1">
        <f>VLOOKUP($B49&amp;"__wt",'SegEnds_Xtal_BW#'!$A:$Z,5,FALSE)</f>
        <v>48</v>
      </c>
      <c r="F49" s="1">
        <f>VLOOKUP($B49&amp;"__wt",'SegEnds_Xtal_BW#'!$A:$Z,6,FALSE)</f>
        <v>51</v>
      </c>
      <c r="G49" s="1">
        <v>37</v>
      </c>
      <c r="H49" s="12">
        <f>VLOOKUP($B49&amp;"__wt",'SegEnds_Xtal_BW#'!$A:$Z,8,FALSE)</f>
        <v>67</v>
      </c>
      <c r="I49" s="1">
        <f>VLOOKUP($B49&amp;"__wt",'SegEnds_Xtal_BW#'!$A:$Z,9,FALSE)</f>
        <v>50</v>
      </c>
      <c r="J49" s="1">
        <f>VLOOKUP($B49&amp;"__wt",'SegEnds_Xtal_BW#'!$A:$Z,10,FALSE)</f>
        <v>52</v>
      </c>
      <c r="K49" s="12">
        <v>18</v>
      </c>
      <c r="L49" s="1">
        <f>VLOOKUP($B49&amp;"__wt",'SegEnds_Xtal_BW#'!$A:$Z,12,FALSE)</f>
        <v>56</v>
      </c>
      <c r="M49" s="1">
        <f>VLOOKUP($B49&amp;"__wt",'SegEnds_Xtal_BW#'!$A:$Z,13,FALSE)</f>
        <v>50</v>
      </c>
      <c r="N49" s="108">
        <v>56</v>
      </c>
      <c r="O49" s="87">
        <f>VLOOKUP($B49&amp;"__wt",'SegEnds_Xtal_BW#'!$A:$Z,15,FALSE)</f>
        <v>38</v>
      </c>
      <c r="P49" s="1">
        <f>VLOOKUP($B49&amp;"__wt",'SegEnds_Xtal_BW#'!$A:$Z,16,FALSE)</f>
        <v>63</v>
      </c>
      <c r="Q49" s="1">
        <f>VLOOKUP($B49&amp;"__wt",'SegEnds_Xtal_BW#'!$A:$Z,17,FALSE)</f>
        <v>50</v>
      </c>
      <c r="R49" s="1">
        <f>VLOOKUP($B49&amp;"__wt",'SegEnds_Xtal_BW#'!$A:$Z,18,FALSE)</f>
        <v>52</v>
      </c>
      <c r="S49" s="1">
        <v>35</v>
      </c>
      <c r="T49" s="1">
        <f t="array" ref="T49">INDEX(ICL3_classA!$G$2:$G$37,MATCH(MIN(ABS(AI49-ICL3_classA!$F$2:$F$37)),ABS(AI49-ICL3_classA!$F$2:$F$37),0))</f>
        <v>72</v>
      </c>
      <c r="U49" s="1">
        <f t="array" ref="U49">INDEX(ICL3_classA!$H$2:$H$37,MATCH(MIN(ABS(AI49-ICL3_classA!$F$2:$F$37)),ABS(AI49-ICL3_classA!$F$2:$F$37),0))</f>
        <v>24</v>
      </c>
      <c r="V49" s="1">
        <v>61</v>
      </c>
      <c r="W49" s="1">
        <v>31</v>
      </c>
      <c r="X49" s="1">
        <f>VLOOKUP($B49&amp;"__wt",'SegEnds_Xtal_BW#'!$A:$Z,24,FALSE)</f>
        <v>56</v>
      </c>
      <c r="Y49" s="1">
        <f>VLOOKUP($B49&amp;"__wt",'SegEnds_Xtal_BW#'!$A:$Z,25,FALSE)</f>
        <v>47</v>
      </c>
      <c r="Z49" s="1">
        <f>VLOOKUP($B49&amp;"__wt",'SegEnds_Xtal_BW#'!$A:$Z,26,FALSE)</f>
        <v>69</v>
      </c>
      <c r="AA49" s="27" t="str">
        <f>VLOOKUP(A49,Classification!A:B,2,FALSE)</f>
        <v>A</v>
      </c>
      <c r="AB49" s="1">
        <f>VLOOKUP(A49,'SegEnds_NonXtal_Prot#'!A:AL,10,FALSE)-VLOOKUP(A49,'SegEnds_NonXtal_Prot#'!A:AL,4,FALSE)</f>
        <v>28</v>
      </c>
      <c r="AC49" s="1">
        <f>VLOOKUP(A49,'SegEnds_NonXtal_Prot#'!A:AL,10,FALSE)-VLOOKUP(A49,'SegEnds_NonXtal_Prot#'!A:AL,7,FALSE)</f>
        <v>15</v>
      </c>
      <c r="AD49" s="1" t="e">
        <f>VLOOKUP(A49,'SegEnds_NonXtal_Prot#'!A:AL,13,FALSE)-VLOOKUP(A49,'SegEnds_NonXtal_Prot#'!A:AL,10,FALSE)</f>
        <v>#VALUE!</v>
      </c>
      <c r="AE49" s="1">
        <f>VLOOKUP(A49,'SegEnds_NonXtal_Prot#'!A:AL,16,FALSE)-VLOOKUP(A49,'SegEnds_NonXtal_Prot#'!A:AL,10,FALSE)</f>
        <v>59</v>
      </c>
      <c r="AF49" s="1">
        <f>VLOOKUP(A49,'SegEnds_NonXtal_Prot#'!A:AL,22,FALSE)-VLOOKUP(A49,'SegEnds_NonXtal_Prot#'!A:AL,19,FALSE)</f>
        <v>19</v>
      </c>
      <c r="AG49" s="1">
        <f>VLOOKUP(A49,'SegEnds_NonXtal_Prot#'!A:AL,28,FALSE)-VLOOKUP(A49,'SegEnds_NonXtal_Prot#'!A:AL,25,FALSE)</f>
        <v>28</v>
      </c>
      <c r="AH49" s="1">
        <f>VLOOKUP(A49,'SegEnds_NonXtal_Prot#'!A:AL,28,FALSE)-VLOOKUP(A49,'SegEnds_NonXtal_Prot#'!A:AL,22,FALSE)</f>
        <v>55</v>
      </c>
      <c r="AI49" s="1">
        <f>VLOOKUP(A49,'SegEnds_NonXtal_Prot#'!A:AL,31,FALSE)-VLOOKUP(A49,'SegEnds_NonXtal_Prot#'!A:AL,28,FALSE)</f>
        <v>52</v>
      </c>
      <c r="AJ49" s="1">
        <f>VLOOKUP(A49,'SegEnds_NonXtal_Prot#'!A:AL,34,FALSE)-VLOOKUP(A49,'SegEnds_NonXtal_Prot#'!A:AL,31,FALSE)</f>
        <v>35</v>
      </c>
      <c r="AK49" s="1">
        <f>VLOOKUP(A49,'SegEnds_NonXtal_Prot#'!A:AL,37,FALSE)-VLOOKUP(A49,'SegEnds_NonXtal_Prot#'!A:AL,34,FALSE)</f>
        <v>10</v>
      </c>
      <c r="AL49" s="1" t="str">
        <f>IF(ISERROR(MATCH(A49,'SegEnds_Xtal_Prot#'!B:B, 0)), "NoXtal", "Xtal")</f>
        <v>NoXtal</v>
      </c>
    </row>
    <row r="50" spans="1:38" x14ac:dyDescent="0.2">
      <c r="A50" s="1" t="s">
        <v>376</v>
      </c>
      <c r="B50" s="1" t="str">
        <f>VLOOKUP(A50,Xtal_Templ!A:B,2,FALSE)</f>
        <v>aa1r_human</v>
      </c>
      <c r="C50" s="5">
        <f>VLOOKUP($B50&amp;"__wt",'SegEnds_Xtal_BW#'!$A:$Z,3,FALSE)</f>
        <v>29</v>
      </c>
      <c r="D50" s="1">
        <f>VLOOKUP($B50&amp;"__wt",'SegEnds_Xtal_BW#'!$A:$Z,4,FALSE)</f>
        <v>60</v>
      </c>
      <c r="E50" s="1">
        <f>VLOOKUP($B50&amp;"__wt",'SegEnds_Xtal_BW#'!$A:$Z,5,FALSE)</f>
        <v>48</v>
      </c>
      <c r="F50" s="1">
        <f>VLOOKUP($B50&amp;"__wt",'SegEnds_Xtal_BW#'!$A:$Z,6,FALSE)</f>
        <v>51</v>
      </c>
      <c r="G50" s="1">
        <v>37</v>
      </c>
      <c r="H50" s="12">
        <f>VLOOKUP($B50&amp;"__wt",'SegEnds_Xtal_BW#'!$A:$Z,8,FALSE)</f>
        <v>67</v>
      </c>
      <c r="I50" s="1">
        <f>VLOOKUP($B50&amp;"__wt",'SegEnds_Xtal_BW#'!$A:$Z,9,FALSE)</f>
        <v>50</v>
      </c>
      <c r="J50" s="1">
        <f>VLOOKUP($B50&amp;"__wt",'SegEnds_Xtal_BW#'!$A:$Z,10,FALSE)</f>
        <v>52</v>
      </c>
      <c r="K50" s="12">
        <v>18</v>
      </c>
      <c r="L50" s="1">
        <f>VLOOKUP($B50&amp;"__wt",'SegEnds_Xtal_BW#'!$A:$Z,12,FALSE)</f>
        <v>56</v>
      </c>
      <c r="M50" s="1">
        <f>VLOOKUP($B50&amp;"__wt",'SegEnds_Xtal_BW#'!$A:$Z,13,FALSE)</f>
        <v>50</v>
      </c>
      <c r="N50" s="108">
        <v>56</v>
      </c>
      <c r="O50" s="87">
        <f>VLOOKUP($B50&amp;"__wt",'SegEnds_Xtal_BW#'!$A:$Z,15,FALSE)</f>
        <v>38</v>
      </c>
      <c r="P50" s="1">
        <f>VLOOKUP($B50&amp;"__wt",'SegEnds_Xtal_BW#'!$A:$Z,16,FALSE)</f>
        <v>63</v>
      </c>
      <c r="Q50" s="1">
        <f>VLOOKUP($B50&amp;"__wt",'SegEnds_Xtal_BW#'!$A:$Z,17,FALSE)</f>
        <v>50</v>
      </c>
      <c r="R50" s="1">
        <f>VLOOKUP($B50&amp;"__wt",'SegEnds_Xtal_BW#'!$A:$Z,18,FALSE)</f>
        <v>52</v>
      </c>
      <c r="S50" s="1">
        <v>35</v>
      </c>
      <c r="T50" s="1">
        <f t="array" ref="T50">INDEX(ICL3_classA!$G$2:$G$37,MATCH(MIN(ABS(AI50-ICL3_classA!$F$2:$F$37)),ABS(AI50-ICL3_classA!$F$2:$F$37),0))</f>
        <v>72</v>
      </c>
      <c r="U50" s="1">
        <f t="array" ref="U50">INDEX(ICL3_classA!$H$2:$H$37,MATCH(MIN(ABS(AI50-ICL3_classA!$F$2:$F$37)),ABS(AI50-ICL3_classA!$F$2:$F$37),0))</f>
        <v>24</v>
      </c>
      <c r="V50" s="1">
        <v>61</v>
      </c>
      <c r="W50" s="1">
        <v>31</v>
      </c>
      <c r="X50" s="1">
        <f>VLOOKUP($B50&amp;"__wt",'SegEnds_Xtal_BW#'!$A:$Z,24,FALSE)</f>
        <v>56</v>
      </c>
      <c r="Y50" s="1">
        <f>VLOOKUP($B50&amp;"__wt",'SegEnds_Xtal_BW#'!$A:$Z,25,FALSE)</f>
        <v>47</v>
      </c>
      <c r="Z50" s="1">
        <f>VLOOKUP($B50&amp;"__wt",'SegEnds_Xtal_BW#'!$A:$Z,26,FALSE)</f>
        <v>69</v>
      </c>
      <c r="AA50" s="27" t="str">
        <f>VLOOKUP(A50,Classification!A:B,2,FALSE)</f>
        <v>A</v>
      </c>
      <c r="AB50" s="1">
        <f>VLOOKUP(A50,'SegEnds_NonXtal_Prot#'!A:AL,10,FALSE)-VLOOKUP(A50,'SegEnds_NonXtal_Prot#'!A:AL,4,FALSE)</f>
        <v>28</v>
      </c>
      <c r="AC50" s="1">
        <f>VLOOKUP(A50,'SegEnds_NonXtal_Prot#'!A:AL,10,FALSE)-VLOOKUP(A50,'SegEnds_NonXtal_Prot#'!A:AL,7,FALSE)</f>
        <v>15</v>
      </c>
      <c r="AD50" s="1">
        <f>VLOOKUP(A50,'SegEnds_NonXtal_Prot#'!A:AL,13,FALSE)-VLOOKUP(A50,'SegEnds_NonXtal_Prot#'!A:AL,10,FALSE)</f>
        <v>24</v>
      </c>
      <c r="AE50" s="1">
        <f>VLOOKUP(A50,'SegEnds_NonXtal_Prot#'!A:AL,16,FALSE)-VLOOKUP(A50,'SegEnds_NonXtal_Prot#'!A:AL,10,FALSE)</f>
        <v>59</v>
      </c>
      <c r="AF50" s="1">
        <f>VLOOKUP(A50,'SegEnds_NonXtal_Prot#'!A:AL,22,FALSE)-VLOOKUP(A50,'SegEnds_NonXtal_Prot#'!A:AL,19,FALSE)</f>
        <v>19</v>
      </c>
      <c r="AG50" s="1">
        <f>VLOOKUP(A50,'SegEnds_NonXtal_Prot#'!A:AL,28,FALSE)-VLOOKUP(A50,'SegEnds_NonXtal_Prot#'!A:AL,25,FALSE)</f>
        <v>28</v>
      </c>
      <c r="AH50" s="1">
        <f>VLOOKUP(A50,'SegEnds_NonXtal_Prot#'!A:AL,28,FALSE)-VLOOKUP(A50,'SegEnds_NonXtal_Prot#'!A:AL,22,FALSE)</f>
        <v>55</v>
      </c>
      <c r="AI50" s="1">
        <f>VLOOKUP(A50,'SegEnds_NonXtal_Prot#'!A:AL,31,FALSE)-VLOOKUP(A50,'SegEnds_NonXtal_Prot#'!A:AL,28,FALSE)</f>
        <v>52</v>
      </c>
      <c r="AJ50" s="1">
        <f>VLOOKUP(A50,'SegEnds_NonXtal_Prot#'!A:AL,34,FALSE)-VLOOKUP(A50,'SegEnds_NonXtal_Prot#'!A:AL,31,FALSE)</f>
        <v>35</v>
      </c>
      <c r="AK50" s="1">
        <f>VLOOKUP(A50,'SegEnds_NonXtal_Prot#'!A:AL,37,FALSE)-VLOOKUP(A50,'SegEnds_NonXtal_Prot#'!A:AL,34,FALSE)</f>
        <v>10</v>
      </c>
      <c r="AL50" s="1" t="str">
        <f>IF(ISERROR(MATCH(A50,'SegEnds_Xtal_Prot#'!B:B, 0)), "NoXtal", "Xtal")</f>
        <v>NoXtal</v>
      </c>
    </row>
    <row r="51" spans="1:38" x14ac:dyDescent="0.2">
      <c r="A51" s="1" t="s">
        <v>387</v>
      </c>
      <c r="B51" s="1" t="str">
        <f>VLOOKUP(A51,Xtal_Templ!A:B,2,FALSE)</f>
        <v>drd2_human</v>
      </c>
      <c r="C51" s="5">
        <f>VLOOKUP($B51&amp;"__wt",'SegEnds_Xtal_BW#'!$A:$Z,3,FALSE)</f>
        <v>29</v>
      </c>
      <c r="D51" s="1">
        <f>VLOOKUP($B51&amp;"__wt",'SegEnds_Xtal_BW#'!$A:$Z,4,FALSE)</f>
        <v>60</v>
      </c>
      <c r="E51" s="1">
        <f>VLOOKUP($B51&amp;"__wt",'SegEnds_Xtal_BW#'!$A:$Z,5,FALSE)</f>
        <v>48</v>
      </c>
      <c r="F51" s="1">
        <f>VLOOKUP($B51&amp;"__wt",'SegEnds_Xtal_BW#'!$A:$Z,6,FALSE)</f>
        <v>51</v>
      </c>
      <c r="G51" s="1">
        <v>37</v>
      </c>
      <c r="H51" s="12">
        <f>VLOOKUP($B51&amp;"__wt",'SegEnds_Xtal_BW#'!$A:$Z,8,FALSE)</f>
        <v>68</v>
      </c>
      <c r="I51" s="1">
        <f>VLOOKUP($B51&amp;"__wt",'SegEnds_Xtal_BW#'!$A:$Z,9,FALSE)</f>
        <v>49</v>
      </c>
      <c r="J51" s="1">
        <f>VLOOKUP($B51&amp;"__wt",'SegEnds_Xtal_BW#'!$A:$Z,10,FALSE)</f>
        <v>52</v>
      </c>
      <c r="K51" s="12">
        <v>18</v>
      </c>
      <c r="L51" s="1">
        <f>VLOOKUP($B51&amp;"__wt",'SegEnds_Xtal_BW#'!$A:$Z,12,FALSE)</f>
        <v>56</v>
      </c>
      <c r="M51" s="1">
        <f>VLOOKUP($B51&amp;"__wt",'SegEnds_Xtal_BW#'!$A:$Z,13,FALSE)</f>
        <v>50</v>
      </c>
      <c r="N51" s="12">
        <v>57</v>
      </c>
      <c r="O51" s="87">
        <v>38</v>
      </c>
      <c r="P51" s="1">
        <f>VLOOKUP($B51&amp;"__wt",'SegEnds_Xtal_BW#'!$A:$Z,16,FALSE)</f>
        <v>62</v>
      </c>
      <c r="Q51" s="1">
        <f>VLOOKUP($B51&amp;"__wt",'SegEnds_Xtal_BW#'!$A:$Z,17,FALSE)</f>
        <v>50</v>
      </c>
      <c r="R51" s="1">
        <f>VLOOKUP($B51&amp;"__wt",'SegEnds_Xtal_BW#'!$A:$Z,18,FALSE)</f>
        <v>52</v>
      </c>
      <c r="S51" s="1">
        <v>35</v>
      </c>
      <c r="T51" s="1">
        <f t="array" ref="T51">INDEX(ICL3_classA!$G$2:$G$37,MATCH(MIN(ABS(AI51-ICL3_classA!$F$2:$F$37)),ABS(AI51-ICL3_classA!$F$2:$F$37),0))</f>
        <v>74</v>
      </c>
      <c r="U51" s="1">
        <f t="array" ref="U51">INDEX(ICL3_classA!$H$2:$H$37,MATCH(MIN(ABS(AI51-ICL3_classA!$F$2:$F$37)),ABS(AI51-ICL3_classA!$F$2:$F$37),0))</f>
        <v>21</v>
      </c>
      <c r="V51" s="1">
        <v>61</v>
      </c>
      <c r="W51" s="1">
        <v>31</v>
      </c>
      <c r="X51" s="1">
        <f>VLOOKUP($B51&amp;"__wt",'SegEnds_Xtal_BW#'!$A:$Z,24,FALSE)</f>
        <v>56</v>
      </c>
      <c r="Y51" s="1">
        <f>VLOOKUP($B51&amp;"__wt",'SegEnds_Xtal_BW#'!$A:$Z,25,FALSE)</f>
        <v>47</v>
      </c>
      <c r="Z51" s="1">
        <f>VLOOKUP($B51&amp;"__wt",'SegEnds_Xtal_BW#'!$A:$Z,26,FALSE)</f>
        <v>59</v>
      </c>
      <c r="AA51" s="27" t="str">
        <f>VLOOKUP(A51,Classification!A:B,2,FALSE)</f>
        <v>A</v>
      </c>
      <c r="AB51" s="1">
        <f>VLOOKUP(A51,'SegEnds_NonXtal_Prot#'!A:AL,10,FALSE)-VLOOKUP(A51,'SegEnds_NonXtal_Prot#'!A:AL,4,FALSE)</f>
        <v>28</v>
      </c>
      <c r="AC51" s="1">
        <f>VLOOKUP(A51,'SegEnds_NonXtal_Prot#'!A:AL,10,FALSE)-VLOOKUP(A51,'SegEnds_NonXtal_Prot#'!A:AL,7,FALSE)</f>
        <v>15</v>
      </c>
      <c r="AD51" s="1">
        <f>VLOOKUP(A51,'SegEnds_NonXtal_Prot#'!A:AL,13,FALSE)-VLOOKUP(A51,'SegEnds_NonXtal_Prot#'!A:AL,10,FALSE)</f>
        <v>20</v>
      </c>
      <c r="AE51" s="1">
        <f>VLOOKUP(A51,'SegEnds_NonXtal_Prot#'!A:AL,16,FALSE)-VLOOKUP(A51,'SegEnds_NonXtal_Prot#'!A:AL,10,FALSE)</f>
        <v>52</v>
      </c>
      <c r="AF51" s="1">
        <f>VLOOKUP(A51,'SegEnds_NonXtal_Prot#'!A:AL,22,FALSE)-VLOOKUP(A51,'SegEnds_NonXtal_Prot#'!A:AL,19,FALSE)</f>
        <v>20</v>
      </c>
      <c r="AG51" s="1">
        <f>VLOOKUP(A51,'SegEnds_NonXtal_Prot#'!A:AL,28,FALSE)-VLOOKUP(A51,'SegEnds_NonXtal_Prot#'!A:AL,25,FALSE)</f>
        <v>20</v>
      </c>
      <c r="AH51" s="1">
        <f>VLOOKUP(A51,'SegEnds_NonXtal_Prot#'!A:AL,28,FALSE)-VLOOKUP(A51,'SegEnds_NonXtal_Prot#'!A:AL,22,FALSE)</f>
        <v>54</v>
      </c>
      <c r="AI51" s="1">
        <f>VLOOKUP(A51,'SegEnds_NonXtal_Prot#'!A:AL,31,FALSE)-VLOOKUP(A51,'SegEnds_NonXtal_Prot#'!A:AL,28,FALSE)</f>
        <v>64</v>
      </c>
      <c r="AJ51" s="1">
        <f>VLOOKUP(A51,'SegEnds_NonXtal_Prot#'!A:AL,34,FALSE)-VLOOKUP(A51,'SegEnds_NonXtal_Prot#'!A:AL,31,FALSE)</f>
        <v>35</v>
      </c>
      <c r="AK51" s="1">
        <f>VLOOKUP(A51,'SegEnds_NonXtal_Prot#'!A:AL,37,FALSE)-VLOOKUP(A51,'SegEnds_NonXtal_Prot#'!A:AL,34,FALSE)</f>
        <v>10</v>
      </c>
      <c r="AL51" s="1" t="str">
        <f>IF(ISERROR(MATCH(A51,'SegEnds_Xtal_Prot#'!B:B, 0)), "NoXtal", "Xtal")</f>
        <v>NoXtal</v>
      </c>
    </row>
    <row r="52" spans="1:38" x14ac:dyDescent="0.2">
      <c r="A52" s="1" t="s">
        <v>388</v>
      </c>
      <c r="B52" s="1" t="str">
        <f>VLOOKUP(A52,Xtal_Templ!A:B,2,FALSE)</f>
        <v>drd2_human</v>
      </c>
      <c r="C52" s="5">
        <f>VLOOKUP($B52&amp;"__wt",'SegEnds_Xtal_BW#'!$A:$Z,3,FALSE)</f>
        <v>29</v>
      </c>
      <c r="D52" s="1">
        <f>VLOOKUP($B52&amp;"__wt",'SegEnds_Xtal_BW#'!$A:$Z,4,FALSE)</f>
        <v>60</v>
      </c>
      <c r="E52" s="1">
        <f>VLOOKUP($B52&amp;"__wt",'SegEnds_Xtal_BW#'!$A:$Z,5,FALSE)</f>
        <v>48</v>
      </c>
      <c r="F52" s="1">
        <f>VLOOKUP($B52&amp;"__wt",'SegEnds_Xtal_BW#'!$A:$Z,6,FALSE)</f>
        <v>51</v>
      </c>
      <c r="G52" s="1">
        <v>37</v>
      </c>
      <c r="H52" s="12">
        <f>VLOOKUP($B52&amp;"__wt",'SegEnds_Xtal_BW#'!$A:$Z,8,FALSE)</f>
        <v>68</v>
      </c>
      <c r="I52" s="1">
        <f>VLOOKUP($B52&amp;"__wt",'SegEnds_Xtal_BW#'!$A:$Z,9,FALSE)</f>
        <v>49</v>
      </c>
      <c r="J52" s="1">
        <f>VLOOKUP($B52&amp;"__wt",'SegEnds_Xtal_BW#'!$A:$Z,10,FALSE)</f>
        <v>52</v>
      </c>
      <c r="K52" s="12">
        <v>18</v>
      </c>
      <c r="L52" s="1">
        <f>VLOOKUP($B52&amp;"__wt",'SegEnds_Xtal_BW#'!$A:$Z,12,FALSE)</f>
        <v>56</v>
      </c>
      <c r="M52" s="1">
        <f>VLOOKUP($B52&amp;"__wt",'SegEnds_Xtal_BW#'!$A:$Z,13,FALSE)</f>
        <v>50</v>
      </c>
      <c r="N52" s="12">
        <v>57</v>
      </c>
      <c r="O52" s="87">
        <f>VLOOKUP($B52&amp;"__wt",'SegEnds_Xtal_BW#'!$A:$Z,15,FALSE)</f>
        <v>38</v>
      </c>
      <c r="P52" s="1">
        <f>VLOOKUP($B52&amp;"__wt",'SegEnds_Xtal_BW#'!$A:$Z,16,FALSE)</f>
        <v>62</v>
      </c>
      <c r="Q52" s="1">
        <f>VLOOKUP($B52&amp;"__wt",'SegEnds_Xtal_BW#'!$A:$Z,17,FALSE)</f>
        <v>50</v>
      </c>
      <c r="R52" s="1">
        <f>VLOOKUP($B52&amp;"__wt",'SegEnds_Xtal_BW#'!$A:$Z,18,FALSE)</f>
        <v>52</v>
      </c>
      <c r="S52" s="1">
        <v>35</v>
      </c>
      <c r="T52" s="1">
        <f t="array" ref="T52">INDEX(ICL3_classA!$G$2:$G$37,MATCH(MIN(ABS(AI52-ICL3_classA!$F$2:$F$37)),ABS(AI52-ICL3_classA!$F$2:$F$37),0))</f>
        <v>73</v>
      </c>
      <c r="U52" s="1">
        <f t="array" ref="U52">INDEX(ICL3_classA!$H$2:$H$37,MATCH(MIN(ABS(AI52-ICL3_classA!$F$2:$F$37)),ABS(AI52-ICL3_classA!$F$2:$F$37),0))</f>
        <v>22</v>
      </c>
      <c r="V52" s="1">
        <v>61</v>
      </c>
      <c r="W52" s="1">
        <v>31</v>
      </c>
      <c r="X52" s="108">
        <v>56</v>
      </c>
      <c r="Y52" s="1">
        <f>VLOOKUP($B52&amp;"__wt",'SegEnds_Xtal_BW#'!$A:$Z,25,FALSE)</f>
        <v>47</v>
      </c>
      <c r="Z52" s="1">
        <f>VLOOKUP($B52&amp;"__wt",'SegEnds_Xtal_BW#'!$A:$Z,26,FALSE)</f>
        <v>59</v>
      </c>
      <c r="AA52" s="27" t="str">
        <f>VLOOKUP(A52,Classification!A:B,2,FALSE)</f>
        <v>A</v>
      </c>
      <c r="AB52" s="1">
        <f>VLOOKUP(A52,'SegEnds_NonXtal_Prot#'!A:AL,10,FALSE)-VLOOKUP(A52,'SegEnds_NonXtal_Prot#'!A:AL,4,FALSE)</f>
        <v>28</v>
      </c>
      <c r="AC52" s="1">
        <f>VLOOKUP(A52,'SegEnds_NonXtal_Prot#'!A:AL,10,FALSE)-VLOOKUP(A52,'SegEnds_NonXtal_Prot#'!A:AL,7,FALSE)</f>
        <v>15</v>
      </c>
      <c r="AD52" s="1">
        <f>VLOOKUP(A52,'SegEnds_NonXtal_Prot#'!A:AL,13,FALSE)-VLOOKUP(A52,'SegEnds_NonXtal_Prot#'!A:AL,10,FALSE)</f>
        <v>20</v>
      </c>
      <c r="AE52" s="1">
        <f>VLOOKUP(A52,'SegEnds_NonXtal_Prot#'!A:AL,16,FALSE)-VLOOKUP(A52,'SegEnds_NonXtal_Prot#'!A:AL,10,FALSE)</f>
        <v>52</v>
      </c>
      <c r="AF52" s="1">
        <f>VLOOKUP(A52,'SegEnds_NonXtal_Prot#'!A:AL,22,FALSE)-VLOOKUP(A52,'SegEnds_NonXtal_Prot#'!A:AL,19,FALSE)</f>
        <v>20</v>
      </c>
      <c r="AG52" s="1">
        <f>VLOOKUP(A52,'SegEnds_NonXtal_Prot#'!A:AL,28,FALSE)-VLOOKUP(A52,'SegEnds_NonXtal_Prot#'!A:AL,25,FALSE)</f>
        <v>20</v>
      </c>
      <c r="AH52" s="1">
        <f>VLOOKUP(A52,'SegEnds_NonXtal_Prot#'!A:AL,28,FALSE)-VLOOKUP(A52,'SegEnds_NonXtal_Prot#'!A:AL,22,FALSE)</f>
        <v>53</v>
      </c>
      <c r="AI52" s="1">
        <f>VLOOKUP(A52,'SegEnds_NonXtal_Prot#'!A:AL,31,FALSE)-VLOOKUP(A52,'SegEnds_NonXtal_Prot#'!A:AL,28,FALSE)</f>
        <v>56</v>
      </c>
      <c r="AJ52" s="1">
        <f>VLOOKUP(A52,'SegEnds_NonXtal_Prot#'!A:AL,34,FALSE)-VLOOKUP(A52,'SegEnds_NonXtal_Prot#'!A:AL,31,FALSE)</f>
        <v>35</v>
      </c>
      <c r="AK52" s="1">
        <f>VLOOKUP(A52,'SegEnds_NonXtal_Prot#'!A:AL,37,FALSE)-VLOOKUP(A52,'SegEnds_NonXtal_Prot#'!A:AL,34,FALSE)</f>
        <v>10</v>
      </c>
      <c r="AL52" s="1" t="str">
        <f>IF(ISERROR(MATCH(A52,'SegEnds_Xtal_Prot#'!B:B, 0)), "NoXtal", "Xtal")</f>
        <v>NoXtal</v>
      </c>
    </row>
    <row r="53" spans="1:38" x14ac:dyDescent="0.2">
      <c r="A53" s="1" t="s">
        <v>389</v>
      </c>
      <c r="B53" s="1" t="str">
        <f>VLOOKUP(A53,Xtal_Templ!A:B,2,FALSE)</f>
        <v>drd2_human</v>
      </c>
      <c r="C53" s="5">
        <f>VLOOKUP($B53&amp;"__wt",'SegEnds_Xtal_BW#'!$A:$Z,3,FALSE)</f>
        <v>29</v>
      </c>
      <c r="D53" s="1">
        <f>VLOOKUP($B53&amp;"__wt",'SegEnds_Xtal_BW#'!$A:$Z,4,FALSE)</f>
        <v>60</v>
      </c>
      <c r="E53" s="1">
        <f>VLOOKUP($B53&amp;"__wt",'SegEnds_Xtal_BW#'!$A:$Z,5,FALSE)</f>
        <v>48</v>
      </c>
      <c r="F53" s="1">
        <f>VLOOKUP($B53&amp;"__wt",'SegEnds_Xtal_BW#'!$A:$Z,6,FALSE)</f>
        <v>51</v>
      </c>
      <c r="G53" s="1">
        <v>37</v>
      </c>
      <c r="H53" s="12">
        <f>VLOOKUP($B53&amp;"__wt",'SegEnds_Xtal_BW#'!$A:$Z,8,FALSE)</f>
        <v>68</v>
      </c>
      <c r="I53" s="1">
        <f>VLOOKUP($B53&amp;"__wt",'SegEnds_Xtal_BW#'!$A:$Z,9,FALSE)</f>
        <v>49</v>
      </c>
      <c r="J53" s="1">
        <f>VLOOKUP($B53&amp;"__wt",'SegEnds_Xtal_BW#'!$A:$Z,10,FALSE)</f>
        <v>52</v>
      </c>
      <c r="K53" s="12">
        <v>18</v>
      </c>
      <c r="L53" s="1">
        <f>VLOOKUP($B53&amp;"__wt",'SegEnds_Xtal_BW#'!$A:$Z,12,FALSE)</f>
        <v>56</v>
      </c>
      <c r="M53" s="1">
        <f>VLOOKUP($B53&amp;"__wt",'SegEnds_Xtal_BW#'!$A:$Z,13,FALSE)</f>
        <v>50</v>
      </c>
      <c r="N53" s="12">
        <v>57</v>
      </c>
      <c r="O53" s="87">
        <f>VLOOKUP($B53&amp;"__wt",'SegEnds_Xtal_BW#'!$A:$Z,15,FALSE)</f>
        <v>38</v>
      </c>
      <c r="P53" s="1">
        <f>VLOOKUP($B53&amp;"__wt",'SegEnds_Xtal_BW#'!$A:$Z,16,FALSE)</f>
        <v>62</v>
      </c>
      <c r="Q53" s="1">
        <f>VLOOKUP($B53&amp;"__wt",'SegEnds_Xtal_BW#'!$A:$Z,17,FALSE)</f>
        <v>50</v>
      </c>
      <c r="R53" s="1">
        <f>VLOOKUP($B53&amp;"__wt",'SegEnds_Xtal_BW#'!$A:$Z,18,FALSE)</f>
        <v>52</v>
      </c>
      <c r="S53" s="1">
        <v>35</v>
      </c>
      <c r="T53" s="1">
        <f t="array" ref="T53">INDEX(ICL3_classA!$G$2:$G$37,MATCH(MIN(ABS(AI53-ICL3_classA!$F$2:$F$37)),ABS(AI53-ICL3_classA!$F$2:$F$37),0))</f>
        <v>74</v>
      </c>
      <c r="U53" s="1">
        <f t="array" ref="U53">INDEX(ICL3_classA!$H$2:$H$37,MATCH(MIN(ABS(AI53-ICL3_classA!$F$2:$F$37)),ABS(AI53-ICL3_classA!$F$2:$F$37),0))</f>
        <v>21</v>
      </c>
      <c r="V53" s="1">
        <v>61</v>
      </c>
      <c r="W53" s="1">
        <v>31</v>
      </c>
      <c r="X53" s="108">
        <v>56</v>
      </c>
      <c r="Y53" s="1">
        <f>VLOOKUP($B53&amp;"__wt",'SegEnds_Xtal_BW#'!$A:$Z,25,FALSE)</f>
        <v>47</v>
      </c>
      <c r="Z53" s="1">
        <f>VLOOKUP($B53&amp;"__wt",'SegEnds_Xtal_BW#'!$A:$Z,26,FALSE)</f>
        <v>59</v>
      </c>
      <c r="AA53" s="27" t="str">
        <f>VLOOKUP(A53,Classification!A:B,2,FALSE)</f>
        <v>A</v>
      </c>
      <c r="AB53" s="1">
        <f>VLOOKUP(A53,'SegEnds_NonXtal_Prot#'!A:AL,10,FALSE)-VLOOKUP(A53,'SegEnds_NonXtal_Prot#'!A:AL,4,FALSE)</f>
        <v>28</v>
      </c>
      <c r="AC53" s="1">
        <f>VLOOKUP(A53,'SegEnds_NonXtal_Prot#'!A:AL,10,FALSE)-VLOOKUP(A53,'SegEnds_NonXtal_Prot#'!A:AL,7,FALSE)</f>
        <v>15</v>
      </c>
      <c r="AD53" s="1">
        <f>VLOOKUP(A53,'SegEnds_NonXtal_Prot#'!A:AL,13,FALSE)-VLOOKUP(A53,'SegEnds_NonXtal_Prot#'!A:AL,10,FALSE)</f>
        <v>20</v>
      </c>
      <c r="AE53" s="1">
        <f>VLOOKUP(A53,'SegEnds_NonXtal_Prot#'!A:AL,16,FALSE)-VLOOKUP(A53,'SegEnds_NonXtal_Prot#'!A:AL,10,FALSE)</f>
        <v>52</v>
      </c>
      <c r="AF53" s="1">
        <f>VLOOKUP(A53,'SegEnds_NonXtal_Prot#'!A:AL,22,FALSE)-VLOOKUP(A53,'SegEnds_NonXtal_Prot#'!A:AL,19,FALSE)</f>
        <v>20</v>
      </c>
      <c r="AG53" s="1">
        <f>VLOOKUP(A53,'SegEnds_NonXtal_Prot#'!A:AL,28,FALSE)-VLOOKUP(A53,'SegEnds_NonXtal_Prot#'!A:AL,25,FALSE)</f>
        <v>20</v>
      </c>
      <c r="AH53" s="1">
        <f>VLOOKUP(A53,'SegEnds_NonXtal_Prot#'!A:AL,28,FALSE)-VLOOKUP(A53,'SegEnds_NonXtal_Prot#'!A:AL,22,FALSE)</f>
        <v>53</v>
      </c>
      <c r="AI53" s="1">
        <f>VLOOKUP(A53,'SegEnds_NonXtal_Prot#'!A:AL,31,FALSE)-VLOOKUP(A53,'SegEnds_NonXtal_Prot#'!A:AL,28,FALSE)</f>
        <v>62</v>
      </c>
      <c r="AJ53" s="1">
        <f>VLOOKUP(A53,'SegEnds_NonXtal_Prot#'!A:AL,34,FALSE)-VLOOKUP(A53,'SegEnds_NonXtal_Prot#'!A:AL,31,FALSE)</f>
        <v>35</v>
      </c>
      <c r="AK53" s="1">
        <f>VLOOKUP(A53,'SegEnds_NonXtal_Prot#'!A:AL,37,FALSE)-VLOOKUP(A53,'SegEnds_NonXtal_Prot#'!A:AL,34,FALSE)</f>
        <v>10</v>
      </c>
      <c r="AL53" s="1" t="str">
        <f>IF(ISERROR(MATCH(A53,'SegEnds_Xtal_Prot#'!B:B, 0)), "NoXtal", "Xtal")</f>
        <v>NoXtal</v>
      </c>
    </row>
    <row r="54" spans="1:38" x14ac:dyDescent="0.2">
      <c r="A54" s="1" t="s">
        <v>390</v>
      </c>
      <c r="B54" s="1" t="str">
        <f>VLOOKUP(A54,Xtal_Templ!A:B,2,FALSE)</f>
        <v>5ht1b_human</v>
      </c>
      <c r="C54" s="5">
        <f>VLOOKUP($B54&amp;"__wt",'SegEnds_Xtal_BW#'!$A:$Z,3,FALSE)</f>
        <v>28</v>
      </c>
      <c r="D54" s="1">
        <f>VLOOKUP($B54&amp;"__wt",'SegEnds_Xtal_BW#'!$A:$Z,4,FALSE)</f>
        <v>60</v>
      </c>
      <c r="E54" s="1">
        <f>VLOOKUP($B54&amp;"__wt",'SegEnds_Xtal_BW#'!$A:$Z,5,FALSE)</f>
        <v>48</v>
      </c>
      <c r="F54" s="1">
        <f>VLOOKUP($B54&amp;"__wt",'SegEnds_Xtal_BW#'!$A:$Z,6,FALSE)</f>
        <v>51</v>
      </c>
      <c r="G54" s="1">
        <v>37</v>
      </c>
      <c r="H54" s="12">
        <f>VLOOKUP($B54&amp;"__wt",'SegEnds_Xtal_BW#'!$A:$Z,8,FALSE)</f>
        <v>68</v>
      </c>
      <c r="I54" s="1">
        <f>VLOOKUP($B54&amp;"__wt",'SegEnds_Xtal_BW#'!$A:$Z,9,FALSE)</f>
        <v>49</v>
      </c>
      <c r="J54" s="1">
        <f>VLOOKUP($B54&amp;"__wt",'SegEnds_Xtal_BW#'!$A:$Z,10,FALSE)</f>
        <v>52</v>
      </c>
      <c r="K54" s="12">
        <v>18</v>
      </c>
      <c r="L54" s="1">
        <f>VLOOKUP($B54&amp;"__wt",'SegEnds_Xtal_BW#'!$A:$Z,12,FALSE)</f>
        <v>56</v>
      </c>
      <c r="M54" s="1">
        <f>VLOOKUP($B54&amp;"__wt",'SegEnds_Xtal_BW#'!$A:$Z,13,FALSE)</f>
        <v>50</v>
      </c>
      <c r="N54" s="12">
        <v>57</v>
      </c>
      <c r="O54" s="87">
        <v>38</v>
      </c>
      <c r="P54" s="1">
        <f>VLOOKUP($B54&amp;"__wt",'SegEnds_Xtal_BW#'!$A:$Z,16,FALSE)</f>
        <v>63</v>
      </c>
      <c r="Q54" s="1">
        <f>VLOOKUP($B54&amp;"__wt",'SegEnds_Xtal_BW#'!$A:$Z,17,FALSE)</f>
        <v>50</v>
      </c>
      <c r="R54" s="1">
        <f>VLOOKUP($B54&amp;"__wt",'SegEnds_Xtal_BW#'!$A:$Z,18,FALSE)</f>
        <v>52</v>
      </c>
      <c r="S54" s="1">
        <v>35</v>
      </c>
      <c r="T54" s="1">
        <f t="array" ref="T54">INDEX(ICL3_classA!$G$2:$G$37,MATCH(MIN(ABS(AI54-ICL3_classA!$F$2:$F$37)),ABS(AI54-ICL3_classA!$F$2:$F$37),0))</f>
        <v>73</v>
      </c>
      <c r="U54" s="1">
        <f t="array" ref="U54">INDEX(ICL3_classA!$H$2:$H$37,MATCH(MIN(ABS(AI54-ICL3_classA!$F$2:$F$37)),ABS(AI54-ICL3_classA!$F$2:$F$37),0))</f>
        <v>22</v>
      </c>
      <c r="V54" s="1">
        <v>61</v>
      </c>
      <c r="W54" s="1">
        <v>31</v>
      </c>
      <c r="X54" s="1">
        <f>VLOOKUP($B54&amp;"__wt",'SegEnds_Xtal_BW#'!$A:$Z,24,FALSE)</f>
        <v>56</v>
      </c>
      <c r="Y54" s="1">
        <f>VLOOKUP($B54&amp;"__wt",'SegEnds_Xtal_BW#'!$A:$Z,25,FALSE)</f>
        <v>47</v>
      </c>
      <c r="Z54" s="1">
        <f>VLOOKUP($B54&amp;"__wt",'SegEnds_Xtal_BW#'!$A:$Z,26,FALSE)</f>
        <v>58</v>
      </c>
      <c r="AA54" s="27" t="str">
        <f>VLOOKUP(A54,Classification!A:B,2,FALSE)</f>
        <v>A</v>
      </c>
      <c r="AB54" s="1">
        <f>VLOOKUP(A54,'SegEnds_NonXtal_Prot#'!A:AL,10,FALSE)-VLOOKUP(A54,'SegEnds_NonXtal_Prot#'!A:AL,4,FALSE)</f>
        <v>28</v>
      </c>
      <c r="AC54" s="1">
        <f>VLOOKUP(A54,'SegEnds_NonXtal_Prot#'!A:AL,10,FALSE)-VLOOKUP(A54,'SegEnds_NonXtal_Prot#'!A:AL,7,FALSE)</f>
        <v>15</v>
      </c>
      <c r="AD54" s="1">
        <f>VLOOKUP(A54,'SegEnds_NonXtal_Prot#'!A:AL,13,FALSE)-VLOOKUP(A54,'SegEnds_NonXtal_Prot#'!A:AL,10,FALSE)</f>
        <v>20</v>
      </c>
      <c r="AE54" s="1">
        <f>VLOOKUP(A54,'SegEnds_NonXtal_Prot#'!A:AL,16,FALSE)-VLOOKUP(A54,'SegEnds_NonXtal_Prot#'!A:AL,10,FALSE)</f>
        <v>52</v>
      </c>
      <c r="AF54" s="1">
        <f>VLOOKUP(A54,'SegEnds_NonXtal_Prot#'!A:AL,22,FALSE)-VLOOKUP(A54,'SegEnds_NonXtal_Prot#'!A:AL,19,FALSE)</f>
        <v>20</v>
      </c>
      <c r="AG54" s="1">
        <f>VLOOKUP(A54,'SegEnds_NonXtal_Prot#'!A:AL,28,FALSE)-VLOOKUP(A54,'SegEnds_NonXtal_Prot#'!A:AL,25,FALSE)</f>
        <v>19</v>
      </c>
      <c r="AH54" s="1">
        <f>VLOOKUP(A54,'SegEnds_NonXtal_Prot#'!A:AL,28,FALSE)-VLOOKUP(A54,'SegEnds_NonXtal_Prot#'!A:AL,22,FALSE)</f>
        <v>52</v>
      </c>
      <c r="AI54" s="1">
        <f>VLOOKUP(A54,'SegEnds_NonXtal_Prot#'!A:AL,31,FALSE)-VLOOKUP(A54,'SegEnds_NonXtal_Prot#'!A:AL,28,FALSE)</f>
        <v>56</v>
      </c>
      <c r="AJ54" s="1">
        <f>VLOOKUP(A54,'SegEnds_NonXtal_Prot#'!A:AL,34,FALSE)-VLOOKUP(A54,'SegEnds_NonXtal_Prot#'!A:AL,31,FALSE)</f>
        <v>35</v>
      </c>
      <c r="AK54" s="1">
        <f>VLOOKUP(A54,'SegEnds_NonXtal_Prot#'!A:AL,37,FALSE)-VLOOKUP(A54,'SegEnds_NonXtal_Prot#'!A:AL,34,FALSE)</f>
        <v>10</v>
      </c>
      <c r="AL54" s="1" t="str">
        <f>IF(ISERROR(MATCH(A54,'SegEnds_Xtal_Prot#'!B:B, 0)), "NoXtal", "Xtal")</f>
        <v>NoXtal</v>
      </c>
    </row>
    <row r="55" spans="1:38" x14ac:dyDescent="0.2">
      <c r="A55" s="1" t="s">
        <v>391</v>
      </c>
      <c r="B55" s="1" t="str">
        <f>VLOOKUP(A55,Xtal_Templ!A:B,2,FALSE)</f>
        <v>5ht1b_human</v>
      </c>
      <c r="C55" s="5">
        <f>VLOOKUP($B55&amp;"__wt",'SegEnds_Xtal_BW#'!$A:$Z,3,FALSE)</f>
        <v>28</v>
      </c>
      <c r="D55" s="1">
        <f>VLOOKUP($B55&amp;"__wt",'SegEnds_Xtal_BW#'!$A:$Z,4,FALSE)</f>
        <v>60</v>
      </c>
      <c r="E55" s="1">
        <f>VLOOKUP($B55&amp;"__wt",'SegEnds_Xtal_BW#'!$A:$Z,5,FALSE)</f>
        <v>48</v>
      </c>
      <c r="F55" s="1">
        <f>VLOOKUP($B55&amp;"__wt",'SegEnds_Xtal_BW#'!$A:$Z,6,FALSE)</f>
        <v>51</v>
      </c>
      <c r="G55" s="1">
        <v>37</v>
      </c>
      <c r="H55" s="12">
        <f>VLOOKUP($B55&amp;"__wt",'SegEnds_Xtal_BW#'!$A:$Z,8,FALSE)</f>
        <v>68</v>
      </c>
      <c r="I55" s="1">
        <f>VLOOKUP($B55&amp;"__wt",'SegEnds_Xtal_BW#'!$A:$Z,9,FALSE)</f>
        <v>49</v>
      </c>
      <c r="J55" s="1">
        <f>VLOOKUP($B55&amp;"__wt",'SegEnds_Xtal_BW#'!$A:$Z,10,FALSE)</f>
        <v>52</v>
      </c>
      <c r="K55" s="12">
        <v>18</v>
      </c>
      <c r="L55" s="1">
        <f>VLOOKUP($B55&amp;"__wt",'SegEnds_Xtal_BW#'!$A:$Z,12,FALSE)</f>
        <v>56</v>
      </c>
      <c r="M55" s="1">
        <f>VLOOKUP($B55&amp;"__wt",'SegEnds_Xtal_BW#'!$A:$Z,13,FALSE)</f>
        <v>50</v>
      </c>
      <c r="N55" s="12">
        <v>57</v>
      </c>
      <c r="O55" s="87">
        <v>38</v>
      </c>
      <c r="P55" s="1">
        <f>VLOOKUP($B55&amp;"__wt",'SegEnds_Xtal_BW#'!$A:$Z,16,FALSE)</f>
        <v>63</v>
      </c>
      <c r="Q55" s="1">
        <f>VLOOKUP($B55&amp;"__wt",'SegEnds_Xtal_BW#'!$A:$Z,17,FALSE)</f>
        <v>50</v>
      </c>
      <c r="R55" s="1">
        <f>VLOOKUP($B55&amp;"__wt",'SegEnds_Xtal_BW#'!$A:$Z,18,FALSE)</f>
        <v>52</v>
      </c>
      <c r="S55" s="1">
        <v>35</v>
      </c>
      <c r="T55" s="1">
        <f t="array" ref="T55">INDEX(ICL3_classA!$G$2:$G$37,MATCH(MIN(ABS(AI55-ICL3_classA!$F$2:$F$37)),ABS(AI55-ICL3_classA!$F$2:$F$37),0))</f>
        <v>74</v>
      </c>
      <c r="U55" s="1">
        <f t="array" ref="U55">INDEX(ICL3_classA!$H$2:$H$37,MATCH(MIN(ABS(AI55-ICL3_classA!$F$2:$F$37)),ABS(AI55-ICL3_classA!$F$2:$F$37),0))</f>
        <v>21</v>
      </c>
      <c r="V55" s="1">
        <v>61</v>
      </c>
      <c r="W55" s="1">
        <v>31</v>
      </c>
      <c r="X55" s="1">
        <f>VLOOKUP($B55&amp;"__wt",'SegEnds_Xtal_BW#'!$A:$Z,24,FALSE)</f>
        <v>56</v>
      </c>
      <c r="Y55" s="1">
        <f>VLOOKUP($B55&amp;"__wt",'SegEnds_Xtal_BW#'!$A:$Z,25,FALSE)</f>
        <v>47</v>
      </c>
      <c r="Z55" s="1">
        <f>VLOOKUP($B55&amp;"__wt",'SegEnds_Xtal_BW#'!$A:$Z,26,FALSE)</f>
        <v>58</v>
      </c>
      <c r="AA55" s="27" t="str">
        <f>VLOOKUP(A55,Classification!A:B,2,FALSE)</f>
        <v>A</v>
      </c>
      <c r="AB55" s="1">
        <f>VLOOKUP(A55,'SegEnds_NonXtal_Prot#'!A:AL,10,FALSE)-VLOOKUP(A55,'SegEnds_NonXtal_Prot#'!A:AL,4,FALSE)</f>
        <v>28</v>
      </c>
      <c r="AC55" s="1">
        <f>VLOOKUP(A55,'SegEnds_NonXtal_Prot#'!A:AL,10,FALSE)-VLOOKUP(A55,'SegEnds_NonXtal_Prot#'!A:AL,7,FALSE)</f>
        <v>15</v>
      </c>
      <c r="AD55" s="1">
        <f>VLOOKUP(A55,'SegEnds_NonXtal_Prot#'!A:AL,13,FALSE)-VLOOKUP(A55,'SegEnds_NonXtal_Prot#'!A:AL,10,FALSE)</f>
        <v>20</v>
      </c>
      <c r="AE55" s="1">
        <f>VLOOKUP(A55,'SegEnds_NonXtal_Prot#'!A:AL,16,FALSE)-VLOOKUP(A55,'SegEnds_NonXtal_Prot#'!A:AL,10,FALSE)</f>
        <v>52</v>
      </c>
      <c r="AF55" s="1">
        <f>VLOOKUP(A55,'SegEnds_NonXtal_Prot#'!A:AL,22,FALSE)-VLOOKUP(A55,'SegEnds_NonXtal_Prot#'!A:AL,19,FALSE)</f>
        <v>20</v>
      </c>
      <c r="AG55" s="1">
        <f>VLOOKUP(A55,'SegEnds_NonXtal_Prot#'!A:AL,28,FALSE)-VLOOKUP(A55,'SegEnds_NonXtal_Prot#'!A:AL,25,FALSE)</f>
        <v>19</v>
      </c>
      <c r="AH55" s="1">
        <f>VLOOKUP(A55,'SegEnds_NonXtal_Prot#'!A:AL,28,FALSE)-VLOOKUP(A55,'SegEnds_NonXtal_Prot#'!A:AL,22,FALSE)</f>
        <v>52</v>
      </c>
      <c r="AI55" s="1">
        <f>VLOOKUP(A55,'SegEnds_NonXtal_Prot#'!A:AL,31,FALSE)-VLOOKUP(A55,'SegEnds_NonXtal_Prot#'!A:AL,28,FALSE)</f>
        <v>64</v>
      </c>
      <c r="AJ55" s="1">
        <f>VLOOKUP(A55,'SegEnds_NonXtal_Prot#'!A:AL,34,FALSE)-VLOOKUP(A55,'SegEnds_NonXtal_Prot#'!A:AL,31,FALSE)</f>
        <v>35</v>
      </c>
      <c r="AK55" s="1">
        <f>VLOOKUP(A55,'SegEnds_NonXtal_Prot#'!A:AL,37,FALSE)-VLOOKUP(A55,'SegEnds_NonXtal_Prot#'!A:AL,34,FALSE)</f>
        <v>10</v>
      </c>
      <c r="AL55" s="1" t="str">
        <f>IF(ISERROR(MATCH(A55,'SegEnds_Xtal_Prot#'!B:B, 0)), "NoXtal", "Xtal")</f>
        <v>NoXtal</v>
      </c>
    </row>
    <row r="56" spans="1:38" x14ac:dyDescent="0.2">
      <c r="A56" s="1" t="s">
        <v>392</v>
      </c>
      <c r="B56" s="1" t="str">
        <f>VLOOKUP(A56,Xtal_Templ!A:B,2,FALSE)</f>
        <v>5ht1b_human</v>
      </c>
      <c r="C56" s="5">
        <f>VLOOKUP($B56&amp;"__wt",'SegEnds_Xtal_BW#'!$A:$Z,3,FALSE)</f>
        <v>28</v>
      </c>
      <c r="D56" s="1">
        <f>VLOOKUP($B56&amp;"__wt",'SegEnds_Xtal_BW#'!$A:$Z,4,FALSE)</f>
        <v>60</v>
      </c>
      <c r="E56" s="1">
        <f>VLOOKUP($B56&amp;"__wt",'SegEnds_Xtal_BW#'!$A:$Z,5,FALSE)</f>
        <v>48</v>
      </c>
      <c r="F56" s="1">
        <f>VLOOKUP($B56&amp;"__wt",'SegEnds_Xtal_BW#'!$A:$Z,6,FALSE)</f>
        <v>51</v>
      </c>
      <c r="G56" s="1">
        <v>37</v>
      </c>
      <c r="H56" s="12">
        <f>VLOOKUP($B56&amp;"__wt",'SegEnds_Xtal_BW#'!$A:$Z,8,FALSE)</f>
        <v>68</v>
      </c>
      <c r="I56" s="1">
        <f>VLOOKUP($B56&amp;"__wt",'SegEnds_Xtal_BW#'!$A:$Z,9,FALSE)</f>
        <v>49</v>
      </c>
      <c r="J56" s="1">
        <f>VLOOKUP($B56&amp;"__wt",'SegEnds_Xtal_BW#'!$A:$Z,10,FALSE)</f>
        <v>52</v>
      </c>
      <c r="K56" s="12">
        <v>18</v>
      </c>
      <c r="L56" s="1">
        <f>VLOOKUP($B56&amp;"__wt",'SegEnds_Xtal_BW#'!$A:$Z,12,FALSE)</f>
        <v>56</v>
      </c>
      <c r="M56" s="1">
        <f>VLOOKUP($B56&amp;"__wt",'SegEnds_Xtal_BW#'!$A:$Z,13,FALSE)</f>
        <v>50</v>
      </c>
      <c r="N56" s="12">
        <v>57</v>
      </c>
      <c r="O56" s="87">
        <v>38</v>
      </c>
      <c r="P56" s="1">
        <f>VLOOKUP($B56&amp;"__wt",'SegEnds_Xtal_BW#'!$A:$Z,16,FALSE)</f>
        <v>63</v>
      </c>
      <c r="Q56" s="1">
        <f>VLOOKUP($B56&amp;"__wt",'SegEnds_Xtal_BW#'!$A:$Z,17,FALSE)</f>
        <v>50</v>
      </c>
      <c r="R56" s="1">
        <f>VLOOKUP($B56&amp;"__wt",'SegEnds_Xtal_BW#'!$A:$Z,18,FALSE)</f>
        <v>52</v>
      </c>
      <c r="S56" s="1">
        <v>35</v>
      </c>
      <c r="T56" s="1">
        <f t="array" ref="T56">INDEX(ICL3_classA!$G$2:$G$37,MATCH(MIN(ABS(AI56-ICL3_classA!$F$2:$F$37)),ABS(AI56-ICL3_classA!$F$2:$F$37),0))</f>
        <v>74</v>
      </c>
      <c r="U56" s="1">
        <f t="array" ref="U56">INDEX(ICL3_classA!$H$2:$H$37,MATCH(MIN(ABS(AI56-ICL3_classA!$F$2:$F$37)),ABS(AI56-ICL3_classA!$F$2:$F$37),0))</f>
        <v>21</v>
      </c>
      <c r="V56" s="1">
        <v>61</v>
      </c>
      <c r="W56" s="1">
        <v>31</v>
      </c>
      <c r="X56" s="1">
        <f>VLOOKUP($B56&amp;"__wt",'SegEnds_Xtal_BW#'!$A:$Z,24,FALSE)</f>
        <v>56</v>
      </c>
      <c r="Y56" s="1">
        <f>VLOOKUP($B56&amp;"__wt",'SegEnds_Xtal_BW#'!$A:$Z,25,FALSE)</f>
        <v>47</v>
      </c>
      <c r="Z56" s="1">
        <f>VLOOKUP($B56&amp;"__wt",'SegEnds_Xtal_BW#'!$A:$Z,26,FALSE)</f>
        <v>58</v>
      </c>
      <c r="AA56" s="27" t="str">
        <f>VLOOKUP(A56,Classification!A:B,2,FALSE)</f>
        <v>A</v>
      </c>
      <c r="AB56" s="1">
        <f>VLOOKUP(A56,'SegEnds_NonXtal_Prot#'!A:AL,10,FALSE)-VLOOKUP(A56,'SegEnds_NonXtal_Prot#'!A:AL,4,FALSE)</f>
        <v>28</v>
      </c>
      <c r="AC56" s="1">
        <f>VLOOKUP(A56,'SegEnds_NonXtal_Prot#'!A:AL,10,FALSE)-VLOOKUP(A56,'SegEnds_NonXtal_Prot#'!A:AL,7,FALSE)</f>
        <v>15</v>
      </c>
      <c r="AD56" s="1">
        <f>VLOOKUP(A56,'SegEnds_NonXtal_Prot#'!A:AL,13,FALSE)-VLOOKUP(A56,'SegEnds_NonXtal_Prot#'!A:AL,10,FALSE)</f>
        <v>20</v>
      </c>
      <c r="AE56" s="1">
        <f>VLOOKUP(A56,'SegEnds_NonXtal_Prot#'!A:AL,16,FALSE)-VLOOKUP(A56,'SegEnds_NonXtal_Prot#'!A:AL,10,FALSE)</f>
        <v>52</v>
      </c>
      <c r="AF56" s="1">
        <f>VLOOKUP(A56,'SegEnds_NonXtal_Prot#'!A:AL,22,FALSE)-VLOOKUP(A56,'SegEnds_NonXtal_Prot#'!A:AL,19,FALSE)</f>
        <v>20</v>
      </c>
      <c r="AG56" s="1">
        <f>VLOOKUP(A56,'SegEnds_NonXtal_Prot#'!A:AL,28,FALSE)-VLOOKUP(A56,'SegEnds_NonXtal_Prot#'!A:AL,25,FALSE)</f>
        <v>19</v>
      </c>
      <c r="AH56" s="1">
        <f>VLOOKUP(A56,'SegEnds_NonXtal_Prot#'!A:AL,28,FALSE)-VLOOKUP(A56,'SegEnds_NonXtal_Prot#'!A:AL,22,FALSE)</f>
        <v>52</v>
      </c>
      <c r="AI56" s="1">
        <f>VLOOKUP(A56,'SegEnds_NonXtal_Prot#'!A:AL,31,FALSE)-VLOOKUP(A56,'SegEnds_NonXtal_Prot#'!A:AL,28,FALSE)</f>
        <v>64</v>
      </c>
      <c r="AJ56" s="1">
        <f>VLOOKUP(A56,'SegEnds_NonXtal_Prot#'!A:AL,34,FALSE)-VLOOKUP(A56,'SegEnds_NonXtal_Prot#'!A:AL,31,FALSE)</f>
        <v>35</v>
      </c>
      <c r="AK56" s="1">
        <f>VLOOKUP(A56,'SegEnds_NonXtal_Prot#'!A:AL,37,FALSE)-VLOOKUP(A56,'SegEnds_NonXtal_Prot#'!A:AL,34,FALSE)</f>
        <v>10</v>
      </c>
      <c r="AL56" s="1" t="str">
        <f>IF(ISERROR(MATCH(A56,'SegEnds_Xtal_Prot#'!B:B, 0)), "NoXtal", "Xtal")</f>
        <v>NoXtal</v>
      </c>
    </row>
    <row r="57" spans="1:38" x14ac:dyDescent="0.2">
      <c r="A57" s="1" t="s">
        <v>393</v>
      </c>
      <c r="B57" s="1" t="str">
        <f>VLOOKUP(A57,Xtal_Templ!A:B,2,FALSE)</f>
        <v>5ht1b_human</v>
      </c>
      <c r="C57" s="5">
        <f>VLOOKUP($B57&amp;"__wt",'SegEnds_Xtal_BW#'!$A:$Z,3,FALSE)</f>
        <v>28</v>
      </c>
      <c r="D57" s="1">
        <f>VLOOKUP($B57&amp;"__wt",'SegEnds_Xtal_BW#'!$A:$Z,4,FALSE)</f>
        <v>60</v>
      </c>
      <c r="E57" s="1">
        <f>VLOOKUP($B57&amp;"__wt",'SegEnds_Xtal_BW#'!$A:$Z,5,FALSE)</f>
        <v>48</v>
      </c>
      <c r="F57" s="1">
        <f>VLOOKUP($B57&amp;"__wt",'SegEnds_Xtal_BW#'!$A:$Z,6,FALSE)</f>
        <v>51</v>
      </c>
      <c r="G57" s="1">
        <v>37</v>
      </c>
      <c r="H57" s="12">
        <f>VLOOKUP($B57&amp;"__wt",'SegEnds_Xtal_BW#'!$A:$Z,8,FALSE)</f>
        <v>68</v>
      </c>
      <c r="I57" s="1">
        <f>VLOOKUP($B57&amp;"__wt",'SegEnds_Xtal_BW#'!$A:$Z,9,FALSE)</f>
        <v>49</v>
      </c>
      <c r="J57" s="1">
        <f>VLOOKUP($B57&amp;"__wt",'SegEnds_Xtal_BW#'!$A:$Z,10,FALSE)</f>
        <v>52</v>
      </c>
      <c r="K57" s="12">
        <v>18</v>
      </c>
      <c r="L57" s="1">
        <f>VLOOKUP($B57&amp;"__wt",'SegEnds_Xtal_BW#'!$A:$Z,12,FALSE)</f>
        <v>56</v>
      </c>
      <c r="M57" s="1">
        <f>VLOOKUP($B57&amp;"__wt",'SegEnds_Xtal_BW#'!$A:$Z,13,FALSE)</f>
        <v>50</v>
      </c>
      <c r="N57" s="12">
        <v>57</v>
      </c>
      <c r="O57" s="87">
        <v>38</v>
      </c>
      <c r="P57" s="1">
        <f>VLOOKUP($B57&amp;"__wt",'SegEnds_Xtal_BW#'!$A:$Z,16,FALSE)</f>
        <v>63</v>
      </c>
      <c r="Q57" s="1">
        <f>VLOOKUP($B57&amp;"__wt",'SegEnds_Xtal_BW#'!$A:$Z,17,FALSE)</f>
        <v>50</v>
      </c>
      <c r="R57" s="1">
        <f>VLOOKUP($B57&amp;"__wt",'SegEnds_Xtal_BW#'!$A:$Z,18,FALSE)</f>
        <v>52</v>
      </c>
      <c r="S57" s="1">
        <v>35</v>
      </c>
      <c r="T57" s="1">
        <f t="array" ref="T57">INDEX(ICL3_classA!$G$2:$G$37,MATCH(MIN(ABS(AI57-ICL3_classA!$F$2:$F$37)),ABS(AI57-ICL3_classA!$F$2:$F$37),0))</f>
        <v>74</v>
      </c>
      <c r="U57" s="1">
        <f t="array" ref="U57">INDEX(ICL3_classA!$H$2:$H$37,MATCH(MIN(ABS(AI57-ICL3_classA!$F$2:$F$37)),ABS(AI57-ICL3_classA!$F$2:$F$37),0))</f>
        <v>21</v>
      </c>
      <c r="V57" s="1">
        <v>61</v>
      </c>
      <c r="W57" s="1">
        <v>31</v>
      </c>
      <c r="X57" s="1">
        <f>VLOOKUP($B57&amp;"__wt",'SegEnds_Xtal_BW#'!$A:$Z,24,FALSE)</f>
        <v>56</v>
      </c>
      <c r="Y57" s="1">
        <f>VLOOKUP($B57&amp;"__wt",'SegEnds_Xtal_BW#'!$A:$Z,25,FALSE)</f>
        <v>47</v>
      </c>
      <c r="Z57" s="1">
        <f>VLOOKUP($B57&amp;"__wt",'SegEnds_Xtal_BW#'!$A:$Z,26,FALSE)</f>
        <v>58</v>
      </c>
      <c r="AA57" s="27" t="str">
        <f>VLOOKUP(A57,Classification!A:B,2,FALSE)</f>
        <v>A</v>
      </c>
      <c r="AB57" s="1">
        <f>VLOOKUP(A57,'SegEnds_NonXtal_Prot#'!A:AL,10,FALSE)-VLOOKUP(A57,'SegEnds_NonXtal_Prot#'!A:AL,4,FALSE)</f>
        <v>28</v>
      </c>
      <c r="AC57" s="1">
        <f>VLOOKUP(A57,'SegEnds_NonXtal_Prot#'!A:AL,10,FALSE)-VLOOKUP(A57,'SegEnds_NonXtal_Prot#'!A:AL,7,FALSE)</f>
        <v>15</v>
      </c>
      <c r="AD57" s="1">
        <f>VLOOKUP(A57,'SegEnds_NonXtal_Prot#'!A:AL,13,FALSE)-VLOOKUP(A57,'SegEnds_NonXtal_Prot#'!A:AL,10,FALSE)</f>
        <v>20</v>
      </c>
      <c r="AE57" s="1">
        <f>VLOOKUP(A57,'SegEnds_NonXtal_Prot#'!A:AL,16,FALSE)-VLOOKUP(A57,'SegEnds_NonXtal_Prot#'!A:AL,10,FALSE)</f>
        <v>52</v>
      </c>
      <c r="AF57" s="1">
        <f>VLOOKUP(A57,'SegEnds_NonXtal_Prot#'!A:AL,22,FALSE)-VLOOKUP(A57,'SegEnds_NonXtal_Prot#'!A:AL,19,FALSE)</f>
        <v>20</v>
      </c>
      <c r="AG57" s="1">
        <f>VLOOKUP(A57,'SegEnds_NonXtal_Prot#'!A:AL,28,FALSE)-VLOOKUP(A57,'SegEnds_NonXtal_Prot#'!A:AL,25,FALSE)</f>
        <v>19</v>
      </c>
      <c r="AH57" s="1">
        <f>VLOOKUP(A57,'SegEnds_NonXtal_Prot#'!A:AL,28,FALSE)-VLOOKUP(A57,'SegEnds_NonXtal_Prot#'!A:AL,22,FALSE)</f>
        <v>52</v>
      </c>
      <c r="AI57" s="1">
        <f>VLOOKUP(A57,'SegEnds_NonXtal_Prot#'!A:AL,31,FALSE)-VLOOKUP(A57,'SegEnds_NonXtal_Prot#'!A:AL,28,FALSE)</f>
        <v>64</v>
      </c>
      <c r="AJ57" s="1">
        <f>VLOOKUP(A57,'SegEnds_NonXtal_Prot#'!A:AL,34,FALSE)-VLOOKUP(A57,'SegEnds_NonXtal_Prot#'!A:AL,31,FALSE)</f>
        <v>35</v>
      </c>
      <c r="AK57" s="1">
        <f>VLOOKUP(A57,'SegEnds_NonXtal_Prot#'!A:AL,37,FALSE)-VLOOKUP(A57,'SegEnds_NonXtal_Prot#'!A:AL,34,FALSE)</f>
        <v>10</v>
      </c>
      <c r="AL57" s="1" t="str">
        <f>IF(ISERROR(MATCH(A57,'SegEnds_Xtal_Prot#'!B:B, 0)), "NoXtal", "Xtal")</f>
        <v>NoXtal</v>
      </c>
    </row>
    <row r="58" spans="1:38" x14ac:dyDescent="0.2">
      <c r="A58" s="1" t="s">
        <v>131</v>
      </c>
      <c r="B58" s="1" t="str">
        <f>VLOOKUP(A58,Xtal_Templ!A:B,2,FALSE)</f>
        <v>5ht1b_human</v>
      </c>
      <c r="C58" s="5">
        <f>VLOOKUP($B58&amp;"__wt",'SegEnds_Xtal_BW#'!$A:$Z,3,FALSE)</f>
        <v>28</v>
      </c>
      <c r="D58" s="1">
        <f>VLOOKUP($B58&amp;"__wt",'SegEnds_Xtal_BW#'!$A:$Z,4,FALSE)</f>
        <v>60</v>
      </c>
      <c r="E58" s="1">
        <f>VLOOKUP($B58&amp;"__wt",'SegEnds_Xtal_BW#'!$A:$Z,5,FALSE)</f>
        <v>48</v>
      </c>
      <c r="F58" s="1">
        <f>VLOOKUP($B58&amp;"__wt",'SegEnds_Xtal_BW#'!$A:$Z,6,FALSE)</f>
        <v>51</v>
      </c>
      <c r="G58" s="1">
        <v>37</v>
      </c>
      <c r="H58" s="12">
        <f>VLOOKUP($B58&amp;"__wt",'SegEnds_Xtal_BW#'!$A:$Z,8,FALSE)</f>
        <v>68</v>
      </c>
      <c r="I58" s="1">
        <f>VLOOKUP($B58&amp;"__wt",'SegEnds_Xtal_BW#'!$A:$Z,9,FALSE)</f>
        <v>49</v>
      </c>
      <c r="J58" s="1">
        <f>VLOOKUP($B58&amp;"__wt",'SegEnds_Xtal_BW#'!$A:$Z,10,FALSE)</f>
        <v>52</v>
      </c>
      <c r="K58" s="12">
        <v>18</v>
      </c>
      <c r="L58" s="1">
        <f>VLOOKUP($B58&amp;"__wt",'SegEnds_Xtal_BW#'!$A:$Z,12,FALSE)</f>
        <v>56</v>
      </c>
      <c r="M58" s="1">
        <f>VLOOKUP($B58&amp;"__wt",'SegEnds_Xtal_BW#'!$A:$Z,13,FALSE)</f>
        <v>50</v>
      </c>
      <c r="N58" s="12">
        <v>57</v>
      </c>
      <c r="O58" s="87">
        <v>38</v>
      </c>
      <c r="P58" s="1">
        <f>VLOOKUP($B58&amp;"__wt",'SegEnds_Xtal_BW#'!$A:$Z,16,FALSE)</f>
        <v>63</v>
      </c>
      <c r="Q58" s="1">
        <f>VLOOKUP($B58&amp;"__wt",'SegEnds_Xtal_BW#'!$A:$Z,17,FALSE)</f>
        <v>50</v>
      </c>
      <c r="R58" s="1">
        <f>VLOOKUP($B58&amp;"__wt",'SegEnds_Xtal_BW#'!$A:$Z,18,FALSE)</f>
        <v>52</v>
      </c>
      <c r="S58" s="1">
        <v>35</v>
      </c>
      <c r="T58" s="1">
        <f t="array" ref="T58">INDEX(ICL3_classA!$G$2:$G$37,MATCH(MIN(ABS(AI58-ICL3_classA!$F$2:$F$37)),ABS(AI58-ICL3_classA!$F$2:$F$37),0))</f>
        <v>76</v>
      </c>
      <c r="U58" s="1">
        <f t="array" ref="U58">INDEX(ICL3_classA!$H$2:$H$37,MATCH(MIN(ABS(AI58-ICL3_classA!$F$2:$F$37)),ABS(AI58-ICL3_classA!$F$2:$F$37),0))</f>
        <v>24</v>
      </c>
      <c r="V58" s="1">
        <v>61</v>
      </c>
      <c r="W58" s="1">
        <v>31</v>
      </c>
      <c r="X58" s="1">
        <f>VLOOKUP($B58&amp;"__wt",'SegEnds_Xtal_BW#'!$A:$Z,24,FALSE)</f>
        <v>56</v>
      </c>
      <c r="Y58" s="1">
        <f>VLOOKUP($B58&amp;"__wt",'SegEnds_Xtal_BW#'!$A:$Z,25,FALSE)</f>
        <v>47</v>
      </c>
      <c r="Z58" s="1">
        <f>VLOOKUP($B58&amp;"__wt",'SegEnds_Xtal_BW#'!$A:$Z,26,FALSE)</f>
        <v>58</v>
      </c>
      <c r="AA58" s="27" t="str">
        <f>VLOOKUP(A58,Classification!A:B,2,FALSE)</f>
        <v>A</v>
      </c>
      <c r="AB58" s="1">
        <f>VLOOKUP(A58,'SegEnds_NonXtal_Prot#'!A:AL,10,FALSE)-VLOOKUP(A58,'SegEnds_NonXtal_Prot#'!A:AL,4,FALSE)</f>
        <v>28</v>
      </c>
      <c r="AC58" s="1">
        <f>VLOOKUP(A58,'SegEnds_NonXtal_Prot#'!A:AL,10,FALSE)-VLOOKUP(A58,'SegEnds_NonXtal_Prot#'!A:AL,7,FALSE)</f>
        <v>15</v>
      </c>
      <c r="AD58" s="1">
        <f>VLOOKUP(A58,'SegEnds_NonXtal_Prot#'!A:AL,13,FALSE)-VLOOKUP(A58,'SegEnds_NonXtal_Prot#'!A:AL,10,FALSE)</f>
        <v>20</v>
      </c>
      <c r="AE58" s="1">
        <f>VLOOKUP(A58,'SegEnds_NonXtal_Prot#'!A:AL,16,FALSE)-VLOOKUP(A58,'SegEnds_NonXtal_Prot#'!A:AL,10,FALSE)</f>
        <v>52</v>
      </c>
      <c r="AF58" s="1">
        <f>VLOOKUP(A58,'SegEnds_NonXtal_Prot#'!A:AL,22,FALSE)-VLOOKUP(A58,'SegEnds_NonXtal_Prot#'!A:AL,19,FALSE)</f>
        <v>20</v>
      </c>
      <c r="AG58" s="1">
        <f>VLOOKUP(A58,'SegEnds_NonXtal_Prot#'!A:AL,28,FALSE)-VLOOKUP(A58,'SegEnds_NonXtal_Prot#'!A:AL,25,FALSE)</f>
        <v>21</v>
      </c>
      <c r="AH58" s="1">
        <f>VLOOKUP(A58,'SegEnds_NonXtal_Prot#'!A:AL,28,FALSE)-VLOOKUP(A58,'SegEnds_NonXtal_Prot#'!A:AL,22,FALSE)</f>
        <v>45</v>
      </c>
      <c r="AI58" s="1">
        <f>VLOOKUP(A58,'SegEnds_NonXtal_Prot#'!A:AL,31,FALSE)-VLOOKUP(A58,'SegEnds_NonXtal_Prot#'!A:AL,28,FALSE)</f>
        <v>115</v>
      </c>
      <c r="AJ58" s="1">
        <f>VLOOKUP(A58,'SegEnds_NonXtal_Prot#'!A:AL,34,FALSE)-VLOOKUP(A58,'SegEnds_NonXtal_Prot#'!A:AL,31,FALSE)</f>
        <v>36</v>
      </c>
      <c r="AK58" s="1">
        <f>VLOOKUP(A58,'SegEnds_NonXtal_Prot#'!A:AL,37,FALSE)-VLOOKUP(A58,'SegEnds_NonXtal_Prot#'!A:AL,34,FALSE)</f>
        <v>10</v>
      </c>
      <c r="AL58" s="1" t="str">
        <f>IF(ISERROR(MATCH(A58,'SegEnds_Xtal_Prot#'!B:B, 0)), "NoXtal", "Xtal")</f>
        <v>NoXtal</v>
      </c>
    </row>
    <row r="59" spans="1:38" x14ac:dyDescent="0.2">
      <c r="A59" s="1" t="s">
        <v>138</v>
      </c>
      <c r="B59" s="1" t="str">
        <f>VLOOKUP(A59,Xtal_Templ!A:B,2,FALSE)</f>
        <v>aa1r_human</v>
      </c>
      <c r="C59" s="5">
        <f>VLOOKUP($B59&amp;"__wt",'SegEnds_Xtal_BW#'!$A:$Z,3,FALSE)</f>
        <v>29</v>
      </c>
      <c r="D59" s="1">
        <f>VLOOKUP($B59&amp;"__wt",'SegEnds_Xtal_BW#'!$A:$Z,4,FALSE)</f>
        <v>60</v>
      </c>
      <c r="E59" s="1">
        <f>VLOOKUP($B59&amp;"__wt",'SegEnds_Xtal_BW#'!$A:$Z,5,FALSE)</f>
        <v>48</v>
      </c>
      <c r="F59" s="1">
        <f>VLOOKUP($B59&amp;"__wt",'SegEnds_Xtal_BW#'!$A:$Z,6,FALSE)</f>
        <v>51</v>
      </c>
      <c r="G59" s="1">
        <v>37</v>
      </c>
      <c r="H59" s="12">
        <v>66</v>
      </c>
      <c r="I59" s="1">
        <f>VLOOKUP($B59&amp;"__wt",'SegEnds_Xtal_BW#'!$A:$Z,9,FALSE)</f>
        <v>50</v>
      </c>
      <c r="J59" s="1">
        <f>VLOOKUP($B59&amp;"__wt",'SegEnds_Xtal_BW#'!$A:$Z,10,FALSE)</f>
        <v>52</v>
      </c>
      <c r="K59" s="12">
        <v>24</v>
      </c>
      <c r="L59" s="1">
        <f>VLOOKUP($B59&amp;"__wt",'SegEnds_Xtal_BW#'!$A:$Z,12,FALSE)</f>
        <v>56</v>
      </c>
      <c r="M59" s="1">
        <f>VLOOKUP($B59&amp;"__wt",'SegEnds_Xtal_BW#'!$A:$Z,13,FALSE)</f>
        <v>50</v>
      </c>
      <c r="N59" s="12">
        <v>57</v>
      </c>
      <c r="O59" s="87">
        <v>38</v>
      </c>
      <c r="P59" s="1">
        <f>VLOOKUP($B59&amp;"__wt",'SegEnds_Xtal_BW#'!$A:$Z,16,FALSE)</f>
        <v>63</v>
      </c>
      <c r="Q59" s="1">
        <f>VLOOKUP($B59&amp;"__wt",'SegEnds_Xtal_BW#'!$A:$Z,17,FALSE)</f>
        <v>50</v>
      </c>
      <c r="R59" s="1">
        <f>VLOOKUP($B59&amp;"__wt",'SegEnds_Xtal_BW#'!$A:$Z,18,FALSE)</f>
        <v>52</v>
      </c>
      <c r="S59" s="1">
        <f>VLOOKUP($B59&amp;"__wt",'SegEnds_Xtal_BW#'!$A:$Z,19,FALSE)</f>
        <v>34</v>
      </c>
      <c r="T59" s="1">
        <f t="array" ref="T59">INDEX(ICL3_classA!$G$2:$G$37,MATCH(MIN(ABS(AI59-ICL3_classA!$F$2:$F$37)),ABS(AI59-ICL3_classA!$F$2:$F$37),0))</f>
        <v>73</v>
      </c>
      <c r="U59" s="1">
        <f t="array" ref="U59">INDEX(ICL3_classA!$H$2:$H$37,MATCH(MIN(ABS(AI59-ICL3_classA!$F$2:$F$37)),ABS(AI59-ICL3_classA!$F$2:$F$37),0))</f>
        <v>22</v>
      </c>
      <c r="V59" s="1">
        <v>61</v>
      </c>
      <c r="W59" s="1">
        <v>31</v>
      </c>
      <c r="X59" s="1">
        <f>VLOOKUP($B59&amp;"__wt",'SegEnds_Xtal_BW#'!$A:$Z,24,FALSE)</f>
        <v>56</v>
      </c>
      <c r="Y59" s="1">
        <f>VLOOKUP($B59&amp;"__wt",'SegEnds_Xtal_BW#'!$A:$Z,25,FALSE)</f>
        <v>47</v>
      </c>
      <c r="Z59" s="1">
        <f>VLOOKUP($B59&amp;"__wt",'SegEnds_Xtal_BW#'!$A:$Z,26,FALSE)</f>
        <v>69</v>
      </c>
      <c r="AA59" s="27" t="str">
        <f>VLOOKUP(A59,Classification!A:B,2,FALSE)</f>
        <v>A</v>
      </c>
      <c r="AB59" s="1">
        <f>VLOOKUP(A59,'SegEnds_NonXtal_Prot#'!A:AL,10,FALSE)-VLOOKUP(A59,'SegEnds_NonXtal_Prot#'!A:AL,4,FALSE)</f>
        <v>28</v>
      </c>
      <c r="AC59" s="1">
        <f>VLOOKUP(A59,'SegEnds_NonXtal_Prot#'!A:AL,10,FALSE)-VLOOKUP(A59,'SegEnds_NonXtal_Prot#'!A:AL,7,FALSE)</f>
        <v>15</v>
      </c>
      <c r="AD59" s="1">
        <f>VLOOKUP(A59,'SegEnds_NonXtal_Prot#'!A:AL,13,FALSE)-VLOOKUP(A59,'SegEnds_NonXtal_Prot#'!A:AL,10,FALSE)</f>
        <v>18</v>
      </c>
      <c r="AE59" s="1">
        <f>VLOOKUP(A59,'SegEnds_NonXtal_Prot#'!A:AL,16,FALSE)-VLOOKUP(A59,'SegEnds_NonXtal_Prot#'!A:AL,10,FALSE)</f>
        <v>50</v>
      </c>
      <c r="AF59" s="1">
        <f>VLOOKUP(A59,'SegEnds_NonXtal_Prot#'!A:AL,22,FALSE)-VLOOKUP(A59,'SegEnds_NonXtal_Prot#'!A:AL,19,FALSE)</f>
        <v>20</v>
      </c>
      <c r="AG59" s="1">
        <f>VLOOKUP(A59,'SegEnds_NonXtal_Prot#'!A:AL,28,FALSE)-VLOOKUP(A59,'SegEnds_NonXtal_Prot#'!A:AL,25,FALSE)</f>
        <v>23</v>
      </c>
      <c r="AH59" s="1">
        <f>VLOOKUP(A59,'SegEnds_NonXtal_Prot#'!A:AL,28,FALSE)-VLOOKUP(A59,'SegEnds_NonXtal_Prot#'!A:AL,22,FALSE)</f>
        <v>60</v>
      </c>
      <c r="AI59" s="1">
        <f>VLOOKUP(A59,'SegEnds_NonXtal_Prot#'!A:AL,31,FALSE)-VLOOKUP(A59,'SegEnds_NonXtal_Prot#'!A:AL,28,FALSE)</f>
        <v>57</v>
      </c>
      <c r="AJ59" s="1">
        <f>VLOOKUP(A59,'SegEnds_NonXtal_Prot#'!A:AL,34,FALSE)-VLOOKUP(A59,'SegEnds_NonXtal_Prot#'!A:AL,31,FALSE)</f>
        <v>36</v>
      </c>
      <c r="AK59" s="1">
        <f>VLOOKUP(A59,'SegEnds_NonXtal_Prot#'!A:AL,37,FALSE)-VLOOKUP(A59,'SegEnds_NonXtal_Prot#'!A:AL,34,FALSE)</f>
        <v>10</v>
      </c>
      <c r="AL59" s="1" t="str">
        <f>IF(ISERROR(MATCH(A59,'SegEnds_Xtal_Prot#'!B:B, 0)), "NoXtal", "Xtal")</f>
        <v>Xtal</v>
      </c>
    </row>
    <row r="60" spans="1:38" x14ac:dyDescent="0.2">
      <c r="A60" s="1" t="s">
        <v>152</v>
      </c>
      <c r="B60" s="1" t="str">
        <f>VLOOKUP(A60,Xtal_Templ!A:B,2,FALSE)</f>
        <v>drd2_human</v>
      </c>
      <c r="C60" s="5">
        <f>VLOOKUP($B60&amp;"__wt",'SegEnds_Xtal_BW#'!$A:$Z,3,FALSE)</f>
        <v>29</v>
      </c>
      <c r="D60" s="1">
        <f>VLOOKUP($B60&amp;"__wt",'SegEnds_Xtal_BW#'!$A:$Z,4,FALSE)</f>
        <v>60</v>
      </c>
      <c r="E60" s="1">
        <f>VLOOKUP($B60&amp;"__wt",'SegEnds_Xtal_BW#'!$A:$Z,5,FALSE)</f>
        <v>48</v>
      </c>
      <c r="F60" s="1">
        <f>VLOOKUP($B60&amp;"__wt",'SegEnds_Xtal_BW#'!$A:$Z,6,FALSE)</f>
        <v>51</v>
      </c>
      <c r="G60" s="1">
        <v>37</v>
      </c>
      <c r="H60" s="12">
        <f>VLOOKUP($B60&amp;"__wt",'SegEnds_Xtal_BW#'!$A:$Z,8,FALSE)</f>
        <v>68</v>
      </c>
      <c r="I60" s="1">
        <f>VLOOKUP($B60&amp;"__wt",'SegEnds_Xtal_BW#'!$A:$Z,9,FALSE)</f>
        <v>49</v>
      </c>
      <c r="J60" s="1">
        <f>VLOOKUP($B60&amp;"__wt",'SegEnds_Xtal_BW#'!$A:$Z,10,FALSE)</f>
        <v>52</v>
      </c>
      <c r="K60" s="12">
        <v>18</v>
      </c>
      <c r="L60" s="1">
        <f>VLOOKUP($B60&amp;"__wt",'SegEnds_Xtal_BW#'!$A:$Z,12,FALSE)</f>
        <v>56</v>
      </c>
      <c r="M60" s="1">
        <f>VLOOKUP($B60&amp;"__wt",'SegEnds_Xtal_BW#'!$A:$Z,13,FALSE)</f>
        <v>50</v>
      </c>
      <c r="N60" s="12">
        <v>57</v>
      </c>
      <c r="O60" s="87">
        <v>38</v>
      </c>
      <c r="P60" s="1">
        <f>VLOOKUP($B60&amp;"__wt",'SegEnds_Xtal_BW#'!$A:$Z,16,FALSE)</f>
        <v>62</v>
      </c>
      <c r="Q60" s="1">
        <f>VLOOKUP($B60&amp;"__wt",'SegEnds_Xtal_BW#'!$A:$Z,17,FALSE)</f>
        <v>50</v>
      </c>
      <c r="R60" s="1">
        <f>VLOOKUP($B60&amp;"__wt",'SegEnds_Xtal_BW#'!$A:$Z,18,FALSE)</f>
        <v>52</v>
      </c>
      <c r="S60" s="1">
        <v>35</v>
      </c>
      <c r="T60" s="1">
        <f t="array" ref="T60">INDEX(ICL3_classA!$G$2:$G$37,MATCH(MIN(ABS(AI60-ICL3_classA!$F$2:$F$37)),ABS(AI60-ICL3_classA!$F$2:$F$37),0))</f>
        <v>76</v>
      </c>
      <c r="U60" s="1">
        <f t="array" ref="U60">INDEX(ICL3_classA!$H$2:$H$37,MATCH(MIN(ABS(AI60-ICL3_classA!$F$2:$F$37)),ABS(AI60-ICL3_classA!$F$2:$F$37),0))</f>
        <v>24</v>
      </c>
      <c r="V60" s="1">
        <v>61</v>
      </c>
      <c r="W60" s="1">
        <v>31</v>
      </c>
      <c r="X60" s="108">
        <v>56</v>
      </c>
      <c r="Y60" s="1">
        <f>VLOOKUP($B60&amp;"__wt",'SegEnds_Xtal_BW#'!$A:$Z,25,FALSE)</f>
        <v>47</v>
      </c>
      <c r="Z60" s="1">
        <f>VLOOKUP($B60&amp;"__wt",'SegEnds_Xtal_BW#'!$A:$Z,26,FALSE)</f>
        <v>59</v>
      </c>
      <c r="AA60" s="27" t="str">
        <f>VLOOKUP(A60,Classification!A:B,2,FALSE)</f>
        <v>A</v>
      </c>
      <c r="AB60" s="1">
        <f>VLOOKUP(A60,'SegEnds_NonXtal_Prot#'!A:AL,10,FALSE)-VLOOKUP(A60,'SegEnds_NonXtal_Prot#'!A:AL,4,FALSE)</f>
        <v>28</v>
      </c>
      <c r="AC60" s="1">
        <f>VLOOKUP(A60,'SegEnds_NonXtal_Prot#'!A:AL,10,FALSE)-VLOOKUP(A60,'SegEnds_NonXtal_Prot#'!A:AL,7,FALSE)</f>
        <v>15</v>
      </c>
      <c r="AD60" s="1">
        <f>VLOOKUP(A60,'SegEnds_NonXtal_Prot#'!A:AL,13,FALSE)-VLOOKUP(A60,'SegEnds_NonXtal_Prot#'!A:AL,10,FALSE)</f>
        <v>20</v>
      </c>
      <c r="AE60" s="1">
        <f>VLOOKUP(A60,'SegEnds_NonXtal_Prot#'!A:AL,16,FALSE)-VLOOKUP(A60,'SegEnds_NonXtal_Prot#'!A:AL,10,FALSE)</f>
        <v>52</v>
      </c>
      <c r="AF60" s="1">
        <f>VLOOKUP(A60,'SegEnds_NonXtal_Prot#'!A:AL,22,FALSE)-VLOOKUP(A60,'SegEnds_NonXtal_Prot#'!A:AL,19,FALSE)</f>
        <v>20</v>
      </c>
      <c r="AG60" s="1">
        <f>VLOOKUP(A60,'SegEnds_NonXtal_Prot#'!A:AL,28,FALSE)-VLOOKUP(A60,'SegEnds_NonXtal_Prot#'!A:AL,25,FALSE)</f>
        <v>20</v>
      </c>
      <c r="AH60" s="1">
        <f>VLOOKUP(A60,'SegEnds_NonXtal_Prot#'!A:AL,28,FALSE)-VLOOKUP(A60,'SegEnds_NonXtal_Prot#'!A:AL,22,FALSE)</f>
        <v>45</v>
      </c>
      <c r="AI60" s="1">
        <f>VLOOKUP(A60,'SegEnds_NonXtal_Prot#'!A:AL,31,FALSE)-VLOOKUP(A60,'SegEnds_NonXtal_Prot#'!A:AL,28,FALSE)</f>
        <v>91</v>
      </c>
      <c r="AJ60" s="1">
        <f>VLOOKUP(A60,'SegEnds_NonXtal_Prot#'!A:AL,34,FALSE)-VLOOKUP(A60,'SegEnds_NonXtal_Prot#'!A:AL,31,FALSE)</f>
        <v>36</v>
      </c>
      <c r="AK60" s="1">
        <f>VLOOKUP(A60,'SegEnds_NonXtal_Prot#'!A:AL,37,FALSE)-VLOOKUP(A60,'SegEnds_NonXtal_Prot#'!A:AL,34,FALSE)</f>
        <v>10</v>
      </c>
      <c r="AL60" s="1" t="str">
        <f>IF(ISERROR(MATCH(A60,'SegEnds_Xtal_Prot#'!B:B, 0)), "NoXtal", "Xtal")</f>
        <v>NoXtal</v>
      </c>
    </row>
    <row r="61" spans="1:38" x14ac:dyDescent="0.2">
      <c r="A61" s="1" t="s">
        <v>153</v>
      </c>
      <c r="B61" s="1" t="str">
        <f>VLOOKUP(A61,Xtal_Templ!A:B,2,FALSE)</f>
        <v>drd2_human</v>
      </c>
      <c r="C61" s="5">
        <f>VLOOKUP($B61&amp;"__wt",'SegEnds_Xtal_BW#'!$A:$Z,3,FALSE)</f>
        <v>29</v>
      </c>
      <c r="D61" s="1">
        <f>VLOOKUP($B61&amp;"__wt",'SegEnds_Xtal_BW#'!$A:$Z,4,FALSE)</f>
        <v>60</v>
      </c>
      <c r="E61" s="1">
        <f>VLOOKUP($B61&amp;"__wt",'SegEnds_Xtal_BW#'!$A:$Z,5,FALSE)</f>
        <v>48</v>
      </c>
      <c r="F61" s="1">
        <f>VLOOKUP($B61&amp;"__wt",'SegEnds_Xtal_BW#'!$A:$Z,6,FALSE)</f>
        <v>51</v>
      </c>
      <c r="G61" s="1">
        <v>37</v>
      </c>
      <c r="H61" s="12">
        <f>VLOOKUP($B61&amp;"__wt",'SegEnds_Xtal_BW#'!$A:$Z,8,FALSE)</f>
        <v>68</v>
      </c>
      <c r="I61" s="1">
        <f>VLOOKUP($B61&amp;"__wt",'SegEnds_Xtal_BW#'!$A:$Z,9,FALSE)</f>
        <v>49</v>
      </c>
      <c r="J61" s="1">
        <f>VLOOKUP($B61&amp;"__wt",'SegEnds_Xtal_BW#'!$A:$Z,10,FALSE)</f>
        <v>52</v>
      </c>
      <c r="K61" s="12">
        <v>18</v>
      </c>
      <c r="L61" s="1">
        <f>VLOOKUP($B61&amp;"__wt",'SegEnds_Xtal_BW#'!$A:$Z,12,FALSE)</f>
        <v>56</v>
      </c>
      <c r="M61" s="1">
        <f>VLOOKUP($B61&amp;"__wt",'SegEnds_Xtal_BW#'!$A:$Z,13,FALSE)</f>
        <v>50</v>
      </c>
      <c r="N61" s="12">
        <v>57</v>
      </c>
      <c r="O61" s="87">
        <v>38</v>
      </c>
      <c r="P61" s="1">
        <f>VLOOKUP($B61&amp;"__wt",'SegEnds_Xtal_BW#'!$A:$Z,16,FALSE)</f>
        <v>62</v>
      </c>
      <c r="Q61" s="1">
        <f>VLOOKUP($B61&amp;"__wt",'SegEnds_Xtal_BW#'!$A:$Z,17,FALSE)</f>
        <v>50</v>
      </c>
      <c r="R61" s="1">
        <f>VLOOKUP($B61&amp;"__wt",'SegEnds_Xtal_BW#'!$A:$Z,18,FALSE)</f>
        <v>52</v>
      </c>
      <c r="S61" s="1">
        <v>35</v>
      </c>
      <c r="T61" s="1">
        <f t="array" ref="T61">INDEX(ICL3_classA!$G$2:$G$37,MATCH(MIN(ABS(AI61-ICL3_classA!$F$2:$F$37)),ABS(AI61-ICL3_classA!$F$2:$F$37),0))</f>
        <v>74</v>
      </c>
      <c r="U61" s="1">
        <f t="array" ref="U61">INDEX(ICL3_classA!$H$2:$H$37,MATCH(MIN(ABS(AI61-ICL3_classA!$F$2:$F$37)),ABS(AI61-ICL3_classA!$F$2:$F$37),0))</f>
        <v>24</v>
      </c>
      <c r="V61" s="1">
        <v>61</v>
      </c>
      <c r="W61" s="1">
        <v>31</v>
      </c>
      <c r="X61" s="1">
        <f>VLOOKUP($B61&amp;"__wt",'SegEnds_Xtal_BW#'!$A:$Z,24,FALSE)</f>
        <v>56</v>
      </c>
      <c r="Y61" s="1">
        <f>VLOOKUP($B61&amp;"__wt",'SegEnds_Xtal_BW#'!$A:$Z,25,FALSE)</f>
        <v>47</v>
      </c>
      <c r="Z61" s="1">
        <f>VLOOKUP($B61&amp;"__wt",'SegEnds_Xtal_BW#'!$A:$Z,26,FALSE)</f>
        <v>59</v>
      </c>
      <c r="AA61" s="27" t="str">
        <f>VLOOKUP(A61,Classification!A:B,2,FALSE)</f>
        <v>A</v>
      </c>
      <c r="AB61" s="1">
        <f>VLOOKUP(A61,'SegEnds_NonXtal_Prot#'!A:AL,10,FALSE)-VLOOKUP(A61,'SegEnds_NonXtal_Prot#'!A:AL,4,FALSE)</f>
        <v>28</v>
      </c>
      <c r="AC61" s="1">
        <f>VLOOKUP(A61,'SegEnds_NonXtal_Prot#'!A:AL,10,FALSE)-VLOOKUP(A61,'SegEnds_NonXtal_Prot#'!A:AL,7,FALSE)</f>
        <v>15</v>
      </c>
      <c r="AD61" s="1">
        <f>VLOOKUP(A61,'SegEnds_NonXtal_Prot#'!A:AL,13,FALSE)-VLOOKUP(A61,'SegEnds_NonXtal_Prot#'!A:AL,10,FALSE)</f>
        <v>20</v>
      </c>
      <c r="AE61" s="1">
        <f>VLOOKUP(A61,'SegEnds_NonXtal_Prot#'!A:AL,16,FALSE)-VLOOKUP(A61,'SegEnds_NonXtal_Prot#'!A:AL,10,FALSE)</f>
        <v>52</v>
      </c>
      <c r="AF61" s="1">
        <f>VLOOKUP(A61,'SegEnds_NonXtal_Prot#'!A:AL,22,FALSE)-VLOOKUP(A61,'SegEnds_NonXtal_Prot#'!A:AL,19,FALSE)</f>
        <v>20</v>
      </c>
      <c r="AG61" s="1">
        <f>VLOOKUP(A61,'SegEnds_NonXtal_Prot#'!A:AL,28,FALSE)-VLOOKUP(A61,'SegEnds_NonXtal_Prot#'!A:AL,25,FALSE)</f>
        <v>20</v>
      </c>
      <c r="AH61" s="1">
        <f>VLOOKUP(A61,'SegEnds_NonXtal_Prot#'!A:AL,28,FALSE)-VLOOKUP(A61,'SegEnds_NonXtal_Prot#'!A:AL,22,FALSE)</f>
        <v>45</v>
      </c>
      <c r="AI61" s="1">
        <f>VLOOKUP(A61,'SegEnds_NonXtal_Prot#'!A:AL,31,FALSE)-VLOOKUP(A61,'SegEnds_NonXtal_Prot#'!A:AL,28,FALSE)</f>
        <v>94</v>
      </c>
      <c r="AJ61" s="1">
        <f>VLOOKUP(A61,'SegEnds_NonXtal_Prot#'!A:AL,34,FALSE)-VLOOKUP(A61,'SegEnds_NonXtal_Prot#'!A:AL,31,FALSE)</f>
        <v>36</v>
      </c>
      <c r="AK61" s="1">
        <f>VLOOKUP(A61,'SegEnds_NonXtal_Prot#'!A:AL,37,FALSE)-VLOOKUP(A61,'SegEnds_NonXtal_Prot#'!A:AL,34,FALSE)</f>
        <v>10</v>
      </c>
      <c r="AL61" s="1" t="str">
        <f>IF(ISERROR(MATCH(A61,'SegEnds_Xtal_Prot#'!B:B, 0)), "NoXtal", "Xtal")</f>
        <v>NoXtal</v>
      </c>
    </row>
    <row r="62" spans="1:38" x14ac:dyDescent="0.2">
      <c r="A62" s="1" t="s">
        <v>154</v>
      </c>
      <c r="B62" s="1" t="str">
        <f>VLOOKUP(A62,Xtal_Templ!A:B,2,FALSE)</f>
        <v>drd2_human</v>
      </c>
      <c r="C62" s="5">
        <f>VLOOKUP($B62&amp;"__wt",'SegEnds_Xtal_BW#'!$A:$Z,3,FALSE)</f>
        <v>29</v>
      </c>
      <c r="D62" s="1">
        <f>VLOOKUP($B62&amp;"__wt",'SegEnds_Xtal_BW#'!$A:$Z,4,FALSE)</f>
        <v>60</v>
      </c>
      <c r="E62" s="1">
        <f>VLOOKUP($B62&amp;"__wt",'SegEnds_Xtal_BW#'!$A:$Z,5,FALSE)</f>
        <v>48</v>
      </c>
      <c r="F62" s="1">
        <f>VLOOKUP($B62&amp;"__wt",'SegEnds_Xtal_BW#'!$A:$Z,6,FALSE)</f>
        <v>51</v>
      </c>
      <c r="G62" s="1">
        <v>37</v>
      </c>
      <c r="H62" s="12">
        <f>VLOOKUP($B62&amp;"__wt",'SegEnds_Xtal_BW#'!$A:$Z,8,FALSE)</f>
        <v>68</v>
      </c>
      <c r="I62" s="1">
        <f>VLOOKUP($B62&amp;"__wt",'SegEnds_Xtal_BW#'!$A:$Z,9,FALSE)</f>
        <v>49</v>
      </c>
      <c r="J62" s="1">
        <f>VLOOKUP($B62&amp;"__wt",'SegEnds_Xtal_BW#'!$A:$Z,10,FALSE)</f>
        <v>52</v>
      </c>
      <c r="K62" s="12">
        <v>18</v>
      </c>
      <c r="L62" s="1">
        <f>VLOOKUP($B62&amp;"__wt",'SegEnds_Xtal_BW#'!$A:$Z,12,FALSE)</f>
        <v>56</v>
      </c>
      <c r="M62" s="1">
        <f>VLOOKUP($B62&amp;"__wt",'SegEnds_Xtal_BW#'!$A:$Z,13,FALSE)</f>
        <v>50</v>
      </c>
      <c r="N62" s="12">
        <v>57</v>
      </c>
      <c r="O62" s="87">
        <v>38</v>
      </c>
      <c r="P62" s="1">
        <f>VLOOKUP($B62&amp;"__wt",'SegEnds_Xtal_BW#'!$A:$Z,16,FALSE)</f>
        <v>62</v>
      </c>
      <c r="Q62" s="1">
        <f>VLOOKUP($B62&amp;"__wt",'SegEnds_Xtal_BW#'!$A:$Z,17,FALSE)</f>
        <v>50</v>
      </c>
      <c r="R62" s="1">
        <f>VLOOKUP($B62&amp;"__wt",'SegEnds_Xtal_BW#'!$A:$Z,18,FALSE)</f>
        <v>52</v>
      </c>
      <c r="S62" s="1">
        <v>35</v>
      </c>
      <c r="T62" s="1">
        <f t="array" ref="T62">INDEX(ICL3_classA!$G$2:$G$37,MATCH(MIN(ABS(AI62-ICL3_classA!$F$2:$F$37)),ABS(AI62-ICL3_classA!$F$2:$F$37),0))</f>
        <v>74</v>
      </c>
      <c r="U62" s="1">
        <f t="array" ref="U62">INDEX(ICL3_classA!$H$2:$H$37,MATCH(MIN(ABS(AI62-ICL3_classA!$F$2:$F$37)),ABS(AI62-ICL3_classA!$F$2:$F$37),0))</f>
        <v>24</v>
      </c>
      <c r="V62" s="1">
        <v>61</v>
      </c>
      <c r="W62" s="1">
        <v>31</v>
      </c>
      <c r="X62" s="108">
        <v>56</v>
      </c>
      <c r="Y62" s="1">
        <f>VLOOKUP($B62&amp;"__wt",'SegEnds_Xtal_BW#'!$A:$Z,25,FALSE)</f>
        <v>47</v>
      </c>
      <c r="Z62" s="1">
        <f>VLOOKUP($B62&amp;"__wt",'SegEnds_Xtal_BW#'!$A:$Z,26,FALSE)</f>
        <v>59</v>
      </c>
      <c r="AA62" s="27" t="str">
        <f>VLOOKUP(A62,Classification!A:B,2,FALSE)</f>
        <v>A</v>
      </c>
      <c r="AB62" s="1">
        <f>VLOOKUP(A62,'SegEnds_NonXtal_Prot#'!A:AL,10,FALSE)-VLOOKUP(A62,'SegEnds_NonXtal_Prot#'!A:AL,4,FALSE)</f>
        <v>28</v>
      </c>
      <c r="AC62" s="1">
        <f>VLOOKUP(A62,'SegEnds_NonXtal_Prot#'!A:AL,10,FALSE)-VLOOKUP(A62,'SegEnds_NonXtal_Prot#'!A:AL,7,FALSE)</f>
        <v>15</v>
      </c>
      <c r="AD62" s="1">
        <f>VLOOKUP(A62,'SegEnds_NonXtal_Prot#'!A:AL,13,FALSE)-VLOOKUP(A62,'SegEnds_NonXtal_Prot#'!A:AL,10,FALSE)</f>
        <v>20</v>
      </c>
      <c r="AE62" s="1">
        <f>VLOOKUP(A62,'SegEnds_NonXtal_Prot#'!A:AL,16,FALSE)-VLOOKUP(A62,'SegEnds_NonXtal_Prot#'!A:AL,10,FALSE)</f>
        <v>52</v>
      </c>
      <c r="AF62" s="1">
        <f>VLOOKUP(A62,'SegEnds_NonXtal_Prot#'!A:AL,22,FALSE)-VLOOKUP(A62,'SegEnds_NonXtal_Prot#'!A:AL,19,FALSE)</f>
        <v>20</v>
      </c>
      <c r="AG62" s="1">
        <f>VLOOKUP(A62,'SegEnds_NonXtal_Prot#'!A:AL,28,FALSE)-VLOOKUP(A62,'SegEnds_NonXtal_Prot#'!A:AL,25,FALSE)</f>
        <v>20</v>
      </c>
      <c r="AH62" s="1">
        <f>VLOOKUP(A62,'SegEnds_NonXtal_Prot#'!A:AL,28,FALSE)-VLOOKUP(A62,'SegEnds_NonXtal_Prot#'!A:AL,22,FALSE)</f>
        <v>45</v>
      </c>
      <c r="AI62" s="1">
        <f>VLOOKUP(A62,'SegEnds_NonXtal_Prot#'!A:AL,31,FALSE)-VLOOKUP(A62,'SegEnds_NonXtal_Prot#'!A:AL,28,FALSE)</f>
        <v>97</v>
      </c>
      <c r="AJ62" s="1">
        <f>VLOOKUP(A62,'SegEnds_NonXtal_Prot#'!A:AL,34,FALSE)-VLOOKUP(A62,'SegEnds_NonXtal_Prot#'!A:AL,31,FALSE)</f>
        <v>36</v>
      </c>
      <c r="AK62" s="1">
        <f>VLOOKUP(A62,'SegEnds_NonXtal_Prot#'!A:AL,37,FALSE)-VLOOKUP(A62,'SegEnds_NonXtal_Prot#'!A:AL,34,FALSE)</f>
        <v>10</v>
      </c>
      <c r="AL62" s="1" t="str">
        <f>IF(ISERROR(MATCH(A62,'SegEnds_Xtal_Prot#'!B:B, 0)), "NoXtal", "Xtal")</f>
        <v>NoXtal</v>
      </c>
    </row>
    <row r="63" spans="1:38" x14ac:dyDescent="0.2">
      <c r="A63" s="1" t="s">
        <v>102</v>
      </c>
      <c r="B63" s="1" t="str">
        <f>VLOOKUP(A63,Xtal_Templ!A:B,2,FALSE)</f>
        <v>adrb2_human</v>
      </c>
      <c r="C63" s="5">
        <f>VLOOKUP($B63&amp;"__wt",'SegEnds_Xtal_BW#'!$A:$Z,3,FALSE)</f>
        <v>25</v>
      </c>
      <c r="D63" s="1">
        <f>VLOOKUP($B63&amp;"__wt",'SegEnds_Xtal_BW#'!$A:$Z,4,FALSE)</f>
        <v>60</v>
      </c>
      <c r="E63" s="1">
        <f>VLOOKUP($B63&amp;"__wt",'SegEnds_Xtal_BW#'!$A:$Z,5,FALSE)</f>
        <v>48</v>
      </c>
      <c r="F63" s="1">
        <f>VLOOKUP($B63&amp;"__wt",'SegEnds_Xtal_BW#'!$A:$Z,6,FALSE)</f>
        <v>51</v>
      </c>
      <c r="G63" s="1">
        <v>37</v>
      </c>
      <c r="H63" s="12">
        <f>VLOOKUP($B63&amp;"__wt",'SegEnds_Xtal_BW#'!$A:$Z,8,FALSE)</f>
        <v>67</v>
      </c>
      <c r="I63" s="1">
        <f>VLOOKUP($B63&amp;"__wt",'SegEnds_Xtal_BW#'!$A:$Z,9,FALSE)</f>
        <v>49</v>
      </c>
      <c r="J63" s="1">
        <f>VLOOKUP($B63&amp;"__wt",'SegEnds_Xtal_BW#'!$A:$Z,10,FALSE)</f>
        <v>52</v>
      </c>
      <c r="K63" s="12">
        <v>18</v>
      </c>
      <c r="L63" s="1">
        <f>VLOOKUP($B63&amp;"__wt",'SegEnds_Xtal_BW#'!$A:$Z,12,FALSE)</f>
        <v>56</v>
      </c>
      <c r="M63" s="1">
        <f>VLOOKUP($B63&amp;"__wt",'SegEnds_Xtal_BW#'!$A:$Z,13,FALSE)</f>
        <v>50</v>
      </c>
      <c r="N63" s="12">
        <v>57</v>
      </c>
      <c r="O63" s="87">
        <v>38</v>
      </c>
      <c r="P63" s="1">
        <f>VLOOKUP($B63&amp;"__wt",'SegEnds_Xtal_BW#'!$A:$Z,16,FALSE)</f>
        <v>64</v>
      </c>
      <c r="Q63" s="1">
        <f>VLOOKUP($B63&amp;"__wt",'SegEnds_Xtal_BW#'!$A:$Z,17,FALSE)</f>
        <v>50</v>
      </c>
      <c r="R63" s="1">
        <f>VLOOKUP($B63&amp;"__wt",'SegEnds_Xtal_BW#'!$A:$Z,18,FALSE)</f>
        <v>52</v>
      </c>
      <c r="S63" s="1">
        <v>35</v>
      </c>
      <c r="T63" s="1">
        <f t="array" ref="T63">INDEX(ICL3_classA!$G$2:$G$37,MATCH(MIN(ABS(AI63-ICL3_classA!$F$2:$F$37)),ABS(AI63-ICL3_classA!$F$2:$F$37),0))</f>
        <v>76</v>
      </c>
      <c r="U63" s="1">
        <f t="array" ref="U63">INDEX(ICL3_classA!$H$2:$H$37,MATCH(MIN(ABS(AI63-ICL3_classA!$F$2:$F$37)),ABS(AI63-ICL3_classA!$F$2:$F$37),0))</f>
        <v>24</v>
      </c>
      <c r="V63" s="1">
        <v>61</v>
      </c>
      <c r="W63" s="1">
        <v>31</v>
      </c>
      <c r="X63" s="125">
        <f>VLOOKUP($B63&amp;"__wt",'SegEnds_Xtal_BW#'!$A:$Z,24,FALSE)</f>
        <v>55</v>
      </c>
      <c r="Y63" s="1">
        <f>VLOOKUP($B63&amp;"__wt",'SegEnds_Xtal_BW#'!$A:$Z,25,FALSE)</f>
        <v>47</v>
      </c>
      <c r="Z63" s="1">
        <f>VLOOKUP($B63&amp;"__wt",'SegEnds_Xtal_BW#'!$A:$Z,26,FALSE)</f>
        <v>59</v>
      </c>
      <c r="AA63" s="27" t="str">
        <f>VLOOKUP(A63,Classification!A:B,2,FALSE)</f>
        <v>A</v>
      </c>
      <c r="AB63" s="1">
        <f>VLOOKUP(A63,'SegEnds_NonXtal_Prot#'!A:AL,10,FALSE)-VLOOKUP(A63,'SegEnds_NonXtal_Prot#'!A:AL,4,FALSE)</f>
        <v>28</v>
      </c>
      <c r="AC63" s="1">
        <f>VLOOKUP(A63,'SegEnds_NonXtal_Prot#'!A:AL,10,FALSE)-VLOOKUP(A63,'SegEnds_NonXtal_Prot#'!A:AL,7,FALSE)</f>
        <v>15</v>
      </c>
      <c r="AD63" s="1">
        <f>VLOOKUP(A63,'SegEnds_NonXtal_Prot#'!A:AL,13,FALSE)-VLOOKUP(A63,'SegEnds_NonXtal_Prot#'!A:AL,10,FALSE)</f>
        <v>20</v>
      </c>
      <c r="AE63" s="1">
        <f>VLOOKUP(A63,'SegEnds_NonXtal_Prot#'!A:AL,16,FALSE)-VLOOKUP(A63,'SegEnds_NonXtal_Prot#'!A:AL,10,FALSE)</f>
        <v>52</v>
      </c>
      <c r="AF63" s="1">
        <f>VLOOKUP(A63,'SegEnds_NonXtal_Prot#'!A:AL,22,FALSE)-VLOOKUP(A63,'SegEnds_NonXtal_Prot#'!A:AL,19,FALSE)</f>
        <v>20</v>
      </c>
      <c r="AG63" s="1">
        <f>VLOOKUP(A63,'SegEnds_NonXtal_Prot#'!A:AL,28,FALSE)-VLOOKUP(A63,'SegEnds_NonXtal_Prot#'!A:AL,25,FALSE)</f>
        <v>20</v>
      </c>
      <c r="AH63" s="1">
        <f>VLOOKUP(A63,'SegEnds_NonXtal_Prot#'!A:AL,28,FALSE)-VLOOKUP(A63,'SegEnds_NonXtal_Prot#'!A:AL,22,FALSE)</f>
        <v>54</v>
      </c>
      <c r="AI63" s="1">
        <f>VLOOKUP(A63,'SegEnds_NonXtal_Prot#'!A:AL,31,FALSE)-VLOOKUP(A63,'SegEnds_NonXtal_Prot#'!A:AL,28,FALSE)</f>
        <v>91</v>
      </c>
      <c r="AJ63" s="1">
        <f>VLOOKUP(A63,'SegEnds_NonXtal_Prot#'!A:AL,34,FALSE)-VLOOKUP(A63,'SegEnds_NonXtal_Prot#'!A:AL,31,FALSE)</f>
        <v>36</v>
      </c>
      <c r="AK63" s="1">
        <f>VLOOKUP(A63,'SegEnds_NonXtal_Prot#'!A:AL,37,FALSE)-VLOOKUP(A63,'SegEnds_NonXtal_Prot#'!A:AL,34,FALSE)</f>
        <v>9</v>
      </c>
      <c r="AL63" s="1" t="str">
        <f>IF(ISERROR(MATCH(A63,'SegEnds_Xtal_Prot#'!B:B, 0)), "NoXtal", "Xtal")</f>
        <v>NoXtal</v>
      </c>
    </row>
    <row r="64" spans="1:38" x14ac:dyDescent="0.2">
      <c r="A64" s="1" t="s">
        <v>182</v>
      </c>
      <c r="B64" s="1" t="str">
        <f>VLOOKUP(A64,Xtal_Templ!A:B,2,FALSE)</f>
        <v>cnr1_human</v>
      </c>
      <c r="C64" s="5">
        <f>VLOOKUP($B64&amp;"__wt",'SegEnds_Xtal_BW#'!$A:$Z,3,FALSE)</f>
        <v>28</v>
      </c>
      <c r="D64" s="1">
        <f>VLOOKUP($B64&amp;"__wt",'SegEnds_Xtal_BW#'!$A:$Z,4,FALSE)</f>
        <v>60</v>
      </c>
      <c r="E64" s="1">
        <f>VLOOKUP($B64&amp;"__wt",'SegEnds_Xtal_BW#'!$A:$Z,5,FALSE)</f>
        <v>48</v>
      </c>
      <c r="F64" s="1">
        <f>VLOOKUP($B64&amp;"__wt",'SegEnds_Xtal_BW#'!$A:$Z,6,FALSE)</f>
        <v>51</v>
      </c>
      <c r="G64" s="1">
        <f>VLOOKUP($B64&amp;"__wt",'SegEnds_Xtal_BW#'!$A:$Z,7,FALSE)</f>
        <v>37</v>
      </c>
      <c r="H64" s="12">
        <f>VLOOKUP($B64&amp;"__wt",'SegEnds_Xtal_BW#'!$A:$Z,8,FALSE)</f>
        <v>66</v>
      </c>
      <c r="I64" s="1" t="str">
        <f>VLOOKUP($B64&amp;"__wt",'SegEnds_Xtal_BW#'!$A:$Z,9,FALSE)</f>
        <v>-</v>
      </c>
      <c r="J64" s="1" t="str">
        <f>VLOOKUP($B64&amp;"__wt",'SegEnds_Xtal_BW#'!$A:$Z,10,FALSE)</f>
        <v>-</v>
      </c>
      <c r="K64" s="12">
        <f>VLOOKUP($B64&amp;"__wt",'SegEnds_Xtal_BW#'!$A:$Z,11,FALSE)</f>
        <v>21</v>
      </c>
      <c r="L64" s="1">
        <f>VLOOKUP($B64&amp;"__wt",'SegEnds_Xtal_BW#'!$A:$Z,12,FALSE)</f>
        <v>56</v>
      </c>
      <c r="M64" s="1">
        <f>VLOOKUP($B64&amp;"__wt",'SegEnds_Xtal_BW#'!$A:$Z,13,FALSE)</f>
        <v>50</v>
      </c>
      <c r="N64" s="12">
        <f>VLOOKUP($B64&amp;"__wt",'SegEnds_Xtal_BW#'!$A:$Z,14,FALSE)</f>
        <v>57</v>
      </c>
      <c r="O64" s="87">
        <f>VLOOKUP($B64&amp;"__wt",'SegEnds_Xtal_BW#'!$A:$Z,15,FALSE)</f>
        <v>38</v>
      </c>
      <c r="P64" s="1">
        <f>VLOOKUP($B64&amp;"__wt",'SegEnds_Xtal_BW#'!$A:$Z,16,FALSE)</f>
        <v>63</v>
      </c>
      <c r="Q64" s="1" t="str">
        <f>VLOOKUP($B64&amp;"__wt",'SegEnds_Xtal_BW#'!$A:$Z,17,FALSE)</f>
        <v>-</v>
      </c>
      <c r="R64" s="1" t="str">
        <f>VLOOKUP($B64&amp;"__wt",'SegEnds_Xtal_BW#'!$A:$Z,18,FALSE)</f>
        <v>-</v>
      </c>
      <c r="S64" s="1">
        <f>VLOOKUP($B64&amp;"__wt",'SegEnds_Xtal_BW#'!$A:$Z,19,FALSE)</f>
        <v>36</v>
      </c>
      <c r="T64" s="1">
        <f t="array" ref="T64">INDEX(ICL3_classA!$G$2:$G$37,MATCH(MIN(ABS(AI64-ICL3_classA!$F$2:$F$37)),ABS(AI64-ICL3_classA!$F$2:$F$37),0))</f>
        <v>76</v>
      </c>
      <c r="U64" s="1">
        <f t="array" ref="U64">INDEX(ICL3_classA!$H$2:$H$37,MATCH(MIN(ABS(AI64-ICL3_classA!$F$2:$F$37)),ABS(AI64-ICL3_classA!$F$2:$F$37),0))</f>
        <v>24</v>
      </c>
      <c r="V64" s="1">
        <f>VLOOKUP($B64&amp;"__wt",'SegEnds_Xtal_BW#'!$A:$Z,22,FALSE)</f>
        <v>61</v>
      </c>
      <c r="W64" s="1">
        <f>VLOOKUP($B64&amp;"__wt",'SegEnds_Xtal_BW#'!$A:$Z,23,FALSE)</f>
        <v>28</v>
      </c>
      <c r="X64" s="1">
        <f>VLOOKUP($B64&amp;"__wt",'SegEnds_Xtal_BW#'!$A:$Z,24,FALSE)</f>
        <v>56</v>
      </c>
      <c r="Y64" s="1">
        <f>VLOOKUP($B64&amp;"__wt",'SegEnds_Xtal_BW#'!$A:$Z,25,FALSE)</f>
        <v>47</v>
      </c>
      <c r="Z64" s="1">
        <f>VLOOKUP($B64&amp;"__wt",'SegEnds_Xtal_BW#'!$A:$Z,26,FALSE)</f>
        <v>59</v>
      </c>
      <c r="AA64" s="27" t="str">
        <f>VLOOKUP(A64,Classification!A:B,2,FALSE)</f>
        <v>A</v>
      </c>
      <c r="AB64" s="1">
        <f>VLOOKUP(A64,'SegEnds_NonXtal_Prot#'!A:AL,10,FALSE)-VLOOKUP(A64,'SegEnds_NonXtal_Prot#'!A:AL,4,FALSE)</f>
        <v>29</v>
      </c>
      <c r="AC64" s="1">
        <f>VLOOKUP(A64,'SegEnds_NonXtal_Prot#'!A:AL,10,FALSE)-VLOOKUP(A64,'SegEnds_NonXtal_Prot#'!A:AL,7,FALSE)</f>
        <v>16</v>
      </c>
      <c r="AD64" s="1" t="e">
        <f>VLOOKUP(A64,'SegEnds_NonXtal_Prot#'!A:AL,13,FALSE)-VLOOKUP(A64,'SegEnds_NonXtal_Prot#'!A:AL,10,FALSE)</f>
        <v>#VALUE!</v>
      </c>
      <c r="AE64" s="1">
        <f>VLOOKUP(A64,'SegEnds_NonXtal_Prot#'!A:AL,16,FALSE)-VLOOKUP(A64,'SegEnds_NonXtal_Prot#'!A:AL,10,FALSE)</f>
        <v>51</v>
      </c>
      <c r="AF64" s="1">
        <f>VLOOKUP(A64,'SegEnds_NonXtal_Prot#'!A:AL,22,FALSE)-VLOOKUP(A64,'SegEnds_NonXtal_Prot#'!A:AL,19,FALSE)</f>
        <v>20</v>
      </c>
      <c r="AG64" s="1" t="e">
        <f>VLOOKUP(A64,'SegEnds_NonXtal_Prot#'!A:AL,28,FALSE)-VLOOKUP(A64,'SegEnds_NonXtal_Prot#'!A:AL,25,FALSE)</f>
        <v>#VALUE!</v>
      </c>
      <c r="AH64" s="1">
        <f>VLOOKUP(A64,'SegEnds_NonXtal_Prot#'!A:AL,28,FALSE)-VLOOKUP(A64,'SegEnds_NonXtal_Prot#'!A:AL,22,FALSE)</f>
        <v>45</v>
      </c>
      <c r="AI64" s="1">
        <f>VLOOKUP(A64,'SegEnds_NonXtal_Prot#'!A:AL,31,FALSE)-VLOOKUP(A64,'SegEnds_NonXtal_Prot#'!A:AL,28,FALSE)</f>
        <v>72</v>
      </c>
      <c r="AJ64" s="1">
        <f>VLOOKUP(A64,'SegEnds_NonXtal_Prot#'!A:AL,34,FALSE)-VLOOKUP(A64,'SegEnds_NonXtal_Prot#'!A:AL,31,FALSE)</f>
        <v>36</v>
      </c>
      <c r="AK64" s="1">
        <f>VLOOKUP(A64,'SegEnds_NonXtal_Prot#'!A:AL,37,FALSE)-VLOOKUP(A64,'SegEnds_NonXtal_Prot#'!A:AL,34,FALSE)</f>
        <v>10</v>
      </c>
      <c r="AL64" s="1" t="str">
        <f>IF(ISERROR(MATCH(A64,'SegEnds_Xtal_Prot#'!B:B, 0)), "NoXtal", "Xtal")</f>
        <v>Xtal</v>
      </c>
    </row>
    <row r="65" spans="1:38" x14ac:dyDescent="0.2">
      <c r="A65" s="1" t="s">
        <v>183</v>
      </c>
      <c r="B65" s="1" t="str">
        <f>VLOOKUP(A65,Xtal_Templ!A:B,2,FALSE)</f>
        <v>cnr2_human</v>
      </c>
      <c r="C65" s="5">
        <f>VLOOKUP($B65&amp;"__wt",'SegEnds_Xtal_BW#'!$A:$Z,3,FALSE)</f>
        <v>28</v>
      </c>
      <c r="D65" s="1">
        <f>VLOOKUP($B65&amp;"__wt",'SegEnds_Xtal_BW#'!$A:$Z,4,FALSE)</f>
        <v>60</v>
      </c>
      <c r="E65" s="1">
        <f>VLOOKUP($B65&amp;"__wt",'SegEnds_Xtal_BW#'!$A:$Z,5,FALSE)</f>
        <v>48</v>
      </c>
      <c r="F65" s="1">
        <f>VLOOKUP($B65&amp;"__wt",'SegEnds_Xtal_BW#'!$A:$Z,6,FALSE)</f>
        <v>51</v>
      </c>
      <c r="G65" s="1">
        <v>37</v>
      </c>
      <c r="H65" s="12">
        <v>66</v>
      </c>
      <c r="I65" s="1">
        <v>48</v>
      </c>
      <c r="J65" s="1">
        <v>52</v>
      </c>
      <c r="K65" s="12">
        <v>21</v>
      </c>
      <c r="L65" s="1">
        <f>VLOOKUP($B65&amp;"__wt",'SegEnds_Xtal_BW#'!$A:$Z,12,FALSE)</f>
        <v>56</v>
      </c>
      <c r="M65" s="1">
        <f>VLOOKUP($B65&amp;"__wt",'SegEnds_Xtal_BW#'!$A:$Z,13,FALSE)</f>
        <v>50</v>
      </c>
      <c r="N65" s="12">
        <v>57</v>
      </c>
      <c r="O65" s="87">
        <f>VLOOKUP($B65&amp;"__wt",'SegEnds_Xtal_BW#'!$A:$Z,15,FALSE)</f>
        <v>38</v>
      </c>
      <c r="P65" s="1">
        <f>VLOOKUP($B65&amp;"__wt",'SegEnds_Xtal_BW#'!$A:$Z,16,FALSE)</f>
        <v>63</v>
      </c>
      <c r="Q65" s="1" t="str">
        <f>VLOOKUP($B65&amp;"__wt",'SegEnds_Xtal_BW#'!$A:$Z,17,FALSE)</f>
        <v>-</v>
      </c>
      <c r="R65" s="1" t="str">
        <f>VLOOKUP($B65&amp;"__wt",'SegEnds_Xtal_BW#'!$A:$Z,18,FALSE)</f>
        <v>-</v>
      </c>
      <c r="S65" s="1">
        <f>VLOOKUP($B65&amp;"__wt",'SegEnds_Xtal_BW#'!$A:$Z,19,FALSE)</f>
        <v>36</v>
      </c>
      <c r="T65" s="1">
        <f t="array" ref="T65">INDEX(ICL3_classA!$G$2:$G$37,MATCH(MIN(ABS(AI65-ICL3_classA!$F$2:$F$37)),ABS(AI65-ICL3_classA!$F$2:$F$37),0))</f>
        <v>74</v>
      </c>
      <c r="U65" s="1">
        <f t="array" ref="U65">INDEX(ICL3_classA!$H$2:$H$37,MATCH(MIN(ABS(AI65-ICL3_classA!$F$2:$F$37)),ABS(AI65-ICL3_classA!$F$2:$F$37),0))</f>
        <v>21</v>
      </c>
      <c r="V65" s="1">
        <f>VLOOKUP($B65&amp;"__wt",'SegEnds_Xtal_BW#'!$A:$Z,22,FALSE)</f>
        <v>61</v>
      </c>
      <c r="W65" s="1">
        <f>VLOOKUP($B65&amp;"__wt",'SegEnds_Xtal_BW#'!$A:$Z,23,FALSE)</f>
        <v>28</v>
      </c>
      <c r="X65" s="1">
        <f>VLOOKUP($B65&amp;"__wt",'SegEnds_Xtal_BW#'!$A:$Z,24,FALSE)</f>
        <v>56</v>
      </c>
      <c r="Y65" s="1">
        <f>VLOOKUP($B65&amp;"__wt",'SegEnds_Xtal_BW#'!$A:$Z,25,FALSE)</f>
        <v>47</v>
      </c>
      <c r="Z65" s="1">
        <f>VLOOKUP($B65&amp;"__wt",'SegEnds_Xtal_BW#'!$A:$Z,26,FALSE)</f>
        <v>63</v>
      </c>
      <c r="AA65" s="27" t="str">
        <f>VLOOKUP(A65,Classification!A:B,2,FALSE)</f>
        <v>A</v>
      </c>
      <c r="AB65" s="1">
        <f>VLOOKUP(A65,'SegEnds_NonXtal_Prot#'!A:AL,10,FALSE)-VLOOKUP(A65,'SegEnds_NonXtal_Prot#'!A:AL,4,FALSE)</f>
        <v>29</v>
      </c>
      <c r="AC65" s="1">
        <f>VLOOKUP(A65,'SegEnds_NonXtal_Prot#'!A:AL,10,FALSE)-VLOOKUP(A65,'SegEnds_NonXtal_Prot#'!A:AL,7,FALSE)</f>
        <v>16</v>
      </c>
      <c r="AD65" s="1" t="e">
        <f>VLOOKUP(A65,'SegEnds_NonXtal_Prot#'!A:AL,13,FALSE)-VLOOKUP(A65,'SegEnds_NonXtal_Prot#'!A:AL,10,FALSE)</f>
        <v>#VALUE!</v>
      </c>
      <c r="AE65" s="1">
        <f>VLOOKUP(A65,'SegEnds_NonXtal_Prot#'!A:AL,16,FALSE)-VLOOKUP(A65,'SegEnds_NonXtal_Prot#'!A:AL,10,FALSE)</f>
        <v>51</v>
      </c>
      <c r="AF65" s="1">
        <f>VLOOKUP(A65,'SegEnds_NonXtal_Prot#'!A:AL,22,FALSE)-VLOOKUP(A65,'SegEnds_NonXtal_Prot#'!A:AL,19,FALSE)</f>
        <v>20</v>
      </c>
      <c r="AG65" s="1" t="e">
        <f>VLOOKUP(A65,'SegEnds_NonXtal_Prot#'!A:AL,28,FALSE)-VLOOKUP(A65,'SegEnds_NonXtal_Prot#'!A:AL,25,FALSE)</f>
        <v>#VALUE!</v>
      </c>
      <c r="AH65" s="1">
        <f>VLOOKUP(A65,'SegEnds_NonXtal_Prot#'!A:AL,28,FALSE)-VLOOKUP(A65,'SegEnds_NonXtal_Prot#'!A:AL,22,FALSE)</f>
        <v>43</v>
      </c>
      <c r="AI65" s="1">
        <f>VLOOKUP(A65,'SegEnds_NonXtal_Prot#'!A:AL,31,FALSE)-VLOOKUP(A65,'SegEnds_NonXtal_Prot#'!A:AL,28,FALSE)</f>
        <v>59</v>
      </c>
      <c r="AJ65" s="1">
        <f>VLOOKUP(A65,'SegEnds_NonXtal_Prot#'!A:AL,34,FALSE)-VLOOKUP(A65,'SegEnds_NonXtal_Prot#'!A:AL,31,FALSE)</f>
        <v>36</v>
      </c>
      <c r="AK65" s="1">
        <f>VLOOKUP(A65,'SegEnds_NonXtal_Prot#'!A:AL,37,FALSE)-VLOOKUP(A65,'SegEnds_NonXtal_Prot#'!A:AL,34,FALSE)</f>
        <v>10</v>
      </c>
      <c r="AL65" s="1" t="str">
        <f>IF(ISERROR(MATCH(A65,'SegEnds_Xtal_Prot#'!B:B, 0)), "NoXtal", "Xtal")</f>
        <v>Xtal</v>
      </c>
    </row>
    <row r="66" spans="1:38" x14ac:dyDescent="0.2">
      <c r="A66" s="1" t="s">
        <v>192</v>
      </c>
      <c r="B66" s="1" t="str">
        <f>VLOOKUP(A66,Xtal_Templ!A:B,2,FALSE)</f>
        <v>drd3_human</v>
      </c>
      <c r="C66" s="5">
        <f>VLOOKUP($B66&amp;"__wt",'SegEnds_Xtal_BW#'!$A:$Z,3,FALSE)</f>
        <v>29</v>
      </c>
      <c r="D66" s="1">
        <f>VLOOKUP($B66&amp;"__wt",'SegEnds_Xtal_BW#'!$A:$Z,4,FALSE)</f>
        <v>60</v>
      </c>
      <c r="E66" s="1">
        <f>VLOOKUP($B66&amp;"__wt",'SegEnds_Xtal_BW#'!$A:$Z,5,FALSE)</f>
        <v>48</v>
      </c>
      <c r="F66" s="1">
        <f>VLOOKUP($B66&amp;"__wt",'SegEnds_Xtal_BW#'!$A:$Z,6,FALSE)</f>
        <v>51</v>
      </c>
      <c r="G66" s="1">
        <v>37</v>
      </c>
      <c r="H66" s="12">
        <f>VLOOKUP($B66&amp;"__wt",'SegEnds_Xtal_BW#'!$A:$Z,8,FALSE)</f>
        <v>67</v>
      </c>
      <c r="I66" s="1">
        <f>VLOOKUP($B66&amp;"__wt",'SegEnds_Xtal_BW#'!$A:$Z,9,FALSE)</f>
        <v>49</v>
      </c>
      <c r="J66" s="1">
        <f>VLOOKUP($B66&amp;"__wt",'SegEnds_Xtal_BW#'!$A:$Z,10,FALSE)</f>
        <v>52</v>
      </c>
      <c r="K66" s="12">
        <v>18</v>
      </c>
      <c r="L66" s="1">
        <f>VLOOKUP($B66&amp;"__wt",'SegEnds_Xtal_BW#'!$A:$Z,12,FALSE)</f>
        <v>56</v>
      </c>
      <c r="M66" s="1">
        <f>VLOOKUP($B66&amp;"__wt",'SegEnds_Xtal_BW#'!$A:$Z,13,FALSE)</f>
        <v>50</v>
      </c>
      <c r="N66" s="12">
        <f>VLOOKUP($B66&amp;"__wt",'SegEnds_Xtal_BW#'!$A:$Z,14,FALSE)</f>
        <v>58</v>
      </c>
      <c r="O66" s="87">
        <f>VLOOKUP($B66&amp;"__wt",'SegEnds_Xtal_BW#'!$A:$Z,15,FALSE)</f>
        <v>38</v>
      </c>
      <c r="P66" s="1">
        <f>VLOOKUP($B66&amp;"__wt",'SegEnds_Xtal_BW#'!$A:$Z,16,FALSE)</f>
        <v>63</v>
      </c>
      <c r="Q66" s="1">
        <f>VLOOKUP($B66&amp;"__wt",'SegEnds_Xtal_BW#'!$A:$Z,17,FALSE)</f>
        <v>50</v>
      </c>
      <c r="R66" s="1">
        <f>VLOOKUP($B66&amp;"__wt",'SegEnds_Xtal_BW#'!$A:$Z,18,FALSE)</f>
        <v>52</v>
      </c>
      <c r="S66" s="1">
        <v>35</v>
      </c>
      <c r="T66" s="1">
        <f t="array" ref="T66">INDEX(ICL3_classA!$G$2:$G$37,MATCH(MIN(ABS(AI66-ICL3_classA!$F$2:$F$37)),ABS(AI66-ICL3_classA!$F$2:$F$37),0))</f>
        <v>76</v>
      </c>
      <c r="U66" s="1">
        <f t="array" ref="U66">INDEX(ICL3_classA!$H$2:$H$37,MATCH(MIN(ABS(AI66-ICL3_classA!$F$2:$F$37)),ABS(AI66-ICL3_classA!$F$2:$F$37),0))</f>
        <v>24</v>
      </c>
      <c r="V66" s="1">
        <f>VLOOKUP($B66&amp;"__wt",'SegEnds_Xtal_BW#'!$A:$Z,22,FALSE)</f>
        <v>60</v>
      </c>
      <c r="W66" s="1">
        <v>31</v>
      </c>
      <c r="X66" s="1">
        <f>VLOOKUP($B66&amp;"__wt",'SegEnds_Xtal_BW#'!$A:$Z,24,FALSE)</f>
        <v>56</v>
      </c>
      <c r="Y66" s="1">
        <f>VLOOKUP($B66&amp;"__wt",'SegEnds_Xtal_BW#'!$A:$Z,25,FALSE)</f>
        <v>47</v>
      </c>
      <c r="Z66" s="1">
        <f>VLOOKUP($B66&amp;"__wt",'SegEnds_Xtal_BW#'!$A:$Z,26,FALSE)</f>
        <v>59</v>
      </c>
      <c r="AA66" s="27" t="str">
        <f>VLOOKUP(A66,Classification!A:B,2,FALSE)</f>
        <v>A</v>
      </c>
      <c r="AB66" s="1">
        <f>VLOOKUP(A66,'SegEnds_NonXtal_Prot#'!A:AL,10,FALSE)-VLOOKUP(A66,'SegEnds_NonXtal_Prot#'!A:AL,4,FALSE)</f>
        <v>28</v>
      </c>
      <c r="AC66" s="1">
        <f>VLOOKUP(A66,'SegEnds_NonXtal_Prot#'!A:AL,10,FALSE)-VLOOKUP(A66,'SegEnds_NonXtal_Prot#'!A:AL,7,FALSE)</f>
        <v>15</v>
      </c>
      <c r="AD66" s="1">
        <f>VLOOKUP(A66,'SegEnds_NonXtal_Prot#'!A:AL,13,FALSE)-VLOOKUP(A66,'SegEnds_NonXtal_Prot#'!A:AL,10,FALSE)</f>
        <v>21</v>
      </c>
      <c r="AE66" s="1">
        <f>VLOOKUP(A66,'SegEnds_NonXtal_Prot#'!A:AL,16,FALSE)-VLOOKUP(A66,'SegEnds_NonXtal_Prot#'!A:AL,10,FALSE)</f>
        <v>53</v>
      </c>
      <c r="AF66" s="1">
        <f>VLOOKUP(A66,'SegEnds_NonXtal_Prot#'!A:AL,22,FALSE)-VLOOKUP(A66,'SegEnds_NonXtal_Prot#'!A:AL,19,FALSE)</f>
        <v>23</v>
      </c>
      <c r="AG66" s="1">
        <f>VLOOKUP(A66,'SegEnds_NonXtal_Prot#'!A:AL,28,FALSE)-VLOOKUP(A66,'SegEnds_NonXtal_Prot#'!A:AL,25,FALSE)</f>
        <v>19</v>
      </c>
      <c r="AH66" s="1">
        <f>VLOOKUP(A66,'SegEnds_NonXtal_Prot#'!A:AL,28,FALSE)-VLOOKUP(A66,'SegEnds_NonXtal_Prot#'!A:AL,22,FALSE)</f>
        <v>42</v>
      </c>
      <c r="AI66" s="1">
        <f>VLOOKUP(A66,'SegEnds_NonXtal_Prot#'!A:AL,31,FALSE)-VLOOKUP(A66,'SegEnds_NonXtal_Prot#'!A:AL,28,FALSE)</f>
        <v>144</v>
      </c>
      <c r="AJ66" s="1">
        <f>VLOOKUP(A66,'SegEnds_NonXtal_Prot#'!A:AL,34,FALSE)-VLOOKUP(A66,'SegEnds_NonXtal_Prot#'!A:AL,31,FALSE)</f>
        <v>36</v>
      </c>
      <c r="AK66" s="1">
        <f>VLOOKUP(A66,'SegEnds_NonXtal_Prot#'!A:AL,37,FALSE)-VLOOKUP(A66,'SegEnds_NonXtal_Prot#'!A:AL,34,FALSE)</f>
        <v>10</v>
      </c>
      <c r="AL66" s="1" t="str">
        <f>IF(ISERROR(MATCH(A66,'SegEnds_Xtal_Prot#'!B:B, 0)), "NoXtal", "Xtal")</f>
        <v>Xtal</v>
      </c>
    </row>
    <row r="67" spans="1:38" x14ac:dyDescent="0.2">
      <c r="A67" s="1" t="s">
        <v>193</v>
      </c>
      <c r="B67" s="1" t="str">
        <f>VLOOKUP(A67,Xtal_Templ!A:B,2,FALSE)</f>
        <v>drd4_human</v>
      </c>
      <c r="C67" s="5">
        <f>VLOOKUP($B67&amp;"__wt",'SegEnds_Xtal_BW#'!$A:$Z,3,FALSE)</f>
        <v>29</v>
      </c>
      <c r="D67" s="1">
        <f>VLOOKUP($B67&amp;"__wt",'SegEnds_Xtal_BW#'!$A:$Z,4,FALSE)</f>
        <v>60</v>
      </c>
      <c r="E67" s="1">
        <f>VLOOKUP($B67&amp;"__wt",'SegEnds_Xtal_BW#'!$A:$Z,5,FALSE)</f>
        <v>48</v>
      </c>
      <c r="F67" s="1">
        <f>VLOOKUP($B67&amp;"__wt",'SegEnds_Xtal_BW#'!$A:$Z,6,FALSE)</f>
        <v>51</v>
      </c>
      <c r="G67" s="1">
        <v>38</v>
      </c>
      <c r="H67" s="12">
        <f>VLOOKUP($B67&amp;"__wt",'SegEnds_Xtal_BW#'!$A:$Z,8,FALSE)</f>
        <v>67</v>
      </c>
      <c r="I67" s="1">
        <f>VLOOKUP($B67&amp;"__wt",'SegEnds_Xtal_BW#'!$A:$Z,9,FALSE)</f>
        <v>49</v>
      </c>
      <c r="J67" s="1">
        <f>VLOOKUP($B67&amp;"__wt",'SegEnds_Xtal_BW#'!$A:$Z,10,FALSE)</f>
        <v>52</v>
      </c>
      <c r="K67" s="12">
        <v>19</v>
      </c>
      <c r="L67" s="1">
        <f>VLOOKUP($B67&amp;"__wt",'SegEnds_Xtal_BW#'!$A:$Z,12,FALSE)</f>
        <v>56</v>
      </c>
      <c r="M67" s="1">
        <f>VLOOKUP($B67&amp;"__wt",'SegEnds_Xtal_BW#'!$A:$Z,13,FALSE)</f>
        <v>50</v>
      </c>
      <c r="N67" s="12">
        <f>VLOOKUP($B67&amp;"__wt",'SegEnds_Xtal_BW#'!$A:$Z,14,FALSE)</f>
        <v>57</v>
      </c>
      <c r="O67" s="87">
        <f>VLOOKUP($B67&amp;"__wt",'SegEnds_Xtal_BW#'!$A:$Z,15,FALSE)</f>
        <v>38</v>
      </c>
      <c r="P67" s="1">
        <f>VLOOKUP($B67&amp;"__wt",'SegEnds_Xtal_BW#'!$A:$Z,16,FALSE)</f>
        <v>63</v>
      </c>
      <c r="Q67" s="1">
        <f>VLOOKUP($B67&amp;"__wt",'SegEnds_Xtal_BW#'!$A:$Z,17,FALSE)</f>
        <v>50</v>
      </c>
      <c r="R67" s="1">
        <f>VLOOKUP($B67&amp;"__wt",'SegEnds_Xtal_BW#'!$A:$Z,18,FALSE)</f>
        <v>52</v>
      </c>
      <c r="S67" s="1">
        <v>35</v>
      </c>
      <c r="T67" s="1">
        <f t="array" ref="T67">INDEX(ICL3_classA!$G$2:$G$37,MATCH(MIN(ABS(AI67-ICL3_classA!$F$2:$F$37)),ABS(AI67-ICL3_classA!$F$2:$F$37),0))</f>
        <v>75</v>
      </c>
      <c r="U67" s="1">
        <f t="array" ref="U67">INDEX(ICL3_classA!$H$2:$H$37,MATCH(MIN(ABS(AI67-ICL3_classA!$F$2:$F$37)),ABS(AI67-ICL3_classA!$F$2:$F$37),0))</f>
        <v>24</v>
      </c>
      <c r="V67" s="1">
        <f>VLOOKUP($B67&amp;"__wt",'SegEnds_Xtal_BW#'!$A:$Z,22,FALSE)</f>
        <v>61</v>
      </c>
      <c r="W67" s="1">
        <v>31</v>
      </c>
      <c r="X67" s="1">
        <f>VLOOKUP($B67&amp;"__wt",'SegEnds_Xtal_BW#'!$A:$Z,24,FALSE)</f>
        <v>56</v>
      </c>
      <c r="Y67" s="1">
        <f>VLOOKUP($B67&amp;"__wt",'SegEnds_Xtal_BW#'!$A:$Z,25,FALSE)</f>
        <v>47</v>
      </c>
      <c r="Z67" s="1">
        <f>VLOOKUP($B67&amp;"__wt",'SegEnds_Xtal_BW#'!$A:$Z,26,FALSE)</f>
        <v>59</v>
      </c>
      <c r="AA67" s="27" t="str">
        <f>VLOOKUP(A67,Classification!A:B,2,FALSE)</f>
        <v>A</v>
      </c>
      <c r="AB67" s="1">
        <f>VLOOKUP(A67,'SegEnds_NonXtal_Prot#'!A:AL,10,FALSE)-VLOOKUP(A67,'SegEnds_NonXtal_Prot#'!A:AL,4,FALSE)</f>
        <v>28</v>
      </c>
      <c r="AC67" s="1">
        <f>VLOOKUP(A67,'SegEnds_NonXtal_Prot#'!A:AL,10,FALSE)-VLOOKUP(A67,'SegEnds_NonXtal_Prot#'!A:AL,7,FALSE)</f>
        <v>15</v>
      </c>
      <c r="AD67" s="1">
        <f>VLOOKUP(A67,'SegEnds_NonXtal_Prot#'!A:AL,13,FALSE)-VLOOKUP(A67,'SegEnds_NonXtal_Prot#'!A:AL,10,FALSE)</f>
        <v>21</v>
      </c>
      <c r="AE67" s="1">
        <f>VLOOKUP(A67,'SegEnds_NonXtal_Prot#'!A:AL,16,FALSE)-VLOOKUP(A67,'SegEnds_NonXtal_Prot#'!A:AL,10,FALSE)</f>
        <v>53</v>
      </c>
      <c r="AF67" s="1">
        <f>VLOOKUP(A67,'SegEnds_NonXtal_Prot#'!A:AL,22,FALSE)-VLOOKUP(A67,'SegEnds_NonXtal_Prot#'!A:AL,19,FALSE)</f>
        <v>20</v>
      </c>
      <c r="AG67" s="1">
        <f>VLOOKUP(A67,'SegEnds_NonXtal_Prot#'!A:AL,28,FALSE)-VLOOKUP(A67,'SegEnds_NonXtal_Prot#'!A:AL,25,FALSE)</f>
        <v>19</v>
      </c>
      <c r="AH67" s="1">
        <f>VLOOKUP(A67,'SegEnds_NonXtal_Prot#'!A:AL,28,FALSE)-VLOOKUP(A67,'SegEnds_NonXtal_Prot#'!A:AL,22,FALSE)</f>
        <v>44</v>
      </c>
      <c r="AI67" s="1">
        <f>VLOOKUP(A67,'SegEnds_NonXtal_Prot#'!A:AL,31,FALSE)-VLOOKUP(A67,'SegEnds_NonXtal_Prot#'!A:AL,28,FALSE)</f>
        <v>205</v>
      </c>
      <c r="AJ67" s="1">
        <f>VLOOKUP(A67,'SegEnds_NonXtal_Prot#'!A:AL,34,FALSE)-VLOOKUP(A67,'SegEnds_NonXtal_Prot#'!A:AL,31,FALSE)</f>
        <v>36</v>
      </c>
      <c r="AK67" s="1">
        <f>VLOOKUP(A67,'SegEnds_NonXtal_Prot#'!A:AL,37,FALSE)-VLOOKUP(A67,'SegEnds_NonXtal_Prot#'!A:AL,34,FALSE)</f>
        <v>10</v>
      </c>
      <c r="AL67" s="1" t="str">
        <f>IF(ISERROR(MATCH(A67,'SegEnds_Xtal_Prot#'!B:B, 0)), "NoXtal", "Xtal")</f>
        <v>Xtal</v>
      </c>
    </row>
    <row r="68" spans="1:38" x14ac:dyDescent="0.2">
      <c r="A68" s="1" t="s">
        <v>204</v>
      </c>
      <c r="B68" s="1" t="str">
        <f>VLOOKUP(A68,Xtal_Templ!A:B,2,FALSE)</f>
        <v>aa2ar_human</v>
      </c>
      <c r="C68" s="5">
        <f>VLOOKUP($B68&amp;"__wt",'SegEnds_Xtal_BW#'!$A:$Z,3,FALSE)</f>
        <v>27</v>
      </c>
      <c r="D68" s="1">
        <f>VLOOKUP($B68&amp;"__wt",'SegEnds_Xtal_BW#'!$A:$Z,4,FALSE)</f>
        <v>60</v>
      </c>
      <c r="E68" s="1">
        <f>VLOOKUP($B68&amp;"__wt",'SegEnds_Xtal_BW#'!$A:$Z,5,FALSE)</f>
        <v>48</v>
      </c>
      <c r="F68" s="1">
        <f>VLOOKUP($B68&amp;"__wt",'SegEnds_Xtal_BW#'!$A:$Z,6,FALSE)</f>
        <v>51</v>
      </c>
      <c r="G68" s="1">
        <v>37</v>
      </c>
      <c r="H68" s="12">
        <f>VLOOKUP($B68&amp;"__wt",'SegEnds_Xtal_BW#'!$A:$Z,8,FALSE)</f>
        <v>67</v>
      </c>
      <c r="I68" s="1">
        <v>49</v>
      </c>
      <c r="J68" s="1">
        <f>VLOOKUP($B68&amp;"__wt",'SegEnds_Xtal_BW#'!$A:$Z,10,FALSE)</f>
        <v>52</v>
      </c>
      <c r="K68" s="12">
        <v>18</v>
      </c>
      <c r="L68" s="1">
        <f>VLOOKUP($B68&amp;"__wt",'SegEnds_Xtal_BW#'!$A:$Z,12,FALSE)</f>
        <v>56</v>
      </c>
      <c r="M68" s="1">
        <f>VLOOKUP($B68&amp;"__wt",'SegEnds_Xtal_BW#'!$A:$Z,13,FALSE)</f>
        <v>50</v>
      </c>
      <c r="N68" s="12">
        <v>57</v>
      </c>
      <c r="O68" s="87">
        <f>VLOOKUP($B68&amp;"__wt",'SegEnds_Xtal_BW#'!$A:$Z,15,FALSE)</f>
        <v>38</v>
      </c>
      <c r="P68" s="1">
        <f>VLOOKUP($B68&amp;"__wt",'SegEnds_Xtal_BW#'!$A:$Z,16,FALSE)</f>
        <v>63</v>
      </c>
      <c r="Q68" s="1">
        <f>VLOOKUP($B68&amp;"__wt",'SegEnds_Xtal_BW#'!$A:$Z,17,FALSE)</f>
        <v>50</v>
      </c>
      <c r="R68" s="1">
        <f>VLOOKUP($B68&amp;"__wt",'SegEnds_Xtal_BW#'!$A:$Z,18,FALSE)</f>
        <v>52</v>
      </c>
      <c r="S68" s="1">
        <f>VLOOKUP($B68&amp;"__wt",'SegEnds_Xtal_BW#'!$A:$Z,19,FALSE)</f>
        <v>34</v>
      </c>
      <c r="T68" s="1">
        <f t="array" ref="T68">INDEX(ICL3_classA!$G$2:$G$37,MATCH(MIN(ABS(AI68-ICL3_classA!$F$2:$F$37)),ABS(AI68-ICL3_classA!$F$2:$F$37),0))</f>
        <v>67</v>
      </c>
      <c r="U68" s="1">
        <f t="array" ref="U68">INDEX(ICL3_classA!$H$2:$H$37,MATCH(MIN(ABS(AI68-ICL3_classA!$F$2:$F$37)),ABS(AI68-ICL3_classA!$F$2:$F$37),0))</f>
        <v>26</v>
      </c>
      <c r="V68" s="1">
        <v>61</v>
      </c>
      <c r="W68" s="1">
        <v>31</v>
      </c>
      <c r="X68" s="1">
        <f>VLOOKUP($B68&amp;"__wt",'SegEnds_Xtal_BW#'!$A:$Z,24,FALSE)</f>
        <v>56</v>
      </c>
      <c r="Y68" s="1">
        <f>VLOOKUP($B68&amp;"__wt",'SegEnds_Xtal_BW#'!$A:$Z,25,FALSE)</f>
        <v>47</v>
      </c>
      <c r="Z68" s="1">
        <f>VLOOKUP($B68&amp;"__wt",'SegEnds_Xtal_BW#'!$A:$Z,26,FALSE)</f>
        <v>69</v>
      </c>
      <c r="AA68" s="27" t="str">
        <f>VLOOKUP(A68,Classification!A:B,2,FALSE)</f>
        <v>A</v>
      </c>
      <c r="AB68" s="1">
        <f>VLOOKUP(A68,'SegEnds_NonXtal_Prot#'!A:AL,10,FALSE)-VLOOKUP(A68,'SegEnds_NonXtal_Prot#'!A:AL,4,FALSE)</f>
        <v>28</v>
      </c>
      <c r="AC68" s="1">
        <f>VLOOKUP(A68,'SegEnds_NonXtal_Prot#'!A:AL,10,FALSE)-VLOOKUP(A68,'SegEnds_NonXtal_Prot#'!A:AL,7,FALSE)</f>
        <v>14</v>
      </c>
      <c r="AD68" s="1">
        <f>VLOOKUP(A68,'SegEnds_NonXtal_Prot#'!A:AL,13,FALSE)-VLOOKUP(A68,'SegEnds_NonXtal_Prot#'!A:AL,10,FALSE)</f>
        <v>28</v>
      </c>
      <c r="AE68" s="1">
        <f>VLOOKUP(A68,'SegEnds_NonXtal_Prot#'!A:AL,16,FALSE)-VLOOKUP(A68,'SegEnds_NonXtal_Prot#'!A:AL,10,FALSE)</f>
        <v>59</v>
      </c>
      <c r="AF68" s="1">
        <f>VLOOKUP(A68,'SegEnds_NonXtal_Prot#'!A:AL,22,FALSE)-VLOOKUP(A68,'SegEnds_NonXtal_Prot#'!A:AL,19,FALSE)</f>
        <v>20</v>
      </c>
      <c r="AG68" s="1">
        <f>VLOOKUP(A68,'SegEnds_NonXtal_Prot#'!A:AL,28,FALSE)-VLOOKUP(A68,'SegEnds_NonXtal_Prot#'!A:AL,25,FALSE)</f>
        <v>24</v>
      </c>
      <c r="AH68" s="1">
        <f>VLOOKUP(A68,'SegEnds_NonXtal_Prot#'!A:AL,28,FALSE)-VLOOKUP(A68,'SegEnds_NonXtal_Prot#'!A:AL,22,FALSE)</f>
        <v>47</v>
      </c>
      <c r="AI68" s="1">
        <f>VLOOKUP(A68,'SegEnds_NonXtal_Prot#'!A:AL,31,FALSE)-VLOOKUP(A68,'SegEnds_NonXtal_Prot#'!A:AL,28,FALSE)</f>
        <v>46</v>
      </c>
      <c r="AJ68" s="1">
        <f>VLOOKUP(A68,'SegEnds_NonXtal_Prot#'!A:AL,34,FALSE)-VLOOKUP(A68,'SegEnds_NonXtal_Prot#'!A:AL,31,FALSE)</f>
        <v>36</v>
      </c>
      <c r="AK68" s="1">
        <f>VLOOKUP(A68,'SegEnds_NonXtal_Prot#'!A:AL,37,FALSE)-VLOOKUP(A68,'SegEnds_NonXtal_Prot#'!A:AL,34,FALSE)</f>
        <v>10</v>
      </c>
      <c r="AL68" s="1" t="str">
        <f>IF(ISERROR(MATCH(A68,'SegEnds_Xtal_Prot#'!B:B, 0)), "NoXtal", "Xtal")</f>
        <v>NoXtal</v>
      </c>
    </row>
    <row r="69" spans="1:38" x14ac:dyDescent="0.2">
      <c r="A69" s="1" t="s">
        <v>213</v>
      </c>
      <c r="B69" s="1" t="str">
        <f>VLOOKUP(A69,Xtal_Templ!A:B,2,FALSE)</f>
        <v>acm1_human</v>
      </c>
      <c r="C69" s="5">
        <f>VLOOKUP($B69&amp;"__wt",'SegEnds_Xtal_BW#'!$A:$Z,3,FALSE)</f>
        <v>29</v>
      </c>
      <c r="D69" s="1">
        <f>VLOOKUP($B69&amp;"__wt",'SegEnds_Xtal_BW#'!$A:$Z,4,FALSE)</f>
        <v>60</v>
      </c>
      <c r="E69" s="1">
        <f>VLOOKUP($B69&amp;"__wt",'SegEnds_Xtal_BW#'!$A:$Z,5,FALSE)</f>
        <v>48</v>
      </c>
      <c r="F69" s="1">
        <f>VLOOKUP($B69&amp;"__wt",'SegEnds_Xtal_BW#'!$A:$Z,6,FALSE)</f>
        <v>51</v>
      </c>
      <c r="G69" s="1">
        <v>37</v>
      </c>
      <c r="H69" s="108">
        <v>66</v>
      </c>
      <c r="I69" s="1">
        <f>VLOOKUP($B69&amp;"__wt",'SegEnds_Xtal_BW#'!$A:$Z,9,FALSE)</f>
        <v>49</v>
      </c>
      <c r="J69" s="1">
        <f>VLOOKUP($B69&amp;"__wt",'SegEnds_Xtal_BW#'!$A:$Z,10,FALSE)</f>
        <v>52</v>
      </c>
      <c r="K69" s="12">
        <v>18</v>
      </c>
      <c r="L69" s="1">
        <f>VLOOKUP($B69&amp;"__wt",'SegEnds_Xtal_BW#'!$A:$Z,12,FALSE)</f>
        <v>56</v>
      </c>
      <c r="M69" s="1">
        <f>VLOOKUP($B69&amp;"__wt",'SegEnds_Xtal_BW#'!$A:$Z,13,FALSE)</f>
        <v>50</v>
      </c>
      <c r="N69" s="12">
        <v>57</v>
      </c>
      <c r="O69" s="87">
        <v>38</v>
      </c>
      <c r="P69" s="1">
        <f>VLOOKUP($B69&amp;"__wt",'SegEnds_Xtal_BW#'!$A:$Z,16,FALSE)</f>
        <v>69</v>
      </c>
      <c r="Q69" s="1">
        <f>VLOOKUP($B69&amp;"__wt",'SegEnds_Xtal_BW#'!$A:$Z,17,FALSE)</f>
        <v>50</v>
      </c>
      <c r="R69" s="1">
        <f>VLOOKUP($B69&amp;"__wt",'SegEnds_Xtal_BW#'!$A:$Z,18,FALSE)</f>
        <v>52</v>
      </c>
      <c r="S69" s="1">
        <v>35</v>
      </c>
      <c r="T69" s="1">
        <f t="array" ref="T69">INDEX(ICL3_classA!$G$2:$G$37,MATCH(MIN(ABS(AI69-ICL3_classA!$F$2:$F$37)),ABS(AI69-ICL3_classA!$F$2:$F$37),0))</f>
        <v>74</v>
      </c>
      <c r="U69" s="1">
        <f t="array" ref="U69">INDEX(ICL3_classA!$H$2:$H$37,MATCH(MIN(ABS(AI69-ICL3_classA!$F$2:$F$37)),ABS(AI69-ICL3_classA!$F$2:$F$37),0))</f>
        <v>21</v>
      </c>
      <c r="V69" s="1">
        <v>61</v>
      </c>
      <c r="W69" s="1">
        <v>31</v>
      </c>
      <c r="X69" s="1">
        <f>VLOOKUP($B69&amp;"__wt",'SegEnds_Xtal_BW#'!$A:$Z,24,FALSE)</f>
        <v>56</v>
      </c>
      <c r="Y69" s="1">
        <f>VLOOKUP($B69&amp;"__wt",'SegEnds_Xtal_BW#'!$A:$Z,25,FALSE)</f>
        <v>47</v>
      </c>
      <c r="Z69" s="1">
        <f>VLOOKUP($B69&amp;"__wt",'SegEnds_Xtal_BW#'!$A:$Z,26,FALSE)</f>
        <v>59</v>
      </c>
      <c r="AA69" s="27" t="str">
        <f>VLOOKUP(A69,Classification!A:B,2,FALSE)</f>
        <v>A</v>
      </c>
      <c r="AB69" s="1">
        <f>VLOOKUP(A69,'SegEnds_NonXtal_Prot#'!A:AL,10,FALSE)-VLOOKUP(A69,'SegEnds_NonXtal_Prot#'!A:AL,4,FALSE)</f>
        <v>29</v>
      </c>
      <c r="AC69" s="1" t="e">
        <f>VLOOKUP(A69,'SegEnds_NonXtal_Prot#'!A:AL,10,FALSE)-VLOOKUP(A69,'SegEnds_NonXtal_Prot#'!A:AL,7,FALSE)</f>
        <v>#VALUE!</v>
      </c>
      <c r="AD69" s="1" t="e">
        <f>VLOOKUP(A69,'SegEnds_NonXtal_Prot#'!A:AL,13,FALSE)-VLOOKUP(A69,'SegEnds_NonXtal_Prot#'!A:AL,10,FALSE)</f>
        <v>#VALUE!</v>
      </c>
      <c r="AE69" s="1">
        <f>VLOOKUP(A69,'SegEnds_NonXtal_Prot#'!A:AL,16,FALSE)-VLOOKUP(A69,'SegEnds_NonXtal_Prot#'!A:AL,10,FALSE)</f>
        <v>52</v>
      </c>
      <c r="AF69" s="1">
        <f>VLOOKUP(A69,'SegEnds_NonXtal_Prot#'!A:AL,22,FALSE)-VLOOKUP(A69,'SegEnds_NonXtal_Prot#'!A:AL,19,FALSE)</f>
        <v>20</v>
      </c>
      <c r="AG69" s="1">
        <f>VLOOKUP(A69,'SegEnds_NonXtal_Prot#'!A:AL,28,FALSE)-VLOOKUP(A69,'SegEnds_NonXtal_Prot#'!A:AL,25,FALSE)</f>
        <v>21</v>
      </c>
      <c r="AH69" s="1">
        <f>VLOOKUP(A69,'SegEnds_NonXtal_Prot#'!A:AL,28,FALSE)-VLOOKUP(A69,'SegEnds_NonXtal_Prot#'!A:AL,22,FALSE)</f>
        <v>46</v>
      </c>
      <c r="AI69" s="1">
        <f>VLOOKUP(A69,'SegEnds_NonXtal_Prot#'!A:AL,31,FALSE)-VLOOKUP(A69,'SegEnds_NonXtal_Prot#'!A:AL,28,FALSE)</f>
        <v>64</v>
      </c>
      <c r="AJ69" s="1">
        <f>VLOOKUP(A69,'SegEnds_NonXtal_Prot#'!A:AL,34,FALSE)-VLOOKUP(A69,'SegEnds_NonXtal_Prot#'!A:AL,31,FALSE)</f>
        <v>36</v>
      </c>
      <c r="AK69" s="1">
        <f>VLOOKUP(A69,'SegEnds_NonXtal_Prot#'!A:AL,37,FALSE)-VLOOKUP(A69,'SegEnds_NonXtal_Prot#'!A:AL,34,FALSE)</f>
        <v>10</v>
      </c>
      <c r="AL69" s="1" t="str">
        <f>IF(ISERROR(MATCH(A69,'SegEnds_Xtal_Prot#'!B:B, 0)), "NoXtal", "Xtal")</f>
        <v>NoXtal</v>
      </c>
    </row>
    <row r="70" spans="1:38" x14ac:dyDescent="0.2">
      <c r="A70" s="1" t="s">
        <v>227</v>
      </c>
      <c r="B70" s="1" t="str">
        <f>VLOOKUP(A70,Xtal_Templ!A:B,2,FALSE)</f>
        <v>5ht1b_human</v>
      </c>
      <c r="C70" s="5">
        <f>VLOOKUP($B70&amp;"__wt",'SegEnds_Xtal_BW#'!$A:$Z,3,FALSE)</f>
        <v>28</v>
      </c>
      <c r="D70" s="1">
        <f>VLOOKUP($B70&amp;"__wt",'SegEnds_Xtal_BW#'!$A:$Z,4,FALSE)</f>
        <v>60</v>
      </c>
      <c r="E70" s="1">
        <f>VLOOKUP($B70&amp;"__wt",'SegEnds_Xtal_BW#'!$A:$Z,5,FALSE)</f>
        <v>48</v>
      </c>
      <c r="F70" s="1">
        <f>VLOOKUP($B70&amp;"__wt",'SegEnds_Xtal_BW#'!$A:$Z,6,FALSE)</f>
        <v>51</v>
      </c>
      <c r="G70" s="1">
        <v>37</v>
      </c>
      <c r="H70" s="12">
        <f>VLOOKUP($B70&amp;"__wt",'SegEnds_Xtal_BW#'!$A:$Z,8,FALSE)</f>
        <v>68</v>
      </c>
      <c r="I70" s="1">
        <f>VLOOKUP($B70&amp;"__wt",'SegEnds_Xtal_BW#'!$A:$Z,9,FALSE)</f>
        <v>49</v>
      </c>
      <c r="J70" s="1">
        <f>VLOOKUP($B70&amp;"__wt",'SegEnds_Xtal_BW#'!$A:$Z,10,FALSE)</f>
        <v>52</v>
      </c>
      <c r="K70" s="12">
        <v>18</v>
      </c>
      <c r="L70" s="1">
        <f>VLOOKUP($B70&amp;"__wt",'SegEnds_Xtal_BW#'!$A:$Z,12,FALSE)</f>
        <v>56</v>
      </c>
      <c r="M70" s="1">
        <f>VLOOKUP($B70&amp;"__wt",'SegEnds_Xtal_BW#'!$A:$Z,13,FALSE)</f>
        <v>50</v>
      </c>
      <c r="N70" s="12">
        <f>VLOOKUP($B70&amp;"__wt",'SegEnds_Xtal_BW#'!$A:$Z,14,FALSE)</f>
        <v>57</v>
      </c>
      <c r="O70" s="87">
        <v>38</v>
      </c>
      <c r="P70" s="1">
        <v>63</v>
      </c>
      <c r="Q70" s="1">
        <f>VLOOKUP($B70&amp;"__wt",'SegEnds_Xtal_BW#'!$A:$Z,17,FALSE)</f>
        <v>50</v>
      </c>
      <c r="R70" s="1">
        <f>VLOOKUP($B70&amp;"__wt",'SegEnds_Xtal_BW#'!$A:$Z,18,FALSE)</f>
        <v>52</v>
      </c>
      <c r="S70" s="1">
        <v>35</v>
      </c>
      <c r="T70" s="1">
        <f t="array" ref="T70">INDEX(ICL3_classA!$G$2:$G$37,MATCH(MIN(ABS(AI70-ICL3_classA!$F$2:$F$37)),ABS(AI70-ICL3_classA!$F$2:$F$37),0))</f>
        <v>76</v>
      </c>
      <c r="U70" s="1">
        <f t="array" ref="U70">INDEX(ICL3_classA!$H$2:$H$37,MATCH(MIN(ABS(AI70-ICL3_classA!$F$2:$F$37)),ABS(AI70-ICL3_classA!$F$2:$F$37),0))</f>
        <v>24</v>
      </c>
      <c r="V70" s="1">
        <v>61</v>
      </c>
      <c r="W70" s="1">
        <v>31</v>
      </c>
      <c r="X70" s="1">
        <f>VLOOKUP($B70&amp;"__wt",'SegEnds_Xtal_BW#'!$A:$Z,24,FALSE)</f>
        <v>56</v>
      </c>
      <c r="Y70" s="1">
        <f>VLOOKUP($B70&amp;"__wt",'SegEnds_Xtal_BW#'!$A:$Z,25,FALSE)</f>
        <v>47</v>
      </c>
      <c r="Z70" s="1">
        <f>VLOOKUP($B70&amp;"__wt",'SegEnds_Xtal_BW#'!$A:$Z,26,FALSE)</f>
        <v>58</v>
      </c>
      <c r="AA70" s="27" t="str">
        <f>VLOOKUP(A70,Classification!A:B,2,FALSE)</f>
        <v>A</v>
      </c>
      <c r="AB70" s="1">
        <f>VLOOKUP(A70,'SegEnds_NonXtal_Prot#'!A:AL,10,FALSE)-VLOOKUP(A70,'SegEnds_NonXtal_Prot#'!A:AL,4,FALSE)</f>
        <v>28</v>
      </c>
      <c r="AC70" s="1">
        <f>VLOOKUP(A70,'SegEnds_NonXtal_Prot#'!A:AL,10,FALSE)-VLOOKUP(A70,'SegEnds_NonXtal_Prot#'!A:AL,7,FALSE)</f>
        <v>15</v>
      </c>
      <c r="AD70" s="1">
        <f>VLOOKUP(A70,'SegEnds_NonXtal_Prot#'!A:AL,13,FALSE)-VLOOKUP(A70,'SegEnds_NonXtal_Prot#'!A:AL,10,FALSE)</f>
        <v>20</v>
      </c>
      <c r="AE70" s="1">
        <f>VLOOKUP(A70,'SegEnds_NonXtal_Prot#'!A:AL,16,FALSE)-VLOOKUP(A70,'SegEnds_NonXtal_Prot#'!A:AL,10,FALSE)</f>
        <v>52</v>
      </c>
      <c r="AF70" s="1">
        <f>VLOOKUP(A70,'SegEnds_NonXtal_Prot#'!A:AL,22,FALSE)-VLOOKUP(A70,'SegEnds_NonXtal_Prot#'!A:AL,19,FALSE)</f>
        <v>20</v>
      </c>
      <c r="AG70" s="1">
        <f>VLOOKUP(A70,'SegEnds_NonXtal_Prot#'!A:AL,28,FALSE)-VLOOKUP(A70,'SegEnds_NonXtal_Prot#'!A:AL,25,FALSE)</f>
        <v>22</v>
      </c>
      <c r="AH70" s="1">
        <f>VLOOKUP(A70,'SegEnds_NonXtal_Prot#'!A:AL,28,FALSE)-VLOOKUP(A70,'SegEnds_NonXtal_Prot#'!A:AL,22,FALSE)</f>
        <v>48</v>
      </c>
      <c r="AI70" s="1">
        <f>VLOOKUP(A70,'SegEnds_NonXtal_Prot#'!A:AL,31,FALSE)-VLOOKUP(A70,'SegEnds_NonXtal_Prot#'!A:AL,28,FALSE)</f>
        <v>85</v>
      </c>
      <c r="AJ70" s="1">
        <f>VLOOKUP(A70,'SegEnds_NonXtal_Prot#'!A:AL,34,FALSE)-VLOOKUP(A70,'SegEnds_NonXtal_Prot#'!A:AL,31,FALSE)</f>
        <v>36</v>
      </c>
      <c r="AK70" s="1">
        <f>VLOOKUP(A70,'SegEnds_NonXtal_Prot#'!A:AL,37,FALSE)-VLOOKUP(A70,'SegEnds_NonXtal_Prot#'!A:AL,34,FALSE)</f>
        <v>10</v>
      </c>
      <c r="AL70" s="1" t="str">
        <f>IF(ISERROR(MATCH(A70,'SegEnds_Xtal_Prot#'!B:B, 0)), "NoXtal", "Xtal")</f>
        <v>NoXtal</v>
      </c>
    </row>
    <row r="71" spans="1:38" x14ac:dyDescent="0.2">
      <c r="A71" s="1" t="s">
        <v>230</v>
      </c>
      <c r="B71" s="1" t="str">
        <f>VLOOKUP(A71,Xtal_Templ!A:B,2,FALSE)</f>
        <v>5ht2a_human</v>
      </c>
      <c r="C71" s="5">
        <f>VLOOKUP($B71&amp;"__wt",'SegEnds_Xtal_BW#'!$A:$Z,3,FALSE)</f>
        <v>27</v>
      </c>
      <c r="D71" s="1">
        <f>VLOOKUP($B71&amp;"__wt",'SegEnds_Xtal_BW#'!$A:$Z,4,FALSE)</f>
        <v>60</v>
      </c>
      <c r="E71" s="1">
        <f>VLOOKUP($B71&amp;"__wt",'SegEnds_Xtal_BW#'!$A:$Z,5,FALSE)</f>
        <v>48</v>
      </c>
      <c r="F71" s="1">
        <f>VLOOKUP($B71&amp;"__wt",'SegEnds_Xtal_BW#'!$A:$Z,6,FALSE)</f>
        <v>51</v>
      </c>
      <c r="G71" s="1">
        <v>37</v>
      </c>
      <c r="H71" s="12">
        <f>VLOOKUP($B71&amp;"__wt",'SegEnds_Xtal_BW#'!$A:$Z,8,FALSE)</f>
        <v>68</v>
      </c>
      <c r="I71" s="1">
        <f>VLOOKUP($B71&amp;"__wt",'SegEnds_Xtal_BW#'!$A:$Z,9,FALSE)</f>
        <v>49</v>
      </c>
      <c r="J71" s="1">
        <f>VLOOKUP($B71&amp;"__wt",'SegEnds_Xtal_BW#'!$A:$Z,10,FALSE)</f>
        <v>52</v>
      </c>
      <c r="K71" s="12">
        <v>18</v>
      </c>
      <c r="L71" s="1">
        <f>VLOOKUP($B71&amp;"__wt",'SegEnds_Xtal_BW#'!$A:$Z,12,FALSE)</f>
        <v>56</v>
      </c>
      <c r="M71" s="1">
        <f>VLOOKUP($B71&amp;"__wt",'SegEnds_Xtal_BW#'!$A:$Z,13,FALSE)</f>
        <v>50</v>
      </c>
      <c r="N71" s="12">
        <v>57</v>
      </c>
      <c r="O71" s="87">
        <f>VLOOKUP($B71&amp;"__wt",'SegEnds_Xtal_BW#'!$A:$Z,15,FALSE)</f>
        <v>38</v>
      </c>
      <c r="P71" s="1">
        <f>VLOOKUP($B71&amp;"__wt",'SegEnds_Xtal_BW#'!$A:$Z,16,FALSE)</f>
        <v>67</v>
      </c>
      <c r="Q71" s="1">
        <f>VLOOKUP($B71&amp;"__wt",'SegEnds_Xtal_BW#'!$A:$Z,17,FALSE)</f>
        <v>50</v>
      </c>
      <c r="R71" s="1">
        <f>VLOOKUP($B71&amp;"__wt",'SegEnds_Xtal_BW#'!$A:$Z,18,FALSE)</f>
        <v>52</v>
      </c>
      <c r="S71" s="1">
        <v>35</v>
      </c>
      <c r="T71" s="1">
        <f t="array" ref="T71">INDEX(ICL3_classA!$G$2:$G$37,MATCH(MIN(ABS(AI71-ICL3_classA!$F$2:$F$37)),ABS(AI71-ICL3_classA!$F$2:$F$37),0))</f>
        <v>74</v>
      </c>
      <c r="U71" s="1">
        <f t="array" ref="U71">INDEX(ICL3_classA!$H$2:$H$37,MATCH(MIN(ABS(AI71-ICL3_classA!$F$2:$F$37)),ABS(AI71-ICL3_classA!$F$2:$F$37),0))</f>
        <v>21</v>
      </c>
      <c r="V71" s="1">
        <v>61</v>
      </c>
      <c r="W71" s="1">
        <v>31</v>
      </c>
      <c r="X71" s="1">
        <f>VLOOKUP($B71&amp;"__wt",'SegEnds_Xtal_BW#'!$A:$Z,24,FALSE)</f>
        <v>56</v>
      </c>
      <c r="Y71" s="1">
        <f>VLOOKUP($B71&amp;"__wt",'SegEnds_Xtal_BW#'!$A:$Z,25,FALSE)</f>
        <v>47</v>
      </c>
      <c r="Z71" s="1">
        <f>VLOOKUP($B71&amp;"__wt",'SegEnds_Xtal_BW#'!$A:$Z,26,FALSE)</f>
        <v>60</v>
      </c>
      <c r="AA71" s="27" t="str">
        <f>VLOOKUP(A71,Classification!A:B,2,FALSE)</f>
        <v>A</v>
      </c>
      <c r="AB71" s="1">
        <f>VLOOKUP(A71,'SegEnds_NonXtal_Prot#'!A:AL,10,FALSE)-VLOOKUP(A71,'SegEnds_NonXtal_Prot#'!A:AL,4,FALSE)</f>
        <v>28</v>
      </c>
      <c r="AC71" s="1">
        <f>VLOOKUP(A71,'SegEnds_NonXtal_Prot#'!A:AL,10,FALSE)-VLOOKUP(A71,'SegEnds_NonXtal_Prot#'!A:AL,7,FALSE)</f>
        <v>15</v>
      </c>
      <c r="AD71" s="1">
        <f>VLOOKUP(A71,'SegEnds_NonXtal_Prot#'!A:AL,13,FALSE)-VLOOKUP(A71,'SegEnds_NonXtal_Prot#'!A:AL,10,FALSE)</f>
        <v>21</v>
      </c>
      <c r="AE71" s="1">
        <f>VLOOKUP(A71,'SegEnds_NonXtal_Prot#'!A:AL,16,FALSE)-VLOOKUP(A71,'SegEnds_NonXtal_Prot#'!A:AL,10,FALSE)</f>
        <v>53</v>
      </c>
      <c r="AF71" s="1">
        <f>VLOOKUP(A71,'SegEnds_NonXtal_Prot#'!A:AL,22,FALSE)-VLOOKUP(A71,'SegEnds_NonXtal_Prot#'!A:AL,19,FALSE)</f>
        <v>20</v>
      </c>
      <c r="AG71" s="1">
        <f>VLOOKUP(A71,'SegEnds_NonXtal_Prot#'!A:AL,28,FALSE)-VLOOKUP(A71,'SegEnds_NonXtal_Prot#'!A:AL,25,FALSE)</f>
        <v>61</v>
      </c>
      <c r="AH71" s="1">
        <f>VLOOKUP(A71,'SegEnds_NonXtal_Prot#'!A:AL,28,FALSE)-VLOOKUP(A71,'SegEnds_NonXtal_Prot#'!A:AL,22,FALSE)</f>
        <v>87</v>
      </c>
      <c r="AI71" s="1">
        <f>VLOOKUP(A71,'SegEnds_NonXtal_Prot#'!A:AL,31,FALSE)-VLOOKUP(A71,'SegEnds_NonXtal_Prot#'!A:AL,28,FALSE)</f>
        <v>66</v>
      </c>
      <c r="AJ71" s="1">
        <f>VLOOKUP(A71,'SegEnds_NonXtal_Prot#'!A:AL,34,FALSE)-VLOOKUP(A71,'SegEnds_NonXtal_Prot#'!A:AL,31,FALSE)</f>
        <v>36</v>
      </c>
      <c r="AK71" s="1">
        <f>VLOOKUP(A71,'SegEnds_NonXtal_Prot#'!A:AL,37,FALSE)-VLOOKUP(A71,'SegEnds_NonXtal_Prot#'!A:AL,34,FALSE)</f>
        <v>10</v>
      </c>
      <c r="AL71" s="1" t="str">
        <f>IF(ISERROR(MATCH(A71,'SegEnds_Xtal_Prot#'!B:B, 0)), "NoXtal", "Xtal")</f>
        <v>NoXtal</v>
      </c>
    </row>
    <row r="72" spans="1:38" x14ac:dyDescent="0.2">
      <c r="A72" s="1" t="s">
        <v>232</v>
      </c>
      <c r="B72" s="1" t="str">
        <f>VLOOKUP(A72,Xtal_Templ!A:B,2,FALSE)</f>
        <v>ox1r_human</v>
      </c>
      <c r="C72" s="5">
        <f>VLOOKUP($B72&amp;"__wt",'SegEnds_Xtal_BW#'!$A:$Z,3,FALSE)</f>
        <v>32</v>
      </c>
      <c r="D72" s="1">
        <f>VLOOKUP($B72&amp;"__wt",'SegEnds_Xtal_BW#'!$A:$Z,4,FALSE)</f>
        <v>60</v>
      </c>
      <c r="E72" s="1">
        <f>VLOOKUP($B72&amp;"__wt",'SegEnds_Xtal_BW#'!$A:$Z,5,FALSE)</f>
        <v>48</v>
      </c>
      <c r="F72" s="1">
        <f>VLOOKUP($B72&amp;"__wt",'SegEnds_Xtal_BW#'!$A:$Z,6,FALSE)</f>
        <v>51</v>
      </c>
      <c r="G72" s="1">
        <v>37</v>
      </c>
      <c r="H72" s="12">
        <f>VLOOKUP($B72&amp;"__wt",'SegEnds_Xtal_BW#'!$A:$Z,8,FALSE)</f>
        <v>67</v>
      </c>
      <c r="I72" s="1">
        <f>VLOOKUP($B72&amp;"__wt",'SegEnds_Xtal_BW#'!$A:$Z,9,FALSE)</f>
        <v>49</v>
      </c>
      <c r="J72" s="1">
        <f>VLOOKUP($B72&amp;"__wt",'SegEnds_Xtal_BW#'!$A:$Z,10,FALSE)</f>
        <v>52</v>
      </c>
      <c r="K72" s="12">
        <v>18</v>
      </c>
      <c r="L72" s="1">
        <f>VLOOKUP($B72&amp;"__wt",'SegEnds_Xtal_BW#'!$A:$Z,12,FALSE)</f>
        <v>56</v>
      </c>
      <c r="M72" s="1">
        <f>VLOOKUP($B72&amp;"__wt",'SegEnds_Xtal_BW#'!$A:$Z,13,FALSE)</f>
        <v>50</v>
      </c>
      <c r="N72" s="12">
        <v>56</v>
      </c>
      <c r="O72" s="87">
        <f>VLOOKUP($B72&amp;"__wt",'SegEnds_Xtal_BW#'!$A:$Z,15,FALSE)</f>
        <v>38</v>
      </c>
      <c r="P72" s="1">
        <f>VLOOKUP($B72&amp;"__wt",'SegEnds_Xtal_BW#'!$A:$Z,16,FALSE)</f>
        <v>64</v>
      </c>
      <c r="Q72" s="1">
        <f>VLOOKUP($B72&amp;"__wt",'SegEnds_Xtal_BW#'!$A:$Z,17,FALSE)</f>
        <v>50</v>
      </c>
      <c r="R72" s="1">
        <f>VLOOKUP($B72&amp;"__wt",'SegEnds_Xtal_BW#'!$A:$Z,18,FALSE)</f>
        <v>52</v>
      </c>
      <c r="S72" s="1">
        <f>VLOOKUP($B72&amp;"__wt",'SegEnds_Xtal_BW#'!$A:$Z,19,FALSE)</f>
        <v>32</v>
      </c>
      <c r="T72" s="1">
        <f t="array" ref="T72">INDEX(ICL3_classA!$G$2:$G$37,MATCH(MIN(ABS(AI72-ICL3_classA!$F$2:$F$37)),ABS(AI72-ICL3_classA!$F$2:$F$37),0))</f>
        <v>74</v>
      </c>
      <c r="U72" s="1">
        <f t="array" ref="U72">INDEX(ICL3_classA!$H$2:$H$37,MATCH(MIN(ABS(AI72-ICL3_classA!$F$2:$F$37)),ABS(AI72-ICL3_classA!$F$2:$F$37),0))</f>
        <v>21</v>
      </c>
      <c r="V72" s="1">
        <v>61</v>
      </c>
      <c r="W72" s="1">
        <v>31</v>
      </c>
      <c r="X72" s="1">
        <f>VLOOKUP($B72&amp;"__wt",'SegEnds_Xtal_BW#'!$A:$Z,24,FALSE)</f>
        <v>56</v>
      </c>
      <c r="Y72" s="1">
        <f>VLOOKUP($B72&amp;"__wt",'SegEnds_Xtal_BW#'!$A:$Z,25,FALSE)</f>
        <v>47</v>
      </c>
      <c r="Z72" s="1">
        <f>VLOOKUP($B72&amp;"__wt",'SegEnds_Xtal_BW#'!$A:$Z,26,FALSE)</f>
        <v>58</v>
      </c>
      <c r="AA72" s="27" t="str">
        <f>VLOOKUP(A72,Classification!A:B,2,FALSE)</f>
        <v>A</v>
      </c>
      <c r="AB72" s="1">
        <f>VLOOKUP(A72,'SegEnds_NonXtal_Prot#'!A:AL,10,FALSE)-VLOOKUP(A72,'SegEnds_NonXtal_Prot#'!A:AL,4,FALSE)</f>
        <v>28</v>
      </c>
      <c r="AC72" s="1">
        <f>VLOOKUP(A72,'SegEnds_NonXtal_Prot#'!A:AL,10,FALSE)-VLOOKUP(A72,'SegEnds_NonXtal_Prot#'!A:AL,7,FALSE)</f>
        <v>15</v>
      </c>
      <c r="AD72" s="1">
        <f>VLOOKUP(A72,'SegEnds_NonXtal_Prot#'!A:AL,13,FALSE)-VLOOKUP(A72,'SegEnds_NonXtal_Prot#'!A:AL,10,FALSE)</f>
        <v>22</v>
      </c>
      <c r="AE72" s="1">
        <f>VLOOKUP(A72,'SegEnds_NonXtal_Prot#'!A:AL,16,FALSE)-VLOOKUP(A72,'SegEnds_NonXtal_Prot#'!A:AL,10,FALSE)</f>
        <v>55</v>
      </c>
      <c r="AF72" s="1" t="e">
        <f>VLOOKUP(A72,'SegEnds_NonXtal_Prot#'!A:AL,22,FALSE)-VLOOKUP(A72,'SegEnds_NonXtal_Prot#'!A:AL,19,FALSE)</f>
        <v>#VALUE!</v>
      </c>
      <c r="AG72" s="1">
        <f>VLOOKUP(A72,'SegEnds_NonXtal_Prot#'!A:AL,28,FALSE)-VLOOKUP(A72,'SegEnds_NonXtal_Prot#'!A:AL,25,FALSE)</f>
        <v>25</v>
      </c>
      <c r="AH72" s="1">
        <f>VLOOKUP(A72,'SegEnds_NonXtal_Prot#'!A:AL,28,FALSE)-VLOOKUP(A72,'SegEnds_NonXtal_Prot#'!A:AL,22,FALSE)</f>
        <v>50</v>
      </c>
      <c r="AI72" s="1">
        <f>VLOOKUP(A72,'SegEnds_NonXtal_Prot#'!A:AL,31,FALSE)-VLOOKUP(A72,'SegEnds_NonXtal_Prot#'!A:AL,28,FALSE)</f>
        <v>64</v>
      </c>
      <c r="AJ72" s="1">
        <f>VLOOKUP(A72,'SegEnds_NonXtal_Prot#'!A:AL,34,FALSE)-VLOOKUP(A72,'SegEnds_NonXtal_Prot#'!A:AL,31,FALSE)</f>
        <v>36</v>
      </c>
      <c r="AK72" s="1">
        <f>VLOOKUP(A72,'SegEnds_NonXtal_Prot#'!A:AL,37,FALSE)-VLOOKUP(A72,'SegEnds_NonXtal_Prot#'!A:AL,34,FALSE)</f>
        <v>10</v>
      </c>
      <c r="AL72" s="1" t="str">
        <f>IF(ISERROR(MATCH(A72,'SegEnds_Xtal_Prot#'!B:B, 0)), "NoXtal", "Xtal")</f>
        <v>NoXtal</v>
      </c>
    </row>
    <row r="73" spans="1:38" x14ac:dyDescent="0.2">
      <c r="A73" s="1" t="s">
        <v>241</v>
      </c>
      <c r="B73" s="1" t="str">
        <f>VLOOKUP(A73,Xtal_Templ!A:B,2,FALSE)</f>
        <v>oprk_human</v>
      </c>
      <c r="C73" s="5">
        <f>VLOOKUP($B73&amp;"__wt",'SegEnds_Xtal_BW#'!$A:$Z,3,FALSE)</f>
        <v>30</v>
      </c>
      <c r="D73" s="1">
        <f>VLOOKUP($B73&amp;"__wt",'SegEnds_Xtal_BW#'!$A:$Z,4,FALSE)</f>
        <v>60</v>
      </c>
      <c r="E73" s="1">
        <f>VLOOKUP($B73&amp;"__wt",'SegEnds_Xtal_BW#'!$A:$Z,5,FALSE)</f>
        <v>48</v>
      </c>
      <c r="F73" s="1">
        <f>VLOOKUP($B73&amp;"__wt",'SegEnds_Xtal_BW#'!$A:$Z,6,FALSE)</f>
        <v>51</v>
      </c>
      <c r="G73" s="1">
        <v>37</v>
      </c>
      <c r="H73" s="12">
        <v>66</v>
      </c>
      <c r="I73" s="1">
        <f>VLOOKUP($B73&amp;"__wt",'SegEnds_Xtal_BW#'!$A:$Z,9,FALSE)</f>
        <v>49</v>
      </c>
      <c r="J73" s="1">
        <f>VLOOKUP($B73&amp;"__wt",'SegEnds_Xtal_BW#'!$A:$Z,10,FALSE)</f>
        <v>52</v>
      </c>
      <c r="K73" s="12">
        <v>21</v>
      </c>
      <c r="L73" s="1">
        <f>VLOOKUP($B73&amp;"__wt",'SegEnds_Xtal_BW#'!$A:$Z,12,FALSE)</f>
        <v>56</v>
      </c>
      <c r="M73" s="1">
        <f>VLOOKUP($B73&amp;"__wt",'SegEnds_Xtal_BW#'!$A:$Z,13,FALSE)</f>
        <v>50</v>
      </c>
      <c r="N73" s="12">
        <v>57</v>
      </c>
      <c r="O73" s="87">
        <v>38</v>
      </c>
      <c r="P73" s="1">
        <f>VLOOKUP($B73&amp;"__wt",'SegEnds_Xtal_BW#'!$A:$Z,16,FALSE)</f>
        <v>64</v>
      </c>
      <c r="Q73" s="1">
        <f>VLOOKUP($B73&amp;"__wt",'SegEnds_Xtal_BW#'!$A:$Z,17,FALSE)</f>
        <v>50</v>
      </c>
      <c r="R73" s="1">
        <f>VLOOKUP($B73&amp;"__wt",'SegEnds_Xtal_BW#'!$A:$Z,18,FALSE)</f>
        <v>52</v>
      </c>
      <c r="S73" s="1">
        <f>VLOOKUP($B73&amp;"__wt",'SegEnds_Xtal_BW#'!$A:$Z,19,FALSE)</f>
        <v>30</v>
      </c>
      <c r="T73" s="1">
        <f t="array" ref="T73">INDEX(ICL3_classA!$G$2:$G$37,MATCH(MIN(ABS(AI73-ICL3_classA!$F$2:$F$37)),ABS(AI73-ICL3_classA!$F$2:$F$37),0))</f>
        <v>68</v>
      </c>
      <c r="U73" s="1">
        <f t="array" ref="U73">INDEX(ICL3_classA!$H$2:$H$37,MATCH(MIN(ABS(AI73-ICL3_classA!$F$2:$F$37)),ABS(AI73-ICL3_classA!$F$2:$F$37),0))</f>
        <v>24</v>
      </c>
      <c r="V73" s="1">
        <v>61</v>
      </c>
      <c r="W73" s="1">
        <v>31</v>
      </c>
      <c r="X73" s="1">
        <f>VLOOKUP($B73&amp;"__wt",'SegEnds_Xtal_BW#'!$A:$Z,24,FALSE)</f>
        <v>56</v>
      </c>
      <c r="Y73" s="1">
        <f>VLOOKUP($B73&amp;"__wt",'SegEnds_Xtal_BW#'!$A:$Z,25,FALSE)</f>
        <v>47</v>
      </c>
      <c r="Z73" s="1">
        <f>VLOOKUP($B73&amp;"__wt",'SegEnds_Xtal_BW#'!$A:$Z,26,FALSE)</f>
        <v>59</v>
      </c>
      <c r="AA73" s="27" t="str">
        <f>VLOOKUP(A73,Classification!A:B,2,FALSE)</f>
        <v>A</v>
      </c>
      <c r="AB73" s="1">
        <f>VLOOKUP(A73,'SegEnds_NonXtal_Prot#'!A:AL,10,FALSE)-VLOOKUP(A73,'SegEnds_NonXtal_Prot#'!A:AL,4,FALSE)</f>
        <v>28</v>
      </c>
      <c r="AC73" s="1" t="e">
        <f>VLOOKUP(A73,'SegEnds_NonXtal_Prot#'!A:AL,10,FALSE)-VLOOKUP(A73,'SegEnds_NonXtal_Prot#'!A:AL,7,FALSE)</f>
        <v>#VALUE!</v>
      </c>
      <c r="AD73" s="1">
        <f>VLOOKUP(A73,'SegEnds_NonXtal_Prot#'!A:AL,13,FALSE)-VLOOKUP(A73,'SegEnds_NonXtal_Prot#'!A:AL,10,FALSE)</f>
        <v>19</v>
      </c>
      <c r="AE73" s="1">
        <f>VLOOKUP(A73,'SegEnds_NonXtal_Prot#'!A:AL,16,FALSE)-VLOOKUP(A73,'SegEnds_NonXtal_Prot#'!A:AL,10,FALSE)</f>
        <v>51</v>
      </c>
      <c r="AF73" s="1">
        <f>VLOOKUP(A73,'SegEnds_NonXtal_Prot#'!A:AL,22,FALSE)-VLOOKUP(A73,'SegEnds_NonXtal_Prot#'!A:AL,19,FALSE)</f>
        <v>20</v>
      </c>
      <c r="AG73" s="1">
        <f>VLOOKUP(A73,'SegEnds_NonXtal_Prot#'!A:AL,28,FALSE)-VLOOKUP(A73,'SegEnds_NonXtal_Prot#'!A:AL,25,FALSE)</f>
        <v>27</v>
      </c>
      <c r="AH73" s="1">
        <f>VLOOKUP(A73,'SegEnds_NonXtal_Prot#'!A:AL,28,FALSE)-VLOOKUP(A73,'SegEnds_NonXtal_Prot#'!A:AL,22,FALSE)</f>
        <v>53</v>
      </c>
      <c r="AI73" s="1">
        <f>VLOOKUP(A73,'SegEnds_NonXtal_Prot#'!A:AL,31,FALSE)-VLOOKUP(A73,'SegEnds_NonXtal_Prot#'!A:AL,28,FALSE)</f>
        <v>48</v>
      </c>
      <c r="AJ73" s="1">
        <f>VLOOKUP(A73,'SegEnds_NonXtal_Prot#'!A:AL,34,FALSE)-VLOOKUP(A73,'SegEnds_NonXtal_Prot#'!A:AL,31,FALSE)</f>
        <v>36</v>
      </c>
      <c r="AK73" s="1">
        <f>VLOOKUP(A73,'SegEnds_NonXtal_Prot#'!A:AL,37,FALSE)-VLOOKUP(A73,'SegEnds_NonXtal_Prot#'!A:AL,34,FALSE)</f>
        <v>10</v>
      </c>
      <c r="AL73" s="1" t="str">
        <f>IF(ISERROR(MATCH(A73,'SegEnds_Xtal_Prot#'!B:B, 0)), "NoXtal", "Xtal")</f>
        <v>NoXtal</v>
      </c>
    </row>
    <row r="74" spans="1:38" x14ac:dyDescent="0.2">
      <c r="A74" s="4" t="s">
        <v>242</v>
      </c>
      <c r="B74" s="4" t="str">
        <f>VLOOKUP(A74,Xtal_Templ!A:B,2,FALSE)</f>
        <v>ox2r_human</v>
      </c>
      <c r="C74" s="5">
        <f>VLOOKUP($B74&amp;"__wt",'SegEnds_Xtal_BW#'!$A:$Z,3,FALSE)</f>
        <v>31</v>
      </c>
      <c r="D74" s="4">
        <f>VLOOKUP($B74&amp;"__wt",'SegEnds_Xtal_BW#'!$A:$Z,4,FALSE)</f>
        <v>60</v>
      </c>
      <c r="E74" s="4">
        <f>VLOOKUP($B74&amp;"__wt",'SegEnds_Xtal_BW#'!$A:$Z,5,FALSE)</f>
        <v>48</v>
      </c>
      <c r="F74" s="4">
        <f>VLOOKUP($B74&amp;"__wt",'SegEnds_Xtal_BW#'!$A:$Z,6,FALSE)</f>
        <v>51</v>
      </c>
      <c r="G74" s="4">
        <v>37</v>
      </c>
      <c r="H74" s="12">
        <f>VLOOKUP($B74&amp;"__wt",'SegEnds_Xtal_BW#'!$A:$Z,8,FALSE)</f>
        <v>68</v>
      </c>
      <c r="I74" s="4">
        <f>VLOOKUP($B74&amp;"__wt",'SegEnds_Xtal_BW#'!$A:$Z,9,FALSE)</f>
        <v>49</v>
      </c>
      <c r="J74" s="4">
        <f>VLOOKUP($B74&amp;"__wt",'SegEnds_Xtal_BW#'!$A:$Z,10,FALSE)</f>
        <v>52</v>
      </c>
      <c r="K74" s="11">
        <v>18</v>
      </c>
      <c r="L74" s="4">
        <f>VLOOKUP($B74&amp;"__wt",'SegEnds_Xtal_BW#'!$A:$Z,12,FALSE)</f>
        <v>56</v>
      </c>
      <c r="M74" s="4">
        <f>VLOOKUP($B74&amp;"__wt",'SegEnds_Xtal_BW#'!$A:$Z,13,FALSE)</f>
        <v>50</v>
      </c>
      <c r="N74" s="11">
        <v>53</v>
      </c>
      <c r="O74" s="87">
        <f>VLOOKUP($B74&amp;"__wt",'SegEnds_Xtal_BW#'!$A:$Z,15,FALSE)</f>
        <v>38</v>
      </c>
      <c r="P74" s="4">
        <f>VLOOKUP($B74&amp;"__wt",'SegEnds_Xtal_BW#'!$A:$Z,16,FALSE)</f>
        <v>64</v>
      </c>
      <c r="Q74" s="4">
        <f>VLOOKUP($B74&amp;"__wt",'SegEnds_Xtal_BW#'!$A:$Z,17,FALSE)</f>
        <v>50</v>
      </c>
      <c r="R74" s="4">
        <f>VLOOKUP($B74&amp;"__wt",'SegEnds_Xtal_BW#'!$A:$Z,18,FALSE)</f>
        <v>52</v>
      </c>
      <c r="S74" s="4">
        <f>VLOOKUP($B74&amp;"__wt",'SegEnds_Xtal_BW#'!$A:$Z,19,FALSE)</f>
        <v>33</v>
      </c>
      <c r="T74" s="4">
        <f t="array" ref="T74">INDEX(ICL3_classA!$G$2:$G$37,MATCH(MIN(ABS(AI74-ICL3_classA!$F$2:$F$37)),ABS(AI74-ICL3_classA!$F$2:$F$37),0))</f>
        <v>73</v>
      </c>
      <c r="U74" s="4">
        <f t="array" ref="U74">INDEX(ICL3_classA!$H$2:$H$37,MATCH(MIN(ABS(AI74-ICL3_classA!$F$2:$F$37)),ABS(AI74-ICL3_classA!$F$2:$F$37),0))</f>
        <v>22</v>
      </c>
      <c r="V74" s="4">
        <v>61</v>
      </c>
      <c r="W74" s="4">
        <v>31</v>
      </c>
      <c r="X74" s="4">
        <f>VLOOKUP($B74&amp;"__wt",'SegEnds_Xtal_BW#'!$A:$Z,24,FALSE)</f>
        <v>56</v>
      </c>
      <c r="Y74" s="4">
        <f>VLOOKUP($B74&amp;"__wt",'SegEnds_Xtal_BW#'!$A:$Z,25,FALSE)</f>
        <v>47</v>
      </c>
      <c r="Z74" s="4">
        <f>VLOOKUP($B74&amp;"__wt",'SegEnds_Xtal_BW#'!$A:$Z,26,FALSE)</f>
        <v>58</v>
      </c>
      <c r="AA74" s="27" t="str">
        <f>VLOOKUP(A74,Classification!A:B,2,FALSE)</f>
        <v>A</v>
      </c>
      <c r="AB74" s="1">
        <f>VLOOKUP(A74,'SegEnds_NonXtal_Prot#'!A:AL,10,FALSE)-VLOOKUP(A74,'SegEnds_NonXtal_Prot#'!A:AL,4,FALSE)</f>
        <v>28</v>
      </c>
      <c r="AC74" s="4">
        <f>VLOOKUP(A74,'SegEnds_NonXtal_Prot#'!A:AL,10,FALSE)-VLOOKUP(A74,'SegEnds_NonXtal_Prot#'!A:AL,7,FALSE)</f>
        <v>15</v>
      </c>
      <c r="AD74" s="4">
        <f>VLOOKUP(A74,'SegEnds_NonXtal_Prot#'!A:AL,13,FALSE)-VLOOKUP(A74,'SegEnds_NonXtal_Prot#'!A:AL,10,FALSE)</f>
        <v>20</v>
      </c>
      <c r="AE74" s="4">
        <f>VLOOKUP(A74,'SegEnds_NonXtal_Prot#'!A:AL,16,FALSE)-VLOOKUP(A74,'SegEnds_NonXtal_Prot#'!A:AL,10,FALSE)</f>
        <v>52</v>
      </c>
      <c r="AF74" s="1">
        <f>VLOOKUP(A74,'SegEnds_NonXtal_Prot#'!A:AL,22,FALSE)-VLOOKUP(A74,'SegEnds_NonXtal_Prot#'!A:AL,19,FALSE)</f>
        <v>18</v>
      </c>
      <c r="AG74" s="4">
        <f>VLOOKUP(A74,'SegEnds_NonXtal_Prot#'!A:AL,28,FALSE)-VLOOKUP(A74,'SegEnds_NonXtal_Prot#'!A:AL,25,FALSE)</f>
        <v>25</v>
      </c>
      <c r="AH74" s="1">
        <f>VLOOKUP(A74,'SegEnds_NonXtal_Prot#'!A:AL,28,FALSE)-VLOOKUP(A74,'SegEnds_NonXtal_Prot#'!A:AL,22,FALSE)</f>
        <v>47</v>
      </c>
      <c r="AI74" s="4">
        <f>VLOOKUP(A74,'SegEnds_NonXtal_Prot#'!A:AL,31,FALSE)-VLOOKUP(A74,'SegEnds_NonXtal_Prot#'!A:AL,28,FALSE)</f>
        <v>56</v>
      </c>
      <c r="AJ74" s="4">
        <f>VLOOKUP(A74,'SegEnds_NonXtal_Prot#'!A:AL,34,FALSE)-VLOOKUP(A74,'SegEnds_NonXtal_Prot#'!A:AL,31,FALSE)</f>
        <v>36</v>
      </c>
      <c r="AK74" s="1">
        <f>VLOOKUP(A74,'SegEnds_NonXtal_Prot#'!A:AL,37,FALSE)-VLOOKUP(A74,'SegEnds_NonXtal_Prot#'!A:AL,34,FALSE)</f>
        <v>10</v>
      </c>
      <c r="AL74" s="1" t="str">
        <f>IF(ISERROR(MATCH(A74,'SegEnds_Xtal_Prot#'!B:B, 0)), "NoXtal", "Xtal")</f>
        <v>NoXtal</v>
      </c>
    </row>
    <row r="75" spans="1:38" x14ac:dyDescent="0.2">
      <c r="A75" s="1" t="s">
        <v>245</v>
      </c>
      <c r="B75" s="1" t="str">
        <f>VLOOKUP(A75,Xtal_Templ!A:B,2,FALSE)</f>
        <v>hrh1_human</v>
      </c>
      <c r="C75" s="5">
        <f>VLOOKUP($B75&amp;"__wt",'SegEnds_Xtal_BW#'!$A:$Z,3,FALSE)</f>
        <v>34</v>
      </c>
      <c r="D75" s="1">
        <f>VLOOKUP($B75&amp;"__wt",'SegEnds_Xtal_BW#'!$A:$Z,4,FALSE)</f>
        <v>60</v>
      </c>
      <c r="E75" s="1">
        <f>VLOOKUP($B75&amp;"__wt",'SegEnds_Xtal_BW#'!$A:$Z,5,FALSE)</f>
        <v>48</v>
      </c>
      <c r="F75" s="1">
        <f>VLOOKUP($B75&amp;"__wt",'SegEnds_Xtal_BW#'!$A:$Z,6,FALSE)</f>
        <v>51</v>
      </c>
      <c r="G75" s="1">
        <v>37</v>
      </c>
      <c r="H75" s="12">
        <f>VLOOKUP($B75&amp;"__wt",'SegEnds_Xtal_BW#'!$A:$Z,8,FALSE)</f>
        <v>67</v>
      </c>
      <c r="I75" s="1">
        <f>VLOOKUP($B75&amp;"__wt",'SegEnds_Xtal_BW#'!$A:$Z,9,FALSE)</f>
        <v>49</v>
      </c>
      <c r="J75" s="1">
        <f>VLOOKUP($B75&amp;"__wt",'SegEnds_Xtal_BW#'!$A:$Z,10,FALSE)</f>
        <v>52</v>
      </c>
      <c r="K75" s="12">
        <v>21</v>
      </c>
      <c r="L75" s="1">
        <f>VLOOKUP($B75&amp;"__wt",'SegEnds_Xtal_BW#'!$A:$Z,12,FALSE)</f>
        <v>56</v>
      </c>
      <c r="M75" s="1">
        <f>VLOOKUP($B75&amp;"__wt",'SegEnds_Xtal_BW#'!$A:$Z,13,FALSE)</f>
        <v>50</v>
      </c>
      <c r="N75" s="12">
        <v>53</v>
      </c>
      <c r="O75" s="87">
        <f>VLOOKUP($B75&amp;"__wt",'SegEnds_Xtal_BW#'!$A:$Z,15,FALSE)</f>
        <v>38</v>
      </c>
      <c r="P75" s="1">
        <v>63</v>
      </c>
      <c r="Q75" s="1">
        <f>VLOOKUP($B75&amp;"__wt",'SegEnds_Xtal_BW#'!$A:$Z,17,FALSE)</f>
        <v>50</v>
      </c>
      <c r="R75" s="1">
        <f>VLOOKUP($B75&amp;"__wt",'SegEnds_Xtal_BW#'!$A:$Z,18,FALSE)</f>
        <v>52</v>
      </c>
      <c r="S75" s="1">
        <v>35</v>
      </c>
      <c r="T75" s="1">
        <f t="array" ref="T75">INDEX(ICL3_classA!$G$2:$G$37,MATCH(MIN(ABS(AI75-ICL3_classA!$F$2:$F$37)),ABS(AI75-ICL3_classA!$F$2:$F$37),0))</f>
        <v>74</v>
      </c>
      <c r="U75" s="1">
        <f t="array" ref="U75">INDEX(ICL3_classA!$H$2:$H$37,MATCH(MIN(ABS(AI75-ICL3_classA!$F$2:$F$37)),ABS(AI75-ICL3_classA!$F$2:$F$37),0))</f>
        <v>24</v>
      </c>
      <c r="V75" s="1">
        <v>61</v>
      </c>
      <c r="W75" s="1">
        <v>31</v>
      </c>
      <c r="X75" s="1">
        <f>VLOOKUP($B75&amp;"__wt",'SegEnds_Xtal_BW#'!$A:$Z,24,FALSE)</f>
        <v>56</v>
      </c>
      <c r="Y75" s="1">
        <f>VLOOKUP($B75&amp;"__wt",'SegEnds_Xtal_BW#'!$A:$Z,25,FALSE)</f>
        <v>47</v>
      </c>
      <c r="Z75" s="1">
        <f>VLOOKUP($B75&amp;"__wt",'SegEnds_Xtal_BW#'!$A:$Z,26,FALSE)</f>
        <v>59</v>
      </c>
      <c r="AA75" s="27" t="str">
        <f>VLOOKUP(A75,Classification!A:B,2,FALSE)</f>
        <v>A</v>
      </c>
      <c r="AB75" s="1">
        <f>VLOOKUP(A75,'SegEnds_NonXtal_Prot#'!A:AL,10,FALSE)-VLOOKUP(A75,'SegEnds_NonXtal_Prot#'!A:AL,4,FALSE)</f>
        <v>29</v>
      </c>
      <c r="AC75" s="1">
        <f>VLOOKUP(A75,'SegEnds_NonXtal_Prot#'!A:AL,10,FALSE)-VLOOKUP(A75,'SegEnds_NonXtal_Prot#'!A:AL,7,FALSE)</f>
        <v>16</v>
      </c>
      <c r="AD75" s="1" t="e">
        <f>VLOOKUP(A75,'SegEnds_NonXtal_Prot#'!A:AL,13,FALSE)-VLOOKUP(A75,'SegEnds_NonXtal_Prot#'!A:AL,10,FALSE)</f>
        <v>#VALUE!</v>
      </c>
      <c r="AE75" s="1">
        <f>VLOOKUP(A75,'SegEnds_NonXtal_Prot#'!A:AL,16,FALSE)-VLOOKUP(A75,'SegEnds_NonXtal_Prot#'!A:AL,10,FALSE)</f>
        <v>52</v>
      </c>
      <c r="AF75" s="1">
        <f>VLOOKUP(A75,'SegEnds_NonXtal_Prot#'!A:AL,22,FALSE)-VLOOKUP(A75,'SegEnds_NonXtal_Prot#'!A:AL,19,FALSE)</f>
        <v>18</v>
      </c>
      <c r="AG75" s="1">
        <f>VLOOKUP(A75,'SegEnds_NonXtal_Prot#'!A:AL,28,FALSE)-VLOOKUP(A75,'SegEnds_NonXtal_Prot#'!A:AL,25,FALSE)</f>
        <v>26</v>
      </c>
      <c r="AH75" s="1">
        <f>VLOOKUP(A75,'SegEnds_NonXtal_Prot#'!A:AL,28,FALSE)-VLOOKUP(A75,'SegEnds_NonXtal_Prot#'!A:AL,22,FALSE)</f>
        <v>58</v>
      </c>
      <c r="AI75" s="1">
        <f>VLOOKUP(A75,'SegEnds_NonXtal_Prot#'!A:AL,31,FALSE)-VLOOKUP(A75,'SegEnds_NonXtal_Prot#'!A:AL,28,FALSE)</f>
        <v>105</v>
      </c>
      <c r="AJ75" s="1">
        <f>VLOOKUP(A75,'SegEnds_NonXtal_Prot#'!A:AL,34,FALSE)-VLOOKUP(A75,'SegEnds_NonXtal_Prot#'!A:AL,31,FALSE)</f>
        <v>36</v>
      </c>
      <c r="AK75" s="1">
        <f>VLOOKUP(A75,'SegEnds_NonXtal_Prot#'!A:AL,37,FALSE)-VLOOKUP(A75,'SegEnds_NonXtal_Prot#'!A:AL,34,FALSE)</f>
        <v>10</v>
      </c>
      <c r="AL75" s="1" t="str">
        <f>IF(ISERROR(MATCH(A75,'SegEnds_Xtal_Prot#'!B:B, 0)), "NoXtal", "Xtal")</f>
        <v>NoXtal</v>
      </c>
    </row>
    <row r="76" spans="1:38" x14ac:dyDescent="0.2">
      <c r="A76" s="1" t="s">
        <v>248</v>
      </c>
      <c r="B76" s="1" t="str">
        <f>VLOOKUP(A76,Xtal_Templ!A:B,2,FALSE)</f>
        <v>ox1r_human</v>
      </c>
      <c r="C76" s="5">
        <f>VLOOKUP($B76&amp;"__wt",'SegEnds_Xtal_BW#'!$A:$Z,3,FALSE)</f>
        <v>32</v>
      </c>
      <c r="D76" s="1">
        <f>VLOOKUP($B76&amp;"__wt",'SegEnds_Xtal_BW#'!$A:$Z,4,FALSE)</f>
        <v>60</v>
      </c>
      <c r="E76" s="1">
        <f>VLOOKUP($B76&amp;"__wt",'SegEnds_Xtal_BW#'!$A:$Z,5,FALSE)</f>
        <v>48</v>
      </c>
      <c r="F76" s="1">
        <f>VLOOKUP($B76&amp;"__wt",'SegEnds_Xtal_BW#'!$A:$Z,6,FALSE)</f>
        <v>51</v>
      </c>
      <c r="G76" s="1">
        <v>37</v>
      </c>
      <c r="H76" s="12">
        <f>VLOOKUP($B76&amp;"__wt",'SegEnds_Xtal_BW#'!$A:$Z,8,FALSE)</f>
        <v>67</v>
      </c>
      <c r="I76" s="1">
        <f>VLOOKUP($B76&amp;"__wt",'SegEnds_Xtal_BW#'!$A:$Z,9,FALSE)</f>
        <v>49</v>
      </c>
      <c r="J76" s="1">
        <f>VLOOKUP($B76&amp;"__wt",'SegEnds_Xtal_BW#'!$A:$Z,10,FALSE)</f>
        <v>52</v>
      </c>
      <c r="K76" s="12">
        <v>18</v>
      </c>
      <c r="L76" s="1">
        <f>VLOOKUP($B76&amp;"__wt",'SegEnds_Xtal_BW#'!$A:$Z,12,FALSE)</f>
        <v>56</v>
      </c>
      <c r="M76" s="1">
        <f>VLOOKUP($B76&amp;"__wt",'SegEnds_Xtal_BW#'!$A:$Z,13,FALSE)</f>
        <v>50</v>
      </c>
      <c r="N76" s="12">
        <v>58</v>
      </c>
      <c r="O76" s="87">
        <f>VLOOKUP($B76&amp;"__wt",'SegEnds_Xtal_BW#'!$A:$Z,15,FALSE)</f>
        <v>38</v>
      </c>
      <c r="P76" s="1">
        <f>VLOOKUP($B76&amp;"__wt",'SegEnds_Xtal_BW#'!$A:$Z,16,FALSE)</f>
        <v>64</v>
      </c>
      <c r="Q76" s="1">
        <f>VLOOKUP($B76&amp;"__wt",'SegEnds_Xtal_BW#'!$A:$Z,17,FALSE)</f>
        <v>50</v>
      </c>
      <c r="R76" s="1">
        <f>VLOOKUP($B76&amp;"__wt",'SegEnds_Xtal_BW#'!$A:$Z,18,FALSE)</f>
        <v>52</v>
      </c>
      <c r="S76" s="1">
        <v>35</v>
      </c>
      <c r="T76" s="1">
        <f t="array" ref="T76">INDEX(ICL3_classA!$G$2:$G$37,MATCH(MIN(ABS(AI76-ICL3_classA!$F$2:$F$37)),ABS(AI76-ICL3_classA!$F$2:$F$37),0))</f>
        <v>76</v>
      </c>
      <c r="U76" s="1">
        <f t="array" ref="U76">INDEX(ICL3_classA!$H$2:$H$37,MATCH(MIN(ABS(AI76-ICL3_classA!$F$2:$F$37)),ABS(AI76-ICL3_classA!$F$2:$F$37),0))</f>
        <v>24</v>
      </c>
      <c r="V76" s="1">
        <v>61</v>
      </c>
      <c r="W76" s="1">
        <v>31</v>
      </c>
      <c r="X76" s="1">
        <f>VLOOKUP($B76&amp;"__wt",'SegEnds_Xtal_BW#'!$A:$Z,24,FALSE)</f>
        <v>56</v>
      </c>
      <c r="Y76" s="1">
        <f>VLOOKUP($B76&amp;"__wt",'SegEnds_Xtal_BW#'!$A:$Z,25,FALSE)</f>
        <v>47</v>
      </c>
      <c r="Z76" s="1">
        <f>VLOOKUP($B76&amp;"__wt",'SegEnds_Xtal_BW#'!$A:$Z,26,FALSE)</f>
        <v>58</v>
      </c>
      <c r="AA76" s="27" t="str">
        <f>VLOOKUP(A76,Classification!A:B,2,FALSE)</f>
        <v>A</v>
      </c>
      <c r="AB76" s="1">
        <f>VLOOKUP(A76,'SegEnds_NonXtal_Prot#'!A:AL,10,FALSE)-VLOOKUP(A76,'SegEnds_NonXtal_Prot#'!A:AL,4,FALSE)</f>
        <v>28</v>
      </c>
      <c r="AC76" s="1">
        <f>VLOOKUP(A76,'SegEnds_NonXtal_Prot#'!A:AL,10,FALSE)-VLOOKUP(A76,'SegEnds_NonXtal_Prot#'!A:AL,7,FALSE)</f>
        <v>15</v>
      </c>
      <c r="AD76" s="1" t="e">
        <f>VLOOKUP(A76,'SegEnds_NonXtal_Prot#'!A:AL,13,FALSE)-VLOOKUP(A76,'SegEnds_NonXtal_Prot#'!A:AL,10,FALSE)</f>
        <v>#VALUE!</v>
      </c>
      <c r="AE76" s="1">
        <f>VLOOKUP(A76,'SegEnds_NonXtal_Prot#'!A:AL,16,FALSE)-VLOOKUP(A76,'SegEnds_NonXtal_Prot#'!A:AL,10,FALSE)</f>
        <v>56</v>
      </c>
      <c r="AF76" s="1">
        <f>VLOOKUP(A76,'SegEnds_NonXtal_Prot#'!A:AL,22,FALSE)-VLOOKUP(A76,'SegEnds_NonXtal_Prot#'!A:AL,19,FALSE)</f>
        <v>21</v>
      </c>
      <c r="AG76" s="1">
        <f>VLOOKUP(A76,'SegEnds_NonXtal_Prot#'!A:AL,28,FALSE)-VLOOKUP(A76,'SegEnds_NonXtal_Prot#'!A:AL,25,FALSE)</f>
        <v>18</v>
      </c>
      <c r="AH76" s="1">
        <f>VLOOKUP(A76,'SegEnds_NonXtal_Prot#'!A:AL,28,FALSE)-VLOOKUP(A76,'SegEnds_NonXtal_Prot#'!A:AL,22,FALSE)</f>
        <v>41</v>
      </c>
      <c r="AI76" s="1">
        <f>VLOOKUP(A76,'SegEnds_NonXtal_Prot#'!A:AL,31,FALSE)-VLOOKUP(A76,'SegEnds_NonXtal_Prot#'!A:AL,28,FALSE)</f>
        <v>110</v>
      </c>
      <c r="AJ76" s="1">
        <f>VLOOKUP(A76,'SegEnds_NonXtal_Prot#'!A:AL,34,FALSE)-VLOOKUP(A76,'SegEnds_NonXtal_Prot#'!A:AL,31,FALSE)</f>
        <v>36</v>
      </c>
      <c r="AK76" s="1">
        <f>VLOOKUP(A76,'SegEnds_NonXtal_Prot#'!A:AL,37,FALSE)-VLOOKUP(A76,'SegEnds_NonXtal_Prot#'!A:AL,34,FALSE)</f>
        <v>10</v>
      </c>
      <c r="AL76" s="1" t="str">
        <f>IF(ISERROR(MATCH(A76,'SegEnds_Xtal_Prot#'!B:B, 0)), "NoXtal", "Xtal")</f>
        <v>NoXtal</v>
      </c>
    </row>
    <row r="77" spans="1:38" x14ac:dyDescent="0.2">
      <c r="A77" s="1" t="s">
        <v>252</v>
      </c>
      <c r="B77" s="1" t="str">
        <f>VLOOKUP(A77,Xtal_Templ!A:B,2,FALSE)</f>
        <v>agtr1_human</v>
      </c>
      <c r="C77" s="5">
        <f>VLOOKUP($B77&amp;"__wt",'SegEnds_Xtal_BW#'!$A:$Z,3,FALSE)</f>
        <v>28</v>
      </c>
      <c r="D77" s="1">
        <f>VLOOKUP($B77&amp;"__wt",'SegEnds_Xtal_BW#'!$A:$Z,4,FALSE)</f>
        <v>60</v>
      </c>
      <c r="E77" s="1">
        <f>VLOOKUP($B77&amp;"__wt",'SegEnds_Xtal_BW#'!$A:$Z,5,FALSE)</f>
        <v>48</v>
      </c>
      <c r="F77" s="1">
        <f>VLOOKUP($B77&amp;"__wt",'SegEnds_Xtal_BW#'!$A:$Z,6,FALSE)</f>
        <v>51</v>
      </c>
      <c r="G77" s="1">
        <v>37</v>
      </c>
      <c r="H77" s="12">
        <f>VLOOKUP($B77&amp;"__wt",'SegEnds_Xtal_BW#'!$A:$Z,8,FALSE)</f>
        <v>66</v>
      </c>
      <c r="I77" s="1">
        <f>VLOOKUP($B77&amp;"__wt",'SegEnds_Xtal_BW#'!$A:$Z,9,FALSE)</f>
        <v>49</v>
      </c>
      <c r="J77" s="1">
        <f>VLOOKUP($B77&amp;"__wt",'SegEnds_Xtal_BW#'!$A:$Z,10,FALSE)</f>
        <v>52</v>
      </c>
      <c r="K77" s="12">
        <v>18</v>
      </c>
      <c r="L77" s="1">
        <f>VLOOKUP($B77&amp;"__wt",'SegEnds_Xtal_BW#'!$A:$Z,12,FALSE)</f>
        <v>56</v>
      </c>
      <c r="M77" s="1">
        <f>VLOOKUP($B77&amp;"__wt",'SegEnds_Xtal_BW#'!$A:$Z,13,FALSE)</f>
        <v>50</v>
      </c>
      <c r="N77" s="12">
        <v>57</v>
      </c>
      <c r="O77" s="87">
        <v>38</v>
      </c>
      <c r="P77" s="1">
        <f>VLOOKUP($B77&amp;"__wt",'SegEnds_Xtal_BW#'!$A:$Z,16,FALSE)</f>
        <v>64</v>
      </c>
      <c r="Q77" s="1">
        <f>VLOOKUP($B77&amp;"__wt",'SegEnds_Xtal_BW#'!$A:$Z,17,FALSE)</f>
        <v>50</v>
      </c>
      <c r="R77" s="1">
        <f>VLOOKUP($B77&amp;"__wt",'SegEnds_Xtal_BW#'!$A:$Z,18,FALSE)</f>
        <v>52</v>
      </c>
      <c r="S77" s="1">
        <f>VLOOKUP($B77&amp;"__wt",'SegEnds_Xtal_BW#'!$A:$Z,19,FALSE)</f>
        <v>34</v>
      </c>
      <c r="T77" s="1">
        <f t="array" ref="T77">INDEX(ICL3_classA!$G$2:$G$37,MATCH(MIN(ABS(AI77-ICL3_classA!$F$2:$F$37)),ABS(AI77-ICL3_classA!$F$2:$F$37),0))</f>
        <v>68</v>
      </c>
      <c r="U77" s="1">
        <f t="array" ref="U77">INDEX(ICL3_classA!$H$2:$H$37,MATCH(MIN(ABS(AI77-ICL3_classA!$F$2:$F$37)),ABS(AI77-ICL3_classA!$F$2:$F$37),0))</f>
        <v>30</v>
      </c>
      <c r="V77" s="1">
        <v>61</v>
      </c>
      <c r="W77" s="1">
        <v>31</v>
      </c>
      <c r="X77" s="1">
        <f>VLOOKUP($B77&amp;"__wt",'SegEnds_Xtal_BW#'!$A:$Z,24,FALSE)</f>
        <v>56</v>
      </c>
      <c r="Y77" s="1">
        <f>VLOOKUP($B77&amp;"__wt",'SegEnds_Xtal_BW#'!$A:$Z,25,FALSE)</f>
        <v>47</v>
      </c>
      <c r="Z77" s="1">
        <f>VLOOKUP($B77&amp;"__wt",'SegEnds_Xtal_BW#'!$A:$Z,26,FALSE)</f>
        <v>61</v>
      </c>
      <c r="AA77" s="27" t="str">
        <f>VLOOKUP(A77,Classification!A:B,2,FALSE)</f>
        <v>A</v>
      </c>
      <c r="AB77" s="1">
        <f>VLOOKUP(A77,'SegEnds_NonXtal_Prot#'!A:AL,10,FALSE)-VLOOKUP(A77,'SegEnds_NonXtal_Prot#'!A:AL,4,FALSE)</f>
        <v>27</v>
      </c>
      <c r="AC77" s="1" t="e">
        <f>VLOOKUP(A77,'SegEnds_NonXtal_Prot#'!A:AL,10,FALSE)-VLOOKUP(A77,'SegEnds_NonXtal_Prot#'!A:AL,7,FALSE)</f>
        <v>#VALUE!</v>
      </c>
      <c r="AD77" s="1">
        <f>VLOOKUP(A77,'SegEnds_NonXtal_Prot#'!A:AL,13,FALSE)-VLOOKUP(A77,'SegEnds_NonXtal_Prot#'!A:AL,10,FALSE)</f>
        <v>20</v>
      </c>
      <c r="AE77" s="1">
        <f>VLOOKUP(A77,'SegEnds_NonXtal_Prot#'!A:AL,16,FALSE)-VLOOKUP(A77,'SegEnds_NonXtal_Prot#'!A:AL,10,FALSE)</f>
        <v>52</v>
      </c>
      <c r="AF77" s="1">
        <f>VLOOKUP(A77,'SegEnds_NonXtal_Prot#'!A:AL,22,FALSE)-VLOOKUP(A77,'SegEnds_NonXtal_Prot#'!A:AL,19,FALSE)</f>
        <v>20</v>
      </c>
      <c r="AG77" s="1">
        <f>VLOOKUP(A77,'SegEnds_NonXtal_Prot#'!A:AL,28,FALSE)-VLOOKUP(A77,'SegEnds_NonXtal_Prot#'!A:AL,25,FALSE)</f>
        <v>38</v>
      </c>
      <c r="AH77" s="1">
        <f>VLOOKUP(A77,'SegEnds_NonXtal_Prot#'!A:AL,28,FALSE)-VLOOKUP(A77,'SegEnds_NonXtal_Prot#'!A:AL,22,FALSE)</f>
        <v>64</v>
      </c>
      <c r="AI77" s="1">
        <f>VLOOKUP(A77,'SegEnds_NonXtal_Prot#'!A:AL,31,FALSE)-VLOOKUP(A77,'SegEnds_NonXtal_Prot#'!A:AL,28,FALSE)</f>
        <v>43</v>
      </c>
      <c r="AJ77" s="1">
        <f>VLOOKUP(A77,'SegEnds_NonXtal_Prot#'!A:AL,34,FALSE)-VLOOKUP(A77,'SegEnds_NonXtal_Prot#'!A:AL,31,FALSE)</f>
        <v>36</v>
      </c>
      <c r="AK77" s="1">
        <f>VLOOKUP(A77,'SegEnds_NonXtal_Prot#'!A:AL,37,FALSE)-VLOOKUP(A77,'SegEnds_NonXtal_Prot#'!A:AL,34,FALSE)</f>
        <v>10</v>
      </c>
      <c r="AL77" s="1" t="str">
        <f>IF(ISERROR(MATCH(A77,'SegEnds_Xtal_Prot#'!B:B, 0)), "NoXtal", "Xtal")</f>
        <v>NoXtal</v>
      </c>
    </row>
    <row r="78" spans="1:38" x14ac:dyDescent="0.2">
      <c r="A78" s="1" t="s">
        <v>263</v>
      </c>
      <c r="B78" s="1" t="str">
        <f>VLOOKUP(A78,Xtal_Templ!A:B,2,FALSE)</f>
        <v>ox2r_human</v>
      </c>
      <c r="C78" s="5">
        <f>VLOOKUP($B78&amp;"__wt",'SegEnds_Xtal_BW#'!$A:$Z,3,FALSE)</f>
        <v>31</v>
      </c>
      <c r="D78" s="1">
        <f>VLOOKUP($B78&amp;"__wt",'SegEnds_Xtal_BW#'!$A:$Z,4,FALSE)</f>
        <v>60</v>
      </c>
      <c r="E78" s="1">
        <f>VLOOKUP($B78&amp;"__wt",'SegEnds_Xtal_BW#'!$A:$Z,5,FALSE)</f>
        <v>48</v>
      </c>
      <c r="F78" s="1">
        <f>VLOOKUP($B78&amp;"__wt",'SegEnds_Xtal_BW#'!$A:$Z,6,FALSE)</f>
        <v>51</v>
      </c>
      <c r="G78" s="1">
        <v>37</v>
      </c>
      <c r="H78" s="12">
        <f>VLOOKUP($B78&amp;"__wt",'SegEnds_Xtal_BW#'!$A:$Z,8,FALSE)</f>
        <v>68</v>
      </c>
      <c r="I78" s="1">
        <f>VLOOKUP($B78&amp;"__wt",'SegEnds_Xtal_BW#'!$A:$Z,9,FALSE)</f>
        <v>49</v>
      </c>
      <c r="J78" s="1">
        <f>VLOOKUP($B78&amp;"__wt",'SegEnds_Xtal_BW#'!$A:$Z,10,FALSE)</f>
        <v>52</v>
      </c>
      <c r="K78" s="12">
        <v>18</v>
      </c>
      <c r="L78" s="1">
        <f>VLOOKUP($B78&amp;"__wt",'SegEnds_Xtal_BW#'!$A:$Z,12,FALSE)</f>
        <v>56</v>
      </c>
      <c r="M78" s="1">
        <f>VLOOKUP($B78&amp;"__wt",'SegEnds_Xtal_BW#'!$A:$Z,13,FALSE)</f>
        <v>50</v>
      </c>
      <c r="N78" s="12">
        <v>57</v>
      </c>
      <c r="O78" s="87">
        <f>VLOOKUP($B78&amp;"__wt",'SegEnds_Xtal_BW#'!$A:$Z,15,FALSE)</f>
        <v>38</v>
      </c>
      <c r="P78" s="1">
        <f>VLOOKUP($B78&amp;"__wt",'SegEnds_Xtal_BW#'!$A:$Z,16,FALSE)</f>
        <v>64</v>
      </c>
      <c r="Q78" s="1">
        <f>VLOOKUP($B78&amp;"__wt",'SegEnds_Xtal_BW#'!$A:$Z,17,FALSE)</f>
        <v>50</v>
      </c>
      <c r="R78" s="1">
        <f>VLOOKUP($B78&amp;"__wt",'SegEnds_Xtal_BW#'!$A:$Z,18,FALSE)</f>
        <v>52</v>
      </c>
      <c r="S78" s="1">
        <v>35</v>
      </c>
      <c r="T78" s="1">
        <f t="array" ref="T78">INDEX(ICL3_classA!$G$2:$G$37,MATCH(MIN(ABS(AI78-ICL3_classA!$F$2:$F$37)),ABS(AI78-ICL3_classA!$F$2:$F$37),0))</f>
        <v>76</v>
      </c>
      <c r="U78" s="1">
        <f t="array" ref="U78">INDEX(ICL3_classA!$H$2:$H$37,MATCH(MIN(ABS(AI78-ICL3_classA!$F$2:$F$37)),ABS(AI78-ICL3_classA!$F$2:$F$37),0))</f>
        <v>24</v>
      </c>
      <c r="V78" s="1">
        <v>61</v>
      </c>
      <c r="W78" s="1">
        <v>31</v>
      </c>
      <c r="X78" s="1">
        <f>VLOOKUP($B78&amp;"__wt",'SegEnds_Xtal_BW#'!$A:$Z,24,FALSE)</f>
        <v>56</v>
      </c>
      <c r="Y78" s="1">
        <f>VLOOKUP($B78&amp;"__wt",'SegEnds_Xtal_BW#'!$A:$Z,25,FALSE)</f>
        <v>47</v>
      </c>
      <c r="Z78" s="1">
        <f>VLOOKUP($B78&amp;"__wt",'SegEnds_Xtal_BW#'!$A:$Z,26,FALSE)</f>
        <v>58</v>
      </c>
      <c r="AA78" s="27" t="str">
        <f>VLOOKUP(A78,Classification!A:B,2,FALSE)</f>
        <v>A</v>
      </c>
      <c r="AB78" s="1">
        <f>VLOOKUP(A78,'SegEnds_NonXtal_Prot#'!A:AL,10,FALSE)-VLOOKUP(A78,'SegEnds_NonXtal_Prot#'!A:AL,4,FALSE)</f>
        <v>26</v>
      </c>
      <c r="AC78" s="1" t="e">
        <f>VLOOKUP(A78,'SegEnds_NonXtal_Prot#'!A:AL,10,FALSE)-VLOOKUP(A78,'SegEnds_NonXtal_Prot#'!A:AL,7,FALSE)</f>
        <v>#VALUE!</v>
      </c>
      <c r="AD78" s="1">
        <f>VLOOKUP(A78,'SegEnds_NonXtal_Prot#'!A:AL,13,FALSE)-VLOOKUP(A78,'SegEnds_NonXtal_Prot#'!A:AL,10,FALSE)</f>
        <v>21</v>
      </c>
      <c r="AE78" s="1">
        <f>VLOOKUP(A78,'SegEnds_NonXtal_Prot#'!A:AL,16,FALSE)-VLOOKUP(A78,'SegEnds_NonXtal_Prot#'!A:AL,10,FALSE)</f>
        <v>54</v>
      </c>
      <c r="AF78" s="1">
        <f>VLOOKUP(A78,'SegEnds_NonXtal_Prot#'!A:AL,22,FALSE)-VLOOKUP(A78,'SegEnds_NonXtal_Prot#'!A:AL,19,FALSE)</f>
        <v>20</v>
      </c>
      <c r="AG78" s="1">
        <f>VLOOKUP(A78,'SegEnds_NonXtal_Prot#'!A:AL,28,FALSE)-VLOOKUP(A78,'SegEnds_NonXtal_Prot#'!A:AL,25,FALSE)</f>
        <v>25</v>
      </c>
      <c r="AH78" s="1">
        <f>VLOOKUP(A78,'SegEnds_NonXtal_Prot#'!A:AL,28,FALSE)-VLOOKUP(A78,'SegEnds_NonXtal_Prot#'!A:AL,22,FALSE)</f>
        <v>53</v>
      </c>
      <c r="AI78" s="1">
        <f>VLOOKUP(A78,'SegEnds_NonXtal_Prot#'!A:AL,31,FALSE)-VLOOKUP(A78,'SegEnds_NonXtal_Prot#'!A:AL,28,FALSE)</f>
        <v>82</v>
      </c>
      <c r="AJ78" s="1">
        <f>VLOOKUP(A78,'SegEnds_NonXtal_Prot#'!A:AL,34,FALSE)-VLOOKUP(A78,'SegEnds_NonXtal_Prot#'!A:AL,31,FALSE)</f>
        <v>36</v>
      </c>
      <c r="AK78" s="1">
        <f>VLOOKUP(A78,'SegEnds_NonXtal_Prot#'!A:AL,37,FALSE)-VLOOKUP(A78,'SegEnds_NonXtal_Prot#'!A:AL,34,FALSE)</f>
        <v>10</v>
      </c>
      <c r="AL78" s="1" t="str">
        <f>IF(ISERROR(MATCH(A78,'SegEnds_Xtal_Prot#'!B:B, 0)), "NoXtal", "Xtal")</f>
        <v>NoXtal</v>
      </c>
    </row>
    <row r="79" spans="1:38" x14ac:dyDescent="0.2">
      <c r="A79" s="1" t="s">
        <v>271</v>
      </c>
      <c r="B79" s="1" t="str">
        <f>VLOOKUP(A79,Xtal_Templ!A:B,2,FALSE)</f>
        <v>5ht2c_human</v>
      </c>
      <c r="C79" s="5">
        <f>VLOOKUP($B79&amp;"__wt",'SegEnds_Xtal_BW#'!$A:$Z,3,FALSE)</f>
        <v>33</v>
      </c>
      <c r="D79" s="1">
        <f>VLOOKUP($B79&amp;"__wt",'SegEnds_Xtal_BW#'!$A:$Z,4,FALSE)</f>
        <v>60</v>
      </c>
      <c r="E79" s="1">
        <f>VLOOKUP($B79&amp;"__wt",'SegEnds_Xtal_BW#'!$A:$Z,5,FALSE)</f>
        <v>48</v>
      </c>
      <c r="F79" s="1">
        <f>VLOOKUP($B79&amp;"__wt",'SegEnds_Xtal_BW#'!$A:$Z,6,FALSE)</f>
        <v>51</v>
      </c>
      <c r="G79" s="1">
        <v>37</v>
      </c>
      <c r="H79" s="12">
        <f>VLOOKUP($B79&amp;"__wt",'SegEnds_Xtal_BW#'!$A:$Z,8,FALSE)</f>
        <v>68</v>
      </c>
      <c r="I79" s="1">
        <f>VLOOKUP($B79&amp;"__wt",'SegEnds_Xtal_BW#'!$A:$Z,9,FALSE)</f>
        <v>49</v>
      </c>
      <c r="J79" s="1">
        <f>VLOOKUP($B79&amp;"__wt",'SegEnds_Xtal_BW#'!$A:$Z,10,FALSE)</f>
        <v>52</v>
      </c>
      <c r="K79" s="12">
        <v>18</v>
      </c>
      <c r="L79" s="1">
        <f>VLOOKUP($B79&amp;"__wt",'SegEnds_Xtal_BW#'!$A:$Z,12,FALSE)</f>
        <v>56</v>
      </c>
      <c r="M79" s="1">
        <f>VLOOKUP($B79&amp;"__wt",'SegEnds_Xtal_BW#'!$A:$Z,13,FALSE)</f>
        <v>50</v>
      </c>
      <c r="N79" s="12">
        <v>57</v>
      </c>
      <c r="O79" s="87">
        <f>VLOOKUP($B79&amp;"__wt",'SegEnds_Xtal_BW#'!$A:$Z,15,FALSE)</f>
        <v>38</v>
      </c>
      <c r="P79" s="1">
        <f>VLOOKUP($B79&amp;"__wt",'SegEnds_Xtal_BW#'!$A:$Z,16,FALSE)</f>
        <v>67</v>
      </c>
      <c r="Q79" s="1">
        <f>VLOOKUP($B79&amp;"__wt",'SegEnds_Xtal_BW#'!$A:$Z,17,FALSE)</f>
        <v>50</v>
      </c>
      <c r="R79" s="1">
        <f>VLOOKUP($B79&amp;"__wt",'SegEnds_Xtal_BW#'!$A:$Z,18,FALSE)</f>
        <v>52</v>
      </c>
      <c r="S79" s="1">
        <v>35</v>
      </c>
      <c r="T79" s="1">
        <f t="array" ref="T79">INDEX(ICL3_classA!$G$2:$G$37,MATCH(MIN(ABS(AI79-ICL3_classA!$F$2:$F$37)),ABS(AI79-ICL3_classA!$F$2:$F$37),0))</f>
        <v>76</v>
      </c>
      <c r="U79" s="1">
        <f t="array" ref="U79">INDEX(ICL3_classA!$H$2:$H$37,MATCH(MIN(ABS(AI79-ICL3_classA!$F$2:$F$37)),ABS(AI79-ICL3_classA!$F$2:$F$37),0))</f>
        <v>24</v>
      </c>
      <c r="V79" s="1">
        <v>61</v>
      </c>
      <c r="W79" s="1">
        <v>31</v>
      </c>
      <c r="X79" s="1">
        <f>VLOOKUP($B79&amp;"__wt",'SegEnds_Xtal_BW#'!$A:$Z,24,FALSE)</f>
        <v>56</v>
      </c>
      <c r="Y79" s="1">
        <f>VLOOKUP($B79&amp;"__wt",'SegEnds_Xtal_BW#'!$A:$Z,25,FALSE)</f>
        <v>47</v>
      </c>
      <c r="Z79" s="1">
        <f>VLOOKUP($B79&amp;"__wt",'SegEnds_Xtal_BW#'!$A:$Z,26,FALSE)</f>
        <v>60</v>
      </c>
      <c r="AA79" s="27" t="str">
        <f>VLOOKUP(A79,Classification!A:B,2,FALSE)</f>
        <v>A</v>
      </c>
      <c r="AB79" s="1">
        <f>VLOOKUP(A79,'SegEnds_NonXtal_Prot#'!A:AL,10,FALSE)-VLOOKUP(A79,'SegEnds_NonXtal_Prot#'!A:AL,4,FALSE)</f>
        <v>28</v>
      </c>
      <c r="AC79" s="1">
        <f>VLOOKUP(A79,'SegEnds_NonXtal_Prot#'!A:AL,10,FALSE)-VLOOKUP(A79,'SegEnds_NonXtal_Prot#'!A:AL,7,FALSE)</f>
        <v>15</v>
      </c>
      <c r="AD79" s="1">
        <f>VLOOKUP(A79,'SegEnds_NonXtal_Prot#'!A:AL,13,FALSE)-VLOOKUP(A79,'SegEnds_NonXtal_Prot#'!A:AL,10,FALSE)</f>
        <v>21</v>
      </c>
      <c r="AE79" s="1">
        <f>VLOOKUP(A79,'SegEnds_NonXtal_Prot#'!A:AL,16,FALSE)-VLOOKUP(A79,'SegEnds_NonXtal_Prot#'!A:AL,10,FALSE)</f>
        <v>53</v>
      </c>
      <c r="AF79" s="1">
        <f>VLOOKUP(A79,'SegEnds_NonXtal_Prot#'!A:AL,22,FALSE)-VLOOKUP(A79,'SegEnds_NonXtal_Prot#'!A:AL,19,FALSE)</f>
        <v>20</v>
      </c>
      <c r="AG79" s="1">
        <f>VLOOKUP(A79,'SegEnds_NonXtal_Prot#'!A:AL,28,FALSE)-VLOOKUP(A79,'SegEnds_NonXtal_Prot#'!A:AL,25,FALSE)</f>
        <v>61</v>
      </c>
      <c r="AH79" s="1">
        <f>VLOOKUP(A79,'SegEnds_NonXtal_Prot#'!A:AL,28,FALSE)-VLOOKUP(A79,'SegEnds_NonXtal_Prot#'!A:AL,22,FALSE)</f>
        <v>87</v>
      </c>
      <c r="AI79" s="1">
        <f>VLOOKUP(A79,'SegEnds_NonXtal_Prot#'!A:AL,31,FALSE)-VLOOKUP(A79,'SegEnds_NonXtal_Prot#'!A:AL,28,FALSE)</f>
        <v>67</v>
      </c>
      <c r="AJ79" s="1">
        <f>VLOOKUP(A79,'SegEnds_NonXtal_Prot#'!A:AL,34,FALSE)-VLOOKUP(A79,'SegEnds_NonXtal_Prot#'!A:AL,31,FALSE)</f>
        <v>36</v>
      </c>
      <c r="AK79" s="1">
        <f>VLOOKUP(A79,'SegEnds_NonXtal_Prot#'!A:AL,37,FALSE)-VLOOKUP(A79,'SegEnds_NonXtal_Prot#'!A:AL,34,FALSE)</f>
        <v>10</v>
      </c>
      <c r="AL79" s="1" t="str">
        <f>IF(ISERROR(MATCH(A79,'SegEnds_Xtal_Prot#'!B:B, 0)), "NoXtal", "Xtal")</f>
        <v>NoXtal</v>
      </c>
    </row>
    <row r="80" spans="1:38" x14ac:dyDescent="0.2">
      <c r="A80" s="1" t="s">
        <v>279</v>
      </c>
      <c r="B80" s="1" t="str">
        <f>VLOOKUP(A80,Xtal_Templ!A:B,2,FALSE)</f>
        <v>adrb2_human</v>
      </c>
      <c r="C80" s="5">
        <f>VLOOKUP($B80&amp;"__wt",'SegEnds_Xtal_BW#'!$A:$Z,3,FALSE)</f>
        <v>25</v>
      </c>
      <c r="D80" s="1">
        <f>VLOOKUP($B80&amp;"__wt",'SegEnds_Xtal_BW#'!$A:$Z,4,FALSE)</f>
        <v>60</v>
      </c>
      <c r="E80" s="1">
        <f>VLOOKUP($B80&amp;"__wt",'SegEnds_Xtal_BW#'!$A:$Z,5,FALSE)</f>
        <v>48</v>
      </c>
      <c r="F80" s="1">
        <f>VLOOKUP($B80&amp;"__wt",'SegEnds_Xtal_BW#'!$A:$Z,6,FALSE)</f>
        <v>51</v>
      </c>
      <c r="G80" s="1">
        <v>37</v>
      </c>
      <c r="H80" s="12">
        <f>VLOOKUP($B80&amp;"__wt",'SegEnds_Xtal_BW#'!$A:$Z,8,FALSE)</f>
        <v>67</v>
      </c>
      <c r="I80" s="1">
        <f>VLOOKUP($B80&amp;"__wt",'SegEnds_Xtal_BW#'!$A:$Z,9,FALSE)</f>
        <v>49</v>
      </c>
      <c r="J80" s="1">
        <f>VLOOKUP($B80&amp;"__wt",'SegEnds_Xtal_BW#'!$A:$Z,10,FALSE)</f>
        <v>52</v>
      </c>
      <c r="K80" s="12">
        <v>18</v>
      </c>
      <c r="L80" s="1">
        <f>VLOOKUP($B80&amp;"__wt",'SegEnds_Xtal_BW#'!$A:$Z,12,FALSE)</f>
        <v>56</v>
      </c>
      <c r="M80" s="1">
        <f>VLOOKUP($B80&amp;"__wt",'SegEnds_Xtal_BW#'!$A:$Z,13,FALSE)</f>
        <v>50</v>
      </c>
      <c r="N80" s="12">
        <v>57</v>
      </c>
      <c r="O80" s="87">
        <v>38</v>
      </c>
      <c r="P80" s="1">
        <f>VLOOKUP($B80&amp;"__wt",'SegEnds_Xtal_BW#'!$A:$Z,16,FALSE)</f>
        <v>64</v>
      </c>
      <c r="Q80" s="1">
        <f>VLOOKUP($B80&amp;"__wt",'SegEnds_Xtal_BW#'!$A:$Z,17,FALSE)</f>
        <v>50</v>
      </c>
      <c r="R80" s="1">
        <f>VLOOKUP($B80&amp;"__wt",'SegEnds_Xtal_BW#'!$A:$Z,18,FALSE)</f>
        <v>52</v>
      </c>
      <c r="S80" s="1">
        <v>35</v>
      </c>
      <c r="T80" s="1">
        <f t="array" ref="T80">INDEX(ICL3_classA!$G$2:$G$37,MATCH(MIN(ABS(AI80-ICL3_classA!$F$2:$F$37)),ABS(AI80-ICL3_classA!$F$2:$F$37),0))</f>
        <v>73</v>
      </c>
      <c r="U80" s="1">
        <f t="array" ref="U80">INDEX(ICL3_classA!$H$2:$H$37,MATCH(MIN(ABS(AI80-ICL3_classA!$F$2:$F$37)),ABS(AI80-ICL3_classA!$F$2:$F$37),0))</f>
        <v>22</v>
      </c>
      <c r="V80" s="1">
        <v>61</v>
      </c>
      <c r="W80" s="1">
        <v>31</v>
      </c>
      <c r="X80" s="108">
        <v>56</v>
      </c>
      <c r="Y80" s="1">
        <f>VLOOKUP($B80&amp;"__wt",'SegEnds_Xtal_BW#'!$A:$Z,25,FALSE)</f>
        <v>47</v>
      </c>
      <c r="Z80" s="1">
        <f>VLOOKUP($B80&amp;"__wt",'SegEnds_Xtal_BW#'!$A:$Z,26,FALSE)</f>
        <v>59</v>
      </c>
      <c r="AA80" s="27" t="str">
        <f>VLOOKUP(A80,Classification!A:B,2,FALSE)</f>
        <v>A</v>
      </c>
      <c r="AB80" s="1">
        <f>VLOOKUP(A80,'SegEnds_NonXtal_Prot#'!A:AL,10,FALSE)-VLOOKUP(A80,'SegEnds_NonXtal_Prot#'!A:AL,4,FALSE)</f>
        <v>28</v>
      </c>
      <c r="AC80" s="1">
        <f>VLOOKUP(A80,'SegEnds_NonXtal_Prot#'!A:AL,10,FALSE)-VLOOKUP(A80,'SegEnds_NonXtal_Prot#'!A:AL,7,FALSE)</f>
        <v>15</v>
      </c>
      <c r="AD80" s="1">
        <f>VLOOKUP(A80,'SegEnds_NonXtal_Prot#'!A:AL,13,FALSE)-VLOOKUP(A80,'SegEnds_NonXtal_Prot#'!A:AL,10,FALSE)</f>
        <v>20</v>
      </c>
      <c r="AE80" s="1">
        <f>VLOOKUP(A80,'SegEnds_NonXtal_Prot#'!A:AL,16,FALSE)-VLOOKUP(A80,'SegEnds_NonXtal_Prot#'!A:AL,10,FALSE)</f>
        <v>52</v>
      </c>
      <c r="AF80" s="1">
        <f>VLOOKUP(A80,'SegEnds_NonXtal_Prot#'!A:AL,22,FALSE)-VLOOKUP(A80,'SegEnds_NonXtal_Prot#'!A:AL,19,FALSE)</f>
        <v>20</v>
      </c>
      <c r="AG80" s="1">
        <f>VLOOKUP(A80,'SegEnds_NonXtal_Prot#'!A:AL,28,FALSE)-VLOOKUP(A80,'SegEnds_NonXtal_Prot#'!A:AL,25,FALSE)</f>
        <v>20</v>
      </c>
      <c r="AH80" s="1">
        <f>VLOOKUP(A80,'SegEnds_NonXtal_Prot#'!A:AL,28,FALSE)-VLOOKUP(A80,'SegEnds_NonXtal_Prot#'!A:AL,22,FALSE)</f>
        <v>51</v>
      </c>
      <c r="AI80" s="1">
        <f>VLOOKUP(A80,'SegEnds_NonXtal_Prot#'!A:AL,31,FALSE)-VLOOKUP(A80,'SegEnds_NonXtal_Prot#'!A:AL,28,FALSE)</f>
        <v>55</v>
      </c>
      <c r="AJ80" s="1">
        <f>VLOOKUP(A80,'SegEnds_NonXtal_Prot#'!A:AL,34,FALSE)-VLOOKUP(A80,'SegEnds_NonXtal_Prot#'!A:AL,31,FALSE)</f>
        <v>36</v>
      </c>
      <c r="AK80" s="1">
        <f>VLOOKUP(A80,'SegEnds_NonXtal_Prot#'!A:AL,37,FALSE)-VLOOKUP(A80,'SegEnds_NonXtal_Prot#'!A:AL,34,FALSE)</f>
        <v>10</v>
      </c>
      <c r="AL80" s="1" t="str">
        <f>IF(ISERROR(MATCH(A80,'SegEnds_Xtal_Prot#'!B:B, 0)), "NoXtal", "Xtal")</f>
        <v>NoXtal</v>
      </c>
    </row>
    <row r="81" spans="1:38" x14ac:dyDescent="0.2">
      <c r="A81" s="1" t="s">
        <v>280</v>
      </c>
      <c r="B81" s="1" t="str">
        <f>VLOOKUP(A81,Xtal_Templ!A:B,2,FALSE)</f>
        <v>hrh1_human</v>
      </c>
      <c r="C81" s="5">
        <f>VLOOKUP($B81&amp;"__wt",'SegEnds_Xtal_BW#'!$A:$Z,3,FALSE)</f>
        <v>34</v>
      </c>
      <c r="D81" s="1">
        <f>VLOOKUP($B81&amp;"__wt",'SegEnds_Xtal_BW#'!$A:$Z,4,FALSE)</f>
        <v>60</v>
      </c>
      <c r="E81" s="1">
        <f>VLOOKUP($B81&amp;"__wt",'SegEnds_Xtal_BW#'!$A:$Z,5,FALSE)</f>
        <v>48</v>
      </c>
      <c r="F81" s="1">
        <f>VLOOKUP($B81&amp;"__wt",'SegEnds_Xtal_BW#'!$A:$Z,6,FALSE)</f>
        <v>51</v>
      </c>
      <c r="G81" s="1">
        <v>37</v>
      </c>
      <c r="H81" s="12">
        <f>VLOOKUP($B81&amp;"__wt",'SegEnds_Xtal_BW#'!$A:$Z,8,FALSE)</f>
        <v>67</v>
      </c>
      <c r="I81" s="1">
        <f>VLOOKUP($B81&amp;"__wt",'SegEnds_Xtal_BW#'!$A:$Z,9,FALSE)</f>
        <v>49</v>
      </c>
      <c r="J81" s="1">
        <f>VLOOKUP($B81&amp;"__wt",'SegEnds_Xtal_BW#'!$A:$Z,10,FALSE)</f>
        <v>52</v>
      </c>
      <c r="K81" s="12">
        <v>18</v>
      </c>
      <c r="L81" s="1">
        <f>VLOOKUP($B81&amp;"__wt",'SegEnds_Xtal_BW#'!$A:$Z,12,FALSE)</f>
        <v>56</v>
      </c>
      <c r="M81" s="1">
        <f>VLOOKUP($B81&amp;"__wt",'SegEnds_Xtal_BW#'!$A:$Z,13,FALSE)</f>
        <v>50</v>
      </c>
      <c r="N81" s="12">
        <v>58</v>
      </c>
      <c r="O81" s="87">
        <f>VLOOKUP($B81&amp;"__wt",'SegEnds_Xtal_BW#'!$A:$Z,15,FALSE)</f>
        <v>38</v>
      </c>
      <c r="P81" s="1">
        <v>63</v>
      </c>
      <c r="Q81" s="1">
        <f>VLOOKUP($B81&amp;"__wt",'SegEnds_Xtal_BW#'!$A:$Z,17,FALSE)</f>
        <v>50</v>
      </c>
      <c r="R81" s="1">
        <f>VLOOKUP($B81&amp;"__wt",'SegEnds_Xtal_BW#'!$A:$Z,18,FALSE)</f>
        <v>52</v>
      </c>
      <c r="S81" s="1">
        <v>35</v>
      </c>
      <c r="T81" s="1">
        <f t="array" ref="T81">INDEX(ICL3_classA!$G$2:$G$37,MATCH(MIN(ABS(AI81-ICL3_classA!$F$2:$F$37)),ABS(AI81-ICL3_classA!$F$2:$F$37),0))</f>
        <v>75</v>
      </c>
      <c r="U81" s="1">
        <f t="array" ref="U81">INDEX(ICL3_classA!$H$2:$H$37,MATCH(MIN(ABS(AI81-ICL3_classA!$F$2:$F$37)),ABS(AI81-ICL3_classA!$F$2:$F$37),0))</f>
        <v>24</v>
      </c>
      <c r="V81" s="1">
        <v>61</v>
      </c>
      <c r="W81" s="1">
        <v>31</v>
      </c>
      <c r="X81" s="1">
        <f>VLOOKUP($B81&amp;"__wt",'SegEnds_Xtal_BW#'!$A:$Z,24,FALSE)</f>
        <v>56</v>
      </c>
      <c r="Y81" s="1">
        <f>VLOOKUP($B81&amp;"__wt",'SegEnds_Xtal_BW#'!$A:$Z,25,FALSE)</f>
        <v>47</v>
      </c>
      <c r="Z81" s="1">
        <f>VLOOKUP($B81&amp;"__wt",'SegEnds_Xtal_BW#'!$A:$Z,26,FALSE)</f>
        <v>59</v>
      </c>
      <c r="AA81" s="27" t="str">
        <f>VLOOKUP(A81,Classification!A:B,2,FALSE)</f>
        <v>A</v>
      </c>
      <c r="AB81" s="1">
        <f>VLOOKUP(A81,'SegEnds_NonXtal_Prot#'!A:AL,10,FALSE)-VLOOKUP(A81,'SegEnds_NonXtal_Prot#'!A:AL,4,FALSE)</f>
        <v>28</v>
      </c>
      <c r="AC81" s="1">
        <f>VLOOKUP(A81,'SegEnds_NonXtal_Prot#'!A:AL,10,FALSE)-VLOOKUP(A81,'SegEnds_NonXtal_Prot#'!A:AL,7,FALSE)</f>
        <v>15</v>
      </c>
      <c r="AD81" s="1">
        <f>VLOOKUP(A81,'SegEnds_NonXtal_Prot#'!A:AL,13,FALSE)-VLOOKUP(A81,'SegEnds_NonXtal_Prot#'!A:AL,10,FALSE)</f>
        <v>20</v>
      </c>
      <c r="AE81" s="1">
        <f>VLOOKUP(A81,'SegEnds_NonXtal_Prot#'!A:AL,16,FALSE)-VLOOKUP(A81,'SegEnds_NonXtal_Prot#'!A:AL,10,FALSE)</f>
        <v>52</v>
      </c>
      <c r="AF81" s="1">
        <f>VLOOKUP(A81,'SegEnds_NonXtal_Prot#'!A:AL,22,FALSE)-VLOOKUP(A81,'SegEnds_NonXtal_Prot#'!A:AL,19,FALSE)</f>
        <v>21</v>
      </c>
      <c r="AG81" s="1">
        <f>VLOOKUP(A81,'SegEnds_NonXtal_Prot#'!A:AL,28,FALSE)-VLOOKUP(A81,'SegEnds_NonXtal_Prot#'!A:AL,25,FALSE)</f>
        <v>22</v>
      </c>
      <c r="AH81" s="1">
        <f>VLOOKUP(A81,'SegEnds_NonXtal_Prot#'!A:AL,28,FALSE)-VLOOKUP(A81,'SegEnds_NonXtal_Prot#'!A:AL,22,FALSE)</f>
        <v>50</v>
      </c>
      <c r="AI81" s="1">
        <f>VLOOKUP(A81,'SegEnds_NonXtal_Prot#'!A:AL,31,FALSE)-VLOOKUP(A81,'SegEnds_NonXtal_Prot#'!A:AL,28,FALSE)</f>
        <v>163</v>
      </c>
      <c r="AJ81" s="1">
        <f>VLOOKUP(A81,'SegEnds_NonXtal_Prot#'!A:AL,34,FALSE)-VLOOKUP(A81,'SegEnds_NonXtal_Prot#'!A:AL,31,FALSE)</f>
        <v>36</v>
      </c>
      <c r="AK81" s="1">
        <f>VLOOKUP(A81,'SegEnds_NonXtal_Prot#'!A:AL,37,FALSE)-VLOOKUP(A81,'SegEnds_NonXtal_Prot#'!A:AL,34,FALSE)</f>
        <v>10</v>
      </c>
      <c r="AL81" s="1" t="str">
        <f>IF(ISERROR(MATCH(A81,'SegEnds_Xtal_Prot#'!B:B, 0)), "NoXtal", "Xtal")</f>
        <v>NoXtal</v>
      </c>
    </row>
    <row r="82" spans="1:38" x14ac:dyDescent="0.2">
      <c r="A82" s="1" t="s">
        <v>283</v>
      </c>
      <c r="B82" s="1" t="str">
        <f>VLOOKUP(A82,Xtal_Templ!A:B,2,FALSE)</f>
        <v>agtr1_human</v>
      </c>
      <c r="C82" s="5">
        <f>VLOOKUP($B82&amp;"__wt",'SegEnds_Xtal_BW#'!$A:$Z,3,FALSE)</f>
        <v>28</v>
      </c>
      <c r="D82" s="1">
        <f>VLOOKUP($B82&amp;"__wt",'SegEnds_Xtal_BW#'!$A:$Z,4,FALSE)</f>
        <v>60</v>
      </c>
      <c r="E82" s="1">
        <f>VLOOKUP($B82&amp;"__wt",'SegEnds_Xtal_BW#'!$A:$Z,5,FALSE)</f>
        <v>48</v>
      </c>
      <c r="F82" s="1">
        <f>VLOOKUP($B82&amp;"__wt",'SegEnds_Xtal_BW#'!$A:$Z,6,FALSE)</f>
        <v>51</v>
      </c>
      <c r="G82" s="1">
        <v>37</v>
      </c>
      <c r="H82" s="12">
        <v>67</v>
      </c>
      <c r="I82" s="1">
        <f>VLOOKUP($B82&amp;"__wt",'SegEnds_Xtal_BW#'!$A:$Z,9,FALSE)</f>
        <v>49</v>
      </c>
      <c r="J82" s="1">
        <f>VLOOKUP($B82&amp;"__wt",'SegEnds_Xtal_BW#'!$A:$Z,10,FALSE)</f>
        <v>52</v>
      </c>
      <c r="K82" s="12">
        <v>18</v>
      </c>
      <c r="L82" s="1">
        <f>VLOOKUP($B82&amp;"__wt",'SegEnds_Xtal_BW#'!$A:$Z,12,FALSE)</f>
        <v>56</v>
      </c>
      <c r="M82" s="1">
        <f>VLOOKUP($B82&amp;"__wt",'SegEnds_Xtal_BW#'!$A:$Z,13,FALSE)</f>
        <v>50</v>
      </c>
      <c r="N82" s="12">
        <v>57</v>
      </c>
      <c r="O82" s="87">
        <f>VLOOKUP($B82&amp;"__wt",'SegEnds_Xtal_BW#'!$A:$Z,15,FALSE)</f>
        <v>38</v>
      </c>
      <c r="P82" s="1">
        <f>VLOOKUP($B82&amp;"__wt",'SegEnds_Xtal_BW#'!$A:$Z,16,FALSE)</f>
        <v>64</v>
      </c>
      <c r="Q82" s="1">
        <f>VLOOKUP($B82&amp;"__wt",'SegEnds_Xtal_BW#'!$A:$Z,17,FALSE)</f>
        <v>50</v>
      </c>
      <c r="R82" s="1">
        <f>VLOOKUP($B82&amp;"__wt",'SegEnds_Xtal_BW#'!$A:$Z,18,FALSE)</f>
        <v>52</v>
      </c>
      <c r="S82" s="1">
        <f>VLOOKUP($B82&amp;"__wt",'SegEnds_Xtal_BW#'!$A:$Z,19,FALSE)</f>
        <v>34</v>
      </c>
      <c r="T82" s="1">
        <f t="array" ref="T82">INDEX(ICL3_classA!$G$2:$G$37,MATCH(MIN(ABS(AI82-ICL3_classA!$F$2:$F$37)),ABS(AI82-ICL3_classA!$F$2:$F$37),0))</f>
        <v>67</v>
      </c>
      <c r="U82" s="1">
        <f t="array" ref="U82">INDEX(ICL3_classA!$H$2:$H$37,MATCH(MIN(ABS(AI82-ICL3_classA!$F$2:$F$37)),ABS(AI82-ICL3_classA!$F$2:$F$37),0))</f>
        <v>28</v>
      </c>
      <c r="V82" s="1">
        <v>61</v>
      </c>
      <c r="W82" s="1">
        <v>31</v>
      </c>
      <c r="X82" s="1">
        <f>VLOOKUP($B82&amp;"__wt",'SegEnds_Xtal_BW#'!$A:$Z,24,FALSE)</f>
        <v>56</v>
      </c>
      <c r="Y82" s="1">
        <f>VLOOKUP($B82&amp;"__wt",'SegEnds_Xtal_BW#'!$A:$Z,25,FALSE)</f>
        <v>47</v>
      </c>
      <c r="Z82" s="1">
        <f>VLOOKUP($B82&amp;"__wt",'SegEnds_Xtal_BW#'!$A:$Z,26,FALSE)</f>
        <v>61</v>
      </c>
      <c r="AA82" s="27" t="str">
        <f>VLOOKUP(A82,Classification!A:B,2,FALSE)</f>
        <v>A</v>
      </c>
      <c r="AB82" s="1">
        <f>VLOOKUP(A82,'SegEnds_NonXtal_Prot#'!A:AL,10,FALSE)-VLOOKUP(A82,'SegEnds_NonXtal_Prot#'!A:AL,4,FALSE)</f>
        <v>28</v>
      </c>
      <c r="AC82" s="1" t="e">
        <f>VLOOKUP(A82,'SegEnds_NonXtal_Prot#'!A:AL,10,FALSE)-VLOOKUP(A82,'SegEnds_NonXtal_Prot#'!A:AL,7,FALSE)</f>
        <v>#VALUE!</v>
      </c>
      <c r="AD82" s="1" t="e">
        <f>VLOOKUP(A82,'SegEnds_NonXtal_Prot#'!A:AL,13,FALSE)-VLOOKUP(A82,'SegEnds_NonXtal_Prot#'!A:AL,10,FALSE)</f>
        <v>#VALUE!</v>
      </c>
      <c r="AE82" s="1">
        <f>VLOOKUP(A82,'SegEnds_NonXtal_Prot#'!A:AL,16,FALSE)-VLOOKUP(A82,'SegEnds_NonXtal_Prot#'!A:AL,10,FALSE)</f>
        <v>59</v>
      </c>
      <c r="AF82" s="1">
        <f>VLOOKUP(A82,'SegEnds_NonXtal_Prot#'!A:AL,22,FALSE)-VLOOKUP(A82,'SegEnds_NonXtal_Prot#'!A:AL,19,FALSE)</f>
        <v>20</v>
      </c>
      <c r="AG82" s="1">
        <f>VLOOKUP(A82,'SegEnds_NonXtal_Prot#'!A:AL,28,FALSE)-VLOOKUP(A82,'SegEnds_NonXtal_Prot#'!A:AL,25,FALSE)</f>
        <v>24</v>
      </c>
      <c r="AH82" s="1">
        <f>VLOOKUP(A82,'SegEnds_NonXtal_Prot#'!A:AL,28,FALSE)-VLOOKUP(A82,'SegEnds_NonXtal_Prot#'!A:AL,22,FALSE)</f>
        <v>47</v>
      </c>
      <c r="AI82" s="1">
        <f>VLOOKUP(A82,'SegEnds_NonXtal_Prot#'!A:AL,31,FALSE)-VLOOKUP(A82,'SegEnds_NonXtal_Prot#'!A:AL,28,FALSE)</f>
        <v>45</v>
      </c>
      <c r="AJ82" s="1">
        <f>VLOOKUP(A82,'SegEnds_NonXtal_Prot#'!A:AL,34,FALSE)-VLOOKUP(A82,'SegEnds_NonXtal_Prot#'!A:AL,31,FALSE)</f>
        <v>36</v>
      </c>
      <c r="AK82" s="1">
        <f>VLOOKUP(A82,'SegEnds_NonXtal_Prot#'!A:AL,37,FALSE)-VLOOKUP(A82,'SegEnds_NonXtal_Prot#'!A:AL,34,FALSE)</f>
        <v>10</v>
      </c>
      <c r="AL82" s="1" t="str">
        <f>IF(ISERROR(MATCH(A82,'SegEnds_Xtal_Prot#'!B:B, 0)), "NoXtal", "Xtal")</f>
        <v>NoXtal</v>
      </c>
    </row>
    <row r="83" spans="1:38" x14ac:dyDescent="0.2">
      <c r="A83" s="1" t="s">
        <v>284</v>
      </c>
      <c r="B83" s="1" t="str">
        <f>VLOOKUP(A83,Xtal_Templ!A:B,2,FALSE)</f>
        <v>aa2ar_human</v>
      </c>
      <c r="C83" s="5">
        <f>VLOOKUP($B83&amp;"__wt",'SegEnds_Xtal_BW#'!$A:$Z,3,FALSE)</f>
        <v>27</v>
      </c>
      <c r="D83" s="1">
        <f>VLOOKUP($B83&amp;"__wt",'SegEnds_Xtal_BW#'!$A:$Z,4,FALSE)</f>
        <v>60</v>
      </c>
      <c r="E83" s="1">
        <f>VLOOKUP($B83&amp;"__wt",'SegEnds_Xtal_BW#'!$A:$Z,5,FALSE)</f>
        <v>48</v>
      </c>
      <c r="F83" s="1">
        <f>VLOOKUP($B83&amp;"__wt",'SegEnds_Xtal_BW#'!$A:$Z,6,FALSE)</f>
        <v>51</v>
      </c>
      <c r="G83" s="1">
        <v>37</v>
      </c>
      <c r="H83" s="12">
        <f>VLOOKUP($B83&amp;"__wt",'SegEnds_Xtal_BW#'!$A:$Z,8,FALSE)</f>
        <v>67</v>
      </c>
      <c r="I83" s="1">
        <v>49</v>
      </c>
      <c r="J83" s="1">
        <f>VLOOKUP($B83&amp;"__wt",'SegEnds_Xtal_BW#'!$A:$Z,10,FALSE)</f>
        <v>52</v>
      </c>
      <c r="K83" s="12">
        <v>18</v>
      </c>
      <c r="L83" s="1">
        <f>VLOOKUP($B83&amp;"__wt",'SegEnds_Xtal_BW#'!$A:$Z,12,FALSE)</f>
        <v>56</v>
      </c>
      <c r="M83" s="1">
        <f>VLOOKUP($B83&amp;"__wt",'SegEnds_Xtal_BW#'!$A:$Z,13,FALSE)</f>
        <v>50</v>
      </c>
      <c r="N83" s="12">
        <v>57</v>
      </c>
      <c r="O83" s="87">
        <f>VLOOKUP($B83&amp;"__wt",'SegEnds_Xtal_BW#'!$A:$Z,15,FALSE)</f>
        <v>38</v>
      </c>
      <c r="P83" s="1">
        <f>VLOOKUP($B83&amp;"__wt",'SegEnds_Xtal_BW#'!$A:$Z,16,FALSE)</f>
        <v>63</v>
      </c>
      <c r="Q83" s="1">
        <f>VLOOKUP($B83&amp;"__wt",'SegEnds_Xtal_BW#'!$A:$Z,17,FALSE)</f>
        <v>50</v>
      </c>
      <c r="R83" s="1">
        <f>VLOOKUP($B83&amp;"__wt",'SegEnds_Xtal_BW#'!$A:$Z,18,FALSE)</f>
        <v>52</v>
      </c>
      <c r="S83" s="1">
        <f>VLOOKUP($B83&amp;"__wt",'SegEnds_Xtal_BW#'!$A:$Z,19,FALSE)</f>
        <v>34</v>
      </c>
      <c r="T83" s="1">
        <f t="array" ref="T83">INDEX(ICL3_classA!$G$2:$G$37,MATCH(MIN(ABS(AI83-ICL3_classA!$F$2:$F$37)),ABS(AI83-ICL3_classA!$F$2:$F$37),0))</f>
        <v>67</v>
      </c>
      <c r="U83" s="1">
        <f t="array" ref="U83">INDEX(ICL3_classA!$H$2:$H$37,MATCH(MIN(ABS(AI83-ICL3_classA!$F$2:$F$37)),ABS(AI83-ICL3_classA!$F$2:$F$37),0))</f>
        <v>28</v>
      </c>
      <c r="V83" s="1">
        <v>61</v>
      </c>
      <c r="W83" s="1">
        <v>31</v>
      </c>
      <c r="X83" s="1">
        <f>VLOOKUP($B83&amp;"__wt",'SegEnds_Xtal_BW#'!$A:$Z,24,FALSE)</f>
        <v>56</v>
      </c>
      <c r="Y83" s="1">
        <f>VLOOKUP($B83&amp;"__wt",'SegEnds_Xtal_BW#'!$A:$Z,25,FALSE)</f>
        <v>47</v>
      </c>
      <c r="Z83" s="1">
        <f>VLOOKUP($B83&amp;"__wt",'SegEnds_Xtal_BW#'!$A:$Z,26,FALSE)</f>
        <v>69</v>
      </c>
      <c r="AA83" s="27" t="str">
        <f>VLOOKUP(A83,Classification!A:B,2,FALSE)</f>
        <v>A</v>
      </c>
      <c r="AB83" s="1">
        <f>VLOOKUP(A83,'SegEnds_NonXtal_Prot#'!A:AL,10,FALSE)-VLOOKUP(A83,'SegEnds_NonXtal_Prot#'!A:AL,4,FALSE)</f>
        <v>28</v>
      </c>
      <c r="AC83" s="1" t="e">
        <f>VLOOKUP(A83,'SegEnds_NonXtal_Prot#'!A:AL,10,FALSE)-VLOOKUP(A83,'SegEnds_NonXtal_Prot#'!A:AL,7,FALSE)</f>
        <v>#VALUE!</v>
      </c>
      <c r="AD83" s="1" t="e">
        <f>VLOOKUP(A83,'SegEnds_NonXtal_Prot#'!A:AL,13,FALSE)-VLOOKUP(A83,'SegEnds_NonXtal_Prot#'!A:AL,10,FALSE)</f>
        <v>#VALUE!</v>
      </c>
      <c r="AE83" s="1">
        <f>VLOOKUP(A83,'SegEnds_NonXtal_Prot#'!A:AL,16,FALSE)-VLOOKUP(A83,'SegEnds_NonXtal_Prot#'!A:AL,10,FALSE)</f>
        <v>59</v>
      </c>
      <c r="AF83" s="1">
        <f>VLOOKUP(A83,'SegEnds_NonXtal_Prot#'!A:AL,22,FALSE)-VLOOKUP(A83,'SegEnds_NonXtal_Prot#'!A:AL,19,FALSE)</f>
        <v>20</v>
      </c>
      <c r="AG83" s="1">
        <f>VLOOKUP(A83,'SegEnds_NonXtal_Prot#'!A:AL,28,FALSE)-VLOOKUP(A83,'SegEnds_NonXtal_Prot#'!A:AL,25,FALSE)</f>
        <v>24</v>
      </c>
      <c r="AH83" s="1">
        <f>VLOOKUP(A83,'SegEnds_NonXtal_Prot#'!A:AL,28,FALSE)-VLOOKUP(A83,'SegEnds_NonXtal_Prot#'!A:AL,22,FALSE)</f>
        <v>47</v>
      </c>
      <c r="AI83" s="1">
        <f>VLOOKUP(A83,'SegEnds_NonXtal_Prot#'!A:AL,31,FALSE)-VLOOKUP(A83,'SegEnds_NonXtal_Prot#'!A:AL,28,FALSE)</f>
        <v>45</v>
      </c>
      <c r="AJ83" s="1">
        <f>VLOOKUP(A83,'SegEnds_NonXtal_Prot#'!A:AL,34,FALSE)-VLOOKUP(A83,'SegEnds_NonXtal_Prot#'!A:AL,31,FALSE)</f>
        <v>36</v>
      </c>
      <c r="AK83" s="1">
        <f>VLOOKUP(A83,'SegEnds_NonXtal_Prot#'!A:AL,37,FALSE)-VLOOKUP(A83,'SegEnds_NonXtal_Prot#'!A:AL,34,FALSE)</f>
        <v>10</v>
      </c>
      <c r="AL83" s="1" t="str">
        <f>IF(ISERROR(MATCH(A83,'SegEnds_Xtal_Prot#'!B:B, 0)), "NoXtal", "Xtal")</f>
        <v>NoXtal</v>
      </c>
    </row>
    <row r="84" spans="1:38" x14ac:dyDescent="0.2">
      <c r="A84" s="1" t="s">
        <v>285</v>
      </c>
      <c r="B84" s="1" t="str">
        <f>VLOOKUP(A84,Xtal_Templ!A:B,2,FALSE)</f>
        <v>adrb2_human</v>
      </c>
      <c r="C84" s="5">
        <f>VLOOKUP($B84&amp;"__wt",'SegEnds_Xtal_BW#'!$A:$Z,3,FALSE)</f>
        <v>25</v>
      </c>
      <c r="D84" s="1">
        <f>VLOOKUP($B84&amp;"__wt",'SegEnds_Xtal_BW#'!$A:$Z,4,FALSE)</f>
        <v>60</v>
      </c>
      <c r="E84" s="1">
        <f>VLOOKUP($B84&amp;"__wt",'SegEnds_Xtal_BW#'!$A:$Z,5,FALSE)</f>
        <v>48</v>
      </c>
      <c r="F84" s="1">
        <f>VLOOKUP($B84&amp;"__wt",'SegEnds_Xtal_BW#'!$A:$Z,6,FALSE)</f>
        <v>51</v>
      </c>
      <c r="G84" s="1">
        <v>37</v>
      </c>
      <c r="H84" s="12">
        <f>VLOOKUP($B84&amp;"__wt",'SegEnds_Xtal_BW#'!$A:$Z,8,FALSE)</f>
        <v>67</v>
      </c>
      <c r="I84" s="1">
        <f>VLOOKUP($B84&amp;"__wt",'SegEnds_Xtal_BW#'!$A:$Z,9,FALSE)</f>
        <v>49</v>
      </c>
      <c r="J84" s="1">
        <f>VLOOKUP($B84&amp;"__wt",'SegEnds_Xtal_BW#'!$A:$Z,10,FALSE)</f>
        <v>52</v>
      </c>
      <c r="K84" s="12">
        <v>18</v>
      </c>
      <c r="L84" s="1">
        <f>VLOOKUP($B84&amp;"__wt",'SegEnds_Xtal_BW#'!$A:$Z,12,FALSE)</f>
        <v>56</v>
      </c>
      <c r="M84" s="1">
        <f>VLOOKUP($B84&amp;"__wt",'SegEnds_Xtal_BW#'!$A:$Z,13,FALSE)</f>
        <v>50</v>
      </c>
      <c r="N84" s="12">
        <v>57</v>
      </c>
      <c r="O84" s="87">
        <f>VLOOKUP($B84&amp;"__wt",'SegEnds_Xtal_BW#'!$A:$Z,15,FALSE)</f>
        <v>38</v>
      </c>
      <c r="P84" s="1">
        <f>VLOOKUP($B84&amp;"__wt",'SegEnds_Xtal_BW#'!$A:$Z,16,FALSE)</f>
        <v>64</v>
      </c>
      <c r="Q84" s="1">
        <f>VLOOKUP($B84&amp;"__wt",'SegEnds_Xtal_BW#'!$A:$Z,17,FALSE)</f>
        <v>50</v>
      </c>
      <c r="R84" s="1">
        <f>VLOOKUP($B84&amp;"__wt",'SegEnds_Xtal_BW#'!$A:$Z,18,FALSE)</f>
        <v>52</v>
      </c>
      <c r="S84" s="1">
        <v>35</v>
      </c>
      <c r="T84" s="1">
        <f t="array" ref="T84">INDEX(ICL3_classA!$G$2:$G$37,MATCH(MIN(ABS(AI84-ICL3_classA!$F$2:$F$37)),ABS(AI84-ICL3_classA!$F$2:$F$37),0))</f>
        <v>67</v>
      </c>
      <c r="U84" s="1">
        <f t="array" ref="U84">INDEX(ICL3_classA!$H$2:$H$37,MATCH(MIN(ABS(AI84-ICL3_classA!$F$2:$F$37)),ABS(AI84-ICL3_classA!$F$2:$F$37),0))</f>
        <v>28</v>
      </c>
      <c r="V84" s="1">
        <v>61</v>
      </c>
      <c r="W84" s="1">
        <v>31</v>
      </c>
      <c r="X84" s="108">
        <v>56</v>
      </c>
      <c r="Y84" s="1">
        <f>VLOOKUP($B84&amp;"__wt",'SegEnds_Xtal_BW#'!$A:$Z,25,FALSE)</f>
        <v>47</v>
      </c>
      <c r="Z84" s="1">
        <f>VLOOKUP($B84&amp;"__wt",'SegEnds_Xtal_BW#'!$A:$Z,26,FALSE)</f>
        <v>59</v>
      </c>
      <c r="AA84" s="27" t="str">
        <f>VLOOKUP(A84,Classification!A:B,2,FALSE)</f>
        <v>A</v>
      </c>
      <c r="AB84" s="1">
        <f>VLOOKUP(A84,'SegEnds_NonXtal_Prot#'!A:AL,10,FALSE)-VLOOKUP(A84,'SegEnds_NonXtal_Prot#'!A:AL,4,FALSE)</f>
        <v>29</v>
      </c>
      <c r="AC84" s="1" t="e">
        <f>VLOOKUP(A84,'SegEnds_NonXtal_Prot#'!A:AL,10,FALSE)-VLOOKUP(A84,'SegEnds_NonXtal_Prot#'!A:AL,7,FALSE)</f>
        <v>#VALUE!</v>
      </c>
      <c r="AD84" s="1" t="e">
        <f>VLOOKUP(A84,'SegEnds_NonXtal_Prot#'!A:AL,13,FALSE)-VLOOKUP(A84,'SegEnds_NonXtal_Prot#'!A:AL,10,FALSE)</f>
        <v>#VALUE!</v>
      </c>
      <c r="AE84" s="1">
        <f>VLOOKUP(A84,'SegEnds_NonXtal_Prot#'!A:AL,16,FALSE)-VLOOKUP(A84,'SegEnds_NonXtal_Prot#'!A:AL,10,FALSE)</f>
        <v>59</v>
      </c>
      <c r="AF84" s="1">
        <f>VLOOKUP(A84,'SegEnds_NonXtal_Prot#'!A:AL,22,FALSE)-VLOOKUP(A84,'SegEnds_NonXtal_Prot#'!A:AL,19,FALSE)</f>
        <v>20</v>
      </c>
      <c r="AG84" s="1">
        <f>VLOOKUP(A84,'SegEnds_NonXtal_Prot#'!A:AL,28,FALSE)-VLOOKUP(A84,'SegEnds_NonXtal_Prot#'!A:AL,25,FALSE)</f>
        <v>26</v>
      </c>
      <c r="AH84" s="1">
        <f>VLOOKUP(A84,'SegEnds_NonXtal_Prot#'!A:AL,28,FALSE)-VLOOKUP(A84,'SegEnds_NonXtal_Prot#'!A:AL,22,FALSE)</f>
        <v>49</v>
      </c>
      <c r="AI84" s="1">
        <f>VLOOKUP(A84,'SegEnds_NonXtal_Prot#'!A:AL,31,FALSE)-VLOOKUP(A84,'SegEnds_NonXtal_Prot#'!A:AL,28,FALSE)</f>
        <v>45</v>
      </c>
      <c r="AJ84" s="1">
        <f>VLOOKUP(A84,'SegEnds_NonXtal_Prot#'!A:AL,34,FALSE)-VLOOKUP(A84,'SegEnds_NonXtal_Prot#'!A:AL,31,FALSE)</f>
        <v>36</v>
      </c>
      <c r="AK84" s="1">
        <f>VLOOKUP(A84,'SegEnds_NonXtal_Prot#'!A:AL,37,FALSE)-VLOOKUP(A84,'SegEnds_NonXtal_Prot#'!A:AL,34,FALSE)</f>
        <v>10</v>
      </c>
      <c r="AL84" s="1" t="str">
        <f>IF(ISERROR(MATCH(A84,'SegEnds_Xtal_Prot#'!B:B, 0)), "NoXtal", "Xtal")</f>
        <v>NoXtal</v>
      </c>
    </row>
    <row r="85" spans="1:38" x14ac:dyDescent="0.2">
      <c r="A85" s="1" t="s">
        <v>286</v>
      </c>
      <c r="B85" s="1" t="str">
        <f>VLOOKUP(A85,Xtal_Templ!A:B,2,FALSE)</f>
        <v>lpar1_human</v>
      </c>
      <c r="C85" s="5">
        <f>VLOOKUP($B85&amp;"__wt",'SegEnds_Xtal_BW#'!$A:$Z,3,FALSE)</f>
        <v>30</v>
      </c>
      <c r="D85" s="1">
        <f>VLOOKUP($B85&amp;"__wt",'SegEnds_Xtal_BW#'!$A:$Z,4,FALSE)</f>
        <v>60</v>
      </c>
      <c r="E85" s="1">
        <f>VLOOKUP($B85&amp;"__wt",'SegEnds_Xtal_BW#'!$A:$Z,5,FALSE)</f>
        <v>48</v>
      </c>
      <c r="F85" s="1">
        <f>VLOOKUP($B85&amp;"__wt",'SegEnds_Xtal_BW#'!$A:$Z,6,FALSE)</f>
        <v>51</v>
      </c>
      <c r="G85" s="1">
        <v>37</v>
      </c>
      <c r="H85" s="12">
        <f>VLOOKUP($B85&amp;"__wt",'SegEnds_Xtal_BW#'!$A:$Z,8,FALSE)</f>
        <v>63</v>
      </c>
      <c r="I85" s="1">
        <f>VLOOKUP($B85&amp;"__wt",'SegEnds_Xtal_BW#'!$A:$Z,9,FALSE)</f>
        <v>47</v>
      </c>
      <c r="J85" s="1">
        <f>VLOOKUP($B85&amp;"__wt",'SegEnds_Xtal_BW#'!$A:$Z,10,FALSE)</f>
        <v>53</v>
      </c>
      <c r="K85" s="12">
        <v>21</v>
      </c>
      <c r="L85" s="1">
        <f>VLOOKUP($B85&amp;"__wt",'SegEnds_Xtal_BW#'!$A:$Z,12,FALSE)</f>
        <v>56</v>
      </c>
      <c r="M85" s="1">
        <f>VLOOKUP($B85&amp;"__wt",'SegEnds_Xtal_BW#'!$A:$Z,13,FALSE)</f>
        <v>50</v>
      </c>
      <c r="N85" s="108">
        <v>56</v>
      </c>
      <c r="O85" s="87">
        <f>VLOOKUP($B85&amp;"__wt",'SegEnds_Xtal_BW#'!$A:$Z,15,FALSE)</f>
        <v>38</v>
      </c>
      <c r="P85" s="1">
        <f>VLOOKUP($B85&amp;"__wt",'SegEnds_Xtal_BW#'!$A:$Z,16,FALSE)</f>
        <v>63</v>
      </c>
      <c r="Q85" s="1" t="str">
        <f>VLOOKUP($B85&amp;"__wt",'SegEnds_Xtal_BW#'!$A:$Z,17,FALSE)</f>
        <v>-</v>
      </c>
      <c r="R85" s="1" t="str">
        <f>VLOOKUP($B85&amp;"__wt",'SegEnds_Xtal_BW#'!$A:$Z,18,FALSE)</f>
        <v>-</v>
      </c>
      <c r="S85" s="1">
        <f>VLOOKUP($B85&amp;"__wt",'SegEnds_Xtal_BW#'!$A:$Z,19,FALSE)</f>
        <v>36</v>
      </c>
      <c r="T85" s="1">
        <f t="array" ref="T85">INDEX(ICL3_classA!$G$2:$G$37,MATCH(MIN(ABS(AI85-ICL3_classA!$F$2:$F$37)),ABS(AI85-ICL3_classA!$F$2:$F$37),0))</f>
        <v>73</v>
      </c>
      <c r="U85" s="1">
        <f t="array" ref="U85">INDEX(ICL3_classA!$H$2:$H$37,MATCH(MIN(ABS(AI85-ICL3_classA!$F$2:$F$37)),ABS(AI85-ICL3_classA!$F$2:$F$37),0))</f>
        <v>22</v>
      </c>
      <c r="V85" s="1">
        <v>61</v>
      </c>
      <c r="W85" s="1">
        <v>30</v>
      </c>
      <c r="X85" s="1">
        <f>VLOOKUP($B85&amp;"__wt",'SegEnds_Xtal_BW#'!$A:$Z,24,FALSE)</f>
        <v>56</v>
      </c>
      <c r="Y85" s="1">
        <f>VLOOKUP($B85&amp;"__wt",'SegEnds_Xtal_BW#'!$A:$Z,25,FALSE)</f>
        <v>47</v>
      </c>
      <c r="Z85" s="1">
        <f>VLOOKUP($B85&amp;"__wt",'SegEnds_Xtal_BW#'!$A:$Z,26,FALSE)</f>
        <v>59</v>
      </c>
      <c r="AA85" s="27" t="str">
        <f>VLOOKUP(A85,Classification!A:B,2,FALSE)</f>
        <v>A</v>
      </c>
      <c r="AB85" s="1">
        <f>VLOOKUP(A85,'SegEnds_NonXtal_Prot#'!A:AL,10,FALSE)-VLOOKUP(A85,'SegEnds_NonXtal_Prot#'!A:AL,4,FALSE)</f>
        <v>28</v>
      </c>
      <c r="AC85" s="1">
        <f>VLOOKUP(A85,'SegEnds_NonXtal_Prot#'!A:AL,10,FALSE)-VLOOKUP(A85,'SegEnds_NonXtal_Prot#'!A:AL,7,FALSE)</f>
        <v>15</v>
      </c>
      <c r="AD85" s="1">
        <f>VLOOKUP(A85,'SegEnds_NonXtal_Prot#'!A:AL,13,FALSE)-VLOOKUP(A85,'SegEnds_NonXtal_Prot#'!A:AL,10,FALSE)</f>
        <v>18</v>
      </c>
      <c r="AE85" s="1">
        <f>VLOOKUP(A85,'SegEnds_NonXtal_Prot#'!A:AL,16,FALSE)-VLOOKUP(A85,'SegEnds_NonXtal_Prot#'!A:AL,10,FALSE)</f>
        <v>51</v>
      </c>
      <c r="AF85" s="1">
        <f>VLOOKUP(A85,'SegEnds_NonXtal_Prot#'!A:AL,22,FALSE)-VLOOKUP(A85,'SegEnds_NonXtal_Prot#'!A:AL,19,FALSE)</f>
        <v>19</v>
      </c>
      <c r="AG85" s="1" t="e">
        <f>VLOOKUP(A85,'SegEnds_NonXtal_Prot#'!A:AL,28,FALSE)-VLOOKUP(A85,'SegEnds_NonXtal_Prot#'!A:AL,25,FALSE)</f>
        <v>#VALUE!</v>
      </c>
      <c r="AH85" s="1">
        <f>VLOOKUP(A85,'SegEnds_NonXtal_Prot#'!A:AL,28,FALSE)-VLOOKUP(A85,'SegEnds_NonXtal_Prot#'!A:AL,22,FALSE)</f>
        <v>45</v>
      </c>
      <c r="AI85" s="1">
        <f>VLOOKUP(A85,'SegEnds_NonXtal_Prot#'!A:AL,31,FALSE)-VLOOKUP(A85,'SegEnds_NonXtal_Prot#'!A:AL,28,FALSE)</f>
        <v>56</v>
      </c>
      <c r="AJ85" s="1">
        <f>VLOOKUP(A85,'SegEnds_NonXtal_Prot#'!A:AL,34,FALSE)-VLOOKUP(A85,'SegEnds_NonXtal_Prot#'!A:AL,31,FALSE)</f>
        <v>36</v>
      </c>
      <c r="AK85" s="1">
        <f>VLOOKUP(A85,'SegEnds_NonXtal_Prot#'!A:AL,37,FALSE)-VLOOKUP(A85,'SegEnds_NonXtal_Prot#'!A:AL,34,FALSE)</f>
        <v>10</v>
      </c>
      <c r="AL85" s="1" t="str">
        <f>IF(ISERROR(MATCH(A85,'SegEnds_Xtal_Prot#'!B:B, 0)), "NoXtal", "Xtal")</f>
        <v>NoXtal</v>
      </c>
    </row>
    <row r="86" spans="1:38" x14ac:dyDescent="0.2">
      <c r="A86" s="1" t="s">
        <v>287</v>
      </c>
      <c r="B86" s="1" t="str">
        <f>VLOOKUP(A86,Xtal_Templ!A:B,2,FALSE)</f>
        <v>lpar1_human</v>
      </c>
      <c r="C86" s="5">
        <f>VLOOKUP($B86&amp;"__wt",'SegEnds_Xtal_BW#'!$A:$Z,3,FALSE)</f>
        <v>30</v>
      </c>
      <c r="D86" s="1">
        <f>VLOOKUP($B86&amp;"__wt",'SegEnds_Xtal_BW#'!$A:$Z,4,FALSE)</f>
        <v>60</v>
      </c>
      <c r="E86" s="1">
        <f>VLOOKUP($B86&amp;"__wt",'SegEnds_Xtal_BW#'!$A:$Z,5,FALSE)</f>
        <v>48</v>
      </c>
      <c r="F86" s="1">
        <f>VLOOKUP($B86&amp;"__wt",'SegEnds_Xtal_BW#'!$A:$Z,6,FALSE)</f>
        <v>51</v>
      </c>
      <c r="G86" s="1">
        <v>37</v>
      </c>
      <c r="H86" s="12">
        <f>VLOOKUP($B86&amp;"__wt",'SegEnds_Xtal_BW#'!$A:$Z,8,FALSE)</f>
        <v>63</v>
      </c>
      <c r="I86" s="1">
        <f>VLOOKUP($B86&amp;"__wt",'SegEnds_Xtal_BW#'!$A:$Z,9,FALSE)</f>
        <v>47</v>
      </c>
      <c r="J86" s="1">
        <f>VLOOKUP($B86&amp;"__wt",'SegEnds_Xtal_BW#'!$A:$Z,10,FALSE)</f>
        <v>53</v>
      </c>
      <c r="K86" s="12">
        <v>21</v>
      </c>
      <c r="L86" s="1">
        <f>VLOOKUP($B86&amp;"__wt",'SegEnds_Xtal_BW#'!$A:$Z,12,FALSE)</f>
        <v>56</v>
      </c>
      <c r="M86" s="1">
        <f>VLOOKUP($B86&amp;"__wt",'SegEnds_Xtal_BW#'!$A:$Z,13,FALSE)</f>
        <v>50</v>
      </c>
      <c r="N86" s="108">
        <v>56</v>
      </c>
      <c r="O86" s="87">
        <f>VLOOKUP($B86&amp;"__wt",'SegEnds_Xtal_BW#'!$A:$Z,15,FALSE)</f>
        <v>38</v>
      </c>
      <c r="P86" s="1">
        <f>VLOOKUP($B86&amp;"__wt",'SegEnds_Xtal_BW#'!$A:$Z,16,FALSE)</f>
        <v>63</v>
      </c>
      <c r="Q86" s="1" t="str">
        <f>VLOOKUP($B86&amp;"__wt",'SegEnds_Xtal_BW#'!$A:$Z,17,FALSE)</f>
        <v>-</v>
      </c>
      <c r="R86" s="1" t="str">
        <f>VLOOKUP($B86&amp;"__wt",'SegEnds_Xtal_BW#'!$A:$Z,18,FALSE)</f>
        <v>-</v>
      </c>
      <c r="S86" s="1">
        <f>VLOOKUP($B86&amp;"__wt",'SegEnds_Xtal_BW#'!$A:$Z,19,FALSE)</f>
        <v>36</v>
      </c>
      <c r="T86" s="1">
        <f t="array" ref="T86">INDEX(ICL3_classA!$G$2:$G$37,MATCH(MIN(ABS(AI86-ICL3_classA!$F$2:$F$37)),ABS(AI86-ICL3_classA!$F$2:$F$37),0))</f>
        <v>73</v>
      </c>
      <c r="U86" s="1">
        <f t="array" ref="U86">INDEX(ICL3_classA!$H$2:$H$37,MATCH(MIN(ABS(AI86-ICL3_classA!$F$2:$F$37)),ABS(AI86-ICL3_classA!$F$2:$F$37),0))</f>
        <v>22</v>
      </c>
      <c r="V86" s="1">
        <v>61</v>
      </c>
      <c r="W86" s="1">
        <v>30</v>
      </c>
      <c r="X86" s="1">
        <f>VLOOKUP($B86&amp;"__wt",'SegEnds_Xtal_BW#'!$A:$Z,24,FALSE)</f>
        <v>56</v>
      </c>
      <c r="Y86" s="1">
        <f>VLOOKUP($B86&amp;"__wt",'SegEnds_Xtal_BW#'!$A:$Z,25,FALSE)</f>
        <v>47</v>
      </c>
      <c r="Z86" s="1">
        <f>VLOOKUP($B86&amp;"__wt",'SegEnds_Xtal_BW#'!$A:$Z,26,FALSE)</f>
        <v>59</v>
      </c>
      <c r="AA86" s="27" t="str">
        <f>VLOOKUP(A86,Classification!A:B,2,FALSE)</f>
        <v>A</v>
      </c>
      <c r="AB86" s="1">
        <f>VLOOKUP(A86,'SegEnds_NonXtal_Prot#'!A:AL,10,FALSE)-VLOOKUP(A86,'SegEnds_NonXtal_Prot#'!A:AL,4,FALSE)</f>
        <v>28</v>
      </c>
      <c r="AC86" s="1">
        <f>VLOOKUP(A86,'SegEnds_NonXtal_Prot#'!A:AL,10,FALSE)-VLOOKUP(A86,'SegEnds_NonXtal_Prot#'!A:AL,7,FALSE)</f>
        <v>15</v>
      </c>
      <c r="AD86" s="1">
        <f>VLOOKUP(A86,'SegEnds_NonXtal_Prot#'!A:AL,13,FALSE)-VLOOKUP(A86,'SegEnds_NonXtal_Prot#'!A:AL,10,FALSE)</f>
        <v>18</v>
      </c>
      <c r="AE86" s="1">
        <f>VLOOKUP(A86,'SegEnds_NonXtal_Prot#'!A:AL,16,FALSE)-VLOOKUP(A86,'SegEnds_NonXtal_Prot#'!A:AL,10,FALSE)</f>
        <v>51</v>
      </c>
      <c r="AF86" s="1">
        <f>VLOOKUP(A86,'SegEnds_NonXtal_Prot#'!A:AL,22,FALSE)-VLOOKUP(A86,'SegEnds_NonXtal_Prot#'!A:AL,19,FALSE)</f>
        <v>19</v>
      </c>
      <c r="AG86" s="1" t="e">
        <f>VLOOKUP(A86,'SegEnds_NonXtal_Prot#'!A:AL,28,FALSE)-VLOOKUP(A86,'SegEnds_NonXtal_Prot#'!A:AL,25,FALSE)</f>
        <v>#VALUE!</v>
      </c>
      <c r="AH86" s="1">
        <f>VLOOKUP(A86,'SegEnds_NonXtal_Prot#'!A:AL,28,FALSE)-VLOOKUP(A86,'SegEnds_NonXtal_Prot#'!A:AL,22,FALSE)</f>
        <v>45</v>
      </c>
      <c r="AI86" s="1">
        <f>VLOOKUP(A86,'SegEnds_NonXtal_Prot#'!A:AL,31,FALSE)-VLOOKUP(A86,'SegEnds_NonXtal_Prot#'!A:AL,28,FALSE)</f>
        <v>56</v>
      </c>
      <c r="AJ86" s="1">
        <f>VLOOKUP(A86,'SegEnds_NonXtal_Prot#'!A:AL,34,FALSE)-VLOOKUP(A86,'SegEnds_NonXtal_Prot#'!A:AL,31,FALSE)</f>
        <v>36</v>
      </c>
      <c r="AK86" s="1">
        <f>VLOOKUP(A86,'SegEnds_NonXtal_Prot#'!A:AL,37,FALSE)-VLOOKUP(A86,'SegEnds_NonXtal_Prot#'!A:AL,34,FALSE)</f>
        <v>10</v>
      </c>
      <c r="AL86" s="1" t="str">
        <f>IF(ISERROR(MATCH(A86,'SegEnds_Xtal_Prot#'!B:B, 0)), "NoXtal", "Xtal")</f>
        <v>NoXtal</v>
      </c>
    </row>
    <row r="87" spans="1:38" x14ac:dyDescent="0.2">
      <c r="A87" s="1" t="s">
        <v>291</v>
      </c>
      <c r="B87" s="1" t="str">
        <f>VLOOKUP(A87,Xtal_Templ!A:B,2,FALSE)</f>
        <v>hrh1_human</v>
      </c>
      <c r="C87" s="5">
        <f>VLOOKUP($B87&amp;"__wt",'SegEnds_Xtal_BW#'!$A:$Z,3,FALSE)</f>
        <v>34</v>
      </c>
      <c r="D87" s="1">
        <f>VLOOKUP($B87&amp;"__wt",'SegEnds_Xtal_BW#'!$A:$Z,4,FALSE)</f>
        <v>60</v>
      </c>
      <c r="E87" s="1">
        <f>VLOOKUP($B87&amp;"__wt",'SegEnds_Xtal_BW#'!$A:$Z,5,FALSE)</f>
        <v>48</v>
      </c>
      <c r="F87" s="1">
        <f>VLOOKUP($B87&amp;"__wt",'SegEnds_Xtal_BW#'!$A:$Z,6,FALSE)</f>
        <v>51</v>
      </c>
      <c r="G87" s="1">
        <v>37</v>
      </c>
      <c r="H87" s="12">
        <f>VLOOKUP($B87&amp;"__wt",'SegEnds_Xtal_BW#'!$A:$Z,8,FALSE)</f>
        <v>67</v>
      </c>
      <c r="I87" s="1">
        <v>49</v>
      </c>
      <c r="J87" s="1">
        <f>VLOOKUP($B87&amp;"__wt",'SegEnds_Xtal_BW#'!$A:$Z,10,FALSE)</f>
        <v>52</v>
      </c>
      <c r="K87" s="12">
        <v>18</v>
      </c>
      <c r="L87" s="1">
        <f>VLOOKUP($B87&amp;"__wt",'SegEnds_Xtal_BW#'!$A:$Z,12,FALSE)</f>
        <v>56</v>
      </c>
      <c r="M87" s="1">
        <f>VLOOKUP($B87&amp;"__wt",'SegEnds_Xtal_BW#'!$A:$Z,13,FALSE)</f>
        <v>50</v>
      </c>
      <c r="N87" s="12">
        <v>57</v>
      </c>
      <c r="O87" s="87">
        <f>VLOOKUP($B87&amp;"__wt",'SegEnds_Xtal_BW#'!$A:$Z,15,FALSE)</f>
        <v>38</v>
      </c>
      <c r="P87" s="1">
        <f>VLOOKUP($B87&amp;"__wt",'SegEnds_Xtal_BW#'!$A:$Z,16,FALSE)</f>
        <v>62</v>
      </c>
      <c r="Q87" s="1">
        <f>VLOOKUP($B87&amp;"__wt",'SegEnds_Xtal_BW#'!$A:$Z,17,FALSE)</f>
        <v>50</v>
      </c>
      <c r="R87" s="1">
        <f>VLOOKUP($B87&amp;"__wt",'SegEnds_Xtal_BW#'!$A:$Z,18,FALSE)</f>
        <v>52</v>
      </c>
      <c r="S87" s="1">
        <f>VLOOKUP($B87&amp;"__wt",'SegEnds_Xtal_BW#'!$A:$Z,19,FALSE)</f>
        <v>35</v>
      </c>
      <c r="T87" s="1">
        <f t="array" ref="T87">INDEX(ICL3_classA!$G$2:$G$37,MATCH(MIN(ABS(AI87-ICL3_classA!$F$2:$F$37)),ABS(AI87-ICL3_classA!$F$2:$F$37),0))</f>
        <v>67</v>
      </c>
      <c r="U87" s="1">
        <f t="array" ref="U87">INDEX(ICL3_classA!$H$2:$H$37,MATCH(MIN(ABS(AI87-ICL3_classA!$F$2:$F$37)),ABS(AI87-ICL3_classA!$F$2:$F$37),0))</f>
        <v>26</v>
      </c>
      <c r="V87" s="1">
        <v>61</v>
      </c>
      <c r="W87" s="1">
        <v>31</v>
      </c>
      <c r="X87" s="1">
        <f>VLOOKUP($B87&amp;"__wt",'SegEnds_Xtal_BW#'!$A:$Z,24,FALSE)</f>
        <v>56</v>
      </c>
      <c r="Y87" s="1">
        <f>VLOOKUP($B87&amp;"__wt",'SegEnds_Xtal_BW#'!$A:$Z,25,FALSE)</f>
        <v>47</v>
      </c>
      <c r="Z87" s="1">
        <f>VLOOKUP($B87&amp;"__wt",'SegEnds_Xtal_BW#'!$A:$Z,26,FALSE)</f>
        <v>59</v>
      </c>
      <c r="AA87" s="27" t="str">
        <f>VLOOKUP(A87,Classification!A:B,2,FALSE)</f>
        <v>A</v>
      </c>
      <c r="AB87" s="1">
        <f>VLOOKUP(A87,'SegEnds_NonXtal_Prot#'!A:AL,10,FALSE)-VLOOKUP(A87,'SegEnds_NonXtal_Prot#'!A:AL,4,FALSE)</f>
        <v>28</v>
      </c>
      <c r="AC87" s="1">
        <f>VLOOKUP(A87,'SegEnds_NonXtal_Prot#'!A:AL,10,FALSE)-VLOOKUP(A87,'SegEnds_NonXtal_Prot#'!A:AL,7,FALSE)</f>
        <v>14</v>
      </c>
      <c r="AD87" s="1">
        <f>VLOOKUP(A87,'SegEnds_NonXtal_Prot#'!A:AL,13,FALSE)-VLOOKUP(A87,'SegEnds_NonXtal_Prot#'!A:AL,10,FALSE)</f>
        <v>28</v>
      </c>
      <c r="AE87" s="1">
        <f>VLOOKUP(A87,'SegEnds_NonXtal_Prot#'!A:AL,16,FALSE)-VLOOKUP(A87,'SegEnds_NonXtal_Prot#'!A:AL,10,FALSE)</f>
        <v>59</v>
      </c>
      <c r="AF87" s="1">
        <f>VLOOKUP(A87,'SegEnds_NonXtal_Prot#'!A:AL,22,FALSE)-VLOOKUP(A87,'SegEnds_NonXtal_Prot#'!A:AL,19,FALSE)</f>
        <v>20</v>
      </c>
      <c r="AG87" s="1">
        <f>VLOOKUP(A87,'SegEnds_NonXtal_Prot#'!A:AL,28,FALSE)-VLOOKUP(A87,'SegEnds_NonXtal_Prot#'!A:AL,25,FALSE)</f>
        <v>24</v>
      </c>
      <c r="AH87" s="1">
        <f>VLOOKUP(A87,'SegEnds_NonXtal_Prot#'!A:AL,28,FALSE)-VLOOKUP(A87,'SegEnds_NonXtal_Prot#'!A:AL,22,FALSE)</f>
        <v>47</v>
      </c>
      <c r="AI87" s="1">
        <f>VLOOKUP(A87,'SegEnds_NonXtal_Prot#'!A:AL,31,FALSE)-VLOOKUP(A87,'SegEnds_NonXtal_Prot#'!A:AL,28,FALSE)</f>
        <v>46</v>
      </c>
      <c r="AJ87" s="1">
        <f>VLOOKUP(A87,'SegEnds_NonXtal_Prot#'!A:AL,34,FALSE)-VLOOKUP(A87,'SegEnds_NonXtal_Prot#'!A:AL,31,FALSE)</f>
        <v>36</v>
      </c>
      <c r="AK87" s="1">
        <f>VLOOKUP(A87,'SegEnds_NonXtal_Prot#'!A:AL,37,FALSE)-VLOOKUP(A87,'SegEnds_NonXtal_Prot#'!A:AL,34,FALSE)</f>
        <v>10</v>
      </c>
      <c r="AL87" s="1" t="str">
        <f>IF(ISERROR(MATCH(A87,'SegEnds_Xtal_Prot#'!B:B, 0)), "NoXtal", "Xtal")</f>
        <v>NoXtal</v>
      </c>
    </row>
    <row r="88" spans="1:38" x14ac:dyDescent="0.2">
      <c r="A88" s="1" t="s">
        <v>332</v>
      </c>
      <c r="B88" s="1" t="str">
        <f>VLOOKUP(A88,Xtal_Templ!A:B,2,FALSE)</f>
        <v>opsd_bovin</v>
      </c>
      <c r="C88" s="5">
        <f>VLOOKUP($B88&amp;"__wt",'SegEnds_Xtal_BW#'!$A:$Z,3,FALSE)</f>
        <v>28</v>
      </c>
      <c r="D88" s="1">
        <f>VLOOKUP($B88&amp;"__wt",'SegEnds_Xtal_BW#'!$A:$Z,4,FALSE)</f>
        <v>60</v>
      </c>
      <c r="E88" s="1">
        <f>VLOOKUP($B88&amp;"__wt",'SegEnds_Xtal_BW#'!$A:$Z,5,FALSE)</f>
        <v>48</v>
      </c>
      <c r="F88" s="1">
        <f>VLOOKUP($B88&amp;"__wt",'SegEnds_Xtal_BW#'!$A:$Z,6,FALSE)</f>
        <v>51</v>
      </c>
      <c r="G88" s="1">
        <v>37</v>
      </c>
      <c r="H88" s="12">
        <f>VLOOKUP($B88&amp;"__wt",'SegEnds_Xtal_BW#'!$A:$Z,8,FALSE)</f>
        <v>67</v>
      </c>
      <c r="I88" s="1">
        <f>VLOOKUP($B88&amp;"__wt",'SegEnds_Xtal_BW#'!$A:$Z,9,FALSE)</f>
        <v>49</v>
      </c>
      <c r="J88" s="1">
        <f>VLOOKUP($B88&amp;"__wt",'SegEnds_Xtal_BW#'!$A:$Z,10,FALSE)</f>
        <v>52</v>
      </c>
      <c r="K88" s="12">
        <v>18</v>
      </c>
      <c r="L88" s="1">
        <f>VLOOKUP($B88&amp;"__wt",'SegEnds_Xtal_BW#'!$A:$Z,12,FALSE)</f>
        <v>56</v>
      </c>
      <c r="M88" s="1">
        <f>VLOOKUP($B88&amp;"__wt",'SegEnds_Xtal_BW#'!$A:$Z,13,FALSE)</f>
        <v>50</v>
      </c>
      <c r="N88" s="12">
        <f>VLOOKUP($B88&amp;"__wt",'SegEnds_Xtal_BW#'!$A:$Z,14,FALSE)</f>
        <v>56</v>
      </c>
      <c r="O88" s="87">
        <f>VLOOKUP($B88&amp;"__wt",'SegEnds_Xtal_BW#'!$A:$Z,15,FALSE)</f>
        <v>38</v>
      </c>
      <c r="P88" s="1">
        <f>VLOOKUP($B88&amp;"__wt",'SegEnds_Xtal_BW#'!$A:$Z,16,FALSE)</f>
        <v>62</v>
      </c>
      <c r="Q88" s="1">
        <f>VLOOKUP($B88&amp;"__wt",'SegEnds_Xtal_BW#'!$A:$Z,17,FALSE)</f>
        <v>50</v>
      </c>
      <c r="R88" s="1">
        <f>VLOOKUP($B88&amp;"__wt",'SegEnds_Xtal_BW#'!$A:$Z,18,FALSE)</f>
        <v>52</v>
      </c>
      <c r="S88" s="1">
        <f>VLOOKUP($B88&amp;"__wt",'SegEnds_Xtal_BW#'!$A:$Z,19,FALSE)</f>
        <v>34</v>
      </c>
      <c r="T88" s="1">
        <f t="array" ref="T88">INDEX(ICL3_classA!$G$2:$G$37,MATCH(MIN(ABS(AI88-ICL3_classA!$F$2:$F$37)),ABS(AI88-ICL3_classA!$F$2:$F$37),0))</f>
        <v>73</v>
      </c>
      <c r="U88" s="1">
        <f t="array" ref="U88">INDEX(ICL3_classA!$H$2:$H$37,MATCH(MIN(ABS(AI88-ICL3_classA!$F$2:$F$37)),ABS(AI88-ICL3_classA!$F$2:$F$37),0))</f>
        <v>22</v>
      </c>
      <c r="V88" s="1">
        <v>61</v>
      </c>
      <c r="W88" s="1">
        <v>31</v>
      </c>
      <c r="X88" s="1">
        <f>VLOOKUP($B88&amp;"__wt",'SegEnds_Xtal_BW#'!$A:$Z,24,FALSE)</f>
        <v>56</v>
      </c>
      <c r="Y88" s="1">
        <f>VLOOKUP($B88&amp;"__wt",'SegEnds_Xtal_BW#'!$A:$Z,25,FALSE)</f>
        <v>47</v>
      </c>
      <c r="Z88" s="1">
        <f>VLOOKUP($B88&amp;"__wt",'SegEnds_Xtal_BW#'!$A:$Z,26,FALSE)</f>
        <v>59</v>
      </c>
      <c r="AA88" s="27" t="str">
        <f>VLOOKUP(A88,Classification!A:B,2,FALSE)</f>
        <v>A</v>
      </c>
      <c r="AB88" s="1">
        <f>VLOOKUP(A88,'SegEnds_NonXtal_Prot#'!A:AL,10,FALSE)-VLOOKUP(A88,'SegEnds_NonXtal_Prot#'!A:AL,4,FALSE)</f>
        <v>28</v>
      </c>
      <c r="AC88" s="1">
        <f>VLOOKUP(A88,'SegEnds_NonXtal_Prot#'!A:AL,10,FALSE)-VLOOKUP(A88,'SegEnds_NonXtal_Prot#'!A:AL,7,FALSE)</f>
        <v>15</v>
      </c>
      <c r="AD88" s="1">
        <f>VLOOKUP(A88,'SegEnds_NonXtal_Prot#'!A:AL,13,FALSE)-VLOOKUP(A88,'SegEnds_NonXtal_Prot#'!A:AL,10,FALSE)</f>
        <v>20</v>
      </c>
      <c r="AE88" s="1">
        <f>VLOOKUP(A88,'SegEnds_NonXtal_Prot#'!A:AL,16,FALSE)-VLOOKUP(A88,'SegEnds_NonXtal_Prot#'!A:AL,10,FALSE)</f>
        <v>52</v>
      </c>
      <c r="AF88" s="1" t="e">
        <f>VLOOKUP(A88,'SegEnds_NonXtal_Prot#'!A:AL,22,FALSE)-VLOOKUP(A88,'SegEnds_NonXtal_Prot#'!A:AL,19,FALSE)</f>
        <v>#VALUE!</v>
      </c>
      <c r="AG88" s="1">
        <f>VLOOKUP(A88,'SegEnds_NonXtal_Prot#'!A:AL,28,FALSE)-VLOOKUP(A88,'SegEnds_NonXtal_Prot#'!A:AL,25,FALSE)</f>
        <v>26</v>
      </c>
      <c r="AH88" s="1">
        <f>VLOOKUP(A88,'SegEnds_NonXtal_Prot#'!A:AL,28,FALSE)-VLOOKUP(A88,'SegEnds_NonXtal_Prot#'!A:AL,22,FALSE)</f>
        <v>52</v>
      </c>
      <c r="AI88" s="1">
        <f>VLOOKUP(A88,'SegEnds_NonXtal_Prot#'!A:AL,31,FALSE)-VLOOKUP(A88,'SegEnds_NonXtal_Prot#'!A:AL,28,FALSE)</f>
        <v>56</v>
      </c>
      <c r="AJ88" s="1">
        <f>VLOOKUP(A88,'SegEnds_NonXtal_Prot#'!A:AL,34,FALSE)-VLOOKUP(A88,'SegEnds_NonXtal_Prot#'!A:AL,31,FALSE)</f>
        <v>36</v>
      </c>
      <c r="AK88" s="1">
        <f>VLOOKUP(A88,'SegEnds_NonXtal_Prot#'!A:AL,37,FALSE)-VLOOKUP(A88,'SegEnds_NonXtal_Prot#'!A:AL,34,FALSE)</f>
        <v>10</v>
      </c>
      <c r="AL88" s="1" t="str">
        <f>IF(ISERROR(MATCH(A88,'SegEnds_Xtal_Prot#'!B:B, 0)), "NoXtal", "Xtal")</f>
        <v>NoXtal</v>
      </c>
    </row>
    <row r="89" spans="1:38" x14ac:dyDescent="0.2">
      <c r="A89" s="1" t="s">
        <v>333</v>
      </c>
      <c r="B89" s="1" t="str">
        <f>VLOOKUP(A89,Xtal_Templ!A:B,2,FALSE)</f>
        <v>opsd_human</v>
      </c>
      <c r="C89" s="5">
        <f>VLOOKUP($B89&amp;"__wt",'SegEnds_Xtal_BW#'!$A:$Z,3,FALSE)</f>
        <v>29</v>
      </c>
      <c r="D89" s="1">
        <f>VLOOKUP($B89&amp;"__wt",'SegEnds_Xtal_BW#'!$A:$Z,4,FALSE)</f>
        <v>60</v>
      </c>
      <c r="E89" s="1">
        <f>VLOOKUP($B89&amp;"__wt",'SegEnds_Xtal_BW#'!$A:$Z,5,FALSE)</f>
        <v>48</v>
      </c>
      <c r="F89" s="1">
        <f>VLOOKUP($B89&amp;"__wt",'SegEnds_Xtal_BW#'!$A:$Z,6,FALSE)</f>
        <v>51</v>
      </c>
      <c r="G89" s="1">
        <v>37</v>
      </c>
      <c r="H89" s="12">
        <f>VLOOKUP($B89&amp;"__wt",'SegEnds_Xtal_BW#'!$A:$Z,8,FALSE)</f>
        <v>67</v>
      </c>
      <c r="I89" s="1">
        <f>VLOOKUP($B89&amp;"__wt",'SegEnds_Xtal_BW#'!$A:$Z,9,FALSE)</f>
        <v>49</v>
      </c>
      <c r="J89" s="1">
        <f>VLOOKUP($B89&amp;"__wt",'SegEnds_Xtal_BW#'!$A:$Z,10,FALSE)</f>
        <v>52</v>
      </c>
      <c r="K89" s="12">
        <v>18</v>
      </c>
      <c r="L89" s="1">
        <f>VLOOKUP($B89&amp;"__wt",'SegEnds_Xtal_BW#'!$A:$Z,12,FALSE)</f>
        <v>56</v>
      </c>
      <c r="M89" s="1">
        <f>VLOOKUP($B89&amp;"__wt",'SegEnds_Xtal_BW#'!$A:$Z,13,FALSE)</f>
        <v>50</v>
      </c>
      <c r="N89" s="12">
        <v>57</v>
      </c>
      <c r="O89" s="87">
        <f>VLOOKUP($B89&amp;"__wt",'SegEnds_Xtal_BW#'!$A:$Z,15,FALSE)</f>
        <v>38</v>
      </c>
      <c r="P89" s="1">
        <f>VLOOKUP($B89&amp;"__wt",'SegEnds_Xtal_BW#'!$A:$Z,16,FALSE)</f>
        <v>62</v>
      </c>
      <c r="Q89" s="1">
        <f>VLOOKUP($B89&amp;"__wt",'SegEnds_Xtal_BW#'!$A:$Z,17,FALSE)</f>
        <v>50</v>
      </c>
      <c r="R89" s="1">
        <f>VLOOKUP($B89&amp;"__wt",'SegEnds_Xtal_BW#'!$A:$Z,18,FALSE)</f>
        <v>52</v>
      </c>
      <c r="S89" s="1">
        <f>VLOOKUP($B89&amp;"__wt",'SegEnds_Xtal_BW#'!$A:$Z,19,FALSE)</f>
        <v>34</v>
      </c>
      <c r="T89" s="1">
        <f t="array" ref="T89">INDEX(ICL3_classA!$G$2:$G$37,MATCH(MIN(ABS(AI89-ICL3_classA!$F$2:$F$37)),ABS(AI89-ICL3_classA!$F$2:$F$37),0))</f>
        <v>74</v>
      </c>
      <c r="U89" s="1">
        <f t="array" ref="U89">INDEX(ICL3_classA!$H$2:$H$37,MATCH(MIN(ABS(AI89-ICL3_classA!$F$2:$F$37)),ABS(AI89-ICL3_classA!$F$2:$F$37),0))</f>
        <v>21</v>
      </c>
      <c r="V89" s="1">
        <v>61</v>
      </c>
      <c r="W89" s="1">
        <v>31</v>
      </c>
      <c r="X89" s="1">
        <f>VLOOKUP($B89&amp;"__wt",'SegEnds_Xtal_BW#'!$A:$Z,24,FALSE)</f>
        <v>56</v>
      </c>
      <c r="Y89" s="1">
        <f>VLOOKUP($B89&amp;"__wt",'SegEnds_Xtal_BW#'!$A:$Z,25,FALSE)</f>
        <v>47</v>
      </c>
      <c r="Z89" s="1">
        <f>VLOOKUP($B89&amp;"__wt",'SegEnds_Xtal_BW#'!$A:$Z,26,FALSE)</f>
        <v>59</v>
      </c>
      <c r="AA89" s="27" t="str">
        <f>VLOOKUP(A89,Classification!A:B,2,FALSE)</f>
        <v>A</v>
      </c>
      <c r="AB89" s="1">
        <f>VLOOKUP(A89,'SegEnds_NonXtal_Prot#'!A:AL,10,FALSE)-VLOOKUP(A89,'SegEnds_NonXtal_Prot#'!A:AL,4,FALSE)</f>
        <v>28</v>
      </c>
      <c r="AC89" s="1">
        <f>VLOOKUP(A89,'SegEnds_NonXtal_Prot#'!A:AL,10,FALSE)-VLOOKUP(A89,'SegEnds_NonXtal_Prot#'!A:AL,7,FALSE)</f>
        <v>15</v>
      </c>
      <c r="AD89" s="1">
        <f>VLOOKUP(A89,'SegEnds_NonXtal_Prot#'!A:AL,13,FALSE)-VLOOKUP(A89,'SegEnds_NonXtal_Prot#'!A:AL,10,FALSE)</f>
        <v>20</v>
      </c>
      <c r="AE89" s="1">
        <f>VLOOKUP(A89,'SegEnds_NonXtal_Prot#'!A:AL,16,FALSE)-VLOOKUP(A89,'SegEnds_NonXtal_Prot#'!A:AL,10,FALSE)</f>
        <v>52</v>
      </c>
      <c r="AF89" s="1">
        <f>VLOOKUP(A89,'SegEnds_NonXtal_Prot#'!A:AL,22,FALSE)-VLOOKUP(A89,'SegEnds_NonXtal_Prot#'!A:AL,19,FALSE)</f>
        <v>20</v>
      </c>
      <c r="AG89" s="1">
        <f>VLOOKUP(A89,'SegEnds_NonXtal_Prot#'!A:AL,28,FALSE)-VLOOKUP(A89,'SegEnds_NonXtal_Prot#'!A:AL,25,FALSE)</f>
        <v>26</v>
      </c>
      <c r="AH89" s="1">
        <f>VLOOKUP(A89,'SegEnds_NonXtal_Prot#'!A:AL,28,FALSE)-VLOOKUP(A89,'SegEnds_NonXtal_Prot#'!A:AL,22,FALSE)</f>
        <v>52</v>
      </c>
      <c r="AI89" s="1">
        <f>VLOOKUP(A89,'SegEnds_NonXtal_Prot#'!A:AL,31,FALSE)-VLOOKUP(A89,'SegEnds_NonXtal_Prot#'!A:AL,28,FALSE)</f>
        <v>64</v>
      </c>
      <c r="AJ89" s="1">
        <f>VLOOKUP(A89,'SegEnds_NonXtal_Prot#'!A:AL,34,FALSE)-VLOOKUP(A89,'SegEnds_NonXtal_Prot#'!A:AL,31,FALSE)</f>
        <v>36</v>
      </c>
      <c r="AK89" s="1">
        <f>VLOOKUP(A89,'SegEnds_NonXtal_Prot#'!A:AL,37,FALSE)-VLOOKUP(A89,'SegEnds_NonXtal_Prot#'!A:AL,34,FALSE)</f>
        <v>10</v>
      </c>
      <c r="AL89" s="1" t="str">
        <f>IF(ISERROR(MATCH(A89,'SegEnds_Xtal_Prot#'!B:B, 0)), "NoXtal", "Xtal")</f>
        <v>NoXtal</v>
      </c>
    </row>
    <row r="90" spans="1:38" x14ac:dyDescent="0.2">
      <c r="A90" s="1" t="s">
        <v>334</v>
      </c>
      <c r="B90" s="1" t="str">
        <f>VLOOKUP(A90,Xtal_Templ!A:B,2,FALSE)</f>
        <v>opsd_bovin</v>
      </c>
      <c r="C90" s="5">
        <f>VLOOKUP($B90&amp;"__wt",'SegEnds_Xtal_BW#'!$A:$Z,3,FALSE)</f>
        <v>28</v>
      </c>
      <c r="D90" s="1">
        <f>VLOOKUP($B90&amp;"__wt",'SegEnds_Xtal_BW#'!$A:$Z,4,FALSE)</f>
        <v>60</v>
      </c>
      <c r="E90" s="1">
        <f>VLOOKUP($B90&amp;"__wt",'SegEnds_Xtal_BW#'!$A:$Z,5,FALSE)</f>
        <v>48</v>
      </c>
      <c r="F90" s="1">
        <f>VLOOKUP($B90&amp;"__wt",'SegEnds_Xtal_BW#'!$A:$Z,6,FALSE)</f>
        <v>51</v>
      </c>
      <c r="G90" s="1">
        <v>37</v>
      </c>
      <c r="H90" s="12">
        <f>VLOOKUP($B90&amp;"__wt",'SegEnds_Xtal_BW#'!$A:$Z,8,FALSE)</f>
        <v>67</v>
      </c>
      <c r="I90" s="1">
        <f>VLOOKUP($B90&amp;"__wt",'SegEnds_Xtal_BW#'!$A:$Z,9,FALSE)</f>
        <v>49</v>
      </c>
      <c r="J90" s="1">
        <f>VLOOKUP($B90&amp;"__wt",'SegEnds_Xtal_BW#'!$A:$Z,10,FALSE)</f>
        <v>52</v>
      </c>
      <c r="K90" s="12">
        <v>18</v>
      </c>
      <c r="L90" s="1">
        <f>VLOOKUP($B90&amp;"__wt",'SegEnds_Xtal_BW#'!$A:$Z,12,FALSE)</f>
        <v>56</v>
      </c>
      <c r="M90" s="1">
        <f>VLOOKUP($B90&amp;"__wt",'SegEnds_Xtal_BW#'!$A:$Z,13,FALSE)</f>
        <v>50</v>
      </c>
      <c r="N90" s="108">
        <v>56</v>
      </c>
      <c r="O90" s="87">
        <f>VLOOKUP($B90&amp;"__wt",'SegEnds_Xtal_BW#'!$A:$Z,15,FALSE)</f>
        <v>38</v>
      </c>
      <c r="P90" s="1">
        <f>VLOOKUP($B90&amp;"__wt",'SegEnds_Xtal_BW#'!$A:$Z,16,FALSE)</f>
        <v>62</v>
      </c>
      <c r="Q90" s="1">
        <f>VLOOKUP($B90&amp;"__wt",'SegEnds_Xtal_BW#'!$A:$Z,17,FALSE)</f>
        <v>50</v>
      </c>
      <c r="R90" s="1">
        <f>VLOOKUP($B90&amp;"__wt",'SegEnds_Xtal_BW#'!$A:$Z,18,FALSE)</f>
        <v>52</v>
      </c>
      <c r="S90" s="1">
        <f>VLOOKUP($B90&amp;"__wt",'SegEnds_Xtal_BW#'!$A:$Z,19,FALSE)</f>
        <v>34</v>
      </c>
      <c r="T90" s="1">
        <f t="array" ref="T90">INDEX(ICL3_classA!$G$2:$G$37,MATCH(MIN(ABS(AI90-ICL3_classA!$F$2:$F$37)),ABS(AI90-ICL3_classA!$F$2:$F$37),0))</f>
        <v>73</v>
      </c>
      <c r="U90" s="1">
        <f t="array" ref="U90">INDEX(ICL3_classA!$H$2:$H$37,MATCH(MIN(ABS(AI90-ICL3_classA!$F$2:$F$37)),ABS(AI90-ICL3_classA!$F$2:$F$37),0))</f>
        <v>22</v>
      </c>
      <c r="V90" s="1">
        <v>61</v>
      </c>
      <c r="W90" s="1">
        <v>31</v>
      </c>
      <c r="X90" s="1">
        <f>VLOOKUP($B90&amp;"__wt",'SegEnds_Xtal_BW#'!$A:$Z,24,FALSE)</f>
        <v>56</v>
      </c>
      <c r="Y90" s="1">
        <f>VLOOKUP($B90&amp;"__wt",'SegEnds_Xtal_BW#'!$A:$Z,25,FALSE)</f>
        <v>47</v>
      </c>
      <c r="Z90" s="1">
        <f>VLOOKUP($B90&amp;"__wt",'SegEnds_Xtal_BW#'!$A:$Z,26,FALSE)</f>
        <v>59</v>
      </c>
      <c r="AA90" s="27" t="str">
        <f>VLOOKUP(A90,Classification!A:B,2,FALSE)</f>
        <v>A</v>
      </c>
      <c r="AB90" s="1">
        <f>VLOOKUP(A90,'SegEnds_NonXtal_Prot#'!A:AL,10,FALSE)-VLOOKUP(A90,'SegEnds_NonXtal_Prot#'!A:AL,4,FALSE)</f>
        <v>28</v>
      </c>
      <c r="AC90" s="1">
        <f>VLOOKUP(A90,'SegEnds_NonXtal_Prot#'!A:AL,10,FALSE)-VLOOKUP(A90,'SegEnds_NonXtal_Prot#'!A:AL,7,FALSE)</f>
        <v>14</v>
      </c>
      <c r="AD90" s="1">
        <f>VLOOKUP(A90,'SegEnds_NonXtal_Prot#'!A:AL,13,FALSE)-VLOOKUP(A90,'SegEnds_NonXtal_Prot#'!A:AL,10,FALSE)</f>
        <v>20</v>
      </c>
      <c r="AE90" s="1">
        <f>VLOOKUP(A90,'SegEnds_NonXtal_Prot#'!A:AL,16,FALSE)-VLOOKUP(A90,'SegEnds_NonXtal_Prot#'!A:AL,10,FALSE)</f>
        <v>52</v>
      </c>
      <c r="AF90" s="1">
        <f>VLOOKUP(A90,'SegEnds_NonXtal_Prot#'!A:AL,22,FALSE)-VLOOKUP(A90,'SegEnds_NonXtal_Prot#'!A:AL,19,FALSE)</f>
        <v>19</v>
      </c>
      <c r="AG90" s="1">
        <f>VLOOKUP(A90,'SegEnds_NonXtal_Prot#'!A:AL,28,FALSE)-VLOOKUP(A90,'SegEnds_NonXtal_Prot#'!A:AL,25,FALSE)</f>
        <v>28</v>
      </c>
      <c r="AH90" s="1">
        <f>VLOOKUP(A90,'SegEnds_NonXtal_Prot#'!A:AL,28,FALSE)-VLOOKUP(A90,'SegEnds_NonXtal_Prot#'!A:AL,22,FALSE)</f>
        <v>54</v>
      </c>
      <c r="AI90" s="1">
        <f>VLOOKUP(A90,'SegEnds_NonXtal_Prot#'!A:AL,31,FALSE)-VLOOKUP(A90,'SegEnds_NonXtal_Prot#'!A:AL,28,FALSE)</f>
        <v>56</v>
      </c>
      <c r="AJ90" s="1">
        <f>VLOOKUP(A90,'SegEnds_NonXtal_Prot#'!A:AL,34,FALSE)-VLOOKUP(A90,'SegEnds_NonXtal_Prot#'!A:AL,31,FALSE)</f>
        <v>36</v>
      </c>
      <c r="AK90" s="1">
        <f>VLOOKUP(A90,'SegEnds_NonXtal_Prot#'!A:AL,37,FALSE)-VLOOKUP(A90,'SegEnds_NonXtal_Prot#'!A:AL,34,FALSE)</f>
        <v>10</v>
      </c>
      <c r="AL90" s="1" t="str">
        <f>IF(ISERROR(MATCH(A90,'SegEnds_Xtal_Prot#'!B:B, 0)), "NoXtal", "Xtal")</f>
        <v>NoXtal</v>
      </c>
    </row>
    <row r="91" spans="1:38" x14ac:dyDescent="0.2">
      <c r="A91" s="1" t="s">
        <v>338</v>
      </c>
      <c r="B91" s="1" t="str">
        <f>VLOOKUP(A91,Xtal_Templ!A:B,2,FALSE)</f>
        <v>opsd_human</v>
      </c>
      <c r="C91" s="5">
        <f>VLOOKUP($B91&amp;"__wt",'SegEnds_Xtal_BW#'!$A:$Z,3,FALSE)</f>
        <v>29</v>
      </c>
      <c r="D91" s="1">
        <f>VLOOKUP($B91&amp;"__wt",'SegEnds_Xtal_BW#'!$A:$Z,4,FALSE)</f>
        <v>60</v>
      </c>
      <c r="E91" s="1">
        <f>VLOOKUP($B91&amp;"__wt",'SegEnds_Xtal_BW#'!$A:$Z,5,FALSE)</f>
        <v>48</v>
      </c>
      <c r="F91" s="1">
        <f>VLOOKUP($B91&amp;"__wt",'SegEnds_Xtal_BW#'!$A:$Z,6,FALSE)</f>
        <v>51</v>
      </c>
      <c r="G91" s="1">
        <v>37</v>
      </c>
      <c r="H91" s="12">
        <f>VLOOKUP($B91&amp;"__wt",'SegEnds_Xtal_BW#'!$A:$Z,8,FALSE)</f>
        <v>67</v>
      </c>
      <c r="I91" s="1">
        <f>VLOOKUP($B91&amp;"__wt",'SegEnds_Xtal_BW#'!$A:$Z,9,FALSE)</f>
        <v>49</v>
      </c>
      <c r="J91" s="1">
        <f>VLOOKUP($B91&amp;"__wt",'SegEnds_Xtal_BW#'!$A:$Z,10,FALSE)</f>
        <v>52</v>
      </c>
      <c r="K91" s="12">
        <v>18</v>
      </c>
      <c r="L91" s="1">
        <f>VLOOKUP($B91&amp;"__wt",'SegEnds_Xtal_BW#'!$A:$Z,12,FALSE)</f>
        <v>56</v>
      </c>
      <c r="M91" s="1">
        <f>VLOOKUP($B91&amp;"__wt",'SegEnds_Xtal_BW#'!$A:$Z,13,FALSE)</f>
        <v>50</v>
      </c>
      <c r="N91" s="108">
        <v>56</v>
      </c>
      <c r="O91" s="87">
        <f>VLOOKUP($B91&amp;"__wt",'SegEnds_Xtal_BW#'!$A:$Z,15,FALSE)</f>
        <v>38</v>
      </c>
      <c r="P91" s="1">
        <f>VLOOKUP($B91&amp;"__wt",'SegEnds_Xtal_BW#'!$A:$Z,16,FALSE)</f>
        <v>62</v>
      </c>
      <c r="Q91" s="1">
        <f>VLOOKUP($B91&amp;"__wt",'SegEnds_Xtal_BW#'!$A:$Z,17,FALSE)</f>
        <v>50</v>
      </c>
      <c r="R91" s="1">
        <f>VLOOKUP($B91&amp;"__wt",'SegEnds_Xtal_BW#'!$A:$Z,18,FALSE)</f>
        <v>52</v>
      </c>
      <c r="S91" s="1">
        <f>VLOOKUP($B91&amp;"__wt",'SegEnds_Xtal_BW#'!$A:$Z,19,FALSE)</f>
        <v>34</v>
      </c>
      <c r="T91" s="1">
        <f t="array" ref="T91">INDEX(ICL3_classA!$G$2:$G$37,MATCH(MIN(ABS(AI91-ICL3_classA!$F$2:$F$37)),ABS(AI91-ICL3_classA!$F$2:$F$37),0))</f>
        <v>72</v>
      </c>
      <c r="U91" s="1">
        <f t="array" ref="U91">INDEX(ICL3_classA!$H$2:$H$37,MATCH(MIN(ABS(AI91-ICL3_classA!$F$2:$F$37)),ABS(AI91-ICL3_classA!$F$2:$F$37),0))</f>
        <v>24</v>
      </c>
      <c r="V91" s="1">
        <v>61</v>
      </c>
      <c r="W91" s="1">
        <v>31</v>
      </c>
      <c r="X91" s="1">
        <f>VLOOKUP($B91&amp;"__wt",'SegEnds_Xtal_BW#'!$A:$Z,24,FALSE)</f>
        <v>56</v>
      </c>
      <c r="Y91" s="1">
        <f>VLOOKUP($B91&amp;"__wt",'SegEnds_Xtal_BW#'!$A:$Z,25,FALSE)</f>
        <v>47</v>
      </c>
      <c r="Z91" s="1">
        <f>VLOOKUP($B91&amp;"__wt",'SegEnds_Xtal_BW#'!$A:$Z,26,FALSE)</f>
        <v>59</v>
      </c>
      <c r="AA91" s="27" t="str">
        <f>VLOOKUP(A91,Classification!A:B,2,FALSE)</f>
        <v>A</v>
      </c>
      <c r="AB91" s="1">
        <f>VLOOKUP(A91,'SegEnds_NonXtal_Prot#'!A:AL,10,FALSE)-VLOOKUP(A91,'SegEnds_NonXtal_Prot#'!A:AL,4,FALSE)</f>
        <v>28</v>
      </c>
      <c r="AC91" s="1">
        <f>VLOOKUP(A91,'SegEnds_NonXtal_Prot#'!A:AL,10,FALSE)-VLOOKUP(A91,'SegEnds_NonXtal_Prot#'!A:AL,7,FALSE)</f>
        <v>15</v>
      </c>
      <c r="AD91" s="1">
        <f>VLOOKUP(A91,'SegEnds_NonXtal_Prot#'!A:AL,13,FALSE)-VLOOKUP(A91,'SegEnds_NonXtal_Prot#'!A:AL,10,FALSE)</f>
        <v>20</v>
      </c>
      <c r="AE91" s="1">
        <f>VLOOKUP(A91,'SegEnds_NonXtal_Prot#'!A:AL,16,FALSE)-VLOOKUP(A91,'SegEnds_NonXtal_Prot#'!A:AL,10,FALSE)</f>
        <v>52</v>
      </c>
      <c r="AF91" s="1">
        <f>VLOOKUP(A91,'SegEnds_NonXtal_Prot#'!A:AL,22,FALSE)-VLOOKUP(A91,'SegEnds_NonXtal_Prot#'!A:AL,19,FALSE)</f>
        <v>19</v>
      </c>
      <c r="AG91" s="1">
        <f>VLOOKUP(A91,'SegEnds_NonXtal_Prot#'!A:AL,28,FALSE)-VLOOKUP(A91,'SegEnds_NonXtal_Prot#'!A:AL,25,FALSE)</f>
        <v>28</v>
      </c>
      <c r="AH91" s="1">
        <f>VLOOKUP(A91,'SegEnds_NonXtal_Prot#'!A:AL,28,FALSE)-VLOOKUP(A91,'SegEnds_NonXtal_Prot#'!A:AL,22,FALSE)</f>
        <v>54</v>
      </c>
      <c r="AI91" s="1">
        <f>VLOOKUP(A91,'SegEnds_NonXtal_Prot#'!A:AL,31,FALSE)-VLOOKUP(A91,'SegEnds_NonXtal_Prot#'!A:AL,28,FALSE)</f>
        <v>52</v>
      </c>
      <c r="AJ91" s="1">
        <f>VLOOKUP(A91,'SegEnds_NonXtal_Prot#'!A:AL,34,FALSE)-VLOOKUP(A91,'SegEnds_NonXtal_Prot#'!A:AL,31,FALSE)</f>
        <v>36</v>
      </c>
      <c r="AK91" s="1">
        <f>VLOOKUP(A91,'SegEnds_NonXtal_Prot#'!A:AL,37,FALSE)-VLOOKUP(A91,'SegEnds_NonXtal_Prot#'!A:AL,34,FALSE)</f>
        <v>10</v>
      </c>
      <c r="AL91" s="1" t="str">
        <f>IF(ISERROR(MATCH(A91,'SegEnds_Xtal_Prot#'!B:B, 0)), "NoXtal", "Xtal")</f>
        <v>NoXtal</v>
      </c>
    </row>
    <row r="92" spans="1:38" x14ac:dyDescent="0.2">
      <c r="A92" s="1" t="s">
        <v>920</v>
      </c>
      <c r="B92" s="1" t="str">
        <f>VLOOKUP(A92,Xtal_Templ!A:B,2,FALSE)</f>
        <v>opsd_bovin</v>
      </c>
      <c r="C92" s="5">
        <f>VLOOKUP($B92&amp;"__wt",'SegEnds_Xtal_BW#'!$A:$Z,3,FALSE)</f>
        <v>28</v>
      </c>
      <c r="D92" s="1">
        <f>VLOOKUP($B92&amp;"__wt",'SegEnds_Xtal_BW#'!$A:$Z,4,FALSE)</f>
        <v>60</v>
      </c>
      <c r="E92" s="1">
        <f>VLOOKUP($B92&amp;"__wt",'SegEnds_Xtal_BW#'!$A:$Z,5,FALSE)</f>
        <v>48</v>
      </c>
      <c r="F92" s="1">
        <f>VLOOKUP($B92&amp;"__wt",'SegEnds_Xtal_BW#'!$A:$Z,6,FALSE)</f>
        <v>51</v>
      </c>
      <c r="G92" s="1">
        <v>37</v>
      </c>
      <c r="H92" s="12">
        <f>VLOOKUP($B92&amp;"__wt",'SegEnds_Xtal_BW#'!$A:$Z,8,FALSE)</f>
        <v>67</v>
      </c>
      <c r="I92" s="1">
        <f>VLOOKUP($B92&amp;"__wt",'SegEnds_Xtal_BW#'!$A:$Z,9,FALSE)</f>
        <v>49</v>
      </c>
      <c r="J92" s="1">
        <f>VLOOKUP($B92&amp;"__wt",'SegEnds_Xtal_BW#'!$A:$Z,10,FALSE)</f>
        <v>52</v>
      </c>
      <c r="K92" s="12">
        <v>18</v>
      </c>
      <c r="L92" s="1">
        <f>VLOOKUP($B92&amp;"__wt",'SegEnds_Xtal_BW#'!$A:$Z,12,FALSE)</f>
        <v>56</v>
      </c>
      <c r="M92" s="1">
        <f>VLOOKUP($B92&amp;"__wt",'SegEnds_Xtal_BW#'!$A:$Z,13,FALSE)</f>
        <v>50</v>
      </c>
      <c r="N92" s="108">
        <f>VLOOKUP($B92&amp;"__wt",'SegEnds_Xtal_BW#'!$A:$Z,14,FALSE)</f>
        <v>56</v>
      </c>
      <c r="O92" s="87">
        <f>VLOOKUP($B92&amp;"__wt",'SegEnds_Xtal_BW#'!$A:$Z,15,FALSE)</f>
        <v>38</v>
      </c>
      <c r="P92" s="1">
        <f>VLOOKUP($B92&amp;"__wt",'SegEnds_Xtal_BW#'!$A:$Z,16,FALSE)</f>
        <v>62</v>
      </c>
      <c r="Q92" s="1">
        <f>VLOOKUP($B92&amp;"__wt",'SegEnds_Xtal_BW#'!$A:$Z,17,FALSE)</f>
        <v>50</v>
      </c>
      <c r="R92" s="1">
        <f>VLOOKUP($B92&amp;"__wt",'SegEnds_Xtal_BW#'!$A:$Z,18,FALSE)</f>
        <v>52</v>
      </c>
      <c r="S92" s="1">
        <f>VLOOKUP($B92&amp;"__wt",'SegEnds_Xtal_BW#'!$A:$Z,19,FALSE)</f>
        <v>34</v>
      </c>
      <c r="T92" s="1">
        <f t="array" ref="T92">INDEX(ICL3_classA!$G$2:$G$37,MATCH(MIN(ABS(AI92-ICL3_classA!$F$2:$F$37)),ABS(AI92-ICL3_classA!$F$2:$F$37),0))</f>
        <v>72</v>
      </c>
      <c r="U92" s="1">
        <f t="array" ref="U92">INDEX(ICL3_classA!$H$2:$H$37,MATCH(MIN(ABS(AI92-ICL3_classA!$F$2:$F$37)),ABS(AI92-ICL3_classA!$F$2:$F$37),0))</f>
        <v>24</v>
      </c>
      <c r="V92" s="1">
        <v>61</v>
      </c>
      <c r="W92" s="1">
        <v>31</v>
      </c>
      <c r="X92" s="1">
        <f>VLOOKUP($B92&amp;"__wt",'SegEnds_Xtal_BW#'!$A:$Z,24,FALSE)</f>
        <v>56</v>
      </c>
      <c r="Y92" s="1">
        <f>VLOOKUP($B92&amp;"__wt",'SegEnds_Xtal_BW#'!$A:$Z,25,FALSE)</f>
        <v>47</v>
      </c>
      <c r="Z92" s="1">
        <f>VLOOKUP($B92&amp;"__wt",'SegEnds_Xtal_BW#'!$A:$Z,26,FALSE)</f>
        <v>59</v>
      </c>
      <c r="AA92" s="27" t="str">
        <f>VLOOKUP(A92,Classification!A:B,2,FALSE)</f>
        <v>A</v>
      </c>
      <c r="AB92" s="1">
        <f>VLOOKUP(A92,'SegEnds_NonXtal_Prot#'!A:AL,10,FALSE)-VLOOKUP(A92,'SegEnds_NonXtal_Prot#'!A:AL,4,FALSE)</f>
        <v>28</v>
      </c>
      <c r="AC92" s="1">
        <f>VLOOKUP(A92,'SegEnds_NonXtal_Prot#'!A:AL,10,FALSE)-VLOOKUP(A92,'SegEnds_NonXtal_Prot#'!A:AL,7,FALSE)</f>
        <v>15</v>
      </c>
      <c r="AD92" s="1">
        <f>VLOOKUP(A92,'SegEnds_NonXtal_Prot#'!A:AL,13,FALSE)-VLOOKUP(A92,'SegEnds_NonXtal_Prot#'!A:AL,10,FALSE)</f>
        <v>20</v>
      </c>
      <c r="AE92" s="1">
        <f>VLOOKUP(A92,'SegEnds_NonXtal_Prot#'!A:AL,16,FALSE)-VLOOKUP(A92,'SegEnds_NonXtal_Prot#'!A:AL,10,FALSE)</f>
        <v>52</v>
      </c>
      <c r="AF92" s="1">
        <f>VLOOKUP(A92,'SegEnds_NonXtal_Prot#'!A:AL,22,FALSE)-VLOOKUP(A92,'SegEnds_NonXtal_Prot#'!A:AL,19,FALSE)</f>
        <v>19</v>
      </c>
      <c r="AG92" s="1">
        <f>VLOOKUP(A92,'SegEnds_NonXtal_Prot#'!A:AL,28,FALSE)-VLOOKUP(A92,'SegEnds_NonXtal_Prot#'!A:AL,25,FALSE)</f>
        <v>28</v>
      </c>
      <c r="AH92" s="1">
        <f>VLOOKUP(A92,'SegEnds_NonXtal_Prot#'!A:AL,28,FALSE)-VLOOKUP(A92,'SegEnds_NonXtal_Prot#'!A:AL,22,FALSE)</f>
        <v>54</v>
      </c>
      <c r="AI92" s="1">
        <f>VLOOKUP(A92,'SegEnds_NonXtal_Prot#'!A:AL,31,FALSE)-VLOOKUP(A92,'SegEnds_NonXtal_Prot#'!A:AL,28,FALSE)</f>
        <v>52</v>
      </c>
      <c r="AJ92" s="1">
        <f>VLOOKUP(A92,'SegEnds_NonXtal_Prot#'!A:AL,34,FALSE)-VLOOKUP(A92,'SegEnds_NonXtal_Prot#'!A:AL,31,FALSE)</f>
        <v>36</v>
      </c>
      <c r="AK92" s="1">
        <f>VLOOKUP(A92,'SegEnds_NonXtal_Prot#'!A:AL,37,FALSE)-VLOOKUP(A92,'SegEnds_NonXtal_Prot#'!A:AL,34,FALSE)</f>
        <v>10</v>
      </c>
      <c r="AL92" s="1" t="str">
        <f>IF(ISERROR(MATCH(A92,'SegEnds_Xtal_Prot#'!B:B, 0)), "NoXtal", "Xtal")</f>
        <v>Xtal</v>
      </c>
    </row>
    <row r="93" spans="1:38" x14ac:dyDescent="0.2">
      <c r="A93" s="1" t="s">
        <v>339</v>
      </c>
      <c r="B93" s="1" t="str">
        <f>VLOOKUP(A93,Xtal_Templ!A:B,2,FALSE)</f>
        <v>opsd_human</v>
      </c>
      <c r="C93" s="5">
        <f>VLOOKUP($B93&amp;"__wt",'SegEnds_Xtal_BW#'!$A:$Z,3,FALSE)</f>
        <v>29</v>
      </c>
      <c r="D93" s="1">
        <f>VLOOKUP($B93&amp;"__wt",'SegEnds_Xtal_BW#'!$A:$Z,4,FALSE)</f>
        <v>60</v>
      </c>
      <c r="E93" s="1">
        <f>VLOOKUP($B93&amp;"__wt",'SegEnds_Xtal_BW#'!$A:$Z,5,FALSE)</f>
        <v>48</v>
      </c>
      <c r="F93" s="1">
        <f>VLOOKUP($B93&amp;"__wt",'SegEnds_Xtal_BW#'!$A:$Z,6,FALSE)</f>
        <v>51</v>
      </c>
      <c r="G93" s="1">
        <v>37</v>
      </c>
      <c r="H93" s="12">
        <f>VLOOKUP($B93&amp;"__wt",'SegEnds_Xtal_BW#'!$A:$Z,8,FALSE)</f>
        <v>67</v>
      </c>
      <c r="I93" s="1">
        <f>VLOOKUP($B93&amp;"__wt",'SegEnds_Xtal_BW#'!$A:$Z,9,FALSE)</f>
        <v>49</v>
      </c>
      <c r="J93" s="1">
        <f>VLOOKUP($B93&amp;"__wt",'SegEnds_Xtal_BW#'!$A:$Z,10,FALSE)</f>
        <v>52</v>
      </c>
      <c r="K93" s="12">
        <v>18</v>
      </c>
      <c r="L93" s="1">
        <f>VLOOKUP($B93&amp;"__wt",'SegEnds_Xtal_BW#'!$A:$Z,12,FALSE)</f>
        <v>56</v>
      </c>
      <c r="M93" s="1">
        <f>VLOOKUP($B93&amp;"__wt",'SegEnds_Xtal_BW#'!$A:$Z,13,FALSE)</f>
        <v>50</v>
      </c>
      <c r="N93" s="108">
        <f>VLOOKUP($B93&amp;"__wt",'SegEnds_Xtal_BW#'!$A:$Z,14,FALSE)</f>
        <v>56</v>
      </c>
      <c r="O93" s="87">
        <f>VLOOKUP($B93&amp;"__wt",'SegEnds_Xtal_BW#'!$A:$Z,15,FALSE)</f>
        <v>38</v>
      </c>
      <c r="P93" s="1">
        <f>VLOOKUP($B93&amp;"__wt",'SegEnds_Xtal_BW#'!$A:$Z,16,FALSE)</f>
        <v>62</v>
      </c>
      <c r="Q93" s="1">
        <f>VLOOKUP($B93&amp;"__wt",'SegEnds_Xtal_BW#'!$A:$Z,17,FALSE)</f>
        <v>50</v>
      </c>
      <c r="R93" s="1">
        <f>VLOOKUP($B93&amp;"__wt",'SegEnds_Xtal_BW#'!$A:$Z,18,FALSE)</f>
        <v>52</v>
      </c>
      <c r="S93" s="1">
        <f>VLOOKUP($B93&amp;"__wt",'SegEnds_Xtal_BW#'!$A:$Z,19,FALSE)</f>
        <v>34</v>
      </c>
      <c r="T93" s="1">
        <f t="array" ref="T93">INDEX(ICL3_classA!$G$2:$G$37,MATCH(MIN(ABS(AI93-ICL3_classA!$F$2:$F$37)),ABS(AI93-ICL3_classA!$F$2:$F$37),0))</f>
        <v>72</v>
      </c>
      <c r="U93" s="1">
        <f t="array" ref="U93">INDEX(ICL3_classA!$H$2:$H$37,MATCH(MIN(ABS(AI93-ICL3_classA!$F$2:$F$37)),ABS(AI93-ICL3_classA!$F$2:$F$37),0))</f>
        <v>24</v>
      </c>
      <c r="V93" s="1">
        <v>61</v>
      </c>
      <c r="W93" s="1">
        <v>31</v>
      </c>
      <c r="X93" s="1">
        <f>VLOOKUP($B93&amp;"__wt",'SegEnds_Xtal_BW#'!$A:$Z,24,FALSE)</f>
        <v>56</v>
      </c>
      <c r="Y93" s="1">
        <f>VLOOKUP($B93&amp;"__wt",'SegEnds_Xtal_BW#'!$A:$Z,25,FALSE)</f>
        <v>47</v>
      </c>
      <c r="Z93" s="1">
        <f>VLOOKUP($B93&amp;"__wt",'SegEnds_Xtal_BW#'!$A:$Z,26,FALSE)</f>
        <v>59</v>
      </c>
      <c r="AA93" s="27" t="str">
        <f>VLOOKUP(A93,Classification!A:B,2,FALSE)</f>
        <v>A</v>
      </c>
      <c r="AB93" s="1">
        <f>VLOOKUP(A93,'SegEnds_NonXtal_Prot#'!A:AL,10,FALSE)-VLOOKUP(A93,'SegEnds_NonXtal_Prot#'!A:AL,4,FALSE)</f>
        <v>28</v>
      </c>
      <c r="AC93" s="1">
        <f>VLOOKUP(A93,'SegEnds_NonXtal_Prot#'!A:AL,10,FALSE)-VLOOKUP(A93,'SegEnds_NonXtal_Prot#'!A:AL,7,FALSE)</f>
        <v>15</v>
      </c>
      <c r="AD93" s="1">
        <f>VLOOKUP(A93,'SegEnds_NonXtal_Prot#'!A:AL,13,FALSE)-VLOOKUP(A93,'SegEnds_NonXtal_Prot#'!A:AL,10,FALSE)</f>
        <v>20</v>
      </c>
      <c r="AE93" s="1">
        <f>VLOOKUP(A93,'SegEnds_NonXtal_Prot#'!A:AL,16,FALSE)-VLOOKUP(A93,'SegEnds_NonXtal_Prot#'!A:AL,10,FALSE)</f>
        <v>52</v>
      </c>
      <c r="AF93" s="1">
        <f>VLOOKUP(A93,'SegEnds_NonXtal_Prot#'!A:AL,22,FALSE)-VLOOKUP(A93,'SegEnds_NonXtal_Prot#'!A:AL,19,FALSE)</f>
        <v>19</v>
      </c>
      <c r="AG93" s="1">
        <f>VLOOKUP(A93,'SegEnds_NonXtal_Prot#'!A:AL,28,FALSE)-VLOOKUP(A93,'SegEnds_NonXtal_Prot#'!A:AL,25,FALSE)</f>
        <v>28</v>
      </c>
      <c r="AH93" s="1">
        <f>VLOOKUP(A93,'SegEnds_NonXtal_Prot#'!A:AL,28,FALSE)-VLOOKUP(A93,'SegEnds_NonXtal_Prot#'!A:AL,22,FALSE)</f>
        <v>54</v>
      </c>
      <c r="AI93" s="1">
        <f>VLOOKUP(A93,'SegEnds_NonXtal_Prot#'!A:AL,31,FALSE)-VLOOKUP(A93,'SegEnds_NonXtal_Prot#'!A:AL,28,FALSE)</f>
        <v>52</v>
      </c>
      <c r="AJ93" s="1">
        <f>VLOOKUP(A93,'SegEnds_NonXtal_Prot#'!A:AL,34,FALSE)-VLOOKUP(A93,'SegEnds_NonXtal_Prot#'!A:AL,31,FALSE)</f>
        <v>36</v>
      </c>
      <c r="AK93" s="1">
        <f>VLOOKUP(A93,'SegEnds_NonXtal_Prot#'!A:AL,37,FALSE)-VLOOKUP(A93,'SegEnds_NonXtal_Prot#'!A:AL,34,FALSE)</f>
        <v>10</v>
      </c>
      <c r="AL93" s="1" t="str">
        <f>IF(ISERROR(MATCH(A93,'SegEnds_Xtal_Prot#'!B:B, 0)), "NoXtal", "Xtal")</f>
        <v>Xtal</v>
      </c>
    </row>
    <row r="94" spans="1:38" x14ac:dyDescent="0.2">
      <c r="A94" s="1" t="s">
        <v>922</v>
      </c>
      <c r="B94" s="1" t="str">
        <f>VLOOKUP(A94,Xtal_Templ!A:B,2,FALSE)</f>
        <v>opsd_todpa</v>
      </c>
      <c r="C94" s="5">
        <f>VLOOKUP($B94&amp;"__wt",'SegEnds_Xtal_BW#'!$A:$Z,3,FALSE)</f>
        <v>29</v>
      </c>
      <c r="D94" s="1">
        <f>VLOOKUP($B94&amp;"__wt",'SegEnds_Xtal_BW#'!$A:$Z,4,FALSE)</f>
        <v>60</v>
      </c>
      <c r="E94" s="1">
        <f>VLOOKUP($B94&amp;"__wt",'SegEnds_Xtal_BW#'!$A:$Z,5,FALSE)</f>
        <v>48</v>
      </c>
      <c r="F94" s="1">
        <f>VLOOKUP($B94&amp;"__wt",'SegEnds_Xtal_BW#'!$A:$Z,6,FALSE)</f>
        <v>51</v>
      </c>
      <c r="G94" s="1">
        <v>37</v>
      </c>
      <c r="H94" s="12">
        <f>VLOOKUP($B94&amp;"__wt",'SegEnds_Xtal_BW#'!$A:$Z,8,FALSE)</f>
        <v>69</v>
      </c>
      <c r="I94" s="1">
        <f>VLOOKUP($B94&amp;"__wt",'SegEnds_Xtal_BW#'!$A:$Z,9,FALSE)</f>
        <v>49</v>
      </c>
      <c r="J94" s="1">
        <f>VLOOKUP($B94&amp;"__wt",'SegEnds_Xtal_BW#'!$A:$Z,10,FALSE)</f>
        <v>52</v>
      </c>
      <c r="K94" s="12">
        <v>18</v>
      </c>
      <c r="L94" s="1">
        <f>VLOOKUP($B94&amp;"__wt",'SegEnds_Xtal_BW#'!$A:$Z,12,FALSE)</f>
        <v>56</v>
      </c>
      <c r="M94" s="1">
        <f>VLOOKUP($B94&amp;"__wt",'SegEnds_Xtal_BW#'!$A:$Z,13,FALSE)</f>
        <v>50</v>
      </c>
      <c r="N94" s="12">
        <f>VLOOKUP($B94&amp;"__wt",'SegEnds_Xtal_BW#'!$A:$Z,14,FALSE)</f>
        <v>57</v>
      </c>
      <c r="O94" s="87">
        <f>VLOOKUP($B94&amp;"__wt",'SegEnds_Xtal_BW#'!$A:$Z,15,FALSE)</f>
        <v>38</v>
      </c>
      <c r="P94" s="1">
        <f>VLOOKUP($B94&amp;"__wt",'SegEnds_Xtal_BW#'!$A:$Z,16,FALSE)</f>
        <v>62</v>
      </c>
      <c r="Q94" s="1">
        <f>VLOOKUP($B94&amp;"__wt",'SegEnds_Xtal_BW#'!$A:$Z,17,FALSE)</f>
        <v>50</v>
      </c>
      <c r="R94" s="1">
        <f>VLOOKUP($B94&amp;"__wt",'SegEnds_Xtal_BW#'!$A:$Z,18,FALSE)</f>
        <v>52</v>
      </c>
      <c r="S94" s="1">
        <f>VLOOKUP($B94&amp;"__wt",'SegEnds_Xtal_BW#'!$A:$Z,19,FALSE)</f>
        <v>32</v>
      </c>
      <c r="T94" s="1">
        <f t="array" ref="T94">INDEX(ICL3_classA!$G$2:$G$37,MATCH(MIN(ABS(AI94-ICL3_classA!$F$2:$F$37)),ABS(AI94-ICL3_classA!$F$2:$F$37),0))</f>
        <v>74</v>
      </c>
      <c r="U94" s="1">
        <f t="array" ref="U94">INDEX(ICL3_classA!$H$2:$H$37,MATCH(MIN(ABS(AI94-ICL3_classA!$F$2:$F$37)),ABS(AI94-ICL3_classA!$F$2:$F$37),0))</f>
        <v>21</v>
      </c>
      <c r="V94" s="1">
        <v>61</v>
      </c>
      <c r="W94" s="1">
        <v>31</v>
      </c>
      <c r="X94" s="1">
        <f>VLOOKUP($B94&amp;"__wt",'SegEnds_Xtal_BW#'!$A:$Z,24,FALSE)</f>
        <v>56</v>
      </c>
      <c r="Y94" s="1">
        <f>VLOOKUP($B94&amp;"__wt",'SegEnds_Xtal_BW#'!$A:$Z,25,FALSE)</f>
        <v>47</v>
      </c>
      <c r="Z94" s="1">
        <f>VLOOKUP($B94&amp;"__wt",'SegEnds_Xtal_BW#'!$A:$Z,26,FALSE)</f>
        <v>58</v>
      </c>
      <c r="AA94" s="27" t="str">
        <f>VLOOKUP(A94,Classification!A:B,2,FALSE)</f>
        <v>A</v>
      </c>
      <c r="AB94" s="1">
        <f>VLOOKUP(A94,'SegEnds_NonXtal_Prot#'!A:AL,10,FALSE)-VLOOKUP(A94,'SegEnds_NonXtal_Prot#'!A:AL,4,FALSE)</f>
        <v>28</v>
      </c>
      <c r="AC94" s="1">
        <f>VLOOKUP(A94,'SegEnds_NonXtal_Prot#'!A:AL,10,FALSE)-VLOOKUP(A94,'SegEnds_NonXtal_Prot#'!A:AL,7,FALSE)</f>
        <v>15</v>
      </c>
      <c r="AD94" s="1">
        <f>VLOOKUP(A94,'SegEnds_NonXtal_Prot#'!A:AL,13,FALSE)-VLOOKUP(A94,'SegEnds_NonXtal_Prot#'!A:AL,10,FALSE)</f>
        <v>21</v>
      </c>
      <c r="AE94" s="1">
        <f>VLOOKUP(A94,'SegEnds_NonXtal_Prot#'!A:AL,16,FALSE)-VLOOKUP(A94,'SegEnds_NonXtal_Prot#'!A:AL,10,FALSE)</f>
        <v>53</v>
      </c>
      <c r="AF94" s="1">
        <f>VLOOKUP(A94,'SegEnds_NonXtal_Prot#'!A:AL,22,FALSE)-VLOOKUP(A94,'SegEnds_NonXtal_Prot#'!A:AL,19,FALSE)</f>
        <v>20</v>
      </c>
      <c r="AG94" s="1">
        <f>VLOOKUP(A94,'SegEnds_NonXtal_Prot#'!A:AL,28,FALSE)-VLOOKUP(A94,'SegEnds_NonXtal_Prot#'!A:AL,25,FALSE)</f>
        <v>26</v>
      </c>
      <c r="AH94" s="1">
        <f>VLOOKUP(A94,'SegEnds_NonXtal_Prot#'!A:AL,28,FALSE)-VLOOKUP(A94,'SegEnds_NonXtal_Prot#'!A:AL,22,FALSE)</f>
        <v>52</v>
      </c>
      <c r="AI94" s="1">
        <f>VLOOKUP(A94,'SegEnds_NonXtal_Prot#'!A:AL,31,FALSE)-VLOOKUP(A94,'SegEnds_NonXtal_Prot#'!A:AL,28,FALSE)</f>
        <v>64</v>
      </c>
      <c r="AJ94" s="1">
        <f>VLOOKUP(A94,'SegEnds_NonXtal_Prot#'!A:AL,34,FALSE)-VLOOKUP(A94,'SegEnds_NonXtal_Prot#'!A:AL,31,FALSE)</f>
        <v>36</v>
      </c>
      <c r="AK94" s="1">
        <f>VLOOKUP(A94,'SegEnds_NonXtal_Prot#'!A:AL,37,FALSE)-VLOOKUP(A94,'SegEnds_NonXtal_Prot#'!A:AL,34,FALSE)</f>
        <v>10</v>
      </c>
      <c r="AL94" s="1" t="str">
        <f>IF(ISERROR(MATCH(A94,'SegEnds_Xtal_Prot#'!B:B, 0)), "NoXtal", "Xtal")</f>
        <v>Xtal</v>
      </c>
    </row>
    <row r="95" spans="1:38" x14ac:dyDescent="0.2">
      <c r="A95" s="1" t="s">
        <v>340</v>
      </c>
      <c r="B95" s="1" t="str">
        <f>VLOOKUP(A95,Xtal_Templ!A:B,2,FALSE)</f>
        <v>opsd_human</v>
      </c>
      <c r="C95" s="5">
        <f>VLOOKUP($B95&amp;"__wt",'SegEnds_Xtal_BW#'!$A:$Z,3,FALSE)</f>
        <v>29</v>
      </c>
      <c r="D95" s="1">
        <f>VLOOKUP($B95&amp;"__wt",'SegEnds_Xtal_BW#'!$A:$Z,4,FALSE)</f>
        <v>60</v>
      </c>
      <c r="E95" s="1">
        <f>VLOOKUP($B95&amp;"__wt",'SegEnds_Xtal_BW#'!$A:$Z,5,FALSE)</f>
        <v>48</v>
      </c>
      <c r="F95" s="1">
        <f>VLOOKUP($B95&amp;"__wt",'SegEnds_Xtal_BW#'!$A:$Z,6,FALSE)</f>
        <v>51</v>
      </c>
      <c r="G95" s="1">
        <v>37</v>
      </c>
      <c r="H95" s="12">
        <f>VLOOKUP($B95&amp;"__wt",'SegEnds_Xtal_BW#'!$A:$Z,8,FALSE)</f>
        <v>67</v>
      </c>
      <c r="I95" s="1">
        <f>VLOOKUP($B95&amp;"__wt",'SegEnds_Xtal_BW#'!$A:$Z,9,FALSE)</f>
        <v>49</v>
      </c>
      <c r="J95" s="1">
        <f>VLOOKUP($B95&amp;"__wt",'SegEnds_Xtal_BW#'!$A:$Z,10,FALSE)</f>
        <v>52</v>
      </c>
      <c r="K95" s="12">
        <v>18</v>
      </c>
      <c r="L95" s="1">
        <f>VLOOKUP($B95&amp;"__wt",'SegEnds_Xtal_BW#'!$A:$Z,12,FALSE)</f>
        <v>56</v>
      </c>
      <c r="M95" s="1">
        <f>VLOOKUP($B95&amp;"__wt",'SegEnds_Xtal_BW#'!$A:$Z,13,FALSE)</f>
        <v>50</v>
      </c>
      <c r="N95" s="12">
        <f>VLOOKUP($B95&amp;"__wt",'SegEnds_Xtal_BW#'!$A:$Z,14,FALSE)</f>
        <v>56</v>
      </c>
      <c r="O95" s="87">
        <f>VLOOKUP($B95&amp;"__wt",'SegEnds_Xtal_BW#'!$A:$Z,15,FALSE)</f>
        <v>38</v>
      </c>
      <c r="P95" s="1">
        <f>VLOOKUP($B95&amp;"__wt",'SegEnds_Xtal_BW#'!$A:$Z,16,FALSE)</f>
        <v>62</v>
      </c>
      <c r="Q95" s="1">
        <f>VLOOKUP($B95&amp;"__wt",'SegEnds_Xtal_BW#'!$A:$Z,17,FALSE)</f>
        <v>50</v>
      </c>
      <c r="R95" s="1">
        <f>VLOOKUP($B95&amp;"__wt",'SegEnds_Xtal_BW#'!$A:$Z,18,FALSE)</f>
        <v>52</v>
      </c>
      <c r="S95" s="1">
        <f>VLOOKUP($B95&amp;"__wt",'SegEnds_Xtal_BW#'!$A:$Z,19,FALSE)</f>
        <v>34</v>
      </c>
      <c r="T95" s="1">
        <f t="array" ref="T95">INDEX(ICL3_classA!$G$2:$G$37,MATCH(MIN(ABS(AI95-ICL3_classA!$F$2:$F$37)),ABS(AI95-ICL3_classA!$F$2:$F$37),0))</f>
        <v>72</v>
      </c>
      <c r="U95" s="1">
        <f t="array" ref="U95">INDEX(ICL3_classA!$H$2:$H$37,MATCH(MIN(ABS(AI95-ICL3_classA!$F$2:$F$37)),ABS(AI95-ICL3_classA!$F$2:$F$37),0))</f>
        <v>24</v>
      </c>
      <c r="V95" s="1">
        <v>61</v>
      </c>
      <c r="W95" s="1">
        <v>31</v>
      </c>
      <c r="X95" s="1">
        <f>VLOOKUP($B95&amp;"__wt",'SegEnds_Xtal_BW#'!$A:$Z,24,FALSE)</f>
        <v>56</v>
      </c>
      <c r="Y95" s="1">
        <f>VLOOKUP($B95&amp;"__wt",'SegEnds_Xtal_BW#'!$A:$Z,25,FALSE)</f>
        <v>47</v>
      </c>
      <c r="Z95" s="1">
        <f>VLOOKUP($B95&amp;"__wt",'SegEnds_Xtal_BW#'!$A:$Z,26,FALSE)</f>
        <v>59</v>
      </c>
      <c r="AA95" s="27" t="str">
        <f>VLOOKUP(A95,Classification!A:B,2,FALSE)</f>
        <v>A</v>
      </c>
      <c r="AB95" s="1">
        <f>VLOOKUP(A95,'SegEnds_NonXtal_Prot#'!A:AL,10,FALSE)-VLOOKUP(A95,'SegEnds_NonXtal_Prot#'!A:AL,4,FALSE)</f>
        <v>28</v>
      </c>
      <c r="AC95" s="1">
        <f>VLOOKUP(A95,'SegEnds_NonXtal_Prot#'!A:AL,10,FALSE)-VLOOKUP(A95,'SegEnds_NonXtal_Prot#'!A:AL,7,FALSE)</f>
        <v>15</v>
      </c>
      <c r="AD95" s="1">
        <f>VLOOKUP(A95,'SegEnds_NonXtal_Prot#'!A:AL,13,FALSE)-VLOOKUP(A95,'SegEnds_NonXtal_Prot#'!A:AL,10,FALSE)</f>
        <v>20</v>
      </c>
      <c r="AE95" s="1">
        <f>VLOOKUP(A95,'SegEnds_NonXtal_Prot#'!A:AL,16,FALSE)-VLOOKUP(A95,'SegEnds_NonXtal_Prot#'!A:AL,10,FALSE)</f>
        <v>52</v>
      </c>
      <c r="AF95" s="1">
        <f>VLOOKUP(A95,'SegEnds_NonXtal_Prot#'!A:AL,22,FALSE)-VLOOKUP(A95,'SegEnds_NonXtal_Prot#'!A:AL,19,FALSE)</f>
        <v>19</v>
      </c>
      <c r="AG95" s="1">
        <f>VLOOKUP(A95,'SegEnds_NonXtal_Prot#'!A:AL,28,FALSE)-VLOOKUP(A95,'SegEnds_NonXtal_Prot#'!A:AL,25,FALSE)</f>
        <v>28</v>
      </c>
      <c r="AH95" s="1">
        <f>VLOOKUP(A95,'SegEnds_NonXtal_Prot#'!A:AL,28,FALSE)-VLOOKUP(A95,'SegEnds_NonXtal_Prot#'!A:AL,22,FALSE)</f>
        <v>54</v>
      </c>
      <c r="AI95" s="1">
        <f>VLOOKUP(A95,'SegEnds_NonXtal_Prot#'!A:AL,31,FALSE)-VLOOKUP(A95,'SegEnds_NonXtal_Prot#'!A:AL,28,FALSE)</f>
        <v>52</v>
      </c>
      <c r="AJ95" s="1">
        <f>VLOOKUP(A95,'SegEnds_NonXtal_Prot#'!A:AL,34,FALSE)-VLOOKUP(A95,'SegEnds_NonXtal_Prot#'!A:AL,31,FALSE)</f>
        <v>36</v>
      </c>
      <c r="AK95" s="1">
        <f>VLOOKUP(A95,'SegEnds_NonXtal_Prot#'!A:AL,37,FALSE)-VLOOKUP(A95,'SegEnds_NonXtal_Prot#'!A:AL,34,FALSE)</f>
        <v>10</v>
      </c>
      <c r="AL95" s="1" t="str">
        <f>IF(ISERROR(MATCH(A95,'SegEnds_Xtal_Prot#'!B:B, 0)), "NoXtal", "Xtal")</f>
        <v>NoXtal</v>
      </c>
    </row>
    <row r="96" spans="1:38" x14ac:dyDescent="0.2">
      <c r="A96" s="1" t="s">
        <v>341</v>
      </c>
      <c r="B96" s="1" t="str">
        <f>VLOOKUP(A96,Xtal_Templ!A:B,2,FALSE)</f>
        <v>opsd_human</v>
      </c>
      <c r="C96" s="5">
        <f>VLOOKUP($B96&amp;"__wt",'SegEnds_Xtal_BW#'!$A:$Z,3,FALSE)</f>
        <v>29</v>
      </c>
      <c r="D96" s="1">
        <f>VLOOKUP($B96&amp;"__wt",'SegEnds_Xtal_BW#'!$A:$Z,4,FALSE)</f>
        <v>60</v>
      </c>
      <c r="E96" s="1">
        <f>VLOOKUP($B96&amp;"__wt",'SegEnds_Xtal_BW#'!$A:$Z,5,FALSE)</f>
        <v>48</v>
      </c>
      <c r="F96" s="1">
        <f>VLOOKUP($B96&amp;"__wt",'SegEnds_Xtal_BW#'!$A:$Z,6,FALSE)</f>
        <v>51</v>
      </c>
      <c r="G96" s="1">
        <v>37</v>
      </c>
      <c r="H96" s="12">
        <f>VLOOKUP($B96&amp;"__wt",'SegEnds_Xtal_BW#'!$A:$Z,8,FALSE)</f>
        <v>67</v>
      </c>
      <c r="I96" s="1">
        <f>VLOOKUP($B96&amp;"__wt",'SegEnds_Xtal_BW#'!$A:$Z,9,FALSE)</f>
        <v>49</v>
      </c>
      <c r="J96" s="1">
        <f>VLOOKUP($B96&amp;"__wt",'SegEnds_Xtal_BW#'!$A:$Z,10,FALSE)</f>
        <v>52</v>
      </c>
      <c r="K96" s="12">
        <v>18</v>
      </c>
      <c r="L96" s="1">
        <f>VLOOKUP($B96&amp;"__wt",'SegEnds_Xtal_BW#'!$A:$Z,12,FALSE)</f>
        <v>56</v>
      </c>
      <c r="M96" s="1">
        <f>VLOOKUP($B96&amp;"__wt",'SegEnds_Xtal_BW#'!$A:$Z,13,FALSE)</f>
        <v>50</v>
      </c>
      <c r="N96" s="12">
        <f>VLOOKUP($B96&amp;"__wt",'SegEnds_Xtal_BW#'!$A:$Z,14,FALSE)</f>
        <v>56</v>
      </c>
      <c r="O96" s="87">
        <f>VLOOKUP($B96&amp;"__wt",'SegEnds_Xtal_BW#'!$A:$Z,15,FALSE)</f>
        <v>38</v>
      </c>
      <c r="P96" s="1">
        <f>VLOOKUP($B96&amp;"__wt",'SegEnds_Xtal_BW#'!$A:$Z,16,FALSE)</f>
        <v>62</v>
      </c>
      <c r="Q96" s="1">
        <f>VLOOKUP($B96&amp;"__wt",'SegEnds_Xtal_BW#'!$A:$Z,17,FALSE)</f>
        <v>50</v>
      </c>
      <c r="R96" s="1">
        <f>VLOOKUP($B96&amp;"__wt",'SegEnds_Xtal_BW#'!$A:$Z,18,FALSE)</f>
        <v>52</v>
      </c>
      <c r="S96" s="1">
        <f>VLOOKUP($B96&amp;"__wt",'SegEnds_Xtal_BW#'!$A:$Z,19,FALSE)</f>
        <v>34</v>
      </c>
      <c r="T96" s="1">
        <f t="array" ref="T96">INDEX(ICL3_classA!$G$2:$G$37,MATCH(MIN(ABS(AI96-ICL3_classA!$F$2:$F$37)),ABS(AI96-ICL3_classA!$F$2:$F$37),0))</f>
        <v>72</v>
      </c>
      <c r="U96" s="1">
        <f t="array" ref="U96">INDEX(ICL3_classA!$H$2:$H$37,MATCH(MIN(ABS(AI96-ICL3_classA!$F$2:$F$37)),ABS(AI96-ICL3_classA!$F$2:$F$37),0))</f>
        <v>24</v>
      </c>
      <c r="V96" s="1">
        <v>61</v>
      </c>
      <c r="W96" s="1">
        <v>31</v>
      </c>
      <c r="X96" s="1">
        <f>VLOOKUP($B96&amp;"__wt",'SegEnds_Xtal_BW#'!$A:$Z,24,FALSE)</f>
        <v>56</v>
      </c>
      <c r="Y96" s="1">
        <f>VLOOKUP($B96&amp;"__wt",'SegEnds_Xtal_BW#'!$A:$Z,25,FALSE)</f>
        <v>47</v>
      </c>
      <c r="Z96" s="1">
        <f>VLOOKUP($B96&amp;"__wt",'SegEnds_Xtal_BW#'!$A:$Z,26,FALSE)</f>
        <v>59</v>
      </c>
      <c r="AA96" s="27" t="str">
        <f>VLOOKUP(A96,Classification!A:B,2,FALSE)</f>
        <v>A</v>
      </c>
      <c r="AB96" s="1">
        <f>VLOOKUP(A96,'SegEnds_NonXtal_Prot#'!A:AL,10,FALSE)-VLOOKUP(A96,'SegEnds_NonXtal_Prot#'!A:AL,4,FALSE)</f>
        <v>28</v>
      </c>
      <c r="AC96" s="1">
        <f>VLOOKUP(A96,'SegEnds_NonXtal_Prot#'!A:AL,10,FALSE)-VLOOKUP(A96,'SegEnds_NonXtal_Prot#'!A:AL,7,FALSE)</f>
        <v>15</v>
      </c>
      <c r="AD96" s="1">
        <f>VLOOKUP(A96,'SegEnds_NonXtal_Prot#'!A:AL,13,FALSE)-VLOOKUP(A96,'SegEnds_NonXtal_Prot#'!A:AL,10,FALSE)</f>
        <v>19</v>
      </c>
      <c r="AE96" s="1">
        <f>VLOOKUP(A96,'SegEnds_NonXtal_Prot#'!A:AL,16,FALSE)-VLOOKUP(A96,'SegEnds_NonXtal_Prot#'!A:AL,10,FALSE)</f>
        <v>52</v>
      </c>
      <c r="AF96" s="1">
        <f>VLOOKUP(A96,'SegEnds_NonXtal_Prot#'!A:AL,22,FALSE)-VLOOKUP(A96,'SegEnds_NonXtal_Prot#'!A:AL,19,FALSE)</f>
        <v>19</v>
      </c>
      <c r="AG96" s="1">
        <f>VLOOKUP(A96,'SegEnds_NonXtal_Prot#'!A:AL,28,FALSE)-VLOOKUP(A96,'SegEnds_NonXtal_Prot#'!A:AL,25,FALSE)</f>
        <v>28</v>
      </c>
      <c r="AH96" s="1">
        <f>VLOOKUP(A96,'SegEnds_NonXtal_Prot#'!A:AL,28,FALSE)-VLOOKUP(A96,'SegEnds_NonXtal_Prot#'!A:AL,22,FALSE)</f>
        <v>54</v>
      </c>
      <c r="AI96" s="1">
        <f>VLOOKUP(A96,'SegEnds_NonXtal_Prot#'!A:AL,31,FALSE)-VLOOKUP(A96,'SegEnds_NonXtal_Prot#'!A:AL,28,FALSE)</f>
        <v>52</v>
      </c>
      <c r="AJ96" s="1">
        <f>VLOOKUP(A96,'SegEnds_NonXtal_Prot#'!A:AL,34,FALSE)-VLOOKUP(A96,'SegEnds_NonXtal_Prot#'!A:AL,31,FALSE)</f>
        <v>36</v>
      </c>
      <c r="AK96" s="1">
        <f>VLOOKUP(A96,'SegEnds_NonXtal_Prot#'!A:AL,37,FALSE)-VLOOKUP(A96,'SegEnds_NonXtal_Prot#'!A:AL,34,FALSE)</f>
        <v>10</v>
      </c>
      <c r="AL96" s="1" t="str">
        <f>IF(ISERROR(MATCH(A96,'SegEnds_Xtal_Prot#'!B:B, 0)), "NoXtal", "Xtal")</f>
        <v>NoXtal</v>
      </c>
    </row>
    <row r="97" spans="1:38" x14ac:dyDescent="0.2">
      <c r="A97" s="4" t="s">
        <v>344</v>
      </c>
      <c r="B97" s="4" t="str">
        <f>VLOOKUP(A97,Xtal_Templ!A:B,2,FALSE)</f>
        <v>ox2r_human</v>
      </c>
      <c r="C97" s="5">
        <f>VLOOKUP($B97&amp;"__wt",'SegEnds_Xtal_BW#'!$A:$Z,3,FALSE)</f>
        <v>31</v>
      </c>
      <c r="D97" s="4">
        <f>VLOOKUP($B97&amp;"__wt",'SegEnds_Xtal_BW#'!$A:$Z,4,FALSE)</f>
        <v>60</v>
      </c>
      <c r="E97" s="4">
        <f>VLOOKUP($B97&amp;"__wt",'SegEnds_Xtal_BW#'!$A:$Z,5,FALSE)</f>
        <v>48</v>
      </c>
      <c r="F97" s="4">
        <f>VLOOKUP($B97&amp;"__wt",'SegEnds_Xtal_BW#'!$A:$Z,6,FALSE)</f>
        <v>51</v>
      </c>
      <c r="G97" s="4">
        <v>37</v>
      </c>
      <c r="H97" s="11">
        <v>66</v>
      </c>
      <c r="I97" s="4">
        <f>VLOOKUP($B97&amp;"__wt",'SegEnds_Xtal_BW#'!$A:$Z,9,FALSE)</f>
        <v>49</v>
      </c>
      <c r="J97" s="4">
        <f>VLOOKUP($B97&amp;"__wt",'SegEnds_Xtal_BW#'!$A:$Z,10,FALSE)</f>
        <v>52</v>
      </c>
      <c r="K97" s="11">
        <v>18</v>
      </c>
      <c r="L97" s="4">
        <f>VLOOKUP($B97&amp;"__wt",'SegEnds_Xtal_BW#'!$A:$Z,12,FALSE)</f>
        <v>56</v>
      </c>
      <c r="M97" s="4">
        <f>VLOOKUP($B97&amp;"__wt",'SegEnds_Xtal_BW#'!$A:$Z,13,FALSE)</f>
        <v>50</v>
      </c>
      <c r="N97" s="11">
        <v>55</v>
      </c>
      <c r="O97" s="88">
        <v>38</v>
      </c>
      <c r="P97" s="4">
        <f>VLOOKUP($B97&amp;"__wt",'SegEnds_Xtal_BW#'!$A:$Z,16,FALSE)</f>
        <v>64</v>
      </c>
      <c r="Q97" s="4">
        <f>VLOOKUP($B97&amp;"__wt",'SegEnds_Xtal_BW#'!$A:$Z,17,FALSE)</f>
        <v>50</v>
      </c>
      <c r="R97" s="4">
        <f>VLOOKUP($B97&amp;"__wt",'SegEnds_Xtal_BW#'!$A:$Z,18,FALSE)</f>
        <v>52</v>
      </c>
      <c r="S97" s="4">
        <f>VLOOKUP($B97&amp;"__wt",'SegEnds_Xtal_BW#'!$A:$Z,19,FALSE)</f>
        <v>33</v>
      </c>
      <c r="T97" s="4">
        <f t="array" ref="T97">INDEX(ICL3_classA!$G$2:$G$37,MATCH(MIN(ABS(AI97-ICL3_classA!$F$2:$F$37)),ABS(AI97-ICL3_classA!$F$2:$F$37),0))</f>
        <v>76</v>
      </c>
      <c r="U97" s="4">
        <f t="array" ref="U97">INDEX(ICL3_classA!$H$2:$H$37,MATCH(MIN(ABS(AI97-ICL3_classA!$F$2:$F$37)),ABS(AI97-ICL3_classA!$F$2:$F$37),0))</f>
        <v>24</v>
      </c>
      <c r="V97" s="4">
        <v>61</v>
      </c>
      <c r="W97" s="4">
        <v>31</v>
      </c>
      <c r="X97" s="4">
        <f>VLOOKUP($B97&amp;"__wt",'SegEnds_Xtal_BW#'!$A:$Z,24,FALSE)</f>
        <v>56</v>
      </c>
      <c r="Y97" s="4">
        <f>VLOOKUP($B97&amp;"__wt",'SegEnds_Xtal_BW#'!$A:$Z,25,FALSE)</f>
        <v>47</v>
      </c>
      <c r="Z97" s="4">
        <f>VLOOKUP($B97&amp;"__wt",'SegEnds_Xtal_BW#'!$A:$Z,26,FALSE)</f>
        <v>58</v>
      </c>
      <c r="AA97" s="27" t="str">
        <f>VLOOKUP(A97,Classification!A:B,2,FALSE)</f>
        <v>A</v>
      </c>
      <c r="AB97" s="1">
        <f>VLOOKUP(A97,'SegEnds_NonXtal_Prot#'!A:AL,10,FALSE)-VLOOKUP(A97,'SegEnds_NonXtal_Prot#'!A:AL,4,FALSE)</f>
        <v>28</v>
      </c>
      <c r="AC97" s="4">
        <f>VLOOKUP(A97,'SegEnds_NonXtal_Prot#'!A:AL,10,FALSE)-VLOOKUP(A97,'SegEnds_NonXtal_Prot#'!A:AL,7,FALSE)</f>
        <v>15</v>
      </c>
      <c r="AD97" s="4">
        <f>VLOOKUP(A97,'SegEnds_NonXtal_Prot#'!A:AL,13,FALSE)-VLOOKUP(A97,'SegEnds_NonXtal_Prot#'!A:AL,10,FALSE)</f>
        <v>18</v>
      </c>
      <c r="AE97" s="4">
        <f>VLOOKUP(A97,'SegEnds_NonXtal_Prot#'!A:AL,16,FALSE)-VLOOKUP(A97,'SegEnds_NonXtal_Prot#'!A:AL,10,FALSE)</f>
        <v>52</v>
      </c>
      <c r="AF97" s="1" t="e">
        <f>VLOOKUP(A97,'SegEnds_NonXtal_Prot#'!A:AL,22,FALSE)-VLOOKUP(A97,'SegEnds_NonXtal_Prot#'!A:AL,19,FALSE)</f>
        <v>#VALUE!</v>
      </c>
      <c r="AG97" s="4">
        <f>VLOOKUP(A97,'SegEnds_NonXtal_Prot#'!A:AL,28,FALSE)-VLOOKUP(A97,'SegEnds_NonXtal_Prot#'!A:AL,25,FALSE)</f>
        <v>25</v>
      </c>
      <c r="AH97" s="1">
        <f>VLOOKUP(A97,'SegEnds_NonXtal_Prot#'!A:AL,28,FALSE)-VLOOKUP(A97,'SegEnds_NonXtal_Prot#'!A:AL,22,FALSE)</f>
        <v>51</v>
      </c>
      <c r="AI97" s="4">
        <f>VLOOKUP(A97,'SegEnds_NonXtal_Prot#'!A:AL,31,FALSE)-VLOOKUP(A97,'SegEnds_NonXtal_Prot#'!A:AL,28,FALSE)</f>
        <v>78</v>
      </c>
      <c r="AJ97" s="4">
        <f>VLOOKUP(A97,'SegEnds_NonXtal_Prot#'!A:AL,34,FALSE)-VLOOKUP(A97,'SegEnds_NonXtal_Prot#'!A:AL,31,FALSE)</f>
        <v>36</v>
      </c>
      <c r="AK97" s="1">
        <f>VLOOKUP(A97,'SegEnds_NonXtal_Prot#'!A:AL,37,FALSE)-VLOOKUP(A97,'SegEnds_NonXtal_Prot#'!A:AL,34,FALSE)</f>
        <v>10</v>
      </c>
      <c r="AL97" s="1" t="str">
        <f>IF(ISERROR(MATCH(A97,'SegEnds_Xtal_Prot#'!B:B, 0)), "NoXtal", "Xtal")</f>
        <v>NoXtal</v>
      </c>
    </row>
    <row r="98" spans="1:38" x14ac:dyDescent="0.2">
      <c r="A98" s="1" t="s">
        <v>361</v>
      </c>
      <c r="B98" s="1" t="str">
        <f>VLOOKUP(A98,Xtal_Templ!A:B,2,FALSE)</f>
        <v>ta2r_human</v>
      </c>
      <c r="C98" s="5">
        <f>VLOOKUP($B98&amp;"__wt",'SegEnds_Xtal_BW#'!$A:$Z,3,FALSE)</f>
        <v>35</v>
      </c>
      <c r="D98" s="108">
        <v>61</v>
      </c>
      <c r="E98" s="1" t="str">
        <f>VLOOKUP($B98&amp;"__wt",'SegEnds_Xtal_BW#'!$A:$Z,5,FALSE)</f>
        <v>-</v>
      </c>
      <c r="F98" s="1" t="str">
        <f>VLOOKUP($B98&amp;"__wt",'SegEnds_Xtal_BW#'!$A:$Z,6,FALSE)</f>
        <v>-</v>
      </c>
      <c r="G98" s="1">
        <v>37</v>
      </c>
      <c r="H98" s="12">
        <v>66</v>
      </c>
      <c r="I98" s="1">
        <f>VLOOKUP($B98&amp;"__wt",'SegEnds_Xtal_BW#'!$A:$Z,9,FALSE)</f>
        <v>49</v>
      </c>
      <c r="J98" s="1">
        <f>VLOOKUP($B98&amp;"__wt",'SegEnds_Xtal_BW#'!$A:$Z,10,FALSE)</f>
        <v>53</v>
      </c>
      <c r="K98" s="12">
        <v>21</v>
      </c>
      <c r="L98" s="1">
        <f>VLOOKUP($B98&amp;"__wt",'SegEnds_Xtal_BW#'!$A:$Z,12,FALSE)</f>
        <v>56</v>
      </c>
      <c r="M98" s="1">
        <f>VLOOKUP($B98&amp;"__wt",'SegEnds_Xtal_BW#'!$A:$Z,13,FALSE)</f>
        <v>50</v>
      </c>
      <c r="N98" s="12">
        <v>57</v>
      </c>
      <c r="O98" s="87">
        <f>VLOOKUP($B98&amp;"__wt",'SegEnds_Xtal_BW#'!$A:$Z,15,FALSE)</f>
        <v>38</v>
      </c>
      <c r="P98" s="1">
        <f>VLOOKUP($B98&amp;"__wt",'SegEnds_Xtal_BW#'!$A:$Z,16,FALSE)</f>
        <v>63</v>
      </c>
      <c r="Q98" s="108">
        <v>50</v>
      </c>
      <c r="R98" s="108">
        <v>52</v>
      </c>
      <c r="S98" s="108">
        <v>31</v>
      </c>
      <c r="T98" s="1">
        <f t="array" ref="T98">INDEX(ICL3_classA!$G$2:$G$37,MATCH(MIN(ABS(AI98-ICL3_classA!$F$2:$F$37)),ABS(AI98-ICL3_classA!$F$2:$F$37),0))</f>
        <v>74</v>
      </c>
      <c r="U98" s="1">
        <f t="array" ref="U98">INDEX(ICL3_classA!$H$2:$H$37,MATCH(MIN(ABS(AI98-ICL3_classA!$F$2:$F$37)),ABS(AI98-ICL3_classA!$F$2:$F$37),0))</f>
        <v>24</v>
      </c>
      <c r="V98" s="1">
        <v>61</v>
      </c>
      <c r="W98" s="1">
        <v>31</v>
      </c>
      <c r="X98" s="1">
        <f>VLOOKUP($B98&amp;"__wt",'SegEnds_Xtal_BW#'!$A:$Z,24,FALSE)</f>
        <v>56</v>
      </c>
      <c r="Y98" s="1">
        <f>VLOOKUP($B98&amp;"__wt",'SegEnds_Xtal_BW#'!$A:$Z,25,FALSE)</f>
        <v>47</v>
      </c>
      <c r="Z98" s="1">
        <f>VLOOKUP($B98&amp;"__wt",'SegEnds_Xtal_BW#'!$A:$Z,26,FALSE)</f>
        <v>66</v>
      </c>
      <c r="AA98" s="27" t="str">
        <f>VLOOKUP(A98,Classification!A:B,2,FALSE)</f>
        <v>A</v>
      </c>
      <c r="AB98" s="1">
        <f>VLOOKUP(A98,'SegEnds_NonXtal_Prot#'!A:AL,10,FALSE)-VLOOKUP(A98,'SegEnds_NonXtal_Prot#'!A:AL,4,FALSE)</f>
        <v>34</v>
      </c>
      <c r="AC98" s="1">
        <f>VLOOKUP(A98,'SegEnds_NonXtal_Prot#'!A:AL,10,FALSE)-VLOOKUP(A98,'SegEnds_NonXtal_Prot#'!A:AL,7,FALSE)</f>
        <v>20</v>
      </c>
      <c r="AD98" s="1">
        <f>VLOOKUP(A98,'SegEnds_NonXtal_Prot#'!A:AL,13,FALSE)-VLOOKUP(A98,'SegEnds_NonXtal_Prot#'!A:AL,10,FALSE)</f>
        <v>20</v>
      </c>
      <c r="AE98" s="1">
        <f>VLOOKUP(A98,'SegEnds_NonXtal_Prot#'!A:AL,16,FALSE)-VLOOKUP(A98,'SegEnds_NonXtal_Prot#'!A:AL,10,FALSE)</f>
        <v>51</v>
      </c>
      <c r="AF98" s="1">
        <f>VLOOKUP(A98,'SegEnds_NonXtal_Prot#'!A:AL,22,FALSE)-VLOOKUP(A98,'SegEnds_NonXtal_Prot#'!A:AL,19,FALSE)</f>
        <v>20</v>
      </c>
      <c r="AG98" s="1">
        <f>VLOOKUP(A98,'SegEnds_NonXtal_Prot#'!A:AL,28,FALSE)-VLOOKUP(A98,'SegEnds_NonXtal_Prot#'!A:AL,25,FALSE)</f>
        <v>28</v>
      </c>
      <c r="AH98" s="1">
        <f>VLOOKUP(A98,'SegEnds_NonXtal_Prot#'!A:AL,28,FALSE)-VLOOKUP(A98,'SegEnds_NonXtal_Prot#'!A:AL,22,FALSE)</f>
        <v>54</v>
      </c>
      <c r="AI98" s="1">
        <f>VLOOKUP(A98,'SegEnds_NonXtal_Prot#'!A:AL,31,FALSE)-VLOOKUP(A98,'SegEnds_NonXtal_Prot#'!A:AL,28,FALSE)</f>
        <v>96</v>
      </c>
      <c r="AJ98" s="1">
        <f>VLOOKUP(A98,'SegEnds_NonXtal_Prot#'!A:AL,34,FALSE)-VLOOKUP(A98,'SegEnds_NonXtal_Prot#'!A:AL,31,FALSE)</f>
        <v>36</v>
      </c>
      <c r="AK98" s="1">
        <f>VLOOKUP(A98,'SegEnds_NonXtal_Prot#'!A:AL,37,FALSE)-VLOOKUP(A98,'SegEnds_NonXtal_Prot#'!A:AL,34,FALSE)</f>
        <v>10</v>
      </c>
      <c r="AL98" s="1" t="str">
        <f>IF(ISERROR(MATCH(A98,'SegEnds_Xtal_Prot#'!B:B, 0)), "NoXtal", "Xtal")</f>
        <v>NoXtal</v>
      </c>
    </row>
    <row r="99" spans="1:38" x14ac:dyDescent="0.2">
      <c r="A99" s="1" t="s">
        <v>394</v>
      </c>
      <c r="B99" s="1" t="str">
        <f>VLOOKUP(A99,Xtal_Templ!A:B,2,FALSE)</f>
        <v>oprx_human</v>
      </c>
      <c r="C99" s="5">
        <f>VLOOKUP($B99&amp;"__wt",'SegEnds_Xtal_BW#'!$A:$Z,3,FALSE)</f>
        <v>29</v>
      </c>
      <c r="D99" s="1">
        <f>VLOOKUP($B99&amp;"__wt",'SegEnds_Xtal_BW#'!$A:$Z,4,FALSE)</f>
        <v>60</v>
      </c>
      <c r="E99" s="1">
        <f>VLOOKUP($B99&amp;"__wt",'SegEnds_Xtal_BW#'!$A:$Z,5,FALSE)</f>
        <v>48</v>
      </c>
      <c r="F99" s="1">
        <f>VLOOKUP($B99&amp;"__wt",'SegEnds_Xtal_BW#'!$A:$Z,6,FALSE)</f>
        <v>51</v>
      </c>
      <c r="G99" s="1">
        <v>37</v>
      </c>
      <c r="H99" s="12">
        <f>VLOOKUP($B99&amp;"__wt",'SegEnds_Xtal_BW#'!$A:$Z,8,FALSE)</f>
        <v>66</v>
      </c>
      <c r="I99" s="1">
        <f>VLOOKUP($B99&amp;"__wt",'SegEnds_Xtal_BW#'!$A:$Z,9,FALSE)</f>
        <v>49</v>
      </c>
      <c r="J99" s="1">
        <f>VLOOKUP($B99&amp;"__wt",'SegEnds_Xtal_BW#'!$A:$Z,10,FALSE)</f>
        <v>52</v>
      </c>
      <c r="K99" s="12">
        <v>18</v>
      </c>
      <c r="L99" s="1">
        <f>VLOOKUP($B99&amp;"__wt",'SegEnds_Xtal_BW#'!$A:$Z,12,FALSE)</f>
        <v>56</v>
      </c>
      <c r="M99" s="1">
        <f>VLOOKUP($B99&amp;"__wt",'SegEnds_Xtal_BW#'!$A:$Z,13,FALSE)</f>
        <v>50</v>
      </c>
      <c r="N99" s="12">
        <v>57</v>
      </c>
      <c r="O99" s="87">
        <f>VLOOKUP($B99&amp;"__wt",'SegEnds_Xtal_BW#'!$A:$Z,15,FALSE)</f>
        <v>38</v>
      </c>
      <c r="P99" s="1">
        <f>VLOOKUP($B99&amp;"__wt",'SegEnds_Xtal_BW#'!$A:$Z,16,FALSE)</f>
        <v>64</v>
      </c>
      <c r="Q99" s="1">
        <f>VLOOKUP($B99&amp;"__wt",'SegEnds_Xtal_BW#'!$A:$Z,17,FALSE)</f>
        <v>50</v>
      </c>
      <c r="R99" s="1">
        <f>VLOOKUP($B99&amp;"__wt",'SegEnds_Xtal_BW#'!$A:$Z,18,FALSE)</f>
        <v>52</v>
      </c>
      <c r="S99" s="1">
        <f>VLOOKUP($B99&amp;"__wt",'SegEnds_Xtal_BW#'!$A:$Z,19,FALSE)</f>
        <v>31</v>
      </c>
      <c r="T99" s="1">
        <f t="array" ref="T99">INDEX(ICL3_classA!$G$2:$G$37,MATCH(MIN(ABS(AI99-ICL3_classA!$F$2:$F$37)),ABS(AI99-ICL3_classA!$F$2:$F$37),0))</f>
        <v>76</v>
      </c>
      <c r="U99" s="1">
        <f t="array" ref="U99">INDEX(ICL3_classA!$H$2:$H$37,MATCH(MIN(ABS(AI99-ICL3_classA!$F$2:$F$37)),ABS(AI99-ICL3_classA!$F$2:$F$37),0))</f>
        <v>24</v>
      </c>
      <c r="V99" s="1">
        <v>61</v>
      </c>
      <c r="W99" s="1">
        <v>31</v>
      </c>
      <c r="X99" s="1">
        <f>VLOOKUP($B99&amp;"__wt",'SegEnds_Xtal_BW#'!$A:$Z,24,FALSE)</f>
        <v>56</v>
      </c>
      <c r="Y99" s="1">
        <f>VLOOKUP($B99&amp;"__wt",'SegEnds_Xtal_BW#'!$A:$Z,25,FALSE)</f>
        <v>47</v>
      </c>
      <c r="Z99" s="1">
        <f>VLOOKUP($B99&amp;"__wt",'SegEnds_Xtal_BW#'!$A:$Z,26,FALSE)</f>
        <v>59</v>
      </c>
      <c r="AA99" s="27" t="str">
        <f>VLOOKUP(A99,Classification!A:B,2,FALSE)</f>
        <v>A</v>
      </c>
      <c r="AB99" s="1">
        <f>VLOOKUP(A99,'SegEnds_NonXtal_Prot#'!A:AL,10,FALSE)-VLOOKUP(A99,'SegEnds_NonXtal_Prot#'!A:AL,4,FALSE)</f>
        <v>28</v>
      </c>
      <c r="AC99" s="1">
        <f>VLOOKUP(A99,'SegEnds_NonXtal_Prot#'!A:AL,10,FALSE)-VLOOKUP(A99,'SegEnds_NonXtal_Prot#'!A:AL,7,FALSE)</f>
        <v>15</v>
      </c>
      <c r="AD99" s="1">
        <f>VLOOKUP(A99,'SegEnds_NonXtal_Prot#'!A:AL,13,FALSE)-VLOOKUP(A99,'SegEnds_NonXtal_Prot#'!A:AL,10,FALSE)</f>
        <v>20</v>
      </c>
      <c r="AE99" s="1">
        <f>VLOOKUP(A99,'SegEnds_NonXtal_Prot#'!A:AL,16,FALSE)-VLOOKUP(A99,'SegEnds_NonXtal_Prot#'!A:AL,10,FALSE)</f>
        <v>52</v>
      </c>
      <c r="AF99" s="1">
        <f>VLOOKUP(A99,'SegEnds_NonXtal_Prot#'!A:AL,22,FALSE)-VLOOKUP(A99,'SegEnds_NonXtal_Prot#'!A:AL,19,FALSE)</f>
        <v>20</v>
      </c>
      <c r="AG99" s="1">
        <f>VLOOKUP(A99,'SegEnds_NonXtal_Prot#'!A:AL,28,FALSE)-VLOOKUP(A99,'SegEnds_NonXtal_Prot#'!A:AL,25,FALSE)</f>
        <v>24</v>
      </c>
      <c r="AH99" s="1">
        <f>VLOOKUP(A99,'SegEnds_NonXtal_Prot#'!A:AL,28,FALSE)-VLOOKUP(A99,'SegEnds_NonXtal_Prot#'!A:AL,22,FALSE)</f>
        <v>53</v>
      </c>
      <c r="AI99" s="1">
        <f>VLOOKUP(A99,'SegEnds_NonXtal_Prot#'!A:AL,31,FALSE)-VLOOKUP(A99,'SegEnds_NonXtal_Prot#'!A:AL,28,FALSE)</f>
        <v>78</v>
      </c>
      <c r="AJ99" s="1">
        <f>VLOOKUP(A99,'SegEnds_NonXtal_Prot#'!A:AL,34,FALSE)-VLOOKUP(A99,'SegEnds_NonXtal_Prot#'!A:AL,31,FALSE)</f>
        <v>36</v>
      </c>
      <c r="AK99" s="1">
        <f>VLOOKUP(A99,'SegEnds_NonXtal_Prot#'!A:AL,37,FALSE)-VLOOKUP(A99,'SegEnds_NonXtal_Prot#'!A:AL,34,FALSE)</f>
        <v>10</v>
      </c>
      <c r="AL99" s="1" t="str">
        <f>IF(ISERROR(MATCH(A99,'SegEnds_Xtal_Prot#'!B:B, 0)), "NoXtal", "Xtal")</f>
        <v>NoXtal</v>
      </c>
    </row>
    <row r="100" spans="1:38" x14ac:dyDescent="0.2">
      <c r="A100" s="1" t="s">
        <v>395</v>
      </c>
      <c r="B100" s="1" t="str">
        <f>VLOOKUP(A100,Xtal_Templ!A:B,2,FALSE)</f>
        <v>aa2ar_human</v>
      </c>
      <c r="C100" s="5">
        <f>VLOOKUP($B100&amp;"__wt",'SegEnds_Xtal_BW#'!$A:$Z,3,FALSE)</f>
        <v>27</v>
      </c>
      <c r="D100" s="1">
        <f>VLOOKUP($B100&amp;"__wt",'SegEnds_Xtal_BW#'!$A:$Z,4,FALSE)</f>
        <v>60</v>
      </c>
      <c r="E100" s="1">
        <f>VLOOKUP($B100&amp;"__wt",'SegEnds_Xtal_BW#'!$A:$Z,5,FALSE)</f>
        <v>48</v>
      </c>
      <c r="F100" s="1">
        <f>VLOOKUP($B100&amp;"__wt",'SegEnds_Xtal_BW#'!$A:$Z,6,FALSE)</f>
        <v>51</v>
      </c>
      <c r="G100" s="1">
        <v>37</v>
      </c>
      <c r="H100" s="12">
        <f>VLOOKUP($B100&amp;"__wt",'SegEnds_Xtal_BW#'!$A:$Z,8,FALSE)</f>
        <v>67</v>
      </c>
      <c r="I100" s="1">
        <v>49</v>
      </c>
      <c r="J100" s="1">
        <f>VLOOKUP($B100&amp;"__wt",'SegEnds_Xtal_BW#'!$A:$Z,10,FALSE)</f>
        <v>52</v>
      </c>
      <c r="K100" s="12">
        <v>18</v>
      </c>
      <c r="L100" s="1">
        <f>VLOOKUP($B100&amp;"__wt",'SegEnds_Xtal_BW#'!$A:$Z,12,FALSE)</f>
        <v>56</v>
      </c>
      <c r="M100" s="1">
        <f>VLOOKUP($B100&amp;"__wt",'SegEnds_Xtal_BW#'!$A:$Z,13,FALSE)</f>
        <v>50</v>
      </c>
      <c r="N100" s="12">
        <v>57</v>
      </c>
      <c r="O100" s="87">
        <f>VLOOKUP($B100&amp;"__wt",'SegEnds_Xtal_BW#'!$A:$Z,15,FALSE)</f>
        <v>38</v>
      </c>
      <c r="P100" s="1">
        <f>VLOOKUP($B100&amp;"__wt",'SegEnds_Xtal_BW#'!$A:$Z,16,FALSE)</f>
        <v>63</v>
      </c>
      <c r="Q100" s="1">
        <f>VLOOKUP($B100&amp;"__wt",'SegEnds_Xtal_BW#'!$A:$Z,17,FALSE)</f>
        <v>50</v>
      </c>
      <c r="R100" s="1">
        <f>VLOOKUP($B100&amp;"__wt",'SegEnds_Xtal_BW#'!$A:$Z,18,FALSE)</f>
        <v>52</v>
      </c>
      <c r="S100" s="1">
        <f>VLOOKUP($B100&amp;"__wt",'SegEnds_Xtal_BW#'!$A:$Z,19,FALSE)</f>
        <v>34</v>
      </c>
      <c r="T100" s="1">
        <f t="array" ref="T100">INDEX(ICL3_classA!$G$2:$G$37,MATCH(MIN(ABS(AI100-ICL3_classA!$F$2:$F$37)),ABS(AI100-ICL3_classA!$F$2:$F$37),0))</f>
        <v>67</v>
      </c>
      <c r="U100" s="1">
        <f t="array" ref="U100">INDEX(ICL3_classA!$H$2:$H$37,MATCH(MIN(ABS(AI100-ICL3_classA!$F$2:$F$37)),ABS(AI100-ICL3_classA!$F$2:$F$37),0))</f>
        <v>26</v>
      </c>
      <c r="V100" s="1">
        <v>61</v>
      </c>
      <c r="W100" s="1">
        <v>31</v>
      </c>
      <c r="X100" s="1">
        <f>VLOOKUP($B100&amp;"__wt",'SegEnds_Xtal_BW#'!$A:$Z,24,FALSE)</f>
        <v>56</v>
      </c>
      <c r="Y100" s="1">
        <f>VLOOKUP($B100&amp;"__wt",'SegEnds_Xtal_BW#'!$A:$Z,25,FALSE)</f>
        <v>47</v>
      </c>
      <c r="Z100" s="1">
        <f>VLOOKUP($B100&amp;"__wt",'SegEnds_Xtal_BW#'!$A:$Z,26,FALSE)</f>
        <v>69</v>
      </c>
      <c r="AA100" s="27" t="str">
        <f>VLOOKUP(A100,Classification!A:B,2,FALSE)</f>
        <v>A</v>
      </c>
      <c r="AB100" s="1">
        <f>VLOOKUP(A100,'SegEnds_NonXtal_Prot#'!A:AL,10,FALSE)-VLOOKUP(A100,'SegEnds_NonXtal_Prot#'!A:AL,4,FALSE)</f>
        <v>28</v>
      </c>
      <c r="AC100" s="1">
        <f>VLOOKUP(A100,'SegEnds_NonXtal_Prot#'!A:AL,10,FALSE)-VLOOKUP(A100,'SegEnds_NonXtal_Prot#'!A:AL,7,FALSE)</f>
        <v>14</v>
      </c>
      <c r="AD100" s="1">
        <f>VLOOKUP(A100,'SegEnds_NonXtal_Prot#'!A:AL,13,FALSE)-VLOOKUP(A100,'SegEnds_NonXtal_Prot#'!A:AL,10,FALSE)</f>
        <v>28</v>
      </c>
      <c r="AE100" s="1">
        <f>VLOOKUP(A100,'SegEnds_NonXtal_Prot#'!A:AL,16,FALSE)-VLOOKUP(A100,'SegEnds_NonXtal_Prot#'!A:AL,10,FALSE)</f>
        <v>59</v>
      </c>
      <c r="AF100" s="1">
        <f>VLOOKUP(A100,'SegEnds_NonXtal_Prot#'!A:AL,22,FALSE)-VLOOKUP(A100,'SegEnds_NonXtal_Prot#'!A:AL,19,FALSE)</f>
        <v>20</v>
      </c>
      <c r="AG100" s="1">
        <f>VLOOKUP(A100,'SegEnds_NonXtal_Prot#'!A:AL,28,FALSE)-VLOOKUP(A100,'SegEnds_NonXtal_Prot#'!A:AL,25,FALSE)</f>
        <v>24</v>
      </c>
      <c r="AH100" s="1">
        <f>VLOOKUP(A100,'SegEnds_NonXtal_Prot#'!A:AL,28,FALSE)-VLOOKUP(A100,'SegEnds_NonXtal_Prot#'!A:AL,22,FALSE)</f>
        <v>47</v>
      </c>
      <c r="AI100" s="1">
        <f>VLOOKUP(A100,'SegEnds_NonXtal_Prot#'!A:AL,31,FALSE)-VLOOKUP(A100,'SegEnds_NonXtal_Prot#'!A:AL,28,FALSE)</f>
        <v>46</v>
      </c>
      <c r="AJ100" s="1">
        <f>VLOOKUP(A100,'SegEnds_NonXtal_Prot#'!A:AL,34,FALSE)-VLOOKUP(A100,'SegEnds_NonXtal_Prot#'!A:AL,31,FALSE)</f>
        <v>36</v>
      </c>
      <c r="AK100" s="1">
        <f>VLOOKUP(A100,'SegEnds_NonXtal_Prot#'!A:AL,37,FALSE)-VLOOKUP(A100,'SegEnds_NonXtal_Prot#'!A:AL,34,FALSE)</f>
        <v>10</v>
      </c>
      <c r="AL100" s="1" t="str">
        <f>IF(ISERROR(MATCH(A100,'SegEnds_Xtal_Prot#'!B:B, 0)), "NoXtal", "Xtal")</f>
        <v>NoXtal</v>
      </c>
    </row>
    <row r="101" spans="1:38" x14ac:dyDescent="0.2">
      <c r="A101" s="1" t="s">
        <v>399</v>
      </c>
      <c r="B101" s="1" t="str">
        <f>VLOOKUP(A101,Xtal_Templ!A:B,2,FALSE)</f>
        <v>ntr1_rat</v>
      </c>
      <c r="C101" s="5">
        <f>VLOOKUP($B101&amp;"__wt",'SegEnds_Xtal_BW#'!$A:$Z,3,FALSE)</f>
        <v>29</v>
      </c>
      <c r="D101" s="1">
        <f>VLOOKUP($B101&amp;"__wt",'SegEnds_Xtal_BW#'!$A:$Z,4,FALSE)</f>
        <v>60</v>
      </c>
      <c r="E101" s="1">
        <f>VLOOKUP($B101&amp;"__wt",'SegEnds_Xtal_BW#'!$A:$Z,5,FALSE)</f>
        <v>48</v>
      </c>
      <c r="F101" s="1">
        <f>VLOOKUP($B101&amp;"__wt",'SegEnds_Xtal_BW#'!$A:$Z,6,FALSE)</f>
        <v>51</v>
      </c>
      <c r="G101" s="1">
        <v>37</v>
      </c>
      <c r="H101" s="108">
        <v>66</v>
      </c>
      <c r="I101" s="1">
        <f>VLOOKUP($B101&amp;"__wt",'SegEnds_Xtal_BW#'!$A:$Z,9,FALSE)</f>
        <v>49</v>
      </c>
      <c r="J101" s="1">
        <f>VLOOKUP($B101&amp;"__wt",'SegEnds_Xtal_BW#'!$A:$Z,10,FALSE)</f>
        <v>52</v>
      </c>
      <c r="K101" s="12">
        <v>18</v>
      </c>
      <c r="L101" s="1">
        <f>VLOOKUP($B101&amp;"__wt",'SegEnds_Xtal_BW#'!$A:$Z,12,FALSE)</f>
        <v>56</v>
      </c>
      <c r="M101" s="1">
        <f>VLOOKUP($B101&amp;"__wt",'SegEnds_Xtal_BW#'!$A:$Z,13,FALSE)</f>
        <v>50</v>
      </c>
      <c r="N101" s="12">
        <v>57</v>
      </c>
      <c r="O101" s="87">
        <f>VLOOKUP($B101&amp;"__wt",'SegEnds_Xtal_BW#'!$A:$Z,15,FALSE)</f>
        <v>38</v>
      </c>
      <c r="P101" s="1">
        <f>VLOOKUP($B101&amp;"__wt",'SegEnds_Xtal_BW#'!$A:$Z,16,FALSE)</f>
        <v>64</v>
      </c>
      <c r="Q101" s="1">
        <f>VLOOKUP($B101&amp;"__wt",'SegEnds_Xtal_BW#'!$A:$Z,17,FALSE)</f>
        <v>50</v>
      </c>
      <c r="R101" s="1">
        <f>VLOOKUP($B101&amp;"__wt",'SegEnds_Xtal_BW#'!$A:$Z,18,FALSE)</f>
        <v>52</v>
      </c>
      <c r="S101" s="1">
        <f>VLOOKUP($B101&amp;"__wt",'SegEnds_Xtal_BW#'!$A:$Z,19,FALSE)</f>
        <v>32</v>
      </c>
      <c r="T101" s="1">
        <f t="array" ref="T101">INDEX(ICL3_classA!$G$2:$G$37,MATCH(MIN(ABS(AI101-ICL3_classA!$F$2:$F$37)),ABS(AI101-ICL3_classA!$F$2:$F$37),0))</f>
        <v>76</v>
      </c>
      <c r="U101" s="1">
        <f t="array" ref="U101">INDEX(ICL3_classA!$H$2:$H$37,MATCH(MIN(ABS(AI101-ICL3_classA!$F$2:$F$37)),ABS(AI101-ICL3_classA!$F$2:$F$37),0))</f>
        <v>24</v>
      </c>
      <c r="V101" s="1">
        <v>61</v>
      </c>
      <c r="W101" s="1">
        <v>31</v>
      </c>
      <c r="X101" s="1">
        <f>VLOOKUP($B101&amp;"__wt",'SegEnds_Xtal_BW#'!$A:$Z,24,FALSE)</f>
        <v>56</v>
      </c>
      <c r="Y101" s="1">
        <f>VLOOKUP($B101&amp;"__wt",'SegEnds_Xtal_BW#'!$A:$Z,25,FALSE)</f>
        <v>47</v>
      </c>
      <c r="Z101" s="1">
        <f>VLOOKUP($B101&amp;"__wt",'SegEnds_Xtal_BW#'!$A:$Z,26,FALSE)</f>
        <v>58</v>
      </c>
      <c r="AA101" s="27" t="str">
        <f>VLOOKUP(A101,Classification!A:B,2,FALSE)</f>
        <v>A</v>
      </c>
      <c r="AB101" s="1">
        <f>VLOOKUP(A101,'SegEnds_NonXtal_Prot#'!A:AL,10,FALSE)-VLOOKUP(A101,'SegEnds_NonXtal_Prot#'!A:AL,4,FALSE)</f>
        <v>30</v>
      </c>
      <c r="AC101" s="1">
        <f>VLOOKUP(A101,'SegEnds_NonXtal_Prot#'!A:AL,10,FALSE)-VLOOKUP(A101,'SegEnds_NonXtal_Prot#'!A:AL,7,FALSE)</f>
        <v>16</v>
      </c>
      <c r="AD101" s="1">
        <f>VLOOKUP(A101,'SegEnds_NonXtal_Prot#'!A:AL,13,FALSE)-VLOOKUP(A101,'SegEnds_NonXtal_Prot#'!A:AL,10,FALSE)</f>
        <v>18</v>
      </c>
      <c r="AE101" s="1">
        <f>VLOOKUP(A101,'SegEnds_NonXtal_Prot#'!A:AL,16,FALSE)-VLOOKUP(A101,'SegEnds_NonXtal_Prot#'!A:AL,10,FALSE)</f>
        <v>52</v>
      </c>
      <c r="AF101" s="1">
        <f>VLOOKUP(A101,'SegEnds_NonXtal_Prot#'!A:AL,22,FALSE)-VLOOKUP(A101,'SegEnds_NonXtal_Prot#'!A:AL,19,FALSE)</f>
        <v>20</v>
      </c>
      <c r="AG101" s="1">
        <f>VLOOKUP(A101,'SegEnds_NonXtal_Prot#'!A:AL,28,FALSE)-VLOOKUP(A101,'SegEnds_NonXtal_Prot#'!A:AL,25,FALSE)</f>
        <v>25</v>
      </c>
      <c r="AH101" s="1">
        <f>VLOOKUP(A101,'SegEnds_NonXtal_Prot#'!A:AL,28,FALSE)-VLOOKUP(A101,'SegEnds_NonXtal_Prot#'!A:AL,22,FALSE)</f>
        <v>53</v>
      </c>
      <c r="AI101" s="1">
        <f>VLOOKUP(A101,'SegEnds_NonXtal_Prot#'!A:AL,31,FALSE)-VLOOKUP(A101,'SegEnds_NonXtal_Prot#'!A:AL,28,FALSE)</f>
        <v>69</v>
      </c>
      <c r="AJ101" s="1">
        <f>VLOOKUP(A101,'SegEnds_NonXtal_Prot#'!A:AL,34,FALSE)-VLOOKUP(A101,'SegEnds_NonXtal_Prot#'!A:AL,31,FALSE)</f>
        <v>36</v>
      </c>
      <c r="AK101" s="1">
        <f>VLOOKUP(A101,'SegEnds_NonXtal_Prot#'!A:AL,37,FALSE)-VLOOKUP(A101,'SegEnds_NonXtal_Prot#'!A:AL,34,FALSE)</f>
        <v>10</v>
      </c>
      <c r="AL101" s="1" t="str">
        <f>IF(ISERROR(MATCH(A101,'SegEnds_Xtal_Prot#'!B:B, 0)), "NoXtal", "Xtal")</f>
        <v>NoXtal</v>
      </c>
    </row>
    <row r="102" spans="1:38" x14ac:dyDescent="0.2">
      <c r="A102" s="1" t="s">
        <v>128</v>
      </c>
      <c r="B102" s="1" t="str">
        <f>VLOOKUP(A102,Xtal_Templ!A:B,2,FALSE)</f>
        <v>5ht1b_human</v>
      </c>
      <c r="C102" s="5">
        <f>VLOOKUP($B102&amp;"__wt",'SegEnds_Xtal_BW#'!$A:$Z,3,FALSE)</f>
        <v>28</v>
      </c>
      <c r="D102" s="1">
        <f>VLOOKUP($B102&amp;"__wt",'SegEnds_Xtal_BW#'!$A:$Z,4,FALSE)</f>
        <v>60</v>
      </c>
      <c r="E102" s="1">
        <f>VLOOKUP($B102&amp;"__wt",'SegEnds_Xtal_BW#'!$A:$Z,5,FALSE)</f>
        <v>48</v>
      </c>
      <c r="F102" s="1">
        <f>VLOOKUP($B102&amp;"__wt",'SegEnds_Xtal_BW#'!$A:$Z,6,FALSE)</f>
        <v>51</v>
      </c>
      <c r="G102" s="1">
        <v>37</v>
      </c>
      <c r="H102" s="12">
        <f>VLOOKUP($B102&amp;"__wt",'SegEnds_Xtal_BW#'!$A:$Z,8,FALSE)</f>
        <v>68</v>
      </c>
      <c r="I102" s="1">
        <f>VLOOKUP($B102&amp;"__wt",'SegEnds_Xtal_BW#'!$A:$Z,9,FALSE)</f>
        <v>49</v>
      </c>
      <c r="J102" s="1">
        <f>VLOOKUP($B102&amp;"__wt",'SegEnds_Xtal_BW#'!$A:$Z,10,FALSE)</f>
        <v>52</v>
      </c>
      <c r="K102" s="12">
        <v>18</v>
      </c>
      <c r="L102" s="1">
        <f>VLOOKUP($B102&amp;"__wt",'SegEnds_Xtal_BW#'!$A:$Z,12,FALSE)</f>
        <v>56</v>
      </c>
      <c r="M102" s="1">
        <f>VLOOKUP($B102&amp;"__wt",'SegEnds_Xtal_BW#'!$A:$Z,13,FALSE)</f>
        <v>50</v>
      </c>
      <c r="N102" s="12">
        <v>57</v>
      </c>
      <c r="O102" s="87">
        <v>38</v>
      </c>
      <c r="P102" s="1">
        <f>VLOOKUP($B102&amp;"__wt",'SegEnds_Xtal_BW#'!$A:$Z,16,FALSE)</f>
        <v>63</v>
      </c>
      <c r="Q102" s="1">
        <f>VLOOKUP($B102&amp;"__wt",'SegEnds_Xtal_BW#'!$A:$Z,17,FALSE)</f>
        <v>50</v>
      </c>
      <c r="R102" s="1">
        <f>VLOOKUP($B102&amp;"__wt",'SegEnds_Xtal_BW#'!$A:$Z,18,FALSE)</f>
        <v>52</v>
      </c>
      <c r="S102" s="1">
        <v>35</v>
      </c>
      <c r="T102" s="1">
        <f t="array" ref="T102">INDEX(ICL3_classA!$G$2:$G$37,MATCH(MIN(ABS(AI102-ICL3_classA!$F$2:$F$37)),ABS(AI102-ICL3_classA!$F$2:$F$37),0))</f>
        <v>76</v>
      </c>
      <c r="U102" s="1">
        <f t="array" ref="U102">INDEX(ICL3_classA!$H$2:$H$37,MATCH(MIN(ABS(AI102-ICL3_classA!$F$2:$F$37)),ABS(AI102-ICL3_classA!$F$2:$F$37),0))</f>
        <v>24</v>
      </c>
      <c r="V102" s="1">
        <v>60</v>
      </c>
      <c r="W102" s="1">
        <v>31</v>
      </c>
      <c r="X102" s="125">
        <f>VLOOKUP($B102&amp;"__wt",'SegEnds_Xtal_BW#'!$A:$Z,24,FALSE)</f>
        <v>56</v>
      </c>
      <c r="Y102" s="1">
        <f>VLOOKUP($B102&amp;"__wt",'SegEnds_Xtal_BW#'!$A:$Z,25,FALSE)</f>
        <v>47</v>
      </c>
      <c r="Z102" s="1">
        <f>VLOOKUP($B102&amp;"__wt",'SegEnds_Xtal_BW#'!$A:$Z,26,FALSE)</f>
        <v>58</v>
      </c>
      <c r="AA102" s="27" t="str">
        <f>VLOOKUP(A102,Classification!A:B,2,FALSE)</f>
        <v>A</v>
      </c>
      <c r="AB102" s="1">
        <f>VLOOKUP(A102,'SegEnds_NonXtal_Prot#'!A:AL,10,FALSE)-VLOOKUP(A102,'SegEnds_NonXtal_Prot#'!A:AL,4,FALSE)</f>
        <v>28</v>
      </c>
      <c r="AC102" s="1">
        <f>VLOOKUP(A102,'SegEnds_NonXtal_Prot#'!A:AL,10,FALSE)-VLOOKUP(A102,'SegEnds_NonXtal_Prot#'!A:AL,7,FALSE)</f>
        <v>15</v>
      </c>
      <c r="AD102" s="1">
        <f>VLOOKUP(A102,'SegEnds_NonXtal_Prot#'!A:AL,13,FALSE)-VLOOKUP(A102,'SegEnds_NonXtal_Prot#'!A:AL,10,FALSE)</f>
        <v>20</v>
      </c>
      <c r="AE102" s="1">
        <f>VLOOKUP(A102,'SegEnds_NonXtal_Prot#'!A:AL,16,FALSE)-VLOOKUP(A102,'SegEnds_NonXtal_Prot#'!A:AL,10,FALSE)</f>
        <v>52</v>
      </c>
      <c r="AF102" s="1">
        <f>VLOOKUP(A102,'SegEnds_NonXtal_Prot#'!A:AL,22,FALSE)-VLOOKUP(A102,'SegEnds_NonXtal_Prot#'!A:AL,19,FALSE)</f>
        <v>20</v>
      </c>
      <c r="AG102" s="1">
        <f>VLOOKUP(A102,'SegEnds_NonXtal_Prot#'!A:AL,28,FALSE)-VLOOKUP(A102,'SegEnds_NonXtal_Prot#'!A:AL,25,FALSE)</f>
        <v>20</v>
      </c>
      <c r="AH102" s="1">
        <f>VLOOKUP(A102,'SegEnds_NonXtal_Prot#'!A:AL,28,FALSE)-VLOOKUP(A102,'SegEnds_NonXtal_Prot#'!A:AL,22,FALSE)</f>
        <v>46</v>
      </c>
      <c r="AI102" s="1">
        <f>VLOOKUP(A102,'SegEnds_NonXtal_Prot#'!A:AL,31,FALSE)-VLOOKUP(A102,'SegEnds_NonXtal_Prot#'!A:AL,28,FALSE)</f>
        <v>153</v>
      </c>
      <c r="AJ102" s="1">
        <f>VLOOKUP(A102,'SegEnds_NonXtal_Prot#'!A:AL,34,FALSE)-VLOOKUP(A102,'SegEnds_NonXtal_Prot#'!A:AL,31,FALSE)</f>
        <v>37</v>
      </c>
      <c r="AK102" s="1">
        <f>VLOOKUP(A102,'SegEnds_NonXtal_Prot#'!A:AL,37,FALSE)-VLOOKUP(A102,'SegEnds_NonXtal_Prot#'!A:AL,34,FALSE)</f>
        <v>10</v>
      </c>
      <c r="AL102" s="1" t="str">
        <f>IF(ISERROR(MATCH(A102,'SegEnds_Xtal_Prot#'!B:B, 0)), "NoXtal", "Xtal")</f>
        <v>NoXtal</v>
      </c>
    </row>
    <row r="103" spans="1:38" x14ac:dyDescent="0.2">
      <c r="A103" s="1" t="s">
        <v>34</v>
      </c>
      <c r="B103" s="1" t="str">
        <f>VLOOKUP(A103,Xtal_Templ!A:B,2,FALSE)</f>
        <v>5ht1b_human</v>
      </c>
      <c r="C103" s="5">
        <f>VLOOKUP($B103&amp;"__wt",'SegEnds_Xtal_BW#'!$A:$Z,3,FALSE)</f>
        <v>28</v>
      </c>
      <c r="D103" s="1">
        <f>VLOOKUP($B103&amp;"__wt",'SegEnds_Xtal_BW#'!$A:$Z,4,FALSE)</f>
        <v>60</v>
      </c>
      <c r="E103" s="1">
        <f>VLOOKUP($B103&amp;"__wt",'SegEnds_Xtal_BW#'!$A:$Z,5,FALSE)</f>
        <v>48</v>
      </c>
      <c r="F103" s="1">
        <f>VLOOKUP($B103&amp;"__wt",'SegEnds_Xtal_BW#'!$A:$Z,6,FALSE)</f>
        <v>51</v>
      </c>
      <c r="G103" s="1">
        <v>37</v>
      </c>
      <c r="H103" s="12">
        <f>VLOOKUP($B103&amp;"__wt",'SegEnds_Xtal_BW#'!$A:$Z,8,FALSE)</f>
        <v>68</v>
      </c>
      <c r="I103" s="1">
        <f>VLOOKUP($B103&amp;"__wt",'SegEnds_Xtal_BW#'!$A:$Z,9,FALSE)</f>
        <v>49</v>
      </c>
      <c r="J103" s="1">
        <f>VLOOKUP($B103&amp;"__wt",'SegEnds_Xtal_BW#'!$A:$Z,10,FALSE)</f>
        <v>52</v>
      </c>
      <c r="K103" s="12">
        <v>18</v>
      </c>
      <c r="L103" s="1">
        <f>VLOOKUP($B103&amp;"__wt",'SegEnds_Xtal_BW#'!$A:$Z,12,FALSE)</f>
        <v>56</v>
      </c>
      <c r="M103" s="1">
        <f>VLOOKUP($B103&amp;"__wt",'SegEnds_Xtal_BW#'!$A:$Z,13,FALSE)</f>
        <v>50</v>
      </c>
      <c r="N103" s="12">
        <f>VLOOKUP($B103&amp;"__wt",'SegEnds_Xtal_BW#'!$A:$Z,14,FALSE)</f>
        <v>57</v>
      </c>
      <c r="O103" s="87">
        <f>VLOOKUP($B103&amp;"__wt",'SegEnds_Xtal_BW#'!$A:$Z,15,FALSE)</f>
        <v>38</v>
      </c>
      <c r="P103" s="1">
        <f>VLOOKUP($B103&amp;"__wt",'SegEnds_Xtal_BW#'!$A:$Z,16,FALSE)</f>
        <v>63</v>
      </c>
      <c r="Q103" s="1">
        <f>VLOOKUP($B103&amp;"__wt",'SegEnds_Xtal_BW#'!$A:$Z,17,FALSE)</f>
        <v>50</v>
      </c>
      <c r="R103" s="1">
        <f>VLOOKUP($B103&amp;"__wt",'SegEnds_Xtal_BW#'!$A:$Z,18,FALSE)</f>
        <v>52</v>
      </c>
      <c r="S103" s="1">
        <v>35</v>
      </c>
      <c r="T103" s="1">
        <f t="array" ref="T103">INDEX(ICL3_classA!$G$2:$G$37,MATCH(MIN(ABS(AI103-ICL3_classA!$F$2:$F$37)),ABS(AI103-ICL3_classA!$F$2:$F$37),0))</f>
        <v>74</v>
      </c>
      <c r="U103" s="1">
        <f t="array" ref="U103">INDEX(ICL3_classA!$H$2:$H$37,MATCH(MIN(ABS(AI103-ICL3_classA!$F$2:$F$37)),ABS(AI103-ICL3_classA!$F$2:$F$37),0))</f>
        <v>24</v>
      </c>
      <c r="V103" s="1">
        <v>60</v>
      </c>
      <c r="W103" s="1">
        <v>31</v>
      </c>
      <c r="X103" s="125">
        <f>VLOOKUP($B103&amp;"__wt",'SegEnds_Xtal_BW#'!$A:$Z,24,FALSE)</f>
        <v>56</v>
      </c>
      <c r="Y103" s="1">
        <f>VLOOKUP($B103&amp;"__wt",'SegEnds_Xtal_BW#'!$A:$Z,25,FALSE)</f>
        <v>47</v>
      </c>
      <c r="Z103" s="1">
        <f>VLOOKUP($B103&amp;"__wt",'SegEnds_Xtal_BW#'!$A:$Z,26,FALSE)</f>
        <v>58</v>
      </c>
      <c r="AA103" s="27" t="str">
        <f>VLOOKUP(A103,Classification!A:B,2,FALSE)</f>
        <v>A</v>
      </c>
      <c r="AB103" s="1">
        <f>VLOOKUP(A103,'SegEnds_NonXtal_Prot#'!A:AL,10,FALSE)-VLOOKUP(A103,'SegEnds_NonXtal_Prot#'!A:AL,4,FALSE)</f>
        <v>28</v>
      </c>
      <c r="AC103" s="1">
        <f>VLOOKUP(A103,'SegEnds_NonXtal_Prot#'!A:AL,10,FALSE)-VLOOKUP(A103,'SegEnds_NonXtal_Prot#'!A:AL,7,FALSE)</f>
        <v>15</v>
      </c>
      <c r="AD103" s="1">
        <f>VLOOKUP(A103,'SegEnds_NonXtal_Prot#'!A:AL,13,FALSE)-VLOOKUP(A103,'SegEnds_NonXtal_Prot#'!A:AL,10,FALSE)</f>
        <v>20</v>
      </c>
      <c r="AE103" s="1">
        <f>VLOOKUP(A103,'SegEnds_NonXtal_Prot#'!A:AL,16,FALSE)-VLOOKUP(A103,'SegEnds_NonXtal_Prot#'!A:AL,10,FALSE)</f>
        <v>52</v>
      </c>
      <c r="AF103" s="1">
        <f>VLOOKUP(A103,'SegEnds_NonXtal_Prot#'!A:AL,22,FALSE)-VLOOKUP(A103,'SegEnds_NonXtal_Prot#'!A:AL,19,FALSE)</f>
        <v>20</v>
      </c>
      <c r="AG103" s="1">
        <f>VLOOKUP(A103,'SegEnds_NonXtal_Prot#'!A:AL,28,FALSE)-VLOOKUP(A103,'SegEnds_NonXtal_Prot#'!A:AL,25,FALSE)</f>
        <v>21</v>
      </c>
      <c r="AH103" s="1">
        <f>VLOOKUP(A103,'SegEnds_NonXtal_Prot#'!A:AL,28,FALSE)-VLOOKUP(A103,'SegEnds_NonXtal_Prot#'!A:AL,22,FALSE)</f>
        <v>46</v>
      </c>
      <c r="AI103" s="1">
        <f>VLOOKUP(A103,'SegEnds_NonXtal_Prot#'!A:AL,31,FALSE)-VLOOKUP(A103,'SegEnds_NonXtal_Prot#'!A:AL,28,FALSE)</f>
        <v>109</v>
      </c>
      <c r="AJ103" s="1">
        <f>VLOOKUP(A103,'SegEnds_NonXtal_Prot#'!A:AL,34,FALSE)-VLOOKUP(A103,'SegEnds_NonXtal_Prot#'!A:AL,31,FALSE)</f>
        <v>37</v>
      </c>
      <c r="AK103" s="1">
        <f>VLOOKUP(A103,'SegEnds_NonXtal_Prot#'!A:AL,37,FALSE)-VLOOKUP(A103,'SegEnds_NonXtal_Prot#'!A:AL,34,FALSE)</f>
        <v>10</v>
      </c>
      <c r="AL103" s="1" t="str">
        <f>IF(ISERROR(MATCH(A103,'SegEnds_Xtal_Prot#'!B:B, 0)), "NoXtal", "Xtal")</f>
        <v>Xtal</v>
      </c>
    </row>
    <row r="104" spans="1:38" x14ac:dyDescent="0.2">
      <c r="A104" s="1" t="s">
        <v>129</v>
      </c>
      <c r="B104" s="1" t="str">
        <f>VLOOKUP(A104,Xtal_Templ!A:B,2,FALSE)</f>
        <v>5ht1b_human</v>
      </c>
      <c r="C104" s="5">
        <f>VLOOKUP($B104&amp;"__wt",'SegEnds_Xtal_BW#'!$A:$Z,3,FALSE)</f>
        <v>28</v>
      </c>
      <c r="D104" s="1">
        <f>VLOOKUP($B104&amp;"__wt",'SegEnds_Xtal_BW#'!$A:$Z,4,FALSE)</f>
        <v>60</v>
      </c>
      <c r="E104" s="1">
        <f>VLOOKUP($B104&amp;"__wt",'SegEnds_Xtal_BW#'!$A:$Z,5,FALSE)</f>
        <v>48</v>
      </c>
      <c r="F104" s="1">
        <f>VLOOKUP($B104&amp;"__wt",'SegEnds_Xtal_BW#'!$A:$Z,6,FALSE)</f>
        <v>51</v>
      </c>
      <c r="G104" s="1">
        <v>37</v>
      </c>
      <c r="H104" s="12">
        <f>VLOOKUP($B104&amp;"__wt",'SegEnds_Xtal_BW#'!$A:$Z,8,FALSE)</f>
        <v>68</v>
      </c>
      <c r="I104" s="1">
        <f>VLOOKUP($B104&amp;"__wt",'SegEnds_Xtal_BW#'!$A:$Z,9,FALSE)</f>
        <v>49</v>
      </c>
      <c r="J104" s="1">
        <f>VLOOKUP($B104&amp;"__wt",'SegEnds_Xtal_BW#'!$A:$Z,10,FALSE)</f>
        <v>52</v>
      </c>
      <c r="K104" s="12">
        <v>18</v>
      </c>
      <c r="L104" s="1">
        <f>VLOOKUP($B104&amp;"__wt",'SegEnds_Xtal_BW#'!$A:$Z,12,FALSE)</f>
        <v>56</v>
      </c>
      <c r="M104" s="1">
        <f>VLOOKUP($B104&amp;"__wt",'SegEnds_Xtal_BW#'!$A:$Z,13,FALSE)</f>
        <v>50</v>
      </c>
      <c r="N104" s="12">
        <v>57</v>
      </c>
      <c r="O104" s="87">
        <v>38</v>
      </c>
      <c r="P104" s="1">
        <f>VLOOKUP($B104&amp;"__wt",'SegEnds_Xtal_BW#'!$A:$Z,16,FALSE)</f>
        <v>63</v>
      </c>
      <c r="Q104" s="1">
        <f>VLOOKUP($B104&amp;"__wt",'SegEnds_Xtal_BW#'!$A:$Z,17,FALSE)</f>
        <v>50</v>
      </c>
      <c r="R104" s="1">
        <f>VLOOKUP($B104&amp;"__wt",'SegEnds_Xtal_BW#'!$A:$Z,18,FALSE)</f>
        <v>52</v>
      </c>
      <c r="S104" s="1">
        <v>35</v>
      </c>
      <c r="T104" s="1">
        <f t="array" ref="T104">INDEX(ICL3_classA!$G$2:$G$37,MATCH(MIN(ABS(AI104-ICL3_classA!$F$2:$F$37)),ABS(AI104-ICL3_classA!$F$2:$F$37),0))</f>
        <v>74</v>
      </c>
      <c r="U104" s="1">
        <f t="array" ref="U104">INDEX(ICL3_classA!$H$2:$H$37,MATCH(MIN(ABS(AI104-ICL3_classA!$F$2:$F$37)),ABS(AI104-ICL3_classA!$F$2:$F$37),0))</f>
        <v>24</v>
      </c>
      <c r="V104" s="1">
        <v>60</v>
      </c>
      <c r="W104" s="1">
        <v>31</v>
      </c>
      <c r="X104" s="125">
        <f>VLOOKUP($B104&amp;"__wt",'SegEnds_Xtal_BW#'!$A:$Z,24,FALSE)</f>
        <v>56</v>
      </c>
      <c r="Y104" s="1">
        <f>VLOOKUP($B104&amp;"__wt",'SegEnds_Xtal_BW#'!$A:$Z,25,FALSE)</f>
        <v>47</v>
      </c>
      <c r="Z104" s="1">
        <f>VLOOKUP($B104&amp;"__wt",'SegEnds_Xtal_BW#'!$A:$Z,26,FALSE)</f>
        <v>58</v>
      </c>
      <c r="AA104" s="27" t="str">
        <f>VLOOKUP(A104,Classification!A:B,2,FALSE)</f>
        <v>A</v>
      </c>
      <c r="AB104" s="1">
        <f>VLOOKUP(A104,'SegEnds_NonXtal_Prot#'!A:AL,10,FALSE)-VLOOKUP(A104,'SegEnds_NonXtal_Prot#'!A:AL,4,FALSE)</f>
        <v>28</v>
      </c>
      <c r="AC104" s="1">
        <f>VLOOKUP(A104,'SegEnds_NonXtal_Prot#'!A:AL,10,FALSE)-VLOOKUP(A104,'SegEnds_NonXtal_Prot#'!A:AL,7,FALSE)</f>
        <v>15</v>
      </c>
      <c r="AD104" s="1">
        <f>VLOOKUP(A104,'SegEnds_NonXtal_Prot#'!A:AL,13,FALSE)-VLOOKUP(A104,'SegEnds_NonXtal_Prot#'!A:AL,10,FALSE)</f>
        <v>20</v>
      </c>
      <c r="AE104" s="1">
        <f>VLOOKUP(A104,'SegEnds_NonXtal_Prot#'!A:AL,16,FALSE)-VLOOKUP(A104,'SegEnds_NonXtal_Prot#'!A:AL,10,FALSE)</f>
        <v>52</v>
      </c>
      <c r="AF104" s="1">
        <f>VLOOKUP(A104,'SegEnds_NonXtal_Prot#'!A:AL,22,FALSE)-VLOOKUP(A104,'SegEnds_NonXtal_Prot#'!A:AL,19,FALSE)</f>
        <v>20</v>
      </c>
      <c r="AG104" s="1">
        <f>VLOOKUP(A104,'SegEnds_NonXtal_Prot#'!A:AL,28,FALSE)-VLOOKUP(A104,'SegEnds_NonXtal_Prot#'!A:AL,25,FALSE)</f>
        <v>21</v>
      </c>
      <c r="AH104" s="1">
        <f>VLOOKUP(A104,'SegEnds_NonXtal_Prot#'!A:AL,28,FALSE)-VLOOKUP(A104,'SegEnds_NonXtal_Prot#'!A:AL,22,FALSE)</f>
        <v>46</v>
      </c>
      <c r="AI104" s="1">
        <f>VLOOKUP(A104,'SegEnds_NonXtal_Prot#'!A:AL,31,FALSE)-VLOOKUP(A104,'SegEnds_NonXtal_Prot#'!A:AL,28,FALSE)</f>
        <v>107</v>
      </c>
      <c r="AJ104" s="1">
        <f>VLOOKUP(A104,'SegEnds_NonXtal_Prot#'!A:AL,34,FALSE)-VLOOKUP(A104,'SegEnds_NonXtal_Prot#'!A:AL,31,FALSE)</f>
        <v>37</v>
      </c>
      <c r="AK104" s="1">
        <f>VLOOKUP(A104,'SegEnds_NonXtal_Prot#'!A:AL,37,FALSE)-VLOOKUP(A104,'SegEnds_NonXtal_Prot#'!A:AL,34,FALSE)</f>
        <v>10</v>
      </c>
      <c r="AL104" s="1" t="str">
        <f>IF(ISERROR(MATCH(A104,'SegEnds_Xtal_Prot#'!B:B, 0)), "NoXtal", "Xtal")</f>
        <v>NoXtal</v>
      </c>
    </row>
    <row r="105" spans="1:38" x14ac:dyDescent="0.2">
      <c r="A105" s="1" t="s">
        <v>139</v>
      </c>
      <c r="B105" s="1" t="str">
        <f>VLOOKUP(A105,Xtal_Templ!A:B,2,FALSE)</f>
        <v>aa2ar_human</v>
      </c>
      <c r="C105" s="5">
        <f>VLOOKUP($B105&amp;"__wt",'SegEnds_Xtal_BW#'!$A:$Z,3,FALSE)</f>
        <v>27</v>
      </c>
      <c r="D105" s="1">
        <f>VLOOKUP($B105&amp;"__wt",'SegEnds_Xtal_BW#'!$A:$Z,4,FALSE)</f>
        <v>60</v>
      </c>
      <c r="E105" s="1">
        <f>VLOOKUP($B105&amp;"__wt",'SegEnds_Xtal_BW#'!$A:$Z,5,FALSE)</f>
        <v>48</v>
      </c>
      <c r="F105" s="1">
        <f>VLOOKUP($B105&amp;"__wt",'SegEnds_Xtal_BW#'!$A:$Z,6,FALSE)</f>
        <v>51</v>
      </c>
      <c r="G105" s="1">
        <v>37</v>
      </c>
      <c r="H105" s="12">
        <v>66</v>
      </c>
      <c r="I105" s="1">
        <f>VLOOKUP($B105&amp;"__wt",'SegEnds_Xtal_BW#'!$A:$Z,9,FALSE)</f>
        <v>50</v>
      </c>
      <c r="J105" s="1">
        <f>VLOOKUP($B105&amp;"__wt",'SegEnds_Xtal_BW#'!$A:$Z,10,FALSE)</f>
        <v>52</v>
      </c>
      <c r="K105" s="12">
        <v>24</v>
      </c>
      <c r="L105" s="1">
        <f>VLOOKUP($B105&amp;"__wt",'SegEnds_Xtal_BW#'!$A:$Z,12,FALSE)</f>
        <v>56</v>
      </c>
      <c r="M105" s="1">
        <f>VLOOKUP($B105&amp;"__wt",'SegEnds_Xtal_BW#'!$A:$Z,13,FALSE)</f>
        <v>50</v>
      </c>
      <c r="N105" s="12">
        <f>VLOOKUP($B105&amp;"__wt",'SegEnds_Xtal_BW#'!$A:$Z,14,FALSE)</f>
        <v>57</v>
      </c>
      <c r="O105" s="87">
        <f>VLOOKUP($B105&amp;"__wt",'SegEnds_Xtal_BW#'!$A:$Z,15,FALSE)</f>
        <v>38</v>
      </c>
      <c r="P105" s="1">
        <f>VLOOKUP($B105&amp;"__wt",'SegEnds_Xtal_BW#'!$A:$Z,16,FALSE)</f>
        <v>63</v>
      </c>
      <c r="Q105" s="1">
        <f>VLOOKUP($B105&amp;"__wt",'SegEnds_Xtal_BW#'!$A:$Z,17,FALSE)</f>
        <v>50</v>
      </c>
      <c r="R105" s="1">
        <f>VLOOKUP($B105&amp;"__wt",'SegEnds_Xtal_BW#'!$A:$Z,18,FALSE)</f>
        <v>52</v>
      </c>
      <c r="S105" s="1">
        <f>VLOOKUP($B105&amp;"__wt",'SegEnds_Xtal_BW#'!$A:$Z,19,FALSE)</f>
        <v>34</v>
      </c>
      <c r="T105" s="1">
        <f t="array" ref="T105">INDEX(ICL3_classA!$G$2:$G$37,MATCH(MIN(ABS(AI105-ICL3_classA!$F$2:$F$37)),ABS(AI105-ICL3_classA!$F$2:$F$37),0))</f>
        <v>74</v>
      </c>
      <c r="U105" s="1">
        <f t="array" ref="U105">INDEX(ICL3_classA!$H$2:$H$37,MATCH(MIN(ABS(AI105-ICL3_classA!$F$2:$F$37)),ABS(AI105-ICL3_classA!$F$2:$F$37),0))</f>
        <v>21</v>
      </c>
      <c r="V105" s="1">
        <v>61</v>
      </c>
      <c r="W105" s="1">
        <v>31</v>
      </c>
      <c r="X105" s="1">
        <f>VLOOKUP($B105&amp;"__wt",'SegEnds_Xtal_BW#'!$A:$Z,24,FALSE)</f>
        <v>56</v>
      </c>
      <c r="Y105" s="1">
        <f>VLOOKUP($B105&amp;"__wt",'SegEnds_Xtal_BW#'!$A:$Z,25,FALSE)</f>
        <v>47</v>
      </c>
      <c r="Z105" s="1">
        <f>VLOOKUP($B105&amp;"__wt",'SegEnds_Xtal_BW#'!$A:$Z,26,FALSE)</f>
        <v>69</v>
      </c>
      <c r="AA105" s="27" t="str">
        <f>VLOOKUP(A105,Classification!A:B,2,FALSE)</f>
        <v>A</v>
      </c>
      <c r="AB105" s="1">
        <f>VLOOKUP(A105,'SegEnds_NonXtal_Prot#'!A:AL,10,FALSE)-VLOOKUP(A105,'SegEnds_NonXtal_Prot#'!A:AL,4,FALSE)</f>
        <v>28</v>
      </c>
      <c r="AC105" s="1">
        <f>VLOOKUP(A105,'SegEnds_NonXtal_Prot#'!A:AL,10,FALSE)-VLOOKUP(A105,'SegEnds_NonXtal_Prot#'!A:AL,7,FALSE)</f>
        <v>15</v>
      </c>
      <c r="AD105" s="1">
        <f>VLOOKUP(A105,'SegEnds_NonXtal_Prot#'!A:AL,13,FALSE)-VLOOKUP(A105,'SegEnds_NonXtal_Prot#'!A:AL,10,FALSE)</f>
        <v>18</v>
      </c>
      <c r="AE105" s="1">
        <f>VLOOKUP(A105,'SegEnds_NonXtal_Prot#'!A:AL,16,FALSE)-VLOOKUP(A105,'SegEnds_NonXtal_Prot#'!A:AL,10,FALSE)</f>
        <v>50</v>
      </c>
      <c r="AF105" s="1">
        <f>VLOOKUP(A105,'SegEnds_NonXtal_Prot#'!A:AL,22,FALSE)-VLOOKUP(A105,'SegEnds_NonXtal_Prot#'!A:AL,19,FALSE)</f>
        <v>20</v>
      </c>
      <c r="AG105" s="1">
        <f>VLOOKUP(A105,'SegEnds_NonXtal_Prot#'!A:AL,28,FALSE)-VLOOKUP(A105,'SegEnds_NonXtal_Prot#'!A:AL,25,FALSE)</f>
        <v>23</v>
      </c>
      <c r="AH105" s="1">
        <f>VLOOKUP(A105,'SegEnds_NonXtal_Prot#'!A:AL,28,FALSE)-VLOOKUP(A105,'SegEnds_NonXtal_Prot#'!A:AL,22,FALSE)</f>
        <v>60</v>
      </c>
      <c r="AI105" s="1">
        <f>VLOOKUP(A105,'SegEnds_NonXtal_Prot#'!A:AL,31,FALSE)-VLOOKUP(A105,'SegEnds_NonXtal_Prot#'!A:AL,28,FALSE)</f>
        <v>59</v>
      </c>
      <c r="AJ105" s="1">
        <f>VLOOKUP(A105,'SegEnds_NonXtal_Prot#'!A:AL,34,FALSE)-VLOOKUP(A105,'SegEnds_NonXtal_Prot#'!A:AL,31,FALSE)</f>
        <v>37</v>
      </c>
      <c r="AK105" s="1">
        <f>VLOOKUP(A105,'SegEnds_NonXtal_Prot#'!A:AL,37,FALSE)-VLOOKUP(A105,'SegEnds_NonXtal_Prot#'!A:AL,34,FALSE)</f>
        <v>10</v>
      </c>
      <c r="AL105" s="1" t="str">
        <f>IF(ISERROR(MATCH(A105,'SegEnds_Xtal_Prot#'!B:B, 0)), "NoXtal", "Xtal")</f>
        <v>Xtal</v>
      </c>
    </row>
    <row r="106" spans="1:38" x14ac:dyDescent="0.2">
      <c r="A106" s="1" t="s">
        <v>156</v>
      </c>
      <c r="B106" s="1" t="str">
        <f>VLOOKUP(A106,Xtal_Templ!A:B,2,FALSE)</f>
        <v>drd2_human</v>
      </c>
      <c r="C106" s="5">
        <f>VLOOKUP($B106&amp;"__wt",'SegEnds_Xtal_BW#'!$A:$Z,3,FALSE)</f>
        <v>29</v>
      </c>
      <c r="D106" s="1">
        <f>VLOOKUP($B106&amp;"__wt",'SegEnds_Xtal_BW#'!$A:$Z,4,FALSE)</f>
        <v>60</v>
      </c>
      <c r="E106" s="1">
        <f>VLOOKUP($B106&amp;"__wt",'SegEnds_Xtal_BW#'!$A:$Z,5,FALSE)</f>
        <v>48</v>
      </c>
      <c r="F106" s="1">
        <f>VLOOKUP($B106&amp;"__wt",'SegEnds_Xtal_BW#'!$A:$Z,6,FALSE)</f>
        <v>51</v>
      </c>
      <c r="G106" s="1">
        <v>37</v>
      </c>
      <c r="H106" s="12">
        <f>VLOOKUP($B106&amp;"__wt",'SegEnds_Xtal_BW#'!$A:$Z,8,FALSE)</f>
        <v>68</v>
      </c>
      <c r="I106" s="1">
        <f>VLOOKUP($B106&amp;"__wt",'SegEnds_Xtal_BW#'!$A:$Z,9,FALSE)</f>
        <v>49</v>
      </c>
      <c r="J106" s="1">
        <f>VLOOKUP($B106&amp;"__wt",'SegEnds_Xtal_BW#'!$A:$Z,10,FALSE)</f>
        <v>52</v>
      </c>
      <c r="K106" s="12">
        <v>18</v>
      </c>
      <c r="L106" s="1">
        <f>VLOOKUP($B106&amp;"__wt",'SegEnds_Xtal_BW#'!$A:$Z,12,FALSE)</f>
        <v>56</v>
      </c>
      <c r="M106" s="1">
        <f>VLOOKUP($B106&amp;"__wt",'SegEnds_Xtal_BW#'!$A:$Z,13,FALSE)</f>
        <v>50</v>
      </c>
      <c r="N106" s="12">
        <v>57</v>
      </c>
      <c r="O106" s="87">
        <v>38</v>
      </c>
      <c r="P106" s="1">
        <f>VLOOKUP($B106&amp;"__wt",'SegEnds_Xtal_BW#'!$A:$Z,16,FALSE)</f>
        <v>62</v>
      </c>
      <c r="Q106" s="1">
        <f>VLOOKUP($B106&amp;"__wt",'SegEnds_Xtal_BW#'!$A:$Z,17,FALSE)</f>
        <v>50</v>
      </c>
      <c r="R106" s="1">
        <f>VLOOKUP($B106&amp;"__wt",'SegEnds_Xtal_BW#'!$A:$Z,18,FALSE)</f>
        <v>52</v>
      </c>
      <c r="S106" s="1">
        <v>35</v>
      </c>
      <c r="T106" s="1">
        <f t="array" ref="T106">INDEX(ICL3_classA!$G$2:$G$37,MATCH(MIN(ABS(AI106-ICL3_classA!$F$2:$F$37)),ABS(AI106-ICL3_classA!$F$2:$F$37),0))</f>
        <v>75</v>
      </c>
      <c r="U106" s="1">
        <f t="array" ref="U106">INDEX(ICL3_classA!$H$2:$H$37,MATCH(MIN(ABS(AI106-ICL3_classA!$F$2:$F$37)),ABS(AI106-ICL3_classA!$F$2:$F$37),0))</f>
        <v>24</v>
      </c>
      <c r="V106" s="1">
        <v>61</v>
      </c>
      <c r="W106" s="1">
        <v>31</v>
      </c>
      <c r="X106" s="1">
        <f>VLOOKUP($B106&amp;"__wt",'SegEnds_Xtal_BW#'!$A:$Z,24,FALSE)</f>
        <v>56</v>
      </c>
      <c r="Y106" s="1">
        <f>VLOOKUP($B106&amp;"__wt",'SegEnds_Xtal_BW#'!$A:$Z,25,FALSE)</f>
        <v>47</v>
      </c>
      <c r="Z106" s="1">
        <f>VLOOKUP($B106&amp;"__wt",'SegEnds_Xtal_BW#'!$A:$Z,26,FALSE)</f>
        <v>59</v>
      </c>
      <c r="AA106" s="27" t="str">
        <f>VLOOKUP(A106,Classification!A:B,2,FALSE)</f>
        <v>A</v>
      </c>
      <c r="AB106" s="1">
        <f>VLOOKUP(A106,'SegEnds_NonXtal_Prot#'!A:AL,10,FALSE)-VLOOKUP(A106,'SegEnds_NonXtal_Prot#'!A:AL,4,FALSE)</f>
        <v>28</v>
      </c>
      <c r="AC106" s="1">
        <f>VLOOKUP(A106,'SegEnds_NonXtal_Prot#'!A:AL,10,FALSE)-VLOOKUP(A106,'SegEnds_NonXtal_Prot#'!A:AL,7,FALSE)</f>
        <v>15</v>
      </c>
      <c r="AD106" s="1">
        <f>VLOOKUP(A106,'SegEnds_NonXtal_Prot#'!A:AL,13,FALSE)-VLOOKUP(A106,'SegEnds_NonXtal_Prot#'!A:AL,10,FALSE)</f>
        <v>20</v>
      </c>
      <c r="AE106" s="1">
        <f>VLOOKUP(A106,'SegEnds_NonXtal_Prot#'!A:AL,16,FALSE)-VLOOKUP(A106,'SegEnds_NonXtal_Prot#'!A:AL,10,FALSE)</f>
        <v>52</v>
      </c>
      <c r="AF106" s="1">
        <f>VLOOKUP(A106,'SegEnds_NonXtal_Prot#'!A:AL,22,FALSE)-VLOOKUP(A106,'SegEnds_NonXtal_Prot#'!A:AL,19,FALSE)</f>
        <v>20</v>
      </c>
      <c r="AG106" s="1">
        <f>VLOOKUP(A106,'SegEnds_NonXtal_Prot#'!A:AL,28,FALSE)-VLOOKUP(A106,'SegEnds_NonXtal_Prot#'!A:AL,25,FALSE)</f>
        <v>20</v>
      </c>
      <c r="AH106" s="1">
        <f>VLOOKUP(A106,'SegEnds_NonXtal_Prot#'!A:AL,28,FALSE)-VLOOKUP(A106,'SegEnds_NonXtal_Prot#'!A:AL,22,FALSE)</f>
        <v>47</v>
      </c>
      <c r="AI106" s="1">
        <f>VLOOKUP(A106,'SegEnds_NonXtal_Prot#'!A:AL,31,FALSE)-VLOOKUP(A106,'SegEnds_NonXtal_Prot#'!A:AL,28,FALSE)</f>
        <v>199</v>
      </c>
      <c r="AJ106" s="1">
        <f>VLOOKUP(A106,'SegEnds_NonXtal_Prot#'!A:AL,34,FALSE)-VLOOKUP(A106,'SegEnds_NonXtal_Prot#'!A:AL,31,FALSE)</f>
        <v>37</v>
      </c>
      <c r="AK106" s="1">
        <f>VLOOKUP(A106,'SegEnds_NonXtal_Prot#'!A:AL,37,FALSE)-VLOOKUP(A106,'SegEnds_NonXtal_Prot#'!A:AL,34,FALSE)</f>
        <v>10</v>
      </c>
      <c r="AL106" s="1" t="str">
        <f>IF(ISERROR(MATCH(A106,'SegEnds_Xtal_Prot#'!B:B, 0)), "NoXtal", "Xtal")</f>
        <v>NoXtal</v>
      </c>
    </row>
    <row r="107" spans="1:38" x14ac:dyDescent="0.2">
      <c r="A107" s="1" t="s">
        <v>157</v>
      </c>
      <c r="B107" s="1" t="str">
        <f>VLOOKUP(A107,Xtal_Templ!A:B,2,FALSE)</f>
        <v>drd2_human</v>
      </c>
      <c r="C107" s="5">
        <f>VLOOKUP($B107&amp;"__wt",'SegEnds_Xtal_BW#'!$A:$Z,3,FALSE)</f>
        <v>29</v>
      </c>
      <c r="D107" s="1">
        <f>VLOOKUP($B107&amp;"__wt",'SegEnds_Xtal_BW#'!$A:$Z,4,FALSE)</f>
        <v>60</v>
      </c>
      <c r="E107" s="1">
        <f>VLOOKUP($B107&amp;"__wt",'SegEnds_Xtal_BW#'!$A:$Z,5,FALSE)</f>
        <v>48</v>
      </c>
      <c r="F107" s="1">
        <f>VLOOKUP($B107&amp;"__wt",'SegEnds_Xtal_BW#'!$A:$Z,6,FALSE)</f>
        <v>51</v>
      </c>
      <c r="G107" s="1">
        <v>37</v>
      </c>
      <c r="H107" s="12">
        <f>VLOOKUP($B107&amp;"__wt",'SegEnds_Xtal_BW#'!$A:$Z,8,FALSE)</f>
        <v>68</v>
      </c>
      <c r="I107" s="1">
        <f>VLOOKUP($B107&amp;"__wt",'SegEnds_Xtal_BW#'!$A:$Z,9,FALSE)</f>
        <v>49</v>
      </c>
      <c r="J107" s="1">
        <f>VLOOKUP($B107&amp;"__wt",'SegEnds_Xtal_BW#'!$A:$Z,10,FALSE)</f>
        <v>52</v>
      </c>
      <c r="K107" s="12">
        <v>18</v>
      </c>
      <c r="L107" s="1">
        <f>VLOOKUP($B107&amp;"__wt",'SegEnds_Xtal_BW#'!$A:$Z,12,FALSE)</f>
        <v>56</v>
      </c>
      <c r="M107" s="1">
        <f>VLOOKUP($B107&amp;"__wt",'SegEnds_Xtal_BW#'!$A:$Z,13,FALSE)</f>
        <v>50</v>
      </c>
      <c r="N107" s="12">
        <v>57</v>
      </c>
      <c r="O107" s="87">
        <v>38</v>
      </c>
      <c r="P107" s="1">
        <f>VLOOKUP($B107&amp;"__wt",'SegEnds_Xtal_BW#'!$A:$Z,16,FALSE)</f>
        <v>62</v>
      </c>
      <c r="Q107" s="1">
        <f>VLOOKUP($B107&amp;"__wt",'SegEnds_Xtal_BW#'!$A:$Z,17,FALSE)</f>
        <v>50</v>
      </c>
      <c r="R107" s="1">
        <f>VLOOKUP($B107&amp;"__wt",'SegEnds_Xtal_BW#'!$A:$Z,18,FALSE)</f>
        <v>52</v>
      </c>
      <c r="S107" s="1">
        <v>35</v>
      </c>
      <c r="T107" s="1">
        <f t="array" ref="T107">INDEX(ICL3_classA!$G$2:$G$37,MATCH(MIN(ABS(AI107-ICL3_classA!$F$2:$F$37)),ABS(AI107-ICL3_classA!$F$2:$F$37),0))</f>
        <v>75</v>
      </c>
      <c r="U107" s="1">
        <f t="array" ref="U107">INDEX(ICL3_classA!$H$2:$H$37,MATCH(MIN(ABS(AI107-ICL3_classA!$F$2:$F$37)),ABS(AI107-ICL3_classA!$F$2:$F$37),0))</f>
        <v>24</v>
      </c>
      <c r="V107" s="1">
        <v>61</v>
      </c>
      <c r="W107" s="1">
        <v>31</v>
      </c>
      <c r="X107" s="1">
        <f>VLOOKUP($B107&amp;"__wt",'SegEnds_Xtal_BW#'!$A:$Z,24,FALSE)</f>
        <v>56</v>
      </c>
      <c r="Y107" s="1">
        <f>VLOOKUP($B107&amp;"__wt",'SegEnds_Xtal_BW#'!$A:$Z,25,FALSE)</f>
        <v>47</v>
      </c>
      <c r="Z107" s="1">
        <f>VLOOKUP($B107&amp;"__wt",'SegEnds_Xtal_BW#'!$A:$Z,26,FALSE)</f>
        <v>59</v>
      </c>
      <c r="AA107" s="27" t="str">
        <f>VLOOKUP(A107,Classification!A:B,2,FALSE)</f>
        <v>A</v>
      </c>
      <c r="AB107" s="1">
        <f>VLOOKUP(A107,'SegEnds_NonXtal_Prot#'!A:AL,10,FALSE)-VLOOKUP(A107,'SegEnds_NonXtal_Prot#'!A:AL,4,FALSE)</f>
        <v>28</v>
      </c>
      <c r="AC107" s="1">
        <f>VLOOKUP(A107,'SegEnds_NonXtal_Prot#'!A:AL,10,FALSE)-VLOOKUP(A107,'SegEnds_NonXtal_Prot#'!A:AL,7,FALSE)</f>
        <v>15</v>
      </c>
      <c r="AD107" s="1">
        <f>VLOOKUP(A107,'SegEnds_NonXtal_Prot#'!A:AL,13,FALSE)-VLOOKUP(A107,'SegEnds_NonXtal_Prot#'!A:AL,10,FALSE)</f>
        <v>20</v>
      </c>
      <c r="AE107" s="1">
        <f>VLOOKUP(A107,'SegEnds_NonXtal_Prot#'!A:AL,16,FALSE)-VLOOKUP(A107,'SegEnds_NonXtal_Prot#'!A:AL,10,FALSE)</f>
        <v>52</v>
      </c>
      <c r="AF107" s="1">
        <f>VLOOKUP(A107,'SegEnds_NonXtal_Prot#'!A:AL,22,FALSE)-VLOOKUP(A107,'SegEnds_NonXtal_Prot#'!A:AL,19,FALSE)</f>
        <v>20</v>
      </c>
      <c r="AG107" s="1">
        <f>VLOOKUP(A107,'SegEnds_NonXtal_Prot#'!A:AL,28,FALSE)-VLOOKUP(A107,'SegEnds_NonXtal_Prot#'!A:AL,25,FALSE)</f>
        <v>20</v>
      </c>
      <c r="AH107" s="1">
        <f>VLOOKUP(A107,'SegEnds_NonXtal_Prot#'!A:AL,28,FALSE)-VLOOKUP(A107,'SegEnds_NonXtal_Prot#'!A:AL,22,FALSE)</f>
        <v>46</v>
      </c>
      <c r="AI107" s="1">
        <f>VLOOKUP(A107,'SegEnds_NonXtal_Prot#'!A:AL,31,FALSE)-VLOOKUP(A107,'SegEnds_NonXtal_Prot#'!A:AL,28,FALSE)</f>
        <v>175</v>
      </c>
      <c r="AJ107" s="1">
        <f>VLOOKUP(A107,'SegEnds_NonXtal_Prot#'!A:AL,34,FALSE)-VLOOKUP(A107,'SegEnds_NonXtal_Prot#'!A:AL,31,FALSE)</f>
        <v>37</v>
      </c>
      <c r="AK107" s="1">
        <f>VLOOKUP(A107,'SegEnds_NonXtal_Prot#'!A:AL,37,FALSE)-VLOOKUP(A107,'SegEnds_NonXtal_Prot#'!A:AL,34,FALSE)</f>
        <v>10</v>
      </c>
      <c r="AL107" s="1" t="str">
        <f>IF(ISERROR(MATCH(A107,'SegEnds_Xtal_Prot#'!B:B, 0)), "NoXtal", "Xtal")</f>
        <v>NoXtal</v>
      </c>
    </row>
    <row r="108" spans="1:38" x14ac:dyDescent="0.2">
      <c r="A108" s="1" t="s">
        <v>212</v>
      </c>
      <c r="B108" s="1" t="str">
        <f>VLOOKUP(A108,Xtal_Templ!A:B,2,FALSE)</f>
        <v>5ht2c_human</v>
      </c>
      <c r="C108" s="5">
        <f>VLOOKUP($B108&amp;"__wt",'SegEnds_Xtal_BW#'!$A:$Z,3,FALSE)</f>
        <v>33</v>
      </c>
      <c r="D108" s="1">
        <f>VLOOKUP($B108&amp;"__wt",'SegEnds_Xtal_BW#'!$A:$Z,4,FALSE)</f>
        <v>60</v>
      </c>
      <c r="E108" s="1">
        <f>VLOOKUP($B108&amp;"__wt",'SegEnds_Xtal_BW#'!$A:$Z,5,FALSE)</f>
        <v>48</v>
      </c>
      <c r="F108" s="1">
        <f>VLOOKUP($B108&amp;"__wt",'SegEnds_Xtal_BW#'!$A:$Z,6,FALSE)</f>
        <v>51</v>
      </c>
      <c r="G108" s="1">
        <v>37</v>
      </c>
      <c r="H108" s="12">
        <f>VLOOKUP($B108&amp;"__wt",'SegEnds_Xtal_BW#'!$A:$Z,8,FALSE)</f>
        <v>68</v>
      </c>
      <c r="I108" s="1">
        <f>VLOOKUP($B108&amp;"__wt",'SegEnds_Xtal_BW#'!$A:$Z,9,FALSE)</f>
        <v>49</v>
      </c>
      <c r="J108" s="1">
        <f>VLOOKUP($B108&amp;"__wt",'SegEnds_Xtal_BW#'!$A:$Z,10,FALSE)</f>
        <v>52</v>
      </c>
      <c r="K108" s="12">
        <v>18</v>
      </c>
      <c r="L108" s="1">
        <f>VLOOKUP($B108&amp;"__wt",'SegEnds_Xtal_BW#'!$A:$Z,12,FALSE)</f>
        <v>56</v>
      </c>
      <c r="M108" s="1">
        <f>VLOOKUP($B108&amp;"__wt",'SegEnds_Xtal_BW#'!$A:$Z,13,FALSE)</f>
        <v>50</v>
      </c>
      <c r="N108" s="12">
        <v>57</v>
      </c>
      <c r="O108" s="87">
        <v>38</v>
      </c>
      <c r="P108" s="1">
        <f>VLOOKUP($B108&amp;"__wt",'SegEnds_Xtal_BW#'!$A:$Z,16,FALSE)</f>
        <v>67</v>
      </c>
      <c r="Q108" s="1">
        <f>VLOOKUP($B108&amp;"__wt",'SegEnds_Xtal_BW#'!$A:$Z,17,FALSE)</f>
        <v>50</v>
      </c>
      <c r="R108" s="1">
        <f>VLOOKUP($B108&amp;"__wt",'SegEnds_Xtal_BW#'!$A:$Z,18,FALSE)</f>
        <v>52</v>
      </c>
      <c r="S108" s="1">
        <v>35</v>
      </c>
      <c r="T108" s="1">
        <f t="array" ref="T108">INDEX(ICL3_classA!$G$2:$G$37,MATCH(MIN(ABS(AI108-ICL3_classA!$F$2:$F$37)),ABS(AI108-ICL3_classA!$F$2:$F$37),0))</f>
        <v>75</v>
      </c>
      <c r="U108" s="1">
        <f t="array" ref="U108">INDEX(ICL3_classA!$H$2:$H$37,MATCH(MIN(ABS(AI108-ICL3_classA!$F$2:$F$37)),ABS(AI108-ICL3_classA!$F$2:$F$37),0))</f>
        <v>24</v>
      </c>
      <c r="V108" s="1">
        <v>61</v>
      </c>
      <c r="W108" s="1">
        <v>31</v>
      </c>
      <c r="X108" s="1">
        <f>VLOOKUP($B108&amp;"__wt",'SegEnds_Xtal_BW#'!$A:$Z,24,FALSE)</f>
        <v>56</v>
      </c>
      <c r="Y108" s="1">
        <f>VLOOKUP($B108&amp;"__wt",'SegEnds_Xtal_BW#'!$A:$Z,25,FALSE)</f>
        <v>47</v>
      </c>
      <c r="Z108" s="1">
        <f>VLOOKUP($B108&amp;"__wt",'SegEnds_Xtal_BW#'!$A:$Z,26,FALSE)</f>
        <v>60</v>
      </c>
      <c r="AA108" s="27" t="str">
        <f>VLOOKUP(A108,Classification!A:B,2,FALSE)</f>
        <v>A</v>
      </c>
      <c r="AB108" s="1">
        <f>VLOOKUP(A108,'SegEnds_NonXtal_Prot#'!A:AL,10,FALSE)-VLOOKUP(A108,'SegEnds_NonXtal_Prot#'!A:AL,4,FALSE)</f>
        <v>28</v>
      </c>
      <c r="AC108" s="1">
        <f>VLOOKUP(A108,'SegEnds_NonXtal_Prot#'!A:AL,10,FALSE)-VLOOKUP(A108,'SegEnds_NonXtal_Prot#'!A:AL,7,FALSE)</f>
        <v>15</v>
      </c>
      <c r="AD108" s="1">
        <f>VLOOKUP(A108,'SegEnds_NonXtal_Prot#'!A:AL,13,FALSE)-VLOOKUP(A108,'SegEnds_NonXtal_Prot#'!A:AL,10,FALSE)</f>
        <v>20</v>
      </c>
      <c r="AE108" s="1">
        <f>VLOOKUP(A108,'SegEnds_NonXtal_Prot#'!A:AL,16,FALSE)-VLOOKUP(A108,'SegEnds_NonXtal_Prot#'!A:AL,10,FALSE)</f>
        <v>52</v>
      </c>
      <c r="AF108" s="1">
        <f>VLOOKUP(A108,'SegEnds_NonXtal_Prot#'!A:AL,22,FALSE)-VLOOKUP(A108,'SegEnds_NonXtal_Prot#'!A:AL,19,FALSE)</f>
        <v>20</v>
      </c>
      <c r="AG108" s="1">
        <f>VLOOKUP(A108,'SegEnds_NonXtal_Prot#'!A:AL,28,FALSE)-VLOOKUP(A108,'SegEnds_NonXtal_Prot#'!A:AL,25,FALSE)</f>
        <v>22</v>
      </c>
      <c r="AH108" s="1">
        <f>VLOOKUP(A108,'SegEnds_NonXtal_Prot#'!A:AL,28,FALSE)-VLOOKUP(A108,'SegEnds_NonXtal_Prot#'!A:AL,22,FALSE)</f>
        <v>48</v>
      </c>
      <c r="AI108" s="1">
        <f>VLOOKUP(A108,'SegEnds_NonXtal_Prot#'!A:AL,31,FALSE)-VLOOKUP(A108,'SegEnds_NonXtal_Prot#'!A:AL,28,FALSE)</f>
        <v>210</v>
      </c>
      <c r="AJ108" s="1">
        <f>VLOOKUP(A108,'SegEnds_NonXtal_Prot#'!A:AL,34,FALSE)-VLOOKUP(A108,'SegEnds_NonXtal_Prot#'!A:AL,31,FALSE)</f>
        <v>37</v>
      </c>
      <c r="AK108" s="1">
        <f>VLOOKUP(A108,'SegEnds_NonXtal_Prot#'!A:AL,37,FALSE)-VLOOKUP(A108,'SegEnds_NonXtal_Prot#'!A:AL,34,FALSE)</f>
        <v>10</v>
      </c>
      <c r="AL108" s="1" t="str">
        <f>IF(ISERROR(MATCH(A108,'SegEnds_Xtal_Prot#'!B:B, 0)), "NoXtal", "Xtal")</f>
        <v>NoXtal</v>
      </c>
    </row>
    <row r="109" spans="1:38" x14ac:dyDescent="0.2">
      <c r="A109" s="1" t="s">
        <v>266</v>
      </c>
      <c r="B109" s="1" t="str">
        <f>VLOOKUP(A109,Xtal_Templ!A:B,2,FALSE)</f>
        <v>drd2_human</v>
      </c>
      <c r="C109" s="5">
        <f>VLOOKUP($B109&amp;"__wt",'SegEnds_Xtal_BW#'!$A:$Z,3,FALSE)</f>
        <v>29</v>
      </c>
      <c r="D109" s="1">
        <f>VLOOKUP($B109&amp;"__wt",'SegEnds_Xtal_BW#'!$A:$Z,4,FALSE)</f>
        <v>60</v>
      </c>
      <c r="E109" s="1">
        <f>VLOOKUP($B109&amp;"__wt",'SegEnds_Xtal_BW#'!$A:$Z,5,FALSE)</f>
        <v>48</v>
      </c>
      <c r="F109" s="1">
        <f>VLOOKUP($B109&amp;"__wt",'SegEnds_Xtal_BW#'!$A:$Z,6,FALSE)</f>
        <v>51</v>
      </c>
      <c r="G109" s="1">
        <v>37</v>
      </c>
      <c r="H109" s="12">
        <v>67</v>
      </c>
      <c r="I109" s="1">
        <f>VLOOKUP($B109&amp;"__wt",'SegEnds_Xtal_BW#'!$A:$Z,9,FALSE)</f>
        <v>49</v>
      </c>
      <c r="J109" s="1">
        <f>VLOOKUP($B109&amp;"__wt",'SegEnds_Xtal_BW#'!$A:$Z,10,FALSE)</f>
        <v>52</v>
      </c>
      <c r="K109" s="12">
        <v>18</v>
      </c>
      <c r="L109" s="1">
        <f>VLOOKUP($B109&amp;"__wt",'SegEnds_Xtal_BW#'!$A:$Z,12,FALSE)</f>
        <v>56</v>
      </c>
      <c r="M109" s="1">
        <f>VLOOKUP($B109&amp;"__wt",'SegEnds_Xtal_BW#'!$A:$Z,13,FALSE)</f>
        <v>50</v>
      </c>
      <c r="N109" s="12">
        <f>VLOOKUP($B109&amp;"__wt",'SegEnds_Xtal_BW#'!$A:$Z,14,FALSE)</f>
        <v>58</v>
      </c>
      <c r="O109" s="87">
        <f>VLOOKUP($B109&amp;"__wt",'SegEnds_Xtal_BW#'!$A:$Z,15,FALSE)</f>
        <v>38</v>
      </c>
      <c r="P109" s="1">
        <f>VLOOKUP($B109&amp;"__wt",'SegEnds_Xtal_BW#'!$A:$Z,16,FALSE)</f>
        <v>62</v>
      </c>
      <c r="Q109" s="1">
        <f>VLOOKUP($B109&amp;"__wt",'SegEnds_Xtal_BW#'!$A:$Z,17,FALSE)</f>
        <v>50</v>
      </c>
      <c r="R109" s="1">
        <f>VLOOKUP($B109&amp;"__wt",'SegEnds_Xtal_BW#'!$A:$Z,18,FALSE)</f>
        <v>52</v>
      </c>
      <c r="S109" s="1">
        <f>VLOOKUP($B109&amp;"__wt",'SegEnds_Xtal_BW#'!$A:$Z,19,FALSE)</f>
        <v>35</v>
      </c>
      <c r="T109" s="1">
        <f t="array" ref="T109">INDEX(ICL3_classA!$G$2:$G$37,MATCH(MIN(ABS(AI109-ICL3_classA!$F$2:$F$37)),ABS(AI109-ICL3_classA!$F$2:$F$37),0))</f>
        <v>76</v>
      </c>
      <c r="U109" s="1">
        <f t="array" ref="U109">INDEX(ICL3_classA!$H$2:$H$37,MATCH(MIN(ABS(AI109-ICL3_classA!$F$2:$F$37)),ABS(AI109-ICL3_classA!$F$2:$F$37),0))</f>
        <v>24</v>
      </c>
      <c r="V109" s="1">
        <v>61</v>
      </c>
      <c r="W109" s="1">
        <v>31</v>
      </c>
      <c r="X109" s="1">
        <f>VLOOKUP($B109&amp;"__wt",'SegEnds_Xtal_BW#'!$A:$Z,24,FALSE)</f>
        <v>56</v>
      </c>
      <c r="Y109" s="1">
        <f>VLOOKUP($B109&amp;"__wt",'SegEnds_Xtal_BW#'!$A:$Z,25,FALSE)</f>
        <v>47</v>
      </c>
      <c r="Z109" s="1">
        <f>VLOOKUP($B109&amp;"__wt",'SegEnds_Xtal_BW#'!$A:$Z,26,FALSE)</f>
        <v>59</v>
      </c>
      <c r="AA109" s="27" t="str">
        <f>VLOOKUP(A109,Classification!A:B,2,FALSE)</f>
        <v>A</v>
      </c>
      <c r="AB109" s="1">
        <f>VLOOKUP(A109,'SegEnds_NonXtal_Prot#'!A:AL,10,FALSE)-VLOOKUP(A109,'SegEnds_NonXtal_Prot#'!A:AL,4,FALSE)</f>
        <v>30</v>
      </c>
      <c r="AC109" s="1">
        <f>VLOOKUP(A109,'SegEnds_NonXtal_Prot#'!A:AL,10,FALSE)-VLOOKUP(A109,'SegEnds_NonXtal_Prot#'!A:AL,7,FALSE)</f>
        <v>15</v>
      </c>
      <c r="AD109" s="1" t="e">
        <f>VLOOKUP(A109,'SegEnds_NonXtal_Prot#'!A:AL,13,FALSE)-VLOOKUP(A109,'SegEnds_NonXtal_Prot#'!A:AL,10,FALSE)</f>
        <v>#VALUE!</v>
      </c>
      <c r="AE109" s="1">
        <f>VLOOKUP(A109,'SegEnds_NonXtal_Prot#'!A:AL,16,FALSE)-VLOOKUP(A109,'SegEnds_NonXtal_Prot#'!A:AL,10,FALSE)</f>
        <v>53</v>
      </c>
      <c r="AF109" s="1" t="e">
        <f>VLOOKUP(A109,'SegEnds_NonXtal_Prot#'!A:AL,22,FALSE)-VLOOKUP(A109,'SegEnds_NonXtal_Prot#'!A:AL,19,FALSE)</f>
        <v>#VALUE!</v>
      </c>
      <c r="AG109" s="1">
        <f>VLOOKUP(A109,'SegEnds_NonXtal_Prot#'!A:AL,28,FALSE)-VLOOKUP(A109,'SegEnds_NonXtal_Prot#'!A:AL,25,FALSE)</f>
        <v>25</v>
      </c>
      <c r="AH109" s="1">
        <f>VLOOKUP(A109,'SegEnds_NonXtal_Prot#'!A:AL,28,FALSE)-VLOOKUP(A109,'SegEnds_NonXtal_Prot#'!A:AL,22,FALSE)</f>
        <v>45</v>
      </c>
      <c r="AI109" s="1">
        <f>VLOOKUP(A109,'SegEnds_NonXtal_Prot#'!A:AL,31,FALSE)-VLOOKUP(A109,'SegEnds_NonXtal_Prot#'!A:AL,28,FALSE)</f>
        <v>122</v>
      </c>
      <c r="AJ109" s="1">
        <f>VLOOKUP(A109,'SegEnds_NonXtal_Prot#'!A:AL,34,FALSE)-VLOOKUP(A109,'SegEnds_NonXtal_Prot#'!A:AL,31,FALSE)</f>
        <v>37</v>
      </c>
      <c r="AK109" s="1">
        <f>VLOOKUP(A109,'SegEnds_NonXtal_Prot#'!A:AL,37,FALSE)-VLOOKUP(A109,'SegEnds_NonXtal_Prot#'!A:AL,34,FALSE)</f>
        <v>10</v>
      </c>
      <c r="AL109" s="1" t="str">
        <f>IF(ISERROR(MATCH(A109,'SegEnds_Xtal_Prot#'!B:B, 0)), "NoXtal", "Xtal")</f>
        <v>NoXtal</v>
      </c>
    </row>
    <row r="110" spans="1:38" x14ac:dyDescent="0.2">
      <c r="A110" s="1" t="s">
        <v>281</v>
      </c>
      <c r="B110" s="1" t="str">
        <f>VLOOKUP(A110,Xtal_Templ!A:B,2,FALSE)</f>
        <v>acm3_rat</v>
      </c>
      <c r="C110" s="5">
        <f>VLOOKUP($B110&amp;"__wt",'SegEnds_Xtal_BW#'!$A:$Z,3,FALSE)</f>
        <v>29</v>
      </c>
      <c r="D110" s="1">
        <f>VLOOKUP($B110&amp;"__wt",'SegEnds_Xtal_BW#'!$A:$Z,4,FALSE)</f>
        <v>60</v>
      </c>
      <c r="E110" s="1">
        <f>VLOOKUP($B110&amp;"__wt",'SegEnds_Xtal_BW#'!$A:$Z,5,FALSE)</f>
        <v>48</v>
      </c>
      <c r="F110" s="1">
        <f>VLOOKUP($B110&amp;"__wt",'SegEnds_Xtal_BW#'!$A:$Z,6,FALSE)</f>
        <v>51</v>
      </c>
      <c r="G110" s="1">
        <v>37</v>
      </c>
      <c r="H110" s="12">
        <v>66</v>
      </c>
      <c r="I110" s="1">
        <f>VLOOKUP($B110&amp;"__wt",'SegEnds_Xtal_BW#'!$A:$Z,9,FALSE)</f>
        <v>49</v>
      </c>
      <c r="J110" s="1">
        <f>VLOOKUP($B110&amp;"__wt",'SegEnds_Xtal_BW#'!$A:$Z,10,FALSE)</f>
        <v>52</v>
      </c>
      <c r="K110" s="12">
        <v>21</v>
      </c>
      <c r="L110" s="1">
        <f>VLOOKUP($B110&amp;"__wt",'SegEnds_Xtal_BW#'!$A:$Z,12,FALSE)</f>
        <v>56</v>
      </c>
      <c r="M110" s="1">
        <f>VLOOKUP($B110&amp;"__wt",'SegEnds_Xtal_BW#'!$A:$Z,13,FALSE)</f>
        <v>50</v>
      </c>
      <c r="N110" s="12">
        <v>58</v>
      </c>
      <c r="O110" s="87">
        <v>38</v>
      </c>
      <c r="P110" s="1">
        <v>63</v>
      </c>
      <c r="Q110" s="1">
        <f>VLOOKUP($B110&amp;"__wt",'SegEnds_Xtal_BW#'!$A:$Z,17,FALSE)</f>
        <v>50</v>
      </c>
      <c r="R110" s="1">
        <f>VLOOKUP($B110&amp;"__wt",'SegEnds_Xtal_BW#'!$A:$Z,18,FALSE)</f>
        <v>52</v>
      </c>
      <c r="S110" s="1">
        <v>35</v>
      </c>
      <c r="T110" s="1">
        <f t="array" ref="T110">INDEX(ICL3_classA!$G$2:$G$37,MATCH(MIN(ABS(AI110-ICL3_classA!$F$2:$F$37)),ABS(AI110-ICL3_classA!$F$2:$F$37),0))</f>
        <v>76</v>
      </c>
      <c r="U110" s="1">
        <f t="array" ref="U110">INDEX(ICL3_classA!$H$2:$H$37,MATCH(MIN(ABS(AI110-ICL3_classA!$F$2:$F$37)),ABS(AI110-ICL3_classA!$F$2:$F$37),0))</f>
        <v>24</v>
      </c>
      <c r="V110" s="1">
        <v>61</v>
      </c>
      <c r="W110" s="1">
        <v>31</v>
      </c>
      <c r="X110" s="1">
        <f>VLOOKUP($B110&amp;"__wt",'SegEnds_Xtal_BW#'!$A:$Z,24,FALSE)</f>
        <v>56</v>
      </c>
      <c r="Y110" s="1">
        <f>VLOOKUP($B110&amp;"__wt",'SegEnds_Xtal_BW#'!$A:$Z,25,FALSE)</f>
        <v>47</v>
      </c>
      <c r="Z110" s="1">
        <f>VLOOKUP($B110&amp;"__wt",'SegEnds_Xtal_BW#'!$A:$Z,26,FALSE)</f>
        <v>58</v>
      </c>
      <c r="AA110" s="27" t="str">
        <f>VLOOKUP(A110,Classification!A:B,2,FALSE)</f>
        <v>A</v>
      </c>
      <c r="AB110" s="1">
        <f>VLOOKUP(A110,'SegEnds_NonXtal_Prot#'!A:AL,10,FALSE)-VLOOKUP(A110,'SegEnds_NonXtal_Prot#'!A:AL,4,FALSE)</f>
        <v>28</v>
      </c>
      <c r="AC110" s="1">
        <f>VLOOKUP(A110,'SegEnds_NonXtal_Prot#'!A:AL,10,FALSE)-VLOOKUP(A110,'SegEnds_NonXtal_Prot#'!A:AL,7,FALSE)</f>
        <v>15</v>
      </c>
      <c r="AD110" s="1">
        <f>VLOOKUP(A110,'SegEnds_NonXtal_Prot#'!A:AL,13,FALSE)-VLOOKUP(A110,'SegEnds_NonXtal_Prot#'!A:AL,10,FALSE)</f>
        <v>19</v>
      </c>
      <c r="AE110" s="1">
        <f>VLOOKUP(A110,'SegEnds_NonXtal_Prot#'!A:AL,16,FALSE)-VLOOKUP(A110,'SegEnds_NonXtal_Prot#'!A:AL,10,FALSE)</f>
        <v>51</v>
      </c>
      <c r="AF110" s="1">
        <f>VLOOKUP(A110,'SegEnds_NonXtal_Prot#'!A:AL,22,FALSE)-VLOOKUP(A110,'SegEnds_NonXtal_Prot#'!A:AL,19,FALSE)</f>
        <v>21</v>
      </c>
      <c r="AG110" s="1">
        <f>VLOOKUP(A110,'SegEnds_NonXtal_Prot#'!A:AL,28,FALSE)-VLOOKUP(A110,'SegEnds_NonXtal_Prot#'!A:AL,25,FALSE)</f>
        <v>22</v>
      </c>
      <c r="AH110" s="1">
        <f>VLOOKUP(A110,'SegEnds_NonXtal_Prot#'!A:AL,28,FALSE)-VLOOKUP(A110,'SegEnds_NonXtal_Prot#'!A:AL,22,FALSE)</f>
        <v>46</v>
      </c>
      <c r="AI110" s="1">
        <f>VLOOKUP(A110,'SegEnds_NonXtal_Prot#'!A:AL,31,FALSE)-VLOOKUP(A110,'SegEnds_NonXtal_Prot#'!A:AL,28,FALSE)</f>
        <v>132</v>
      </c>
      <c r="AJ110" s="1">
        <f>VLOOKUP(A110,'SegEnds_NonXtal_Prot#'!A:AL,34,FALSE)-VLOOKUP(A110,'SegEnds_NonXtal_Prot#'!A:AL,31,FALSE)</f>
        <v>37</v>
      </c>
      <c r="AK110" s="1">
        <f>VLOOKUP(A110,'SegEnds_NonXtal_Prot#'!A:AL,37,FALSE)-VLOOKUP(A110,'SegEnds_NonXtal_Prot#'!A:AL,34,FALSE)</f>
        <v>10</v>
      </c>
      <c r="AL110" s="1" t="str">
        <f>IF(ISERROR(MATCH(A110,'SegEnds_Xtal_Prot#'!B:B, 0)), "NoXtal", "Xtal")</f>
        <v>NoXtal</v>
      </c>
    </row>
    <row r="111" spans="1:38" x14ac:dyDescent="0.2">
      <c r="A111" s="1" t="s">
        <v>299</v>
      </c>
      <c r="B111" s="1" t="str">
        <f>VLOOKUP(A111,Xtal_Templ!A:B,2,FALSE)</f>
        <v>oprk_human</v>
      </c>
      <c r="C111" s="5">
        <f>VLOOKUP($B111&amp;"__wt",'SegEnds_Xtal_BW#'!$A:$Z,3,FALSE)</f>
        <v>30</v>
      </c>
      <c r="D111" s="1">
        <f>VLOOKUP($B111&amp;"__wt",'SegEnds_Xtal_BW#'!$A:$Z,4,FALSE)</f>
        <v>60</v>
      </c>
      <c r="E111" s="1">
        <f>VLOOKUP($B111&amp;"__wt",'SegEnds_Xtal_BW#'!$A:$Z,5,FALSE)</f>
        <v>48</v>
      </c>
      <c r="F111" s="1">
        <f>VLOOKUP($B111&amp;"__wt",'SegEnds_Xtal_BW#'!$A:$Z,6,FALSE)</f>
        <v>51</v>
      </c>
      <c r="G111" s="1">
        <v>37</v>
      </c>
      <c r="H111" s="12">
        <f>VLOOKUP($B111&amp;"__wt",'SegEnds_Xtal_BW#'!$A:$Z,8,FALSE)</f>
        <v>67</v>
      </c>
      <c r="I111" s="1">
        <f>VLOOKUP($B111&amp;"__wt",'SegEnds_Xtal_BW#'!$A:$Z,9,FALSE)</f>
        <v>49</v>
      </c>
      <c r="J111" s="1">
        <f>VLOOKUP($B111&amp;"__wt",'SegEnds_Xtal_BW#'!$A:$Z,10,FALSE)</f>
        <v>52</v>
      </c>
      <c r="K111" s="12">
        <v>18</v>
      </c>
      <c r="L111" s="1">
        <f>VLOOKUP($B111&amp;"__wt",'SegEnds_Xtal_BW#'!$A:$Z,12,FALSE)</f>
        <v>56</v>
      </c>
      <c r="M111" s="1">
        <f>VLOOKUP($B111&amp;"__wt",'SegEnds_Xtal_BW#'!$A:$Z,13,FALSE)</f>
        <v>50</v>
      </c>
      <c r="N111" s="12">
        <v>57</v>
      </c>
      <c r="O111" s="87">
        <v>38</v>
      </c>
      <c r="P111" s="1">
        <f>VLOOKUP($B111&amp;"__wt",'SegEnds_Xtal_BW#'!$A:$Z,16,FALSE)</f>
        <v>64</v>
      </c>
      <c r="Q111" s="1">
        <f>VLOOKUP($B111&amp;"__wt",'SegEnds_Xtal_BW#'!$A:$Z,17,FALSE)</f>
        <v>50</v>
      </c>
      <c r="R111" s="1">
        <f>VLOOKUP($B111&amp;"__wt",'SegEnds_Xtal_BW#'!$A:$Z,18,FALSE)</f>
        <v>52</v>
      </c>
      <c r="S111" s="1">
        <f>VLOOKUP($B111&amp;"__wt",'SegEnds_Xtal_BW#'!$A:$Z,19,FALSE)</f>
        <v>30</v>
      </c>
      <c r="T111" s="1">
        <f t="array" ref="T111">INDEX(ICL3_classA!$G$2:$G$37,MATCH(MIN(ABS(AI111-ICL3_classA!$F$2:$F$37)),ABS(AI111-ICL3_classA!$F$2:$F$37),0))</f>
        <v>68</v>
      </c>
      <c r="U111" s="1">
        <f t="array" ref="U111">INDEX(ICL3_classA!$H$2:$H$37,MATCH(MIN(ABS(AI111-ICL3_classA!$F$2:$F$37)),ABS(AI111-ICL3_classA!$F$2:$F$37),0))</f>
        <v>23</v>
      </c>
      <c r="V111" s="1">
        <v>61</v>
      </c>
      <c r="W111" s="1">
        <v>31</v>
      </c>
      <c r="X111" s="1">
        <f>VLOOKUP($B111&amp;"__wt",'SegEnds_Xtal_BW#'!$A:$Z,24,FALSE)</f>
        <v>56</v>
      </c>
      <c r="Y111" s="1">
        <f>VLOOKUP($B111&amp;"__wt",'SegEnds_Xtal_BW#'!$A:$Z,25,FALSE)</f>
        <v>47</v>
      </c>
      <c r="Z111" s="1">
        <f>VLOOKUP($B111&amp;"__wt",'SegEnds_Xtal_BW#'!$A:$Z,26,FALSE)</f>
        <v>59</v>
      </c>
      <c r="AA111" s="27" t="str">
        <f>VLOOKUP(A111,Classification!A:B,2,FALSE)</f>
        <v>A</v>
      </c>
      <c r="AB111" s="1">
        <f>VLOOKUP(A111,'SegEnds_NonXtal_Prot#'!A:AL,10,FALSE)-VLOOKUP(A111,'SegEnds_NonXtal_Prot#'!A:AL,4,FALSE)</f>
        <v>31</v>
      </c>
      <c r="AC111" s="1">
        <f>VLOOKUP(A111,'SegEnds_NonXtal_Prot#'!A:AL,10,FALSE)-VLOOKUP(A111,'SegEnds_NonXtal_Prot#'!A:AL,7,FALSE)</f>
        <v>18</v>
      </c>
      <c r="AD111" s="1">
        <f>VLOOKUP(A111,'SegEnds_NonXtal_Prot#'!A:AL,13,FALSE)-VLOOKUP(A111,'SegEnds_NonXtal_Prot#'!A:AL,10,FALSE)</f>
        <v>20</v>
      </c>
      <c r="AE111" s="1">
        <f>VLOOKUP(A111,'SegEnds_NonXtal_Prot#'!A:AL,16,FALSE)-VLOOKUP(A111,'SegEnds_NonXtal_Prot#'!A:AL,10,FALSE)</f>
        <v>52</v>
      </c>
      <c r="AF111" s="1">
        <f>VLOOKUP(A111,'SegEnds_NonXtal_Prot#'!A:AL,22,FALSE)-VLOOKUP(A111,'SegEnds_NonXtal_Prot#'!A:AL,19,FALSE)</f>
        <v>20</v>
      </c>
      <c r="AG111" s="1">
        <f>VLOOKUP(A111,'SegEnds_NonXtal_Prot#'!A:AL,28,FALSE)-VLOOKUP(A111,'SegEnds_NonXtal_Prot#'!A:AL,25,FALSE)</f>
        <v>26</v>
      </c>
      <c r="AH111" s="1">
        <f>VLOOKUP(A111,'SegEnds_NonXtal_Prot#'!A:AL,28,FALSE)-VLOOKUP(A111,'SegEnds_NonXtal_Prot#'!A:AL,22,FALSE)</f>
        <v>52</v>
      </c>
      <c r="AI111" s="1">
        <f>VLOOKUP(A111,'SegEnds_NonXtal_Prot#'!A:AL,31,FALSE)-VLOOKUP(A111,'SegEnds_NonXtal_Prot#'!A:AL,28,FALSE)</f>
        <v>51</v>
      </c>
      <c r="AJ111" s="1">
        <f>VLOOKUP(A111,'SegEnds_NonXtal_Prot#'!A:AL,34,FALSE)-VLOOKUP(A111,'SegEnds_NonXtal_Prot#'!A:AL,31,FALSE)</f>
        <v>37</v>
      </c>
      <c r="AK111" s="1">
        <f>VLOOKUP(A111,'SegEnds_NonXtal_Prot#'!A:AL,37,FALSE)-VLOOKUP(A111,'SegEnds_NonXtal_Prot#'!A:AL,34,FALSE)</f>
        <v>10</v>
      </c>
      <c r="AL111" s="1" t="str">
        <f>IF(ISERROR(MATCH(A111,'SegEnds_Xtal_Prot#'!B:B, 0)), "NoXtal", "Xtal")</f>
        <v>NoXtal</v>
      </c>
    </row>
    <row r="112" spans="1:38" x14ac:dyDescent="0.2">
      <c r="A112" s="1" t="s">
        <v>300</v>
      </c>
      <c r="B112" s="1" t="str">
        <f>VLOOKUP(A112,Xtal_Templ!A:B,2,FALSE)</f>
        <v>oprd_human</v>
      </c>
      <c r="C112" s="5">
        <f>VLOOKUP($B112&amp;"__wt",'SegEnds_Xtal_BW#'!$A:$Z,3,FALSE)</f>
        <v>22</v>
      </c>
      <c r="D112" s="1">
        <f>VLOOKUP($B112&amp;"__wt",'SegEnds_Xtal_BW#'!$A:$Z,4,FALSE)</f>
        <v>60</v>
      </c>
      <c r="E112" s="1">
        <f>VLOOKUP($B112&amp;"__wt",'SegEnds_Xtal_BW#'!$A:$Z,5,FALSE)</f>
        <v>48</v>
      </c>
      <c r="F112" s="1">
        <f>VLOOKUP($B112&amp;"__wt",'SegEnds_Xtal_BW#'!$A:$Z,6,FALSE)</f>
        <v>51</v>
      </c>
      <c r="G112" s="1">
        <v>37</v>
      </c>
      <c r="H112" s="12">
        <f>VLOOKUP($B112&amp;"__wt",'SegEnds_Xtal_BW#'!$A:$Z,8,FALSE)</f>
        <v>66</v>
      </c>
      <c r="I112" s="1">
        <f>VLOOKUP($B112&amp;"__wt",'SegEnds_Xtal_BW#'!$A:$Z,9,FALSE)</f>
        <v>49</v>
      </c>
      <c r="J112" s="1">
        <f>VLOOKUP($B112&amp;"__wt",'SegEnds_Xtal_BW#'!$A:$Z,10,FALSE)</f>
        <v>52</v>
      </c>
      <c r="K112" s="12">
        <v>18</v>
      </c>
      <c r="L112" s="1">
        <f>VLOOKUP($B112&amp;"__wt",'SegEnds_Xtal_BW#'!$A:$Z,12,FALSE)</f>
        <v>56</v>
      </c>
      <c r="M112" s="1">
        <f>VLOOKUP($B112&amp;"__wt",'SegEnds_Xtal_BW#'!$A:$Z,13,FALSE)</f>
        <v>50</v>
      </c>
      <c r="N112" s="12">
        <v>57</v>
      </c>
      <c r="O112" s="87">
        <f>VLOOKUP($B112&amp;"__wt",'SegEnds_Xtal_BW#'!$A:$Z,15,FALSE)</f>
        <v>38</v>
      </c>
      <c r="P112" s="1">
        <f>VLOOKUP($B112&amp;"__wt",'SegEnds_Xtal_BW#'!$A:$Z,16,FALSE)</f>
        <v>64</v>
      </c>
      <c r="Q112" s="1">
        <f>VLOOKUP($B112&amp;"__wt",'SegEnds_Xtal_BW#'!$A:$Z,17,FALSE)</f>
        <v>50</v>
      </c>
      <c r="R112" s="1">
        <f>VLOOKUP($B112&amp;"__wt",'SegEnds_Xtal_BW#'!$A:$Z,18,FALSE)</f>
        <v>52</v>
      </c>
      <c r="S112" s="1">
        <f>VLOOKUP($B112&amp;"__wt",'SegEnds_Xtal_BW#'!$A:$Z,19,FALSE)</f>
        <v>31</v>
      </c>
      <c r="T112" s="1">
        <f t="array" ref="T112">INDEX(ICL3_classA!$G$2:$G$37,MATCH(MIN(ABS(AI112-ICL3_classA!$F$2:$F$37)),ABS(AI112-ICL3_classA!$F$2:$F$37),0))</f>
        <v>73</v>
      </c>
      <c r="U112" s="1">
        <f t="array" ref="U112">INDEX(ICL3_classA!$H$2:$H$37,MATCH(MIN(ABS(AI112-ICL3_classA!$F$2:$F$37)),ABS(AI112-ICL3_classA!$F$2:$F$37),0))</f>
        <v>22</v>
      </c>
      <c r="V112" s="1">
        <v>61</v>
      </c>
      <c r="W112" s="1">
        <v>31</v>
      </c>
      <c r="X112" s="1">
        <f>VLOOKUP($B112&amp;"__wt",'SegEnds_Xtal_BW#'!$A:$Z,24,FALSE)</f>
        <v>56</v>
      </c>
      <c r="Y112" s="1">
        <f>VLOOKUP($B112&amp;"__wt",'SegEnds_Xtal_BW#'!$A:$Z,25,FALSE)</f>
        <v>47</v>
      </c>
      <c r="Z112" s="1">
        <f>VLOOKUP($B112&amp;"__wt",'SegEnds_Xtal_BW#'!$A:$Z,26,FALSE)</f>
        <v>60</v>
      </c>
      <c r="AA112" s="27" t="str">
        <f>VLOOKUP(A112,Classification!A:B,2,FALSE)</f>
        <v>A</v>
      </c>
      <c r="AB112" s="1">
        <f>VLOOKUP(A112,'SegEnds_NonXtal_Prot#'!A:AL,10,FALSE)-VLOOKUP(A112,'SegEnds_NonXtal_Prot#'!A:AL,4,FALSE)</f>
        <v>27</v>
      </c>
      <c r="AC112" s="1" t="e">
        <f>VLOOKUP(A112,'SegEnds_NonXtal_Prot#'!A:AL,10,FALSE)-VLOOKUP(A112,'SegEnds_NonXtal_Prot#'!A:AL,7,FALSE)</f>
        <v>#VALUE!</v>
      </c>
      <c r="AD112" s="1">
        <f>VLOOKUP(A112,'SegEnds_NonXtal_Prot#'!A:AL,13,FALSE)-VLOOKUP(A112,'SegEnds_NonXtal_Prot#'!A:AL,10,FALSE)</f>
        <v>20</v>
      </c>
      <c r="AE112" s="1">
        <f>VLOOKUP(A112,'SegEnds_NonXtal_Prot#'!A:AL,16,FALSE)-VLOOKUP(A112,'SegEnds_NonXtal_Prot#'!A:AL,10,FALSE)</f>
        <v>52</v>
      </c>
      <c r="AF112" s="1">
        <f>VLOOKUP(A112,'SegEnds_NonXtal_Prot#'!A:AL,22,FALSE)-VLOOKUP(A112,'SegEnds_NonXtal_Prot#'!A:AL,19,FALSE)</f>
        <v>20</v>
      </c>
      <c r="AG112" s="1">
        <f>VLOOKUP(A112,'SegEnds_NonXtal_Prot#'!A:AL,28,FALSE)-VLOOKUP(A112,'SegEnds_NonXtal_Prot#'!A:AL,25,FALSE)</f>
        <v>25</v>
      </c>
      <c r="AH112" s="1">
        <f>VLOOKUP(A112,'SegEnds_NonXtal_Prot#'!A:AL,28,FALSE)-VLOOKUP(A112,'SegEnds_NonXtal_Prot#'!A:AL,22,FALSE)</f>
        <v>51</v>
      </c>
      <c r="AI112" s="1">
        <f>VLOOKUP(A112,'SegEnds_NonXtal_Prot#'!A:AL,31,FALSE)-VLOOKUP(A112,'SegEnds_NonXtal_Prot#'!A:AL,28,FALSE)</f>
        <v>57</v>
      </c>
      <c r="AJ112" s="1">
        <f>VLOOKUP(A112,'SegEnds_NonXtal_Prot#'!A:AL,34,FALSE)-VLOOKUP(A112,'SegEnds_NonXtal_Prot#'!A:AL,31,FALSE)</f>
        <v>37</v>
      </c>
      <c r="AK112" s="1">
        <f>VLOOKUP(A112,'SegEnds_NonXtal_Prot#'!A:AL,37,FALSE)-VLOOKUP(A112,'SegEnds_NonXtal_Prot#'!A:AL,34,FALSE)</f>
        <v>10</v>
      </c>
      <c r="AL112" s="1" t="str">
        <f>IF(ISERROR(MATCH(A112,'SegEnds_Xtal_Prot#'!B:B, 0)), "NoXtal", "Xtal")</f>
        <v>NoXtal</v>
      </c>
    </row>
    <row r="113" spans="1:38" x14ac:dyDescent="0.2">
      <c r="A113" s="1" t="s">
        <v>301</v>
      </c>
      <c r="B113" s="1" t="str">
        <f>VLOOKUP(A113,Xtal_Templ!A:B,2,FALSE)</f>
        <v>agtr1_human</v>
      </c>
      <c r="C113" s="5">
        <f>VLOOKUP($B113&amp;"__wt",'SegEnds_Xtal_BW#'!$A:$Z,3,FALSE)</f>
        <v>28</v>
      </c>
      <c r="D113" s="1">
        <f>VLOOKUP($B113&amp;"__wt",'SegEnds_Xtal_BW#'!$A:$Z,4,FALSE)</f>
        <v>60</v>
      </c>
      <c r="E113" s="1">
        <f>VLOOKUP($B113&amp;"__wt",'SegEnds_Xtal_BW#'!$A:$Z,5,FALSE)</f>
        <v>48</v>
      </c>
      <c r="F113" s="1">
        <f>VLOOKUP($B113&amp;"__wt",'SegEnds_Xtal_BW#'!$A:$Z,6,FALSE)</f>
        <v>51</v>
      </c>
      <c r="G113" s="1">
        <v>37</v>
      </c>
      <c r="H113" s="12">
        <v>66</v>
      </c>
      <c r="I113" s="1">
        <f>VLOOKUP($B113&amp;"__wt",'SegEnds_Xtal_BW#'!$A:$Z,9,FALSE)</f>
        <v>49</v>
      </c>
      <c r="J113" s="1">
        <f>VLOOKUP($B113&amp;"__wt",'SegEnds_Xtal_BW#'!$A:$Z,10,FALSE)</f>
        <v>52</v>
      </c>
      <c r="K113" s="12">
        <v>21</v>
      </c>
      <c r="L113" s="1">
        <f>VLOOKUP($B113&amp;"__wt",'SegEnds_Xtal_BW#'!$A:$Z,12,FALSE)</f>
        <v>56</v>
      </c>
      <c r="M113" s="1">
        <f>VLOOKUP($B113&amp;"__wt",'SegEnds_Xtal_BW#'!$A:$Z,13,FALSE)</f>
        <v>50</v>
      </c>
      <c r="N113" s="12">
        <v>57</v>
      </c>
      <c r="O113" s="87">
        <v>38</v>
      </c>
      <c r="P113" s="1">
        <f>VLOOKUP($B113&amp;"__wt",'SegEnds_Xtal_BW#'!$A:$Z,16,FALSE)</f>
        <v>64</v>
      </c>
      <c r="Q113" s="1">
        <f>VLOOKUP($B113&amp;"__wt",'SegEnds_Xtal_BW#'!$A:$Z,17,FALSE)</f>
        <v>50</v>
      </c>
      <c r="R113" s="1">
        <f>VLOOKUP($B113&amp;"__wt",'SegEnds_Xtal_BW#'!$A:$Z,18,FALSE)</f>
        <v>52</v>
      </c>
      <c r="S113" s="1">
        <f>VLOOKUP($B113&amp;"__wt",'SegEnds_Xtal_BW#'!$A:$Z,19,FALSE)</f>
        <v>34</v>
      </c>
      <c r="T113" s="1">
        <f t="array" ref="T113">INDEX(ICL3_classA!$G$2:$G$37,MATCH(MIN(ABS(AI113-ICL3_classA!$F$2:$F$37)),ABS(AI113-ICL3_classA!$F$2:$F$37),0))</f>
        <v>68</v>
      </c>
      <c r="U113" s="1">
        <f t="array" ref="U113">INDEX(ICL3_classA!$H$2:$H$37,MATCH(MIN(ABS(AI113-ICL3_classA!$F$2:$F$37)),ABS(AI113-ICL3_classA!$F$2:$F$37),0))</f>
        <v>28</v>
      </c>
      <c r="V113" s="1">
        <v>61</v>
      </c>
      <c r="W113" s="1">
        <v>31</v>
      </c>
      <c r="X113" s="108">
        <v>56</v>
      </c>
      <c r="Y113" s="1">
        <f>VLOOKUP($B113&amp;"__wt",'SegEnds_Xtal_BW#'!$A:$Z,25,FALSE)</f>
        <v>47</v>
      </c>
      <c r="Z113" s="1">
        <f>VLOOKUP($B113&amp;"__wt",'SegEnds_Xtal_BW#'!$A:$Z,26,FALSE)</f>
        <v>61</v>
      </c>
      <c r="AA113" s="27" t="str">
        <f>VLOOKUP(A113,Classification!A:B,2,FALSE)</f>
        <v>A</v>
      </c>
      <c r="AB113" s="1">
        <f>VLOOKUP(A113,'SegEnds_NonXtal_Prot#'!A:AL,10,FALSE)-VLOOKUP(A113,'SegEnds_NonXtal_Prot#'!A:AL,4,FALSE)</f>
        <v>27</v>
      </c>
      <c r="AC113" s="1" t="e">
        <f>VLOOKUP(A113,'SegEnds_NonXtal_Prot#'!A:AL,10,FALSE)-VLOOKUP(A113,'SegEnds_NonXtal_Prot#'!A:AL,7,FALSE)</f>
        <v>#VALUE!</v>
      </c>
      <c r="AD113" s="1" t="e">
        <f>VLOOKUP(A113,'SegEnds_NonXtal_Prot#'!A:AL,13,FALSE)-VLOOKUP(A113,'SegEnds_NonXtal_Prot#'!A:AL,10,FALSE)</f>
        <v>#VALUE!</v>
      </c>
      <c r="AE113" s="1">
        <f>VLOOKUP(A113,'SegEnds_NonXtal_Prot#'!A:AL,16,FALSE)-VLOOKUP(A113,'SegEnds_NonXtal_Prot#'!A:AL,10,FALSE)</f>
        <v>51</v>
      </c>
      <c r="AF113" s="1">
        <f>VLOOKUP(A113,'SegEnds_NonXtal_Prot#'!A:AL,22,FALSE)-VLOOKUP(A113,'SegEnds_NonXtal_Prot#'!A:AL,19,FALSE)</f>
        <v>20</v>
      </c>
      <c r="AG113" s="1" t="e">
        <f>VLOOKUP(A113,'SegEnds_NonXtal_Prot#'!A:AL,28,FALSE)-VLOOKUP(A113,'SegEnds_NonXtal_Prot#'!A:AL,25,FALSE)</f>
        <v>#VALUE!</v>
      </c>
      <c r="AH113" s="1">
        <f>VLOOKUP(A113,'SegEnds_NonXtal_Prot#'!A:AL,28,FALSE)-VLOOKUP(A113,'SegEnds_NonXtal_Prot#'!A:AL,22,FALSE)</f>
        <v>42</v>
      </c>
      <c r="AI113" s="1">
        <f>VLOOKUP(A113,'SegEnds_NonXtal_Prot#'!A:AL,31,FALSE)-VLOOKUP(A113,'SegEnds_NonXtal_Prot#'!A:AL,28,FALSE)</f>
        <v>44</v>
      </c>
      <c r="AJ113" s="1">
        <f>VLOOKUP(A113,'SegEnds_NonXtal_Prot#'!A:AL,34,FALSE)-VLOOKUP(A113,'SegEnds_NonXtal_Prot#'!A:AL,31,FALSE)</f>
        <v>37</v>
      </c>
      <c r="AK113" s="1">
        <f>VLOOKUP(A113,'SegEnds_NonXtal_Prot#'!A:AL,37,FALSE)-VLOOKUP(A113,'SegEnds_NonXtal_Prot#'!A:AL,34,FALSE)</f>
        <v>10</v>
      </c>
      <c r="AL113" s="1" t="str">
        <f>IF(ISERROR(MATCH(A113,'SegEnds_Xtal_Prot#'!B:B, 0)), "NoXtal", "Xtal")</f>
        <v>NoXtal</v>
      </c>
    </row>
    <row r="114" spans="1:38" x14ac:dyDescent="0.2">
      <c r="A114" s="1" t="s">
        <v>365</v>
      </c>
      <c r="B114" s="1" t="str">
        <f>VLOOKUP(A114,Xtal_Templ!A:B,2,FALSE)</f>
        <v>ta2r_human</v>
      </c>
      <c r="C114" s="5">
        <f>VLOOKUP($B114&amp;"__wt",'SegEnds_Xtal_BW#'!$A:$Z,3,FALSE)</f>
        <v>35</v>
      </c>
      <c r="D114" s="108">
        <v>61</v>
      </c>
      <c r="E114" s="1" t="str">
        <f>VLOOKUP($B114&amp;"__wt",'SegEnds_Xtal_BW#'!$A:$Z,5,FALSE)</f>
        <v>-</v>
      </c>
      <c r="F114" s="1" t="str">
        <f>VLOOKUP($B114&amp;"__wt",'SegEnds_Xtal_BW#'!$A:$Z,6,FALSE)</f>
        <v>-</v>
      </c>
      <c r="G114" s="1">
        <v>37</v>
      </c>
      <c r="H114" s="12">
        <f>VLOOKUP($B114&amp;"__wt",'SegEnds_Xtal_BW#'!$A:$Z,8,FALSE)</f>
        <v>67</v>
      </c>
      <c r="I114" s="1">
        <f>VLOOKUP($B114&amp;"__wt",'SegEnds_Xtal_BW#'!$A:$Z,9,FALSE)</f>
        <v>49</v>
      </c>
      <c r="J114" s="1">
        <f>VLOOKUP($B114&amp;"__wt",'SegEnds_Xtal_BW#'!$A:$Z,10,FALSE)</f>
        <v>53</v>
      </c>
      <c r="K114" s="12">
        <v>18</v>
      </c>
      <c r="L114" s="1">
        <f>VLOOKUP($B114&amp;"__wt",'SegEnds_Xtal_BW#'!$A:$Z,12,FALSE)</f>
        <v>56</v>
      </c>
      <c r="M114" s="1">
        <f>VLOOKUP($B114&amp;"__wt",'SegEnds_Xtal_BW#'!$A:$Z,13,FALSE)</f>
        <v>50</v>
      </c>
      <c r="N114" s="12">
        <v>57</v>
      </c>
      <c r="O114" s="87">
        <f>VLOOKUP($B114&amp;"__wt",'SegEnds_Xtal_BW#'!$A:$Z,15,FALSE)</f>
        <v>38</v>
      </c>
      <c r="P114" s="1">
        <f>VLOOKUP($B114&amp;"__wt",'SegEnds_Xtal_BW#'!$A:$Z,16,FALSE)</f>
        <v>63</v>
      </c>
      <c r="Q114" s="108">
        <v>50</v>
      </c>
      <c r="R114" s="108">
        <v>52</v>
      </c>
      <c r="S114" s="1">
        <v>35</v>
      </c>
      <c r="T114" s="1">
        <f t="array" ref="T114">INDEX(ICL3_classA!$G$2:$G$37,MATCH(MIN(ABS(AI114-ICL3_classA!$F$2:$F$37)),ABS(AI114-ICL3_classA!$F$2:$F$37),0))</f>
        <v>72</v>
      </c>
      <c r="U114" s="1">
        <f t="array" ref="U114">INDEX(ICL3_classA!$H$2:$H$37,MATCH(MIN(ABS(AI114-ICL3_classA!$F$2:$F$37)),ABS(AI114-ICL3_classA!$F$2:$F$37),0))</f>
        <v>29</v>
      </c>
      <c r="V114" s="1">
        <v>61</v>
      </c>
      <c r="W114" s="1">
        <v>31</v>
      </c>
      <c r="X114" s="108">
        <v>56</v>
      </c>
      <c r="Y114" s="108">
        <v>47</v>
      </c>
      <c r="Z114" s="1">
        <f>VLOOKUP($B114&amp;"__wt",'SegEnds_Xtal_BW#'!$A:$Z,26,FALSE)</f>
        <v>66</v>
      </c>
      <c r="AA114" s="27" t="str">
        <f>VLOOKUP(A114,Classification!A:B,2,FALSE)</f>
        <v>A</v>
      </c>
      <c r="AB114" s="1">
        <f>VLOOKUP(A114,'SegEnds_NonXtal_Prot#'!A:AL,10,FALSE)-VLOOKUP(A114,'SegEnds_NonXtal_Prot#'!A:AL,4,FALSE)</f>
        <v>33</v>
      </c>
      <c r="AC114" s="1">
        <f>VLOOKUP(A114,'SegEnds_NonXtal_Prot#'!A:AL,10,FALSE)-VLOOKUP(A114,'SegEnds_NonXtal_Prot#'!A:AL,7,FALSE)</f>
        <v>19</v>
      </c>
      <c r="AD114" s="1">
        <f>VLOOKUP(A114,'SegEnds_NonXtal_Prot#'!A:AL,13,FALSE)-VLOOKUP(A114,'SegEnds_NonXtal_Prot#'!A:AL,10,FALSE)</f>
        <v>21</v>
      </c>
      <c r="AE114" s="1">
        <f>VLOOKUP(A114,'SegEnds_NonXtal_Prot#'!A:AL,16,FALSE)-VLOOKUP(A114,'SegEnds_NonXtal_Prot#'!A:AL,10,FALSE)</f>
        <v>56</v>
      </c>
      <c r="AF114" s="1">
        <f>VLOOKUP(A114,'SegEnds_NonXtal_Prot#'!A:AL,22,FALSE)-VLOOKUP(A114,'SegEnds_NonXtal_Prot#'!A:AL,19,FALSE)</f>
        <v>20</v>
      </c>
      <c r="AG114" s="1">
        <f>VLOOKUP(A114,'SegEnds_NonXtal_Prot#'!A:AL,28,FALSE)-VLOOKUP(A114,'SegEnds_NonXtal_Prot#'!A:AL,25,FALSE)</f>
        <v>28</v>
      </c>
      <c r="AH114" s="1">
        <f>VLOOKUP(A114,'SegEnds_NonXtal_Prot#'!A:AL,28,FALSE)-VLOOKUP(A114,'SegEnds_NonXtal_Prot#'!A:AL,22,FALSE)</f>
        <v>54</v>
      </c>
      <c r="AI114" s="1">
        <f>VLOOKUP(A114,'SegEnds_NonXtal_Prot#'!A:AL,31,FALSE)-VLOOKUP(A114,'SegEnds_NonXtal_Prot#'!A:AL,28,FALSE)</f>
        <v>50</v>
      </c>
      <c r="AJ114" s="1">
        <f>VLOOKUP(A114,'SegEnds_NonXtal_Prot#'!A:AL,34,FALSE)-VLOOKUP(A114,'SegEnds_NonXtal_Prot#'!A:AL,31,FALSE)</f>
        <v>37</v>
      </c>
      <c r="AK114" s="1">
        <f>VLOOKUP(A114,'SegEnds_NonXtal_Prot#'!A:AL,37,FALSE)-VLOOKUP(A114,'SegEnds_NonXtal_Prot#'!A:AL,34,FALSE)</f>
        <v>10</v>
      </c>
      <c r="AL114" s="1" t="str">
        <f>IF(ISERROR(MATCH(A114,'SegEnds_Xtal_Prot#'!B:B, 0)), "NoXtal", "Xtal")</f>
        <v>NoXtal</v>
      </c>
    </row>
    <row r="115" spans="1:38" x14ac:dyDescent="0.2">
      <c r="A115" s="4" t="s">
        <v>104</v>
      </c>
      <c r="B115" s="4" t="str">
        <f>VLOOKUP(A115,Xtal_Templ!A:B,2,FALSE)</f>
        <v>s1pr1_human</v>
      </c>
      <c r="C115" s="5">
        <f>VLOOKUP($B115&amp;"__wt",'SegEnds_Xtal_BW#'!$A:$Z,3,FALSE)</f>
        <v>29</v>
      </c>
      <c r="D115" s="4">
        <f>VLOOKUP($B115&amp;"__wt",'SegEnds_Xtal_BW#'!$A:$Z,4,FALSE)</f>
        <v>60</v>
      </c>
      <c r="E115" s="4">
        <f>VLOOKUP($B115&amp;"__wt",'SegEnds_Xtal_BW#'!$A:$Z,5,FALSE)</f>
        <v>48</v>
      </c>
      <c r="F115" s="4">
        <f>VLOOKUP($B115&amp;"__wt",'SegEnds_Xtal_BW#'!$A:$Z,6,FALSE)</f>
        <v>51</v>
      </c>
      <c r="G115" s="4">
        <v>37</v>
      </c>
      <c r="H115" s="11">
        <v>63</v>
      </c>
      <c r="I115" s="4">
        <f>VLOOKUP($B115&amp;"__wt",'SegEnds_Xtal_BW#'!$A:$Z,9,FALSE)</f>
        <v>47</v>
      </c>
      <c r="J115" s="4">
        <f>VLOOKUP($B115&amp;"__wt",'SegEnds_Xtal_BW#'!$A:$Z,10,FALSE)</f>
        <v>53</v>
      </c>
      <c r="K115" s="11">
        <f>VLOOKUP($B115&amp;"__wt",'SegEnds_Xtal_BW#'!$A:$Z,11,FALSE)</f>
        <v>21</v>
      </c>
      <c r="L115" s="4">
        <f>VLOOKUP($B115&amp;"__wt",'SegEnds_Xtal_BW#'!$A:$Z,12,FALSE)</f>
        <v>56</v>
      </c>
      <c r="M115" s="4">
        <f>VLOOKUP($B115&amp;"__wt",'SegEnds_Xtal_BW#'!$A:$Z,13,FALSE)</f>
        <v>50</v>
      </c>
      <c r="N115" s="108">
        <f>VLOOKUP($B115&amp;"__wt",'SegEnds_Xtal_BW#'!$A:$Z,14,FALSE)</f>
        <v>56</v>
      </c>
      <c r="O115" s="87">
        <f>VLOOKUP($B115&amp;"__wt",'SegEnds_Xtal_BW#'!$A:$Z,15,FALSE)</f>
        <v>38</v>
      </c>
      <c r="P115" s="4">
        <f>VLOOKUP($B115&amp;"__wt",'SegEnds_Xtal_BW#'!$A:$Z,16,FALSE)</f>
        <v>63</v>
      </c>
      <c r="Q115" s="4" t="str">
        <f>VLOOKUP($B115&amp;"__wt",'SegEnds_Xtal_BW#'!$A:$Z,17,FALSE)</f>
        <v>-</v>
      </c>
      <c r="R115" s="4" t="str">
        <f>VLOOKUP($B115&amp;"__wt",'SegEnds_Xtal_BW#'!$A:$Z,18,FALSE)</f>
        <v>-</v>
      </c>
      <c r="S115" s="4">
        <f>VLOOKUP($B115&amp;"__wt",'SegEnds_Xtal_BW#'!$A:$Z,19,FALSE)</f>
        <v>36</v>
      </c>
      <c r="T115" s="4">
        <f t="array" ref="T115">INDEX(ICL3_classA!$G$2:$G$37,MATCH(MIN(ABS(AI115-ICL3_classA!$F$2:$F$37)),ABS(AI115-ICL3_classA!$F$2:$F$37),0))</f>
        <v>73</v>
      </c>
      <c r="U115" s="4">
        <f t="array" ref="U115">INDEX(ICL3_classA!$H$2:$H$37,MATCH(MIN(ABS(AI115-ICL3_classA!$F$2:$F$37)),ABS(AI115-ICL3_classA!$F$2:$F$37),0))</f>
        <v>24</v>
      </c>
      <c r="V115" s="4">
        <v>61</v>
      </c>
      <c r="W115" s="4">
        <v>30</v>
      </c>
      <c r="X115" s="1">
        <f>VLOOKUP($B115&amp;"__wt",'SegEnds_Xtal_BW#'!$A:$Z,24,FALSE)</f>
        <v>56</v>
      </c>
      <c r="Y115" s="4">
        <f>VLOOKUP($B115&amp;"__wt",'SegEnds_Xtal_BW#'!$A:$Z,25,FALSE)</f>
        <v>47</v>
      </c>
      <c r="Z115" s="4">
        <f>VLOOKUP($B115&amp;"__wt",'SegEnds_Xtal_BW#'!$A:$Z,26,FALSE)</f>
        <v>59</v>
      </c>
      <c r="AA115" s="27" t="str">
        <f>VLOOKUP(A115,Classification!A:B,2,FALSE)</f>
        <v>A</v>
      </c>
      <c r="AB115" s="1">
        <f>VLOOKUP(A115,'SegEnds_NonXtal_Prot#'!A:AL,10,FALSE)-VLOOKUP(A115,'SegEnds_NonXtal_Prot#'!A:AL,4,FALSE)</f>
        <v>28</v>
      </c>
      <c r="AC115" s="4">
        <f>VLOOKUP(A115,'SegEnds_NonXtal_Prot#'!A:AL,10,FALSE)-VLOOKUP(A115,'SegEnds_NonXtal_Prot#'!A:AL,7,FALSE)</f>
        <v>15</v>
      </c>
      <c r="AD115" s="4">
        <f>VLOOKUP(A115,'SegEnds_NonXtal_Prot#'!A:AL,13,FALSE)-VLOOKUP(A115,'SegEnds_NonXtal_Prot#'!A:AL,10,FALSE)</f>
        <v>18</v>
      </c>
      <c r="AE115" s="4">
        <f>VLOOKUP(A115,'SegEnds_NonXtal_Prot#'!A:AL,16,FALSE)-VLOOKUP(A115,'SegEnds_NonXtal_Prot#'!A:AL,10,FALSE)</f>
        <v>51</v>
      </c>
      <c r="AF115" s="1">
        <f>VLOOKUP(A115,'SegEnds_NonXtal_Prot#'!A:AL,22,FALSE)-VLOOKUP(A115,'SegEnds_NonXtal_Prot#'!A:AL,19,FALSE)</f>
        <v>19</v>
      </c>
      <c r="AG115" s="4" t="e">
        <f>VLOOKUP(A115,'SegEnds_NonXtal_Prot#'!A:AL,28,FALSE)-VLOOKUP(A115,'SegEnds_NonXtal_Prot#'!A:AL,25,FALSE)</f>
        <v>#VALUE!</v>
      </c>
      <c r="AH115" s="1">
        <f>VLOOKUP(A115,'SegEnds_NonXtal_Prot#'!A:AL,28,FALSE)-VLOOKUP(A115,'SegEnds_NonXtal_Prot#'!A:AL,22,FALSE)</f>
        <v>45</v>
      </c>
      <c r="AI115" s="4">
        <f>VLOOKUP(A115,'SegEnds_NonXtal_Prot#'!A:AL,31,FALSE)-VLOOKUP(A115,'SegEnds_NonXtal_Prot#'!A:AL,28,FALSE)</f>
        <v>58</v>
      </c>
      <c r="AJ115" s="4">
        <f>VLOOKUP(A115,'SegEnds_NonXtal_Prot#'!A:AL,34,FALSE)-VLOOKUP(A115,'SegEnds_NonXtal_Prot#'!A:AL,31,FALSE)</f>
        <v>37</v>
      </c>
      <c r="AK115" s="1">
        <f>VLOOKUP(A115,'SegEnds_NonXtal_Prot#'!A:AL,37,FALSE)-VLOOKUP(A115,'SegEnds_NonXtal_Prot#'!A:AL,34,FALSE)</f>
        <v>10</v>
      </c>
      <c r="AL115" s="1" t="str">
        <f>IF(ISERROR(MATCH(A115,'SegEnds_Xtal_Prot#'!B:B, 0)), "NoXtal", "Xtal")</f>
        <v>Xtal</v>
      </c>
    </row>
    <row r="116" spans="1:38" x14ac:dyDescent="0.2">
      <c r="A116" s="1" t="s">
        <v>377</v>
      </c>
      <c r="B116" s="1" t="str">
        <f>VLOOKUP(A116,Xtal_Templ!A:B,2,FALSE)</f>
        <v>s1pr1_human</v>
      </c>
      <c r="C116" s="5">
        <f>VLOOKUP($B116&amp;"__wt",'SegEnds_Xtal_BW#'!$A:$Z,3,FALSE)</f>
        <v>29</v>
      </c>
      <c r="D116" s="1">
        <f>VLOOKUP($B116&amp;"__wt",'SegEnds_Xtal_BW#'!$A:$Z,4,FALSE)</f>
        <v>60</v>
      </c>
      <c r="E116" s="1">
        <f>VLOOKUP($B116&amp;"__wt",'SegEnds_Xtal_BW#'!$A:$Z,5,FALSE)</f>
        <v>48</v>
      </c>
      <c r="F116" s="1">
        <f>VLOOKUP($B116&amp;"__wt",'SegEnds_Xtal_BW#'!$A:$Z,6,FALSE)</f>
        <v>51</v>
      </c>
      <c r="G116" s="1">
        <v>37</v>
      </c>
      <c r="H116" s="12">
        <v>63</v>
      </c>
      <c r="I116" s="1">
        <f>VLOOKUP($B116&amp;"__wt",'SegEnds_Xtal_BW#'!$A:$Z,9,FALSE)</f>
        <v>47</v>
      </c>
      <c r="J116" s="1">
        <f>VLOOKUP($B116&amp;"__wt",'SegEnds_Xtal_BW#'!$A:$Z,10,FALSE)</f>
        <v>53</v>
      </c>
      <c r="K116" s="12">
        <v>21</v>
      </c>
      <c r="L116" s="1">
        <f>VLOOKUP($B116&amp;"__wt",'SegEnds_Xtal_BW#'!$A:$Z,12,FALSE)</f>
        <v>56</v>
      </c>
      <c r="M116" s="1">
        <f>VLOOKUP($B116&amp;"__wt",'SegEnds_Xtal_BW#'!$A:$Z,13,FALSE)</f>
        <v>50</v>
      </c>
      <c r="N116" s="108">
        <v>56</v>
      </c>
      <c r="O116" s="87">
        <f>VLOOKUP($B116&amp;"__wt",'SegEnds_Xtal_BW#'!$A:$Z,15,FALSE)</f>
        <v>38</v>
      </c>
      <c r="P116" s="1">
        <f>VLOOKUP($B116&amp;"__wt",'SegEnds_Xtal_BW#'!$A:$Z,16,FALSE)</f>
        <v>63</v>
      </c>
      <c r="Q116" s="1" t="str">
        <f>VLOOKUP($B116&amp;"__wt",'SegEnds_Xtal_BW#'!$A:$Z,17,FALSE)</f>
        <v>-</v>
      </c>
      <c r="R116" s="1" t="str">
        <f>VLOOKUP($B116&amp;"__wt",'SegEnds_Xtal_BW#'!$A:$Z,18,FALSE)</f>
        <v>-</v>
      </c>
      <c r="S116" s="1">
        <f>VLOOKUP($B116&amp;"__wt",'SegEnds_Xtal_BW#'!$A:$Z,19,FALSE)</f>
        <v>36</v>
      </c>
      <c r="T116" s="1">
        <f t="array" ref="T116">INDEX(ICL3_classA!$G$2:$G$37,MATCH(MIN(ABS(AI116-ICL3_classA!$F$2:$F$37)),ABS(AI116-ICL3_classA!$F$2:$F$37),0))</f>
        <v>67</v>
      </c>
      <c r="U116" s="1">
        <f t="array" ref="U116">INDEX(ICL3_classA!$H$2:$H$37,MATCH(MIN(ABS(AI116-ICL3_classA!$F$2:$F$37)),ABS(AI116-ICL3_classA!$F$2:$F$37),0))</f>
        <v>26</v>
      </c>
      <c r="V116" s="1">
        <v>61</v>
      </c>
      <c r="W116" s="1">
        <v>30</v>
      </c>
      <c r="X116" s="1">
        <f>VLOOKUP($B116&amp;"__wt",'SegEnds_Xtal_BW#'!$A:$Z,24,FALSE)</f>
        <v>56</v>
      </c>
      <c r="Y116" s="1">
        <f>VLOOKUP($B116&amp;"__wt",'SegEnds_Xtal_BW#'!$A:$Z,25,FALSE)</f>
        <v>47</v>
      </c>
      <c r="Z116" s="1">
        <f>VLOOKUP($B116&amp;"__wt",'SegEnds_Xtal_BW#'!$A:$Z,26,FALSE)</f>
        <v>59</v>
      </c>
      <c r="AA116" s="27" t="str">
        <f>VLOOKUP(A116,Classification!A:B,2,FALSE)</f>
        <v>A</v>
      </c>
      <c r="AB116" s="1">
        <f>VLOOKUP(A116,'SegEnds_NonXtal_Prot#'!A:AL,10,FALSE)-VLOOKUP(A116,'SegEnds_NonXtal_Prot#'!A:AL,4,FALSE)</f>
        <v>28</v>
      </c>
      <c r="AC116" s="1">
        <f>VLOOKUP(A116,'SegEnds_NonXtal_Prot#'!A:AL,10,FALSE)-VLOOKUP(A116,'SegEnds_NonXtal_Prot#'!A:AL,7,FALSE)</f>
        <v>15</v>
      </c>
      <c r="AD116" s="1">
        <f>VLOOKUP(A116,'SegEnds_NonXtal_Prot#'!A:AL,13,FALSE)-VLOOKUP(A116,'SegEnds_NonXtal_Prot#'!A:AL,10,FALSE)</f>
        <v>18</v>
      </c>
      <c r="AE116" s="1">
        <f>VLOOKUP(A116,'SegEnds_NonXtal_Prot#'!A:AL,16,FALSE)-VLOOKUP(A116,'SegEnds_NonXtal_Prot#'!A:AL,10,FALSE)</f>
        <v>51</v>
      </c>
      <c r="AF116" s="1">
        <f>VLOOKUP(A116,'SegEnds_NonXtal_Prot#'!A:AL,22,FALSE)-VLOOKUP(A116,'SegEnds_NonXtal_Prot#'!A:AL,19,FALSE)</f>
        <v>19</v>
      </c>
      <c r="AG116" s="1" t="e">
        <f>VLOOKUP(A116,'SegEnds_NonXtal_Prot#'!A:AL,28,FALSE)-VLOOKUP(A116,'SegEnds_NonXtal_Prot#'!A:AL,25,FALSE)</f>
        <v>#VALUE!</v>
      </c>
      <c r="AH116" s="1">
        <f>VLOOKUP(A116,'SegEnds_NonXtal_Prot#'!A:AL,28,FALSE)-VLOOKUP(A116,'SegEnds_NonXtal_Prot#'!A:AL,22,FALSE)</f>
        <v>45</v>
      </c>
      <c r="AI116" s="1">
        <f>VLOOKUP(A116,'SegEnds_NonXtal_Prot#'!A:AL,31,FALSE)-VLOOKUP(A116,'SegEnds_NonXtal_Prot#'!A:AL,28,FALSE)</f>
        <v>47</v>
      </c>
      <c r="AJ116" s="1">
        <f>VLOOKUP(A116,'SegEnds_NonXtal_Prot#'!A:AL,34,FALSE)-VLOOKUP(A116,'SegEnds_NonXtal_Prot#'!A:AL,31,FALSE)</f>
        <v>37</v>
      </c>
      <c r="AK116" s="1">
        <f>VLOOKUP(A116,'SegEnds_NonXtal_Prot#'!A:AL,37,FALSE)-VLOOKUP(A116,'SegEnds_NonXtal_Prot#'!A:AL,34,FALSE)</f>
        <v>10</v>
      </c>
      <c r="AL116" s="1" t="str">
        <f>IF(ISERROR(MATCH(A116,'SegEnds_Xtal_Prot#'!B:B, 0)), "NoXtal", "Xtal")</f>
        <v>NoXtal</v>
      </c>
    </row>
    <row r="117" spans="1:38" x14ac:dyDescent="0.2">
      <c r="A117" s="1" t="s">
        <v>378</v>
      </c>
      <c r="B117" s="1" t="str">
        <f>VLOOKUP(A117,Xtal_Templ!A:B,2,FALSE)</f>
        <v>s1pr1_human</v>
      </c>
      <c r="C117" s="5">
        <f>VLOOKUP($B117&amp;"__wt",'SegEnds_Xtal_BW#'!$A:$Z,3,FALSE)</f>
        <v>29</v>
      </c>
      <c r="D117" s="1">
        <f>VLOOKUP($B117&amp;"__wt",'SegEnds_Xtal_BW#'!$A:$Z,4,FALSE)</f>
        <v>60</v>
      </c>
      <c r="E117" s="1">
        <f>VLOOKUP($B117&amp;"__wt",'SegEnds_Xtal_BW#'!$A:$Z,5,FALSE)</f>
        <v>48</v>
      </c>
      <c r="F117" s="1">
        <f>VLOOKUP($B117&amp;"__wt",'SegEnds_Xtal_BW#'!$A:$Z,6,FALSE)</f>
        <v>51</v>
      </c>
      <c r="G117" s="1">
        <v>37</v>
      </c>
      <c r="H117" s="12">
        <v>63</v>
      </c>
      <c r="I117" s="1">
        <f>VLOOKUP($B117&amp;"__wt",'SegEnds_Xtal_BW#'!$A:$Z,9,FALSE)</f>
        <v>47</v>
      </c>
      <c r="J117" s="1">
        <f>VLOOKUP($B117&amp;"__wt",'SegEnds_Xtal_BW#'!$A:$Z,10,FALSE)</f>
        <v>53</v>
      </c>
      <c r="K117" s="12">
        <v>21</v>
      </c>
      <c r="L117" s="1">
        <f>VLOOKUP($B117&amp;"__wt",'SegEnds_Xtal_BW#'!$A:$Z,12,FALSE)</f>
        <v>56</v>
      </c>
      <c r="M117" s="1">
        <f>VLOOKUP($B117&amp;"__wt",'SegEnds_Xtal_BW#'!$A:$Z,13,FALSE)</f>
        <v>50</v>
      </c>
      <c r="N117" s="108">
        <v>56</v>
      </c>
      <c r="O117" s="87">
        <f>VLOOKUP($B117&amp;"__wt",'SegEnds_Xtal_BW#'!$A:$Z,15,FALSE)</f>
        <v>38</v>
      </c>
      <c r="P117" s="1">
        <f>VLOOKUP($B117&amp;"__wt",'SegEnds_Xtal_BW#'!$A:$Z,16,FALSE)</f>
        <v>63</v>
      </c>
      <c r="Q117" s="1" t="str">
        <f>VLOOKUP($B117&amp;"__wt",'SegEnds_Xtal_BW#'!$A:$Z,17,FALSE)</f>
        <v>-</v>
      </c>
      <c r="R117" s="1" t="str">
        <f>VLOOKUP($B117&amp;"__wt",'SegEnds_Xtal_BW#'!$A:$Z,18,FALSE)</f>
        <v>-</v>
      </c>
      <c r="S117" s="1">
        <f>VLOOKUP($B117&amp;"__wt",'SegEnds_Xtal_BW#'!$A:$Z,19,FALSE)</f>
        <v>36</v>
      </c>
      <c r="T117" s="1">
        <f t="array" ref="T117">INDEX(ICL3_classA!$G$2:$G$37,MATCH(MIN(ABS(AI117-ICL3_classA!$F$2:$F$37)),ABS(AI117-ICL3_classA!$F$2:$F$37),0))</f>
        <v>68</v>
      </c>
      <c r="U117" s="1">
        <f t="array" ref="U117">INDEX(ICL3_classA!$H$2:$H$37,MATCH(MIN(ABS(AI117-ICL3_classA!$F$2:$F$37)),ABS(AI117-ICL3_classA!$F$2:$F$37),0))</f>
        <v>23</v>
      </c>
      <c r="V117" s="1">
        <v>61</v>
      </c>
      <c r="W117" s="1">
        <v>30</v>
      </c>
      <c r="X117" s="1">
        <f>VLOOKUP($B117&amp;"__wt",'SegEnds_Xtal_BW#'!$A:$Z,24,FALSE)</f>
        <v>56</v>
      </c>
      <c r="Y117" s="1">
        <f>VLOOKUP($B117&amp;"__wt",'SegEnds_Xtal_BW#'!$A:$Z,25,FALSE)</f>
        <v>47</v>
      </c>
      <c r="Z117" s="1">
        <f>VLOOKUP($B117&amp;"__wt",'SegEnds_Xtal_BW#'!$A:$Z,26,FALSE)</f>
        <v>59</v>
      </c>
      <c r="AA117" s="27" t="str">
        <f>VLOOKUP(A117,Classification!A:B,2,FALSE)</f>
        <v>A</v>
      </c>
      <c r="AB117" s="1">
        <f>VLOOKUP(A117,'SegEnds_NonXtal_Prot#'!A:AL,10,FALSE)-VLOOKUP(A117,'SegEnds_NonXtal_Prot#'!A:AL,4,FALSE)</f>
        <v>28</v>
      </c>
      <c r="AC117" s="1">
        <f>VLOOKUP(A117,'SegEnds_NonXtal_Prot#'!A:AL,10,FALSE)-VLOOKUP(A117,'SegEnds_NonXtal_Prot#'!A:AL,7,FALSE)</f>
        <v>15</v>
      </c>
      <c r="AD117" s="1">
        <f>VLOOKUP(A117,'SegEnds_NonXtal_Prot#'!A:AL,13,FALSE)-VLOOKUP(A117,'SegEnds_NonXtal_Prot#'!A:AL,10,FALSE)</f>
        <v>18</v>
      </c>
      <c r="AE117" s="1">
        <f>VLOOKUP(A117,'SegEnds_NonXtal_Prot#'!A:AL,16,FALSE)-VLOOKUP(A117,'SegEnds_NonXtal_Prot#'!A:AL,10,FALSE)</f>
        <v>51</v>
      </c>
      <c r="AF117" s="1">
        <f>VLOOKUP(A117,'SegEnds_NonXtal_Prot#'!A:AL,22,FALSE)-VLOOKUP(A117,'SegEnds_NonXtal_Prot#'!A:AL,19,FALSE)</f>
        <v>19</v>
      </c>
      <c r="AG117" s="1" t="e">
        <f>VLOOKUP(A117,'SegEnds_NonXtal_Prot#'!A:AL,28,FALSE)-VLOOKUP(A117,'SegEnds_NonXtal_Prot#'!A:AL,25,FALSE)</f>
        <v>#VALUE!</v>
      </c>
      <c r="AH117" s="1">
        <f>VLOOKUP(A117,'SegEnds_NonXtal_Prot#'!A:AL,28,FALSE)-VLOOKUP(A117,'SegEnds_NonXtal_Prot#'!A:AL,22,FALSE)</f>
        <v>45</v>
      </c>
      <c r="AI117" s="1">
        <f>VLOOKUP(A117,'SegEnds_NonXtal_Prot#'!A:AL,31,FALSE)-VLOOKUP(A117,'SegEnds_NonXtal_Prot#'!A:AL,28,FALSE)</f>
        <v>51</v>
      </c>
      <c r="AJ117" s="1">
        <f>VLOOKUP(A117,'SegEnds_NonXtal_Prot#'!A:AL,34,FALSE)-VLOOKUP(A117,'SegEnds_NonXtal_Prot#'!A:AL,31,FALSE)</f>
        <v>37</v>
      </c>
      <c r="AK117" s="1">
        <f>VLOOKUP(A117,'SegEnds_NonXtal_Prot#'!A:AL,37,FALSE)-VLOOKUP(A117,'SegEnds_NonXtal_Prot#'!A:AL,34,FALSE)</f>
        <v>10</v>
      </c>
      <c r="AL117" s="1" t="str">
        <f>IF(ISERROR(MATCH(A117,'SegEnds_Xtal_Prot#'!B:B, 0)), "NoXtal", "Xtal")</f>
        <v>NoXtal</v>
      </c>
    </row>
    <row r="118" spans="1:38" x14ac:dyDescent="0.2">
      <c r="A118" s="1" t="s">
        <v>380</v>
      </c>
      <c r="B118" s="1" t="str">
        <f>VLOOKUP(A118,Xtal_Templ!A:B,2,FALSE)</f>
        <v>s1pr1_human</v>
      </c>
      <c r="C118" s="5">
        <f>VLOOKUP($B118&amp;"__wt",'SegEnds_Xtal_BW#'!$A:$Z,3,FALSE)</f>
        <v>29</v>
      </c>
      <c r="D118" s="1">
        <f>VLOOKUP($B118&amp;"__wt",'SegEnds_Xtal_BW#'!$A:$Z,4,FALSE)</f>
        <v>60</v>
      </c>
      <c r="E118" s="1">
        <f>VLOOKUP($B118&amp;"__wt",'SegEnds_Xtal_BW#'!$A:$Z,5,FALSE)</f>
        <v>48</v>
      </c>
      <c r="F118" s="1">
        <f>VLOOKUP($B118&amp;"__wt",'SegEnds_Xtal_BW#'!$A:$Z,6,FALSE)</f>
        <v>51</v>
      </c>
      <c r="G118" s="1">
        <v>37</v>
      </c>
      <c r="H118" s="12">
        <v>63</v>
      </c>
      <c r="I118" s="1">
        <f>VLOOKUP($B118&amp;"__wt",'SegEnds_Xtal_BW#'!$A:$Z,9,FALSE)</f>
        <v>47</v>
      </c>
      <c r="J118" s="1">
        <f>VLOOKUP($B118&amp;"__wt",'SegEnds_Xtal_BW#'!$A:$Z,10,FALSE)</f>
        <v>53</v>
      </c>
      <c r="K118" s="12">
        <v>21</v>
      </c>
      <c r="L118" s="1">
        <f>VLOOKUP($B118&amp;"__wt",'SegEnds_Xtal_BW#'!$A:$Z,12,FALSE)</f>
        <v>56</v>
      </c>
      <c r="M118" s="1">
        <f>VLOOKUP($B118&amp;"__wt",'SegEnds_Xtal_BW#'!$A:$Z,13,FALSE)</f>
        <v>50</v>
      </c>
      <c r="N118" s="108">
        <v>56</v>
      </c>
      <c r="O118" s="87">
        <f>VLOOKUP($B118&amp;"__wt",'SegEnds_Xtal_BW#'!$A:$Z,15,FALSE)</f>
        <v>38</v>
      </c>
      <c r="P118" s="1">
        <f>VLOOKUP($B118&amp;"__wt",'SegEnds_Xtal_BW#'!$A:$Z,16,FALSE)</f>
        <v>63</v>
      </c>
      <c r="Q118" s="1" t="str">
        <f>VLOOKUP($B118&amp;"__wt",'SegEnds_Xtal_BW#'!$A:$Z,17,FALSE)</f>
        <v>-</v>
      </c>
      <c r="R118" s="1" t="str">
        <f>VLOOKUP($B118&amp;"__wt",'SegEnds_Xtal_BW#'!$A:$Z,18,FALSE)</f>
        <v>-</v>
      </c>
      <c r="S118" s="1">
        <f>VLOOKUP($B118&amp;"__wt",'SegEnds_Xtal_BW#'!$A:$Z,19,FALSE)</f>
        <v>36</v>
      </c>
      <c r="T118" s="1">
        <f t="array" ref="T118">INDEX(ICL3_classA!$G$2:$G$37,MATCH(MIN(ABS(AI118-ICL3_classA!$F$2:$F$37)),ABS(AI118-ICL3_classA!$F$2:$F$37),0))</f>
        <v>74</v>
      </c>
      <c r="U118" s="1">
        <f t="array" ref="U118">INDEX(ICL3_classA!$H$2:$H$37,MATCH(MIN(ABS(AI118-ICL3_classA!$F$2:$F$37)),ABS(AI118-ICL3_classA!$F$2:$F$37),0))</f>
        <v>21</v>
      </c>
      <c r="V118" s="1">
        <v>61</v>
      </c>
      <c r="W118" s="1">
        <v>30</v>
      </c>
      <c r="X118" s="1">
        <f>VLOOKUP($B118&amp;"__wt",'SegEnds_Xtal_BW#'!$A:$Z,24,FALSE)</f>
        <v>56</v>
      </c>
      <c r="Y118" s="1">
        <f>VLOOKUP($B118&amp;"__wt",'SegEnds_Xtal_BW#'!$A:$Z,25,FALSE)</f>
        <v>47</v>
      </c>
      <c r="Z118" s="1">
        <f>VLOOKUP($B118&amp;"__wt",'SegEnds_Xtal_BW#'!$A:$Z,26,FALSE)</f>
        <v>59</v>
      </c>
      <c r="AA118" s="27" t="str">
        <f>VLOOKUP(A118,Classification!A:B,2,FALSE)</f>
        <v>A</v>
      </c>
      <c r="AB118" s="1">
        <f>VLOOKUP(A118,'SegEnds_NonXtal_Prot#'!A:AL,10,FALSE)-VLOOKUP(A118,'SegEnds_NonXtal_Prot#'!A:AL,4,FALSE)</f>
        <v>28</v>
      </c>
      <c r="AC118" s="1">
        <f>VLOOKUP(A118,'SegEnds_NonXtal_Prot#'!A:AL,10,FALSE)-VLOOKUP(A118,'SegEnds_NonXtal_Prot#'!A:AL,7,FALSE)</f>
        <v>15</v>
      </c>
      <c r="AD118" s="1">
        <f>VLOOKUP(A118,'SegEnds_NonXtal_Prot#'!A:AL,13,FALSE)-VLOOKUP(A118,'SegEnds_NonXtal_Prot#'!A:AL,10,FALSE)</f>
        <v>18</v>
      </c>
      <c r="AE118" s="1">
        <f>VLOOKUP(A118,'SegEnds_NonXtal_Prot#'!A:AL,16,FALSE)-VLOOKUP(A118,'SegEnds_NonXtal_Prot#'!A:AL,10,FALSE)</f>
        <v>51</v>
      </c>
      <c r="AF118" s="1">
        <f>VLOOKUP(A118,'SegEnds_NonXtal_Prot#'!A:AL,22,FALSE)-VLOOKUP(A118,'SegEnds_NonXtal_Prot#'!A:AL,19,FALSE)</f>
        <v>19</v>
      </c>
      <c r="AG118" s="1" t="e">
        <f>VLOOKUP(A118,'SegEnds_NonXtal_Prot#'!A:AL,28,FALSE)-VLOOKUP(A118,'SegEnds_NonXtal_Prot#'!A:AL,25,FALSE)</f>
        <v>#VALUE!</v>
      </c>
      <c r="AH118" s="1">
        <f>VLOOKUP(A118,'SegEnds_NonXtal_Prot#'!A:AL,28,FALSE)-VLOOKUP(A118,'SegEnds_NonXtal_Prot#'!A:AL,22,FALSE)</f>
        <v>45</v>
      </c>
      <c r="AI118" s="1">
        <f>VLOOKUP(A118,'SegEnds_NonXtal_Prot#'!A:AL,31,FALSE)-VLOOKUP(A118,'SegEnds_NonXtal_Prot#'!A:AL,28,FALSE)</f>
        <v>62</v>
      </c>
      <c r="AJ118" s="1">
        <f>VLOOKUP(A118,'SegEnds_NonXtal_Prot#'!A:AL,34,FALSE)-VLOOKUP(A118,'SegEnds_NonXtal_Prot#'!A:AL,31,FALSE)</f>
        <v>37</v>
      </c>
      <c r="AK118" s="1">
        <f>VLOOKUP(A118,'SegEnds_NonXtal_Prot#'!A:AL,37,FALSE)-VLOOKUP(A118,'SegEnds_NonXtal_Prot#'!A:AL,34,FALSE)</f>
        <v>10</v>
      </c>
      <c r="AL118" s="1" t="str">
        <f>IF(ISERROR(MATCH(A118,'SegEnds_Xtal_Prot#'!B:B, 0)), "NoXtal", "Xtal")</f>
        <v>NoXtal</v>
      </c>
    </row>
    <row r="119" spans="1:38" x14ac:dyDescent="0.2">
      <c r="A119" s="1" t="s">
        <v>35</v>
      </c>
      <c r="B119" s="1" t="str">
        <f>VLOOKUP(A119,Xtal_Templ!A:B,2,FALSE)</f>
        <v>5ht2b_human</v>
      </c>
      <c r="C119" s="5">
        <f>VLOOKUP($B119&amp;"__wt",'SegEnds_Xtal_BW#'!$A:$Z,3,FALSE)</f>
        <v>31</v>
      </c>
      <c r="D119" s="1">
        <f>VLOOKUP($B119&amp;"__wt",'SegEnds_Xtal_BW#'!$A:$Z,4,FALSE)</f>
        <v>60</v>
      </c>
      <c r="E119" s="1">
        <f>VLOOKUP($B119&amp;"__wt",'SegEnds_Xtal_BW#'!$A:$Z,5,FALSE)</f>
        <v>48</v>
      </c>
      <c r="F119" s="1">
        <f>VLOOKUP($B119&amp;"__wt",'SegEnds_Xtal_BW#'!$A:$Z,6,FALSE)</f>
        <v>51</v>
      </c>
      <c r="G119" s="1">
        <v>37</v>
      </c>
      <c r="H119" s="12">
        <f>VLOOKUP($B119&amp;"__wt",'SegEnds_Xtal_BW#'!$A:$Z,8,FALSE)</f>
        <v>67</v>
      </c>
      <c r="I119" s="1">
        <f>VLOOKUP($B119&amp;"__wt",'SegEnds_Xtal_BW#'!$A:$Z,9,FALSE)</f>
        <v>49</v>
      </c>
      <c r="J119" s="1">
        <f>VLOOKUP($B119&amp;"__wt",'SegEnds_Xtal_BW#'!$A:$Z,10,FALSE)</f>
        <v>52</v>
      </c>
      <c r="K119" s="12">
        <v>18</v>
      </c>
      <c r="L119" s="1">
        <f>VLOOKUP($B119&amp;"__wt",'SegEnds_Xtal_BW#'!$A:$Z,12,FALSE)</f>
        <v>56</v>
      </c>
      <c r="M119" s="1">
        <f>VLOOKUP($B119&amp;"__wt",'SegEnds_Xtal_BW#'!$A:$Z,13,FALSE)</f>
        <v>50</v>
      </c>
      <c r="N119" s="12">
        <f>VLOOKUP($B119&amp;"__wt",'SegEnds_Xtal_BW#'!$A:$Z,14,FALSE)</f>
        <v>57</v>
      </c>
      <c r="O119" s="87">
        <f>VLOOKUP($B119&amp;"__wt",'SegEnds_Xtal_BW#'!$A:$Z,15,FALSE)</f>
        <v>38</v>
      </c>
      <c r="P119" s="1">
        <f>VLOOKUP($B119&amp;"__wt",'SegEnds_Xtal_BW#'!$A:$Z,16,FALSE)</f>
        <v>64</v>
      </c>
      <c r="Q119" s="1">
        <f>VLOOKUP($B119&amp;"__wt",'SegEnds_Xtal_BW#'!$A:$Z,17,FALSE)</f>
        <v>50</v>
      </c>
      <c r="R119" s="1">
        <f>VLOOKUP($B119&amp;"__wt",'SegEnds_Xtal_BW#'!$A:$Z,18,FALSE)</f>
        <v>52</v>
      </c>
      <c r="S119" s="1">
        <v>35</v>
      </c>
      <c r="T119" s="1">
        <f t="array" ref="T119">INDEX(ICL3_classA!$G$2:$G$37,MATCH(MIN(ABS(AI119-ICL3_classA!$F$2:$F$37)),ABS(AI119-ICL3_classA!$F$2:$F$37),0))</f>
        <v>76</v>
      </c>
      <c r="U119" s="1">
        <f t="array" ref="U119">INDEX(ICL3_classA!$H$2:$H$37,MATCH(MIN(ABS(AI119-ICL3_classA!$F$2:$F$37)),ABS(AI119-ICL3_classA!$F$2:$F$37),0))</f>
        <v>24</v>
      </c>
      <c r="V119" s="1">
        <v>61</v>
      </c>
      <c r="W119" s="133">
        <v>27</v>
      </c>
      <c r="X119" s="1">
        <f>VLOOKUP($B119&amp;"__wt",'SegEnds_Xtal_BW#'!$A:$Z,24,FALSE)</f>
        <v>56</v>
      </c>
      <c r="Y119" s="1">
        <f>VLOOKUP($B119&amp;"__wt",'SegEnds_Xtal_BW#'!$A:$Z,25,FALSE)</f>
        <v>47</v>
      </c>
      <c r="Z119" s="1">
        <f>VLOOKUP($B119&amp;"__wt",'SegEnds_Xtal_BW#'!$A:$Z,26,FALSE)</f>
        <v>58</v>
      </c>
      <c r="AA119" s="27" t="str">
        <f>VLOOKUP(A119,Classification!A:B,2,FALSE)</f>
        <v>A</v>
      </c>
      <c r="AB119" s="1">
        <f>VLOOKUP(A119,'SegEnds_NonXtal_Prot#'!A:AL,10,FALSE)-VLOOKUP(A119,'SegEnds_NonXtal_Prot#'!A:AL,4,FALSE)</f>
        <v>28</v>
      </c>
      <c r="AC119" s="1">
        <f>VLOOKUP(A119,'SegEnds_NonXtal_Prot#'!A:AL,10,FALSE)-VLOOKUP(A119,'SegEnds_NonXtal_Prot#'!A:AL,7,FALSE)</f>
        <v>15</v>
      </c>
      <c r="AD119" s="1">
        <f>VLOOKUP(A119,'SegEnds_NonXtal_Prot#'!A:AL,13,FALSE)-VLOOKUP(A119,'SegEnds_NonXtal_Prot#'!A:AL,10,FALSE)</f>
        <v>21</v>
      </c>
      <c r="AE119" s="1">
        <f>VLOOKUP(A119,'SegEnds_NonXtal_Prot#'!A:AL,16,FALSE)-VLOOKUP(A119,'SegEnds_NonXtal_Prot#'!A:AL,10,FALSE)</f>
        <v>53</v>
      </c>
      <c r="AF119" s="1">
        <f>VLOOKUP(A119,'SegEnds_NonXtal_Prot#'!A:AL,22,FALSE)-VLOOKUP(A119,'SegEnds_NonXtal_Prot#'!A:AL,19,FALSE)</f>
        <v>20</v>
      </c>
      <c r="AG119" s="1">
        <f>VLOOKUP(A119,'SegEnds_NonXtal_Prot#'!A:AL,28,FALSE)-VLOOKUP(A119,'SegEnds_NonXtal_Prot#'!A:AL,25,FALSE)</f>
        <v>22</v>
      </c>
      <c r="AH119" s="1">
        <f>VLOOKUP(A119,'SegEnds_NonXtal_Prot#'!A:AL,28,FALSE)-VLOOKUP(A119,'SegEnds_NonXtal_Prot#'!A:AL,22,FALSE)</f>
        <v>49</v>
      </c>
      <c r="AI119" s="1">
        <f>VLOOKUP(A119,'SegEnds_NonXtal_Prot#'!A:AL,31,FALSE)-VLOOKUP(A119,'SegEnds_NonXtal_Prot#'!A:AL,28,FALSE)</f>
        <v>110</v>
      </c>
      <c r="AJ119" s="1">
        <f>VLOOKUP(A119,'SegEnds_NonXtal_Prot#'!A:AL,34,FALSE)-VLOOKUP(A119,'SegEnds_NonXtal_Prot#'!A:AL,31,FALSE)</f>
        <v>38</v>
      </c>
      <c r="AK119" s="1">
        <f>VLOOKUP(A119,'SegEnds_NonXtal_Prot#'!A:AL,37,FALSE)-VLOOKUP(A119,'SegEnds_NonXtal_Prot#'!A:AL,34,FALSE)</f>
        <v>10</v>
      </c>
      <c r="AL119" s="1" t="str">
        <f>IF(ISERROR(MATCH(A119,'SegEnds_Xtal_Prot#'!B:B, 0)), "NoXtal", "Xtal")</f>
        <v>Xtal</v>
      </c>
    </row>
    <row r="120" spans="1:38" x14ac:dyDescent="0.2">
      <c r="A120" s="1" t="s">
        <v>140</v>
      </c>
      <c r="B120" s="1" t="str">
        <f>VLOOKUP(A120,Xtal_Templ!A:B,2,FALSE)</f>
        <v>aa2ar_human</v>
      </c>
      <c r="C120" s="5">
        <f>VLOOKUP($B120&amp;"__wt",'SegEnds_Xtal_BW#'!$A:$Z,3,FALSE)</f>
        <v>27</v>
      </c>
      <c r="D120" s="1">
        <f>VLOOKUP($B120&amp;"__wt",'SegEnds_Xtal_BW#'!$A:$Z,4,FALSE)</f>
        <v>60</v>
      </c>
      <c r="E120" s="1">
        <f>VLOOKUP($B120&amp;"__wt",'SegEnds_Xtal_BW#'!$A:$Z,5,FALSE)</f>
        <v>48</v>
      </c>
      <c r="F120" s="1">
        <f>VLOOKUP($B120&amp;"__wt",'SegEnds_Xtal_BW#'!$A:$Z,6,FALSE)</f>
        <v>51</v>
      </c>
      <c r="G120" s="1">
        <v>37</v>
      </c>
      <c r="H120" s="12">
        <v>66</v>
      </c>
      <c r="I120" s="1">
        <f>VLOOKUP($B120&amp;"__wt",'SegEnds_Xtal_BW#'!$A:$Z,9,FALSE)</f>
        <v>50</v>
      </c>
      <c r="J120" s="1">
        <f>VLOOKUP($B120&amp;"__wt",'SegEnds_Xtal_BW#'!$A:$Z,10,FALSE)</f>
        <v>52</v>
      </c>
      <c r="K120" s="12">
        <v>24</v>
      </c>
      <c r="L120" s="1">
        <f>VLOOKUP($B120&amp;"__wt",'SegEnds_Xtal_BW#'!$A:$Z,12,FALSE)</f>
        <v>56</v>
      </c>
      <c r="M120" s="1">
        <f>VLOOKUP($B120&amp;"__wt",'SegEnds_Xtal_BW#'!$A:$Z,13,FALSE)</f>
        <v>50</v>
      </c>
      <c r="N120" s="12">
        <v>57</v>
      </c>
      <c r="O120" s="87">
        <v>38</v>
      </c>
      <c r="P120" s="1">
        <f>VLOOKUP($B120&amp;"__wt",'SegEnds_Xtal_BW#'!$A:$Z,16,FALSE)</f>
        <v>63</v>
      </c>
      <c r="Q120" s="1">
        <f>VLOOKUP($B120&amp;"__wt",'SegEnds_Xtal_BW#'!$A:$Z,17,FALSE)</f>
        <v>50</v>
      </c>
      <c r="R120" s="1">
        <f>VLOOKUP($B120&amp;"__wt",'SegEnds_Xtal_BW#'!$A:$Z,18,FALSE)</f>
        <v>52</v>
      </c>
      <c r="S120" s="1">
        <f>VLOOKUP($B120&amp;"__wt",'SegEnds_Xtal_BW#'!$A:$Z,19,FALSE)</f>
        <v>34</v>
      </c>
      <c r="T120" s="1">
        <f t="array" ref="T120">INDEX(ICL3_classA!$G$2:$G$37,MATCH(MIN(ABS(AI120-ICL3_classA!$F$2:$F$37)),ABS(AI120-ICL3_classA!$F$2:$F$37),0))</f>
        <v>73</v>
      </c>
      <c r="U120" s="1">
        <f t="array" ref="U120">INDEX(ICL3_classA!$H$2:$H$37,MATCH(MIN(ABS(AI120-ICL3_classA!$F$2:$F$37)),ABS(AI120-ICL3_classA!$F$2:$F$37),0))</f>
        <v>22</v>
      </c>
      <c r="V120" s="1">
        <v>61</v>
      </c>
      <c r="W120" s="133">
        <f>VLOOKUP($B120&amp;"__wt",'SegEnds_Xtal_BW#'!$A:$Z,23,FALSE)</f>
        <v>31</v>
      </c>
      <c r="X120" s="1">
        <f>VLOOKUP($B120&amp;"__wt",'SegEnds_Xtal_BW#'!$A:$Z,24,FALSE)</f>
        <v>56</v>
      </c>
      <c r="Y120" s="1">
        <f>VLOOKUP($B120&amp;"__wt",'SegEnds_Xtal_BW#'!$A:$Z,25,FALSE)</f>
        <v>47</v>
      </c>
      <c r="Z120" s="1">
        <f>VLOOKUP($B120&amp;"__wt",'SegEnds_Xtal_BW#'!$A:$Z,26,FALSE)</f>
        <v>69</v>
      </c>
      <c r="AA120" s="27" t="str">
        <f>VLOOKUP(A120,Classification!A:B,2,FALSE)</f>
        <v>A</v>
      </c>
      <c r="AB120" s="1">
        <f>VLOOKUP(A120,'SegEnds_NonXtal_Prot#'!A:AL,10,FALSE)-VLOOKUP(A120,'SegEnds_NonXtal_Prot#'!A:AL,4,FALSE)</f>
        <v>28</v>
      </c>
      <c r="AC120" s="1">
        <f>VLOOKUP(A120,'SegEnds_NonXtal_Prot#'!A:AL,10,FALSE)-VLOOKUP(A120,'SegEnds_NonXtal_Prot#'!A:AL,7,FALSE)</f>
        <v>15</v>
      </c>
      <c r="AD120" s="1">
        <f>VLOOKUP(A120,'SegEnds_NonXtal_Prot#'!A:AL,13,FALSE)-VLOOKUP(A120,'SegEnds_NonXtal_Prot#'!A:AL,10,FALSE)</f>
        <v>18</v>
      </c>
      <c r="AE120" s="1">
        <f>VLOOKUP(A120,'SegEnds_NonXtal_Prot#'!A:AL,16,FALSE)-VLOOKUP(A120,'SegEnds_NonXtal_Prot#'!A:AL,10,FALSE)</f>
        <v>50</v>
      </c>
      <c r="AF120" s="1">
        <f>VLOOKUP(A120,'SegEnds_NonXtal_Prot#'!A:AL,22,FALSE)-VLOOKUP(A120,'SegEnds_NonXtal_Prot#'!A:AL,19,FALSE)</f>
        <v>20</v>
      </c>
      <c r="AG120" s="1">
        <f>VLOOKUP(A120,'SegEnds_NonXtal_Prot#'!A:AL,28,FALSE)-VLOOKUP(A120,'SegEnds_NonXtal_Prot#'!A:AL,25,FALSE)</f>
        <v>23</v>
      </c>
      <c r="AH120" s="1">
        <f>VLOOKUP(A120,'SegEnds_NonXtal_Prot#'!A:AL,28,FALSE)-VLOOKUP(A120,'SegEnds_NonXtal_Prot#'!A:AL,22,FALSE)</f>
        <v>64</v>
      </c>
      <c r="AI120" s="1">
        <f>VLOOKUP(A120,'SegEnds_NonXtal_Prot#'!A:AL,31,FALSE)-VLOOKUP(A120,'SegEnds_NonXtal_Prot#'!A:AL,28,FALSE)</f>
        <v>55</v>
      </c>
      <c r="AJ120" s="1">
        <f>VLOOKUP(A120,'SegEnds_NonXtal_Prot#'!A:AL,34,FALSE)-VLOOKUP(A120,'SegEnds_NonXtal_Prot#'!A:AL,31,FALSE)</f>
        <v>38</v>
      </c>
      <c r="AK120" s="1">
        <f>VLOOKUP(A120,'SegEnds_NonXtal_Prot#'!A:AL,37,FALSE)-VLOOKUP(A120,'SegEnds_NonXtal_Prot#'!A:AL,34,FALSE)</f>
        <v>10</v>
      </c>
      <c r="AL120" s="1" t="str">
        <f>IF(ISERROR(MATCH(A120,'SegEnds_Xtal_Prot#'!B:B, 0)), "NoXtal", "Xtal")</f>
        <v>NoXtal</v>
      </c>
    </row>
    <row r="121" spans="1:38" x14ac:dyDescent="0.2">
      <c r="A121" s="1" t="s">
        <v>181</v>
      </c>
      <c r="B121" s="1" t="str">
        <f>VLOOKUP(A121,Xtal_Templ!A:B,2,FALSE)</f>
        <v>agtr1_human</v>
      </c>
      <c r="C121" s="5">
        <f>VLOOKUP($B121&amp;"__wt",'SegEnds_Xtal_BW#'!$A:$Z,3,FALSE)</f>
        <v>28</v>
      </c>
      <c r="D121" s="1">
        <f>VLOOKUP($B121&amp;"__wt",'SegEnds_Xtal_BW#'!$A:$Z,4,FALSE)</f>
        <v>60</v>
      </c>
      <c r="E121" s="1">
        <f>VLOOKUP($B121&amp;"__wt",'SegEnds_Xtal_BW#'!$A:$Z,5,FALSE)</f>
        <v>48</v>
      </c>
      <c r="F121" s="1">
        <f>VLOOKUP($B121&amp;"__wt",'SegEnds_Xtal_BW#'!$A:$Z,6,FALSE)</f>
        <v>51</v>
      </c>
      <c r="G121" s="1">
        <v>37</v>
      </c>
      <c r="H121" s="12">
        <f>VLOOKUP($B121&amp;"__wt",'SegEnds_Xtal_BW#'!$A:$Z,8,FALSE)</f>
        <v>66</v>
      </c>
      <c r="I121" s="1">
        <f>VLOOKUP($B121&amp;"__wt",'SegEnds_Xtal_BW#'!$A:$Z,9,FALSE)</f>
        <v>49</v>
      </c>
      <c r="J121" s="1">
        <f>VLOOKUP($B121&amp;"__wt",'SegEnds_Xtal_BW#'!$A:$Z,10,FALSE)</f>
        <v>52</v>
      </c>
      <c r="K121" s="12">
        <v>18</v>
      </c>
      <c r="L121" s="1">
        <f>VLOOKUP($B121&amp;"__wt",'SegEnds_Xtal_BW#'!$A:$Z,12,FALSE)</f>
        <v>56</v>
      </c>
      <c r="M121" s="1">
        <f>VLOOKUP($B121&amp;"__wt",'SegEnds_Xtal_BW#'!$A:$Z,13,FALSE)</f>
        <v>50</v>
      </c>
      <c r="N121" s="12">
        <v>57</v>
      </c>
      <c r="O121" s="87">
        <v>38</v>
      </c>
      <c r="P121" s="1">
        <f>VLOOKUP($B121&amp;"__wt",'SegEnds_Xtal_BW#'!$A:$Z,16,FALSE)</f>
        <v>64</v>
      </c>
      <c r="Q121" s="1">
        <f>VLOOKUP($B121&amp;"__wt",'SegEnds_Xtal_BW#'!$A:$Z,17,FALSE)</f>
        <v>50</v>
      </c>
      <c r="R121" s="1">
        <f>VLOOKUP($B121&amp;"__wt",'SegEnds_Xtal_BW#'!$A:$Z,18,FALSE)</f>
        <v>52</v>
      </c>
      <c r="S121" s="1">
        <f>VLOOKUP($B121&amp;"__wt",'SegEnds_Xtal_BW#'!$A:$Z,19,FALSE)</f>
        <v>34</v>
      </c>
      <c r="T121" s="1">
        <f t="array" ref="T121">INDEX(ICL3_classA!$G$2:$G$37,MATCH(MIN(ABS(AI121-ICL3_classA!$F$2:$F$37)),ABS(AI121-ICL3_classA!$F$2:$F$37),0))</f>
        <v>68</v>
      </c>
      <c r="U121" s="1">
        <f t="array" ref="U121">INDEX(ICL3_classA!$H$2:$H$37,MATCH(MIN(ABS(AI121-ICL3_classA!$F$2:$F$37)),ABS(AI121-ICL3_classA!$F$2:$F$37),0))</f>
        <v>30</v>
      </c>
      <c r="V121" s="1">
        <v>61</v>
      </c>
      <c r="W121" s="108">
        <v>25</v>
      </c>
      <c r="X121" s="1">
        <f>VLOOKUP($B121&amp;"__wt",'SegEnds_Xtal_BW#'!$A:$Z,24,FALSE)</f>
        <v>56</v>
      </c>
      <c r="Y121" s="1">
        <f>VLOOKUP($B121&amp;"__wt",'SegEnds_Xtal_BW#'!$A:$Z,25,FALSE)</f>
        <v>47</v>
      </c>
      <c r="Z121" s="1">
        <f>VLOOKUP($B121&amp;"__wt",'SegEnds_Xtal_BW#'!$A:$Z,26,FALSE)</f>
        <v>61</v>
      </c>
      <c r="AA121" s="27" t="str">
        <f>VLOOKUP(A121,Classification!A:B,2,FALSE)</f>
        <v>A</v>
      </c>
      <c r="AB121" s="1">
        <f>VLOOKUP(A121,'SegEnds_NonXtal_Prot#'!A:AL,10,FALSE)-VLOOKUP(A121,'SegEnds_NonXtal_Prot#'!A:AL,4,FALSE)</f>
        <v>27</v>
      </c>
      <c r="AC121" s="1" t="e">
        <f>VLOOKUP(A121,'SegEnds_NonXtal_Prot#'!A:AL,10,FALSE)-VLOOKUP(A121,'SegEnds_NonXtal_Prot#'!A:AL,7,FALSE)</f>
        <v>#VALUE!</v>
      </c>
      <c r="AD121" s="1">
        <f>VLOOKUP(A121,'SegEnds_NonXtal_Prot#'!A:AL,13,FALSE)-VLOOKUP(A121,'SegEnds_NonXtal_Prot#'!A:AL,10,FALSE)</f>
        <v>20</v>
      </c>
      <c r="AE121" s="1">
        <f>VLOOKUP(A121,'SegEnds_NonXtal_Prot#'!A:AL,16,FALSE)-VLOOKUP(A121,'SegEnds_NonXtal_Prot#'!A:AL,10,FALSE)</f>
        <v>52</v>
      </c>
      <c r="AF121" s="1">
        <f>VLOOKUP(A121,'SegEnds_NonXtal_Prot#'!A:AL,22,FALSE)-VLOOKUP(A121,'SegEnds_NonXtal_Prot#'!A:AL,19,FALSE)</f>
        <v>20</v>
      </c>
      <c r="AG121" s="1">
        <f>VLOOKUP(A121,'SegEnds_NonXtal_Prot#'!A:AL,28,FALSE)-VLOOKUP(A121,'SegEnds_NonXtal_Prot#'!A:AL,25,FALSE)</f>
        <v>43</v>
      </c>
      <c r="AH121" s="1">
        <f>VLOOKUP(A121,'SegEnds_NonXtal_Prot#'!A:AL,28,FALSE)-VLOOKUP(A121,'SegEnds_NonXtal_Prot#'!A:AL,22,FALSE)</f>
        <v>68</v>
      </c>
      <c r="AI121" s="1">
        <f>VLOOKUP(A121,'SegEnds_NonXtal_Prot#'!A:AL,31,FALSE)-VLOOKUP(A121,'SegEnds_NonXtal_Prot#'!A:AL,28,FALSE)</f>
        <v>43</v>
      </c>
      <c r="AJ121" s="1">
        <f>VLOOKUP(A121,'SegEnds_NonXtal_Prot#'!A:AL,34,FALSE)-VLOOKUP(A121,'SegEnds_NonXtal_Prot#'!A:AL,31,FALSE)</f>
        <v>38</v>
      </c>
      <c r="AK121" s="1">
        <f>VLOOKUP(A121,'SegEnds_NonXtal_Prot#'!A:AL,37,FALSE)-VLOOKUP(A121,'SegEnds_NonXtal_Prot#'!A:AL,34,FALSE)</f>
        <v>10</v>
      </c>
      <c r="AL121" s="1" t="str">
        <f>IF(ISERROR(MATCH(A121,'SegEnds_Xtal_Prot#'!B:B, 0)), "NoXtal", "Xtal")</f>
        <v>NoXtal</v>
      </c>
    </row>
    <row r="122" spans="1:38" x14ac:dyDescent="0.2">
      <c r="A122" s="1" t="s">
        <v>205</v>
      </c>
      <c r="B122" s="1" t="str">
        <f>VLOOKUP(A122,Xtal_Templ!A:B,2,FALSE)</f>
        <v>oprk_human</v>
      </c>
      <c r="C122" s="5">
        <f>VLOOKUP($B122&amp;"__wt",'SegEnds_Xtal_BW#'!$A:$Z,3,FALSE)</f>
        <v>30</v>
      </c>
      <c r="D122" s="1">
        <f>VLOOKUP($B122&amp;"__wt",'SegEnds_Xtal_BW#'!$A:$Z,4,FALSE)</f>
        <v>60</v>
      </c>
      <c r="E122" s="1">
        <f>VLOOKUP($B122&amp;"__wt",'SegEnds_Xtal_BW#'!$A:$Z,5,FALSE)</f>
        <v>48</v>
      </c>
      <c r="F122" s="1">
        <f>VLOOKUP($B122&amp;"__wt",'SegEnds_Xtal_BW#'!$A:$Z,6,FALSE)</f>
        <v>51</v>
      </c>
      <c r="G122" s="1">
        <v>37</v>
      </c>
      <c r="H122" s="12">
        <f>VLOOKUP($B122&amp;"__wt",'SegEnds_Xtal_BW#'!$A:$Z,8,FALSE)</f>
        <v>67</v>
      </c>
      <c r="I122" s="1">
        <f>VLOOKUP($B122&amp;"__wt",'SegEnds_Xtal_BW#'!$A:$Z,9,FALSE)</f>
        <v>49</v>
      </c>
      <c r="J122" s="1">
        <f>VLOOKUP($B122&amp;"__wt",'SegEnds_Xtal_BW#'!$A:$Z,10,FALSE)</f>
        <v>52</v>
      </c>
      <c r="K122" s="12">
        <v>18</v>
      </c>
      <c r="L122" s="1">
        <f>VLOOKUP($B122&amp;"__wt",'SegEnds_Xtal_BW#'!$A:$Z,12,FALSE)</f>
        <v>56</v>
      </c>
      <c r="M122" s="1">
        <f>VLOOKUP($B122&amp;"__wt",'SegEnds_Xtal_BW#'!$A:$Z,13,FALSE)</f>
        <v>50</v>
      </c>
      <c r="N122" s="12">
        <v>57</v>
      </c>
      <c r="O122" s="87">
        <f>VLOOKUP($B122&amp;"__wt",'SegEnds_Xtal_BW#'!$A:$Z,15,FALSE)</f>
        <v>38</v>
      </c>
      <c r="P122" s="1">
        <f>VLOOKUP($B122&amp;"__wt",'SegEnds_Xtal_BW#'!$A:$Z,16,FALSE)</f>
        <v>64</v>
      </c>
      <c r="Q122" s="1">
        <f>VLOOKUP($B122&amp;"__wt",'SegEnds_Xtal_BW#'!$A:$Z,17,FALSE)</f>
        <v>50</v>
      </c>
      <c r="R122" s="1">
        <f>VLOOKUP($B122&amp;"__wt",'SegEnds_Xtal_BW#'!$A:$Z,18,FALSE)</f>
        <v>52</v>
      </c>
      <c r="S122" s="1">
        <f>VLOOKUP($B122&amp;"__wt",'SegEnds_Xtal_BW#'!$A:$Z,19,FALSE)</f>
        <v>30</v>
      </c>
      <c r="T122" s="1">
        <f t="array" ref="T122">INDEX(ICL3_classA!$G$2:$G$37,MATCH(MIN(ABS(AI122-ICL3_classA!$F$2:$F$37)),ABS(AI122-ICL3_classA!$F$2:$F$37),0))</f>
        <v>72</v>
      </c>
      <c r="U122" s="1">
        <f t="array" ref="U122">INDEX(ICL3_classA!$H$2:$H$37,MATCH(MIN(ABS(AI122-ICL3_classA!$F$2:$F$37)),ABS(AI122-ICL3_classA!$F$2:$F$37),0))</f>
        <v>29</v>
      </c>
      <c r="V122" s="1">
        <v>61</v>
      </c>
      <c r="W122" s="133">
        <f>VLOOKUP($B122&amp;"__wt",'SegEnds_Xtal_BW#'!$A:$Z,23,FALSE)</f>
        <v>28</v>
      </c>
      <c r="X122" s="1">
        <f>VLOOKUP($B122&amp;"__wt",'SegEnds_Xtal_BW#'!$A:$Z,24,FALSE)</f>
        <v>56</v>
      </c>
      <c r="Y122" s="1">
        <f>VLOOKUP($B122&amp;"__wt",'SegEnds_Xtal_BW#'!$A:$Z,25,FALSE)</f>
        <v>47</v>
      </c>
      <c r="Z122" s="1">
        <f>VLOOKUP($B122&amp;"__wt",'SegEnds_Xtal_BW#'!$A:$Z,26,FALSE)</f>
        <v>59</v>
      </c>
      <c r="AA122" s="27" t="str">
        <f>VLOOKUP(A122,Classification!A:B,2,FALSE)</f>
        <v>A</v>
      </c>
      <c r="AB122" s="1">
        <f>VLOOKUP(A122,'SegEnds_NonXtal_Prot#'!A:AL,10,FALSE)-VLOOKUP(A122,'SegEnds_NonXtal_Prot#'!A:AL,4,FALSE)</f>
        <v>30</v>
      </c>
      <c r="AC122" s="1" t="e">
        <f>VLOOKUP(A122,'SegEnds_NonXtal_Prot#'!A:AL,10,FALSE)-VLOOKUP(A122,'SegEnds_NonXtal_Prot#'!A:AL,7,FALSE)</f>
        <v>#VALUE!</v>
      </c>
      <c r="AD122" s="1">
        <f>VLOOKUP(A122,'SegEnds_NonXtal_Prot#'!A:AL,13,FALSE)-VLOOKUP(A122,'SegEnds_NonXtal_Prot#'!A:AL,10,FALSE)</f>
        <v>20</v>
      </c>
      <c r="AE122" s="1">
        <f>VLOOKUP(A122,'SegEnds_NonXtal_Prot#'!A:AL,16,FALSE)-VLOOKUP(A122,'SegEnds_NonXtal_Prot#'!A:AL,10,FALSE)</f>
        <v>52</v>
      </c>
      <c r="AF122" s="1">
        <f>VLOOKUP(A122,'SegEnds_NonXtal_Prot#'!A:AL,22,FALSE)-VLOOKUP(A122,'SegEnds_NonXtal_Prot#'!A:AL,19,FALSE)</f>
        <v>20</v>
      </c>
      <c r="AG122" s="1">
        <f>VLOOKUP(A122,'SegEnds_NonXtal_Prot#'!A:AL,28,FALSE)-VLOOKUP(A122,'SegEnds_NonXtal_Prot#'!A:AL,25,FALSE)</f>
        <v>25</v>
      </c>
      <c r="AH122" s="1">
        <f>VLOOKUP(A122,'SegEnds_NonXtal_Prot#'!A:AL,28,FALSE)-VLOOKUP(A122,'SegEnds_NonXtal_Prot#'!A:AL,22,FALSE)</f>
        <v>52</v>
      </c>
      <c r="AI122" s="1">
        <f>VLOOKUP(A122,'SegEnds_NonXtal_Prot#'!A:AL,31,FALSE)-VLOOKUP(A122,'SegEnds_NonXtal_Prot#'!A:AL,28,FALSE)</f>
        <v>50</v>
      </c>
      <c r="AJ122" s="1">
        <f>VLOOKUP(A122,'SegEnds_NonXtal_Prot#'!A:AL,34,FALSE)-VLOOKUP(A122,'SegEnds_NonXtal_Prot#'!A:AL,31,FALSE)</f>
        <v>38</v>
      </c>
      <c r="AK122" s="1">
        <f>VLOOKUP(A122,'SegEnds_NonXtal_Prot#'!A:AL,37,FALSE)-VLOOKUP(A122,'SegEnds_NonXtal_Prot#'!A:AL,34,FALSE)</f>
        <v>10</v>
      </c>
      <c r="AL122" s="1" t="str">
        <f>IF(ISERROR(MATCH(A122,'SegEnds_Xtal_Prot#'!B:B, 0)), "NoXtal", "Xtal")</f>
        <v>NoXtal</v>
      </c>
    </row>
    <row r="123" spans="1:38" x14ac:dyDescent="0.2">
      <c r="A123" s="1" t="s">
        <v>206</v>
      </c>
      <c r="B123" s="1" t="str">
        <f>VLOOKUP(A123,Xtal_Templ!A:B,2,FALSE)</f>
        <v>oprk_human</v>
      </c>
      <c r="C123" s="5">
        <f>VLOOKUP($B123&amp;"__wt",'SegEnds_Xtal_BW#'!$A:$Z,3,FALSE)</f>
        <v>30</v>
      </c>
      <c r="D123" s="1">
        <f>VLOOKUP($B123&amp;"__wt",'SegEnds_Xtal_BW#'!$A:$Z,4,FALSE)</f>
        <v>60</v>
      </c>
      <c r="E123" s="1">
        <f>VLOOKUP($B123&amp;"__wt",'SegEnds_Xtal_BW#'!$A:$Z,5,FALSE)</f>
        <v>48</v>
      </c>
      <c r="F123" s="1">
        <f>VLOOKUP($B123&amp;"__wt",'SegEnds_Xtal_BW#'!$A:$Z,6,FALSE)</f>
        <v>51</v>
      </c>
      <c r="G123" s="1">
        <v>37</v>
      </c>
      <c r="H123" s="12">
        <f>VLOOKUP($B123&amp;"__wt",'SegEnds_Xtal_BW#'!$A:$Z,8,FALSE)</f>
        <v>67</v>
      </c>
      <c r="I123" s="1">
        <f>VLOOKUP($B123&amp;"__wt",'SegEnds_Xtal_BW#'!$A:$Z,9,FALSE)</f>
        <v>49</v>
      </c>
      <c r="J123" s="1">
        <f>VLOOKUP($B123&amp;"__wt",'SegEnds_Xtal_BW#'!$A:$Z,10,FALSE)</f>
        <v>52</v>
      </c>
      <c r="K123" s="12">
        <v>18</v>
      </c>
      <c r="L123" s="1">
        <f>VLOOKUP($B123&amp;"__wt",'SegEnds_Xtal_BW#'!$A:$Z,12,FALSE)</f>
        <v>56</v>
      </c>
      <c r="M123" s="1">
        <f>VLOOKUP($B123&amp;"__wt",'SegEnds_Xtal_BW#'!$A:$Z,13,FALSE)</f>
        <v>50</v>
      </c>
      <c r="N123" s="12">
        <v>57</v>
      </c>
      <c r="O123" s="87">
        <f>VLOOKUP($B123&amp;"__wt",'SegEnds_Xtal_BW#'!$A:$Z,15,FALSE)</f>
        <v>38</v>
      </c>
      <c r="P123" s="1">
        <f>VLOOKUP($B123&amp;"__wt",'SegEnds_Xtal_BW#'!$A:$Z,16,FALSE)</f>
        <v>64</v>
      </c>
      <c r="Q123" s="1">
        <f>VLOOKUP($B123&amp;"__wt",'SegEnds_Xtal_BW#'!$A:$Z,17,FALSE)</f>
        <v>50</v>
      </c>
      <c r="R123" s="1">
        <f>VLOOKUP($B123&amp;"__wt",'SegEnds_Xtal_BW#'!$A:$Z,18,FALSE)</f>
        <v>52</v>
      </c>
      <c r="S123" s="1">
        <f>VLOOKUP($B123&amp;"__wt",'SegEnds_Xtal_BW#'!$A:$Z,19,FALSE)</f>
        <v>30</v>
      </c>
      <c r="T123" s="1">
        <f t="array" ref="T123">INDEX(ICL3_classA!$G$2:$G$37,MATCH(MIN(ABS(AI123-ICL3_classA!$F$2:$F$37)),ABS(AI123-ICL3_classA!$F$2:$F$37),0))</f>
        <v>72</v>
      </c>
      <c r="U123" s="1">
        <f t="array" ref="U123">INDEX(ICL3_classA!$H$2:$H$37,MATCH(MIN(ABS(AI123-ICL3_classA!$F$2:$F$37)),ABS(AI123-ICL3_classA!$F$2:$F$37),0))</f>
        <v>24</v>
      </c>
      <c r="V123" s="1">
        <v>61</v>
      </c>
      <c r="W123" s="133">
        <f>VLOOKUP($B123&amp;"__wt",'SegEnds_Xtal_BW#'!$A:$Z,23,FALSE)</f>
        <v>28</v>
      </c>
      <c r="X123" s="1">
        <f>VLOOKUP($B123&amp;"__wt",'SegEnds_Xtal_BW#'!$A:$Z,24,FALSE)</f>
        <v>56</v>
      </c>
      <c r="Y123" s="1">
        <f>VLOOKUP($B123&amp;"__wt",'SegEnds_Xtal_BW#'!$A:$Z,25,FALSE)</f>
        <v>47</v>
      </c>
      <c r="Z123" s="1">
        <f>VLOOKUP($B123&amp;"__wt",'SegEnds_Xtal_BW#'!$A:$Z,26,FALSE)</f>
        <v>59</v>
      </c>
      <c r="AA123" s="27" t="str">
        <f>VLOOKUP(A123,Classification!A:B,2,FALSE)</f>
        <v>A</v>
      </c>
      <c r="AB123" s="1">
        <f>VLOOKUP(A123,'SegEnds_NonXtal_Prot#'!A:AL,10,FALSE)-VLOOKUP(A123,'SegEnds_NonXtal_Prot#'!A:AL,4,FALSE)</f>
        <v>28</v>
      </c>
      <c r="AC123" s="1">
        <f>VLOOKUP(A123,'SegEnds_NonXtal_Prot#'!A:AL,10,FALSE)-VLOOKUP(A123,'SegEnds_NonXtal_Prot#'!A:AL,7,FALSE)</f>
        <v>15</v>
      </c>
      <c r="AD123" s="1">
        <f>VLOOKUP(A123,'SegEnds_NonXtal_Prot#'!A:AL,13,FALSE)-VLOOKUP(A123,'SegEnds_NonXtal_Prot#'!A:AL,10,FALSE)</f>
        <v>20</v>
      </c>
      <c r="AE123" s="1">
        <f>VLOOKUP(A123,'SegEnds_NonXtal_Prot#'!A:AL,16,FALSE)-VLOOKUP(A123,'SegEnds_NonXtal_Prot#'!A:AL,10,FALSE)</f>
        <v>52</v>
      </c>
      <c r="AF123" s="1">
        <f>VLOOKUP(A123,'SegEnds_NonXtal_Prot#'!A:AL,22,FALSE)-VLOOKUP(A123,'SegEnds_NonXtal_Prot#'!A:AL,19,FALSE)</f>
        <v>20</v>
      </c>
      <c r="AG123" s="1">
        <f>VLOOKUP(A123,'SegEnds_NonXtal_Prot#'!A:AL,28,FALSE)-VLOOKUP(A123,'SegEnds_NonXtal_Prot#'!A:AL,25,FALSE)</f>
        <v>24</v>
      </c>
      <c r="AH123" s="1">
        <f>VLOOKUP(A123,'SegEnds_NonXtal_Prot#'!A:AL,28,FALSE)-VLOOKUP(A123,'SegEnds_NonXtal_Prot#'!A:AL,22,FALSE)</f>
        <v>49</v>
      </c>
      <c r="AI123" s="1">
        <f>VLOOKUP(A123,'SegEnds_NonXtal_Prot#'!A:AL,31,FALSE)-VLOOKUP(A123,'SegEnds_NonXtal_Prot#'!A:AL,28,FALSE)</f>
        <v>52</v>
      </c>
      <c r="AJ123" s="1">
        <f>VLOOKUP(A123,'SegEnds_NonXtal_Prot#'!A:AL,34,FALSE)-VLOOKUP(A123,'SegEnds_NonXtal_Prot#'!A:AL,31,FALSE)</f>
        <v>38</v>
      </c>
      <c r="AK123" s="1">
        <f>VLOOKUP(A123,'SegEnds_NonXtal_Prot#'!A:AL,37,FALSE)-VLOOKUP(A123,'SegEnds_NonXtal_Prot#'!A:AL,34,FALSE)</f>
        <v>10</v>
      </c>
      <c r="AL123" s="1" t="str">
        <f>IF(ISERROR(MATCH(A123,'SegEnds_Xtal_Prot#'!B:B, 0)), "NoXtal", "Xtal")</f>
        <v>NoXtal</v>
      </c>
    </row>
    <row r="124" spans="1:38" x14ac:dyDescent="0.2">
      <c r="A124" s="1" t="s">
        <v>207</v>
      </c>
      <c r="B124" s="1" t="str">
        <f>VLOOKUP(A124,Xtal_Templ!A:B,2,FALSE)</f>
        <v>oprk_human</v>
      </c>
      <c r="C124" s="5">
        <f>VLOOKUP($B124&amp;"__wt",'SegEnds_Xtal_BW#'!$A:$Z,3,FALSE)</f>
        <v>30</v>
      </c>
      <c r="D124" s="1">
        <f>VLOOKUP($B124&amp;"__wt",'SegEnds_Xtal_BW#'!$A:$Z,4,FALSE)</f>
        <v>60</v>
      </c>
      <c r="E124" s="1">
        <f>VLOOKUP($B124&amp;"__wt",'SegEnds_Xtal_BW#'!$A:$Z,5,FALSE)</f>
        <v>48</v>
      </c>
      <c r="F124" s="1">
        <f>VLOOKUP($B124&amp;"__wt",'SegEnds_Xtal_BW#'!$A:$Z,6,FALSE)</f>
        <v>51</v>
      </c>
      <c r="G124" s="1">
        <v>37</v>
      </c>
      <c r="H124" s="12">
        <f>VLOOKUP($B124&amp;"__wt",'SegEnds_Xtal_BW#'!$A:$Z,8,FALSE)</f>
        <v>67</v>
      </c>
      <c r="I124" s="1">
        <f>VLOOKUP($B124&amp;"__wt",'SegEnds_Xtal_BW#'!$A:$Z,9,FALSE)</f>
        <v>49</v>
      </c>
      <c r="J124" s="1">
        <f>VLOOKUP($B124&amp;"__wt",'SegEnds_Xtal_BW#'!$A:$Z,10,FALSE)</f>
        <v>52</v>
      </c>
      <c r="K124" s="12">
        <v>18</v>
      </c>
      <c r="L124" s="1">
        <f>VLOOKUP($B124&amp;"__wt",'SegEnds_Xtal_BW#'!$A:$Z,12,FALSE)</f>
        <v>56</v>
      </c>
      <c r="M124" s="1">
        <f>VLOOKUP($B124&amp;"__wt",'SegEnds_Xtal_BW#'!$A:$Z,13,FALSE)</f>
        <v>50</v>
      </c>
      <c r="N124" s="12">
        <v>57</v>
      </c>
      <c r="O124" s="87">
        <f>VLOOKUP($B124&amp;"__wt",'SegEnds_Xtal_BW#'!$A:$Z,15,FALSE)</f>
        <v>38</v>
      </c>
      <c r="P124" s="1">
        <f>VLOOKUP($B124&amp;"__wt",'SegEnds_Xtal_BW#'!$A:$Z,16,FALSE)</f>
        <v>64</v>
      </c>
      <c r="Q124" s="1">
        <f>VLOOKUP($B124&amp;"__wt",'SegEnds_Xtal_BW#'!$A:$Z,17,FALSE)</f>
        <v>50</v>
      </c>
      <c r="R124" s="1">
        <f>VLOOKUP($B124&amp;"__wt",'SegEnds_Xtal_BW#'!$A:$Z,18,FALSE)</f>
        <v>52</v>
      </c>
      <c r="S124" s="1">
        <f>VLOOKUP($B124&amp;"__wt",'SegEnds_Xtal_BW#'!$A:$Z,19,FALSE)</f>
        <v>30</v>
      </c>
      <c r="T124" s="1">
        <f t="array" ref="T124">INDEX(ICL3_classA!$G$2:$G$37,MATCH(MIN(ABS(AI124-ICL3_classA!$F$2:$F$37)),ABS(AI124-ICL3_classA!$F$2:$F$37),0))</f>
        <v>72</v>
      </c>
      <c r="U124" s="1">
        <f t="array" ref="U124">INDEX(ICL3_classA!$H$2:$H$37,MATCH(MIN(ABS(AI124-ICL3_classA!$F$2:$F$37)),ABS(AI124-ICL3_classA!$F$2:$F$37),0))</f>
        <v>24</v>
      </c>
      <c r="V124" s="1">
        <v>61</v>
      </c>
      <c r="W124" s="133">
        <f>VLOOKUP($B124&amp;"__wt",'SegEnds_Xtal_BW#'!$A:$Z,23,FALSE)</f>
        <v>28</v>
      </c>
      <c r="X124" s="1">
        <f>VLOOKUP($B124&amp;"__wt",'SegEnds_Xtal_BW#'!$A:$Z,24,FALSE)</f>
        <v>56</v>
      </c>
      <c r="Y124" s="1">
        <f>VLOOKUP($B124&amp;"__wt",'SegEnds_Xtal_BW#'!$A:$Z,25,FALSE)</f>
        <v>47</v>
      </c>
      <c r="Z124" s="1">
        <f>VLOOKUP($B124&amp;"__wt",'SegEnds_Xtal_BW#'!$A:$Z,26,FALSE)</f>
        <v>59</v>
      </c>
      <c r="AA124" s="27" t="str">
        <f>VLOOKUP(A124,Classification!A:B,2,FALSE)</f>
        <v>A</v>
      </c>
      <c r="AB124" s="1">
        <f>VLOOKUP(A124,'SegEnds_NonXtal_Prot#'!A:AL,10,FALSE)-VLOOKUP(A124,'SegEnds_NonXtal_Prot#'!A:AL,4,FALSE)</f>
        <v>33</v>
      </c>
      <c r="AC124" s="1">
        <f>VLOOKUP(A124,'SegEnds_NonXtal_Prot#'!A:AL,10,FALSE)-VLOOKUP(A124,'SegEnds_NonXtal_Prot#'!A:AL,7,FALSE)</f>
        <v>19</v>
      </c>
      <c r="AD124" s="1">
        <f>VLOOKUP(A124,'SegEnds_NonXtal_Prot#'!A:AL,13,FALSE)-VLOOKUP(A124,'SegEnds_NonXtal_Prot#'!A:AL,10,FALSE)</f>
        <v>20</v>
      </c>
      <c r="AE124" s="1">
        <f>VLOOKUP(A124,'SegEnds_NonXtal_Prot#'!A:AL,16,FALSE)-VLOOKUP(A124,'SegEnds_NonXtal_Prot#'!A:AL,10,FALSE)</f>
        <v>52</v>
      </c>
      <c r="AF124" s="1">
        <f>VLOOKUP(A124,'SegEnds_NonXtal_Prot#'!A:AL,22,FALSE)-VLOOKUP(A124,'SegEnds_NonXtal_Prot#'!A:AL,19,FALSE)</f>
        <v>20</v>
      </c>
      <c r="AG124" s="1">
        <f>VLOOKUP(A124,'SegEnds_NonXtal_Prot#'!A:AL,28,FALSE)-VLOOKUP(A124,'SegEnds_NonXtal_Prot#'!A:AL,25,FALSE)</f>
        <v>24</v>
      </c>
      <c r="AH124" s="1">
        <f>VLOOKUP(A124,'SegEnds_NonXtal_Prot#'!A:AL,28,FALSE)-VLOOKUP(A124,'SegEnds_NonXtal_Prot#'!A:AL,22,FALSE)</f>
        <v>49</v>
      </c>
      <c r="AI124" s="1">
        <f>VLOOKUP(A124,'SegEnds_NonXtal_Prot#'!A:AL,31,FALSE)-VLOOKUP(A124,'SegEnds_NonXtal_Prot#'!A:AL,28,FALSE)</f>
        <v>54</v>
      </c>
      <c r="AJ124" s="1">
        <f>VLOOKUP(A124,'SegEnds_NonXtal_Prot#'!A:AL,34,FALSE)-VLOOKUP(A124,'SegEnds_NonXtal_Prot#'!A:AL,31,FALSE)</f>
        <v>38</v>
      </c>
      <c r="AK124" s="1">
        <f>VLOOKUP(A124,'SegEnds_NonXtal_Prot#'!A:AL,37,FALSE)-VLOOKUP(A124,'SegEnds_NonXtal_Prot#'!A:AL,34,FALSE)</f>
        <v>10</v>
      </c>
      <c r="AL124" s="1" t="str">
        <f>IF(ISERROR(MATCH(A124,'SegEnds_Xtal_Prot#'!B:B, 0)), "NoXtal", "Xtal")</f>
        <v>NoXtal</v>
      </c>
    </row>
    <row r="125" spans="1:38" x14ac:dyDescent="0.2">
      <c r="A125" s="1" t="s">
        <v>210</v>
      </c>
      <c r="B125" s="1" t="str">
        <f>VLOOKUP(A125,Xtal_Templ!A:B,2,FALSE)</f>
        <v>apj_human</v>
      </c>
      <c r="C125" s="5">
        <f>VLOOKUP($B125&amp;"__wt",'SegEnds_Xtal_BW#'!$A:$Z,3,FALSE)</f>
        <v>33</v>
      </c>
      <c r="D125" s="1">
        <f>VLOOKUP($B125&amp;"__wt",'SegEnds_Xtal_BW#'!$A:$Z,4,FALSE)</f>
        <v>60</v>
      </c>
      <c r="E125" s="1">
        <f>VLOOKUP($B125&amp;"__wt",'SegEnds_Xtal_BW#'!$A:$Z,5,FALSE)</f>
        <v>48</v>
      </c>
      <c r="F125" s="1">
        <f>VLOOKUP($B125&amp;"__wt",'SegEnds_Xtal_BW#'!$A:$Z,6,FALSE)</f>
        <v>52</v>
      </c>
      <c r="G125" s="1">
        <v>37</v>
      </c>
      <c r="H125" s="12">
        <v>66</v>
      </c>
      <c r="I125" s="1">
        <f>VLOOKUP($B125&amp;"__wt",'SegEnds_Xtal_BW#'!$A:$Z,9,FALSE)</f>
        <v>49</v>
      </c>
      <c r="J125" s="1">
        <f>VLOOKUP($B125&amp;"__wt",'SegEnds_Xtal_BW#'!$A:$Z,10,FALSE)</f>
        <v>52</v>
      </c>
      <c r="K125" s="12">
        <v>21</v>
      </c>
      <c r="L125" s="1">
        <f>VLOOKUP($B125&amp;"__wt",'SegEnds_Xtal_BW#'!$A:$Z,12,FALSE)</f>
        <v>56</v>
      </c>
      <c r="M125" s="1">
        <f>VLOOKUP($B125&amp;"__wt",'SegEnds_Xtal_BW#'!$A:$Z,13,FALSE)</f>
        <v>50</v>
      </c>
      <c r="N125" s="12">
        <v>53</v>
      </c>
      <c r="O125" s="87">
        <v>38</v>
      </c>
      <c r="P125" s="1">
        <f>VLOOKUP($B125&amp;"__wt",'SegEnds_Xtal_BW#'!$A:$Z,16,FALSE)</f>
        <v>64</v>
      </c>
      <c r="Q125" s="1">
        <f>VLOOKUP($B125&amp;"__wt",'SegEnds_Xtal_BW#'!$A:$Z,17,FALSE)</f>
        <v>50</v>
      </c>
      <c r="R125" s="1">
        <f>VLOOKUP($B125&amp;"__wt",'SegEnds_Xtal_BW#'!$A:$Z,18,FALSE)</f>
        <v>52</v>
      </c>
      <c r="S125" s="1">
        <f>VLOOKUP($B125&amp;"__wt",'SegEnds_Xtal_BW#'!$A:$Z,19,FALSE)</f>
        <v>30</v>
      </c>
      <c r="T125" s="1">
        <f t="array" ref="T125">INDEX(ICL3_classA!$G$2:$G$37,MATCH(MIN(ABS(AI125-ICL3_classA!$F$2:$F$37)),ABS(AI125-ICL3_classA!$F$2:$F$37),0))</f>
        <v>74</v>
      </c>
      <c r="U125" s="1">
        <f t="array" ref="U125">INDEX(ICL3_classA!$H$2:$H$37,MATCH(MIN(ABS(AI125-ICL3_classA!$F$2:$F$37)),ABS(AI125-ICL3_classA!$F$2:$F$37),0))</f>
        <v>21</v>
      </c>
      <c r="V125" s="1">
        <v>61</v>
      </c>
      <c r="W125" s="108">
        <v>25</v>
      </c>
      <c r="X125" s="1">
        <f>VLOOKUP($B125&amp;"__wt",'SegEnds_Xtal_BW#'!$A:$Z,24,FALSE)</f>
        <v>56</v>
      </c>
      <c r="Y125" s="1">
        <f>VLOOKUP($B125&amp;"__wt",'SegEnds_Xtal_BW#'!$A:$Z,25,FALSE)</f>
        <v>47</v>
      </c>
      <c r="Z125" s="1">
        <f>VLOOKUP($B125&amp;"__wt",'SegEnds_Xtal_BW#'!$A:$Z,26,FALSE)</f>
        <v>61</v>
      </c>
      <c r="AA125" s="27" t="str">
        <f>VLOOKUP(A125,Classification!A:B,2,FALSE)</f>
        <v>A</v>
      </c>
      <c r="AB125" s="1">
        <f>VLOOKUP(A125,'SegEnds_NonXtal_Prot#'!A:AL,10,FALSE)-VLOOKUP(A125,'SegEnds_NonXtal_Prot#'!A:AL,4,FALSE)</f>
        <v>34</v>
      </c>
      <c r="AC125" s="1">
        <f>VLOOKUP(A125,'SegEnds_NonXtal_Prot#'!A:AL,10,FALSE)-VLOOKUP(A125,'SegEnds_NonXtal_Prot#'!A:AL,7,FALSE)</f>
        <v>14</v>
      </c>
      <c r="AD125" s="1">
        <f>VLOOKUP(A125,'SegEnds_NonXtal_Prot#'!A:AL,13,FALSE)-VLOOKUP(A125,'SegEnds_NonXtal_Prot#'!A:AL,10,FALSE)</f>
        <v>20</v>
      </c>
      <c r="AE125" s="1">
        <f>VLOOKUP(A125,'SegEnds_NonXtal_Prot#'!A:AL,16,FALSE)-VLOOKUP(A125,'SegEnds_NonXtal_Prot#'!A:AL,10,FALSE)</f>
        <v>52</v>
      </c>
      <c r="AF125" s="1">
        <f>VLOOKUP(A125,'SegEnds_NonXtal_Prot#'!A:AL,22,FALSE)-VLOOKUP(A125,'SegEnds_NonXtal_Prot#'!A:AL,19,FALSE)</f>
        <v>18</v>
      </c>
      <c r="AG125" s="1">
        <f>VLOOKUP(A125,'SegEnds_NonXtal_Prot#'!A:AL,28,FALSE)-VLOOKUP(A125,'SegEnds_NonXtal_Prot#'!A:AL,25,FALSE)</f>
        <v>23</v>
      </c>
      <c r="AH125" s="1">
        <f>VLOOKUP(A125,'SegEnds_NonXtal_Prot#'!A:AL,28,FALSE)-VLOOKUP(A125,'SegEnds_NonXtal_Prot#'!A:AL,22,FALSE)</f>
        <v>59</v>
      </c>
      <c r="AI125" s="1">
        <f>VLOOKUP(A125,'SegEnds_NonXtal_Prot#'!A:AL,31,FALSE)-VLOOKUP(A125,'SegEnds_NonXtal_Prot#'!A:AL,28,FALSE)</f>
        <v>59</v>
      </c>
      <c r="AJ125" s="1">
        <f>VLOOKUP(A125,'SegEnds_NonXtal_Prot#'!A:AL,34,FALSE)-VLOOKUP(A125,'SegEnds_NonXtal_Prot#'!A:AL,31,FALSE)</f>
        <v>38</v>
      </c>
      <c r="AK125" s="1" t="e">
        <f>VLOOKUP(A125,'SegEnds_NonXtal_Prot#'!A:AL,37,FALSE)-VLOOKUP(A125,'SegEnds_NonXtal_Prot#'!A:AL,34,FALSE)</f>
        <v>#VALUE!</v>
      </c>
      <c r="AL125" s="1" t="str">
        <f>IF(ISERROR(MATCH(A125,'SegEnds_Xtal_Prot#'!B:B, 0)), "NoXtal", "Xtal")</f>
        <v>NoXtal</v>
      </c>
    </row>
    <row r="126" spans="1:38" x14ac:dyDescent="0.2">
      <c r="A126" s="1" t="s">
        <v>215</v>
      </c>
      <c r="B126" s="1" t="str">
        <f>VLOOKUP(A126,Xtal_Templ!A:B,2,FALSE)</f>
        <v>ox1r_human</v>
      </c>
      <c r="C126" s="5">
        <f>VLOOKUP($B126&amp;"__wt",'SegEnds_Xtal_BW#'!$A:$Z,3,FALSE)</f>
        <v>32</v>
      </c>
      <c r="D126" s="1">
        <f>VLOOKUP($B126&amp;"__wt",'SegEnds_Xtal_BW#'!$A:$Z,4,FALSE)</f>
        <v>60</v>
      </c>
      <c r="E126" s="1">
        <f>VLOOKUP($B126&amp;"__wt",'SegEnds_Xtal_BW#'!$A:$Z,5,FALSE)</f>
        <v>48</v>
      </c>
      <c r="F126" s="1">
        <f>VLOOKUP($B126&amp;"__wt",'SegEnds_Xtal_BW#'!$A:$Z,6,FALSE)</f>
        <v>51</v>
      </c>
      <c r="G126" s="1">
        <v>37</v>
      </c>
      <c r="H126" s="12">
        <f>VLOOKUP($B126&amp;"__wt",'SegEnds_Xtal_BW#'!$A:$Z,8,FALSE)</f>
        <v>67</v>
      </c>
      <c r="I126" s="1">
        <f>VLOOKUP($B126&amp;"__wt",'SegEnds_Xtal_BW#'!$A:$Z,9,FALSE)</f>
        <v>49</v>
      </c>
      <c r="J126" s="1">
        <f>VLOOKUP($B126&amp;"__wt",'SegEnds_Xtal_BW#'!$A:$Z,10,FALSE)</f>
        <v>52</v>
      </c>
      <c r="K126" s="12">
        <v>18</v>
      </c>
      <c r="L126" s="1">
        <f>VLOOKUP($B126&amp;"__wt",'SegEnds_Xtal_BW#'!$A:$Z,12,FALSE)</f>
        <v>56</v>
      </c>
      <c r="M126" s="1">
        <f>VLOOKUP($B126&amp;"__wt",'SegEnds_Xtal_BW#'!$A:$Z,13,FALSE)</f>
        <v>50</v>
      </c>
      <c r="N126" s="12">
        <v>56</v>
      </c>
      <c r="O126" s="87">
        <f>VLOOKUP($B126&amp;"__wt",'SegEnds_Xtal_BW#'!$A:$Z,15,FALSE)</f>
        <v>38</v>
      </c>
      <c r="P126" s="1">
        <f>VLOOKUP($B126&amp;"__wt",'SegEnds_Xtal_BW#'!$A:$Z,16,FALSE)</f>
        <v>64</v>
      </c>
      <c r="Q126" s="1">
        <f>VLOOKUP($B126&amp;"__wt",'SegEnds_Xtal_BW#'!$A:$Z,17,FALSE)</f>
        <v>50</v>
      </c>
      <c r="R126" s="1">
        <f>VLOOKUP($B126&amp;"__wt",'SegEnds_Xtal_BW#'!$A:$Z,18,FALSE)</f>
        <v>52</v>
      </c>
      <c r="S126" s="1">
        <f>VLOOKUP($B126&amp;"__wt",'SegEnds_Xtal_BW#'!$A:$Z,19,FALSE)</f>
        <v>32</v>
      </c>
      <c r="T126" s="1">
        <f t="array" ref="T126">INDEX(ICL3_classA!$G$2:$G$37,MATCH(MIN(ABS(AI126-ICL3_classA!$F$2:$F$37)),ABS(AI126-ICL3_classA!$F$2:$F$37),0))</f>
        <v>73</v>
      </c>
      <c r="U126" s="1">
        <f t="array" ref="U126">INDEX(ICL3_classA!$H$2:$H$37,MATCH(MIN(ABS(AI126-ICL3_classA!$F$2:$F$37)),ABS(AI126-ICL3_classA!$F$2:$F$37),0))</f>
        <v>22</v>
      </c>
      <c r="V126" s="1">
        <v>61</v>
      </c>
      <c r="W126" s="133">
        <f>VLOOKUP($B126&amp;"__wt",'SegEnds_Xtal_BW#'!$A:$Z,23,FALSE)</f>
        <v>28</v>
      </c>
      <c r="X126" s="1">
        <f>VLOOKUP($B126&amp;"__wt",'SegEnds_Xtal_BW#'!$A:$Z,24,FALSE)</f>
        <v>56</v>
      </c>
      <c r="Y126" s="1">
        <f>VLOOKUP($B126&amp;"__wt",'SegEnds_Xtal_BW#'!$A:$Z,25,FALSE)</f>
        <v>47</v>
      </c>
      <c r="Z126" s="1">
        <f>VLOOKUP($B126&amp;"__wt",'SegEnds_Xtal_BW#'!$A:$Z,26,FALSE)</f>
        <v>58</v>
      </c>
      <c r="AA126" s="27" t="str">
        <f>VLOOKUP(A126,Classification!A:B,2,FALSE)</f>
        <v>A</v>
      </c>
      <c r="AB126" s="1">
        <f>VLOOKUP(A126,'SegEnds_NonXtal_Prot#'!A:AL,10,FALSE)-VLOOKUP(A126,'SegEnds_NonXtal_Prot#'!A:AL,4,FALSE)</f>
        <v>28</v>
      </c>
      <c r="AC126" s="1">
        <f>VLOOKUP(A126,'SegEnds_NonXtal_Prot#'!A:AL,10,FALSE)-VLOOKUP(A126,'SegEnds_NonXtal_Prot#'!A:AL,7,FALSE)</f>
        <v>15</v>
      </c>
      <c r="AD126" s="1" t="e">
        <f>VLOOKUP(A126,'SegEnds_NonXtal_Prot#'!A:AL,13,FALSE)-VLOOKUP(A126,'SegEnds_NonXtal_Prot#'!A:AL,10,FALSE)</f>
        <v>#VALUE!</v>
      </c>
      <c r="AE126" s="1">
        <f>VLOOKUP(A126,'SegEnds_NonXtal_Prot#'!A:AL,16,FALSE)-VLOOKUP(A126,'SegEnds_NonXtal_Prot#'!A:AL,10,FALSE)</f>
        <v>60</v>
      </c>
      <c r="AF126" s="1" t="e">
        <f>VLOOKUP(A126,'SegEnds_NonXtal_Prot#'!A:AL,22,FALSE)-VLOOKUP(A126,'SegEnds_NonXtal_Prot#'!A:AL,19,FALSE)</f>
        <v>#VALUE!</v>
      </c>
      <c r="AG126" s="1">
        <f>VLOOKUP(A126,'SegEnds_NonXtal_Prot#'!A:AL,28,FALSE)-VLOOKUP(A126,'SegEnds_NonXtal_Prot#'!A:AL,25,FALSE)</f>
        <v>27</v>
      </c>
      <c r="AH126" s="1">
        <f>VLOOKUP(A126,'SegEnds_NonXtal_Prot#'!A:AL,28,FALSE)-VLOOKUP(A126,'SegEnds_NonXtal_Prot#'!A:AL,22,FALSE)</f>
        <v>55</v>
      </c>
      <c r="AI126" s="1">
        <f>VLOOKUP(A126,'SegEnds_NonXtal_Prot#'!A:AL,31,FALSE)-VLOOKUP(A126,'SegEnds_NonXtal_Prot#'!A:AL,28,FALSE)</f>
        <v>57</v>
      </c>
      <c r="AJ126" s="1">
        <f>VLOOKUP(A126,'SegEnds_NonXtal_Prot#'!A:AL,34,FALSE)-VLOOKUP(A126,'SegEnds_NonXtal_Prot#'!A:AL,31,FALSE)</f>
        <v>38</v>
      </c>
      <c r="AK126" s="1">
        <f>VLOOKUP(A126,'SegEnds_NonXtal_Prot#'!A:AL,37,FALSE)-VLOOKUP(A126,'SegEnds_NonXtal_Prot#'!A:AL,34,FALSE)</f>
        <v>10</v>
      </c>
      <c r="AL126" s="1" t="str">
        <f>IF(ISERROR(MATCH(A126,'SegEnds_Xtal_Prot#'!B:B, 0)), "NoXtal", "Xtal")</f>
        <v>NoXtal</v>
      </c>
    </row>
    <row r="127" spans="1:38" x14ac:dyDescent="0.2">
      <c r="A127" s="1" t="s">
        <v>223</v>
      </c>
      <c r="B127" s="1" t="str">
        <f>VLOOKUP(A127,Xtal_Templ!A:B,2,FALSE)</f>
        <v>agtr2_human</v>
      </c>
      <c r="C127" s="5">
        <f>VLOOKUP($B127&amp;"__wt",'SegEnds_Xtal_BW#'!$A:$Z,3,FALSE)</f>
        <v>33</v>
      </c>
      <c r="D127" s="1">
        <f>VLOOKUP($B127&amp;"__wt",'SegEnds_Xtal_BW#'!$A:$Z,4,FALSE)</f>
        <v>60</v>
      </c>
      <c r="E127" s="1" t="str">
        <f>VLOOKUP($B127&amp;"__wt",'SegEnds_Xtal_BW#'!$A:$Z,5,FALSE)</f>
        <v>-</v>
      </c>
      <c r="F127" s="1" t="str">
        <f>VLOOKUP($B127&amp;"__wt",'SegEnds_Xtal_BW#'!$A:$Z,6,FALSE)</f>
        <v>-</v>
      </c>
      <c r="G127" s="1">
        <v>37</v>
      </c>
      <c r="H127" s="12">
        <f>VLOOKUP($B127&amp;"__wt",'SegEnds_Xtal_BW#'!$A:$Z,8,FALSE)</f>
        <v>66</v>
      </c>
      <c r="I127" s="1">
        <f>VLOOKUP($B127&amp;"__wt",'SegEnds_Xtal_BW#'!$A:$Z,9,FALSE)</f>
        <v>47</v>
      </c>
      <c r="J127" s="1">
        <f>VLOOKUP($B127&amp;"__wt",'SegEnds_Xtal_BW#'!$A:$Z,10,FALSE)</f>
        <v>52</v>
      </c>
      <c r="K127" s="12">
        <v>18</v>
      </c>
      <c r="L127" s="1">
        <f>VLOOKUP($B127&amp;"__wt",'SegEnds_Xtal_BW#'!$A:$Z,12,FALSE)</f>
        <v>56</v>
      </c>
      <c r="M127" s="1">
        <f>VLOOKUP($B127&amp;"__wt",'SegEnds_Xtal_BW#'!$A:$Z,13,FALSE)</f>
        <v>50</v>
      </c>
      <c r="N127" s="12">
        <v>56</v>
      </c>
      <c r="O127" s="87">
        <f>VLOOKUP($B127&amp;"__wt",'SegEnds_Xtal_BW#'!$A:$Z,15,FALSE)</f>
        <v>38</v>
      </c>
      <c r="P127" s="1">
        <f>VLOOKUP($B127&amp;"__wt",'SegEnds_Xtal_BW#'!$A:$Z,16,FALSE)</f>
        <v>64</v>
      </c>
      <c r="Q127" s="1">
        <f>VLOOKUP($B127&amp;"__wt",'SegEnds_Xtal_BW#'!$A:$Z,17,FALSE)</f>
        <v>50</v>
      </c>
      <c r="R127" s="1">
        <f>VLOOKUP($B127&amp;"__wt",'SegEnds_Xtal_BW#'!$A:$Z,18,FALSE)</f>
        <v>52</v>
      </c>
      <c r="S127" s="1">
        <f>VLOOKUP($B127&amp;"__wt",'SegEnds_Xtal_BW#'!$A:$Z,19,FALSE)</f>
        <v>30</v>
      </c>
      <c r="T127" s="1">
        <f t="array" ref="T127">INDEX(ICL3_classA!$G$2:$G$37,MATCH(MIN(ABS(AI127-ICL3_classA!$F$2:$F$37)),ABS(AI127-ICL3_classA!$F$2:$F$37),0))</f>
        <v>68</v>
      </c>
      <c r="U127" s="1">
        <f t="array" ref="U127">INDEX(ICL3_classA!$H$2:$H$37,MATCH(MIN(ABS(AI127-ICL3_classA!$F$2:$F$37)),ABS(AI127-ICL3_classA!$F$2:$F$37),0))</f>
        <v>23</v>
      </c>
      <c r="V127" s="1">
        <v>61</v>
      </c>
      <c r="W127" s="108">
        <v>25</v>
      </c>
      <c r="X127" s="1">
        <f>VLOOKUP($B127&amp;"__wt",'SegEnds_Xtal_BW#'!$A:$Z,24,FALSE)</f>
        <v>56</v>
      </c>
      <c r="Y127" s="1">
        <f>VLOOKUP($B127&amp;"__wt",'SegEnds_Xtal_BW#'!$A:$Z,25,FALSE)</f>
        <v>47</v>
      </c>
      <c r="Z127" s="1">
        <f>VLOOKUP($B127&amp;"__wt",'SegEnds_Xtal_BW#'!$A:$Z,26,FALSE)</f>
        <v>61</v>
      </c>
      <c r="AA127" s="27" t="str">
        <f>VLOOKUP(A127,Classification!A:B,2,FALSE)</f>
        <v>A</v>
      </c>
      <c r="AB127" s="1">
        <f>VLOOKUP(A127,'SegEnds_NonXtal_Prot#'!A:AL,10,FALSE)-VLOOKUP(A127,'SegEnds_NonXtal_Prot#'!A:AL,4,FALSE)</f>
        <v>30</v>
      </c>
      <c r="AC127" s="1" t="e">
        <f>VLOOKUP(A127,'SegEnds_NonXtal_Prot#'!A:AL,10,FALSE)-VLOOKUP(A127,'SegEnds_NonXtal_Prot#'!A:AL,7,FALSE)</f>
        <v>#VALUE!</v>
      </c>
      <c r="AD127" s="1">
        <f>VLOOKUP(A127,'SegEnds_NonXtal_Prot#'!A:AL,13,FALSE)-VLOOKUP(A127,'SegEnds_NonXtal_Prot#'!A:AL,10,FALSE)</f>
        <v>20</v>
      </c>
      <c r="AE127" s="1">
        <f>VLOOKUP(A127,'SegEnds_NonXtal_Prot#'!A:AL,16,FALSE)-VLOOKUP(A127,'SegEnds_NonXtal_Prot#'!A:AL,10,FALSE)</f>
        <v>52</v>
      </c>
      <c r="AF127" s="1">
        <f>VLOOKUP(A127,'SegEnds_NonXtal_Prot#'!A:AL,22,FALSE)-VLOOKUP(A127,'SegEnds_NonXtal_Prot#'!A:AL,19,FALSE)</f>
        <v>19</v>
      </c>
      <c r="AG127" s="1">
        <f>VLOOKUP(A127,'SegEnds_NonXtal_Prot#'!A:AL,28,FALSE)-VLOOKUP(A127,'SegEnds_NonXtal_Prot#'!A:AL,25,FALSE)</f>
        <v>27</v>
      </c>
      <c r="AH127" s="1">
        <f>VLOOKUP(A127,'SegEnds_NonXtal_Prot#'!A:AL,28,FALSE)-VLOOKUP(A127,'SegEnds_NonXtal_Prot#'!A:AL,22,FALSE)</f>
        <v>52</v>
      </c>
      <c r="AI127" s="1">
        <f>VLOOKUP(A127,'SegEnds_NonXtal_Prot#'!A:AL,31,FALSE)-VLOOKUP(A127,'SegEnds_NonXtal_Prot#'!A:AL,28,FALSE)</f>
        <v>51</v>
      </c>
      <c r="AJ127" s="1">
        <f>VLOOKUP(A127,'SegEnds_NonXtal_Prot#'!A:AL,34,FALSE)-VLOOKUP(A127,'SegEnds_NonXtal_Prot#'!A:AL,31,FALSE)</f>
        <v>38</v>
      </c>
      <c r="AK127" s="1">
        <f>VLOOKUP(A127,'SegEnds_NonXtal_Prot#'!A:AL,37,FALSE)-VLOOKUP(A127,'SegEnds_NonXtal_Prot#'!A:AL,34,FALSE)</f>
        <v>10</v>
      </c>
      <c r="AL127" s="1" t="str">
        <f>IF(ISERROR(MATCH(A127,'SegEnds_Xtal_Prot#'!B:B, 0)), "NoXtal", "Xtal")</f>
        <v>NoXtal</v>
      </c>
    </row>
    <row r="128" spans="1:38" x14ac:dyDescent="0.2">
      <c r="A128" s="4" t="s">
        <v>235</v>
      </c>
      <c r="B128" s="4" t="str">
        <f>VLOOKUP(A128,Xtal_Templ!A:B,2,FALSE)</f>
        <v>lpar1_human</v>
      </c>
      <c r="C128" s="5">
        <f>VLOOKUP($B128&amp;"__wt",'SegEnds_Xtal_BW#'!$A:$Z,3,FALSE)</f>
        <v>30</v>
      </c>
      <c r="D128" s="4">
        <f>VLOOKUP($B128&amp;"__wt",'SegEnds_Xtal_BW#'!$A:$Z,4,FALSE)</f>
        <v>60</v>
      </c>
      <c r="E128" s="4">
        <f>VLOOKUP($B128&amp;"__wt",'SegEnds_Xtal_BW#'!$A:$Z,5,FALSE)</f>
        <v>48</v>
      </c>
      <c r="F128" s="4">
        <f>VLOOKUP($B128&amp;"__wt",'SegEnds_Xtal_BW#'!$A:$Z,6,FALSE)</f>
        <v>51</v>
      </c>
      <c r="G128" s="4">
        <v>37</v>
      </c>
      <c r="H128" s="11">
        <v>66</v>
      </c>
      <c r="I128" s="4">
        <v>48</v>
      </c>
      <c r="J128" s="4">
        <v>52</v>
      </c>
      <c r="K128" s="11">
        <v>24</v>
      </c>
      <c r="L128" s="4">
        <f>VLOOKUP($B128&amp;"__wt",'SegEnds_Xtal_BW#'!$A:$Z,12,FALSE)</f>
        <v>56</v>
      </c>
      <c r="M128" s="4">
        <f>VLOOKUP($B128&amp;"__wt",'SegEnds_Xtal_BW#'!$A:$Z,13,FALSE)</f>
        <v>50</v>
      </c>
      <c r="N128" s="11">
        <f>VLOOKUP($B128&amp;"__wt",'SegEnds_Xtal_BW#'!$A:$Z,14,FALSE)</f>
        <v>56</v>
      </c>
      <c r="O128" s="88">
        <v>38</v>
      </c>
      <c r="P128" s="4">
        <f>VLOOKUP($B128&amp;"__wt",'SegEnds_Xtal_BW#'!$A:$Z,16,FALSE)</f>
        <v>63</v>
      </c>
      <c r="Q128" s="115">
        <v>50</v>
      </c>
      <c r="R128" s="115">
        <v>52</v>
      </c>
      <c r="S128" s="4">
        <v>35</v>
      </c>
      <c r="T128" s="4">
        <f t="array" ref="T128">INDEX(ICL3_classA!$G$2:$G$37,MATCH(MIN(ABS(AI128-ICL3_classA!$F$2:$F$37)),ABS(AI128-ICL3_classA!$F$2:$F$37),0))</f>
        <v>74</v>
      </c>
      <c r="U128" s="4">
        <f t="array" ref="U128">INDEX(ICL3_classA!$H$2:$H$37,MATCH(MIN(ABS(AI128-ICL3_classA!$F$2:$F$37)),ABS(AI128-ICL3_classA!$F$2:$F$37),0))</f>
        <v>21</v>
      </c>
      <c r="V128" s="4">
        <v>61</v>
      </c>
      <c r="W128" s="133">
        <f>VLOOKUP($B128&amp;"__wt",'SegEnds_Xtal_BW#'!$A:$Z,23,FALSE)</f>
        <v>30</v>
      </c>
      <c r="X128" s="4">
        <f>VLOOKUP($B128&amp;"__wt",'SegEnds_Xtal_BW#'!$A:$Z,24,FALSE)</f>
        <v>56</v>
      </c>
      <c r="Y128" s="4">
        <f>VLOOKUP($B128&amp;"__wt",'SegEnds_Xtal_BW#'!$A:$Z,25,FALSE)</f>
        <v>47</v>
      </c>
      <c r="Z128" s="4">
        <f>VLOOKUP($B128&amp;"__wt",'SegEnds_Xtal_BW#'!$A:$Z,26,FALSE)</f>
        <v>59</v>
      </c>
      <c r="AA128" s="27" t="str">
        <f>VLOOKUP(A128,Classification!A:B,2,FALSE)</f>
        <v>A</v>
      </c>
      <c r="AB128" s="1">
        <f>VLOOKUP(A128,'SegEnds_NonXtal_Prot#'!A:AL,10,FALSE)-VLOOKUP(A128,'SegEnds_NonXtal_Prot#'!A:AL,4,FALSE)</f>
        <v>29</v>
      </c>
      <c r="AC128" s="4">
        <f>VLOOKUP(A128,'SegEnds_NonXtal_Prot#'!A:AL,10,FALSE)-VLOOKUP(A128,'SegEnds_NonXtal_Prot#'!A:AL,7,FALSE)</f>
        <v>16</v>
      </c>
      <c r="AD128" s="4" t="e">
        <f>VLOOKUP(A128,'SegEnds_NonXtal_Prot#'!A:AL,13,FALSE)-VLOOKUP(A128,'SegEnds_NonXtal_Prot#'!A:AL,10,FALSE)</f>
        <v>#VALUE!</v>
      </c>
      <c r="AE128" s="4">
        <f>VLOOKUP(A128,'SegEnds_NonXtal_Prot#'!A:AL,16,FALSE)-VLOOKUP(A128,'SegEnds_NonXtal_Prot#'!A:AL,10,FALSE)</f>
        <v>49</v>
      </c>
      <c r="AF128" s="1" t="e">
        <f>VLOOKUP(A128,'SegEnds_NonXtal_Prot#'!A:AL,22,FALSE)-VLOOKUP(A128,'SegEnds_NonXtal_Prot#'!A:AL,19,FALSE)</f>
        <v>#VALUE!</v>
      </c>
      <c r="AG128" s="4">
        <f>VLOOKUP(A128,'SegEnds_NonXtal_Prot#'!A:AL,28,FALSE)-VLOOKUP(A128,'SegEnds_NonXtal_Prot#'!A:AL,25,FALSE)</f>
        <v>21</v>
      </c>
      <c r="AH128" s="1">
        <f>VLOOKUP(A128,'SegEnds_NonXtal_Prot#'!A:AL,28,FALSE)-VLOOKUP(A128,'SegEnds_NonXtal_Prot#'!A:AL,22,FALSE)</f>
        <v>44</v>
      </c>
      <c r="AI128" s="4">
        <f>VLOOKUP(A128,'SegEnds_NonXtal_Prot#'!A:AL,31,FALSE)-VLOOKUP(A128,'SegEnds_NonXtal_Prot#'!A:AL,28,FALSE)</f>
        <v>63</v>
      </c>
      <c r="AJ128" s="4">
        <f>VLOOKUP(A128,'SegEnds_NonXtal_Prot#'!A:AL,34,FALSE)-VLOOKUP(A128,'SegEnds_NonXtal_Prot#'!A:AL,31,FALSE)</f>
        <v>38</v>
      </c>
      <c r="AK128" s="1">
        <f>VLOOKUP(A128,'SegEnds_NonXtal_Prot#'!A:AL,37,FALSE)-VLOOKUP(A128,'SegEnds_NonXtal_Prot#'!A:AL,34,FALSE)</f>
        <v>10</v>
      </c>
      <c r="AL128" s="1" t="str">
        <f>IF(ISERROR(MATCH(A128,'SegEnds_Xtal_Prot#'!B:B, 0)), "NoXtal", "Xtal")</f>
        <v>NoXtal</v>
      </c>
    </row>
    <row r="129" spans="1:38" x14ac:dyDescent="0.2">
      <c r="A129" s="1" t="s">
        <v>243</v>
      </c>
      <c r="B129" s="1" t="str">
        <f>VLOOKUP(A129,Xtal_Templ!A:B,2,FALSE)</f>
        <v>oprk_human</v>
      </c>
      <c r="C129" s="5">
        <f>VLOOKUP($B129&amp;"__wt",'SegEnds_Xtal_BW#'!$A:$Z,3,FALSE)</f>
        <v>30</v>
      </c>
      <c r="D129" s="1">
        <f>VLOOKUP($B129&amp;"__wt",'SegEnds_Xtal_BW#'!$A:$Z,4,FALSE)</f>
        <v>60</v>
      </c>
      <c r="E129" s="1">
        <f>VLOOKUP($B129&amp;"__wt",'SegEnds_Xtal_BW#'!$A:$Z,5,FALSE)</f>
        <v>48</v>
      </c>
      <c r="F129" s="1">
        <f>VLOOKUP($B129&amp;"__wt",'SegEnds_Xtal_BW#'!$A:$Z,6,FALSE)</f>
        <v>51</v>
      </c>
      <c r="G129" s="1">
        <v>37</v>
      </c>
      <c r="H129" s="12">
        <v>66</v>
      </c>
      <c r="I129" s="1">
        <f>VLOOKUP($B129&amp;"__wt",'SegEnds_Xtal_BW#'!$A:$Z,9,FALSE)</f>
        <v>49</v>
      </c>
      <c r="J129" s="1">
        <f>VLOOKUP($B129&amp;"__wt",'SegEnds_Xtal_BW#'!$A:$Z,10,FALSE)</f>
        <v>52</v>
      </c>
      <c r="K129" s="12">
        <v>24</v>
      </c>
      <c r="L129" s="1">
        <f>VLOOKUP($B129&amp;"__wt",'SegEnds_Xtal_BW#'!$A:$Z,12,FALSE)</f>
        <v>56</v>
      </c>
      <c r="M129" s="1">
        <f>VLOOKUP($B129&amp;"__wt",'SegEnds_Xtal_BW#'!$A:$Z,13,FALSE)</f>
        <v>50</v>
      </c>
      <c r="N129" s="12">
        <v>57</v>
      </c>
      <c r="O129" s="87">
        <v>38</v>
      </c>
      <c r="P129" s="1">
        <f>VLOOKUP($B129&amp;"__wt",'SegEnds_Xtal_BW#'!$A:$Z,16,FALSE)</f>
        <v>64</v>
      </c>
      <c r="Q129" s="1">
        <f>VLOOKUP($B129&amp;"__wt",'SegEnds_Xtal_BW#'!$A:$Z,17,FALSE)</f>
        <v>50</v>
      </c>
      <c r="R129" s="1">
        <f>VLOOKUP($B129&amp;"__wt",'SegEnds_Xtal_BW#'!$A:$Z,18,FALSE)</f>
        <v>52</v>
      </c>
      <c r="S129" s="108">
        <v>38</v>
      </c>
      <c r="T129" s="1">
        <f t="array" ref="T129">INDEX(ICL3_classA!$G$2:$G$37,MATCH(MIN(ABS(AI129-ICL3_classA!$F$2:$F$37)),ABS(AI129-ICL3_classA!$F$2:$F$37),0))</f>
        <v>68</v>
      </c>
      <c r="U129" s="1">
        <f t="array" ref="U129">INDEX(ICL3_classA!$H$2:$H$37,MATCH(MIN(ABS(AI129-ICL3_classA!$F$2:$F$37)),ABS(AI129-ICL3_classA!$F$2:$F$37),0))</f>
        <v>24</v>
      </c>
      <c r="V129" s="1">
        <v>61</v>
      </c>
      <c r="W129" s="133">
        <f>VLOOKUP($B129&amp;"__wt",'SegEnds_Xtal_BW#'!$A:$Z,23,FALSE)</f>
        <v>28</v>
      </c>
      <c r="X129" s="1">
        <f>VLOOKUP($B129&amp;"__wt",'SegEnds_Xtal_BW#'!$A:$Z,24,FALSE)</f>
        <v>56</v>
      </c>
      <c r="Y129" s="1">
        <f>VLOOKUP($B129&amp;"__wt",'SegEnds_Xtal_BW#'!$A:$Z,25,FALSE)</f>
        <v>47</v>
      </c>
      <c r="Z129" s="1">
        <f>VLOOKUP($B129&amp;"__wt",'SegEnds_Xtal_BW#'!$A:$Z,26,FALSE)</f>
        <v>59</v>
      </c>
      <c r="AA129" s="27" t="str">
        <f>VLOOKUP(A129,Classification!A:B,2,FALSE)</f>
        <v>A</v>
      </c>
      <c r="AB129" s="1">
        <f>VLOOKUP(A129,'SegEnds_NonXtal_Prot#'!A:AL,10,FALSE)-VLOOKUP(A129,'SegEnds_NonXtal_Prot#'!A:AL,4,FALSE)</f>
        <v>28</v>
      </c>
      <c r="AC129" s="1">
        <f>VLOOKUP(A129,'SegEnds_NonXtal_Prot#'!A:AL,10,FALSE)-VLOOKUP(A129,'SegEnds_NonXtal_Prot#'!A:AL,7,FALSE)</f>
        <v>15</v>
      </c>
      <c r="AD129" s="1" t="e">
        <f>VLOOKUP(A129,'SegEnds_NonXtal_Prot#'!A:AL,13,FALSE)-VLOOKUP(A129,'SegEnds_NonXtal_Prot#'!A:AL,10,FALSE)</f>
        <v>#VALUE!</v>
      </c>
      <c r="AE129" s="1">
        <f>VLOOKUP(A129,'SegEnds_NonXtal_Prot#'!A:AL,16,FALSE)-VLOOKUP(A129,'SegEnds_NonXtal_Prot#'!A:AL,10,FALSE)</f>
        <v>49</v>
      </c>
      <c r="AF129" s="1">
        <f>VLOOKUP(A129,'SegEnds_NonXtal_Prot#'!A:AL,22,FALSE)-VLOOKUP(A129,'SegEnds_NonXtal_Prot#'!A:AL,19,FALSE)</f>
        <v>20</v>
      </c>
      <c r="AG129" s="1" t="e">
        <f>VLOOKUP(A129,'SegEnds_NonXtal_Prot#'!A:AL,28,FALSE)-VLOOKUP(A129,'SegEnds_NonXtal_Prot#'!A:AL,25,FALSE)</f>
        <v>#VALUE!</v>
      </c>
      <c r="AH129" s="1">
        <f>VLOOKUP(A129,'SegEnds_NonXtal_Prot#'!A:AL,28,FALSE)-VLOOKUP(A129,'SegEnds_NonXtal_Prot#'!A:AL,22,FALSE)</f>
        <v>33</v>
      </c>
      <c r="AI129" s="1">
        <f>VLOOKUP(A129,'SegEnds_NonXtal_Prot#'!A:AL,31,FALSE)-VLOOKUP(A129,'SegEnds_NonXtal_Prot#'!A:AL,28,FALSE)</f>
        <v>48</v>
      </c>
      <c r="AJ129" s="1">
        <f>VLOOKUP(A129,'SegEnds_NonXtal_Prot#'!A:AL,34,FALSE)-VLOOKUP(A129,'SegEnds_NonXtal_Prot#'!A:AL,31,FALSE)</f>
        <v>38</v>
      </c>
      <c r="AK129" s="1">
        <f>VLOOKUP(A129,'SegEnds_NonXtal_Prot#'!A:AL,37,FALSE)-VLOOKUP(A129,'SegEnds_NonXtal_Prot#'!A:AL,34,FALSE)</f>
        <v>10</v>
      </c>
      <c r="AL129" s="1" t="str">
        <f>IF(ISERROR(MATCH(A129,'SegEnds_Xtal_Prot#'!B:B, 0)), "NoXtal", "Xtal")</f>
        <v>NoXtal</v>
      </c>
    </row>
    <row r="130" spans="1:38" x14ac:dyDescent="0.2">
      <c r="A130" s="1" t="s">
        <v>305</v>
      </c>
      <c r="B130" s="1" t="str">
        <f>VLOOKUP(A130,Xtal_Templ!A:B,2,FALSE)</f>
        <v>agtr1_human</v>
      </c>
      <c r="C130" s="5">
        <f>VLOOKUP($B130&amp;"__wt",'SegEnds_Xtal_BW#'!$A:$Z,3,FALSE)</f>
        <v>28</v>
      </c>
      <c r="D130" s="1">
        <f>VLOOKUP($B130&amp;"__wt",'SegEnds_Xtal_BW#'!$A:$Z,4,FALSE)</f>
        <v>60</v>
      </c>
      <c r="E130" s="1">
        <f>VLOOKUP($B130&amp;"__wt",'SegEnds_Xtal_BW#'!$A:$Z,5,FALSE)</f>
        <v>48</v>
      </c>
      <c r="F130" s="1">
        <f>VLOOKUP($B130&amp;"__wt",'SegEnds_Xtal_BW#'!$A:$Z,6,FALSE)</f>
        <v>51</v>
      </c>
      <c r="G130" s="1">
        <v>37</v>
      </c>
      <c r="H130" s="12">
        <v>66</v>
      </c>
      <c r="I130" s="1">
        <f>VLOOKUP($B130&amp;"__wt",'SegEnds_Xtal_BW#'!$A:$Z,9,FALSE)</f>
        <v>49</v>
      </c>
      <c r="J130" s="1">
        <f>VLOOKUP($B130&amp;"__wt",'SegEnds_Xtal_BW#'!$A:$Z,10,FALSE)</f>
        <v>52</v>
      </c>
      <c r="K130" s="12">
        <v>24</v>
      </c>
      <c r="L130" s="1">
        <f>VLOOKUP($B130&amp;"__wt",'SegEnds_Xtal_BW#'!$A:$Z,12,FALSE)</f>
        <v>56</v>
      </c>
      <c r="M130" s="1">
        <f>VLOOKUP($B130&amp;"__wt",'SegEnds_Xtal_BW#'!$A:$Z,13,FALSE)</f>
        <v>50</v>
      </c>
      <c r="N130" s="12">
        <v>57</v>
      </c>
      <c r="O130" s="87">
        <v>38</v>
      </c>
      <c r="P130" s="1">
        <f>VLOOKUP($B130&amp;"__wt",'SegEnds_Xtal_BW#'!$A:$Z,16,FALSE)</f>
        <v>64</v>
      </c>
      <c r="Q130" s="1">
        <f>VLOOKUP($B130&amp;"__wt",'SegEnds_Xtal_BW#'!$A:$Z,17,FALSE)</f>
        <v>50</v>
      </c>
      <c r="R130" s="1">
        <f>VLOOKUP($B130&amp;"__wt",'SegEnds_Xtal_BW#'!$A:$Z,18,FALSE)</f>
        <v>52</v>
      </c>
      <c r="S130" s="1">
        <f>VLOOKUP($B130&amp;"__wt",'SegEnds_Xtal_BW#'!$A:$Z,19,FALSE)</f>
        <v>34</v>
      </c>
      <c r="T130" s="1">
        <f t="array" ref="T130">INDEX(ICL3_classA!$G$2:$G$37,MATCH(MIN(ABS(AI130-ICL3_classA!$F$2:$F$37)),ABS(AI130-ICL3_classA!$F$2:$F$37),0))</f>
        <v>68</v>
      </c>
      <c r="U130" s="1">
        <f t="array" ref="U130">INDEX(ICL3_classA!$H$2:$H$37,MATCH(MIN(ABS(AI130-ICL3_classA!$F$2:$F$37)),ABS(AI130-ICL3_classA!$F$2:$F$37),0))</f>
        <v>30</v>
      </c>
      <c r="V130" s="1">
        <v>61</v>
      </c>
      <c r="W130" s="108">
        <v>25</v>
      </c>
      <c r="X130" s="1">
        <f>VLOOKUP($B130&amp;"__wt",'SegEnds_Xtal_BW#'!$A:$Z,24,FALSE)</f>
        <v>56</v>
      </c>
      <c r="Y130" s="1">
        <f>VLOOKUP($B130&amp;"__wt",'SegEnds_Xtal_BW#'!$A:$Z,25,FALSE)</f>
        <v>47</v>
      </c>
      <c r="Z130" s="1">
        <f>VLOOKUP($B130&amp;"__wt",'SegEnds_Xtal_BW#'!$A:$Z,26,FALSE)</f>
        <v>61</v>
      </c>
      <c r="AA130" s="27" t="str">
        <f>VLOOKUP(A130,Classification!A:B,2,FALSE)</f>
        <v>A</v>
      </c>
      <c r="AB130" s="1">
        <f>VLOOKUP(A130,'SegEnds_NonXtal_Prot#'!A:AL,10,FALSE)-VLOOKUP(A130,'SegEnds_NonXtal_Prot#'!A:AL,4,FALSE)</f>
        <v>27</v>
      </c>
      <c r="AC130" s="1" t="e">
        <f>VLOOKUP(A130,'SegEnds_NonXtal_Prot#'!A:AL,10,FALSE)-VLOOKUP(A130,'SegEnds_NonXtal_Prot#'!A:AL,7,FALSE)</f>
        <v>#VALUE!</v>
      </c>
      <c r="AD130" s="1" t="e">
        <f>VLOOKUP(A130,'SegEnds_NonXtal_Prot#'!A:AL,13,FALSE)-VLOOKUP(A130,'SegEnds_NonXtal_Prot#'!A:AL,10,FALSE)</f>
        <v>#VALUE!</v>
      </c>
      <c r="AE130" s="1">
        <f>VLOOKUP(A130,'SegEnds_NonXtal_Prot#'!A:AL,16,FALSE)-VLOOKUP(A130,'SegEnds_NonXtal_Prot#'!A:AL,10,FALSE)</f>
        <v>48</v>
      </c>
      <c r="AF130" s="1">
        <f>VLOOKUP(A130,'SegEnds_NonXtal_Prot#'!A:AL,22,FALSE)-VLOOKUP(A130,'SegEnds_NonXtal_Prot#'!A:AL,19,FALSE)</f>
        <v>20</v>
      </c>
      <c r="AG130" s="1" t="e">
        <f>VLOOKUP(A130,'SegEnds_NonXtal_Prot#'!A:AL,28,FALSE)-VLOOKUP(A130,'SegEnds_NonXtal_Prot#'!A:AL,25,FALSE)</f>
        <v>#VALUE!</v>
      </c>
      <c r="AH130" s="1">
        <f>VLOOKUP(A130,'SegEnds_NonXtal_Prot#'!A:AL,28,FALSE)-VLOOKUP(A130,'SegEnds_NonXtal_Prot#'!A:AL,22,FALSE)</f>
        <v>42</v>
      </c>
      <c r="AI130" s="1">
        <f>VLOOKUP(A130,'SegEnds_NonXtal_Prot#'!A:AL,31,FALSE)-VLOOKUP(A130,'SegEnds_NonXtal_Prot#'!A:AL,28,FALSE)</f>
        <v>42</v>
      </c>
      <c r="AJ130" s="1">
        <f>VLOOKUP(A130,'SegEnds_NonXtal_Prot#'!A:AL,34,FALSE)-VLOOKUP(A130,'SegEnds_NonXtal_Prot#'!A:AL,31,FALSE)</f>
        <v>38</v>
      </c>
      <c r="AK130" s="1">
        <f>VLOOKUP(A130,'SegEnds_NonXtal_Prot#'!A:AL,37,FALSE)-VLOOKUP(A130,'SegEnds_NonXtal_Prot#'!A:AL,34,FALSE)</f>
        <v>10</v>
      </c>
      <c r="AL130" s="1" t="str">
        <f>IF(ISERROR(MATCH(A130,'SegEnds_Xtal_Prot#'!B:B, 0)), "NoXtal", "Xtal")</f>
        <v>NoXtal</v>
      </c>
    </row>
    <row r="131" spans="1:38" x14ac:dyDescent="0.2">
      <c r="A131" s="1" t="s">
        <v>306</v>
      </c>
      <c r="B131" s="1" t="str">
        <f>VLOOKUP(A131,Xtal_Templ!A:B,2,FALSE)</f>
        <v>c5ar1_human</v>
      </c>
      <c r="C131" s="5">
        <f>VLOOKUP($B131&amp;"__wt",'SegEnds_Xtal_BW#'!$A:$Z,3,FALSE)</f>
        <v>29</v>
      </c>
      <c r="D131" s="1">
        <f>VLOOKUP($B131&amp;"__wt",'SegEnds_Xtal_BW#'!$A:$Z,4,FALSE)</f>
        <v>60</v>
      </c>
      <c r="E131" s="1" t="str">
        <f>VLOOKUP($B131&amp;"__wt",'SegEnds_Xtal_BW#'!$A:$Z,5,FALSE)</f>
        <v>-</v>
      </c>
      <c r="F131" s="1" t="str">
        <f>VLOOKUP($B131&amp;"__wt",'SegEnds_Xtal_BW#'!$A:$Z,6,FALSE)</f>
        <v>-</v>
      </c>
      <c r="G131" s="1">
        <v>37</v>
      </c>
      <c r="H131" s="12">
        <f>VLOOKUP($B131&amp;"__wt",'SegEnds_Xtal_BW#'!$A:$Z,8,FALSE)</f>
        <v>67</v>
      </c>
      <c r="I131" s="1">
        <f>VLOOKUP($B131&amp;"__wt",'SegEnds_Xtal_BW#'!$A:$Z,9,FALSE)</f>
        <v>49</v>
      </c>
      <c r="J131" s="1">
        <f>VLOOKUP($B131&amp;"__wt",'SegEnds_Xtal_BW#'!$A:$Z,10,FALSE)</f>
        <v>52</v>
      </c>
      <c r="K131" s="12">
        <v>21</v>
      </c>
      <c r="L131" s="1">
        <f>VLOOKUP($B131&amp;"__wt",'SegEnds_Xtal_BW#'!$A:$Z,12,FALSE)</f>
        <v>56</v>
      </c>
      <c r="M131" s="1">
        <f>VLOOKUP($B131&amp;"__wt",'SegEnds_Xtal_BW#'!$A:$Z,13,FALSE)</f>
        <v>50</v>
      </c>
      <c r="N131" s="12">
        <v>57</v>
      </c>
      <c r="O131" s="87">
        <f>VLOOKUP($B131&amp;"__wt",'SegEnds_Xtal_BW#'!$A:$Z,15,FALSE)</f>
        <v>38</v>
      </c>
      <c r="P131" s="1">
        <f>VLOOKUP($B131&amp;"__wt",'SegEnds_Xtal_BW#'!$A:$Z,16,FALSE)</f>
        <v>64</v>
      </c>
      <c r="Q131" s="1">
        <f>VLOOKUP($B131&amp;"__wt",'SegEnds_Xtal_BW#'!$A:$Z,17,FALSE)</f>
        <v>50</v>
      </c>
      <c r="R131" s="1">
        <f>VLOOKUP($B131&amp;"__wt",'SegEnds_Xtal_BW#'!$A:$Z,18,FALSE)</f>
        <v>52</v>
      </c>
      <c r="S131" s="1">
        <f>VLOOKUP($B131&amp;"__wt",'SegEnds_Xtal_BW#'!$A:$Z,19,FALSE)</f>
        <v>31</v>
      </c>
      <c r="T131" s="1">
        <f t="array" ref="T131">INDEX(ICL3_classA!$G$2:$G$37,MATCH(MIN(ABS(AI131-ICL3_classA!$F$2:$F$37)),ABS(AI131-ICL3_classA!$F$2:$F$37),0))</f>
        <v>68</v>
      </c>
      <c r="U131" s="1">
        <f t="array" ref="U131">INDEX(ICL3_classA!$H$2:$H$37,MATCH(MIN(ABS(AI131-ICL3_classA!$F$2:$F$37)),ABS(AI131-ICL3_classA!$F$2:$F$37),0))</f>
        <v>30</v>
      </c>
      <c r="V131" s="1">
        <v>61</v>
      </c>
      <c r="W131" s="133">
        <f>VLOOKUP($B131&amp;"__wt",'SegEnds_Xtal_BW#'!$A:$Z,23,FALSE)</f>
        <v>25</v>
      </c>
      <c r="X131" s="108">
        <v>56</v>
      </c>
      <c r="Y131" s="1">
        <f>VLOOKUP($B131&amp;"__wt",'SegEnds_Xtal_BW#'!$A:$Z,25,FALSE)</f>
        <v>47</v>
      </c>
      <c r="Z131" s="1">
        <f>VLOOKUP($B131&amp;"__wt",'SegEnds_Xtal_BW#'!$A:$Z,26,FALSE)</f>
        <v>56</v>
      </c>
      <c r="AA131" s="27" t="str">
        <f>VLOOKUP(A131,Classification!A:B,2,FALSE)</f>
        <v>A</v>
      </c>
      <c r="AB131" s="1">
        <f>VLOOKUP(A131,'SegEnds_NonXtal_Prot#'!A:AL,10,FALSE)-VLOOKUP(A131,'SegEnds_NonXtal_Prot#'!A:AL,4,FALSE)</f>
        <v>27</v>
      </c>
      <c r="AC131" s="1" t="e">
        <f>VLOOKUP(A131,'SegEnds_NonXtal_Prot#'!A:AL,10,FALSE)-VLOOKUP(A131,'SegEnds_NonXtal_Prot#'!A:AL,7,FALSE)</f>
        <v>#VALUE!</v>
      </c>
      <c r="AD131" s="1" t="e">
        <f>VLOOKUP(A131,'SegEnds_NonXtal_Prot#'!A:AL,13,FALSE)-VLOOKUP(A131,'SegEnds_NonXtal_Prot#'!A:AL,10,FALSE)</f>
        <v>#VALUE!</v>
      </c>
      <c r="AE131" s="1">
        <f>VLOOKUP(A131,'SegEnds_NonXtal_Prot#'!A:AL,16,FALSE)-VLOOKUP(A131,'SegEnds_NonXtal_Prot#'!A:AL,10,FALSE)</f>
        <v>52</v>
      </c>
      <c r="AF131" s="1">
        <f>VLOOKUP(A131,'SegEnds_NonXtal_Prot#'!A:AL,22,FALSE)-VLOOKUP(A131,'SegEnds_NonXtal_Prot#'!A:AL,19,FALSE)</f>
        <v>20</v>
      </c>
      <c r="AG131" s="1" t="e">
        <f>VLOOKUP(A131,'SegEnds_NonXtal_Prot#'!A:AL,28,FALSE)-VLOOKUP(A131,'SegEnds_NonXtal_Prot#'!A:AL,25,FALSE)</f>
        <v>#VALUE!</v>
      </c>
      <c r="AH131" s="1">
        <f>VLOOKUP(A131,'SegEnds_NonXtal_Prot#'!A:AL,28,FALSE)-VLOOKUP(A131,'SegEnds_NonXtal_Prot#'!A:AL,22,FALSE)</f>
        <v>42</v>
      </c>
      <c r="AI131" s="1">
        <f>VLOOKUP(A131,'SegEnds_NonXtal_Prot#'!A:AL,31,FALSE)-VLOOKUP(A131,'SegEnds_NonXtal_Prot#'!A:AL,28,FALSE)</f>
        <v>42</v>
      </c>
      <c r="AJ131" s="1">
        <f>VLOOKUP(A131,'SegEnds_NonXtal_Prot#'!A:AL,34,FALSE)-VLOOKUP(A131,'SegEnds_NonXtal_Prot#'!A:AL,31,FALSE)</f>
        <v>38</v>
      </c>
      <c r="AK131" s="1">
        <f>VLOOKUP(A131,'SegEnds_NonXtal_Prot#'!A:AL,37,FALSE)-VLOOKUP(A131,'SegEnds_NonXtal_Prot#'!A:AL,34,FALSE)</f>
        <v>10</v>
      </c>
      <c r="AL131" s="1" t="str">
        <f>IF(ISERROR(MATCH(A131,'SegEnds_Xtal_Prot#'!B:B, 0)), "NoXtal", "Xtal")</f>
        <v>NoXtal</v>
      </c>
    </row>
    <row r="132" spans="1:38" x14ac:dyDescent="0.2">
      <c r="A132" s="1" t="s">
        <v>307</v>
      </c>
      <c r="B132" s="1" t="str">
        <f>VLOOKUP(A132,Xtal_Templ!A:B,2,FALSE)</f>
        <v>pd2r2_human</v>
      </c>
      <c r="C132" s="5">
        <f>VLOOKUP($B132&amp;"__wt",'SegEnds_Xtal_BW#'!$A:$Z,3,FALSE)</f>
        <v>32</v>
      </c>
      <c r="D132" s="1">
        <f>VLOOKUP($B132&amp;"__wt",'SegEnds_Xtal_BW#'!$A:$Z,4,FALSE)</f>
        <v>60</v>
      </c>
      <c r="E132" s="1" t="str">
        <f>VLOOKUP($B132&amp;"__wt",'SegEnds_Xtal_BW#'!$A:$Z,5,FALSE)</f>
        <v>-</v>
      </c>
      <c r="F132" s="1" t="str">
        <f>VLOOKUP($B132&amp;"__wt",'SegEnds_Xtal_BW#'!$A:$Z,6,FALSE)</f>
        <v>-</v>
      </c>
      <c r="G132" s="1">
        <v>37</v>
      </c>
      <c r="H132" s="12">
        <v>66</v>
      </c>
      <c r="I132" s="1">
        <f>VLOOKUP($B132&amp;"__wt",'SegEnds_Xtal_BW#'!$A:$Z,9,FALSE)</f>
        <v>49</v>
      </c>
      <c r="J132" s="1">
        <f>VLOOKUP($B132&amp;"__wt",'SegEnds_Xtal_BW#'!$A:$Z,10,FALSE)</f>
        <v>52</v>
      </c>
      <c r="K132" s="12">
        <v>24</v>
      </c>
      <c r="L132" s="1">
        <f>VLOOKUP($B132&amp;"__wt",'SegEnds_Xtal_BW#'!$A:$Z,12,FALSE)</f>
        <v>56</v>
      </c>
      <c r="M132" s="1">
        <f>VLOOKUP($B132&amp;"__wt",'SegEnds_Xtal_BW#'!$A:$Z,13,FALSE)</f>
        <v>50</v>
      </c>
      <c r="N132" s="12">
        <v>57</v>
      </c>
      <c r="O132" s="87">
        <v>38</v>
      </c>
      <c r="P132" s="1">
        <f>VLOOKUP($B132&amp;"__wt",'SegEnds_Xtal_BW#'!$A:$Z,16,FALSE)</f>
        <v>64</v>
      </c>
      <c r="Q132" s="1">
        <f>VLOOKUP($B132&amp;"__wt",'SegEnds_Xtal_BW#'!$A:$Z,17,FALSE)</f>
        <v>50</v>
      </c>
      <c r="R132" s="1">
        <f>VLOOKUP($B132&amp;"__wt",'SegEnds_Xtal_BW#'!$A:$Z,18,FALSE)</f>
        <v>52</v>
      </c>
      <c r="S132" s="1">
        <f>VLOOKUP($B132&amp;"__wt",'SegEnds_Xtal_BW#'!$A:$Z,19,FALSE)</f>
        <v>26</v>
      </c>
      <c r="T132" s="1">
        <f t="array" ref="T132">INDEX(ICL3_classA!$G$2:$G$37,MATCH(MIN(ABS(AI132-ICL3_classA!$F$2:$F$37)),ABS(AI132-ICL3_classA!$F$2:$F$37),0))</f>
        <v>68</v>
      </c>
      <c r="U132" s="1">
        <f t="array" ref="U132">INDEX(ICL3_classA!$H$2:$H$37,MATCH(MIN(ABS(AI132-ICL3_classA!$F$2:$F$37)),ABS(AI132-ICL3_classA!$F$2:$F$37),0))</f>
        <v>30</v>
      </c>
      <c r="V132" s="1">
        <v>61</v>
      </c>
      <c r="W132" s="133">
        <f>VLOOKUP($B132&amp;"__wt",'SegEnds_Xtal_BW#'!$A:$Z,23,FALSE)</f>
        <v>27</v>
      </c>
      <c r="X132" s="1">
        <f>VLOOKUP($B132&amp;"__wt",'SegEnds_Xtal_BW#'!$A:$Z,24,FALSE)</f>
        <v>56</v>
      </c>
      <c r="Y132" s="1">
        <f>VLOOKUP($B132&amp;"__wt",'SegEnds_Xtal_BW#'!$A:$Z,25,FALSE)</f>
        <v>47</v>
      </c>
      <c r="Z132" s="1">
        <f>VLOOKUP($B132&amp;"__wt",'SegEnds_Xtal_BW#'!$A:$Z,26,FALSE)</f>
        <v>64</v>
      </c>
      <c r="AA132" s="27" t="str">
        <f>VLOOKUP(A132,Classification!A:B,2,FALSE)</f>
        <v>A</v>
      </c>
      <c r="AB132" s="1">
        <f>VLOOKUP(A132,'SegEnds_NonXtal_Prot#'!A:AL,10,FALSE)-VLOOKUP(A132,'SegEnds_NonXtal_Prot#'!A:AL,4,FALSE)</f>
        <v>27</v>
      </c>
      <c r="AC132" s="1" t="e">
        <f>VLOOKUP(A132,'SegEnds_NonXtal_Prot#'!A:AL,10,FALSE)-VLOOKUP(A132,'SegEnds_NonXtal_Prot#'!A:AL,7,FALSE)</f>
        <v>#VALUE!</v>
      </c>
      <c r="AD132" s="1" t="e">
        <f>VLOOKUP(A132,'SegEnds_NonXtal_Prot#'!A:AL,13,FALSE)-VLOOKUP(A132,'SegEnds_NonXtal_Prot#'!A:AL,10,FALSE)</f>
        <v>#VALUE!</v>
      </c>
      <c r="AE132" s="1">
        <f>VLOOKUP(A132,'SegEnds_NonXtal_Prot#'!A:AL,16,FALSE)-VLOOKUP(A132,'SegEnds_NonXtal_Prot#'!A:AL,10,FALSE)</f>
        <v>48</v>
      </c>
      <c r="AF132" s="1">
        <f>VLOOKUP(A132,'SegEnds_NonXtal_Prot#'!A:AL,22,FALSE)-VLOOKUP(A132,'SegEnds_NonXtal_Prot#'!A:AL,19,FALSE)</f>
        <v>20</v>
      </c>
      <c r="AG132" s="1" t="e">
        <f>VLOOKUP(A132,'SegEnds_NonXtal_Prot#'!A:AL,28,FALSE)-VLOOKUP(A132,'SegEnds_NonXtal_Prot#'!A:AL,25,FALSE)</f>
        <v>#VALUE!</v>
      </c>
      <c r="AH132" s="1">
        <f>VLOOKUP(A132,'SegEnds_NonXtal_Prot#'!A:AL,28,FALSE)-VLOOKUP(A132,'SegEnds_NonXtal_Prot#'!A:AL,22,FALSE)</f>
        <v>42</v>
      </c>
      <c r="AI132" s="1">
        <f>VLOOKUP(A132,'SegEnds_NonXtal_Prot#'!A:AL,31,FALSE)-VLOOKUP(A132,'SegEnds_NonXtal_Prot#'!A:AL,28,FALSE)</f>
        <v>42</v>
      </c>
      <c r="AJ132" s="1">
        <f>VLOOKUP(A132,'SegEnds_NonXtal_Prot#'!A:AL,34,FALSE)-VLOOKUP(A132,'SegEnds_NonXtal_Prot#'!A:AL,31,FALSE)</f>
        <v>38</v>
      </c>
      <c r="AK132" s="1">
        <f>VLOOKUP(A132,'SegEnds_NonXtal_Prot#'!A:AL,37,FALSE)-VLOOKUP(A132,'SegEnds_NonXtal_Prot#'!A:AL,34,FALSE)</f>
        <v>10</v>
      </c>
      <c r="AL132" s="1" t="str">
        <f>IF(ISERROR(MATCH(A132,'SegEnds_Xtal_Prot#'!B:B, 0)), "NoXtal", "Xtal")</f>
        <v>NoXtal</v>
      </c>
    </row>
    <row r="133" spans="1:38" x14ac:dyDescent="0.2">
      <c r="A133" s="1" t="s">
        <v>308</v>
      </c>
      <c r="B133" s="1" t="str">
        <f>VLOOKUP(A133,Xtal_Templ!A:B,2,FALSE)</f>
        <v>c5ar1_human</v>
      </c>
      <c r="C133" s="5">
        <f>VLOOKUP($B133&amp;"__wt",'SegEnds_Xtal_BW#'!$A:$Z,3,FALSE)</f>
        <v>29</v>
      </c>
      <c r="D133" s="1">
        <f>VLOOKUP($B133&amp;"__wt",'SegEnds_Xtal_BW#'!$A:$Z,4,FALSE)</f>
        <v>60</v>
      </c>
      <c r="E133" s="1" t="str">
        <f>VLOOKUP($B133&amp;"__wt",'SegEnds_Xtal_BW#'!$A:$Z,5,FALSE)</f>
        <v>-</v>
      </c>
      <c r="F133" s="1" t="str">
        <f>VLOOKUP($B133&amp;"__wt",'SegEnds_Xtal_BW#'!$A:$Z,6,FALSE)</f>
        <v>-</v>
      </c>
      <c r="G133" s="1">
        <v>37</v>
      </c>
      <c r="H133" s="12">
        <v>66</v>
      </c>
      <c r="I133" s="1">
        <f>VLOOKUP($B133&amp;"__wt",'SegEnds_Xtal_BW#'!$A:$Z,9,FALSE)</f>
        <v>49</v>
      </c>
      <c r="J133" s="1">
        <f>VLOOKUP($B133&amp;"__wt",'SegEnds_Xtal_BW#'!$A:$Z,10,FALSE)</f>
        <v>52</v>
      </c>
      <c r="K133" s="12">
        <v>24</v>
      </c>
      <c r="L133" s="1">
        <f>VLOOKUP($B133&amp;"__wt",'SegEnds_Xtal_BW#'!$A:$Z,12,FALSE)</f>
        <v>56</v>
      </c>
      <c r="M133" s="1">
        <f>VLOOKUP($B133&amp;"__wt",'SegEnds_Xtal_BW#'!$A:$Z,13,FALSE)</f>
        <v>50</v>
      </c>
      <c r="N133" s="12">
        <v>57</v>
      </c>
      <c r="O133" s="87">
        <v>38</v>
      </c>
      <c r="P133" s="1">
        <f>VLOOKUP($B133&amp;"__wt",'SegEnds_Xtal_BW#'!$A:$Z,16,FALSE)</f>
        <v>64</v>
      </c>
      <c r="Q133" s="1">
        <f>VLOOKUP($B133&amp;"__wt",'SegEnds_Xtal_BW#'!$A:$Z,17,FALSE)</f>
        <v>50</v>
      </c>
      <c r="R133" s="1">
        <f>VLOOKUP($B133&amp;"__wt",'SegEnds_Xtal_BW#'!$A:$Z,18,FALSE)</f>
        <v>52</v>
      </c>
      <c r="S133" s="1">
        <f>VLOOKUP($B133&amp;"__wt",'SegEnds_Xtal_BW#'!$A:$Z,19,FALSE)</f>
        <v>31</v>
      </c>
      <c r="T133" s="1">
        <f t="array" ref="T133">INDEX(ICL3_classA!$G$2:$G$37,MATCH(MIN(ABS(AI133-ICL3_classA!$F$2:$F$37)),ABS(AI133-ICL3_classA!$F$2:$F$37),0))</f>
        <v>68</v>
      </c>
      <c r="U133" s="1">
        <f t="array" ref="U133">INDEX(ICL3_classA!$H$2:$H$37,MATCH(MIN(ABS(AI133-ICL3_classA!$F$2:$F$37)),ABS(AI133-ICL3_classA!$F$2:$F$37),0))</f>
        <v>30</v>
      </c>
      <c r="V133" s="1">
        <v>61</v>
      </c>
      <c r="W133" s="133">
        <f>VLOOKUP($B133&amp;"__wt",'SegEnds_Xtal_BW#'!$A:$Z,23,FALSE)</f>
        <v>25</v>
      </c>
      <c r="X133" s="108">
        <v>56</v>
      </c>
      <c r="Y133" s="1">
        <f>VLOOKUP($B133&amp;"__wt",'SegEnds_Xtal_BW#'!$A:$Z,25,FALSE)</f>
        <v>47</v>
      </c>
      <c r="Z133" s="1">
        <f>VLOOKUP($B133&amp;"__wt",'SegEnds_Xtal_BW#'!$A:$Z,26,FALSE)</f>
        <v>56</v>
      </c>
      <c r="AA133" s="27" t="str">
        <f>VLOOKUP(A133,Classification!A:B,2,FALSE)</f>
        <v>A</v>
      </c>
      <c r="AB133" s="1">
        <f>VLOOKUP(A133,'SegEnds_NonXtal_Prot#'!A:AL,10,FALSE)-VLOOKUP(A133,'SegEnds_NonXtal_Prot#'!A:AL,4,FALSE)</f>
        <v>27</v>
      </c>
      <c r="AC133" s="1" t="e">
        <f>VLOOKUP(A133,'SegEnds_NonXtal_Prot#'!A:AL,10,FALSE)-VLOOKUP(A133,'SegEnds_NonXtal_Prot#'!A:AL,7,FALSE)</f>
        <v>#VALUE!</v>
      </c>
      <c r="AD133" s="1" t="e">
        <f>VLOOKUP(A133,'SegEnds_NonXtal_Prot#'!A:AL,13,FALSE)-VLOOKUP(A133,'SegEnds_NonXtal_Prot#'!A:AL,10,FALSE)</f>
        <v>#VALUE!</v>
      </c>
      <c r="AE133" s="1">
        <f>VLOOKUP(A133,'SegEnds_NonXtal_Prot#'!A:AL,16,FALSE)-VLOOKUP(A133,'SegEnds_NonXtal_Prot#'!A:AL,10,FALSE)</f>
        <v>48</v>
      </c>
      <c r="AF133" s="1">
        <f>VLOOKUP(A133,'SegEnds_NonXtal_Prot#'!A:AL,22,FALSE)-VLOOKUP(A133,'SegEnds_NonXtal_Prot#'!A:AL,19,FALSE)</f>
        <v>20</v>
      </c>
      <c r="AG133" s="1" t="e">
        <f>VLOOKUP(A133,'SegEnds_NonXtal_Prot#'!A:AL,28,FALSE)-VLOOKUP(A133,'SegEnds_NonXtal_Prot#'!A:AL,25,FALSE)</f>
        <v>#VALUE!</v>
      </c>
      <c r="AH133" s="1">
        <f>VLOOKUP(A133,'SegEnds_NonXtal_Prot#'!A:AL,28,FALSE)-VLOOKUP(A133,'SegEnds_NonXtal_Prot#'!A:AL,22,FALSE)</f>
        <v>42</v>
      </c>
      <c r="AI133" s="1">
        <f>VLOOKUP(A133,'SegEnds_NonXtal_Prot#'!A:AL,31,FALSE)-VLOOKUP(A133,'SegEnds_NonXtal_Prot#'!A:AL,28,FALSE)</f>
        <v>42</v>
      </c>
      <c r="AJ133" s="1">
        <f>VLOOKUP(A133,'SegEnds_NonXtal_Prot#'!A:AL,34,FALSE)-VLOOKUP(A133,'SegEnds_NonXtal_Prot#'!A:AL,31,FALSE)</f>
        <v>38</v>
      </c>
      <c r="AK133" s="1">
        <f>VLOOKUP(A133,'SegEnds_NonXtal_Prot#'!A:AL,37,FALSE)-VLOOKUP(A133,'SegEnds_NonXtal_Prot#'!A:AL,34,FALSE)</f>
        <v>10</v>
      </c>
      <c r="AL133" s="1" t="str">
        <f>IF(ISERROR(MATCH(A133,'SegEnds_Xtal_Prot#'!B:B, 0)), "NoXtal", "Xtal")</f>
        <v>NoXtal</v>
      </c>
    </row>
    <row r="134" spans="1:38" x14ac:dyDescent="0.2">
      <c r="A134" s="1" t="s">
        <v>320</v>
      </c>
      <c r="B134" s="1" t="str">
        <f>VLOOKUP(A134,Xtal_Templ!A:B,2,FALSE)</f>
        <v>oprd_mouse</v>
      </c>
      <c r="C134" s="5">
        <f>VLOOKUP($B134&amp;"__wt",'SegEnds_Xtal_BW#'!$A:$Z,3,FALSE)</f>
        <v>24</v>
      </c>
      <c r="D134" s="1">
        <f>VLOOKUP($B134&amp;"__wt",'SegEnds_Xtal_BW#'!$A:$Z,4,FALSE)</f>
        <v>60</v>
      </c>
      <c r="E134" s="1">
        <f>VLOOKUP($B134&amp;"__wt",'SegEnds_Xtal_BW#'!$A:$Z,5,FALSE)</f>
        <v>48</v>
      </c>
      <c r="F134" s="1">
        <f>VLOOKUP($B134&amp;"__wt",'SegEnds_Xtal_BW#'!$A:$Z,6,FALSE)</f>
        <v>51</v>
      </c>
      <c r="G134" s="1">
        <v>37</v>
      </c>
      <c r="H134" s="12">
        <v>66</v>
      </c>
      <c r="I134" s="1">
        <f>VLOOKUP($B134&amp;"__wt",'SegEnds_Xtal_BW#'!$A:$Z,9,FALSE)</f>
        <v>49</v>
      </c>
      <c r="J134" s="1">
        <f>VLOOKUP($B134&amp;"__wt",'SegEnds_Xtal_BW#'!$A:$Z,10,FALSE)</f>
        <v>52</v>
      </c>
      <c r="K134" s="12">
        <v>21</v>
      </c>
      <c r="L134" s="1">
        <f>VLOOKUP($B134&amp;"__wt",'SegEnds_Xtal_BW#'!$A:$Z,12,FALSE)</f>
        <v>56</v>
      </c>
      <c r="M134" s="1">
        <f>VLOOKUP($B134&amp;"__wt",'SegEnds_Xtal_BW#'!$A:$Z,13,FALSE)</f>
        <v>50</v>
      </c>
      <c r="N134" s="12">
        <f>VLOOKUP($B134&amp;"__wt",'SegEnds_Xtal_BW#'!$A:$Z,14,FALSE)</f>
        <v>57</v>
      </c>
      <c r="O134" s="87">
        <v>38</v>
      </c>
      <c r="P134" s="1">
        <f>VLOOKUP($B134&amp;"__wt",'SegEnds_Xtal_BW#'!$A:$Z,16,FALSE)</f>
        <v>64</v>
      </c>
      <c r="Q134" s="1">
        <f>VLOOKUP($B134&amp;"__wt",'SegEnds_Xtal_BW#'!$A:$Z,17,FALSE)</f>
        <v>50</v>
      </c>
      <c r="R134" s="1">
        <f>VLOOKUP($B134&amp;"__wt",'SegEnds_Xtal_BW#'!$A:$Z,18,FALSE)</f>
        <v>52</v>
      </c>
      <c r="S134" s="1">
        <f>VLOOKUP($B134&amp;"__wt",'SegEnds_Xtal_BW#'!$A:$Z,19,FALSE)</f>
        <v>31</v>
      </c>
      <c r="T134" s="1">
        <f t="array" ref="T134">INDEX(ICL3_classA!$G$2:$G$37,MATCH(MIN(ABS(AI134-ICL3_classA!$F$2:$F$37)),ABS(AI134-ICL3_classA!$F$2:$F$37),0))</f>
        <v>68</v>
      </c>
      <c r="U134" s="1">
        <f t="array" ref="U134">INDEX(ICL3_classA!$H$2:$H$37,MATCH(MIN(ABS(AI134-ICL3_classA!$F$2:$F$37)),ABS(AI134-ICL3_classA!$F$2:$F$37),0))</f>
        <v>23</v>
      </c>
      <c r="V134" s="1">
        <v>61</v>
      </c>
      <c r="W134" s="133">
        <f>VLOOKUP($B134&amp;"__wt",'SegEnds_Xtal_BW#'!$A:$Z,23,FALSE)</f>
        <v>28</v>
      </c>
      <c r="X134" s="1">
        <f>VLOOKUP($B134&amp;"__wt",'SegEnds_Xtal_BW#'!$A:$Z,24,FALSE)</f>
        <v>56</v>
      </c>
      <c r="Y134" s="1">
        <f>VLOOKUP($B134&amp;"__wt",'SegEnds_Xtal_BW#'!$A:$Z,25,FALSE)</f>
        <v>47</v>
      </c>
      <c r="Z134" s="1">
        <f>VLOOKUP($B134&amp;"__wt",'SegEnds_Xtal_BW#'!$A:$Z,26,FALSE)</f>
        <v>60</v>
      </c>
      <c r="AA134" s="27" t="str">
        <f>VLOOKUP(A134,Classification!A:B,2,FALSE)</f>
        <v>A</v>
      </c>
      <c r="AB134" s="1">
        <f>VLOOKUP(A134,'SegEnds_NonXtal_Prot#'!A:AL,10,FALSE)-VLOOKUP(A134,'SegEnds_NonXtal_Prot#'!A:AL,4,FALSE)</f>
        <v>28</v>
      </c>
      <c r="AC134" s="1">
        <f>VLOOKUP(A134,'SegEnds_NonXtal_Prot#'!A:AL,10,FALSE)-VLOOKUP(A134,'SegEnds_NonXtal_Prot#'!A:AL,7,FALSE)</f>
        <v>15</v>
      </c>
      <c r="AD134" s="1">
        <f>VLOOKUP(A134,'SegEnds_NonXtal_Prot#'!A:AL,13,FALSE)-VLOOKUP(A134,'SegEnds_NonXtal_Prot#'!A:AL,10,FALSE)</f>
        <v>19</v>
      </c>
      <c r="AE134" s="1">
        <f>VLOOKUP(A134,'SegEnds_NonXtal_Prot#'!A:AL,16,FALSE)-VLOOKUP(A134,'SegEnds_NonXtal_Prot#'!A:AL,10,FALSE)</f>
        <v>51</v>
      </c>
      <c r="AF134" s="1" t="e">
        <f>VLOOKUP(A134,'SegEnds_NonXtal_Prot#'!A:AL,22,FALSE)-VLOOKUP(A134,'SegEnds_NonXtal_Prot#'!A:AL,19,FALSE)</f>
        <v>#VALUE!</v>
      </c>
      <c r="AG134" s="1">
        <f>VLOOKUP(A134,'SegEnds_NonXtal_Prot#'!A:AL,28,FALSE)-VLOOKUP(A134,'SegEnds_NonXtal_Prot#'!A:AL,25,FALSE)</f>
        <v>27</v>
      </c>
      <c r="AH134" s="1">
        <f>VLOOKUP(A134,'SegEnds_NonXtal_Prot#'!A:AL,28,FALSE)-VLOOKUP(A134,'SegEnds_NonXtal_Prot#'!A:AL,22,FALSE)</f>
        <v>52</v>
      </c>
      <c r="AI134" s="1">
        <f>VLOOKUP(A134,'SegEnds_NonXtal_Prot#'!A:AL,31,FALSE)-VLOOKUP(A134,'SegEnds_NonXtal_Prot#'!A:AL,28,FALSE)</f>
        <v>51</v>
      </c>
      <c r="AJ134" s="1">
        <f>VLOOKUP(A134,'SegEnds_NonXtal_Prot#'!A:AL,34,FALSE)-VLOOKUP(A134,'SegEnds_NonXtal_Prot#'!A:AL,31,FALSE)</f>
        <v>38</v>
      </c>
      <c r="AK134" s="1">
        <f>VLOOKUP(A134,'SegEnds_NonXtal_Prot#'!A:AL,37,FALSE)-VLOOKUP(A134,'SegEnds_NonXtal_Prot#'!A:AL,34,FALSE)</f>
        <v>10</v>
      </c>
      <c r="AL134" s="1" t="str">
        <f>IF(ISERROR(MATCH(A134,'SegEnds_Xtal_Prot#'!B:B, 0)), "NoXtal", "Xtal")</f>
        <v>NoXtal</v>
      </c>
    </row>
    <row r="135" spans="1:38" x14ac:dyDescent="0.2">
      <c r="A135" s="1" t="s">
        <v>321</v>
      </c>
      <c r="B135" s="1" t="str">
        <f>VLOOKUP(A135,Xtal_Templ!A:B,2,FALSE)</f>
        <v>oprd_human</v>
      </c>
      <c r="C135" s="5">
        <f>VLOOKUP($B135&amp;"__wt",'SegEnds_Xtal_BW#'!$A:$Z,3,FALSE)</f>
        <v>22</v>
      </c>
      <c r="D135" s="1">
        <f>VLOOKUP($B135&amp;"__wt",'SegEnds_Xtal_BW#'!$A:$Z,4,FALSE)</f>
        <v>60</v>
      </c>
      <c r="E135" s="1">
        <f>VLOOKUP($B135&amp;"__wt",'SegEnds_Xtal_BW#'!$A:$Z,5,FALSE)</f>
        <v>48</v>
      </c>
      <c r="F135" s="1">
        <f>VLOOKUP($B135&amp;"__wt",'SegEnds_Xtal_BW#'!$A:$Z,6,FALSE)</f>
        <v>51</v>
      </c>
      <c r="G135" s="1">
        <v>37</v>
      </c>
      <c r="H135" s="12">
        <v>66</v>
      </c>
      <c r="I135" s="1">
        <f>VLOOKUP($B135&amp;"__wt",'SegEnds_Xtal_BW#'!$A:$Z,9,FALSE)</f>
        <v>49</v>
      </c>
      <c r="J135" s="1">
        <f>VLOOKUP($B135&amp;"__wt",'SegEnds_Xtal_BW#'!$A:$Z,10,FALSE)</f>
        <v>52</v>
      </c>
      <c r="K135" s="12">
        <v>21</v>
      </c>
      <c r="L135" s="1">
        <f>VLOOKUP($B135&amp;"__wt",'SegEnds_Xtal_BW#'!$A:$Z,12,FALSE)</f>
        <v>56</v>
      </c>
      <c r="M135" s="1">
        <f>VLOOKUP($B135&amp;"__wt",'SegEnds_Xtal_BW#'!$A:$Z,13,FALSE)</f>
        <v>50</v>
      </c>
      <c r="N135" s="12">
        <f>VLOOKUP($B135&amp;"__wt",'SegEnds_Xtal_BW#'!$A:$Z,14,FALSE)</f>
        <v>57</v>
      </c>
      <c r="O135" s="87">
        <v>38</v>
      </c>
      <c r="P135" s="1">
        <f>VLOOKUP($B135&amp;"__wt",'SegEnds_Xtal_BW#'!$A:$Z,16,FALSE)</f>
        <v>64</v>
      </c>
      <c r="Q135" s="1">
        <f>VLOOKUP($B135&amp;"__wt",'SegEnds_Xtal_BW#'!$A:$Z,17,FALSE)</f>
        <v>50</v>
      </c>
      <c r="R135" s="1">
        <f>VLOOKUP($B135&amp;"__wt",'SegEnds_Xtal_BW#'!$A:$Z,18,FALSE)</f>
        <v>52</v>
      </c>
      <c r="S135" s="1">
        <f>VLOOKUP($B135&amp;"__wt",'SegEnds_Xtal_BW#'!$A:$Z,19,FALSE)</f>
        <v>31</v>
      </c>
      <c r="T135" s="1">
        <f t="array" ref="T135">INDEX(ICL3_classA!$G$2:$G$37,MATCH(MIN(ABS(AI135-ICL3_classA!$F$2:$F$37)),ABS(AI135-ICL3_classA!$F$2:$F$37),0))</f>
        <v>68</v>
      </c>
      <c r="U135" s="1">
        <f t="array" ref="U135">INDEX(ICL3_classA!$H$2:$H$37,MATCH(MIN(ABS(AI135-ICL3_classA!$F$2:$F$37)),ABS(AI135-ICL3_classA!$F$2:$F$37),0))</f>
        <v>23</v>
      </c>
      <c r="V135" s="1">
        <v>61</v>
      </c>
      <c r="W135" s="133">
        <f>VLOOKUP($B135&amp;"__wt",'SegEnds_Xtal_BW#'!$A:$Z,23,FALSE)</f>
        <v>28</v>
      </c>
      <c r="X135" s="1">
        <f>VLOOKUP($B135&amp;"__wt",'SegEnds_Xtal_BW#'!$A:$Z,24,FALSE)</f>
        <v>56</v>
      </c>
      <c r="Y135" s="1">
        <f>VLOOKUP($B135&amp;"__wt",'SegEnds_Xtal_BW#'!$A:$Z,25,FALSE)</f>
        <v>47</v>
      </c>
      <c r="Z135" s="1">
        <f>VLOOKUP($B135&amp;"__wt",'SegEnds_Xtal_BW#'!$A:$Z,26,FALSE)</f>
        <v>60</v>
      </c>
      <c r="AA135" s="27" t="str">
        <f>VLOOKUP(A135,Classification!A:B,2,FALSE)</f>
        <v>A</v>
      </c>
      <c r="AB135" s="1">
        <f>VLOOKUP(A135,'SegEnds_NonXtal_Prot#'!A:AL,10,FALSE)-VLOOKUP(A135,'SegEnds_NonXtal_Prot#'!A:AL,4,FALSE)</f>
        <v>28</v>
      </c>
      <c r="AC135" s="1">
        <f>VLOOKUP(A135,'SegEnds_NonXtal_Prot#'!A:AL,10,FALSE)-VLOOKUP(A135,'SegEnds_NonXtal_Prot#'!A:AL,7,FALSE)</f>
        <v>15</v>
      </c>
      <c r="AD135" s="1">
        <f>VLOOKUP(A135,'SegEnds_NonXtal_Prot#'!A:AL,13,FALSE)-VLOOKUP(A135,'SegEnds_NonXtal_Prot#'!A:AL,10,FALSE)</f>
        <v>19</v>
      </c>
      <c r="AE135" s="1">
        <f>VLOOKUP(A135,'SegEnds_NonXtal_Prot#'!A:AL,16,FALSE)-VLOOKUP(A135,'SegEnds_NonXtal_Prot#'!A:AL,10,FALSE)</f>
        <v>51</v>
      </c>
      <c r="AF135" s="1" t="e">
        <f>VLOOKUP(A135,'SegEnds_NonXtal_Prot#'!A:AL,22,FALSE)-VLOOKUP(A135,'SegEnds_NonXtal_Prot#'!A:AL,19,FALSE)</f>
        <v>#VALUE!</v>
      </c>
      <c r="AG135" s="1">
        <f>VLOOKUP(A135,'SegEnds_NonXtal_Prot#'!A:AL,28,FALSE)-VLOOKUP(A135,'SegEnds_NonXtal_Prot#'!A:AL,25,FALSE)</f>
        <v>27</v>
      </c>
      <c r="AH135" s="1">
        <f>VLOOKUP(A135,'SegEnds_NonXtal_Prot#'!A:AL,28,FALSE)-VLOOKUP(A135,'SegEnds_NonXtal_Prot#'!A:AL,22,FALSE)</f>
        <v>53</v>
      </c>
      <c r="AI135" s="1">
        <f>VLOOKUP(A135,'SegEnds_NonXtal_Prot#'!A:AL,31,FALSE)-VLOOKUP(A135,'SegEnds_NonXtal_Prot#'!A:AL,28,FALSE)</f>
        <v>51</v>
      </c>
      <c r="AJ135" s="1">
        <f>VLOOKUP(A135,'SegEnds_NonXtal_Prot#'!A:AL,34,FALSE)-VLOOKUP(A135,'SegEnds_NonXtal_Prot#'!A:AL,31,FALSE)</f>
        <v>38</v>
      </c>
      <c r="AK135" s="1">
        <f>VLOOKUP(A135,'SegEnds_NonXtal_Prot#'!A:AL,37,FALSE)-VLOOKUP(A135,'SegEnds_NonXtal_Prot#'!A:AL,34,FALSE)</f>
        <v>10</v>
      </c>
      <c r="AL135" s="1" t="str">
        <f>IF(ISERROR(MATCH(A135,'SegEnds_Xtal_Prot#'!B:B, 0)), "NoXtal", "Xtal")</f>
        <v>NoXtal</v>
      </c>
    </row>
    <row r="136" spans="1:38" x14ac:dyDescent="0.2">
      <c r="A136" s="1" t="s">
        <v>324</v>
      </c>
      <c r="B136" s="1" t="str">
        <f>VLOOKUP(A136,Xtal_Templ!A:B,2,FALSE)</f>
        <v>5ht2c_human</v>
      </c>
      <c r="C136" s="5">
        <f>VLOOKUP($B136&amp;"__wt",'SegEnds_Xtal_BW#'!$A:$Z,3,FALSE)</f>
        <v>33</v>
      </c>
      <c r="D136" s="1">
        <f>VLOOKUP($B136&amp;"__wt",'SegEnds_Xtal_BW#'!$A:$Z,4,FALSE)</f>
        <v>60</v>
      </c>
      <c r="E136" s="1">
        <f>VLOOKUP($B136&amp;"__wt",'SegEnds_Xtal_BW#'!$A:$Z,5,FALSE)</f>
        <v>48</v>
      </c>
      <c r="F136" s="1">
        <f>VLOOKUP($B136&amp;"__wt",'SegEnds_Xtal_BW#'!$A:$Z,6,FALSE)</f>
        <v>51</v>
      </c>
      <c r="G136" s="1">
        <v>37</v>
      </c>
      <c r="H136" s="12">
        <f>VLOOKUP($B136&amp;"__wt",'SegEnds_Xtal_BW#'!$A:$Z,8,FALSE)</f>
        <v>68</v>
      </c>
      <c r="I136" s="1">
        <f>VLOOKUP($B136&amp;"__wt",'SegEnds_Xtal_BW#'!$A:$Z,9,FALSE)</f>
        <v>49</v>
      </c>
      <c r="J136" s="1">
        <f>VLOOKUP($B136&amp;"__wt",'SegEnds_Xtal_BW#'!$A:$Z,10,FALSE)</f>
        <v>52</v>
      </c>
      <c r="K136" s="12">
        <v>18</v>
      </c>
      <c r="L136" s="1">
        <f>VLOOKUP($B136&amp;"__wt",'SegEnds_Xtal_BW#'!$A:$Z,12,FALSE)</f>
        <v>56</v>
      </c>
      <c r="M136" s="1">
        <f>VLOOKUP($B136&amp;"__wt",'SegEnds_Xtal_BW#'!$A:$Z,13,FALSE)</f>
        <v>50</v>
      </c>
      <c r="N136" s="12">
        <v>53</v>
      </c>
      <c r="O136" s="87">
        <v>38</v>
      </c>
      <c r="P136" s="1">
        <f>VLOOKUP($B136&amp;"__wt",'SegEnds_Xtal_BW#'!$A:$Z,16,FALSE)</f>
        <v>67</v>
      </c>
      <c r="Q136" s="1">
        <f>VLOOKUP($B136&amp;"__wt",'SegEnds_Xtal_BW#'!$A:$Z,17,FALSE)</f>
        <v>50</v>
      </c>
      <c r="R136" s="1">
        <f>VLOOKUP($B136&amp;"__wt",'SegEnds_Xtal_BW#'!$A:$Z,18,FALSE)</f>
        <v>52</v>
      </c>
      <c r="S136" s="1">
        <f>VLOOKUP($B136&amp;"__wt",'SegEnds_Xtal_BW#'!$A:$Z,19,FALSE)</f>
        <v>35</v>
      </c>
      <c r="T136" s="1">
        <f t="array" ref="T136">INDEX(ICL3_classA!$G$2:$G$37,MATCH(MIN(ABS(AI136-ICL3_classA!$F$2:$F$37)),ABS(AI136-ICL3_classA!$F$2:$F$37),0))</f>
        <v>76</v>
      </c>
      <c r="U136" s="1">
        <f t="array" ref="U136">INDEX(ICL3_classA!$H$2:$H$37,MATCH(MIN(ABS(AI136-ICL3_classA!$F$2:$F$37)),ABS(AI136-ICL3_classA!$F$2:$F$37),0))</f>
        <v>24</v>
      </c>
      <c r="V136" s="1">
        <v>61</v>
      </c>
      <c r="W136" s="133">
        <f>VLOOKUP($B136&amp;"__wt",'SegEnds_Xtal_BW#'!$A:$Z,23,FALSE)</f>
        <v>27</v>
      </c>
      <c r="X136" s="1">
        <f>VLOOKUP($B136&amp;"__wt",'SegEnds_Xtal_BW#'!$A:$Z,24,FALSE)</f>
        <v>56</v>
      </c>
      <c r="Y136" s="1">
        <f>VLOOKUP($B136&amp;"__wt",'SegEnds_Xtal_BW#'!$A:$Z,25,FALSE)</f>
        <v>47</v>
      </c>
      <c r="Z136" s="1">
        <f>VLOOKUP($B136&amp;"__wt",'SegEnds_Xtal_BW#'!$A:$Z,26,FALSE)</f>
        <v>60</v>
      </c>
      <c r="AA136" s="27" t="str">
        <f>VLOOKUP(A136,Classification!A:B,2,FALSE)</f>
        <v>A</v>
      </c>
      <c r="AB136" s="1">
        <f>VLOOKUP(A136,'SegEnds_NonXtal_Prot#'!A:AL,10,FALSE)-VLOOKUP(A136,'SegEnds_NonXtal_Prot#'!A:AL,4,FALSE)</f>
        <v>27</v>
      </c>
      <c r="AC136" s="1" t="e">
        <f>VLOOKUP(A136,'SegEnds_NonXtal_Prot#'!A:AL,10,FALSE)-VLOOKUP(A136,'SegEnds_NonXtal_Prot#'!A:AL,7,FALSE)</f>
        <v>#VALUE!</v>
      </c>
      <c r="AD136" s="1">
        <f>VLOOKUP(A136,'SegEnds_NonXtal_Prot#'!A:AL,13,FALSE)-VLOOKUP(A136,'SegEnds_NonXtal_Prot#'!A:AL,10,FALSE)</f>
        <v>20</v>
      </c>
      <c r="AE136" s="1">
        <f>VLOOKUP(A136,'SegEnds_NonXtal_Prot#'!A:AL,16,FALSE)-VLOOKUP(A136,'SegEnds_NonXtal_Prot#'!A:AL,10,FALSE)</f>
        <v>52</v>
      </c>
      <c r="AF136" s="1">
        <f>VLOOKUP(A136,'SegEnds_NonXtal_Prot#'!A:AL,22,FALSE)-VLOOKUP(A136,'SegEnds_NonXtal_Prot#'!A:AL,19,FALSE)</f>
        <v>18</v>
      </c>
      <c r="AG136" s="1">
        <f>VLOOKUP(A136,'SegEnds_NonXtal_Prot#'!A:AL,28,FALSE)-VLOOKUP(A136,'SegEnds_NonXtal_Prot#'!A:AL,25,FALSE)</f>
        <v>25</v>
      </c>
      <c r="AH136" s="1">
        <f>VLOOKUP(A136,'SegEnds_NonXtal_Prot#'!A:AL,28,FALSE)-VLOOKUP(A136,'SegEnds_NonXtal_Prot#'!A:AL,22,FALSE)</f>
        <v>51</v>
      </c>
      <c r="AI136" s="1">
        <f>VLOOKUP(A136,'SegEnds_NonXtal_Prot#'!A:AL,31,FALSE)-VLOOKUP(A136,'SegEnds_NonXtal_Prot#'!A:AL,28,FALSE)</f>
        <v>67</v>
      </c>
      <c r="AJ136" s="1">
        <f>VLOOKUP(A136,'SegEnds_NonXtal_Prot#'!A:AL,34,FALSE)-VLOOKUP(A136,'SegEnds_NonXtal_Prot#'!A:AL,31,FALSE)</f>
        <v>38</v>
      </c>
      <c r="AK136" s="1">
        <f>VLOOKUP(A136,'SegEnds_NonXtal_Prot#'!A:AL,37,FALSE)-VLOOKUP(A136,'SegEnds_NonXtal_Prot#'!A:AL,34,FALSE)</f>
        <v>10</v>
      </c>
      <c r="AL136" s="1" t="str">
        <f>IF(ISERROR(MATCH(A136,'SegEnds_Xtal_Prot#'!B:B, 0)), "NoXtal", "Xtal")</f>
        <v>NoXtal</v>
      </c>
    </row>
    <row r="137" spans="1:38" x14ac:dyDescent="0.2">
      <c r="A137" s="1" t="s">
        <v>336</v>
      </c>
      <c r="B137" s="1" t="str">
        <f>VLOOKUP(A137,Xtal_Templ!A:B,2,FALSE)</f>
        <v>oprk_human</v>
      </c>
      <c r="C137" s="5">
        <f>VLOOKUP($B137&amp;"__wt",'SegEnds_Xtal_BW#'!$A:$Z,3,FALSE)</f>
        <v>30</v>
      </c>
      <c r="D137" s="1">
        <f>VLOOKUP($B137&amp;"__wt",'SegEnds_Xtal_BW#'!$A:$Z,4,FALSE)</f>
        <v>60</v>
      </c>
      <c r="E137" s="1">
        <f>VLOOKUP($B137&amp;"__wt",'SegEnds_Xtal_BW#'!$A:$Z,5,FALSE)</f>
        <v>48</v>
      </c>
      <c r="F137" s="1">
        <f>VLOOKUP($B137&amp;"__wt",'SegEnds_Xtal_BW#'!$A:$Z,6,FALSE)</f>
        <v>51</v>
      </c>
      <c r="G137" s="1">
        <v>37</v>
      </c>
      <c r="H137" s="12">
        <v>66</v>
      </c>
      <c r="I137" s="1">
        <f>VLOOKUP($B137&amp;"__wt",'SegEnds_Xtal_BW#'!$A:$Z,9,FALSE)</f>
        <v>49</v>
      </c>
      <c r="J137" s="1">
        <f>VLOOKUP($B137&amp;"__wt",'SegEnds_Xtal_BW#'!$A:$Z,10,FALSE)</f>
        <v>52</v>
      </c>
      <c r="K137" s="12">
        <f>VLOOKUP($B137&amp;"__wt",'SegEnds_Xtal_BW#'!$A:$Z,11,FALSE)</f>
        <v>21</v>
      </c>
      <c r="L137" s="1">
        <f>VLOOKUP($B137&amp;"__wt",'SegEnds_Xtal_BW#'!$A:$Z,12,FALSE)</f>
        <v>56</v>
      </c>
      <c r="M137" s="1">
        <f>VLOOKUP($B137&amp;"__wt",'SegEnds_Xtal_BW#'!$A:$Z,13,FALSE)</f>
        <v>50</v>
      </c>
      <c r="N137" s="12">
        <f>VLOOKUP($B137&amp;"__wt",'SegEnds_Xtal_BW#'!$A:$Z,14,FALSE)</f>
        <v>57</v>
      </c>
      <c r="O137" s="87">
        <f>VLOOKUP($B137&amp;"__wt",'SegEnds_Xtal_BW#'!$A:$Z,15,FALSE)</f>
        <v>38</v>
      </c>
      <c r="P137" s="1">
        <f>VLOOKUP($B137&amp;"__wt",'SegEnds_Xtal_BW#'!$A:$Z,16,FALSE)</f>
        <v>64</v>
      </c>
      <c r="Q137" s="1">
        <f>VLOOKUP($B137&amp;"__wt",'SegEnds_Xtal_BW#'!$A:$Z,17,FALSE)</f>
        <v>50</v>
      </c>
      <c r="R137" s="1">
        <f>VLOOKUP($B137&amp;"__wt",'SegEnds_Xtal_BW#'!$A:$Z,18,FALSE)</f>
        <v>52</v>
      </c>
      <c r="S137" s="1">
        <f>VLOOKUP($B137&amp;"__wt",'SegEnds_Xtal_BW#'!$A:$Z,19,FALSE)</f>
        <v>30</v>
      </c>
      <c r="T137" s="1">
        <f t="array" ref="T137">INDEX(ICL3_classA!$G$2:$G$37,MATCH(MIN(ABS(AI137-ICL3_classA!$F$2:$F$37)),ABS(AI137-ICL3_classA!$F$2:$F$37),0))</f>
        <v>68</v>
      </c>
      <c r="U137" s="1">
        <f t="array" ref="U137">INDEX(ICL3_classA!$H$2:$H$37,MATCH(MIN(ABS(AI137-ICL3_classA!$F$2:$F$37)),ABS(AI137-ICL3_classA!$F$2:$F$37),0))</f>
        <v>23</v>
      </c>
      <c r="V137" s="1">
        <v>61</v>
      </c>
      <c r="W137" s="133">
        <f>VLOOKUP($B137&amp;"__wt",'SegEnds_Xtal_BW#'!$A:$Z,23,FALSE)</f>
        <v>28</v>
      </c>
      <c r="X137" s="1">
        <f>VLOOKUP($B137&amp;"__wt",'SegEnds_Xtal_BW#'!$A:$Z,24,FALSE)</f>
        <v>56</v>
      </c>
      <c r="Y137" s="1">
        <f>VLOOKUP($B137&amp;"__wt",'SegEnds_Xtal_BW#'!$A:$Z,25,FALSE)</f>
        <v>47</v>
      </c>
      <c r="Z137" s="1">
        <f>VLOOKUP($B137&amp;"__wt",'SegEnds_Xtal_BW#'!$A:$Z,26,FALSE)</f>
        <v>59</v>
      </c>
      <c r="AA137" s="27" t="str">
        <f>VLOOKUP(A137,Classification!A:B,2,FALSE)</f>
        <v>A</v>
      </c>
      <c r="AB137" s="1">
        <f>VLOOKUP(A137,'SegEnds_NonXtal_Prot#'!A:AL,10,FALSE)-VLOOKUP(A137,'SegEnds_NonXtal_Prot#'!A:AL,4,FALSE)</f>
        <v>28</v>
      </c>
      <c r="AC137" s="1">
        <f>VLOOKUP(A137,'SegEnds_NonXtal_Prot#'!A:AL,10,FALSE)-VLOOKUP(A137,'SegEnds_NonXtal_Prot#'!A:AL,7,FALSE)</f>
        <v>15</v>
      </c>
      <c r="AD137" s="1">
        <f>VLOOKUP(A137,'SegEnds_NonXtal_Prot#'!A:AL,13,FALSE)-VLOOKUP(A137,'SegEnds_NonXtal_Prot#'!A:AL,10,FALSE)</f>
        <v>19</v>
      </c>
      <c r="AE137" s="1">
        <f>VLOOKUP(A137,'SegEnds_NonXtal_Prot#'!A:AL,16,FALSE)-VLOOKUP(A137,'SegEnds_NonXtal_Prot#'!A:AL,10,FALSE)</f>
        <v>51</v>
      </c>
      <c r="AF137" s="1">
        <f>VLOOKUP(A137,'SegEnds_NonXtal_Prot#'!A:AL,22,FALSE)-VLOOKUP(A137,'SegEnds_NonXtal_Prot#'!A:AL,19,FALSE)</f>
        <v>20</v>
      </c>
      <c r="AG137" s="1">
        <f>VLOOKUP(A137,'SegEnds_NonXtal_Prot#'!A:AL,28,FALSE)-VLOOKUP(A137,'SegEnds_NonXtal_Prot#'!A:AL,25,FALSE)</f>
        <v>28</v>
      </c>
      <c r="AH137" s="1">
        <f>VLOOKUP(A137,'SegEnds_NonXtal_Prot#'!A:AL,28,FALSE)-VLOOKUP(A137,'SegEnds_NonXtal_Prot#'!A:AL,22,FALSE)</f>
        <v>55</v>
      </c>
      <c r="AI137" s="1">
        <f>VLOOKUP(A137,'SegEnds_NonXtal_Prot#'!A:AL,31,FALSE)-VLOOKUP(A137,'SegEnds_NonXtal_Prot#'!A:AL,28,FALSE)</f>
        <v>51</v>
      </c>
      <c r="AJ137" s="1">
        <f>VLOOKUP(A137,'SegEnds_NonXtal_Prot#'!A:AL,34,FALSE)-VLOOKUP(A137,'SegEnds_NonXtal_Prot#'!A:AL,31,FALSE)</f>
        <v>38</v>
      </c>
      <c r="AK137" s="1">
        <f>VLOOKUP(A137,'SegEnds_NonXtal_Prot#'!A:AL,37,FALSE)-VLOOKUP(A137,'SegEnds_NonXtal_Prot#'!A:AL,34,FALSE)</f>
        <v>10</v>
      </c>
      <c r="AL137" s="1" t="str">
        <f>IF(ISERROR(MATCH(A137,'SegEnds_Xtal_Prot#'!B:B, 0)), "NoXtal", "Xtal")</f>
        <v>Xtal</v>
      </c>
    </row>
    <row r="138" spans="1:38" x14ac:dyDescent="0.2">
      <c r="A138" s="1" t="s">
        <v>337</v>
      </c>
      <c r="B138" s="1" t="str">
        <f>VLOOKUP(A138,Xtal_Templ!A:B,2,FALSE)</f>
        <v>oprm_mouse</v>
      </c>
      <c r="C138" s="5">
        <f>VLOOKUP($B138&amp;"__wt",'SegEnds_Xtal_BW#'!$A:$Z,3,FALSE)</f>
        <v>29</v>
      </c>
      <c r="D138" s="1">
        <f>VLOOKUP($B138&amp;"__wt",'SegEnds_Xtal_BW#'!$A:$Z,4,FALSE)</f>
        <v>60</v>
      </c>
      <c r="E138" s="1">
        <f>VLOOKUP($B138&amp;"__wt",'SegEnds_Xtal_BW#'!$A:$Z,5,FALSE)</f>
        <v>48</v>
      </c>
      <c r="F138" s="1">
        <f>VLOOKUP($B138&amp;"__wt",'SegEnds_Xtal_BW#'!$A:$Z,6,FALSE)</f>
        <v>51</v>
      </c>
      <c r="G138" s="1">
        <v>37</v>
      </c>
      <c r="H138" s="12">
        <v>66</v>
      </c>
      <c r="I138" s="1">
        <f>VLOOKUP($B138&amp;"__wt",'SegEnds_Xtal_BW#'!$A:$Z,9,FALSE)</f>
        <v>49</v>
      </c>
      <c r="J138" s="1">
        <f>VLOOKUP($B138&amp;"__wt",'SegEnds_Xtal_BW#'!$A:$Z,10,FALSE)</f>
        <v>52</v>
      </c>
      <c r="K138" s="12">
        <v>21</v>
      </c>
      <c r="L138" s="1">
        <f>VLOOKUP($B138&amp;"__wt",'SegEnds_Xtal_BW#'!$A:$Z,12,FALSE)</f>
        <v>56</v>
      </c>
      <c r="M138" s="1">
        <f>VLOOKUP($B138&amp;"__wt",'SegEnds_Xtal_BW#'!$A:$Z,13,FALSE)</f>
        <v>50</v>
      </c>
      <c r="N138" s="12">
        <v>57</v>
      </c>
      <c r="O138" s="87">
        <v>38</v>
      </c>
      <c r="P138" s="1">
        <f>VLOOKUP($B138&amp;"__wt",'SegEnds_Xtal_BW#'!$A:$Z,16,FALSE)</f>
        <v>64</v>
      </c>
      <c r="Q138" s="1">
        <f>VLOOKUP($B138&amp;"__wt",'SegEnds_Xtal_BW#'!$A:$Z,17,FALSE)</f>
        <v>50</v>
      </c>
      <c r="R138" s="1">
        <f>VLOOKUP($B138&amp;"__wt",'SegEnds_Xtal_BW#'!$A:$Z,18,FALSE)</f>
        <v>52</v>
      </c>
      <c r="S138" s="1">
        <f>VLOOKUP($B138&amp;"__wt",'SegEnds_Xtal_BW#'!$A:$Z,19,FALSE)</f>
        <v>31</v>
      </c>
      <c r="T138" s="1">
        <f t="array" ref="T138">INDEX(ICL3_classA!$G$2:$G$37,MATCH(MIN(ABS(AI138-ICL3_classA!$F$2:$F$37)),ABS(AI138-ICL3_classA!$F$2:$F$37),0))</f>
        <v>68</v>
      </c>
      <c r="U138" s="1">
        <f t="array" ref="U138">INDEX(ICL3_classA!$H$2:$H$37,MATCH(MIN(ABS(AI138-ICL3_classA!$F$2:$F$37)),ABS(AI138-ICL3_classA!$F$2:$F$37),0))</f>
        <v>23</v>
      </c>
      <c r="V138" s="1">
        <v>61</v>
      </c>
      <c r="W138" s="133">
        <f>VLOOKUP($B138&amp;"__wt",'SegEnds_Xtal_BW#'!$A:$Z,23,FALSE)</f>
        <v>28</v>
      </c>
      <c r="X138" s="125">
        <f>VLOOKUP($B138&amp;"__wt",'SegEnds_Xtal_BW#'!$A:$Z,24,FALSE)</f>
        <v>56</v>
      </c>
      <c r="Y138" s="1">
        <f>VLOOKUP($B138&amp;"__wt",'SegEnds_Xtal_BW#'!$A:$Z,25,FALSE)</f>
        <v>47</v>
      </c>
      <c r="Z138" s="1">
        <f>VLOOKUP($B138&amp;"__wt",'SegEnds_Xtal_BW#'!$A:$Z,26,FALSE)</f>
        <v>59</v>
      </c>
      <c r="AA138" s="27" t="str">
        <f>VLOOKUP(A138,Classification!A:B,2,FALSE)</f>
        <v>A</v>
      </c>
      <c r="AB138" s="1">
        <f>VLOOKUP(A138,'SegEnds_NonXtal_Prot#'!A:AL,10,FALSE)-VLOOKUP(A138,'SegEnds_NonXtal_Prot#'!A:AL,4,FALSE)</f>
        <v>28</v>
      </c>
      <c r="AC138" s="1">
        <f>VLOOKUP(A138,'SegEnds_NonXtal_Prot#'!A:AL,10,FALSE)-VLOOKUP(A138,'SegEnds_NonXtal_Prot#'!A:AL,7,FALSE)</f>
        <v>15</v>
      </c>
      <c r="AD138" s="1">
        <f>VLOOKUP(A138,'SegEnds_NonXtal_Prot#'!A:AL,13,FALSE)-VLOOKUP(A138,'SegEnds_NonXtal_Prot#'!A:AL,10,FALSE)</f>
        <v>19</v>
      </c>
      <c r="AE138" s="1">
        <f>VLOOKUP(A138,'SegEnds_NonXtal_Prot#'!A:AL,16,FALSE)-VLOOKUP(A138,'SegEnds_NonXtal_Prot#'!A:AL,10,FALSE)</f>
        <v>51</v>
      </c>
      <c r="AF138" s="1">
        <f>VLOOKUP(A138,'SegEnds_NonXtal_Prot#'!A:AL,22,FALSE)-VLOOKUP(A138,'SegEnds_NonXtal_Prot#'!A:AL,19,FALSE)</f>
        <v>20</v>
      </c>
      <c r="AG138" s="1">
        <f>VLOOKUP(A138,'SegEnds_NonXtal_Prot#'!A:AL,28,FALSE)-VLOOKUP(A138,'SegEnds_NonXtal_Prot#'!A:AL,25,FALSE)</f>
        <v>27</v>
      </c>
      <c r="AH138" s="1">
        <f>VLOOKUP(A138,'SegEnds_NonXtal_Prot#'!A:AL,28,FALSE)-VLOOKUP(A138,'SegEnds_NonXtal_Prot#'!A:AL,22,FALSE)</f>
        <v>52</v>
      </c>
      <c r="AI138" s="1">
        <f>VLOOKUP(A138,'SegEnds_NonXtal_Prot#'!A:AL,31,FALSE)-VLOOKUP(A138,'SegEnds_NonXtal_Prot#'!A:AL,28,FALSE)</f>
        <v>51</v>
      </c>
      <c r="AJ138" s="1">
        <f>VLOOKUP(A138,'SegEnds_NonXtal_Prot#'!A:AL,34,FALSE)-VLOOKUP(A138,'SegEnds_NonXtal_Prot#'!A:AL,31,FALSE)</f>
        <v>38</v>
      </c>
      <c r="AK138" s="1">
        <f>VLOOKUP(A138,'SegEnds_NonXtal_Prot#'!A:AL,37,FALSE)-VLOOKUP(A138,'SegEnds_NonXtal_Prot#'!A:AL,34,FALSE)</f>
        <v>10</v>
      </c>
      <c r="AL138" s="1" t="str">
        <f>IF(ISERROR(MATCH(A138,'SegEnds_Xtal_Prot#'!B:B, 0)), "NoXtal", "Xtal")</f>
        <v>NoXtal</v>
      </c>
    </row>
    <row r="139" spans="1:38" x14ac:dyDescent="0.2">
      <c r="A139" s="1" t="s">
        <v>918</v>
      </c>
      <c r="B139" s="1" t="str">
        <f>VLOOKUP(A139,Xtal_Templ!A:B,2,FALSE)</f>
        <v>oprm_mouse</v>
      </c>
      <c r="C139" s="5">
        <f>VLOOKUP($B139&amp;"__wt",'SegEnds_Xtal_BW#'!$A:$Z,3,FALSE)</f>
        <v>29</v>
      </c>
      <c r="D139" s="1">
        <f>VLOOKUP($B139&amp;"__wt",'SegEnds_Xtal_BW#'!$A:$Z,4,FALSE)</f>
        <v>60</v>
      </c>
      <c r="E139" s="1">
        <f>VLOOKUP($B139&amp;"__wt",'SegEnds_Xtal_BW#'!$A:$Z,5,FALSE)</f>
        <v>48</v>
      </c>
      <c r="F139" s="1">
        <f>VLOOKUP($B139&amp;"__wt",'SegEnds_Xtal_BW#'!$A:$Z,6,FALSE)</f>
        <v>51</v>
      </c>
      <c r="G139" s="1">
        <v>37</v>
      </c>
      <c r="H139" s="12">
        <v>66</v>
      </c>
      <c r="I139" s="1">
        <f>VLOOKUP($B139&amp;"__wt",'SegEnds_Xtal_BW#'!$A:$Z,9,FALSE)</f>
        <v>49</v>
      </c>
      <c r="J139" s="1">
        <f>VLOOKUP($B139&amp;"__wt",'SegEnds_Xtal_BW#'!$A:$Z,10,FALSE)</f>
        <v>52</v>
      </c>
      <c r="K139" s="12">
        <f>VLOOKUP($B139&amp;"__wt",'SegEnds_Xtal_BW#'!$A:$Z,11,FALSE)</f>
        <v>21</v>
      </c>
      <c r="L139" s="1">
        <f>VLOOKUP($B139&amp;"__wt",'SegEnds_Xtal_BW#'!$A:$Z,12,FALSE)</f>
        <v>56</v>
      </c>
      <c r="M139" s="1">
        <f>VLOOKUP($B139&amp;"__wt",'SegEnds_Xtal_BW#'!$A:$Z,13,FALSE)</f>
        <v>50</v>
      </c>
      <c r="N139" s="12">
        <f>VLOOKUP($B139&amp;"__wt",'SegEnds_Xtal_BW#'!$A:$Z,14,FALSE)</f>
        <v>57</v>
      </c>
      <c r="O139" s="87">
        <f>VLOOKUP($B139&amp;"__wt",'SegEnds_Xtal_BW#'!$A:$Z,15,FALSE)</f>
        <v>38</v>
      </c>
      <c r="P139" s="1">
        <f>VLOOKUP($B139&amp;"__wt",'SegEnds_Xtal_BW#'!$A:$Z,16,FALSE)</f>
        <v>64</v>
      </c>
      <c r="Q139" s="1">
        <f>VLOOKUP($B139&amp;"__wt",'SegEnds_Xtal_BW#'!$A:$Z,17,FALSE)</f>
        <v>50</v>
      </c>
      <c r="R139" s="1">
        <f>VLOOKUP($B139&amp;"__wt",'SegEnds_Xtal_BW#'!$A:$Z,18,FALSE)</f>
        <v>52</v>
      </c>
      <c r="S139" s="1">
        <f>VLOOKUP($B139&amp;"__wt",'SegEnds_Xtal_BW#'!$A:$Z,19,FALSE)</f>
        <v>31</v>
      </c>
      <c r="T139" s="1">
        <f t="array" ref="T139">INDEX(ICL3_classA!$G$2:$G$37,MATCH(MIN(ABS(AI139-ICL3_classA!$F$2:$F$37)),ABS(AI139-ICL3_classA!$F$2:$F$37),0))</f>
        <v>68</v>
      </c>
      <c r="U139" s="1">
        <f t="array" ref="U139">INDEX(ICL3_classA!$H$2:$H$37,MATCH(MIN(ABS(AI139-ICL3_classA!$F$2:$F$37)),ABS(AI139-ICL3_classA!$F$2:$F$37),0))</f>
        <v>23</v>
      </c>
      <c r="V139" s="1">
        <v>61</v>
      </c>
      <c r="W139" s="133">
        <f>VLOOKUP($B139&amp;"__wt",'SegEnds_Xtal_BW#'!$A:$Z,23,FALSE)</f>
        <v>28</v>
      </c>
      <c r="X139" s="1">
        <f>VLOOKUP($B139&amp;"__wt",'SegEnds_Xtal_BW#'!$A:$Z,24,FALSE)</f>
        <v>56</v>
      </c>
      <c r="Y139" s="1">
        <f>VLOOKUP($B139&amp;"__wt",'SegEnds_Xtal_BW#'!$A:$Z,25,FALSE)</f>
        <v>47</v>
      </c>
      <c r="Z139" s="1">
        <f>VLOOKUP($B139&amp;"__wt",'SegEnds_Xtal_BW#'!$A:$Z,26,FALSE)</f>
        <v>59</v>
      </c>
      <c r="AA139" s="27" t="str">
        <f>VLOOKUP(A139,Classification!A:B,2,FALSE)</f>
        <v>A</v>
      </c>
      <c r="AB139" s="1">
        <f>VLOOKUP(A139,'SegEnds_NonXtal_Prot#'!A:AL,10,FALSE)-VLOOKUP(A139,'SegEnds_NonXtal_Prot#'!A:AL,4,FALSE)</f>
        <v>28</v>
      </c>
      <c r="AC139" s="1">
        <f>VLOOKUP(A139,'SegEnds_NonXtal_Prot#'!A:AL,10,FALSE)-VLOOKUP(A139,'SegEnds_NonXtal_Prot#'!A:AL,7,FALSE)</f>
        <v>15</v>
      </c>
      <c r="AD139" s="1">
        <f>VLOOKUP(A139,'SegEnds_NonXtal_Prot#'!A:AL,13,FALSE)-VLOOKUP(A139,'SegEnds_NonXtal_Prot#'!A:AL,10,FALSE)</f>
        <v>19</v>
      </c>
      <c r="AE139" s="1">
        <f>VLOOKUP(A139,'SegEnds_NonXtal_Prot#'!A:AL,16,FALSE)-VLOOKUP(A139,'SegEnds_NonXtal_Prot#'!A:AL,10,FALSE)</f>
        <v>51</v>
      </c>
      <c r="AF139" s="1">
        <f>VLOOKUP(A139,'SegEnds_NonXtal_Prot#'!A:AL,22,FALSE)-VLOOKUP(A139,'SegEnds_NonXtal_Prot#'!A:AL,19,FALSE)</f>
        <v>20</v>
      </c>
      <c r="AG139" s="1">
        <f>VLOOKUP(A139,'SegEnds_NonXtal_Prot#'!A:AL,28,FALSE)-VLOOKUP(A139,'SegEnds_NonXtal_Prot#'!A:AL,25,FALSE)</f>
        <v>27</v>
      </c>
      <c r="AH139" s="1">
        <f>VLOOKUP(A139,'SegEnds_NonXtal_Prot#'!A:AL,28,FALSE)-VLOOKUP(A139,'SegEnds_NonXtal_Prot#'!A:AL,22,FALSE)</f>
        <v>52</v>
      </c>
      <c r="AI139" s="1">
        <f>VLOOKUP(A139,'SegEnds_NonXtal_Prot#'!A:AL,31,FALSE)-VLOOKUP(A139,'SegEnds_NonXtal_Prot#'!A:AL,28,FALSE)</f>
        <v>51</v>
      </c>
      <c r="AJ139" s="1">
        <f>VLOOKUP(A139,'SegEnds_NonXtal_Prot#'!A:AL,34,FALSE)-VLOOKUP(A139,'SegEnds_NonXtal_Prot#'!A:AL,31,FALSE)</f>
        <v>38</v>
      </c>
      <c r="AK139" s="1">
        <f>VLOOKUP(A139,'SegEnds_NonXtal_Prot#'!A:AL,37,FALSE)-VLOOKUP(A139,'SegEnds_NonXtal_Prot#'!A:AL,34,FALSE)</f>
        <v>10</v>
      </c>
      <c r="AL139" s="1" t="str">
        <f>IF(ISERROR(MATCH(A139,'SegEnds_Xtal_Prot#'!B:B, 0)), "NoXtal", "Xtal")</f>
        <v>Xtal</v>
      </c>
    </row>
    <row r="140" spans="1:38" x14ac:dyDescent="0.2">
      <c r="A140" s="1" t="s">
        <v>1174</v>
      </c>
      <c r="B140" s="1" t="str">
        <f>VLOOKUP(A140,Xtal_Templ!A:B,2,FALSE)</f>
        <v>oprx_human</v>
      </c>
      <c r="C140" s="5">
        <f>VLOOKUP($B140&amp;"__wt",'SegEnds_Xtal_BW#'!$A:$Z,3,FALSE)</f>
        <v>29</v>
      </c>
      <c r="D140" s="1">
        <f>VLOOKUP($B140&amp;"__wt",'SegEnds_Xtal_BW#'!$A:$Z,4,FALSE)</f>
        <v>60</v>
      </c>
      <c r="E140" s="1">
        <f>VLOOKUP($B140&amp;"__wt",'SegEnds_Xtal_BW#'!$A:$Z,5,FALSE)</f>
        <v>48</v>
      </c>
      <c r="F140" s="1">
        <f>VLOOKUP($B140&amp;"__wt",'SegEnds_Xtal_BW#'!$A:$Z,6,FALSE)</f>
        <v>51</v>
      </c>
      <c r="G140" s="1">
        <v>37</v>
      </c>
      <c r="H140" s="12">
        <v>66</v>
      </c>
      <c r="I140" s="1">
        <f>VLOOKUP($B140&amp;"__wt",'SegEnds_Xtal_BW#'!$A:$Z,9,FALSE)</f>
        <v>49</v>
      </c>
      <c r="J140" s="1">
        <f>VLOOKUP($B140&amp;"__wt",'SegEnds_Xtal_BW#'!$A:$Z,10,FALSE)</f>
        <v>52</v>
      </c>
      <c r="K140" s="12">
        <f>VLOOKUP($B140&amp;"__wt",'SegEnds_Xtal_BW#'!$A:$Z,11,FALSE)</f>
        <v>21</v>
      </c>
      <c r="L140" s="1">
        <f>VLOOKUP($B140&amp;"__wt",'SegEnds_Xtal_BW#'!$A:$Z,12,FALSE)</f>
        <v>56</v>
      </c>
      <c r="M140" s="1">
        <f>VLOOKUP($B140&amp;"__wt",'SegEnds_Xtal_BW#'!$A:$Z,13,FALSE)</f>
        <v>50</v>
      </c>
      <c r="N140" s="12">
        <f>VLOOKUP($B140&amp;"__wt",'SegEnds_Xtal_BW#'!$A:$Z,14,FALSE)</f>
        <v>57</v>
      </c>
      <c r="O140" s="87">
        <f>VLOOKUP($B140&amp;"__wt",'SegEnds_Xtal_BW#'!$A:$Z,15,FALSE)</f>
        <v>38</v>
      </c>
      <c r="P140" s="1">
        <f>VLOOKUP($B140&amp;"__wt",'SegEnds_Xtal_BW#'!$A:$Z,16,FALSE)</f>
        <v>64</v>
      </c>
      <c r="Q140" s="1">
        <f>VLOOKUP($B140&amp;"__wt",'SegEnds_Xtal_BW#'!$A:$Z,17,FALSE)</f>
        <v>50</v>
      </c>
      <c r="R140" s="1">
        <f>VLOOKUP($B140&amp;"__wt",'SegEnds_Xtal_BW#'!$A:$Z,18,FALSE)</f>
        <v>52</v>
      </c>
      <c r="S140" s="1">
        <f>VLOOKUP($B140&amp;"__wt",'SegEnds_Xtal_BW#'!$A:$Z,19,FALSE)</f>
        <v>31</v>
      </c>
      <c r="T140" s="1">
        <f t="array" ref="T140">INDEX(ICL3_classA!$G$2:$G$37,MATCH(MIN(ABS(AI140-ICL3_classA!$F$2:$F$37)),ABS(AI140-ICL3_classA!$F$2:$F$37),0))</f>
        <v>68</v>
      </c>
      <c r="U140" s="1">
        <f t="array" ref="U140">INDEX(ICL3_classA!$H$2:$H$37,MATCH(MIN(ABS(AI140-ICL3_classA!$F$2:$F$37)),ABS(AI140-ICL3_classA!$F$2:$F$37),0))</f>
        <v>23</v>
      </c>
      <c r="V140" s="1">
        <v>61</v>
      </c>
      <c r="W140" s="133">
        <f>VLOOKUP($B140&amp;"__wt",'SegEnds_Xtal_BW#'!$A:$Z,23,FALSE)</f>
        <v>28</v>
      </c>
      <c r="X140" s="125">
        <f>VLOOKUP($B140&amp;"__wt",'SegEnds_Xtal_BW#'!$A:$Z,24,FALSE)</f>
        <v>56</v>
      </c>
      <c r="Y140" s="1">
        <f>VLOOKUP($B140&amp;"__wt",'SegEnds_Xtal_BW#'!$A:$Z,25,FALSE)</f>
        <v>47</v>
      </c>
      <c r="Z140" s="1">
        <f>VLOOKUP($B140&amp;"__wt",'SegEnds_Xtal_BW#'!$A:$Z,26,FALSE)</f>
        <v>59</v>
      </c>
      <c r="AA140" s="27" t="str">
        <f>VLOOKUP(A140,Classification!A:B,2,FALSE)</f>
        <v>A</v>
      </c>
      <c r="AB140" s="1">
        <f>VLOOKUP(A140,'SegEnds_NonXtal_Prot#'!A:AL,10,FALSE)-VLOOKUP(A140,'SegEnds_NonXtal_Prot#'!A:AL,4,FALSE)</f>
        <v>28</v>
      </c>
      <c r="AC140" s="1">
        <f>VLOOKUP(A140,'SegEnds_NonXtal_Prot#'!A:AL,10,FALSE)-VLOOKUP(A140,'SegEnds_NonXtal_Prot#'!A:AL,7,FALSE)</f>
        <v>15</v>
      </c>
      <c r="AD140" s="1">
        <f>VLOOKUP(A140,'SegEnds_NonXtal_Prot#'!A:AL,13,FALSE)-VLOOKUP(A140,'SegEnds_NonXtal_Prot#'!A:AL,10,FALSE)</f>
        <v>19</v>
      </c>
      <c r="AE140" s="1">
        <f>VLOOKUP(A140,'SegEnds_NonXtal_Prot#'!A:AL,16,FALSE)-VLOOKUP(A140,'SegEnds_NonXtal_Prot#'!A:AL,10,FALSE)</f>
        <v>51</v>
      </c>
      <c r="AF140" s="1">
        <f>VLOOKUP(A140,'SegEnds_NonXtal_Prot#'!A:AL,22,FALSE)-VLOOKUP(A140,'SegEnds_NonXtal_Prot#'!A:AL,19,FALSE)</f>
        <v>20</v>
      </c>
      <c r="AG140" s="1">
        <f>VLOOKUP(A140,'SegEnds_NonXtal_Prot#'!A:AL,28,FALSE)-VLOOKUP(A140,'SegEnds_NonXtal_Prot#'!A:AL,25,FALSE)</f>
        <v>27</v>
      </c>
      <c r="AH140" s="1">
        <f>VLOOKUP(A140,'SegEnds_NonXtal_Prot#'!A:AL,28,FALSE)-VLOOKUP(A140,'SegEnds_NonXtal_Prot#'!A:AL,22,FALSE)</f>
        <v>52</v>
      </c>
      <c r="AI140" s="1">
        <f>VLOOKUP(A140,'SegEnds_NonXtal_Prot#'!A:AL,31,FALSE)-VLOOKUP(A140,'SegEnds_NonXtal_Prot#'!A:AL,28,FALSE)</f>
        <v>51</v>
      </c>
      <c r="AJ140" s="1">
        <f>VLOOKUP(A140,'SegEnds_NonXtal_Prot#'!A:AL,34,FALSE)-VLOOKUP(A140,'SegEnds_NonXtal_Prot#'!A:AL,31,FALSE)</f>
        <v>38</v>
      </c>
      <c r="AK140" s="1">
        <f>VLOOKUP(A140,'SegEnds_NonXtal_Prot#'!A:AL,37,FALSE)-VLOOKUP(A140,'SegEnds_NonXtal_Prot#'!A:AL,34,FALSE)</f>
        <v>10</v>
      </c>
      <c r="AL140" s="1" t="str">
        <f>IF(ISERROR(MATCH(A140,'SegEnds_Xtal_Prot#'!B:B, 0)), "NoXtal", "Xtal")</f>
        <v>Xtal</v>
      </c>
    </row>
    <row r="141" spans="1:38" x14ac:dyDescent="0.2">
      <c r="A141" s="1" t="s">
        <v>349</v>
      </c>
      <c r="B141" s="1" t="str">
        <f>VLOOKUP(A141,Xtal_Templ!A:B,2,FALSE)</f>
        <v>par2_human</v>
      </c>
      <c r="C141" s="5">
        <f>VLOOKUP($B141&amp;"__wt",'SegEnds_Xtal_BW#'!$A:$Z,3,FALSE)</f>
        <v>28</v>
      </c>
      <c r="D141" s="1">
        <f>VLOOKUP($B141&amp;"__wt",'SegEnds_Xtal_BW#'!$A:$Z,4,FALSE)</f>
        <v>60</v>
      </c>
      <c r="E141" s="1" t="str">
        <f>VLOOKUP($B141&amp;"__wt",'SegEnds_Xtal_BW#'!$A:$Z,5,FALSE)</f>
        <v>-</v>
      </c>
      <c r="F141" s="1" t="str">
        <f>VLOOKUP($B141&amp;"__wt",'SegEnds_Xtal_BW#'!$A:$Z,6,FALSE)</f>
        <v>-</v>
      </c>
      <c r="G141" s="1">
        <v>37</v>
      </c>
      <c r="H141" s="12">
        <f>VLOOKUP($B141&amp;"__wt",'SegEnds_Xtal_BW#'!$A:$Z,8,FALSE)</f>
        <v>66</v>
      </c>
      <c r="I141" s="1">
        <f>VLOOKUP($B141&amp;"__wt",'SegEnds_Xtal_BW#'!$A:$Z,9,FALSE)</f>
        <v>47</v>
      </c>
      <c r="J141" s="1">
        <f>VLOOKUP($B141&amp;"__wt",'SegEnds_Xtal_BW#'!$A:$Z,10,FALSE)</f>
        <v>52</v>
      </c>
      <c r="K141" s="12">
        <v>18</v>
      </c>
      <c r="L141" s="1">
        <f>VLOOKUP($B141&amp;"__wt",'SegEnds_Xtal_BW#'!$A:$Z,12,FALSE)</f>
        <v>56</v>
      </c>
      <c r="M141" s="1">
        <f>VLOOKUP($B141&amp;"__wt",'SegEnds_Xtal_BW#'!$A:$Z,13,FALSE)</f>
        <v>50</v>
      </c>
      <c r="N141" s="12">
        <v>57</v>
      </c>
      <c r="O141" s="87">
        <f>VLOOKUP($B141&amp;"__wt",'SegEnds_Xtal_BW#'!$A:$Z,15,FALSE)</f>
        <v>38</v>
      </c>
      <c r="P141" s="1">
        <f>VLOOKUP($B141&amp;"__wt",'SegEnds_Xtal_BW#'!$A:$Z,16,FALSE)</f>
        <v>62</v>
      </c>
      <c r="Q141" s="1">
        <f>VLOOKUP($B141&amp;"__wt",'SegEnds_Xtal_BW#'!$A:$Z,17,FALSE)</f>
        <v>50</v>
      </c>
      <c r="R141" s="1">
        <f>VLOOKUP($B141&amp;"__wt",'SegEnds_Xtal_BW#'!$A:$Z,18,FALSE)</f>
        <v>52</v>
      </c>
      <c r="S141" s="1">
        <f>VLOOKUP($B141&amp;"__wt",'SegEnds_Xtal_BW#'!$A:$Z,19,FALSE)</f>
        <v>31</v>
      </c>
      <c r="T141" s="1">
        <f t="array" ref="T141">INDEX(ICL3_classA!$G$2:$G$37,MATCH(MIN(ABS(AI141-ICL3_classA!$F$2:$F$37)),ABS(AI141-ICL3_classA!$F$2:$F$37),0))</f>
        <v>67</v>
      </c>
      <c r="U141" s="1">
        <f t="array" ref="U141">INDEX(ICL3_classA!$H$2:$H$37,MATCH(MIN(ABS(AI141-ICL3_classA!$F$2:$F$37)),ABS(AI141-ICL3_classA!$F$2:$F$37),0))</f>
        <v>26</v>
      </c>
      <c r="V141" s="1">
        <v>61</v>
      </c>
      <c r="W141" s="133">
        <f>VLOOKUP($B141&amp;"__wt",'SegEnds_Xtal_BW#'!$A:$Z,23,FALSE)</f>
        <v>31</v>
      </c>
      <c r="X141" s="1">
        <f>VLOOKUP($B141&amp;"__wt",'SegEnds_Xtal_BW#'!$A:$Z,24,FALSE)</f>
        <v>56</v>
      </c>
      <c r="Y141" s="1">
        <f>VLOOKUP($B141&amp;"__wt",'SegEnds_Xtal_BW#'!$A:$Z,25,FALSE)</f>
        <v>47</v>
      </c>
      <c r="Z141" s="1">
        <f>VLOOKUP($B141&amp;"__wt",'SegEnds_Xtal_BW#'!$A:$Z,26,FALSE)</f>
        <v>61</v>
      </c>
      <c r="AA141" s="27" t="str">
        <f>VLOOKUP(A141,Classification!A:B,2,FALSE)</f>
        <v>A</v>
      </c>
      <c r="AB141" s="1">
        <f>VLOOKUP(A141,'SegEnds_NonXtal_Prot#'!A:AL,10,FALSE)-VLOOKUP(A141,'SegEnds_NonXtal_Prot#'!A:AL,4,FALSE)</f>
        <v>28</v>
      </c>
      <c r="AC141" s="1" t="e">
        <f>VLOOKUP(A141,'SegEnds_NonXtal_Prot#'!A:AL,10,FALSE)-VLOOKUP(A141,'SegEnds_NonXtal_Prot#'!A:AL,7,FALSE)</f>
        <v>#VALUE!</v>
      </c>
      <c r="AD141" s="1">
        <f>VLOOKUP(A141,'SegEnds_NonXtal_Prot#'!A:AL,13,FALSE)-VLOOKUP(A141,'SegEnds_NonXtal_Prot#'!A:AL,10,FALSE)</f>
        <v>20</v>
      </c>
      <c r="AE141" s="1">
        <f>VLOOKUP(A141,'SegEnds_NonXtal_Prot#'!A:AL,16,FALSE)-VLOOKUP(A141,'SegEnds_NonXtal_Prot#'!A:AL,10,FALSE)</f>
        <v>52</v>
      </c>
      <c r="AF141" s="1">
        <f>VLOOKUP(A141,'SegEnds_NonXtal_Prot#'!A:AL,22,FALSE)-VLOOKUP(A141,'SegEnds_NonXtal_Prot#'!A:AL,19,FALSE)</f>
        <v>20</v>
      </c>
      <c r="AG141" s="1">
        <f>VLOOKUP(A141,'SegEnds_NonXtal_Prot#'!A:AL,28,FALSE)-VLOOKUP(A141,'SegEnds_NonXtal_Prot#'!A:AL,25,FALSE)</f>
        <v>30</v>
      </c>
      <c r="AH141" s="1">
        <f>VLOOKUP(A141,'SegEnds_NonXtal_Prot#'!A:AL,28,FALSE)-VLOOKUP(A141,'SegEnds_NonXtal_Prot#'!A:AL,22,FALSE)</f>
        <v>57</v>
      </c>
      <c r="AI141" s="1">
        <f>VLOOKUP(A141,'SegEnds_NonXtal_Prot#'!A:AL,31,FALSE)-VLOOKUP(A141,'SegEnds_NonXtal_Prot#'!A:AL,28,FALSE)</f>
        <v>47</v>
      </c>
      <c r="AJ141" s="1">
        <f>VLOOKUP(A141,'SegEnds_NonXtal_Prot#'!A:AL,34,FALSE)-VLOOKUP(A141,'SegEnds_NonXtal_Prot#'!A:AL,31,FALSE)</f>
        <v>38</v>
      </c>
      <c r="AK141" s="1">
        <f>VLOOKUP(A141,'SegEnds_NonXtal_Prot#'!A:AL,37,FALSE)-VLOOKUP(A141,'SegEnds_NonXtal_Prot#'!A:AL,34,FALSE)</f>
        <v>10</v>
      </c>
      <c r="AL141" s="1" t="str">
        <f>IF(ISERROR(MATCH(A141,'SegEnds_Xtal_Prot#'!B:B, 0)), "NoXtal", "Xtal")</f>
        <v>NoXtal</v>
      </c>
    </row>
    <row r="142" spans="1:38" x14ac:dyDescent="0.2">
      <c r="A142" s="1" t="s">
        <v>379</v>
      </c>
      <c r="B142" s="1" t="str">
        <f>VLOOKUP(A142,Xtal_Templ!A:B,2,FALSE)</f>
        <v>s1pr1_human</v>
      </c>
      <c r="C142" s="5">
        <f>VLOOKUP($B142&amp;"__wt",'SegEnds_Xtal_BW#'!$A:$Z,3,FALSE)</f>
        <v>29</v>
      </c>
      <c r="D142" s="1">
        <f>VLOOKUP($B142&amp;"__wt",'SegEnds_Xtal_BW#'!$A:$Z,4,FALSE)</f>
        <v>60</v>
      </c>
      <c r="E142" s="1">
        <f>VLOOKUP($B142&amp;"__wt",'SegEnds_Xtal_BW#'!$A:$Z,5,FALSE)</f>
        <v>48</v>
      </c>
      <c r="F142" s="1">
        <f>VLOOKUP($B142&amp;"__wt",'SegEnds_Xtal_BW#'!$A:$Z,6,FALSE)</f>
        <v>51</v>
      </c>
      <c r="G142" s="1">
        <v>37</v>
      </c>
      <c r="H142" s="12">
        <v>63</v>
      </c>
      <c r="I142" s="1">
        <f>VLOOKUP($B142&amp;"__wt",'SegEnds_Xtal_BW#'!$A:$Z,9,FALSE)</f>
        <v>47</v>
      </c>
      <c r="J142" s="1">
        <f>VLOOKUP($B142&amp;"__wt",'SegEnds_Xtal_BW#'!$A:$Z,10,FALSE)</f>
        <v>53</v>
      </c>
      <c r="K142" s="12">
        <v>21</v>
      </c>
      <c r="L142" s="1">
        <f>VLOOKUP($B142&amp;"__wt",'SegEnds_Xtal_BW#'!$A:$Z,12,FALSE)</f>
        <v>56</v>
      </c>
      <c r="M142" s="1">
        <f>VLOOKUP($B142&amp;"__wt",'SegEnds_Xtal_BW#'!$A:$Z,13,FALSE)</f>
        <v>50</v>
      </c>
      <c r="N142" s="12">
        <v>57</v>
      </c>
      <c r="O142" s="87">
        <v>38</v>
      </c>
      <c r="P142" s="1">
        <f>VLOOKUP($B142&amp;"__wt",'SegEnds_Xtal_BW#'!$A:$Z,16,FALSE)</f>
        <v>63</v>
      </c>
      <c r="Q142" s="1" t="str">
        <f>VLOOKUP($B142&amp;"__wt",'SegEnds_Xtal_BW#'!$A:$Z,17,FALSE)</f>
        <v>-</v>
      </c>
      <c r="R142" s="1" t="str">
        <f>VLOOKUP($B142&amp;"__wt",'SegEnds_Xtal_BW#'!$A:$Z,18,FALSE)</f>
        <v>-</v>
      </c>
      <c r="S142" s="1">
        <f>VLOOKUP($B142&amp;"__wt",'SegEnds_Xtal_BW#'!$A:$Z,19,FALSE)</f>
        <v>36</v>
      </c>
      <c r="T142" s="1">
        <f t="array" ref="T142">INDEX(ICL3_classA!$G$2:$G$37,MATCH(MIN(ABS(AI142-ICL3_classA!$F$2:$F$37)),ABS(AI142-ICL3_classA!$F$2:$F$37),0))</f>
        <v>68</v>
      </c>
      <c r="U142" s="1">
        <f t="array" ref="U142">INDEX(ICL3_classA!$H$2:$H$37,MATCH(MIN(ABS(AI142-ICL3_classA!$F$2:$F$37)),ABS(AI142-ICL3_classA!$F$2:$F$37),0))</f>
        <v>23</v>
      </c>
      <c r="V142" s="1">
        <v>61</v>
      </c>
      <c r="W142" s="133">
        <f>VLOOKUP($B142&amp;"__wt",'SegEnds_Xtal_BW#'!$A:$Z,23,FALSE)</f>
        <v>30</v>
      </c>
      <c r="X142" s="1">
        <f>VLOOKUP($B142&amp;"__wt",'SegEnds_Xtal_BW#'!$A:$Z,24,FALSE)</f>
        <v>56</v>
      </c>
      <c r="Y142" s="1">
        <f>VLOOKUP($B142&amp;"__wt",'SegEnds_Xtal_BW#'!$A:$Z,25,FALSE)</f>
        <v>47</v>
      </c>
      <c r="Z142" s="1">
        <f>VLOOKUP($B142&amp;"__wt",'SegEnds_Xtal_BW#'!$A:$Z,26,FALSE)</f>
        <v>59</v>
      </c>
      <c r="AA142" s="27" t="str">
        <f>VLOOKUP(A142,Classification!A:B,2,FALSE)</f>
        <v>A</v>
      </c>
      <c r="AB142" s="1">
        <f>VLOOKUP(A142,'SegEnds_NonXtal_Prot#'!A:AL,10,FALSE)-VLOOKUP(A142,'SegEnds_NonXtal_Prot#'!A:AL,4,FALSE)</f>
        <v>28</v>
      </c>
      <c r="AC142" s="1">
        <f>VLOOKUP(A142,'SegEnds_NonXtal_Prot#'!A:AL,10,FALSE)-VLOOKUP(A142,'SegEnds_NonXtal_Prot#'!A:AL,7,FALSE)</f>
        <v>15</v>
      </c>
      <c r="AD142" s="1">
        <f>VLOOKUP(A142,'SegEnds_NonXtal_Prot#'!A:AL,13,FALSE)-VLOOKUP(A142,'SegEnds_NonXtal_Prot#'!A:AL,10,FALSE)</f>
        <v>18</v>
      </c>
      <c r="AE142" s="1">
        <f>VLOOKUP(A142,'SegEnds_NonXtal_Prot#'!A:AL,16,FALSE)-VLOOKUP(A142,'SegEnds_NonXtal_Prot#'!A:AL,10,FALSE)</f>
        <v>51</v>
      </c>
      <c r="AF142" s="1">
        <f>VLOOKUP(A142,'SegEnds_NonXtal_Prot#'!A:AL,22,FALSE)-VLOOKUP(A142,'SegEnds_NonXtal_Prot#'!A:AL,19,FALSE)</f>
        <v>20</v>
      </c>
      <c r="AG142" s="1" t="e">
        <f>VLOOKUP(A142,'SegEnds_NonXtal_Prot#'!A:AL,28,FALSE)-VLOOKUP(A142,'SegEnds_NonXtal_Prot#'!A:AL,25,FALSE)</f>
        <v>#VALUE!</v>
      </c>
      <c r="AH142" s="1">
        <f>VLOOKUP(A142,'SegEnds_NonXtal_Prot#'!A:AL,28,FALSE)-VLOOKUP(A142,'SegEnds_NonXtal_Prot#'!A:AL,22,FALSE)</f>
        <v>45</v>
      </c>
      <c r="AI142" s="1">
        <f>VLOOKUP(A142,'SegEnds_NonXtal_Prot#'!A:AL,31,FALSE)-VLOOKUP(A142,'SegEnds_NonXtal_Prot#'!A:AL,28,FALSE)</f>
        <v>51</v>
      </c>
      <c r="AJ142" s="1">
        <f>VLOOKUP(A142,'SegEnds_NonXtal_Prot#'!A:AL,34,FALSE)-VLOOKUP(A142,'SegEnds_NonXtal_Prot#'!A:AL,31,FALSE)</f>
        <v>38</v>
      </c>
      <c r="AK142" s="1">
        <f>VLOOKUP(A142,'SegEnds_NonXtal_Prot#'!A:AL,37,FALSE)-VLOOKUP(A142,'SegEnds_NonXtal_Prot#'!A:AL,34,FALSE)</f>
        <v>10</v>
      </c>
      <c r="AL142" s="1" t="str">
        <f>IF(ISERROR(MATCH(A142,'SegEnds_Xtal_Prot#'!B:B, 0)), "NoXtal", "Xtal")</f>
        <v>NoXtal</v>
      </c>
    </row>
    <row r="143" spans="1:38" x14ac:dyDescent="0.2">
      <c r="A143" s="1" t="s">
        <v>382</v>
      </c>
      <c r="B143" s="1" t="str">
        <f>VLOOKUP(A143,Xtal_Templ!A:B,2,FALSE)</f>
        <v>oprk_human</v>
      </c>
      <c r="C143" s="5">
        <f>VLOOKUP($B143&amp;"__wt",'SegEnds_Xtal_BW#'!$A:$Z,3,FALSE)</f>
        <v>30</v>
      </c>
      <c r="D143" s="1">
        <f>VLOOKUP($B143&amp;"__wt",'SegEnds_Xtal_BW#'!$A:$Z,4,FALSE)</f>
        <v>60</v>
      </c>
      <c r="E143" s="1">
        <f>VLOOKUP($B143&amp;"__wt",'SegEnds_Xtal_BW#'!$A:$Z,5,FALSE)</f>
        <v>48</v>
      </c>
      <c r="F143" s="1">
        <f>VLOOKUP($B143&amp;"__wt",'SegEnds_Xtal_BW#'!$A:$Z,6,FALSE)</f>
        <v>51</v>
      </c>
      <c r="G143" s="1">
        <v>37</v>
      </c>
      <c r="H143" s="12">
        <v>66</v>
      </c>
      <c r="I143" s="1">
        <f>VLOOKUP($B143&amp;"__wt",'SegEnds_Xtal_BW#'!$A:$Z,9,FALSE)</f>
        <v>49</v>
      </c>
      <c r="J143" s="1">
        <f>VLOOKUP($B143&amp;"__wt",'SegEnds_Xtal_BW#'!$A:$Z,10,FALSE)</f>
        <v>52</v>
      </c>
      <c r="K143" s="12">
        <v>21</v>
      </c>
      <c r="L143" s="1">
        <f>VLOOKUP($B143&amp;"__wt",'SegEnds_Xtal_BW#'!$A:$Z,12,FALSE)</f>
        <v>56</v>
      </c>
      <c r="M143" s="1">
        <f>VLOOKUP($B143&amp;"__wt",'SegEnds_Xtal_BW#'!$A:$Z,13,FALSE)</f>
        <v>50</v>
      </c>
      <c r="N143" s="12">
        <v>57</v>
      </c>
      <c r="O143" s="87">
        <v>38</v>
      </c>
      <c r="P143" s="1">
        <f>VLOOKUP($B143&amp;"__wt",'SegEnds_Xtal_BW#'!$A:$Z,16,FALSE)</f>
        <v>64</v>
      </c>
      <c r="Q143" s="1">
        <f>VLOOKUP($B143&amp;"__wt",'SegEnds_Xtal_BW#'!$A:$Z,17,FALSE)</f>
        <v>50</v>
      </c>
      <c r="R143" s="1">
        <f>VLOOKUP($B143&amp;"__wt",'SegEnds_Xtal_BW#'!$A:$Z,18,FALSE)</f>
        <v>52</v>
      </c>
      <c r="S143" s="1">
        <f>VLOOKUP($B143&amp;"__wt",'SegEnds_Xtal_BW#'!$A:$Z,19,FALSE)</f>
        <v>30</v>
      </c>
      <c r="T143" s="1">
        <f t="array" ref="T143">INDEX(ICL3_classA!$G$2:$G$37,MATCH(MIN(ABS(AI143-ICL3_classA!$F$2:$F$37)),ABS(AI143-ICL3_classA!$F$2:$F$37),0))</f>
        <v>68</v>
      </c>
      <c r="U143" s="1">
        <f t="array" ref="U143">INDEX(ICL3_classA!$H$2:$H$37,MATCH(MIN(ABS(AI143-ICL3_classA!$F$2:$F$37)),ABS(AI143-ICL3_classA!$F$2:$F$37),0))</f>
        <v>23</v>
      </c>
      <c r="V143" s="1">
        <v>61</v>
      </c>
      <c r="W143" s="133">
        <f>VLOOKUP($B143&amp;"__wt",'SegEnds_Xtal_BW#'!$A:$Z,23,FALSE)</f>
        <v>28</v>
      </c>
      <c r="X143" s="1">
        <f>VLOOKUP($B143&amp;"__wt",'SegEnds_Xtal_BW#'!$A:$Z,24,FALSE)</f>
        <v>56</v>
      </c>
      <c r="Y143" s="1">
        <f>VLOOKUP($B143&amp;"__wt",'SegEnds_Xtal_BW#'!$A:$Z,25,FALSE)</f>
        <v>47</v>
      </c>
      <c r="Z143" s="1">
        <f>VLOOKUP($B143&amp;"__wt",'SegEnds_Xtal_BW#'!$A:$Z,26,FALSE)</f>
        <v>59</v>
      </c>
      <c r="AA143" s="27" t="str">
        <f>VLOOKUP(A143,Classification!A:B,2,FALSE)</f>
        <v>A</v>
      </c>
      <c r="AB143" s="1">
        <f>VLOOKUP(A143,'SegEnds_NonXtal_Prot#'!A:AL,10,FALSE)-VLOOKUP(A143,'SegEnds_NonXtal_Prot#'!A:AL,4,FALSE)</f>
        <v>28</v>
      </c>
      <c r="AC143" s="1">
        <f>VLOOKUP(A143,'SegEnds_NonXtal_Prot#'!A:AL,10,FALSE)-VLOOKUP(A143,'SegEnds_NonXtal_Prot#'!A:AL,7,FALSE)</f>
        <v>15</v>
      </c>
      <c r="AD143" s="1">
        <f>VLOOKUP(A143,'SegEnds_NonXtal_Prot#'!A:AL,13,FALSE)-VLOOKUP(A143,'SegEnds_NonXtal_Prot#'!A:AL,10,FALSE)</f>
        <v>19</v>
      </c>
      <c r="AE143" s="1">
        <f>VLOOKUP(A143,'SegEnds_NonXtal_Prot#'!A:AL,16,FALSE)-VLOOKUP(A143,'SegEnds_NonXtal_Prot#'!A:AL,10,FALSE)</f>
        <v>51</v>
      </c>
      <c r="AF143" s="1">
        <f>VLOOKUP(A143,'SegEnds_NonXtal_Prot#'!A:AL,22,FALSE)-VLOOKUP(A143,'SegEnds_NonXtal_Prot#'!A:AL,19,FALSE)</f>
        <v>20</v>
      </c>
      <c r="AG143" s="1">
        <f>VLOOKUP(A143,'SegEnds_NonXtal_Prot#'!A:AL,28,FALSE)-VLOOKUP(A143,'SegEnds_NonXtal_Prot#'!A:AL,25,FALSE)</f>
        <v>27</v>
      </c>
      <c r="AH143" s="1">
        <f>VLOOKUP(A143,'SegEnds_NonXtal_Prot#'!A:AL,28,FALSE)-VLOOKUP(A143,'SegEnds_NonXtal_Prot#'!A:AL,22,FALSE)</f>
        <v>53</v>
      </c>
      <c r="AI143" s="1">
        <f>VLOOKUP(A143,'SegEnds_NonXtal_Prot#'!A:AL,31,FALSE)-VLOOKUP(A143,'SegEnds_NonXtal_Prot#'!A:AL,28,FALSE)</f>
        <v>51</v>
      </c>
      <c r="AJ143" s="1">
        <f>VLOOKUP(A143,'SegEnds_NonXtal_Prot#'!A:AL,34,FALSE)-VLOOKUP(A143,'SegEnds_NonXtal_Prot#'!A:AL,31,FALSE)</f>
        <v>38</v>
      </c>
      <c r="AK143" s="1">
        <f>VLOOKUP(A143,'SegEnds_NonXtal_Prot#'!A:AL,37,FALSE)-VLOOKUP(A143,'SegEnds_NonXtal_Prot#'!A:AL,34,FALSE)</f>
        <v>10</v>
      </c>
      <c r="AL143" s="1" t="str">
        <f>IF(ISERROR(MATCH(A143,'SegEnds_Xtal_Prot#'!B:B, 0)), "NoXtal", "Xtal")</f>
        <v>NoXtal</v>
      </c>
    </row>
    <row r="144" spans="1:38" x14ac:dyDescent="0.2">
      <c r="A144" s="1" t="s">
        <v>383</v>
      </c>
      <c r="B144" s="1" t="str">
        <f>VLOOKUP(A144,Xtal_Templ!A:B,2,FALSE)</f>
        <v>oprk_human</v>
      </c>
      <c r="C144" s="5">
        <f>VLOOKUP($B144&amp;"__wt",'SegEnds_Xtal_BW#'!$A:$Z,3,FALSE)</f>
        <v>30</v>
      </c>
      <c r="D144" s="1">
        <f>VLOOKUP($B144&amp;"__wt",'SegEnds_Xtal_BW#'!$A:$Z,4,FALSE)</f>
        <v>60</v>
      </c>
      <c r="E144" s="1">
        <f>VLOOKUP($B144&amp;"__wt",'SegEnds_Xtal_BW#'!$A:$Z,5,FALSE)</f>
        <v>48</v>
      </c>
      <c r="F144" s="1">
        <f>VLOOKUP($B144&amp;"__wt",'SegEnds_Xtal_BW#'!$A:$Z,6,FALSE)</f>
        <v>51</v>
      </c>
      <c r="G144" s="1">
        <v>37</v>
      </c>
      <c r="H144" s="12">
        <v>66</v>
      </c>
      <c r="I144" s="1">
        <f>VLOOKUP($B144&amp;"__wt",'SegEnds_Xtal_BW#'!$A:$Z,9,FALSE)</f>
        <v>49</v>
      </c>
      <c r="J144" s="1">
        <f>VLOOKUP($B144&amp;"__wt",'SegEnds_Xtal_BW#'!$A:$Z,10,FALSE)</f>
        <v>52</v>
      </c>
      <c r="K144" s="12">
        <v>21</v>
      </c>
      <c r="L144" s="1">
        <f>VLOOKUP($B144&amp;"__wt",'SegEnds_Xtal_BW#'!$A:$Z,12,FALSE)</f>
        <v>56</v>
      </c>
      <c r="M144" s="1">
        <f>VLOOKUP($B144&amp;"__wt",'SegEnds_Xtal_BW#'!$A:$Z,13,FALSE)</f>
        <v>50</v>
      </c>
      <c r="N144" s="12">
        <v>57</v>
      </c>
      <c r="O144" s="87">
        <v>38</v>
      </c>
      <c r="P144" s="1">
        <f>VLOOKUP($B144&amp;"__wt",'SegEnds_Xtal_BW#'!$A:$Z,16,FALSE)</f>
        <v>64</v>
      </c>
      <c r="Q144" s="1">
        <f>VLOOKUP($B144&amp;"__wt",'SegEnds_Xtal_BW#'!$A:$Z,17,FALSE)</f>
        <v>50</v>
      </c>
      <c r="R144" s="1">
        <f>VLOOKUP($B144&amp;"__wt",'SegEnds_Xtal_BW#'!$A:$Z,18,FALSE)</f>
        <v>52</v>
      </c>
      <c r="S144" s="1">
        <f>VLOOKUP($B144&amp;"__wt",'SegEnds_Xtal_BW#'!$A:$Z,19,FALSE)</f>
        <v>30</v>
      </c>
      <c r="T144" s="1">
        <f t="array" ref="T144">INDEX(ICL3_classA!$G$2:$G$37,MATCH(MIN(ABS(AI144-ICL3_classA!$F$2:$F$37)),ABS(AI144-ICL3_classA!$F$2:$F$37),0))</f>
        <v>72</v>
      </c>
      <c r="U144" s="1">
        <f t="array" ref="U144">INDEX(ICL3_classA!$H$2:$H$37,MATCH(MIN(ABS(AI144-ICL3_classA!$F$2:$F$37)),ABS(AI144-ICL3_classA!$F$2:$F$37),0))</f>
        <v>24</v>
      </c>
      <c r="V144" s="1">
        <v>61</v>
      </c>
      <c r="W144" s="133">
        <f>VLOOKUP($B144&amp;"__wt",'SegEnds_Xtal_BW#'!$A:$Z,23,FALSE)</f>
        <v>28</v>
      </c>
      <c r="X144" s="1">
        <f>VLOOKUP($B144&amp;"__wt",'SegEnds_Xtal_BW#'!$A:$Z,24,FALSE)</f>
        <v>56</v>
      </c>
      <c r="Y144" s="1">
        <f>VLOOKUP($B144&amp;"__wt",'SegEnds_Xtal_BW#'!$A:$Z,25,FALSE)</f>
        <v>47</v>
      </c>
      <c r="Z144" s="1">
        <f>VLOOKUP($B144&amp;"__wt",'SegEnds_Xtal_BW#'!$A:$Z,26,FALSE)</f>
        <v>59</v>
      </c>
      <c r="AA144" s="27" t="str">
        <f>VLOOKUP(A144,Classification!A:B,2,FALSE)</f>
        <v>A</v>
      </c>
      <c r="AB144" s="1">
        <f>VLOOKUP(A144,'SegEnds_NonXtal_Prot#'!A:AL,10,FALSE)-VLOOKUP(A144,'SegEnds_NonXtal_Prot#'!A:AL,4,FALSE)</f>
        <v>28</v>
      </c>
      <c r="AC144" s="1">
        <f>VLOOKUP(A144,'SegEnds_NonXtal_Prot#'!A:AL,10,FALSE)-VLOOKUP(A144,'SegEnds_NonXtal_Prot#'!A:AL,7,FALSE)</f>
        <v>15</v>
      </c>
      <c r="AD144" s="1">
        <f>VLOOKUP(A144,'SegEnds_NonXtal_Prot#'!A:AL,13,FALSE)-VLOOKUP(A144,'SegEnds_NonXtal_Prot#'!A:AL,10,FALSE)</f>
        <v>19</v>
      </c>
      <c r="AE144" s="1">
        <f>VLOOKUP(A144,'SegEnds_NonXtal_Prot#'!A:AL,16,FALSE)-VLOOKUP(A144,'SegEnds_NonXtal_Prot#'!A:AL,10,FALSE)</f>
        <v>51</v>
      </c>
      <c r="AF144" s="1">
        <f>VLOOKUP(A144,'SegEnds_NonXtal_Prot#'!A:AL,22,FALSE)-VLOOKUP(A144,'SegEnds_NonXtal_Prot#'!A:AL,19,FALSE)</f>
        <v>20</v>
      </c>
      <c r="AG144" s="1">
        <f>VLOOKUP(A144,'SegEnds_NonXtal_Prot#'!A:AL,28,FALSE)-VLOOKUP(A144,'SegEnds_NonXtal_Prot#'!A:AL,25,FALSE)</f>
        <v>27</v>
      </c>
      <c r="AH144" s="1">
        <f>VLOOKUP(A144,'SegEnds_NonXtal_Prot#'!A:AL,28,FALSE)-VLOOKUP(A144,'SegEnds_NonXtal_Prot#'!A:AL,22,FALSE)</f>
        <v>50</v>
      </c>
      <c r="AI144" s="1">
        <f>VLOOKUP(A144,'SegEnds_NonXtal_Prot#'!A:AL,31,FALSE)-VLOOKUP(A144,'SegEnds_NonXtal_Prot#'!A:AL,28,FALSE)</f>
        <v>54</v>
      </c>
      <c r="AJ144" s="1">
        <f>VLOOKUP(A144,'SegEnds_NonXtal_Prot#'!A:AL,34,FALSE)-VLOOKUP(A144,'SegEnds_NonXtal_Prot#'!A:AL,31,FALSE)</f>
        <v>38</v>
      </c>
      <c r="AK144" s="1">
        <f>VLOOKUP(A144,'SegEnds_NonXtal_Prot#'!A:AL,37,FALSE)-VLOOKUP(A144,'SegEnds_NonXtal_Prot#'!A:AL,34,FALSE)</f>
        <v>10</v>
      </c>
      <c r="AL144" s="1" t="str">
        <f>IF(ISERROR(MATCH(A144,'SegEnds_Xtal_Prot#'!B:B, 0)), "NoXtal", "Xtal")</f>
        <v>NoXtal</v>
      </c>
    </row>
    <row r="145" spans="1:38" x14ac:dyDescent="0.2">
      <c r="A145" s="1" t="s">
        <v>385</v>
      </c>
      <c r="B145" s="1" t="str">
        <f>VLOOKUP(A145,Xtal_Templ!A:B,2,FALSE)</f>
        <v>oprk_human</v>
      </c>
      <c r="C145" s="5">
        <f>VLOOKUP($B145&amp;"__wt",'SegEnds_Xtal_BW#'!$A:$Z,3,FALSE)</f>
        <v>30</v>
      </c>
      <c r="D145" s="1">
        <f>VLOOKUP($B145&amp;"__wt",'SegEnds_Xtal_BW#'!$A:$Z,4,FALSE)</f>
        <v>60</v>
      </c>
      <c r="E145" s="1">
        <f>VLOOKUP($B145&amp;"__wt",'SegEnds_Xtal_BW#'!$A:$Z,5,FALSE)</f>
        <v>48</v>
      </c>
      <c r="F145" s="1">
        <f>VLOOKUP($B145&amp;"__wt",'SegEnds_Xtal_BW#'!$A:$Z,6,FALSE)</f>
        <v>51</v>
      </c>
      <c r="G145" s="1">
        <v>37</v>
      </c>
      <c r="H145" s="12">
        <v>66</v>
      </c>
      <c r="I145" s="1">
        <f>VLOOKUP($B145&amp;"__wt",'SegEnds_Xtal_BW#'!$A:$Z,9,FALSE)</f>
        <v>49</v>
      </c>
      <c r="J145" s="1">
        <f>VLOOKUP($B145&amp;"__wt",'SegEnds_Xtal_BW#'!$A:$Z,10,FALSE)</f>
        <v>52</v>
      </c>
      <c r="K145" s="12">
        <v>21</v>
      </c>
      <c r="L145" s="1">
        <f>VLOOKUP($B145&amp;"__wt",'SegEnds_Xtal_BW#'!$A:$Z,12,FALSE)</f>
        <v>56</v>
      </c>
      <c r="M145" s="1">
        <f>VLOOKUP($B145&amp;"__wt",'SegEnds_Xtal_BW#'!$A:$Z,13,FALSE)</f>
        <v>50</v>
      </c>
      <c r="N145" s="12">
        <v>57</v>
      </c>
      <c r="O145" s="87">
        <v>38</v>
      </c>
      <c r="P145" s="1">
        <f>VLOOKUP($B145&amp;"__wt",'SegEnds_Xtal_BW#'!$A:$Z,16,FALSE)</f>
        <v>64</v>
      </c>
      <c r="Q145" s="1">
        <f>VLOOKUP($B145&amp;"__wt",'SegEnds_Xtal_BW#'!$A:$Z,17,FALSE)</f>
        <v>50</v>
      </c>
      <c r="R145" s="1">
        <f>VLOOKUP($B145&amp;"__wt",'SegEnds_Xtal_BW#'!$A:$Z,18,FALSE)</f>
        <v>52</v>
      </c>
      <c r="S145" s="1">
        <f>VLOOKUP($B145&amp;"__wt",'SegEnds_Xtal_BW#'!$A:$Z,19,FALSE)</f>
        <v>30</v>
      </c>
      <c r="T145" s="1">
        <f t="array" ref="T145">INDEX(ICL3_classA!$G$2:$G$37,MATCH(MIN(ABS(AI145-ICL3_classA!$F$2:$F$37)),ABS(AI145-ICL3_classA!$F$2:$F$37),0))</f>
        <v>72</v>
      </c>
      <c r="U145" s="1">
        <f t="array" ref="U145">INDEX(ICL3_classA!$H$2:$H$37,MATCH(MIN(ABS(AI145-ICL3_classA!$F$2:$F$37)),ABS(AI145-ICL3_classA!$F$2:$F$37),0))</f>
        <v>29</v>
      </c>
      <c r="V145" s="1">
        <v>61</v>
      </c>
      <c r="W145" s="133">
        <f>VLOOKUP($B145&amp;"__wt",'SegEnds_Xtal_BW#'!$A:$Z,23,FALSE)</f>
        <v>28</v>
      </c>
      <c r="X145" s="1">
        <f>VLOOKUP($B145&amp;"__wt",'SegEnds_Xtal_BW#'!$A:$Z,24,FALSE)</f>
        <v>56</v>
      </c>
      <c r="Y145" s="1">
        <f>VLOOKUP($B145&amp;"__wt",'SegEnds_Xtal_BW#'!$A:$Z,25,FALSE)</f>
        <v>47</v>
      </c>
      <c r="Z145" s="1">
        <f>VLOOKUP($B145&amp;"__wt",'SegEnds_Xtal_BW#'!$A:$Z,26,FALSE)</f>
        <v>59</v>
      </c>
      <c r="AA145" s="27" t="str">
        <f>VLOOKUP(A145,Classification!A:B,2,FALSE)</f>
        <v>A</v>
      </c>
      <c r="AB145" s="1">
        <f>VLOOKUP(A145,'SegEnds_NonXtal_Prot#'!A:AL,10,FALSE)-VLOOKUP(A145,'SegEnds_NonXtal_Prot#'!A:AL,4,FALSE)</f>
        <v>28</v>
      </c>
      <c r="AC145" s="1">
        <f>VLOOKUP(A145,'SegEnds_NonXtal_Prot#'!A:AL,10,FALSE)-VLOOKUP(A145,'SegEnds_NonXtal_Prot#'!A:AL,7,FALSE)</f>
        <v>15</v>
      </c>
      <c r="AD145" s="1">
        <f>VLOOKUP(A145,'SegEnds_NonXtal_Prot#'!A:AL,13,FALSE)-VLOOKUP(A145,'SegEnds_NonXtal_Prot#'!A:AL,10,FALSE)</f>
        <v>19</v>
      </c>
      <c r="AE145" s="1">
        <f>VLOOKUP(A145,'SegEnds_NonXtal_Prot#'!A:AL,16,FALSE)-VLOOKUP(A145,'SegEnds_NonXtal_Prot#'!A:AL,10,FALSE)</f>
        <v>51</v>
      </c>
      <c r="AF145" s="1">
        <f>VLOOKUP(A145,'SegEnds_NonXtal_Prot#'!A:AL,22,FALSE)-VLOOKUP(A145,'SegEnds_NonXtal_Prot#'!A:AL,19,FALSE)</f>
        <v>20</v>
      </c>
      <c r="AG145" s="1">
        <f>VLOOKUP(A145,'SegEnds_NonXtal_Prot#'!A:AL,28,FALSE)-VLOOKUP(A145,'SegEnds_NonXtal_Prot#'!A:AL,25,FALSE)</f>
        <v>27</v>
      </c>
      <c r="AH145" s="1">
        <f>VLOOKUP(A145,'SegEnds_NonXtal_Prot#'!A:AL,28,FALSE)-VLOOKUP(A145,'SegEnds_NonXtal_Prot#'!A:AL,22,FALSE)</f>
        <v>49</v>
      </c>
      <c r="AI145" s="1">
        <f>VLOOKUP(A145,'SegEnds_NonXtal_Prot#'!A:AL,31,FALSE)-VLOOKUP(A145,'SegEnds_NonXtal_Prot#'!A:AL,28,FALSE)</f>
        <v>50</v>
      </c>
      <c r="AJ145" s="1">
        <f>VLOOKUP(A145,'SegEnds_NonXtal_Prot#'!A:AL,34,FALSE)-VLOOKUP(A145,'SegEnds_NonXtal_Prot#'!A:AL,31,FALSE)</f>
        <v>38</v>
      </c>
      <c r="AK145" s="1">
        <f>VLOOKUP(A145,'SegEnds_NonXtal_Prot#'!A:AL,37,FALSE)-VLOOKUP(A145,'SegEnds_NonXtal_Prot#'!A:AL,34,FALSE)</f>
        <v>10</v>
      </c>
      <c r="AL145" s="1" t="str">
        <f>IF(ISERROR(MATCH(A145,'SegEnds_Xtal_Prot#'!B:B, 0)), "NoXtal", "Xtal")</f>
        <v>NoXtal</v>
      </c>
    </row>
    <row r="146" spans="1:38" x14ac:dyDescent="0.2">
      <c r="A146" s="1" t="s">
        <v>132</v>
      </c>
      <c r="B146" s="1" t="str">
        <f>VLOOKUP(A146,Xtal_Templ!A:B,2,FALSE)</f>
        <v>5ht2a_human</v>
      </c>
      <c r="C146" s="5">
        <f>VLOOKUP($B146&amp;"__wt",'SegEnds_Xtal_BW#'!$A:$Z,3,FALSE)</f>
        <v>27</v>
      </c>
      <c r="D146" s="1">
        <f>VLOOKUP($B146&amp;"__wt",'SegEnds_Xtal_BW#'!$A:$Z,4,FALSE)</f>
        <v>60</v>
      </c>
      <c r="E146" s="1">
        <f>VLOOKUP($B146&amp;"__wt",'SegEnds_Xtal_BW#'!$A:$Z,5,FALSE)</f>
        <v>48</v>
      </c>
      <c r="F146" s="1">
        <f>VLOOKUP($B146&amp;"__wt",'SegEnds_Xtal_BW#'!$A:$Z,6,FALSE)</f>
        <v>51</v>
      </c>
      <c r="G146" s="1">
        <v>37</v>
      </c>
      <c r="H146" s="12">
        <f>VLOOKUP($B146&amp;"__wt",'SegEnds_Xtal_BW#'!$A:$Z,8,FALSE)</f>
        <v>68</v>
      </c>
      <c r="I146" s="1">
        <f>VLOOKUP($B146&amp;"__wt",'SegEnds_Xtal_BW#'!$A:$Z,9,FALSE)</f>
        <v>49</v>
      </c>
      <c r="J146" s="1">
        <f>VLOOKUP($B146&amp;"__wt",'SegEnds_Xtal_BW#'!$A:$Z,10,FALSE)</f>
        <v>52</v>
      </c>
      <c r="K146" s="12">
        <v>18</v>
      </c>
      <c r="L146" s="1">
        <f>VLOOKUP($B146&amp;"__wt",'SegEnds_Xtal_BW#'!$A:$Z,12,FALSE)</f>
        <v>56</v>
      </c>
      <c r="M146" s="1">
        <f>VLOOKUP($B146&amp;"__wt",'SegEnds_Xtal_BW#'!$A:$Z,13,FALSE)</f>
        <v>50</v>
      </c>
      <c r="N146" s="12">
        <v>57</v>
      </c>
      <c r="O146" s="87">
        <f>VLOOKUP($B146&amp;"__wt",'SegEnds_Xtal_BW#'!$A:$Z,15,FALSE)</f>
        <v>38</v>
      </c>
      <c r="P146" s="1">
        <f>VLOOKUP($B146&amp;"__wt",'SegEnds_Xtal_BW#'!$A:$Z,16,FALSE)</f>
        <v>67</v>
      </c>
      <c r="Q146" s="1">
        <f>VLOOKUP($B146&amp;"__wt",'SegEnds_Xtal_BW#'!$A:$Z,17,FALSE)</f>
        <v>50</v>
      </c>
      <c r="R146" s="1">
        <f>VLOOKUP($B146&amp;"__wt",'SegEnds_Xtal_BW#'!$A:$Z,18,FALSE)</f>
        <v>52</v>
      </c>
      <c r="S146" s="1">
        <v>35</v>
      </c>
      <c r="T146" s="1">
        <f t="array" ref="T146">INDEX(ICL3_classA!$G$2:$G$37,MATCH(MIN(ABS(AI146-ICL3_classA!$F$2:$F$37)),ABS(AI146-ICL3_classA!$F$2:$F$37),0))</f>
        <v>76</v>
      </c>
      <c r="U146" s="1">
        <f t="array" ref="U146">INDEX(ICL3_classA!$H$2:$H$37,MATCH(MIN(ABS(AI146-ICL3_classA!$F$2:$F$37)),ABS(AI146-ICL3_classA!$F$2:$F$37),0))</f>
        <v>24</v>
      </c>
      <c r="V146" s="1">
        <v>61</v>
      </c>
      <c r="W146" s="133">
        <v>27</v>
      </c>
      <c r="X146" s="1">
        <f>VLOOKUP($B146&amp;"__wt",'SegEnds_Xtal_BW#'!$A:$Z,24,FALSE)</f>
        <v>56</v>
      </c>
      <c r="Y146" s="1">
        <f>VLOOKUP($B146&amp;"__wt",'SegEnds_Xtal_BW#'!$A:$Z,25,FALSE)</f>
        <v>47</v>
      </c>
      <c r="Z146" s="1">
        <f>VLOOKUP($B146&amp;"__wt",'SegEnds_Xtal_BW#'!$A:$Z,26,FALSE)</f>
        <v>60</v>
      </c>
      <c r="AA146" s="27" t="str">
        <f>VLOOKUP(A146,Classification!A:B,2,FALSE)</f>
        <v>A</v>
      </c>
      <c r="AB146" s="1">
        <f>VLOOKUP(A146,'SegEnds_NonXtal_Prot#'!A:AL,10,FALSE)-VLOOKUP(A146,'SegEnds_NonXtal_Prot#'!A:AL,4,FALSE)</f>
        <v>28</v>
      </c>
      <c r="AC146" s="1">
        <f>VLOOKUP(A146,'SegEnds_NonXtal_Prot#'!A:AL,10,FALSE)-VLOOKUP(A146,'SegEnds_NonXtal_Prot#'!A:AL,7,FALSE)</f>
        <v>15</v>
      </c>
      <c r="AD146" s="1">
        <f>VLOOKUP(A146,'SegEnds_NonXtal_Prot#'!A:AL,13,FALSE)-VLOOKUP(A146,'SegEnds_NonXtal_Prot#'!A:AL,10,FALSE)</f>
        <v>21</v>
      </c>
      <c r="AE146" s="1">
        <f>VLOOKUP(A146,'SegEnds_NonXtal_Prot#'!A:AL,16,FALSE)-VLOOKUP(A146,'SegEnds_NonXtal_Prot#'!A:AL,10,FALSE)</f>
        <v>53</v>
      </c>
      <c r="AF146" s="1">
        <f>VLOOKUP(A146,'SegEnds_NonXtal_Prot#'!A:AL,22,FALSE)-VLOOKUP(A146,'SegEnds_NonXtal_Prot#'!A:AL,19,FALSE)</f>
        <v>20</v>
      </c>
      <c r="AG146" s="1">
        <f>VLOOKUP(A146,'SegEnds_NonXtal_Prot#'!A:AL,28,FALSE)-VLOOKUP(A146,'SegEnds_NonXtal_Prot#'!A:AL,25,FALSE)</f>
        <v>19</v>
      </c>
      <c r="AH146" s="1">
        <f>VLOOKUP(A146,'SegEnds_NonXtal_Prot#'!A:AL,28,FALSE)-VLOOKUP(A146,'SegEnds_NonXtal_Prot#'!A:AL,22,FALSE)</f>
        <v>46</v>
      </c>
      <c r="AI146" s="1">
        <f>VLOOKUP(A146,'SegEnds_NonXtal_Prot#'!A:AL,31,FALSE)-VLOOKUP(A146,'SegEnds_NonXtal_Prot#'!A:AL,28,FALSE)</f>
        <v>92</v>
      </c>
      <c r="AJ146" s="1">
        <f>VLOOKUP(A146,'SegEnds_NonXtal_Prot#'!A:AL,34,FALSE)-VLOOKUP(A146,'SegEnds_NonXtal_Prot#'!A:AL,31,FALSE)</f>
        <v>39</v>
      </c>
      <c r="AK146" s="1">
        <f>VLOOKUP(A146,'SegEnds_NonXtal_Prot#'!A:AL,37,FALSE)-VLOOKUP(A146,'SegEnds_NonXtal_Prot#'!A:AL,34,FALSE)</f>
        <v>10</v>
      </c>
      <c r="AL146" s="1" t="str">
        <f>IF(ISERROR(MATCH(A146,'SegEnds_Xtal_Prot#'!B:B, 0)), "NoXtal", "Xtal")</f>
        <v>Xtal</v>
      </c>
    </row>
    <row r="147" spans="1:38" x14ac:dyDescent="0.2">
      <c r="A147" s="1" t="s">
        <v>133</v>
      </c>
      <c r="B147" s="1" t="str">
        <f>VLOOKUP(A147,Xtal_Templ!A:B,2,FALSE)</f>
        <v>5ht2c_human</v>
      </c>
      <c r="C147" s="5">
        <f>VLOOKUP($B147&amp;"__wt",'SegEnds_Xtal_BW#'!$A:$Z,3,FALSE)</f>
        <v>33</v>
      </c>
      <c r="D147" s="1">
        <f>VLOOKUP($B147&amp;"__wt",'SegEnds_Xtal_BW#'!$A:$Z,4,FALSE)</f>
        <v>60</v>
      </c>
      <c r="E147" s="1">
        <f>VLOOKUP($B147&amp;"__wt",'SegEnds_Xtal_BW#'!$A:$Z,5,FALSE)</f>
        <v>48</v>
      </c>
      <c r="F147" s="1">
        <f>VLOOKUP($B147&amp;"__wt",'SegEnds_Xtal_BW#'!$A:$Z,6,FALSE)</f>
        <v>51</v>
      </c>
      <c r="G147" s="1">
        <v>37</v>
      </c>
      <c r="H147" s="12">
        <f>VLOOKUP($B147&amp;"__wt",'SegEnds_Xtal_BW#'!$A:$Z,8,FALSE)</f>
        <v>68</v>
      </c>
      <c r="I147" s="1">
        <f>VLOOKUP($B147&amp;"__wt",'SegEnds_Xtal_BW#'!$A:$Z,9,FALSE)</f>
        <v>49</v>
      </c>
      <c r="J147" s="1">
        <f>VLOOKUP($B147&amp;"__wt",'SegEnds_Xtal_BW#'!$A:$Z,10,FALSE)</f>
        <v>52</v>
      </c>
      <c r="K147" s="12">
        <v>18</v>
      </c>
      <c r="L147" s="1">
        <f>VLOOKUP($B147&amp;"__wt",'SegEnds_Xtal_BW#'!$A:$Z,12,FALSE)</f>
        <v>56</v>
      </c>
      <c r="M147" s="1">
        <f>VLOOKUP($B147&amp;"__wt",'SegEnds_Xtal_BW#'!$A:$Z,13,FALSE)</f>
        <v>50</v>
      </c>
      <c r="N147" s="12">
        <v>57</v>
      </c>
      <c r="O147" s="87">
        <f>VLOOKUP($B147&amp;"__wt",'SegEnds_Xtal_BW#'!$A:$Z,15,FALSE)</f>
        <v>38</v>
      </c>
      <c r="P147" s="1">
        <f>VLOOKUP($B147&amp;"__wt",'SegEnds_Xtal_BW#'!$A:$Z,16,FALSE)</f>
        <v>67</v>
      </c>
      <c r="Q147" s="1">
        <f>VLOOKUP($B147&amp;"__wt",'SegEnds_Xtal_BW#'!$A:$Z,17,FALSE)</f>
        <v>50</v>
      </c>
      <c r="R147" s="1">
        <f>VLOOKUP($B147&amp;"__wt",'SegEnds_Xtal_BW#'!$A:$Z,18,FALSE)</f>
        <v>52</v>
      </c>
      <c r="S147" s="1">
        <f>VLOOKUP($B147&amp;"__wt",'SegEnds_Xtal_BW#'!$A:$Z,19,FALSE)</f>
        <v>35</v>
      </c>
      <c r="T147" s="1">
        <f t="array" ref="T147">INDEX(ICL3_classA!$G$2:$G$37,MATCH(MIN(ABS(AI147-ICL3_classA!$F$2:$F$37)),ABS(AI147-ICL3_classA!$F$2:$F$37),0))</f>
        <v>74</v>
      </c>
      <c r="U147" s="1">
        <f t="array" ref="U147">INDEX(ICL3_classA!$H$2:$H$37,MATCH(MIN(ABS(AI147-ICL3_classA!$F$2:$F$37)),ABS(AI147-ICL3_classA!$F$2:$F$37),0))</f>
        <v>24</v>
      </c>
      <c r="V147" s="1">
        <v>61</v>
      </c>
      <c r="W147" s="133">
        <v>27</v>
      </c>
      <c r="X147" s="1">
        <f>VLOOKUP($B147&amp;"__wt",'SegEnds_Xtal_BW#'!$A:$Z,24,FALSE)</f>
        <v>56</v>
      </c>
      <c r="Y147" s="1">
        <f>VLOOKUP($B147&amp;"__wt",'SegEnds_Xtal_BW#'!$A:$Z,25,FALSE)</f>
        <v>47</v>
      </c>
      <c r="Z147" s="1">
        <f>VLOOKUP($B147&amp;"__wt",'SegEnds_Xtal_BW#'!$A:$Z,26,FALSE)</f>
        <v>60</v>
      </c>
      <c r="AA147" s="27" t="str">
        <f>VLOOKUP(A147,Classification!A:B,2,FALSE)</f>
        <v>A</v>
      </c>
      <c r="AB147" s="1">
        <f>VLOOKUP(A147,'SegEnds_NonXtal_Prot#'!A:AL,10,FALSE)-VLOOKUP(A147,'SegEnds_NonXtal_Prot#'!A:AL,4,FALSE)</f>
        <v>28</v>
      </c>
      <c r="AC147" s="1">
        <f>VLOOKUP(A147,'SegEnds_NonXtal_Prot#'!A:AL,10,FALSE)-VLOOKUP(A147,'SegEnds_NonXtal_Prot#'!A:AL,7,FALSE)</f>
        <v>15</v>
      </c>
      <c r="AD147" s="1">
        <f>VLOOKUP(A147,'SegEnds_NonXtal_Prot#'!A:AL,13,FALSE)-VLOOKUP(A147,'SegEnds_NonXtal_Prot#'!A:AL,10,FALSE)</f>
        <v>21</v>
      </c>
      <c r="AE147" s="1">
        <f>VLOOKUP(A147,'SegEnds_NonXtal_Prot#'!A:AL,16,FALSE)-VLOOKUP(A147,'SegEnds_NonXtal_Prot#'!A:AL,10,FALSE)</f>
        <v>53</v>
      </c>
      <c r="AF147" s="1">
        <f>VLOOKUP(A147,'SegEnds_NonXtal_Prot#'!A:AL,22,FALSE)-VLOOKUP(A147,'SegEnds_NonXtal_Prot#'!A:AL,19,FALSE)</f>
        <v>20</v>
      </c>
      <c r="AG147" s="1">
        <f>VLOOKUP(A147,'SegEnds_NonXtal_Prot#'!A:AL,28,FALSE)-VLOOKUP(A147,'SegEnds_NonXtal_Prot#'!A:AL,25,FALSE)</f>
        <v>19</v>
      </c>
      <c r="AH147" s="1">
        <f>VLOOKUP(A147,'SegEnds_NonXtal_Prot#'!A:AL,28,FALSE)-VLOOKUP(A147,'SegEnds_NonXtal_Prot#'!A:AL,22,FALSE)</f>
        <v>47</v>
      </c>
      <c r="AI147" s="1">
        <f>VLOOKUP(A147,'SegEnds_NonXtal_Prot#'!A:AL,31,FALSE)-VLOOKUP(A147,'SegEnds_NonXtal_Prot#'!A:AL,28,FALSE)</f>
        <v>100</v>
      </c>
      <c r="AJ147" s="1">
        <f>VLOOKUP(A147,'SegEnds_NonXtal_Prot#'!A:AL,34,FALSE)-VLOOKUP(A147,'SegEnds_NonXtal_Prot#'!A:AL,31,FALSE)</f>
        <v>39</v>
      </c>
      <c r="AK147" s="1">
        <f>VLOOKUP(A147,'SegEnds_NonXtal_Prot#'!A:AL,37,FALSE)-VLOOKUP(A147,'SegEnds_NonXtal_Prot#'!A:AL,34,FALSE)</f>
        <v>10</v>
      </c>
      <c r="AL147" s="1" t="str">
        <f>IF(ISERROR(MATCH(A147,'SegEnds_Xtal_Prot#'!B:B, 0)), "NoXtal", "Xtal")</f>
        <v>Xtal</v>
      </c>
    </row>
    <row r="148" spans="1:38" x14ac:dyDescent="0.2">
      <c r="A148" s="1" t="s">
        <v>137</v>
      </c>
      <c r="B148" s="1" t="str">
        <f>VLOOKUP(A148,Xtal_Templ!A:B,2,FALSE)</f>
        <v>5ht1b_human</v>
      </c>
      <c r="C148" s="5">
        <f>VLOOKUP($B148&amp;"__wt",'SegEnds_Xtal_BW#'!$A:$Z,3,FALSE)</f>
        <v>28</v>
      </c>
      <c r="D148" s="1">
        <f>VLOOKUP($B148&amp;"__wt",'SegEnds_Xtal_BW#'!$A:$Z,4,FALSE)</f>
        <v>60</v>
      </c>
      <c r="E148" s="1">
        <f>VLOOKUP($B148&amp;"__wt",'SegEnds_Xtal_BW#'!$A:$Z,5,FALSE)</f>
        <v>48</v>
      </c>
      <c r="F148" s="1">
        <f>VLOOKUP($B148&amp;"__wt",'SegEnds_Xtal_BW#'!$A:$Z,6,FALSE)</f>
        <v>51</v>
      </c>
      <c r="G148" s="1">
        <v>37</v>
      </c>
      <c r="H148" s="12">
        <f>VLOOKUP($B148&amp;"__wt",'SegEnds_Xtal_BW#'!$A:$Z,8,FALSE)</f>
        <v>68</v>
      </c>
      <c r="I148" s="1">
        <f>VLOOKUP($B148&amp;"__wt",'SegEnds_Xtal_BW#'!$A:$Z,9,FALSE)</f>
        <v>49</v>
      </c>
      <c r="J148" s="1">
        <f>VLOOKUP($B148&amp;"__wt",'SegEnds_Xtal_BW#'!$A:$Z,10,FALSE)</f>
        <v>52</v>
      </c>
      <c r="K148" s="12">
        <v>18</v>
      </c>
      <c r="L148" s="1">
        <f>VLOOKUP($B148&amp;"__wt",'SegEnds_Xtal_BW#'!$A:$Z,12,FALSE)</f>
        <v>56</v>
      </c>
      <c r="M148" s="1">
        <f>VLOOKUP($B148&amp;"__wt",'SegEnds_Xtal_BW#'!$A:$Z,13,FALSE)</f>
        <v>50</v>
      </c>
      <c r="N148" s="12">
        <v>57</v>
      </c>
      <c r="O148" s="87">
        <f>VLOOKUP($B148&amp;"__wt",'SegEnds_Xtal_BW#'!$A:$Z,15,FALSE)</f>
        <v>38</v>
      </c>
      <c r="P148" s="1">
        <f>VLOOKUP($B148&amp;"__wt",'SegEnds_Xtal_BW#'!$A:$Z,16,FALSE)</f>
        <v>63</v>
      </c>
      <c r="Q148" s="1">
        <f>VLOOKUP($B148&amp;"__wt",'SegEnds_Xtal_BW#'!$A:$Z,17,FALSE)</f>
        <v>50</v>
      </c>
      <c r="R148" s="1">
        <f>VLOOKUP($B148&amp;"__wt",'SegEnds_Xtal_BW#'!$A:$Z,18,FALSE)</f>
        <v>52</v>
      </c>
      <c r="S148" s="1">
        <v>35</v>
      </c>
      <c r="T148" s="1">
        <f t="array" ref="T148">INDEX(ICL3_classA!$G$2:$G$37,MATCH(MIN(ABS(AI148-ICL3_classA!$F$2:$F$37)),ABS(AI148-ICL3_classA!$F$2:$F$37),0))</f>
        <v>76</v>
      </c>
      <c r="U148" s="1">
        <f t="array" ref="U148">INDEX(ICL3_classA!$H$2:$H$37,MATCH(MIN(ABS(AI148-ICL3_classA!$F$2:$F$37)),ABS(AI148-ICL3_classA!$F$2:$F$37),0))</f>
        <v>24</v>
      </c>
      <c r="V148" s="1">
        <v>61</v>
      </c>
      <c r="W148" s="133">
        <v>27</v>
      </c>
      <c r="X148" s="1">
        <f>VLOOKUP($B148&amp;"__wt",'SegEnds_Xtal_BW#'!$A:$Z,24,FALSE)</f>
        <v>56</v>
      </c>
      <c r="Y148" s="1">
        <f>VLOOKUP($B148&amp;"__wt",'SegEnds_Xtal_BW#'!$A:$Z,25,FALSE)</f>
        <v>47</v>
      </c>
      <c r="Z148" s="1">
        <f>VLOOKUP($B148&amp;"__wt",'SegEnds_Xtal_BW#'!$A:$Z,26,FALSE)</f>
        <v>58</v>
      </c>
      <c r="AA148" s="27" t="str">
        <f>VLOOKUP(A148,Classification!A:B,2,FALSE)</f>
        <v>A</v>
      </c>
      <c r="AB148" s="1">
        <f>VLOOKUP(A148,'SegEnds_NonXtal_Prot#'!A:AL,10,FALSE)-VLOOKUP(A148,'SegEnds_NonXtal_Prot#'!A:AL,4,FALSE)</f>
        <v>28</v>
      </c>
      <c r="AC148" s="1">
        <f>VLOOKUP(A148,'SegEnds_NonXtal_Prot#'!A:AL,10,FALSE)-VLOOKUP(A148,'SegEnds_NonXtal_Prot#'!A:AL,7,FALSE)</f>
        <v>15</v>
      </c>
      <c r="AD148" s="1">
        <f>VLOOKUP(A148,'SegEnds_NonXtal_Prot#'!A:AL,13,FALSE)-VLOOKUP(A148,'SegEnds_NonXtal_Prot#'!A:AL,10,FALSE)</f>
        <v>21</v>
      </c>
      <c r="AE148" s="1">
        <f>VLOOKUP(A148,'SegEnds_NonXtal_Prot#'!A:AL,16,FALSE)-VLOOKUP(A148,'SegEnds_NonXtal_Prot#'!A:AL,10,FALSE)</f>
        <v>53</v>
      </c>
      <c r="AF148" s="1">
        <f>VLOOKUP(A148,'SegEnds_NonXtal_Prot#'!A:AL,22,FALSE)-VLOOKUP(A148,'SegEnds_NonXtal_Prot#'!A:AL,19,FALSE)</f>
        <v>20</v>
      </c>
      <c r="AG148" s="1">
        <f>VLOOKUP(A148,'SegEnds_NonXtal_Prot#'!A:AL,28,FALSE)-VLOOKUP(A148,'SegEnds_NonXtal_Prot#'!A:AL,25,FALSE)</f>
        <v>20</v>
      </c>
      <c r="AH148" s="1">
        <f>VLOOKUP(A148,'SegEnds_NonXtal_Prot#'!A:AL,28,FALSE)-VLOOKUP(A148,'SegEnds_NonXtal_Prot#'!A:AL,22,FALSE)</f>
        <v>44</v>
      </c>
      <c r="AI148" s="1">
        <f>VLOOKUP(A148,'SegEnds_NonXtal_Prot#'!A:AL,31,FALSE)-VLOOKUP(A148,'SegEnds_NonXtal_Prot#'!A:AL,28,FALSE)</f>
        <v>91</v>
      </c>
      <c r="AJ148" s="1">
        <f>VLOOKUP(A148,'SegEnds_NonXtal_Prot#'!A:AL,34,FALSE)-VLOOKUP(A148,'SegEnds_NonXtal_Prot#'!A:AL,31,FALSE)</f>
        <v>39</v>
      </c>
      <c r="AK148" s="1">
        <f>VLOOKUP(A148,'SegEnds_NonXtal_Prot#'!A:AL,37,FALSE)-VLOOKUP(A148,'SegEnds_NonXtal_Prot#'!A:AL,34,FALSE)</f>
        <v>10</v>
      </c>
      <c r="AL148" s="1" t="str">
        <f>IF(ISERROR(MATCH(A148,'SegEnds_Xtal_Prot#'!B:B, 0)), "NoXtal", "Xtal")</f>
        <v>NoXtal</v>
      </c>
    </row>
    <row r="149" spans="1:38" x14ac:dyDescent="0.2">
      <c r="A149" s="1" t="s">
        <v>151</v>
      </c>
      <c r="B149" s="1" t="str">
        <f>VLOOKUP(A149,Xtal_Templ!A:B,2,FALSE)</f>
        <v>s1pr1_human</v>
      </c>
      <c r="C149" s="5">
        <f>VLOOKUP($B149&amp;"__wt",'SegEnds_Xtal_BW#'!$A:$Z,3,FALSE)</f>
        <v>29</v>
      </c>
      <c r="D149" s="1">
        <f>VLOOKUP($B149&amp;"__wt",'SegEnds_Xtal_BW#'!$A:$Z,4,FALSE)</f>
        <v>60</v>
      </c>
      <c r="E149" s="1">
        <f>VLOOKUP($B149&amp;"__wt",'SegEnds_Xtal_BW#'!$A:$Z,5,FALSE)</f>
        <v>48</v>
      </c>
      <c r="F149" s="1">
        <f>VLOOKUP($B149&amp;"__wt",'SegEnds_Xtal_BW#'!$A:$Z,6,FALSE)</f>
        <v>51</v>
      </c>
      <c r="G149" s="1">
        <v>37</v>
      </c>
      <c r="H149" s="12">
        <v>67</v>
      </c>
      <c r="I149" s="1" t="s">
        <v>23</v>
      </c>
      <c r="J149" s="1" t="s">
        <v>23</v>
      </c>
      <c r="K149" s="12">
        <v>18</v>
      </c>
      <c r="L149" s="1">
        <f>VLOOKUP($B149&amp;"__wt",'SegEnds_Xtal_BW#'!$A:$Z,12,FALSE)</f>
        <v>56</v>
      </c>
      <c r="M149" s="1">
        <f>VLOOKUP($B149&amp;"__wt",'SegEnds_Xtal_BW#'!$A:$Z,13,FALSE)</f>
        <v>50</v>
      </c>
      <c r="N149" s="12">
        <v>57</v>
      </c>
      <c r="O149" s="87">
        <f>VLOOKUP($B149&amp;"__wt",'SegEnds_Xtal_BW#'!$A:$Z,15,FALSE)</f>
        <v>38</v>
      </c>
      <c r="P149" s="1">
        <f>VLOOKUP($B149&amp;"__wt",'SegEnds_Xtal_BW#'!$A:$Z,16,FALSE)</f>
        <v>63</v>
      </c>
      <c r="Q149" s="1" t="str">
        <f>VLOOKUP($B149&amp;"__wt",'SegEnds_Xtal_BW#'!$A:$Z,17,FALSE)</f>
        <v>-</v>
      </c>
      <c r="R149" s="1" t="str">
        <f>VLOOKUP($B149&amp;"__wt",'SegEnds_Xtal_BW#'!$A:$Z,18,FALSE)</f>
        <v>-</v>
      </c>
      <c r="S149" s="108">
        <v>33</v>
      </c>
      <c r="T149" s="1">
        <f t="array" ref="T149">INDEX(ICL3_classA!$G$2:$G$37,MATCH(MIN(ABS(AI149-ICL3_classA!$F$2:$F$37)),ABS(AI149-ICL3_classA!$F$2:$F$37),0))</f>
        <v>66</v>
      </c>
      <c r="U149" s="1">
        <f t="array" ref="U149">INDEX(ICL3_classA!$H$2:$H$37,MATCH(MIN(ABS(AI149-ICL3_classA!$F$2:$F$37)),ABS(AI149-ICL3_classA!$F$2:$F$37),0))</f>
        <v>30</v>
      </c>
      <c r="V149" s="1">
        <v>61</v>
      </c>
      <c r="W149" s="133">
        <f>VLOOKUP($B149&amp;"__wt",'SegEnds_Xtal_BW#'!$A:$Z,23,FALSE)</f>
        <v>30</v>
      </c>
      <c r="X149" s="1">
        <f>VLOOKUP($B149&amp;"__wt",'SegEnds_Xtal_BW#'!$A:$Z,24,FALSE)</f>
        <v>56</v>
      </c>
      <c r="Y149" s="1">
        <f>VLOOKUP($B149&amp;"__wt",'SegEnds_Xtal_BW#'!$A:$Z,25,FALSE)</f>
        <v>47</v>
      </c>
      <c r="Z149" s="1">
        <f>VLOOKUP($B149&amp;"__wt",'SegEnds_Xtal_BW#'!$A:$Z,26,FALSE)</f>
        <v>59</v>
      </c>
      <c r="AA149" s="27" t="str">
        <f>VLOOKUP(A149,Classification!A:B,2,FALSE)</f>
        <v>A</v>
      </c>
      <c r="AB149" s="1">
        <f>VLOOKUP(A149,'SegEnds_NonXtal_Prot#'!A:AL,10,FALSE)-VLOOKUP(A149,'SegEnds_NonXtal_Prot#'!A:AL,4,FALSE)</f>
        <v>28</v>
      </c>
      <c r="AC149" s="1">
        <f>VLOOKUP(A149,'SegEnds_NonXtal_Prot#'!A:AL,10,FALSE)-VLOOKUP(A149,'SegEnds_NonXtal_Prot#'!A:AL,7,FALSE)</f>
        <v>15</v>
      </c>
      <c r="AD149" s="1" t="e">
        <f>VLOOKUP(A149,'SegEnds_NonXtal_Prot#'!A:AL,13,FALSE)-VLOOKUP(A149,'SegEnds_NonXtal_Prot#'!A:AL,10,FALSE)</f>
        <v>#VALUE!</v>
      </c>
      <c r="AE149" s="1">
        <f>VLOOKUP(A149,'SegEnds_NonXtal_Prot#'!A:AL,16,FALSE)-VLOOKUP(A149,'SegEnds_NonXtal_Prot#'!A:AL,10,FALSE)</f>
        <v>58</v>
      </c>
      <c r="AF149" s="1">
        <f>VLOOKUP(A149,'SegEnds_NonXtal_Prot#'!A:AL,22,FALSE)-VLOOKUP(A149,'SegEnds_NonXtal_Prot#'!A:AL,19,FALSE)</f>
        <v>20</v>
      </c>
      <c r="AG149" s="1" t="e">
        <f>VLOOKUP(A149,'SegEnds_NonXtal_Prot#'!A:AL,28,FALSE)-VLOOKUP(A149,'SegEnds_NonXtal_Prot#'!A:AL,25,FALSE)</f>
        <v>#VALUE!</v>
      </c>
      <c r="AH149" s="1">
        <f>VLOOKUP(A149,'SegEnds_NonXtal_Prot#'!A:AL,28,FALSE)-VLOOKUP(A149,'SegEnds_NonXtal_Prot#'!A:AL,22,FALSE)</f>
        <v>40</v>
      </c>
      <c r="AI149" s="1">
        <f>VLOOKUP(A149,'SegEnds_NonXtal_Prot#'!A:AL,31,FALSE)-VLOOKUP(A149,'SegEnds_NonXtal_Prot#'!A:AL,28,FALSE)</f>
        <v>39</v>
      </c>
      <c r="AJ149" s="1">
        <f>VLOOKUP(A149,'SegEnds_NonXtal_Prot#'!A:AL,34,FALSE)-VLOOKUP(A149,'SegEnds_NonXtal_Prot#'!A:AL,31,FALSE)</f>
        <v>39</v>
      </c>
      <c r="AK149" s="1">
        <f>VLOOKUP(A149,'SegEnds_NonXtal_Prot#'!A:AL,37,FALSE)-VLOOKUP(A149,'SegEnds_NonXtal_Prot#'!A:AL,34,FALSE)</f>
        <v>10</v>
      </c>
      <c r="AL149" s="1" t="str">
        <f>IF(ISERROR(MATCH(A149,'SegEnds_Xtal_Prot#'!B:B, 0)), "NoXtal", "Xtal")</f>
        <v>NoXtal</v>
      </c>
    </row>
    <row r="150" spans="1:38" x14ac:dyDescent="0.2">
      <c r="A150" s="1" t="s">
        <v>167</v>
      </c>
      <c r="B150" s="1" t="str">
        <f>VLOOKUP(A150,Xtal_Templ!A:B,2,FALSE)</f>
        <v>ox1r_human</v>
      </c>
      <c r="C150" s="5">
        <f>VLOOKUP($B150&amp;"__wt",'SegEnds_Xtal_BW#'!$A:$Z,3,FALSE)</f>
        <v>32</v>
      </c>
      <c r="D150" s="1">
        <f>VLOOKUP($B150&amp;"__wt",'SegEnds_Xtal_BW#'!$A:$Z,4,FALSE)</f>
        <v>60</v>
      </c>
      <c r="E150" s="1">
        <f>VLOOKUP($B150&amp;"__wt",'SegEnds_Xtal_BW#'!$A:$Z,5,FALSE)</f>
        <v>48</v>
      </c>
      <c r="F150" s="1">
        <f>VLOOKUP($B150&amp;"__wt",'SegEnds_Xtal_BW#'!$A:$Z,6,FALSE)</f>
        <v>51</v>
      </c>
      <c r="G150" s="1">
        <v>37</v>
      </c>
      <c r="H150" s="12">
        <f>VLOOKUP($B150&amp;"__wt",'SegEnds_Xtal_BW#'!$A:$Z,8,FALSE)</f>
        <v>67</v>
      </c>
      <c r="I150" s="1">
        <f>VLOOKUP($B150&amp;"__wt",'SegEnds_Xtal_BW#'!$A:$Z,9,FALSE)</f>
        <v>49</v>
      </c>
      <c r="J150" s="1">
        <f>VLOOKUP($B150&amp;"__wt",'SegEnds_Xtal_BW#'!$A:$Z,10,FALSE)</f>
        <v>52</v>
      </c>
      <c r="K150" s="12">
        <v>18</v>
      </c>
      <c r="L150" s="1">
        <f>VLOOKUP($B150&amp;"__wt",'SegEnds_Xtal_BW#'!$A:$Z,12,FALSE)</f>
        <v>56</v>
      </c>
      <c r="M150" s="1">
        <f>VLOOKUP($B150&amp;"__wt",'SegEnds_Xtal_BW#'!$A:$Z,13,FALSE)</f>
        <v>50</v>
      </c>
      <c r="N150" s="12">
        <v>57</v>
      </c>
      <c r="O150" s="87">
        <f>VLOOKUP($B150&amp;"__wt",'SegEnds_Xtal_BW#'!$A:$Z,15,FALSE)</f>
        <v>38</v>
      </c>
      <c r="P150" s="1">
        <f>VLOOKUP($B150&amp;"__wt",'SegEnds_Xtal_BW#'!$A:$Z,16,FALSE)</f>
        <v>64</v>
      </c>
      <c r="Q150" s="1">
        <f>VLOOKUP($B150&amp;"__wt",'SegEnds_Xtal_BW#'!$A:$Z,17,FALSE)</f>
        <v>50</v>
      </c>
      <c r="R150" s="1">
        <f>VLOOKUP($B150&amp;"__wt",'SegEnds_Xtal_BW#'!$A:$Z,18,FALSE)</f>
        <v>52</v>
      </c>
      <c r="S150" s="1">
        <f>VLOOKUP($B150&amp;"__wt",'SegEnds_Xtal_BW#'!$A:$Z,19,FALSE)</f>
        <v>32</v>
      </c>
      <c r="T150" s="1">
        <f t="array" ref="T150">INDEX(ICL3_classA!$G$2:$G$37,MATCH(MIN(ABS(AI150-ICL3_classA!$F$2:$F$37)),ABS(AI150-ICL3_classA!$F$2:$F$37),0))</f>
        <v>74</v>
      </c>
      <c r="U150" s="1">
        <f t="array" ref="U150">INDEX(ICL3_classA!$H$2:$H$37,MATCH(MIN(ABS(AI150-ICL3_classA!$F$2:$F$37)),ABS(AI150-ICL3_classA!$F$2:$F$37),0))</f>
        <v>24</v>
      </c>
      <c r="V150" s="1">
        <v>61</v>
      </c>
      <c r="W150" s="133">
        <f>VLOOKUP($B150&amp;"__wt",'SegEnds_Xtal_BW#'!$A:$Z,23,FALSE)</f>
        <v>28</v>
      </c>
      <c r="X150" s="1">
        <f>VLOOKUP($B150&amp;"__wt",'SegEnds_Xtal_BW#'!$A:$Z,24,FALSE)</f>
        <v>56</v>
      </c>
      <c r="Y150" s="1">
        <f>VLOOKUP($B150&amp;"__wt",'SegEnds_Xtal_BW#'!$A:$Z,25,FALSE)</f>
        <v>47</v>
      </c>
      <c r="Z150" s="1">
        <f>VLOOKUP($B150&amp;"__wt",'SegEnds_Xtal_BW#'!$A:$Z,26,FALSE)</f>
        <v>58</v>
      </c>
      <c r="AA150" s="27" t="str">
        <f>VLOOKUP(A150,Classification!A:B,2,FALSE)</f>
        <v>A</v>
      </c>
      <c r="AB150" s="1">
        <f>VLOOKUP(A150,'SegEnds_NonXtal_Prot#'!A:AL,10,FALSE)-VLOOKUP(A150,'SegEnds_NonXtal_Prot#'!A:AL,4,FALSE)</f>
        <v>28</v>
      </c>
      <c r="AC150" s="1">
        <f>VLOOKUP(A150,'SegEnds_NonXtal_Prot#'!A:AL,10,FALSE)-VLOOKUP(A150,'SegEnds_NonXtal_Prot#'!A:AL,7,FALSE)</f>
        <v>15</v>
      </c>
      <c r="AD150" s="1">
        <f>VLOOKUP(A150,'SegEnds_NonXtal_Prot#'!A:AL,13,FALSE)-VLOOKUP(A150,'SegEnds_NonXtal_Prot#'!A:AL,10,FALSE)</f>
        <v>20</v>
      </c>
      <c r="AE150" s="1">
        <f>VLOOKUP(A150,'SegEnds_NonXtal_Prot#'!A:AL,16,FALSE)-VLOOKUP(A150,'SegEnds_NonXtal_Prot#'!A:AL,10,FALSE)</f>
        <v>52</v>
      </c>
      <c r="AF150" s="1">
        <f>VLOOKUP(A150,'SegEnds_NonXtal_Prot#'!A:AL,22,FALSE)-VLOOKUP(A150,'SegEnds_NonXtal_Prot#'!A:AL,19,FALSE)</f>
        <v>20</v>
      </c>
      <c r="AG150" s="1">
        <f>VLOOKUP(A150,'SegEnds_NonXtal_Prot#'!A:AL,28,FALSE)-VLOOKUP(A150,'SegEnds_NonXtal_Prot#'!A:AL,25,FALSE)</f>
        <v>25</v>
      </c>
      <c r="AH150" s="1">
        <f>VLOOKUP(A150,'SegEnds_NonXtal_Prot#'!A:AL,28,FALSE)-VLOOKUP(A150,'SegEnds_NonXtal_Prot#'!A:AL,22,FALSE)</f>
        <v>55</v>
      </c>
      <c r="AI150" s="1">
        <f>VLOOKUP(A150,'SegEnds_NonXtal_Prot#'!A:AL,31,FALSE)-VLOOKUP(A150,'SegEnds_NonXtal_Prot#'!A:AL,28,FALSE)</f>
        <v>107</v>
      </c>
      <c r="AJ150" s="1">
        <f>VLOOKUP(A150,'SegEnds_NonXtal_Prot#'!A:AL,34,FALSE)-VLOOKUP(A150,'SegEnds_NonXtal_Prot#'!A:AL,31,FALSE)</f>
        <v>39</v>
      </c>
      <c r="AK150" s="1">
        <f>VLOOKUP(A150,'SegEnds_NonXtal_Prot#'!A:AL,37,FALSE)-VLOOKUP(A150,'SegEnds_NonXtal_Prot#'!A:AL,34,FALSE)</f>
        <v>10</v>
      </c>
      <c r="AL150" s="1" t="str">
        <f>IF(ISERROR(MATCH(A150,'SegEnds_Xtal_Prot#'!B:B, 0)), "NoXtal", "Xtal")</f>
        <v>NoXtal</v>
      </c>
    </row>
    <row r="151" spans="1:38" x14ac:dyDescent="0.2">
      <c r="A151" s="12" t="s">
        <v>189</v>
      </c>
      <c r="B151" s="12" t="str">
        <f>VLOOKUP(A151,Xtal_Templ!A:B,2,FALSE)</f>
        <v>ccr9_human</v>
      </c>
      <c r="C151" s="13">
        <f>VLOOKUP($B151&amp;"__wt",'SegEnds_Xtal_BW#'!$A:$Z,3,FALSE)</f>
        <v>27</v>
      </c>
      <c r="D151" s="12">
        <f>VLOOKUP($B151&amp;"__wt",'SegEnds_Xtal_BW#'!$A:$Z,4,FALSE)</f>
        <v>60</v>
      </c>
      <c r="E151" s="12">
        <f>VLOOKUP($B151&amp;"__wt",'SegEnds_Xtal_BW#'!$A:$Z,5,FALSE)</f>
        <v>48</v>
      </c>
      <c r="F151" s="12">
        <f>VLOOKUP($B151&amp;"__wt",'SegEnds_Xtal_BW#'!$A:$Z,6,FALSE)</f>
        <v>51</v>
      </c>
      <c r="G151" s="12">
        <v>37</v>
      </c>
      <c r="H151" s="12">
        <v>66</v>
      </c>
      <c r="I151" s="12">
        <f>VLOOKUP($B151&amp;"__wt",'SegEnds_Xtal_BW#'!$A:$Z,9,FALSE)</f>
        <v>49</v>
      </c>
      <c r="J151" s="12">
        <f>VLOOKUP($B151&amp;"__wt",'SegEnds_Xtal_BW#'!$A:$Z,10,FALSE)</f>
        <v>52</v>
      </c>
      <c r="K151" s="12">
        <v>24</v>
      </c>
      <c r="L151" s="12">
        <f>VLOOKUP($B151&amp;"__wt",'SegEnds_Xtal_BW#'!$A:$Z,12,FALSE)</f>
        <v>56</v>
      </c>
      <c r="M151" s="12">
        <f>VLOOKUP($B151&amp;"__wt",'SegEnds_Xtal_BW#'!$A:$Z,13,FALSE)</f>
        <v>50</v>
      </c>
      <c r="N151" s="12">
        <v>58</v>
      </c>
      <c r="O151" s="87">
        <v>38</v>
      </c>
      <c r="P151" s="12">
        <f>VLOOKUP($B151&amp;"__wt",'SegEnds_Xtal_BW#'!$A:$Z,16,FALSE)</f>
        <v>64</v>
      </c>
      <c r="Q151" s="12">
        <f>VLOOKUP($B151&amp;"__wt",'SegEnds_Xtal_BW#'!$A:$Z,17,FALSE)</f>
        <v>50</v>
      </c>
      <c r="R151" s="12">
        <f>VLOOKUP($B151&amp;"__wt",'SegEnds_Xtal_BW#'!$A:$Z,18,FALSE)</f>
        <v>52</v>
      </c>
      <c r="S151" s="12">
        <f>VLOOKUP($B151&amp;"__wt",'SegEnds_Xtal_BW#'!$A:$Z,19,FALSE)</f>
        <v>33</v>
      </c>
      <c r="T151" s="12">
        <f t="array" ref="T151">INDEX(ICL3_classA!$G$2:$G$37,MATCH(MIN(ABS(AI151-ICL3_classA!$F$2:$F$37)),ABS(AI151-ICL3_classA!$F$2:$F$37),0))</f>
        <v>68</v>
      </c>
      <c r="U151" s="12">
        <f t="array" ref="U151">INDEX(ICL3_classA!$H$2:$H$37,MATCH(MIN(ABS(AI151-ICL3_classA!$F$2:$F$37)),ABS(AI151-ICL3_classA!$F$2:$F$37),0))</f>
        <v>30</v>
      </c>
      <c r="V151" s="12">
        <v>61</v>
      </c>
      <c r="W151" s="133">
        <f>VLOOKUP($B151&amp;"__wt",'SegEnds_Xtal_BW#'!$A:$Z,23,FALSE)</f>
        <v>24</v>
      </c>
      <c r="X151" s="12">
        <f>VLOOKUP($B151&amp;"__wt",'SegEnds_Xtal_BW#'!$A:$Z,24,FALSE)</f>
        <v>56</v>
      </c>
      <c r="Y151" s="12">
        <f>VLOOKUP($B151&amp;"__wt",'SegEnds_Xtal_BW#'!$A:$Z,25,FALSE)</f>
        <v>47</v>
      </c>
      <c r="Z151" s="12">
        <f>VLOOKUP($B151&amp;"__wt",'SegEnds_Xtal_BW#'!$A:$Z,26,FALSE)</f>
        <v>67</v>
      </c>
      <c r="AA151" s="36" t="str">
        <f>VLOOKUP(A151,Classification!A:B,2,FALSE)</f>
        <v>A</v>
      </c>
      <c r="AB151" s="1">
        <f>VLOOKUP(A151,'SegEnds_NonXtal_Prot#'!A:AL,10,FALSE)-VLOOKUP(A151,'SegEnds_NonXtal_Prot#'!A:AL,4,FALSE)</f>
        <v>28</v>
      </c>
      <c r="AC151" s="12">
        <f>VLOOKUP(A151,'SegEnds_NonXtal_Prot#'!A:AL,10,FALSE)-VLOOKUP(A151,'SegEnds_NonXtal_Prot#'!A:AL,7,FALSE)</f>
        <v>15</v>
      </c>
      <c r="AD151" s="12">
        <f>VLOOKUP(A151,'SegEnds_NonXtal_Prot#'!A:AL,13,FALSE)-VLOOKUP(A151,'SegEnds_NonXtal_Prot#'!A:AL,10,FALSE)</f>
        <v>18</v>
      </c>
      <c r="AE151" s="12">
        <f>VLOOKUP(A151,'SegEnds_NonXtal_Prot#'!A:AL,16,FALSE)-VLOOKUP(A151,'SegEnds_NonXtal_Prot#'!A:AL,10,FALSE)</f>
        <v>50</v>
      </c>
      <c r="AF151" s="1">
        <f>VLOOKUP(A151,'SegEnds_NonXtal_Prot#'!A:AL,22,FALSE)-VLOOKUP(A151,'SegEnds_NonXtal_Prot#'!A:AL,19,FALSE)</f>
        <v>22</v>
      </c>
      <c r="AG151" s="12">
        <f>VLOOKUP(A151,'SegEnds_NonXtal_Prot#'!A:AL,28,FALSE)-VLOOKUP(A151,'SegEnds_NonXtal_Prot#'!A:AL,25,FALSE)</f>
        <v>23</v>
      </c>
      <c r="AH151" s="1">
        <f>VLOOKUP(A151,'SegEnds_NonXtal_Prot#'!A:AL,28,FALSE)-VLOOKUP(A151,'SegEnds_NonXtal_Prot#'!A:AL,22,FALSE)</f>
        <v>47</v>
      </c>
      <c r="AI151" s="12">
        <f>VLOOKUP(A151,'SegEnds_NonXtal_Prot#'!A:AL,31,FALSE)-VLOOKUP(A151,'SegEnds_NonXtal_Prot#'!A:AL,28,FALSE)</f>
        <v>43</v>
      </c>
      <c r="AJ151" s="12">
        <f>VLOOKUP(A151,'SegEnds_NonXtal_Prot#'!A:AL,34,FALSE)-VLOOKUP(A151,'SegEnds_NonXtal_Prot#'!A:AL,31,FALSE)</f>
        <v>39</v>
      </c>
      <c r="AK151" s="1">
        <f>VLOOKUP(A151,'SegEnds_NonXtal_Prot#'!A:AL,37,FALSE)-VLOOKUP(A151,'SegEnds_NonXtal_Prot#'!A:AL,34,FALSE)</f>
        <v>10</v>
      </c>
      <c r="AL151" s="12" t="str">
        <f>IF(ISERROR(MATCH(A151,'SegEnds_Xtal_Prot#'!B:B, 0)), "NoXtal", "Xtal")</f>
        <v>NoXtal</v>
      </c>
    </row>
    <row r="152" spans="1:38" x14ac:dyDescent="0.2">
      <c r="A152" s="1" t="s">
        <v>197</v>
      </c>
      <c r="B152" s="1" t="str">
        <f>VLOOKUP(A152,Xtal_Templ!A:B,2,FALSE)</f>
        <v>ednrb_human</v>
      </c>
      <c r="C152" s="5">
        <f>VLOOKUP($B152&amp;"__wt",'SegEnds_Xtal_BW#'!$A:$Z,3,FALSE)</f>
        <v>22</v>
      </c>
      <c r="D152" s="1">
        <f>VLOOKUP($B152&amp;"__wt",'SegEnds_Xtal_BW#'!$A:$Z,4,FALSE)</f>
        <v>60</v>
      </c>
      <c r="E152" s="1">
        <f>VLOOKUP($B152&amp;"__wt",'SegEnds_Xtal_BW#'!$A:$Z,5,FALSE)</f>
        <v>48</v>
      </c>
      <c r="F152" s="1">
        <f>VLOOKUP($B152&amp;"__wt",'SegEnds_Xtal_BW#'!$A:$Z,6,FALSE)</f>
        <v>52</v>
      </c>
      <c r="G152" s="1">
        <v>37</v>
      </c>
      <c r="H152" s="12">
        <f>VLOOKUP($B152&amp;"__wt",'SegEnds_Xtal_BW#'!$A:$Z,8,FALSE)</f>
        <v>67</v>
      </c>
      <c r="I152" s="1">
        <f>VLOOKUP($B152&amp;"__wt",'SegEnds_Xtal_BW#'!$A:$Z,9,FALSE)</f>
        <v>49</v>
      </c>
      <c r="J152" s="1">
        <f>VLOOKUP($B152&amp;"__wt",'SegEnds_Xtal_BW#'!$A:$Z,10,FALSE)</f>
        <v>52</v>
      </c>
      <c r="K152" s="12">
        <v>21</v>
      </c>
      <c r="L152" s="1">
        <f>VLOOKUP($B152&amp;"__wt",'SegEnds_Xtal_BW#'!$A:$Z,12,FALSE)</f>
        <v>56</v>
      </c>
      <c r="M152" s="1">
        <f>VLOOKUP($B152&amp;"__wt",'SegEnds_Xtal_BW#'!$A:$Z,13,FALSE)</f>
        <v>50</v>
      </c>
      <c r="N152" s="12">
        <v>57</v>
      </c>
      <c r="O152" s="87">
        <v>38</v>
      </c>
      <c r="P152" s="1">
        <f>VLOOKUP($B152&amp;"__wt",'SegEnds_Xtal_BW#'!$A:$Z,16,FALSE)</f>
        <v>64</v>
      </c>
      <c r="Q152" s="1">
        <f>VLOOKUP($B152&amp;"__wt",'SegEnds_Xtal_BW#'!$A:$Z,17,FALSE)</f>
        <v>50</v>
      </c>
      <c r="R152" s="1">
        <f>VLOOKUP($B152&amp;"__wt",'SegEnds_Xtal_BW#'!$A:$Z,18,FALSE)</f>
        <v>52</v>
      </c>
      <c r="S152" s="1">
        <f>VLOOKUP($B152&amp;"__wt",'SegEnds_Xtal_BW#'!$A:$Z,19,FALSE)</f>
        <v>28</v>
      </c>
      <c r="T152" s="1">
        <f t="array" ref="T152">INDEX(ICL3_classA!$G$2:$G$37,MATCH(MIN(ABS(AI152-ICL3_classA!$F$2:$F$37)),ABS(AI152-ICL3_classA!$F$2:$F$37),0))</f>
        <v>72</v>
      </c>
      <c r="U152" s="1">
        <f t="array" ref="U152">INDEX(ICL3_classA!$H$2:$H$37,MATCH(MIN(ABS(AI152-ICL3_classA!$F$2:$F$37)),ABS(AI152-ICL3_classA!$F$2:$F$37),0))</f>
        <v>24</v>
      </c>
      <c r="V152" s="1">
        <v>61</v>
      </c>
      <c r="W152" s="133">
        <f>VLOOKUP($B152&amp;"__wt",'SegEnds_Xtal_BW#'!$A:$Z,23,FALSE)</f>
        <v>24</v>
      </c>
      <c r="X152" s="1">
        <f>VLOOKUP($B152&amp;"__wt",'SegEnds_Xtal_BW#'!$A:$Z,24,FALSE)</f>
        <v>56</v>
      </c>
      <c r="Y152" s="1">
        <f>VLOOKUP($B152&amp;"__wt",'SegEnds_Xtal_BW#'!$A:$Z,25,FALSE)</f>
        <v>47</v>
      </c>
      <c r="Z152" s="1">
        <f>VLOOKUP($B152&amp;"__wt",'SegEnds_Xtal_BW#'!$A:$Z,26,FALSE)</f>
        <v>60</v>
      </c>
      <c r="AA152" s="27" t="str">
        <f>VLOOKUP(A152,Classification!A:B,2,FALSE)</f>
        <v>A</v>
      </c>
      <c r="AB152" s="1">
        <f>VLOOKUP(A152,'SegEnds_NonXtal_Prot#'!A:AL,10,FALSE)-VLOOKUP(A152,'SegEnds_NonXtal_Prot#'!A:AL,4,FALSE)</f>
        <v>28</v>
      </c>
      <c r="AC152" s="1">
        <f>VLOOKUP(A152,'SegEnds_NonXtal_Prot#'!A:AL,10,FALSE)-VLOOKUP(A152,'SegEnds_NonXtal_Prot#'!A:AL,7,FALSE)</f>
        <v>15</v>
      </c>
      <c r="AD152" s="1" t="e">
        <f>VLOOKUP(A152,'SegEnds_NonXtal_Prot#'!A:AL,13,FALSE)-VLOOKUP(A152,'SegEnds_NonXtal_Prot#'!A:AL,10,FALSE)</f>
        <v>#VALUE!</v>
      </c>
      <c r="AE152" s="1">
        <f>VLOOKUP(A152,'SegEnds_NonXtal_Prot#'!A:AL,16,FALSE)-VLOOKUP(A152,'SegEnds_NonXtal_Prot#'!A:AL,10,FALSE)</f>
        <v>52</v>
      </c>
      <c r="AF152" s="1">
        <f>VLOOKUP(A152,'SegEnds_NonXtal_Prot#'!A:AL,22,FALSE)-VLOOKUP(A152,'SegEnds_NonXtal_Prot#'!A:AL,19,FALSE)</f>
        <v>20</v>
      </c>
      <c r="AG152" s="1">
        <f>VLOOKUP(A152,'SegEnds_NonXtal_Prot#'!A:AL,28,FALSE)-VLOOKUP(A152,'SegEnds_NonXtal_Prot#'!A:AL,25,FALSE)</f>
        <v>35</v>
      </c>
      <c r="AH152" s="1">
        <f>VLOOKUP(A152,'SegEnds_NonXtal_Prot#'!A:AL,28,FALSE)-VLOOKUP(A152,'SegEnds_NonXtal_Prot#'!A:AL,22,FALSE)</f>
        <v>65</v>
      </c>
      <c r="AI152" s="1">
        <f>VLOOKUP(A152,'SegEnds_NonXtal_Prot#'!A:AL,31,FALSE)-VLOOKUP(A152,'SegEnds_NonXtal_Prot#'!A:AL,28,FALSE)</f>
        <v>53</v>
      </c>
      <c r="AJ152" s="1">
        <f>VLOOKUP(A152,'SegEnds_NonXtal_Prot#'!A:AL,34,FALSE)-VLOOKUP(A152,'SegEnds_NonXtal_Prot#'!A:AL,31,FALSE)</f>
        <v>39</v>
      </c>
      <c r="AK152" s="1">
        <f>VLOOKUP(A152,'SegEnds_NonXtal_Prot#'!A:AL,37,FALSE)-VLOOKUP(A152,'SegEnds_NonXtal_Prot#'!A:AL,34,FALSE)</f>
        <v>10</v>
      </c>
      <c r="AL152" s="1" t="str">
        <f>IF(ISERROR(MATCH(A152,'SegEnds_Xtal_Prot#'!B:B, 0)), "NoXtal", "Xtal")</f>
        <v>NoXtal</v>
      </c>
    </row>
    <row r="153" spans="1:38" x14ac:dyDescent="0.2">
      <c r="A153" s="4" t="s">
        <v>200</v>
      </c>
      <c r="B153" s="4" t="str">
        <f>VLOOKUP(A153,Xtal_Templ!A:B,2,FALSE)</f>
        <v>ox2r_human</v>
      </c>
      <c r="C153" s="5">
        <f>VLOOKUP($B153&amp;"__wt",'SegEnds_Xtal_BW#'!$A:$Z,3,FALSE)</f>
        <v>31</v>
      </c>
      <c r="D153" s="4">
        <f>VLOOKUP($B153&amp;"__wt",'SegEnds_Xtal_BW#'!$A:$Z,4,FALSE)</f>
        <v>60</v>
      </c>
      <c r="E153" s="4">
        <f>VLOOKUP($B153&amp;"__wt",'SegEnds_Xtal_BW#'!$A:$Z,5,FALSE)</f>
        <v>48</v>
      </c>
      <c r="F153" s="4">
        <f>VLOOKUP($B153&amp;"__wt",'SegEnds_Xtal_BW#'!$A:$Z,6,FALSE)</f>
        <v>51</v>
      </c>
      <c r="G153" s="4">
        <v>37</v>
      </c>
      <c r="H153" s="11">
        <v>66</v>
      </c>
      <c r="I153" s="4">
        <f>VLOOKUP($B153&amp;"__wt",'SegEnds_Xtal_BW#'!$A:$Z,9,FALSE)</f>
        <v>49</v>
      </c>
      <c r="J153" s="4">
        <f>VLOOKUP($B153&amp;"__wt",'SegEnds_Xtal_BW#'!$A:$Z,10,FALSE)</f>
        <v>52</v>
      </c>
      <c r="K153" s="11">
        <v>21</v>
      </c>
      <c r="L153" s="4">
        <f>VLOOKUP($B153&amp;"__wt",'SegEnds_Xtal_BW#'!$A:$Z,12,FALSE)</f>
        <v>56</v>
      </c>
      <c r="M153" s="4">
        <f>VLOOKUP($B153&amp;"__wt",'SegEnds_Xtal_BW#'!$A:$Z,13,FALSE)</f>
        <v>50</v>
      </c>
      <c r="N153" s="11">
        <v>57</v>
      </c>
      <c r="O153" s="87">
        <f>VLOOKUP($B153&amp;"__wt",'SegEnds_Xtal_BW#'!$A:$Z,15,FALSE)</f>
        <v>38</v>
      </c>
      <c r="P153" s="4">
        <f>VLOOKUP($B153&amp;"__wt",'SegEnds_Xtal_BW#'!$A:$Z,16,FALSE)</f>
        <v>64</v>
      </c>
      <c r="Q153" s="4">
        <f>VLOOKUP($B153&amp;"__wt",'SegEnds_Xtal_BW#'!$A:$Z,17,FALSE)</f>
        <v>50</v>
      </c>
      <c r="R153" s="4">
        <f>VLOOKUP($B153&amp;"__wt",'SegEnds_Xtal_BW#'!$A:$Z,18,FALSE)</f>
        <v>52</v>
      </c>
      <c r="S153" s="4">
        <f>VLOOKUP($B153&amp;"__wt",'SegEnds_Xtal_BW#'!$A:$Z,19,FALSE)</f>
        <v>33</v>
      </c>
      <c r="T153" s="4">
        <f t="array" ref="T153">INDEX(ICL3_classA!$G$2:$G$37,MATCH(MIN(ABS(AI153-ICL3_classA!$F$2:$F$37)),ABS(AI153-ICL3_classA!$F$2:$F$37),0))</f>
        <v>76</v>
      </c>
      <c r="U153" s="4">
        <f t="array" ref="U153">INDEX(ICL3_classA!$H$2:$H$37,MATCH(MIN(ABS(AI153-ICL3_classA!$F$2:$F$37)),ABS(AI153-ICL3_classA!$F$2:$F$37),0))</f>
        <v>24</v>
      </c>
      <c r="V153" s="4">
        <v>61</v>
      </c>
      <c r="W153" s="133">
        <f>VLOOKUP($B153&amp;"__wt",'SegEnds_Xtal_BW#'!$A:$Z,23,FALSE)</f>
        <v>27</v>
      </c>
      <c r="X153" s="4">
        <f>VLOOKUP($B153&amp;"__wt",'SegEnds_Xtal_BW#'!$A:$Z,24,FALSE)</f>
        <v>56</v>
      </c>
      <c r="Y153" s="4">
        <f>VLOOKUP($B153&amp;"__wt",'SegEnds_Xtal_BW#'!$A:$Z,25,FALSE)</f>
        <v>47</v>
      </c>
      <c r="Z153" s="4">
        <f>VLOOKUP($B153&amp;"__wt",'SegEnds_Xtal_BW#'!$A:$Z,26,FALSE)</f>
        <v>58</v>
      </c>
      <c r="AA153" s="27" t="str">
        <f>VLOOKUP(A153,Classification!A:B,2,FALSE)</f>
        <v>A</v>
      </c>
      <c r="AB153" s="1">
        <f>VLOOKUP(A153,'SegEnds_NonXtal_Prot#'!A:AL,10,FALSE)-VLOOKUP(A153,'SegEnds_NonXtal_Prot#'!A:AL,4,FALSE)</f>
        <v>27</v>
      </c>
      <c r="AC153" s="4" t="e">
        <f>VLOOKUP(A153,'SegEnds_NonXtal_Prot#'!A:AL,10,FALSE)-VLOOKUP(A153,'SegEnds_NonXtal_Prot#'!A:AL,7,FALSE)</f>
        <v>#VALUE!</v>
      </c>
      <c r="AD153" s="4">
        <f>VLOOKUP(A153,'SegEnds_NonXtal_Prot#'!A:AL,13,FALSE)-VLOOKUP(A153,'SegEnds_NonXtal_Prot#'!A:AL,10,FALSE)</f>
        <v>19</v>
      </c>
      <c r="AE153" s="4">
        <f>VLOOKUP(A153,'SegEnds_NonXtal_Prot#'!A:AL,16,FALSE)-VLOOKUP(A153,'SegEnds_NonXtal_Prot#'!A:AL,10,FALSE)</f>
        <v>51</v>
      </c>
      <c r="AF153" s="1">
        <f>VLOOKUP(A153,'SegEnds_NonXtal_Prot#'!A:AL,22,FALSE)-VLOOKUP(A153,'SegEnds_NonXtal_Prot#'!A:AL,19,FALSE)</f>
        <v>20</v>
      </c>
      <c r="AG153" s="4">
        <f>VLOOKUP(A153,'SegEnds_NonXtal_Prot#'!A:AL,28,FALSE)-VLOOKUP(A153,'SegEnds_NonXtal_Prot#'!A:AL,25,FALSE)</f>
        <v>25</v>
      </c>
      <c r="AH153" s="1">
        <f>VLOOKUP(A153,'SegEnds_NonXtal_Prot#'!A:AL,28,FALSE)-VLOOKUP(A153,'SegEnds_NonXtal_Prot#'!A:AL,22,FALSE)</f>
        <v>56</v>
      </c>
      <c r="AI153" s="4">
        <f>VLOOKUP(A153,'SegEnds_NonXtal_Prot#'!A:AL,31,FALSE)-VLOOKUP(A153,'SegEnds_NonXtal_Prot#'!A:AL,28,FALSE)</f>
        <v>76</v>
      </c>
      <c r="AJ153" s="4">
        <f>VLOOKUP(A153,'SegEnds_NonXtal_Prot#'!A:AL,34,FALSE)-VLOOKUP(A153,'SegEnds_NonXtal_Prot#'!A:AL,31,FALSE)</f>
        <v>39</v>
      </c>
      <c r="AK153" s="1">
        <f>VLOOKUP(A153,'SegEnds_NonXtal_Prot#'!A:AL,37,FALSE)-VLOOKUP(A153,'SegEnds_NonXtal_Prot#'!A:AL,34,FALSE)</f>
        <v>10</v>
      </c>
      <c r="AL153" s="1" t="str">
        <f>IF(ISERROR(MATCH(A153,'SegEnds_Xtal_Prot#'!B:B, 0)), "NoXtal", "Xtal")</f>
        <v>NoXtal</v>
      </c>
    </row>
    <row r="154" spans="1:38" x14ac:dyDescent="0.2">
      <c r="A154" s="1" t="s">
        <v>208</v>
      </c>
      <c r="B154" s="1" t="str">
        <f>VLOOKUP(A154,Xtal_Templ!A:B,2,FALSE)</f>
        <v>ox2r_human</v>
      </c>
      <c r="C154" s="5">
        <f>VLOOKUP($B154&amp;"__wt",'SegEnds_Xtal_BW#'!$A:$Z,3,FALSE)</f>
        <v>31</v>
      </c>
      <c r="D154" s="1">
        <f>VLOOKUP($B154&amp;"__wt",'SegEnds_Xtal_BW#'!$A:$Z,4,FALSE)</f>
        <v>60</v>
      </c>
      <c r="E154" s="1">
        <f>VLOOKUP($B154&amp;"__wt",'SegEnds_Xtal_BW#'!$A:$Z,5,FALSE)</f>
        <v>48</v>
      </c>
      <c r="F154" s="1">
        <f>VLOOKUP($B154&amp;"__wt",'SegEnds_Xtal_BW#'!$A:$Z,6,FALSE)</f>
        <v>51</v>
      </c>
      <c r="G154" s="1">
        <v>37</v>
      </c>
      <c r="H154" s="12">
        <f>VLOOKUP($B154&amp;"__wt",'SegEnds_Xtal_BW#'!$A:$Z,8,FALSE)</f>
        <v>68</v>
      </c>
      <c r="I154" s="1">
        <f>VLOOKUP($B154&amp;"__wt",'SegEnds_Xtal_BW#'!$A:$Z,9,FALSE)</f>
        <v>49</v>
      </c>
      <c r="J154" s="1">
        <f>VLOOKUP($B154&amp;"__wt",'SegEnds_Xtal_BW#'!$A:$Z,10,FALSE)</f>
        <v>52</v>
      </c>
      <c r="K154" s="12">
        <v>18</v>
      </c>
      <c r="L154" s="1">
        <f>VLOOKUP($B154&amp;"__wt",'SegEnds_Xtal_BW#'!$A:$Z,12,FALSE)</f>
        <v>56</v>
      </c>
      <c r="M154" s="1">
        <f>VLOOKUP($B154&amp;"__wt",'SegEnds_Xtal_BW#'!$A:$Z,13,FALSE)</f>
        <v>50</v>
      </c>
      <c r="N154" s="12">
        <v>57</v>
      </c>
      <c r="O154" s="87">
        <f>VLOOKUP($B154&amp;"__wt",'SegEnds_Xtal_BW#'!$A:$Z,15,FALSE)</f>
        <v>38</v>
      </c>
      <c r="P154" s="1">
        <f>VLOOKUP($B154&amp;"__wt",'SegEnds_Xtal_BW#'!$A:$Z,16,FALSE)</f>
        <v>64</v>
      </c>
      <c r="Q154" s="1">
        <f>VLOOKUP($B154&amp;"__wt",'SegEnds_Xtal_BW#'!$A:$Z,17,FALSE)</f>
        <v>50</v>
      </c>
      <c r="R154" s="1">
        <f>VLOOKUP($B154&amp;"__wt",'SegEnds_Xtal_BW#'!$A:$Z,18,FALSE)</f>
        <v>52</v>
      </c>
      <c r="S154" s="1">
        <f>VLOOKUP($B154&amp;"__wt",'SegEnds_Xtal_BW#'!$A:$Z,19,FALSE)</f>
        <v>33</v>
      </c>
      <c r="T154" s="1">
        <f t="array" ref="T154">INDEX(ICL3_classA!$G$2:$G$37,MATCH(MIN(ABS(AI154-ICL3_classA!$F$2:$F$37)),ABS(AI154-ICL3_classA!$F$2:$F$37),0))</f>
        <v>76</v>
      </c>
      <c r="U154" s="1">
        <f t="array" ref="U154">INDEX(ICL3_classA!$H$2:$H$37,MATCH(MIN(ABS(AI154-ICL3_classA!$F$2:$F$37)),ABS(AI154-ICL3_classA!$F$2:$F$37),0))</f>
        <v>24</v>
      </c>
      <c r="V154" s="1">
        <v>61</v>
      </c>
      <c r="W154" s="133">
        <f>VLOOKUP($B154&amp;"__wt",'SegEnds_Xtal_BW#'!$A:$Z,23,FALSE)</f>
        <v>27</v>
      </c>
      <c r="X154" s="1">
        <f>VLOOKUP($B154&amp;"__wt",'SegEnds_Xtal_BW#'!$A:$Z,24,FALSE)</f>
        <v>56</v>
      </c>
      <c r="Y154" s="1">
        <f>VLOOKUP($B154&amp;"__wt",'SegEnds_Xtal_BW#'!$A:$Z,25,FALSE)</f>
        <v>47</v>
      </c>
      <c r="Z154" s="1">
        <f>VLOOKUP($B154&amp;"__wt",'SegEnds_Xtal_BW#'!$A:$Z,26,FALSE)</f>
        <v>58</v>
      </c>
      <c r="AA154" s="27" t="str">
        <f>VLOOKUP(A154,Classification!A:B,2,FALSE)</f>
        <v>A</v>
      </c>
      <c r="AB154" s="1">
        <f>VLOOKUP(A154,'SegEnds_NonXtal_Prot#'!A:AL,10,FALSE)-VLOOKUP(A154,'SegEnds_NonXtal_Prot#'!A:AL,4,FALSE)</f>
        <v>28</v>
      </c>
      <c r="AC154" s="1">
        <f>VLOOKUP(A154,'SegEnds_NonXtal_Prot#'!A:AL,10,FALSE)-VLOOKUP(A154,'SegEnds_NonXtal_Prot#'!A:AL,7,FALSE)</f>
        <v>15</v>
      </c>
      <c r="AD154" s="1">
        <f>VLOOKUP(A154,'SegEnds_NonXtal_Prot#'!A:AL,13,FALSE)-VLOOKUP(A154,'SegEnds_NonXtal_Prot#'!A:AL,10,FALSE)</f>
        <v>20</v>
      </c>
      <c r="AE154" s="1">
        <f>VLOOKUP(A154,'SegEnds_NonXtal_Prot#'!A:AL,16,FALSE)-VLOOKUP(A154,'SegEnds_NonXtal_Prot#'!A:AL,10,FALSE)</f>
        <v>52</v>
      </c>
      <c r="AF154" s="1">
        <f>VLOOKUP(A154,'SegEnds_NonXtal_Prot#'!A:AL,22,FALSE)-VLOOKUP(A154,'SegEnds_NonXtal_Prot#'!A:AL,19,FALSE)</f>
        <v>20</v>
      </c>
      <c r="AG154" s="1">
        <f>VLOOKUP(A154,'SegEnds_NonXtal_Prot#'!A:AL,28,FALSE)-VLOOKUP(A154,'SegEnds_NonXtal_Prot#'!A:AL,25,FALSE)</f>
        <v>25</v>
      </c>
      <c r="AH154" s="1">
        <f>VLOOKUP(A154,'SegEnds_NonXtal_Prot#'!A:AL,28,FALSE)-VLOOKUP(A154,'SegEnds_NonXtal_Prot#'!A:AL,22,FALSE)</f>
        <v>51</v>
      </c>
      <c r="AI154" s="1">
        <f>VLOOKUP(A154,'SegEnds_NonXtal_Prot#'!A:AL,31,FALSE)-VLOOKUP(A154,'SegEnds_NonXtal_Prot#'!A:AL,28,FALSE)</f>
        <v>118</v>
      </c>
      <c r="AJ154" s="1">
        <f>VLOOKUP(A154,'SegEnds_NonXtal_Prot#'!A:AL,34,FALSE)-VLOOKUP(A154,'SegEnds_NonXtal_Prot#'!A:AL,31,FALSE)</f>
        <v>39</v>
      </c>
      <c r="AK154" s="1">
        <f>VLOOKUP(A154,'SegEnds_NonXtal_Prot#'!A:AL,37,FALSE)-VLOOKUP(A154,'SegEnds_NonXtal_Prot#'!A:AL,34,FALSE)</f>
        <v>10</v>
      </c>
      <c r="AL154" s="1" t="str">
        <f>IF(ISERROR(MATCH(A154,'SegEnds_Xtal_Prot#'!B:B, 0)), "NoXtal", "Xtal")</f>
        <v>NoXtal</v>
      </c>
    </row>
    <row r="155" spans="1:38" x14ac:dyDescent="0.2">
      <c r="A155" s="1" t="s">
        <v>216</v>
      </c>
      <c r="B155" s="1" t="str">
        <f>VLOOKUP(A155,Xtal_Templ!A:B,2,FALSE)</f>
        <v>5ht2c_human</v>
      </c>
      <c r="C155" s="5">
        <f>VLOOKUP($B155&amp;"__wt",'SegEnds_Xtal_BW#'!$A:$Z,3,FALSE)</f>
        <v>33</v>
      </c>
      <c r="D155" s="1">
        <f>VLOOKUP($B155&amp;"__wt",'SegEnds_Xtal_BW#'!$A:$Z,4,FALSE)</f>
        <v>60</v>
      </c>
      <c r="E155" s="1">
        <f>VLOOKUP($B155&amp;"__wt",'SegEnds_Xtal_BW#'!$A:$Z,5,FALSE)</f>
        <v>48</v>
      </c>
      <c r="F155" s="1">
        <f>VLOOKUP($B155&amp;"__wt",'SegEnds_Xtal_BW#'!$A:$Z,6,FALSE)</f>
        <v>51</v>
      </c>
      <c r="G155" s="1">
        <v>37</v>
      </c>
      <c r="H155" s="1">
        <v>67</v>
      </c>
      <c r="I155" s="1">
        <f>VLOOKUP($B155&amp;"__wt",'SegEnds_Xtal_BW#'!$A:$Z,9,FALSE)</f>
        <v>49</v>
      </c>
      <c r="J155" s="1">
        <f>VLOOKUP($B155&amp;"__wt",'SegEnds_Xtal_BW#'!$A:$Z,10,FALSE)</f>
        <v>52</v>
      </c>
      <c r="K155" s="1">
        <v>18</v>
      </c>
      <c r="L155" s="1">
        <f>VLOOKUP($B155&amp;"__wt",'SegEnds_Xtal_BW#'!$A:$Z,12,FALSE)</f>
        <v>56</v>
      </c>
      <c r="M155" s="1">
        <f>VLOOKUP($B155&amp;"__wt",'SegEnds_Xtal_BW#'!$A:$Z,13,FALSE)</f>
        <v>50</v>
      </c>
      <c r="N155" s="108">
        <v>56</v>
      </c>
      <c r="O155" s="87">
        <f>VLOOKUP($B155&amp;"__wt",'SegEnds_Xtal_BW#'!$A:$Z,15,FALSE)</f>
        <v>38</v>
      </c>
      <c r="P155" s="1">
        <f>VLOOKUP($B155&amp;"__wt",'SegEnds_Xtal_BW#'!$A:$Z,16,FALSE)</f>
        <v>67</v>
      </c>
      <c r="Q155" s="1">
        <f>VLOOKUP($B155&amp;"__wt",'SegEnds_Xtal_BW#'!$A:$Z,17,FALSE)</f>
        <v>50</v>
      </c>
      <c r="R155" s="1">
        <f>VLOOKUP($B155&amp;"__wt",'SegEnds_Xtal_BW#'!$A:$Z,18,FALSE)</f>
        <v>52</v>
      </c>
      <c r="S155" s="1">
        <f>VLOOKUP($B155&amp;"__wt",'SegEnds_Xtal_BW#'!$A:$Z,19,FALSE)</f>
        <v>35</v>
      </c>
      <c r="T155" s="1">
        <f t="array" ref="T155">INDEX(ICL3_classA!$G$2:$G$37,MATCH(MIN(ABS(AI155-ICL3_classA!$F$2:$F$37)),ABS(AI155-ICL3_classA!$F$2:$F$37),0))</f>
        <v>68</v>
      </c>
      <c r="U155" s="1">
        <f t="array" ref="U155">INDEX(ICL3_classA!$H$2:$H$37,MATCH(MIN(ABS(AI155-ICL3_classA!$F$2:$F$37)),ABS(AI155-ICL3_classA!$F$2:$F$37),0))</f>
        <v>24</v>
      </c>
      <c r="V155" s="1">
        <v>61</v>
      </c>
      <c r="W155" s="133">
        <f>VLOOKUP($B155&amp;"__wt",'SegEnds_Xtal_BW#'!$A:$Z,23,FALSE)</f>
        <v>27</v>
      </c>
      <c r="X155" s="1">
        <f>VLOOKUP($B155&amp;"__wt",'SegEnds_Xtal_BW#'!$A:$Z,24,FALSE)</f>
        <v>56</v>
      </c>
      <c r="Y155" s="1">
        <f>VLOOKUP($B155&amp;"__wt",'SegEnds_Xtal_BW#'!$A:$Z,25,FALSE)</f>
        <v>47</v>
      </c>
      <c r="Z155" s="1">
        <f>VLOOKUP($B155&amp;"__wt",'SegEnds_Xtal_BW#'!$A:$Z,26,FALSE)</f>
        <v>60</v>
      </c>
      <c r="AA155" s="27" t="str">
        <f>VLOOKUP(A155,Classification!A:B,2,FALSE)</f>
        <v>A</v>
      </c>
      <c r="AB155" s="1">
        <f>VLOOKUP(A155,'SegEnds_NonXtal_Prot#'!A:AL,10,FALSE)-VLOOKUP(A155,'SegEnds_NonXtal_Prot#'!A:AL,4,FALSE)</f>
        <v>29</v>
      </c>
      <c r="AC155" s="1" t="e">
        <f>VLOOKUP(A155,'SegEnds_NonXtal_Prot#'!A:AL,10,FALSE)-VLOOKUP(A155,'SegEnds_NonXtal_Prot#'!A:AL,7,FALSE)</f>
        <v>#VALUE!</v>
      </c>
      <c r="AD155" s="1" t="e">
        <f>VLOOKUP(A155,'SegEnds_NonXtal_Prot#'!A:AL,13,FALSE)-VLOOKUP(A155,'SegEnds_NonXtal_Prot#'!A:AL,10,FALSE)</f>
        <v>#VALUE!</v>
      </c>
      <c r="AE155" s="1">
        <f>VLOOKUP(A155,'SegEnds_NonXtal_Prot#'!A:AL,16,FALSE)-VLOOKUP(A155,'SegEnds_NonXtal_Prot#'!A:AL,10,FALSE)</f>
        <v>53</v>
      </c>
      <c r="AF155" s="1">
        <f>VLOOKUP(A155,'SegEnds_NonXtal_Prot#'!A:AL,22,FALSE)-VLOOKUP(A155,'SegEnds_NonXtal_Prot#'!A:AL,19,FALSE)</f>
        <v>19</v>
      </c>
      <c r="AG155" s="1" t="e">
        <f>VLOOKUP(A155,'SegEnds_NonXtal_Prot#'!A:AL,28,FALSE)-VLOOKUP(A155,'SegEnds_NonXtal_Prot#'!A:AL,25,FALSE)</f>
        <v>#VALUE!</v>
      </c>
      <c r="AH155" s="1">
        <f>VLOOKUP(A155,'SegEnds_NonXtal_Prot#'!A:AL,28,FALSE)-VLOOKUP(A155,'SegEnds_NonXtal_Prot#'!A:AL,22,FALSE)</f>
        <v>43</v>
      </c>
      <c r="AI155" s="1">
        <f>VLOOKUP(A155,'SegEnds_NonXtal_Prot#'!A:AL,31,FALSE)-VLOOKUP(A155,'SegEnds_NonXtal_Prot#'!A:AL,28,FALSE)</f>
        <v>48</v>
      </c>
      <c r="AJ155" s="1">
        <f>VLOOKUP(A155,'SegEnds_NonXtal_Prot#'!A:AL,34,FALSE)-VLOOKUP(A155,'SegEnds_NonXtal_Prot#'!A:AL,31,FALSE)</f>
        <v>39</v>
      </c>
      <c r="AK155" s="1">
        <f>VLOOKUP(A155,'SegEnds_NonXtal_Prot#'!A:AL,37,FALSE)-VLOOKUP(A155,'SegEnds_NonXtal_Prot#'!A:AL,34,FALSE)</f>
        <v>10</v>
      </c>
      <c r="AL155" s="1" t="str">
        <f>IF(ISERROR(MATCH(A155,'SegEnds_Xtal_Prot#'!B:B, 0)), "NoXtal", "Xtal")</f>
        <v>NoXtal</v>
      </c>
    </row>
    <row r="156" spans="1:38" x14ac:dyDescent="0.2">
      <c r="A156" s="1" t="s">
        <v>218</v>
      </c>
      <c r="B156" s="1" t="str">
        <f>VLOOKUP(A156,Xtal_Templ!A:B,2,FALSE)</f>
        <v>5ht2a_human</v>
      </c>
      <c r="C156" s="5">
        <f>VLOOKUP($B156&amp;"__wt",'SegEnds_Xtal_BW#'!$A:$Z,3,FALSE)</f>
        <v>27</v>
      </c>
      <c r="D156" s="1">
        <f>VLOOKUP($B156&amp;"__wt",'SegEnds_Xtal_BW#'!$A:$Z,4,FALSE)</f>
        <v>60</v>
      </c>
      <c r="E156" s="1">
        <f>VLOOKUP($B156&amp;"__wt",'SegEnds_Xtal_BW#'!$A:$Z,5,FALSE)</f>
        <v>48</v>
      </c>
      <c r="F156" s="1">
        <f>VLOOKUP($B156&amp;"__wt",'SegEnds_Xtal_BW#'!$A:$Z,6,FALSE)</f>
        <v>51</v>
      </c>
      <c r="G156" s="1">
        <v>37</v>
      </c>
      <c r="H156" s="1">
        <v>67</v>
      </c>
      <c r="I156" s="1">
        <f>VLOOKUP($B156&amp;"__wt",'SegEnds_Xtal_BW#'!$A:$Z,9,FALSE)</f>
        <v>49</v>
      </c>
      <c r="J156" s="1">
        <f>VLOOKUP($B156&amp;"__wt",'SegEnds_Xtal_BW#'!$A:$Z,10,FALSE)</f>
        <v>52</v>
      </c>
      <c r="K156" s="1">
        <v>18</v>
      </c>
      <c r="L156" s="1">
        <f>VLOOKUP($B156&amp;"__wt",'SegEnds_Xtal_BW#'!$A:$Z,12,FALSE)</f>
        <v>56</v>
      </c>
      <c r="M156" s="1">
        <f>VLOOKUP($B156&amp;"__wt",'SegEnds_Xtal_BW#'!$A:$Z,13,FALSE)</f>
        <v>50</v>
      </c>
      <c r="N156" s="108">
        <v>56</v>
      </c>
      <c r="O156" s="87">
        <f>VLOOKUP($B156&amp;"__wt",'SegEnds_Xtal_BW#'!$A:$Z,15,FALSE)</f>
        <v>38</v>
      </c>
      <c r="P156" s="1">
        <f>VLOOKUP($B156&amp;"__wt",'SegEnds_Xtal_BW#'!$A:$Z,16,FALSE)</f>
        <v>67</v>
      </c>
      <c r="Q156" s="1">
        <f>VLOOKUP($B156&amp;"__wt",'SegEnds_Xtal_BW#'!$A:$Z,17,FALSE)</f>
        <v>50</v>
      </c>
      <c r="R156" s="1">
        <f>VLOOKUP($B156&amp;"__wt",'SegEnds_Xtal_BW#'!$A:$Z,18,FALSE)</f>
        <v>52</v>
      </c>
      <c r="S156" s="1">
        <f>VLOOKUP($B156&amp;"__wt",'SegEnds_Xtal_BW#'!$A:$Z,19,FALSE)</f>
        <v>35</v>
      </c>
      <c r="T156" s="1">
        <f t="array" ref="T156">INDEX(ICL3_classA!$G$2:$G$37,MATCH(MIN(ABS(AI156-ICL3_classA!$F$2:$F$37)),ABS(AI156-ICL3_classA!$F$2:$F$37),0))</f>
        <v>67</v>
      </c>
      <c r="U156" s="1">
        <f t="array" ref="U156">INDEX(ICL3_classA!$H$2:$H$37,MATCH(MIN(ABS(AI156-ICL3_classA!$F$2:$F$37)),ABS(AI156-ICL3_classA!$F$2:$F$37),0))</f>
        <v>26</v>
      </c>
      <c r="V156" s="1">
        <v>61</v>
      </c>
      <c r="W156" s="133">
        <f>VLOOKUP($B156&amp;"__wt",'SegEnds_Xtal_BW#'!$A:$Z,23,FALSE)</f>
        <v>27</v>
      </c>
      <c r="X156" s="1">
        <f>VLOOKUP($B156&amp;"__wt",'SegEnds_Xtal_BW#'!$A:$Z,24,FALSE)</f>
        <v>56</v>
      </c>
      <c r="Y156" s="1">
        <f>VLOOKUP($B156&amp;"__wt",'SegEnds_Xtal_BW#'!$A:$Z,25,FALSE)</f>
        <v>47</v>
      </c>
      <c r="Z156" s="1">
        <f>VLOOKUP($B156&amp;"__wt",'SegEnds_Xtal_BW#'!$A:$Z,26,FALSE)</f>
        <v>60</v>
      </c>
      <c r="AA156" s="27" t="str">
        <f>VLOOKUP(A156,Classification!A:B,2,FALSE)</f>
        <v>A</v>
      </c>
      <c r="AB156" s="1">
        <f>VLOOKUP(A156,'SegEnds_NonXtal_Prot#'!A:AL,10,FALSE)-VLOOKUP(A156,'SegEnds_NonXtal_Prot#'!A:AL,4,FALSE)</f>
        <v>29</v>
      </c>
      <c r="AC156" s="1" t="e">
        <f>VLOOKUP(A156,'SegEnds_NonXtal_Prot#'!A:AL,10,FALSE)-VLOOKUP(A156,'SegEnds_NonXtal_Prot#'!A:AL,7,FALSE)</f>
        <v>#VALUE!</v>
      </c>
      <c r="AD156" s="1" t="e">
        <f>VLOOKUP(A156,'SegEnds_NonXtal_Prot#'!A:AL,13,FALSE)-VLOOKUP(A156,'SegEnds_NonXtal_Prot#'!A:AL,10,FALSE)</f>
        <v>#VALUE!</v>
      </c>
      <c r="AE156" s="1">
        <f>VLOOKUP(A156,'SegEnds_NonXtal_Prot#'!A:AL,16,FALSE)-VLOOKUP(A156,'SegEnds_NonXtal_Prot#'!A:AL,10,FALSE)</f>
        <v>53</v>
      </c>
      <c r="AF156" s="1">
        <f>VLOOKUP(A156,'SegEnds_NonXtal_Prot#'!A:AL,22,FALSE)-VLOOKUP(A156,'SegEnds_NonXtal_Prot#'!A:AL,19,FALSE)</f>
        <v>19</v>
      </c>
      <c r="AG156" s="1" t="e">
        <f>VLOOKUP(A156,'SegEnds_NonXtal_Prot#'!A:AL,28,FALSE)-VLOOKUP(A156,'SegEnds_NonXtal_Prot#'!A:AL,25,FALSE)</f>
        <v>#VALUE!</v>
      </c>
      <c r="AH156" s="1">
        <f>VLOOKUP(A156,'SegEnds_NonXtal_Prot#'!A:AL,28,FALSE)-VLOOKUP(A156,'SegEnds_NonXtal_Prot#'!A:AL,22,FALSE)</f>
        <v>43</v>
      </c>
      <c r="AI156" s="1">
        <f>VLOOKUP(A156,'SegEnds_NonXtal_Prot#'!A:AL,31,FALSE)-VLOOKUP(A156,'SegEnds_NonXtal_Prot#'!A:AL,28,FALSE)</f>
        <v>47</v>
      </c>
      <c r="AJ156" s="1">
        <f>VLOOKUP(A156,'SegEnds_NonXtal_Prot#'!A:AL,34,FALSE)-VLOOKUP(A156,'SegEnds_NonXtal_Prot#'!A:AL,31,FALSE)</f>
        <v>39</v>
      </c>
      <c r="AK156" s="1">
        <f>VLOOKUP(A156,'SegEnds_NonXtal_Prot#'!A:AL,37,FALSE)-VLOOKUP(A156,'SegEnds_NonXtal_Prot#'!A:AL,34,FALSE)</f>
        <v>10</v>
      </c>
      <c r="AL156" s="1" t="str">
        <f>IF(ISERROR(MATCH(A156,'SegEnds_Xtal_Prot#'!B:B, 0)), "NoXtal", "Xtal")</f>
        <v>NoXtal</v>
      </c>
    </row>
    <row r="157" spans="1:38" x14ac:dyDescent="0.2">
      <c r="A157" s="1" t="s">
        <v>222</v>
      </c>
      <c r="B157" s="1" t="str">
        <f>VLOOKUP(A157,Xtal_Templ!A:B,2,FALSE)</f>
        <v>ox2r_human</v>
      </c>
      <c r="C157" s="5">
        <f>VLOOKUP($B157&amp;"__wt",'SegEnds_Xtal_BW#'!$A:$Z,3,FALSE)</f>
        <v>31</v>
      </c>
      <c r="D157" s="1">
        <f>VLOOKUP($B157&amp;"__wt",'SegEnds_Xtal_BW#'!$A:$Z,4,FALSE)</f>
        <v>60</v>
      </c>
      <c r="E157" s="1">
        <f>VLOOKUP($B157&amp;"__wt",'SegEnds_Xtal_BW#'!$A:$Z,5,FALSE)</f>
        <v>48</v>
      </c>
      <c r="F157" s="1">
        <f>VLOOKUP($B157&amp;"__wt",'SegEnds_Xtal_BW#'!$A:$Z,6,FALSE)</f>
        <v>51</v>
      </c>
      <c r="G157" s="1">
        <v>37</v>
      </c>
      <c r="H157" s="12">
        <f>VLOOKUP($B157&amp;"__wt",'SegEnds_Xtal_BW#'!$A:$Z,8,FALSE)</f>
        <v>68</v>
      </c>
      <c r="I157" s="1">
        <f>VLOOKUP($B157&amp;"__wt",'SegEnds_Xtal_BW#'!$A:$Z,9,FALSE)</f>
        <v>49</v>
      </c>
      <c r="J157" s="1">
        <f>VLOOKUP($B157&amp;"__wt",'SegEnds_Xtal_BW#'!$A:$Z,10,FALSE)</f>
        <v>52</v>
      </c>
      <c r="K157" s="12">
        <v>18</v>
      </c>
      <c r="L157" s="1">
        <f>VLOOKUP($B157&amp;"__wt",'SegEnds_Xtal_BW#'!$A:$Z,12,FALSE)</f>
        <v>56</v>
      </c>
      <c r="M157" s="1">
        <f>VLOOKUP($B157&amp;"__wt",'SegEnds_Xtal_BW#'!$A:$Z,13,FALSE)</f>
        <v>50</v>
      </c>
      <c r="N157" s="12">
        <f>VLOOKUP($B157&amp;"__wt",'SegEnds_Xtal_BW#'!$A:$Z,14,FALSE)</f>
        <v>53</v>
      </c>
      <c r="O157" s="87">
        <f>VLOOKUP($B157&amp;"__wt",'SegEnds_Xtal_BW#'!$A:$Z,15,FALSE)</f>
        <v>38</v>
      </c>
      <c r="P157" s="1">
        <f>VLOOKUP($B157&amp;"__wt",'SegEnds_Xtal_BW#'!$A:$Z,16,FALSE)</f>
        <v>64</v>
      </c>
      <c r="Q157" s="1">
        <f>VLOOKUP($B157&amp;"__wt",'SegEnds_Xtal_BW#'!$A:$Z,17,FALSE)</f>
        <v>50</v>
      </c>
      <c r="R157" s="1">
        <f>VLOOKUP($B157&amp;"__wt",'SegEnds_Xtal_BW#'!$A:$Z,18,FALSE)</f>
        <v>52</v>
      </c>
      <c r="S157" s="1">
        <f>VLOOKUP($B157&amp;"__wt",'SegEnds_Xtal_BW#'!$A:$Z,19,FALSE)</f>
        <v>33</v>
      </c>
      <c r="T157" s="1">
        <f t="array" ref="T157">INDEX(ICL3_classA!$G$2:$G$37,MATCH(MIN(ABS(AI157-ICL3_classA!$F$2:$F$37)),ABS(AI157-ICL3_classA!$F$2:$F$37),0))</f>
        <v>74</v>
      </c>
      <c r="U157" s="1">
        <f t="array" ref="U157">INDEX(ICL3_classA!$H$2:$H$37,MATCH(MIN(ABS(AI157-ICL3_classA!$F$2:$F$37)),ABS(AI157-ICL3_classA!$F$2:$F$37),0))</f>
        <v>21</v>
      </c>
      <c r="V157" s="1">
        <v>61</v>
      </c>
      <c r="W157" s="133">
        <f>VLOOKUP($B157&amp;"__wt",'SegEnds_Xtal_BW#'!$A:$Z,23,FALSE)</f>
        <v>27</v>
      </c>
      <c r="X157" s="1">
        <f>VLOOKUP($B157&amp;"__wt",'SegEnds_Xtal_BW#'!$A:$Z,24,FALSE)</f>
        <v>56</v>
      </c>
      <c r="Y157" s="1">
        <f>VLOOKUP($B157&amp;"__wt",'SegEnds_Xtal_BW#'!$A:$Z,25,FALSE)</f>
        <v>47</v>
      </c>
      <c r="Z157" s="1">
        <f>VLOOKUP($B157&amp;"__wt",'SegEnds_Xtal_BW#'!$A:$Z,26,FALSE)</f>
        <v>58</v>
      </c>
      <c r="AA157" s="27" t="str">
        <f>VLOOKUP(A157,Classification!A:B,2,FALSE)</f>
        <v>A</v>
      </c>
      <c r="AB157" s="1">
        <f>VLOOKUP(A157,'SegEnds_NonXtal_Prot#'!A:AL,10,FALSE)-VLOOKUP(A157,'SegEnds_NonXtal_Prot#'!A:AL,4,FALSE)</f>
        <v>33</v>
      </c>
      <c r="AC157" s="1" t="e">
        <f>VLOOKUP(A157,'SegEnds_NonXtal_Prot#'!A:AL,10,FALSE)-VLOOKUP(A157,'SegEnds_NonXtal_Prot#'!A:AL,7,FALSE)</f>
        <v>#VALUE!</v>
      </c>
      <c r="AD157" s="1" t="e">
        <f>VLOOKUP(A157,'SegEnds_NonXtal_Prot#'!A:AL,13,FALSE)-VLOOKUP(A157,'SegEnds_NonXtal_Prot#'!A:AL,10,FALSE)</f>
        <v>#VALUE!</v>
      </c>
      <c r="AE157" s="1">
        <f>VLOOKUP(A157,'SegEnds_NonXtal_Prot#'!A:AL,16,FALSE)-VLOOKUP(A157,'SegEnds_NonXtal_Prot#'!A:AL,10,FALSE)</f>
        <v>54</v>
      </c>
      <c r="AF157" s="1" t="e">
        <f>VLOOKUP(A157,'SegEnds_NonXtal_Prot#'!A:AL,22,FALSE)-VLOOKUP(A157,'SegEnds_NonXtal_Prot#'!A:AL,19,FALSE)</f>
        <v>#VALUE!</v>
      </c>
      <c r="AG157" s="1">
        <f>VLOOKUP(A157,'SegEnds_NonXtal_Prot#'!A:AL,28,FALSE)-VLOOKUP(A157,'SegEnds_NonXtal_Prot#'!A:AL,25,FALSE)</f>
        <v>27</v>
      </c>
      <c r="AH157" s="1">
        <f>VLOOKUP(A157,'SegEnds_NonXtal_Prot#'!A:AL,28,FALSE)-VLOOKUP(A157,'SegEnds_NonXtal_Prot#'!A:AL,22,FALSE)</f>
        <v>75</v>
      </c>
      <c r="AI157" s="1">
        <f>VLOOKUP(A157,'SegEnds_NonXtal_Prot#'!A:AL,31,FALSE)-VLOOKUP(A157,'SegEnds_NonXtal_Prot#'!A:AL,28,FALSE)</f>
        <v>66</v>
      </c>
      <c r="AJ157" s="1">
        <f>VLOOKUP(A157,'SegEnds_NonXtal_Prot#'!A:AL,34,FALSE)-VLOOKUP(A157,'SegEnds_NonXtal_Prot#'!A:AL,31,FALSE)</f>
        <v>39</v>
      </c>
      <c r="AK157" s="1">
        <f>VLOOKUP(A157,'SegEnds_NonXtal_Prot#'!A:AL,37,FALSE)-VLOOKUP(A157,'SegEnds_NonXtal_Prot#'!A:AL,34,FALSE)</f>
        <v>10</v>
      </c>
      <c r="AL157" s="1" t="str">
        <f>IF(ISERROR(MATCH(A157,'SegEnds_Xtal_Prot#'!B:B, 0)), "NoXtal", "Xtal")</f>
        <v>NoXtal</v>
      </c>
    </row>
    <row r="158" spans="1:38" x14ac:dyDescent="0.2">
      <c r="A158" s="1" t="s">
        <v>255</v>
      </c>
      <c r="B158" s="1" t="str">
        <f>VLOOKUP(A158,Xtal_Templ!A:B,2,FALSE)</f>
        <v>ednrb_human</v>
      </c>
      <c r="C158" s="5">
        <f>VLOOKUP($B158&amp;"__wt",'SegEnds_Xtal_BW#'!$A:$Z,3,FALSE)</f>
        <v>22</v>
      </c>
      <c r="D158" s="1">
        <f>VLOOKUP($B158&amp;"__wt",'SegEnds_Xtal_BW#'!$A:$Z,4,FALSE)</f>
        <v>60</v>
      </c>
      <c r="E158" s="1">
        <f>VLOOKUP($B158&amp;"__wt",'SegEnds_Xtal_BW#'!$A:$Z,5,FALSE)</f>
        <v>48</v>
      </c>
      <c r="F158" s="1">
        <f>VLOOKUP($B158&amp;"__wt",'SegEnds_Xtal_BW#'!$A:$Z,6,FALSE)</f>
        <v>52</v>
      </c>
      <c r="G158" s="1">
        <v>37</v>
      </c>
      <c r="H158" s="12">
        <f>VLOOKUP($B158&amp;"__wt",'SegEnds_Xtal_BW#'!$A:$Z,8,FALSE)</f>
        <v>67</v>
      </c>
      <c r="I158" s="1">
        <f>VLOOKUP($B158&amp;"__wt",'SegEnds_Xtal_BW#'!$A:$Z,9,FALSE)</f>
        <v>49</v>
      </c>
      <c r="J158" s="1">
        <f>VLOOKUP($B158&amp;"__wt",'SegEnds_Xtal_BW#'!$A:$Z,10,FALSE)</f>
        <v>52</v>
      </c>
      <c r="K158" s="12">
        <v>18</v>
      </c>
      <c r="L158" s="1">
        <f>VLOOKUP($B158&amp;"__wt",'SegEnds_Xtal_BW#'!$A:$Z,12,FALSE)</f>
        <v>56</v>
      </c>
      <c r="M158" s="1">
        <f>VLOOKUP($B158&amp;"__wt",'SegEnds_Xtal_BW#'!$A:$Z,13,FALSE)</f>
        <v>50</v>
      </c>
      <c r="N158" s="12">
        <v>57</v>
      </c>
      <c r="O158" s="87">
        <v>38</v>
      </c>
      <c r="P158" s="1">
        <f>VLOOKUP($B158&amp;"__wt",'SegEnds_Xtal_BW#'!$A:$Z,16,FALSE)</f>
        <v>64</v>
      </c>
      <c r="Q158" s="1">
        <f>VLOOKUP($B158&amp;"__wt",'SegEnds_Xtal_BW#'!$A:$Z,17,FALSE)</f>
        <v>50</v>
      </c>
      <c r="R158" s="1">
        <f>VLOOKUP($B158&amp;"__wt",'SegEnds_Xtal_BW#'!$A:$Z,18,FALSE)</f>
        <v>52</v>
      </c>
      <c r="S158" s="1">
        <f>VLOOKUP($B158&amp;"__wt",'SegEnds_Xtal_BW#'!$A:$Z,19,FALSE)</f>
        <v>28</v>
      </c>
      <c r="T158" s="1">
        <f t="array" ref="T158">INDEX(ICL3_classA!$G$2:$G$37,MATCH(MIN(ABS(AI158-ICL3_classA!$F$2:$F$37)),ABS(AI158-ICL3_classA!$F$2:$F$37),0))</f>
        <v>72</v>
      </c>
      <c r="U158" s="1">
        <f t="array" ref="U158">INDEX(ICL3_classA!$H$2:$H$37,MATCH(MIN(ABS(AI158-ICL3_classA!$F$2:$F$37)),ABS(AI158-ICL3_classA!$F$2:$F$37),0))</f>
        <v>24</v>
      </c>
      <c r="V158" s="1">
        <v>61</v>
      </c>
      <c r="W158" s="133">
        <f>VLOOKUP($B158&amp;"__wt",'SegEnds_Xtal_BW#'!$A:$Z,23,FALSE)</f>
        <v>24</v>
      </c>
      <c r="X158" s="1">
        <f>VLOOKUP($B158&amp;"__wt",'SegEnds_Xtal_BW#'!$A:$Z,24,FALSE)</f>
        <v>56</v>
      </c>
      <c r="Y158" s="1">
        <f>VLOOKUP($B158&amp;"__wt",'SegEnds_Xtal_BW#'!$A:$Z,25,FALSE)</f>
        <v>47</v>
      </c>
      <c r="Z158" s="1">
        <f>VLOOKUP($B158&amp;"__wt",'SegEnds_Xtal_BW#'!$A:$Z,26,FALSE)</f>
        <v>60</v>
      </c>
      <c r="AA158" s="27" t="str">
        <f>VLOOKUP(A158,Classification!A:B,2,FALSE)</f>
        <v>A</v>
      </c>
      <c r="AB158" s="1">
        <f>VLOOKUP(A158,'SegEnds_NonXtal_Prot#'!A:AL,10,FALSE)-VLOOKUP(A158,'SegEnds_NonXtal_Prot#'!A:AL,4,FALSE)</f>
        <v>28</v>
      </c>
      <c r="AC158" s="1">
        <f>VLOOKUP(A158,'SegEnds_NonXtal_Prot#'!A:AL,10,FALSE)-VLOOKUP(A158,'SegEnds_NonXtal_Prot#'!A:AL,7,FALSE)</f>
        <v>15</v>
      </c>
      <c r="AD158" s="1">
        <f>VLOOKUP(A158,'SegEnds_NonXtal_Prot#'!A:AL,13,FALSE)-VLOOKUP(A158,'SegEnds_NonXtal_Prot#'!A:AL,10,FALSE)</f>
        <v>20</v>
      </c>
      <c r="AE158" s="1">
        <f>VLOOKUP(A158,'SegEnds_NonXtal_Prot#'!A:AL,16,FALSE)-VLOOKUP(A158,'SegEnds_NonXtal_Prot#'!A:AL,10,FALSE)</f>
        <v>52</v>
      </c>
      <c r="AF158" s="1">
        <f>VLOOKUP(A158,'SegEnds_NonXtal_Prot#'!A:AL,22,FALSE)-VLOOKUP(A158,'SegEnds_NonXtal_Prot#'!A:AL,19,FALSE)</f>
        <v>20</v>
      </c>
      <c r="AG158" s="1">
        <f>VLOOKUP(A158,'SegEnds_NonXtal_Prot#'!A:AL,28,FALSE)-VLOOKUP(A158,'SegEnds_NonXtal_Prot#'!A:AL,25,FALSE)</f>
        <v>35</v>
      </c>
      <c r="AH158" s="1">
        <f>VLOOKUP(A158,'SegEnds_NonXtal_Prot#'!A:AL,28,FALSE)-VLOOKUP(A158,'SegEnds_NonXtal_Prot#'!A:AL,22,FALSE)</f>
        <v>67</v>
      </c>
      <c r="AI158" s="1">
        <f>VLOOKUP(A158,'SegEnds_NonXtal_Prot#'!A:AL,31,FALSE)-VLOOKUP(A158,'SegEnds_NonXtal_Prot#'!A:AL,28,FALSE)</f>
        <v>53</v>
      </c>
      <c r="AJ158" s="1">
        <f>VLOOKUP(A158,'SegEnds_NonXtal_Prot#'!A:AL,34,FALSE)-VLOOKUP(A158,'SegEnds_NonXtal_Prot#'!A:AL,31,FALSE)</f>
        <v>39</v>
      </c>
      <c r="AK158" s="1">
        <f>VLOOKUP(A158,'SegEnds_NonXtal_Prot#'!A:AL,37,FALSE)-VLOOKUP(A158,'SegEnds_NonXtal_Prot#'!A:AL,34,FALSE)</f>
        <v>10</v>
      </c>
      <c r="AL158" s="1" t="str">
        <f>IF(ISERROR(MATCH(A158,'SegEnds_Xtal_Prot#'!B:B, 0)), "NoXtal", "Xtal")</f>
        <v>NoXtal</v>
      </c>
    </row>
    <row r="159" spans="1:38" x14ac:dyDescent="0.2">
      <c r="A159" s="1" t="s">
        <v>259</v>
      </c>
      <c r="B159" s="1" t="str">
        <f>VLOOKUP(A159,Xtal_Templ!A:B,2,FALSE)</f>
        <v>drd2_human</v>
      </c>
      <c r="C159" s="5">
        <f>VLOOKUP($B159&amp;"__wt",'SegEnds_Xtal_BW#'!$A:$Z,3,FALSE)</f>
        <v>29</v>
      </c>
      <c r="D159" s="1">
        <f>VLOOKUP($B159&amp;"__wt",'SegEnds_Xtal_BW#'!$A:$Z,4,FALSE)</f>
        <v>60</v>
      </c>
      <c r="E159" s="1">
        <f>VLOOKUP($B159&amp;"__wt",'SegEnds_Xtal_BW#'!$A:$Z,5,FALSE)</f>
        <v>48</v>
      </c>
      <c r="F159" s="1">
        <f>VLOOKUP($B159&amp;"__wt",'SegEnds_Xtal_BW#'!$A:$Z,6,FALSE)</f>
        <v>51</v>
      </c>
      <c r="G159" s="1">
        <v>37</v>
      </c>
      <c r="H159" s="12">
        <f>VLOOKUP($B159&amp;"__wt",'SegEnds_Xtal_BW#'!$A:$Z,8,FALSE)</f>
        <v>68</v>
      </c>
      <c r="I159" s="1">
        <f>VLOOKUP($B159&amp;"__wt",'SegEnds_Xtal_BW#'!$A:$Z,9,FALSE)</f>
        <v>49</v>
      </c>
      <c r="J159" s="1">
        <f>VLOOKUP($B159&amp;"__wt",'SegEnds_Xtal_BW#'!$A:$Z,10,FALSE)</f>
        <v>52</v>
      </c>
      <c r="K159" s="12">
        <v>18</v>
      </c>
      <c r="L159" s="1">
        <f>VLOOKUP($B159&amp;"__wt",'SegEnds_Xtal_BW#'!$A:$Z,12,FALSE)</f>
        <v>56</v>
      </c>
      <c r="M159" s="1">
        <f>VLOOKUP($B159&amp;"__wt",'SegEnds_Xtal_BW#'!$A:$Z,13,FALSE)</f>
        <v>50</v>
      </c>
      <c r="N159" s="12">
        <f>VLOOKUP($B159&amp;"__wt",'SegEnds_Xtal_BW#'!$A:$Z,14,FALSE)</f>
        <v>58</v>
      </c>
      <c r="O159" s="87">
        <v>38</v>
      </c>
      <c r="P159" s="1">
        <f>VLOOKUP($B159&amp;"__wt",'SegEnds_Xtal_BW#'!$A:$Z,16,FALSE)</f>
        <v>62</v>
      </c>
      <c r="Q159" s="1">
        <f>VLOOKUP($B159&amp;"__wt",'SegEnds_Xtal_BW#'!$A:$Z,17,FALSE)</f>
        <v>50</v>
      </c>
      <c r="R159" s="1">
        <f>VLOOKUP($B159&amp;"__wt",'SegEnds_Xtal_BW#'!$A:$Z,18,FALSE)</f>
        <v>52</v>
      </c>
      <c r="S159" s="1">
        <v>35</v>
      </c>
      <c r="T159" s="1">
        <f t="array" ref="T159">INDEX(ICL3_classA!$G$2:$G$37,MATCH(MIN(ABS(AI159-ICL3_classA!$F$2:$F$37)),ABS(AI159-ICL3_classA!$F$2:$F$37),0))</f>
        <v>76</v>
      </c>
      <c r="U159" s="1">
        <f t="array" ref="U159">INDEX(ICL3_classA!$H$2:$H$37,MATCH(MIN(ABS(AI159-ICL3_classA!$F$2:$F$37)),ABS(AI159-ICL3_classA!$F$2:$F$37),0))</f>
        <v>24</v>
      </c>
      <c r="V159" s="1">
        <v>61</v>
      </c>
      <c r="W159" s="133">
        <f>VLOOKUP($B159&amp;"__wt",'SegEnds_Xtal_BW#'!$A:$Z,23,FALSE)</f>
        <v>31</v>
      </c>
      <c r="X159" s="125">
        <f>VLOOKUP($B159&amp;"__wt",'SegEnds_Xtal_BW#'!$A:$Z,24,FALSE)</f>
        <v>56</v>
      </c>
      <c r="Y159" s="1">
        <f>VLOOKUP($B159&amp;"__wt",'SegEnds_Xtal_BW#'!$A:$Z,25,FALSE)</f>
        <v>47</v>
      </c>
      <c r="Z159" s="1">
        <f>VLOOKUP($B159&amp;"__wt",'SegEnds_Xtal_BW#'!$A:$Z,26,FALSE)</f>
        <v>59</v>
      </c>
      <c r="AA159" s="27" t="str">
        <f>VLOOKUP(A159,Classification!A:B,2,FALSE)</f>
        <v>A</v>
      </c>
      <c r="AB159" s="1">
        <f>VLOOKUP(A159,'SegEnds_NonXtal_Prot#'!A:AL,10,FALSE)-VLOOKUP(A159,'SegEnds_NonXtal_Prot#'!A:AL,4,FALSE)</f>
        <v>28</v>
      </c>
      <c r="AC159" s="1">
        <f>VLOOKUP(A159,'SegEnds_NonXtal_Prot#'!A:AL,10,FALSE)-VLOOKUP(A159,'SegEnds_NonXtal_Prot#'!A:AL,7,FALSE)</f>
        <v>15</v>
      </c>
      <c r="AD159" s="1">
        <f>VLOOKUP(A159,'SegEnds_NonXtal_Prot#'!A:AL,13,FALSE)-VLOOKUP(A159,'SegEnds_NonXtal_Prot#'!A:AL,10,FALSE)</f>
        <v>20</v>
      </c>
      <c r="AE159" s="1">
        <f>VLOOKUP(A159,'SegEnds_NonXtal_Prot#'!A:AL,16,FALSE)-VLOOKUP(A159,'SegEnds_NonXtal_Prot#'!A:AL,10,FALSE)</f>
        <v>52</v>
      </c>
      <c r="AF159" s="1" t="e">
        <f>VLOOKUP(A159,'SegEnds_NonXtal_Prot#'!A:AL,22,FALSE)-VLOOKUP(A159,'SegEnds_NonXtal_Prot#'!A:AL,19,FALSE)</f>
        <v>#VALUE!</v>
      </c>
      <c r="AG159" s="1">
        <f>VLOOKUP(A159,'SegEnds_NonXtal_Prot#'!A:AL,28,FALSE)-VLOOKUP(A159,'SegEnds_NonXtal_Prot#'!A:AL,25,FALSE)</f>
        <v>25</v>
      </c>
      <c r="AH159" s="1">
        <f>VLOOKUP(A159,'SegEnds_NonXtal_Prot#'!A:AL,28,FALSE)-VLOOKUP(A159,'SegEnds_NonXtal_Prot#'!A:AL,22,FALSE)</f>
        <v>51</v>
      </c>
      <c r="AI159" s="1">
        <f>VLOOKUP(A159,'SegEnds_NonXtal_Prot#'!A:AL,31,FALSE)-VLOOKUP(A159,'SegEnds_NonXtal_Prot#'!A:AL,28,FALSE)</f>
        <v>75</v>
      </c>
      <c r="AJ159" s="1">
        <f>VLOOKUP(A159,'SegEnds_NonXtal_Prot#'!A:AL,34,FALSE)-VLOOKUP(A159,'SegEnds_NonXtal_Prot#'!A:AL,31,FALSE)</f>
        <v>39</v>
      </c>
      <c r="AK159" s="1">
        <f>VLOOKUP(A159,'SegEnds_NonXtal_Prot#'!A:AL,37,FALSE)-VLOOKUP(A159,'SegEnds_NonXtal_Prot#'!A:AL,34,FALSE)</f>
        <v>10</v>
      </c>
      <c r="AL159" s="1" t="str">
        <f>IF(ISERROR(MATCH(A159,'SegEnds_Xtal_Prot#'!B:B, 0)), "NoXtal", "Xtal")</f>
        <v>NoXtal</v>
      </c>
    </row>
    <row r="160" spans="1:38" x14ac:dyDescent="0.2">
      <c r="A160" s="1" t="s">
        <v>265</v>
      </c>
      <c r="B160" s="1" t="str">
        <f>VLOOKUP(A160,Xtal_Templ!A:B,2,FALSE)</f>
        <v>5ht2c_human</v>
      </c>
      <c r="C160" s="5">
        <f>VLOOKUP($B160&amp;"__wt",'SegEnds_Xtal_BW#'!$A:$Z,3,FALSE)</f>
        <v>33</v>
      </c>
      <c r="D160" s="1">
        <f>VLOOKUP($B160&amp;"__wt",'SegEnds_Xtal_BW#'!$A:$Z,4,FALSE)</f>
        <v>60</v>
      </c>
      <c r="E160" s="1">
        <f>VLOOKUP($B160&amp;"__wt",'SegEnds_Xtal_BW#'!$A:$Z,5,FALSE)</f>
        <v>48</v>
      </c>
      <c r="F160" s="1">
        <f>VLOOKUP($B160&amp;"__wt",'SegEnds_Xtal_BW#'!$A:$Z,6,FALSE)</f>
        <v>51</v>
      </c>
      <c r="G160" s="1">
        <v>37</v>
      </c>
      <c r="H160" s="12">
        <f>VLOOKUP($B160&amp;"__wt",'SegEnds_Xtal_BW#'!$A:$Z,8,FALSE)</f>
        <v>68</v>
      </c>
      <c r="I160" s="1">
        <f>VLOOKUP($B160&amp;"__wt",'SegEnds_Xtal_BW#'!$A:$Z,9,FALSE)</f>
        <v>49</v>
      </c>
      <c r="J160" s="1">
        <f>VLOOKUP($B160&amp;"__wt",'SegEnds_Xtal_BW#'!$A:$Z,10,FALSE)</f>
        <v>52</v>
      </c>
      <c r="K160" s="12">
        <v>18</v>
      </c>
      <c r="L160" s="1">
        <f>VLOOKUP($B160&amp;"__wt",'SegEnds_Xtal_BW#'!$A:$Z,12,FALSE)</f>
        <v>56</v>
      </c>
      <c r="M160" s="1">
        <f>VLOOKUP($B160&amp;"__wt",'SegEnds_Xtal_BW#'!$A:$Z,13,FALSE)</f>
        <v>50</v>
      </c>
      <c r="N160" s="12">
        <f>VLOOKUP($B160&amp;"__wt",'SegEnds_Xtal_BW#'!$A:$Z,14,FALSE)</f>
        <v>57</v>
      </c>
      <c r="O160" s="87">
        <v>38</v>
      </c>
      <c r="P160" s="1">
        <f>VLOOKUP($B160&amp;"__wt",'SegEnds_Xtal_BW#'!$A:$Z,16,FALSE)</f>
        <v>67</v>
      </c>
      <c r="Q160" s="1">
        <f>VLOOKUP($B160&amp;"__wt",'SegEnds_Xtal_BW#'!$A:$Z,17,FALSE)</f>
        <v>50</v>
      </c>
      <c r="R160" s="1">
        <f>VLOOKUP($B160&amp;"__wt",'SegEnds_Xtal_BW#'!$A:$Z,18,FALSE)</f>
        <v>52</v>
      </c>
      <c r="S160" s="1">
        <v>35</v>
      </c>
      <c r="T160" s="1">
        <f t="array" ref="T160">INDEX(ICL3_classA!$G$2:$G$37,MATCH(MIN(ABS(AI160-ICL3_classA!$F$2:$F$37)),ABS(AI160-ICL3_classA!$F$2:$F$37),0))</f>
        <v>76</v>
      </c>
      <c r="U160" s="1">
        <f t="array" ref="U160">INDEX(ICL3_classA!$H$2:$H$37,MATCH(MIN(ABS(AI160-ICL3_classA!$F$2:$F$37)),ABS(AI160-ICL3_classA!$F$2:$F$37),0))</f>
        <v>24</v>
      </c>
      <c r="V160" s="1">
        <v>61</v>
      </c>
      <c r="W160" s="133">
        <f>VLOOKUP($B160&amp;"__wt",'SegEnds_Xtal_BW#'!$A:$Z,23,FALSE)</f>
        <v>27</v>
      </c>
      <c r="X160" s="1">
        <f>VLOOKUP($B160&amp;"__wt",'SegEnds_Xtal_BW#'!$A:$Z,24,FALSE)</f>
        <v>56</v>
      </c>
      <c r="Y160" s="1">
        <f>VLOOKUP($B160&amp;"__wt",'SegEnds_Xtal_BW#'!$A:$Z,25,FALSE)</f>
        <v>47</v>
      </c>
      <c r="Z160" s="1">
        <f>VLOOKUP($B160&amp;"__wt",'SegEnds_Xtal_BW#'!$A:$Z,26,FALSE)</f>
        <v>60</v>
      </c>
      <c r="AA160" s="27" t="str">
        <f>VLOOKUP(A160,Classification!A:B,2,FALSE)</f>
        <v>A</v>
      </c>
      <c r="AB160" s="1">
        <f>VLOOKUP(A160,'SegEnds_NonXtal_Prot#'!A:AL,10,FALSE)-VLOOKUP(A160,'SegEnds_NonXtal_Prot#'!A:AL,4,FALSE)</f>
        <v>28</v>
      </c>
      <c r="AC160" s="1">
        <f>VLOOKUP(A160,'SegEnds_NonXtal_Prot#'!A:AL,10,FALSE)-VLOOKUP(A160,'SegEnds_NonXtal_Prot#'!A:AL,7,FALSE)</f>
        <v>15</v>
      </c>
      <c r="AD160" s="1">
        <f>VLOOKUP(A160,'SegEnds_NonXtal_Prot#'!A:AL,13,FALSE)-VLOOKUP(A160,'SegEnds_NonXtal_Prot#'!A:AL,10,FALSE)</f>
        <v>20</v>
      </c>
      <c r="AE160" s="1">
        <f>VLOOKUP(A160,'SegEnds_NonXtal_Prot#'!A:AL,16,FALSE)-VLOOKUP(A160,'SegEnds_NonXtal_Prot#'!A:AL,10,FALSE)</f>
        <v>52</v>
      </c>
      <c r="AF160" s="1" t="e">
        <f>VLOOKUP(A160,'SegEnds_NonXtal_Prot#'!A:AL,22,FALSE)-VLOOKUP(A160,'SegEnds_NonXtal_Prot#'!A:AL,19,FALSE)</f>
        <v>#VALUE!</v>
      </c>
      <c r="AG160" s="1">
        <f>VLOOKUP(A160,'SegEnds_NonXtal_Prot#'!A:AL,28,FALSE)-VLOOKUP(A160,'SegEnds_NonXtal_Prot#'!A:AL,25,FALSE)</f>
        <v>25</v>
      </c>
      <c r="AH160" s="1">
        <f>VLOOKUP(A160,'SegEnds_NonXtal_Prot#'!A:AL,28,FALSE)-VLOOKUP(A160,'SegEnds_NonXtal_Prot#'!A:AL,22,FALSE)</f>
        <v>51</v>
      </c>
      <c r="AI160" s="1">
        <f>VLOOKUP(A160,'SegEnds_NonXtal_Prot#'!A:AL,31,FALSE)-VLOOKUP(A160,'SegEnds_NonXtal_Prot#'!A:AL,28,FALSE)</f>
        <v>75</v>
      </c>
      <c r="AJ160" s="1">
        <f>VLOOKUP(A160,'SegEnds_NonXtal_Prot#'!A:AL,34,FALSE)-VLOOKUP(A160,'SegEnds_NonXtal_Prot#'!A:AL,31,FALSE)</f>
        <v>39</v>
      </c>
      <c r="AK160" s="1">
        <f>VLOOKUP(A160,'SegEnds_NonXtal_Prot#'!A:AL,37,FALSE)-VLOOKUP(A160,'SegEnds_NonXtal_Prot#'!A:AL,34,FALSE)</f>
        <v>10</v>
      </c>
      <c r="AL160" s="1" t="str">
        <f>IF(ISERROR(MATCH(A160,'SegEnds_Xtal_Prot#'!B:B, 0)), "NoXtal", "Xtal")</f>
        <v>NoXtal</v>
      </c>
    </row>
    <row r="161" spans="1:38" x14ac:dyDescent="0.2">
      <c r="A161" s="1" t="s">
        <v>296</v>
      </c>
      <c r="B161" s="1" t="str">
        <f>VLOOKUP(A161,Xtal_Templ!A:B,2,FALSE)</f>
        <v>lpar1_human</v>
      </c>
      <c r="C161" s="5">
        <f>VLOOKUP($B161&amp;"__wt",'SegEnds_Xtal_BW#'!$A:$Z,3,FALSE)</f>
        <v>30</v>
      </c>
      <c r="D161" s="1">
        <f>VLOOKUP($B161&amp;"__wt",'SegEnds_Xtal_BW#'!$A:$Z,4,FALSE)</f>
        <v>60</v>
      </c>
      <c r="E161" s="1">
        <f>VLOOKUP($B161&amp;"__wt",'SegEnds_Xtal_BW#'!$A:$Z,5,FALSE)</f>
        <v>48</v>
      </c>
      <c r="F161" s="1">
        <f>VLOOKUP($B161&amp;"__wt",'SegEnds_Xtal_BW#'!$A:$Z,6,FALSE)</f>
        <v>51</v>
      </c>
      <c r="G161" s="1">
        <v>37</v>
      </c>
      <c r="H161" s="12">
        <v>67</v>
      </c>
      <c r="I161" s="1" t="s">
        <v>23</v>
      </c>
      <c r="J161" s="1" t="s">
        <v>23</v>
      </c>
      <c r="K161" s="12">
        <v>18</v>
      </c>
      <c r="L161" s="1">
        <f>VLOOKUP($B161&amp;"__wt",'SegEnds_Xtal_BW#'!$A:$Z,12,FALSE)</f>
        <v>56</v>
      </c>
      <c r="M161" s="1">
        <f>VLOOKUP($B161&amp;"__wt",'SegEnds_Xtal_BW#'!$A:$Z,13,FALSE)</f>
        <v>50</v>
      </c>
      <c r="N161" s="12">
        <v>57</v>
      </c>
      <c r="O161" s="87">
        <f>VLOOKUP($B161&amp;"__wt",'SegEnds_Xtal_BW#'!$A:$Z,15,FALSE)</f>
        <v>38</v>
      </c>
      <c r="P161" s="1">
        <f>VLOOKUP($B161&amp;"__wt",'SegEnds_Xtal_BW#'!$A:$Z,16,FALSE)</f>
        <v>63</v>
      </c>
      <c r="Q161" s="1" t="str">
        <f>VLOOKUP($B161&amp;"__wt",'SegEnds_Xtal_BW#'!$A:$Z,17,FALSE)</f>
        <v>-</v>
      </c>
      <c r="R161" s="1" t="str">
        <f>VLOOKUP($B161&amp;"__wt",'SegEnds_Xtal_BW#'!$A:$Z,18,FALSE)</f>
        <v>-</v>
      </c>
      <c r="S161" s="108">
        <v>33</v>
      </c>
      <c r="T161" s="1">
        <f t="array" ref="T161">INDEX(ICL3_classA!$G$2:$G$37,MATCH(MIN(ABS(AI161-ICL3_classA!$F$2:$F$37)),ABS(AI161-ICL3_classA!$F$2:$F$37),0))</f>
        <v>68</v>
      </c>
      <c r="U161" s="108">
        <v>27</v>
      </c>
      <c r="V161" s="1">
        <v>61</v>
      </c>
      <c r="W161" s="133">
        <f>VLOOKUP($B161&amp;"__wt",'SegEnds_Xtal_BW#'!$A:$Z,23,FALSE)</f>
        <v>30</v>
      </c>
      <c r="X161" s="1">
        <f>VLOOKUP($B161&amp;"__wt",'SegEnds_Xtal_BW#'!$A:$Z,24,FALSE)</f>
        <v>56</v>
      </c>
      <c r="Y161" s="1">
        <f>VLOOKUP($B161&amp;"__wt",'SegEnds_Xtal_BW#'!$A:$Z,25,FALSE)</f>
        <v>47</v>
      </c>
      <c r="Z161" s="1">
        <f>VLOOKUP($B161&amp;"__wt",'SegEnds_Xtal_BW#'!$A:$Z,26,FALSE)</f>
        <v>59</v>
      </c>
      <c r="AA161" s="27" t="str">
        <f>VLOOKUP(A161,Classification!A:B,2,FALSE)</f>
        <v>A</v>
      </c>
      <c r="AB161" s="1">
        <f>VLOOKUP(A161,'SegEnds_NonXtal_Prot#'!A:AL,10,FALSE)-VLOOKUP(A161,'SegEnds_NonXtal_Prot#'!A:AL,4,FALSE)</f>
        <v>28</v>
      </c>
      <c r="AC161" s="1">
        <f>VLOOKUP(A161,'SegEnds_NonXtal_Prot#'!A:AL,10,FALSE)-VLOOKUP(A161,'SegEnds_NonXtal_Prot#'!A:AL,7,FALSE)</f>
        <v>15</v>
      </c>
      <c r="AD161" s="1" t="e">
        <f>VLOOKUP(A161,'SegEnds_NonXtal_Prot#'!A:AL,13,FALSE)-VLOOKUP(A161,'SegEnds_NonXtal_Prot#'!A:AL,10,FALSE)</f>
        <v>#VALUE!</v>
      </c>
      <c r="AE161" s="1">
        <f>VLOOKUP(A161,'SegEnds_NonXtal_Prot#'!A:AL,16,FALSE)-VLOOKUP(A161,'SegEnds_NonXtal_Prot#'!A:AL,10,FALSE)</f>
        <v>58</v>
      </c>
      <c r="AF161" s="1">
        <f>VLOOKUP(A161,'SegEnds_NonXtal_Prot#'!A:AL,22,FALSE)-VLOOKUP(A161,'SegEnds_NonXtal_Prot#'!A:AL,19,FALSE)</f>
        <v>20</v>
      </c>
      <c r="AG161" s="1" t="e">
        <f>VLOOKUP(A161,'SegEnds_NonXtal_Prot#'!A:AL,28,FALSE)-VLOOKUP(A161,'SegEnds_NonXtal_Prot#'!A:AL,25,FALSE)</f>
        <v>#VALUE!</v>
      </c>
      <c r="AH161" s="1">
        <f>VLOOKUP(A161,'SegEnds_NonXtal_Prot#'!A:AL,28,FALSE)-VLOOKUP(A161,'SegEnds_NonXtal_Prot#'!A:AL,22,FALSE)</f>
        <v>40</v>
      </c>
      <c r="AI161" s="1">
        <f>VLOOKUP(A161,'SegEnds_NonXtal_Prot#'!A:AL,31,FALSE)-VLOOKUP(A161,'SegEnds_NonXtal_Prot#'!A:AL,28,FALSE)</f>
        <v>48</v>
      </c>
      <c r="AJ161" s="1">
        <f>VLOOKUP(A161,'SegEnds_NonXtal_Prot#'!A:AL,34,FALSE)-VLOOKUP(A161,'SegEnds_NonXtal_Prot#'!A:AL,31,FALSE)</f>
        <v>39</v>
      </c>
      <c r="AK161" s="1">
        <f>VLOOKUP(A161,'SegEnds_NonXtal_Prot#'!A:AL,37,FALSE)-VLOOKUP(A161,'SegEnds_NonXtal_Prot#'!A:AL,34,FALSE)</f>
        <v>10</v>
      </c>
      <c r="AL161" s="1" t="str">
        <f>IF(ISERROR(MATCH(A161,'SegEnds_Xtal_Prot#'!B:B, 0)), "NoXtal", "Xtal")</f>
        <v>NoXtal</v>
      </c>
    </row>
    <row r="162" spans="1:38" x14ac:dyDescent="0.2">
      <c r="A162" s="1" t="s">
        <v>297</v>
      </c>
      <c r="B162" s="1" t="str">
        <f>VLOOKUP(A162,Xtal_Templ!A:B,2,FALSE)</f>
        <v>s1pr1_human</v>
      </c>
      <c r="C162" s="5">
        <f>VLOOKUP($B162&amp;"__wt",'SegEnds_Xtal_BW#'!$A:$Z,3,FALSE)</f>
        <v>29</v>
      </c>
      <c r="D162" s="1">
        <f>VLOOKUP($B162&amp;"__wt",'SegEnds_Xtal_BW#'!$A:$Z,4,FALSE)</f>
        <v>60</v>
      </c>
      <c r="E162" s="1">
        <f>VLOOKUP($B162&amp;"__wt",'SegEnds_Xtal_BW#'!$A:$Z,5,FALSE)</f>
        <v>48</v>
      </c>
      <c r="F162" s="1">
        <f>VLOOKUP($B162&amp;"__wt",'SegEnds_Xtal_BW#'!$A:$Z,6,FALSE)</f>
        <v>51</v>
      </c>
      <c r="G162" s="1">
        <v>37</v>
      </c>
      <c r="H162" s="12">
        <v>67</v>
      </c>
      <c r="I162" s="1" t="s">
        <v>23</v>
      </c>
      <c r="J162" s="1" t="s">
        <v>23</v>
      </c>
      <c r="K162" s="12">
        <v>18</v>
      </c>
      <c r="L162" s="1">
        <f>VLOOKUP($B162&amp;"__wt",'SegEnds_Xtal_BW#'!$A:$Z,12,FALSE)</f>
        <v>56</v>
      </c>
      <c r="M162" s="1">
        <f>VLOOKUP($B162&amp;"__wt",'SegEnds_Xtal_BW#'!$A:$Z,13,FALSE)</f>
        <v>50</v>
      </c>
      <c r="N162" s="12">
        <v>57</v>
      </c>
      <c r="O162" s="87">
        <f>VLOOKUP($B162&amp;"__wt",'SegEnds_Xtal_BW#'!$A:$Z,15,FALSE)</f>
        <v>38</v>
      </c>
      <c r="P162" s="1">
        <f>VLOOKUP($B162&amp;"__wt",'SegEnds_Xtal_BW#'!$A:$Z,16,FALSE)</f>
        <v>63</v>
      </c>
      <c r="Q162" s="1" t="str">
        <f>VLOOKUP($B162&amp;"__wt",'SegEnds_Xtal_BW#'!$A:$Z,17,FALSE)</f>
        <v>-</v>
      </c>
      <c r="R162" s="1" t="str">
        <f>VLOOKUP($B162&amp;"__wt",'SegEnds_Xtal_BW#'!$A:$Z,18,FALSE)</f>
        <v>-</v>
      </c>
      <c r="S162" s="108">
        <v>33</v>
      </c>
      <c r="T162" s="1">
        <f t="array" ref="T162">INDEX(ICL3_classA!$G$2:$G$37,MATCH(MIN(ABS(AI162-ICL3_classA!$F$2:$F$37)),ABS(AI162-ICL3_classA!$F$2:$F$37),0))</f>
        <v>67</v>
      </c>
      <c r="U162" s="108">
        <v>27</v>
      </c>
      <c r="V162" s="1">
        <v>61</v>
      </c>
      <c r="W162" s="133">
        <f>VLOOKUP($B162&amp;"__wt",'SegEnds_Xtal_BW#'!$A:$Z,23,FALSE)</f>
        <v>30</v>
      </c>
      <c r="X162" s="1">
        <f>VLOOKUP($B162&amp;"__wt",'SegEnds_Xtal_BW#'!$A:$Z,24,FALSE)</f>
        <v>56</v>
      </c>
      <c r="Y162" s="1">
        <f>VLOOKUP($B162&amp;"__wt",'SegEnds_Xtal_BW#'!$A:$Z,25,FALSE)</f>
        <v>47</v>
      </c>
      <c r="Z162" s="1">
        <f>VLOOKUP($B162&amp;"__wt",'SegEnds_Xtal_BW#'!$A:$Z,26,FALSE)</f>
        <v>59</v>
      </c>
      <c r="AA162" s="27" t="str">
        <f>VLOOKUP(A162,Classification!A:B,2,FALSE)</f>
        <v>A</v>
      </c>
      <c r="AB162" s="1">
        <f>VLOOKUP(A162,'SegEnds_NonXtal_Prot#'!A:AL,10,FALSE)-VLOOKUP(A162,'SegEnds_NonXtal_Prot#'!A:AL,4,FALSE)</f>
        <v>28</v>
      </c>
      <c r="AC162" s="1">
        <f>VLOOKUP(A162,'SegEnds_NonXtal_Prot#'!A:AL,10,FALSE)-VLOOKUP(A162,'SegEnds_NonXtal_Prot#'!A:AL,7,FALSE)</f>
        <v>15</v>
      </c>
      <c r="AD162" s="1" t="e">
        <f>VLOOKUP(A162,'SegEnds_NonXtal_Prot#'!A:AL,13,FALSE)-VLOOKUP(A162,'SegEnds_NonXtal_Prot#'!A:AL,10,FALSE)</f>
        <v>#VALUE!</v>
      </c>
      <c r="AE162" s="1">
        <f>VLOOKUP(A162,'SegEnds_NonXtal_Prot#'!A:AL,16,FALSE)-VLOOKUP(A162,'SegEnds_NonXtal_Prot#'!A:AL,10,FALSE)</f>
        <v>57</v>
      </c>
      <c r="AF162" s="1">
        <f>VLOOKUP(A162,'SegEnds_NonXtal_Prot#'!A:AL,22,FALSE)-VLOOKUP(A162,'SegEnds_NonXtal_Prot#'!A:AL,19,FALSE)</f>
        <v>20</v>
      </c>
      <c r="AG162" s="1" t="e">
        <f>VLOOKUP(A162,'SegEnds_NonXtal_Prot#'!A:AL,28,FALSE)-VLOOKUP(A162,'SegEnds_NonXtal_Prot#'!A:AL,25,FALSE)</f>
        <v>#VALUE!</v>
      </c>
      <c r="AH162" s="1">
        <f>VLOOKUP(A162,'SegEnds_NonXtal_Prot#'!A:AL,28,FALSE)-VLOOKUP(A162,'SegEnds_NonXtal_Prot#'!A:AL,22,FALSE)</f>
        <v>40</v>
      </c>
      <c r="AI162" s="1">
        <f>VLOOKUP(A162,'SegEnds_NonXtal_Prot#'!A:AL,31,FALSE)-VLOOKUP(A162,'SegEnds_NonXtal_Prot#'!A:AL,28,FALSE)</f>
        <v>46</v>
      </c>
      <c r="AJ162" s="1">
        <f>VLOOKUP(A162,'SegEnds_NonXtal_Prot#'!A:AL,34,FALSE)-VLOOKUP(A162,'SegEnds_NonXtal_Prot#'!A:AL,31,FALSE)</f>
        <v>39</v>
      </c>
      <c r="AK162" s="1">
        <f>VLOOKUP(A162,'SegEnds_NonXtal_Prot#'!A:AL,37,FALSE)-VLOOKUP(A162,'SegEnds_NonXtal_Prot#'!A:AL,34,FALSE)</f>
        <v>10</v>
      </c>
      <c r="AL162" s="1" t="str">
        <f>IF(ISERROR(MATCH(A162,'SegEnds_Xtal_Prot#'!B:B, 0)), "NoXtal", "Xtal")</f>
        <v>NoXtal</v>
      </c>
    </row>
    <row r="163" spans="1:38" x14ac:dyDescent="0.2">
      <c r="A163" s="1" t="s">
        <v>298</v>
      </c>
      <c r="B163" s="1" t="str">
        <f>VLOOKUP(A163,Xtal_Templ!A:B,2,FALSE)</f>
        <v>lpar1_human</v>
      </c>
      <c r="C163" s="5">
        <f>VLOOKUP($B163&amp;"__wt",'SegEnds_Xtal_BW#'!$A:$Z,3,FALSE)</f>
        <v>30</v>
      </c>
      <c r="D163" s="1">
        <f>VLOOKUP($B163&amp;"__wt",'SegEnds_Xtal_BW#'!$A:$Z,4,FALSE)</f>
        <v>60</v>
      </c>
      <c r="E163" s="1">
        <f>VLOOKUP($B163&amp;"__wt",'SegEnds_Xtal_BW#'!$A:$Z,5,FALSE)</f>
        <v>48</v>
      </c>
      <c r="F163" s="1">
        <f>VLOOKUP($B163&amp;"__wt",'SegEnds_Xtal_BW#'!$A:$Z,6,FALSE)</f>
        <v>51</v>
      </c>
      <c r="G163" s="1">
        <v>37</v>
      </c>
      <c r="H163" s="12">
        <f>VLOOKUP($B163&amp;"__wt",'SegEnds_Xtal_BW#'!$A:$Z,8,FALSE)</f>
        <v>63</v>
      </c>
      <c r="I163" s="1">
        <v>49</v>
      </c>
      <c r="J163" s="1">
        <f>VLOOKUP($B163&amp;"__wt",'SegEnds_Xtal_BW#'!$A:$Z,10,FALSE)</f>
        <v>53</v>
      </c>
      <c r="K163" s="12">
        <v>18</v>
      </c>
      <c r="L163" s="1">
        <f>VLOOKUP($B163&amp;"__wt",'SegEnds_Xtal_BW#'!$A:$Z,12,FALSE)</f>
        <v>56</v>
      </c>
      <c r="M163" s="1">
        <f>VLOOKUP($B163&amp;"__wt",'SegEnds_Xtal_BW#'!$A:$Z,13,FALSE)</f>
        <v>50</v>
      </c>
      <c r="N163" s="12">
        <v>57</v>
      </c>
      <c r="O163" s="87">
        <f>VLOOKUP($B163&amp;"__wt",'SegEnds_Xtal_BW#'!$A:$Z,15,FALSE)</f>
        <v>38</v>
      </c>
      <c r="P163" s="1">
        <f>VLOOKUP($B163&amp;"__wt",'SegEnds_Xtal_BW#'!$A:$Z,16,FALSE)</f>
        <v>63</v>
      </c>
      <c r="Q163" s="1" t="str">
        <f>VLOOKUP($B163&amp;"__wt",'SegEnds_Xtal_BW#'!$A:$Z,17,FALSE)</f>
        <v>-</v>
      </c>
      <c r="R163" s="1" t="str">
        <f>VLOOKUP($B163&amp;"__wt",'SegEnds_Xtal_BW#'!$A:$Z,18,FALSE)</f>
        <v>-</v>
      </c>
      <c r="S163" s="108">
        <v>33</v>
      </c>
      <c r="T163" s="1">
        <f t="array" ref="T163">INDEX(ICL3_classA!$G$2:$G$37,MATCH(MIN(ABS(AI163-ICL3_classA!$F$2:$F$37)),ABS(AI163-ICL3_classA!$F$2:$F$37),0))</f>
        <v>67</v>
      </c>
      <c r="U163" s="108">
        <v>27</v>
      </c>
      <c r="V163" s="1">
        <v>61</v>
      </c>
      <c r="W163" s="133">
        <f>VLOOKUP($B163&amp;"__wt",'SegEnds_Xtal_BW#'!$A:$Z,23,FALSE)</f>
        <v>30</v>
      </c>
      <c r="X163" s="1">
        <f>VLOOKUP($B163&amp;"__wt",'SegEnds_Xtal_BW#'!$A:$Z,24,FALSE)</f>
        <v>56</v>
      </c>
      <c r="Y163" s="1">
        <f>VLOOKUP($B163&amp;"__wt",'SegEnds_Xtal_BW#'!$A:$Z,25,FALSE)</f>
        <v>47</v>
      </c>
      <c r="Z163" s="1">
        <f>VLOOKUP($B163&amp;"__wt",'SegEnds_Xtal_BW#'!$A:$Z,26,FALSE)</f>
        <v>59</v>
      </c>
      <c r="AA163" s="27" t="str">
        <f>VLOOKUP(A163,Classification!A:B,2,FALSE)</f>
        <v>A</v>
      </c>
      <c r="AB163" s="1">
        <f>VLOOKUP(A163,'SegEnds_NonXtal_Prot#'!A:AL,10,FALSE)-VLOOKUP(A163,'SegEnds_NonXtal_Prot#'!A:AL,4,FALSE)</f>
        <v>28</v>
      </c>
      <c r="AC163" s="1">
        <f>VLOOKUP(A163,'SegEnds_NonXtal_Prot#'!A:AL,10,FALSE)-VLOOKUP(A163,'SegEnds_NonXtal_Prot#'!A:AL,7,FALSE)</f>
        <v>15</v>
      </c>
      <c r="AD163" s="1" t="e">
        <f>VLOOKUP(A163,'SegEnds_NonXtal_Prot#'!A:AL,13,FALSE)-VLOOKUP(A163,'SegEnds_NonXtal_Prot#'!A:AL,10,FALSE)</f>
        <v>#VALUE!</v>
      </c>
      <c r="AE163" s="1">
        <f>VLOOKUP(A163,'SegEnds_NonXtal_Prot#'!A:AL,16,FALSE)-VLOOKUP(A163,'SegEnds_NonXtal_Prot#'!A:AL,10,FALSE)</f>
        <v>58</v>
      </c>
      <c r="AF163" s="1">
        <f>VLOOKUP(A163,'SegEnds_NonXtal_Prot#'!A:AL,22,FALSE)-VLOOKUP(A163,'SegEnds_NonXtal_Prot#'!A:AL,19,FALSE)</f>
        <v>20</v>
      </c>
      <c r="AG163" s="1" t="e">
        <f>VLOOKUP(A163,'SegEnds_NonXtal_Prot#'!A:AL,28,FALSE)-VLOOKUP(A163,'SegEnds_NonXtal_Prot#'!A:AL,25,FALSE)</f>
        <v>#VALUE!</v>
      </c>
      <c r="AH163" s="1">
        <f>VLOOKUP(A163,'SegEnds_NonXtal_Prot#'!A:AL,28,FALSE)-VLOOKUP(A163,'SegEnds_NonXtal_Prot#'!A:AL,22,FALSE)</f>
        <v>40</v>
      </c>
      <c r="AI163" s="1">
        <f>VLOOKUP(A163,'SegEnds_NonXtal_Prot#'!A:AL,31,FALSE)-VLOOKUP(A163,'SegEnds_NonXtal_Prot#'!A:AL,28,FALSE)</f>
        <v>46</v>
      </c>
      <c r="AJ163" s="1">
        <f>VLOOKUP(A163,'SegEnds_NonXtal_Prot#'!A:AL,34,FALSE)-VLOOKUP(A163,'SegEnds_NonXtal_Prot#'!A:AL,31,FALSE)</f>
        <v>39</v>
      </c>
      <c r="AK163" s="1">
        <f>VLOOKUP(A163,'SegEnds_NonXtal_Prot#'!A:AL,37,FALSE)-VLOOKUP(A163,'SegEnds_NonXtal_Prot#'!A:AL,34,FALSE)</f>
        <v>10</v>
      </c>
      <c r="AL163" s="1" t="str">
        <f>IF(ISERROR(MATCH(A163,'SegEnds_Xtal_Prot#'!B:B, 0)), "NoXtal", "Xtal")</f>
        <v>NoXtal</v>
      </c>
    </row>
    <row r="164" spans="1:38" x14ac:dyDescent="0.2">
      <c r="A164" s="1" t="s">
        <v>309</v>
      </c>
      <c r="B164" s="1" t="str">
        <f>VLOOKUP(A164,Xtal_Templ!A:B,2,FALSE)</f>
        <v>s1pr1_human</v>
      </c>
      <c r="C164" s="5">
        <f>VLOOKUP($B164&amp;"__wt",'SegEnds_Xtal_BW#'!$A:$Z,3,FALSE)</f>
        <v>29</v>
      </c>
      <c r="D164" s="1">
        <f>VLOOKUP($B164&amp;"__wt",'SegEnds_Xtal_BW#'!$A:$Z,4,FALSE)</f>
        <v>60</v>
      </c>
      <c r="E164" s="1">
        <f>VLOOKUP($B164&amp;"__wt",'SegEnds_Xtal_BW#'!$A:$Z,5,FALSE)</f>
        <v>48</v>
      </c>
      <c r="F164" s="1">
        <f>VLOOKUP($B164&amp;"__wt",'SegEnds_Xtal_BW#'!$A:$Z,6,FALSE)</f>
        <v>51</v>
      </c>
      <c r="G164" s="1">
        <v>37</v>
      </c>
      <c r="H164" s="12">
        <v>67</v>
      </c>
      <c r="I164" s="1" t="s">
        <v>23</v>
      </c>
      <c r="J164" s="1" t="s">
        <v>23</v>
      </c>
      <c r="K164" s="12">
        <v>18</v>
      </c>
      <c r="L164" s="1">
        <f>VLOOKUP($B164&amp;"__wt",'SegEnds_Xtal_BW#'!$A:$Z,12,FALSE)</f>
        <v>56</v>
      </c>
      <c r="M164" s="1">
        <f>VLOOKUP($B164&amp;"__wt",'SegEnds_Xtal_BW#'!$A:$Z,13,FALSE)</f>
        <v>50</v>
      </c>
      <c r="N164" s="12">
        <v>57</v>
      </c>
      <c r="O164" s="87">
        <f>VLOOKUP($B164&amp;"__wt",'SegEnds_Xtal_BW#'!$A:$Z,15,FALSE)</f>
        <v>38</v>
      </c>
      <c r="P164" s="1">
        <f>VLOOKUP($B164&amp;"__wt",'SegEnds_Xtal_BW#'!$A:$Z,16,FALSE)</f>
        <v>63</v>
      </c>
      <c r="Q164" s="1" t="str">
        <f>VLOOKUP($B164&amp;"__wt",'SegEnds_Xtal_BW#'!$A:$Z,17,FALSE)</f>
        <v>-</v>
      </c>
      <c r="R164" s="1" t="str">
        <f>VLOOKUP($B164&amp;"__wt",'SegEnds_Xtal_BW#'!$A:$Z,18,FALSE)</f>
        <v>-</v>
      </c>
      <c r="S164" s="108">
        <v>33</v>
      </c>
      <c r="T164" s="1">
        <f t="array" ref="T164">INDEX(ICL3_classA!$G$2:$G$37,MATCH(MIN(ABS(AI164-ICL3_classA!$F$2:$F$37)),ABS(AI164-ICL3_classA!$F$2:$F$37),0))</f>
        <v>67</v>
      </c>
      <c r="U164" s="108">
        <v>27</v>
      </c>
      <c r="V164" s="1">
        <v>61</v>
      </c>
      <c r="W164" s="133">
        <f>VLOOKUP($B164&amp;"__wt",'SegEnds_Xtal_BW#'!$A:$Z,23,FALSE)</f>
        <v>30</v>
      </c>
      <c r="X164" s="1">
        <f>VLOOKUP($B164&amp;"__wt",'SegEnds_Xtal_BW#'!$A:$Z,24,FALSE)</f>
        <v>56</v>
      </c>
      <c r="Y164" s="1">
        <f>VLOOKUP($B164&amp;"__wt",'SegEnds_Xtal_BW#'!$A:$Z,25,FALSE)</f>
        <v>47</v>
      </c>
      <c r="Z164" s="1">
        <f>VLOOKUP($B164&amp;"__wt",'SegEnds_Xtal_BW#'!$A:$Z,26,FALSE)</f>
        <v>59</v>
      </c>
      <c r="AA164" s="27" t="str">
        <f>VLOOKUP(A164,Classification!A:B,2,FALSE)</f>
        <v>A</v>
      </c>
      <c r="AB164" s="1">
        <f>VLOOKUP(A164,'SegEnds_NonXtal_Prot#'!A:AL,10,FALSE)-VLOOKUP(A164,'SegEnds_NonXtal_Prot#'!A:AL,4,FALSE)</f>
        <v>28</v>
      </c>
      <c r="AC164" s="1">
        <f>VLOOKUP(A164,'SegEnds_NonXtal_Prot#'!A:AL,10,FALSE)-VLOOKUP(A164,'SegEnds_NonXtal_Prot#'!A:AL,7,FALSE)</f>
        <v>15</v>
      </c>
      <c r="AD164" s="1" t="e">
        <f>VLOOKUP(A164,'SegEnds_NonXtal_Prot#'!A:AL,13,FALSE)-VLOOKUP(A164,'SegEnds_NonXtal_Prot#'!A:AL,10,FALSE)</f>
        <v>#VALUE!</v>
      </c>
      <c r="AE164" s="1">
        <f>VLOOKUP(A164,'SegEnds_NonXtal_Prot#'!A:AL,16,FALSE)-VLOOKUP(A164,'SegEnds_NonXtal_Prot#'!A:AL,10,FALSE)</f>
        <v>58</v>
      </c>
      <c r="AF164" s="1">
        <f>VLOOKUP(A164,'SegEnds_NonXtal_Prot#'!A:AL,22,FALSE)-VLOOKUP(A164,'SegEnds_NonXtal_Prot#'!A:AL,19,FALSE)</f>
        <v>20</v>
      </c>
      <c r="AG164" s="1" t="e">
        <f>VLOOKUP(A164,'SegEnds_NonXtal_Prot#'!A:AL,28,FALSE)-VLOOKUP(A164,'SegEnds_NonXtal_Prot#'!A:AL,25,FALSE)</f>
        <v>#VALUE!</v>
      </c>
      <c r="AH164" s="1">
        <f>VLOOKUP(A164,'SegEnds_NonXtal_Prot#'!A:AL,28,FALSE)-VLOOKUP(A164,'SegEnds_NonXtal_Prot#'!A:AL,22,FALSE)</f>
        <v>40</v>
      </c>
      <c r="AI164" s="1">
        <f>VLOOKUP(A164,'SegEnds_NonXtal_Prot#'!A:AL,31,FALSE)-VLOOKUP(A164,'SegEnds_NonXtal_Prot#'!A:AL,28,FALSE)</f>
        <v>47</v>
      </c>
      <c r="AJ164" s="1">
        <f>VLOOKUP(A164,'SegEnds_NonXtal_Prot#'!A:AL,34,FALSE)-VLOOKUP(A164,'SegEnds_NonXtal_Prot#'!A:AL,31,FALSE)</f>
        <v>39</v>
      </c>
      <c r="AK164" s="1">
        <f>VLOOKUP(A164,'SegEnds_NonXtal_Prot#'!A:AL,37,FALSE)-VLOOKUP(A164,'SegEnds_NonXtal_Prot#'!A:AL,34,FALSE)</f>
        <v>10</v>
      </c>
      <c r="AL164" s="1" t="str">
        <f>IF(ISERROR(MATCH(A164,'SegEnds_Xtal_Prot#'!B:B, 0)), "NoXtal", "Xtal")</f>
        <v>NoXtal</v>
      </c>
    </row>
    <row r="165" spans="1:38" x14ac:dyDescent="0.2">
      <c r="A165" s="1" t="s">
        <v>310</v>
      </c>
      <c r="B165" s="1" t="str">
        <f>VLOOKUP(A165,Xtal_Templ!A:B,2,FALSE)</f>
        <v>ntr1_rat</v>
      </c>
      <c r="C165" s="5">
        <f>VLOOKUP($B165&amp;"__wt",'SegEnds_Xtal_BW#'!$A:$Z,3,FALSE)</f>
        <v>29</v>
      </c>
      <c r="D165" s="1">
        <f>VLOOKUP($B165&amp;"__wt",'SegEnds_Xtal_BW#'!$A:$Z,4,FALSE)</f>
        <v>60</v>
      </c>
      <c r="E165" s="1">
        <f>VLOOKUP($B165&amp;"__wt",'SegEnds_Xtal_BW#'!$A:$Z,5,FALSE)</f>
        <v>48</v>
      </c>
      <c r="F165" s="1">
        <f>VLOOKUP($B165&amp;"__wt",'SegEnds_Xtal_BW#'!$A:$Z,6,FALSE)</f>
        <v>51</v>
      </c>
      <c r="G165" s="1">
        <v>37</v>
      </c>
      <c r="H165" s="12">
        <v>67</v>
      </c>
      <c r="I165" s="1">
        <f>VLOOKUP($B165&amp;"__wt",'SegEnds_Xtal_BW#'!$A:$Z,9,FALSE)</f>
        <v>49</v>
      </c>
      <c r="J165" s="1">
        <f>VLOOKUP($B165&amp;"__wt",'SegEnds_Xtal_BW#'!$A:$Z,10,FALSE)</f>
        <v>52</v>
      </c>
      <c r="K165" s="12">
        <v>18</v>
      </c>
      <c r="L165" s="1">
        <f>VLOOKUP($B165&amp;"__wt",'SegEnds_Xtal_BW#'!$A:$Z,12,FALSE)</f>
        <v>56</v>
      </c>
      <c r="M165" s="1">
        <f>VLOOKUP($B165&amp;"__wt",'SegEnds_Xtal_BW#'!$A:$Z,13,FALSE)</f>
        <v>50</v>
      </c>
      <c r="N165" s="12">
        <v>57</v>
      </c>
      <c r="O165" s="87">
        <f>VLOOKUP($B165&amp;"__wt",'SegEnds_Xtal_BW#'!$A:$Z,15,FALSE)</f>
        <v>38</v>
      </c>
      <c r="P165" s="1">
        <f>VLOOKUP($B165&amp;"__wt",'SegEnds_Xtal_BW#'!$A:$Z,16,FALSE)</f>
        <v>64</v>
      </c>
      <c r="Q165" s="1">
        <f>VLOOKUP($B165&amp;"__wt",'SegEnds_Xtal_BW#'!$A:$Z,17,FALSE)</f>
        <v>50</v>
      </c>
      <c r="R165" s="1">
        <f>VLOOKUP($B165&amp;"__wt",'SegEnds_Xtal_BW#'!$A:$Z,18,FALSE)</f>
        <v>52</v>
      </c>
      <c r="S165" s="1">
        <f>VLOOKUP($B165&amp;"__wt",'SegEnds_Xtal_BW#'!$A:$Z,19,FALSE)</f>
        <v>32</v>
      </c>
      <c r="T165" s="1">
        <f t="array" ref="T165">INDEX(ICL3_classA!$G$2:$G$37,MATCH(MIN(ABS(AI165-ICL3_classA!$F$2:$F$37)),ABS(AI165-ICL3_classA!$F$2:$F$37),0))</f>
        <v>72</v>
      </c>
      <c r="U165" s="1">
        <f t="array" ref="U165">INDEX(ICL3_classA!$H$2:$H$37,MATCH(MIN(ABS(AI165-ICL3_classA!$F$2:$F$37)),ABS(AI165-ICL3_classA!$F$2:$F$37),0))</f>
        <v>24</v>
      </c>
      <c r="V165" s="1">
        <v>61</v>
      </c>
      <c r="W165" s="133">
        <f>VLOOKUP($B165&amp;"__wt",'SegEnds_Xtal_BW#'!$A:$Z,23,FALSE)</f>
        <v>24</v>
      </c>
      <c r="X165" s="1">
        <f>VLOOKUP($B165&amp;"__wt",'SegEnds_Xtal_BW#'!$A:$Z,24,FALSE)</f>
        <v>56</v>
      </c>
      <c r="Y165" s="1">
        <f>VLOOKUP($B165&amp;"__wt",'SegEnds_Xtal_BW#'!$A:$Z,25,FALSE)</f>
        <v>47</v>
      </c>
      <c r="Z165" s="1">
        <f>VLOOKUP($B165&amp;"__wt",'SegEnds_Xtal_BW#'!$A:$Z,26,FALSE)</f>
        <v>58</v>
      </c>
      <c r="AA165" s="27" t="str">
        <f>VLOOKUP(A165,Classification!A:B,2,FALSE)</f>
        <v>A</v>
      </c>
      <c r="AB165" s="1">
        <f>VLOOKUP(A165,'SegEnds_NonXtal_Prot#'!A:AL,10,FALSE)-VLOOKUP(A165,'SegEnds_NonXtal_Prot#'!A:AL,4,FALSE)</f>
        <v>28</v>
      </c>
      <c r="AC165" s="1">
        <f>VLOOKUP(A165,'SegEnds_NonXtal_Prot#'!A:AL,10,FALSE)-VLOOKUP(A165,'SegEnds_NonXtal_Prot#'!A:AL,7,FALSE)</f>
        <v>15</v>
      </c>
      <c r="AD165" s="1">
        <f>VLOOKUP(A165,'SegEnds_NonXtal_Prot#'!A:AL,13,FALSE)-VLOOKUP(A165,'SegEnds_NonXtal_Prot#'!A:AL,10,FALSE)</f>
        <v>20</v>
      </c>
      <c r="AE165" s="1">
        <f>VLOOKUP(A165,'SegEnds_NonXtal_Prot#'!A:AL,16,FALSE)-VLOOKUP(A165,'SegEnds_NonXtal_Prot#'!A:AL,10,FALSE)</f>
        <v>52</v>
      </c>
      <c r="AF165" s="1">
        <f>VLOOKUP(A165,'SegEnds_NonXtal_Prot#'!A:AL,22,FALSE)-VLOOKUP(A165,'SegEnds_NonXtal_Prot#'!A:AL,19,FALSE)</f>
        <v>20</v>
      </c>
      <c r="AG165" s="1">
        <f>VLOOKUP(A165,'SegEnds_NonXtal_Prot#'!A:AL,28,FALSE)-VLOOKUP(A165,'SegEnds_NonXtal_Prot#'!A:AL,25,FALSE)</f>
        <v>24</v>
      </c>
      <c r="AH165" s="1">
        <f>VLOOKUP(A165,'SegEnds_NonXtal_Prot#'!A:AL,28,FALSE)-VLOOKUP(A165,'SegEnds_NonXtal_Prot#'!A:AL,22,FALSE)</f>
        <v>96</v>
      </c>
      <c r="AI165" s="1">
        <f>VLOOKUP(A165,'SegEnds_NonXtal_Prot#'!A:AL,31,FALSE)-VLOOKUP(A165,'SegEnds_NonXtal_Prot#'!A:AL,28,FALSE)</f>
        <v>54</v>
      </c>
      <c r="AJ165" s="1">
        <f>VLOOKUP(A165,'SegEnds_NonXtal_Prot#'!A:AL,34,FALSE)-VLOOKUP(A165,'SegEnds_NonXtal_Prot#'!A:AL,31,FALSE)</f>
        <v>39</v>
      </c>
      <c r="AK165" s="1">
        <f>VLOOKUP(A165,'SegEnds_NonXtal_Prot#'!A:AL,37,FALSE)-VLOOKUP(A165,'SegEnds_NonXtal_Prot#'!A:AL,34,FALSE)</f>
        <v>10</v>
      </c>
      <c r="AL165" s="1" t="str">
        <f>IF(ISERROR(MATCH(A165,'SegEnds_Xtal_Prot#'!B:B, 0)), "NoXtal", "Xtal")</f>
        <v>NoXtal</v>
      </c>
    </row>
    <row r="166" spans="1:38" x14ac:dyDescent="0.2">
      <c r="A166" s="1" t="s">
        <v>311</v>
      </c>
      <c r="B166" s="1" t="str">
        <f>VLOOKUP(A166,Xtal_Templ!A:B,2,FALSE)</f>
        <v>npy1r_human</v>
      </c>
      <c r="C166" s="5">
        <f>VLOOKUP($B166&amp;"__wt",'SegEnds_Xtal_BW#'!$A:$Z,3,FALSE)</f>
        <v>28</v>
      </c>
      <c r="D166" s="1">
        <f>VLOOKUP($B166&amp;"__wt",'SegEnds_Xtal_BW#'!$A:$Z,4,FALSE)</f>
        <v>60</v>
      </c>
      <c r="E166" s="1">
        <f>VLOOKUP($B166&amp;"__wt",'SegEnds_Xtal_BW#'!$A:$Z,5,FALSE)</f>
        <v>48</v>
      </c>
      <c r="F166" s="1">
        <f>VLOOKUP($B166&amp;"__wt",'SegEnds_Xtal_BW#'!$A:$Z,6,FALSE)</f>
        <v>51</v>
      </c>
      <c r="G166" s="1">
        <v>37</v>
      </c>
      <c r="H166" s="12">
        <f>VLOOKUP($B166&amp;"__wt",'SegEnds_Xtal_BW#'!$A:$Z,8,FALSE)</f>
        <v>68</v>
      </c>
      <c r="I166" s="1">
        <f>VLOOKUP($B166&amp;"__wt",'SegEnds_Xtal_BW#'!$A:$Z,9,FALSE)</f>
        <v>49</v>
      </c>
      <c r="J166" s="1">
        <f>VLOOKUP($B166&amp;"__wt",'SegEnds_Xtal_BW#'!$A:$Z,10,FALSE)</f>
        <v>52</v>
      </c>
      <c r="K166" s="12">
        <v>18</v>
      </c>
      <c r="L166" s="1">
        <f>VLOOKUP($B166&amp;"__wt",'SegEnds_Xtal_BW#'!$A:$Z,12,FALSE)</f>
        <v>56</v>
      </c>
      <c r="M166" s="108">
        <v>50</v>
      </c>
      <c r="N166" s="12">
        <v>57</v>
      </c>
      <c r="O166" s="87">
        <f>VLOOKUP($B166&amp;"__wt",'SegEnds_Xtal_BW#'!$A:$Z,15,FALSE)</f>
        <v>38</v>
      </c>
      <c r="P166" s="1">
        <f>VLOOKUP($B166&amp;"__wt",'SegEnds_Xtal_BW#'!$A:$Z,16,FALSE)</f>
        <v>64</v>
      </c>
      <c r="Q166" s="1">
        <f>VLOOKUP($B166&amp;"__wt",'SegEnds_Xtal_BW#'!$A:$Z,17,FALSE)</f>
        <v>50</v>
      </c>
      <c r="R166" s="1">
        <f>VLOOKUP($B166&amp;"__wt",'SegEnds_Xtal_BW#'!$A:$Z,18,FALSE)</f>
        <v>52</v>
      </c>
      <c r="S166" s="1">
        <v>35</v>
      </c>
      <c r="T166" s="1">
        <f t="array" ref="T166">INDEX(ICL3_classA!$G$2:$G$37,MATCH(MIN(ABS(AI166-ICL3_classA!$F$2:$F$37)),ABS(AI166-ICL3_classA!$F$2:$F$37),0))</f>
        <v>72</v>
      </c>
      <c r="U166" s="1">
        <f t="array" ref="U166">INDEX(ICL3_classA!$H$2:$H$37,MATCH(MIN(ABS(AI166-ICL3_classA!$F$2:$F$37)),ABS(AI166-ICL3_classA!$F$2:$F$37),0))</f>
        <v>24</v>
      </c>
      <c r="V166" s="1">
        <v>61</v>
      </c>
      <c r="W166" s="133">
        <f>VLOOKUP($B166&amp;"__wt",'SegEnds_Xtal_BW#'!$A:$Z,23,FALSE)</f>
        <v>28</v>
      </c>
      <c r="X166" s="1">
        <f>VLOOKUP($B166&amp;"__wt",'SegEnds_Xtal_BW#'!$A:$Z,24,FALSE)</f>
        <v>56</v>
      </c>
      <c r="Y166" s="1">
        <f>VLOOKUP($B166&amp;"__wt",'SegEnds_Xtal_BW#'!$A:$Z,25,FALSE)</f>
        <v>47</v>
      </c>
      <c r="Z166" s="1">
        <f>VLOOKUP($B166&amp;"__wt",'SegEnds_Xtal_BW#'!$A:$Z,26,FALSE)</f>
        <v>58</v>
      </c>
      <c r="AA166" s="27" t="str">
        <f>VLOOKUP(A166,Classification!A:B,2,FALSE)</f>
        <v>A</v>
      </c>
      <c r="AB166" s="1">
        <f>VLOOKUP(A166,'SegEnds_NonXtal_Prot#'!A:AL,10,FALSE)-VLOOKUP(A166,'SegEnds_NonXtal_Prot#'!A:AL,4,FALSE)</f>
        <v>28</v>
      </c>
      <c r="AC166" s="1">
        <f>VLOOKUP(A166,'SegEnds_NonXtal_Prot#'!A:AL,10,FALSE)-VLOOKUP(A166,'SegEnds_NonXtal_Prot#'!A:AL,7,FALSE)</f>
        <v>15</v>
      </c>
      <c r="AD166" s="1">
        <f>VLOOKUP(A166,'SegEnds_NonXtal_Prot#'!A:AL,13,FALSE)-VLOOKUP(A166,'SegEnds_NonXtal_Prot#'!A:AL,10,FALSE)</f>
        <v>20</v>
      </c>
      <c r="AE166" s="1">
        <f>VLOOKUP(A166,'SegEnds_NonXtal_Prot#'!A:AL,16,FALSE)-VLOOKUP(A166,'SegEnds_NonXtal_Prot#'!A:AL,10,FALSE)</f>
        <v>52</v>
      </c>
      <c r="AF166" s="1">
        <f>VLOOKUP(A166,'SegEnds_NonXtal_Prot#'!A:AL,22,FALSE)-VLOOKUP(A166,'SegEnds_NonXtal_Prot#'!A:AL,19,FALSE)</f>
        <v>20</v>
      </c>
      <c r="AG166" s="1">
        <f>VLOOKUP(A166,'SegEnds_NonXtal_Prot#'!A:AL,28,FALSE)-VLOOKUP(A166,'SegEnds_NonXtal_Prot#'!A:AL,25,FALSE)</f>
        <v>22</v>
      </c>
      <c r="AH166" s="1">
        <f>VLOOKUP(A166,'SegEnds_NonXtal_Prot#'!A:AL,28,FALSE)-VLOOKUP(A166,'SegEnds_NonXtal_Prot#'!A:AL,22,FALSE)</f>
        <v>47</v>
      </c>
      <c r="AI166" s="1">
        <f>VLOOKUP(A166,'SegEnds_NonXtal_Prot#'!A:AL,31,FALSE)-VLOOKUP(A166,'SegEnds_NonXtal_Prot#'!A:AL,28,FALSE)</f>
        <v>54</v>
      </c>
      <c r="AJ166" s="1">
        <f>VLOOKUP(A166,'SegEnds_NonXtal_Prot#'!A:AL,34,FALSE)-VLOOKUP(A166,'SegEnds_NonXtal_Prot#'!A:AL,31,FALSE)</f>
        <v>39</v>
      </c>
      <c r="AK166" s="1">
        <f>VLOOKUP(A166,'SegEnds_NonXtal_Prot#'!A:AL,37,FALSE)-VLOOKUP(A166,'SegEnds_NonXtal_Prot#'!A:AL,34,FALSE)</f>
        <v>10</v>
      </c>
      <c r="AL166" s="1" t="str">
        <f>IF(ISERROR(MATCH(A166,'SegEnds_Xtal_Prot#'!B:B, 0)), "NoXtal", "Xtal")</f>
        <v>NoXtal</v>
      </c>
    </row>
    <row r="167" spans="1:38" x14ac:dyDescent="0.2">
      <c r="A167" s="1" t="s">
        <v>312</v>
      </c>
      <c r="B167" s="1" t="str">
        <f>VLOOKUP(A167,Xtal_Templ!A:B,2,FALSE)</f>
        <v>ox2r_human</v>
      </c>
      <c r="C167" s="5">
        <f>VLOOKUP($B167&amp;"__wt",'SegEnds_Xtal_BW#'!$A:$Z,3,FALSE)</f>
        <v>31</v>
      </c>
      <c r="D167" s="1">
        <f>VLOOKUP($B167&amp;"__wt",'SegEnds_Xtal_BW#'!$A:$Z,4,FALSE)</f>
        <v>60</v>
      </c>
      <c r="E167" s="1">
        <f>VLOOKUP($B167&amp;"__wt",'SegEnds_Xtal_BW#'!$A:$Z,5,FALSE)</f>
        <v>48</v>
      </c>
      <c r="F167" s="1">
        <f>VLOOKUP($B167&amp;"__wt",'SegEnds_Xtal_BW#'!$A:$Z,6,FALSE)</f>
        <v>51</v>
      </c>
      <c r="G167" s="1">
        <v>37</v>
      </c>
      <c r="H167" s="12">
        <f>VLOOKUP($B167&amp;"__wt",'SegEnds_Xtal_BW#'!$A:$Z,8,FALSE)</f>
        <v>68</v>
      </c>
      <c r="I167" s="1">
        <f>VLOOKUP($B167&amp;"__wt",'SegEnds_Xtal_BW#'!$A:$Z,9,FALSE)</f>
        <v>49</v>
      </c>
      <c r="J167" s="1">
        <f>VLOOKUP($B167&amp;"__wt",'SegEnds_Xtal_BW#'!$A:$Z,10,FALSE)</f>
        <v>52</v>
      </c>
      <c r="K167" s="12">
        <v>18</v>
      </c>
      <c r="L167" s="1">
        <f>VLOOKUP($B167&amp;"__wt",'SegEnds_Xtal_BW#'!$A:$Z,12,FALSE)</f>
        <v>56</v>
      </c>
      <c r="M167" s="1">
        <f>VLOOKUP($B167&amp;"__wt",'SegEnds_Xtal_BW#'!$A:$Z,13,FALSE)</f>
        <v>50</v>
      </c>
      <c r="N167" s="12">
        <v>57</v>
      </c>
      <c r="O167" s="87">
        <f>VLOOKUP($B167&amp;"__wt",'SegEnds_Xtal_BW#'!$A:$Z,15,FALSE)</f>
        <v>38</v>
      </c>
      <c r="P167" s="1">
        <f>VLOOKUP($B167&amp;"__wt",'SegEnds_Xtal_BW#'!$A:$Z,16,FALSE)</f>
        <v>64</v>
      </c>
      <c r="Q167" s="1">
        <f>VLOOKUP($B167&amp;"__wt",'SegEnds_Xtal_BW#'!$A:$Z,17,FALSE)</f>
        <v>50</v>
      </c>
      <c r="R167" s="1">
        <f>VLOOKUP($B167&amp;"__wt",'SegEnds_Xtal_BW#'!$A:$Z,18,FALSE)</f>
        <v>52</v>
      </c>
      <c r="S167" s="1">
        <v>35</v>
      </c>
      <c r="T167" s="1">
        <f t="array" ref="T167">INDEX(ICL3_classA!$G$2:$G$37,MATCH(MIN(ABS(AI167-ICL3_classA!$F$2:$F$37)),ABS(AI167-ICL3_classA!$F$2:$F$37),0))</f>
        <v>72</v>
      </c>
      <c r="U167" s="1">
        <f t="array" ref="U167">INDEX(ICL3_classA!$H$2:$H$37,MATCH(MIN(ABS(AI167-ICL3_classA!$F$2:$F$37)),ABS(AI167-ICL3_classA!$F$2:$F$37),0))</f>
        <v>24</v>
      </c>
      <c r="V167" s="1">
        <v>61</v>
      </c>
      <c r="W167" s="133">
        <f>VLOOKUP($B167&amp;"__wt",'SegEnds_Xtal_BW#'!$A:$Z,23,FALSE)</f>
        <v>27</v>
      </c>
      <c r="X167" s="1">
        <f>VLOOKUP($B167&amp;"__wt",'SegEnds_Xtal_BW#'!$A:$Z,24,FALSE)</f>
        <v>56</v>
      </c>
      <c r="Y167" s="1">
        <f>VLOOKUP($B167&amp;"__wt",'SegEnds_Xtal_BW#'!$A:$Z,25,FALSE)</f>
        <v>47</v>
      </c>
      <c r="Z167" s="1">
        <f>VLOOKUP($B167&amp;"__wt",'SegEnds_Xtal_BW#'!$A:$Z,26,FALSE)</f>
        <v>58</v>
      </c>
      <c r="AA167" s="27" t="str">
        <f>VLOOKUP(A167,Classification!A:B,2,FALSE)</f>
        <v>A</v>
      </c>
      <c r="AB167" s="1">
        <f>VLOOKUP(A167,'SegEnds_NonXtal_Prot#'!A:AL,10,FALSE)-VLOOKUP(A167,'SegEnds_NonXtal_Prot#'!A:AL,4,FALSE)</f>
        <v>28</v>
      </c>
      <c r="AC167" s="1">
        <f>VLOOKUP(A167,'SegEnds_NonXtal_Prot#'!A:AL,10,FALSE)-VLOOKUP(A167,'SegEnds_NonXtal_Prot#'!A:AL,7,FALSE)</f>
        <v>15</v>
      </c>
      <c r="AD167" s="1">
        <f>VLOOKUP(A167,'SegEnds_NonXtal_Prot#'!A:AL,13,FALSE)-VLOOKUP(A167,'SegEnds_NonXtal_Prot#'!A:AL,10,FALSE)</f>
        <v>20</v>
      </c>
      <c r="AE167" s="1">
        <f>VLOOKUP(A167,'SegEnds_NonXtal_Prot#'!A:AL,16,FALSE)-VLOOKUP(A167,'SegEnds_NonXtal_Prot#'!A:AL,10,FALSE)</f>
        <v>52</v>
      </c>
      <c r="AF167" s="1">
        <f>VLOOKUP(A167,'SegEnds_NonXtal_Prot#'!A:AL,22,FALSE)-VLOOKUP(A167,'SegEnds_NonXtal_Prot#'!A:AL,19,FALSE)</f>
        <v>20</v>
      </c>
      <c r="AG167" s="1">
        <f>VLOOKUP(A167,'SegEnds_NonXtal_Prot#'!A:AL,28,FALSE)-VLOOKUP(A167,'SegEnds_NonXtal_Prot#'!A:AL,25,FALSE)</f>
        <v>22</v>
      </c>
      <c r="AH167" s="1">
        <f>VLOOKUP(A167,'SegEnds_NonXtal_Prot#'!A:AL,28,FALSE)-VLOOKUP(A167,'SegEnds_NonXtal_Prot#'!A:AL,22,FALSE)</f>
        <v>47</v>
      </c>
      <c r="AI167" s="1">
        <f>VLOOKUP(A167,'SegEnds_NonXtal_Prot#'!A:AL,31,FALSE)-VLOOKUP(A167,'SegEnds_NonXtal_Prot#'!A:AL,28,FALSE)</f>
        <v>54</v>
      </c>
      <c r="AJ167" s="1">
        <f>VLOOKUP(A167,'SegEnds_NonXtal_Prot#'!A:AL,34,FALSE)-VLOOKUP(A167,'SegEnds_NonXtal_Prot#'!A:AL,31,FALSE)</f>
        <v>39</v>
      </c>
      <c r="AK167" s="1">
        <f>VLOOKUP(A167,'SegEnds_NonXtal_Prot#'!A:AL,37,FALSE)-VLOOKUP(A167,'SegEnds_NonXtal_Prot#'!A:AL,34,FALSE)</f>
        <v>10</v>
      </c>
      <c r="AL167" s="1" t="str">
        <f>IF(ISERROR(MATCH(A167,'SegEnds_Xtal_Prot#'!B:B, 0)), "NoXtal", "Xtal")</f>
        <v>NoXtal</v>
      </c>
    </row>
    <row r="168" spans="1:38" x14ac:dyDescent="0.2">
      <c r="A168" s="1" t="s">
        <v>313</v>
      </c>
      <c r="B168" s="1" t="str">
        <f>VLOOKUP(A168,Xtal_Templ!A:B,2,FALSE)</f>
        <v>ox2r_human</v>
      </c>
      <c r="C168" s="5">
        <f>VLOOKUP($B168&amp;"__wt",'SegEnds_Xtal_BW#'!$A:$Z,3,FALSE)</f>
        <v>31</v>
      </c>
      <c r="D168" s="1">
        <f>VLOOKUP($B168&amp;"__wt",'SegEnds_Xtal_BW#'!$A:$Z,4,FALSE)</f>
        <v>60</v>
      </c>
      <c r="E168" s="1">
        <f>VLOOKUP($B168&amp;"__wt",'SegEnds_Xtal_BW#'!$A:$Z,5,FALSE)</f>
        <v>48</v>
      </c>
      <c r="F168" s="1">
        <f>VLOOKUP($B168&amp;"__wt",'SegEnds_Xtal_BW#'!$A:$Z,6,FALSE)</f>
        <v>51</v>
      </c>
      <c r="G168" s="1">
        <v>37</v>
      </c>
      <c r="H168" s="12">
        <f>VLOOKUP($B168&amp;"__wt",'SegEnds_Xtal_BW#'!$A:$Z,8,FALSE)</f>
        <v>68</v>
      </c>
      <c r="I168" s="1">
        <f>VLOOKUP($B168&amp;"__wt",'SegEnds_Xtal_BW#'!$A:$Z,9,FALSE)</f>
        <v>49</v>
      </c>
      <c r="J168" s="1">
        <f>VLOOKUP($B168&amp;"__wt",'SegEnds_Xtal_BW#'!$A:$Z,10,FALSE)</f>
        <v>52</v>
      </c>
      <c r="K168" s="12">
        <v>18</v>
      </c>
      <c r="L168" s="1">
        <f>VLOOKUP($B168&amp;"__wt",'SegEnds_Xtal_BW#'!$A:$Z,12,FALSE)</f>
        <v>56</v>
      </c>
      <c r="M168" s="1">
        <f>VLOOKUP($B168&amp;"__wt",'SegEnds_Xtal_BW#'!$A:$Z,13,FALSE)</f>
        <v>50</v>
      </c>
      <c r="N168" s="12">
        <v>57</v>
      </c>
      <c r="O168" s="87">
        <f>VLOOKUP($B168&amp;"__wt",'SegEnds_Xtal_BW#'!$A:$Z,15,FALSE)</f>
        <v>38</v>
      </c>
      <c r="P168" s="1">
        <f>VLOOKUP($B168&amp;"__wt",'SegEnds_Xtal_BW#'!$A:$Z,16,FALSE)</f>
        <v>64</v>
      </c>
      <c r="Q168" s="1">
        <f>VLOOKUP($B168&amp;"__wt",'SegEnds_Xtal_BW#'!$A:$Z,17,FALSE)</f>
        <v>50</v>
      </c>
      <c r="R168" s="1">
        <f>VLOOKUP($B168&amp;"__wt",'SegEnds_Xtal_BW#'!$A:$Z,18,FALSE)</f>
        <v>52</v>
      </c>
      <c r="S168" s="1">
        <v>35</v>
      </c>
      <c r="T168" s="1">
        <f t="array" ref="T168">INDEX(ICL3_classA!$G$2:$G$37,MATCH(MIN(ABS(AI168-ICL3_classA!$F$2:$F$37)),ABS(AI168-ICL3_classA!$F$2:$F$37),0))</f>
        <v>72</v>
      </c>
      <c r="U168" s="1">
        <f t="array" ref="U168">INDEX(ICL3_classA!$H$2:$H$37,MATCH(MIN(ABS(AI168-ICL3_classA!$F$2:$F$37)),ABS(AI168-ICL3_classA!$F$2:$F$37),0))</f>
        <v>24</v>
      </c>
      <c r="V168" s="1">
        <v>61</v>
      </c>
      <c r="W168" s="133">
        <f>VLOOKUP($B168&amp;"__wt",'SegEnds_Xtal_BW#'!$A:$Z,23,FALSE)</f>
        <v>27</v>
      </c>
      <c r="X168" s="1">
        <f>VLOOKUP($B168&amp;"__wt",'SegEnds_Xtal_BW#'!$A:$Z,24,FALSE)</f>
        <v>56</v>
      </c>
      <c r="Y168" s="1">
        <f>VLOOKUP($B168&amp;"__wt",'SegEnds_Xtal_BW#'!$A:$Z,25,FALSE)</f>
        <v>47</v>
      </c>
      <c r="Z168" s="1">
        <f>VLOOKUP($B168&amp;"__wt",'SegEnds_Xtal_BW#'!$A:$Z,26,FALSE)</f>
        <v>58</v>
      </c>
      <c r="AA168" s="27" t="str">
        <f>VLOOKUP(A168,Classification!A:B,2,FALSE)</f>
        <v>A</v>
      </c>
      <c r="AB168" s="1">
        <f>VLOOKUP(A168,'SegEnds_NonXtal_Prot#'!A:AL,10,FALSE)-VLOOKUP(A168,'SegEnds_NonXtal_Prot#'!A:AL,4,FALSE)</f>
        <v>28</v>
      </c>
      <c r="AC168" s="1">
        <f>VLOOKUP(A168,'SegEnds_NonXtal_Prot#'!A:AL,10,FALSE)-VLOOKUP(A168,'SegEnds_NonXtal_Prot#'!A:AL,7,FALSE)</f>
        <v>15</v>
      </c>
      <c r="AD168" s="1">
        <f>VLOOKUP(A168,'SegEnds_NonXtal_Prot#'!A:AL,13,FALSE)-VLOOKUP(A168,'SegEnds_NonXtal_Prot#'!A:AL,10,FALSE)</f>
        <v>20</v>
      </c>
      <c r="AE168" s="1">
        <f>VLOOKUP(A168,'SegEnds_NonXtal_Prot#'!A:AL,16,FALSE)-VLOOKUP(A168,'SegEnds_NonXtal_Prot#'!A:AL,10,FALSE)</f>
        <v>52</v>
      </c>
      <c r="AF168" s="1">
        <f>VLOOKUP(A168,'SegEnds_NonXtal_Prot#'!A:AL,22,FALSE)-VLOOKUP(A168,'SegEnds_NonXtal_Prot#'!A:AL,19,FALSE)</f>
        <v>20</v>
      </c>
      <c r="AG168" s="1">
        <f>VLOOKUP(A168,'SegEnds_NonXtal_Prot#'!A:AL,28,FALSE)-VLOOKUP(A168,'SegEnds_NonXtal_Prot#'!A:AL,25,FALSE)</f>
        <v>22</v>
      </c>
      <c r="AH168" s="1">
        <f>VLOOKUP(A168,'SegEnds_NonXtal_Prot#'!A:AL,28,FALSE)-VLOOKUP(A168,'SegEnds_NonXtal_Prot#'!A:AL,22,FALSE)</f>
        <v>47</v>
      </c>
      <c r="AI168" s="1">
        <f>VLOOKUP(A168,'SegEnds_NonXtal_Prot#'!A:AL,31,FALSE)-VLOOKUP(A168,'SegEnds_NonXtal_Prot#'!A:AL,28,FALSE)</f>
        <v>52</v>
      </c>
      <c r="AJ168" s="1">
        <f>VLOOKUP(A168,'SegEnds_NonXtal_Prot#'!A:AL,34,FALSE)-VLOOKUP(A168,'SegEnds_NonXtal_Prot#'!A:AL,31,FALSE)</f>
        <v>39</v>
      </c>
      <c r="AK168" s="1">
        <f>VLOOKUP(A168,'SegEnds_NonXtal_Prot#'!A:AL,37,FALSE)-VLOOKUP(A168,'SegEnds_NonXtal_Prot#'!A:AL,34,FALSE)</f>
        <v>10</v>
      </c>
      <c r="AL168" s="1" t="str">
        <f>IF(ISERROR(MATCH(A168,'SegEnds_Xtal_Prot#'!B:B, 0)), "NoXtal", "Xtal")</f>
        <v>NoXtal</v>
      </c>
    </row>
    <row r="169" spans="1:38" x14ac:dyDescent="0.2">
      <c r="A169" s="1" t="s">
        <v>314</v>
      </c>
      <c r="B169" s="1" t="str">
        <f>VLOOKUP(A169,Xtal_Templ!A:B,2,FALSE)</f>
        <v>nk1r_human</v>
      </c>
      <c r="C169" s="5">
        <f>VLOOKUP($B169&amp;"__wt",'SegEnds_Xtal_BW#'!$A:$Z,3,FALSE)</f>
        <v>28</v>
      </c>
      <c r="D169" s="1">
        <f>VLOOKUP($B169&amp;"__wt",'SegEnds_Xtal_BW#'!$A:$Z,4,FALSE)</f>
        <v>60</v>
      </c>
      <c r="E169" s="1">
        <f>VLOOKUP($B169&amp;"__wt",'SegEnds_Xtal_BW#'!$A:$Z,5,FALSE)</f>
        <v>48</v>
      </c>
      <c r="F169" s="1">
        <f>VLOOKUP($B169&amp;"__wt",'SegEnds_Xtal_BW#'!$A:$Z,6,FALSE)</f>
        <v>51</v>
      </c>
      <c r="G169" s="1">
        <v>37</v>
      </c>
      <c r="H169" s="12">
        <f>VLOOKUP($B169&amp;"__wt",'SegEnds_Xtal_BW#'!$A:$Z,8,FALSE)</f>
        <v>68</v>
      </c>
      <c r="I169" s="1">
        <f>VLOOKUP($B169&amp;"__wt",'SegEnds_Xtal_BW#'!$A:$Z,9,FALSE)</f>
        <v>49</v>
      </c>
      <c r="J169" s="1">
        <f>VLOOKUP($B169&amp;"__wt",'SegEnds_Xtal_BW#'!$A:$Z,10,FALSE)</f>
        <v>52</v>
      </c>
      <c r="K169" s="12">
        <v>18</v>
      </c>
      <c r="L169" s="1">
        <f>VLOOKUP($B169&amp;"__wt",'SegEnds_Xtal_BW#'!$A:$Z,12,FALSE)</f>
        <v>56</v>
      </c>
      <c r="M169" s="1" t="str">
        <f>VLOOKUP($B169&amp;"__wt",'SegEnds_Xtal_BW#'!$A:$Z,13,FALSE)</f>
        <v>-</v>
      </c>
      <c r="N169" s="12">
        <v>56</v>
      </c>
      <c r="O169" s="87">
        <f>VLOOKUP($B169&amp;"__wt",'SegEnds_Xtal_BW#'!$A:$Z,15,FALSE)</f>
        <v>38</v>
      </c>
      <c r="P169" s="1">
        <f>VLOOKUP($B169&amp;"__wt",'SegEnds_Xtal_BW#'!$A:$Z,16,FALSE)</f>
        <v>64</v>
      </c>
      <c r="Q169" s="1">
        <f>VLOOKUP($B169&amp;"__wt",'SegEnds_Xtal_BW#'!$A:$Z,17,FALSE)</f>
        <v>50</v>
      </c>
      <c r="R169" s="1">
        <f>VLOOKUP($B169&amp;"__wt",'SegEnds_Xtal_BW#'!$A:$Z,18,FALSE)</f>
        <v>52</v>
      </c>
      <c r="S169" s="1">
        <f>VLOOKUP($B169&amp;"__wt",'SegEnds_Xtal_BW#'!$A:$Z,19,FALSE)</f>
        <v>30</v>
      </c>
      <c r="T169" s="1">
        <f t="array" ref="T169">INDEX(ICL3_classA!$G$2:$G$37,MATCH(MIN(ABS(AI169-ICL3_classA!$F$2:$F$37)),ABS(AI169-ICL3_classA!$F$2:$F$37),0))</f>
        <v>73</v>
      </c>
      <c r="U169" s="1">
        <f t="array" ref="U169">INDEX(ICL3_classA!$H$2:$H$37,MATCH(MIN(ABS(AI169-ICL3_classA!$F$2:$F$37)),ABS(AI169-ICL3_classA!$F$2:$F$37),0))</f>
        <v>22</v>
      </c>
      <c r="V169" s="1">
        <v>61</v>
      </c>
      <c r="W169" s="133">
        <f>VLOOKUP($B169&amp;"__wt",'SegEnds_Xtal_BW#'!$A:$Z,23,FALSE)</f>
        <v>30</v>
      </c>
      <c r="X169" s="1">
        <f>VLOOKUP($B169&amp;"__wt",'SegEnds_Xtal_BW#'!$A:$Z,24,FALSE)</f>
        <v>56</v>
      </c>
      <c r="Y169" s="1">
        <f>VLOOKUP($B169&amp;"__wt",'SegEnds_Xtal_BW#'!$A:$Z,25,FALSE)</f>
        <v>47</v>
      </c>
      <c r="Z169" s="1">
        <f>VLOOKUP($B169&amp;"__wt",'SegEnds_Xtal_BW#'!$A:$Z,26,FALSE)</f>
        <v>58</v>
      </c>
      <c r="AA169" s="27" t="str">
        <f>VLOOKUP(A169,Classification!A:B,2,FALSE)</f>
        <v>A</v>
      </c>
      <c r="AB169" s="1">
        <f>VLOOKUP(A169,'SegEnds_NonXtal_Prot#'!A:AL,10,FALSE)-VLOOKUP(A169,'SegEnds_NonXtal_Prot#'!A:AL,4,FALSE)</f>
        <v>28</v>
      </c>
      <c r="AC169" s="1">
        <f>VLOOKUP(A169,'SegEnds_NonXtal_Prot#'!A:AL,10,FALSE)-VLOOKUP(A169,'SegEnds_NonXtal_Prot#'!A:AL,7,FALSE)</f>
        <v>15</v>
      </c>
      <c r="AD169" s="1">
        <f>VLOOKUP(A169,'SegEnds_NonXtal_Prot#'!A:AL,13,FALSE)-VLOOKUP(A169,'SegEnds_NonXtal_Prot#'!A:AL,10,FALSE)</f>
        <v>20</v>
      </c>
      <c r="AE169" s="1">
        <f>VLOOKUP(A169,'SegEnds_NonXtal_Prot#'!A:AL,16,FALSE)-VLOOKUP(A169,'SegEnds_NonXtal_Prot#'!A:AL,10,FALSE)</f>
        <v>52</v>
      </c>
      <c r="AF169" s="1" t="e">
        <f>VLOOKUP(A169,'SegEnds_NonXtal_Prot#'!A:AL,22,FALSE)-VLOOKUP(A169,'SegEnds_NonXtal_Prot#'!A:AL,19,FALSE)</f>
        <v>#VALUE!</v>
      </c>
      <c r="AG169" s="1">
        <f>VLOOKUP(A169,'SegEnds_NonXtal_Prot#'!A:AL,28,FALSE)-VLOOKUP(A169,'SegEnds_NonXtal_Prot#'!A:AL,25,FALSE)</f>
        <v>28</v>
      </c>
      <c r="AH169" s="1">
        <f>VLOOKUP(A169,'SegEnds_NonXtal_Prot#'!A:AL,28,FALSE)-VLOOKUP(A169,'SegEnds_NonXtal_Prot#'!A:AL,22,FALSE)</f>
        <v>53</v>
      </c>
      <c r="AI169" s="1">
        <f>VLOOKUP(A169,'SegEnds_NonXtal_Prot#'!A:AL,31,FALSE)-VLOOKUP(A169,'SegEnds_NonXtal_Prot#'!A:AL,28,FALSE)</f>
        <v>55</v>
      </c>
      <c r="AJ169" s="1">
        <f>VLOOKUP(A169,'SegEnds_NonXtal_Prot#'!A:AL,34,FALSE)-VLOOKUP(A169,'SegEnds_NonXtal_Prot#'!A:AL,31,FALSE)</f>
        <v>39</v>
      </c>
      <c r="AK169" s="1">
        <f>VLOOKUP(A169,'SegEnds_NonXtal_Prot#'!A:AL,37,FALSE)-VLOOKUP(A169,'SegEnds_NonXtal_Prot#'!A:AL,34,FALSE)</f>
        <v>10</v>
      </c>
      <c r="AL169" s="1" t="str">
        <f>IF(ISERROR(MATCH(A169,'SegEnds_Xtal_Prot#'!B:B, 0)), "NoXtal", "Xtal")</f>
        <v>Xtal</v>
      </c>
    </row>
    <row r="170" spans="1:38" x14ac:dyDescent="0.2">
      <c r="A170" s="1" t="s">
        <v>315</v>
      </c>
      <c r="B170" s="1" t="str">
        <f>VLOOKUP(A170,Xtal_Templ!A:B,2,FALSE)</f>
        <v>nk1r_human</v>
      </c>
      <c r="C170" s="5">
        <f>VLOOKUP($B170&amp;"__wt",'SegEnds_Xtal_BW#'!$A:$Z,3,FALSE)</f>
        <v>28</v>
      </c>
      <c r="D170" s="1">
        <f>VLOOKUP($B170&amp;"__wt",'SegEnds_Xtal_BW#'!$A:$Z,4,FALSE)</f>
        <v>60</v>
      </c>
      <c r="E170" s="1">
        <f>VLOOKUP($B170&amp;"__wt",'SegEnds_Xtal_BW#'!$A:$Z,5,FALSE)</f>
        <v>48</v>
      </c>
      <c r="F170" s="1">
        <f>VLOOKUP($B170&amp;"__wt",'SegEnds_Xtal_BW#'!$A:$Z,6,FALSE)</f>
        <v>51</v>
      </c>
      <c r="G170" s="1">
        <v>37</v>
      </c>
      <c r="H170" s="12">
        <f>VLOOKUP($B170&amp;"__wt",'SegEnds_Xtal_BW#'!$A:$Z,8,FALSE)</f>
        <v>68</v>
      </c>
      <c r="I170" s="1">
        <f>VLOOKUP($B170&amp;"__wt",'SegEnds_Xtal_BW#'!$A:$Z,9,FALSE)</f>
        <v>49</v>
      </c>
      <c r="J170" s="1">
        <f>VLOOKUP($B170&amp;"__wt",'SegEnds_Xtal_BW#'!$A:$Z,10,FALSE)</f>
        <v>52</v>
      </c>
      <c r="K170" s="12">
        <v>18</v>
      </c>
      <c r="L170" s="1">
        <f>VLOOKUP($B170&amp;"__wt",'SegEnds_Xtal_BW#'!$A:$Z,12,FALSE)</f>
        <v>56</v>
      </c>
      <c r="M170" s="1" t="str">
        <f>VLOOKUP($B170&amp;"__wt",'SegEnds_Xtal_BW#'!$A:$Z,13,FALSE)</f>
        <v>-</v>
      </c>
      <c r="N170" s="12">
        <v>56</v>
      </c>
      <c r="O170" s="87">
        <f>VLOOKUP($B170&amp;"__wt",'SegEnds_Xtal_BW#'!$A:$Z,15,FALSE)</f>
        <v>38</v>
      </c>
      <c r="P170" s="1">
        <f>VLOOKUP($B170&amp;"__wt",'SegEnds_Xtal_BW#'!$A:$Z,16,FALSE)</f>
        <v>64</v>
      </c>
      <c r="Q170" s="1">
        <f>VLOOKUP($B170&amp;"__wt",'SegEnds_Xtal_BW#'!$A:$Z,17,FALSE)</f>
        <v>50</v>
      </c>
      <c r="R170" s="1">
        <f>VLOOKUP($B170&amp;"__wt",'SegEnds_Xtal_BW#'!$A:$Z,18,FALSE)</f>
        <v>52</v>
      </c>
      <c r="S170" s="1">
        <f>VLOOKUP($B170&amp;"__wt",'SegEnds_Xtal_BW#'!$A:$Z,19,FALSE)</f>
        <v>30</v>
      </c>
      <c r="T170" s="1">
        <f t="array" ref="T170">INDEX(ICL3_classA!$G$2:$G$37,MATCH(MIN(ABS(AI170-ICL3_classA!$F$2:$F$37)),ABS(AI170-ICL3_classA!$F$2:$F$37),0))</f>
        <v>73</v>
      </c>
      <c r="U170" s="1">
        <f t="array" ref="U170">INDEX(ICL3_classA!$H$2:$H$37,MATCH(MIN(ABS(AI170-ICL3_classA!$F$2:$F$37)),ABS(AI170-ICL3_classA!$F$2:$F$37),0))</f>
        <v>22</v>
      </c>
      <c r="V170" s="1">
        <v>61</v>
      </c>
      <c r="W170" s="133">
        <f>VLOOKUP($B170&amp;"__wt",'SegEnds_Xtal_BW#'!$A:$Z,23,FALSE)</f>
        <v>30</v>
      </c>
      <c r="X170" s="1">
        <f>VLOOKUP($B170&amp;"__wt",'SegEnds_Xtal_BW#'!$A:$Z,24,FALSE)</f>
        <v>56</v>
      </c>
      <c r="Y170" s="1">
        <f>VLOOKUP($B170&amp;"__wt",'SegEnds_Xtal_BW#'!$A:$Z,25,FALSE)</f>
        <v>47</v>
      </c>
      <c r="Z170" s="1">
        <f>VLOOKUP($B170&amp;"__wt",'SegEnds_Xtal_BW#'!$A:$Z,26,FALSE)</f>
        <v>58</v>
      </c>
      <c r="AA170" s="27" t="str">
        <f>VLOOKUP(A170,Classification!A:B,2,FALSE)</f>
        <v>A</v>
      </c>
      <c r="AB170" s="1">
        <f>VLOOKUP(A170,'SegEnds_NonXtal_Prot#'!A:AL,10,FALSE)-VLOOKUP(A170,'SegEnds_NonXtal_Prot#'!A:AL,4,FALSE)</f>
        <v>28</v>
      </c>
      <c r="AC170" s="1">
        <f>VLOOKUP(A170,'SegEnds_NonXtal_Prot#'!A:AL,10,FALSE)-VLOOKUP(A170,'SegEnds_NonXtal_Prot#'!A:AL,7,FALSE)</f>
        <v>15</v>
      </c>
      <c r="AD170" s="1">
        <f>VLOOKUP(A170,'SegEnds_NonXtal_Prot#'!A:AL,13,FALSE)-VLOOKUP(A170,'SegEnds_NonXtal_Prot#'!A:AL,10,FALSE)</f>
        <v>20</v>
      </c>
      <c r="AE170" s="1">
        <f>VLOOKUP(A170,'SegEnds_NonXtal_Prot#'!A:AL,16,FALSE)-VLOOKUP(A170,'SegEnds_NonXtal_Prot#'!A:AL,10,FALSE)</f>
        <v>52</v>
      </c>
      <c r="AF170" s="1" t="e">
        <f>VLOOKUP(A170,'SegEnds_NonXtal_Prot#'!A:AL,22,FALSE)-VLOOKUP(A170,'SegEnds_NonXtal_Prot#'!A:AL,19,FALSE)</f>
        <v>#VALUE!</v>
      </c>
      <c r="AG170" s="1">
        <f>VLOOKUP(A170,'SegEnds_NonXtal_Prot#'!A:AL,28,FALSE)-VLOOKUP(A170,'SegEnds_NonXtal_Prot#'!A:AL,25,FALSE)</f>
        <v>28</v>
      </c>
      <c r="AH170" s="1">
        <f>VLOOKUP(A170,'SegEnds_NonXtal_Prot#'!A:AL,28,FALSE)-VLOOKUP(A170,'SegEnds_NonXtal_Prot#'!A:AL,22,FALSE)</f>
        <v>53</v>
      </c>
      <c r="AI170" s="1">
        <f>VLOOKUP(A170,'SegEnds_NonXtal_Prot#'!A:AL,31,FALSE)-VLOOKUP(A170,'SegEnds_NonXtal_Prot#'!A:AL,28,FALSE)</f>
        <v>56</v>
      </c>
      <c r="AJ170" s="1">
        <f>VLOOKUP(A170,'SegEnds_NonXtal_Prot#'!A:AL,34,FALSE)-VLOOKUP(A170,'SegEnds_NonXtal_Prot#'!A:AL,31,FALSE)</f>
        <v>39</v>
      </c>
      <c r="AK170" s="1">
        <f>VLOOKUP(A170,'SegEnds_NonXtal_Prot#'!A:AL,37,FALSE)-VLOOKUP(A170,'SegEnds_NonXtal_Prot#'!A:AL,34,FALSE)</f>
        <v>10</v>
      </c>
      <c r="AL170" s="1" t="str">
        <f>IF(ISERROR(MATCH(A170,'SegEnds_Xtal_Prot#'!B:B, 0)), "NoXtal", "Xtal")</f>
        <v>NoXtal</v>
      </c>
    </row>
    <row r="171" spans="1:38" x14ac:dyDescent="0.2">
      <c r="A171" s="1" t="s">
        <v>316</v>
      </c>
      <c r="B171" s="1" t="str">
        <f>VLOOKUP(A171,Xtal_Templ!A:B,2,FALSE)</f>
        <v>nk1r_human</v>
      </c>
      <c r="C171" s="5">
        <f>VLOOKUP($B171&amp;"__wt",'SegEnds_Xtal_BW#'!$A:$Z,3,FALSE)</f>
        <v>28</v>
      </c>
      <c r="D171" s="1">
        <f>VLOOKUP($B171&amp;"__wt",'SegEnds_Xtal_BW#'!$A:$Z,4,FALSE)</f>
        <v>60</v>
      </c>
      <c r="E171" s="1">
        <f>VLOOKUP($B171&amp;"__wt",'SegEnds_Xtal_BW#'!$A:$Z,5,FALSE)</f>
        <v>48</v>
      </c>
      <c r="F171" s="1">
        <f>VLOOKUP($B171&amp;"__wt",'SegEnds_Xtal_BW#'!$A:$Z,6,FALSE)</f>
        <v>51</v>
      </c>
      <c r="G171" s="1">
        <v>37</v>
      </c>
      <c r="H171" s="12">
        <f>VLOOKUP($B171&amp;"__wt",'SegEnds_Xtal_BW#'!$A:$Z,8,FALSE)</f>
        <v>68</v>
      </c>
      <c r="I171" s="1">
        <f>VLOOKUP($B171&amp;"__wt",'SegEnds_Xtal_BW#'!$A:$Z,9,FALSE)</f>
        <v>49</v>
      </c>
      <c r="J171" s="1">
        <f>VLOOKUP($B171&amp;"__wt",'SegEnds_Xtal_BW#'!$A:$Z,10,FALSE)</f>
        <v>52</v>
      </c>
      <c r="K171" s="12">
        <v>18</v>
      </c>
      <c r="L171" s="1">
        <f>VLOOKUP($B171&amp;"__wt",'SegEnds_Xtal_BW#'!$A:$Z,12,FALSE)</f>
        <v>56</v>
      </c>
      <c r="M171" s="1" t="str">
        <f>VLOOKUP($B171&amp;"__wt",'SegEnds_Xtal_BW#'!$A:$Z,13,FALSE)</f>
        <v>-</v>
      </c>
      <c r="N171" s="12">
        <v>56</v>
      </c>
      <c r="O171" s="87">
        <f>VLOOKUP($B171&amp;"__wt",'SegEnds_Xtal_BW#'!$A:$Z,15,FALSE)</f>
        <v>38</v>
      </c>
      <c r="P171" s="1">
        <f>VLOOKUP($B171&amp;"__wt",'SegEnds_Xtal_BW#'!$A:$Z,16,FALSE)</f>
        <v>64</v>
      </c>
      <c r="Q171" s="1">
        <f>VLOOKUP($B171&amp;"__wt",'SegEnds_Xtal_BW#'!$A:$Z,17,FALSE)</f>
        <v>50</v>
      </c>
      <c r="R171" s="1">
        <f>VLOOKUP($B171&amp;"__wt",'SegEnds_Xtal_BW#'!$A:$Z,18,FALSE)</f>
        <v>52</v>
      </c>
      <c r="S171" s="1">
        <f>VLOOKUP($B171&amp;"__wt",'SegEnds_Xtal_BW#'!$A:$Z,19,FALSE)</f>
        <v>30</v>
      </c>
      <c r="T171" s="1">
        <f t="array" ref="T171">INDEX(ICL3_classA!$G$2:$G$37,MATCH(MIN(ABS(AI171-ICL3_classA!$F$2:$F$37)),ABS(AI171-ICL3_classA!$F$2:$F$37),0))</f>
        <v>73</v>
      </c>
      <c r="U171" s="1">
        <f t="array" ref="U171">INDEX(ICL3_classA!$H$2:$H$37,MATCH(MIN(ABS(AI171-ICL3_classA!$F$2:$F$37)),ABS(AI171-ICL3_classA!$F$2:$F$37),0))</f>
        <v>22</v>
      </c>
      <c r="V171" s="1">
        <v>61</v>
      </c>
      <c r="W171" s="133">
        <f>VLOOKUP($B171&amp;"__wt",'SegEnds_Xtal_BW#'!$A:$Z,23,FALSE)</f>
        <v>30</v>
      </c>
      <c r="X171" s="1">
        <f>VLOOKUP($B171&amp;"__wt",'SegEnds_Xtal_BW#'!$A:$Z,24,FALSE)</f>
        <v>56</v>
      </c>
      <c r="Y171" s="1">
        <f>VLOOKUP($B171&amp;"__wt",'SegEnds_Xtal_BW#'!$A:$Z,25,FALSE)</f>
        <v>47</v>
      </c>
      <c r="Z171" s="1">
        <f>VLOOKUP($B171&amp;"__wt",'SegEnds_Xtal_BW#'!$A:$Z,26,FALSE)</f>
        <v>58</v>
      </c>
      <c r="AA171" s="27" t="str">
        <f>VLOOKUP(A171,Classification!A:B,2,FALSE)</f>
        <v>A</v>
      </c>
      <c r="AB171" s="1">
        <f>VLOOKUP(A171,'SegEnds_NonXtal_Prot#'!A:AL,10,FALSE)-VLOOKUP(A171,'SegEnds_NonXtal_Prot#'!A:AL,4,FALSE)</f>
        <v>28</v>
      </c>
      <c r="AC171" s="1">
        <f>VLOOKUP(A171,'SegEnds_NonXtal_Prot#'!A:AL,10,FALSE)-VLOOKUP(A171,'SegEnds_NonXtal_Prot#'!A:AL,7,FALSE)</f>
        <v>15</v>
      </c>
      <c r="AD171" s="1">
        <f>VLOOKUP(A171,'SegEnds_NonXtal_Prot#'!A:AL,13,FALSE)-VLOOKUP(A171,'SegEnds_NonXtal_Prot#'!A:AL,10,FALSE)</f>
        <v>20</v>
      </c>
      <c r="AE171" s="1">
        <f>VLOOKUP(A171,'SegEnds_NonXtal_Prot#'!A:AL,16,FALSE)-VLOOKUP(A171,'SegEnds_NonXtal_Prot#'!A:AL,10,FALSE)</f>
        <v>52</v>
      </c>
      <c r="AF171" s="1" t="e">
        <f>VLOOKUP(A171,'SegEnds_NonXtal_Prot#'!A:AL,22,FALSE)-VLOOKUP(A171,'SegEnds_NonXtal_Prot#'!A:AL,19,FALSE)</f>
        <v>#VALUE!</v>
      </c>
      <c r="AG171" s="1">
        <f>VLOOKUP(A171,'SegEnds_NonXtal_Prot#'!A:AL,28,FALSE)-VLOOKUP(A171,'SegEnds_NonXtal_Prot#'!A:AL,25,FALSE)</f>
        <v>26</v>
      </c>
      <c r="AH171" s="1">
        <f>VLOOKUP(A171,'SegEnds_NonXtal_Prot#'!A:AL,28,FALSE)-VLOOKUP(A171,'SegEnds_NonXtal_Prot#'!A:AL,22,FALSE)</f>
        <v>51</v>
      </c>
      <c r="AI171" s="1">
        <f>VLOOKUP(A171,'SegEnds_NonXtal_Prot#'!A:AL,31,FALSE)-VLOOKUP(A171,'SegEnds_NonXtal_Prot#'!A:AL,28,FALSE)</f>
        <v>55</v>
      </c>
      <c r="AJ171" s="1">
        <f>VLOOKUP(A171,'SegEnds_NonXtal_Prot#'!A:AL,34,FALSE)-VLOOKUP(A171,'SegEnds_NonXtal_Prot#'!A:AL,31,FALSE)</f>
        <v>39</v>
      </c>
      <c r="AK171" s="1">
        <f>VLOOKUP(A171,'SegEnds_NonXtal_Prot#'!A:AL,37,FALSE)-VLOOKUP(A171,'SegEnds_NonXtal_Prot#'!A:AL,34,FALSE)</f>
        <v>10</v>
      </c>
      <c r="AL171" s="1" t="str">
        <f>IF(ISERROR(MATCH(A171,'SegEnds_Xtal_Prot#'!B:B, 0)), "NoXtal", "Xtal")</f>
        <v>NoXtal</v>
      </c>
    </row>
    <row r="172" spans="1:38" x14ac:dyDescent="0.2">
      <c r="A172" s="1" t="s">
        <v>325</v>
      </c>
      <c r="B172" s="1" t="str">
        <f>VLOOKUP(A172,Xtal_Templ!A:B,2,FALSE)</f>
        <v>npy1r_human</v>
      </c>
      <c r="C172" s="5">
        <f>VLOOKUP($B172&amp;"__wt",'SegEnds_Xtal_BW#'!$A:$Z,3,FALSE)</f>
        <v>28</v>
      </c>
      <c r="D172" s="1">
        <f>VLOOKUP($B172&amp;"__wt",'SegEnds_Xtal_BW#'!$A:$Z,4,FALSE)</f>
        <v>60</v>
      </c>
      <c r="E172" s="1">
        <f>VLOOKUP($B172&amp;"__wt",'SegEnds_Xtal_BW#'!$A:$Z,5,FALSE)</f>
        <v>48</v>
      </c>
      <c r="F172" s="1">
        <f>VLOOKUP($B172&amp;"__wt",'SegEnds_Xtal_BW#'!$A:$Z,6,FALSE)</f>
        <v>51</v>
      </c>
      <c r="G172" s="1">
        <v>37</v>
      </c>
      <c r="H172" s="12">
        <f>VLOOKUP($B172&amp;"__wt",'SegEnds_Xtal_BW#'!$A:$Z,8,FALSE)</f>
        <v>68</v>
      </c>
      <c r="I172" s="1">
        <f>VLOOKUP($B172&amp;"__wt",'SegEnds_Xtal_BW#'!$A:$Z,9,FALSE)</f>
        <v>49</v>
      </c>
      <c r="J172" s="1">
        <f>VLOOKUP($B172&amp;"__wt",'SegEnds_Xtal_BW#'!$A:$Z,10,FALSE)</f>
        <v>52</v>
      </c>
      <c r="K172" s="12">
        <v>18</v>
      </c>
      <c r="L172" s="1">
        <f>VLOOKUP($B172&amp;"__wt",'SegEnds_Xtal_BW#'!$A:$Z,12,FALSE)</f>
        <v>56</v>
      </c>
      <c r="M172" s="1" t="str">
        <f>VLOOKUP($B172&amp;"__wt",'SegEnds_Xtal_BW#'!$A:$Z,13,FALSE)</f>
        <v>-</v>
      </c>
      <c r="N172" s="108" t="s">
        <v>23</v>
      </c>
      <c r="O172" s="87">
        <f>VLOOKUP($B172&amp;"__wt",'SegEnds_Xtal_BW#'!$A:$Z,15,FALSE)</f>
        <v>38</v>
      </c>
      <c r="P172" s="1">
        <f>VLOOKUP($B172&amp;"__wt",'SegEnds_Xtal_BW#'!$A:$Z,16,FALSE)</f>
        <v>64</v>
      </c>
      <c r="Q172" s="1">
        <f>VLOOKUP($B172&amp;"__wt",'SegEnds_Xtal_BW#'!$A:$Z,17,FALSE)</f>
        <v>50</v>
      </c>
      <c r="R172" s="1">
        <f>VLOOKUP($B172&amp;"__wt",'SegEnds_Xtal_BW#'!$A:$Z,18,FALSE)</f>
        <v>52</v>
      </c>
      <c r="S172" s="1">
        <f>VLOOKUP($B172&amp;"__wt",'SegEnds_Xtal_BW#'!$A:$Z,19,FALSE)</f>
        <v>31</v>
      </c>
      <c r="T172" s="1">
        <f t="array" ref="T172">INDEX(ICL3_classA!$G$2:$G$37,MATCH(MIN(ABS(AI172-ICL3_classA!$F$2:$F$37)),ABS(AI172-ICL3_classA!$F$2:$F$37),0))</f>
        <v>73</v>
      </c>
      <c r="U172" s="1">
        <f t="array" ref="U172">INDEX(ICL3_classA!$H$2:$H$37,MATCH(MIN(ABS(AI172-ICL3_classA!$F$2:$F$37)),ABS(AI172-ICL3_classA!$F$2:$F$37),0))</f>
        <v>22</v>
      </c>
      <c r="V172" s="1">
        <v>61</v>
      </c>
      <c r="W172" s="133">
        <f>VLOOKUP($B172&amp;"__wt",'SegEnds_Xtal_BW#'!$A:$Z,23,FALSE)</f>
        <v>28</v>
      </c>
      <c r="X172" s="1">
        <f>VLOOKUP($B172&amp;"__wt",'SegEnds_Xtal_BW#'!$A:$Z,24,FALSE)</f>
        <v>56</v>
      </c>
      <c r="Y172" s="1">
        <f>VLOOKUP($B172&amp;"__wt",'SegEnds_Xtal_BW#'!$A:$Z,25,FALSE)</f>
        <v>47</v>
      </c>
      <c r="Z172" s="1">
        <f>VLOOKUP($B172&amp;"__wt",'SegEnds_Xtal_BW#'!$A:$Z,26,FALSE)</f>
        <v>58</v>
      </c>
      <c r="AA172" s="27" t="str">
        <f>VLOOKUP(A172,Classification!A:B,2,FALSE)</f>
        <v>A</v>
      </c>
      <c r="AB172" s="1">
        <f>VLOOKUP(A172,'SegEnds_NonXtal_Prot#'!A:AL,10,FALSE)-VLOOKUP(A172,'SegEnds_NonXtal_Prot#'!A:AL,4,FALSE)</f>
        <v>28</v>
      </c>
      <c r="AC172" s="1">
        <f>VLOOKUP(A172,'SegEnds_NonXtal_Prot#'!A:AL,10,FALSE)-VLOOKUP(A172,'SegEnds_NonXtal_Prot#'!A:AL,7,FALSE)</f>
        <v>15</v>
      </c>
      <c r="AD172" s="1">
        <f>VLOOKUP(A172,'SegEnds_NonXtal_Prot#'!A:AL,13,FALSE)-VLOOKUP(A172,'SegEnds_NonXtal_Prot#'!A:AL,10,FALSE)</f>
        <v>20</v>
      </c>
      <c r="AE172" s="1">
        <f>VLOOKUP(A172,'SegEnds_NonXtal_Prot#'!A:AL,16,FALSE)-VLOOKUP(A172,'SegEnds_NonXtal_Prot#'!A:AL,10,FALSE)</f>
        <v>52</v>
      </c>
      <c r="AF172" s="1" t="e">
        <f>VLOOKUP(A172,'SegEnds_NonXtal_Prot#'!A:AL,22,FALSE)-VLOOKUP(A172,'SegEnds_NonXtal_Prot#'!A:AL,19,FALSE)</f>
        <v>#VALUE!</v>
      </c>
      <c r="AG172" s="1">
        <f>VLOOKUP(A172,'SegEnds_NonXtal_Prot#'!A:AL,28,FALSE)-VLOOKUP(A172,'SegEnds_NonXtal_Prot#'!A:AL,25,FALSE)</f>
        <v>25</v>
      </c>
      <c r="AH172" s="1">
        <f>VLOOKUP(A172,'SegEnds_NonXtal_Prot#'!A:AL,28,FALSE)-VLOOKUP(A172,'SegEnds_NonXtal_Prot#'!A:AL,22,FALSE)</f>
        <v>60</v>
      </c>
      <c r="AI172" s="1">
        <f>VLOOKUP(A172,'SegEnds_NonXtal_Prot#'!A:AL,31,FALSE)-VLOOKUP(A172,'SegEnds_NonXtal_Prot#'!A:AL,28,FALSE)</f>
        <v>55</v>
      </c>
      <c r="AJ172" s="1">
        <f>VLOOKUP(A172,'SegEnds_NonXtal_Prot#'!A:AL,34,FALSE)-VLOOKUP(A172,'SegEnds_NonXtal_Prot#'!A:AL,31,FALSE)</f>
        <v>39</v>
      </c>
      <c r="AK172" s="1">
        <f>VLOOKUP(A172,'SegEnds_NonXtal_Prot#'!A:AL,37,FALSE)-VLOOKUP(A172,'SegEnds_NonXtal_Prot#'!A:AL,34,FALSE)</f>
        <v>10</v>
      </c>
      <c r="AL172" s="1" t="str">
        <f>IF(ISERROR(MATCH(A172,'SegEnds_Xtal_Prot#'!B:B, 0)), "NoXtal", "Xtal")</f>
        <v>Xtal</v>
      </c>
    </row>
    <row r="173" spans="1:38" x14ac:dyDescent="0.2">
      <c r="A173" s="1" t="s">
        <v>326</v>
      </c>
      <c r="B173" s="1" t="str">
        <f>VLOOKUP(A173,Xtal_Templ!A:B,2,FALSE)</f>
        <v>ox2r_human</v>
      </c>
      <c r="C173" s="5">
        <f>VLOOKUP($B173&amp;"__wt",'SegEnds_Xtal_BW#'!$A:$Z,3,FALSE)</f>
        <v>31</v>
      </c>
      <c r="D173" s="1">
        <f>VLOOKUP($B173&amp;"__wt",'SegEnds_Xtal_BW#'!$A:$Z,4,FALSE)</f>
        <v>60</v>
      </c>
      <c r="E173" s="1">
        <f>VLOOKUP($B173&amp;"__wt",'SegEnds_Xtal_BW#'!$A:$Z,5,FALSE)</f>
        <v>48</v>
      </c>
      <c r="F173" s="1">
        <f>VLOOKUP($B173&amp;"__wt",'SegEnds_Xtal_BW#'!$A:$Z,6,FALSE)</f>
        <v>51</v>
      </c>
      <c r="G173" s="1">
        <v>37</v>
      </c>
      <c r="H173" s="12">
        <f>VLOOKUP($B173&amp;"__wt",'SegEnds_Xtal_BW#'!$A:$Z,8,FALSE)</f>
        <v>68</v>
      </c>
      <c r="I173" s="1">
        <f>VLOOKUP($B173&amp;"__wt",'SegEnds_Xtal_BW#'!$A:$Z,9,FALSE)</f>
        <v>49</v>
      </c>
      <c r="J173" s="1">
        <f>VLOOKUP($B173&amp;"__wt",'SegEnds_Xtal_BW#'!$A:$Z,10,FALSE)</f>
        <v>52</v>
      </c>
      <c r="K173" s="12">
        <v>18</v>
      </c>
      <c r="L173" s="1">
        <f>VLOOKUP($B173&amp;"__wt",'SegEnds_Xtal_BW#'!$A:$Z,12,FALSE)</f>
        <v>56</v>
      </c>
      <c r="M173" s="1">
        <f>VLOOKUP($B173&amp;"__wt",'SegEnds_Xtal_BW#'!$A:$Z,13,FALSE)</f>
        <v>50</v>
      </c>
      <c r="N173" s="12">
        <v>56</v>
      </c>
      <c r="O173" s="87">
        <f>VLOOKUP($B173&amp;"__wt",'SegEnds_Xtal_BW#'!$A:$Z,15,FALSE)</f>
        <v>38</v>
      </c>
      <c r="P173" s="1">
        <f>VLOOKUP($B173&amp;"__wt",'SegEnds_Xtal_BW#'!$A:$Z,16,FALSE)</f>
        <v>64</v>
      </c>
      <c r="Q173" s="1">
        <f>VLOOKUP($B173&amp;"__wt",'SegEnds_Xtal_BW#'!$A:$Z,17,FALSE)</f>
        <v>50</v>
      </c>
      <c r="R173" s="1">
        <f>VLOOKUP($B173&amp;"__wt",'SegEnds_Xtal_BW#'!$A:$Z,18,FALSE)</f>
        <v>52</v>
      </c>
      <c r="S173" s="1">
        <f>VLOOKUP($B173&amp;"__wt",'SegEnds_Xtal_BW#'!$A:$Z,19,FALSE)</f>
        <v>33</v>
      </c>
      <c r="T173" s="1">
        <f t="array" ref="T173">INDEX(ICL3_classA!$G$2:$G$37,MATCH(MIN(ABS(AI173-ICL3_classA!$F$2:$F$37)),ABS(AI173-ICL3_classA!$F$2:$F$37),0))</f>
        <v>72</v>
      </c>
      <c r="U173" s="1">
        <f t="array" ref="U173">INDEX(ICL3_classA!$H$2:$H$37,MATCH(MIN(ABS(AI173-ICL3_classA!$F$2:$F$37)),ABS(AI173-ICL3_classA!$F$2:$F$37),0))</f>
        <v>24</v>
      </c>
      <c r="V173" s="1">
        <v>61</v>
      </c>
      <c r="W173" s="133">
        <f>VLOOKUP($B173&amp;"__wt",'SegEnds_Xtal_BW#'!$A:$Z,23,FALSE)</f>
        <v>27</v>
      </c>
      <c r="X173" s="1">
        <f>VLOOKUP($B173&amp;"__wt",'SegEnds_Xtal_BW#'!$A:$Z,24,FALSE)</f>
        <v>56</v>
      </c>
      <c r="Y173" s="1">
        <f>VLOOKUP($B173&amp;"__wt",'SegEnds_Xtal_BW#'!$A:$Z,25,FALSE)</f>
        <v>47</v>
      </c>
      <c r="Z173" s="1">
        <f>VLOOKUP($B173&amp;"__wt",'SegEnds_Xtal_BW#'!$A:$Z,26,FALSE)</f>
        <v>58</v>
      </c>
      <c r="AA173" s="27" t="str">
        <f>VLOOKUP(A173,Classification!A:B,2,FALSE)</f>
        <v>A</v>
      </c>
      <c r="AB173" s="1">
        <f>VLOOKUP(A173,'SegEnds_NonXtal_Prot#'!A:AL,10,FALSE)-VLOOKUP(A173,'SegEnds_NonXtal_Prot#'!A:AL,4,FALSE)</f>
        <v>28</v>
      </c>
      <c r="AC173" s="1">
        <f>VLOOKUP(A173,'SegEnds_NonXtal_Prot#'!A:AL,10,FALSE)-VLOOKUP(A173,'SegEnds_NonXtal_Prot#'!A:AL,7,FALSE)</f>
        <v>15</v>
      </c>
      <c r="AD173" s="1">
        <f>VLOOKUP(A173,'SegEnds_NonXtal_Prot#'!A:AL,13,FALSE)-VLOOKUP(A173,'SegEnds_NonXtal_Prot#'!A:AL,10,FALSE)</f>
        <v>20</v>
      </c>
      <c r="AE173" s="1">
        <f>VLOOKUP(A173,'SegEnds_NonXtal_Prot#'!A:AL,16,FALSE)-VLOOKUP(A173,'SegEnds_NonXtal_Prot#'!A:AL,10,FALSE)</f>
        <v>52</v>
      </c>
      <c r="AF173" s="1" t="e">
        <f>VLOOKUP(A173,'SegEnds_NonXtal_Prot#'!A:AL,22,FALSE)-VLOOKUP(A173,'SegEnds_NonXtal_Prot#'!A:AL,19,FALSE)</f>
        <v>#VALUE!</v>
      </c>
      <c r="AG173" s="1">
        <f>VLOOKUP(A173,'SegEnds_NonXtal_Prot#'!A:AL,28,FALSE)-VLOOKUP(A173,'SegEnds_NonXtal_Prot#'!A:AL,25,FALSE)</f>
        <v>28</v>
      </c>
      <c r="AH173" s="1">
        <f>VLOOKUP(A173,'SegEnds_NonXtal_Prot#'!A:AL,28,FALSE)-VLOOKUP(A173,'SegEnds_NonXtal_Prot#'!A:AL,22,FALSE)</f>
        <v>58</v>
      </c>
      <c r="AI173" s="1">
        <f>VLOOKUP(A173,'SegEnds_NonXtal_Prot#'!A:AL,31,FALSE)-VLOOKUP(A173,'SegEnds_NonXtal_Prot#'!A:AL,28,FALSE)</f>
        <v>52</v>
      </c>
      <c r="AJ173" s="1">
        <f>VLOOKUP(A173,'SegEnds_NonXtal_Prot#'!A:AL,34,FALSE)-VLOOKUP(A173,'SegEnds_NonXtal_Prot#'!A:AL,31,FALSE)</f>
        <v>39</v>
      </c>
      <c r="AK173" s="1">
        <f>VLOOKUP(A173,'SegEnds_NonXtal_Prot#'!A:AL,37,FALSE)-VLOOKUP(A173,'SegEnds_NonXtal_Prot#'!A:AL,34,FALSE)</f>
        <v>10</v>
      </c>
      <c r="AL173" s="1" t="str">
        <f>IF(ISERROR(MATCH(A173,'SegEnds_Xtal_Prot#'!B:B, 0)), "NoXtal", "Xtal")</f>
        <v>NoXtal</v>
      </c>
    </row>
    <row r="174" spans="1:38" x14ac:dyDescent="0.2">
      <c r="A174" s="1" t="s">
        <v>327</v>
      </c>
      <c r="B174" s="1" t="str">
        <f>VLOOKUP(A174,Xtal_Templ!A:B,2,FALSE)</f>
        <v>npy1r_human</v>
      </c>
      <c r="C174" s="5">
        <f>VLOOKUP($B174&amp;"__wt",'SegEnds_Xtal_BW#'!$A:$Z,3,FALSE)</f>
        <v>28</v>
      </c>
      <c r="D174" s="1">
        <f>VLOOKUP($B174&amp;"__wt",'SegEnds_Xtal_BW#'!$A:$Z,4,FALSE)</f>
        <v>60</v>
      </c>
      <c r="E174" s="1">
        <f>VLOOKUP($B174&amp;"__wt",'SegEnds_Xtal_BW#'!$A:$Z,5,FALSE)</f>
        <v>48</v>
      </c>
      <c r="F174" s="1">
        <f>VLOOKUP($B174&amp;"__wt",'SegEnds_Xtal_BW#'!$A:$Z,6,FALSE)</f>
        <v>51</v>
      </c>
      <c r="G174" s="1">
        <v>37</v>
      </c>
      <c r="H174" s="12">
        <f>VLOOKUP($B174&amp;"__wt",'SegEnds_Xtal_BW#'!$A:$Z,8,FALSE)</f>
        <v>68</v>
      </c>
      <c r="I174" s="1">
        <f>VLOOKUP($B174&amp;"__wt",'SegEnds_Xtal_BW#'!$A:$Z,9,FALSE)</f>
        <v>49</v>
      </c>
      <c r="J174" s="1">
        <f>VLOOKUP($B174&amp;"__wt",'SegEnds_Xtal_BW#'!$A:$Z,10,FALSE)</f>
        <v>52</v>
      </c>
      <c r="K174" s="12">
        <v>18</v>
      </c>
      <c r="L174" s="1">
        <f>VLOOKUP($B174&amp;"__wt",'SegEnds_Xtal_BW#'!$A:$Z,12,FALSE)</f>
        <v>56</v>
      </c>
      <c r="M174" s="1" t="str">
        <f>VLOOKUP($B174&amp;"__wt",'SegEnds_Xtal_BW#'!$A:$Z,13,FALSE)</f>
        <v>-</v>
      </c>
      <c r="N174" s="108" t="s">
        <v>23</v>
      </c>
      <c r="O174" s="87">
        <f>VLOOKUP($B174&amp;"__wt",'SegEnds_Xtal_BW#'!$A:$Z,15,FALSE)</f>
        <v>38</v>
      </c>
      <c r="P174" s="1">
        <f>VLOOKUP($B174&amp;"__wt",'SegEnds_Xtal_BW#'!$A:$Z,16,FALSE)</f>
        <v>64</v>
      </c>
      <c r="Q174" s="1">
        <f>VLOOKUP($B174&amp;"__wt",'SegEnds_Xtal_BW#'!$A:$Z,17,FALSE)</f>
        <v>50</v>
      </c>
      <c r="R174" s="1">
        <f>VLOOKUP($B174&amp;"__wt",'SegEnds_Xtal_BW#'!$A:$Z,18,FALSE)</f>
        <v>52</v>
      </c>
      <c r="S174" s="1">
        <f>VLOOKUP($B174&amp;"__wt",'SegEnds_Xtal_BW#'!$A:$Z,19,FALSE)</f>
        <v>31</v>
      </c>
      <c r="T174" s="1">
        <f t="array" ref="T174">INDEX(ICL3_classA!$G$2:$G$37,MATCH(MIN(ABS(AI174-ICL3_classA!$F$2:$F$37)),ABS(AI174-ICL3_classA!$F$2:$F$37),0))</f>
        <v>72</v>
      </c>
      <c r="U174" s="1">
        <f t="array" ref="U174">INDEX(ICL3_classA!$H$2:$H$37,MATCH(MIN(ABS(AI174-ICL3_classA!$F$2:$F$37)),ABS(AI174-ICL3_classA!$F$2:$F$37),0))</f>
        <v>24</v>
      </c>
      <c r="V174" s="1">
        <v>61</v>
      </c>
      <c r="W174" s="133">
        <f>VLOOKUP($B174&amp;"__wt",'SegEnds_Xtal_BW#'!$A:$Z,23,FALSE)</f>
        <v>28</v>
      </c>
      <c r="X174" s="1">
        <f>VLOOKUP($B174&amp;"__wt",'SegEnds_Xtal_BW#'!$A:$Z,24,FALSE)</f>
        <v>56</v>
      </c>
      <c r="Y174" s="1">
        <f>VLOOKUP($B174&amp;"__wt",'SegEnds_Xtal_BW#'!$A:$Z,25,FALSE)</f>
        <v>47</v>
      </c>
      <c r="Z174" s="1">
        <f>VLOOKUP($B174&amp;"__wt",'SegEnds_Xtal_BW#'!$A:$Z,26,FALSE)</f>
        <v>58</v>
      </c>
      <c r="AA174" s="27" t="str">
        <f>VLOOKUP(A174,Classification!A:B,2,FALSE)</f>
        <v>A</v>
      </c>
      <c r="AB174" s="1">
        <f>VLOOKUP(A174,'SegEnds_NonXtal_Prot#'!A:AL,10,FALSE)-VLOOKUP(A174,'SegEnds_NonXtal_Prot#'!A:AL,4,FALSE)</f>
        <v>28</v>
      </c>
      <c r="AC174" s="1">
        <f>VLOOKUP(A174,'SegEnds_NonXtal_Prot#'!A:AL,10,FALSE)-VLOOKUP(A174,'SegEnds_NonXtal_Prot#'!A:AL,7,FALSE)</f>
        <v>15</v>
      </c>
      <c r="AD174" s="1">
        <f>VLOOKUP(A174,'SegEnds_NonXtal_Prot#'!A:AL,13,FALSE)-VLOOKUP(A174,'SegEnds_NonXtal_Prot#'!A:AL,10,FALSE)</f>
        <v>20</v>
      </c>
      <c r="AE174" s="1">
        <f>VLOOKUP(A174,'SegEnds_NonXtal_Prot#'!A:AL,16,FALSE)-VLOOKUP(A174,'SegEnds_NonXtal_Prot#'!A:AL,10,FALSE)</f>
        <v>52</v>
      </c>
      <c r="AF174" s="1" t="e">
        <f>VLOOKUP(A174,'SegEnds_NonXtal_Prot#'!A:AL,22,FALSE)-VLOOKUP(A174,'SegEnds_NonXtal_Prot#'!A:AL,19,FALSE)</f>
        <v>#VALUE!</v>
      </c>
      <c r="AG174" s="1">
        <f>VLOOKUP(A174,'SegEnds_NonXtal_Prot#'!A:AL,28,FALSE)-VLOOKUP(A174,'SegEnds_NonXtal_Prot#'!A:AL,25,FALSE)</f>
        <v>25</v>
      </c>
      <c r="AH174" s="1">
        <f>VLOOKUP(A174,'SegEnds_NonXtal_Prot#'!A:AL,28,FALSE)-VLOOKUP(A174,'SegEnds_NonXtal_Prot#'!A:AL,22,FALSE)</f>
        <v>62</v>
      </c>
      <c r="AI174" s="1">
        <f>VLOOKUP(A174,'SegEnds_NonXtal_Prot#'!A:AL,31,FALSE)-VLOOKUP(A174,'SegEnds_NonXtal_Prot#'!A:AL,28,FALSE)</f>
        <v>54</v>
      </c>
      <c r="AJ174" s="1">
        <f>VLOOKUP(A174,'SegEnds_NonXtal_Prot#'!A:AL,34,FALSE)-VLOOKUP(A174,'SegEnds_NonXtal_Prot#'!A:AL,31,FALSE)</f>
        <v>39</v>
      </c>
      <c r="AK174" s="1">
        <f>VLOOKUP(A174,'SegEnds_NonXtal_Prot#'!A:AL,37,FALSE)-VLOOKUP(A174,'SegEnds_NonXtal_Prot#'!A:AL,34,FALSE)</f>
        <v>10</v>
      </c>
      <c r="AL174" s="1" t="str">
        <f>IF(ISERROR(MATCH(A174,'SegEnds_Xtal_Prot#'!B:B, 0)), "NoXtal", "Xtal")</f>
        <v>NoXtal</v>
      </c>
    </row>
    <row r="175" spans="1:38" x14ac:dyDescent="0.2">
      <c r="A175" s="1" t="s">
        <v>328</v>
      </c>
      <c r="B175" s="1" t="str">
        <f>VLOOKUP(A175,Xtal_Templ!A:B,2,FALSE)</f>
        <v>npy1r_human</v>
      </c>
      <c r="C175" s="5">
        <f>VLOOKUP($B175&amp;"__wt",'SegEnds_Xtal_BW#'!$A:$Z,3,FALSE)</f>
        <v>28</v>
      </c>
      <c r="D175" s="1">
        <f>VLOOKUP($B175&amp;"__wt",'SegEnds_Xtal_BW#'!$A:$Z,4,FALSE)</f>
        <v>60</v>
      </c>
      <c r="E175" s="1">
        <f>VLOOKUP($B175&amp;"__wt",'SegEnds_Xtal_BW#'!$A:$Z,5,FALSE)</f>
        <v>48</v>
      </c>
      <c r="F175" s="1">
        <f>VLOOKUP($B175&amp;"__wt",'SegEnds_Xtal_BW#'!$A:$Z,6,FALSE)</f>
        <v>51</v>
      </c>
      <c r="G175" s="1">
        <v>37</v>
      </c>
      <c r="H175" s="12">
        <f>VLOOKUP($B175&amp;"__wt",'SegEnds_Xtal_BW#'!$A:$Z,8,FALSE)</f>
        <v>68</v>
      </c>
      <c r="I175" s="1">
        <f>VLOOKUP($B175&amp;"__wt",'SegEnds_Xtal_BW#'!$A:$Z,9,FALSE)</f>
        <v>49</v>
      </c>
      <c r="J175" s="1">
        <f>VLOOKUP($B175&amp;"__wt",'SegEnds_Xtal_BW#'!$A:$Z,10,FALSE)</f>
        <v>52</v>
      </c>
      <c r="K175" s="12">
        <v>18</v>
      </c>
      <c r="L175" s="1">
        <f>VLOOKUP($B175&amp;"__wt",'SegEnds_Xtal_BW#'!$A:$Z,12,FALSE)</f>
        <v>56</v>
      </c>
      <c r="M175" s="1" t="str">
        <f>VLOOKUP($B175&amp;"__wt",'SegEnds_Xtal_BW#'!$A:$Z,13,FALSE)</f>
        <v>-</v>
      </c>
      <c r="N175" s="108" t="s">
        <v>23</v>
      </c>
      <c r="O175" s="87">
        <f>VLOOKUP($B175&amp;"__wt",'SegEnds_Xtal_BW#'!$A:$Z,15,FALSE)</f>
        <v>38</v>
      </c>
      <c r="P175" s="1">
        <f>VLOOKUP($B175&amp;"__wt",'SegEnds_Xtal_BW#'!$A:$Z,16,FALSE)</f>
        <v>64</v>
      </c>
      <c r="Q175" s="1">
        <f>VLOOKUP($B175&amp;"__wt",'SegEnds_Xtal_BW#'!$A:$Z,17,FALSE)</f>
        <v>50</v>
      </c>
      <c r="R175" s="1">
        <f>VLOOKUP($B175&amp;"__wt",'SegEnds_Xtal_BW#'!$A:$Z,18,FALSE)</f>
        <v>52</v>
      </c>
      <c r="S175" s="1">
        <f>VLOOKUP($B175&amp;"__wt",'SegEnds_Xtal_BW#'!$A:$Z,19,FALSE)</f>
        <v>31</v>
      </c>
      <c r="T175" s="1">
        <f t="array" ref="T175">INDEX(ICL3_classA!$G$2:$G$37,MATCH(MIN(ABS(AI175-ICL3_classA!$F$2:$F$37)),ABS(AI175-ICL3_classA!$F$2:$F$37),0))</f>
        <v>76</v>
      </c>
      <c r="U175" s="1">
        <f t="array" ref="U175">INDEX(ICL3_classA!$H$2:$H$37,MATCH(MIN(ABS(AI175-ICL3_classA!$F$2:$F$37)),ABS(AI175-ICL3_classA!$F$2:$F$37),0))</f>
        <v>24</v>
      </c>
      <c r="V175" s="1">
        <v>61</v>
      </c>
      <c r="W175" s="133">
        <f>VLOOKUP($B175&amp;"__wt",'SegEnds_Xtal_BW#'!$A:$Z,23,FALSE)</f>
        <v>28</v>
      </c>
      <c r="X175" s="1">
        <f>VLOOKUP($B175&amp;"__wt",'SegEnds_Xtal_BW#'!$A:$Z,24,FALSE)</f>
        <v>56</v>
      </c>
      <c r="Y175" s="1">
        <f>VLOOKUP($B175&amp;"__wt",'SegEnds_Xtal_BW#'!$A:$Z,25,FALSE)</f>
        <v>47</v>
      </c>
      <c r="Z175" s="1">
        <f>VLOOKUP($B175&amp;"__wt",'SegEnds_Xtal_BW#'!$A:$Z,26,FALSE)</f>
        <v>58</v>
      </c>
      <c r="AA175" s="27" t="str">
        <f>VLOOKUP(A175,Classification!A:B,2,FALSE)</f>
        <v>A</v>
      </c>
      <c r="AB175" s="1">
        <f>VLOOKUP(A175,'SegEnds_NonXtal_Prot#'!A:AL,10,FALSE)-VLOOKUP(A175,'SegEnds_NonXtal_Prot#'!A:AL,4,FALSE)</f>
        <v>28</v>
      </c>
      <c r="AC175" s="1">
        <f>VLOOKUP(A175,'SegEnds_NonXtal_Prot#'!A:AL,10,FALSE)-VLOOKUP(A175,'SegEnds_NonXtal_Prot#'!A:AL,7,FALSE)</f>
        <v>15</v>
      </c>
      <c r="AD175" s="1">
        <f>VLOOKUP(A175,'SegEnds_NonXtal_Prot#'!A:AL,13,FALSE)-VLOOKUP(A175,'SegEnds_NonXtal_Prot#'!A:AL,10,FALSE)</f>
        <v>20</v>
      </c>
      <c r="AE175" s="1">
        <f>VLOOKUP(A175,'SegEnds_NonXtal_Prot#'!A:AL,16,FALSE)-VLOOKUP(A175,'SegEnds_NonXtal_Prot#'!A:AL,10,FALSE)</f>
        <v>52</v>
      </c>
      <c r="AF175" s="1" t="e">
        <f>VLOOKUP(A175,'SegEnds_NonXtal_Prot#'!A:AL,22,FALSE)-VLOOKUP(A175,'SegEnds_NonXtal_Prot#'!A:AL,19,FALSE)</f>
        <v>#VALUE!</v>
      </c>
      <c r="AG175" s="1">
        <f>VLOOKUP(A175,'SegEnds_NonXtal_Prot#'!A:AL,28,FALSE)-VLOOKUP(A175,'SegEnds_NonXtal_Prot#'!A:AL,25,FALSE)</f>
        <v>25</v>
      </c>
      <c r="AH175" s="1">
        <f>VLOOKUP(A175,'SegEnds_NonXtal_Prot#'!A:AL,28,FALSE)-VLOOKUP(A175,'SegEnds_NonXtal_Prot#'!A:AL,22,FALSE)</f>
        <v>59</v>
      </c>
      <c r="AI175" s="1">
        <f>VLOOKUP(A175,'SegEnds_NonXtal_Prot#'!A:AL,31,FALSE)-VLOOKUP(A175,'SegEnds_NonXtal_Prot#'!A:AL,28,FALSE)</f>
        <v>160</v>
      </c>
      <c r="AJ175" s="1">
        <f>VLOOKUP(A175,'SegEnds_NonXtal_Prot#'!A:AL,34,FALSE)-VLOOKUP(A175,'SegEnds_NonXtal_Prot#'!A:AL,31,FALSE)</f>
        <v>39</v>
      </c>
      <c r="AK175" s="1">
        <f>VLOOKUP(A175,'SegEnds_NonXtal_Prot#'!A:AL,37,FALSE)-VLOOKUP(A175,'SegEnds_NonXtal_Prot#'!A:AL,34,FALSE)</f>
        <v>10</v>
      </c>
      <c r="AL175" s="1" t="str">
        <f>IF(ISERROR(MATCH(A175,'SegEnds_Xtal_Prot#'!B:B, 0)), "NoXtal", "Xtal")</f>
        <v>NoXtal</v>
      </c>
    </row>
    <row r="176" spans="1:38" x14ac:dyDescent="0.2">
      <c r="A176" s="1" t="s">
        <v>335</v>
      </c>
      <c r="B176" s="1" t="str">
        <f>VLOOKUP(A176,Xtal_Templ!A:B,2,FALSE)</f>
        <v>oprd_human</v>
      </c>
      <c r="C176" s="5">
        <f>VLOOKUP($B176&amp;"__wt",'SegEnds_Xtal_BW#'!$A:$Z,3,FALSE)</f>
        <v>22</v>
      </c>
      <c r="D176" s="1">
        <f>VLOOKUP($B176&amp;"__wt",'SegEnds_Xtal_BW#'!$A:$Z,4,FALSE)</f>
        <v>60</v>
      </c>
      <c r="E176" s="1">
        <f>VLOOKUP($B176&amp;"__wt",'SegEnds_Xtal_BW#'!$A:$Z,5,FALSE)</f>
        <v>48</v>
      </c>
      <c r="F176" s="1">
        <f>VLOOKUP($B176&amp;"__wt",'SegEnds_Xtal_BW#'!$A:$Z,6,FALSE)</f>
        <v>51</v>
      </c>
      <c r="G176" s="1">
        <v>37</v>
      </c>
      <c r="H176" s="12">
        <v>66</v>
      </c>
      <c r="I176" s="1">
        <f>VLOOKUP($B176&amp;"__wt",'SegEnds_Xtal_BW#'!$A:$Z,9,FALSE)</f>
        <v>49</v>
      </c>
      <c r="J176" s="1">
        <f>VLOOKUP($B176&amp;"__wt",'SegEnds_Xtal_BW#'!$A:$Z,10,FALSE)</f>
        <v>52</v>
      </c>
      <c r="K176" s="12">
        <f>VLOOKUP($B176&amp;"__wt",'SegEnds_Xtal_BW#'!$A:$Z,11,FALSE)</f>
        <v>21</v>
      </c>
      <c r="L176" s="1">
        <f>VLOOKUP($B176&amp;"__wt",'SegEnds_Xtal_BW#'!$A:$Z,12,FALSE)</f>
        <v>56</v>
      </c>
      <c r="M176" s="1">
        <f>VLOOKUP($B176&amp;"__wt",'SegEnds_Xtal_BW#'!$A:$Z,13,FALSE)</f>
        <v>50</v>
      </c>
      <c r="N176" s="12">
        <f>VLOOKUP($B176&amp;"__wt",'SegEnds_Xtal_BW#'!$A:$Z,14,FALSE)</f>
        <v>57</v>
      </c>
      <c r="O176" s="87">
        <f>VLOOKUP($B176&amp;"__wt",'SegEnds_Xtal_BW#'!$A:$Z,15,FALSE)</f>
        <v>38</v>
      </c>
      <c r="P176" s="1">
        <f>VLOOKUP($B176&amp;"__wt",'SegEnds_Xtal_BW#'!$A:$Z,16,FALSE)</f>
        <v>64</v>
      </c>
      <c r="Q176" s="1">
        <f>VLOOKUP($B176&amp;"__wt",'SegEnds_Xtal_BW#'!$A:$Z,17,FALSE)</f>
        <v>50</v>
      </c>
      <c r="R176" s="1">
        <f>VLOOKUP($B176&amp;"__wt",'SegEnds_Xtal_BW#'!$A:$Z,18,FALSE)</f>
        <v>52</v>
      </c>
      <c r="S176" s="1">
        <f>VLOOKUP($B176&amp;"__wt",'SegEnds_Xtal_BW#'!$A:$Z,19,FALSE)</f>
        <v>31</v>
      </c>
      <c r="T176" s="1">
        <f t="array" ref="T176">INDEX(ICL3_classA!$G$2:$G$37,MATCH(MIN(ABS(AI176-ICL3_classA!$F$2:$F$37)),ABS(AI176-ICL3_classA!$F$2:$F$37),0))</f>
        <v>68</v>
      </c>
      <c r="U176" s="1">
        <f t="array" ref="U176">INDEX(ICL3_classA!$H$2:$H$37,MATCH(MIN(ABS(AI176-ICL3_classA!$F$2:$F$37)),ABS(AI176-ICL3_classA!$F$2:$F$37),0))</f>
        <v>23</v>
      </c>
      <c r="V176" s="1">
        <v>61</v>
      </c>
      <c r="W176" s="133">
        <f>VLOOKUP($B176&amp;"__wt",'SegEnds_Xtal_BW#'!$A:$Z,23,FALSE)</f>
        <v>28</v>
      </c>
      <c r="X176" s="1">
        <f>VLOOKUP($B176&amp;"__wt",'SegEnds_Xtal_BW#'!$A:$Z,24,FALSE)</f>
        <v>56</v>
      </c>
      <c r="Y176" s="1">
        <f>VLOOKUP($B176&amp;"__wt",'SegEnds_Xtal_BW#'!$A:$Z,25,FALSE)</f>
        <v>47</v>
      </c>
      <c r="Z176" s="1">
        <f>VLOOKUP($B176&amp;"__wt",'SegEnds_Xtal_BW#'!$A:$Z,26,FALSE)</f>
        <v>60</v>
      </c>
      <c r="AA176" s="27" t="str">
        <f>VLOOKUP(A176,Classification!A:B,2,FALSE)</f>
        <v>A</v>
      </c>
      <c r="AB176" s="1">
        <f>VLOOKUP(A176,'SegEnds_NonXtal_Prot#'!A:AL,10,FALSE)-VLOOKUP(A176,'SegEnds_NonXtal_Prot#'!A:AL,4,FALSE)</f>
        <v>28</v>
      </c>
      <c r="AC176" s="1">
        <f>VLOOKUP(A176,'SegEnds_NonXtal_Prot#'!A:AL,10,FALSE)-VLOOKUP(A176,'SegEnds_NonXtal_Prot#'!A:AL,7,FALSE)</f>
        <v>15</v>
      </c>
      <c r="AD176" s="1">
        <f>VLOOKUP(A176,'SegEnds_NonXtal_Prot#'!A:AL,13,FALSE)-VLOOKUP(A176,'SegEnds_NonXtal_Prot#'!A:AL,10,FALSE)</f>
        <v>19</v>
      </c>
      <c r="AE176" s="1">
        <f>VLOOKUP(A176,'SegEnds_NonXtal_Prot#'!A:AL,16,FALSE)-VLOOKUP(A176,'SegEnds_NonXtal_Prot#'!A:AL,10,FALSE)</f>
        <v>51</v>
      </c>
      <c r="AF176" s="1">
        <f>VLOOKUP(A176,'SegEnds_NonXtal_Prot#'!A:AL,22,FALSE)-VLOOKUP(A176,'SegEnds_NonXtal_Prot#'!A:AL,19,FALSE)</f>
        <v>20</v>
      </c>
      <c r="AG176" s="1">
        <f>VLOOKUP(A176,'SegEnds_NonXtal_Prot#'!A:AL,28,FALSE)-VLOOKUP(A176,'SegEnds_NonXtal_Prot#'!A:AL,25,FALSE)</f>
        <v>27</v>
      </c>
      <c r="AH176" s="1">
        <f>VLOOKUP(A176,'SegEnds_NonXtal_Prot#'!A:AL,28,FALSE)-VLOOKUP(A176,'SegEnds_NonXtal_Prot#'!A:AL,22,FALSE)</f>
        <v>52</v>
      </c>
      <c r="AI176" s="1">
        <f>VLOOKUP(A176,'SegEnds_NonXtal_Prot#'!A:AL,31,FALSE)-VLOOKUP(A176,'SegEnds_NonXtal_Prot#'!A:AL,28,FALSE)</f>
        <v>51</v>
      </c>
      <c r="AJ176" s="1">
        <f>VLOOKUP(A176,'SegEnds_NonXtal_Prot#'!A:AL,34,FALSE)-VLOOKUP(A176,'SegEnds_NonXtal_Prot#'!A:AL,31,FALSE)</f>
        <v>39</v>
      </c>
      <c r="AK176" s="1">
        <f>VLOOKUP(A176,'SegEnds_NonXtal_Prot#'!A:AL,37,FALSE)-VLOOKUP(A176,'SegEnds_NonXtal_Prot#'!A:AL,34,FALSE)</f>
        <v>10</v>
      </c>
      <c r="AL176" s="1" t="str">
        <f>IF(ISERROR(MATCH(A176,'SegEnds_Xtal_Prot#'!B:B, 0)), "NoXtal", "Xtal")</f>
        <v>Xtal</v>
      </c>
    </row>
    <row r="177" spans="1:38" x14ac:dyDescent="0.2">
      <c r="A177" s="1" t="s">
        <v>916</v>
      </c>
      <c r="B177" s="1" t="str">
        <f>VLOOKUP(A177,Xtal_Templ!A:B,2,FALSE)</f>
        <v>oprd_mouse</v>
      </c>
      <c r="C177" s="5">
        <f>VLOOKUP($B177&amp;"__wt",'SegEnds_Xtal_BW#'!$A:$Z,3,FALSE)</f>
        <v>24</v>
      </c>
      <c r="D177" s="1">
        <f>VLOOKUP($B177&amp;"__wt",'SegEnds_Xtal_BW#'!$A:$Z,4,FALSE)</f>
        <v>60</v>
      </c>
      <c r="E177" s="1">
        <f>VLOOKUP($B177&amp;"__wt",'SegEnds_Xtal_BW#'!$A:$Z,5,FALSE)</f>
        <v>48</v>
      </c>
      <c r="F177" s="1">
        <f>VLOOKUP($B177&amp;"__wt",'SegEnds_Xtal_BW#'!$A:$Z,6,FALSE)</f>
        <v>51</v>
      </c>
      <c r="G177" s="1">
        <v>37</v>
      </c>
      <c r="H177" s="12">
        <v>66</v>
      </c>
      <c r="I177" s="1">
        <f>VLOOKUP($B177&amp;"__wt",'SegEnds_Xtal_BW#'!$A:$Z,9,FALSE)</f>
        <v>49</v>
      </c>
      <c r="J177" s="1">
        <f>VLOOKUP($B177&amp;"__wt",'SegEnds_Xtal_BW#'!$A:$Z,10,FALSE)</f>
        <v>52</v>
      </c>
      <c r="K177" s="12">
        <f>VLOOKUP($B177&amp;"__wt",'SegEnds_Xtal_BW#'!$A:$Z,11,FALSE)</f>
        <v>21</v>
      </c>
      <c r="L177" s="1">
        <f>VLOOKUP($B177&amp;"__wt",'SegEnds_Xtal_BW#'!$A:$Z,12,FALSE)</f>
        <v>56</v>
      </c>
      <c r="M177" s="1">
        <f>VLOOKUP($B177&amp;"__wt",'SegEnds_Xtal_BW#'!$A:$Z,13,FALSE)</f>
        <v>50</v>
      </c>
      <c r="N177" s="12">
        <f>VLOOKUP($B177&amp;"__wt",'SegEnds_Xtal_BW#'!$A:$Z,14,FALSE)</f>
        <v>57</v>
      </c>
      <c r="O177" s="87">
        <f>VLOOKUP($B177&amp;"__wt",'SegEnds_Xtal_BW#'!$A:$Z,15,FALSE)</f>
        <v>38</v>
      </c>
      <c r="P177" s="1">
        <f>VLOOKUP($B177&amp;"__wt",'SegEnds_Xtal_BW#'!$A:$Z,16,FALSE)</f>
        <v>64</v>
      </c>
      <c r="Q177" s="1">
        <f>VLOOKUP($B177&amp;"__wt",'SegEnds_Xtal_BW#'!$A:$Z,17,FALSE)</f>
        <v>50</v>
      </c>
      <c r="R177" s="1">
        <f>VLOOKUP($B177&amp;"__wt",'SegEnds_Xtal_BW#'!$A:$Z,18,FALSE)</f>
        <v>52</v>
      </c>
      <c r="S177" s="1">
        <f>VLOOKUP($B177&amp;"__wt",'SegEnds_Xtal_BW#'!$A:$Z,19,FALSE)</f>
        <v>31</v>
      </c>
      <c r="T177" s="1">
        <f t="array" ref="T177">INDEX(ICL3_classA!$G$2:$G$37,MATCH(MIN(ABS(AI177-ICL3_classA!$F$2:$F$37)),ABS(AI177-ICL3_classA!$F$2:$F$37),0))</f>
        <v>68</v>
      </c>
      <c r="U177" s="1">
        <f t="array" ref="U177">INDEX(ICL3_classA!$H$2:$H$37,MATCH(MIN(ABS(AI177-ICL3_classA!$F$2:$F$37)),ABS(AI177-ICL3_classA!$F$2:$F$37),0))</f>
        <v>23</v>
      </c>
      <c r="V177" s="1">
        <v>61</v>
      </c>
      <c r="W177" s="133">
        <f>VLOOKUP($B177&amp;"__wt",'SegEnds_Xtal_BW#'!$A:$Z,23,FALSE)</f>
        <v>28</v>
      </c>
      <c r="X177" s="1">
        <f>VLOOKUP($B177&amp;"__wt",'SegEnds_Xtal_BW#'!$A:$Z,24,FALSE)</f>
        <v>56</v>
      </c>
      <c r="Y177" s="1">
        <f>VLOOKUP($B177&amp;"__wt",'SegEnds_Xtal_BW#'!$A:$Z,25,FALSE)</f>
        <v>47</v>
      </c>
      <c r="Z177" s="1">
        <f>VLOOKUP($B177&amp;"__wt",'SegEnds_Xtal_BW#'!$A:$Z,26,FALSE)</f>
        <v>60</v>
      </c>
      <c r="AA177" s="27" t="str">
        <f>VLOOKUP(A177,Classification!A:B,2,FALSE)</f>
        <v>A</v>
      </c>
      <c r="AB177" s="1">
        <f>VLOOKUP(A177,'SegEnds_NonXtal_Prot#'!A:AL,10,FALSE)-VLOOKUP(A177,'SegEnds_NonXtal_Prot#'!A:AL,4,FALSE)</f>
        <v>28</v>
      </c>
      <c r="AC177" s="1">
        <f>VLOOKUP(A177,'SegEnds_NonXtal_Prot#'!A:AL,10,FALSE)-VLOOKUP(A177,'SegEnds_NonXtal_Prot#'!A:AL,7,FALSE)</f>
        <v>15</v>
      </c>
      <c r="AD177" s="1">
        <f>VLOOKUP(A177,'SegEnds_NonXtal_Prot#'!A:AL,13,FALSE)-VLOOKUP(A177,'SegEnds_NonXtal_Prot#'!A:AL,10,FALSE)</f>
        <v>19</v>
      </c>
      <c r="AE177" s="1">
        <f>VLOOKUP(A177,'SegEnds_NonXtal_Prot#'!A:AL,16,FALSE)-VLOOKUP(A177,'SegEnds_NonXtal_Prot#'!A:AL,10,FALSE)</f>
        <v>51</v>
      </c>
      <c r="AF177" s="1">
        <f>VLOOKUP(A177,'SegEnds_NonXtal_Prot#'!A:AL,22,FALSE)-VLOOKUP(A177,'SegEnds_NonXtal_Prot#'!A:AL,19,FALSE)</f>
        <v>20</v>
      </c>
      <c r="AG177" s="1">
        <f>VLOOKUP(A177,'SegEnds_NonXtal_Prot#'!A:AL,28,FALSE)-VLOOKUP(A177,'SegEnds_NonXtal_Prot#'!A:AL,25,FALSE)</f>
        <v>27</v>
      </c>
      <c r="AH177" s="1">
        <f>VLOOKUP(A177,'SegEnds_NonXtal_Prot#'!A:AL,28,FALSE)-VLOOKUP(A177,'SegEnds_NonXtal_Prot#'!A:AL,22,FALSE)</f>
        <v>52</v>
      </c>
      <c r="AI177" s="1">
        <f>VLOOKUP(A177,'SegEnds_NonXtal_Prot#'!A:AL,31,FALSE)-VLOOKUP(A177,'SegEnds_NonXtal_Prot#'!A:AL,28,FALSE)</f>
        <v>51</v>
      </c>
      <c r="AJ177" s="1">
        <f>VLOOKUP(A177,'SegEnds_NonXtal_Prot#'!A:AL,34,FALSE)-VLOOKUP(A177,'SegEnds_NonXtal_Prot#'!A:AL,31,FALSE)</f>
        <v>39</v>
      </c>
      <c r="AK177" s="1">
        <f>VLOOKUP(A177,'SegEnds_NonXtal_Prot#'!A:AL,37,FALSE)-VLOOKUP(A177,'SegEnds_NonXtal_Prot#'!A:AL,34,FALSE)</f>
        <v>10</v>
      </c>
      <c r="AL177" s="1" t="str">
        <f>IF(ISERROR(MATCH(A177,'SegEnds_Xtal_Prot#'!B:B, 0)), "NoXtal", "Xtal")</f>
        <v>Xtal</v>
      </c>
    </row>
    <row r="178" spans="1:38" x14ac:dyDescent="0.2">
      <c r="A178" s="1" t="s">
        <v>356</v>
      </c>
      <c r="B178" s="1" t="str">
        <f>VLOOKUP(A178,Xtal_Templ!A:B,2,FALSE)</f>
        <v>par2_human</v>
      </c>
      <c r="C178" s="5">
        <f>VLOOKUP($B178&amp;"__wt",'SegEnds_Xtal_BW#'!$A:$Z,3,FALSE)</f>
        <v>28</v>
      </c>
      <c r="D178" s="1">
        <f>VLOOKUP($B178&amp;"__wt",'SegEnds_Xtal_BW#'!$A:$Z,4,FALSE)</f>
        <v>60</v>
      </c>
      <c r="E178" s="1" t="str">
        <f>VLOOKUP($B178&amp;"__wt",'SegEnds_Xtal_BW#'!$A:$Z,5,FALSE)</f>
        <v>-</v>
      </c>
      <c r="F178" s="1" t="str">
        <f>VLOOKUP($B178&amp;"__wt",'SegEnds_Xtal_BW#'!$A:$Z,6,FALSE)</f>
        <v>-</v>
      </c>
      <c r="G178" s="1">
        <v>37</v>
      </c>
      <c r="H178" s="12">
        <f>VLOOKUP($B178&amp;"__wt",'SegEnds_Xtal_BW#'!$A:$Z,8,FALSE)</f>
        <v>66</v>
      </c>
      <c r="I178" s="1">
        <f>VLOOKUP($B178&amp;"__wt",'SegEnds_Xtal_BW#'!$A:$Z,9,FALSE)</f>
        <v>47</v>
      </c>
      <c r="J178" s="1">
        <f>VLOOKUP($B178&amp;"__wt",'SegEnds_Xtal_BW#'!$A:$Z,10,FALSE)</f>
        <v>52</v>
      </c>
      <c r="K178" s="12">
        <v>18</v>
      </c>
      <c r="L178" s="1">
        <f>VLOOKUP($B178&amp;"__wt",'SegEnds_Xtal_BW#'!$A:$Z,12,FALSE)</f>
        <v>56</v>
      </c>
      <c r="M178" s="1">
        <f>VLOOKUP($B178&amp;"__wt",'SegEnds_Xtal_BW#'!$A:$Z,13,FALSE)</f>
        <v>50</v>
      </c>
      <c r="N178" s="12">
        <f>VLOOKUP($B178&amp;"__wt",'SegEnds_Xtal_BW#'!$A:$Z,14,FALSE)</f>
        <v>56</v>
      </c>
      <c r="O178" s="87">
        <f>VLOOKUP($B178&amp;"__wt",'SegEnds_Xtal_BW#'!$A:$Z,15,FALSE)</f>
        <v>38</v>
      </c>
      <c r="P178" s="1">
        <f>VLOOKUP($B178&amp;"__wt",'SegEnds_Xtal_BW#'!$A:$Z,16,FALSE)</f>
        <v>62</v>
      </c>
      <c r="Q178" s="1">
        <f>VLOOKUP($B178&amp;"__wt",'SegEnds_Xtal_BW#'!$A:$Z,17,FALSE)</f>
        <v>50</v>
      </c>
      <c r="R178" s="1">
        <f>VLOOKUP($B178&amp;"__wt",'SegEnds_Xtal_BW#'!$A:$Z,18,FALSE)</f>
        <v>52</v>
      </c>
      <c r="S178" s="1">
        <f>VLOOKUP($B178&amp;"__wt",'SegEnds_Xtal_BW#'!$A:$Z,19,FALSE)</f>
        <v>31</v>
      </c>
      <c r="T178" s="1">
        <f t="array" ref="T178">INDEX(ICL3_classA!$G$2:$G$37,MATCH(MIN(ABS(AI178-ICL3_classA!$F$2:$F$37)),ABS(AI178-ICL3_classA!$F$2:$F$37),0))</f>
        <v>68</v>
      </c>
      <c r="U178" s="1">
        <f t="array" ref="U178">INDEX(ICL3_classA!$H$2:$H$37,MATCH(MIN(ABS(AI178-ICL3_classA!$F$2:$F$37)),ABS(AI178-ICL3_classA!$F$2:$F$37),0))</f>
        <v>24</v>
      </c>
      <c r="V178" s="1">
        <v>62</v>
      </c>
      <c r="W178" s="133">
        <f>VLOOKUP($B178&amp;"__wt",'SegEnds_Xtal_BW#'!$A:$Z,23,FALSE)</f>
        <v>31</v>
      </c>
      <c r="X178" s="1">
        <f>VLOOKUP($B178&amp;"__wt",'SegEnds_Xtal_BW#'!$A:$Z,24,FALSE)</f>
        <v>56</v>
      </c>
      <c r="Y178" s="1">
        <f>VLOOKUP($B178&amp;"__wt",'SegEnds_Xtal_BW#'!$A:$Z,25,FALSE)</f>
        <v>47</v>
      </c>
      <c r="Z178" s="1">
        <f>VLOOKUP($B178&amp;"__wt",'SegEnds_Xtal_BW#'!$A:$Z,26,FALSE)</f>
        <v>61</v>
      </c>
      <c r="AA178" s="27" t="str">
        <f>VLOOKUP(A178,Classification!A:B,2,FALSE)</f>
        <v>A</v>
      </c>
      <c r="AB178" s="1">
        <f>VLOOKUP(A178,'SegEnds_NonXtal_Prot#'!A:AL,10,FALSE)-VLOOKUP(A178,'SegEnds_NonXtal_Prot#'!A:AL,4,FALSE)</f>
        <v>28</v>
      </c>
      <c r="AC178" s="1" t="e">
        <f>VLOOKUP(A178,'SegEnds_NonXtal_Prot#'!A:AL,10,FALSE)-VLOOKUP(A178,'SegEnds_NonXtal_Prot#'!A:AL,7,FALSE)</f>
        <v>#VALUE!</v>
      </c>
      <c r="AD178" s="1">
        <f>VLOOKUP(A178,'SegEnds_NonXtal_Prot#'!A:AL,13,FALSE)-VLOOKUP(A178,'SegEnds_NonXtal_Prot#'!A:AL,10,FALSE)</f>
        <v>20</v>
      </c>
      <c r="AE178" s="1">
        <f>VLOOKUP(A178,'SegEnds_NonXtal_Prot#'!A:AL,16,FALSE)-VLOOKUP(A178,'SegEnds_NonXtal_Prot#'!A:AL,10,FALSE)</f>
        <v>52</v>
      </c>
      <c r="AF178" s="1">
        <f>VLOOKUP(A178,'SegEnds_NonXtal_Prot#'!A:AL,22,FALSE)-VLOOKUP(A178,'SegEnds_NonXtal_Prot#'!A:AL,19,FALSE)</f>
        <v>19</v>
      </c>
      <c r="AG178" s="1">
        <f>VLOOKUP(A178,'SegEnds_NonXtal_Prot#'!A:AL,28,FALSE)-VLOOKUP(A178,'SegEnds_NonXtal_Prot#'!A:AL,25,FALSE)</f>
        <v>28</v>
      </c>
      <c r="AH178" s="1">
        <f>VLOOKUP(A178,'SegEnds_NonXtal_Prot#'!A:AL,28,FALSE)-VLOOKUP(A178,'SegEnds_NonXtal_Prot#'!A:AL,22,FALSE)</f>
        <v>55</v>
      </c>
      <c r="AI178" s="1">
        <f>VLOOKUP(A178,'SegEnds_NonXtal_Prot#'!A:AL,31,FALSE)-VLOOKUP(A178,'SegEnds_NonXtal_Prot#'!A:AL,28,FALSE)</f>
        <v>48</v>
      </c>
      <c r="AJ178" s="1">
        <f>VLOOKUP(A178,'SegEnds_NonXtal_Prot#'!A:AL,34,FALSE)-VLOOKUP(A178,'SegEnds_NonXtal_Prot#'!A:AL,31,FALSE)</f>
        <v>39</v>
      </c>
      <c r="AK178" s="1">
        <f>VLOOKUP(A178,'SegEnds_NonXtal_Prot#'!A:AL,37,FALSE)-VLOOKUP(A178,'SegEnds_NonXtal_Prot#'!A:AL,34,FALSE)</f>
        <v>10</v>
      </c>
      <c r="AL178" s="1" t="str">
        <f>IF(ISERROR(MATCH(A178,'SegEnds_Xtal_Prot#'!B:B, 0)), "NoXtal", "Xtal")</f>
        <v>Xtal</v>
      </c>
    </row>
    <row r="179" spans="1:38" x14ac:dyDescent="0.2">
      <c r="A179" s="1" t="s">
        <v>357</v>
      </c>
      <c r="B179" s="1" t="str">
        <f>VLOOKUP(A179,Xtal_Templ!A:B,2,FALSE)</f>
        <v>par2_human</v>
      </c>
      <c r="C179" s="5">
        <f>VLOOKUP($B179&amp;"__wt",'SegEnds_Xtal_BW#'!$A:$Z,3,FALSE)</f>
        <v>28</v>
      </c>
      <c r="D179" s="1">
        <f>VLOOKUP($B179&amp;"__wt",'SegEnds_Xtal_BW#'!$A:$Z,4,FALSE)</f>
        <v>60</v>
      </c>
      <c r="E179" s="1" t="str">
        <f>VLOOKUP($B179&amp;"__wt",'SegEnds_Xtal_BW#'!$A:$Z,5,FALSE)</f>
        <v>-</v>
      </c>
      <c r="F179" s="1" t="str">
        <f>VLOOKUP($B179&amp;"__wt",'SegEnds_Xtal_BW#'!$A:$Z,6,FALSE)</f>
        <v>-</v>
      </c>
      <c r="G179" s="1">
        <v>37</v>
      </c>
      <c r="H179" s="12">
        <f>VLOOKUP($B179&amp;"__wt",'SegEnds_Xtal_BW#'!$A:$Z,8,FALSE)</f>
        <v>66</v>
      </c>
      <c r="I179" s="1">
        <f>VLOOKUP($B179&amp;"__wt",'SegEnds_Xtal_BW#'!$A:$Z,9,FALSE)</f>
        <v>47</v>
      </c>
      <c r="J179" s="1">
        <f>VLOOKUP($B179&amp;"__wt",'SegEnds_Xtal_BW#'!$A:$Z,10,FALSE)</f>
        <v>52</v>
      </c>
      <c r="K179" s="12">
        <v>18</v>
      </c>
      <c r="L179" s="1">
        <f>VLOOKUP($B179&amp;"__wt",'SegEnds_Xtal_BW#'!$A:$Z,12,FALSE)</f>
        <v>56</v>
      </c>
      <c r="M179" s="1">
        <f>VLOOKUP($B179&amp;"__wt",'SegEnds_Xtal_BW#'!$A:$Z,13,FALSE)</f>
        <v>50</v>
      </c>
      <c r="N179" s="12">
        <v>57</v>
      </c>
      <c r="O179" s="87">
        <f>VLOOKUP($B179&amp;"__wt",'SegEnds_Xtal_BW#'!$A:$Z,15,FALSE)</f>
        <v>38</v>
      </c>
      <c r="P179" s="1">
        <f>VLOOKUP($B179&amp;"__wt",'SegEnds_Xtal_BW#'!$A:$Z,16,FALSE)</f>
        <v>62</v>
      </c>
      <c r="Q179" s="1">
        <f>VLOOKUP($B179&amp;"__wt",'SegEnds_Xtal_BW#'!$A:$Z,17,FALSE)</f>
        <v>50</v>
      </c>
      <c r="R179" s="1">
        <f>VLOOKUP($B179&amp;"__wt",'SegEnds_Xtal_BW#'!$A:$Z,18,FALSE)</f>
        <v>52</v>
      </c>
      <c r="S179" s="1">
        <v>35</v>
      </c>
      <c r="T179" s="1">
        <f t="array" ref="T179">INDEX(ICL3_classA!$G$2:$G$37,MATCH(MIN(ABS(AI179-ICL3_classA!$F$2:$F$37)),ABS(AI179-ICL3_classA!$F$2:$F$37),0))</f>
        <v>68</v>
      </c>
      <c r="U179" s="1">
        <f t="array" ref="U179">INDEX(ICL3_classA!$H$2:$H$37,MATCH(MIN(ABS(AI179-ICL3_classA!$F$2:$F$37)),ABS(AI179-ICL3_classA!$F$2:$F$37),0))</f>
        <v>30</v>
      </c>
      <c r="V179" s="1">
        <v>62</v>
      </c>
      <c r="W179" s="133">
        <f>VLOOKUP($B179&amp;"__wt",'SegEnds_Xtal_BW#'!$A:$Z,23,FALSE)</f>
        <v>31</v>
      </c>
      <c r="X179" s="1">
        <f>VLOOKUP($B179&amp;"__wt",'SegEnds_Xtal_BW#'!$A:$Z,24,FALSE)</f>
        <v>56</v>
      </c>
      <c r="Y179" s="1">
        <f>VLOOKUP($B179&amp;"__wt",'SegEnds_Xtal_BW#'!$A:$Z,25,FALSE)</f>
        <v>47</v>
      </c>
      <c r="Z179" s="1">
        <f>VLOOKUP($B179&amp;"__wt",'SegEnds_Xtal_BW#'!$A:$Z,26,FALSE)</f>
        <v>61</v>
      </c>
      <c r="AA179" s="27" t="str">
        <f>VLOOKUP(A179,Classification!A:B,2,FALSE)</f>
        <v>A</v>
      </c>
      <c r="AB179" s="1">
        <f>VLOOKUP(A179,'SegEnds_NonXtal_Prot#'!A:AL,10,FALSE)-VLOOKUP(A179,'SegEnds_NonXtal_Prot#'!A:AL,4,FALSE)</f>
        <v>27</v>
      </c>
      <c r="AC179" s="1" t="e">
        <f>VLOOKUP(A179,'SegEnds_NonXtal_Prot#'!A:AL,10,FALSE)-VLOOKUP(A179,'SegEnds_NonXtal_Prot#'!A:AL,7,FALSE)</f>
        <v>#VALUE!</v>
      </c>
      <c r="AD179" s="1">
        <f>VLOOKUP(A179,'SegEnds_NonXtal_Prot#'!A:AL,13,FALSE)-VLOOKUP(A179,'SegEnds_NonXtal_Prot#'!A:AL,10,FALSE)</f>
        <v>20</v>
      </c>
      <c r="AE179" s="1">
        <f>VLOOKUP(A179,'SegEnds_NonXtal_Prot#'!A:AL,16,FALSE)-VLOOKUP(A179,'SegEnds_NonXtal_Prot#'!A:AL,10,FALSE)</f>
        <v>52</v>
      </c>
      <c r="AF179" s="1">
        <f>VLOOKUP(A179,'SegEnds_NonXtal_Prot#'!A:AL,22,FALSE)-VLOOKUP(A179,'SegEnds_NonXtal_Prot#'!A:AL,19,FALSE)</f>
        <v>20</v>
      </c>
      <c r="AG179" s="1">
        <f>VLOOKUP(A179,'SegEnds_NonXtal_Prot#'!A:AL,28,FALSE)-VLOOKUP(A179,'SegEnds_NonXtal_Prot#'!A:AL,25,FALSE)</f>
        <v>22</v>
      </c>
      <c r="AH179" s="1">
        <f>VLOOKUP(A179,'SegEnds_NonXtal_Prot#'!A:AL,28,FALSE)-VLOOKUP(A179,'SegEnds_NonXtal_Prot#'!A:AL,22,FALSE)</f>
        <v>56</v>
      </c>
      <c r="AI179" s="1">
        <f>VLOOKUP(A179,'SegEnds_NonXtal_Prot#'!A:AL,31,FALSE)-VLOOKUP(A179,'SegEnds_NonXtal_Prot#'!A:AL,28,FALSE)</f>
        <v>42</v>
      </c>
      <c r="AJ179" s="1">
        <f>VLOOKUP(A179,'SegEnds_NonXtal_Prot#'!A:AL,34,FALSE)-VLOOKUP(A179,'SegEnds_NonXtal_Prot#'!A:AL,31,FALSE)</f>
        <v>39</v>
      </c>
      <c r="AK179" s="1" t="e">
        <f>VLOOKUP(A179,'SegEnds_NonXtal_Prot#'!A:AL,37,FALSE)-VLOOKUP(A179,'SegEnds_NonXtal_Prot#'!A:AL,34,FALSE)</f>
        <v>#VALUE!</v>
      </c>
      <c r="AL179" s="1" t="str">
        <f>IF(ISERROR(MATCH(A179,'SegEnds_Xtal_Prot#'!B:B, 0)), "NoXtal", "Xtal")</f>
        <v>NoXtal</v>
      </c>
    </row>
    <row r="180" spans="1:38" x14ac:dyDescent="0.2">
      <c r="A180" s="1" t="s">
        <v>358</v>
      </c>
      <c r="B180" s="1" t="str">
        <f>VLOOKUP(A180,Xtal_Templ!A:B,2,FALSE)</f>
        <v>par2_human</v>
      </c>
      <c r="C180" s="5">
        <f>VLOOKUP($B180&amp;"__wt",'SegEnds_Xtal_BW#'!$A:$Z,3,FALSE)</f>
        <v>28</v>
      </c>
      <c r="D180" s="1">
        <f>VLOOKUP($B180&amp;"__wt",'SegEnds_Xtal_BW#'!$A:$Z,4,FALSE)</f>
        <v>60</v>
      </c>
      <c r="E180" s="1" t="str">
        <f>VLOOKUP($B180&amp;"__wt",'SegEnds_Xtal_BW#'!$A:$Z,5,FALSE)</f>
        <v>-</v>
      </c>
      <c r="F180" s="1" t="str">
        <f>VLOOKUP($B180&amp;"__wt",'SegEnds_Xtal_BW#'!$A:$Z,6,FALSE)</f>
        <v>-</v>
      </c>
      <c r="G180" s="1">
        <v>37</v>
      </c>
      <c r="H180" s="12">
        <f>VLOOKUP($B180&amp;"__wt",'SegEnds_Xtal_BW#'!$A:$Z,8,FALSE)</f>
        <v>66</v>
      </c>
      <c r="I180" s="1">
        <f>VLOOKUP($B180&amp;"__wt",'SegEnds_Xtal_BW#'!$A:$Z,9,FALSE)</f>
        <v>47</v>
      </c>
      <c r="J180" s="1">
        <f>VLOOKUP($B180&amp;"__wt",'SegEnds_Xtal_BW#'!$A:$Z,10,FALSE)</f>
        <v>52</v>
      </c>
      <c r="K180" s="12">
        <v>18</v>
      </c>
      <c r="L180" s="1">
        <f>VLOOKUP($B180&amp;"__wt",'SegEnds_Xtal_BW#'!$A:$Z,12,FALSE)</f>
        <v>56</v>
      </c>
      <c r="M180" s="1">
        <f>VLOOKUP($B180&amp;"__wt",'SegEnds_Xtal_BW#'!$A:$Z,13,FALSE)</f>
        <v>50</v>
      </c>
      <c r="N180" s="12">
        <v>57</v>
      </c>
      <c r="O180" s="87">
        <f>VLOOKUP($B180&amp;"__wt",'SegEnds_Xtal_BW#'!$A:$Z,15,FALSE)</f>
        <v>38</v>
      </c>
      <c r="P180" s="1">
        <f>VLOOKUP($B180&amp;"__wt",'SegEnds_Xtal_BW#'!$A:$Z,16,FALSE)</f>
        <v>62</v>
      </c>
      <c r="Q180" s="1">
        <f>VLOOKUP($B180&amp;"__wt",'SegEnds_Xtal_BW#'!$A:$Z,17,FALSE)</f>
        <v>50</v>
      </c>
      <c r="R180" s="1">
        <f>VLOOKUP($B180&amp;"__wt",'SegEnds_Xtal_BW#'!$A:$Z,18,FALSE)</f>
        <v>52</v>
      </c>
      <c r="S180" s="1">
        <f>VLOOKUP($B180&amp;"__wt",'SegEnds_Xtal_BW#'!$A:$Z,19,FALSE)</f>
        <v>31</v>
      </c>
      <c r="T180" s="1">
        <f t="array" ref="T180">INDEX(ICL3_classA!$G$2:$G$37,MATCH(MIN(ABS(AI180-ICL3_classA!$F$2:$F$37)),ABS(AI180-ICL3_classA!$F$2:$F$37),0))</f>
        <v>68</v>
      </c>
      <c r="U180" s="1">
        <f t="array" ref="U180">INDEX(ICL3_classA!$H$2:$H$37,MATCH(MIN(ABS(AI180-ICL3_classA!$F$2:$F$37)),ABS(AI180-ICL3_classA!$F$2:$F$37),0))</f>
        <v>30</v>
      </c>
      <c r="V180" s="1">
        <v>62</v>
      </c>
      <c r="W180" s="133">
        <f>VLOOKUP($B180&amp;"__wt",'SegEnds_Xtal_BW#'!$A:$Z,23,FALSE)</f>
        <v>31</v>
      </c>
      <c r="X180" s="1">
        <f>VLOOKUP($B180&amp;"__wt",'SegEnds_Xtal_BW#'!$A:$Z,24,FALSE)</f>
        <v>56</v>
      </c>
      <c r="Y180" s="1">
        <f>VLOOKUP($B180&amp;"__wt",'SegEnds_Xtal_BW#'!$A:$Z,25,FALSE)</f>
        <v>47</v>
      </c>
      <c r="Z180" s="1">
        <f>VLOOKUP($B180&amp;"__wt",'SegEnds_Xtal_BW#'!$A:$Z,26,FALSE)</f>
        <v>61</v>
      </c>
      <c r="AA180" s="27" t="str">
        <f>VLOOKUP(A180,Classification!A:B,2,FALSE)</f>
        <v>A</v>
      </c>
      <c r="AB180" s="1">
        <f>VLOOKUP(A180,'SegEnds_NonXtal_Prot#'!A:AL,10,FALSE)-VLOOKUP(A180,'SegEnds_NonXtal_Prot#'!A:AL,4,FALSE)</f>
        <v>27</v>
      </c>
      <c r="AC180" s="1" t="e">
        <f>VLOOKUP(A180,'SegEnds_NonXtal_Prot#'!A:AL,10,FALSE)-VLOOKUP(A180,'SegEnds_NonXtal_Prot#'!A:AL,7,FALSE)</f>
        <v>#VALUE!</v>
      </c>
      <c r="AD180" s="1">
        <f>VLOOKUP(A180,'SegEnds_NonXtal_Prot#'!A:AL,13,FALSE)-VLOOKUP(A180,'SegEnds_NonXtal_Prot#'!A:AL,10,FALSE)</f>
        <v>20</v>
      </c>
      <c r="AE180" s="1">
        <f>VLOOKUP(A180,'SegEnds_NonXtal_Prot#'!A:AL,16,FALSE)-VLOOKUP(A180,'SegEnds_NonXtal_Prot#'!A:AL,10,FALSE)</f>
        <v>52</v>
      </c>
      <c r="AF180" s="1">
        <f>VLOOKUP(A180,'SegEnds_NonXtal_Prot#'!A:AL,22,FALSE)-VLOOKUP(A180,'SegEnds_NonXtal_Prot#'!A:AL,19,FALSE)</f>
        <v>20</v>
      </c>
      <c r="AG180" s="1">
        <f>VLOOKUP(A180,'SegEnds_NonXtal_Prot#'!A:AL,28,FALSE)-VLOOKUP(A180,'SegEnds_NonXtal_Prot#'!A:AL,25,FALSE)</f>
        <v>28</v>
      </c>
      <c r="AH180" s="1">
        <f>VLOOKUP(A180,'SegEnds_NonXtal_Prot#'!A:AL,28,FALSE)-VLOOKUP(A180,'SegEnds_NonXtal_Prot#'!A:AL,22,FALSE)</f>
        <v>55</v>
      </c>
      <c r="AI180" s="1">
        <f>VLOOKUP(A180,'SegEnds_NonXtal_Prot#'!A:AL,31,FALSE)-VLOOKUP(A180,'SegEnds_NonXtal_Prot#'!A:AL,28,FALSE)</f>
        <v>42</v>
      </c>
      <c r="AJ180" s="1">
        <f>VLOOKUP(A180,'SegEnds_NonXtal_Prot#'!A:AL,34,FALSE)-VLOOKUP(A180,'SegEnds_NonXtal_Prot#'!A:AL,31,FALSE)</f>
        <v>39</v>
      </c>
      <c r="AK180" s="1">
        <f>VLOOKUP(A180,'SegEnds_NonXtal_Prot#'!A:AL,37,FALSE)-VLOOKUP(A180,'SegEnds_NonXtal_Prot#'!A:AL,34,FALSE)</f>
        <v>10</v>
      </c>
      <c r="AL180" s="1" t="str">
        <f>IF(ISERROR(MATCH(A180,'SegEnds_Xtal_Prot#'!B:B, 0)), "NoXtal", "Xtal")</f>
        <v>NoXtal</v>
      </c>
    </row>
    <row r="181" spans="1:38" x14ac:dyDescent="0.2">
      <c r="A181" s="1" t="s">
        <v>364</v>
      </c>
      <c r="B181" s="1" t="str">
        <f>VLOOKUP(A181,Xtal_Templ!A:B,2,FALSE)</f>
        <v>pe2r4_human</v>
      </c>
      <c r="C181" s="5">
        <f>VLOOKUP($B181&amp;"__wt",'SegEnds_Xtal_BW#'!$A:$Z,3,FALSE)</f>
        <v>33</v>
      </c>
      <c r="D181" s="1">
        <f>VLOOKUP($B181&amp;"__wt",'SegEnds_Xtal_BW#'!$A:$Z,4,FALSE)</f>
        <v>58</v>
      </c>
      <c r="E181" s="1" t="str">
        <f>VLOOKUP($B181&amp;"__wt",'SegEnds_Xtal_BW#'!$A:$Z,5,FALSE)</f>
        <v>-</v>
      </c>
      <c r="F181" s="1" t="str">
        <f>VLOOKUP($B181&amp;"__wt",'SegEnds_Xtal_BW#'!$A:$Z,6,FALSE)</f>
        <v>-</v>
      </c>
      <c r="G181" s="1">
        <v>37</v>
      </c>
      <c r="H181" s="12">
        <f>VLOOKUP($B181&amp;"__wt",'SegEnds_Xtal_BW#'!$A:$Z,8,FALSE)</f>
        <v>67</v>
      </c>
      <c r="I181" s="1">
        <f>VLOOKUP($B181&amp;"__wt",'SegEnds_Xtal_BW#'!$A:$Z,9,FALSE)</f>
        <v>49</v>
      </c>
      <c r="J181" s="1">
        <f>VLOOKUP($B181&amp;"__wt",'SegEnds_Xtal_BW#'!$A:$Z,10,FALSE)</f>
        <v>52</v>
      </c>
      <c r="K181" s="12">
        <v>21</v>
      </c>
      <c r="L181" s="1">
        <f>VLOOKUP($B181&amp;"__wt",'SegEnds_Xtal_BW#'!$A:$Z,12,FALSE)</f>
        <v>56</v>
      </c>
      <c r="M181" s="1">
        <f>VLOOKUP($B181&amp;"__wt",'SegEnds_Xtal_BW#'!$A:$Z,13,FALSE)</f>
        <v>50</v>
      </c>
      <c r="N181" s="12">
        <f>VLOOKUP($B181&amp;"__wt",'SegEnds_Xtal_BW#'!$A:$Z,14,FALSE)</f>
        <v>57</v>
      </c>
      <c r="O181" s="87">
        <v>38</v>
      </c>
      <c r="P181" s="1">
        <f>VLOOKUP($B181&amp;"__wt",'SegEnds_Xtal_BW#'!$A:$Z,16,FALSE)</f>
        <v>63</v>
      </c>
      <c r="Q181" s="1">
        <f>VLOOKUP($B181&amp;"__wt",'SegEnds_Xtal_BW#'!$A:$Z,17,FALSE)</f>
        <v>50</v>
      </c>
      <c r="R181" s="1">
        <f>VLOOKUP($B181&amp;"__wt",'SegEnds_Xtal_BW#'!$A:$Z,18,FALSE)</f>
        <v>52</v>
      </c>
      <c r="S181" s="1">
        <f>VLOOKUP($B181&amp;"__wt",'SegEnds_Xtal_BW#'!$A:$Z,19,FALSE)</f>
        <v>33</v>
      </c>
      <c r="T181" s="1">
        <f t="array" ref="T181">INDEX(ICL3_classA!$G$2:$G$37,MATCH(MIN(ABS(AI181-ICL3_classA!$F$2:$F$37)),ABS(AI181-ICL3_classA!$F$2:$F$37),0))</f>
        <v>76</v>
      </c>
      <c r="U181" s="1">
        <f t="array" ref="U181">INDEX(ICL3_classA!$H$2:$H$37,MATCH(MIN(ABS(AI181-ICL3_classA!$F$2:$F$37)),ABS(AI181-ICL3_classA!$F$2:$F$37),0))</f>
        <v>24</v>
      </c>
      <c r="V181" s="1">
        <v>61</v>
      </c>
      <c r="W181" s="133">
        <f>VLOOKUP($B181&amp;"__wt",'SegEnds_Xtal_BW#'!$A:$Z,23,FALSE)</f>
        <v>33</v>
      </c>
      <c r="X181" s="1">
        <f>VLOOKUP($B181&amp;"__wt",'SegEnds_Xtal_BW#'!$A:$Z,24,FALSE)</f>
        <v>56</v>
      </c>
      <c r="Y181" s="1">
        <f>VLOOKUP($B181&amp;"__wt",'SegEnds_Xtal_BW#'!$A:$Z,25,FALSE)</f>
        <v>47</v>
      </c>
      <c r="Z181" s="1">
        <f>VLOOKUP($B181&amp;"__wt",'SegEnds_Xtal_BW#'!$A:$Z,26,FALSE)</f>
        <v>60</v>
      </c>
      <c r="AA181" s="27" t="str">
        <f>VLOOKUP(A181,Classification!A:B,2,FALSE)</f>
        <v>A</v>
      </c>
      <c r="AB181" s="1">
        <f>VLOOKUP(A181,'SegEnds_NonXtal_Prot#'!A:AL,10,FALSE)-VLOOKUP(A181,'SegEnds_NonXtal_Prot#'!A:AL,4,FALSE)</f>
        <v>30</v>
      </c>
      <c r="AC181" s="1" t="e">
        <f>VLOOKUP(A181,'SegEnds_NonXtal_Prot#'!A:AL,10,FALSE)-VLOOKUP(A181,'SegEnds_NonXtal_Prot#'!A:AL,7,FALSE)</f>
        <v>#VALUE!</v>
      </c>
      <c r="AD181" s="1">
        <f>VLOOKUP(A181,'SegEnds_NonXtal_Prot#'!A:AL,13,FALSE)-VLOOKUP(A181,'SegEnds_NonXtal_Prot#'!A:AL,10,FALSE)</f>
        <v>20</v>
      </c>
      <c r="AE181" s="1">
        <f>VLOOKUP(A181,'SegEnds_NonXtal_Prot#'!A:AL,16,FALSE)-VLOOKUP(A181,'SegEnds_NonXtal_Prot#'!A:AL,10,FALSE)</f>
        <v>52</v>
      </c>
      <c r="AF181" s="1">
        <f>VLOOKUP(A181,'SegEnds_NonXtal_Prot#'!A:AL,22,FALSE)-VLOOKUP(A181,'SegEnds_NonXtal_Prot#'!A:AL,19,FALSE)</f>
        <v>20</v>
      </c>
      <c r="AG181" s="1">
        <f>VLOOKUP(A181,'SegEnds_NonXtal_Prot#'!A:AL,28,FALSE)-VLOOKUP(A181,'SegEnds_NonXtal_Prot#'!A:AL,25,FALSE)</f>
        <v>25</v>
      </c>
      <c r="AH181" s="1">
        <f>VLOOKUP(A181,'SegEnds_NonXtal_Prot#'!A:AL,28,FALSE)-VLOOKUP(A181,'SegEnds_NonXtal_Prot#'!A:AL,22,FALSE)</f>
        <v>51</v>
      </c>
      <c r="AI181" s="1">
        <f>VLOOKUP(A181,'SegEnds_NonXtal_Prot#'!A:AL,31,FALSE)-VLOOKUP(A181,'SegEnds_NonXtal_Prot#'!A:AL,28,FALSE)</f>
        <v>92</v>
      </c>
      <c r="AJ181" s="1">
        <f>VLOOKUP(A181,'SegEnds_NonXtal_Prot#'!A:AL,34,FALSE)-VLOOKUP(A181,'SegEnds_NonXtal_Prot#'!A:AL,31,FALSE)</f>
        <v>39</v>
      </c>
      <c r="AK181" s="1">
        <f>VLOOKUP(A181,'SegEnds_NonXtal_Prot#'!A:AL,37,FALSE)-VLOOKUP(A181,'SegEnds_NonXtal_Prot#'!A:AL,34,FALSE)</f>
        <v>10</v>
      </c>
      <c r="AL181" s="1" t="str">
        <f>IF(ISERROR(MATCH(A181,'SegEnds_Xtal_Prot#'!B:B, 0)), "NoXtal", "Xtal")</f>
        <v>Xtal</v>
      </c>
    </row>
    <row r="182" spans="1:38" x14ac:dyDescent="0.2">
      <c r="A182" s="4" t="s">
        <v>369</v>
      </c>
      <c r="B182" s="4" t="str">
        <f>VLOOKUP(A182,Xtal_Templ!A:B,2,FALSE)</f>
        <v>ox2r_human</v>
      </c>
      <c r="C182" s="5">
        <f>VLOOKUP($B182&amp;"__wt",'SegEnds_Xtal_BW#'!$A:$Z,3,FALSE)</f>
        <v>31</v>
      </c>
      <c r="D182" s="4">
        <f>VLOOKUP($B182&amp;"__wt",'SegEnds_Xtal_BW#'!$A:$Z,4,FALSE)</f>
        <v>60</v>
      </c>
      <c r="E182" s="4">
        <f>VLOOKUP($B182&amp;"__wt",'SegEnds_Xtal_BW#'!$A:$Z,5,FALSE)</f>
        <v>48</v>
      </c>
      <c r="F182" s="4">
        <f>VLOOKUP($B182&amp;"__wt",'SegEnds_Xtal_BW#'!$A:$Z,6,FALSE)</f>
        <v>51</v>
      </c>
      <c r="G182" s="4">
        <v>37</v>
      </c>
      <c r="H182" s="11">
        <f>VLOOKUP($B182&amp;"__wt",'SegEnds_Xtal_BW#'!$A:$Z,8,FALSE)</f>
        <v>68</v>
      </c>
      <c r="I182" s="4">
        <f>VLOOKUP($B182&amp;"__wt",'SegEnds_Xtal_BW#'!$A:$Z,9,FALSE)</f>
        <v>49</v>
      </c>
      <c r="J182" s="4">
        <f>VLOOKUP($B182&amp;"__wt",'SegEnds_Xtal_BW#'!$A:$Z,10,FALSE)</f>
        <v>52</v>
      </c>
      <c r="K182" s="11">
        <v>18</v>
      </c>
      <c r="L182" s="4">
        <f>VLOOKUP($B182&amp;"__wt",'SegEnds_Xtal_BW#'!$A:$Z,12,FALSE)</f>
        <v>56</v>
      </c>
      <c r="M182" s="4">
        <f>VLOOKUP($B182&amp;"__wt",'SegEnds_Xtal_BW#'!$A:$Z,13,FALSE)</f>
        <v>50</v>
      </c>
      <c r="N182" s="11">
        <v>53</v>
      </c>
      <c r="O182" s="87">
        <f>VLOOKUP($B182&amp;"__wt",'SegEnds_Xtal_BW#'!$A:$Z,15,FALSE)</f>
        <v>38</v>
      </c>
      <c r="P182" s="4">
        <f>VLOOKUP($B182&amp;"__wt",'SegEnds_Xtal_BW#'!$A:$Z,16,FALSE)</f>
        <v>64</v>
      </c>
      <c r="Q182" s="4">
        <f>VLOOKUP($B182&amp;"__wt",'SegEnds_Xtal_BW#'!$A:$Z,17,FALSE)</f>
        <v>50</v>
      </c>
      <c r="R182" s="4">
        <f>VLOOKUP($B182&amp;"__wt",'SegEnds_Xtal_BW#'!$A:$Z,18,FALSE)</f>
        <v>52</v>
      </c>
      <c r="S182" s="4">
        <f>VLOOKUP($B182&amp;"__wt",'SegEnds_Xtal_BW#'!$A:$Z,19,FALSE)</f>
        <v>33</v>
      </c>
      <c r="T182" s="4">
        <f t="array" ref="T182">INDEX(ICL3_classA!$G$2:$G$37,MATCH(MIN(ABS(AI182-ICL3_classA!$F$2:$F$37)),ABS(AI182-ICL3_classA!$F$2:$F$37),0))</f>
        <v>73</v>
      </c>
      <c r="U182" s="4">
        <f t="array" ref="U182">INDEX(ICL3_classA!$H$2:$H$37,MATCH(MIN(ABS(AI182-ICL3_classA!$F$2:$F$37)),ABS(AI182-ICL3_classA!$F$2:$F$37),0))</f>
        <v>22</v>
      </c>
      <c r="V182" s="4">
        <v>61</v>
      </c>
      <c r="W182" s="133">
        <f>VLOOKUP($B182&amp;"__wt",'SegEnds_Xtal_BW#'!$A:$Z,23,FALSE)</f>
        <v>27</v>
      </c>
      <c r="X182" s="4">
        <f>VLOOKUP($B182&amp;"__wt",'SegEnds_Xtal_BW#'!$A:$Z,24,FALSE)</f>
        <v>56</v>
      </c>
      <c r="Y182" s="4">
        <f>VLOOKUP($B182&amp;"__wt",'SegEnds_Xtal_BW#'!$A:$Z,25,FALSE)</f>
        <v>47</v>
      </c>
      <c r="Z182" s="4">
        <f>VLOOKUP($B182&amp;"__wt",'SegEnds_Xtal_BW#'!$A:$Z,26,FALSE)</f>
        <v>58</v>
      </c>
      <c r="AA182" s="27" t="str">
        <f>VLOOKUP(A182,Classification!A:B,2,FALSE)</f>
        <v>A</v>
      </c>
      <c r="AB182" s="1">
        <f>VLOOKUP(A182,'SegEnds_NonXtal_Prot#'!A:AL,10,FALSE)-VLOOKUP(A182,'SegEnds_NonXtal_Prot#'!A:AL,4,FALSE)</f>
        <v>28</v>
      </c>
      <c r="AC182" s="4">
        <f>VLOOKUP(A182,'SegEnds_NonXtal_Prot#'!A:AL,10,FALSE)-VLOOKUP(A182,'SegEnds_NonXtal_Prot#'!A:AL,7,FALSE)</f>
        <v>15</v>
      </c>
      <c r="AD182" s="4">
        <f>VLOOKUP(A182,'SegEnds_NonXtal_Prot#'!A:AL,13,FALSE)-VLOOKUP(A182,'SegEnds_NonXtal_Prot#'!A:AL,10,FALSE)</f>
        <v>21</v>
      </c>
      <c r="AE182" s="4">
        <f>VLOOKUP(A182,'SegEnds_NonXtal_Prot#'!A:AL,16,FALSE)-VLOOKUP(A182,'SegEnds_NonXtal_Prot#'!A:AL,10,FALSE)</f>
        <v>53</v>
      </c>
      <c r="AF182" s="1">
        <f>VLOOKUP(A182,'SegEnds_NonXtal_Prot#'!A:AL,22,FALSE)-VLOOKUP(A182,'SegEnds_NonXtal_Prot#'!A:AL,19,FALSE)</f>
        <v>18</v>
      </c>
      <c r="AG182" s="4">
        <f>VLOOKUP(A182,'SegEnds_NonXtal_Prot#'!A:AL,28,FALSE)-VLOOKUP(A182,'SegEnds_NonXtal_Prot#'!A:AL,25,FALSE)</f>
        <v>26</v>
      </c>
      <c r="AH182" s="1">
        <f>VLOOKUP(A182,'SegEnds_NonXtal_Prot#'!A:AL,28,FALSE)-VLOOKUP(A182,'SegEnds_NonXtal_Prot#'!A:AL,22,FALSE)</f>
        <v>53</v>
      </c>
      <c r="AI182" s="4">
        <f>VLOOKUP(A182,'SegEnds_NonXtal_Prot#'!A:AL,31,FALSE)-VLOOKUP(A182,'SegEnds_NonXtal_Prot#'!A:AL,28,FALSE)</f>
        <v>56</v>
      </c>
      <c r="AJ182" s="4">
        <f>VLOOKUP(A182,'SegEnds_NonXtal_Prot#'!A:AL,34,FALSE)-VLOOKUP(A182,'SegEnds_NonXtal_Prot#'!A:AL,31,FALSE)</f>
        <v>39</v>
      </c>
      <c r="AK182" s="1">
        <f>VLOOKUP(A182,'SegEnds_NonXtal_Prot#'!A:AL,37,FALSE)-VLOOKUP(A182,'SegEnds_NonXtal_Prot#'!A:AL,34,FALSE)</f>
        <v>10</v>
      </c>
      <c r="AL182" s="1" t="str">
        <f>IF(ISERROR(MATCH(A182,'SegEnds_Xtal_Prot#'!B:B, 0)), "NoXtal", "Xtal")</f>
        <v>NoXtal</v>
      </c>
    </row>
    <row r="183" spans="1:38" x14ac:dyDescent="0.2">
      <c r="A183" s="1" t="s">
        <v>396</v>
      </c>
      <c r="B183" s="1" t="str">
        <f>VLOOKUP(A183,Xtal_Templ!A:B,2,FALSE)</f>
        <v>adrb2_human</v>
      </c>
      <c r="C183" s="5">
        <f>VLOOKUP($B183&amp;"__wt",'SegEnds_Xtal_BW#'!$A:$Z,3,FALSE)</f>
        <v>25</v>
      </c>
      <c r="D183" s="1">
        <f>VLOOKUP($B183&amp;"__wt",'SegEnds_Xtal_BW#'!$A:$Z,4,FALSE)</f>
        <v>60</v>
      </c>
      <c r="E183" s="1">
        <f>VLOOKUP($B183&amp;"__wt",'SegEnds_Xtal_BW#'!$A:$Z,5,FALSE)</f>
        <v>48</v>
      </c>
      <c r="F183" s="1">
        <f>VLOOKUP($B183&amp;"__wt",'SegEnds_Xtal_BW#'!$A:$Z,6,FALSE)</f>
        <v>51</v>
      </c>
      <c r="G183" s="1">
        <v>37</v>
      </c>
      <c r="H183" s="12">
        <v>66</v>
      </c>
      <c r="I183" s="1">
        <f>VLOOKUP($B183&amp;"__wt",'SegEnds_Xtal_BW#'!$A:$Z,9,FALSE)</f>
        <v>49</v>
      </c>
      <c r="J183" s="1">
        <f>VLOOKUP($B183&amp;"__wt",'SegEnds_Xtal_BW#'!$A:$Z,10,FALSE)</f>
        <v>52</v>
      </c>
      <c r="K183" s="12">
        <v>21</v>
      </c>
      <c r="L183" s="1">
        <f>VLOOKUP($B183&amp;"__wt",'SegEnds_Xtal_BW#'!$A:$Z,12,FALSE)</f>
        <v>56</v>
      </c>
      <c r="M183" s="1">
        <f>VLOOKUP($B183&amp;"__wt",'SegEnds_Xtal_BW#'!$A:$Z,13,FALSE)</f>
        <v>50</v>
      </c>
      <c r="N183" s="108">
        <v>56</v>
      </c>
      <c r="O183" s="87">
        <f>VLOOKUP($B183&amp;"__wt",'SegEnds_Xtal_BW#'!$A:$Z,15,FALSE)</f>
        <v>38</v>
      </c>
      <c r="P183" s="1">
        <f>VLOOKUP($B183&amp;"__wt",'SegEnds_Xtal_BW#'!$A:$Z,16,FALSE)</f>
        <v>64</v>
      </c>
      <c r="Q183" s="1">
        <f>VLOOKUP($B183&amp;"__wt",'SegEnds_Xtal_BW#'!$A:$Z,17,FALSE)</f>
        <v>50</v>
      </c>
      <c r="R183" s="1">
        <f>VLOOKUP($B183&amp;"__wt",'SegEnds_Xtal_BW#'!$A:$Z,18,FALSE)</f>
        <v>52</v>
      </c>
      <c r="S183" s="1">
        <f>VLOOKUP($B183&amp;"__wt",'SegEnds_Xtal_BW#'!$A:$Z,19,FALSE)</f>
        <v>35</v>
      </c>
      <c r="T183" s="1">
        <f t="array" ref="T183">INDEX(ICL3_classA!$G$2:$G$37,MATCH(MIN(ABS(AI183-ICL3_classA!$F$2:$F$37)),ABS(AI183-ICL3_classA!$F$2:$F$37),0))</f>
        <v>72</v>
      </c>
      <c r="U183" s="1">
        <f t="array" ref="U183">INDEX(ICL3_classA!$H$2:$H$37,MATCH(MIN(ABS(AI183-ICL3_classA!$F$2:$F$37)),ABS(AI183-ICL3_classA!$F$2:$F$37),0))</f>
        <v>29</v>
      </c>
      <c r="V183" s="1">
        <v>61</v>
      </c>
      <c r="W183" s="133">
        <f>VLOOKUP($B183&amp;"__wt",'SegEnds_Xtal_BW#'!$A:$Z,23,FALSE)</f>
        <v>31</v>
      </c>
      <c r="X183" s="108">
        <v>56</v>
      </c>
      <c r="Y183" s="1">
        <f>VLOOKUP($B183&amp;"__wt",'SegEnds_Xtal_BW#'!$A:$Z,25,FALSE)</f>
        <v>47</v>
      </c>
      <c r="Z183" s="1">
        <f>VLOOKUP($B183&amp;"__wt",'SegEnds_Xtal_BW#'!$A:$Z,26,FALSE)</f>
        <v>59</v>
      </c>
      <c r="AA183" s="27" t="str">
        <f>VLOOKUP(A183,Classification!A:B,2,FALSE)</f>
        <v>A</v>
      </c>
      <c r="AB183" s="1">
        <f>VLOOKUP(A183,'SegEnds_NonXtal_Prot#'!A:AL,10,FALSE)-VLOOKUP(A183,'SegEnds_NonXtal_Prot#'!A:AL,4,FALSE)</f>
        <v>28</v>
      </c>
      <c r="AC183" s="1">
        <f>VLOOKUP(A183,'SegEnds_NonXtal_Prot#'!A:AL,10,FALSE)-VLOOKUP(A183,'SegEnds_NonXtal_Prot#'!A:AL,7,FALSE)</f>
        <v>15</v>
      </c>
      <c r="AD183" s="1">
        <f>VLOOKUP(A183,'SegEnds_NonXtal_Prot#'!A:AL,13,FALSE)-VLOOKUP(A183,'SegEnds_NonXtal_Prot#'!A:AL,10,FALSE)</f>
        <v>19</v>
      </c>
      <c r="AE183" s="1">
        <f>VLOOKUP(A183,'SegEnds_NonXtal_Prot#'!A:AL,16,FALSE)-VLOOKUP(A183,'SegEnds_NonXtal_Prot#'!A:AL,10,FALSE)</f>
        <v>51</v>
      </c>
      <c r="AF183" s="1">
        <f>VLOOKUP(A183,'SegEnds_NonXtal_Prot#'!A:AL,22,FALSE)-VLOOKUP(A183,'SegEnds_NonXtal_Prot#'!A:AL,19,FALSE)</f>
        <v>19</v>
      </c>
      <c r="AG183" s="1">
        <f>VLOOKUP(A183,'SegEnds_NonXtal_Prot#'!A:AL,28,FALSE)-VLOOKUP(A183,'SegEnds_NonXtal_Prot#'!A:AL,25,FALSE)</f>
        <v>24</v>
      </c>
      <c r="AH183" s="1">
        <f>VLOOKUP(A183,'SegEnds_NonXtal_Prot#'!A:AL,28,FALSE)-VLOOKUP(A183,'SegEnds_NonXtal_Prot#'!A:AL,22,FALSE)</f>
        <v>49</v>
      </c>
      <c r="AI183" s="1">
        <f>VLOOKUP(A183,'SegEnds_NonXtal_Prot#'!A:AL,31,FALSE)-VLOOKUP(A183,'SegEnds_NonXtal_Prot#'!A:AL,28,FALSE)</f>
        <v>50</v>
      </c>
      <c r="AJ183" s="1">
        <f>VLOOKUP(A183,'SegEnds_NonXtal_Prot#'!A:AL,34,FALSE)-VLOOKUP(A183,'SegEnds_NonXtal_Prot#'!A:AL,31,FALSE)</f>
        <v>39</v>
      </c>
      <c r="AK183" s="1">
        <f>VLOOKUP(A183,'SegEnds_NonXtal_Prot#'!A:AL,37,FALSE)-VLOOKUP(A183,'SegEnds_NonXtal_Prot#'!A:AL,34,FALSE)</f>
        <v>10</v>
      </c>
      <c r="AL183" s="1" t="str">
        <f>IF(ISERROR(MATCH(A183,'SegEnds_Xtal_Prot#'!B:B, 0)), "NoXtal", "Xtal")</f>
        <v>NoXtal</v>
      </c>
    </row>
    <row r="184" spans="1:38" x14ac:dyDescent="0.2">
      <c r="A184" s="1" t="s">
        <v>397</v>
      </c>
      <c r="B184" s="1" t="str">
        <f>VLOOKUP(A184,Xtal_Templ!A:B,2,FALSE)</f>
        <v>ox2r_human</v>
      </c>
      <c r="C184" s="5">
        <f>VLOOKUP($B184&amp;"__wt",'SegEnds_Xtal_BW#'!$A:$Z,3,FALSE)</f>
        <v>31</v>
      </c>
      <c r="D184" s="1">
        <f>VLOOKUP($B184&amp;"__wt",'SegEnds_Xtal_BW#'!$A:$Z,4,FALSE)</f>
        <v>60</v>
      </c>
      <c r="E184" s="1">
        <f>VLOOKUP($B184&amp;"__wt",'SegEnds_Xtal_BW#'!$A:$Z,5,FALSE)</f>
        <v>48</v>
      </c>
      <c r="F184" s="1">
        <f>VLOOKUP($B184&amp;"__wt",'SegEnds_Xtal_BW#'!$A:$Z,6,FALSE)</f>
        <v>51</v>
      </c>
      <c r="G184" s="1">
        <v>37</v>
      </c>
      <c r="H184" s="108">
        <v>66</v>
      </c>
      <c r="I184" s="1">
        <f>VLOOKUP($B184&amp;"__wt",'SegEnds_Xtal_BW#'!$A:$Z,9,FALSE)</f>
        <v>49</v>
      </c>
      <c r="J184" s="1">
        <f>VLOOKUP($B184&amp;"__wt",'SegEnds_Xtal_BW#'!$A:$Z,10,FALSE)</f>
        <v>52</v>
      </c>
      <c r="K184" s="12">
        <v>18</v>
      </c>
      <c r="L184" s="1">
        <f>VLOOKUP($B184&amp;"__wt",'SegEnds_Xtal_BW#'!$A:$Z,12,FALSE)</f>
        <v>56</v>
      </c>
      <c r="M184" s="1">
        <f>VLOOKUP($B184&amp;"__wt",'SegEnds_Xtal_BW#'!$A:$Z,13,FALSE)</f>
        <v>50</v>
      </c>
      <c r="N184" s="108">
        <v>56</v>
      </c>
      <c r="O184" s="87">
        <f>VLOOKUP($B184&amp;"__wt",'SegEnds_Xtal_BW#'!$A:$Z,15,FALSE)</f>
        <v>38</v>
      </c>
      <c r="P184" s="1">
        <f>VLOOKUP($B184&amp;"__wt",'SegEnds_Xtal_BW#'!$A:$Z,16,FALSE)</f>
        <v>64</v>
      </c>
      <c r="Q184" s="1">
        <f>VLOOKUP($B184&amp;"__wt",'SegEnds_Xtal_BW#'!$A:$Z,17,FALSE)</f>
        <v>50</v>
      </c>
      <c r="R184" s="1">
        <f>VLOOKUP($B184&amp;"__wt",'SegEnds_Xtal_BW#'!$A:$Z,18,FALSE)</f>
        <v>52</v>
      </c>
      <c r="S184" s="1">
        <f>VLOOKUP($B184&amp;"__wt",'SegEnds_Xtal_BW#'!$A:$Z,19,FALSE)</f>
        <v>33</v>
      </c>
      <c r="T184" s="1">
        <f t="array" ref="T184">INDEX(ICL3_classA!$G$2:$G$37,MATCH(MIN(ABS(AI184-ICL3_classA!$F$2:$F$37)),ABS(AI184-ICL3_classA!$F$2:$F$37),0))</f>
        <v>76</v>
      </c>
      <c r="U184" s="1">
        <f t="array" ref="U184">INDEX(ICL3_classA!$H$2:$H$37,MATCH(MIN(ABS(AI184-ICL3_classA!$F$2:$F$37)),ABS(AI184-ICL3_classA!$F$2:$F$37),0))</f>
        <v>24</v>
      </c>
      <c r="V184" s="1">
        <v>61</v>
      </c>
      <c r="W184" s="133">
        <f>VLOOKUP($B184&amp;"__wt",'SegEnds_Xtal_BW#'!$A:$Z,23,FALSE)</f>
        <v>27</v>
      </c>
      <c r="X184" s="1">
        <f>VLOOKUP($B184&amp;"__wt",'SegEnds_Xtal_BW#'!$A:$Z,24,FALSE)</f>
        <v>56</v>
      </c>
      <c r="Y184" s="1">
        <f>VLOOKUP($B184&amp;"__wt",'SegEnds_Xtal_BW#'!$A:$Z,25,FALSE)</f>
        <v>47</v>
      </c>
      <c r="Z184" s="1">
        <f>VLOOKUP($B184&amp;"__wt",'SegEnds_Xtal_BW#'!$A:$Z,26,FALSE)</f>
        <v>58</v>
      </c>
      <c r="AA184" s="27" t="str">
        <f>VLOOKUP(A184,Classification!A:B,2,FALSE)</f>
        <v>A</v>
      </c>
      <c r="AB184" s="1">
        <f>VLOOKUP(A184,'SegEnds_NonXtal_Prot#'!A:AL,10,FALSE)-VLOOKUP(A184,'SegEnds_NonXtal_Prot#'!A:AL,4,FALSE)</f>
        <v>28</v>
      </c>
      <c r="AC184" s="1">
        <f>VLOOKUP(A184,'SegEnds_NonXtal_Prot#'!A:AL,10,FALSE)-VLOOKUP(A184,'SegEnds_NonXtal_Prot#'!A:AL,7,FALSE)</f>
        <v>15</v>
      </c>
      <c r="AD184" s="1">
        <f>VLOOKUP(A184,'SegEnds_NonXtal_Prot#'!A:AL,13,FALSE)-VLOOKUP(A184,'SegEnds_NonXtal_Prot#'!A:AL,10,FALSE)</f>
        <v>18</v>
      </c>
      <c r="AE184" s="1">
        <f>VLOOKUP(A184,'SegEnds_NonXtal_Prot#'!A:AL,16,FALSE)-VLOOKUP(A184,'SegEnds_NonXtal_Prot#'!A:AL,10,FALSE)</f>
        <v>52</v>
      </c>
      <c r="AF184" s="1">
        <f>VLOOKUP(A184,'SegEnds_NonXtal_Prot#'!A:AL,22,FALSE)-VLOOKUP(A184,'SegEnds_NonXtal_Prot#'!A:AL,19,FALSE)</f>
        <v>19</v>
      </c>
      <c r="AG184" s="1">
        <f>VLOOKUP(A184,'SegEnds_NonXtal_Prot#'!A:AL,28,FALSE)-VLOOKUP(A184,'SegEnds_NonXtal_Prot#'!A:AL,25,FALSE)</f>
        <v>25</v>
      </c>
      <c r="AH184" s="1">
        <f>VLOOKUP(A184,'SegEnds_NonXtal_Prot#'!A:AL,28,FALSE)-VLOOKUP(A184,'SegEnds_NonXtal_Prot#'!A:AL,22,FALSE)</f>
        <v>53</v>
      </c>
      <c r="AI184" s="1">
        <f>VLOOKUP(A184,'SegEnds_NonXtal_Prot#'!A:AL,31,FALSE)-VLOOKUP(A184,'SegEnds_NonXtal_Prot#'!A:AL,28,FALSE)</f>
        <v>78</v>
      </c>
      <c r="AJ184" s="1">
        <f>VLOOKUP(A184,'SegEnds_NonXtal_Prot#'!A:AL,34,FALSE)-VLOOKUP(A184,'SegEnds_NonXtal_Prot#'!A:AL,31,FALSE)</f>
        <v>39</v>
      </c>
      <c r="AK184" s="1">
        <f>VLOOKUP(A184,'SegEnds_NonXtal_Prot#'!A:AL,37,FALSE)-VLOOKUP(A184,'SegEnds_NonXtal_Prot#'!A:AL,34,FALSE)</f>
        <v>10</v>
      </c>
      <c r="AL184" s="1" t="str">
        <f>IF(ISERROR(MATCH(A184,'SegEnds_Xtal_Prot#'!B:B, 0)), "NoXtal", "Xtal")</f>
        <v>NoXtal</v>
      </c>
    </row>
    <row r="185" spans="1:38" x14ac:dyDescent="0.2">
      <c r="A185" s="1" t="s">
        <v>398</v>
      </c>
      <c r="B185" s="1" t="str">
        <f>VLOOKUP(A185,Xtal_Templ!A:B,2,FALSE)</f>
        <v>ntr1_rat</v>
      </c>
      <c r="C185" s="5">
        <f>VLOOKUP($B185&amp;"__wt",'SegEnds_Xtal_BW#'!$A:$Z,3,FALSE)</f>
        <v>29</v>
      </c>
      <c r="D185" s="1">
        <f>VLOOKUP($B185&amp;"__wt",'SegEnds_Xtal_BW#'!$A:$Z,4,FALSE)</f>
        <v>60</v>
      </c>
      <c r="E185" s="1">
        <f>VLOOKUP($B185&amp;"__wt",'SegEnds_Xtal_BW#'!$A:$Z,5,FALSE)</f>
        <v>48</v>
      </c>
      <c r="F185" s="1">
        <f>VLOOKUP($B185&amp;"__wt",'SegEnds_Xtal_BW#'!$A:$Z,6,FALSE)</f>
        <v>51</v>
      </c>
      <c r="G185" s="1">
        <v>37</v>
      </c>
      <c r="H185" s="108">
        <v>66</v>
      </c>
      <c r="I185" s="1">
        <f>VLOOKUP($B185&amp;"__wt",'SegEnds_Xtal_BW#'!$A:$Z,9,FALSE)</f>
        <v>49</v>
      </c>
      <c r="J185" s="1">
        <f>VLOOKUP($B185&amp;"__wt",'SegEnds_Xtal_BW#'!$A:$Z,10,FALSE)</f>
        <v>52</v>
      </c>
      <c r="K185" s="12">
        <v>18</v>
      </c>
      <c r="L185" s="1">
        <f>VLOOKUP($B185&amp;"__wt",'SegEnds_Xtal_BW#'!$A:$Z,12,FALSE)</f>
        <v>56</v>
      </c>
      <c r="M185" s="1">
        <f>VLOOKUP($B185&amp;"__wt",'SegEnds_Xtal_BW#'!$A:$Z,13,FALSE)</f>
        <v>50</v>
      </c>
      <c r="N185" s="108">
        <v>56</v>
      </c>
      <c r="O185" s="87">
        <f>VLOOKUP($B185&amp;"__wt",'SegEnds_Xtal_BW#'!$A:$Z,15,FALSE)</f>
        <v>38</v>
      </c>
      <c r="P185" s="1">
        <f>VLOOKUP($B185&amp;"__wt",'SegEnds_Xtal_BW#'!$A:$Z,16,FALSE)</f>
        <v>64</v>
      </c>
      <c r="Q185" s="1">
        <f>VLOOKUP($B185&amp;"__wt",'SegEnds_Xtal_BW#'!$A:$Z,17,FALSE)</f>
        <v>50</v>
      </c>
      <c r="R185" s="1">
        <f>VLOOKUP($B185&amp;"__wt",'SegEnds_Xtal_BW#'!$A:$Z,18,FALSE)</f>
        <v>52</v>
      </c>
      <c r="S185" s="1">
        <f>VLOOKUP($B185&amp;"__wt",'SegEnds_Xtal_BW#'!$A:$Z,19,FALSE)</f>
        <v>32</v>
      </c>
      <c r="T185" s="1">
        <f t="array" ref="T185">INDEX(ICL3_classA!$G$2:$G$37,MATCH(MIN(ABS(AI185-ICL3_classA!$F$2:$F$37)),ABS(AI185-ICL3_classA!$F$2:$F$37),0))</f>
        <v>76</v>
      </c>
      <c r="U185" s="1">
        <f t="array" ref="U185">INDEX(ICL3_classA!$H$2:$H$37,MATCH(MIN(ABS(AI185-ICL3_classA!$F$2:$F$37)),ABS(AI185-ICL3_classA!$F$2:$F$37),0))</f>
        <v>24</v>
      </c>
      <c r="V185" s="1">
        <v>61</v>
      </c>
      <c r="W185" s="133">
        <f>VLOOKUP($B185&amp;"__wt",'SegEnds_Xtal_BW#'!$A:$Z,23,FALSE)</f>
        <v>24</v>
      </c>
      <c r="X185" s="1">
        <f>VLOOKUP($B185&amp;"__wt",'SegEnds_Xtal_BW#'!$A:$Z,24,FALSE)</f>
        <v>56</v>
      </c>
      <c r="Y185" s="1">
        <f>VLOOKUP($B185&amp;"__wt",'SegEnds_Xtal_BW#'!$A:$Z,25,FALSE)</f>
        <v>47</v>
      </c>
      <c r="Z185" s="1">
        <f>VLOOKUP($B185&amp;"__wt",'SegEnds_Xtal_BW#'!$A:$Z,26,FALSE)</f>
        <v>58</v>
      </c>
      <c r="AA185" s="27" t="str">
        <f>VLOOKUP(A185,Classification!A:B,2,FALSE)</f>
        <v>A</v>
      </c>
      <c r="AB185" s="1">
        <f>VLOOKUP(A185,'SegEnds_NonXtal_Prot#'!A:AL,10,FALSE)-VLOOKUP(A185,'SegEnds_NonXtal_Prot#'!A:AL,4,FALSE)</f>
        <v>28</v>
      </c>
      <c r="AC185" s="1">
        <f>VLOOKUP(A185,'SegEnds_NonXtal_Prot#'!A:AL,10,FALSE)-VLOOKUP(A185,'SegEnds_NonXtal_Prot#'!A:AL,7,FALSE)</f>
        <v>15</v>
      </c>
      <c r="AD185" s="1">
        <f>VLOOKUP(A185,'SegEnds_NonXtal_Prot#'!A:AL,13,FALSE)-VLOOKUP(A185,'SegEnds_NonXtal_Prot#'!A:AL,10,FALSE)</f>
        <v>18</v>
      </c>
      <c r="AE185" s="1">
        <f>VLOOKUP(A185,'SegEnds_NonXtal_Prot#'!A:AL,16,FALSE)-VLOOKUP(A185,'SegEnds_NonXtal_Prot#'!A:AL,10,FALSE)</f>
        <v>52</v>
      </c>
      <c r="AF185" s="1">
        <f>VLOOKUP(A185,'SegEnds_NonXtal_Prot#'!A:AL,22,FALSE)-VLOOKUP(A185,'SegEnds_NonXtal_Prot#'!A:AL,19,FALSE)</f>
        <v>19</v>
      </c>
      <c r="AG185" s="1">
        <f>VLOOKUP(A185,'SegEnds_NonXtal_Prot#'!A:AL,28,FALSE)-VLOOKUP(A185,'SegEnds_NonXtal_Prot#'!A:AL,25,FALSE)</f>
        <v>25</v>
      </c>
      <c r="AH185" s="1">
        <f>VLOOKUP(A185,'SegEnds_NonXtal_Prot#'!A:AL,28,FALSE)-VLOOKUP(A185,'SegEnds_NonXtal_Prot#'!A:AL,22,FALSE)</f>
        <v>53</v>
      </c>
      <c r="AI185" s="1">
        <f>VLOOKUP(A185,'SegEnds_NonXtal_Prot#'!A:AL,31,FALSE)-VLOOKUP(A185,'SegEnds_NonXtal_Prot#'!A:AL,28,FALSE)</f>
        <v>85</v>
      </c>
      <c r="AJ185" s="1">
        <f>VLOOKUP(A185,'SegEnds_NonXtal_Prot#'!A:AL,34,FALSE)-VLOOKUP(A185,'SegEnds_NonXtal_Prot#'!A:AL,31,FALSE)</f>
        <v>39</v>
      </c>
      <c r="AK185" s="1">
        <f>VLOOKUP(A185,'SegEnds_NonXtal_Prot#'!A:AL,37,FALSE)-VLOOKUP(A185,'SegEnds_NonXtal_Prot#'!A:AL,34,FALSE)</f>
        <v>10</v>
      </c>
      <c r="AL185" s="1" t="str">
        <f>IF(ISERROR(MATCH(A185,'SegEnds_Xtal_Prot#'!B:B, 0)), "NoXtal", "Xtal")</f>
        <v>NoXtal</v>
      </c>
    </row>
    <row r="186" spans="1:38" x14ac:dyDescent="0.2">
      <c r="A186" s="1" t="s">
        <v>164</v>
      </c>
      <c r="B186" s="1" t="str">
        <f>VLOOKUP(A186,Xtal_Templ!A:B,2,FALSE)</f>
        <v>c5ar1_human</v>
      </c>
      <c r="C186" s="5">
        <f>VLOOKUP($B186&amp;"__wt",'SegEnds_Xtal_BW#'!$A:$Z,3,FALSE)</f>
        <v>29</v>
      </c>
      <c r="D186" s="1">
        <f>VLOOKUP($B186&amp;"__wt",'SegEnds_Xtal_BW#'!$A:$Z,4,FALSE)</f>
        <v>60</v>
      </c>
      <c r="E186" s="1" t="str">
        <f>VLOOKUP($B186&amp;"__wt",'SegEnds_Xtal_BW#'!$A:$Z,5,FALSE)</f>
        <v>-</v>
      </c>
      <c r="F186" s="1" t="str">
        <f>VLOOKUP($B186&amp;"__wt",'SegEnds_Xtal_BW#'!$A:$Z,6,FALSE)</f>
        <v>-</v>
      </c>
      <c r="G186" s="1">
        <v>37</v>
      </c>
      <c r="H186" s="12">
        <f>VLOOKUP($B186&amp;"__wt",'SegEnds_Xtal_BW#'!$A:$Z,8,FALSE)</f>
        <v>67</v>
      </c>
      <c r="I186" s="1">
        <f>VLOOKUP($B186&amp;"__wt",'SegEnds_Xtal_BW#'!$A:$Z,9,FALSE)</f>
        <v>49</v>
      </c>
      <c r="J186" s="1">
        <f>VLOOKUP($B186&amp;"__wt",'SegEnds_Xtal_BW#'!$A:$Z,10,FALSE)</f>
        <v>52</v>
      </c>
      <c r="K186" s="12">
        <v>18</v>
      </c>
      <c r="L186" s="1">
        <f>VLOOKUP($B186&amp;"__wt",'SegEnds_Xtal_BW#'!$A:$Z,12,FALSE)</f>
        <v>56</v>
      </c>
      <c r="M186" s="1">
        <f>VLOOKUP($B186&amp;"__wt",'SegEnds_Xtal_BW#'!$A:$Z,13,FALSE)</f>
        <v>50</v>
      </c>
      <c r="N186" s="12">
        <v>57</v>
      </c>
      <c r="O186" s="87">
        <v>38</v>
      </c>
      <c r="P186" s="1">
        <f>VLOOKUP($B186&amp;"__wt",'SegEnds_Xtal_BW#'!$A:$Z,16,FALSE)</f>
        <v>64</v>
      </c>
      <c r="Q186" s="1">
        <f>VLOOKUP($B186&amp;"__wt",'SegEnds_Xtal_BW#'!$A:$Z,17,FALSE)</f>
        <v>50</v>
      </c>
      <c r="R186" s="1">
        <f>VLOOKUP($B186&amp;"__wt",'SegEnds_Xtal_BW#'!$A:$Z,18,FALSE)</f>
        <v>52</v>
      </c>
      <c r="S186" s="1">
        <f>VLOOKUP($B186&amp;"__wt",'SegEnds_Xtal_BW#'!$A:$Z,19,FALSE)</f>
        <v>31</v>
      </c>
      <c r="T186" s="1">
        <f t="array" ref="T186">INDEX(ICL3_classA!$G$2:$G$37,MATCH(MIN(ABS(AI186-ICL3_classA!$F$2:$F$37)),ABS(AI186-ICL3_classA!$F$2:$F$37),0))</f>
        <v>68</v>
      </c>
      <c r="U186" s="108">
        <v>31</v>
      </c>
      <c r="V186" s="1">
        <v>61</v>
      </c>
      <c r="W186" s="108">
        <v>25</v>
      </c>
      <c r="X186" s="1">
        <f>VLOOKUP($B186&amp;"__wt",'SegEnds_Xtal_BW#'!$A:$Z,24,FALSE)</f>
        <v>56</v>
      </c>
      <c r="Y186" s="1">
        <f>VLOOKUP($B186&amp;"__wt",'SegEnds_Xtal_BW#'!$A:$Z,25,FALSE)</f>
        <v>47</v>
      </c>
      <c r="Z186" s="1">
        <f>VLOOKUP($B186&amp;"__wt",'SegEnds_Xtal_BW#'!$A:$Z,26,FALSE)</f>
        <v>56</v>
      </c>
      <c r="AA186" s="27" t="str">
        <f>VLOOKUP(A186,Classification!A:B,2,FALSE)</f>
        <v>A</v>
      </c>
      <c r="AB186" s="1">
        <f>VLOOKUP(A186,'SegEnds_NonXtal_Prot#'!A:AL,10,FALSE)-VLOOKUP(A186,'SegEnds_NonXtal_Prot#'!A:AL,4,FALSE)</f>
        <v>27</v>
      </c>
      <c r="AC186" s="1" t="e">
        <f>VLOOKUP(A186,'SegEnds_NonXtal_Prot#'!A:AL,10,FALSE)-VLOOKUP(A186,'SegEnds_NonXtal_Prot#'!A:AL,7,FALSE)</f>
        <v>#VALUE!</v>
      </c>
      <c r="AD186" s="1">
        <f>VLOOKUP(A186,'SegEnds_NonXtal_Prot#'!A:AL,13,FALSE)-VLOOKUP(A186,'SegEnds_NonXtal_Prot#'!A:AL,10,FALSE)</f>
        <v>20</v>
      </c>
      <c r="AE186" s="1">
        <f>VLOOKUP(A186,'SegEnds_NonXtal_Prot#'!A:AL,16,FALSE)-VLOOKUP(A186,'SegEnds_NonXtal_Prot#'!A:AL,10,FALSE)</f>
        <v>52</v>
      </c>
      <c r="AF186" s="1">
        <f>VLOOKUP(A186,'SegEnds_NonXtal_Prot#'!A:AL,22,FALSE)-VLOOKUP(A186,'SegEnds_NonXtal_Prot#'!A:AL,19,FALSE)</f>
        <v>20</v>
      </c>
      <c r="AG186" s="1">
        <f>VLOOKUP(A186,'SegEnds_NonXtal_Prot#'!A:AL,28,FALSE)-VLOOKUP(A186,'SegEnds_NonXtal_Prot#'!A:AL,25,FALSE)</f>
        <v>176</v>
      </c>
      <c r="AH186" s="1">
        <f>VLOOKUP(A186,'SegEnds_NonXtal_Prot#'!A:AL,28,FALSE)-VLOOKUP(A186,'SegEnds_NonXtal_Prot#'!A:AL,22,FALSE)</f>
        <v>201</v>
      </c>
      <c r="AI186" s="1">
        <f>VLOOKUP(A186,'SegEnds_NonXtal_Prot#'!A:AL,31,FALSE)-VLOOKUP(A186,'SegEnds_NonXtal_Prot#'!A:AL,28,FALSE)</f>
        <v>44</v>
      </c>
      <c r="AJ186" s="1">
        <f>VLOOKUP(A186,'SegEnds_NonXtal_Prot#'!A:AL,34,FALSE)-VLOOKUP(A186,'SegEnds_NonXtal_Prot#'!A:AL,31,FALSE)</f>
        <v>40</v>
      </c>
      <c r="AK186" s="1">
        <f>VLOOKUP(A186,'SegEnds_NonXtal_Prot#'!A:AL,37,FALSE)-VLOOKUP(A186,'SegEnds_NonXtal_Prot#'!A:AL,34,FALSE)</f>
        <v>10</v>
      </c>
      <c r="AL186" s="1" t="str">
        <f>IF(ISERROR(MATCH(A186,'SegEnds_Xtal_Prot#'!B:B, 0)), "NoXtal", "Xtal")</f>
        <v>NoXtal</v>
      </c>
    </row>
    <row r="187" spans="1:38" x14ac:dyDescent="0.2">
      <c r="A187" s="1" t="s">
        <v>165</v>
      </c>
      <c r="B187" s="1" t="str">
        <f>VLOOKUP(A187,Xtal_Templ!A:B,2,FALSE)</f>
        <v>c5ar1_human</v>
      </c>
      <c r="C187" s="5">
        <f>VLOOKUP($B187&amp;"__wt",'SegEnds_Xtal_BW#'!$A:$Z,3,FALSE)</f>
        <v>29</v>
      </c>
      <c r="D187" s="1">
        <f>VLOOKUP($B187&amp;"__wt",'SegEnds_Xtal_BW#'!$A:$Z,4,FALSE)</f>
        <v>60</v>
      </c>
      <c r="E187" s="1" t="str">
        <f>VLOOKUP($B187&amp;"__wt",'SegEnds_Xtal_BW#'!$A:$Z,5,FALSE)</f>
        <v>-</v>
      </c>
      <c r="F187" s="1" t="str">
        <f>VLOOKUP($B187&amp;"__wt",'SegEnds_Xtal_BW#'!$A:$Z,6,FALSE)</f>
        <v>-</v>
      </c>
      <c r="G187" s="1">
        <v>37</v>
      </c>
      <c r="H187" s="12">
        <f>VLOOKUP($B187&amp;"__wt",'SegEnds_Xtal_BW#'!$A:$Z,8,FALSE)</f>
        <v>67</v>
      </c>
      <c r="I187" s="1">
        <f>VLOOKUP($B187&amp;"__wt",'SegEnds_Xtal_BW#'!$A:$Z,9,FALSE)</f>
        <v>49</v>
      </c>
      <c r="J187" s="1">
        <f>VLOOKUP($B187&amp;"__wt",'SegEnds_Xtal_BW#'!$A:$Z,10,FALSE)</f>
        <v>52</v>
      </c>
      <c r="K187" s="12">
        <v>18</v>
      </c>
      <c r="L187" s="1">
        <f>VLOOKUP($B187&amp;"__wt",'SegEnds_Xtal_BW#'!$A:$Z,12,FALSE)</f>
        <v>56</v>
      </c>
      <c r="M187" s="1">
        <f>VLOOKUP($B187&amp;"__wt",'SegEnds_Xtal_BW#'!$A:$Z,13,FALSE)</f>
        <v>50</v>
      </c>
      <c r="N187" s="12">
        <v>57</v>
      </c>
      <c r="O187" s="87">
        <v>38</v>
      </c>
      <c r="P187" s="1">
        <f>VLOOKUP($B187&amp;"__wt",'SegEnds_Xtal_BW#'!$A:$Z,16,FALSE)</f>
        <v>64</v>
      </c>
      <c r="Q187" s="1">
        <f>VLOOKUP($B187&amp;"__wt",'SegEnds_Xtal_BW#'!$A:$Z,17,FALSE)</f>
        <v>50</v>
      </c>
      <c r="R187" s="1">
        <f>VLOOKUP($B187&amp;"__wt",'SegEnds_Xtal_BW#'!$A:$Z,18,FALSE)</f>
        <v>52</v>
      </c>
      <c r="S187" s="1">
        <f>VLOOKUP($B187&amp;"__wt",'SegEnds_Xtal_BW#'!$A:$Z,19,FALSE)</f>
        <v>31</v>
      </c>
      <c r="T187" s="1">
        <f t="array" ref="T187">INDEX(ICL3_classA!$G$2:$G$37,MATCH(MIN(ABS(AI187-ICL3_classA!$F$2:$F$37)),ABS(AI187-ICL3_classA!$F$2:$F$37),0))</f>
        <v>68</v>
      </c>
      <c r="U187" s="108">
        <v>31</v>
      </c>
      <c r="V187" s="1">
        <v>61</v>
      </c>
      <c r="W187" s="108">
        <v>25</v>
      </c>
      <c r="X187" s="1">
        <f>VLOOKUP($B187&amp;"__wt",'SegEnds_Xtal_BW#'!$A:$Z,24,FALSE)</f>
        <v>56</v>
      </c>
      <c r="Y187" s="1">
        <f>VLOOKUP($B187&amp;"__wt",'SegEnds_Xtal_BW#'!$A:$Z,25,FALSE)</f>
        <v>47</v>
      </c>
      <c r="Z187" s="1">
        <f>VLOOKUP($B187&amp;"__wt",'SegEnds_Xtal_BW#'!$A:$Z,26,FALSE)</f>
        <v>56</v>
      </c>
      <c r="AA187" s="27" t="str">
        <f>VLOOKUP(A187,Classification!A:B,2,FALSE)</f>
        <v>A</v>
      </c>
      <c r="AB187" s="1">
        <f>VLOOKUP(A187,'SegEnds_NonXtal_Prot#'!A:AL,10,FALSE)-VLOOKUP(A187,'SegEnds_NonXtal_Prot#'!A:AL,4,FALSE)</f>
        <v>27</v>
      </c>
      <c r="AC187" s="1" t="e">
        <f>VLOOKUP(A187,'SegEnds_NonXtal_Prot#'!A:AL,10,FALSE)-VLOOKUP(A187,'SegEnds_NonXtal_Prot#'!A:AL,7,FALSE)</f>
        <v>#VALUE!</v>
      </c>
      <c r="AD187" s="1">
        <f>VLOOKUP(A187,'SegEnds_NonXtal_Prot#'!A:AL,13,FALSE)-VLOOKUP(A187,'SegEnds_NonXtal_Prot#'!A:AL,10,FALSE)</f>
        <v>20</v>
      </c>
      <c r="AE187" s="1">
        <f>VLOOKUP(A187,'SegEnds_NonXtal_Prot#'!A:AL,16,FALSE)-VLOOKUP(A187,'SegEnds_NonXtal_Prot#'!A:AL,10,FALSE)</f>
        <v>52</v>
      </c>
      <c r="AF187" s="1">
        <f>VLOOKUP(A187,'SegEnds_NonXtal_Prot#'!A:AL,22,FALSE)-VLOOKUP(A187,'SegEnds_NonXtal_Prot#'!A:AL,19,FALSE)</f>
        <v>20</v>
      </c>
      <c r="AG187" s="1">
        <f>VLOOKUP(A187,'SegEnds_NonXtal_Prot#'!A:AL,28,FALSE)-VLOOKUP(A187,'SegEnds_NonXtal_Prot#'!A:AL,25,FALSE)</f>
        <v>26</v>
      </c>
      <c r="AH187" s="1">
        <f>VLOOKUP(A187,'SegEnds_NonXtal_Prot#'!A:AL,28,FALSE)-VLOOKUP(A187,'SegEnds_NonXtal_Prot#'!A:AL,22,FALSE)</f>
        <v>53</v>
      </c>
      <c r="AI187" s="1">
        <f>VLOOKUP(A187,'SegEnds_NonXtal_Prot#'!A:AL,31,FALSE)-VLOOKUP(A187,'SegEnds_NonXtal_Prot#'!A:AL,28,FALSE)</f>
        <v>43</v>
      </c>
      <c r="AJ187" s="1">
        <f>VLOOKUP(A187,'SegEnds_NonXtal_Prot#'!A:AL,34,FALSE)-VLOOKUP(A187,'SegEnds_NonXtal_Prot#'!A:AL,31,FALSE)</f>
        <v>40</v>
      </c>
      <c r="AK187" s="1">
        <f>VLOOKUP(A187,'SegEnds_NonXtal_Prot#'!A:AL,37,FALSE)-VLOOKUP(A187,'SegEnds_NonXtal_Prot#'!A:AL,34,FALSE)</f>
        <v>10</v>
      </c>
      <c r="AL187" s="1" t="str">
        <f>IF(ISERROR(MATCH(A187,'SegEnds_Xtal_Prot#'!B:B, 0)), "NoXtal", "Xtal")</f>
        <v>Xtal</v>
      </c>
    </row>
    <row r="188" spans="1:38" x14ac:dyDescent="0.2">
      <c r="A188" s="1" t="s">
        <v>166</v>
      </c>
      <c r="B188" s="1" t="str">
        <f>VLOOKUP(A188,Xtal_Templ!A:B,2,FALSE)</f>
        <v>c5ar1_human</v>
      </c>
      <c r="C188" s="5">
        <f>VLOOKUP($B188&amp;"__wt",'SegEnds_Xtal_BW#'!$A:$Z,3,FALSE)</f>
        <v>29</v>
      </c>
      <c r="D188" s="1">
        <f>VLOOKUP($B188&amp;"__wt",'SegEnds_Xtal_BW#'!$A:$Z,4,FALSE)</f>
        <v>60</v>
      </c>
      <c r="E188" s="1" t="str">
        <f>VLOOKUP($B188&amp;"__wt",'SegEnds_Xtal_BW#'!$A:$Z,5,FALSE)</f>
        <v>-</v>
      </c>
      <c r="F188" s="1" t="str">
        <f>VLOOKUP($B188&amp;"__wt",'SegEnds_Xtal_BW#'!$A:$Z,6,FALSE)</f>
        <v>-</v>
      </c>
      <c r="G188" s="1">
        <v>37</v>
      </c>
      <c r="H188" s="12">
        <f>VLOOKUP($B188&amp;"__wt",'SegEnds_Xtal_BW#'!$A:$Z,8,FALSE)</f>
        <v>67</v>
      </c>
      <c r="I188" s="1">
        <f>VLOOKUP($B188&amp;"__wt",'SegEnds_Xtal_BW#'!$A:$Z,9,FALSE)</f>
        <v>49</v>
      </c>
      <c r="J188" s="1">
        <f>VLOOKUP($B188&amp;"__wt",'SegEnds_Xtal_BW#'!$A:$Z,10,FALSE)</f>
        <v>52</v>
      </c>
      <c r="K188" s="12">
        <v>18</v>
      </c>
      <c r="L188" s="1">
        <f>VLOOKUP($B188&amp;"__wt",'SegEnds_Xtal_BW#'!$A:$Z,12,FALSE)</f>
        <v>56</v>
      </c>
      <c r="M188" s="1">
        <f>VLOOKUP($B188&amp;"__wt",'SegEnds_Xtal_BW#'!$A:$Z,13,FALSE)</f>
        <v>50</v>
      </c>
      <c r="N188" s="12">
        <v>57</v>
      </c>
      <c r="O188" s="87">
        <v>38</v>
      </c>
      <c r="P188" s="1">
        <f>VLOOKUP($B188&amp;"__wt",'SegEnds_Xtal_BW#'!$A:$Z,16,FALSE)</f>
        <v>64</v>
      </c>
      <c r="Q188" s="1">
        <f>VLOOKUP($B188&amp;"__wt",'SegEnds_Xtal_BW#'!$A:$Z,17,FALSE)</f>
        <v>50</v>
      </c>
      <c r="R188" s="1">
        <f>VLOOKUP($B188&amp;"__wt",'SegEnds_Xtal_BW#'!$A:$Z,18,FALSE)</f>
        <v>52</v>
      </c>
      <c r="S188" s="1">
        <f>VLOOKUP($B188&amp;"__wt",'SegEnds_Xtal_BW#'!$A:$Z,19,FALSE)</f>
        <v>31</v>
      </c>
      <c r="T188" s="1">
        <f t="array" ref="T188">INDEX(ICL3_classA!$G$2:$G$37,MATCH(MIN(ABS(AI188-ICL3_classA!$F$2:$F$37)),ABS(AI188-ICL3_classA!$F$2:$F$37),0))</f>
        <v>64</v>
      </c>
      <c r="U188" s="108">
        <v>31</v>
      </c>
      <c r="V188" s="1">
        <v>61</v>
      </c>
      <c r="W188" s="108">
        <v>25</v>
      </c>
      <c r="X188" s="1">
        <f>VLOOKUP($B188&amp;"__wt",'SegEnds_Xtal_BW#'!$A:$Z,24,FALSE)</f>
        <v>56</v>
      </c>
      <c r="Y188" s="1">
        <f>VLOOKUP($B188&amp;"__wt",'SegEnds_Xtal_BW#'!$A:$Z,25,FALSE)</f>
        <v>47</v>
      </c>
      <c r="Z188" s="1">
        <f>VLOOKUP($B188&amp;"__wt",'SegEnds_Xtal_BW#'!$A:$Z,26,FALSE)</f>
        <v>56</v>
      </c>
      <c r="AA188" s="27" t="str">
        <f>VLOOKUP(A188,Classification!A:B,2,FALSE)</f>
        <v>A</v>
      </c>
      <c r="AB188" s="1">
        <f>VLOOKUP(A188,'SegEnds_NonXtal_Prot#'!A:AL,10,FALSE)-VLOOKUP(A188,'SegEnds_NonXtal_Prot#'!A:AL,4,FALSE)</f>
        <v>27</v>
      </c>
      <c r="AC188" s="1" t="e">
        <f>VLOOKUP(A188,'SegEnds_NonXtal_Prot#'!A:AL,10,FALSE)-VLOOKUP(A188,'SegEnds_NonXtal_Prot#'!A:AL,7,FALSE)</f>
        <v>#VALUE!</v>
      </c>
      <c r="AD188" s="1">
        <f>VLOOKUP(A188,'SegEnds_NonXtal_Prot#'!A:AL,13,FALSE)-VLOOKUP(A188,'SegEnds_NonXtal_Prot#'!A:AL,10,FALSE)</f>
        <v>20</v>
      </c>
      <c r="AE188" s="1">
        <f>VLOOKUP(A188,'SegEnds_NonXtal_Prot#'!A:AL,16,FALSE)-VLOOKUP(A188,'SegEnds_NonXtal_Prot#'!A:AL,10,FALSE)</f>
        <v>52</v>
      </c>
      <c r="AF188" s="1">
        <f>VLOOKUP(A188,'SegEnds_NonXtal_Prot#'!A:AL,22,FALSE)-VLOOKUP(A188,'SegEnds_NonXtal_Prot#'!A:AL,19,FALSE)</f>
        <v>20</v>
      </c>
      <c r="AG188" s="1">
        <f>VLOOKUP(A188,'SegEnds_NonXtal_Prot#'!A:AL,28,FALSE)-VLOOKUP(A188,'SegEnds_NonXtal_Prot#'!A:AL,25,FALSE)</f>
        <v>26</v>
      </c>
      <c r="AH188" s="1">
        <f>VLOOKUP(A188,'SegEnds_NonXtal_Prot#'!A:AL,28,FALSE)-VLOOKUP(A188,'SegEnds_NonXtal_Prot#'!A:AL,22,FALSE)</f>
        <v>53</v>
      </c>
      <c r="AI188" s="1">
        <f>VLOOKUP(A188,'SegEnds_NonXtal_Prot#'!A:AL,31,FALSE)-VLOOKUP(A188,'SegEnds_NonXtal_Prot#'!A:AL,28,FALSE)</f>
        <v>36</v>
      </c>
      <c r="AJ188" s="1">
        <f>VLOOKUP(A188,'SegEnds_NonXtal_Prot#'!A:AL,34,FALSE)-VLOOKUP(A188,'SegEnds_NonXtal_Prot#'!A:AL,31,FALSE)</f>
        <v>40</v>
      </c>
      <c r="AK188" s="1">
        <f>VLOOKUP(A188,'SegEnds_NonXtal_Prot#'!A:AL,37,FALSE)-VLOOKUP(A188,'SegEnds_NonXtal_Prot#'!A:AL,34,FALSE)</f>
        <v>10</v>
      </c>
      <c r="AL188" s="1" t="str">
        <f>IF(ISERROR(MATCH(A188,'SegEnds_Xtal_Prot#'!B:B, 0)), "NoXtal", "Xtal")</f>
        <v>NoXtal</v>
      </c>
    </row>
    <row r="189" spans="1:38" x14ac:dyDescent="0.2">
      <c r="A189" s="1" t="s">
        <v>180</v>
      </c>
      <c r="B189" s="1" t="str">
        <f>VLOOKUP(A189,Xtal_Templ!A:B,2,FALSE)</f>
        <v>p2ry1_human</v>
      </c>
      <c r="C189" s="5">
        <f>VLOOKUP($B189&amp;"__wt",'SegEnds_Xtal_BW#'!$A:$Z,3,FALSE)</f>
        <v>30</v>
      </c>
      <c r="D189" s="1">
        <f>VLOOKUP($B189&amp;"__wt",'SegEnds_Xtal_BW#'!$A:$Z,4,FALSE)</f>
        <v>60</v>
      </c>
      <c r="E189" s="1" t="str">
        <f>VLOOKUP($B189&amp;"__wt",'SegEnds_Xtal_BW#'!$A:$Z,5,FALSE)</f>
        <v>-</v>
      </c>
      <c r="F189" s="1" t="str">
        <f>VLOOKUP($B189&amp;"__wt",'SegEnds_Xtal_BW#'!$A:$Z,6,FALSE)</f>
        <v>-</v>
      </c>
      <c r="G189" s="1">
        <v>37</v>
      </c>
      <c r="H189" s="12">
        <f>VLOOKUP($B189&amp;"__wt",'SegEnds_Xtal_BW#'!$A:$Z,8,FALSE)</f>
        <v>66</v>
      </c>
      <c r="I189" s="1">
        <f>VLOOKUP($B189&amp;"__wt",'SegEnds_Xtal_BW#'!$A:$Z,9,FALSE)</f>
        <v>49</v>
      </c>
      <c r="J189" s="1">
        <f>VLOOKUP($B189&amp;"__wt",'SegEnds_Xtal_BW#'!$A:$Z,10,FALSE)</f>
        <v>52</v>
      </c>
      <c r="K189" s="12">
        <v>18</v>
      </c>
      <c r="L189" s="1">
        <f>VLOOKUP($B189&amp;"__wt",'SegEnds_Xtal_BW#'!$A:$Z,12,FALSE)</f>
        <v>56</v>
      </c>
      <c r="M189" s="1">
        <f>VLOOKUP($B189&amp;"__wt",'SegEnds_Xtal_BW#'!$A:$Z,13,FALSE)</f>
        <v>50</v>
      </c>
      <c r="N189" s="12">
        <v>57</v>
      </c>
      <c r="O189" s="87">
        <f>VLOOKUP($B189&amp;"__wt",'SegEnds_Xtal_BW#'!$A:$Z,15,FALSE)</f>
        <v>38</v>
      </c>
      <c r="P189" s="1">
        <f>VLOOKUP($B189&amp;"__wt",'SegEnds_Xtal_BW#'!$A:$Z,16,FALSE)</f>
        <v>64</v>
      </c>
      <c r="Q189" s="1">
        <f>VLOOKUP($B189&amp;"__wt",'SegEnds_Xtal_BW#'!$A:$Z,17,FALSE)</f>
        <v>50</v>
      </c>
      <c r="R189" s="1">
        <f>VLOOKUP($B189&amp;"__wt",'SegEnds_Xtal_BW#'!$A:$Z,18,FALSE)</f>
        <v>52</v>
      </c>
      <c r="S189" s="1">
        <f>VLOOKUP($B189&amp;"__wt",'SegEnds_Xtal_BW#'!$A:$Z,19,FALSE)</f>
        <v>32</v>
      </c>
      <c r="T189" s="1">
        <f t="array" ref="T189">INDEX(ICL3_classA!$G$2:$G$37,MATCH(MIN(ABS(AI189-ICL3_classA!$F$2:$F$37)),ABS(AI189-ICL3_classA!$F$2:$F$37),0))</f>
        <v>68</v>
      </c>
      <c r="U189" s="1">
        <f t="array" ref="U189">INDEX(ICL3_classA!$H$2:$H$37,MATCH(MIN(ABS(AI189-ICL3_classA!$F$2:$F$37)),ABS(AI189-ICL3_classA!$F$2:$F$37),0))</f>
        <v>24</v>
      </c>
      <c r="V189" s="1">
        <v>61</v>
      </c>
      <c r="W189" s="1">
        <v>28</v>
      </c>
      <c r="X189" s="1">
        <f>VLOOKUP($B189&amp;"__wt",'SegEnds_Xtal_BW#'!$A:$Z,24,FALSE)</f>
        <v>56</v>
      </c>
      <c r="Y189" s="1">
        <f>VLOOKUP($B189&amp;"__wt",'SegEnds_Xtal_BW#'!$A:$Z,25,FALSE)</f>
        <v>47</v>
      </c>
      <c r="Z189" s="1">
        <f>VLOOKUP($B189&amp;"__wt",'SegEnds_Xtal_BW#'!$A:$Z,26,FALSE)</f>
        <v>59</v>
      </c>
      <c r="AA189" s="27" t="str">
        <f>VLOOKUP(A189,Classification!A:B,2,FALSE)</f>
        <v>A</v>
      </c>
      <c r="AB189" s="1">
        <f>VLOOKUP(A189,'SegEnds_NonXtal_Prot#'!A:AL,10,FALSE)-VLOOKUP(A189,'SegEnds_NonXtal_Prot#'!A:AL,4,FALSE)</f>
        <v>28</v>
      </c>
      <c r="AC189" s="1" t="e">
        <f>VLOOKUP(A189,'SegEnds_NonXtal_Prot#'!A:AL,10,FALSE)-VLOOKUP(A189,'SegEnds_NonXtal_Prot#'!A:AL,7,FALSE)</f>
        <v>#VALUE!</v>
      </c>
      <c r="AD189" s="1">
        <f>VLOOKUP(A189,'SegEnds_NonXtal_Prot#'!A:AL,13,FALSE)-VLOOKUP(A189,'SegEnds_NonXtal_Prot#'!A:AL,10,FALSE)</f>
        <v>20</v>
      </c>
      <c r="AE189" s="1">
        <f>VLOOKUP(A189,'SegEnds_NonXtal_Prot#'!A:AL,16,FALSE)-VLOOKUP(A189,'SegEnds_NonXtal_Prot#'!A:AL,10,FALSE)</f>
        <v>52</v>
      </c>
      <c r="AF189" s="1">
        <f>VLOOKUP(A189,'SegEnds_NonXtal_Prot#'!A:AL,22,FALSE)-VLOOKUP(A189,'SegEnds_NonXtal_Prot#'!A:AL,19,FALSE)</f>
        <v>20</v>
      </c>
      <c r="AG189" s="1">
        <f>VLOOKUP(A189,'SegEnds_NonXtal_Prot#'!A:AL,28,FALSE)-VLOOKUP(A189,'SegEnds_NonXtal_Prot#'!A:AL,25,FALSE)</f>
        <v>26</v>
      </c>
      <c r="AH189" s="1">
        <f>VLOOKUP(A189,'SegEnds_NonXtal_Prot#'!A:AL,28,FALSE)-VLOOKUP(A189,'SegEnds_NonXtal_Prot#'!A:AL,22,FALSE)</f>
        <v>50</v>
      </c>
      <c r="AI189" s="1">
        <f>VLOOKUP(A189,'SegEnds_NonXtal_Prot#'!A:AL,31,FALSE)-VLOOKUP(A189,'SegEnds_NonXtal_Prot#'!A:AL,28,FALSE)</f>
        <v>49</v>
      </c>
      <c r="AJ189" s="1">
        <f>VLOOKUP(A189,'SegEnds_NonXtal_Prot#'!A:AL,34,FALSE)-VLOOKUP(A189,'SegEnds_NonXtal_Prot#'!A:AL,31,FALSE)</f>
        <v>40</v>
      </c>
      <c r="AK189" s="1">
        <f>VLOOKUP(A189,'SegEnds_NonXtal_Prot#'!A:AL,37,FALSE)-VLOOKUP(A189,'SegEnds_NonXtal_Prot#'!A:AL,34,FALSE)</f>
        <v>10</v>
      </c>
      <c r="AL189" s="1" t="str">
        <f>IF(ISERROR(MATCH(A189,'SegEnds_Xtal_Prot#'!B:B, 0)), "NoXtal", "Xtal")</f>
        <v>NoXtal</v>
      </c>
    </row>
    <row r="190" spans="1:38" x14ac:dyDescent="0.2">
      <c r="A190" s="1" t="s">
        <v>217</v>
      </c>
      <c r="B190" s="1" t="str">
        <f>VLOOKUP(A190,Xtal_Templ!A:B,2,FALSE)</f>
        <v>hrh1_human</v>
      </c>
      <c r="C190" s="5">
        <f>VLOOKUP($B190&amp;"__wt",'SegEnds_Xtal_BW#'!$A:$Z,3,FALSE)</f>
        <v>34</v>
      </c>
      <c r="D190" s="1">
        <f>VLOOKUP($B190&amp;"__wt",'SegEnds_Xtal_BW#'!$A:$Z,4,FALSE)</f>
        <v>60</v>
      </c>
      <c r="E190" s="1">
        <f>VLOOKUP($B190&amp;"__wt",'SegEnds_Xtal_BW#'!$A:$Z,5,FALSE)</f>
        <v>48</v>
      </c>
      <c r="F190" s="1">
        <f>VLOOKUP($B190&amp;"__wt",'SegEnds_Xtal_BW#'!$A:$Z,6,FALSE)</f>
        <v>51</v>
      </c>
      <c r="G190" s="1">
        <v>37</v>
      </c>
      <c r="H190" s="12">
        <v>66</v>
      </c>
      <c r="I190" s="1">
        <f>VLOOKUP($B190&amp;"__wt",'SegEnds_Xtal_BW#'!$A:$Z,9,FALSE)</f>
        <v>49</v>
      </c>
      <c r="J190" s="1">
        <f>VLOOKUP($B190&amp;"__wt",'SegEnds_Xtal_BW#'!$A:$Z,10,FALSE)</f>
        <v>52</v>
      </c>
      <c r="K190" s="12">
        <v>21</v>
      </c>
      <c r="L190" s="1">
        <f>VLOOKUP($B190&amp;"__wt",'SegEnds_Xtal_BW#'!$A:$Z,12,FALSE)</f>
        <v>56</v>
      </c>
      <c r="M190" s="1">
        <f>VLOOKUP($B190&amp;"__wt",'SegEnds_Xtal_BW#'!$A:$Z,13,FALSE)</f>
        <v>50</v>
      </c>
      <c r="N190" s="12">
        <v>57</v>
      </c>
      <c r="O190" s="87">
        <v>38</v>
      </c>
      <c r="P190" s="1">
        <f>VLOOKUP($B190&amp;"__wt",'SegEnds_Xtal_BW#'!$A:$Z,16,FALSE)</f>
        <v>62</v>
      </c>
      <c r="Q190" s="1">
        <f>VLOOKUP($B190&amp;"__wt",'SegEnds_Xtal_BW#'!$A:$Z,17,FALSE)</f>
        <v>50</v>
      </c>
      <c r="R190" s="1">
        <f>VLOOKUP($B190&amp;"__wt",'SegEnds_Xtal_BW#'!$A:$Z,18,FALSE)</f>
        <v>52</v>
      </c>
      <c r="S190" s="1">
        <f>VLOOKUP($B190&amp;"__wt",'SegEnds_Xtal_BW#'!$A:$Z,19,FALSE)</f>
        <v>35</v>
      </c>
      <c r="T190" s="1">
        <f t="array" ref="T190">INDEX(ICL3_classA!$G$2:$G$37,MATCH(MIN(ABS(AI190-ICL3_classA!$F$2:$F$37)),ABS(AI190-ICL3_classA!$F$2:$F$37),0))</f>
        <v>68</v>
      </c>
      <c r="U190" s="1">
        <f t="array" ref="U190">INDEX(ICL3_classA!$H$2:$H$37,MATCH(MIN(ABS(AI190-ICL3_classA!$F$2:$F$37)),ABS(AI190-ICL3_classA!$F$2:$F$37),0))</f>
        <v>28</v>
      </c>
      <c r="V190" s="1">
        <v>61</v>
      </c>
      <c r="W190" s="1">
        <v>28</v>
      </c>
      <c r="X190" s="1">
        <f>VLOOKUP($B190&amp;"__wt",'SegEnds_Xtal_BW#'!$A:$Z,24,FALSE)</f>
        <v>56</v>
      </c>
      <c r="Y190" s="1">
        <f>VLOOKUP($B190&amp;"__wt",'SegEnds_Xtal_BW#'!$A:$Z,25,FALSE)</f>
        <v>47</v>
      </c>
      <c r="Z190" s="1">
        <f>VLOOKUP($B190&amp;"__wt",'SegEnds_Xtal_BW#'!$A:$Z,26,FALSE)</f>
        <v>59</v>
      </c>
      <c r="AA190" s="27" t="str">
        <f>VLOOKUP(A190,Classification!A:B,2,FALSE)</f>
        <v>A</v>
      </c>
      <c r="AB190" s="1">
        <f>VLOOKUP(A190,'SegEnds_NonXtal_Prot#'!A:AL,10,FALSE)-VLOOKUP(A190,'SegEnds_NonXtal_Prot#'!A:AL,4,FALSE)</f>
        <v>28</v>
      </c>
      <c r="AC190" s="1">
        <f>VLOOKUP(A190,'SegEnds_NonXtal_Prot#'!A:AL,10,FALSE)-VLOOKUP(A190,'SegEnds_NonXtal_Prot#'!A:AL,7,FALSE)</f>
        <v>15</v>
      </c>
      <c r="AD190" s="1">
        <f>VLOOKUP(A190,'SegEnds_NonXtal_Prot#'!A:AL,13,FALSE)-VLOOKUP(A190,'SegEnds_NonXtal_Prot#'!A:AL,10,FALSE)</f>
        <v>19</v>
      </c>
      <c r="AE190" s="1">
        <f>VLOOKUP(A190,'SegEnds_NonXtal_Prot#'!A:AL,16,FALSE)-VLOOKUP(A190,'SegEnds_NonXtal_Prot#'!A:AL,10,FALSE)</f>
        <v>51</v>
      </c>
      <c r="AF190" s="1">
        <f>VLOOKUP(A190,'SegEnds_NonXtal_Prot#'!A:AL,22,FALSE)-VLOOKUP(A190,'SegEnds_NonXtal_Prot#'!A:AL,19,FALSE)</f>
        <v>20</v>
      </c>
      <c r="AG190" s="1">
        <f>VLOOKUP(A190,'SegEnds_NonXtal_Prot#'!A:AL,28,FALSE)-VLOOKUP(A190,'SegEnds_NonXtal_Prot#'!A:AL,25,FALSE)</f>
        <v>30</v>
      </c>
      <c r="AH190" s="1">
        <f>VLOOKUP(A190,'SegEnds_NonXtal_Prot#'!A:AL,28,FALSE)-VLOOKUP(A190,'SegEnds_NonXtal_Prot#'!A:AL,22,FALSE)</f>
        <v>56</v>
      </c>
      <c r="AI190" s="1">
        <f>VLOOKUP(A190,'SegEnds_NonXtal_Prot#'!A:AL,31,FALSE)-VLOOKUP(A190,'SegEnds_NonXtal_Prot#'!A:AL,28,FALSE)</f>
        <v>44</v>
      </c>
      <c r="AJ190" s="1">
        <f>VLOOKUP(A190,'SegEnds_NonXtal_Prot#'!A:AL,34,FALSE)-VLOOKUP(A190,'SegEnds_NonXtal_Prot#'!A:AL,31,FALSE)</f>
        <v>40</v>
      </c>
      <c r="AK190" s="1">
        <f>VLOOKUP(A190,'SegEnds_NonXtal_Prot#'!A:AL,37,FALSE)-VLOOKUP(A190,'SegEnds_NonXtal_Prot#'!A:AL,34,FALSE)</f>
        <v>11</v>
      </c>
      <c r="AL190" s="1" t="str">
        <f>IF(ISERROR(MATCH(A190,'SegEnds_Xtal_Prot#'!B:B, 0)), "NoXtal", "Xtal")</f>
        <v>NoXtal</v>
      </c>
    </row>
    <row r="191" spans="1:38" x14ac:dyDescent="0.2">
      <c r="A191" s="1" t="s">
        <v>224</v>
      </c>
      <c r="B191" s="1" t="str">
        <f>VLOOKUP(A191,Xtal_Templ!A:B,2,FALSE)</f>
        <v>pd2r2_human</v>
      </c>
      <c r="C191" s="5">
        <f>VLOOKUP($B191&amp;"__wt",'SegEnds_Xtal_BW#'!$A:$Z,3,FALSE)</f>
        <v>32</v>
      </c>
      <c r="D191" s="1">
        <f>VLOOKUP($B191&amp;"__wt",'SegEnds_Xtal_BW#'!$A:$Z,4,FALSE)</f>
        <v>60</v>
      </c>
      <c r="E191" s="1" t="str">
        <f>VLOOKUP($B191&amp;"__wt",'SegEnds_Xtal_BW#'!$A:$Z,5,FALSE)</f>
        <v>-</v>
      </c>
      <c r="F191" s="1" t="str">
        <f>VLOOKUP($B191&amp;"__wt",'SegEnds_Xtal_BW#'!$A:$Z,6,FALSE)</f>
        <v>-</v>
      </c>
      <c r="G191" s="1">
        <v>37</v>
      </c>
      <c r="H191" s="12">
        <v>67</v>
      </c>
      <c r="I191" s="1">
        <f>VLOOKUP($B191&amp;"__wt",'SegEnds_Xtal_BW#'!$A:$Z,9,FALSE)</f>
        <v>49</v>
      </c>
      <c r="J191" s="1">
        <f>VLOOKUP($B191&amp;"__wt",'SegEnds_Xtal_BW#'!$A:$Z,10,FALSE)</f>
        <v>52</v>
      </c>
      <c r="K191" s="12">
        <v>18</v>
      </c>
      <c r="L191" s="1">
        <f>VLOOKUP($B191&amp;"__wt",'SegEnds_Xtal_BW#'!$A:$Z,12,FALSE)</f>
        <v>56</v>
      </c>
      <c r="M191" s="1">
        <f>VLOOKUP($B191&amp;"__wt",'SegEnds_Xtal_BW#'!$A:$Z,13,FALSE)</f>
        <v>50</v>
      </c>
      <c r="N191" s="12">
        <v>57</v>
      </c>
      <c r="O191" s="87">
        <f>VLOOKUP($B191&amp;"__wt",'SegEnds_Xtal_BW#'!$A:$Z,15,FALSE)</f>
        <v>38</v>
      </c>
      <c r="P191" s="1">
        <f>VLOOKUP($B191&amp;"__wt",'SegEnds_Xtal_BW#'!$A:$Z,16,FALSE)</f>
        <v>64</v>
      </c>
      <c r="Q191" s="1">
        <f>VLOOKUP($B191&amp;"__wt",'SegEnds_Xtal_BW#'!$A:$Z,17,FALSE)</f>
        <v>50</v>
      </c>
      <c r="R191" s="1">
        <f>VLOOKUP($B191&amp;"__wt",'SegEnds_Xtal_BW#'!$A:$Z,18,FALSE)</f>
        <v>52</v>
      </c>
      <c r="S191" s="1">
        <v>35</v>
      </c>
      <c r="T191" s="1">
        <f t="array" ref="T191">INDEX(ICL3_classA!$G$2:$G$37,MATCH(MIN(ABS(AI191-ICL3_classA!$F$2:$F$37)),ABS(AI191-ICL3_classA!$F$2:$F$37),0))</f>
        <v>68</v>
      </c>
      <c r="U191" s="1">
        <f t="array" ref="U191">INDEX(ICL3_classA!$H$2:$H$37,MATCH(MIN(ABS(AI191-ICL3_classA!$F$2:$F$37)),ABS(AI191-ICL3_classA!$F$2:$F$37),0))</f>
        <v>24</v>
      </c>
      <c r="V191" s="1">
        <v>61</v>
      </c>
      <c r="W191" s="1">
        <v>28</v>
      </c>
      <c r="X191" s="1">
        <f>VLOOKUP($B191&amp;"__wt",'SegEnds_Xtal_BW#'!$A:$Z,24,FALSE)</f>
        <v>56</v>
      </c>
      <c r="Y191" s="1">
        <f>VLOOKUP($B191&amp;"__wt",'SegEnds_Xtal_BW#'!$A:$Z,25,FALSE)</f>
        <v>47</v>
      </c>
      <c r="Z191" s="1">
        <f>VLOOKUP($B191&amp;"__wt",'SegEnds_Xtal_BW#'!$A:$Z,26,FALSE)</f>
        <v>64</v>
      </c>
      <c r="AA191" s="27" t="str">
        <f>VLOOKUP(A191,Classification!A:B,2,FALSE)</f>
        <v>A</v>
      </c>
      <c r="AB191" s="1">
        <f>VLOOKUP(A191,'SegEnds_NonXtal_Prot#'!A:AL,10,FALSE)-VLOOKUP(A191,'SegEnds_NonXtal_Prot#'!A:AL,4,FALSE)</f>
        <v>30</v>
      </c>
      <c r="AC191" s="1" t="e">
        <f>VLOOKUP(A191,'SegEnds_NonXtal_Prot#'!A:AL,10,FALSE)-VLOOKUP(A191,'SegEnds_NonXtal_Prot#'!A:AL,7,FALSE)</f>
        <v>#VALUE!</v>
      </c>
      <c r="AD191" s="1">
        <f>VLOOKUP(A191,'SegEnds_NonXtal_Prot#'!A:AL,13,FALSE)-VLOOKUP(A191,'SegEnds_NonXtal_Prot#'!A:AL,10,FALSE)</f>
        <v>20</v>
      </c>
      <c r="AE191" s="1">
        <f>VLOOKUP(A191,'SegEnds_NonXtal_Prot#'!A:AL,16,FALSE)-VLOOKUP(A191,'SegEnds_NonXtal_Prot#'!A:AL,10,FALSE)</f>
        <v>52</v>
      </c>
      <c r="AF191" s="1">
        <f>VLOOKUP(A191,'SegEnds_NonXtal_Prot#'!A:AL,22,FALSE)-VLOOKUP(A191,'SegEnds_NonXtal_Prot#'!A:AL,19,FALSE)</f>
        <v>20</v>
      </c>
      <c r="AG191" s="1">
        <f>VLOOKUP(A191,'SegEnds_NonXtal_Prot#'!A:AL,28,FALSE)-VLOOKUP(A191,'SegEnds_NonXtal_Prot#'!A:AL,25,FALSE)</f>
        <v>22</v>
      </c>
      <c r="AH191" s="1">
        <f>VLOOKUP(A191,'SegEnds_NonXtal_Prot#'!A:AL,28,FALSE)-VLOOKUP(A191,'SegEnds_NonXtal_Prot#'!A:AL,22,FALSE)</f>
        <v>48</v>
      </c>
      <c r="AI191" s="1">
        <f>VLOOKUP(A191,'SegEnds_NonXtal_Prot#'!A:AL,31,FALSE)-VLOOKUP(A191,'SegEnds_NonXtal_Prot#'!A:AL,28,FALSE)</f>
        <v>48</v>
      </c>
      <c r="AJ191" s="1">
        <f>VLOOKUP(A191,'SegEnds_NonXtal_Prot#'!A:AL,34,FALSE)-VLOOKUP(A191,'SegEnds_NonXtal_Prot#'!A:AL,31,FALSE)</f>
        <v>40</v>
      </c>
      <c r="AK191" s="1">
        <f>VLOOKUP(A191,'SegEnds_NonXtal_Prot#'!A:AL,37,FALSE)-VLOOKUP(A191,'SegEnds_NonXtal_Prot#'!A:AL,34,FALSE)</f>
        <v>10</v>
      </c>
      <c r="AL191" s="1" t="str">
        <f>IF(ISERROR(MATCH(A191,'SegEnds_Xtal_Prot#'!B:B, 0)), "NoXtal", "Xtal")</f>
        <v>NoXtal</v>
      </c>
    </row>
    <row r="192" spans="1:38" x14ac:dyDescent="0.2">
      <c r="A192" s="1" t="s">
        <v>237</v>
      </c>
      <c r="B192" s="1" t="str">
        <f>VLOOKUP(A192,Xtal_Templ!A:B,2,FALSE)</f>
        <v>agtr1_human</v>
      </c>
      <c r="C192" s="5">
        <f>VLOOKUP($B192&amp;"__wt",'SegEnds_Xtal_BW#'!$A:$Z,3,FALSE)</f>
        <v>28</v>
      </c>
      <c r="D192" s="1">
        <f>VLOOKUP($B192&amp;"__wt",'SegEnds_Xtal_BW#'!$A:$Z,4,FALSE)</f>
        <v>60</v>
      </c>
      <c r="E192" s="1">
        <f>VLOOKUP($B192&amp;"__wt",'SegEnds_Xtal_BW#'!$A:$Z,5,FALSE)</f>
        <v>48</v>
      </c>
      <c r="F192" s="1">
        <f>VLOOKUP($B192&amp;"__wt",'SegEnds_Xtal_BW#'!$A:$Z,6,FALSE)</f>
        <v>51</v>
      </c>
      <c r="G192" s="1">
        <v>37</v>
      </c>
      <c r="H192" s="12">
        <f>VLOOKUP($B192&amp;"__wt",'SegEnds_Xtal_BW#'!$A:$Z,8,FALSE)</f>
        <v>66</v>
      </c>
      <c r="I192" s="1">
        <f>VLOOKUP($B192&amp;"__wt",'SegEnds_Xtal_BW#'!$A:$Z,9,FALSE)</f>
        <v>49</v>
      </c>
      <c r="J192" s="1">
        <f>VLOOKUP($B192&amp;"__wt",'SegEnds_Xtal_BW#'!$A:$Z,10,FALSE)</f>
        <v>52</v>
      </c>
      <c r="K192" s="12">
        <v>18</v>
      </c>
      <c r="L192" s="1">
        <f>VLOOKUP($B192&amp;"__wt",'SegEnds_Xtal_BW#'!$A:$Z,12,FALSE)</f>
        <v>56</v>
      </c>
      <c r="M192" s="1">
        <f>VLOOKUP($B192&amp;"__wt",'SegEnds_Xtal_BW#'!$A:$Z,13,FALSE)</f>
        <v>50</v>
      </c>
      <c r="N192" s="12">
        <v>57</v>
      </c>
      <c r="O192" s="87">
        <v>38</v>
      </c>
      <c r="P192" s="1">
        <f>VLOOKUP($B192&amp;"__wt",'SegEnds_Xtal_BW#'!$A:$Z,16,FALSE)</f>
        <v>64</v>
      </c>
      <c r="Q192" s="1">
        <f>VLOOKUP($B192&amp;"__wt",'SegEnds_Xtal_BW#'!$A:$Z,17,FALSE)</f>
        <v>50</v>
      </c>
      <c r="R192" s="1">
        <f>VLOOKUP($B192&amp;"__wt",'SegEnds_Xtal_BW#'!$A:$Z,18,FALSE)</f>
        <v>52</v>
      </c>
      <c r="S192" s="1">
        <f>VLOOKUP($B192&amp;"__wt",'SegEnds_Xtal_BW#'!$A:$Z,19,FALSE)</f>
        <v>34</v>
      </c>
      <c r="T192" s="1">
        <f t="array" ref="T192">INDEX(ICL3_classA!$G$2:$G$37,MATCH(MIN(ABS(AI192-ICL3_classA!$F$2:$F$37)),ABS(AI192-ICL3_classA!$F$2:$F$37),0))</f>
        <v>68</v>
      </c>
      <c r="U192" s="1">
        <f t="array" ref="U192">INDEX(ICL3_classA!$H$2:$H$37,MATCH(MIN(ABS(AI192-ICL3_classA!$F$2:$F$37)),ABS(AI192-ICL3_classA!$F$2:$F$37),0))</f>
        <v>30</v>
      </c>
      <c r="V192" s="1">
        <v>61</v>
      </c>
      <c r="W192" s="1">
        <v>28</v>
      </c>
      <c r="X192" s="1">
        <f>VLOOKUP($B192&amp;"__wt",'SegEnds_Xtal_BW#'!$A:$Z,24,FALSE)</f>
        <v>56</v>
      </c>
      <c r="Y192" s="1">
        <f>VLOOKUP($B192&amp;"__wt",'SegEnds_Xtal_BW#'!$A:$Z,25,FALSE)</f>
        <v>47</v>
      </c>
      <c r="Z192" s="1">
        <f>VLOOKUP($B192&amp;"__wt",'SegEnds_Xtal_BW#'!$A:$Z,26,FALSE)</f>
        <v>61</v>
      </c>
      <c r="AA192" s="27" t="str">
        <f>VLOOKUP(A192,Classification!A:B,2,FALSE)</f>
        <v>A</v>
      </c>
      <c r="AB192" s="1">
        <f>VLOOKUP(A192,'SegEnds_NonXtal_Prot#'!A:AL,10,FALSE)-VLOOKUP(A192,'SegEnds_NonXtal_Prot#'!A:AL,4,FALSE)</f>
        <v>27</v>
      </c>
      <c r="AC192" s="1" t="e">
        <f>VLOOKUP(A192,'SegEnds_NonXtal_Prot#'!A:AL,10,FALSE)-VLOOKUP(A192,'SegEnds_NonXtal_Prot#'!A:AL,7,FALSE)</f>
        <v>#VALUE!</v>
      </c>
      <c r="AD192" s="1">
        <f>VLOOKUP(A192,'SegEnds_NonXtal_Prot#'!A:AL,13,FALSE)-VLOOKUP(A192,'SegEnds_NonXtal_Prot#'!A:AL,10,FALSE)</f>
        <v>20</v>
      </c>
      <c r="AE192" s="1">
        <f>VLOOKUP(A192,'SegEnds_NonXtal_Prot#'!A:AL,16,FALSE)-VLOOKUP(A192,'SegEnds_NonXtal_Prot#'!A:AL,10,FALSE)</f>
        <v>52</v>
      </c>
      <c r="AF192" s="1">
        <f>VLOOKUP(A192,'SegEnds_NonXtal_Prot#'!A:AL,22,FALSE)-VLOOKUP(A192,'SegEnds_NonXtal_Prot#'!A:AL,19,FALSE)</f>
        <v>20</v>
      </c>
      <c r="AG192" s="1">
        <f>VLOOKUP(A192,'SegEnds_NonXtal_Prot#'!A:AL,28,FALSE)-VLOOKUP(A192,'SegEnds_NonXtal_Prot#'!A:AL,25,FALSE)</f>
        <v>31</v>
      </c>
      <c r="AH192" s="1">
        <f>VLOOKUP(A192,'SegEnds_NonXtal_Prot#'!A:AL,28,FALSE)-VLOOKUP(A192,'SegEnds_NonXtal_Prot#'!A:AL,22,FALSE)</f>
        <v>56</v>
      </c>
      <c r="AI192" s="1">
        <f>VLOOKUP(A192,'SegEnds_NonXtal_Prot#'!A:AL,31,FALSE)-VLOOKUP(A192,'SegEnds_NonXtal_Prot#'!A:AL,28,FALSE)</f>
        <v>43</v>
      </c>
      <c r="AJ192" s="1">
        <f>VLOOKUP(A192,'SegEnds_NonXtal_Prot#'!A:AL,34,FALSE)-VLOOKUP(A192,'SegEnds_NonXtal_Prot#'!A:AL,31,FALSE)</f>
        <v>40</v>
      </c>
      <c r="AK192" s="1">
        <f>VLOOKUP(A192,'SegEnds_NonXtal_Prot#'!A:AL,37,FALSE)-VLOOKUP(A192,'SegEnds_NonXtal_Prot#'!A:AL,34,FALSE)</f>
        <v>10</v>
      </c>
      <c r="AL192" s="1" t="str">
        <f>IF(ISERROR(MATCH(A192,'SegEnds_Xtal_Prot#'!B:B, 0)), "NoXtal", "Xtal")</f>
        <v>NoXtal</v>
      </c>
    </row>
    <row r="193" spans="1:38" x14ac:dyDescent="0.2">
      <c r="A193" s="1" t="s">
        <v>274</v>
      </c>
      <c r="B193" s="1" t="str">
        <f>VLOOKUP(A193,Xtal_Templ!A:B,2,FALSE)</f>
        <v>ednrb_human</v>
      </c>
      <c r="C193" s="5">
        <f>VLOOKUP($B193&amp;"__wt",'SegEnds_Xtal_BW#'!$A:$Z,3,FALSE)</f>
        <v>22</v>
      </c>
      <c r="D193" s="1">
        <f>VLOOKUP($B193&amp;"__wt",'SegEnds_Xtal_BW#'!$A:$Z,4,FALSE)</f>
        <v>60</v>
      </c>
      <c r="E193" s="1">
        <f>VLOOKUP($B193&amp;"__wt",'SegEnds_Xtal_BW#'!$A:$Z,5,FALSE)</f>
        <v>48</v>
      </c>
      <c r="F193" s="1">
        <f>VLOOKUP($B193&amp;"__wt",'SegEnds_Xtal_BW#'!$A:$Z,6,FALSE)</f>
        <v>52</v>
      </c>
      <c r="G193" s="1">
        <v>37</v>
      </c>
      <c r="H193" s="12">
        <f>VLOOKUP($B193&amp;"__wt",'SegEnds_Xtal_BW#'!$A:$Z,8,FALSE)</f>
        <v>67</v>
      </c>
      <c r="I193" s="1">
        <f>VLOOKUP($B193&amp;"__wt",'SegEnds_Xtal_BW#'!$A:$Z,9,FALSE)</f>
        <v>49</v>
      </c>
      <c r="J193" s="1">
        <f>VLOOKUP($B193&amp;"__wt",'SegEnds_Xtal_BW#'!$A:$Z,10,FALSE)</f>
        <v>52</v>
      </c>
      <c r="K193" s="12">
        <v>18</v>
      </c>
      <c r="L193" s="1">
        <f>VLOOKUP($B193&amp;"__wt",'SegEnds_Xtal_BW#'!$A:$Z,12,FALSE)</f>
        <v>56</v>
      </c>
      <c r="M193" s="1">
        <f>VLOOKUP($B193&amp;"__wt",'SegEnds_Xtal_BW#'!$A:$Z,13,FALSE)</f>
        <v>50</v>
      </c>
      <c r="N193" s="12">
        <v>57</v>
      </c>
      <c r="O193" s="87">
        <v>38</v>
      </c>
      <c r="P193" s="1">
        <f>VLOOKUP($B193&amp;"__wt",'SegEnds_Xtal_BW#'!$A:$Z,16,FALSE)</f>
        <v>64</v>
      </c>
      <c r="Q193" s="1">
        <f>VLOOKUP($B193&amp;"__wt",'SegEnds_Xtal_BW#'!$A:$Z,17,FALSE)</f>
        <v>50</v>
      </c>
      <c r="R193" s="1">
        <f>VLOOKUP($B193&amp;"__wt",'SegEnds_Xtal_BW#'!$A:$Z,18,FALSE)</f>
        <v>52</v>
      </c>
      <c r="S193" s="1">
        <f>VLOOKUP($B193&amp;"__wt",'SegEnds_Xtal_BW#'!$A:$Z,19,FALSE)</f>
        <v>28</v>
      </c>
      <c r="T193" s="1">
        <f t="array" ref="T193">INDEX(ICL3_classA!$G$2:$G$37,MATCH(MIN(ABS(AI193-ICL3_classA!$F$2:$F$37)),ABS(AI193-ICL3_classA!$F$2:$F$37),0))</f>
        <v>73</v>
      </c>
      <c r="U193" s="1">
        <f t="array" ref="U193">INDEX(ICL3_classA!$H$2:$H$37,MATCH(MIN(ABS(AI193-ICL3_classA!$F$2:$F$37)),ABS(AI193-ICL3_classA!$F$2:$F$37),0))</f>
        <v>22</v>
      </c>
      <c r="V193" s="1">
        <v>61</v>
      </c>
      <c r="W193" s="1">
        <v>28</v>
      </c>
      <c r="X193" s="1">
        <f>VLOOKUP($B193&amp;"__wt",'SegEnds_Xtal_BW#'!$A:$Z,24,FALSE)</f>
        <v>56</v>
      </c>
      <c r="Y193" s="1">
        <f>VLOOKUP($B193&amp;"__wt",'SegEnds_Xtal_BW#'!$A:$Z,25,FALSE)</f>
        <v>47</v>
      </c>
      <c r="Z193" s="1">
        <f>VLOOKUP($B193&amp;"__wt",'SegEnds_Xtal_BW#'!$A:$Z,26,FALSE)</f>
        <v>60</v>
      </c>
      <c r="AA193" s="27" t="str">
        <f>VLOOKUP(A193,Classification!A:B,2,FALSE)</f>
        <v>A</v>
      </c>
      <c r="AB193" s="1">
        <f>VLOOKUP(A193,'SegEnds_NonXtal_Prot#'!A:AL,10,FALSE)-VLOOKUP(A193,'SegEnds_NonXtal_Prot#'!A:AL,4,FALSE)</f>
        <v>28</v>
      </c>
      <c r="AC193" s="1">
        <f>VLOOKUP(A193,'SegEnds_NonXtal_Prot#'!A:AL,10,FALSE)-VLOOKUP(A193,'SegEnds_NonXtal_Prot#'!A:AL,7,FALSE)</f>
        <v>15</v>
      </c>
      <c r="AD193" s="1">
        <f>VLOOKUP(A193,'SegEnds_NonXtal_Prot#'!A:AL,13,FALSE)-VLOOKUP(A193,'SegEnds_NonXtal_Prot#'!A:AL,10,FALSE)</f>
        <v>20</v>
      </c>
      <c r="AE193" s="1">
        <f>VLOOKUP(A193,'SegEnds_NonXtal_Prot#'!A:AL,16,FALSE)-VLOOKUP(A193,'SegEnds_NonXtal_Prot#'!A:AL,10,FALSE)</f>
        <v>52</v>
      </c>
      <c r="AF193" s="1">
        <f>VLOOKUP(A193,'SegEnds_NonXtal_Prot#'!A:AL,22,FALSE)-VLOOKUP(A193,'SegEnds_NonXtal_Prot#'!A:AL,19,FALSE)</f>
        <v>20</v>
      </c>
      <c r="AG193" s="1">
        <f>VLOOKUP(A193,'SegEnds_NonXtal_Prot#'!A:AL,28,FALSE)-VLOOKUP(A193,'SegEnds_NonXtal_Prot#'!A:AL,25,FALSE)</f>
        <v>26</v>
      </c>
      <c r="AH193" s="1">
        <f>VLOOKUP(A193,'SegEnds_NonXtal_Prot#'!A:AL,28,FALSE)-VLOOKUP(A193,'SegEnds_NonXtal_Prot#'!A:AL,22,FALSE)</f>
        <v>57</v>
      </c>
      <c r="AI193" s="1">
        <f>VLOOKUP(A193,'SegEnds_NonXtal_Prot#'!A:AL,31,FALSE)-VLOOKUP(A193,'SegEnds_NonXtal_Prot#'!A:AL,28,FALSE)</f>
        <v>57</v>
      </c>
      <c r="AJ193" s="1">
        <f>VLOOKUP(A193,'SegEnds_NonXtal_Prot#'!A:AL,34,FALSE)-VLOOKUP(A193,'SegEnds_NonXtal_Prot#'!A:AL,31,FALSE)</f>
        <v>40</v>
      </c>
      <c r="AK193" s="1">
        <f>VLOOKUP(A193,'SegEnds_NonXtal_Prot#'!A:AL,37,FALSE)-VLOOKUP(A193,'SegEnds_NonXtal_Prot#'!A:AL,34,FALSE)</f>
        <v>10</v>
      </c>
      <c r="AL193" s="1" t="str">
        <f>IF(ISERROR(MATCH(A193,'SegEnds_Xtal_Prot#'!B:B, 0)), "NoXtal", "Xtal")</f>
        <v>NoXtal</v>
      </c>
    </row>
    <row r="194" spans="1:38" x14ac:dyDescent="0.2">
      <c r="A194" s="1" t="s">
        <v>275</v>
      </c>
      <c r="B194" s="1" t="str">
        <f>VLOOKUP(A194,Xtal_Templ!A:B,2,FALSE)</f>
        <v>p2ry1_human</v>
      </c>
      <c r="C194" s="5">
        <f>VLOOKUP($B194&amp;"__wt",'SegEnds_Xtal_BW#'!$A:$Z,3,FALSE)</f>
        <v>30</v>
      </c>
      <c r="D194" s="1">
        <f>VLOOKUP($B194&amp;"__wt",'SegEnds_Xtal_BW#'!$A:$Z,4,FALSE)</f>
        <v>60</v>
      </c>
      <c r="E194" s="1" t="str">
        <f>VLOOKUP($B194&amp;"__wt",'SegEnds_Xtal_BW#'!$A:$Z,5,FALSE)</f>
        <v>-</v>
      </c>
      <c r="F194" s="1" t="str">
        <f>VLOOKUP($B194&amp;"__wt",'SegEnds_Xtal_BW#'!$A:$Z,6,FALSE)</f>
        <v>-</v>
      </c>
      <c r="G194" s="1">
        <v>37</v>
      </c>
      <c r="H194" s="12">
        <f>VLOOKUP($B194&amp;"__wt",'SegEnds_Xtal_BW#'!$A:$Z,8,FALSE)</f>
        <v>66</v>
      </c>
      <c r="I194" s="1">
        <f>VLOOKUP($B194&amp;"__wt",'SegEnds_Xtal_BW#'!$A:$Z,9,FALSE)</f>
        <v>49</v>
      </c>
      <c r="J194" s="1">
        <f>VLOOKUP($B194&amp;"__wt",'SegEnds_Xtal_BW#'!$A:$Z,10,FALSE)</f>
        <v>52</v>
      </c>
      <c r="K194" s="12">
        <v>18</v>
      </c>
      <c r="L194" s="1">
        <f>VLOOKUP($B194&amp;"__wt",'SegEnds_Xtal_BW#'!$A:$Z,12,FALSE)</f>
        <v>56</v>
      </c>
      <c r="M194" s="1">
        <f>VLOOKUP($B194&amp;"__wt",'SegEnds_Xtal_BW#'!$A:$Z,13,FALSE)</f>
        <v>50</v>
      </c>
      <c r="N194" s="12">
        <v>57</v>
      </c>
      <c r="O194" s="87">
        <f>VLOOKUP($B194&amp;"__wt",'SegEnds_Xtal_BW#'!$A:$Z,15,FALSE)</f>
        <v>38</v>
      </c>
      <c r="P194" s="1">
        <f>VLOOKUP($B194&amp;"__wt",'SegEnds_Xtal_BW#'!$A:$Z,16,FALSE)</f>
        <v>64</v>
      </c>
      <c r="Q194" s="1">
        <f>VLOOKUP($B194&amp;"__wt",'SegEnds_Xtal_BW#'!$A:$Z,17,FALSE)</f>
        <v>50</v>
      </c>
      <c r="R194" s="1">
        <f>VLOOKUP($B194&amp;"__wt",'SegEnds_Xtal_BW#'!$A:$Z,18,FALSE)</f>
        <v>52</v>
      </c>
      <c r="S194" s="1">
        <f>VLOOKUP($B194&amp;"__wt",'SegEnds_Xtal_BW#'!$A:$Z,19,FALSE)</f>
        <v>32</v>
      </c>
      <c r="T194" s="1">
        <f t="array" ref="T194">INDEX(ICL3_classA!$G$2:$G$37,MATCH(MIN(ABS(AI194-ICL3_classA!$F$2:$F$37)),ABS(AI194-ICL3_classA!$F$2:$F$37),0))</f>
        <v>67</v>
      </c>
      <c r="U194" s="1">
        <f t="array" ref="U194">INDEX(ICL3_classA!$H$2:$H$37,MATCH(MIN(ABS(AI194-ICL3_classA!$F$2:$F$37)),ABS(AI194-ICL3_classA!$F$2:$F$37),0))</f>
        <v>26</v>
      </c>
      <c r="V194" s="1">
        <v>61</v>
      </c>
      <c r="W194" s="1">
        <v>28</v>
      </c>
      <c r="X194" s="1">
        <f>VLOOKUP($B194&amp;"__wt",'SegEnds_Xtal_BW#'!$A:$Z,24,FALSE)</f>
        <v>56</v>
      </c>
      <c r="Y194" s="1">
        <f>VLOOKUP($B194&amp;"__wt",'SegEnds_Xtal_BW#'!$A:$Z,25,FALSE)</f>
        <v>47</v>
      </c>
      <c r="Z194" s="1">
        <f>VLOOKUP($B194&amp;"__wt",'SegEnds_Xtal_BW#'!$A:$Z,26,FALSE)</f>
        <v>59</v>
      </c>
      <c r="AA194" s="27" t="str">
        <f>VLOOKUP(A194,Classification!A:B,2,FALSE)</f>
        <v>A</v>
      </c>
      <c r="AB194" s="1">
        <f>VLOOKUP(A194,'SegEnds_NonXtal_Prot#'!A:AL,10,FALSE)-VLOOKUP(A194,'SegEnds_NonXtal_Prot#'!A:AL,4,FALSE)</f>
        <v>28</v>
      </c>
      <c r="AC194" s="1" t="e">
        <f>VLOOKUP(A194,'SegEnds_NonXtal_Prot#'!A:AL,10,FALSE)-VLOOKUP(A194,'SegEnds_NonXtal_Prot#'!A:AL,7,FALSE)</f>
        <v>#VALUE!</v>
      </c>
      <c r="AD194" s="1">
        <f>VLOOKUP(A194,'SegEnds_NonXtal_Prot#'!A:AL,13,FALSE)-VLOOKUP(A194,'SegEnds_NonXtal_Prot#'!A:AL,10,FALSE)</f>
        <v>20</v>
      </c>
      <c r="AE194" s="1">
        <f>VLOOKUP(A194,'SegEnds_NonXtal_Prot#'!A:AL,16,FALSE)-VLOOKUP(A194,'SegEnds_NonXtal_Prot#'!A:AL,10,FALSE)</f>
        <v>52</v>
      </c>
      <c r="AF194" s="1">
        <f>VLOOKUP(A194,'SegEnds_NonXtal_Prot#'!A:AL,22,FALSE)-VLOOKUP(A194,'SegEnds_NonXtal_Prot#'!A:AL,19,FALSE)</f>
        <v>20</v>
      </c>
      <c r="AG194" s="1">
        <f>VLOOKUP(A194,'SegEnds_NonXtal_Prot#'!A:AL,28,FALSE)-VLOOKUP(A194,'SegEnds_NonXtal_Prot#'!A:AL,25,FALSE)</f>
        <v>23</v>
      </c>
      <c r="AH194" s="1">
        <f>VLOOKUP(A194,'SegEnds_NonXtal_Prot#'!A:AL,28,FALSE)-VLOOKUP(A194,'SegEnds_NonXtal_Prot#'!A:AL,22,FALSE)</f>
        <v>48</v>
      </c>
      <c r="AI194" s="1">
        <f>VLOOKUP(A194,'SegEnds_NonXtal_Prot#'!A:AL,31,FALSE)-VLOOKUP(A194,'SegEnds_NonXtal_Prot#'!A:AL,28,FALSE)</f>
        <v>47</v>
      </c>
      <c r="AJ194" s="1">
        <f>VLOOKUP(A194,'SegEnds_NonXtal_Prot#'!A:AL,34,FALSE)-VLOOKUP(A194,'SegEnds_NonXtal_Prot#'!A:AL,31,FALSE)</f>
        <v>40</v>
      </c>
      <c r="AK194" s="1">
        <f>VLOOKUP(A194,'SegEnds_NonXtal_Prot#'!A:AL,37,FALSE)-VLOOKUP(A194,'SegEnds_NonXtal_Prot#'!A:AL,34,FALSE)</f>
        <v>10</v>
      </c>
      <c r="AL194" s="1" t="str">
        <f>IF(ISERROR(MATCH(A194,'SegEnds_Xtal_Prot#'!B:B, 0)), "NoXtal", "Xtal")</f>
        <v>NoXtal</v>
      </c>
    </row>
    <row r="195" spans="1:38" x14ac:dyDescent="0.2">
      <c r="A195" s="1" t="s">
        <v>317</v>
      </c>
      <c r="B195" s="1" t="str">
        <f>VLOOKUP(A195,Xtal_Templ!A:B,2,FALSE)</f>
        <v>ednrb_human</v>
      </c>
      <c r="C195" s="5">
        <f>VLOOKUP($B195&amp;"__wt",'SegEnds_Xtal_BW#'!$A:$Z,3,FALSE)</f>
        <v>22</v>
      </c>
      <c r="D195" s="1">
        <f>VLOOKUP($B195&amp;"__wt",'SegEnds_Xtal_BW#'!$A:$Z,4,FALSE)</f>
        <v>60</v>
      </c>
      <c r="E195" s="1">
        <f>VLOOKUP($B195&amp;"__wt",'SegEnds_Xtal_BW#'!$A:$Z,5,FALSE)</f>
        <v>48</v>
      </c>
      <c r="F195" s="1">
        <f>VLOOKUP($B195&amp;"__wt",'SegEnds_Xtal_BW#'!$A:$Z,6,FALSE)</f>
        <v>52</v>
      </c>
      <c r="G195" s="1">
        <v>37</v>
      </c>
      <c r="H195" s="12">
        <f>VLOOKUP($B195&amp;"__wt",'SegEnds_Xtal_BW#'!$A:$Z,8,FALSE)</f>
        <v>67</v>
      </c>
      <c r="I195" s="1">
        <f>VLOOKUP($B195&amp;"__wt",'SegEnds_Xtal_BW#'!$A:$Z,9,FALSE)</f>
        <v>49</v>
      </c>
      <c r="J195" s="1">
        <f>VLOOKUP($B195&amp;"__wt",'SegEnds_Xtal_BW#'!$A:$Z,10,FALSE)</f>
        <v>52</v>
      </c>
      <c r="K195" s="12">
        <v>18</v>
      </c>
      <c r="L195" s="1">
        <f>VLOOKUP($B195&amp;"__wt",'SegEnds_Xtal_BW#'!$A:$Z,12,FALSE)</f>
        <v>56</v>
      </c>
      <c r="M195" s="1">
        <f>VLOOKUP($B195&amp;"__wt",'SegEnds_Xtal_BW#'!$A:$Z,13,FALSE)</f>
        <v>50</v>
      </c>
      <c r="N195" s="12">
        <v>57</v>
      </c>
      <c r="O195" s="87">
        <v>38</v>
      </c>
      <c r="P195" s="1">
        <f>VLOOKUP($B195&amp;"__wt",'SegEnds_Xtal_BW#'!$A:$Z,16,FALSE)</f>
        <v>64</v>
      </c>
      <c r="Q195" s="1">
        <f>VLOOKUP($B195&amp;"__wt",'SegEnds_Xtal_BW#'!$A:$Z,17,FALSE)</f>
        <v>50</v>
      </c>
      <c r="R195" s="1">
        <f>VLOOKUP($B195&amp;"__wt",'SegEnds_Xtal_BW#'!$A:$Z,18,FALSE)</f>
        <v>52</v>
      </c>
      <c r="S195" s="1">
        <f>VLOOKUP($B195&amp;"__wt",'SegEnds_Xtal_BW#'!$A:$Z,19,FALSE)</f>
        <v>28</v>
      </c>
      <c r="T195" s="1">
        <f t="array" ref="T195">INDEX(ICL3_classA!$G$2:$G$37,MATCH(MIN(ABS(AI195-ICL3_classA!$F$2:$F$37)),ABS(AI195-ICL3_classA!$F$2:$F$37),0))</f>
        <v>73</v>
      </c>
      <c r="U195" s="1">
        <f t="array" ref="U195">INDEX(ICL3_classA!$H$2:$H$37,MATCH(MIN(ABS(AI195-ICL3_classA!$F$2:$F$37)),ABS(AI195-ICL3_classA!$F$2:$F$37),0))</f>
        <v>22</v>
      </c>
      <c r="V195" s="1">
        <v>61</v>
      </c>
      <c r="W195" s="1">
        <v>28</v>
      </c>
      <c r="X195" s="1">
        <f>VLOOKUP($B195&amp;"__wt",'SegEnds_Xtal_BW#'!$A:$Z,24,FALSE)</f>
        <v>56</v>
      </c>
      <c r="Y195" s="1">
        <f>VLOOKUP($B195&amp;"__wt",'SegEnds_Xtal_BW#'!$A:$Z,25,FALSE)</f>
        <v>47</v>
      </c>
      <c r="Z195" s="1">
        <f>VLOOKUP($B195&amp;"__wt",'SegEnds_Xtal_BW#'!$A:$Z,26,FALSE)</f>
        <v>60</v>
      </c>
      <c r="AA195" s="27" t="str">
        <f>VLOOKUP(A195,Classification!A:B,2,FALSE)</f>
        <v>A</v>
      </c>
      <c r="AB195" s="1">
        <f>VLOOKUP(A195,'SegEnds_NonXtal_Prot#'!A:AL,10,FALSE)-VLOOKUP(A195,'SegEnds_NonXtal_Prot#'!A:AL,4,FALSE)</f>
        <v>28</v>
      </c>
      <c r="AC195" s="1">
        <f>VLOOKUP(A195,'SegEnds_NonXtal_Prot#'!A:AL,10,FALSE)-VLOOKUP(A195,'SegEnds_NonXtal_Prot#'!A:AL,7,FALSE)</f>
        <v>15</v>
      </c>
      <c r="AD195" s="1">
        <f>VLOOKUP(A195,'SegEnds_NonXtal_Prot#'!A:AL,13,FALSE)-VLOOKUP(A195,'SegEnds_NonXtal_Prot#'!A:AL,10,FALSE)</f>
        <v>20</v>
      </c>
      <c r="AE195" s="1">
        <f>VLOOKUP(A195,'SegEnds_NonXtal_Prot#'!A:AL,16,FALSE)-VLOOKUP(A195,'SegEnds_NonXtal_Prot#'!A:AL,10,FALSE)</f>
        <v>52</v>
      </c>
      <c r="AF195" s="1">
        <f>VLOOKUP(A195,'SegEnds_NonXtal_Prot#'!A:AL,22,FALSE)-VLOOKUP(A195,'SegEnds_NonXtal_Prot#'!A:AL,19,FALSE)</f>
        <v>20</v>
      </c>
      <c r="AG195" s="1">
        <f>VLOOKUP(A195,'SegEnds_NonXtal_Prot#'!A:AL,28,FALSE)-VLOOKUP(A195,'SegEnds_NonXtal_Prot#'!A:AL,25,FALSE)</f>
        <v>26</v>
      </c>
      <c r="AH195" s="1">
        <f>VLOOKUP(A195,'SegEnds_NonXtal_Prot#'!A:AL,28,FALSE)-VLOOKUP(A195,'SegEnds_NonXtal_Prot#'!A:AL,22,FALSE)</f>
        <v>56</v>
      </c>
      <c r="AI195" s="1">
        <f>VLOOKUP(A195,'SegEnds_NonXtal_Prot#'!A:AL,31,FALSE)-VLOOKUP(A195,'SegEnds_NonXtal_Prot#'!A:AL,28,FALSE)</f>
        <v>57</v>
      </c>
      <c r="AJ195" s="1">
        <f>VLOOKUP(A195,'SegEnds_NonXtal_Prot#'!A:AL,34,FALSE)-VLOOKUP(A195,'SegEnds_NonXtal_Prot#'!A:AL,31,FALSE)</f>
        <v>40</v>
      </c>
      <c r="AK195" s="1">
        <f>VLOOKUP(A195,'SegEnds_NonXtal_Prot#'!A:AL,37,FALSE)-VLOOKUP(A195,'SegEnds_NonXtal_Prot#'!A:AL,34,FALSE)</f>
        <v>10</v>
      </c>
      <c r="AL195" s="1" t="str">
        <f>IF(ISERROR(MATCH(A195,'SegEnds_Xtal_Prot#'!B:B, 0)), "NoXtal", "Xtal")</f>
        <v>NoXtal</v>
      </c>
    </row>
    <row r="196" spans="1:38" x14ac:dyDescent="0.2">
      <c r="A196" s="1" t="s">
        <v>331</v>
      </c>
      <c r="B196" s="1" t="str">
        <f>VLOOKUP(A196,Xtal_Templ!A:B,2,FALSE)</f>
        <v>agtr2_human</v>
      </c>
      <c r="C196" s="5">
        <f>VLOOKUP($B196&amp;"__wt",'SegEnds_Xtal_BW#'!$A:$Z,3,FALSE)</f>
        <v>33</v>
      </c>
      <c r="D196" s="108">
        <v>60</v>
      </c>
      <c r="E196" s="108">
        <v>48</v>
      </c>
      <c r="F196" s="108">
        <v>51</v>
      </c>
      <c r="G196" s="1">
        <v>37</v>
      </c>
      <c r="H196" s="12">
        <f>VLOOKUP($B196&amp;"__wt",'SegEnds_Xtal_BW#'!$A:$Z,8,FALSE)</f>
        <v>66</v>
      </c>
      <c r="I196" s="1">
        <f>VLOOKUP($B196&amp;"__wt",'SegEnds_Xtal_BW#'!$A:$Z,9,FALSE)</f>
        <v>47</v>
      </c>
      <c r="J196" s="1">
        <f>VLOOKUP($B196&amp;"__wt",'SegEnds_Xtal_BW#'!$A:$Z,10,FALSE)</f>
        <v>52</v>
      </c>
      <c r="K196" s="12">
        <v>18</v>
      </c>
      <c r="L196" s="1">
        <f>VLOOKUP($B196&amp;"__wt",'SegEnds_Xtal_BW#'!$A:$Z,12,FALSE)</f>
        <v>56</v>
      </c>
      <c r="M196" s="1">
        <f>VLOOKUP($B196&amp;"__wt",'SegEnds_Xtal_BW#'!$A:$Z,13,FALSE)</f>
        <v>50</v>
      </c>
      <c r="N196" s="12">
        <v>57</v>
      </c>
      <c r="O196" s="87">
        <f>VLOOKUP($B196&amp;"__wt",'SegEnds_Xtal_BW#'!$A:$Z,15,FALSE)</f>
        <v>38</v>
      </c>
      <c r="P196" s="1">
        <f>VLOOKUP($B196&amp;"__wt",'SegEnds_Xtal_BW#'!$A:$Z,16,FALSE)</f>
        <v>64</v>
      </c>
      <c r="Q196" s="1">
        <f>VLOOKUP($B196&amp;"__wt",'SegEnds_Xtal_BW#'!$A:$Z,17,FALSE)</f>
        <v>50</v>
      </c>
      <c r="R196" s="1">
        <f>VLOOKUP($B196&amp;"__wt",'SegEnds_Xtal_BW#'!$A:$Z,18,FALSE)</f>
        <v>52</v>
      </c>
      <c r="S196" s="1">
        <f>VLOOKUP($B196&amp;"__wt",'SegEnds_Xtal_BW#'!$A:$Z,19,FALSE)</f>
        <v>30</v>
      </c>
      <c r="T196" s="1">
        <f t="array" ref="T196">INDEX(ICL3_classA!$G$2:$G$37,MATCH(MIN(ABS(AI196-ICL3_classA!$F$2:$F$37)),ABS(AI196-ICL3_classA!$F$2:$F$37),0))</f>
        <v>67</v>
      </c>
      <c r="U196" s="1">
        <f t="array" ref="U196">INDEX(ICL3_classA!$H$2:$H$37,MATCH(MIN(ABS(AI196-ICL3_classA!$F$2:$F$37)),ABS(AI196-ICL3_classA!$F$2:$F$37),0))</f>
        <v>26</v>
      </c>
      <c r="V196" s="1">
        <v>61</v>
      </c>
      <c r="W196" s="1">
        <v>28</v>
      </c>
      <c r="X196" s="1">
        <f>VLOOKUP($B196&amp;"__wt",'SegEnds_Xtal_BW#'!$A:$Z,24,FALSE)</f>
        <v>56</v>
      </c>
      <c r="Y196" s="1">
        <f>VLOOKUP($B196&amp;"__wt",'SegEnds_Xtal_BW#'!$A:$Z,25,FALSE)</f>
        <v>47</v>
      </c>
      <c r="Z196" s="1">
        <f>VLOOKUP($B196&amp;"__wt",'SegEnds_Xtal_BW#'!$A:$Z,26,FALSE)</f>
        <v>61</v>
      </c>
      <c r="AA196" s="27" t="str">
        <f>VLOOKUP(A196,Classification!A:B,2,FALSE)</f>
        <v>A</v>
      </c>
      <c r="AB196" s="1">
        <f>VLOOKUP(A196,'SegEnds_NonXtal_Prot#'!A:AL,10,FALSE)-VLOOKUP(A196,'SegEnds_NonXtal_Prot#'!A:AL,4,FALSE)</f>
        <v>28</v>
      </c>
      <c r="AC196" s="1">
        <f>VLOOKUP(A196,'SegEnds_NonXtal_Prot#'!A:AL,10,FALSE)-VLOOKUP(A196,'SegEnds_NonXtal_Prot#'!A:AL,7,FALSE)</f>
        <v>15</v>
      </c>
      <c r="AD196" s="1">
        <f>VLOOKUP(A196,'SegEnds_NonXtal_Prot#'!A:AL,13,FALSE)-VLOOKUP(A196,'SegEnds_NonXtal_Prot#'!A:AL,10,FALSE)</f>
        <v>20</v>
      </c>
      <c r="AE196" s="1">
        <f>VLOOKUP(A196,'SegEnds_NonXtal_Prot#'!A:AL,16,FALSE)-VLOOKUP(A196,'SegEnds_NonXtal_Prot#'!A:AL,10,FALSE)</f>
        <v>52</v>
      </c>
      <c r="AF196" s="1">
        <f>VLOOKUP(A196,'SegEnds_NonXtal_Prot#'!A:AL,22,FALSE)-VLOOKUP(A196,'SegEnds_NonXtal_Prot#'!A:AL,19,FALSE)</f>
        <v>20</v>
      </c>
      <c r="AG196" s="1">
        <f>VLOOKUP(A196,'SegEnds_NonXtal_Prot#'!A:AL,28,FALSE)-VLOOKUP(A196,'SegEnds_NonXtal_Prot#'!A:AL,25,FALSE)</f>
        <v>25</v>
      </c>
      <c r="AH196" s="1">
        <f>VLOOKUP(A196,'SegEnds_NonXtal_Prot#'!A:AL,28,FALSE)-VLOOKUP(A196,'SegEnds_NonXtal_Prot#'!A:AL,22,FALSE)</f>
        <v>51</v>
      </c>
      <c r="AI196" s="1">
        <f>VLOOKUP(A196,'SegEnds_NonXtal_Prot#'!A:AL,31,FALSE)-VLOOKUP(A196,'SegEnds_NonXtal_Prot#'!A:AL,28,FALSE)</f>
        <v>46</v>
      </c>
      <c r="AJ196" s="1">
        <f>VLOOKUP(A196,'SegEnds_NonXtal_Prot#'!A:AL,34,FALSE)-VLOOKUP(A196,'SegEnds_NonXtal_Prot#'!A:AL,31,FALSE)</f>
        <v>40</v>
      </c>
      <c r="AK196" s="1">
        <f>VLOOKUP(A196,'SegEnds_NonXtal_Prot#'!A:AL,37,FALSE)-VLOOKUP(A196,'SegEnds_NonXtal_Prot#'!A:AL,34,FALSE)</f>
        <v>10</v>
      </c>
      <c r="AL196" s="1" t="str">
        <f>IF(ISERROR(MATCH(A196,'SegEnds_Xtal_Prot#'!B:B, 0)), "NoXtal", "Xtal")</f>
        <v>NoXtal</v>
      </c>
    </row>
    <row r="197" spans="1:38" x14ac:dyDescent="0.2">
      <c r="A197" s="1" t="s">
        <v>355</v>
      </c>
      <c r="B197" s="1" t="str">
        <f>VLOOKUP(A197,Xtal_Templ!A:B,2,FALSE)</f>
        <v>par1_human</v>
      </c>
      <c r="C197" s="5">
        <f>VLOOKUP($B197&amp;"__wt",'SegEnds_Xtal_BW#'!$A:$Z,3,FALSE)</f>
        <v>29</v>
      </c>
      <c r="D197" s="1">
        <f>VLOOKUP($B197&amp;"__wt",'SegEnds_Xtal_BW#'!$A:$Z,4,FALSE)</f>
        <v>60</v>
      </c>
      <c r="E197" s="1">
        <f>VLOOKUP($B197&amp;"__wt",'SegEnds_Xtal_BW#'!$A:$Z,5,FALSE)</f>
        <v>48</v>
      </c>
      <c r="F197" s="1">
        <f>VLOOKUP($B197&amp;"__wt",'SegEnds_Xtal_BW#'!$A:$Z,6,FALSE)</f>
        <v>51</v>
      </c>
      <c r="G197" s="1">
        <v>37</v>
      </c>
      <c r="H197" s="12">
        <f>VLOOKUP($B197&amp;"__wt",'SegEnds_Xtal_BW#'!$A:$Z,8,FALSE)</f>
        <v>66</v>
      </c>
      <c r="I197" s="1">
        <f>VLOOKUP($B197&amp;"__wt",'SegEnds_Xtal_BW#'!$A:$Z,9,FALSE)</f>
        <v>49</v>
      </c>
      <c r="J197" s="1">
        <f>VLOOKUP($B197&amp;"__wt",'SegEnds_Xtal_BW#'!$A:$Z,10,FALSE)</f>
        <v>52</v>
      </c>
      <c r="K197" s="12">
        <v>18</v>
      </c>
      <c r="L197" s="1">
        <f>VLOOKUP($B197&amp;"__wt",'SegEnds_Xtal_BW#'!$A:$Z,12,FALSE)</f>
        <v>56</v>
      </c>
      <c r="M197" s="1">
        <f>VLOOKUP($B197&amp;"__wt",'SegEnds_Xtal_BW#'!$A:$Z,13,FALSE)</f>
        <v>50</v>
      </c>
      <c r="N197" s="12">
        <f>VLOOKUP($B197&amp;"__wt",'SegEnds_Xtal_BW#'!$A:$Z,14,FALSE)</f>
        <v>57</v>
      </c>
      <c r="O197" s="87">
        <f>VLOOKUP($B197&amp;"__wt",'SegEnds_Xtal_BW#'!$A:$Z,15,FALSE)</f>
        <v>38</v>
      </c>
      <c r="P197" s="1">
        <f>VLOOKUP($B197&amp;"__wt",'SegEnds_Xtal_BW#'!$A:$Z,16,FALSE)</f>
        <v>63</v>
      </c>
      <c r="Q197" s="1">
        <f>VLOOKUP($B197&amp;"__wt",'SegEnds_Xtal_BW#'!$A:$Z,17,FALSE)</f>
        <v>50</v>
      </c>
      <c r="R197" s="1">
        <f>VLOOKUP($B197&amp;"__wt",'SegEnds_Xtal_BW#'!$A:$Z,18,FALSE)</f>
        <v>52</v>
      </c>
      <c r="S197" s="1">
        <f>VLOOKUP($B197&amp;"__wt",'SegEnds_Xtal_BW#'!$A:$Z,19,FALSE)</f>
        <v>32</v>
      </c>
      <c r="T197" s="1">
        <f t="array" ref="T197">INDEX(ICL3_classA!$G$2:$G$37,MATCH(MIN(ABS(AI197-ICL3_classA!$F$2:$F$37)),ABS(AI197-ICL3_classA!$F$2:$F$37),0))</f>
        <v>67</v>
      </c>
      <c r="U197" s="1">
        <f t="array" ref="U197">INDEX(ICL3_classA!$H$2:$H$37,MATCH(MIN(ABS(AI197-ICL3_classA!$F$2:$F$37)),ABS(AI197-ICL3_classA!$F$2:$F$37),0))</f>
        <v>26</v>
      </c>
      <c r="V197" s="1">
        <v>62</v>
      </c>
      <c r="W197" s="1">
        <v>28</v>
      </c>
      <c r="X197" s="1">
        <f>VLOOKUP($B197&amp;"__wt",'SegEnds_Xtal_BW#'!$A:$Z,24,FALSE)</f>
        <v>56</v>
      </c>
      <c r="Y197" s="1">
        <f>VLOOKUP($B197&amp;"__wt",'SegEnds_Xtal_BW#'!$A:$Z,25,FALSE)</f>
        <v>47</v>
      </c>
      <c r="Z197" s="1">
        <f>VLOOKUP($B197&amp;"__wt",'SegEnds_Xtal_BW#'!$A:$Z,26,FALSE)</f>
        <v>61</v>
      </c>
      <c r="AA197" s="27" t="str">
        <f>VLOOKUP(A197,Classification!A:B,2,FALSE)</f>
        <v>A</v>
      </c>
      <c r="AB197" s="1">
        <f>VLOOKUP(A197,'SegEnds_NonXtal_Prot#'!A:AL,10,FALSE)-VLOOKUP(A197,'SegEnds_NonXtal_Prot#'!A:AL,4,FALSE)</f>
        <v>28</v>
      </c>
      <c r="AC197" s="1">
        <f>VLOOKUP(A197,'SegEnds_NonXtal_Prot#'!A:AL,10,FALSE)-VLOOKUP(A197,'SegEnds_NonXtal_Prot#'!A:AL,7,FALSE)</f>
        <v>15</v>
      </c>
      <c r="AD197" s="1">
        <f>VLOOKUP(A197,'SegEnds_NonXtal_Prot#'!A:AL,13,FALSE)-VLOOKUP(A197,'SegEnds_NonXtal_Prot#'!A:AL,10,FALSE)</f>
        <v>20</v>
      </c>
      <c r="AE197" s="1">
        <f>VLOOKUP(A197,'SegEnds_NonXtal_Prot#'!A:AL,16,FALSE)-VLOOKUP(A197,'SegEnds_NonXtal_Prot#'!A:AL,10,FALSE)</f>
        <v>52</v>
      </c>
      <c r="AF197" s="1">
        <f>VLOOKUP(A197,'SegEnds_NonXtal_Prot#'!A:AL,22,FALSE)-VLOOKUP(A197,'SegEnds_NonXtal_Prot#'!A:AL,19,FALSE)</f>
        <v>20</v>
      </c>
      <c r="AG197" s="1">
        <f>VLOOKUP(A197,'SegEnds_NonXtal_Prot#'!A:AL,28,FALSE)-VLOOKUP(A197,'SegEnds_NonXtal_Prot#'!A:AL,25,FALSE)</f>
        <v>28</v>
      </c>
      <c r="AH197" s="1">
        <f>VLOOKUP(A197,'SegEnds_NonXtal_Prot#'!A:AL,28,FALSE)-VLOOKUP(A197,'SegEnds_NonXtal_Prot#'!A:AL,22,FALSE)</f>
        <v>55</v>
      </c>
      <c r="AI197" s="1">
        <f>VLOOKUP(A197,'SegEnds_NonXtal_Prot#'!A:AL,31,FALSE)-VLOOKUP(A197,'SegEnds_NonXtal_Prot#'!A:AL,28,FALSE)</f>
        <v>46</v>
      </c>
      <c r="AJ197" s="1">
        <f>VLOOKUP(A197,'SegEnds_NonXtal_Prot#'!A:AL,34,FALSE)-VLOOKUP(A197,'SegEnds_NonXtal_Prot#'!A:AL,31,FALSE)</f>
        <v>40</v>
      </c>
      <c r="AK197" s="1">
        <f>VLOOKUP(A197,'SegEnds_NonXtal_Prot#'!A:AL,37,FALSE)-VLOOKUP(A197,'SegEnds_NonXtal_Prot#'!A:AL,34,FALSE)</f>
        <v>10</v>
      </c>
      <c r="AL197" s="1" t="str">
        <f>IF(ISERROR(MATCH(A197,'SegEnds_Xtal_Prot#'!B:B, 0)), "NoXtal", "Xtal")</f>
        <v>Xtal</v>
      </c>
    </row>
    <row r="198" spans="1:38" x14ac:dyDescent="0.2">
      <c r="A198" s="1" t="s">
        <v>359</v>
      </c>
      <c r="B198" s="1" t="str">
        <f>VLOOKUP(A198,Xtal_Templ!A:B,2,FALSE)</f>
        <v>pe2r4_human</v>
      </c>
      <c r="C198" s="5">
        <f>VLOOKUP($B198&amp;"__wt",'SegEnds_Xtal_BW#'!$A:$Z,3,FALSE)</f>
        <v>33</v>
      </c>
      <c r="D198" s="1">
        <f>VLOOKUP($B198&amp;"__wt",'SegEnds_Xtal_BW#'!$A:$Z,4,FALSE)</f>
        <v>58</v>
      </c>
      <c r="E198" s="1" t="str">
        <f>VLOOKUP($B198&amp;"__wt",'SegEnds_Xtal_BW#'!$A:$Z,5,FALSE)</f>
        <v>-</v>
      </c>
      <c r="F198" s="1" t="str">
        <f>VLOOKUP($B198&amp;"__wt",'SegEnds_Xtal_BW#'!$A:$Z,6,FALSE)</f>
        <v>-</v>
      </c>
      <c r="G198" s="1">
        <v>37</v>
      </c>
      <c r="H198" s="12">
        <f>VLOOKUP($B198&amp;"__wt",'SegEnds_Xtal_BW#'!$A:$Z,8,FALSE)</f>
        <v>67</v>
      </c>
      <c r="I198" s="1">
        <f>VLOOKUP($B198&amp;"__wt",'SegEnds_Xtal_BW#'!$A:$Z,9,FALSE)</f>
        <v>49</v>
      </c>
      <c r="J198" s="1">
        <f>VLOOKUP($B198&amp;"__wt",'SegEnds_Xtal_BW#'!$A:$Z,10,FALSE)</f>
        <v>52</v>
      </c>
      <c r="K198" s="12">
        <v>18</v>
      </c>
      <c r="L198" s="1">
        <f>VLOOKUP($B198&amp;"__wt",'SegEnds_Xtal_BW#'!$A:$Z,12,FALSE)</f>
        <v>56</v>
      </c>
      <c r="M198" s="1">
        <f>VLOOKUP($B198&amp;"__wt",'SegEnds_Xtal_BW#'!$A:$Z,13,FALSE)</f>
        <v>50</v>
      </c>
      <c r="N198" s="12">
        <v>57</v>
      </c>
      <c r="O198" s="87">
        <f>VLOOKUP($B198&amp;"__wt",'SegEnds_Xtal_BW#'!$A:$Z,15,FALSE)</f>
        <v>38</v>
      </c>
      <c r="P198" s="1">
        <f>VLOOKUP($B198&amp;"__wt",'SegEnds_Xtal_BW#'!$A:$Z,16,FALSE)</f>
        <v>63</v>
      </c>
      <c r="Q198" s="1">
        <f>VLOOKUP($B198&amp;"__wt",'SegEnds_Xtal_BW#'!$A:$Z,17,FALSE)</f>
        <v>50</v>
      </c>
      <c r="R198" s="1">
        <f>VLOOKUP($B198&amp;"__wt",'SegEnds_Xtal_BW#'!$A:$Z,18,FALSE)</f>
        <v>52</v>
      </c>
      <c r="S198" s="1">
        <f>VLOOKUP($B198&amp;"__wt",'SegEnds_Xtal_BW#'!$A:$Z,19,FALSE)</f>
        <v>33</v>
      </c>
      <c r="T198" s="1">
        <f t="array" ref="T198">INDEX(ICL3_classA!$G$2:$G$37,MATCH(MIN(ABS(AI198-ICL3_classA!$F$2:$F$37)),ABS(AI198-ICL3_classA!$F$2:$F$37),0))</f>
        <v>76</v>
      </c>
      <c r="U198" s="1">
        <f t="array" ref="U198">INDEX(ICL3_classA!$H$2:$H$37,MATCH(MIN(ABS(AI198-ICL3_classA!$F$2:$F$37)),ABS(AI198-ICL3_classA!$F$2:$F$37),0))</f>
        <v>24</v>
      </c>
      <c r="V198" s="1">
        <v>61</v>
      </c>
      <c r="W198" s="1">
        <v>28</v>
      </c>
      <c r="X198" s="125">
        <f>VLOOKUP($B198&amp;"__wt",'SegEnds_Xtal_BW#'!$A:$Z,24,FALSE)</f>
        <v>56</v>
      </c>
      <c r="Y198" s="1">
        <f>VLOOKUP($B198&amp;"__wt",'SegEnds_Xtal_BW#'!$A:$Z,25,FALSE)</f>
        <v>47</v>
      </c>
      <c r="Z198" s="1">
        <f>VLOOKUP($B198&amp;"__wt",'SegEnds_Xtal_BW#'!$A:$Z,26,FALSE)</f>
        <v>60</v>
      </c>
      <c r="AA198" s="27" t="str">
        <f>VLOOKUP(A198,Classification!A:B,2,FALSE)</f>
        <v>A</v>
      </c>
      <c r="AB198" s="1">
        <f>VLOOKUP(A198,'SegEnds_NonXtal_Prot#'!A:AL,10,FALSE)-VLOOKUP(A198,'SegEnds_NonXtal_Prot#'!A:AL,4,FALSE)</f>
        <v>38</v>
      </c>
      <c r="AC198" s="1" t="e">
        <f>VLOOKUP(A198,'SegEnds_NonXtal_Prot#'!A:AL,10,FALSE)-VLOOKUP(A198,'SegEnds_NonXtal_Prot#'!A:AL,7,FALSE)</f>
        <v>#VALUE!</v>
      </c>
      <c r="AD198" s="1" t="e">
        <f>VLOOKUP(A198,'SegEnds_NonXtal_Prot#'!A:AL,13,FALSE)-VLOOKUP(A198,'SegEnds_NonXtal_Prot#'!A:AL,10,FALSE)</f>
        <v>#VALUE!</v>
      </c>
      <c r="AE198" s="1">
        <f>VLOOKUP(A198,'SegEnds_NonXtal_Prot#'!A:AL,16,FALSE)-VLOOKUP(A198,'SegEnds_NonXtal_Prot#'!A:AL,10,FALSE)</f>
        <v>58</v>
      </c>
      <c r="AF198" s="1">
        <f>VLOOKUP(A198,'SegEnds_NonXtal_Prot#'!A:AL,22,FALSE)-VLOOKUP(A198,'SegEnds_NonXtal_Prot#'!A:AL,19,FALSE)</f>
        <v>20</v>
      </c>
      <c r="AG198" s="1">
        <f>VLOOKUP(A198,'SegEnds_NonXtal_Prot#'!A:AL,28,FALSE)-VLOOKUP(A198,'SegEnds_NonXtal_Prot#'!A:AL,25,FALSE)</f>
        <v>29</v>
      </c>
      <c r="AH198" s="1">
        <f>VLOOKUP(A198,'SegEnds_NonXtal_Prot#'!A:AL,28,FALSE)-VLOOKUP(A198,'SegEnds_NonXtal_Prot#'!A:AL,22,FALSE)</f>
        <v>55</v>
      </c>
      <c r="AI198" s="1">
        <f>VLOOKUP(A198,'SegEnds_NonXtal_Prot#'!A:AL,31,FALSE)-VLOOKUP(A198,'SegEnds_NonXtal_Prot#'!A:AL,28,FALSE)</f>
        <v>68</v>
      </c>
      <c r="AJ198" s="1">
        <f>VLOOKUP(A198,'SegEnds_NonXtal_Prot#'!A:AL,34,FALSE)-VLOOKUP(A198,'SegEnds_NonXtal_Prot#'!A:AL,31,FALSE)</f>
        <v>40</v>
      </c>
      <c r="AK198" s="1">
        <f>VLOOKUP(A198,'SegEnds_NonXtal_Prot#'!A:AL,37,FALSE)-VLOOKUP(A198,'SegEnds_NonXtal_Prot#'!A:AL,34,FALSE)</f>
        <v>10</v>
      </c>
      <c r="AL198" s="1" t="str">
        <f>IF(ISERROR(MATCH(A198,'SegEnds_Xtal_Prot#'!B:B, 0)), "NoXtal", "Xtal")</f>
        <v>NoXtal</v>
      </c>
    </row>
    <row r="199" spans="1:38" x14ac:dyDescent="0.2">
      <c r="A199" s="1" t="s">
        <v>360</v>
      </c>
      <c r="B199" s="1" t="str">
        <f>VLOOKUP(A199,Xtal_Templ!A:B,2,FALSE)</f>
        <v>pd2r2_human</v>
      </c>
      <c r="C199" s="5">
        <f>VLOOKUP($B199&amp;"__wt",'SegEnds_Xtal_BW#'!$A:$Z,3,FALSE)</f>
        <v>32</v>
      </c>
      <c r="D199" s="1">
        <f>VLOOKUP($B199&amp;"__wt",'SegEnds_Xtal_BW#'!$A:$Z,4,FALSE)</f>
        <v>60</v>
      </c>
      <c r="E199" s="1" t="str">
        <f>VLOOKUP($B199&amp;"__wt",'SegEnds_Xtal_BW#'!$A:$Z,5,FALSE)</f>
        <v>-</v>
      </c>
      <c r="F199" s="1" t="str">
        <f>VLOOKUP($B199&amp;"__wt",'SegEnds_Xtal_BW#'!$A:$Z,6,FALSE)</f>
        <v>-</v>
      </c>
      <c r="G199" s="1">
        <v>37</v>
      </c>
      <c r="H199" s="12">
        <f>VLOOKUP($B199&amp;"__wt",'SegEnds_Xtal_BW#'!$A:$Z,8,FALSE)</f>
        <v>67</v>
      </c>
      <c r="I199" s="1">
        <f>VLOOKUP($B199&amp;"__wt",'SegEnds_Xtal_BW#'!$A:$Z,9,FALSE)</f>
        <v>49</v>
      </c>
      <c r="J199" s="1">
        <f>VLOOKUP($B199&amp;"__wt",'SegEnds_Xtal_BW#'!$A:$Z,10,FALSE)</f>
        <v>52</v>
      </c>
      <c r="K199" s="12">
        <v>18</v>
      </c>
      <c r="L199" s="1">
        <f>VLOOKUP($B199&amp;"__wt",'SegEnds_Xtal_BW#'!$A:$Z,12,FALSE)</f>
        <v>56</v>
      </c>
      <c r="M199" s="1">
        <f>VLOOKUP($B199&amp;"__wt",'SegEnds_Xtal_BW#'!$A:$Z,13,FALSE)</f>
        <v>50</v>
      </c>
      <c r="N199" s="12">
        <v>57</v>
      </c>
      <c r="O199" s="87">
        <f>VLOOKUP($B199&amp;"__wt",'SegEnds_Xtal_BW#'!$A:$Z,15,FALSE)</f>
        <v>38</v>
      </c>
      <c r="P199" s="1">
        <f>VLOOKUP($B199&amp;"__wt",'SegEnds_Xtal_BW#'!$A:$Z,16,FALSE)</f>
        <v>64</v>
      </c>
      <c r="Q199" s="1">
        <f>VLOOKUP($B199&amp;"__wt",'SegEnds_Xtal_BW#'!$A:$Z,17,FALSE)</f>
        <v>50</v>
      </c>
      <c r="R199" s="1">
        <f>VLOOKUP($B199&amp;"__wt",'SegEnds_Xtal_BW#'!$A:$Z,18,FALSE)</f>
        <v>52</v>
      </c>
      <c r="S199" s="1">
        <f>VLOOKUP($B199&amp;"__wt",'SegEnds_Xtal_BW#'!$A:$Z,19,FALSE)</f>
        <v>26</v>
      </c>
      <c r="T199" s="1">
        <f t="array" ref="T199">INDEX(ICL3_classA!$G$2:$G$37,MATCH(MIN(ABS(AI199-ICL3_classA!$F$2:$F$37)),ABS(AI199-ICL3_classA!$F$2:$F$37),0))</f>
        <v>68</v>
      </c>
      <c r="U199" s="1">
        <f t="array" ref="U199">INDEX(ICL3_classA!$H$2:$H$37,MATCH(MIN(ABS(AI199-ICL3_classA!$F$2:$F$37)),ABS(AI199-ICL3_classA!$F$2:$F$37),0))</f>
        <v>30</v>
      </c>
      <c r="V199" s="1">
        <v>61</v>
      </c>
      <c r="W199" s="108">
        <v>27</v>
      </c>
      <c r="X199" s="125">
        <f>VLOOKUP($B199&amp;"__wt",'SegEnds_Xtal_BW#'!$A:$Z,24,FALSE)</f>
        <v>56</v>
      </c>
      <c r="Y199" s="1">
        <f>VLOOKUP($B199&amp;"__wt",'SegEnds_Xtal_BW#'!$A:$Z,25,FALSE)</f>
        <v>47</v>
      </c>
      <c r="Z199" s="1">
        <f>VLOOKUP($B199&amp;"__wt",'SegEnds_Xtal_BW#'!$A:$Z,26,FALSE)</f>
        <v>64</v>
      </c>
      <c r="AA199" s="27" t="str">
        <f>VLOOKUP(A199,Classification!A:B,2,FALSE)</f>
        <v>A</v>
      </c>
      <c r="AB199" s="1">
        <f>VLOOKUP(A199,'SegEnds_NonXtal_Prot#'!A:AL,10,FALSE)-VLOOKUP(A199,'SegEnds_NonXtal_Prot#'!A:AL,4,FALSE)</f>
        <v>27</v>
      </c>
      <c r="AC199" s="1" t="e">
        <f>VLOOKUP(A199,'SegEnds_NonXtal_Prot#'!A:AL,10,FALSE)-VLOOKUP(A199,'SegEnds_NonXtal_Prot#'!A:AL,7,FALSE)</f>
        <v>#VALUE!</v>
      </c>
      <c r="AD199" s="1">
        <f>VLOOKUP(A199,'SegEnds_NonXtal_Prot#'!A:AL,13,FALSE)-VLOOKUP(A199,'SegEnds_NonXtal_Prot#'!A:AL,10,FALSE)</f>
        <v>20</v>
      </c>
      <c r="AE199" s="1">
        <f>VLOOKUP(A199,'SegEnds_NonXtal_Prot#'!A:AL,16,FALSE)-VLOOKUP(A199,'SegEnds_NonXtal_Prot#'!A:AL,10,FALSE)</f>
        <v>52</v>
      </c>
      <c r="AF199" s="1">
        <f>VLOOKUP(A199,'SegEnds_NonXtal_Prot#'!A:AL,22,FALSE)-VLOOKUP(A199,'SegEnds_NonXtal_Prot#'!A:AL,19,FALSE)</f>
        <v>20</v>
      </c>
      <c r="AG199" s="1">
        <f>VLOOKUP(A199,'SegEnds_NonXtal_Prot#'!A:AL,28,FALSE)-VLOOKUP(A199,'SegEnds_NonXtal_Prot#'!A:AL,25,FALSE)</f>
        <v>36</v>
      </c>
      <c r="AH199" s="1">
        <f>VLOOKUP(A199,'SegEnds_NonXtal_Prot#'!A:AL,28,FALSE)-VLOOKUP(A199,'SegEnds_NonXtal_Prot#'!A:AL,22,FALSE)</f>
        <v>62</v>
      </c>
      <c r="AI199" s="1">
        <f>VLOOKUP(A199,'SegEnds_NonXtal_Prot#'!A:AL,31,FALSE)-VLOOKUP(A199,'SegEnds_NonXtal_Prot#'!A:AL,28,FALSE)</f>
        <v>43</v>
      </c>
      <c r="AJ199" s="1">
        <f>VLOOKUP(A199,'SegEnds_NonXtal_Prot#'!A:AL,34,FALSE)-VLOOKUP(A199,'SegEnds_NonXtal_Prot#'!A:AL,31,FALSE)</f>
        <v>40</v>
      </c>
      <c r="AK199" s="1">
        <f>VLOOKUP(A199,'SegEnds_NonXtal_Prot#'!A:AL,37,FALSE)-VLOOKUP(A199,'SegEnds_NonXtal_Prot#'!A:AL,34,FALSE)</f>
        <v>10</v>
      </c>
      <c r="AL199" s="1" t="str">
        <f>IF(ISERROR(MATCH(A199,'SegEnds_Xtal_Prot#'!B:B, 0)), "NoXtal", "Xtal")</f>
        <v>Xtal</v>
      </c>
    </row>
    <row r="200" spans="1:38" x14ac:dyDescent="0.2">
      <c r="A200" s="1" t="s">
        <v>367</v>
      </c>
      <c r="B200" s="1" t="str">
        <f>VLOOKUP(A200,Xtal_Templ!A:B,2,FALSE)</f>
        <v>ox1r_human</v>
      </c>
      <c r="C200" s="5">
        <f>VLOOKUP($B200&amp;"__wt",'SegEnds_Xtal_BW#'!$A:$Z,3,FALSE)</f>
        <v>32</v>
      </c>
      <c r="D200" s="1">
        <f>VLOOKUP($B200&amp;"__wt",'SegEnds_Xtal_BW#'!$A:$Z,4,FALSE)</f>
        <v>60</v>
      </c>
      <c r="E200" s="1">
        <f>VLOOKUP($B200&amp;"__wt",'SegEnds_Xtal_BW#'!$A:$Z,5,FALSE)</f>
        <v>48</v>
      </c>
      <c r="F200" s="1">
        <f>VLOOKUP($B200&amp;"__wt",'SegEnds_Xtal_BW#'!$A:$Z,6,FALSE)</f>
        <v>51</v>
      </c>
      <c r="G200" s="1">
        <v>37</v>
      </c>
      <c r="H200" s="12">
        <f>VLOOKUP($B200&amp;"__wt",'SegEnds_Xtal_BW#'!$A:$Z,8,FALSE)</f>
        <v>67</v>
      </c>
      <c r="I200" s="1">
        <f>VLOOKUP($B200&amp;"__wt",'SegEnds_Xtal_BW#'!$A:$Z,9,FALSE)</f>
        <v>49</v>
      </c>
      <c r="J200" s="1">
        <f>VLOOKUP($B200&amp;"__wt",'SegEnds_Xtal_BW#'!$A:$Z,10,FALSE)</f>
        <v>52</v>
      </c>
      <c r="K200" s="12">
        <v>18</v>
      </c>
      <c r="L200" s="1">
        <f>VLOOKUP($B200&amp;"__wt",'SegEnds_Xtal_BW#'!$A:$Z,12,FALSE)</f>
        <v>56</v>
      </c>
      <c r="M200" s="1">
        <f>VLOOKUP($B200&amp;"__wt",'SegEnds_Xtal_BW#'!$A:$Z,13,FALSE)</f>
        <v>50</v>
      </c>
      <c r="N200" s="108" t="s">
        <v>23</v>
      </c>
      <c r="O200" s="87">
        <f>VLOOKUP($B200&amp;"__wt",'SegEnds_Xtal_BW#'!$A:$Z,15,FALSE)</f>
        <v>38</v>
      </c>
      <c r="P200" s="1">
        <f>VLOOKUP($B200&amp;"__wt",'SegEnds_Xtal_BW#'!$A:$Z,16,FALSE)</f>
        <v>64</v>
      </c>
      <c r="Q200" s="1">
        <f>VLOOKUP($B200&amp;"__wt",'SegEnds_Xtal_BW#'!$A:$Z,17,FALSE)</f>
        <v>50</v>
      </c>
      <c r="R200" s="1">
        <f>VLOOKUP($B200&amp;"__wt",'SegEnds_Xtal_BW#'!$A:$Z,18,FALSE)</f>
        <v>52</v>
      </c>
      <c r="S200" s="1">
        <f>VLOOKUP($B200&amp;"__wt",'SegEnds_Xtal_BW#'!$A:$Z,19,FALSE)</f>
        <v>32</v>
      </c>
      <c r="T200" s="1">
        <f t="array" ref="T200">INDEX(ICL3_classA!$G$2:$G$37,MATCH(MIN(ABS(AI200-ICL3_classA!$F$2:$F$37)),ABS(AI200-ICL3_classA!$F$2:$F$37),0))</f>
        <v>73</v>
      </c>
      <c r="U200" s="1">
        <f t="array" ref="U200">INDEX(ICL3_classA!$H$2:$H$37,MATCH(MIN(ABS(AI200-ICL3_classA!$F$2:$F$37)),ABS(AI200-ICL3_classA!$F$2:$F$37),0))</f>
        <v>22</v>
      </c>
      <c r="V200" s="1">
        <v>61</v>
      </c>
      <c r="W200" s="1">
        <v>28</v>
      </c>
      <c r="X200" s="1">
        <f>VLOOKUP($B200&amp;"__wt",'SegEnds_Xtal_BW#'!$A:$Z,24,FALSE)</f>
        <v>56</v>
      </c>
      <c r="Y200" s="1">
        <f>VLOOKUP($B200&amp;"__wt",'SegEnds_Xtal_BW#'!$A:$Z,25,FALSE)</f>
        <v>47</v>
      </c>
      <c r="Z200" s="1">
        <f>VLOOKUP($B200&amp;"__wt",'SegEnds_Xtal_BW#'!$A:$Z,26,FALSE)</f>
        <v>58</v>
      </c>
      <c r="AA200" s="27" t="str">
        <f>VLOOKUP(A200,Classification!A:B,2,FALSE)</f>
        <v>A</v>
      </c>
      <c r="AB200" s="1">
        <f>VLOOKUP(A200,'SegEnds_NonXtal_Prot#'!A:AL,10,FALSE)-VLOOKUP(A200,'SegEnds_NonXtal_Prot#'!A:AL,4,FALSE)</f>
        <v>28</v>
      </c>
      <c r="AC200" s="1">
        <f>VLOOKUP(A200,'SegEnds_NonXtal_Prot#'!A:AL,10,FALSE)-VLOOKUP(A200,'SegEnds_NonXtal_Prot#'!A:AL,7,FALSE)</f>
        <v>15</v>
      </c>
      <c r="AD200" s="1">
        <f>VLOOKUP(A200,'SegEnds_NonXtal_Prot#'!A:AL,13,FALSE)-VLOOKUP(A200,'SegEnds_NonXtal_Prot#'!A:AL,10,FALSE)</f>
        <v>22</v>
      </c>
      <c r="AE200" s="1">
        <f>VLOOKUP(A200,'SegEnds_NonXtal_Prot#'!A:AL,16,FALSE)-VLOOKUP(A200,'SegEnds_NonXtal_Prot#'!A:AL,10,FALSE)</f>
        <v>54</v>
      </c>
      <c r="AF200" s="1" t="e">
        <f>VLOOKUP(A200,'SegEnds_NonXtal_Prot#'!A:AL,22,FALSE)-VLOOKUP(A200,'SegEnds_NonXtal_Prot#'!A:AL,19,FALSE)</f>
        <v>#VALUE!</v>
      </c>
      <c r="AG200" s="1">
        <f>VLOOKUP(A200,'SegEnds_NonXtal_Prot#'!A:AL,28,FALSE)-VLOOKUP(A200,'SegEnds_NonXtal_Prot#'!A:AL,25,FALSE)</f>
        <v>27</v>
      </c>
      <c r="AH200" s="1">
        <f>VLOOKUP(A200,'SegEnds_NonXtal_Prot#'!A:AL,28,FALSE)-VLOOKUP(A200,'SegEnds_NonXtal_Prot#'!A:AL,22,FALSE)</f>
        <v>57</v>
      </c>
      <c r="AI200" s="1">
        <f>VLOOKUP(A200,'SegEnds_NonXtal_Prot#'!A:AL,31,FALSE)-VLOOKUP(A200,'SegEnds_NonXtal_Prot#'!A:AL,28,FALSE)</f>
        <v>55</v>
      </c>
      <c r="AJ200" s="1">
        <f>VLOOKUP(A200,'SegEnds_NonXtal_Prot#'!A:AL,34,FALSE)-VLOOKUP(A200,'SegEnds_NonXtal_Prot#'!A:AL,31,FALSE)</f>
        <v>40</v>
      </c>
      <c r="AK200" s="1">
        <f>VLOOKUP(A200,'SegEnds_NonXtal_Prot#'!A:AL,37,FALSE)-VLOOKUP(A200,'SegEnds_NonXtal_Prot#'!A:AL,34,FALSE)</f>
        <v>11</v>
      </c>
      <c r="AL200" s="1" t="str">
        <f>IF(ISERROR(MATCH(A200,'SegEnds_Xtal_Prot#'!B:B, 0)), "NoXtal", "Xtal")</f>
        <v>NoXtal</v>
      </c>
    </row>
    <row r="201" spans="1:38" x14ac:dyDescent="0.2">
      <c r="A201" s="1" t="s">
        <v>368</v>
      </c>
      <c r="B201" s="1" t="str">
        <f>VLOOKUP(A201,Xtal_Templ!A:B,2,FALSE)</f>
        <v>ox2r_human</v>
      </c>
      <c r="C201" s="5">
        <f>VLOOKUP($B201&amp;"__wt",'SegEnds_Xtal_BW#'!$A:$Z,3,FALSE)</f>
        <v>31</v>
      </c>
      <c r="D201" s="1">
        <f>VLOOKUP($B201&amp;"__wt",'SegEnds_Xtal_BW#'!$A:$Z,4,FALSE)</f>
        <v>60</v>
      </c>
      <c r="E201" s="1">
        <f>VLOOKUP($B201&amp;"__wt",'SegEnds_Xtal_BW#'!$A:$Z,5,FALSE)</f>
        <v>48</v>
      </c>
      <c r="F201" s="1">
        <f>VLOOKUP($B201&amp;"__wt",'SegEnds_Xtal_BW#'!$A:$Z,6,FALSE)</f>
        <v>51</v>
      </c>
      <c r="G201" s="1">
        <v>37</v>
      </c>
      <c r="H201" s="12">
        <f>VLOOKUP($B201&amp;"__wt",'SegEnds_Xtal_BW#'!$A:$Z,8,FALSE)</f>
        <v>68</v>
      </c>
      <c r="I201" s="1">
        <f>VLOOKUP($B201&amp;"__wt",'SegEnds_Xtal_BW#'!$A:$Z,9,FALSE)</f>
        <v>49</v>
      </c>
      <c r="J201" s="1">
        <f>VLOOKUP($B201&amp;"__wt",'SegEnds_Xtal_BW#'!$A:$Z,10,FALSE)</f>
        <v>52</v>
      </c>
      <c r="K201" s="12">
        <v>18</v>
      </c>
      <c r="L201" s="1">
        <f>VLOOKUP($B201&amp;"__wt",'SegEnds_Xtal_BW#'!$A:$Z,12,FALSE)</f>
        <v>56</v>
      </c>
      <c r="M201" s="1">
        <f>VLOOKUP($B201&amp;"__wt",'SegEnds_Xtal_BW#'!$A:$Z,13,FALSE)</f>
        <v>50</v>
      </c>
      <c r="N201" s="108" t="s">
        <v>23</v>
      </c>
      <c r="O201" s="87">
        <f>VLOOKUP($B201&amp;"__wt",'SegEnds_Xtal_BW#'!$A:$Z,15,FALSE)</f>
        <v>38</v>
      </c>
      <c r="P201" s="1">
        <f>VLOOKUP($B201&amp;"__wt",'SegEnds_Xtal_BW#'!$A:$Z,16,FALSE)</f>
        <v>64</v>
      </c>
      <c r="Q201" s="1">
        <f>VLOOKUP($B201&amp;"__wt",'SegEnds_Xtal_BW#'!$A:$Z,17,FALSE)</f>
        <v>50</v>
      </c>
      <c r="R201" s="1">
        <f>VLOOKUP($B201&amp;"__wt",'SegEnds_Xtal_BW#'!$A:$Z,18,FALSE)</f>
        <v>52</v>
      </c>
      <c r="S201" s="1">
        <f>VLOOKUP($B201&amp;"__wt",'SegEnds_Xtal_BW#'!$A:$Z,19,FALSE)</f>
        <v>33</v>
      </c>
      <c r="T201" s="1">
        <f t="array" ref="T201">INDEX(ICL3_classA!$G$2:$G$37,MATCH(MIN(ABS(AI201-ICL3_classA!$F$2:$F$37)),ABS(AI201-ICL3_classA!$F$2:$F$37),0))</f>
        <v>73</v>
      </c>
      <c r="U201" s="1">
        <f t="array" ref="U201">INDEX(ICL3_classA!$H$2:$H$37,MATCH(MIN(ABS(AI201-ICL3_classA!$F$2:$F$37)),ABS(AI201-ICL3_classA!$F$2:$F$37),0))</f>
        <v>22</v>
      </c>
      <c r="V201" s="1">
        <v>61</v>
      </c>
      <c r="W201" s="1">
        <v>28</v>
      </c>
      <c r="X201" s="1">
        <f>VLOOKUP($B201&amp;"__wt",'SegEnds_Xtal_BW#'!$A:$Z,24,FALSE)</f>
        <v>56</v>
      </c>
      <c r="Y201" s="1">
        <f>VLOOKUP($B201&amp;"__wt",'SegEnds_Xtal_BW#'!$A:$Z,25,FALSE)</f>
        <v>47</v>
      </c>
      <c r="Z201" s="1">
        <f>VLOOKUP($B201&amp;"__wt",'SegEnds_Xtal_BW#'!$A:$Z,26,FALSE)</f>
        <v>58</v>
      </c>
      <c r="AA201" s="27" t="str">
        <f>VLOOKUP(A201,Classification!A:B,2,FALSE)</f>
        <v>A</v>
      </c>
      <c r="AB201" s="1">
        <f>VLOOKUP(A201,'SegEnds_NonXtal_Prot#'!A:AL,10,FALSE)-VLOOKUP(A201,'SegEnds_NonXtal_Prot#'!A:AL,4,FALSE)</f>
        <v>28</v>
      </c>
      <c r="AC201" s="1">
        <f>VLOOKUP(A201,'SegEnds_NonXtal_Prot#'!A:AL,10,FALSE)-VLOOKUP(A201,'SegEnds_NonXtal_Prot#'!A:AL,7,FALSE)</f>
        <v>15</v>
      </c>
      <c r="AD201" s="1">
        <f>VLOOKUP(A201,'SegEnds_NonXtal_Prot#'!A:AL,13,FALSE)-VLOOKUP(A201,'SegEnds_NonXtal_Prot#'!A:AL,10,FALSE)</f>
        <v>22</v>
      </c>
      <c r="AE201" s="1">
        <f>VLOOKUP(A201,'SegEnds_NonXtal_Prot#'!A:AL,16,FALSE)-VLOOKUP(A201,'SegEnds_NonXtal_Prot#'!A:AL,10,FALSE)</f>
        <v>54</v>
      </c>
      <c r="AF201" s="1" t="e">
        <f>VLOOKUP(A201,'SegEnds_NonXtal_Prot#'!A:AL,22,FALSE)-VLOOKUP(A201,'SegEnds_NonXtal_Prot#'!A:AL,19,FALSE)</f>
        <v>#VALUE!</v>
      </c>
      <c r="AG201" s="1">
        <f>VLOOKUP(A201,'SegEnds_NonXtal_Prot#'!A:AL,28,FALSE)-VLOOKUP(A201,'SegEnds_NonXtal_Prot#'!A:AL,25,FALSE)</f>
        <v>27</v>
      </c>
      <c r="AH201" s="1">
        <f>VLOOKUP(A201,'SegEnds_NonXtal_Prot#'!A:AL,28,FALSE)-VLOOKUP(A201,'SegEnds_NonXtal_Prot#'!A:AL,22,FALSE)</f>
        <v>57</v>
      </c>
      <c r="AI201" s="1">
        <f>VLOOKUP(A201,'SegEnds_NonXtal_Prot#'!A:AL,31,FALSE)-VLOOKUP(A201,'SegEnds_NonXtal_Prot#'!A:AL,28,FALSE)</f>
        <v>55</v>
      </c>
      <c r="AJ201" s="1">
        <f>VLOOKUP(A201,'SegEnds_NonXtal_Prot#'!A:AL,34,FALSE)-VLOOKUP(A201,'SegEnds_NonXtal_Prot#'!A:AL,31,FALSE)</f>
        <v>40</v>
      </c>
      <c r="AK201" s="1">
        <f>VLOOKUP(A201,'SegEnds_NonXtal_Prot#'!A:AL,37,FALSE)-VLOOKUP(A201,'SegEnds_NonXtal_Prot#'!A:AL,34,FALSE)</f>
        <v>11</v>
      </c>
      <c r="AL201" s="1" t="str">
        <f>IF(ISERROR(MATCH(A201,'SegEnds_Xtal_Prot#'!B:B, 0)), "NoXtal", "Xtal")</f>
        <v>NoXtal</v>
      </c>
    </row>
    <row r="202" spans="1:38" x14ac:dyDescent="0.2">
      <c r="A202" s="1" t="s">
        <v>163</v>
      </c>
      <c r="B202" s="1" t="str">
        <f>VLOOKUP(A202,Xtal_Templ!A:B,2,FALSE)</f>
        <v>ednrb_human</v>
      </c>
      <c r="C202" s="5">
        <f>VLOOKUP($B202&amp;"__wt",'SegEnds_Xtal_BW#'!$A:$Z,3,FALSE)</f>
        <v>22</v>
      </c>
      <c r="D202" s="1">
        <f>VLOOKUP($B202&amp;"__wt",'SegEnds_Xtal_BW#'!$A:$Z,4,FALSE)</f>
        <v>60</v>
      </c>
      <c r="E202" s="1">
        <f>VLOOKUP($B202&amp;"__wt",'SegEnds_Xtal_BW#'!$A:$Z,5,FALSE)</f>
        <v>48</v>
      </c>
      <c r="F202" s="1">
        <f>VLOOKUP($B202&amp;"__wt",'SegEnds_Xtal_BW#'!$A:$Z,6,FALSE)</f>
        <v>52</v>
      </c>
      <c r="G202" s="1">
        <v>37</v>
      </c>
      <c r="H202" s="12">
        <f>VLOOKUP($B202&amp;"__wt",'SegEnds_Xtal_BW#'!$A:$Z,8,FALSE)</f>
        <v>67</v>
      </c>
      <c r="I202" s="1">
        <f>VLOOKUP($B202&amp;"__wt",'SegEnds_Xtal_BW#'!$A:$Z,9,FALSE)</f>
        <v>49</v>
      </c>
      <c r="J202" s="1">
        <f>VLOOKUP($B202&amp;"__wt",'SegEnds_Xtal_BW#'!$A:$Z,10,FALSE)</f>
        <v>52</v>
      </c>
      <c r="K202" s="12">
        <v>18</v>
      </c>
      <c r="L202" s="1">
        <f>VLOOKUP($B202&amp;"__wt",'SegEnds_Xtal_BW#'!$A:$Z,12,FALSE)</f>
        <v>56</v>
      </c>
      <c r="M202" s="1">
        <f>VLOOKUP($B202&amp;"__wt",'SegEnds_Xtal_BW#'!$A:$Z,13,FALSE)</f>
        <v>50</v>
      </c>
      <c r="N202" s="12">
        <v>57</v>
      </c>
      <c r="O202" s="87">
        <v>38</v>
      </c>
      <c r="P202" s="1">
        <f>VLOOKUP($B202&amp;"__wt",'SegEnds_Xtal_BW#'!$A:$Z,16,FALSE)</f>
        <v>64</v>
      </c>
      <c r="Q202" s="1">
        <f>VLOOKUP($B202&amp;"__wt",'SegEnds_Xtal_BW#'!$A:$Z,17,FALSE)</f>
        <v>50</v>
      </c>
      <c r="R202" s="1">
        <f>VLOOKUP($B202&amp;"__wt",'SegEnds_Xtal_BW#'!$A:$Z,18,FALSE)</f>
        <v>52</v>
      </c>
      <c r="S202" s="1">
        <f>VLOOKUP($B202&amp;"__wt",'SegEnds_Xtal_BW#'!$A:$Z,19,FALSE)</f>
        <v>28</v>
      </c>
      <c r="T202" s="1">
        <f t="array" ref="T202">INDEX(ICL3_classA!$G$2:$G$37,MATCH(MIN(ABS(AI202-ICL3_classA!$F$2:$F$37)),ABS(AI202-ICL3_classA!$F$2:$F$37),0))</f>
        <v>73</v>
      </c>
      <c r="U202" s="1">
        <f t="array" ref="U202">INDEX(ICL3_classA!$H$2:$H$37,MATCH(MIN(ABS(AI202-ICL3_classA!$F$2:$F$37)),ABS(AI202-ICL3_classA!$F$2:$F$37),0))</f>
        <v>22</v>
      </c>
      <c r="V202" s="1">
        <v>61</v>
      </c>
      <c r="W202" s="1">
        <v>28</v>
      </c>
      <c r="X202" s="1">
        <f>VLOOKUP($B202&amp;"__wt",'SegEnds_Xtal_BW#'!$A:$Z,24,FALSE)</f>
        <v>56</v>
      </c>
      <c r="Y202" s="1">
        <f>VLOOKUP($B202&amp;"__wt",'SegEnds_Xtal_BW#'!$A:$Z,25,FALSE)</f>
        <v>47</v>
      </c>
      <c r="Z202" s="1">
        <f>VLOOKUP($B202&amp;"__wt",'SegEnds_Xtal_BW#'!$A:$Z,26,FALSE)</f>
        <v>60</v>
      </c>
      <c r="AA202" s="27" t="str">
        <f>VLOOKUP(A202,Classification!A:B,2,FALSE)</f>
        <v>A</v>
      </c>
      <c r="AB202" s="1">
        <f>VLOOKUP(A202,'SegEnds_NonXtal_Prot#'!A:AL,10,FALSE)-VLOOKUP(A202,'SegEnds_NonXtal_Prot#'!A:AL,4,FALSE)</f>
        <v>28</v>
      </c>
      <c r="AC202" s="1">
        <f>VLOOKUP(A202,'SegEnds_NonXtal_Prot#'!A:AL,10,FALSE)-VLOOKUP(A202,'SegEnds_NonXtal_Prot#'!A:AL,7,FALSE)</f>
        <v>15</v>
      </c>
      <c r="AD202" s="1">
        <f>VLOOKUP(A202,'SegEnds_NonXtal_Prot#'!A:AL,13,FALSE)-VLOOKUP(A202,'SegEnds_NonXtal_Prot#'!A:AL,10,FALSE)</f>
        <v>20</v>
      </c>
      <c r="AE202" s="1">
        <f>VLOOKUP(A202,'SegEnds_NonXtal_Prot#'!A:AL,16,FALSE)-VLOOKUP(A202,'SegEnds_NonXtal_Prot#'!A:AL,10,FALSE)</f>
        <v>52</v>
      </c>
      <c r="AF202" s="1">
        <f>VLOOKUP(A202,'SegEnds_NonXtal_Prot#'!A:AL,22,FALSE)-VLOOKUP(A202,'SegEnds_NonXtal_Prot#'!A:AL,19,FALSE)</f>
        <v>20</v>
      </c>
      <c r="AG202" s="1">
        <f>VLOOKUP(A202,'SegEnds_NonXtal_Prot#'!A:AL,28,FALSE)-VLOOKUP(A202,'SegEnds_NonXtal_Prot#'!A:AL,25,FALSE)</f>
        <v>26</v>
      </c>
      <c r="AH202" s="1">
        <f>VLOOKUP(A202,'SegEnds_NonXtal_Prot#'!A:AL,28,FALSE)-VLOOKUP(A202,'SegEnds_NonXtal_Prot#'!A:AL,22,FALSE)</f>
        <v>57</v>
      </c>
      <c r="AI202" s="1">
        <f>VLOOKUP(A202,'SegEnds_NonXtal_Prot#'!A:AL,31,FALSE)-VLOOKUP(A202,'SegEnds_NonXtal_Prot#'!A:AL,28,FALSE)</f>
        <v>57</v>
      </c>
      <c r="AJ202" s="1">
        <f>VLOOKUP(A202,'SegEnds_NonXtal_Prot#'!A:AL,34,FALSE)-VLOOKUP(A202,'SegEnds_NonXtal_Prot#'!A:AL,31,FALSE)</f>
        <v>41</v>
      </c>
      <c r="AK202" s="1">
        <f>VLOOKUP(A202,'SegEnds_NonXtal_Prot#'!A:AL,37,FALSE)-VLOOKUP(A202,'SegEnds_NonXtal_Prot#'!A:AL,34,FALSE)</f>
        <v>10</v>
      </c>
      <c r="AL202" s="1" t="str">
        <f>IF(ISERROR(MATCH(A202,'SegEnds_Xtal_Prot#'!B:B, 0)), "NoXtal", "Xtal")</f>
        <v>NoXtal</v>
      </c>
    </row>
    <row r="203" spans="1:38" x14ac:dyDescent="0.2">
      <c r="A203" s="1" t="s">
        <v>190</v>
      </c>
      <c r="B203" s="1" t="str">
        <f>VLOOKUP(A203,Xtal_Templ!A:B,2,FALSE)</f>
        <v>adrb2_human</v>
      </c>
      <c r="C203" s="5">
        <f>VLOOKUP($B203&amp;"__wt",'SegEnds_Xtal_BW#'!$A:$Z,3,FALSE)</f>
        <v>25</v>
      </c>
      <c r="D203" s="1">
        <f>VLOOKUP($B203&amp;"__wt",'SegEnds_Xtal_BW#'!$A:$Z,4,FALSE)</f>
        <v>60</v>
      </c>
      <c r="E203" s="1">
        <f>VLOOKUP($B203&amp;"__wt",'SegEnds_Xtal_BW#'!$A:$Z,5,FALSE)</f>
        <v>48</v>
      </c>
      <c r="F203" s="1">
        <f>VLOOKUP($B203&amp;"__wt",'SegEnds_Xtal_BW#'!$A:$Z,6,FALSE)</f>
        <v>51</v>
      </c>
      <c r="G203" s="1">
        <v>37</v>
      </c>
      <c r="H203" s="12">
        <v>66</v>
      </c>
      <c r="I203" s="1">
        <f>VLOOKUP($B203&amp;"__wt",'SegEnds_Xtal_BW#'!$A:$Z,9,FALSE)</f>
        <v>49</v>
      </c>
      <c r="J203" s="1">
        <f>VLOOKUP($B203&amp;"__wt",'SegEnds_Xtal_BW#'!$A:$Z,10,FALSE)</f>
        <v>52</v>
      </c>
      <c r="K203" s="12">
        <v>21</v>
      </c>
      <c r="L203" s="1">
        <f>VLOOKUP($B203&amp;"__wt",'SegEnds_Xtal_BW#'!$A:$Z,12,FALSE)</f>
        <v>56</v>
      </c>
      <c r="M203" s="1">
        <f>VLOOKUP($B203&amp;"__wt",'SegEnds_Xtal_BW#'!$A:$Z,13,FALSE)</f>
        <v>50</v>
      </c>
      <c r="N203" s="12">
        <v>57</v>
      </c>
      <c r="O203" s="87">
        <v>38</v>
      </c>
      <c r="P203" s="1">
        <f>VLOOKUP($B203&amp;"__wt",'SegEnds_Xtal_BW#'!$A:$Z,16,FALSE)</f>
        <v>64</v>
      </c>
      <c r="Q203" s="1">
        <f>VLOOKUP($B203&amp;"__wt",'SegEnds_Xtal_BW#'!$A:$Z,17,FALSE)</f>
        <v>50</v>
      </c>
      <c r="R203" s="1">
        <f>VLOOKUP($B203&amp;"__wt",'SegEnds_Xtal_BW#'!$A:$Z,18,FALSE)</f>
        <v>52</v>
      </c>
      <c r="S203" s="1">
        <v>35</v>
      </c>
      <c r="T203" s="1">
        <f t="array" ref="T203">INDEX(ICL3_classA!$G$2:$G$37,MATCH(MIN(ABS(AI203-ICL3_classA!$F$2:$F$37)),ABS(AI203-ICL3_classA!$F$2:$F$37),0))</f>
        <v>76</v>
      </c>
      <c r="U203" s="1">
        <f t="array" ref="U203">INDEX(ICL3_classA!$H$2:$H$37,MATCH(MIN(ABS(AI203-ICL3_classA!$F$2:$F$37)),ABS(AI203-ICL3_classA!$F$2:$F$37),0))</f>
        <v>24</v>
      </c>
      <c r="V203" s="1">
        <v>61</v>
      </c>
      <c r="W203" s="1">
        <v>28</v>
      </c>
      <c r="X203" s="1">
        <f>VLOOKUP($B203&amp;"__wt",'SegEnds_Xtal_BW#'!$A:$Z,24,FALSE)</f>
        <v>55</v>
      </c>
      <c r="Y203" s="1">
        <f>VLOOKUP($B203&amp;"__wt",'SegEnds_Xtal_BW#'!$A:$Z,25,FALSE)</f>
        <v>47</v>
      </c>
      <c r="Z203" s="1">
        <f>VLOOKUP($B203&amp;"__wt",'SegEnds_Xtal_BW#'!$A:$Z,26,FALSE)</f>
        <v>59</v>
      </c>
      <c r="AA203" s="27" t="str">
        <f>VLOOKUP(A203,Classification!A:B,2,FALSE)</f>
        <v>A</v>
      </c>
      <c r="AB203" s="1">
        <f>VLOOKUP(A203,'SegEnds_NonXtal_Prot#'!A:AL,10,FALSE)-VLOOKUP(A203,'SegEnds_NonXtal_Prot#'!A:AL,4,FALSE)</f>
        <v>29</v>
      </c>
      <c r="AC203" s="1">
        <f>VLOOKUP(A203,'SegEnds_NonXtal_Prot#'!A:AL,10,FALSE)-VLOOKUP(A203,'SegEnds_NonXtal_Prot#'!A:AL,7,FALSE)</f>
        <v>16</v>
      </c>
      <c r="AD203" s="1">
        <f>VLOOKUP(A203,'SegEnds_NonXtal_Prot#'!A:AL,13,FALSE)-VLOOKUP(A203,'SegEnds_NonXtal_Prot#'!A:AL,10,FALSE)</f>
        <v>20</v>
      </c>
      <c r="AE203" s="1">
        <f>VLOOKUP(A203,'SegEnds_NonXtal_Prot#'!A:AL,16,FALSE)-VLOOKUP(A203,'SegEnds_NonXtal_Prot#'!A:AL,10,FALSE)</f>
        <v>51</v>
      </c>
      <c r="AF203" s="1">
        <f>VLOOKUP(A203,'SegEnds_NonXtal_Prot#'!A:AL,22,FALSE)-VLOOKUP(A203,'SegEnds_NonXtal_Prot#'!A:AL,19,FALSE)</f>
        <v>20</v>
      </c>
      <c r="AG203" s="1">
        <f>VLOOKUP(A203,'SegEnds_NonXtal_Prot#'!A:AL,28,FALSE)-VLOOKUP(A203,'SegEnds_NonXtal_Prot#'!A:AL,25,FALSE)</f>
        <v>20</v>
      </c>
      <c r="AH203" s="1">
        <f>VLOOKUP(A203,'SegEnds_NonXtal_Prot#'!A:AL,28,FALSE)-VLOOKUP(A203,'SegEnds_NonXtal_Prot#'!A:AL,22,FALSE)</f>
        <v>58</v>
      </c>
      <c r="AI203" s="1">
        <f>VLOOKUP(A203,'SegEnds_NonXtal_Prot#'!A:AL,31,FALSE)-VLOOKUP(A203,'SegEnds_NonXtal_Prot#'!A:AL,28,FALSE)</f>
        <v>81</v>
      </c>
      <c r="AJ203" s="1">
        <f>VLOOKUP(A203,'SegEnds_NonXtal_Prot#'!A:AL,34,FALSE)-VLOOKUP(A203,'SegEnds_NonXtal_Prot#'!A:AL,31,FALSE)</f>
        <v>41</v>
      </c>
      <c r="AK203" s="1">
        <f>VLOOKUP(A203,'SegEnds_NonXtal_Prot#'!A:AL,37,FALSE)-VLOOKUP(A203,'SegEnds_NonXtal_Prot#'!A:AL,34,FALSE)</f>
        <v>10</v>
      </c>
      <c r="AL203" s="1" t="str">
        <f>IF(ISERROR(MATCH(A203,'SegEnds_Xtal_Prot#'!B:B, 0)), "NoXtal", "Xtal")</f>
        <v>NoXtal</v>
      </c>
    </row>
    <row r="204" spans="1:38" x14ac:dyDescent="0.2">
      <c r="A204" s="1" t="s">
        <v>254</v>
      </c>
      <c r="B204" s="1" t="str">
        <f>VLOOKUP(A204,Xtal_Templ!A:B,2,FALSE)</f>
        <v>ccr2_human</v>
      </c>
      <c r="C204" s="5">
        <f>VLOOKUP($B204&amp;"__wt",'SegEnds_Xtal_BW#'!$A:$Z,3,FALSE)</f>
        <v>27</v>
      </c>
      <c r="D204" s="1">
        <f>VLOOKUP($B204&amp;"__wt",'SegEnds_Xtal_BW#'!$A:$Z,4,FALSE)</f>
        <v>60</v>
      </c>
      <c r="E204" s="1">
        <f>VLOOKUP($B204&amp;"__wt",'SegEnds_Xtal_BW#'!$A:$Z,5,FALSE)</f>
        <v>48</v>
      </c>
      <c r="F204" s="1">
        <f>VLOOKUP($B204&amp;"__wt",'SegEnds_Xtal_BW#'!$A:$Z,6,FALSE)</f>
        <v>51</v>
      </c>
      <c r="G204" s="1">
        <v>37</v>
      </c>
      <c r="H204" s="12">
        <v>66</v>
      </c>
      <c r="I204" s="1">
        <f>VLOOKUP($B204&amp;"__wt",'SegEnds_Xtal_BW#'!$A:$Z,9,FALSE)</f>
        <v>49</v>
      </c>
      <c r="J204" s="1">
        <f>VLOOKUP($B204&amp;"__wt",'SegEnds_Xtal_BW#'!$A:$Z,10,FALSE)</f>
        <v>52</v>
      </c>
      <c r="K204" s="12">
        <v>24</v>
      </c>
      <c r="L204" s="1">
        <f>VLOOKUP($B204&amp;"__wt",'SegEnds_Xtal_BW#'!$A:$Z,12,FALSE)</f>
        <v>56</v>
      </c>
      <c r="M204" s="1">
        <f>VLOOKUP($B204&amp;"__wt",'SegEnds_Xtal_BW#'!$A:$Z,13,FALSE)</f>
        <v>50</v>
      </c>
      <c r="N204" s="12">
        <v>57</v>
      </c>
      <c r="O204" s="87">
        <v>38</v>
      </c>
      <c r="P204" s="1">
        <f>VLOOKUP($B204&amp;"__wt",'SegEnds_Xtal_BW#'!$A:$Z,16,FALSE)</f>
        <v>64</v>
      </c>
      <c r="Q204" s="1">
        <f>VLOOKUP($B204&amp;"__wt",'SegEnds_Xtal_BW#'!$A:$Z,17,FALSE)</f>
        <v>50</v>
      </c>
      <c r="R204" s="1">
        <f>VLOOKUP($B204&amp;"__wt",'SegEnds_Xtal_BW#'!$A:$Z,18,FALSE)</f>
        <v>52</v>
      </c>
      <c r="S204" s="1">
        <v>35</v>
      </c>
      <c r="T204" s="1">
        <f t="array" ref="T204">INDEX(ICL3_classA!$G$2:$G$37,MATCH(MIN(ABS(AI204-ICL3_classA!$F$2:$F$37)),ABS(AI204-ICL3_classA!$F$2:$F$37),0))</f>
        <v>68</v>
      </c>
      <c r="U204" s="1">
        <f t="array" ref="U204">INDEX(ICL3_classA!$H$2:$H$37,MATCH(MIN(ABS(AI204-ICL3_classA!$F$2:$F$37)),ABS(AI204-ICL3_classA!$F$2:$F$37),0))</f>
        <v>24</v>
      </c>
      <c r="V204" s="1">
        <v>61</v>
      </c>
      <c r="W204" s="1">
        <v>28</v>
      </c>
      <c r="X204" s="1">
        <f>VLOOKUP($B204&amp;"__wt",'SegEnds_Xtal_BW#'!$A:$Z,24,FALSE)</f>
        <v>56</v>
      </c>
      <c r="Y204" s="1">
        <f>VLOOKUP($B204&amp;"__wt",'SegEnds_Xtal_BW#'!$A:$Z,25,FALSE)</f>
        <v>47</v>
      </c>
      <c r="Z204" s="1">
        <f>VLOOKUP($B204&amp;"__wt",'SegEnds_Xtal_BW#'!$A:$Z,26,FALSE)</f>
        <v>58</v>
      </c>
      <c r="AA204" s="27" t="str">
        <f>VLOOKUP(A204,Classification!A:B,2,FALSE)</f>
        <v>A</v>
      </c>
      <c r="AB204" s="1">
        <f>VLOOKUP(A204,'SegEnds_NonXtal_Prot#'!A:AL,10,FALSE)-VLOOKUP(A204,'SegEnds_NonXtal_Prot#'!A:AL,4,FALSE)</f>
        <v>28</v>
      </c>
      <c r="AC204" s="1">
        <f>VLOOKUP(A204,'SegEnds_NonXtal_Prot#'!A:AL,10,FALSE)-VLOOKUP(A204,'SegEnds_NonXtal_Prot#'!A:AL,7,FALSE)</f>
        <v>15</v>
      </c>
      <c r="AD204" s="1" t="e">
        <f>VLOOKUP(A204,'SegEnds_NonXtal_Prot#'!A:AL,13,FALSE)-VLOOKUP(A204,'SegEnds_NonXtal_Prot#'!A:AL,10,FALSE)</f>
        <v>#VALUE!</v>
      </c>
      <c r="AE204" s="1">
        <f>VLOOKUP(A204,'SegEnds_NonXtal_Prot#'!A:AL,16,FALSE)-VLOOKUP(A204,'SegEnds_NonXtal_Prot#'!A:AL,10,FALSE)</f>
        <v>48</v>
      </c>
      <c r="AF204" s="1">
        <f>VLOOKUP(A204,'SegEnds_NonXtal_Prot#'!A:AL,22,FALSE)-VLOOKUP(A204,'SegEnds_NonXtal_Prot#'!A:AL,19,FALSE)</f>
        <v>20</v>
      </c>
      <c r="AG204" s="1">
        <f>VLOOKUP(A204,'SegEnds_NonXtal_Prot#'!A:AL,28,FALSE)-VLOOKUP(A204,'SegEnds_NonXtal_Prot#'!A:AL,25,FALSE)</f>
        <v>21</v>
      </c>
      <c r="AH204" s="1">
        <f>VLOOKUP(A204,'SegEnds_NonXtal_Prot#'!A:AL,28,FALSE)-VLOOKUP(A204,'SegEnds_NonXtal_Prot#'!A:AL,22,FALSE)</f>
        <v>42</v>
      </c>
      <c r="AI204" s="1">
        <f>VLOOKUP(A204,'SegEnds_NonXtal_Prot#'!A:AL,31,FALSE)-VLOOKUP(A204,'SegEnds_NonXtal_Prot#'!A:AL,28,FALSE)</f>
        <v>49</v>
      </c>
      <c r="AJ204" s="1">
        <f>VLOOKUP(A204,'SegEnds_NonXtal_Prot#'!A:AL,34,FALSE)-VLOOKUP(A204,'SegEnds_NonXtal_Prot#'!A:AL,31,FALSE)</f>
        <v>41</v>
      </c>
      <c r="AK204" s="1">
        <f>VLOOKUP(A204,'SegEnds_NonXtal_Prot#'!A:AL,37,FALSE)-VLOOKUP(A204,'SegEnds_NonXtal_Prot#'!A:AL,34,FALSE)</f>
        <v>10</v>
      </c>
      <c r="AL204" s="1" t="str">
        <f>IF(ISERROR(MATCH(A204,'SegEnds_Xtal_Prot#'!B:B, 0)), "NoXtal", "Xtal")</f>
        <v>NoXtal</v>
      </c>
    </row>
    <row r="205" spans="1:38" x14ac:dyDescent="0.2">
      <c r="A205" s="4" t="s">
        <v>318</v>
      </c>
      <c r="B205" s="4" t="str">
        <f>VLOOKUP(A205,Xtal_Templ!A:B,2,FALSE)</f>
        <v>ntr1_rat</v>
      </c>
      <c r="C205" s="5">
        <f>VLOOKUP($B205&amp;"__wt",'SegEnds_Xtal_BW#'!$A:$Z,3,FALSE)</f>
        <v>29</v>
      </c>
      <c r="D205" s="4">
        <f>VLOOKUP($B205&amp;"__wt",'SegEnds_Xtal_BW#'!$A:$Z,4,FALSE)</f>
        <v>60</v>
      </c>
      <c r="E205" s="4">
        <f>VLOOKUP($B205&amp;"__wt",'SegEnds_Xtal_BW#'!$A:$Z,5,FALSE)</f>
        <v>48</v>
      </c>
      <c r="F205" s="4">
        <f>VLOOKUP($B205&amp;"__wt",'SegEnds_Xtal_BW#'!$A:$Z,6,FALSE)</f>
        <v>51</v>
      </c>
      <c r="G205" s="4">
        <v>37</v>
      </c>
      <c r="H205" s="11">
        <v>66</v>
      </c>
      <c r="I205" s="4">
        <f>VLOOKUP($B205&amp;"__wt",'SegEnds_Xtal_BW#'!$A:$Z,9,FALSE)</f>
        <v>49</v>
      </c>
      <c r="J205" s="4">
        <f>VLOOKUP($B205&amp;"__wt",'SegEnds_Xtal_BW#'!$A:$Z,10,FALSE)</f>
        <v>52</v>
      </c>
      <c r="K205" s="11">
        <v>18</v>
      </c>
      <c r="L205" s="4">
        <f>VLOOKUP($B205&amp;"__wt",'SegEnds_Xtal_BW#'!$A:$Z,12,FALSE)</f>
        <v>56</v>
      </c>
      <c r="M205" s="4">
        <f>VLOOKUP($B205&amp;"__wt",'SegEnds_Xtal_BW#'!$A:$Z,13,FALSE)</f>
        <v>50</v>
      </c>
      <c r="N205" s="11">
        <v>57</v>
      </c>
      <c r="O205" s="87">
        <f>VLOOKUP($B205&amp;"__wt",'SegEnds_Xtal_BW#'!$A:$Z,15,FALSE)</f>
        <v>38</v>
      </c>
      <c r="P205" s="4">
        <f>VLOOKUP($B205&amp;"__wt",'SegEnds_Xtal_BW#'!$A:$Z,16,FALSE)</f>
        <v>64</v>
      </c>
      <c r="Q205" s="4">
        <f>VLOOKUP($B205&amp;"__wt",'SegEnds_Xtal_BW#'!$A:$Z,17,FALSE)</f>
        <v>50</v>
      </c>
      <c r="R205" s="4">
        <f>VLOOKUP($B205&amp;"__wt",'SegEnds_Xtal_BW#'!$A:$Z,18,FALSE)</f>
        <v>52</v>
      </c>
      <c r="S205" s="4">
        <f>VLOOKUP($B205&amp;"__wt",'SegEnds_Xtal_BW#'!$A:$Z,19,FALSE)</f>
        <v>32</v>
      </c>
      <c r="T205" s="4">
        <f t="array" ref="T205">INDEX(ICL3_classA!$G$2:$G$37,MATCH(MIN(ABS(AI205-ICL3_classA!$F$2:$F$37)),ABS(AI205-ICL3_classA!$F$2:$F$37),0))</f>
        <v>76</v>
      </c>
      <c r="U205" s="4">
        <f t="array" ref="U205">INDEX(ICL3_classA!$H$2:$H$37,MATCH(MIN(ABS(AI205-ICL3_classA!$F$2:$F$37)),ABS(AI205-ICL3_classA!$F$2:$F$37),0))</f>
        <v>24</v>
      </c>
      <c r="V205" s="4">
        <v>61</v>
      </c>
      <c r="W205" s="4">
        <v>28</v>
      </c>
      <c r="X205" s="4">
        <f>VLOOKUP($B205&amp;"__wt",'SegEnds_Xtal_BW#'!$A:$Z,24,FALSE)</f>
        <v>56</v>
      </c>
      <c r="Y205" s="4">
        <f>VLOOKUP($B205&amp;"__wt",'SegEnds_Xtal_BW#'!$A:$Z,25,FALSE)</f>
        <v>47</v>
      </c>
      <c r="Z205" s="4">
        <f>VLOOKUP($B205&amp;"__wt",'SegEnds_Xtal_BW#'!$A:$Z,26,FALSE)</f>
        <v>58</v>
      </c>
      <c r="AA205" s="27" t="str">
        <f>VLOOKUP(A205,Classification!A:B,2,FALSE)</f>
        <v>A</v>
      </c>
      <c r="AB205" s="1">
        <f>VLOOKUP(A205,'SegEnds_NonXtal_Prot#'!A:AL,10,FALSE)-VLOOKUP(A205,'SegEnds_NonXtal_Prot#'!A:AL,4,FALSE)</f>
        <v>28</v>
      </c>
      <c r="AC205" s="4">
        <f>VLOOKUP(A205,'SegEnds_NonXtal_Prot#'!A:AL,10,FALSE)-VLOOKUP(A205,'SegEnds_NonXtal_Prot#'!A:AL,7,FALSE)</f>
        <v>15</v>
      </c>
      <c r="AD205" s="4">
        <f>VLOOKUP(A205,'SegEnds_NonXtal_Prot#'!A:AL,13,FALSE)-VLOOKUP(A205,'SegEnds_NonXtal_Prot#'!A:AL,10,FALSE)</f>
        <v>19</v>
      </c>
      <c r="AE205" s="4">
        <f>VLOOKUP(A205,'SegEnds_NonXtal_Prot#'!A:AL,16,FALSE)-VLOOKUP(A205,'SegEnds_NonXtal_Prot#'!A:AL,10,FALSE)</f>
        <v>53</v>
      </c>
      <c r="AF205" s="1">
        <f>VLOOKUP(A205,'SegEnds_NonXtal_Prot#'!A:AL,22,FALSE)-VLOOKUP(A205,'SegEnds_NonXtal_Prot#'!A:AL,19,FALSE)</f>
        <v>20</v>
      </c>
      <c r="AG205" s="4">
        <f>VLOOKUP(A205,'SegEnds_NonXtal_Prot#'!A:AL,28,FALSE)-VLOOKUP(A205,'SegEnds_NonXtal_Prot#'!A:AL,25,FALSE)</f>
        <v>24</v>
      </c>
      <c r="AH205" s="1">
        <f>VLOOKUP(A205,'SegEnds_NonXtal_Prot#'!A:AL,28,FALSE)-VLOOKUP(A205,'SegEnds_NonXtal_Prot#'!A:AL,22,FALSE)</f>
        <v>57</v>
      </c>
      <c r="AI205" s="4">
        <f>VLOOKUP(A205,'SegEnds_NonXtal_Prot#'!A:AL,31,FALSE)-VLOOKUP(A205,'SegEnds_NonXtal_Prot#'!A:AL,28,FALSE)</f>
        <v>69</v>
      </c>
      <c r="AJ205" s="4">
        <f>VLOOKUP(A205,'SegEnds_NonXtal_Prot#'!A:AL,34,FALSE)-VLOOKUP(A205,'SegEnds_NonXtal_Prot#'!A:AL,31,FALSE)</f>
        <v>41</v>
      </c>
      <c r="AK205" s="1">
        <f>VLOOKUP(A205,'SegEnds_NonXtal_Prot#'!A:AL,37,FALSE)-VLOOKUP(A205,'SegEnds_NonXtal_Prot#'!A:AL,34,FALSE)</f>
        <v>10</v>
      </c>
      <c r="AL205" s="1" t="str">
        <f>IF(ISERROR(MATCH(A205,'SegEnds_Xtal_Prot#'!B:B, 0)), "NoXtal", "Xtal")</f>
        <v>NoXtal</v>
      </c>
    </row>
    <row r="206" spans="1:38" x14ac:dyDescent="0.2">
      <c r="A206" s="1" t="s">
        <v>319</v>
      </c>
      <c r="B206" s="1" t="str">
        <f>VLOOKUP(A206,Xtal_Templ!A:B,2,FALSE)</f>
        <v>ntr1_rat</v>
      </c>
      <c r="C206" s="5">
        <f>VLOOKUP($B206&amp;"__wt",'SegEnds_Xtal_BW#'!$A:$Z,3,FALSE)</f>
        <v>29</v>
      </c>
      <c r="D206" s="1">
        <f>VLOOKUP($B206&amp;"__wt",'SegEnds_Xtal_BW#'!$A:$Z,4,FALSE)</f>
        <v>60</v>
      </c>
      <c r="E206" s="1">
        <f>VLOOKUP($B206&amp;"__wt",'SegEnds_Xtal_BW#'!$A:$Z,5,FALSE)</f>
        <v>48</v>
      </c>
      <c r="F206" s="1">
        <f>VLOOKUP($B206&amp;"__wt",'SegEnds_Xtal_BW#'!$A:$Z,6,FALSE)</f>
        <v>51</v>
      </c>
      <c r="G206" s="1">
        <v>37</v>
      </c>
      <c r="H206" s="12">
        <v>66</v>
      </c>
      <c r="I206" s="1">
        <f>VLOOKUP($B206&amp;"__wt",'SegEnds_Xtal_BW#'!$A:$Z,9,FALSE)</f>
        <v>49</v>
      </c>
      <c r="J206" s="1">
        <f>VLOOKUP($B206&amp;"__wt",'SegEnds_Xtal_BW#'!$A:$Z,10,FALSE)</f>
        <v>52</v>
      </c>
      <c r="K206" s="12">
        <v>18</v>
      </c>
      <c r="L206" s="1">
        <f>VLOOKUP($B206&amp;"__wt",'SegEnds_Xtal_BW#'!$A:$Z,12,FALSE)</f>
        <v>56</v>
      </c>
      <c r="M206" s="1">
        <f>VLOOKUP($B206&amp;"__wt",'SegEnds_Xtal_BW#'!$A:$Z,13,FALSE)</f>
        <v>50</v>
      </c>
      <c r="N206" s="12">
        <v>57</v>
      </c>
      <c r="O206" s="87">
        <f>VLOOKUP($B206&amp;"__wt",'SegEnds_Xtal_BW#'!$A:$Z,15,FALSE)</f>
        <v>38</v>
      </c>
      <c r="P206" s="1">
        <f>VLOOKUP($B206&amp;"__wt",'SegEnds_Xtal_BW#'!$A:$Z,16,FALSE)</f>
        <v>64</v>
      </c>
      <c r="Q206" s="1">
        <f>VLOOKUP($B206&amp;"__wt",'SegEnds_Xtal_BW#'!$A:$Z,17,FALSE)</f>
        <v>50</v>
      </c>
      <c r="R206" s="1">
        <f>VLOOKUP($B206&amp;"__wt",'SegEnds_Xtal_BW#'!$A:$Z,18,FALSE)</f>
        <v>52</v>
      </c>
      <c r="S206" s="1">
        <f>VLOOKUP($B206&amp;"__wt",'SegEnds_Xtal_BW#'!$A:$Z,19,FALSE)</f>
        <v>32</v>
      </c>
      <c r="T206" s="1">
        <f t="array" ref="T206">INDEX(ICL3_classA!$G$2:$G$37,MATCH(MIN(ABS(AI206-ICL3_classA!$F$2:$F$37)),ABS(AI206-ICL3_classA!$F$2:$F$37),0))</f>
        <v>73</v>
      </c>
      <c r="U206" s="1">
        <f t="array" ref="U206">INDEX(ICL3_classA!$H$2:$H$37,MATCH(MIN(ABS(AI206-ICL3_classA!$F$2:$F$37)),ABS(AI206-ICL3_classA!$F$2:$F$37),0))</f>
        <v>22</v>
      </c>
      <c r="V206" s="1">
        <v>61</v>
      </c>
      <c r="W206" s="1">
        <v>28</v>
      </c>
      <c r="X206" s="1">
        <f>VLOOKUP($B206&amp;"__wt",'SegEnds_Xtal_BW#'!$A:$Z,24,FALSE)</f>
        <v>56</v>
      </c>
      <c r="Y206" s="1">
        <f>VLOOKUP($B206&amp;"__wt",'SegEnds_Xtal_BW#'!$A:$Z,25,FALSE)</f>
        <v>47</v>
      </c>
      <c r="Z206" s="1">
        <f>VLOOKUP($B206&amp;"__wt",'SegEnds_Xtal_BW#'!$A:$Z,26,FALSE)</f>
        <v>58</v>
      </c>
      <c r="AA206" s="27" t="str">
        <f>VLOOKUP(A206,Classification!A:B,2,FALSE)</f>
        <v>A</v>
      </c>
      <c r="AB206" s="1">
        <f>VLOOKUP(A206,'SegEnds_NonXtal_Prot#'!A:AL,10,FALSE)-VLOOKUP(A206,'SegEnds_NonXtal_Prot#'!A:AL,4,FALSE)</f>
        <v>28</v>
      </c>
      <c r="AC206" s="1">
        <f>VLOOKUP(A206,'SegEnds_NonXtal_Prot#'!A:AL,10,FALSE)-VLOOKUP(A206,'SegEnds_NonXtal_Prot#'!A:AL,7,FALSE)</f>
        <v>15</v>
      </c>
      <c r="AD206" s="1">
        <f>VLOOKUP(A206,'SegEnds_NonXtal_Prot#'!A:AL,13,FALSE)-VLOOKUP(A206,'SegEnds_NonXtal_Prot#'!A:AL,10,FALSE)</f>
        <v>19</v>
      </c>
      <c r="AE206" s="1">
        <f>VLOOKUP(A206,'SegEnds_NonXtal_Prot#'!A:AL,16,FALSE)-VLOOKUP(A206,'SegEnds_NonXtal_Prot#'!A:AL,10,FALSE)</f>
        <v>53</v>
      </c>
      <c r="AF206" s="1">
        <f>VLOOKUP(A206,'SegEnds_NonXtal_Prot#'!A:AL,22,FALSE)-VLOOKUP(A206,'SegEnds_NonXtal_Prot#'!A:AL,19,FALSE)</f>
        <v>20</v>
      </c>
      <c r="AG206" s="1">
        <f>VLOOKUP(A206,'SegEnds_NonXtal_Prot#'!A:AL,28,FALSE)-VLOOKUP(A206,'SegEnds_NonXtal_Prot#'!A:AL,25,FALSE)</f>
        <v>24</v>
      </c>
      <c r="AH206" s="1">
        <f>VLOOKUP(A206,'SegEnds_NonXtal_Prot#'!A:AL,28,FALSE)-VLOOKUP(A206,'SegEnds_NonXtal_Prot#'!A:AL,22,FALSE)</f>
        <v>57</v>
      </c>
      <c r="AI206" s="1">
        <f>VLOOKUP(A206,'SegEnds_NonXtal_Prot#'!A:AL,31,FALSE)-VLOOKUP(A206,'SegEnds_NonXtal_Prot#'!A:AL,28,FALSE)</f>
        <v>55</v>
      </c>
      <c r="AJ206" s="1">
        <f>VLOOKUP(A206,'SegEnds_NonXtal_Prot#'!A:AL,34,FALSE)-VLOOKUP(A206,'SegEnds_NonXtal_Prot#'!A:AL,31,FALSE)</f>
        <v>41</v>
      </c>
      <c r="AK206" s="1">
        <f>VLOOKUP(A206,'SegEnds_NonXtal_Prot#'!A:AL,37,FALSE)-VLOOKUP(A206,'SegEnds_NonXtal_Prot#'!A:AL,34,FALSE)</f>
        <v>10</v>
      </c>
      <c r="AL206" s="1" t="str">
        <f>IF(ISERROR(MATCH(A206,'SegEnds_Xtal_Prot#'!B:B, 0)), "NoXtal", "Xtal")</f>
        <v>NoXtal</v>
      </c>
    </row>
    <row r="207" spans="1:38" x14ac:dyDescent="0.2">
      <c r="A207" s="1" t="s">
        <v>322</v>
      </c>
      <c r="B207" s="1" t="str">
        <f>VLOOKUP(A207,Xtal_Templ!A:B,2,FALSE)</f>
        <v>ox1r_human</v>
      </c>
      <c r="C207" s="5">
        <f>VLOOKUP($B207&amp;"__wt",'SegEnds_Xtal_BW#'!$A:$Z,3,FALSE)</f>
        <v>32</v>
      </c>
      <c r="D207" s="1">
        <f>VLOOKUP($B207&amp;"__wt",'SegEnds_Xtal_BW#'!$A:$Z,4,FALSE)</f>
        <v>60</v>
      </c>
      <c r="E207" s="1">
        <f>VLOOKUP($B207&amp;"__wt",'SegEnds_Xtal_BW#'!$A:$Z,5,FALSE)</f>
        <v>48</v>
      </c>
      <c r="F207" s="1">
        <f>VLOOKUP($B207&amp;"__wt",'SegEnds_Xtal_BW#'!$A:$Z,6,FALSE)</f>
        <v>51</v>
      </c>
      <c r="G207" s="1">
        <v>37</v>
      </c>
      <c r="H207" s="12">
        <f>VLOOKUP($B207&amp;"__wt",'SegEnds_Xtal_BW#'!$A:$Z,8,FALSE)</f>
        <v>67</v>
      </c>
      <c r="I207" s="1">
        <f>VLOOKUP($B207&amp;"__wt",'SegEnds_Xtal_BW#'!$A:$Z,9,FALSE)</f>
        <v>49</v>
      </c>
      <c r="J207" s="1">
        <f>VLOOKUP($B207&amp;"__wt",'SegEnds_Xtal_BW#'!$A:$Z,10,FALSE)</f>
        <v>52</v>
      </c>
      <c r="K207" s="12">
        <v>18</v>
      </c>
      <c r="L207" s="1">
        <f>VLOOKUP($B207&amp;"__wt",'SegEnds_Xtal_BW#'!$A:$Z,12,FALSE)</f>
        <v>56</v>
      </c>
      <c r="M207" s="1">
        <f>VLOOKUP($B207&amp;"__wt",'SegEnds_Xtal_BW#'!$A:$Z,13,FALSE)</f>
        <v>50</v>
      </c>
      <c r="N207" s="12">
        <v>56</v>
      </c>
      <c r="O207" s="87">
        <f>VLOOKUP($B207&amp;"__wt",'SegEnds_Xtal_BW#'!$A:$Z,15,FALSE)</f>
        <v>38</v>
      </c>
      <c r="P207" s="1">
        <f>VLOOKUP($B207&amp;"__wt",'SegEnds_Xtal_BW#'!$A:$Z,16,FALSE)</f>
        <v>64</v>
      </c>
      <c r="Q207" s="1">
        <f>VLOOKUP($B207&amp;"__wt",'SegEnds_Xtal_BW#'!$A:$Z,17,FALSE)</f>
        <v>50</v>
      </c>
      <c r="R207" s="1">
        <f>VLOOKUP($B207&amp;"__wt",'SegEnds_Xtal_BW#'!$A:$Z,18,FALSE)</f>
        <v>52</v>
      </c>
      <c r="S207" s="1">
        <f>VLOOKUP($B207&amp;"__wt",'SegEnds_Xtal_BW#'!$A:$Z,19,FALSE)</f>
        <v>32</v>
      </c>
      <c r="T207" s="1">
        <f t="array" ref="T207">INDEX(ICL3_classA!$G$2:$G$37,MATCH(MIN(ABS(AI207-ICL3_classA!$F$2:$F$37)),ABS(AI207-ICL3_classA!$F$2:$F$37),0))</f>
        <v>73</v>
      </c>
      <c r="U207" s="1">
        <f t="array" ref="U207">INDEX(ICL3_classA!$H$2:$H$37,MATCH(MIN(ABS(AI207-ICL3_classA!$F$2:$F$37)),ABS(AI207-ICL3_classA!$F$2:$F$37),0))</f>
        <v>22</v>
      </c>
      <c r="V207" s="1">
        <v>61</v>
      </c>
      <c r="W207" s="1">
        <v>28</v>
      </c>
      <c r="X207" s="1">
        <f>VLOOKUP($B207&amp;"__wt",'SegEnds_Xtal_BW#'!$A:$Z,24,FALSE)</f>
        <v>56</v>
      </c>
      <c r="Y207" s="1">
        <f>VLOOKUP($B207&amp;"__wt",'SegEnds_Xtal_BW#'!$A:$Z,25,FALSE)</f>
        <v>47</v>
      </c>
      <c r="Z207" s="1">
        <f>VLOOKUP($B207&amp;"__wt",'SegEnds_Xtal_BW#'!$A:$Z,26,FALSE)</f>
        <v>58</v>
      </c>
      <c r="AA207" s="27" t="str">
        <f>VLOOKUP(A207,Classification!A:B,2,FALSE)</f>
        <v>A</v>
      </c>
      <c r="AB207" s="1">
        <f>VLOOKUP(A207,'SegEnds_NonXtal_Prot#'!A:AL,10,FALSE)-VLOOKUP(A207,'SegEnds_NonXtal_Prot#'!A:AL,4,FALSE)</f>
        <v>28</v>
      </c>
      <c r="AC207" s="1">
        <f>VLOOKUP(A207,'SegEnds_NonXtal_Prot#'!A:AL,10,FALSE)-VLOOKUP(A207,'SegEnds_NonXtal_Prot#'!A:AL,7,FALSE)</f>
        <v>15</v>
      </c>
      <c r="AD207" s="1">
        <f>VLOOKUP(A207,'SegEnds_NonXtal_Prot#'!A:AL,13,FALSE)-VLOOKUP(A207,'SegEnds_NonXtal_Prot#'!A:AL,10,FALSE)</f>
        <v>20</v>
      </c>
      <c r="AE207" s="1">
        <f>VLOOKUP(A207,'SegEnds_NonXtal_Prot#'!A:AL,16,FALSE)-VLOOKUP(A207,'SegEnds_NonXtal_Prot#'!A:AL,10,FALSE)</f>
        <v>52</v>
      </c>
      <c r="AF207" s="1" t="e">
        <f>VLOOKUP(A207,'SegEnds_NonXtal_Prot#'!A:AL,22,FALSE)-VLOOKUP(A207,'SegEnds_NonXtal_Prot#'!A:AL,19,FALSE)</f>
        <v>#VALUE!</v>
      </c>
      <c r="AG207" s="1">
        <f>VLOOKUP(A207,'SegEnds_NonXtal_Prot#'!A:AL,28,FALSE)-VLOOKUP(A207,'SegEnds_NonXtal_Prot#'!A:AL,25,FALSE)</f>
        <v>25</v>
      </c>
      <c r="AH207" s="1">
        <f>VLOOKUP(A207,'SegEnds_NonXtal_Prot#'!A:AL,28,FALSE)-VLOOKUP(A207,'SegEnds_NonXtal_Prot#'!A:AL,22,FALSE)</f>
        <v>62</v>
      </c>
      <c r="AI207" s="1">
        <f>VLOOKUP(A207,'SegEnds_NonXtal_Prot#'!A:AL,31,FALSE)-VLOOKUP(A207,'SegEnds_NonXtal_Prot#'!A:AL,28,FALSE)</f>
        <v>57</v>
      </c>
      <c r="AJ207" s="1">
        <f>VLOOKUP(A207,'SegEnds_NonXtal_Prot#'!A:AL,34,FALSE)-VLOOKUP(A207,'SegEnds_NonXtal_Prot#'!A:AL,31,FALSE)</f>
        <v>41</v>
      </c>
      <c r="AK207" s="1">
        <f>VLOOKUP(A207,'SegEnds_NonXtal_Prot#'!A:AL,37,FALSE)-VLOOKUP(A207,'SegEnds_NonXtal_Prot#'!A:AL,34,FALSE)</f>
        <v>10</v>
      </c>
      <c r="AL207" s="1" t="str">
        <f>IF(ISERROR(MATCH(A207,'SegEnds_Xtal_Prot#'!B:B, 0)), "NoXtal", "Xtal")</f>
        <v>NoXtal</v>
      </c>
    </row>
    <row r="208" spans="1:38" x14ac:dyDescent="0.2">
      <c r="A208" s="1" t="s">
        <v>323</v>
      </c>
      <c r="B208" s="1" t="str">
        <f>VLOOKUP(A208,Xtal_Templ!A:B,2,FALSE)</f>
        <v>ox1r_human</v>
      </c>
      <c r="C208" s="5">
        <f>VLOOKUP($B208&amp;"__wt",'SegEnds_Xtal_BW#'!$A:$Z,3,FALSE)</f>
        <v>32</v>
      </c>
      <c r="D208" s="1">
        <f>VLOOKUP($B208&amp;"__wt",'SegEnds_Xtal_BW#'!$A:$Z,4,FALSE)</f>
        <v>60</v>
      </c>
      <c r="E208" s="1">
        <f>VLOOKUP($B208&amp;"__wt",'SegEnds_Xtal_BW#'!$A:$Z,5,FALSE)</f>
        <v>48</v>
      </c>
      <c r="F208" s="1">
        <f>VLOOKUP($B208&amp;"__wt",'SegEnds_Xtal_BW#'!$A:$Z,6,FALSE)</f>
        <v>51</v>
      </c>
      <c r="G208" s="1">
        <v>37</v>
      </c>
      <c r="H208" s="12">
        <f>VLOOKUP($B208&amp;"__wt",'SegEnds_Xtal_BW#'!$A:$Z,8,FALSE)</f>
        <v>67</v>
      </c>
      <c r="I208" s="1">
        <f>VLOOKUP($B208&amp;"__wt",'SegEnds_Xtal_BW#'!$A:$Z,9,FALSE)</f>
        <v>49</v>
      </c>
      <c r="J208" s="1">
        <f>VLOOKUP($B208&amp;"__wt",'SegEnds_Xtal_BW#'!$A:$Z,10,FALSE)</f>
        <v>52</v>
      </c>
      <c r="K208" s="12">
        <v>18</v>
      </c>
      <c r="L208" s="1">
        <f>VLOOKUP($B208&amp;"__wt",'SegEnds_Xtal_BW#'!$A:$Z,12,FALSE)</f>
        <v>56</v>
      </c>
      <c r="M208" s="1">
        <f>VLOOKUP($B208&amp;"__wt",'SegEnds_Xtal_BW#'!$A:$Z,13,FALSE)</f>
        <v>50</v>
      </c>
      <c r="N208" s="12">
        <v>56</v>
      </c>
      <c r="O208" s="87">
        <f>VLOOKUP($B208&amp;"__wt",'SegEnds_Xtal_BW#'!$A:$Z,15,FALSE)</f>
        <v>38</v>
      </c>
      <c r="P208" s="1">
        <f>VLOOKUP($B208&amp;"__wt",'SegEnds_Xtal_BW#'!$A:$Z,16,FALSE)</f>
        <v>64</v>
      </c>
      <c r="Q208" s="1">
        <f>VLOOKUP($B208&amp;"__wt",'SegEnds_Xtal_BW#'!$A:$Z,17,FALSE)</f>
        <v>50</v>
      </c>
      <c r="R208" s="1">
        <f>VLOOKUP($B208&amp;"__wt",'SegEnds_Xtal_BW#'!$A:$Z,18,FALSE)</f>
        <v>52</v>
      </c>
      <c r="S208" s="1">
        <f>VLOOKUP($B208&amp;"__wt",'SegEnds_Xtal_BW#'!$A:$Z,19,FALSE)</f>
        <v>32</v>
      </c>
      <c r="T208" s="1">
        <f t="array" ref="T208">INDEX(ICL3_classA!$G$2:$G$37,MATCH(MIN(ABS(AI208-ICL3_classA!$F$2:$F$37)),ABS(AI208-ICL3_classA!$F$2:$F$37),0))</f>
        <v>73</v>
      </c>
      <c r="U208" s="1">
        <f t="array" ref="U208">INDEX(ICL3_classA!$H$2:$H$37,MATCH(MIN(ABS(AI208-ICL3_classA!$F$2:$F$37)),ABS(AI208-ICL3_classA!$F$2:$F$37),0))</f>
        <v>24</v>
      </c>
      <c r="V208" s="1">
        <v>61</v>
      </c>
      <c r="W208" s="1">
        <v>28</v>
      </c>
      <c r="X208" s="1">
        <f>VLOOKUP($B208&amp;"__wt",'SegEnds_Xtal_BW#'!$A:$Z,24,FALSE)</f>
        <v>56</v>
      </c>
      <c r="Y208" s="1">
        <f>VLOOKUP($B208&amp;"__wt",'SegEnds_Xtal_BW#'!$A:$Z,25,FALSE)</f>
        <v>47</v>
      </c>
      <c r="Z208" s="1">
        <f>VLOOKUP($B208&amp;"__wt",'SegEnds_Xtal_BW#'!$A:$Z,26,FALSE)</f>
        <v>58</v>
      </c>
      <c r="AA208" s="27" t="str">
        <f>VLOOKUP(A208,Classification!A:B,2,FALSE)</f>
        <v>A</v>
      </c>
      <c r="AB208" s="1">
        <f>VLOOKUP(A208,'SegEnds_NonXtal_Prot#'!A:AL,10,FALSE)-VLOOKUP(A208,'SegEnds_NonXtal_Prot#'!A:AL,4,FALSE)</f>
        <v>28</v>
      </c>
      <c r="AC208" s="1">
        <f>VLOOKUP(A208,'SegEnds_NonXtal_Prot#'!A:AL,10,FALSE)-VLOOKUP(A208,'SegEnds_NonXtal_Prot#'!A:AL,7,FALSE)</f>
        <v>15</v>
      </c>
      <c r="AD208" s="1">
        <f>VLOOKUP(A208,'SegEnds_NonXtal_Prot#'!A:AL,13,FALSE)-VLOOKUP(A208,'SegEnds_NonXtal_Prot#'!A:AL,10,FALSE)</f>
        <v>20</v>
      </c>
      <c r="AE208" s="1">
        <f>VLOOKUP(A208,'SegEnds_NonXtal_Prot#'!A:AL,16,FALSE)-VLOOKUP(A208,'SegEnds_NonXtal_Prot#'!A:AL,10,FALSE)</f>
        <v>52</v>
      </c>
      <c r="AF208" s="1" t="e">
        <f>VLOOKUP(A208,'SegEnds_NonXtal_Prot#'!A:AL,22,FALSE)-VLOOKUP(A208,'SegEnds_NonXtal_Prot#'!A:AL,19,FALSE)</f>
        <v>#VALUE!</v>
      </c>
      <c r="AG208" s="1">
        <f>VLOOKUP(A208,'SegEnds_NonXtal_Prot#'!A:AL,28,FALSE)-VLOOKUP(A208,'SegEnds_NonXtal_Prot#'!A:AL,25,FALSE)</f>
        <v>25</v>
      </c>
      <c r="AH208" s="1">
        <f>VLOOKUP(A208,'SegEnds_NonXtal_Prot#'!A:AL,28,FALSE)-VLOOKUP(A208,'SegEnds_NonXtal_Prot#'!A:AL,22,FALSE)</f>
        <v>63</v>
      </c>
      <c r="AI208" s="1">
        <f>VLOOKUP(A208,'SegEnds_NonXtal_Prot#'!A:AL,31,FALSE)-VLOOKUP(A208,'SegEnds_NonXtal_Prot#'!A:AL,28,FALSE)</f>
        <v>58</v>
      </c>
      <c r="AJ208" s="1">
        <f>VLOOKUP(A208,'SegEnds_NonXtal_Prot#'!A:AL,34,FALSE)-VLOOKUP(A208,'SegEnds_NonXtal_Prot#'!A:AL,31,FALSE)</f>
        <v>41</v>
      </c>
      <c r="AK208" s="1">
        <f>VLOOKUP(A208,'SegEnds_NonXtal_Prot#'!A:AL,37,FALSE)-VLOOKUP(A208,'SegEnds_NonXtal_Prot#'!A:AL,34,FALSE)</f>
        <v>10</v>
      </c>
      <c r="AL208" s="1" t="str">
        <f>IF(ISERROR(MATCH(A208,'SegEnds_Xtal_Prot#'!B:B, 0)), "NoXtal", "Xtal")</f>
        <v>NoXtal</v>
      </c>
    </row>
    <row r="209" spans="1:38" x14ac:dyDescent="0.2">
      <c r="A209" s="1" t="s">
        <v>372</v>
      </c>
      <c r="B209" s="1" t="str">
        <f>VLOOKUP(A209,Xtal_Templ!A:B,2,FALSE)</f>
        <v>ox2r_human</v>
      </c>
      <c r="C209" s="5">
        <f>VLOOKUP($B209&amp;"__wt",'SegEnds_Xtal_BW#'!$A:$Z,3,FALSE)</f>
        <v>31</v>
      </c>
      <c r="D209" s="1">
        <f>VLOOKUP($B209&amp;"__wt",'SegEnds_Xtal_BW#'!$A:$Z,4,FALSE)</f>
        <v>60</v>
      </c>
      <c r="E209" s="1">
        <f>VLOOKUP($B209&amp;"__wt",'SegEnds_Xtal_BW#'!$A:$Z,5,FALSE)</f>
        <v>48</v>
      </c>
      <c r="F209" s="1">
        <f>VLOOKUP($B209&amp;"__wt",'SegEnds_Xtal_BW#'!$A:$Z,6,FALSE)</f>
        <v>51</v>
      </c>
      <c r="G209" s="1">
        <v>37</v>
      </c>
      <c r="H209" s="12">
        <f>VLOOKUP($B209&amp;"__wt",'SegEnds_Xtal_BW#'!$A:$Z,8,FALSE)</f>
        <v>68</v>
      </c>
      <c r="I209" s="1">
        <f>VLOOKUP($B209&amp;"__wt",'SegEnds_Xtal_BW#'!$A:$Z,9,FALSE)</f>
        <v>49</v>
      </c>
      <c r="J209" s="1">
        <f>VLOOKUP($B209&amp;"__wt",'SegEnds_Xtal_BW#'!$A:$Z,10,FALSE)</f>
        <v>52</v>
      </c>
      <c r="K209" s="12">
        <v>18</v>
      </c>
      <c r="L209" s="1">
        <f>VLOOKUP($B209&amp;"__wt",'SegEnds_Xtal_BW#'!$A:$Z,12,FALSE)</f>
        <v>56</v>
      </c>
      <c r="M209" s="1">
        <f>VLOOKUP($B209&amp;"__wt",'SegEnds_Xtal_BW#'!$A:$Z,13,FALSE)</f>
        <v>50</v>
      </c>
      <c r="N209" s="12">
        <v>57</v>
      </c>
      <c r="O209" s="87">
        <f>VLOOKUP($B209&amp;"__wt",'SegEnds_Xtal_BW#'!$A:$Z,15,FALSE)</f>
        <v>38</v>
      </c>
      <c r="P209" s="1">
        <f>VLOOKUP($B209&amp;"__wt",'SegEnds_Xtal_BW#'!$A:$Z,16,FALSE)</f>
        <v>64</v>
      </c>
      <c r="Q209" s="1">
        <f>VLOOKUP($B209&amp;"__wt",'SegEnds_Xtal_BW#'!$A:$Z,17,FALSE)</f>
        <v>50</v>
      </c>
      <c r="R209" s="1">
        <f>VLOOKUP($B209&amp;"__wt",'SegEnds_Xtal_BW#'!$A:$Z,18,FALSE)</f>
        <v>52</v>
      </c>
      <c r="S209" s="1">
        <f>VLOOKUP($B209&amp;"__wt",'SegEnds_Xtal_BW#'!$A:$Z,19,FALSE)</f>
        <v>33</v>
      </c>
      <c r="T209" s="1">
        <f t="array" ref="T209">INDEX(ICL3_classA!$G$2:$G$37,MATCH(MIN(ABS(AI209-ICL3_classA!$F$2:$F$37)),ABS(AI209-ICL3_classA!$F$2:$F$37),0))</f>
        <v>74</v>
      </c>
      <c r="U209" s="1">
        <f t="array" ref="U209">INDEX(ICL3_classA!$H$2:$H$37,MATCH(MIN(ABS(AI209-ICL3_classA!$F$2:$F$37)),ABS(AI209-ICL3_classA!$F$2:$F$37),0))</f>
        <v>21</v>
      </c>
      <c r="V209" s="1">
        <v>61</v>
      </c>
      <c r="W209" s="1">
        <v>28</v>
      </c>
      <c r="X209" s="1">
        <f>VLOOKUP($B209&amp;"__wt",'SegEnds_Xtal_BW#'!$A:$Z,24,FALSE)</f>
        <v>56</v>
      </c>
      <c r="Y209" s="1">
        <f>VLOOKUP($B209&amp;"__wt",'SegEnds_Xtal_BW#'!$A:$Z,25,FALSE)</f>
        <v>47</v>
      </c>
      <c r="Z209" s="1">
        <f>VLOOKUP($B209&amp;"__wt",'SegEnds_Xtal_BW#'!$A:$Z,26,FALSE)</f>
        <v>58</v>
      </c>
      <c r="AA209" s="27" t="str">
        <f>VLOOKUP(A209,Classification!A:B,2,FALSE)</f>
        <v>A</v>
      </c>
      <c r="AB209" s="1">
        <f>VLOOKUP(A209,'SegEnds_NonXtal_Prot#'!A:AL,10,FALSE)-VLOOKUP(A209,'SegEnds_NonXtal_Prot#'!A:AL,4,FALSE)</f>
        <v>28</v>
      </c>
      <c r="AC209" s="1">
        <f>VLOOKUP(A209,'SegEnds_NonXtal_Prot#'!A:AL,10,FALSE)-VLOOKUP(A209,'SegEnds_NonXtal_Prot#'!A:AL,7,FALSE)</f>
        <v>15</v>
      </c>
      <c r="AD209" s="1">
        <f>VLOOKUP(A209,'SegEnds_NonXtal_Prot#'!A:AL,13,FALSE)-VLOOKUP(A209,'SegEnds_NonXtal_Prot#'!A:AL,10,FALSE)</f>
        <v>20</v>
      </c>
      <c r="AE209" s="1">
        <f>VLOOKUP(A209,'SegEnds_NonXtal_Prot#'!A:AL,16,FALSE)-VLOOKUP(A209,'SegEnds_NonXtal_Prot#'!A:AL,10,FALSE)</f>
        <v>52</v>
      </c>
      <c r="AF209" s="1">
        <f>VLOOKUP(A209,'SegEnds_NonXtal_Prot#'!A:AL,22,FALSE)-VLOOKUP(A209,'SegEnds_NonXtal_Prot#'!A:AL,19,FALSE)</f>
        <v>20</v>
      </c>
      <c r="AG209" s="1">
        <f>VLOOKUP(A209,'SegEnds_NonXtal_Prot#'!A:AL,28,FALSE)-VLOOKUP(A209,'SegEnds_NonXtal_Prot#'!A:AL,25,FALSE)</f>
        <v>25</v>
      </c>
      <c r="AH209" s="1">
        <f>VLOOKUP(A209,'SegEnds_NonXtal_Prot#'!A:AL,28,FALSE)-VLOOKUP(A209,'SegEnds_NonXtal_Prot#'!A:AL,22,FALSE)</f>
        <v>56</v>
      </c>
      <c r="AI209" s="1">
        <f>VLOOKUP(A209,'SegEnds_NonXtal_Prot#'!A:AL,31,FALSE)-VLOOKUP(A209,'SegEnds_NonXtal_Prot#'!A:AL,28,FALSE)</f>
        <v>62</v>
      </c>
      <c r="AJ209" s="1">
        <f>VLOOKUP(A209,'SegEnds_NonXtal_Prot#'!A:AL,34,FALSE)-VLOOKUP(A209,'SegEnds_NonXtal_Prot#'!A:AL,31,FALSE)</f>
        <v>41</v>
      </c>
      <c r="AK209" s="1">
        <f>VLOOKUP(A209,'SegEnds_NonXtal_Prot#'!A:AL,37,FALSE)-VLOOKUP(A209,'SegEnds_NonXtal_Prot#'!A:AL,34,FALSE)</f>
        <v>10</v>
      </c>
      <c r="AL209" s="1" t="str">
        <f>IF(ISERROR(MATCH(A209,'SegEnds_Xtal_Prot#'!B:B, 0)), "NoXtal", "Xtal")</f>
        <v>NoXtal</v>
      </c>
    </row>
    <row r="210" spans="1:38" x14ac:dyDescent="0.2">
      <c r="A210" s="1" t="s">
        <v>201</v>
      </c>
      <c r="B210" s="1" t="str">
        <f>VLOOKUP(A210,Xtal_Templ!A:B,2,FALSE)</f>
        <v>pd2r2_human</v>
      </c>
      <c r="C210" s="5">
        <f>VLOOKUP($B210&amp;"__wt",'SegEnds_Xtal_BW#'!$A:$Z,3,FALSE)</f>
        <v>32</v>
      </c>
      <c r="D210" s="1">
        <f>VLOOKUP($B210&amp;"__wt",'SegEnds_Xtal_BW#'!$A:$Z,4,FALSE)</f>
        <v>60</v>
      </c>
      <c r="E210" s="1" t="str">
        <f>VLOOKUP($B210&amp;"__wt",'SegEnds_Xtal_BW#'!$A:$Z,5,FALSE)</f>
        <v>-</v>
      </c>
      <c r="F210" s="1" t="str">
        <f>VLOOKUP($B210&amp;"__wt",'SegEnds_Xtal_BW#'!$A:$Z,6,FALSE)</f>
        <v>-</v>
      </c>
      <c r="G210" s="1">
        <v>37</v>
      </c>
      <c r="H210" s="12">
        <f>VLOOKUP($B210&amp;"__wt",'SegEnds_Xtal_BW#'!$A:$Z,8,FALSE)</f>
        <v>67</v>
      </c>
      <c r="I210" s="1">
        <f>VLOOKUP($B210&amp;"__wt",'SegEnds_Xtal_BW#'!$A:$Z,9,FALSE)</f>
        <v>49</v>
      </c>
      <c r="J210" s="1">
        <f>VLOOKUP($B210&amp;"__wt",'SegEnds_Xtal_BW#'!$A:$Z,10,FALSE)</f>
        <v>52</v>
      </c>
      <c r="K210" s="12">
        <v>18</v>
      </c>
      <c r="L210" s="1">
        <f>VLOOKUP($B210&amp;"__wt",'SegEnds_Xtal_BW#'!$A:$Z,12,FALSE)</f>
        <v>56</v>
      </c>
      <c r="M210" s="1">
        <f>VLOOKUP($B210&amp;"__wt",'SegEnds_Xtal_BW#'!$A:$Z,13,FALSE)</f>
        <v>50</v>
      </c>
      <c r="N210" s="12">
        <v>57</v>
      </c>
      <c r="O210" s="87">
        <v>38</v>
      </c>
      <c r="P210" s="1">
        <f>VLOOKUP($B210&amp;"__wt",'SegEnds_Xtal_BW#'!$A:$Z,16,FALSE)</f>
        <v>64</v>
      </c>
      <c r="Q210" s="1">
        <f>VLOOKUP($B210&amp;"__wt",'SegEnds_Xtal_BW#'!$A:$Z,17,FALSE)</f>
        <v>50</v>
      </c>
      <c r="R210" s="1">
        <f>VLOOKUP($B210&amp;"__wt",'SegEnds_Xtal_BW#'!$A:$Z,18,FALSE)</f>
        <v>52</v>
      </c>
      <c r="S210" s="1">
        <f>VLOOKUP($B210&amp;"__wt",'SegEnds_Xtal_BW#'!$A:$Z,19,FALSE)</f>
        <v>26</v>
      </c>
      <c r="T210" s="1">
        <f t="array" ref="T210">INDEX(ICL3_classA!$G$2:$G$37,MATCH(MIN(ABS(AI210-ICL3_classA!$F$2:$F$37)),ABS(AI210-ICL3_classA!$F$2:$F$37),0))</f>
        <v>68</v>
      </c>
      <c r="U210" s="1">
        <f t="array" ref="U210">INDEX(ICL3_classA!$H$2:$H$37,MATCH(MIN(ABS(AI210-ICL3_classA!$F$2:$F$37)),ABS(AI210-ICL3_classA!$F$2:$F$37),0))</f>
        <v>30</v>
      </c>
      <c r="V210" s="1">
        <v>61</v>
      </c>
      <c r="W210" s="1">
        <v>28</v>
      </c>
      <c r="X210" s="1">
        <f>VLOOKUP($B210&amp;"__wt",'SegEnds_Xtal_BW#'!$A:$Z,24,FALSE)</f>
        <v>56</v>
      </c>
      <c r="Y210" s="1">
        <f>VLOOKUP($B210&amp;"__wt",'SegEnds_Xtal_BW#'!$A:$Z,25,FALSE)</f>
        <v>47</v>
      </c>
      <c r="Z210" s="1">
        <f>VLOOKUP($B210&amp;"__wt",'SegEnds_Xtal_BW#'!$A:$Z,26,FALSE)</f>
        <v>64</v>
      </c>
      <c r="AA210" s="27" t="str">
        <f>VLOOKUP(A210,Classification!A:B,2,FALSE)</f>
        <v>A</v>
      </c>
      <c r="AB210" s="1">
        <f>VLOOKUP(A210,'SegEnds_NonXtal_Prot#'!A:AL,10,FALSE)-VLOOKUP(A210,'SegEnds_NonXtal_Prot#'!A:AL,4,FALSE)</f>
        <v>27</v>
      </c>
      <c r="AC210" s="1" t="e">
        <f>VLOOKUP(A210,'SegEnds_NonXtal_Prot#'!A:AL,10,FALSE)-VLOOKUP(A210,'SegEnds_NonXtal_Prot#'!A:AL,7,FALSE)</f>
        <v>#VALUE!</v>
      </c>
      <c r="AD210" s="1">
        <f>VLOOKUP(A210,'SegEnds_NonXtal_Prot#'!A:AL,13,FALSE)-VLOOKUP(A210,'SegEnds_NonXtal_Prot#'!A:AL,10,FALSE)</f>
        <v>20</v>
      </c>
      <c r="AE210" s="1">
        <f>VLOOKUP(A210,'SegEnds_NonXtal_Prot#'!A:AL,16,FALSE)-VLOOKUP(A210,'SegEnds_NonXtal_Prot#'!A:AL,10,FALSE)</f>
        <v>52</v>
      </c>
      <c r="AF210" s="1">
        <f>VLOOKUP(A210,'SegEnds_NonXtal_Prot#'!A:AL,22,FALSE)-VLOOKUP(A210,'SegEnds_NonXtal_Prot#'!A:AL,19,FALSE)</f>
        <v>20</v>
      </c>
      <c r="AG210" s="1">
        <f>VLOOKUP(A210,'SegEnds_NonXtal_Prot#'!A:AL,28,FALSE)-VLOOKUP(A210,'SegEnds_NonXtal_Prot#'!A:AL,25,FALSE)</f>
        <v>37</v>
      </c>
      <c r="AH210" s="1">
        <f>VLOOKUP(A210,'SegEnds_NonXtal_Prot#'!A:AL,28,FALSE)-VLOOKUP(A210,'SegEnds_NonXtal_Prot#'!A:AL,22,FALSE)</f>
        <v>63</v>
      </c>
      <c r="AI210" s="1">
        <f>VLOOKUP(A210,'SegEnds_NonXtal_Prot#'!A:AL,31,FALSE)-VLOOKUP(A210,'SegEnds_NonXtal_Prot#'!A:AL,28,FALSE)</f>
        <v>43</v>
      </c>
      <c r="AJ210" s="1">
        <f>VLOOKUP(A210,'SegEnds_NonXtal_Prot#'!A:AL,34,FALSE)-VLOOKUP(A210,'SegEnds_NonXtal_Prot#'!A:AL,31,FALSE)</f>
        <v>42</v>
      </c>
      <c r="AK210" s="1">
        <f>VLOOKUP(A210,'SegEnds_NonXtal_Prot#'!A:AL,37,FALSE)-VLOOKUP(A210,'SegEnds_NonXtal_Prot#'!A:AL,34,FALSE)</f>
        <v>10</v>
      </c>
      <c r="AL210" s="1" t="str">
        <f>IF(ISERROR(MATCH(A210,'SegEnds_Xtal_Prot#'!B:B, 0)), "NoXtal", "Xtal")</f>
        <v>NoXtal</v>
      </c>
    </row>
    <row r="211" spans="1:38" x14ac:dyDescent="0.2">
      <c r="A211" s="1" t="s">
        <v>209</v>
      </c>
      <c r="B211" s="1" t="str">
        <f>VLOOKUP(A211,Xtal_Templ!A:B,2,FALSE)</f>
        <v>ntr1_rat</v>
      </c>
      <c r="C211" s="5">
        <f>VLOOKUP($B211&amp;"__wt",'SegEnds_Xtal_BW#'!$A:$Z,3,FALSE)</f>
        <v>29</v>
      </c>
      <c r="D211" s="1">
        <f>VLOOKUP($B211&amp;"__wt",'SegEnds_Xtal_BW#'!$A:$Z,4,FALSE)</f>
        <v>60</v>
      </c>
      <c r="E211" s="1">
        <f>VLOOKUP($B211&amp;"__wt",'SegEnds_Xtal_BW#'!$A:$Z,5,FALSE)</f>
        <v>48</v>
      </c>
      <c r="F211" s="1">
        <f>VLOOKUP($B211&amp;"__wt",'SegEnds_Xtal_BW#'!$A:$Z,6,FALSE)</f>
        <v>51</v>
      </c>
      <c r="G211" s="1">
        <v>37</v>
      </c>
      <c r="H211" s="12">
        <v>67</v>
      </c>
      <c r="I211" s="1">
        <f>VLOOKUP($B211&amp;"__wt",'SegEnds_Xtal_BW#'!$A:$Z,9,FALSE)</f>
        <v>49</v>
      </c>
      <c r="J211" s="1">
        <f>VLOOKUP($B211&amp;"__wt",'SegEnds_Xtal_BW#'!$A:$Z,10,FALSE)</f>
        <v>52</v>
      </c>
      <c r="K211" s="12">
        <v>18</v>
      </c>
      <c r="L211" s="1">
        <f>VLOOKUP($B211&amp;"__wt",'SegEnds_Xtal_BW#'!$A:$Z,12,FALSE)</f>
        <v>56</v>
      </c>
      <c r="M211" s="1">
        <f>VLOOKUP($B211&amp;"__wt",'SegEnds_Xtal_BW#'!$A:$Z,13,FALSE)</f>
        <v>50</v>
      </c>
      <c r="N211" s="12">
        <v>57</v>
      </c>
      <c r="O211" s="87">
        <f>VLOOKUP($B211&amp;"__wt",'SegEnds_Xtal_BW#'!$A:$Z,15,FALSE)</f>
        <v>38</v>
      </c>
      <c r="P211" s="1">
        <f>VLOOKUP($B211&amp;"__wt",'SegEnds_Xtal_BW#'!$A:$Z,16,FALSE)</f>
        <v>64</v>
      </c>
      <c r="Q211" s="1">
        <f>VLOOKUP($B211&amp;"__wt",'SegEnds_Xtal_BW#'!$A:$Z,17,FALSE)</f>
        <v>50</v>
      </c>
      <c r="R211" s="1">
        <f>VLOOKUP($B211&amp;"__wt",'SegEnds_Xtal_BW#'!$A:$Z,18,FALSE)</f>
        <v>52</v>
      </c>
      <c r="S211" s="1">
        <f>VLOOKUP($B211&amp;"__wt",'SegEnds_Xtal_BW#'!$A:$Z,19,FALSE)</f>
        <v>32</v>
      </c>
      <c r="T211" s="1">
        <f t="array" ref="T211">INDEX(ICL3_classA!$G$2:$G$37,MATCH(MIN(ABS(AI211-ICL3_classA!$F$2:$F$37)),ABS(AI211-ICL3_classA!$F$2:$F$37),0))</f>
        <v>72</v>
      </c>
      <c r="U211" s="1">
        <f t="array" ref="U211">INDEX(ICL3_classA!$H$2:$H$37,MATCH(MIN(ABS(AI211-ICL3_classA!$F$2:$F$37)),ABS(AI211-ICL3_classA!$F$2:$F$37),0))</f>
        <v>24</v>
      </c>
      <c r="V211" s="1">
        <v>61</v>
      </c>
      <c r="W211" s="1">
        <v>28</v>
      </c>
      <c r="X211" s="1">
        <f>VLOOKUP($B211&amp;"__wt",'SegEnds_Xtal_BW#'!$A:$Z,24,FALSE)</f>
        <v>56</v>
      </c>
      <c r="Y211" s="1">
        <f>VLOOKUP($B211&amp;"__wt",'SegEnds_Xtal_BW#'!$A:$Z,25,FALSE)</f>
        <v>47</v>
      </c>
      <c r="Z211" s="1">
        <f>VLOOKUP($B211&amp;"__wt",'SegEnds_Xtal_BW#'!$A:$Z,26,FALSE)</f>
        <v>58</v>
      </c>
      <c r="AA211" s="27" t="str">
        <f>VLOOKUP(A211,Classification!A:B,2,FALSE)</f>
        <v>A</v>
      </c>
      <c r="AB211" s="1">
        <f>VLOOKUP(A211,'SegEnds_NonXtal_Prot#'!A:AL,10,FALSE)-VLOOKUP(A211,'SegEnds_NonXtal_Prot#'!A:AL,4,FALSE)</f>
        <v>28</v>
      </c>
      <c r="AC211" s="1">
        <f>VLOOKUP(A211,'SegEnds_NonXtal_Prot#'!A:AL,10,FALSE)-VLOOKUP(A211,'SegEnds_NonXtal_Prot#'!A:AL,7,FALSE)</f>
        <v>15</v>
      </c>
      <c r="AD211" s="1">
        <f>VLOOKUP(A211,'SegEnds_NonXtal_Prot#'!A:AL,13,FALSE)-VLOOKUP(A211,'SegEnds_NonXtal_Prot#'!A:AL,10,FALSE)</f>
        <v>20</v>
      </c>
      <c r="AE211" s="1">
        <f>VLOOKUP(A211,'SegEnds_NonXtal_Prot#'!A:AL,16,FALSE)-VLOOKUP(A211,'SegEnds_NonXtal_Prot#'!A:AL,10,FALSE)</f>
        <v>52</v>
      </c>
      <c r="AF211" s="1">
        <f>VLOOKUP(A211,'SegEnds_NonXtal_Prot#'!A:AL,22,FALSE)-VLOOKUP(A211,'SegEnds_NonXtal_Prot#'!A:AL,19,FALSE)</f>
        <v>20</v>
      </c>
      <c r="AG211" s="1">
        <f>VLOOKUP(A211,'SegEnds_NonXtal_Prot#'!A:AL,28,FALSE)-VLOOKUP(A211,'SegEnds_NonXtal_Prot#'!A:AL,25,FALSE)</f>
        <v>26</v>
      </c>
      <c r="AH211" s="1">
        <f>VLOOKUP(A211,'SegEnds_NonXtal_Prot#'!A:AL,28,FALSE)-VLOOKUP(A211,'SegEnds_NonXtal_Prot#'!A:AL,22,FALSE)</f>
        <v>56</v>
      </c>
      <c r="AI211" s="1">
        <f>VLOOKUP(A211,'SegEnds_NonXtal_Prot#'!A:AL,31,FALSE)-VLOOKUP(A211,'SegEnds_NonXtal_Prot#'!A:AL,28,FALSE)</f>
        <v>54</v>
      </c>
      <c r="AJ211" s="1">
        <f>VLOOKUP(A211,'SegEnds_NonXtal_Prot#'!A:AL,34,FALSE)-VLOOKUP(A211,'SegEnds_NonXtal_Prot#'!A:AL,31,FALSE)</f>
        <v>42</v>
      </c>
      <c r="AK211" s="1">
        <f>VLOOKUP(A211,'SegEnds_NonXtal_Prot#'!A:AL,37,FALSE)-VLOOKUP(A211,'SegEnds_NonXtal_Prot#'!A:AL,34,FALSE)</f>
        <v>10</v>
      </c>
      <c r="AL211" s="1" t="str">
        <f>IF(ISERROR(MATCH(A211,'SegEnds_Xtal_Prot#'!B:B, 0)), "NoXtal", "Xtal")</f>
        <v>NoXtal</v>
      </c>
    </row>
    <row r="212" spans="1:38" x14ac:dyDescent="0.2">
      <c r="A212" s="1" t="s">
        <v>250</v>
      </c>
      <c r="B212" s="1" t="str">
        <f>VLOOKUP(A212,Xtal_Templ!A:B,2,FALSE)</f>
        <v>oprd_human</v>
      </c>
      <c r="C212" s="5">
        <f>VLOOKUP($B212&amp;"__wt",'SegEnds_Xtal_BW#'!$A:$Z,3,FALSE)</f>
        <v>22</v>
      </c>
      <c r="D212" s="1">
        <f>VLOOKUP($B212&amp;"__wt",'SegEnds_Xtal_BW#'!$A:$Z,4,FALSE)</f>
        <v>60</v>
      </c>
      <c r="E212" s="1">
        <f>VLOOKUP($B212&amp;"__wt",'SegEnds_Xtal_BW#'!$A:$Z,5,FALSE)</f>
        <v>48</v>
      </c>
      <c r="F212" s="1">
        <f>VLOOKUP($B212&amp;"__wt",'SegEnds_Xtal_BW#'!$A:$Z,6,FALSE)</f>
        <v>51</v>
      </c>
      <c r="G212" s="1">
        <v>37</v>
      </c>
      <c r="H212" s="12">
        <f>VLOOKUP($B212&amp;"__wt",'SegEnds_Xtal_BW#'!$A:$Z,8,FALSE)</f>
        <v>66</v>
      </c>
      <c r="I212" s="1">
        <f>VLOOKUP($B212&amp;"__wt",'SegEnds_Xtal_BW#'!$A:$Z,9,FALSE)</f>
        <v>49</v>
      </c>
      <c r="J212" s="1">
        <f>VLOOKUP($B212&amp;"__wt",'SegEnds_Xtal_BW#'!$A:$Z,10,FALSE)</f>
        <v>52</v>
      </c>
      <c r="K212" s="12">
        <v>18</v>
      </c>
      <c r="L212" s="1">
        <f>VLOOKUP($B212&amp;"__wt",'SegEnds_Xtal_BW#'!$A:$Z,12,FALSE)</f>
        <v>56</v>
      </c>
      <c r="M212" s="1">
        <f>VLOOKUP($B212&amp;"__wt",'SegEnds_Xtal_BW#'!$A:$Z,13,FALSE)</f>
        <v>50</v>
      </c>
      <c r="N212" s="12">
        <v>57</v>
      </c>
      <c r="O212" s="87">
        <f>VLOOKUP($B212&amp;"__wt",'SegEnds_Xtal_BW#'!$A:$Z,15,FALSE)</f>
        <v>38</v>
      </c>
      <c r="P212" s="1">
        <f>VLOOKUP($B212&amp;"__wt",'SegEnds_Xtal_BW#'!$A:$Z,16,FALSE)</f>
        <v>64</v>
      </c>
      <c r="Q212" s="1">
        <f>VLOOKUP($B212&amp;"__wt",'SegEnds_Xtal_BW#'!$A:$Z,17,FALSE)</f>
        <v>50</v>
      </c>
      <c r="R212" s="1">
        <f>VLOOKUP($B212&amp;"__wt",'SegEnds_Xtal_BW#'!$A:$Z,18,FALSE)</f>
        <v>52</v>
      </c>
      <c r="S212" s="1">
        <f>VLOOKUP($B212&amp;"__wt",'SegEnds_Xtal_BW#'!$A:$Z,19,FALSE)</f>
        <v>31</v>
      </c>
      <c r="T212" s="1">
        <f t="array" ref="T212">INDEX(ICL3_classA!$G$2:$G$37,MATCH(MIN(ABS(AI212-ICL3_classA!$F$2:$F$37)),ABS(AI212-ICL3_classA!$F$2:$F$37),0))</f>
        <v>68</v>
      </c>
      <c r="U212" s="1">
        <f t="array" ref="U212">INDEX(ICL3_classA!$H$2:$H$37,MATCH(MIN(ABS(AI212-ICL3_classA!$F$2:$F$37)),ABS(AI212-ICL3_classA!$F$2:$F$37),0))</f>
        <v>24</v>
      </c>
      <c r="V212" s="1">
        <v>61</v>
      </c>
      <c r="W212" s="1">
        <v>28</v>
      </c>
      <c r="X212" s="1">
        <f>VLOOKUP($B212&amp;"__wt",'SegEnds_Xtal_BW#'!$A:$Z,24,FALSE)</f>
        <v>56</v>
      </c>
      <c r="Y212" s="1">
        <f>VLOOKUP($B212&amp;"__wt",'SegEnds_Xtal_BW#'!$A:$Z,25,FALSE)</f>
        <v>47</v>
      </c>
      <c r="Z212" s="1">
        <f>VLOOKUP($B212&amp;"__wt",'SegEnds_Xtal_BW#'!$A:$Z,26,FALSE)</f>
        <v>60</v>
      </c>
      <c r="AA212" s="27" t="str">
        <f>VLOOKUP(A212,Classification!A:B,2,FALSE)</f>
        <v>A</v>
      </c>
      <c r="AB212" s="1">
        <f>VLOOKUP(A212,'SegEnds_NonXtal_Prot#'!A:AL,10,FALSE)-VLOOKUP(A212,'SegEnds_NonXtal_Prot#'!A:AL,4,FALSE)</f>
        <v>28</v>
      </c>
      <c r="AC212" s="1">
        <f>VLOOKUP(A212,'SegEnds_NonXtal_Prot#'!A:AL,10,FALSE)-VLOOKUP(A212,'SegEnds_NonXtal_Prot#'!A:AL,7,FALSE)</f>
        <v>15</v>
      </c>
      <c r="AD212" s="1">
        <f>VLOOKUP(A212,'SegEnds_NonXtal_Prot#'!A:AL,13,FALSE)-VLOOKUP(A212,'SegEnds_NonXtal_Prot#'!A:AL,10,FALSE)</f>
        <v>20</v>
      </c>
      <c r="AE212" s="1">
        <f>VLOOKUP(A212,'SegEnds_NonXtal_Prot#'!A:AL,16,FALSE)-VLOOKUP(A212,'SegEnds_NonXtal_Prot#'!A:AL,10,FALSE)</f>
        <v>52</v>
      </c>
      <c r="AF212" s="1">
        <f>VLOOKUP(A212,'SegEnds_NonXtal_Prot#'!A:AL,22,FALSE)-VLOOKUP(A212,'SegEnds_NonXtal_Prot#'!A:AL,19,FALSE)</f>
        <v>20</v>
      </c>
      <c r="AG212" s="1">
        <f>VLOOKUP(A212,'SegEnds_NonXtal_Prot#'!A:AL,28,FALSE)-VLOOKUP(A212,'SegEnds_NonXtal_Prot#'!A:AL,25,FALSE)</f>
        <v>27</v>
      </c>
      <c r="AH212" s="1">
        <f>VLOOKUP(A212,'SegEnds_NonXtal_Prot#'!A:AL,28,FALSE)-VLOOKUP(A212,'SegEnds_NonXtal_Prot#'!A:AL,22,FALSE)</f>
        <v>50</v>
      </c>
      <c r="AI212" s="1">
        <f>VLOOKUP(A212,'SegEnds_NonXtal_Prot#'!A:AL,31,FALSE)-VLOOKUP(A212,'SegEnds_NonXtal_Prot#'!A:AL,28,FALSE)</f>
        <v>48</v>
      </c>
      <c r="AJ212" s="1">
        <f>VLOOKUP(A212,'SegEnds_NonXtal_Prot#'!A:AL,34,FALSE)-VLOOKUP(A212,'SegEnds_NonXtal_Prot#'!A:AL,31,FALSE)</f>
        <v>42</v>
      </c>
      <c r="AK212" s="1">
        <f>VLOOKUP(A212,'SegEnds_NonXtal_Prot#'!A:AL,37,FALSE)-VLOOKUP(A212,'SegEnds_NonXtal_Prot#'!A:AL,34,FALSE)</f>
        <v>10</v>
      </c>
      <c r="AL212" s="1" t="str">
        <f>IF(ISERROR(MATCH(A212,'SegEnds_Xtal_Prot#'!B:B, 0)), "NoXtal", "Xtal")</f>
        <v>NoXtal</v>
      </c>
    </row>
    <row r="213" spans="1:38" x14ac:dyDescent="0.2">
      <c r="A213" s="1" t="s">
        <v>251</v>
      </c>
      <c r="B213" s="1" t="str">
        <f>VLOOKUP(A213,Xtal_Templ!A:B,2,FALSE)</f>
        <v>oprd_human</v>
      </c>
      <c r="C213" s="5">
        <f>VLOOKUP($B213&amp;"__wt",'SegEnds_Xtal_BW#'!$A:$Z,3,FALSE)</f>
        <v>22</v>
      </c>
      <c r="D213" s="1">
        <f>VLOOKUP($B213&amp;"__wt",'SegEnds_Xtal_BW#'!$A:$Z,4,FALSE)</f>
        <v>60</v>
      </c>
      <c r="E213" s="1">
        <f>VLOOKUP($B213&amp;"__wt",'SegEnds_Xtal_BW#'!$A:$Z,5,FALSE)</f>
        <v>48</v>
      </c>
      <c r="F213" s="1">
        <f>VLOOKUP($B213&amp;"__wt",'SegEnds_Xtal_BW#'!$A:$Z,6,FALSE)</f>
        <v>51</v>
      </c>
      <c r="G213" s="1">
        <v>37</v>
      </c>
      <c r="H213" s="12">
        <v>66</v>
      </c>
      <c r="I213" s="1">
        <f>VLOOKUP($B213&amp;"__wt",'SegEnds_Xtal_BW#'!$A:$Z,9,FALSE)</f>
        <v>49</v>
      </c>
      <c r="J213" s="1">
        <f>VLOOKUP($B213&amp;"__wt",'SegEnds_Xtal_BW#'!$A:$Z,10,FALSE)</f>
        <v>52</v>
      </c>
      <c r="K213" s="12">
        <v>21</v>
      </c>
      <c r="L213" s="1">
        <f>VLOOKUP($B213&amp;"__wt",'SegEnds_Xtal_BW#'!$A:$Z,12,FALSE)</f>
        <v>56</v>
      </c>
      <c r="M213" s="1">
        <f>VLOOKUP($B213&amp;"__wt",'SegEnds_Xtal_BW#'!$A:$Z,13,FALSE)</f>
        <v>50</v>
      </c>
      <c r="N213" s="12">
        <v>57</v>
      </c>
      <c r="O213" s="87">
        <v>38</v>
      </c>
      <c r="P213" s="1">
        <f>VLOOKUP($B213&amp;"__wt",'SegEnds_Xtal_BW#'!$A:$Z,16,FALSE)</f>
        <v>64</v>
      </c>
      <c r="Q213" s="1">
        <f>VLOOKUP($B213&amp;"__wt",'SegEnds_Xtal_BW#'!$A:$Z,17,FALSE)</f>
        <v>50</v>
      </c>
      <c r="R213" s="1">
        <f>VLOOKUP($B213&amp;"__wt",'SegEnds_Xtal_BW#'!$A:$Z,18,FALSE)</f>
        <v>52</v>
      </c>
      <c r="S213" s="1">
        <f>VLOOKUP($B213&amp;"__wt",'SegEnds_Xtal_BW#'!$A:$Z,19,FALSE)</f>
        <v>31</v>
      </c>
      <c r="T213" s="1">
        <f t="array" ref="T213">INDEX(ICL3_classA!$G$2:$G$37,MATCH(MIN(ABS(AI213-ICL3_classA!$F$2:$F$37)),ABS(AI213-ICL3_classA!$F$2:$F$37),0))</f>
        <v>68</v>
      </c>
      <c r="U213" s="1">
        <f t="array" ref="U213">INDEX(ICL3_classA!$H$2:$H$37,MATCH(MIN(ABS(AI213-ICL3_classA!$F$2:$F$37)),ABS(AI213-ICL3_classA!$F$2:$F$37),0))</f>
        <v>30</v>
      </c>
      <c r="V213" s="1">
        <v>61</v>
      </c>
      <c r="W213" s="1">
        <v>28</v>
      </c>
      <c r="X213" s="1">
        <f>VLOOKUP($B213&amp;"__wt",'SegEnds_Xtal_BW#'!$A:$Z,24,FALSE)</f>
        <v>56</v>
      </c>
      <c r="Y213" s="1">
        <f>VLOOKUP($B213&amp;"__wt",'SegEnds_Xtal_BW#'!$A:$Z,25,FALSE)</f>
        <v>47</v>
      </c>
      <c r="Z213" s="1">
        <f>VLOOKUP($B213&amp;"__wt",'SegEnds_Xtal_BW#'!$A:$Z,26,FALSE)</f>
        <v>60</v>
      </c>
      <c r="AA213" s="27" t="str">
        <f>VLOOKUP(A213,Classification!A:B,2,FALSE)</f>
        <v>A</v>
      </c>
      <c r="AB213" s="1">
        <f>VLOOKUP(A213,'SegEnds_NonXtal_Prot#'!A:AL,10,FALSE)-VLOOKUP(A213,'SegEnds_NonXtal_Prot#'!A:AL,4,FALSE)</f>
        <v>27</v>
      </c>
      <c r="AC213" s="1" t="e">
        <f>VLOOKUP(A213,'SegEnds_NonXtal_Prot#'!A:AL,10,FALSE)-VLOOKUP(A213,'SegEnds_NonXtal_Prot#'!A:AL,7,FALSE)</f>
        <v>#VALUE!</v>
      </c>
      <c r="AD213" s="1">
        <f>VLOOKUP(A213,'SegEnds_NonXtal_Prot#'!A:AL,13,FALSE)-VLOOKUP(A213,'SegEnds_NonXtal_Prot#'!A:AL,10,FALSE)</f>
        <v>19</v>
      </c>
      <c r="AE213" s="1">
        <f>VLOOKUP(A213,'SegEnds_NonXtal_Prot#'!A:AL,16,FALSE)-VLOOKUP(A213,'SegEnds_NonXtal_Prot#'!A:AL,10,FALSE)</f>
        <v>51</v>
      </c>
      <c r="AF213" s="1">
        <f>VLOOKUP(A213,'SegEnds_NonXtal_Prot#'!A:AL,22,FALSE)-VLOOKUP(A213,'SegEnds_NonXtal_Prot#'!A:AL,19,FALSE)</f>
        <v>20</v>
      </c>
      <c r="AG213" s="1">
        <f>VLOOKUP(A213,'SegEnds_NonXtal_Prot#'!A:AL,28,FALSE)-VLOOKUP(A213,'SegEnds_NonXtal_Prot#'!A:AL,25,FALSE)</f>
        <v>37</v>
      </c>
      <c r="AH213" s="1">
        <f>VLOOKUP(A213,'SegEnds_NonXtal_Prot#'!A:AL,28,FALSE)-VLOOKUP(A213,'SegEnds_NonXtal_Prot#'!A:AL,22,FALSE)</f>
        <v>62</v>
      </c>
      <c r="AI213" s="1">
        <f>VLOOKUP(A213,'SegEnds_NonXtal_Prot#'!A:AL,31,FALSE)-VLOOKUP(A213,'SegEnds_NonXtal_Prot#'!A:AL,28,FALSE)</f>
        <v>43</v>
      </c>
      <c r="AJ213" s="1">
        <f>VLOOKUP(A213,'SegEnds_NonXtal_Prot#'!A:AL,34,FALSE)-VLOOKUP(A213,'SegEnds_NonXtal_Prot#'!A:AL,31,FALSE)</f>
        <v>42</v>
      </c>
      <c r="AK213" s="1">
        <f>VLOOKUP(A213,'SegEnds_NonXtal_Prot#'!A:AL,37,FALSE)-VLOOKUP(A213,'SegEnds_NonXtal_Prot#'!A:AL,34,FALSE)</f>
        <v>10</v>
      </c>
      <c r="AL213" s="1" t="str">
        <f>IF(ISERROR(MATCH(A213,'SegEnds_Xtal_Prot#'!B:B, 0)), "NoXtal", "Xtal")</f>
        <v>NoXtal</v>
      </c>
    </row>
    <row r="214" spans="1:38" x14ac:dyDescent="0.2">
      <c r="A214" s="1" t="s">
        <v>268</v>
      </c>
      <c r="B214" s="1" t="str">
        <f>VLOOKUP(A214,Xtal_Templ!A:B,2,FALSE)</f>
        <v>oprm_mouse</v>
      </c>
      <c r="C214" s="5">
        <f>VLOOKUP($B214&amp;"__wt",'SegEnds_Xtal_BW#'!$A:$Z,3,FALSE)</f>
        <v>29</v>
      </c>
      <c r="D214" s="1">
        <f>VLOOKUP($B214&amp;"__wt",'SegEnds_Xtal_BW#'!$A:$Z,4,FALSE)</f>
        <v>60</v>
      </c>
      <c r="E214" s="1">
        <f>VLOOKUP($B214&amp;"__wt",'SegEnds_Xtal_BW#'!$A:$Z,5,FALSE)</f>
        <v>48</v>
      </c>
      <c r="F214" s="1">
        <f>VLOOKUP($B214&amp;"__wt",'SegEnds_Xtal_BW#'!$A:$Z,6,FALSE)</f>
        <v>51</v>
      </c>
      <c r="G214" s="1">
        <v>37</v>
      </c>
      <c r="H214" s="12">
        <v>67</v>
      </c>
      <c r="I214" s="1">
        <f>VLOOKUP($B214&amp;"__wt",'SegEnds_Xtal_BW#'!$A:$Z,9,FALSE)</f>
        <v>49</v>
      </c>
      <c r="J214" s="1">
        <f>VLOOKUP($B214&amp;"__wt",'SegEnds_Xtal_BW#'!$A:$Z,10,FALSE)</f>
        <v>52</v>
      </c>
      <c r="K214" s="12">
        <v>18</v>
      </c>
      <c r="L214" s="1">
        <f>VLOOKUP($B214&amp;"__wt",'SegEnds_Xtal_BW#'!$A:$Z,12,FALSE)</f>
        <v>56</v>
      </c>
      <c r="M214" s="1">
        <f>VLOOKUP($B214&amp;"__wt",'SegEnds_Xtal_BW#'!$A:$Z,13,FALSE)</f>
        <v>50</v>
      </c>
      <c r="N214" s="12">
        <v>57</v>
      </c>
      <c r="O214" s="87">
        <f>VLOOKUP($B214&amp;"__wt",'SegEnds_Xtal_BW#'!$A:$Z,15,FALSE)</f>
        <v>38</v>
      </c>
      <c r="P214" s="1">
        <f>VLOOKUP($B214&amp;"__wt",'SegEnds_Xtal_BW#'!$A:$Z,16,FALSE)</f>
        <v>64</v>
      </c>
      <c r="Q214" s="1">
        <f>VLOOKUP($B214&amp;"__wt",'SegEnds_Xtal_BW#'!$A:$Z,17,FALSE)</f>
        <v>50</v>
      </c>
      <c r="R214" s="1">
        <f>VLOOKUP($B214&amp;"__wt",'SegEnds_Xtal_BW#'!$A:$Z,18,FALSE)</f>
        <v>52</v>
      </c>
      <c r="S214" s="1">
        <f>VLOOKUP($B214&amp;"__wt",'SegEnds_Xtal_BW#'!$A:$Z,19,FALSE)</f>
        <v>31</v>
      </c>
      <c r="T214" s="1">
        <f t="array" ref="T214">INDEX(ICL3_classA!$G$2:$G$37,MATCH(MIN(ABS(AI214-ICL3_classA!$F$2:$F$37)),ABS(AI214-ICL3_classA!$F$2:$F$37),0))</f>
        <v>68</v>
      </c>
      <c r="U214" s="1">
        <f t="array" ref="U214">INDEX(ICL3_classA!$H$2:$H$37,MATCH(MIN(ABS(AI214-ICL3_classA!$F$2:$F$37)),ABS(AI214-ICL3_classA!$F$2:$F$37),0))</f>
        <v>23</v>
      </c>
      <c r="V214" s="1">
        <v>61</v>
      </c>
      <c r="W214" s="1">
        <v>28</v>
      </c>
      <c r="X214" s="1">
        <f>VLOOKUP($B214&amp;"__wt",'SegEnds_Xtal_BW#'!$A:$Z,24,FALSE)</f>
        <v>56</v>
      </c>
      <c r="Y214" s="1">
        <f>VLOOKUP($B214&amp;"__wt",'SegEnds_Xtal_BW#'!$A:$Z,25,FALSE)</f>
        <v>47</v>
      </c>
      <c r="Z214" s="1">
        <f>VLOOKUP($B214&amp;"__wt",'SegEnds_Xtal_BW#'!$A:$Z,26,FALSE)</f>
        <v>59</v>
      </c>
      <c r="AA214" s="27" t="str">
        <f>VLOOKUP(A214,Classification!A:B,2,FALSE)</f>
        <v>A</v>
      </c>
      <c r="AB214" s="1">
        <f>VLOOKUP(A214,'SegEnds_NonXtal_Prot#'!A:AL,10,FALSE)-VLOOKUP(A214,'SegEnds_NonXtal_Prot#'!A:AL,4,FALSE)</f>
        <v>28</v>
      </c>
      <c r="AC214" s="1" t="e">
        <f>VLOOKUP(A214,'SegEnds_NonXtal_Prot#'!A:AL,10,FALSE)-VLOOKUP(A214,'SegEnds_NonXtal_Prot#'!A:AL,7,FALSE)</f>
        <v>#VALUE!</v>
      </c>
      <c r="AD214" s="1">
        <f>VLOOKUP(A214,'SegEnds_NonXtal_Prot#'!A:AL,13,FALSE)-VLOOKUP(A214,'SegEnds_NonXtal_Prot#'!A:AL,10,FALSE)</f>
        <v>20</v>
      </c>
      <c r="AE214" s="1">
        <f>VLOOKUP(A214,'SegEnds_NonXtal_Prot#'!A:AL,16,FALSE)-VLOOKUP(A214,'SegEnds_NonXtal_Prot#'!A:AL,10,FALSE)</f>
        <v>56</v>
      </c>
      <c r="AF214" s="1">
        <f>VLOOKUP(A214,'SegEnds_NonXtal_Prot#'!A:AL,22,FALSE)-VLOOKUP(A214,'SegEnds_NonXtal_Prot#'!A:AL,19,FALSE)</f>
        <v>20</v>
      </c>
      <c r="AG214" s="1" t="e">
        <f>VLOOKUP(A214,'SegEnds_NonXtal_Prot#'!A:AL,28,FALSE)-VLOOKUP(A214,'SegEnds_NonXtal_Prot#'!A:AL,25,FALSE)</f>
        <v>#VALUE!</v>
      </c>
      <c r="AH214" s="1">
        <f>VLOOKUP(A214,'SegEnds_NonXtal_Prot#'!A:AL,28,FALSE)-VLOOKUP(A214,'SegEnds_NonXtal_Prot#'!A:AL,22,FALSE)</f>
        <v>53</v>
      </c>
      <c r="AI214" s="1">
        <f>VLOOKUP(A214,'SegEnds_NonXtal_Prot#'!A:AL,31,FALSE)-VLOOKUP(A214,'SegEnds_NonXtal_Prot#'!A:AL,28,FALSE)</f>
        <v>51</v>
      </c>
      <c r="AJ214" s="1">
        <f>VLOOKUP(A214,'SegEnds_NonXtal_Prot#'!A:AL,34,FALSE)-VLOOKUP(A214,'SegEnds_NonXtal_Prot#'!A:AL,31,FALSE)</f>
        <v>42</v>
      </c>
      <c r="AK214" s="1">
        <f>VLOOKUP(A214,'SegEnds_NonXtal_Prot#'!A:AL,37,FALSE)-VLOOKUP(A214,'SegEnds_NonXtal_Prot#'!A:AL,34,FALSE)</f>
        <v>10</v>
      </c>
      <c r="AL214" s="1" t="str">
        <f>IF(ISERROR(MATCH(A214,'SegEnds_Xtal_Prot#'!B:B, 0)), "NoXtal", "Xtal")</f>
        <v>NoXtal</v>
      </c>
    </row>
    <row r="215" spans="1:38" x14ac:dyDescent="0.2">
      <c r="A215" s="1" t="s">
        <v>282</v>
      </c>
      <c r="B215" s="1" t="str">
        <f>VLOOKUP(A215,Xtal_Templ!A:B,2,FALSE)</f>
        <v>oprk_human</v>
      </c>
      <c r="C215" s="5">
        <f>VLOOKUP($B215&amp;"__wt",'SegEnds_Xtal_BW#'!$A:$Z,3,FALSE)</f>
        <v>30</v>
      </c>
      <c r="D215" s="1">
        <f>VLOOKUP($B215&amp;"__wt",'SegEnds_Xtal_BW#'!$A:$Z,4,FALSE)</f>
        <v>60</v>
      </c>
      <c r="E215" s="1">
        <f>VLOOKUP($B215&amp;"__wt",'SegEnds_Xtal_BW#'!$A:$Z,5,FALSE)</f>
        <v>48</v>
      </c>
      <c r="F215" s="1">
        <f>VLOOKUP($B215&amp;"__wt",'SegEnds_Xtal_BW#'!$A:$Z,6,FALSE)</f>
        <v>51</v>
      </c>
      <c r="G215" s="1">
        <v>37</v>
      </c>
      <c r="H215" s="12">
        <f>VLOOKUP($B215&amp;"__wt",'SegEnds_Xtal_BW#'!$A:$Z,8,FALSE)</f>
        <v>67</v>
      </c>
      <c r="I215" s="1">
        <f>VLOOKUP($B215&amp;"__wt",'SegEnds_Xtal_BW#'!$A:$Z,9,FALSE)</f>
        <v>49</v>
      </c>
      <c r="J215" s="1">
        <f>VLOOKUP($B215&amp;"__wt",'SegEnds_Xtal_BW#'!$A:$Z,10,FALSE)</f>
        <v>52</v>
      </c>
      <c r="K215" s="12">
        <v>18</v>
      </c>
      <c r="L215" s="1">
        <f>VLOOKUP($B215&amp;"__wt",'SegEnds_Xtal_BW#'!$A:$Z,12,FALSE)</f>
        <v>56</v>
      </c>
      <c r="M215" s="1">
        <f>VLOOKUP($B215&amp;"__wt",'SegEnds_Xtal_BW#'!$A:$Z,13,FALSE)</f>
        <v>50</v>
      </c>
      <c r="N215" s="12">
        <v>57</v>
      </c>
      <c r="O215" s="87">
        <f>VLOOKUP($B215&amp;"__wt",'SegEnds_Xtal_BW#'!$A:$Z,15,FALSE)</f>
        <v>38</v>
      </c>
      <c r="P215" s="1">
        <f>VLOOKUP($B215&amp;"__wt",'SegEnds_Xtal_BW#'!$A:$Z,16,FALSE)</f>
        <v>64</v>
      </c>
      <c r="Q215" s="1">
        <f>VLOOKUP($B215&amp;"__wt",'SegEnds_Xtal_BW#'!$A:$Z,17,FALSE)</f>
        <v>50</v>
      </c>
      <c r="R215" s="1">
        <f>VLOOKUP($B215&amp;"__wt",'SegEnds_Xtal_BW#'!$A:$Z,18,FALSE)</f>
        <v>52</v>
      </c>
      <c r="S215" s="1">
        <f>VLOOKUP($B215&amp;"__wt",'SegEnds_Xtal_BW#'!$A:$Z,19,FALSE)</f>
        <v>30</v>
      </c>
      <c r="T215" s="1">
        <f t="array" ref="T215">INDEX(ICL3_classA!$G$2:$G$37,MATCH(MIN(ABS(AI215-ICL3_classA!$F$2:$F$37)),ABS(AI215-ICL3_classA!$F$2:$F$37),0))</f>
        <v>74</v>
      </c>
      <c r="U215" s="1">
        <f t="array" ref="U215">INDEX(ICL3_classA!$H$2:$H$37,MATCH(MIN(ABS(AI215-ICL3_classA!$F$2:$F$37)),ABS(AI215-ICL3_classA!$F$2:$F$37),0))</f>
        <v>21</v>
      </c>
      <c r="V215" s="1">
        <v>61</v>
      </c>
      <c r="W215" s="1">
        <v>28</v>
      </c>
      <c r="X215" s="1">
        <f>VLOOKUP($B215&amp;"__wt",'SegEnds_Xtal_BW#'!$A:$Z,24,FALSE)</f>
        <v>56</v>
      </c>
      <c r="Y215" s="1">
        <f>VLOOKUP($B215&amp;"__wt",'SegEnds_Xtal_BW#'!$A:$Z,25,FALSE)</f>
        <v>47</v>
      </c>
      <c r="Z215" s="1">
        <f>VLOOKUP($B215&amp;"__wt",'SegEnds_Xtal_BW#'!$A:$Z,26,FALSE)</f>
        <v>59</v>
      </c>
      <c r="AA215" s="27" t="str">
        <f>VLOOKUP(A215,Classification!A:B,2,FALSE)</f>
        <v>A</v>
      </c>
      <c r="AB215" s="1">
        <f>VLOOKUP(A215,'SegEnds_NonXtal_Prot#'!A:AL,10,FALSE)-VLOOKUP(A215,'SegEnds_NonXtal_Prot#'!A:AL,4,FALSE)</f>
        <v>28</v>
      </c>
      <c r="AC215" s="1">
        <f>VLOOKUP(A215,'SegEnds_NonXtal_Prot#'!A:AL,10,FALSE)-VLOOKUP(A215,'SegEnds_NonXtal_Prot#'!A:AL,7,FALSE)</f>
        <v>15</v>
      </c>
      <c r="AD215" s="1">
        <f>VLOOKUP(A215,'SegEnds_NonXtal_Prot#'!A:AL,13,FALSE)-VLOOKUP(A215,'SegEnds_NonXtal_Prot#'!A:AL,10,FALSE)</f>
        <v>20</v>
      </c>
      <c r="AE215" s="1">
        <f>VLOOKUP(A215,'SegEnds_NonXtal_Prot#'!A:AL,16,FALSE)-VLOOKUP(A215,'SegEnds_NonXtal_Prot#'!A:AL,10,FALSE)</f>
        <v>52</v>
      </c>
      <c r="AF215" s="1">
        <f>VLOOKUP(A215,'SegEnds_NonXtal_Prot#'!A:AL,22,FALSE)-VLOOKUP(A215,'SegEnds_NonXtal_Prot#'!A:AL,19,FALSE)</f>
        <v>20</v>
      </c>
      <c r="AG215" s="1">
        <f>VLOOKUP(A215,'SegEnds_NonXtal_Prot#'!A:AL,28,FALSE)-VLOOKUP(A215,'SegEnds_NonXtal_Prot#'!A:AL,25,FALSE)</f>
        <v>25</v>
      </c>
      <c r="AH215" s="1">
        <f>VLOOKUP(A215,'SegEnds_NonXtal_Prot#'!A:AL,28,FALSE)-VLOOKUP(A215,'SegEnds_NonXtal_Prot#'!A:AL,22,FALSE)</f>
        <v>49</v>
      </c>
      <c r="AI215" s="1">
        <f>VLOOKUP(A215,'SegEnds_NonXtal_Prot#'!A:AL,31,FALSE)-VLOOKUP(A215,'SegEnds_NonXtal_Prot#'!A:AL,28,FALSE)</f>
        <v>62</v>
      </c>
      <c r="AJ215" s="1">
        <f>VLOOKUP(A215,'SegEnds_NonXtal_Prot#'!A:AL,34,FALSE)-VLOOKUP(A215,'SegEnds_NonXtal_Prot#'!A:AL,31,FALSE)</f>
        <v>42</v>
      </c>
      <c r="AK215" s="1">
        <f>VLOOKUP(A215,'SegEnds_NonXtal_Prot#'!A:AL,37,FALSE)-VLOOKUP(A215,'SegEnds_NonXtal_Prot#'!A:AL,34,FALSE)</f>
        <v>10</v>
      </c>
      <c r="AL215" s="1" t="str">
        <f>IF(ISERROR(MATCH(A215,'SegEnds_Xtal_Prot#'!B:B, 0)), "NoXtal", "Xtal")</f>
        <v>NoXtal</v>
      </c>
    </row>
    <row r="216" spans="1:38" x14ac:dyDescent="0.2">
      <c r="A216" s="1" t="s">
        <v>1175</v>
      </c>
      <c r="B216" s="1" t="str">
        <f>VLOOKUP(A216,Xtal_Templ!A:B,2,FALSE)</f>
        <v>ox1r_human</v>
      </c>
      <c r="C216" s="5">
        <f>VLOOKUP($B216&amp;"__wt",'SegEnds_Xtal_BW#'!$A:$Z,3,FALSE)</f>
        <v>32</v>
      </c>
      <c r="D216" s="1">
        <f>VLOOKUP($B216&amp;"__wt",'SegEnds_Xtal_BW#'!$A:$Z,4,FALSE)</f>
        <v>60</v>
      </c>
      <c r="E216" s="1">
        <f>VLOOKUP($B216&amp;"__wt",'SegEnds_Xtal_BW#'!$A:$Z,5,FALSE)</f>
        <v>48</v>
      </c>
      <c r="F216" s="1">
        <f>VLOOKUP($B216&amp;"__wt",'SegEnds_Xtal_BW#'!$A:$Z,6,FALSE)</f>
        <v>51</v>
      </c>
      <c r="G216" s="1">
        <v>37</v>
      </c>
      <c r="H216" s="12">
        <f>VLOOKUP($B216&amp;"__wt",'SegEnds_Xtal_BW#'!$A:$Z,8,FALSE)</f>
        <v>67</v>
      </c>
      <c r="I216" s="1">
        <f>VLOOKUP($B216&amp;"__wt",'SegEnds_Xtal_BW#'!$A:$Z,9,FALSE)</f>
        <v>49</v>
      </c>
      <c r="J216" s="1">
        <f>VLOOKUP($B216&amp;"__wt",'SegEnds_Xtal_BW#'!$A:$Z,10,FALSE)</f>
        <v>52</v>
      </c>
      <c r="K216" s="12">
        <v>18</v>
      </c>
      <c r="L216" s="1">
        <f>VLOOKUP($B216&amp;"__wt",'SegEnds_Xtal_BW#'!$A:$Z,12,FALSE)</f>
        <v>56</v>
      </c>
      <c r="M216" s="1">
        <f>VLOOKUP($B216&amp;"__wt",'SegEnds_Xtal_BW#'!$A:$Z,13,FALSE)</f>
        <v>50</v>
      </c>
      <c r="N216" s="12">
        <f>VLOOKUP($B216&amp;"__wt",'SegEnds_Xtal_BW#'!$A:$Z,14,FALSE)</f>
        <v>53</v>
      </c>
      <c r="O216" s="87">
        <f>VLOOKUP($B216&amp;"__wt",'SegEnds_Xtal_BW#'!$A:$Z,15,FALSE)</f>
        <v>38</v>
      </c>
      <c r="P216" s="1">
        <f>VLOOKUP($B216&amp;"__wt",'SegEnds_Xtal_BW#'!$A:$Z,16,FALSE)</f>
        <v>64</v>
      </c>
      <c r="Q216" s="1">
        <f>VLOOKUP($B216&amp;"__wt",'SegEnds_Xtal_BW#'!$A:$Z,17,FALSE)</f>
        <v>50</v>
      </c>
      <c r="R216" s="1">
        <f>VLOOKUP($B216&amp;"__wt",'SegEnds_Xtal_BW#'!$A:$Z,18,FALSE)</f>
        <v>52</v>
      </c>
      <c r="S216" s="1">
        <f>VLOOKUP($B216&amp;"__wt",'SegEnds_Xtal_BW#'!$A:$Z,19,FALSE)</f>
        <v>32</v>
      </c>
      <c r="T216" s="1">
        <f t="array" ref="T216">INDEX(ICL3_classA!$G$2:$G$37,MATCH(MIN(ABS(AI216-ICL3_classA!$F$2:$F$37)),ABS(AI216-ICL3_classA!$F$2:$F$37),0))</f>
        <v>76</v>
      </c>
      <c r="U216" s="1">
        <v>20</v>
      </c>
      <c r="V216" s="1">
        <v>61</v>
      </c>
      <c r="W216" s="1">
        <v>28</v>
      </c>
      <c r="X216" s="1">
        <f>VLOOKUP($B216&amp;"__wt",'SegEnds_Xtal_BW#'!$A:$Z,24,FALSE)</f>
        <v>56</v>
      </c>
      <c r="Y216" s="1">
        <f>VLOOKUP($B216&amp;"__wt",'SegEnds_Xtal_BW#'!$A:$Z,25,FALSE)</f>
        <v>47</v>
      </c>
      <c r="Z216" s="1">
        <f>VLOOKUP($B216&amp;"__wt",'SegEnds_Xtal_BW#'!$A:$Z,26,FALSE)</f>
        <v>58</v>
      </c>
      <c r="AA216" s="27" t="str">
        <f>VLOOKUP(A216,Classification!A:B,2,FALSE)</f>
        <v>A</v>
      </c>
      <c r="AB216" s="1">
        <f>VLOOKUP(A216,'SegEnds_NonXtal_Prot#'!A:AL,10,FALSE)-VLOOKUP(A216,'SegEnds_NonXtal_Prot#'!A:AL,4,FALSE)</f>
        <v>28</v>
      </c>
      <c r="AC216" s="1">
        <f>VLOOKUP(A216,'SegEnds_NonXtal_Prot#'!A:AL,10,FALSE)-VLOOKUP(A216,'SegEnds_NonXtal_Prot#'!A:AL,7,FALSE)</f>
        <v>15</v>
      </c>
      <c r="AD216" s="1">
        <f>VLOOKUP(A216,'SegEnds_NonXtal_Prot#'!A:AL,13,FALSE)-VLOOKUP(A216,'SegEnds_NonXtal_Prot#'!A:AL,10,FALSE)</f>
        <v>20</v>
      </c>
      <c r="AE216" s="1">
        <f>VLOOKUP(A216,'SegEnds_NonXtal_Prot#'!A:AL,16,FALSE)-VLOOKUP(A216,'SegEnds_NonXtal_Prot#'!A:AL,10,FALSE)</f>
        <v>52</v>
      </c>
      <c r="AF216" s="1">
        <f>VLOOKUP(A216,'SegEnds_NonXtal_Prot#'!A:AL,22,FALSE)-VLOOKUP(A216,'SegEnds_NonXtal_Prot#'!A:AL,19,FALSE)</f>
        <v>18</v>
      </c>
      <c r="AG216" s="1">
        <f>VLOOKUP(A216,'SegEnds_NonXtal_Prot#'!A:AL,28,FALSE)-VLOOKUP(A216,'SegEnds_NonXtal_Prot#'!A:AL,25,FALSE)</f>
        <v>25</v>
      </c>
      <c r="AH216" s="1">
        <f>VLOOKUP(A216,'SegEnds_NonXtal_Prot#'!A:AL,28,FALSE)-VLOOKUP(A216,'SegEnds_NonXtal_Prot#'!A:AL,22,FALSE)</f>
        <v>58</v>
      </c>
      <c r="AI216" s="12">
        <f>VLOOKUP(A216,'SegEnds_NonXtal_Prot#'!A:AL,31,FALSE)-VLOOKUP(A216,'SegEnds_NonXtal_Prot#'!A:AL,28,FALSE)</f>
        <v>86</v>
      </c>
      <c r="AJ216" s="1">
        <f>VLOOKUP(A216,'SegEnds_NonXtal_Prot#'!A:AL,34,FALSE)-VLOOKUP(A216,'SegEnds_NonXtal_Prot#'!A:AL,31,FALSE)</f>
        <v>42</v>
      </c>
      <c r="AK216" s="1">
        <f>VLOOKUP(A216,'SegEnds_NonXtal_Prot#'!A:AL,37,FALSE)-VLOOKUP(A216,'SegEnds_NonXtal_Prot#'!A:AL,34,FALSE)</f>
        <v>10</v>
      </c>
      <c r="AL216" s="12" t="str">
        <f>IF(ISERROR(MATCH(A216,'SegEnds_Xtal_Prot#'!B:B, 0)), "NoXtal", "Xtal")</f>
        <v>Xtal</v>
      </c>
    </row>
    <row r="217" spans="1:38" x14ac:dyDescent="0.2">
      <c r="A217" s="1" t="s">
        <v>1176</v>
      </c>
      <c r="B217" s="1" t="str">
        <f>VLOOKUP(A217,Xtal_Templ!A:B,2,FALSE)</f>
        <v>ox2r_human</v>
      </c>
      <c r="C217" s="5">
        <f>VLOOKUP($B217&amp;"__wt",'SegEnds_Xtal_BW#'!$A:$Z,3,FALSE)</f>
        <v>31</v>
      </c>
      <c r="D217" s="1">
        <f>VLOOKUP($B217&amp;"__wt",'SegEnds_Xtal_BW#'!$A:$Z,4,FALSE)</f>
        <v>60</v>
      </c>
      <c r="E217" s="1">
        <f>VLOOKUP($B217&amp;"__wt",'SegEnds_Xtal_BW#'!$A:$Z,5,FALSE)</f>
        <v>48</v>
      </c>
      <c r="F217" s="1">
        <f>VLOOKUP($B217&amp;"__wt",'SegEnds_Xtal_BW#'!$A:$Z,6,FALSE)</f>
        <v>51</v>
      </c>
      <c r="G217" s="1">
        <v>37</v>
      </c>
      <c r="H217" s="12">
        <f>VLOOKUP($B217&amp;"__wt",'SegEnds_Xtal_BW#'!$A:$Z,8,FALSE)</f>
        <v>68</v>
      </c>
      <c r="I217" s="1">
        <f>VLOOKUP($B217&amp;"__wt",'SegEnds_Xtal_BW#'!$A:$Z,9,FALSE)</f>
        <v>49</v>
      </c>
      <c r="J217" s="1">
        <f>VLOOKUP($B217&amp;"__wt",'SegEnds_Xtal_BW#'!$A:$Z,10,FALSE)</f>
        <v>52</v>
      </c>
      <c r="K217" s="12">
        <v>18</v>
      </c>
      <c r="L217" s="1">
        <f>VLOOKUP($B217&amp;"__wt",'SegEnds_Xtal_BW#'!$A:$Z,12,FALSE)</f>
        <v>56</v>
      </c>
      <c r="M217" s="1">
        <f>VLOOKUP($B217&amp;"__wt",'SegEnds_Xtal_BW#'!$A:$Z,13,FALSE)</f>
        <v>50</v>
      </c>
      <c r="N217" s="12">
        <f>VLOOKUP($B217&amp;"__wt",'SegEnds_Xtal_BW#'!$A:$Z,14,FALSE)</f>
        <v>53</v>
      </c>
      <c r="O217" s="87">
        <f>VLOOKUP($B217&amp;"__wt",'SegEnds_Xtal_BW#'!$A:$Z,15,FALSE)</f>
        <v>38</v>
      </c>
      <c r="P217" s="1">
        <f>VLOOKUP($B217&amp;"__wt",'SegEnds_Xtal_BW#'!$A:$Z,16,FALSE)</f>
        <v>64</v>
      </c>
      <c r="Q217" s="1">
        <f>VLOOKUP($B217&amp;"__wt",'SegEnds_Xtal_BW#'!$A:$Z,17,FALSE)</f>
        <v>50</v>
      </c>
      <c r="R217" s="1">
        <f>VLOOKUP($B217&amp;"__wt",'SegEnds_Xtal_BW#'!$A:$Z,18,FALSE)</f>
        <v>52</v>
      </c>
      <c r="S217" s="1">
        <f>VLOOKUP($B217&amp;"__wt",'SegEnds_Xtal_BW#'!$A:$Z,19,FALSE)</f>
        <v>33</v>
      </c>
      <c r="T217" s="1">
        <f t="array" ref="T217">INDEX(ICL3_classA!$G$2:$G$37,MATCH(MIN(ABS(AI217-ICL3_classA!$F$2:$F$37)),ABS(AI217-ICL3_classA!$F$2:$F$37),0))</f>
        <v>76</v>
      </c>
      <c r="U217" s="1">
        <v>20</v>
      </c>
      <c r="V217" s="1">
        <v>61</v>
      </c>
      <c r="W217" s="108">
        <v>27</v>
      </c>
      <c r="X217" s="1">
        <f>VLOOKUP($B217&amp;"__wt",'SegEnds_Xtal_BW#'!$A:$Z,24,FALSE)</f>
        <v>56</v>
      </c>
      <c r="Y217" s="1">
        <f>VLOOKUP($B217&amp;"__wt",'SegEnds_Xtal_BW#'!$A:$Z,25,FALSE)</f>
        <v>47</v>
      </c>
      <c r="Z217" s="1">
        <f>VLOOKUP($B217&amp;"__wt",'SegEnds_Xtal_BW#'!$A:$Z,26,FALSE)</f>
        <v>58</v>
      </c>
      <c r="AA217" s="27" t="str">
        <f>VLOOKUP(A217,Classification!A:B,2,FALSE)</f>
        <v>A</v>
      </c>
      <c r="AB217" s="1">
        <f>VLOOKUP(A217,'SegEnds_NonXtal_Prot#'!A:AL,10,FALSE)-VLOOKUP(A217,'SegEnds_NonXtal_Prot#'!A:AL,4,FALSE)</f>
        <v>28</v>
      </c>
      <c r="AC217" s="1">
        <f>VLOOKUP(A217,'SegEnds_NonXtal_Prot#'!A:AL,10,FALSE)-VLOOKUP(A217,'SegEnds_NonXtal_Prot#'!A:AL,7,FALSE)</f>
        <v>15</v>
      </c>
      <c r="AD217" s="1">
        <f>VLOOKUP(A217,'SegEnds_NonXtal_Prot#'!A:AL,13,FALSE)-VLOOKUP(A217,'SegEnds_NonXtal_Prot#'!A:AL,10,FALSE)</f>
        <v>20</v>
      </c>
      <c r="AE217" s="1">
        <f>VLOOKUP(A217,'SegEnds_NonXtal_Prot#'!A:AL,16,FALSE)-VLOOKUP(A217,'SegEnds_NonXtal_Prot#'!A:AL,10,FALSE)</f>
        <v>52</v>
      </c>
      <c r="AF217" s="1">
        <f>VLOOKUP(A217,'SegEnds_NonXtal_Prot#'!A:AL,22,FALSE)-VLOOKUP(A217,'SegEnds_NonXtal_Prot#'!A:AL,19,FALSE)</f>
        <v>18</v>
      </c>
      <c r="AG217" s="1">
        <f>VLOOKUP(A217,'SegEnds_NonXtal_Prot#'!A:AL,28,FALSE)-VLOOKUP(A217,'SegEnds_NonXtal_Prot#'!A:AL,25,FALSE)</f>
        <v>25</v>
      </c>
      <c r="AH217" s="1">
        <f>VLOOKUP(A217,'SegEnds_NonXtal_Prot#'!A:AL,28,FALSE)-VLOOKUP(A217,'SegEnds_NonXtal_Prot#'!A:AL,22,FALSE)</f>
        <v>58</v>
      </c>
      <c r="AI217" s="12">
        <f>VLOOKUP(A217,'SegEnds_NonXtal_Prot#'!A:AL,31,FALSE)-VLOOKUP(A217,'SegEnds_NonXtal_Prot#'!A:AL,28,FALSE)</f>
        <v>84</v>
      </c>
      <c r="AJ217" s="1">
        <f>VLOOKUP(A217,'SegEnds_NonXtal_Prot#'!A:AL,34,FALSE)-VLOOKUP(A217,'SegEnds_NonXtal_Prot#'!A:AL,31,FALSE)</f>
        <v>42</v>
      </c>
      <c r="AK217" s="1">
        <f>VLOOKUP(A217,'SegEnds_NonXtal_Prot#'!A:AL,37,FALSE)-VLOOKUP(A217,'SegEnds_NonXtal_Prot#'!A:AL,34,FALSE)</f>
        <v>10</v>
      </c>
      <c r="AL217" s="12" t="str">
        <f>IF(ISERROR(MATCH(A217,'SegEnds_Xtal_Prot#'!B:B, 0)), "NoXtal", "Xtal")</f>
        <v>Xtal</v>
      </c>
    </row>
    <row r="218" spans="1:38" x14ac:dyDescent="0.2">
      <c r="A218" s="1" t="s">
        <v>342</v>
      </c>
      <c r="B218" s="1" t="str">
        <f>VLOOKUP(A218,Xtal_Templ!A:B,2,FALSE)</f>
        <v>pd2r2_human</v>
      </c>
      <c r="C218" s="5">
        <f>VLOOKUP($B218&amp;"__wt",'SegEnds_Xtal_BW#'!$A:$Z,3,FALSE)</f>
        <v>32</v>
      </c>
      <c r="D218" s="1">
        <f>VLOOKUP($B218&amp;"__wt",'SegEnds_Xtal_BW#'!$A:$Z,4,FALSE)</f>
        <v>60</v>
      </c>
      <c r="E218" s="1" t="str">
        <f>VLOOKUP($B218&amp;"__wt",'SegEnds_Xtal_BW#'!$A:$Z,5,FALSE)</f>
        <v>-</v>
      </c>
      <c r="F218" s="1" t="str">
        <f>VLOOKUP($B218&amp;"__wt",'SegEnds_Xtal_BW#'!$A:$Z,6,FALSE)</f>
        <v>-</v>
      </c>
      <c r="G218" s="1">
        <v>37</v>
      </c>
      <c r="H218" s="12">
        <f>VLOOKUP($B218&amp;"__wt",'SegEnds_Xtal_BW#'!$A:$Z,8,FALSE)</f>
        <v>67</v>
      </c>
      <c r="I218" s="1">
        <f>VLOOKUP($B218&amp;"__wt",'SegEnds_Xtal_BW#'!$A:$Z,9,FALSE)</f>
        <v>49</v>
      </c>
      <c r="J218" s="1">
        <f>VLOOKUP($B218&amp;"__wt",'SegEnds_Xtal_BW#'!$A:$Z,10,FALSE)</f>
        <v>52</v>
      </c>
      <c r="K218" s="12">
        <v>18</v>
      </c>
      <c r="L218" s="1">
        <f>VLOOKUP($B218&amp;"__wt",'SegEnds_Xtal_BW#'!$A:$Z,12,FALSE)</f>
        <v>56</v>
      </c>
      <c r="M218" s="1">
        <f>VLOOKUP($B218&amp;"__wt",'SegEnds_Xtal_BW#'!$A:$Z,13,FALSE)</f>
        <v>50</v>
      </c>
      <c r="N218" s="12">
        <f>VLOOKUP($B218&amp;"__wt",'SegEnds_Xtal_BW#'!$A:$Z,14,FALSE)</f>
        <v>57</v>
      </c>
      <c r="O218" s="87">
        <f>VLOOKUP($B218&amp;"__wt",'SegEnds_Xtal_BW#'!$A:$Z,15,FALSE)</f>
        <v>38</v>
      </c>
      <c r="P218" s="1">
        <f>VLOOKUP($B218&amp;"__wt",'SegEnds_Xtal_BW#'!$A:$Z,16,FALSE)</f>
        <v>64</v>
      </c>
      <c r="Q218" s="1">
        <f>VLOOKUP($B218&amp;"__wt",'SegEnds_Xtal_BW#'!$A:$Z,17,FALSE)</f>
        <v>50</v>
      </c>
      <c r="R218" s="1">
        <f>VLOOKUP($B218&amp;"__wt",'SegEnds_Xtal_BW#'!$A:$Z,18,FALSE)</f>
        <v>52</v>
      </c>
      <c r="S218" s="1">
        <f>VLOOKUP($B218&amp;"__wt",'SegEnds_Xtal_BW#'!$A:$Z,19,FALSE)</f>
        <v>26</v>
      </c>
      <c r="T218" s="1">
        <f t="array" ref="T218">INDEX(ICL3_classA!$G$2:$G$37,MATCH(MIN(ABS(AI218-ICL3_classA!$F$2:$F$37)),ABS(AI218-ICL3_classA!$F$2:$F$37),0))</f>
        <v>67</v>
      </c>
      <c r="U218" s="1">
        <f t="array" ref="U218">INDEX(ICL3_classA!$H$2:$H$37,MATCH(MIN(ABS(AI218-ICL3_classA!$F$2:$F$37)),ABS(AI218-ICL3_classA!$F$2:$F$37),0))</f>
        <v>26</v>
      </c>
      <c r="V218" s="1">
        <v>61</v>
      </c>
      <c r="W218" s="1">
        <v>28</v>
      </c>
      <c r="X218" s="1">
        <f>VLOOKUP($B218&amp;"__wt",'SegEnds_Xtal_BW#'!$A:$Z,24,FALSE)</f>
        <v>56</v>
      </c>
      <c r="Y218" s="1">
        <f>VLOOKUP($B218&amp;"__wt",'SegEnds_Xtal_BW#'!$A:$Z,25,FALSE)</f>
        <v>47</v>
      </c>
      <c r="Z218" s="1">
        <f>VLOOKUP($B218&amp;"__wt",'SegEnds_Xtal_BW#'!$A:$Z,26,FALSE)</f>
        <v>64</v>
      </c>
      <c r="AA218" s="27" t="str">
        <f>VLOOKUP(A218,Classification!A:B,2,FALSE)</f>
        <v>A</v>
      </c>
      <c r="AB218" s="1">
        <f>VLOOKUP(A218,'SegEnds_NonXtal_Prot#'!A:AL,10,FALSE)-VLOOKUP(A218,'SegEnds_NonXtal_Prot#'!A:AL,4,FALSE)</f>
        <v>28</v>
      </c>
      <c r="AC218" s="1">
        <f>VLOOKUP(A218,'SegEnds_NonXtal_Prot#'!A:AL,10,FALSE)-VLOOKUP(A218,'SegEnds_NonXtal_Prot#'!A:AL,7,FALSE)</f>
        <v>15</v>
      </c>
      <c r="AD218" s="1">
        <f>VLOOKUP(A218,'SegEnds_NonXtal_Prot#'!A:AL,13,FALSE)-VLOOKUP(A218,'SegEnds_NonXtal_Prot#'!A:AL,10,FALSE)</f>
        <v>20</v>
      </c>
      <c r="AE218" s="1">
        <f>VLOOKUP(A218,'SegEnds_NonXtal_Prot#'!A:AL,16,FALSE)-VLOOKUP(A218,'SegEnds_NonXtal_Prot#'!A:AL,10,FALSE)</f>
        <v>52</v>
      </c>
      <c r="AF218" s="1">
        <f>VLOOKUP(A218,'SegEnds_NonXtal_Prot#'!A:AL,22,FALSE)-VLOOKUP(A218,'SegEnds_NonXtal_Prot#'!A:AL,19,FALSE)</f>
        <v>20</v>
      </c>
      <c r="AG218" s="1">
        <f>VLOOKUP(A218,'SegEnds_NonXtal_Prot#'!A:AL,28,FALSE)-VLOOKUP(A218,'SegEnds_NonXtal_Prot#'!A:AL,25,FALSE)</f>
        <v>27</v>
      </c>
      <c r="AH218" s="1">
        <f>VLOOKUP(A218,'SegEnds_NonXtal_Prot#'!A:AL,28,FALSE)-VLOOKUP(A218,'SegEnds_NonXtal_Prot#'!A:AL,22,FALSE)</f>
        <v>47</v>
      </c>
      <c r="AI218" s="1">
        <f>VLOOKUP(A218,'SegEnds_NonXtal_Prot#'!A:AL,31,FALSE)-VLOOKUP(A218,'SegEnds_NonXtal_Prot#'!A:AL,28,FALSE)</f>
        <v>46</v>
      </c>
      <c r="AJ218" s="1">
        <f>VLOOKUP(A218,'SegEnds_NonXtal_Prot#'!A:AL,34,FALSE)-VLOOKUP(A218,'SegEnds_NonXtal_Prot#'!A:AL,31,FALSE)</f>
        <v>42</v>
      </c>
      <c r="AK218" s="1">
        <f>VLOOKUP(A218,'SegEnds_NonXtal_Prot#'!A:AL,37,FALSE)-VLOOKUP(A218,'SegEnds_NonXtal_Prot#'!A:AL,34,FALSE)</f>
        <v>10</v>
      </c>
      <c r="AL218" s="1" t="str">
        <f>IF(ISERROR(MATCH(A218,'SegEnds_Xtal_Prot#'!B:B, 0)), "NoXtal", "Xtal")</f>
        <v>NoXtal</v>
      </c>
    </row>
    <row r="219" spans="1:38" x14ac:dyDescent="0.2">
      <c r="A219" s="1" t="s">
        <v>160</v>
      </c>
      <c r="B219" s="1" t="str">
        <f>VLOOKUP(A219,Xtal_Templ!A:B,2,FALSE)</f>
        <v>apj_human</v>
      </c>
      <c r="C219" s="5">
        <f>VLOOKUP($B219&amp;"__wt",'SegEnds_Xtal_BW#'!$A:$Z,3,FALSE)</f>
        <v>33</v>
      </c>
      <c r="D219" s="1">
        <f>VLOOKUP($B219&amp;"__wt",'SegEnds_Xtal_BW#'!$A:$Z,4,FALSE)</f>
        <v>60</v>
      </c>
      <c r="E219" s="1">
        <f>VLOOKUP($B219&amp;"__wt",'SegEnds_Xtal_BW#'!$A:$Z,5,FALSE)</f>
        <v>48</v>
      </c>
      <c r="F219" s="1">
        <f>VLOOKUP($B219&amp;"__wt",'SegEnds_Xtal_BW#'!$A:$Z,6,FALSE)</f>
        <v>52</v>
      </c>
      <c r="G219" s="1">
        <v>37</v>
      </c>
      <c r="H219" s="12">
        <f>VLOOKUP($B219&amp;"__wt",'SegEnds_Xtal_BW#'!$A:$Z,8,FALSE)</f>
        <v>67</v>
      </c>
      <c r="I219" s="1">
        <f>VLOOKUP($B219&amp;"__wt",'SegEnds_Xtal_BW#'!$A:$Z,9,FALSE)</f>
        <v>49</v>
      </c>
      <c r="J219" s="1">
        <f>VLOOKUP($B219&amp;"__wt",'SegEnds_Xtal_BW#'!$A:$Z,10,FALSE)</f>
        <v>52</v>
      </c>
      <c r="K219" s="12">
        <v>18</v>
      </c>
      <c r="L219" s="1">
        <f>VLOOKUP($B219&amp;"__wt",'SegEnds_Xtal_BW#'!$A:$Z,12,FALSE)</f>
        <v>56</v>
      </c>
      <c r="M219" s="1">
        <f>VLOOKUP($B219&amp;"__wt",'SegEnds_Xtal_BW#'!$A:$Z,13,FALSE)</f>
        <v>50</v>
      </c>
      <c r="N219" s="12">
        <f>VLOOKUP($B219&amp;"__wt",'SegEnds_Xtal_BW#'!$A:$Z,14,FALSE)</f>
        <v>57</v>
      </c>
      <c r="O219" s="87">
        <v>38</v>
      </c>
      <c r="P219" s="1">
        <f>VLOOKUP($B219&amp;"__wt",'SegEnds_Xtal_BW#'!$A:$Z,16,FALSE)</f>
        <v>64</v>
      </c>
      <c r="Q219" s="1">
        <f>VLOOKUP($B219&amp;"__wt",'SegEnds_Xtal_BW#'!$A:$Z,17,FALSE)</f>
        <v>50</v>
      </c>
      <c r="R219" s="1">
        <f>VLOOKUP($B219&amp;"__wt",'SegEnds_Xtal_BW#'!$A:$Z,18,FALSE)</f>
        <v>52</v>
      </c>
      <c r="S219" s="1">
        <f>VLOOKUP($B219&amp;"__wt",'SegEnds_Xtal_BW#'!$A:$Z,19,FALSE)</f>
        <v>30</v>
      </c>
      <c r="T219" s="1">
        <f t="array" ref="T219">INDEX(ICL3_classA!$G$2:$G$37,MATCH(MIN(ABS(AI219-ICL3_classA!$F$2:$F$37)),ABS(AI219-ICL3_classA!$F$2:$F$37),0))</f>
        <v>72</v>
      </c>
      <c r="U219" s="1">
        <f t="array" ref="U219">INDEX(ICL3_classA!$H$2:$H$37,MATCH(MIN(ABS(AI219-ICL3_classA!$F$2:$F$37)),ABS(AI219-ICL3_classA!$F$2:$F$37),0))</f>
        <v>29</v>
      </c>
      <c r="V219" s="108">
        <v>63</v>
      </c>
      <c r="W219" s="1">
        <v>24</v>
      </c>
      <c r="X219" s="1">
        <f>VLOOKUP($B219&amp;"__wt",'SegEnds_Xtal_BW#'!$A:$Z,24,FALSE)</f>
        <v>56</v>
      </c>
      <c r="Y219" s="1">
        <f>VLOOKUP($B219&amp;"__wt",'SegEnds_Xtal_BW#'!$A:$Z,25,FALSE)</f>
        <v>47</v>
      </c>
      <c r="Z219" s="1">
        <f>VLOOKUP($B219&amp;"__wt",'SegEnds_Xtal_BW#'!$A:$Z,26,FALSE)</f>
        <v>61</v>
      </c>
      <c r="AA219" s="27" t="str">
        <f>VLOOKUP(A219,Classification!A:B,2,FALSE)</f>
        <v>A</v>
      </c>
      <c r="AB219" s="1">
        <f>VLOOKUP(A219,'SegEnds_NonXtal_Prot#'!A:AL,10,FALSE)-VLOOKUP(A219,'SegEnds_NonXtal_Prot#'!A:AL,4,FALSE)</f>
        <v>29</v>
      </c>
      <c r="AC219" s="1">
        <f>VLOOKUP(A219,'SegEnds_NonXtal_Prot#'!A:AL,10,FALSE)-VLOOKUP(A219,'SegEnds_NonXtal_Prot#'!A:AL,7,FALSE)</f>
        <v>16</v>
      </c>
      <c r="AD219" s="1">
        <f>VLOOKUP(A219,'SegEnds_NonXtal_Prot#'!A:AL,13,FALSE)-VLOOKUP(A219,'SegEnds_NonXtal_Prot#'!A:AL,10,FALSE)</f>
        <v>20</v>
      </c>
      <c r="AE219" s="1">
        <f>VLOOKUP(A219,'SegEnds_NonXtal_Prot#'!A:AL,16,FALSE)-VLOOKUP(A219,'SegEnds_NonXtal_Prot#'!A:AL,10,FALSE)</f>
        <v>52</v>
      </c>
      <c r="AF219" s="1">
        <f>VLOOKUP(A219,'SegEnds_NonXtal_Prot#'!A:AL,22,FALSE)-VLOOKUP(A219,'SegEnds_NonXtal_Prot#'!A:AL,19,FALSE)</f>
        <v>20</v>
      </c>
      <c r="AG219" s="1">
        <f>VLOOKUP(A219,'SegEnds_NonXtal_Prot#'!A:AL,28,FALSE)-VLOOKUP(A219,'SegEnds_NonXtal_Prot#'!A:AL,25,FALSE)</f>
        <v>32</v>
      </c>
      <c r="AH219" s="1">
        <f>VLOOKUP(A219,'SegEnds_NonXtal_Prot#'!A:AL,28,FALSE)-VLOOKUP(A219,'SegEnds_NonXtal_Prot#'!A:AL,22,FALSE)</f>
        <v>59</v>
      </c>
      <c r="AI219" s="1">
        <f>VLOOKUP(A219,'SegEnds_NonXtal_Prot#'!A:AL,31,FALSE)-VLOOKUP(A219,'SegEnds_NonXtal_Prot#'!A:AL,28,FALSE)</f>
        <v>50</v>
      </c>
      <c r="AJ219" s="1">
        <f>VLOOKUP(A219,'SegEnds_NonXtal_Prot#'!A:AL,34,FALSE)-VLOOKUP(A219,'SegEnds_NonXtal_Prot#'!A:AL,31,FALSE)</f>
        <v>43</v>
      </c>
      <c r="AK219" s="1">
        <f>VLOOKUP(A219,'SegEnds_NonXtal_Prot#'!A:AL,37,FALSE)-VLOOKUP(A219,'SegEnds_NonXtal_Prot#'!A:AL,34,FALSE)</f>
        <v>10</v>
      </c>
      <c r="AL219" s="1" t="str">
        <f>IF(ISERROR(MATCH(A219,'SegEnds_Xtal_Prot#'!B:B, 0)), "NoXtal", "Xtal")</f>
        <v>Xtal</v>
      </c>
    </row>
    <row r="220" spans="1:38" x14ac:dyDescent="0.2">
      <c r="A220" s="1" t="s">
        <v>202</v>
      </c>
      <c r="B220" s="1" t="str">
        <f>VLOOKUP(A220,Xtal_Templ!A:B,2,FALSE)</f>
        <v>pd2r2_human</v>
      </c>
      <c r="C220" s="5">
        <f>VLOOKUP($B220&amp;"__wt",'SegEnds_Xtal_BW#'!$A:$Z,3,FALSE)</f>
        <v>32</v>
      </c>
      <c r="D220" s="1">
        <f>VLOOKUP($B220&amp;"__wt",'SegEnds_Xtal_BW#'!$A:$Z,4,FALSE)</f>
        <v>60</v>
      </c>
      <c r="E220" s="1" t="str">
        <f>VLOOKUP($B220&amp;"__wt",'SegEnds_Xtal_BW#'!$A:$Z,5,FALSE)</f>
        <v>-</v>
      </c>
      <c r="F220" s="1" t="str">
        <f>VLOOKUP($B220&amp;"__wt",'SegEnds_Xtal_BW#'!$A:$Z,6,FALSE)</f>
        <v>-</v>
      </c>
      <c r="G220" s="1">
        <v>37</v>
      </c>
      <c r="H220" s="12">
        <f>VLOOKUP($B220&amp;"__wt",'SegEnds_Xtal_BW#'!$A:$Z,8,FALSE)</f>
        <v>67</v>
      </c>
      <c r="I220" s="1">
        <f>VLOOKUP($B220&amp;"__wt",'SegEnds_Xtal_BW#'!$A:$Z,9,FALSE)</f>
        <v>49</v>
      </c>
      <c r="J220" s="1">
        <f>VLOOKUP($B220&amp;"__wt",'SegEnds_Xtal_BW#'!$A:$Z,10,FALSE)</f>
        <v>52</v>
      </c>
      <c r="K220" s="12">
        <v>18</v>
      </c>
      <c r="L220" s="1">
        <f>VLOOKUP($B220&amp;"__wt",'SegEnds_Xtal_BW#'!$A:$Z,12,FALSE)</f>
        <v>56</v>
      </c>
      <c r="M220" s="1">
        <f>VLOOKUP($B220&amp;"__wt",'SegEnds_Xtal_BW#'!$A:$Z,13,FALSE)</f>
        <v>50</v>
      </c>
      <c r="N220" s="12">
        <f>VLOOKUP($B220&amp;"__wt",'SegEnds_Xtal_BW#'!$A:$Z,14,FALSE)</f>
        <v>57</v>
      </c>
      <c r="O220" s="87">
        <v>38</v>
      </c>
      <c r="P220" s="1">
        <f>VLOOKUP($B220&amp;"__wt",'SegEnds_Xtal_BW#'!$A:$Z,16,FALSE)</f>
        <v>64</v>
      </c>
      <c r="Q220" s="1">
        <f>VLOOKUP($B220&amp;"__wt",'SegEnds_Xtal_BW#'!$A:$Z,17,FALSE)</f>
        <v>50</v>
      </c>
      <c r="R220" s="1">
        <f>VLOOKUP($B220&amp;"__wt",'SegEnds_Xtal_BW#'!$A:$Z,18,FALSE)</f>
        <v>52</v>
      </c>
      <c r="S220" s="1">
        <f>VLOOKUP($B220&amp;"__wt",'SegEnds_Xtal_BW#'!$A:$Z,19,FALSE)</f>
        <v>26</v>
      </c>
      <c r="T220" s="1">
        <f t="array" ref="T220">INDEX(ICL3_classA!$G$2:$G$37,MATCH(MIN(ABS(AI220-ICL3_classA!$F$2:$F$37)),ABS(AI220-ICL3_classA!$F$2:$F$37),0))</f>
        <v>68</v>
      </c>
      <c r="U220" s="1">
        <f t="array" ref="U220">INDEX(ICL3_classA!$H$2:$H$37,MATCH(MIN(ABS(AI220-ICL3_classA!$F$2:$F$37)),ABS(AI220-ICL3_classA!$F$2:$F$37),0))</f>
        <v>30</v>
      </c>
      <c r="V220" s="1">
        <v>61</v>
      </c>
      <c r="W220" s="1">
        <v>24</v>
      </c>
      <c r="X220" s="108">
        <v>56</v>
      </c>
      <c r="Y220" s="1">
        <f>VLOOKUP($B220&amp;"__wt",'SegEnds_Xtal_BW#'!$A:$Z,25,FALSE)</f>
        <v>47</v>
      </c>
      <c r="Z220" s="1">
        <f>VLOOKUP($B220&amp;"__wt",'SegEnds_Xtal_BW#'!$A:$Z,26,FALSE)</f>
        <v>64</v>
      </c>
      <c r="AA220" s="27" t="str">
        <f>VLOOKUP(A220,Classification!A:B,2,FALSE)</f>
        <v>A</v>
      </c>
      <c r="AB220" s="1">
        <f>VLOOKUP(A220,'SegEnds_NonXtal_Prot#'!A:AL,10,FALSE)-VLOOKUP(A220,'SegEnds_NonXtal_Prot#'!A:AL,4,FALSE)</f>
        <v>27</v>
      </c>
      <c r="AC220" s="1" t="e">
        <f>VLOOKUP(A220,'SegEnds_NonXtal_Prot#'!A:AL,10,FALSE)-VLOOKUP(A220,'SegEnds_NonXtal_Prot#'!A:AL,7,FALSE)</f>
        <v>#VALUE!</v>
      </c>
      <c r="AD220" s="1">
        <f>VLOOKUP(A220,'SegEnds_NonXtal_Prot#'!A:AL,13,FALSE)-VLOOKUP(A220,'SegEnds_NonXtal_Prot#'!A:AL,10,FALSE)</f>
        <v>20</v>
      </c>
      <c r="AE220" s="1">
        <f>VLOOKUP(A220,'SegEnds_NonXtal_Prot#'!A:AL,16,FALSE)-VLOOKUP(A220,'SegEnds_NonXtal_Prot#'!A:AL,10,FALSE)</f>
        <v>52</v>
      </c>
      <c r="AF220" s="1">
        <f>VLOOKUP(A220,'SegEnds_NonXtal_Prot#'!A:AL,22,FALSE)-VLOOKUP(A220,'SegEnds_NonXtal_Prot#'!A:AL,19,FALSE)</f>
        <v>20</v>
      </c>
      <c r="AG220" s="1">
        <f>VLOOKUP(A220,'SegEnds_NonXtal_Prot#'!A:AL,28,FALSE)-VLOOKUP(A220,'SegEnds_NonXtal_Prot#'!A:AL,25,FALSE)</f>
        <v>37</v>
      </c>
      <c r="AH220" s="1">
        <f>VLOOKUP(A220,'SegEnds_NonXtal_Prot#'!A:AL,28,FALSE)-VLOOKUP(A220,'SegEnds_NonXtal_Prot#'!A:AL,22,FALSE)</f>
        <v>63</v>
      </c>
      <c r="AI220" s="1">
        <f>VLOOKUP(A220,'SegEnds_NonXtal_Prot#'!A:AL,31,FALSE)-VLOOKUP(A220,'SegEnds_NonXtal_Prot#'!A:AL,28,FALSE)</f>
        <v>43</v>
      </c>
      <c r="AJ220" s="1">
        <f>VLOOKUP(A220,'SegEnds_NonXtal_Prot#'!A:AL,34,FALSE)-VLOOKUP(A220,'SegEnds_NonXtal_Prot#'!A:AL,31,FALSE)</f>
        <v>43</v>
      </c>
      <c r="AK220" s="1">
        <f>VLOOKUP(A220,'SegEnds_NonXtal_Prot#'!A:AL,37,FALSE)-VLOOKUP(A220,'SegEnds_NonXtal_Prot#'!A:AL,34,FALSE)</f>
        <v>10</v>
      </c>
      <c r="AL220" s="1" t="str">
        <f>IF(ISERROR(MATCH(A220,'SegEnds_Xtal_Prot#'!B:B, 0)), "NoXtal", "Xtal")</f>
        <v>NoXtal</v>
      </c>
    </row>
    <row r="221" spans="1:38" x14ac:dyDescent="0.2">
      <c r="A221" s="1" t="s">
        <v>203</v>
      </c>
      <c r="B221" s="1" t="str">
        <f>VLOOKUP(A221,Xtal_Templ!A:B,2,FALSE)</f>
        <v>pd2r2_human</v>
      </c>
      <c r="C221" s="5">
        <f>VLOOKUP($B221&amp;"__wt",'SegEnds_Xtal_BW#'!$A:$Z,3,FALSE)</f>
        <v>32</v>
      </c>
      <c r="D221" s="1">
        <f>VLOOKUP($B221&amp;"__wt",'SegEnds_Xtal_BW#'!$A:$Z,4,FALSE)</f>
        <v>60</v>
      </c>
      <c r="E221" s="1" t="str">
        <f>VLOOKUP($B221&amp;"__wt",'SegEnds_Xtal_BW#'!$A:$Z,5,FALSE)</f>
        <v>-</v>
      </c>
      <c r="F221" s="1" t="str">
        <f>VLOOKUP($B221&amp;"__wt",'SegEnds_Xtal_BW#'!$A:$Z,6,FALSE)</f>
        <v>-</v>
      </c>
      <c r="G221" s="1">
        <v>37</v>
      </c>
      <c r="H221" s="12">
        <f>VLOOKUP($B221&amp;"__wt",'SegEnds_Xtal_BW#'!$A:$Z,8,FALSE)</f>
        <v>67</v>
      </c>
      <c r="I221" s="1">
        <f>VLOOKUP($B221&amp;"__wt",'SegEnds_Xtal_BW#'!$A:$Z,9,FALSE)</f>
        <v>49</v>
      </c>
      <c r="J221" s="1">
        <f>VLOOKUP($B221&amp;"__wt",'SegEnds_Xtal_BW#'!$A:$Z,10,FALSE)</f>
        <v>52</v>
      </c>
      <c r="K221" s="12">
        <v>18</v>
      </c>
      <c r="L221" s="1">
        <f>VLOOKUP($B221&amp;"__wt",'SegEnds_Xtal_BW#'!$A:$Z,12,FALSE)</f>
        <v>56</v>
      </c>
      <c r="M221" s="1">
        <f>VLOOKUP($B221&amp;"__wt",'SegEnds_Xtal_BW#'!$A:$Z,13,FALSE)</f>
        <v>50</v>
      </c>
      <c r="N221" s="12">
        <f>VLOOKUP($B221&amp;"__wt",'SegEnds_Xtal_BW#'!$A:$Z,14,FALSE)</f>
        <v>57</v>
      </c>
      <c r="O221" s="87">
        <v>38</v>
      </c>
      <c r="P221" s="1">
        <f>VLOOKUP($B221&amp;"__wt",'SegEnds_Xtal_BW#'!$A:$Z,16,FALSE)</f>
        <v>64</v>
      </c>
      <c r="Q221" s="1">
        <f>VLOOKUP($B221&amp;"__wt",'SegEnds_Xtal_BW#'!$A:$Z,17,FALSE)</f>
        <v>50</v>
      </c>
      <c r="R221" s="1">
        <f>VLOOKUP($B221&amp;"__wt",'SegEnds_Xtal_BW#'!$A:$Z,18,FALSE)</f>
        <v>52</v>
      </c>
      <c r="S221" s="1">
        <f>VLOOKUP($B221&amp;"__wt",'SegEnds_Xtal_BW#'!$A:$Z,19,FALSE)</f>
        <v>26</v>
      </c>
      <c r="T221" s="1">
        <f t="array" ref="T221">INDEX(ICL3_classA!$G$2:$G$37,MATCH(MIN(ABS(AI221-ICL3_classA!$F$2:$F$37)),ABS(AI221-ICL3_classA!$F$2:$F$37),0))</f>
        <v>68</v>
      </c>
      <c r="U221" s="1">
        <f t="array" ref="U221">INDEX(ICL3_classA!$H$2:$H$37,MATCH(MIN(ABS(AI221-ICL3_classA!$F$2:$F$37)),ABS(AI221-ICL3_classA!$F$2:$F$37),0))</f>
        <v>30</v>
      </c>
      <c r="V221" s="1">
        <v>61</v>
      </c>
      <c r="W221" s="1">
        <v>24</v>
      </c>
      <c r="X221" s="108">
        <v>56</v>
      </c>
      <c r="Y221" s="1">
        <f>VLOOKUP($B221&amp;"__wt",'SegEnds_Xtal_BW#'!$A:$Z,25,FALSE)</f>
        <v>47</v>
      </c>
      <c r="Z221" s="1">
        <f>VLOOKUP($B221&amp;"__wt",'SegEnds_Xtal_BW#'!$A:$Z,26,FALSE)</f>
        <v>64</v>
      </c>
      <c r="AA221" s="27" t="str">
        <f>VLOOKUP(A221,Classification!A:B,2,FALSE)</f>
        <v>A</v>
      </c>
      <c r="AB221" s="1">
        <f>VLOOKUP(A221,'SegEnds_NonXtal_Prot#'!A:AL,10,FALSE)-VLOOKUP(A221,'SegEnds_NonXtal_Prot#'!A:AL,4,FALSE)</f>
        <v>27</v>
      </c>
      <c r="AC221" s="1" t="e">
        <f>VLOOKUP(A221,'SegEnds_NonXtal_Prot#'!A:AL,10,FALSE)-VLOOKUP(A221,'SegEnds_NonXtal_Prot#'!A:AL,7,FALSE)</f>
        <v>#VALUE!</v>
      </c>
      <c r="AD221" s="1">
        <f>VLOOKUP(A221,'SegEnds_NonXtal_Prot#'!A:AL,13,FALSE)-VLOOKUP(A221,'SegEnds_NonXtal_Prot#'!A:AL,10,FALSE)</f>
        <v>20</v>
      </c>
      <c r="AE221" s="1">
        <f>VLOOKUP(A221,'SegEnds_NonXtal_Prot#'!A:AL,16,FALSE)-VLOOKUP(A221,'SegEnds_NonXtal_Prot#'!A:AL,10,FALSE)</f>
        <v>52</v>
      </c>
      <c r="AF221" s="1">
        <f>VLOOKUP(A221,'SegEnds_NonXtal_Prot#'!A:AL,22,FALSE)-VLOOKUP(A221,'SegEnds_NonXtal_Prot#'!A:AL,19,FALSE)</f>
        <v>20</v>
      </c>
      <c r="AG221" s="1">
        <f>VLOOKUP(A221,'SegEnds_NonXtal_Prot#'!A:AL,28,FALSE)-VLOOKUP(A221,'SegEnds_NonXtal_Prot#'!A:AL,25,FALSE)</f>
        <v>37</v>
      </c>
      <c r="AH221" s="1">
        <f>VLOOKUP(A221,'SegEnds_NonXtal_Prot#'!A:AL,28,FALSE)-VLOOKUP(A221,'SegEnds_NonXtal_Prot#'!A:AL,22,FALSE)</f>
        <v>63</v>
      </c>
      <c r="AI221" s="1">
        <f>VLOOKUP(A221,'SegEnds_NonXtal_Prot#'!A:AL,31,FALSE)-VLOOKUP(A221,'SegEnds_NonXtal_Prot#'!A:AL,28,FALSE)</f>
        <v>43</v>
      </c>
      <c r="AJ221" s="1">
        <f>VLOOKUP(A221,'SegEnds_NonXtal_Prot#'!A:AL,34,FALSE)-VLOOKUP(A221,'SegEnds_NonXtal_Prot#'!A:AL,31,FALSE)</f>
        <v>43</v>
      </c>
      <c r="AK221" s="1">
        <f>VLOOKUP(A221,'SegEnds_NonXtal_Prot#'!A:AL,37,FALSE)-VLOOKUP(A221,'SegEnds_NonXtal_Prot#'!A:AL,34,FALSE)</f>
        <v>10</v>
      </c>
      <c r="AL221" s="1" t="str">
        <f>IF(ISERROR(MATCH(A221,'SegEnds_Xtal_Prot#'!B:B, 0)), "NoXtal", "Xtal")</f>
        <v>NoXtal</v>
      </c>
    </row>
    <row r="222" spans="1:38" x14ac:dyDescent="0.2">
      <c r="A222" s="1" t="s">
        <v>239</v>
      </c>
      <c r="B222" s="1" t="str">
        <f>VLOOKUP(A222,Xtal_Templ!A:B,2,FALSE)</f>
        <v>agtr1_human</v>
      </c>
      <c r="C222" s="5">
        <f>VLOOKUP($B222&amp;"__wt",'SegEnds_Xtal_BW#'!$A:$Z,3,FALSE)</f>
        <v>28</v>
      </c>
      <c r="D222" s="1">
        <f>VLOOKUP($B222&amp;"__wt",'SegEnds_Xtal_BW#'!$A:$Z,4,FALSE)</f>
        <v>60</v>
      </c>
      <c r="E222" s="1">
        <f>VLOOKUP($B222&amp;"__wt",'SegEnds_Xtal_BW#'!$A:$Z,5,FALSE)</f>
        <v>48</v>
      </c>
      <c r="F222" s="1">
        <f>VLOOKUP($B222&amp;"__wt",'SegEnds_Xtal_BW#'!$A:$Z,6,FALSE)</f>
        <v>51</v>
      </c>
      <c r="G222" s="1">
        <v>37</v>
      </c>
      <c r="H222" s="12">
        <f>VLOOKUP($B222&amp;"__wt",'SegEnds_Xtal_BW#'!$A:$Z,8,FALSE)</f>
        <v>66</v>
      </c>
      <c r="I222" s="1">
        <f>VLOOKUP($B222&amp;"__wt",'SegEnds_Xtal_BW#'!$A:$Z,9,FALSE)</f>
        <v>49</v>
      </c>
      <c r="J222" s="1">
        <f>VLOOKUP($B222&amp;"__wt",'SegEnds_Xtal_BW#'!$A:$Z,10,FALSE)</f>
        <v>52</v>
      </c>
      <c r="K222" s="12">
        <v>18</v>
      </c>
      <c r="L222" s="1">
        <f>VLOOKUP($B222&amp;"__wt",'SegEnds_Xtal_BW#'!$A:$Z,12,FALSE)</f>
        <v>56</v>
      </c>
      <c r="M222" s="1">
        <f>VLOOKUP($B222&amp;"__wt",'SegEnds_Xtal_BW#'!$A:$Z,13,FALSE)</f>
        <v>50</v>
      </c>
      <c r="N222" s="12">
        <f>VLOOKUP($B222&amp;"__wt",'SegEnds_Xtal_BW#'!$A:$Z,14,FALSE)</f>
        <v>57</v>
      </c>
      <c r="O222" s="87">
        <v>38</v>
      </c>
      <c r="P222" s="1">
        <f>VLOOKUP($B222&amp;"__wt",'SegEnds_Xtal_BW#'!$A:$Z,16,FALSE)</f>
        <v>64</v>
      </c>
      <c r="Q222" s="1">
        <f>VLOOKUP($B222&amp;"__wt",'SegEnds_Xtal_BW#'!$A:$Z,17,FALSE)</f>
        <v>50</v>
      </c>
      <c r="R222" s="1">
        <f>VLOOKUP($B222&amp;"__wt",'SegEnds_Xtal_BW#'!$A:$Z,18,FALSE)</f>
        <v>52</v>
      </c>
      <c r="S222" s="1">
        <f>VLOOKUP($B222&amp;"__wt",'SegEnds_Xtal_BW#'!$A:$Z,19,FALSE)</f>
        <v>34</v>
      </c>
      <c r="T222" s="1">
        <f t="array" ref="T222">INDEX(ICL3_classA!$G$2:$G$37,MATCH(MIN(ABS(AI222-ICL3_classA!$F$2:$F$37)),ABS(AI222-ICL3_classA!$F$2:$F$37),0))</f>
        <v>68</v>
      </c>
      <c r="U222" s="1">
        <f t="array" ref="U222">INDEX(ICL3_classA!$H$2:$H$37,MATCH(MIN(ABS(AI222-ICL3_classA!$F$2:$F$37)),ABS(AI222-ICL3_classA!$F$2:$F$37),0))</f>
        <v>24</v>
      </c>
      <c r="V222" s="1">
        <v>61</v>
      </c>
      <c r="W222" s="1">
        <v>24</v>
      </c>
      <c r="X222" s="1">
        <f>VLOOKUP($B222&amp;"__wt",'SegEnds_Xtal_BW#'!$A:$Z,24,FALSE)</f>
        <v>56</v>
      </c>
      <c r="Y222" s="1">
        <f>VLOOKUP($B222&amp;"__wt",'SegEnds_Xtal_BW#'!$A:$Z,25,FALSE)</f>
        <v>47</v>
      </c>
      <c r="Z222" s="1">
        <f>VLOOKUP($B222&amp;"__wt",'SegEnds_Xtal_BW#'!$A:$Z,26,FALSE)</f>
        <v>61</v>
      </c>
      <c r="AA222" s="27" t="str">
        <f>VLOOKUP(A222,Classification!A:B,2,FALSE)</f>
        <v>A</v>
      </c>
      <c r="AB222" s="1">
        <f>VLOOKUP(A222,'SegEnds_NonXtal_Prot#'!A:AL,10,FALSE)-VLOOKUP(A222,'SegEnds_NonXtal_Prot#'!A:AL,4,FALSE)</f>
        <v>28</v>
      </c>
      <c r="AC222" s="1" t="e">
        <f>VLOOKUP(A222,'SegEnds_NonXtal_Prot#'!A:AL,10,FALSE)-VLOOKUP(A222,'SegEnds_NonXtal_Prot#'!A:AL,7,FALSE)</f>
        <v>#VALUE!</v>
      </c>
      <c r="AD222" s="1">
        <f>VLOOKUP(A222,'SegEnds_NonXtal_Prot#'!A:AL,13,FALSE)-VLOOKUP(A222,'SegEnds_NonXtal_Prot#'!A:AL,10,FALSE)</f>
        <v>20</v>
      </c>
      <c r="AE222" s="1">
        <f>VLOOKUP(A222,'SegEnds_NonXtal_Prot#'!A:AL,16,FALSE)-VLOOKUP(A222,'SegEnds_NonXtal_Prot#'!A:AL,10,FALSE)</f>
        <v>52</v>
      </c>
      <c r="AF222" s="1">
        <f>VLOOKUP(A222,'SegEnds_NonXtal_Prot#'!A:AL,22,FALSE)-VLOOKUP(A222,'SegEnds_NonXtal_Prot#'!A:AL,19,FALSE)</f>
        <v>20</v>
      </c>
      <c r="AG222" s="1">
        <f>VLOOKUP(A222,'SegEnds_NonXtal_Prot#'!A:AL,28,FALSE)-VLOOKUP(A222,'SegEnds_NonXtal_Prot#'!A:AL,25,FALSE)</f>
        <v>24</v>
      </c>
      <c r="AH222" s="1">
        <f>VLOOKUP(A222,'SegEnds_NonXtal_Prot#'!A:AL,28,FALSE)-VLOOKUP(A222,'SegEnds_NonXtal_Prot#'!A:AL,22,FALSE)</f>
        <v>49</v>
      </c>
      <c r="AI222" s="1">
        <f>VLOOKUP(A222,'SegEnds_NonXtal_Prot#'!A:AL,31,FALSE)-VLOOKUP(A222,'SegEnds_NonXtal_Prot#'!A:AL,28,FALSE)</f>
        <v>49</v>
      </c>
      <c r="AJ222" s="1">
        <f>VLOOKUP(A222,'SegEnds_NonXtal_Prot#'!A:AL,34,FALSE)-VLOOKUP(A222,'SegEnds_NonXtal_Prot#'!A:AL,31,FALSE)</f>
        <v>43</v>
      </c>
      <c r="AK222" s="1">
        <f>VLOOKUP(A222,'SegEnds_NonXtal_Prot#'!A:AL,37,FALSE)-VLOOKUP(A222,'SegEnds_NonXtal_Prot#'!A:AL,34,FALSE)</f>
        <v>10</v>
      </c>
      <c r="AL222" s="1" t="str">
        <f>IF(ISERROR(MATCH(A222,'SegEnds_Xtal_Prot#'!B:B, 0)), "NoXtal", "Xtal")</f>
        <v>NoXtal</v>
      </c>
    </row>
    <row r="223" spans="1:38" x14ac:dyDescent="0.2">
      <c r="A223" s="1" t="s">
        <v>253</v>
      </c>
      <c r="B223" s="1" t="str">
        <f>VLOOKUP(A223,Xtal_Templ!A:B,2,FALSE)</f>
        <v>ptafr_human</v>
      </c>
      <c r="C223" s="5">
        <f>VLOOKUP($B223&amp;"__wt",'SegEnds_Xtal_BW#'!$A:$Z,3,FALSE)</f>
        <v>27</v>
      </c>
      <c r="D223" s="1">
        <f>VLOOKUP($B223&amp;"__wt",'SegEnds_Xtal_BW#'!$A:$Z,4,FALSE)</f>
        <v>61</v>
      </c>
      <c r="E223" s="1" t="str">
        <f>VLOOKUP($B223&amp;"__wt",'SegEnds_Xtal_BW#'!$A:$Z,5,FALSE)</f>
        <v>-</v>
      </c>
      <c r="F223" s="1" t="str">
        <f>VLOOKUP($B223&amp;"__wt",'SegEnds_Xtal_BW#'!$A:$Z,6,FALSE)</f>
        <v>-</v>
      </c>
      <c r="G223" s="1">
        <v>37</v>
      </c>
      <c r="H223" s="12">
        <f>VLOOKUP($B223&amp;"__wt",'SegEnds_Xtal_BW#'!$A:$Z,8,FALSE)</f>
        <v>67</v>
      </c>
      <c r="I223" s="1">
        <f>VLOOKUP($B223&amp;"__wt",'SegEnds_Xtal_BW#'!$A:$Z,9,FALSE)</f>
        <v>49</v>
      </c>
      <c r="J223" s="1">
        <f>VLOOKUP($B223&amp;"__wt",'SegEnds_Xtal_BW#'!$A:$Z,10,FALSE)</f>
        <v>52</v>
      </c>
      <c r="K223" s="12">
        <v>18</v>
      </c>
      <c r="L223" s="1">
        <f>VLOOKUP($B223&amp;"__wt",'SegEnds_Xtal_BW#'!$A:$Z,12,FALSE)</f>
        <v>56</v>
      </c>
      <c r="M223" s="1">
        <f>VLOOKUP($B223&amp;"__wt",'SegEnds_Xtal_BW#'!$A:$Z,13,FALSE)</f>
        <v>50</v>
      </c>
      <c r="N223" s="12">
        <f>VLOOKUP($B223&amp;"__wt",'SegEnds_Xtal_BW#'!$A:$Z,14,FALSE)</f>
        <v>57</v>
      </c>
      <c r="O223" s="87">
        <f>VLOOKUP($B223&amp;"__wt",'SegEnds_Xtal_BW#'!$A:$Z,15,FALSE)</f>
        <v>38</v>
      </c>
      <c r="P223" s="1">
        <f>VLOOKUP($B223&amp;"__wt",'SegEnds_Xtal_BW#'!$A:$Z,16,FALSE)</f>
        <v>63</v>
      </c>
      <c r="Q223" s="1">
        <f>VLOOKUP($B223&amp;"__wt",'SegEnds_Xtal_BW#'!$A:$Z,17,FALSE)</f>
        <v>50</v>
      </c>
      <c r="R223" s="1">
        <f>VLOOKUP($B223&amp;"__wt",'SegEnds_Xtal_BW#'!$A:$Z,18,FALSE)</f>
        <v>52</v>
      </c>
      <c r="S223" s="1">
        <f>VLOOKUP($B223&amp;"__wt",'SegEnds_Xtal_BW#'!$A:$Z,19,FALSE)</f>
        <v>33</v>
      </c>
      <c r="T223" s="1">
        <f t="array" ref="T223">INDEX(ICL3_classA!$G$2:$G$37,MATCH(MIN(ABS(AI223-ICL3_classA!$F$2:$F$37)),ABS(AI223-ICL3_classA!$F$2:$F$37),0))</f>
        <v>68</v>
      </c>
      <c r="U223" s="1">
        <f t="array" ref="U223">INDEX(ICL3_classA!$H$2:$H$37,MATCH(MIN(ABS(AI223-ICL3_classA!$F$2:$F$37)),ABS(AI223-ICL3_classA!$F$2:$F$37),0))</f>
        <v>23</v>
      </c>
      <c r="V223" s="1">
        <v>61</v>
      </c>
      <c r="W223" s="1">
        <v>24</v>
      </c>
      <c r="X223" s="1">
        <f>VLOOKUP($B223&amp;"__wt",'SegEnds_Xtal_BW#'!$A:$Z,24,FALSE)</f>
        <v>59</v>
      </c>
      <c r="Y223" s="1">
        <f>VLOOKUP($B223&amp;"__wt",'SegEnds_Xtal_BW#'!$A:$Z,25,FALSE)</f>
        <v>50</v>
      </c>
      <c r="Z223" s="1">
        <f>VLOOKUP($B223&amp;"__wt",'SegEnds_Xtal_BW#'!$A:$Z,26,FALSE)</f>
        <v>63</v>
      </c>
      <c r="AA223" s="27" t="str">
        <f>VLOOKUP(A223,Classification!A:B,2,FALSE)</f>
        <v>A</v>
      </c>
      <c r="AB223" s="1">
        <f>VLOOKUP(A223,'SegEnds_NonXtal_Prot#'!A:AL,10,FALSE)-VLOOKUP(A223,'SegEnds_NonXtal_Prot#'!A:AL,4,FALSE)</f>
        <v>28</v>
      </c>
      <c r="AC223" s="1" t="e">
        <f>VLOOKUP(A223,'SegEnds_NonXtal_Prot#'!A:AL,10,FALSE)-VLOOKUP(A223,'SegEnds_NonXtal_Prot#'!A:AL,7,FALSE)</f>
        <v>#VALUE!</v>
      </c>
      <c r="AD223" s="1">
        <f>VLOOKUP(A223,'SegEnds_NonXtal_Prot#'!A:AL,13,FALSE)-VLOOKUP(A223,'SegEnds_NonXtal_Prot#'!A:AL,10,FALSE)</f>
        <v>20</v>
      </c>
      <c r="AE223" s="1">
        <f>VLOOKUP(A223,'SegEnds_NonXtal_Prot#'!A:AL,16,FALSE)-VLOOKUP(A223,'SegEnds_NonXtal_Prot#'!A:AL,10,FALSE)</f>
        <v>52</v>
      </c>
      <c r="AF223" s="1">
        <f>VLOOKUP(A223,'SegEnds_NonXtal_Prot#'!A:AL,22,FALSE)-VLOOKUP(A223,'SegEnds_NonXtal_Prot#'!A:AL,19,FALSE)</f>
        <v>20</v>
      </c>
      <c r="AG223" s="1">
        <f>VLOOKUP(A223,'SegEnds_NonXtal_Prot#'!A:AL,28,FALSE)-VLOOKUP(A223,'SegEnds_NonXtal_Prot#'!A:AL,25,FALSE)</f>
        <v>26</v>
      </c>
      <c r="AH223" s="1">
        <f>VLOOKUP(A223,'SegEnds_NonXtal_Prot#'!A:AL,28,FALSE)-VLOOKUP(A223,'SegEnds_NonXtal_Prot#'!A:AL,22,FALSE)</f>
        <v>51</v>
      </c>
      <c r="AI223" s="1">
        <f>VLOOKUP(A223,'SegEnds_NonXtal_Prot#'!A:AL,31,FALSE)-VLOOKUP(A223,'SegEnds_NonXtal_Prot#'!A:AL,28,FALSE)</f>
        <v>51</v>
      </c>
      <c r="AJ223" s="1">
        <f>VLOOKUP(A223,'SegEnds_NonXtal_Prot#'!A:AL,34,FALSE)-VLOOKUP(A223,'SegEnds_NonXtal_Prot#'!A:AL,31,FALSE)</f>
        <v>43</v>
      </c>
      <c r="AK223" s="1">
        <f>VLOOKUP(A223,'SegEnds_NonXtal_Prot#'!A:AL,37,FALSE)-VLOOKUP(A223,'SegEnds_NonXtal_Prot#'!A:AL,34,FALSE)</f>
        <v>10</v>
      </c>
      <c r="AL223" s="1" t="str">
        <f>IF(ISERROR(MATCH(A223,'SegEnds_Xtal_Prot#'!B:B, 0)), "NoXtal", "Xtal")</f>
        <v>NoXtal</v>
      </c>
    </row>
    <row r="224" spans="1:38" x14ac:dyDescent="0.2">
      <c r="A224" s="1" t="s">
        <v>256</v>
      </c>
      <c r="B224" s="1" t="str">
        <f>VLOOKUP(A224,Xtal_Templ!A:B,2,FALSE)</f>
        <v>ntr1_rat</v>
      </c>
      <c r="C224" s="5">
        <f>VLOOKUP($B224&amp;"__wt",'SegEnds_Xtal_BW#'!$A:$Z,3,FALSE)</f>
        <v>29</v>
      </c>
      <c r="D224" s="1">
        <f>VLOOKUP($B224&amp;"__wt",'SegEnds_Xtal_BW#'!$A:$Z,4,FALSE)</f>
        <v>60</v>
      </c>
      <c r="E224" s="1">
        <f>VLOOKUP($B224&amp;"__wt",'SegEnds_Xtal_BW#'!$A:$Z,5,FALSE)</f>
        <v>48</v>
      </c>
      <c r="F224" s="1">
        <f>VLOOKUP($B224&amp;"__wt",'SegEnds_Xtal_BW#'!$A:$Z,6,FALSE)</f>
        <v>51</v>
      </c>
      <c r="G224" s="1">
        <v>37</v>
      </c>
      <c r="H224" s="12">
        <f>VLOOKUP($B224&amp;"__wt",'SegEnds_Xtal_BW#'!$A:$Z,8,FALSE)</f>
        <v>68</v>
      </c>
      <c r="I224" s="1">
        <f>VLOOKUP($B224&amp;"__wt",'SegEnds_Xtal_BW#'!$A:$Z,9,FALSE)</f>
        <v>49</v>
      </c>
      <c r="J224" s="1">
        <f>VLOOKUP($B224&amp;"__wt",'SegEnds_Xtal_BW#'!$A:$Z,10,FALSE)</f>
        <v>52</v>
      </c>
      <c r="K224" s="12">
        <v>18</v>
      </c>
      <c r="L224" s="1">
        <f>VLOOKUP($B224&amp;"__wt",'SegEnds_Xtal_BW#'!$A:$Z,12,FALSE)</f>
        <v>56</v>
      </c>
      <c r="M224" s="1">
        <f>VLOOKUP($B224&amp;"__wt",'SegEnds_Xtal_BW#'!$A:$Z,13,FALSE)</f>
        <v>50</v>
      </c>
      <c r="N224" s="12">
        <f>VLOOKUP($B224&amp;"__wt",'SegEnds_Xtal_BW#'!$A:$Z,14,FALSE)</f>
        <v>57</v>
      </c>
      <c r="O224" s="87">
        <f>VLOOKUP($B224&amp;"__wt",'SegEnds_Xtal_BW#'!$A:$Z,15,FALSE)</f>
        <v>38</v>
      </c>
      <c r="P224" s="1">
        <f>VLOOKUP($B224&amp;"__wt",'SegEnds_Xtal_BW#'!$A:$Z,16,FALSE)</f>
        <v>64</v>
      </c>
      <c r="Q224" s="1">
        <f>VLOOKUP($B224&amp;"__wt",'SegEnds_Xtal_BW#'!$A:$Z,17,FALSE)</f>
        <v>50</v>
      </c>
      <c r="R224" s="1">
        <f>VLOOKUP($B224&amp;"__wt",'SegEnds_Xtal_BW#'!$A:$Z,18,FALSE)</f>
        <v>52</v>
      </c>
      <c r="S224" s="1">
        <v>35</v>
      </c>
      <c r="T224" s="1">
        <f t="array" ref="T224">INDEX(ICL3_classA!$G$2:$G$37,MATCH(MIN(ABS(AI224-ICL3_classA!$F$2:$F$37)),ABS(AI224-ICL3_classA!$F$2:$F$37),0))</f>
        <v>76</v>
      </c>
      <c r="U224" s="1">
        <f t="array" ref="U224">INDEX(ICL3_classA!$H$2:$H$37,MATCH(MIN(ABS(AI224-ICL3_classA!$F$2:$F$37)),ABS(AI224-ICL3_classA!$F$2:$F$37),0))</f>
        <v>24</v>
      </c>
      <c r="V224" s="1">
        <v>61</v>
      </c>
      <c r="W224" s="1">
        <v>24</v>
      </c>
      <c r="X224" s="1">
        <f>VLOOKUP($B224&amp;"__wt",'SegEnds_Xtal_BW#'!$A:$Z,24,FALSE)</f>
        <v>56</v>
      </c>
      <c r="Y224" s="1">
        <f>VLOOKUP($B224&amp;"__wt",'SegEnds_Xtal_BW#'!$A:$Z,25,FALSE)</f>
        <v>47</v>
      </c>
      <c r="Z224" s="1">
        <f>VLOOKUP($B224&amp;"__wt",'SegEnds_Xtal_BW#'!$A:$Z,26,FALSE)</f>
        <v>58</v>
      </c>
      <c r="AA224" s="27" t="str">
        <f>VLOOKUP(A224,Classification!A:B,2,FALSE)</f>
        <v>A</v>
      </c>
      <c r="AB224" s="1">
        <f>VLOOKUP(A224,'SegEnds_NonXtal_Prot#'!A:AL,10,FALSE)-VLOOKUP(A224,'SegEnds_NonXtal_Prot#'!A:AL,4,FALSE)</f>
        <v>31</v>
      </c>
      <c r="AC224" s="1" t="e">
        <f>VLOOKUP(A224,'SegEnds_NonXtal_Prot#'!A:AL,10,FALSE)-VLOOKUP(A224,'SegEnds_NonXtal_Prot#'!A:AL,7,FALSE)</f>
        <v>#VALUE!</v>
      </c>
      <c r="AD224" s="1" t="e">
        <f>VLOOKUP(A224,'SegEnds_NonXtal_Prot#'!A:AL,13,FALSE)-VLOOKUP(A224,'SegEnds_NonXtal_Prot#'!A:AL,10,FALSE)</f>
        <v>#VALUE!</v>
      </c>
      <c r="AE224" s="1">
        <f>VLOOKUP(A224,'SegEnds_NonXtal_Prot#'!A:AL,16,FALSE)-VLOOKUP(A224,'SegEnds_NonXtal_Prot#'!A:AL,10,FALSE)</f>
        <v>54</v>
      </c>
      <c r="AF224" s="1">
        <f>VLOOKUP(A224,'SegEnds_NonXtal_Prot#'!A:AL,22,FALSE)-VLOOKUP(A224,'SegEnds_NonXtal_Prot#'!A:AL,19,FALSE)</f>
        <v>20</v>
      </c>
      <c r="AG224" s="1">
        <f>VLOOKUP(A224,'SegEnds_NonXtal_Prot#'!A:AL,28,FALSE)-VLOOKUP(A224,'SegEnds_NonXtal_Prot#'!A:AL,25,FALSE)</f>
        <v>21</v>
      </c>
      <c r="AH224" s="1">
        <f>VLOOKUP(A224,'SegEnds_NonXtal_Prot#'!A:AL,28,FALSE)-VLOOKUP(A224,'SegEnds_NonXtal_Prot#'!A:AL,22,FALSE)</f>
        <v>71</v>
      </c>
      <c r="AI224" s="1">
        <f>VLOOKUP(A224,'SegEnds_NonXtal_Prot#'!A:AL,31,FALSE)-VLOOKUP(A224,'SegEnds_NonXtal_Prot#'!A:AL,28,FALSE)</f>
        <v>67</v>
      </c>
      <c r="AJ224" s="1">
        <f>VLOOKUP(A224,'SegEnds_NonXtal_Prot#'!A:AL,34,FALSE)-VLOOKUP(A224,'SegEnds_NonXtal_Prot#'!A:AL,31,FALSE)</f>
        <v>43</v>
      </c>
      <c r="AK224" s="1">
        <f>VLOOKUP(A224,'SegEnds_NonXtal_Prot#'!A:AL,37,FALSE)-VLOOKUP(A224,'SegEnds_NonXtal_Prot#'!A:AL,34,FALSE)</f>
        <v>10</v>
      </c>
      <c r="AL224" s="1" t="str">
        <f>IF(ISERROR(MATCH(A224,'SegEnds_Xtal_Prot#'!B:B, 0)), "NoXtal", "Xtal")</f>
        <v>NoXtal</v>
      </c>
    </row>
    <row r="225" spans="1:38" x14ac:dyDescent="0.2">
      <c r="A225" s="1" t="s">
        <v>127</v>
      </c>
      <c r="B225" s="1" t="str">
        <f>VLOOKUP(A225,Xtal_Templ!A:B,2,FALSE)</f>
        <v>ntr1_rat</v>
      </c>
      <c r="C225" s="5">
        <f>VLOOKUP($B225&amp;"__wt",'SegEnds_Xtal_BW#'!$A:$Z,3,FALSE)</f>
        <v>29</v>
      </c>
      <c r="D225" s="1">
        <f>VLOOKUP($B225&amp;"__wt",'SegEnds_Xtal_BW#'!$A:$Z,4,FALSE)</f>
        <v>60</v>
      </c>
      <c r="E225" s="1">
        <f>VLOOKUP($B225&amp;"__wt",'SegEnds_Xtal_BW#'!$A:$Z,5,FALSE)</f>
        <v>48</v>
      </c>
      <c r="F225" s="1">
        <f>VLOOKUP($B225&amp;"__wt",'SegEnds_Xtal_BW#'!$A:$Z,6,FALSE)</f>
        <v>51</v>
      </c>
      <c r="G225" s="1">
        <v>37</v>
      </c>
      <c r="H225" s="12">
        <f>VLOOKUP($B225&amp;"__wt",'SegEnds_Xtal_BW#'!$A:$Z,8,FALSE)</f>
        <v>68</v>
      </c>
      <c r="I225" s="1">
        <f>VLOOKUP($B225&amp;"__wt",'SegEnds_Xtal_BW#'!$A:$Z,9,FALSE)</f>
        <v>49</v>
      </c>
      <c r="J225" s="1">
        <f>VLOOKUP($B225&amp;"__wt",'SegEnds_Xtal_BW#'!$A:$Z,10,FALSE)</f>
        <v>52</v>
      </c>
      <c r="K225" s="12">
        <v>18</v>
      </c>
      <c r="L225" s="1">
        <f>VLOOKUP($B225&amp;"__wt",'SegEnds_Xtal_BW#'!$A:$Z,12,FALSE)</f>
        <v>56</v>
      </c>
      <c r="M225" s="1">
        <f>VLOOKUP($B225&amp;"__wt",'SegEnds_Xtal_BW#'!$A:$Z,13,FALSE)</f>
        <v>50</v>
      </c>
      <c r="N225" s="12">
        <f>VLOOKUP($B225&amp;"__wt",'SegEnds_Xtal_BW#'!$A:$Z,14,FALSE)</f>
        <v>57</v>
      </c>
      <c r="O225" s="87">
        <f>VLOOKUP($B225&amp;"__wt",'SegEnds_Xtal_BW#'!$A:$Z,15,FALSE)</f>
        <v>38</v>
      </c>
      <c r="P225" s="1">
        <f>VLOOKUP($B225&amp;"__wt",'SegEnds_Xtal_BW#'!$A:$Z,16,FALSE)</f>
        <v>64</v>
      </c>
      <c r="Q225" s="1">
        <f>VLOOKUP($B225&amp;"__wt",'SegEnds_Xtal_BW#'!$A:$Z,17,FALSE)</f>
        <v>50</v>
      </c>
      <c r="R225" s="1">
        <f>VLOOKUP($B225&amp;"__wt",'SegEnds_Xtal_BW#'!$A:$Z,18,FALSE)</f>
        <v>52</v>
      </c>
      <c r="S225" s="1">
        <f>VLOOKUP($B225&amp;"__wt",'SegEnds_Xtal_BW#'!$A:$Z,19,FALSE)</f>
        <v>32</v>
      </c>
      <c r="T225" s="1">
        <f t="array" ref="T225">INDEX(ICL3_classA!$G$2:$G$37,MATCH(MIN(ABS(AI225-ICL3_classA!$F$2:$F$37)),ABS(AI225-ICL3_classA!$F$2:$F$37),0))</f>
        <v>76</v>
      </c>
      <c r="U225" s="1">
        <f t="array" ref="U225">INDEX(ICL3_classA!$H$2:$H$37,MATCH(MIN(ABS(AI225-ICL3_classA!$F$2:$F$37)),ABS(AI225-ICL3_classA!$F$2:$F$37),0))</f>
        <v>24</v>
      </c>
      <c r="V225" s="1">
        <v>61</v>
      </c>
      <c r="W225" s="1">
        <v>24</v>
      </c>
      <c r="X225" s="1">
        <f>VLOOKUP($B225&amp;"__wt",'SegEnds_Xtal_BW#'!$A:$Z,24,FALSE)</f>
        <v>56</v>
      </c>
      <c r="Y225" s="1">
        <f>VLOOKUP($B225&amp;"__wt",'SegEnds_Xtal_BW#'!$A:$Z,25,FALSE)</f>
        <v>47</v>
      </c>
      <c r="Z225" s="1">
        <f>VLOOKUP($B225&amp;"__wt",'SegEnds_Xtal_BW#'!$A:$Z,26,FALSE)</f>
        <v>58</v>
      </c>
      <c r="AA225" s="27" t="str">
        <f>VLOOKUP(A225,Classification!A:B,2,FALSE)</f>
        <v>A</v>
      </c>
      <c r="AB225" s="1">
        <f>VLOOKUP(A225,'SegEnds_NonXtal_Prot#'!A:AL,10,FALSE)-VLOOKUP(A225,'SegEnds_NonXtal_Prot#'!A:AL,4,FALSE)</f>
        <v>31</v>
      </c>
      <c r="AC225" s="1">
        <f>VLOOKUP(A225,'SegEnds_NonXtal_Prot#'!A:AL,10,FALSE)-VLOOKUP(A225,'SegEnds_NonXtal_Prot#'!A:AL,7,FALSE)</f>
        <v>18</v>
      </c>
      <c r="AD225" s="1">
        <f>VLOOKUP(A225,'SegEnds_NonXtal_Prot#'!A:AL,13,FALSE)-VLOOKUP(A225,'SegEnds_NonXtal_Prot#'!A:AL,10,FALSE)</f>
        <v>22</v>
      </c>
      <c r="AE225" s="1">
        <f>VLOOKUP(A225,'SegEnds_NonXtal_Prot#'!A:AL,16,FALSE)-VLOOKUP(A225,'SegEnds_NonXtal_Prot#'!A:AL,10,FALSE)</f>
        <v>54</v>
      </c>
      <c r="AF225" s="1">
        <f>VLOOKUP(A225,'SegEnds_NonXtal_Prot#'!A:AL,22,FALSE)-VLOOKUP(A225,'SegEnds_NonXtal_Prot#'!A:AL,19,FALSE)</f>
        <v>20</v>
      </c>
      <c r="AG225" s="1">
        <f>VLOOKUP(A225,'SegEnds_NonXtal_Prot#'!A:AL,28,FALSE)-VLOOKUP(A225,'SegEnds_NonXtal_Prot#'!A:AL,25,FALSE)</f>
        <v>24</v>
      </c>
      <c r="AH225" s="1">
        <f>VLOOKUP(A225,'SegEnds_NonXtal_Prot#'!A:AL,28,FALSE)-VLOOKUP(A225,'SegEnds_NonXtal_Prot#'!A:AL,22,FALSE)</f>
        <v>55</v>
      </c>
      <c r="AI225" s="1">
        <f>VLOOKUP(A225,'SegEnds_NonXtal_Prot#'!A:AL,31,FALSE)-VLOOKUP(A225,'SegEnds_NonXtal_Prot#'!A:AL,28,FALSE)</f>
        <v>70</v>
      </c>
      <c r="AJ225" s="1">
        <f>VLOOKUP(A225,'SegEnds_NonXtal_Prot#'!A:AL,34,FALSE)-VLOOKUP(A225,'SegEnds_NonXtal_Prot#'!A:AL,31,FALSE)</f>
        <v>43</v>
      </c>
      <c r="AK225" s="1">
        <f>VLOOKUP(A225,'SegEnds_NonXtal_Prot#'!A:AL,37,FALSE)-VLOOKUP(A225,'SegEnds_NonXtal_Prot#'!A:AL,34,FALSE)</f>
        <v>10</v>
      </c>
      <c r="AL225" s="1" t="str">
        <f>IF(ISERROR(MATCH(A225,'SegEnds_Xtal_Prot#'!B:B, 0)), "NoXtal", "Xtal")</f>
        <v>NoXtal</v>
      </c>
    </row>
    <row r="226" spans="1:38" x14ac:dyDescent="0.2">
      <c r="A226" s="1" t="s">
        <v>914</v>
      </c>
      <c r="B226" s="1" t="str">
        <f>VLOOKUP(A226,Xtal_Templ!A:B,2,FALSE)</f>
        <v>ntr1_rat</v>
      </c>
      <c r="C226" s="5">
        <f>VLOOKUP($B226&amp;"__wt",'SegEnds_Xtal_BW#'!$A:$Z,3,FALSE)</f>
        <v>29</v>
      </c>
      <c r="D226" s="1">
        <f>VLOOKUP($B226&amp;"__wt",'SegEnds_Xtal_BW#'!$A:$Z,4,FALSE)</f>
        <v>60</v>
      </c>
      <c r="E226" s="1">
        <f>VLOOKUP($B226&amp;"__wt",'SegEnds_Xtal_BW#'!$A:$Z,5,FALSE)</f>
        <v>48</v>
      </c>
      <c r="F226" s="1">
        <f>VLOOKUP($B226&amp;"__wt",'SegEnds_Xtal_BW#'!$A:$Z,6,FALSE)</f>
        <v>51</v>
      </c>
      <c r="G226" s="1">
        <v>37</v>
      </c>
      <c r="H226" s="12">
        <f>VLOOKUP($B226&amp;"__wt",'SegEnds_Xtal_BW#'!$A:$Z,8,FALSE)</f>
        <v>68</v>
      </c>
      <c r="I226" s="1">
        <f>VLOOKUP($B226&amp;"__wt",'SegEnds_Xtal_BW#'!$A:$Z,9,FALSE)</f>
        <v>49</v>
      </c>
      <c r="J226" s="1">
        <f>VLOOKUP($B226&amp;"__wt",'SegEnds_Xtal_BW#'!$A:$Z,10,FALSE)</f>
        <v>52</v>
      </c>
      <c r="K226" s="12">
        <v>18</v>
      </c>
      <c r="L226" s="1">
        <f>VLOOKUP($B226&amp;"__wt",'SegEnds_Xtal_BW#'!$A:$Z,12,FALSE)</f>
        <v>56</v>
      </c>
      <c r="M226" s="1">
        <f>VLOOKUP($B226&amp;"__wt",'SegEnds_Xtal_BW#'!$A:$Z,13,FALSE)</f>
        <v>50</v>
      </c>
      <c r="N226" s="12">
        <f>VLOOKUP($B226&amp;"__wt",'SegEnds_Xtal_BW#'!$A:$Z,14,FALSE)</f>
        <v>57</v>
      </c>
      <c r="O226" s="87">
        <f>VLOOKUP($B226&amp;"__wt",'SegEnds_Xtal_BW#'!$A:$Z,15,FALSE)</f>
        <v>38</v>
      </c>
      <c r="P226" s="1">
        <f>VLOOKUP($B226&amp;"__wt",'SegEnds_Xtal_BW#'!$A:$Z,16,FALSE)</f>
        <v>64</v>
      </c>
      <c r="Q226" s="1">
        <f>VLOOKUP($B226&amp;"__wt",'SegEnds_Xtal_BW#'!$A:$Z,17,FALSE)</f>
        <v>50</v>
      </c>
      <c r="R226" s="1">
        <f>VLOOKUP($B226&amp;"__wt",'SegEnds_Xtal_BW#'!$A:$Z,18,FALSE)</f>
        <v>52</v>
      </c>
      <c r="S226" s="1">
        <f>VLOOKUP($B226&amp;"__wt",'SegEnds_Xtal_BW#'!$A:$Z,19,FALSE)</f>
        <v>32</v>
      </c>
      <c r="T226" s="1">
        <f t="array" ref="T226">INDEX(ICL3_classA!$G$2:$G$37,MATCH(MIN(ABS(AI226-ICL3_classA!$F$2:$F$37)),ABS(AI226-ICL3_classA!$F$2:$F$37),0))</f>
        <v>76</v>
      </c>
      <c r="U226" s="1">
        <f t="array" ref="U226">INDEX(ICL3_classA!$H$2:$H$37,MATCH(MIN(ABS(AI226-ICL3_classA!$F$2:$F$37)),ABS(AI226-ICL3_classA!$F$2:$F$37),0))</f>
        <v>24</v>
      </c>
      <c r="V226" s="1">
        <v>61</v>
      </c>
      <c r="W226" s="1">
        <v>24</v>
      </c>
      <c r="X226" s="1">
        <f>VLOOKUP($B226&amp;"__wt",'SegEnds_Xtal_BW#'!$A:$Z,24,FALSE)</f>
        <v>56</v>
      </c>
      <c r="Y226" s="1">
        <f>VLOOKUP($B226&amp;"__wt",'SegEnds_Xtal_BW#'!$A:$Z,25,FALSE)</f>
        <v>47</v>
      </c>
      <c r="Z226" s="1">
        <f>VLOOKUP($B226&amp;"__wt",'SegEnds_Xtal_BW#'!$A:$Z,26,FALSE)</f>
        <v>58</v>
      </c>
      <c r="AA226" s="27" t="str">
        <f>VLOOKUP(A226,Classification!A:B,2,FALSE)</f>
        <v>A</v>
      </c>
      <c r="AB226" s="1">
        <f>VLOOKUP(A226,'SegEnds_NonXtal_Prot#'!A:AL,10,FALSE)-VLOOKUP(A226,'SegEnds_NonXtal_Prot#'!A:AL,4,FALSE)</f>
        <v>31</v>
      </c>
      <c r="AC226" s="1">
        <f>VLOOKUP(A226,'SegEnds_NonXtal_Prot#'!A:AL,10,FALSE)-VLOOKUP(A226,'SegEnds_NonXtal_Prot#'!A:AL,7,FALSE)</f>
        <v>18</v>
      </c>
      <c r="AD226" s="1">
        <f>VLOOKUP(A226,'SegEnds_NonXtal_Prot#'!A:AL,13,FALSE)-VLOOKUP(A226,'SegEnds_NonXtal_Prot#'!A:AL,10,FALSE)</f>
        <v>22</v>
      </c>
      <c r="AE226" s="1">
        <f>VLOOKUP(A226,'SegEnds_NonXtal_Prot#'!A:AL,16,FALSE)-VLOOKUP(A226,'SegEnds_NonXtal_Prot#'!A:AL,10,FALSE)</f>
        <v>54</v>
      </c>
      <c r="AF226" s="1">
        <f>VLOOKUP(A226,'SegEnds_NonXtal_Prot#'!A:AL,22,FALSE)-VLOOKUP(A226,'SegEnds_NonXtal_Prot#'!A:AL,19,FALSE)</f>
        <v>20</v>
      </c>
      <c r="AG226" s="1">
        <f>VLOOKUP(A226,'SegEnds_NonXtal_Prot#'!A:AL,28,FALSE)-VLOOKUP(A226,'SegEnds_NonXtal_Prot#'!A:AL,25,FALSE)</f>
        <v>24</v>
      </c>
      <c r="AH226" s="1">
        <f>VLOOKUP(A226,'SegEnds_NonXtal_Prot#'!A:AL,28,FALSE)-VLOOKUP(A226,'SegEnds_NonXtal_Prot#'!A:AL,22,FALSE)</f>
        <v>55</v>
      </c>
      <c r="AI226" s="1">
        <f>VLOOKUP(A226,'SegEnds_NonXtal_Prot#'!A:AL,31,FALSE)-VLOOKUP(A226,'SegEnds_NonXtal_Prot#'!A:AL,28,FALSE)</f>
        <v>74</v>
      </c>
      <c r="AJ226" s="1">
        <f>VLOOKUP(A226,'SegEnds_NonXtal_Prot#'!A:AL,34,FALSE)-VLOOKUP(A226,'SegEnds_NonXtal_Prot#'!A:AL,31,FALSE)</f>
        <v>43</v>
      </c>
      <c r="AK226" s="1">
        <f>VLOOKUP(A226,'SegEnds_NonXtal_Prot#'!A:AL,37,FALSE)-VLOOKUP(A226,'SegEnds_NonXtal_Prot#'!A:AL,34,FALSE)</f>
        <v>10</v>
      </c>
      <c r="AL226" s="1" t="str">
        <f>IF(ISERROR(MATCH(A226,'SegEnds_Xtal_Prot#'!B:B, 0)), "NoXtal", "Xtal")</f>
        <v>Xtal</v>
      </c>
    </row>
    <row r="227" spans="1:38" x14ac:dyDescent="0.2">
      <c r="A227" s="1" t="s">
        <v>330</v>
      </c>
      <c r="B227" s="1" t="str">
        <f>VLOOKUP(A227,Xtal_Templ!A:B,2,FALSE)</f>
        <v>ntr1_rat</v>
      </c>
      <c r="C227" s="5">
        <f>VLOOKUP($B227&amp;"__wt",'SegEnds_Xtal_BW#'!$A:$Z,3,FALSE)</f>
        <v>29</v>
      </c>
      <c r="D227" s="1">
        <f>VLOOKUP($B227&amp;"__wt",'SegEnds_Xtal_BW#'!$A:$Z,4,FALSE)</f>
        <v>60</v>
      </c>
      <c r="E227" s="1">
        <f>VLOOKUP($B227&amp;"__wt",'SegEnds_Xtal_BW#'!$A:$Z,5,FALSE)</f>
        <v>48</v>
      </c>
      <c r="F227" s="1">
        <f>VLOOKUP($B227&amp;"__wt",'SegEnds_Xtal_BW#'!$A:$Z,6,FALSE)</f>
        <v>51</v>
      </c>
      <c r="G227" s="1">
        <v>37</v>
      </c>
      <c r="H227" s="12">
        <f>VLOOKUP($B227&amp;"__wt",'SegEnds_Xtal_BW#'!$A:$Z,8,FALSE)</f>
        <v>68</v>
      </c>
      <c r="I227" s="1">
        <f>VLOOKUP($B227&amp;"__wt",'SegEnds_Xtal_BW#'!$A:$Z,9,FALSE)</f>
        <v>49</v>
      </c>
      <c r="J227" s="1">
        <f>VLOOKUP($B227&amp;"__wt",'SegEnds_Xtal_BW#'!$A:$Z,10,FALSE)</f>
        <v>52</v>
      </c>
      <c r="K227" s="12">
        <v>18</v>
      </c>
      <c r="L227" s="1">
        <f>VLOOKUP($B227&amp;"__wt",'SegEnds_Xtal_BW#'!$A:$Z,12,FALSE)</f>
        <v>56</v>
      </c>
      <c r="M227" s="1">
        <f>VLOOKUP($B227&amp;"__wt",'SegEnds_Xtal_BW#'!$A:$Z,13,FALSE)</f>
        <v>50</v>
      </c>
      <c r="N227" s="12">
        <f>VLOOKUP($B227&amp;"__wt",'SegEnds_Xtal_BW#'!$A:$Z,14,FALSE)</f>
        <v>57</v>
      </c>
      <c r="O227" s="87">
        <f>VLOOKUP($B227&amp;"__wt",'SegEnds_Xtal_BW#'!$A:$Z,15,FALSE)</f>
        <v>38</v>
      </c>
      <c r="P227" s="1">
        <f>VLOOKUP($B227&amp;"__wt",'SegEnds_Xtal_BW#'!$A:$Z,16,FALSE)</f>
        <v>64</v>
      </c>
      <c r="Q227" s="1">
        <f>VLOOKUP($B227&amp;"__wt",'SegEnds_Xtal_BW#'!$A:$Z,17,FALSE)</f>
        <v>50</v>
      </c>
      <c r="R227" s="1">
        <f>VLOOKUP($B227&amp;"__wt",'SegEnds_Xtal_BW#'!$A:$Z,18,FALSE)</f>
        <v>52</v>
      </c>
      <c r="S227" s="1">
        <f>VLOOKUP($B227&amp;"__wt",'SegEnds_Xtal_BW#'!$A:$Z,19,FALSE)</f>
        <v>32</v>
      </c>
      <c r="T227" s="1">
        <f t="array" ref="T227">INDEX(ICL3_classA!$G$2:$G$37,MATCH(MIN(ABS(AI227-ICL3_classA!$F$2:$F$37)),ABS(AI227-ICL3_classA!$F$2:$F$37),0))</f>
        <v>74</v>
      </c>
      <c r="U227" s="1">
        <f t="array" ref="U227">INDEX(ICL3_classA!$H$2:$H$37,MATCH(MIN(ABS(AI227-ICL3_classA!$F$2:$F$37)),ABS(AI227-ICL3_classA!$F$2:$F$37),0))</f>
        <v>24</v>
      </c>
      <c r="V227" s="1">
        <v>61</v>
      </c>
      <c r="W227" s="1">
        <v>24</v>
      </c>
      <c r="X227" s="1">
        <f>VLOOKUP($B227&amp;"__wt",'SegEnds_Xtal_BW#'!$A:$Z,24,FALSE)</f>
        <v>56</v>
      </c>
      <c r="Y227" s="1">
        <f>VLOOKUP($B227&amp;"__wt",'SegEnds_Xtal_BW#'!$A:$Z,25,FALSE)</f>
        <v>47</v>
      </c>
      <c r="Z227" s="1">
        <f>VLOOKUP($B227&amp;"__wt",'SegEnds_Xtal_BW#'!$A:$Z,26,FALSE)</f>
        <v>58</v>
      </c>
      <c r="AA227" s="27" t="str">
        <f>VLOOKUP(A227,Classification!A:B,2,FALSE)</f>
        <v>A</v>
      </c>
      <c r="AB227" s="1">
        <f>VLOOKUP(A227,'SegEnds_NonXtal_Prot#'!A:AL,10,FALSE)-VLOOKUP(A227,'SegEnds_NonXtal_Prot#'!A:AL,4,FALSE)</f>
        <v>29</v>
      </c>
      <c r="AC227" s="1" t="e">
        <f>VLOOKUP(A227,'SegEnds_NonXtal_Prot#'!A:AL,10,FALSE)-VLOOKUP(A227,'SegEnds_NonXtal_Prot#'!A:AL,7,FALSE)</f>
        <v>#VALUE!</v>
      </c>
      <c r="AD227" s="1">
        <f>VLOOKUP(A227,'SegEnds_NonXtal_Prot#'!A:AL,13,FALSE)-VLOOKUP(A227,'SegEnds_NonXtal_Prot#'!A:AL,10,FALSE)</f>
        <v>22</v>
      </c>
      <c r="AE227" s="1">
        <f>VLOOKUP(A227,'SegEnds_NonXtal_Prot#'!A:AL,16,FALSE)-VLOOKUP(A227,'SegEnds_NonXtal_Prot#'!A:AL,10,FALSE)</f>
        <v>54</v>
      </c>
      <c r="AF227" s="1">
        <f>VLOOKUP(A227,'SegEnds_NonXtal_Prot#'!A:AL,22,FALSE)-VLOOKUP(A227,'SegEnds_NonXtal_Prot#'!A:AL,19,FALSE)</f>
        <v>20</v>
      </c>
      <c r="AG227" s="1">
        <f>VLOOKUP(A227,'SegEnds_NonXtal_Prot#'!A:AL,28,FALSE)-VLOOKUP(A227,'SegEnds_NonXtal_Prot#'!A:AL,25,FALSE)</f>
        <v>24</v>
      </c>
      <c r="AH227" s="1">
        <f>VLOOKUP(A227,'SegEnds_NonXtal_Prot#'!A:AL,28,FALSE)-VLOOKUP(A227,'SegEnds_NonXtal_Prot#'!A:AL,22,FALSE)</f>
        <v>58</v>
      </c>
      <c r="AI227" s="1">
        <f>VLOOKUP(A227,'SegEnds_NonXtal_Prot#'!A:AL,31,FALSE)-VLOOKUP(A227,'SegEnds_NonXtal_Prot#'!A:AL,28,FALSE)</f>
        <v>94</v>
      </c>
      <c r="AJ227" s="1">
        <f>VLOOKUP(A227,'SegEnds_NonXtal_Prot#'!A:AL,34,FALSE)-VLOOKUP(A227,'SegEnds_NonXtal_Prot#'!A:AL,31,FALSE)</f>
        <v>43</v>
      </c>
      <c r="AK227" s="1">
        <f>VLOOKUP(A227,'SegEnds_NonXtal_Prot#'!A:AL,37,FALSE)-VLOOKUP(A227,'SegEnds_NonXtal_Prot#'!A:AL,34,FALSE)</f>
        <v>10</v>
      </c>
      <c r="AL227" s="1" t="str">
        <f>IF(ISERROR(MATCH(A227,'SegEnds_Xtal_Prot#'!B:B, 0)), "NoXtal", "Xtal")</f>
        <v>NoXtal</v>
      </c>
    </row>
    <row r="228" spans="1:38" x14ac:dyDescent="0.2">
      <c r="A228" s="1" t="s">
        <v>343</v>
      </c>
      <c r="B228" s="1" t="str">
        <f>VLOOKUP(A228,Xtal_Templ!A:B,2,FALSE)</f>
        <v>p2ry1_human</v>
      </c>
      <c r="C228" s="5">
        <f>VLOOKUP($B228&amp;"__wt",'SegEnds_Xtal_BW#'!$A:$Z,3,FALSE)</f>
        <v>30</v>
      </c>
      <c r="D228" s="1">
        <f>VLOOKUP($B228&amp;"__wt",'SegEnds_Xtal_BW#'!$A:$Z,4,FALSE)</f>
        <v>60</v>
      </c>
      <c r="E228" s="1" t="str">
        <f>VLOOKUP($B228&amp;"__wt",'SegEnds_Xtal_BW#'!$A:$Z,5,FALSE)</f>
        <v>-</v>
      </c>
      <c r="F228" s="1" t="str">
        <f>VLOOKUP($B228&amp;"__wt",'SegEnds_Xtal_BW#'!$A:$Z,6,FALSE)</f>
        <v>-</v>
      </c>
      <c r="G228" s="1">
        <v>37</v>
      </c>
      <c r="H228" s="12">
        <f>VLOOKUP($B228&amp;"__wt",'SegEnds_Xtal_BW#'!$A:$Z,8,FALSE)</f>
        <v>66</v>
      </c>
      <c r="I228" s="1">
        <f>VLOOKUP($B228&amp;"__wt",'SegEnds_Xtal_BW#'!$A:$Z,9,FALSE)</f>
        <v>49</v>
      </c>
      <c r="J228" s="1">
        <f>VLOOKUP($B228&amp;"__wt",'SegEnds_Xtal_BW#'!$A:$Z,10,FALSE)</f>
        <v>52</v>
      </c>
      <c r="K228" s="12">
        <v>18</v>
      </c>
      <c r="L228" s="1">
        <f>VLOOKUP($B228&amp;"__wt",'SegEnds_Xtal_BW#'!$A:$Z,12,FALSE)</f>
        <v>56</v>
      </c>
      <c r="M228" s="1">
        <f>VLOOKUP($B228&amp;"__wt",'SegEnds_Xtal_BW#'!$A:$Z,13,FALSE)</f>
        <v>50</v>
      </c>
      <c r="N228" s="12">
        <f>VLOOKUP($B228&amp;"__wt",'SegEnds_Xtal_BW#'!$A:$Z,14,FALSE)</f>
        <v>57</v>
      </c>
      <c r="O228" s="87">
        <f>VLOOKUP($B228&amp;"__wt",'SegEnds_Xtal_BW#'!$A:$Z,15,FALSE)</f>
        <v>38</v>
      </c>
      <c r="P228" s="1">
        <f>VLOOKUP($B228&amp;"__wt",'SegEnds_Xtal_BW#'!$A:$Z,16,FALSE)</f>
        <v>64</v>
      </c>
      <c r="Q228" s="1">
        <f>VLOOKUP($B228&amp;"__wt",'SegEnds_Xtal_BW#'!$A:$Z,17,FALSE)</f>
        <v>50</v>
      </c>
      <c r="R228" s="1">
        <f>VLOOKUP($B228&amp;"__wt",'SegEnds_Xtal_BW#'!$A:$Z,18,FALSE)</f>
        <v>52</v>
      </c>
      <c r="S228" s="1">
        <f>VLOOKUP($B228&amp;"__wt",'SegEnds_Xtal_BW#'!$A:$Z,19,FALSE)</f>
        <v>32</v>
      </c>
      <c r="T228" s="1">
        <f t="array" ref="T228">INDEX(ICL3_classA!$G$2:$G$37,MATCH(MIN(ABS(AI228-ICL3_classA!$F$2:$F$37)),ABS(AI228-ICL3_classA!$F$2:$F$37),0))</f>
        <v>67</v>
      </c>
      <c r="U228" s="1">
        <f t="array" ref="U228">INDEX(ICL3_classA!$H$2:$H$37,MATCH(MIN(ABS(AI228-ICL3_classA!$F$2:$F$37)),ABS(AI228-ICL3_classA!$F$2:$F$37),0))</f>
        <v>26</v>
      </c>
      <c r="V228" s="1">
        <v>61</v>
      </c>
      <c r="W228" s="1">
        <v>24</v>
      </c>
      <c r="X228" s="1">
        <f>VLOOKUP($B228&amp;"__wt",'SegEnds_Xtal_BW#'!$A:$Z,24,FALSE)</f>
        <v>56</v>
      </c>
      <c r="Y228" s="1">
        <f>VLOOKUP($B228&amp;"__wt",'SegEnds_Xtal_BW#'!$A:$Z,25,FALSE)</f>
        <v>47</v>
      </c>
      <c r="Z228" s="1">
        <f>VLOOKUP($B228&amp;"__wt",'SegEnds_Xtal_BW#'!$A:$Z,26,FALSE)</f>
        <v>59</v>
      </c>
      <c r="AA228" s="27" t="str">
        <f>VLOOKUP(A228,Classification!A:B,2,FALSE)</f>
        <v>A</v>
      </c>
      <c r="AB228" s="1">
        <f>VLOOKUP(A228,'SegEnds_NonXtal_Prot#'!A:AL,10,FALSE)-VLOOKUP(A228,'SegEnds_NonXtal_Prot#'!A:AL,4,FALSE)</f>
        <v>28</v>
      </c>
      <c r="AC228" s="1" t="e">
        <f>VLOOKUP(A228,'SegEnds_NonXtal_Prot#'!A:AL,10,FALSE)-VLOOKUP(A228,'SegEnds_NonXtal_Prot#'!A:AL,7,FALSE)</f>
        <v>#VALUE!</v>
      </c>
      <c r="AD228" s="1">
        <f>VLOOKUP(A228,'SegEnds_NonXtal_Prot#'!A:AL,13,FALSE)-VLOOKUP(A228,'SegEnds_NonXtal_Prot#'!A:AL,10,FALSE)</f>
        <v>20</v>
      </c>
      <c r="AE228" s="1">
        <f>VLOOKUP(A228,'SegEnds_NonXtal_Prot#'!A:AL,16,FALSE)-VLOOKUP(A228,'SegEnds_NonXtal_Prot#'!A:AL,10,FALSE)</f>
        <v>52</v>
      </c>
      <c r="AF228" s="1">
        <f>VLOOKUP(A228,'SegEnds_NonXtal_Prot#'!A:AL,22,FALSE)-VLOOKUP(A228,'SegEnds_NonXtal_Prot#'!A:AL,19,FALSE)</f>
        <v>20</v>
      </c>
      <c r="AG228" s="1">
        <f>VLOOKUP(A228,'SegEnds_NonXtal_Prot#'!A:AL,28,FALSE)-VLOOKUP(A228,'SegEnds_NonXtal_Prot#'!A:AL,25,FALSE)</f>
        <v>27</v>
      </c>
      <c r="AH228" s="1">
        <f>VLOOKUP(A228,'SegEnds_NonXtal_Prot#'!A:AL,28,FALSE)-VLOOKUP(A228,'SegEnds_NonXtal_Prot#'!A:AL,22,FALSE)</f>
        <v>52</v>
      </c>
      <c r="AI228" s="1">
        <f>VLOOKUP(A228,'SegEnds_NonXtal_Prot#'!A:AL,31,FALSE)-VLOOKUP(A228,'SegEnds_NonXtal_Prot#'!A:AL,28,FALSE)</f>
        <v>46</v>
      </c>
      <c r="AJ228" s="1">
        <f>VLOOKUP(A228,'SegEnds_NonXtal_Prot#'!A:AL,34,FALSE)-VLOOKUP(A228,'SegEnds_NonXtal_Prot#'!A:AL,31,FALSE)</f>
        <v>43</v>
      </c>
      <c r="AK228" s="1">
        <f>VLOOKUP(A228,'SegEnds_NonXtal_Prot#'!A:AL,37,FALSE)-VLOOKUP(A228,'SegEnds_NonXtal_Prot#'!A:AL,34,FALSE)</f>
        <v>10</v>
      </c>
      <c r="AL228" s="1" t="str">
        <f>IF(ISERROR(MATCH(A228,'SegEnds_Xtal_Prot#'!B:B, 0)), "NoXtal", "Xtal")</f>
        <v>NoXtal</v>
      </c>
    </row>
    <row r="229" spans="1:38" x14ac:dyDescent="0.2">
      <c r="A229" s="1" t="s">
        <v>346</v>
      </c>
      <c r="B229" s="1" t="str">
        <f>VLOOKUP(A229,Xtal_Templ!A:B,2,FALSE)</f>
        <v>p2ry1_human</v>
      </c>
      <c r="C229" s="5">
        <f>VLOOKUP($B229&amp;"__wt",'SegEnds_Xtal_BW#'!$A:$Z,3,FALSE)</f>
        <v>30</v>
      </c>
      <c r="D229" s="1">
        <f>VLOOKUP($B229&amp;"__wt",'SegEnds_Xtal_BW#'!$A:$Z,4,FALSE)</f>
        <v>60</v>
      </c>
      <c r="E229" s="1" t="str">
        <f>VLOOKUP($B229&amp;"__wt",'SegEnds_Xtal_BW#'!$A:$Z,5,FALSE)</f>
        <v>-</v>
      </c>
      <c r="F229" s="1" t="str">
        <f>VLOOKUP($B229&amp;"__wt",'SegEnds_Xtal_BW#'!$A:$Z,6,FALSE)</f>
        <v>-</v>
      </c>
      <c r="G229" s="1">
        <v>37</v>
      </c>
      <c r="H229" s="12">
        <f>VLOOKUP($B229&amp;"__wt",'SegEnds_Xtal_BW#'!$A:$Z,8,FALSE)</f>
        <v>66</v>
      </c>
      <c r="I229" s="1">
        <f>VLOOKUP($B229&amp;"__wt",'SegEnds_Xtal_BW#'!$A:$Z,9,FALSE)</f>
        <v>49</v>
      </c>
      <c r="J229" s="1">
        <f>VLOOKUP($B229&amp;"__wt",'SegEnds_Xtal_BW#'!$A:$Z,10,FALSE)</f>
        <v>52</v>
      </c>
      <c r="K229" s="12">
        <v>18</v>
      </c>
      <c r="L229" s="1">
        <f>VLOOKUP($B229&amp;"__wt",'SegEnds_Xtal_BW#'!$A:$Z,12,FALSE)</f>
        <v>56</v>
      </c>
      <c r="M229" s="1">
        <f>VLOOKUP($B229&amp;"__wt",'SegEnds_Xtal_BW#'!$A:$Z,13,FALSE)</f>
        <v>50</v>
      </c>
      <c r="N229" s="12">
        <f>VLOOKUP($B229&amp;"__wt",'SegEnds_Xtal_BW#'!$A:$Z,14,FALSE)</f>
        <v>57</v>
      </c>
      <c r="O229" s="87">
        <f>VLOOKUP($B229&amp;"__wt",'SegEnds_Xtal_BW#'!$A:$Z,15,FALSE)</f>
        <v>38</v>
      </c>
      <c r="P229" s="1">
        <f>VLOOKUP($B229&amp;"__wt",'SegEnds_Xtal_BW#'!$A:$Z,16,FALSE)</f>
        <v>64</v>
      </c>
      <c r="Q229" s="1">
        <f>VLOOKUP($B229&amp;"__wt",'SegEnds_Xtal_BW#'!$A:$Z,17,FALSE)</f>
        <v>50</v>
      </c>
      <c r="R229" s="1">
        <f>VLOOKUP($B229&amp;"__wt",'SegEnds_Xtal_BW#'!$A:$Z,18,FALSE)</f>
        <v>52</v>
      </c>
      <c r="S229" s="1">
        <f>VLOOKUP($B229&amp;"__wt",'SegEnds_Xtal_BW#'!$A:$Z,19,FALSE)</f>
        <v>32</v>
      </c>
      <c r="T229" s="1">
        <f t="array" ref="T229">INDEX(ICL3_classA!$G$2:$G$37,MATCH(MIN(ABS(AI229-ICL3_classA!$F$2:$F$37)),ABS(AI229-ICL3_classA!$F$2:$F$37),0))</f>
        <v>72</v>
      </c>
      <c r="U229" s="1">
        <f t="array" ref="U229">INDEX(ICL3_classA!$H$2:$H$37,MATCH(MIN(ABS(AI229-ICL3_classA!$F$2:$F$37)),ABS(AI229-ICL3_classA!$F$2:$F$37),0))</f>
        <v>29</v>
      </c>
      <c r="V229" s="1">
        <v>61</v>
      </c>
      <c r="W229" s="1">
        <v>24</v>
      </c>
      <c r="X229" s="1">
        <f>VLOOKUP($B229&amp;"__wt",'SegEnds_Xtal_BW#'!$A:$Z,24,FALSE)</f>
        <v>56</v>
      </c>
      <c r="Y229" s="1">
        <f>VLOOKUP($B229&amp;"__wt",'SegEnds_Xtal_BW#'!$A:$Z,25,FALSE)</f>
        <v>47</v>
      </c>
      <c r="Z229" s="1">
        <f>VLOOKUP($B229&amp;"__wt",'SegEnds_Xtal_BW#'!$A:$Z,26,FALSE)</f>
        <v>59</v>
      </c>
      <c r="AA229" s="27" t="str">
        <f>VLOOKUP(A229,Classification!A:B,2,FALSE)</f>
        <v>A</v>
      </c>
      <c r="AB229" s="1">
        <f>VLOOKUP(A229,'SegEnds_NonXtal_Prot#'!A:AL,10,FALSE)-VLOOKUP(A229,'SegEnds_NonXtal_Prot#'!A:AL,4,FALSE)</f>
        <v>28</v>
      </c>
      <c r="AC229" s="1" t="e">
        <f>VLOOKUP(A229,'SegEnds_NonXtal_Prot#'!A:AL,10,FALSE)-VLOOKUP(A229,'SegEnds_NonXtal_Prot#'!A:AL,7,FALSE)</f>
        <v>#VALUE!</v>
      </c>
      <c r="AD229" s="1">
        <f>VLOOKUP(A229,'SegEnds_NonXtal_Prot#'!A:AL,13,FALSE)-VLOOKUP(A229,'SegEnds_NonXtal_Prot#'!A:AL,10,FALSE)</f>
        <v>20</v>
      </c>
      <c r="AE229" s="1">
        <f>VLOOKUP(A229,'SegEnds_NonXtal_Prot#'!A:AL,16,FALSE)-VLOOKUP(A229,'SegEnds_NonXtal_Prot#'!A:AL,10,FALSE)</f>
        <v>52</v>
      </c>
      <c r="AF229" s="1">
        <f>VLOOKUP(A229,'SegEnds_NonXtal_Prot#'!A:AL,22,FALSE)-VLOOKUP(A229,'SegEnds_NonXtal_Prot#'!A:AL,19,FALSE)</f>
        <v>20</v>
      </c>
      <c r="AG229" s="1">
        <f>VLOOKUP(A229,'SegEnds_NonXtal_Prot#'!A:AL,28,FALSE)-VLOOKUP(A229,'SegEnds_NonXtal_Prot#'!A:AL,25,FALSE)</f>
        <v>27</v>
      </c>
      <c r="AH229" s="1">
        <f>VLOOKUP(A229,'SegEnds_NonXtal_Prot#'!A:AL,28,FALSE)-VLOOKUP(A229,'SegEnds_NonXtal_Prot#'!A:AL,22,FALSE)</f>
        <v>52</v>
      </c>
      <c r="AI229" s="1">
        <f>VLOOKUP(A229,'SegEnds_NonXtal_Prot#'!A:AL,31,FALSE)-VLOOKUP(A229,'SegEnds_NonXtal_Prot#'!A:AL,28,FALSE)</f>
        <v>50</v>
      </c>
      <c r="AJ229" s="1">
        <f>VLOOKUP(A229,'SegEnds_NonXtal_Prot#'!A:AL,34,FALSE)-VLOOKUP(A229,'SegEnds_NonXtal_Prot#'!A:AL,31,FALSE)</f>
        <v>43</v>
      </c>
      <c r="AK229" s="1">
        <f>VLOOKUP(A229,'SegEnds_NonXtal_Prot#'!A:AL,37,FALSE)-VLOOKUP(A229,'SegEnds_NonXtal_Prot#'!A:AL,34,FALSE)</f>
        <v>10</v>
      </c>
      <c r="AL229" s="1" t="str">
        <f>IF(ISERROR(MATCH(A229,'SegEnds_Xtal_Prot#'!B:B, 0)), "NoXtal", "Xtal")</f>
        <v>NoXtal</v>
      </c>
    </row>
    <row r="230" spans="1:38" x14ac:dyDescent="0.2">
      <c r="A230" s="1" t="s">
        <v>347</v>
      </c>
      <c r="B230" s="1" t="str">
        <f>VLOOKUP(A230,Xtal_Templ!A:B,2,FALSE)</f>
        <v>p2ry1_human</v>
      </c>
      <c r="C230" s="5">
        <f>VLOOKUP($B230&amp;"__wt",'SegEnds_Xtal_BW#'!$A:$Z,3,FALSE)</f>
        <v>30</v>
      </c>
      <c r="D230" s="1">
        <f>VLOOKUP($B230&amp;"__wt",'SegEnds_Xtal_BW#'!$A:$Z,4,FALSE)</f>
        <v>60</v>
      </c>
      <c r="E230" s="1" t="str">
        <f>VLOOKUP($B230&amp;"__wt",'SegEnds_Xtal_BW#'!$A:$Z,5,FALSE)</f>
        <v>-</v>
      </c>
      <c r="F230" s="1" t="str">
        <f>VLOOKUP($B230&amp;"__wt",'SegEnds_Xtal_BW#'!$A:$Z,6,FALSE)</f>
        <v>-</v>
      </c>
      <c r="G230" s="1">
        <v>37</v>
      </c>
      <c r="H230" s="12">
        <f>VLOOKUP($B230&amp;"__wt",'SegEnds_Xtal_BW#'!$A:$Z,8,FALSE)</f>
        <v>66</v>
      </c>
      <c r="I230" s="1">
        <f>VLOOKUP($B230&amp;"__wt",'SegEnds_Xtal_BW#'!$A:$Z,9,FALSE)</f>
        <v>49</v>
      </c>
      <c r="J230" s="1">
        <f>VLOOKUP($B230&amp;"__wt",'SegEnds_Xtal_BW#'!$A:$Z,10,FALSE)</f>
        <v>52</v>
      </c>
      <c r="K230" s="12">
        <v>18</v>
      </c>
      <c r="L230" s="1">
        <f>VLOOKUP($B230&amp;"__wt",'SegEnds_Xtal_BW#'!$A:$Z,12,FALSE)</f>
        <v>56</v>
      </c>
      <c r="M230" s="1">
        <f>VLOOKUP($B230&amp;"__wt",'SegEnds_Xtal_BW#'!$A:$Z,13,FALSE)</f>
        <v>50</v>
      </c>
      <c r="N230" s="12">
        <f>VLOOKUP($B230&amp;"__wt",'SegEnds_Xtal_BW#'!$A:$Z,14,FALSE)</f>
        <v>57</v>
      </c>
      <c r="O230" s="87">
        <f>VLOOKUP($B230&amp;"__wt",'SegEnds_Xtal_BW#'!$A:$Z,15,FALSE)</f>
        <v>38</v>
      </c>
      <c r="P230" s="1">
        <f>VLOOKUP($B230&amp;"__wt",'SegEnds_Xtal_BW#'!$A:$Z,16,FALSE)</f>
        <v>64</v>
      </c>
      <c r="Q230" s="1">
        <f>VLOOKUP($B230&amp;"__wt",'SegEnds_Xtal_BW#'!$A:$Z,17,FALSE)</f>
        <v>50</v>
      </c>
      <c r="R230" s="1">
        <f>VLOOKUP($B230&amp;"__wt",'SegEnds_Xtal_BW#'!$A:$Z,18,FALSE)</f>
        <v>52</v>
      </c>
      <c r="S230" s="1">
        <f>VLOOKUP($B230&amp;"__wt",'SegEnds_Xtal_BW#'!$A:$Z,19,FALSE)</f>
        <v>32</v>
      </c>
      <c r="T230" s="1">
        <f t="array" ref="T230">INDEX(ICL3_classA!$G$2:$G$37,MATCH(MIN(ABS(AI230-ICL3_classA!$F$2:$F$37)),ABS(AI230-ICL3_classA!$F$2:$F$37),0))</f>
        <v>68</v>
      </c>
      <c r="U230" s="1">
        <f t="array" ref="U230">INDEX(ICL3_classA!$H$2:$H$37,MATCH(MIN(ABS(AI230-ICL3_classA!$F$2:$F$37)),ABS(AI230-ICL3_classA!$F$2:$F$37),0))</f>
        <v>24</v>
      </c>
      <c r="V230" s="1">
        <v>61</v>
      </c>
      <c r="W230" s="1">
        <v>24</v>
      </c>
      <c r="X230" s="1">
        <f>VLOOKUP($B230&amp;"__wt",'SegEnds_Xtal_BW#'!$A:$Z,24,FALSE)</f>
        <v>56</v>
      </c>
      <c r="Y230" s="1">
        <f>VLOOKUP($B230&amp;"__wt",'SegEnds_Xtal_BW#'!$A:$Z,25,FALSE)</f>
        <v>47</v>
      </c>
      <c r="Z230" s="1">
        <f>VLOOKUP($B230&amp;"__wt",'SegEnds_Xtal_BW#'!$A:$Z,26,FALSE)</f>
        <v>59</v>
      </c>
      <c r="AA230" s="27" t="str">
        <f>VLOOKUP(A230,Classification!A:B,2,FALSE)</f>
        <v>A</v>
      </c>
      <c r="AB230" s="1">
        <f>VLOOKUP(A230,'SegEnds_NonXtal_Prot#'!A:AL,10,FALSE)-VLOOKUP(A230,'SegEnds_NonXtal_Prot#'!A:AL,4,FALSE)</f>
        <v>28</v>
      </c>
      <c r="AC230" s="1" t="e">
        <f>VLOOKUP(A230,'SegEnds_NonXtal_Prot#'!A:AL,10,FALSE)-VLOOKUP(A230,'SegEnds_NonXtal_Prot#'!A:AL,7,FALSE)</f>
        <v>#VALUE!</v>
      </c>
      <c r="AD230" s="1">
        <f>VLOOKUP(A230,'SegEnds_NonXtal_Prot#'!A:AL,13,FALSE)-VLOOKUP(A230,'SegEnds_NonXtal_Prot#'!A:AL,10,FALSE)</f>
        <v>20</v>
      </c>
      <c r="AE230" s="1">
        <f>VLOOKUP(A230,'SegEnds_NonXtal_Prot#'!A:AL,16,FALSE)-VLOOKUP(A230,'SegEnds_NonXtal_Prot#'!A:AL,10,FALSE)</f>
        <v>52</v>
      </c>
      <c r="AF230" s="1">
        <f>VLOOKUP(A230,'SegEnds_NonXtal_Prot#'!A:AL,22,FALSE)-VLOOKUP(A230,'SegEnds_NonXtal_Prot#'!A:AL,19,FALSE)</f>
        <v>20</v>
      </c>
      <c r="AG230" s="1">
        <f>VLOOKUP(A230,'SegEnds_NonXtal_Prot#'!A:AL,28,FALSE)-VLOOKUP(A230,'SegEnds_NonXtal_Prot#'!A:AL,25,FALSE)</f>
        <v>27</v>
      </c>
      <c r="AH230" s="1">
        <f>VLOOKUP(A230,'SegEnds_NonXtal_Prot#'!A:AL,28,FALSE)-VLOOKUP(A230,'SegEnds_NonXtal_Prot#'!A:AL,22,FALSE)</f>
        <v>52</v>
      </c>
      <c r="AI230" s="1">
        <f>VLOOKUP(A230,'SegEnds_NonXtal_Prot#'!A:AL,31,FALSE)-VLOOKUP(A230,'SegEnds_NonXtal_Prot#'!A:AL,28,FALSE)</f>
        <v>48</v>
      </c>
      <c r="AJ230" s="1">
        <f>VLOOKUP(A230,'SegEnds_NonXtal_Prot#'!A:AL,34,FALSE)-VLOOKUP(A230,'SegEnds_NonXtal_Prot#'!A:AL,31,FALSE)</f>
        <v>43</v>
      </c>
      <c r="AK230" s="1">
        <f>VLOOKUP(A230,'SegEnds_NonXtal_Prot#'!A:AL,37,FALSE)-VLOOKUP(A230,'SegEnds_NonXtal_Prot#'!A:AL,34,FALSE)</f>
        <v>10</v>
      </c>
      <c r="AL230" s="1" t="str">
        <f>IF(ISERROR(MATCH(A230,'SegEnds_Xtal_Prot#'!B:B, 0)), "NoXtal", "Xtal")</f>
        <v>NoXtal</v>
      </c>
    </row>
    <row r="231" spans="1:38" x14ac:dyDescent="0.2">
      <c r="A231" s="1" t="s">
        <v>371</v>
      </c>
      <c r="B231" s="1" t="str">
        <f>VLOOKUP(A231,Xtal_Templ!A:B,2,FALSE)</f>
        <v>ptafr_human</v>
      </c>
      <c r="C231" s="5">
        <f>VLOOKUP($B231&amp;"__wt",'SegEnds_Xtal_BW#'!$A:$Z,3,FALSE)</f>
        <v>27</v>
      </c>
      <c r="D231" s="1">
        <f>VLOOKUP($B231&amp;"__wt",'SegEnds_Xtal_BW#'!$A:$Z,4,FALSE)</f>
        <v>61</v>
      </c>
      <c r="E231" s="1" t="str">
        <f>VLOOKUP($B231&amp;"__wt",'SegEnds_Xtal_BW#'!$A:$Z,5,FALSE)</f>
        <v>-</v>
      </c>
      <c r="F231" s="1" t="str">
        <f>VLOOKUP($B231&amp;"__wt",'SegEnds_Xtal_BW#'!$A:$Z,6,FALSE)</f>
        <v>-</v>
      </c>
      <c r="G231" s="108">
        <v>36</v>
      </c>
      <c r="H231" s="12">
        <f>VLOOKUP($B231&amp;"__wt",'SegEnds_Xtal_BW#'!$A:$Z,8,FALSE)</f>
        <v>67</v>
      </c>
      <c r="I231" s="1">
        <f>VLOOKUP($B231&amp;"__wt",'SegEnds_Xtal_BW#'!$A:$Z,9,FALSE)</f>
        <v>49</v>
      </c>
      <c r="J231" s="1">
        <f>VLOOKUP($B231&amp;"__wt",'SegEnds_Xtal_BW#'!$A:$Z,10,FALSE)</f>
        <v>52</v>
      </c>
      <c r="K231" s="12">
        <v>18</v>
      </c>
      <c r="L231" s="1">
        <f>VLOOKUP($B231&amp;"__wt",'SegEnds_Xtal_BW#'!$A:$Z,12,FALSE)</f>
        <v>56</v>
      </c>
      <c r="M231" s="1">
        <f>VLOOKUP($B231&amp;"__wt",'SegEnds_Xtal_BW#'!$A:$Z,13,FALSE)</f>
        <v>50</v>
      </c>
      <c r="N231" s="12">
        <f>VLOOKUP($B231&amp;"__wt",'SegEnds_Xtal_BW#'!$A:$Z,14,FALSE)</f>
        <v>57</v>
      </c>
      <c r="O231" s="87">
        <v>38</v>
      </c>
      <c r="P231" s="1">
        <f>VLOOKUP($B231&amp;"__wt",'SegEnds_Xtal_BW#'!$A:$Z,16,FALSE)</f>
        <v>63</v>
      </c>
      <c r="Q231" s="1">
        <f>VLOOKUP($B231&amp;"__wt",'SegEnds_Xtal_BW#'!$A:$Z,17,FALSE)</f>
        <v>50</v>
      </c>
      <c r="R231" s="1">
        <f>VLOOKUP($B231&amp;"__wt",'SegEnds_Xtal_BW#'!$A:$Z,18,FALSE)</f>
        <v>52</v>
      </c>
      <c r="S231" s="1">
        <f>VLOOKUP($B231&amp;"__wt",'SegEnds_Xtal_BW#'!$A:$Z,19,FALSE)</f>
        <v>33</v>
      </c>
      <c r="T231" s="1">
        <f t="array" ref="T231">INDEX(ICL3_classA!$G$2:$G$37,MATCH(MIN(ABS(AI231-ICL3_classA!$F$2:$F$37)),ABS(AI231-ICL3_classA!$F$2:$F$37),0))</f>
        <v>68</v>
      </c>
      <c r="U231" s="1">
        <f t="array" ref="U231">INDEX(ICL3_classA!$H$2:$H$37,MATCH(MIN(ABS(AI231-ICL3_classA!$F$2:$F$37)),ABS(AI231-ICL3_classA!$F$2:$F$37),0))</f>
        <v>24</v>
      </c>
      <c r="V231" s="108">
        <v>64</v>
      </c>
      <c r="W231" s="1">
        <v>24</v>
      </c>
      <c r="X231" s="1">
        <f>VLOOKUP($B231&amp;"__wt",'SegEnds_Xtal_BW#'!$A:$Z,24,FALSE)</f>
        <v>59</v>
      </c>
      <c r="Y231" s="1">
        <f>VLOOKUP($B231&amp;"__wt",'SegEnds_Xtal_BW#'!$A:$Z,25,FALSE)</f>
        <v>50</v>
      </c>
      <c r="Z231" s="1">
        <f>VLOOKUP($B231&amp;"__wt",'SegEnds_Xtal_BW#'!$A:$Z,26,FALSE)</f>
        <v>63</v>
      </c>
      <c r="AA231" s="27" t="str">
        <f>VLOOKUP(A231,Classification!A:B,2,FALSE)</f>
        <v>A</v>
      </c>
      <c r="AB231" s="1">
        <f>VLOOKUP(A231,'SegEnds_NonXtal_Prot#'!A:AL,10,FALSE)-VLOOKUP(A231,'SegEnds_NonXtal_Prot#'!A:AL,4,FALSE)</f>
        <v>30</v>
      </c>
      <c r="AC231" s="1" t="e">
        <f>VLOOKUP(A231,'SegEnds_NonXtal_Prot#'!A:AL,10,FALSE)-VLOOKUP(A231,'SegEnds_NonXtal_Prot#'!A:AL,7,FALSE)</f>
        <v>#VALUE!</v>
      </c>
      <c r="AD231" s="1">
        <f>VLOOKUP(A231,'SegEnds_NonXtal_Prot#'!A:AL,13,FALSE)-VLOOKUP(A231,'SegEnds_NonXtal_Prot#'!A:AL,10,FALSE)</f>
        <v>20</v>
      </c>
      <c r="AE231" s="1">
        <f>VLOOKUP(A231,'SegEnds_NonXtal_Prot#'!A:AL,16,FALSE)-VLOOKUP(A231,'SegEnds_NonXtal_Prot#'!A:AL,10,FALSE)</f>
        <v>52</v>
      </c>
      <c r="AF231" s="1">
        <f>VLOOKUP(A231,'SegEnds_NonXtal_Prot#'!A:AL,22,FALSE)-VLOOKUP(A231,'SegEnds_NonXtal_Prot#'!A:AL,19,FALSE)</f>
        <v>20</v>
      </c>
      <c r="AG231" s="1">
        <f>VLOOKUP(A231,'SegEnds_NonXtal_Prot#'!A:AL,28,FALSE)-VLOOKUP(A231,'SegEnds_NonXtal_Prot#'!A:AL,25,FALSE)</f>
        <v>25</v>
      </c>
      <c r="AH231" s="1">
        <f>VLOOKUP(A231,'SegEnds_NonXtal_Prot#'!A:AL,28,FALSE)-VLOOKUP(A231,'SegEnds_NonXtal_Prot#'!A:AL,22,FALSE)</f>
        <v>56</v>
      </c>
      <c r="AI231" s="1">
        <f>VLOOKUP(A231,'SegEnds_NonXtal_Prot#'!A:AL,31,FALSE)-VLOOKUP(A231,'SegEnds_NonXtal_Prot#'!A:AL,28,FALSE)</f>
        <v>49</v>
      </c>
      <c r="AJ231" s="1">
        <f>VLOOKUP(A231,'SegEnds_NonXtal_Prot#'!A:AL,34,FALSE)-VLOOKUP(A231,'SegEnds_NonXtal_Prot#'!A:AL,31,FALSE)</f>
        <v>43</v>
      </c>
      <c r="AK231" s="1">
        <f>VLOOKUP(A231,'SegEnds_NonXtal_Prot#'!A:AL,37,FALSE)-VLOOKUP(A231,'SegEnds_NonXtal_Prot#'!A:AL,34,FALSE)</f>
        <v>10</v>
      </c>
      <c r="AL231" s="1" t="str">
        <f>IF(ISERROR(MATCH(A231,'SegEnds_Xtal_Prot#'!B:B, 0)), "NoXtal", "Xtal")</f>
        <v>Xtal</v>
      </c>
    </row>
    <row r="232" spans="1:38" x14ac:dyDescent="0.2">
      <c r="A232" s="1" t="s">
        <v>1462</v>
      </c>
      <c r="B232" s="1" t="s">
        <v>1462</v>
      </c>
      <c r="C232" s="5">
        <f>VLOOKUP($B232&amp;"__wt",'SegEnds_Xtal_BW#'!$A:$Z,3,FALSE)</f>
        <v>29</v>
      </c>
      <c r="D232" s="1">
        <f>VLOOKUP($B232&amp;"__wt",'SegEnds_Xtal_BW#'!$A:$Z,4,FALSE)</f>
        <v>60</v>
      </c>
      <c r="E232" s="1">
        <f>VLOOKUP($B232&amp;"__wt",'SegEnds_Xtal_BW#'!$A:$Z,5,FALSE)</f>
        <v>48</v>
      </c>
      <c r="F232" s="1">
        <f>VLOOKUP($B232&amp;"__wt",'SegEnds_Xtal_BW#'!$A:$Z,6,FALSE)</f>
        <v>51</v>
      </c>
      <c r="G232" s="1">
        <v>37</v>
      </c>
      <c r="H232" s="12">
        <f>VLOOKUP($B232&amp;"__wt",'SegEnds_Xtal_BW#'!$A:$Z,8,FALSE)</f>
        <v>67</v>
      </c>
      <c r="I232" s="1">
        <f>VLOOKUP($B232&amp;"__wt",'SegEnds_Xtal_BW#'!$A:$Z,9,FALSE)</f>
        <v>49</v>
      </c>
      <c r="J232" s="1">
        <f>VLOOKUP($B232&amp;"__wt",'SegEnds_Xtal_BW#'!$A:$Z,10,FALSE)</f>
        <v>52</v>
      </c>
      <c r="K232" s="12">
        <f>VLOOKUP($B232&amp;"__wt",'SegEnds_Xtal_BW#'!$A:$Z,11,FALSE)</f>
        <v>21</v>
      </c>
      <c r="L232" s="1">
        <f>VLOOKUP($B232&amp;"__wt",'SegEnds_Xtal_BW#'!$A:$Z,12,FALSE)</f>
        <v>56</v>
      </c>
      <c r="M232" s="1">
        <f>VLOOKUP($B232&amp;"__wt",'SegEnds_Xtal_BW#'!$A:$Z,13,FALSE)</f>
        <v>50</v>
      </c>
      <c r="N232" s="12">
        <f>VLOOKUP($B232&amp;"__wt",'SegEnds_Xtal_BW#'!$A:$Z,14,FALSE)</f>
        <v>57</v>
      </c>
      <c r="O232" s="87">
        <f>VLOOKUP($B232&amp;"__wt",'SegEnds_Xtal_BW#'!$A:$Z,15,FALSE)</f>
        <v>38</v>
      </c>
      <c r="P232" s="1">
        <f>VLOOKUP($B232&amp;"__wt",'SegEnds_Xtal_BW#'!$A:$Z,16,FALSE)</f>
        <v>64</v>
      </c>
      <c r="Q232" s="1">
        <f>VLOOKUP($B232&amp;"__wt",'SegEnds_Xtal_BW#'!$A:$Z,17,FALSE)</f>
        <v>50</v>
      </c>
      <c r="R232" s="1">
        <f>VLOOKUP($B232&amp;"__wt",'SegEnds_Xtal_BW#'!$A:$Z,18,FALSE)</f>
        <v>52</v>
      </c>
      <c r="S232" s="1">
        <f>VLOOKUP($B232&amp;"__wt",'SegEnds_Xtal_BW#'!$A:$Z,19,FALSE)</f>
        <v>31</v>
      </c>
      <c r="T232" s="1">
        <f t="array" ref="T232">INDEX(ICL3_classA!$G$2:$G$37,MATCH(MIN(ABS(AI232-ICL3_classA!$F$2:$F$37)),ABS(AI232-ICL3_classA!$F$2:$F$37),0))</f>
        <v>68</v>
      </c>
      <c r="U232" s="1">
        <f t="array" ref="U232">INDEX(ICL3_classA!$H$2:$H$37,MATCH(MIN(ABS(AI232-ICL3_classA!$F$2:$F$37)),ABS(AI232-ICL3_classA!$F$2:$F$37),0))</f>
        <v>30</v>
      </c>
      <c r="V232" s="1">
        <v>64</v>
      </c>
      <c r="W232" s="1">
        <v>24</v>
      </c>
      <c r="X232" s="1">
        <f>VLOOKUP($B232&amp;"__wt",'SegEnds_Xtal_BW#'!$A:$Z,24,FALSE)</f>
        <v>56</v>
      </c>
      <c r="Y232" s="1">
        <f>VLOOKUP($B232&amp;"__wt",'SegEnds_Xtal_BW#'!$A:$Z,25,FALSE)</f>
        <v>47</v>
      </c>
      <c r="Z232" s="1">
        <f>VLOOKUP($B232&amp;"__wt",'SegEnds_Xtal_BW#'!$A:$Z,26,FALSE)</f>
        <v>61</v>
      </c>
      <c r="AA232" s="27" t="str">
        <f>VLOOKUP(A232,Classification!A:B,2,FALSE)</f>
        <v>A</v>
      </c>
      <c r="AB232" s="1">
        <f>VLOOKUP(A232,'SegEnds_NonXtal_Prot#'!A:AL,10,FALSE)-VLOOKUP(A232,'SegEnds_NonXtal_Prot#'!A:AL,4,FALSE)</f>
        <v>28</v>
      </c>
      <c r="AC232" s="1">
        <f>VLOOKUP(A232,'SegEnds_NonXtal_Prot#'!A:AL,10,FALSE)-VLOOKUP(A232,'SegEnds_NonXtal_Prot#'!A:AL,7,FALSE)</f>
        <v>15</v>
      </c>
      <c r="AD232" s="1">
        <f>VLOOKUP(A232,'SegEnds_NonXtal_Prot#'!A:AL,13,FALSE)-VLOOKUP(A232,'SegEnds_NonXtal_Prot#'!A:AL,10,FALSE)</f>
        <v>19</v>
      </c>
      <c r="AE232" s="1">
        <f>VLOOKUP(A232,'SegEnds_NonXtal_Prot#'!A:AL,16,FALSE)-VLOOKUP(A232,'SegEnds_NonXtal_Prot#'!A:AL,10,FALSE)</f>
        <v>51</v>
      </c>
      <c r="AF232" s="1">
        <f>VLOOKUP(A232,'SegEnds_NonXtal_Prot#'!A:AL,22,FALSE)-VLOOKUP(A232,'SegEnds_NonXtal_Prot#'!A:AL,19,FALSE)</f>
        <v>20</v>
      </c>
      <c r="AG232" s="1">
        <f>VLOOKUP(A232,'SegEnds_NonXtal_Prot#'!A:AL,28,FALSE)-VLOOKUP(A232,'SegEnds_NonXtal_Prot#'!A:AL,25,FALSE)</f>
        <v>25</v>
      </c>
      <c r="AH232" s="1">
        <f>VLOOKUP(A232,'SegEnds_NonXtal_Prot#'!A:AL,28,FALSE)-VLOOKUP(A232,'SegEnds_NonXtal_Prot#'!A:AL,22,FALSE)</f>
        <v>51</v>
      </c>
      <c r="AI232" s="1">
        <f>VLOOKUP(A232,'SegEnds_NonXtal_Prot#'!A:AL,31,FALSE)-VLOOKUP(A232,'SegEnds_NonXtal_Prot#'!A:AL,28,FALSE)</f>
        <v>43</v>
      </c>
      <c r="AJ232" s="1">
        <f>VLOOKUP(A232,'SegEnds_NonXtal_Prot#'!A:AL,34,FALSE)-VLOOKUP(A232,'SegEnds_NonXtal_Prot#'!A:AL,31,FALSE)</f>
        <v>43</v>
      </c>
      <c r="AK232" s="1">
        <f>VLOOKUP(A232,'SegEnds_NonXtal_Prot#'!A:AL,37,FALSE)-VLOOKUP(A232,'SegEnds_NonXtal_Prot#'!A:AL,34,FALSE)</f>
        <v>10</v>
      </c>
      <c r="AL232" s="1" t="str">
        <f>IF(ISERROR(MATCH(A232,'SegEnds_Xtal_Prot#'!B:B, 0)), "NoXtal", "Xtal")</f>
        <v>Xtal</v>
      </c>
    </row>
    <row r="233" spans="1:38" x14ac:dyDescent="0.2">
      <c r="A233" s="1" t="s">
        <v>143</v>
      </c>
      <c r="B233" s="1" t="str">
        <f>VLOOKUP(A233,Xtal_Templ!A:B,2,FALSE)</f>
        <v>ccr5_human</v>
      </c>
      <c r="C233" s="5">
        <f>VLOOKUP($B233&amp;"__wt",'SegEnds_Xtal_BW#'!$A:$Z,3,FALSE)</f>
        <v>24</v>
      </c>
      <c r="D233" s="1">
        <f>VLOOKUP($B233&amp;"__wt",'SegEnds_Xtal_BW#'!$A:$Z,4,FALSE)</f>
        <v>60</v>
      </c>
      <c r="E233" s="1">
        <f>VLOOKUP($B233&amp;"__wt",'SegEnds_Xtal_BW#'!$A:$Z,5,FALSE)</f>
        <v>48</v>
      </c>
      <c r="F233" s="1">
        <f>VLOOKUP($B233&amp;"__wt",'SegEnds_Xtal_BW#'!$A:$Z,6,FALSE)</f>
        <v>51</v>
      </c>
      <c r="G233" s="1">
        <v>37</v>
      </c>
      <c r="H233" s="12">
        <v>66</v>
      </c>
      <c r="I233" s="1">
        <f>VLOOKUP($B233&amp;"__wt",'SegEnds_Xtal_BW#'!$A:$Z,9,FALSE)</f>
        <v>49</v>
      </c>
      <c r="J233" s="1">
        <f>VLOOKUP($B233&amp;"__wt",'SegEnds_Xtal_BW#'!$A:$Z,10,FALSE)</f>
        <v>52</v>
      </c>
      <c r="K233" s="108">
        <v>21</v>
      </c>
      <c r="L233" s="1">
        <f>VLOOKUP($B233&amp;"__wt",'SegEnds_Xtal_BW#'!$A:$Z,12,FALSE)</f>
        <v>56</v>
      </c>
      <c r="M233" s="1">
        <f>VLOOKUP($B233&amp;"__wt",'SegEnds_Xtal_BW#'!$A:$Z,13,FALSE)</f>
        <v>50</v>
      </c>
      <c r="N233" s="12">
        <f>VLOOKUP($B233&amp;"__wt",'SegEnds_Xtal_BW#'!$A:$Z,14,FALSE)</f>
        <v>57</v>
      </c>
      <c r="O233" s="87">
        <f>VLOOKUP($B233&amp;"__wt",'SegEnds_Xtal_BW#'!$A:$Z,15,FALSE)</f>
        <v>38</v>
      </c>
      <c r="P233" s="1">
        <f>VLOOKUP($B233&amp;"__wt",'SegEnds_Xtal_BW#'!$A:$Z,16,FALSE)</f>
        <v>64</v>
      </c>
      <c r="Q233" s="1">
        <f>VLOOKUP($B233&amp;"__wt",'SegEnds_Xtal_BW#'!$A:$Z,17,FALSE)</f>
        <v>50</v>
      </c>
      <c r="R233" s="1">
        <f>VLOOKUP($B233&amp;"__wt",'SegEnds_Xtal_BW#'!$A:$Z,18,FALSE)</f>
        <v>52</v>
      </c>
      <c r="S233" s="1">
        <f>VLOOKUP($B233&amp;"__wt",'SegEnds_Xtal_BW#'!$A:$Z,19,FALSE)</f>
        <v>30</v>
      </c>
      <c r="T233" s="1">
        <f t="array" ref="T233">INDEX(ICL3_classA!$G$2:$G$37,MATCH(MIN(ABS(AI233-ICL3_classA!$F$2:$F$37)),ABS(AI233-ICL3_classA!$F$2:$F$37),0))</f>
        <v>68</v>
      </c>
      <c r="U233" s="1">
        <f t="array" ref="U233">INDEX(ICL3_classA!$H$2:$H$37,MATCH(MIN(ABS(AI233-ICL3_classA!$F$2:$F$37)),ABS(AI233-ICL3_classA!$F$2:$F$37),0))</f>
        <v>30</v>
      </c>
      <c r="V233" s="1">
        <v>64</v>
      </c>
      <c r="W233" s="1">
        <v>24</v>
      </c>
      <c r="X233" s="1">
        <f>VLOOKUP($B233&amp;"__wt",'SegEnds_Xtal_BW#'!$A:$Z,24,FALSE)</f>
        <v>56</v>
      </c>
      <c r="Y233" s="1">
        <f>VLOOKUP($B233&amp;"__wt",'SegEnds_Xtal_BW#'!$A:$Z,25,FALSE)</f>
        <v>47</v>
      </c>
      <c r="Z233" s="1">
        <f>VLOOKUP($B233&amp;"__wt",'SegEnds_Xtal_BW#'!$A:$Z,26,FALSE)</f>
        <v>59</v>
      </c>
      <c r="AA233" s="27" t="str">
        <f>VLOOKUP(A233,Classification!A:B,2,FALSE)</f>
        <v>A</v>
      </c>
      <c r="AB233" s="1">
        <f>VLOOKUP(A233,'SegEnds_NonXtal_Prot#'!A:AL,10,FALSE)-VLOOKUP(A233,'SegEnds_NonXtal_Prot#'!A:AL,4,FALSE)</f>
        <v>28</v>
      </c>
      <c r="AC233" s="1">
        <f>VLOOKUP(A233,'SegEnds_NonXtal_Prot#'!A:AL,10,FALSE)-VLOOKUP(A233,'SegEnds_NonXtal_Prot#'!A:AL,7,FALSE)</f>
        <v>15</v>
      </c>
      <c r="AD233" s="1">
        <f>VLOOKUP(A233,'SegEnds_NonXtal_Prot#'!A:AL,13,FALSE)-VLOOKUP(A233,'SegEnds_NonXtal_Prot#'!A:AL,10,FALSE)</f>
        <v>18</v>
      </c>
      <c r="AE233" s="1">
        <f>VLOOKUP(A233,'SegEnds_NonXtal_Prot#'!A:AL,16,FALSE)-VLOOKUP(A233,'SegEnds_NonXtal_Prot#'!A:AL,10,FALSE)</f>
        <v>50</v>
      </c>
      <c r="AF233" s="1">
        <f>VLOOKUP(A233,'SegEnds_NonXtal_Prot#'!A:AL,22,FALSE)-VLOOKUP(A233,'SegEnds_NonXtal_Prot#'!A:AL,19,FALSE)</f>
        <v>20</v>
      </c>
      <c r="AG233" s="1">
        <f>VLOOKUP(A233,'SegEnds_NonXtal_Prot#'!A:AL,28,FALSE)-VLOOKUP(A233,'SegEnds_NonXtal_Prot#'!A:AL,25,FALSE)</f>
        <v>27</v>
      </c>
      <c r="AH233" s="1">
        <f>VLOOKUP(A233,'SegEnds_NonXtal_Prot#'!A:AL,28,FALSE)-VLOOKUP(A233,'SegEnds_NonXtal_Prot#'!A:AL,22,FALSE)</f>
        <v>53</v>
      </c>
      <c r="AI233" s="1">
        <f>VLOOKUP(A233,'SegEnds_NonXtal_Prot#'!A:AL,31,FALSE)-VLOOKUP(A233,'SegEnds_NonXtal_Prot#'!A:AL,28,FALSE)</f>
        <v>43</v>
      </c>
      <c r="AJ233" s="1">
        <f>VLOOKUP(A233,'SegEnds_NonXtal_Prot#'!A:AL,34,FALSE)-VLOOKUP(A233,'SegEnds_NonXtal_Prot#'!A:AL,31,FALSE)</f>
        <v>44</v>
      </c>
      <c r="AK233" s="1">
        <f>VLOOKUP(A233,'SegEnds_NonXtal_Prot#'!A:AL,37,FALSE)-VLOOKUP(A233,'SegEnds_NonXtal_Prot#'!A:AL,34,FALSE)</f>
        <v>10</v>
      </c>
      <c r="AL233" s="1" t="str">
        <f>IF(ISERROR(MATCH(A233,'SegEnds_Xtal_Prot#'!B:B, 0)), "NoXtal", "Xtal")</f>
        <v>NoXtal</v>
      </c>
    </row>
    <row r="234" spans="1:38" x14ac:dyDescent="0.2">
      <c r="A234" s="1" t="s">
        <v>158</v>
      </c>
      <c r="B234" s="1" t="str">
        <f>VLOOKUP(A234,Xtal_Templ!A:B,2,FALSE)</f>
        <v>agtr1_human</v>
      </c>
      <c r="C234" s="5">
        <f>VLOOKUP($B234&amp;"__wt",'SegEnds_Xtal_BW#'!$A:$Z,3,FALSE)</f>
        <v>28</v>
      </c>
      <c r="D234" s="1">
        <f>VLOOKUP($B234&amp;"__wt",'SegEnds_Xtal_BW#'!$A:$Z,4,FALSE)</f>
        <v>60</v>
      </c>
      <c r="E234" s="1">
        <f>VLOOKUP($B234&amp;"__wt",'SegEnds_Xtal_BW#'!$A:$Z,5,FALSE)</f>
        <v>48</v>
      </c>
      <c r="F234" s="1">
        <f>VLOOKUP($B234&amp;"__wt",'SegEnds_Xtal_BW#'!$A:$Z,6,FALSE)</f>
        <v>51</v>
      </c>
      <c r="G234" s="1">
        <v>37</v>
      </c>
      <c r="H234" s="12">
        <f>VLOOKUP($B234&amp;"__wt",'SegEnds_Xtal_BW#'!$A:$Z,8,FALSE)</f>
        <v>66</v>
      </c>
      <c r="I234" s="1">
        <f>VLOOKUP($B234&amp;"__wt",'SegEnds_Xtal_BW#'!$A:$Z,9,FALSE)</f>
        <v>49</v>
      </c>
      <c r="J234" s="1">
        <f>VLOOKUP($B234&amp;"__wt",'SegEnds_Xtal_BW#'!$A:$Z,10,FALSE)</f>
        <v>52</v>
      </c>
      <c r="K234" s="12">
        <v>18</v>
      </c>
      <c r="L234" s="1">
        <f>VLOOKUP($B234&amp;"__wt",'SegEnds_Xtal_BW#'!$A:$Z,12,FALSE)</f>
        <v>56</v>
      </c>
      <c r="M234" s="1">
        <f>VLOOKUP($B234&amp;"__wt",'SegEnds_Xtal_BW#'!$A:$Z,13,FALSE)</f>
        <v>50</v>
      </c>
      <c r="N234" s="12">
        <f>VLOOKUP($B234&amp;"__wt",'SegEnds_Xtal_BW#'!$A:$Z,14,FALSE)</f>
        <v>57</v>
      </c>
      <c r="O234" s="87">
        <f>VLOOKUP($B234&amp;"__wt",'SegEnds_Xtal_BW#'!$A:$Z,15,FALSE)</f>
        <v>38</v>
      </c>
      <c r="P234" s="1">
        <f>VLOOKUP($B234&amp;"__wt",'SegEnds_Xtal_BW#'!$A:$Z,16,FALSE)</f>
        <v>64</v>
      </c>
      <c r="Q234" s="1">
        <f>VLOOKUP($B234&amp;"__wt",'SegEnds_Xtal_BW#'!$A:$Z,17,FALSE)</f>
        <v>50</v>
      </c>
      <c r="R234" s="1">
        <f>VLOOKUP($B234&amp;"__wt",'SegEnds_Xtal_BW#'!$A:$Z,18,FALSE)</f>
        <v>52</v>
      </c>
      <c r="S234" s="1">
        <f>VLOOKUP($B234&amp;"__wt",'SegEnds_Xtal_BW#'!$A:$Z,19,FALSE)</f>
        <v>34</v>
      </c>
      <c r="T234" s="1">
        <f t="array" ref="T234">INDEX(ICL3_classA!$G$2:$G$37,MATCH(MIN(ABS(AI234-ICL3_classA!$F$2:$F$37)),ABS(AI234-ICL3_classA!$F$2:$F$37),0))</f>
        <v>68</v>
      </c>
      <c r="U234" s="1">
        <f t="array" ref="U234">INDEX(ICL3_classA!$H$2:$H$37,MATCH(MIN(ABS(AI234-ICL3_classA!$F$2:$F$37)),ABS(AI234-ICL3_classA!$F$2:$F$37),0))</f>
        <v>24</v>
      </c>
      <c r="V234" s="1">
        <v>64</v>
      </c>
      <c r="W234" s="1">
        <v>24</v>
      </c>
      <c r="X234" s="125">
        <f>VLOOKUP($B234&amp;"__wt",'SegEnds_Xtal_BW#'!$A:$Z,24,FALSE)</f>
        <v>56</v>
      </c>
      <c r="Y234" s="1">
        <f>VLOOKUP($B234&amp;"__wt",'SegEnds_Xtal_BW#'!$A:$Z,25,FALSE)</f>
        <v>47</v>
      </c>
      <c r="Z234" s="1">
        <f>VLOOKUP($B234&amp;"__wt",'SegEnds_Xtal_BW#'!$A:$Z,26,FALSE)</f>
        <v>61</v>
      </c>
      <c r="AA234" s="27" t="str">
        <f>VLOOKUP(A234,Classification!A:B,2,FALSE)</f>
        <v>A</v>
      </c>
      <c r="AB234" s="1">
        <f>VLOOKUP(A234,'SegEnds_NonXtal_Prot#'!A:AL,10,FALSE)-VLOOKUP(A234,'SegEnds_NonXtal_Prot#'!A:AL,4,FALSE)</f>
        <v>28</v>
      </c>
      <c r="AC234" s="1">
        <f>VLOOKUP(A234,'SegEnds_NonXtal_Prot#'!A:AL,10,FALSE)-VLOOKUP(A234,'SegEnds_NonXtal_Prot#'!A:AL,7,FALSE)</f>
        <v>15</v>
      </c>
      <c r="AD234" s="1">
        <f>VLOOKUP(A234,'SegEnds_NonXtal_Prot#'!A:AL,13,FALSE)-VLOOKUP(A234,'SegEnds_NonXtal_Prot#'!A:AL,10,FALSE)</f>
        <v>20</v>
      </c>
      <c r="AE234" s="1">
        <f>VLOOKUP(A234,'SegEnds_NonXtal_Prot#'!A:AL,16,FALSE)-VLOOKUP(A234,'SegEnds_NonXtal_Prot#'!A:AL,10,FALSE)</f>
        <v>52</v>
      </c>
      <c r="AF234" s="1">
        <f>VLOOKUP(A234,'SegEnds_NonXtal_Prot#'!A:AL,22,FALSE)-VLOOKUP(A234,'SegEnds_NonXtal_Prot#'!A:AL,19,FALSE)</f>
        <v>20</v>
      </c>
      <c r="AG234" s="1">
        <f>VLOOKUP(A234,'SegEnds_NonXtal_Prot#'!A:AL,28,FALSE)-VLOOKUP(A234,'SegEnds_NonXtal_Prot#'!A:AL,25,FALSE)</f>
        <v>27</v>
      </c>
      <c r="AH234" s="1">
        <f>VLOOKUP(A234,'SegEnds_NonXtal_Prot#'!A:AL,28,FALSE)-VLOOKUP(A234,'SegEnds_NonXtal_Prot#'!A:AL,22,FALSE)</f>
        <v>54</v>
      </c>
      <c r="AI234" s="1">
        <f>VLOOKUP(A234,'SegEnds_NonXtal_Prot#'!A:AL,31,FALSE)-VLOOKUP(A234,'SegEnds_NonXtal_Prot#'!A:AL,28,FALSE)</f>
        <v>48</v>
      </c>
      <c r="AJ234" s="1">
        <f>VLOOKUP(A234,'SegEnds_NonXtal_Prot#'!A:AL,34,FALSE)-VLOOKUP(A234,'SegEnds_NonXtal_Prot#'!A:AL,31,FALSE)</f>
        <v>44</v>
      </c>
      <c r="AK234" s="1">
        <f>VLOOKUP(A234,'SegEnds_NonXtal_Prot#'!A:AL,37,FALSE)-VLOOKUP(A234,'SegEnds_NonXtal_Prot#'!A:AL,34,FALSE)</f>
        <v>10</v>
      </c>
      <c r="AL234" s="1" t="str">
        <f>IF(ISERROR(MATCH(A234,'SegEnds_Xtal_Prot#'!B:B, 0)), "NoXtal", "Xtal")</f>
        <v>Xtal</v>
      </c>
    </row>
    <row r="235" spans="1:38" x14ac:dyDescent="0.2">
      <c r="A235" s="1" t="s">
        <v>159</v>
      </c>
      <c r="B235" s="1" t="str">
        <f>VLOOKUP(A235,Xtal_Templ!A:B,2,FALSE)</f>
        <v>agtr2_human</v>
      </c>
      <c r="C235" s="5">
        <f>VLOOKUP($B235&amp;"__wt",'SegEnds_Xtal_BW#'!$A:$Z,3,FALSE)</f>
        <v>33</v>
      </c>
      <c r="D235" s="1">
        <f>VLOOKUP($B235&amp;"__wt",'SegEnds_Xtal_BW#'!$A:$Z,4,FALSE)</f>
        <v>60</v>
      </c>
      <c r="E235" s="1" t="str">
        <f>VLOOKUP($B235&amp;"__wt",'SegEnds_Xtal_BW#'!$A:$Z,5,FALSE)</f>
        <v>-</v>
      </c>
      <c r="F235" s="1" t="str">
        <f>VLOOKUP($B235&amp;"__wt",'SegEnds_Xtal_BW#'!$A:$Z,6,FALSE)</f>
        <v>-</v>
      </c>
      <c r="G235" s="108">
        <v>38</v>
      </c>
      <c r="H235" s="12">
        <f>VLOOKUP($B235&amp;"__wt",'SegEnds_Xtal_BW#'!$A:$Z,8,FALSE)</f>
        <v>66</v>
      </c>
      <c r="I235" s="1">
        <f>VLOOKUP($B235&amp;"__wt",'SegEnds_Xtal_BW#'!$A:$Z,9,FALSE)</f>
        <v>47</v>
      </c>
      <c r="J235" s="1">
        <f>VLOOKUP($B235&amp;"__wt",'SegEnds_Xtal_BW#'!$A:$Z,10,FALSE)</f>
        <v>52</v>
      </c>
      <c r="K235" s="12">
        <v>21</v>
      </c>
      <c r="L235" s="1">
        <f>VLOOKUP($B235&amp;"__wt",'SegEnds_Xtal_BW#'!$A:$Z,12,FALSE)</f>
        <v>56</v>
      </c>
      <c r="M235" s="1">
        <f>VLOOKUP($B235&amp;"__wt",'SegEnds_Xtal_BW#'!$A:$Z,13,FALSE)</f>
        <v>50</v>
      </c>
      <c r="N235" s="12">
        <f>VLOOKUP($B235&amp;"__wt",'SegEnds_Xtal_BW#'!$A:$Z,14,FALSE)</f>
        <v>56</v>
      </c>
      <c r="O235" s="87">
        <f>VLOOKUP($B235&amp;"__wt",'SegEnds_Xtal_BW#'!$A:$Z,15,FALSE)</f>
        <v>38</v>
      </c>
      <c r="P235" s="1">
        <f>VLOOKUP($B235&amp;"__wt",'SegEnds_Xtal_BW#'!$A:$Z,16,FALSE)</f>
        <v>64</v>
      </c>
      <c r="Q235" s="1">
        <f>VLOOKUP($B235&amp;"__wt",'SegEnds_Xtal_BW#'!$A:$Z,17,FALSE)</f>
        <v>50</v>
      </c>
      <c r="R235" s="1">
        <f>VLOOKUP($B235&amp;"__wt",'SegEnds_Xtal_BW#'!$A:$Z,18,FALSE)</f>
        <v>52</v>
      </c>
      <c r="S235" s="1">
        <f>VLOOKUP($B235&amp;"__wt",'SegEnds_Xtal_BW#'!$A:$Z,19,FALSE)</f>
        <v>30</v>
      </c>
      <c r="T235" s="1">
        <f t="array" ref="T235">INDEX(ICL3_classA!$G$2:$G$37,MATCH(MIN(ABS(AI235-ICL3_classA!$F$2:$F$37)),ABS(AI235-ICL3_classA!$F$2:$F$37),0))</f>
        <v>68</v>
      </c>
      <c r="U235" s="1">
        <f t="array" ref="U235">INDEX(ICL3_classA!$H$2:$H$37,MATCH(MIN(ABS(AI235-ICL3_classA!$F$2:$F$37)),ABS(AI235-ICL3_classA!$F$2:$F$37),0))</f>
        <v>24</v>
      </c>
      <c r="V235" s="1">
        <v>64</v>
      </c>
      <c r="W235" s="1">
        <v>24</v>
      </c>
      <c r="X235" s="1">
        <f>VLOOKUP($B235&amp;"__wt",'SegEnds_Xtal_BW#'!$A:$Z,24,FALSE)</f>
        <v>56</v>
      </c>
      <c r="Y235" s="1">
        <f>VLOOKUP($B235&amp;"__wt",'SegEnds_Xtal_BW#'!$A:$Z,25,FALSE)</f>
        <v>47</v>
      </c>
      <c r="Z235" s="1">
        <f>VLOOKUP($B235&amp;"__wt",'SegEnds_Xtal_BW#'!$A:$Z,26,FALSE)</f>
        <v>61</v>
      </c>
      <c r="AA235" s="27" t="str">
        <f>VLOOKUP(A235,Classification!A:B,2,FALSE)</f>
        <v>A</v>
      </c>
      <c r="AB235" s="1">
        <f>VLOOKUP(A235,'SegEnds_NonXtal_Prot#'!A:AL,10,FALSE)-VLOOKUP(A235,'SegEnds_NonXtal_Prot#'!A:AL,4,FALSE)</f>
        <v>28</v>
      </c>
      <c r="AC235" s="1" t="e">
        <f>VLOOKUP(A235,'SegEnds_NonXtal_Prot#'!A:AL,10,FALSE)-VLOOKUP(A235,'SegEnds_NonXtal_Prot#'!A:AL,7,FALSE)</f>
        <v>#VALUE!</v>
      </c>
      <c r="AD235" s="1">
        <f>VLOOKUP(A235,'SegEnds_NonXtal_Prot#'!A:AL,13,FALSE)-VLOOKUP(A235,'SegEnds_NonXtal_Prot#'!A:AL,10,FALSE)</f>
        <v>20</v>
      </c>
      <c r="AE235" s="1">
        <f>VLOOKUP(A235,'SegEnds_NonXtal_Prot#'!A:AL,16,FALSE)-VLOOKUP(A235,'SegEnds_NonXtal_Prot#'!A:AL,10,FALSE)</f>
        <v>52</v>
      </c>
      <c r="AF235" s="1">
        <f>VLOOKUP(A235,'SegEnds_NonXtal_Prot#'!A:AL,22,FALSE)-VLOOKUP(A235,'SegEnds_NonXtal_Prot#'!A:AL,19,FALSE)</f>
        <v>19</v>
      </c>
      <c r="AG235" s="1">
        <f>VLOOKUP(A235,'SegEnds_NonXtal_Prot#'!A:AL,28,FALSE)-VLOOKUP(A235,'SegEnds_NonXtal_Prot#'!A:AL,25,FALSE)</f>
        <v>28</v>
      </c>
      <c r="AH235" s="1">
        <f>VLOOKUP(A235,'SegEnds_NonXtal_Prot#'!A:AL,28,FALSE)-VLOOKUP(A235,'SegEnds_NonXtal_Prot#'!A:AL,22,FALSE)</f>
        <v>55</v>
      </c>
      <c r="AI235" s="1">
        <f>VLOOKUP(A235,'SegEnds_NonXtal_Prot#'!A:AL,31,FALSE)-VLOOKUP(A235,'SegEnds_NonXtal_Prot#'!A:AL,28,FALSE)</f>
        <v>48</v>
      </c>
      <c r="AJ235" s="1">
        <f>VLOOKUP(A235,'SegEnds_NonXtal_Prot#'!A:AL,34,FALSE)-VLOOKUP(A235,'SegEnds_NonXtal_Prot#'!A:AL,31,FALSE)</f>
        <v>44</v>
      </c>
      <c r="AK235" s="1">
        <f>VLOOKUP(A235,'SegEnds_NonXtal_Prot#'!A:AL,37,FALSE)-VLOOKUP(A235,'SegEnds_NonXtal_Prot#'!A:AL,34,FALSE)</f>
        <v>10</v>
      </c>
      <c r="AL235" s="1" t="str">
        <f>IF(ISERROR(MATCH(A235,'SegEnds_Xtal_Prot#'!B:B, 0)), "NoXtal", "Xtal")</f>
        <v>Xtal</v>
      </c>
    </row>
    <row r="236" spans="1:38" x14ac:dyDescent="0.2">
      <c r="A236" s="1" t="s">
        <v>161</v>
      </c>
      <c r="B236" s="1" t="str">
        <f>VLOOKUP(A236,Xtal_Templ!A:B,2,FALSE)</f>
        <v>agtr1_human</v>
      </c>
      <c r="C236" s="5">
        <f>VLOOKUP($B236&amp;"__wt",'SegEnds_Xtal_BW#'!$A:$Z,3,FALSE)</f>
        <v>28</v>
      </c>
      <c r="D236" s="1">
        <f>VLOOKUP($B236&amp;"__wt",'SegEnds_Xtal_BW#'!$A:$Z,4,FALSE)</f>
        <v>60</v>
      </c>
      <c r="E236" s="1">
        <f>VLOOKUP($B236&amp;"__wt",'SegEnds_Xtal_BW#'!$A:$Z,5,FALSE)</f>
        <v>48</v>
      </c>
      <c r="F236" s="1">
        <f>VLOOKUP($B236&amp;"__wt",'SegEnds_Xtal_BW#'!$A:$Z,6,FALSE)</f>
        <v>51</v>
      </c>
      <c r="G236" s="1">
        <v>37</v>
      </c>
      <c r="H236" s="12">
        <f>VLOOKUP($B236&amp;"__wt",'SegEnds_Xtal_BW#'!$A:$Z,8,FALSE)</f>
        <v>66</v>
      </c>
      <c r="I236" s="1">
        <f>VLOOKUP($B236&amp;"__wt",'SegEnds_Xtal_BW#'!$A:$Z,9,FALSE)</f>
        <v>49</v>
      </c>
      <c r="J236" s="1">
        <f>VLOOKUP($B236&amp;"__wt",'SegEnds_Xtal_BW#'!$A:$Z,10,FALSE)</f>
        <v>52</v>
      </c>
      <c r="K236" s="12">
        <v>18</v>
      </c>
      <c r="L236" s="1">
        <f>VLOOKUP($B236&amp;"__wt",'SegEnds_Xtal_BW#'!$A:$Z,12,FALSE)</f>
        <v>56</v>
      </c>
      <c r="M236" s="1">
        <f>VLOOKUP($B236&amp;"__wt",'SegEnds_Xtal_BW#'!$A:$Z,13,FALSE)</f>
        <v>50</v>
      </c>
      <c r="N236" s="12">
        <f>VLOOKUP($B236&amp;"__wt",'SegEnds_Xtal_BW#'!$A:$Z,14,FALSE)</f>
        <v>57</v>
      </c>
      <c r="O236" s="87">
        <v>38</v>
      </c>
      <c r="P236" s="1">
        <f>VLOOKUP($B236&amp;"__wt",'SegEnds_Xtal_BW#'!$A:$Z,16,FALSE)</f>
        <v>64</v>
      </c>
      <c r="Q236" s="1">
        <f>VLOOKUP($B236&amp;"__wt",'SegEnds_Xtal_BW#'!$A:$Z,17,FALSE)</f>
        <v>50</v>
      </c>
      <c r="R236" s="1">
        <f>VLOOKUP($B236&amp;"__wt",'SegEnds_Xtal_BW#'!$A:$Z,18,FALSE)</f>
        <v>52</v>
      </c>
      <c r="S236" s="1">
        <f>VLOOKUP($B236&amp;"__wt",'SegEnds_Xtal_BW#'!$A:$Z,19,FALSE)</f>
        <v>34</v>
      </c>
      <c r="T236" s="1">
        <f t="array" ref="T236">INDEX(ICL3_classA!$G$2:$G$37,MATCH(MIN(ABS(AI236-ICL3_classA!$F$2:$F$37)),ABS(AI236-ICL3_classA!$F$2:$F$37),0))</f>
        <v>68</v>
      </c>
      <c r="U236" s="1">
        <f t="array" ref="U236">INDEX(ICL3_classA!$H$2:$H$37,MATCH(MIN(ABS(AI236-ICL3_classA!$F$2:$F$37)),ABS(AI236-ICL3_classA!$F$2:$F$37),0))</f>
        <v>23</v>
      </c>
      <c r="V236" s="1">
        <v>64</v>
      </c>
      <c r="W236" s="1">
        <v>24</v>
      </c>
      <c r="X236" s="1">
        <f>VLOOKUP($B236&amp;"__wt",'SegEnds_Xtal_BW#'!$A:$Z,24,FALSE)</f>
        <v>56</v>
      </c>
      <c r="Y236" s="1">
        <f>VLOOKUP($B236&amp;"__wt",'SegEnds_Xtal_BW#'!$A:$Z,25,FALSE)</f>
        <v>47</v>
      </c>
      <c r="Z236" s="1">
        <f>VLOOKUP($B236&amp;"__wt",'SegEnds_Xtal_BW#'!$A:$Z,26,FALSE)</f>
        <v>61</v>
      </c>
      <c r="AA236" s="27" t="str">
        <f>VLOOKUP(A236,Classification!A:B,2,FALSE)</f>
        <v>A</v>
      </c>
      <c r="AB236" s="1">
        <f>VLOOKUP(A236,'SegEnds_NonXtal_Prot#'!A:AL,10,FALSE)-VLOOKUP(A236,'SegEnds_NonXtal_Prot#'!A:AL,4,FALSE)</f>
        <v>28</v>
      </c>
      <c r="AC236" s="1">
        <f>VLOOKUP(A236,'SegEnds_NonXtal_Prot#'!A:AL,10,FALSE)-VLOOKUP(A236,'SegEnds_NonXtal_Prot#'!A:AL,7,FALSE)</f>
        <v>15</v>
      </c>
      <c r="AD236" s="1">
        <f>VLOOKUP(A236,'SegEnds_NonXtal_Prot#'!A:AL,13,FALSE)-VLOOKUP(A236,'SegEnds_NonXtal_Prot#'!A:AL,10,FALSE)</f>
        <v>20</v>
      </c>
      <c r="AE236" s="1">
        <f>VLOOKUP(A236,'SegEnds_NonXtal_Prot#'!A:AL,16,FALSE)-VLOOKUP(A236,'SegEnds_NonXtal_Prot#'!A:AL,10,FALSE)</f>
        <v>52</v>
      </c>
      <c r="AF236" s="1">
        <f>VLOOKUP(A236,'SegEnds_NonXtal_Prot#'!A:AL,22,FALSE)-VLOOKUP(A236,'SegEnds_NonXtal_Prot#'!A:AL,19,FALSE)</f>
        <v>20</v>
      </c>
      <c r="AG236" s="1">
        <f>VLOOKUP(A236,'SegEnds_NonXtal_Prot#'!A:AL,28,FALSE)-VLOOKUP(A236,'SegEnds_NonXtal_Prot#'!A:AL,25,FALSE)</f>
        <v>25</v>
      </c>
      <c r="AH236" s="1">
        <f>VLOOKUP(A236,'SegEnds_NonXtal_Prot#'!A:AL,28,FALSE)-VLOOKUP(A236,'SegEnds_NonXtal_Prot#'!A:AL,22,FALSE)</f>
        <v>52</v>
      </c>
      <c r="AI236" s="1">
        <f>VLOOKUP(A236,'SegEnds_NonXtal_Prot#'!A:AL,31,FALSE)-VLOOKUP(A236,'SegEnds_NonXtal_Prot#'!A:AL,28,FALSE)</f>
        <v>51</v>
      </c>
      <c r="AJ236" s="1">
        <f>VLOOKUP(A236,'SegEnds_NonXtal_Prot#'!A:AL,34,FALSE)-VLOOKUP(A236,'SegEnds_NonXtal_Prot#'!A:AL,31,FALSE)</f>
        <v>44</v>
      </c>
      <c r="AK236" s="1">
        <f>VLOOKUP(A236,'SegEnds_NonXtal_Prot#'!A:AL,37,FALSE)-VLOOKUP(A236,'SegEnds_NonXtal_Prot#'!A:AL,34,FALSE)</f>
        <v>10</v>
      </c>
      <c r="AL236" s="1" t="str">
        <f>IF(ISERROR(MATCH(A236,'SegEnds_Xtal_Prot#'!B:B, 0)), "NoXtal", "Xtal")</f>
        <v>NoXtal</v>
      </c>
    </row>
    <row r="237" spans="1:38" x14ac:dyDescent="0.2">
      <c r="A237" s="1" t="s">
        <v>162</v>
      </c>
      <c r="B237" s="1" t="str">
        <f>VLOOKUP(A237,Xtal_Templ!A:B,2,FALSE)</f>
        <v>agtr2_human</v>
      </c>
      <c r="C237" s="5">
        <f>VLOOKUP($B237&amp;"__wt",'SegEnds_Xtal_BW#'!$A:$Z,3,FALSE)</f>
        <v>33</v>
      </c>
      <c r="D237" s="1">
        <f>VLOOKUP($B237&amp;"__wt",'SegEnds_Xtal_BW#'!$A:$Z,4,FALSE)</f>
        <v>60</v>
      </c>
      <c r="E237" s="1" t="str">
        <f>VLOOKUP($B237&amp;"__wt",'SegEnds_Xtal_BW#'!$A:$Z,5,FALSE)</f>
        <v>-</v>
      </c>
      <c r="F237" s="1" t="str">
        <f>VLOOKUP($B237&amp;"__wt",'SegEnds_Xtal_BW#'!$A:$Z,6,FALSE)</f>
        <v>-</v>
      </c>
      <c r="G237" s="1">
        <v>37</v>
      </c>
      <c r="H237" s="12">
        <f>VLOOKUP($B237&amp;"__wt",'SegEnds_Xtal_BW#'!$A:$Z,8,FALSE)</f>
        <v>66</v>
      </c>
      <c r="I237" s="1">
        <f>VLOOKUP($B237&amp;"__wt",'SegEnds_Xtal_BW#'!$A:$Z,9,FALSE)</f>
        <v>47</v>
      </c>
      <c r="J237" s="1">
        <f>VLOOKUP($B237&amp;"__wt",'SegEnds_Xtal_BW#'!$A:$Z,10,FALSE)</f>
        <v>52</v>
      </c>
      <c r="K237" s="12">
        <v>18</v>
      </c>
      <c r="L237" s="1">
        <f>VLOOKUP($B237&amp;"__wt",'SegEnds_Xtal_BW#'!$A:$Z,12,FALSE)</f>
        <v>56</v>
      </c>
      <c r="M237" s="1">
        <f>VLOOKUP($B237&amp;"__wt",'SegEnds_Xtal_BW#'!$A:$Z,13,FALSE)</f>
        <v>50</v>
      </c>
      <c r="N237" s="108">
        <v>57</v>
      </c>
      <c r="O237" s="87">
        <f>VLOOKUP($B237&amp;"__wt",'SegEnds_Xtal_BW#'!$A:$Z,15,FALSE)</f>
        <v>38</v>
      </c>
      <c r="P237" s="1">
        <f>VLOOKUP($B237&amp;"__wt",'SegEnds_Xtal_BW#'!$A:$Z,16,FALSE)</f>
        <v>64</v>
      </c>
      <c r="Q237" s="1">
        <f>VLOOKUP($B237&amp;"__wt",'SegEnds_Xtal_BW#'!$A:$Z,17,FALSE)</f>
        <v>50</v>
      </c>
      <c r="R237" s="1">
        <f>VLOOKUP($B237&amp;"__wt",'SegEnds_Xtal_BW#'!$A:$Z,18,FALSE)</f>
        <v>52</v>
      </c>
      <c r="S237" s="1">
        <f>VLOOKUP($B237&amp;"__wt",'SegEnds_Xtal_BW#'!$A:$Z,19,FALSE)</f>
        <v>30</v>
      </c>
      <c r="T237" s="1">
        <f t="array" ref="T237">INDEX(ICL3_classA!$G$2:$G$37,MATCH(MIN(ABS(AI237-ICL3_classA!$F$2:$F$37)),ABS(AI237-ICL3_classA!$F$2:$F$37),0))</f>
        <v>68</v>
      </c>
      <c r="U237" s="1">
        <f t="array" ref="U237">INDEX(ICL3_classA!$H$2:$H$37,MATCH(MIN(ABS(AI237-ICL3_classA!$F$2:$F$37)),ABS(AI237-ICL3_classA!$F$2:$F$37),0))</f>
        <v>24</v>
      </c>
      <c r="V237" s="1">
        <v>64</v>
      </c>
      <c r="W237" s="1">
        <v>24</v>
      </c>
      <c r="X237" s="1">
        <f>VLOOKUP($B237&amp;"__wt",'SegEnds_Xtal_BW#'!$A:$Z,24,FALSE)</f>
        <v>56</v>
      </c>
      <c r="Y237" s="1">
        <f>VLOOKUP($B237&amp;"__wt",'SegEnds_Xtal_BW#'!$A:$Z,25,FALSE)</f>
        <v>47</v>
      </c>
      <c r="Z237" s="1">
        <f>VLOOKUP($B237&amp;"__wt",'SegEnds_Xtal_BW#'!$A:$Z,26,FALSE)</f>
        <v>61</v>
      </c>
      <c r="AA237" s="27" t="str">
        <f>VLOOKUP(A237,Classification!A:B,2,FALSE)</f>
        <v>A</v>
      </c>
      <c r="AB237" s="1">
        <f>VLOOKUP(A237,'SegEnds_NonXtal_Prot#'!A:AL,10,FALSE)-VLOOKUP(A237,'SegEnds_NonXtal_Prot#'!A:AL,4,FALSE)</f>
        <v>28</v>
      </c>
      <c r="AC237" s="1">
        <f>VLOOKUP(A237,'SegEnds_NonXtal_Prot#'!A:AL,10,FALSE)-VLOOKUP(A237,'SegEnds_NonXtal_Prot#'!A:AL,7,FALSE)</f>
        <v>15</v>
      </c>
      <c r="AD237" s="1">
        <f>VLOOKUP(A237,'SegEnds_NonXtal_Prot#'!A:AL,13,FALSE)-VLOOKUP(A237,'SegEnds_NonXtal_Prot#'!A:AL,10,FALSE)</f>
        <v>20</v>
      </c>
      <c r="AE237" s="1">
        <f>VLOOKUP(A237,'SegEnds_NonXtal_Prot#'!A:AL,16,FALSE)-VLOOKUP(A237,'SegEnds_NonXtal_Prot#'!A:AL,10,FALSE)</f>
        <v>52</v>
      </c>
      <c r="AF237" s="1">
        <f>VLOOKUP(A237,'SegEnds_NonXtal_Prot#'!A:AL,22,FALSE)-VLOOKUP(A237,'SegEnds_NonXtal_Prot#'!A:AL,19,FALSE)</f>
        <v>20</v>
      </c>
      <c r="AG237" s="1">
        <f>VLOOKUP(A237,'SegEnds_NonXtal_Prot#'!A:AL,28,FALSE)-VLOOKUP(A237,'SegEnds_NonXtal_Prot#'!A:AL,25,FALSE)</f>
        <v>25</v>
      </c>
      <c r="AH237" s="1">
        <f>VLOOKUP(A237,'SegEnds_NonXtal_Prot#'!A:AL,28,FALSE)-VLOOKUP(A237,'SegEnds_NonXtal_Prot#'!A:AL,22,FALSE)</f>
        <v>54</v>
      </c>
      <c r="AI237" s="1">
        <f>VLOOKUP(A237,'SegEnds_NonXtal_Prot#'!A:AL,31,FALSE)-VLOOKUP(A237,'SegEnds_NonXtal_Prot#'!A:AL,28,FALSE)</f>
        <v>49</v>
      </c>
      <c r="AJ237" s="1">
        <f>VLOOKUP(A237,'SegEnds_NonXtal_Prot#'!A:AL,34,FALSE)-VLOOKUP(A237,'SegEnds_NonXtal_Prot#'!A:AL,31,FALSE)</f>
        <v>44</v>
      </c>
      <c r="AK237" s="1">
        <f>VLOOKUP(A237,'SegEnds_NonXtal_Prot#'!A:AL,37,FALSE)-VLOOKUP(A237,'SegEnds_NonXtal_Prot#'!A:AL,34,FALSE)</f>
        <v>10</v>
      </c>
      <c r="AL237" s="1" t="str">
        <f>IF(ISERROR(MATCH(A237,'SegEnds_Xtal_Prot#'!B:B, 0)), "NoXtal", "Xtal")</f>
        <v>NoXtal</v>
      </c>
    </row>
    <row r="238" spans="1:38" x14ac:dyDescent="0.2">
      <c r="A238" s="1" t="s">
        <v>168</v>
      </c>
      <c r="B238" s="1" t="str">
        <f>VLOOKUP(A238,Xtal_Templ!A:B,2,FALSE)</f>
        <v>ccr5_human</v>
      </c>
      <c r="C238" s="5">
        <f>VLOOKUP($B238&amp;"__wt",'SegEnds_Xtal_BW#'!$A:$Z,3,FALSE)</f>
        <v>24</v>
      </c>
      <c r="D238" s="1">
        <f>VLOOKUP($B238&amp;"__wt",'SegEnds_Xtal_BW#'!$A:$Z,4,FALSE)</f>
        <v>60</v>
      </c>
      <c r="E238" s="1">
        <f>VLOOKUP($B238&amp;"__wt",'SegEnds_Xtal_BW#'!$A:$Z,5,FALSE)</f>
        <v>48</v>
      </c>
      <c r="F238" s="1">
        <f>VLOOKUP($B238&amp;"__wt",'SegEnds_Xtal_BW#'!$A:$Z,6,FALSE)</f>
        <v>51</v>
      </c>
      <c r="G238" s="1">
        <v>37</v>
      </c>
      <c r="H238" s="12">
        <v>66</v>
      </c>
      <c r="I238" s="1">
        <f>VLOOKUP($B238&amp;"__wt",'SegEnds_Xtal_BW#'!$A:$Z,9,FALSE)</f>
        <v>49</v>
      </c>
      <c r="J238" s="1">
        <f>VLOOKUP($B238&amp;"__wt",'SegEnds_Xtal_BW#'!$A:$Z,10,FALSE)</f>
        <v>52</v>
      </c>
      <c r="K238" s="12">
        <v>21</v>
      </c>
      <c r="L238" s="1">
        <f>VLOOKUP($B238&amp;"__wt",'SegEnds_Xtal_BW#'!$A:$Z,12,FALSE)</f>
        <v>56</v>
      </c>
      <c r="M238" s="1">
        <f>VLOOKUP($B238&amp;"__wt",'SegEnds_Xtal_BW#'!$A:$Z,13,FALSE)</f>
        <v>50</v>
      </c>
      <c r="N238" s="12">
        <f>VLOOKUP($B238&amp;"__wt",'SegEnds_Xtal_BW#'!$A:$Z,14,FALSE)</f>
        <v>57</v>
      </c>
      <c r="O238" s="87">
        <f>VLOOKUP($B238&amp;"__wt",'SegEnds_Xtal_BW#'!$A:$Z,15,FALSE)</f>
        <v>38</v>
      </c>
      <c r="P238" s="1">
        <f>VLOOKUP($B238&amp;"__wt",'SegEnds_Xtal_BW#'!$A:$Z,16,FALSE)</f>
        <v>64</v>
      </c>
      <c r="Q238" s="1">
        <f>VLOOKUP($B238&amp;"__wt",'SegEnds_Xtal_BW#'!$A:$Z,17,FALSE)</f>
        <v>50</v>
      </c>
      <c r="R238" s="1">
        <f>VLOOKUP($B238&amp;"__wt",'SegEnds_Xtal_BW#'!$A:$Z,18,FALSE)</f>
        <v>52</v>
      </c>
      <c r="S238" s="1">
        <f>VLOOKUP($B238&amp;"__wt",'SegEnds_Xtal_BW#'!$A:$Z,19,FALSE)</f>
        <v>30</v>
      </c>
      <c r="T238" s="1">
        <f t="array" ref="T238">INDEX(ICL3_classA!$G$2:$G$37,MATCH(MIN(ABS(AI238-ICL3_classA!$F$2:$F$37)),ABS(AI238-ICL3_classA!$F$2:$F$37),0))</f>
        <v>68</v>
      </c>
      <c r="U238" s="1">
        <f t="array" ref="U238">INDEX(ICL3_classA!$H$2:$H$37,MATCH(MIN(ABS(AI238-ICL3_classA!$F$2:$F$37)),ABS(AI238-ICL3_classA!$F$2:$F$37),0))</f>
        <v>30</v>
      </c>
      <c r="V238" s="1">
        <v>65</v>
      </c>
      <c r="W238" s="1">
        <v>24</v>
      </c>
      <c r="X238" s="1">
        <f>VLOOKUP($B238&amp;"__wt",'SegEnds_Xtal_BW#'!$A:$Z,24,FALSE)</f>
        <v>56</v>
      </c>
      <c r="Y238" s="1">
        <f>VLOOKUP($B238&amp;"__wt",'SegEnds_Xtal_BW#'!$A:$Z,25,FALSE)</f>
        <v>47</v>
      </c>
      <c r="Z238" s="1">
        <f>VLOOKUP($B238&amp;"__wt",'SegEnds_Xtal_BW#'!$A:$Z,26,FALSE)</f>
        <v>59</v>
      </c>
      <c r="AA238" s="27" t="str">
        <f>VLOOKUP(A238,Classification!A:B,2,FALSE)</f>
        <v>A</v>
      </c>
      <c r="AB238" s="1">
        <f>VLOOKUP(A238,'SegEnds_NonXtal_Prot#'!A:AL,10,FALSE)-VLOOKUP(A238,'SegEnds_NonXtal_Prot#'!A:AL,4,FALSE)</f>
        <v>28</v>
      </c>
      <c r="AC238" s="1">
        <f>VLOOKUP(A238,'SegEnds_NonXtal_Prot#'!A:AL,10,FALSE)-VLOOKUP(A238,'SegEnds_NonXtal_Prot#'!A:AL,7,FALSE)</f>
        <v>15</v>
      </c>
      <c r="AD238" s="1">
        <f>VLOOKUP(A238,'SegEnds_NonXtal_Prot#'!A:AL,13,FALSE)-VLOOKUP(A238,'SegEnds_NonXtal_Prot#'!A:AL,10,FALSE)</f>
        <v>19</v>
      </c>
      <c r="AE238" s="1">
        <f>VLOOKUP(A238,'SegEnds_NonXtal_Prot#'!A:AL,16,FALSE)-VLOOKUP(A238,'SegEnds_NonXtal_Prot#'!A:AL,10,FALSE)</f>
        <v>51</v>
      </c>
      <c r="AF238" s="1">
        <f>VLOOKUP(A238,'SegEnds_NonXtal_Prot#'!A:AL,22,FALSE)-VLOOKUP(A238,'SegEnds_NonXtal_Prot#'!A:AL,19,FALSE)</f>
        <v>20</v>
      </c>
      <c r="AG238" s="1">
        <f>VLOOKUP(A238,'SegEnds_NonXtal_Prot#'!A:AL,28,FALSE)-VLOOKUP(A238,'SegEnds_NonXtal_Prot#'!A:AL,25,FALSE)</f>
        <v>28</v>
      </c>
      <c r="AH238" s="1">
        <f>VLOOKUP(A238,'SegEnds_NonXtal_Prot#'!A:AL,28,FALSE)-VLOOKUP(A238,'SegEnds_NonXtal_Prot#'!A:AL,22,FALSE)</f>
        <v>53</v>
      </c>
      <c r="AI238" s="1">
        <f>VLOOKUP(A238,'SegEnds_NonXtal_Prot#'!A:AL,31,FALSE)-VLOOKUP(A238,'SegEnds_NonXtal_Prot#'!A:AL,28,FALSE)</f>
        <v>43</v>
      </c>
      <c r="AJ238" s="1">
        <f>VLOOKUP(A238,'SegEnds_NonXtal_Prot#'!A:AL,34,FALSE)-VLOOKUP(A238,'SegEnds_NonXtal_Prot#'!A:AL,31,FALSE)</f>
        <v>44</v>
      </c>
      <c r="AK238" s="1">
        <f>VLOOKUP(A238,'SegEnds_NonXtal_Prot#'!A:AL,37,FALSE)-VLOOKUP(A238,'SegEnds_NonXtal_Prot#'!A:AL,34,FALSE)</f>
        <v>10</v>
      </c>
      <c r="AL238" s="1" t="str">
        <f>IF(ISERROR(MATCH(A238,'SegEnds_Xtal_Prot#'!B:B, 0)), "NoXtal", "Xtal")</f>
        <v>NoXtal</v>
      </c>
    </row>
    <row r="239" spans="1:38" x14ac:dyDescent="0.2">
      <c r="A239" s="1" t="s">
        <v>170</v>
      </c>
      <c r="B239" s="1" t="str">
        <f>VLOOKUP(A239,Xtal_Templ!A:B,2,FALSE)</f>
        <v>ccr2_human</v>
      </c>
      <c r="C239" s="5">
        <f>VLOOKUP($B239&amp;"__wt",'SegEnds_Xtal_BW#'!$A:$Z,3,FALSE)</f>
        <v>27</v>
      </c>
      <c r="D239" s="1">
        <f>VLOOKUP($B239&amp;"__wt",'SegEnds_Xtal_BW#'!$A:$Z,4,FALSE)</f>
        <v>60</v>
      </c>
      <c r="E239" s="1">
        <f>VLOOKUP($B239&amp;"__wt",'SegEnds_Xtal_BW#'!$A:$Z,5,FALSE)</f>
        <v>48</v>
      </c>
      <c r="F239" s="1">
        <f>VLOOKUP($B239&amp;"__wt",'SegEnds_Xtal_BW#'!$A:$Z,6,FALSE)</f>
        <v>51</v>
      </c>
      <c r="G239" s="1">
        <v>37</v>
      </c>
      <c r="H239" s="12">
        <v>66</v>
      </c>
      <c r="I239" s="1">
        <f>VLOOKUP($B239&amp;"__wt",'SegEnds_Xtal_BW#'!$A:$Z,9,FALSE)</f>
        <v>49</v>
      </c>
      <c r="J239" s="1">
        <f>VLOOKUP($B239&amp;"__wt",'SegEnds_Xtal_BW#'!$A:$Z,10,FALSE)</f>
        <v>52</v>
      </c>
      <c r="K239" s="12">
        <v>24</v>
      </c>
      <c r="L239" s="1">
        <f>VLOOKUP($B239&amp;"__wt",'SegEnds_Xtal_BW#'!$A:$Z,12,FALSE)</f>
        <v>56</v>
      </c>
      <c r="M239" s="1">
        <f>VLOOKUP($B239&amp;"__wt",'SegEnds_Xtal_BW#'!$A:$Z,13,FALSE)</f>
        <v>50</v>
      </c>
      <c r="N239" s="12">
        <f>VLOOKUP($B239&amp;"__wt",'SegEnds_Xtal_BW#'!$A:$Z,14,FALSE)</f>
        <v>57</v>
      </c>
      <c r="O239" s="87">
        <f>VLOOKUP($B239&amp;"__wt",'SegEnds_Xtal_BW#'!$A:$Z,15,FALSE)</f>
        <v>38</v>
      </c>
      <c r="P239" s="1">
        <f>VLOOKUP($B239&amp;"__wt",'SegEnds_Xtal_BW#'!$A:$Z,16,FALSE)</f>
        <v>64</v>
      </c>
      <c r="Q239" s="1">
        <f>VLOOKUP($B239&amp;"__wt",'SegEnds_Xtal_BW#'!$A:$Z,17,FALSE)</f>
        <v>50</v>
      </c>
      <c r="R239" s="1">
        <f>VLOOKUP($B239&amp;"__wt",'SegEnds_Xtal_BW#'!$A:$Z,18,FALSE)</f>
        <v>52</v>
      </c>
      <c r="S239" s="1">
        <f>VLOOKUP($B239&amp;"__wt",'SegEnds_Xtal_BW#'!$A:$Z,19,FALSE)</f>
        <v>31</v>
      </c>
      <c r="T239" s="1">
        <f t="array" ref="T239">INDEX(ICL3_classA!$G$2:$G$37,MATCH(MIN(ABS(AI239-ICL3_classA!$F$2:$F$37)),ABS(AI239-ICL3_classA!$F$2:$F$37),0))</f>
        <v>68</v>
      </c>
      <c r="U239" s="1">
        <f t="array" ref="U239">INDEX(ICL3_classA!$H$2:$H$37,MATCH(MIN(ABS(AI239-ICL3_classA!$F$2:$F$37)),ABS(AI239-ICL3_classA!$F$2:$F$37),0))</f>
        <v>28</v>
      </c>
      <c r="V239" s="1">
        <v>65</v>
      </c>
      <c r="W239" s="1">
        <v>24</v>
      </c>
      <c r="X239" s="1">
        <f>VLOOKUP($B239&amp;"__wt",'SegEnds_Xtal_BW#'!$A:$Z,24,FALSE)</f>
        <v>56</v>
      </c>
      <c r="Y239" s="1">
        <f>VLOOKUP($B239&amp;"__wt",'SegEnds_Xtal_BW#'!$A:$Z,25,FALSE)</f>
        <v>47</v>
      </c>
      <c r="Z239" s="1">
        <f>VLOOKUP($B239&amp;"__wt",'SegEnds_Xtal_BW#'!$A:$Z,26,FALSE)</f>
        <v>58</v>
      </c>
      <c r="AA239" s="27" t="str">
        <f>VLOOKUP(A239,Classification!A:B,2,FALSE)</f>
        <v>A</v>
      </c>
      <c r="AB239" s="1">
        <f>VLOOKUP(A239,'SegEnds_NonXtal_Prot#'!A:AL,10,FALSE)-VLOOKUP(A239,'SegEnds_NonXtal_Prot#'!A:AL,4,FALSE)</f>
        <v>28</v>
      </c>
      <c r="AC239" s="1">
        <f>VLOOKUP(A239,'SegEnds_NonXtal_Prot#'!A:AL,10,FALSE)-VLOOKUP(A239,'SegEnds_NonXtal_Prot#'!A:AL,7,FALSE)</f>
        <v>15</v>
      </c>
      <c r="AD239" s="1">
        <f>VLOOKUP(A239,'SegEnds_NonXtal_Prot#'!A:AL,13,FALSE)-VLOOKUP(A239,'SegEnds_NonXtal_Prot#'!A:AL,10,FALSE)</f>
        <v>18</v>
      </c>
      <c r="AE239" s="1">
        <f>VLOOKUP(A239,'SegEnds_NonXtal_Prot#'!A:AL,16,FALSE)-VLOOKUP(A239,'SegEnds_NonXtal_Prot#'!A:AL,10,FALSE)</f>
        <v>50</v>
      </c>
      <c r="AF239" s="1">
        <f>VLOOKUP(A239,'SegEnds_NonXtal_Prot#'!A:AL,22,FALSE)-VLOOKUP(A239,'SegEnds_NonXtal_Prot#'!A:AL,19,FALSE)</f>
        <v>20</v>
      </c>
      <c r="AG239" s="1">
        <f>VLOOKUP(A239,'SegEnds_NonXtal_Prot#'!A:AL,28,FALSE)-VLOOKUP(A239,'SegEnds_NonXtal_Prot#'!A:AL,25,FALSE)</f>
        <v>24</v>
      </c>
      <c r="AH239" s="1">
        <f>VLOOKUP(A239,'SegEnds_NonXtal_Prot#'!A:AL,28,FALSE)-VLOOKUP(A239,'SegEnds_NonXtal_Prot#'!A:AL,22,FALSE)</f>
        <v>49</v>
      </c>
      <c r="AI239" s="1">
        <f>VLOOKUP(A239,'SegEnds_NonXtal_Prot#'!A:AL,31,FALSE)-VLOOKUP(A239,'SegEnds_NonXtal_Prot#'!A:AL,28,FALSE)</f>
        <v>44</v>
      </c>
      <c r="AJ239" s="1">
        <f>VLOOKUP(A239,'SegEnds_NonXtal_Prot#'!A:AL,34,FALSE)-VLOOKUP(A239,'SegEnds_NonXtal_Prot#'!A:AL,31,FALSE)</f>
        <v>44</v>
      </c>
      <c r="AK239" s="1">
        <f>VLOOKUP(A239,'SegEnds_NonXtal_Prot#'!A:AL,37,FALSE)-VLOOKUP(A239,'SegEnds_NonXtal_Prot#'!A:AL,34,FALSE)</f>
        <v>10</v>
      </c>
      <c r="AL239" s="1" t="str">
        <f>IF(ISERROR(MATCH(A239,'SegEnds_Xtal_Prot#'!B:B, 0)), "NoXtal", "Xtal")</f>
        <v>Xtal</v>
      </c>
    </row>
    <row r="240" spans="1:38" x14ac:dyDescent="0.2">
      <c r="A240" s="1" t="s">
        <v>171</v>
      </c>
      <c r="B240" s="1" t="str">
        <f>VLOOKUP(A240,Xtal_Templ!A:B,2,FALSE)</f>
        <v>ccr5_human</v>
      </c>
      <c r="C240" s="5">
        <f>VLOOKUP($B240&amp;"__wt",'SegEnds_Xtal_BW#'!$A:$Z,3,FALSE)</f>
        <v>24</v>
      </c>
      <c r="D240" s="1">
        <f>VLOOKUP($B240&amp;"__wt",'SegEnds_Xtal_BW#'!$A:$Z,4,FALSE)</f>
        <v>60</v>
      </c>
      <c r="E240" s="1">
        <f>VLOOKUP($B240&amp;"__wt",'SegEnds_Xtal_BW#'!$A:$Z,5,FALSE)</f>
        <v>48</v>
      </c>
      <c r="F240" s="1">
        <f>VLOOKUP($B240&amp;"__wt",'SegEnds_Xtal_BW#'!$A:$Z,6,FALSE)</f>
        <v>51</v>
      </c>
      <c r="G240" s="1">
        <v>37</v>
      </c>
      <c r="H240" s="12">
        <v>66</v>
      </c>
      <c r="I240" s="1">
        <f>VLOOKUP($B240&amp;"__wt",'SegEnds_Xtal_BW#'!$A:$Z,9,FALSE)</f>
        <v>49</v>
      </c>
      <c r="J240" s="1">
        <f>VLOOKUP($B240&amp;"__wt",'SegEnds_Xtal_BW#'!$A:$Z,10,FALSE)</f>
        <v>52</v>
      </c>
      <c r="K240" s="12">
        <v>21</v>
      </c>
      <c r="L240" s="1">
        <f>VLOOKUP($B240&amp;"__wt",'SegEnds_Xtal_BW#'!$A:$Z,12,FALSE)</f>
        <v>56</v>
      </c>
      <c r="M240" s="1">
        <f>VLOOKUP($B240&amp;"__wt",'SegEnds_Xtal_BW#'!$A:$Z,13,FALSE)</f>
        <v>50</v>
      </c>
      <c r="N240" s="12">
        <f>VLOOKUP($B240&amp;"__wt",'SegEnds_Xtal_BW#'!$A:$Z,14,FALSE)</f>
        <v>57</v>
      </c>
      <c r="O240" s="87">
        <f>VLOOKUP($B240&amp;"__wt",'SegEnds_Xtal_BW#'!$A:$Z,15,FALSE)</f>
        <v>38</v>
      </c>
      <c r="P240" s="1">
        <f>VLOOKUP($B240&amp;"__wt",'SegEnds_Xtal_BW#'!$A:$Z,16,FALSE)</f>
        <v>64</v>
      </c>
      <c r="Q240" s="1">
        <f>VLOOKUP($B240&amp;"__wt",'SegEnds_Xtal_BW#'!$A:$Z,17,FALSE)</f>
        <v>50</v>
      </c>
      <c r="R240" s="1">
        <f>VLOOKUP($B240&amp;"__wt",'SegEnds_Xtal_BW#'!$A:$Z,18,FALSE)</f>
        <v>52</v>
      </c>
      <c r="S240" s="1">
        <f>VLOOKUP($B240&amp;"__wt",'SegEnds_Xtal_BW#'!$A:$Z,19,FALSE)</f>
        <v>30</v>
      </c>
      <c r="T240" s="1">
        <f t="array" ref="T240">INDEX(ICL3_classA!$G$2:$G$37,MATCH(MIN(ABS(AI240-ICL3_classA!$F$2:$F$37)),ABS(AI240-ICL3_classA!$F$2:$F$37),0))</f>
        <v>68</v>
      </c>
      <c r="U240" s="1">
        <f t="array" ref="U240">INDEX(ICL3_classA!$H$2:$H$37,MATCH(MIN(ABS(AI240-ICL3_classA!$F$2:$F$37)),ABS(AI240-ICL3_classA!$F$2:$F$37),0))</f>
        <v>30</v>
      </c>
      <c r="V240" s="1">
        <v>65</v>
      </c>
      <c r="W240" s="1">
        <v>24</v>
      </c>
      <c r="X240" s="1">
        <f>VLOOKUP($B240&amp;"__wt",'SegEnds_Xtal_BW#'!$A:$Z,24,FALSE)</f>
        <v>56</v>
      </c>
      <c r="Y240" s="1">
        <f>VLOOKUP($B240&amp;"__wt",'SegEnds_Xtal_BW#'!$A:$Z,25,FALSE)</f>
        <v>47</v>
      </c>
      <c r="Z240" s="1">
        <f>VLOOKUP($B240&amp;"__wt",'SegEnds_Xtal_BW#'!$A:$Z,26,FALSE)</f>
        <v>59</v>
      </c>
      <c r="AA240" s="27" t="str">
        <f>VLOOKUP(A240,Classification!A:B,2,FALSE)</f>
        <v>A</v>
      </c>
      <c r="AB240" s="1">
        <f>VLOOKUP(A240,'SegEnds_NonXtal_Prot#'!A:AL,10,FALSE)-VLOOKUP(A240,'SegEnds_NonXtal_Prot#'!A:AL,4,FALSE)</f>
        <v>28</v>
      </c>
      <c r="AC240" s="1">
        <f>VLOOKUP(A240,'SegEnds_NonXtal_Prot#'!A:AL,10,FALSE)-VLOOKUP(A240,'SegEnds_NonXtal_Prot#'!A:AL,7,FALSE)</f>
        <v>15</v>
      </c>
      <c r="AD240" s="1">
        <f>VLOOKUP(A240,'SegEnds_NonXtal_Prot#'!A:AL,13,FALSE)-VLOOKUP(A240,'SegEnds_NonXtal_Prot#'!A:AL,10,FALSE)</f>
        <v>19</v>
      </c>
      <c r="AE240" s="1">
        <f>VLOOKUP(A240,'SegEnds_NonXtal_Prot#'!A:AL,16,FALSE)-VLOOKUP(A240,'SegEnds_NonXtal_Prot#'!A:AL,10,FALSE)</f>
        <v>51</v>
      </c>
      <c r="AF240" s="1">
        <f>VLOOKUP(A240,'SegEnds_NonXtal_Prot#'!A:AL,22,FALSE)-VLOOKUP(A240,'SegEnds_NonXtal_Prot#'!A:AL,19,FALSE)</f>
        <v>20</v>
      </c>
      <c r="AG240" s="1">
        <f>VLOOKUP(A240,'SegEnds_NonXtal_Prot#'!A:AL,28,FALSE)-VLOOKUP(A240,'SegEnds_NonXtal_Prot#'!A:AL,25,FALSE)</f>
        <v>28</v>
      </c>
      <c r="AH240" s="1">
        <f>VLOOKUP(A240,'SegEnds_NonXtal_Prot#'!A:AL,28,FALSE)-VLOOKUP(A240,'SegEnds_NonXtal_Prot#'!A:AL,22,FALSE)</f>
        <v>53</v>
      </c>
      <c r="AI240" s="1">
        <f>VLOOKUP(A240,'SegEnds_NonXtal_Prot#'!A:AL,31,FALSE)-VLOOKUP(A240,'SegEnds_NonXtal_Prot#'!A:AL,28,FALSE)</f>
        <v>43</v>
      </c>
      <c r="AJ240" s="1">
        <f>VLOOKUP(A240,'SegEnds_NonXtal_Prot#'!A:AL,34,FALSE)-VLOOKUP(A240,'SegEnds_NonXtal_Prot#'!A:AL,31,FALSE)</f>
        <v>44</v>
      </c>
      <c r="AK240" s="1">
        <f>VLOOKUP(A240,'SegEnds_NonXtal_Prot#'!A:AL,37,FALSE)-VLOOKUP(A240,'SegEnds_NonXtal_Prot#'!A:AL,34,FALSE)</f>
        <v>10</v>
      </c>
      <c r="AL240" s="1" t="str">
        <f>IF(ISERROR(MATCH(A240,'SegEnds_Xtal_Prot#'!B:B, 0)), "NoXtal", "Xtal")</f>
        <v>NoXtal</v>
      </c>
    </row>
    <row r="241" spans="1:38" x14ac:dyDescent="0.2">
      <c r="A241" s="1" t="s">
        <v>172</v>
      </c>
      <c r="B241" s="1" t="str">
        <f>VLOOKUP(A241,Xtal_Templ!A:B,2,FALSE)</f>
        <v>ccr5_human</v>
      </c>
      <c r="C241" s="5">
        <f>VLOOKUP($B241&amp;"__wt",'SegEnds_Xtal_BW#'!$A:$Z,3,FALSE)</f>
        <v>24</v>
      </c>
      <c r="D241" s="1">
        <f>VLOOKUP($B241&amp;"__wt",'SegEnds_Xtal_BW#'!$A:$Z,4,FALSE)</f>
        <v>60</v>
      </c>
      <c r="E241" s="1">
        <f>VLOOKUP($B241&amp;"__wt",'SegEnds_Xtal_BW#'!$A:$Z,5,FALSE)</f>
        <v>48</v>
      </c>
      <c r="F241" s="1">
        <f>VLOOKUP($B241&amp;"__wt",'SegEnds_Xtal_BW#'!$A:$Z,6,FALSE)</f>
        <v>51</v>
      </c>
      <c r="G241" s="1">
        <v>37</v>
      </c>
      <c r="H241" s="12">
        <v>66</v>
      </c>
      <c r="I241" s="1">
        <f>VLOOKUP($B241&amp;"__wt",'SegEnds_Xtal_BW#'!$A:$Z,9,FALSE)</f>
        <v>49</v>
      </c>
      <c r="J241" s="1">
        <f>VLOOKUP($B241&amp;"__wt",'SegEnds_Xtal_BW#'!$A:$Z,10,FALSE)</f>
        <v>52</v>
      </c>
      <c r="K241" s="12">
        <v>24</v>
      </c>
      <c r="L241" s="1">
        <f>VLOOKUP($B241&amp;"__wt",'SegEnds_Xtal_BW#'!$A:$Z,12,FALSE)</f>
        <v>56</v>
      </c>
      <c r="M241" s="1">
        <f>VLOOKUP($B241&amp;"__wt",'SegEnds_Xtal_BW#'!$A:$Z,13,FALSE)</f>
        <v>50</v>
      </c>
      <c r="N241" s="12">
        <f>VLOOKUP($B241&amp;"__wt",'SegEnds_Xtal_BW#'!$A:$Z,14,FALSE)</f>
        <v>57</v>
      </c>
      <c r="O241" s="87">
        <v>38</v>
      </c>
      <c r="P241" s="1">
        <f>VLOOKUP($B241&amp;"__wt",'SegEnds_Xtal_BW#'!$A:$Z,16,FALSE)</f>
        <v>64</v>
      </c>
      <c r="Q241" s="1">
        <f>VLOOKUP($B241&amp;"__wt",'SegEnds_Xtal_BW#'!$A:$Z,17,FALSE)</f>
        <v>50</v>
      </c>
      <c r="R241" s="1">
        <f>VLOOKUP($B241&amp;"__wt",'SegEnds_Xtal_BW#'!$A:$Z,18,FALSE)</f>
        <v>52</v>
      </c>
      <c r="S241" s="1">
        <f>VLOOKUP($B241&amp;"__wt",'SegEnds_Xtal_BW#'!$A:$Z,19,FALSE)</f>
        <v>30</v>
      </c>
      <c r="T241" s="1">
        <f t="array" ref="T241">INDEX(ICL3_classA!$G$2:$G$37,MATCH(MIN(ABS(AI241-ICL3_classA!$F$2:$F$37)),ABS(AI241-ICL3_classA!$F$2:$F$37),0))</f>
        <v>68</v>
      </c>
      <c r="U241" s="1">
        <f t="array" ref="U241">INDEX(ICL3_classA!$H$2:$H$37,MATCH(MIN(ABS(AI241-ICL3_classA!$F$2:$F$37)),ABS(AI241-ICL3_classA!$F$2:$F$37),0))</f>
        <v>30</v>
      </c>
      <c r="V241" s="1">
        <v>65</v>
      </c>
      <c r="W241" s="1">
        <v>24</v>
      </c>
      <c r="X241" s="1">
        <f>VLOOKUP($B241&amp;"__wt",'SegEnds_Xtal_BW#'!$A:$Z,24,FALSE)</f>
        <v>56</v>
      </c>
      <c r="Y241" s="1">
        <f>VLOOKUP($B241&amp;"__wt",'SegEnds_Xtal_BW#'!$A:$Z,25,FALSE)</f>
        <v>47</v>
      </c>
      <c r="Z241" s="1">
        <f>VLOOKUP($B241&amp;"__wt",'SegEnds_Xtal_BW#'!$A:$Z,26,FALSE)</f>
        <v>59</v>
      </c>
      <c r="AA241" s="27" t="str">
        <f>VLOOKUP(A241,Classification!A:B,2,FALSE)</f>
        <v>A</v>
      </c>
      <c r="AB241" s="1">
        <f>VLOOKUP(A241,'SegEnds_NonXtal_Prot#'!A:AL,10,FALSE)-VLOOKUP(A241,'SegEnds_NonXtal_Prot#'!A:AL,4,FALSE)</f>
        <v>28</v>
      </c>
      <c r="AC241" s="1">
        <f>VLOOKUP(A241,'SegEnds_NonXtal_Prot#'!A:AL,10,FALSE)-VLOOKUP(A241,'SegEnds_NonXtal_Prot#'!A:AL,7,FALSE)</f>
        <v>15</v>
      </c>
      <c r="AD241" s="1">
        <f>VLOOKUP(A241,'SegEnds_NonXtal_Prot#'!A:AL,13,FALSE)-VLOOKUP(A241,'SegEnds_NonXtal_Prot#'!A:AL,10,FALSE)</f>
        <v>18</v>
      </c>
      <c r="AE241" s="1">
        <f>VLOOKUP(A241,'SegEnds_NonXtal_Prot#'!A:AL,16,FALSE)-VLOOKUP(A241,'SegEnds_NonXtal_Prot#'!A:AL,10,FALSE)</f>
        <v>50</v>
      </c>
      <c r="AF241" s="1">
        <f>VLOOKUP(A241,'SegEnds_NonXtal_Prot#'!A:AL,22,FALSE)-VLOOKUP(A241,'SegEnds_NonXtal_Prot#'!A:AL,19,FALSE)</f>
        <v>20</v>
      </c>
      <c r="AG241" s="1">
        <f>VLOOKUP(A241,'SegEnds_NonXtal_Prot#'!A:AL,28,FALSE)-VLOOKUP(A241,'SegEnds_NonXtal_Prot#'!A:AL,25,FALSE)</f>
        <v>27</v>
      </c>
      <c r="AH241" s="1">
        <f>VLOOKUP(A241,'SegEnds_NonXtal_Prot#'!A:AL,28,FALSE)-VLOOKUP(A241,'SegEnds_NonXtal_Prot#'!A:AL,22,FALSE)</f>
        <v>52</v>
      </c>
      <c r="AI241" s="1">
        <f>VLOOKUP(A241,'SegEnds_NonXtal_Prot#'!A:AL,31,FALSE)-VLOOKUP(A241,'SegEnds_NonXtal_Prot#'!A:AL,28,FALSE)</f>
        <v>43</v>
      </c>
      <c r="AJ241" s="1">
        <f>VLOOKUP(A241,'SegEnds_NonXtal_Prot#'!A:AL,34,FALSE)-VLOOKUP(A241,'SegEnds_NonXtal_Prot#'!A:AL,31,FALSE)</f>
        <v>44</v>
      </c>
      <c r="AK241" s="1">
        <f>VLOOKUP(A241,'SegEnds_NonXtal_Prot#'!A:AL,37,FALSE)-VLOOKUP(A241,'SegEnds_NonXtal_Prot#'!A:AL,34,FALSE)</f>
        <v>10</v>
      </c>
      <c r="AL241" s="1" t="str">
        <f>IF(ISERROR(MATCH(A241,'SegEnds_Xtal_Prot#'!B:B, 0)), "NoXtal", "Xtal")</f>
        <v>NoXtal</v>
      </c>
    </row>
    <row r="242" spans="1:38" x14ac:dyDescent="0.2">
      <c r="A242" s="1" t="s">
        <v>173</v>
      </c>
      <c r="B242" s="1" t="str">
        <f>VLOOKUP(A242,Xtal_Templ!A:B,2,FALSE)</f>
        <v>ccr5_human</v>
      </c>
      <c r="C242" s="5">
        <f>VLOOKUP($B242&amp;"__wt",'SegEnds_Xtal_BW#'!$A:$Z,3,FALSE)</f>
        <v>24</v>
      </c>
      <c r="D242" s="1">
        <f>VLOOKUP($B242&amp;"__wt",'SegEnds_Xtal_BW#'!$A:$Z,4,FALSE)</f>
        <v>60</v>
      </c>
      <c r="E242" s="1">
        <f>VLOOKUP($B242&amp;"__wt",'SegEnds_Xtal_BW#'!$A:$Z,5,FALSE)</f>
        <v>48</v>
      </c>
      <c r="F242" s="1">
        <f>VLOOKUP($B242&amp;"__wt",'SegEnds_Xtal_BW#'!$A:$Z,6,FALSE)</f>
        <v>51</v>
      </c>
      <c r="G242" s="1">
        <v>37</v>
      </c>
      <c r="H242" s="12">
        <v>66</v>
      </c>
      <c r="I242" s="1">
        <f>VLOOKUP($B242&amp;"__wt",'SegEnds_Xtal_BW#'!$A:$Z,9,FALSE)</f>
        <v>49</v>
      </c>
      <c r="J242" s="1">
        <f>VLOOKUP($B242&amp;"__wt",'SegEnds_Xtal_BW#'!$A:$Z,10,FALSE)</f>
        <v>52</v>
      </c>
      <c r="K242" s="12">
        <v>24</v>
      </c>
      <c r="L242" s="1">
        <f>VLOOKUP($B242&amp;"__wt",'SegEnds_Xtal_BW#'!$A:$Z,12,FALSE)</f>
        <v>56</v>
      </c>
      <c r="M242" s="1">
        <f>VLOOKUP($B242&amp;"__wt",'SegEnds_Xtal_BW#'!$A:$Z,13,FALSE)</f>
        <v>50</v>
      </c>
      <c r="N242" s="12">
        <f>VLOOKUP($B242&amp;"__wt",'SegEnds_Xtal_BW#'!$A:$Z,14,FALSE)</f>
        <v>57</v>
      </c>
      <c r="O242" s="87">
        <f>VLOOKUP($B242&amp;"__wt",'SegEnds_Xtal_BW#'!$A:$Z,15,FALSE)</f>
        <v>38</v>
      </c>
      <c r="P242" s="1">
        <f>VLOOKUP($B242&amp;"__wt",'SegEnds_Xtal_BW#'!$A:$Z,16,FALSE)</f>
        <v>64</v>
      </c>
      <c r="Q242" s="1">
        <f>VLOOKUP($B242&amp;"__wt",'SegEnds_Xtal_BW#'!$A:$Z,17,FALSE)</f>
        <v>50</v>
      </c>
      <c r="R242" s="1">
        <f>VLOOKUP($B242&amp;"__wt",'SegEnds_Xtal_BW#'!$A:$Z,18,FALSE)</f>
        <v>52</v>
      </c>
      <c r="S242" s="1">
        <f>VLOOKUP($B242&amp;"__wt",'SegEnds_Xtal_BW#'!$A:$Z,19,FALSE)</f>
        <v>30</v>
      </c>
      <c r="T242" s="1">
        <f t="array" ref="T242">INDEX(ICL3_classA!$G$2:$G$37,MATCH(MIN(ABS(AI242-ICL3_classA!$F$2:$F$37)),ABS(AI242-ICL3_classA!$F$2:$F$37),0))</f>
        <v>68</v>
      </c>
      <c r="U242" s="1">
        <f t="array" ref="U242">INDEX(ICL3_classA!$H$2:$H$37,MATCH(MIN(ABS(AI242-ICL3_classA!$F$2:$F$37)),ABS(AI242-ICL3_classA!$F$2:$F$37),0))</f>
        <v>28</v>
      </c>
      <c r="V242" s="1">
        <v>65</v>
      </c>
      <c r="W242" s="1">
        <v>24</v>
      </c>
      <c r="X242" s="1">
        <f>VLOOKUP($B242&amp;"__wt",'SegEnds_Xtal_BW#'!$A:$Z,24,FALSE)</f>
        <v>56</v>
      </c>
      <c r="Y242" s="1">
        <f>VLOOKUP($B242&amp;"__wt",'SegEnds_Xtal_BW#'!$A:$Z,25,FALSE)</f>
        <v>47</v>
      </c>
      <c r="Z242" s="1">
        <f>VLOOKUP($B242&amp;"__wt",'SegEnds_Xtal_BW#'!$A:$Z,26,FALSE)</f>
        <v>59</v>
      </c>
      <c r="AA242" s="27" t="str">
        <f>VLOOKUP(A242,Classification!A:B,2,FALSE)</f>
        <v>A</v>
      </c>
      <c r="AB242" s="1">
        <f>VLOOKUP(A242,'SegEnds_NonXtal_Prot#'!A:AL,10,FALSE)-VLOOKUP(A242,'SegEnds_NonXtal_Prot#'!A:AL,4,FALSE)</f>
        <v>28</v>
      </c>
      <c r="AC242" s="1">
        <f>VLOOKUP(A242,'SegEnds_NonXtal_Prot#'!A:AL,10,FALSE)-VLOOKUP(A242,'SegEnds_NonXtal_Prot#'!A:AL,7,FALSE)</f>
        <v>15</v>
      </c>
      <c r="AD242" s="1">
        <f>VLOOKUP(A242,'SegEnds_NonXtal_Prot#'!A:AL,13,FALSE)-VLOOKUP(A242,'SegEnds_NonXtal_Prot#'!A:AL,10,FALSE)</f>
        <v>18</v>
      </c>
      <c r="AE242" s="1">
        <f>VLOOKUP(A242,'SegEnds_NonXtal_Prot#'!A:AL,16,FALSE)-VLOOKUP(A242,'SegEnds_NonXtal_Prot#'!A:AL,10,FALSE)</f>
        <v>50</v>
      </c>
      <c r="AF242" s="1">
        <f>VLOOKUP(A242,'SegEnds_NonXtal_Prot#'!A:AL,22,FALSE)-VLOOKUP(A242,'SegEnds_NonXtal_Prot#'!A:AL,19,FALSE)</f>
        <v>20</v>
      </c>
      <c r="AG242" s="1">
        <f>VLOOKUP(A242,'SegEnds_NonXtal_Prot#'!A:AL,28,FALSE)-VLOOKUP(A242,'SegEnds_NonXtal_Prot#'!A:AL,25,FALSE)</f>
        <v>28</v>
      </c>
      <c r="AH242" s="1">
        <f>VLOOKUP(A242,'SegEnds_NonXtal_Prot#'!A:AL,28,FALSE)-VLOOKUP(A242,'SegEnds_NonXtal_Prot#'!A:AL,22,FALSE)</f>
        <v>53</v>
      </c>
      <c r="AI242" s="1">
        <f>VLOOKUP(A242,'SegEnds_NonXtal_Prot#'!A:AL,31,FALSE)-VLOOKUP(A242,'SegEnds_NonXtal_Prot#'!A:AL,28,FALSE)</f>
        <v>44</v>
      </c>
      <c r="AJ242" s="1">
        <f>VLOOKUP(A242,'SegEnds_NonXtal_Prot#'!A:AL,34,FALSE)-VLOOKUP(A242,'SegEnds_NonXtal_Prot#'!A:AL,31,FALSE)</f>
        <v>44</v>
      </c>
      <c r="AK242" s="1">
        <f>VLOOKUP(A242,'SegEnds_NonXtal_Prot#'!A:AL,37,FALSE)-VLOOKUP(A242,'SegEnds_NonXtal_Prot#'!A:AL,34,FALSE)</f>
        <v>10</v>
      </c>
      <c r="AL242" s="1" t="str">
        <f>IF(ISERROR(MATCH(A242,'SegEnds_Xtal_Prot#'!B:B, 0)), "NoXtal", "Xtal")</f>
        <v>Xtal</v>
      </c>
    </row>
    <row r="243" spans="1:38" x14ac:dyDescent="0.2">
      <c r="A243" s="12" t="s">
        <v>174</v>
      </c>
      <c r="B243" s="12" t="str">
        <f>VLOOKUP(A243,Xtal_Templ!A:B,2,FALSE)</f>
        <v>ccr9_human</v>
      </c>
      <c r="C243" s="13">
        <f>VLOOKUP($B243&amp;"__wt",'SegEnds_Xtal_BW#'!$A:$Z,3,FALSE)</f>
        <v>27</v>
      </c>
      <c r="D243" s="12">
        <f>VLOOKUP($B243&amp;"__wt",'SegEnds_Xtal_BW#'!$A:$Z,4,FALSE)</f>
        <v>60</v>
      </c>
      <c r="E243" s="12">
        <f>VLOOKUP($B243&amp;"__wt",'SegEnds_Xtal_BW#'!$A:$Z,5,FALSE)</f>
        <v>48</v>
      </c>
      <c r="F243" s="12">
        <f>VLOOKUP($B243&amp;"__wt",'SegEnds_Xtal_BW#'!$A:$Z,6,FALSE)</f>
        <v>51</v>
      </c>
      <c r="G243" s="12">
        <v>37</v>
      </c>
      <c r="H243" s="12">
        <v>66</v>
      </c>
      <c r="I243" s="12">
        <f>VLOOKUP($B243&amp;"__wt",'SegEnds_Xtal_BW#'!$A:$Z,9,FALSE)</f>
        <v>49</v>
      </c>
      <c r="J243" s="12">
        <f>VLOOKUP($B243&amp;"__wt",'SegEnds_Xtal_BW#'!$A:$Z,10,FALSE)</f>
        <v>52</v>
      </c>
      <c r="K243" s="12">
        <v>21</v>
      </c>
      <c r="L243" s="12">
        <f>VLOOKUP($B243&amp;"__wt",'SegEnds_Xtal_BW#'!$A:$Z,12,FALSE)</f>
        <v>56</v>
      </c>
      <c r="M243" s="12">
        <f>VLOOKUP($B243&amp;"__wt",'SegEnds_Xtal_BW#'!$A:$Z,13,FALSE)</f>
        <v>50</v>
      </c>
      <c r="N243" s="12">
        <v>58</v>
      </c>
      <c r="O243" s="87">
        <v>38</v>
      </c>
      <c r="P243" s="12">
        <f>VLOOKUP($B243&amp;"__wt",'SegEnds_Xtal_BW#'!$A:$Z,16,FALSE)</f>
        <v>64</v>
      </c>
      <c r="Q243" s="12">
        <f>VLOOKUP($B243&amp;"__wt",'SegEnds_Xtal_BW#'!$A:$Z,17,FALSE)</f>
        <v>50</v>
      </c>
      <c r="R243" s="12">
        <f>VLOOKUP($B243&amp;"__wt",'SegEnds_Xtal_BW#'!$A:$Z,18,FALSE)</f>
        <v>52</v>
      </c>
      <c r="S243" s="12">
        <f>VLOOKUP($B243&amp;"__wt",'SegEnds_Xtal_BW#'!$A:$Z,19,FALSE)</f>
        <v>33</v>
      </c>
      <c r="T243" s="12">
        <f t="array" ref="T243">INDEX(ICL3_classA!$G$2:$G$37,MATCH(MIN(ABS(AI243-ICL3_classA!$F$2:$F$37)),ABS(AI243-ICL3_classA!$F$2:$F$37),0))</f>
        <v>68</v>
      </c>
      <c r="U243" s="12">
        <f t="array" ref="U243">INDEX(ICL3_classA!$H$2:$H$37,MATCH(MIN(ABS(AI243-ICL3_classA!$F$2:$F$37)),ABS(AI243-ICL3_classA!$F$2:$F$37),0))</f>
        <v>30</v>
      </c>
      <c r="V243" s="12">
        <v>65</v>
      </c>
      <c r="W243" s="12">
        <v>24</v>
      </c>
      <c r="X243" s="12">
        <f>VLOOKUP($B243&amp;"__wt",'SegEnds_Xtal_BW#'!$A:$Z,24,FALSE)</f>
        <v>56</v>
      </c>
      <c r="Y243" s="12">
        <f>VLOOKUP($B243&amp;"__wt",'SegEnds_Xtal_BW#'!$A:$Z,25,FALSE)</f>
        <v>47</v>
      </c>
      <c r="Z243" s="12">
        <f>VLOOKUP($B243&amp;"__wt",'SegEnds_Xtal_BW#'!$A:$Z,26,FALSE)</f>
        <v>67</v>
      </c>
      <c r="AA243" s="36" t="str">
        <f>VLOOKUP(A243,Classification!A:B,2,FALSE)</f>
        <v>A</v>
      </c>
      <c r="AB243" s="1">
        <f>VLOOKUP(A243,'SegEnds_NonXtal_Prot#'!A:AL,10,FALSE)-VLOOKUP(A243,'SegEnds_NonXtal_Prot#'!A:AL,4,FALSE)</f>
        <v>28</v>
      </c>
      <c r="AC243" s="12">
        <f>VLOOKUP(A243,'SegEnds_NonXtal_Prot#'!A:AL,10,FALSE)-VLOOKUP(A243,'SegEnds_NonXtal_Prot#'!A:AL,7,FALSE)</f>
        <v>15</v>
      </c>
      <c r="AD243" s="12">
        <f>VLOOKUP(A243,'SegEnds_NonXtal_Prot#'!A:AL,13,FALSE)-VLOOKUP(A243,'SegEnds_NonXtal_Prot#'!A:AL,10,FALSE)</f>
        <v>19</v>
      </c>
      <c r="AE243" s="12">
        <f>VLOOKUP(A243,'SegEnds_NonXtal_Prot#'!A:AL,16,FALSE)-VLOOKUP(A243,'SegEnds_NonXtal_Prot#'!A:AL,10,FALSE)</f>
        <v>51</v>
      </c>
      <c r="AF243" s="1">
        <f>VLOOKUP(A243,'SegEnds_NonXtal_Prot#'!A:AL,22,FALSE)-VLOOKUP(A243,'SegEnds_NonXtal_Prot#'!A:AL,19,FALSE)</f>
        <v>22</v>
      </c>
      <c r="AG243" s="12">
        <f>VLOOKUP(A243,'SegEnds_NonXtal_Prot#'!A:AL,28,FALSE)-VLOOKUP(A243,'SegEnds_NonXtal_Prot#'!A:AL,25,FALSE)</f>
        <v>29</v>
      </c>
      <c r="AH243" s="1">
        <f>VLOOKUP(A243,'SegEnds_NonXtal_Prot#'!A:AL,28,FALSE)-VLOOKUP(A243,'SegEnds_NonXtal_Prot#'!A:AL,22,FALSE)</f>
        <v>54</v>
      </c>
      <c r="AI243" s="12">
        <f>VLOOKUP(A243,'SegEnds_NonXtal_Prot#'!A:AL,31,FALSE)-VLOOKUP(A243,'SegEnds_NonXtal_Prot#'!A:AL,28,FALSE)</f>
        <v>43</v>
      </c>
      <c r="AJ243" s="12">
        <f>VLOOKUP(A243,'SegEnds_NonXtal_Prot#'!A:AL,34,FALSE)-VLOOKUP(A243,'SegEnds_NonXtal_Prot#'!A:AL,31,FALSE)</f>
        <v>44</v>
      </c>
      <c r="AK243" s="1">
        <f>VLOOKUP(A243,'SegEnds_NonXtal_Prot#'!A:AL,37,FALSE)-VLOOKUP(A243,'SegEnds_NonXtal_Prot#'!A:AL,34,FALSE)</f>
        <v>10</v>
      </c>
      <c r="AL243" s="12" t="str">
        <f>IF(ISERROR(MATCH(A243,'SegEnds_Xtal_Prot#'!B:B, 0)), "NoXtal", "Xtal")</f>
        <v>NoXtal</v>
      </c>
    </row>
    <row r="244" spans="1:38" x14ac:dyDescent="0.2">
      <c r="A244" s="1" t="s">
        <v>176</v>
      </c>
      <c r="B244" s="1" t="str">
        <f>VLOOKUP(A244,Xtal_Templ!A:B,2,FALSE)</f>
        <v>ccr5_human</v>
      </c>
      <c r="C244" s="5">
        <f>VLOOKUP($B244&amp;"__wt",'SegEnds_Xtal_BW#'!$A:$Z,3,FALSE)</f>
        <v>24</v>
      </c>
      <c r="D244" s="1">
        <f>VLOOKUP($B244&amp;"__wt",'SegEnds_Xtal_BW#'!$A:$Z,4,FALSE)</f>
        <v>60</v>
      </c>
      <c r="E244" s="1">
        <f>VLOOKUP($B244&amp;"__wt",'SegEnds_Xtal_BW#'!$A:$Z,5,FALSE)</f>
        <v>48</v>
      </c>
      <c r="F244" s="1">
        <f>VLOOKUP($B244&amp;"__wt",'SegEnds_Xtal_BW#'!$A:$Z,6,FALSE)</f>
        <v>51</v>
      </c>
      <c r="G244" s="1">
        <v>37</v>
      </c>
      <c r="H244" s="12">
        <v>66</v>
      </c>
      <c r="I244" s="1">
        <f>VLOOKUP($B244&amp;"__wt",'SegEnds_Xtal_BW#'!$A:$Z,9,FALSE)</f>
        <v>49</v>
      </c>
      <c r="J244" s="1">
        <f>VLOOKUP($B244&amp;"__wt",'SegEnds_Xtal_BW#'!$A:$Z,10,FALSE)</f>
        <v>52</v>
      </c>
      <c r="K244" s="12">
        <v>24</v>
      </c>
      <c r="L244" s="1">
        <f>VLOOKUP($B244&amp;"__wt",'SegEnds_Xtal_BW#'!$A:$Z,12,FALSE)</f>
        <v>56</v>
      </c>
      <c r="M244" s="1">
        <f>VLOOKUP($B244&amp;"__wt",'SegEnds_Xtal_BW#'!$A:$Z,13,FALSE)</f>
        <v>50</v>
      </c>
      <c r="N244" s="12">
        <v>57</v>
      </c>
      <c r="O244" s="87">
        <v>38</v>
      </c>
      <c r="P244" s="1">
        <f>VLOOKUP($B244&amp;"__wt",'SegEnds_Xtal_BW#'!$A:$Z,16,FALSE)</f>
        <v>64</v>
      </c>
      <c r="Q244" s="1">
        <f>VLOOKUP($B244&amp;"__wt",'SegEnds_Xtal_BW#'!$A:$Z,17,FALSE)</f>
        <v>50</v>
      </c>
      <c r="R244" s="1">
        <f>VLOOKUP($B244&amp;"__wt",'SegEnds_Xtal_BW#'!$A:$Z,18,FALSE)</f>
        <v>52</v>
      </c>
      <c r="S244" s="1">
        <f>VLOOKUP($B244&amp;"__wt",'SegEnds_Xtal_BW#'!$A:$Z,19,FALSE)</f>
        <v>30</v>
      </c>
      <c r="T244" s="1">
        <f t="array" ref="T244">INDEX(ICL3_classA!$G$2:$G$37,MATCH(MIN(ABS(AI244-ICL3_classA!$F$2:$F$37)),ABS(AI244-ICL3_classA!$F$2:$F$37),0))</f>
        <v>68</v>
      </c>
      <c r="U244" s="1">
        <f t="array" ref="U244">INDEX(ICL3_classA!$H$2:$H$37,MATCH(MIN(ABS(AI244-ICL3_classA!$F$2:$F$37)),ABS(AI244-ICL3_classA!$F$2:$F$37),0))</f>
        <v>30</v>
      </c>
      <c r="V244" s="1">
        <v>65</v>
      </c>
      <c r="W244" s="1">
        <v>24</v>
      </c>
      <c r="X244" s="1">
        <f>VLOOKUP($B244&amp;"__wt",'SegEnds_Xtal_BW#'!$A:$Z,24,FALSE)</f>
        <v>56</v>
      </c>
      <c r="Y244" s="1">
        <f>VLOOKUP($B244&amp;"__wt",'SegEnds_Xtal_BW#'!$A:$Z,25,FALSE)</f>
        <v>47</v>
      </c>
      <c r="Z244" s="1">
        <f>VLOOKUP($B244&amp;"__wt",'SegEnds_Xtal_BW#'!$A:$Z,26,FALSE)</f>
        <v>59</v>
      </c>
      <c r="AA244" s="27" t="str">
        <f>VLOOKUP(A244,Classification!A:B,2,FALSE)</f>
        <v>A</v>
      </c>
      <c r="AB244" s="1">
        <f>VLOOKUP(A244,'SegEnds_NonXtal_Prot#'!A:AL,10,FALSE)-VLOOKUP(A244,'SegEnds_NonXtal_Prot#'!A:AL,4,FALSE)</f>
        <v>28</v>
      </c>
      <c r="AC244" s="1">
        <f>VLOOKUP(A244,'SegEnds_NonXtal_Prot#'!A:AL,10,FALSE)-VLOOKUP(A244,'SegEnds_NonXtal_Prot#'!A:AL,7,FALSE)</f>
        <v>15</v>
      </c>
      <c r="AD244" s="1">
        <f>VLOOKUP(A244,'SegEnds_NonXtal_Prot#'!A:AL,13,FALSE)-VLOOKUP(A244,'SegEnds_NonXtal_Prot#'!A:AL,10,FALSE)</f>
        <v>18</v>
      </c>
      <c r="AE244" s="1">
        <f>VLOOKUP(A244,'SegEnds_NonXtal_Prot#'!A:AL,16,FALSE)-VLOOKUP(A244,'SegEnds_NonXtal_Prot#'!A:AL,10,FALSE)</f>
        <v>50</v>
      </c>
      <c r="AF244" s="1">
        <f>VLOOKUP(A244,'SegEnds_NonXtal_Prot#'!A:AL,22,FALSE)-VLOOKUP(A244,'SegEnds_NonXtal_Prot#'!A:AL,19,FALSE)</f>
        <v>20</v>
      </c>
      <c r="AG244" s="1">
        <f>VLOOKUP(A244,'SegEnds_NonXtal_Prot#'!A:AL,28,FALSE)-VLOOKUP(A244,'SegEnds_NonXtal_Prot#'!A:AL,25,FALSE)</f>
        <v>27</v>
      </c>
      <c r="AH244" s="1">
        <f>VLOOKUP(A244,'SegEnds_NonXtal_Prot#'!A:AL,28,FALSE)-VLOOKUP(A244,'SegEnds_NonXtal_Prot#'!A:AL,22,FALSE)</f>
        <v>52</v>
      </c>
      <c r="AI244" s="1">
        <f>VLOOKUP(A244,'SegEnds_NonXtal_Prot#'!A:AL,31,FALSE)-VLOOKUP(A244,'SegEnds_NonXtal_Prot#'!A:AL,28,FALSE)</f>
        <v>43</v>
      </c>
      <c r="AJ244" s="1">
        <f>VLOOKUP(A244,'SegEnds_NonXtal_Prot#'!A:AL,34,FALSE)-VLOOKUP(A244,'SegEnds_NonXtal_Prot#'!A:AL,31,FALSE)</f>
        <v>44</v>
      </c>
      <c r="AK244" s="1">
        <f>VLOOKUP(A244,'SegEnds_NonXtal_Prot#'!A:AL,37,FALSE)-VLOOKUP(A244,'SegEnds_NonXtal_Prot#'!A:AL,34,FALSE)</f>
        <v>10</v>
      </c>
      <c r="AL244" s="1" t="str">
        <f>IF(ISERROR(MATCH(A244,'SegEnds_Xtal_Prot#'!B:B, 0)), "NoXtal", "Xtal")</f>
        <v>NoXtal</v>
      </c>
    </row>
    <row r="245" spans="1:38" x14ac:dyDescent="0.2">
      <c r="A245" s="1" t="s">
        <v>178</v>
      </c>
      <c r="B245" s="1" t="str">
        <f>VLOOKUP(A245,Xtal_Templ!A:B,2,FALSE)</f>
        <v>ccr5_human</v>
      </c>
      <c r="C245" s="5">
        <f>VLOOKUP($B245&amp;"__wt",'SegEnds_Xtal_BW#'!$A:$Z,3,FALSE)</f>
        <v>24</v>
      </c>
      <c r="D245" s="1">
        <f>VLOOKUP($B245&amp;"__wt",'SegEnds_Xtal_BW#'!$A:$Z,4,FALSE)</f>
        <v>60</v>
      </c>
      <c r="E245" s="1">
        <f>VLOOKUP($B245&amp;"__wt",'SegEnds_Xtal_BW#'!$A:$Z,5,FALSE)</f>
        <v>48</v>
      </c>
      <c r="F245" s="1">
        <f>VLOOKUP($B245&amp;"__wt",'SegEnds_Xtal_BW#'!$A:$Z,6,FALSE)</f>
        <v>51</v>
      </c>
      <c r="G245" s="1">
        <v>37</v>
      </c>
      <c r="H245" s="12">
        <v>63</v>
      </c>
      <c r="I245" s="1">
        <f>VLOOKUP($B245&amp;"__wt",'SegEnds_Xtal_BW#'!$A:$Z,9,FALSE)</f>
        <v>49</v>
      </c>
      <c r="J245" s="1">
        <f>VLOOKUP($B245&amp;"__wt",'SegEnds_Xtal_BW#'!$A:$Z,10,FALSE)</f>
        <v>52</v>
      </c>
      <c r="K245" s="108">
        <v>24</v>
      </c>
      <c r="L245" s="1">
        <f>VLOOKUP($B245&amp;"__wt",'SegEnds_Xtal_BW#'!$A:$Z,12,FALSE)</f>
        <v>56</v>
      </c>
      <c r="M245" s="1">
        <f>VLOOKUP($B245&amp;"__wt",'SegEnds_Xtal_BW#'!$A:$Z,13,FALSE)</f>
        <v>50</v>
      </c>
      <c r="N245" s="12">
        <v>58</v>
      </c>
      <c r="O245" s="87">
        <v>38</v>
      </c>
      <c r="P245" s="1">
        <f>VLOOKUP($B245&amp;"__wt",'SegEnds_Xtal_BW#'!$A:$Z,16,FALSE)</f>
        <v>64</v>
      </c>
      <c r="Q245" s="1">
        <f>VLOOKUP($B245&amp;"__wt",'SegEnds_Xtal_BW#'!$A:$Z,17,FALSE)</f>
        <v>50</v>
      </c>
      <c r="R245" s="1">
        <f>VLOOKUP($B245&amp;"__wt",'SegEnds_Xtal_BW#'!$A:$Z,18,FALSE)</f>
        <v>52</v>
      </c>
      <c r="S245" s="1">
        <f>VLOOKUP($B245&amp;"__wt",'SegEnds_Xtal_BW#'!$A:$Z,19,FALSE)</f>
        <v>30</v>
      </c>
      <c r="T245" s="1">
        <f t="array" ref="T245">INDEX(ICL3_classA!$G$2:$G$37,MATCH(MIN(ABS(AI245-ICL3_classA!$F$2:$F$37)),ABS(AI245-ICL3_classA!$F$2:$F$37),0))</f>
        <v>67</v>
      </c>
      <c r="U245" s="1">
        <f t="array" ref="U245">INDEX(ICL3_classA!$H$2:$H$37,MATCH(MIN(ABS(AI245-ICL3_classA!$F$2:$F$37)),ABS(AI245-ICL3_classA!$F$2:$F$37),0))</f>
        <v>30</v>
      </c>
      <c r="V245" s="1">
        <v>64</v>
      </c>
      <c r="W245" s="1">
        <v>24</v>
      </c>
      <c r="X245" s="1">
        <f>VLOOKUP($B245&amp;"__wt",'SegEnds_Xtal_BW#'!$A:$Z,24,FALSE)</f>
        <v>56</v>
      </c>
      <c r="Y245" s="1">
        <f>VLOOKUP($B245&amp;"__wt",'SegEnds_Xtal_BW#'!$A:$Z,25,FALSE)</f>
        <v>47</v>
      </c>
      <c r="Z245" s="1">
        <f>VLOOKUP($B245&amp;"__wt",'SegEnds_Xtal_BW#'!$A:$Z,26,FALSE)</f>
        <v>59</v>
      </c>
      <c r="AA245" s="27" t="str">
        <f>VLOOKUP(A245,Classification!A:B,2,FALSE)</f>
        <v>A</v>
      </c>
      <c r="AB245" s="1">
        <f>VLOOKUP(A245,'SegEnds_NonXtal_Prot#'!A:AL,10,FALSE)-VLOOKUP(A245,'SegEnds_NonXtal_Prot#'!A:AL,4,FALSE)</f>
        <v>28</v>
      </c>
      <c r="AC245" s="1">
        <f>VLOOKUP(A245,'SegEnds_NonXtal_Prot#'!A:AL,10,FALSE)-VLOOKUP(A245,'SegEnds_NonXtal_Prot#'!A:AL,7,FALSE)</f>
        <v>15</v>
      </c>
      <c r="AD245" s="1" t="e">
        <f>VLOOKUP(A245,'SegEnds_NonXtal_Prot#'!A:AL,13,FALSE)-VLOOKUP(A245,'SegEnds_NonXtal_Prot#'!A:AL,10,FALSE)</f>
        <v>#VALUE!</v>
      </c>
      <c r="AE245" s="1">
        <f>VLOOKUP(A245,'SegEnds_NonXtal_Prot#'!A:AL,16,FALSE)-VLOOKUP(A245,'SegEnds_NonXtal_Prot#'!A:AL,10,FALSE)</f>
        <v>44</v>
      </c>
      <c r="AF245" s="1">
        <f>VLOOKUP(A245,'SegEnds_NonXtal_Prot#'!A:AL,22,FALSE)-VLOOKUP(A245,'SegEnds_NonXtal_Prot#'!A:AL,19,FALSE)</f>
        <v>21</v>
      </c>
      <c r="AG245" s="1">
        <f>VLOOKUP(A245,'SegEnds_NonXtal_Prot#'!A:AL,28,FALSE)-VLOOKUP(A245,'SegEnds_NonXtal_Prot#'!A:AL,25,FALSE)</f>
        <v>31</v>
      </c>
      <c r="AH245" s="1">
        <f>VLOOKUP(A245,'SegEnds_NonXtal_Prot#'!A:AL,28,FALSE)-VLOOKUP(A245,'SegEnds_NonXtal_Prot#'!A:AL,22,FALSE)</f>
        <v>56</v>
      </c>
      <c r="AI245" s="1">
        <f>VLOOKUP(A245,'SegEnds_NonXtal_Prot#'!A:AL,31,FALSE)-VLOOKUP(A245,'SegEnds_NonXtal_Prot#'!A:AL,28,FALSE)</f>
        <v>41</v>
      </c>
      <c r="AJ245" s="1">
        <f>VLOOKUP(A245,'SegEnds_NonXtal_Prot#'!A:AL,34,FALSE)-VLOOKUP(A245,'SegEnds_NonXtal_Prot#'!A:AL,31,FALSE)</f>
        <v>44</v>
      </c>
      <c r="AK245" s="1">
        <f>VLOOKUP(A245,'SegEnds_NonXtal_Prot#'!A:AL,37,FALSE)-VLOOKUP(A245,'SegEnds_NonXtal_Prot#'!A:AL,34,FALSE)</f>
        <v>10</v>
      </c>
      <c r="AL245" s="1" t="str">
        <f>IF(ISERROR(MATCH(A245,'SegEnds_Xtal_Prot#'!B:B, 0)), "NoXtal", "Xtal")</f>
        <v>NoXtal</v>
      </c>
    </row>
    <row r="246" spans="1:38" x14ac:dyDescent="0.2">
      <c r="A246" s="1" t="s">
        <v>179</v>
      </c>
      <c r="B246" s="1" t="str">
        <f>VLOOKUP(A246,Xtal_Templ!A:B,2,FALSE)</f>
        <v>p2ry1_human</v>
      </c>
      <c r="C246" s="5">
        <f>VLOOKUP($B246&amp;"__wt",'SegEnds_Xtal_BW#'!$A:$Z,3,FALSE)</f>
        <v>30</v>
      </c>
      <c r="D246" s="1">
        <f>VLOOKUP($B246&amp;"__wt",'SegEnds_Xtal_BW#'!$A:$Z,4,FALSE)</f>
        <v>60</v>
      </c>
      <c r="E246" s="1" t="str">
        <f>VLOOKUP($B246&amp;"__wt",'SegEnds_Xtal_BW#'!$A:$Z,5,FALSE)</f>
        <v>-</v>
      </c>
      <c r="F246" s="1" t="str">
        <f>VLOOKUP($B246&amp;"__wt",'SegEnds_Xtal_BW#'!$A:$Z,6,FALSE)</f>
        <v>-</v>
      </c>
      <c r="G246" s="1">
        <v>37</v>
      </c>
      <c r="H246" s="12">
        <f>VLOOKUP($B246&amp;"__wt",'SegEnds_Xtal_BW#'!$A:$Z,8,FALSE)</f>
        <v>66</v>
      </c>
      <c r="I246" s="1">
        <f>VLOOKUP($B246&amp;"__wt",'SegEnds_Xtal_BW#'!$A:$Z,9,FALSE)</f>
        <v>49</v>
      </c>
      <c r="J246" s="1">
        <f>VLOOKUP($B246&amp;"__wt",'SegEnds_Xtal_BW#'!$A:$Z,10,FALSE)</f>
        <v>52</v>
      </c>
      <c r="K246" s="12">
        <v>18</v>
      </c>
      <c r="L246" s="1">
        <f>VLOOKUP($B246&amp;"__wt",'SegEnds_Xtal_BW#'!$A:$Z,12,FALSE)</f>
        <v>56</v>
      </c>
      <c r="M246" s="1">
        <f>VLOOKUP($B246&amp;"__wt",'SegEnds_Xtal_BW#'!$A:$Z,13,FALSE)</f>
        <v>50</v>
      </c>
      <c r="N246" s="12">
        <v>57</v>
      </c>
      <c r="O246" s="87">
        <f>VLOOKUP($B246&amp;"__wt",'SegEnds_Xtal_BW#'!$A:$Z,15,FALSE)</f>
        <v>38</v>
      </c>
      <c r="P246" s="1">
        <f>VLOOKUP($B246&amp;"__wt",'SegEnds_Xtal_BW#'!$A:$Z,16,FALSE)</f>
        <v>64</v>
      </c>
      <c r="Q246" s="1">
        <f>VLOOKUP($B246&amp;"__wt",'SegEnds_Xtal_BW#'!$A:$Z,17,FALSE)</f>
        <v>50</v>
      </c>
      <c r="R246" s="1">
        <f>VLOOKUP($B246&amp;"__wt",'SegEnds_Xtal_BW#'!$A:$Z,18,FALSE)</f>
        <v>52</v>
      </c>
      <c r="S246" s="1">
        <f>VLOOKUP($B246&amp;"__wt",'SegEnds_Xtal_BW#'!$A:$Z,19,FALSE)</f>
        <v>32</v>
      </c>
      <c r="T246" s="1">
        <f t="array" ref="T246">INDEX(ICL3_classA!$G$2:$G$37,MATCH(MIN(ABS(AI246-ICL3_classA!$F$2:$F$37)),ABS(AI246-ICL3_classA!$F$2:$F$37),0))</f>
        <v>67</v>
      </c>
      <c r="U246" s="1">
        <f t="array" ref="U246">INDEX(ICL3_classA!$H$2:$H$37,MATCH(MIN(ABS(AI246-ICL3_classA!$F$2:$F$37)),ABS(AI246-ICL3_classA!$F$2:$F$37),0))</f>
        <v>26</v>
      </c>
      <c r="V246" s="1">
        <v>64</v>
      </c>
      <c r="W246" s="1">
        <v>24</v>
      </c>
      <c r="X246" s="1">
        <f>VLOOKUP($B246&amp;"__wt",'SegEnds_Xtal_BW#'!$A:$Z,24,FALSE)</f>
        <v>56</v>
      </c>
      <c r="Y246" s="1">
        <f>VLOOKUP($B246&amp;"__wt",'SegEnds_Xtal_BW#'!$A:$Z,25,FALSE)</f>
        <v>47</v>
      </c>
      <c r="Z246" s="1">
        <f>VLOOKUP($B246&amp;"__wt",'SegEnds_Xtal_BW#'!$A:$Z,26,FALSE)</f>
        <v>59</v>
      </c>
      <c r="AA246" s="27" t="str">
        <f>VLOOKUP(A246,Classification!A:B,2,FALSE)</f>
        <v>A</v>
      </c>
      <c r="AB246" s="1">
        <f>VLOOKUP(A246,'SegEnds_NonXtal_Prot#'!A:AL,10,FALSE)-VLOOKUP(A246,'SegEnds_NonXtal_Prot#'!A:AL,4,FALSE)</f>
        <v>28</v>
      </c>
      <c r="AC246" s="1" t="e">
        <f>VLOOKUP(A246,'SegEnds_NonXtal_Prot#'!A:AL,10,FALSE)-VLOOKUP(A246,'SegEnds_NonXtal_Prot#'!A:AL,7,FALSE)</f>
        <v>#VALUE!</v>
      </c>
      <c r="AD246" s="1">
        <f>VLOOKUP(A246,'SegEnds_NonXtal_Prot#'!A:AL,13,FALSE)-VLOOKUP(A246,'SegEnds_NonXtal_Prot#'!A:AL,10,FALSE)</f>
        <v>20</v>
      </c>
      <c r="AE246" s="1">
        <f>VLOOKUP(A246,'SegEnds_NonXtal_Prot#'!A:AL,16,FALSE)-VLOOKUP(A246,'SegEnds_NonXtal_Prot#'!A:AL,10,FALSE)</f>
        <v>52</v>
      </c>
      <c r="AF246" s="1">
        <f>VLOOKUP(A246,'SegEnds_NonXtal_Prot#'!A:AL,22,FALSE)-VLOOKUP(A246,'SegEnds_NonXtal_Prot#'!A:AL,19,FALSE)</f>
        <v>20</v>
      </c>
      <c r="AG246" s="1">
        <f>VLOOKUP(A246,'SegEnds_NonXtal_Prot#'!A:AL,28,FALSE)-VLOOKUP(A246,'SegEnds_NonXtal_Prot#'!A:AL,25,FALSE)</f>
        <v>28</v>
      </c>
      <c r="AH246" s="1">
        <f>VLOOKUP(A246,'SegEnds_NonXtal_Prot#'!A:AL,28,FALSE)-VLOOKUP(A246,'SegEnds_NonXtal_Prot#'!A:AL,22,FALSE)</f>
        <v>53</v>
      </c>
      <c r="AI246" s="1">
        <f>VLOOKUP(A246,'SegEnds_NonXtal_Prot#'!A:AL,31,FALSE)-VLOOKUP(A246,'SegEnds_NonXtal_Prot#'!A:AL,28,FALSE)</f>
        <v>47</v>
      </c>
      <c r="AJ246" s="1">
        <f>VLOOKUP(A246,'SegEnds_NonXtal_Prot#'!A:AL,34,FALSE)-VLOOKUP(A246,'SegEnds_NonXtal_Prot#'!A:AL,31,FALSE)</f>
        <v>44</v>
      </c>
      <c r="AK246" s="1">
        <f>VLOOKUP(A246,'SegEnds_NonXtal_Prot#'!A:AL,37,FALSE)-VLOOKUP(A246,'SegEnds_NonXtal_Prot#'!A:AL,34,FALSE)</f>
        <v>10</v>
      </c>
      <c r="AL246" s="1" t="str">
        <f>IF(ISERROR(MATCH(A246,'SegEnds_Xtal_Prot#'!B:B, 0)), "NoXtal", "Xtal")</f>
        <v>NoXtal</v>
      </c>
    </row>
    <row r="247" spans="1:38" x14ac:dyDescent="0.2">
      <c r="A247" s="1" t="s">
        <v>184</v>
      </c>
      <c r="B247" s="1" t="str">
        <f>VLOOKUP(A247,Xtal_Templ!A:B,2,FALSE)</f>
        <v>ccr5_human</v>
      </c>
      <c r="C247" s="5">
        <f>VLOOKUP($B247&amp;"__wt",'SegEnds_Xtal_BW#'!$A:$Z,3,FALSE)</f>
        <v>24</v>
      </c>
      <c r="D247" s="1">
        <f>VLOOKUP($B247&amp;"__wt",'SegEnds_Xtal_BW#'!$A:$Z,4,FALSE)</f>
        <v>60</v>
      </c>
      <c r="E247" s="1">
        <f>VLOOKUP($B247&amp;"__wt",'SegEnds_Xtal_BW#'!$A:$Z,5,FALSE)</f>
        <v>48</v>
      </c>
      <c r="F247" s="1">
        <f>VLOOKUP($B247&amp;"__wt",'SegEnds_Xtal_BW#'!$A:$Z,6,FALSE)</f>
        <v>51</v>
      </c>
      <c r="G247" s="1">
        <v>37</v>
      </c>
      <c r="H247" s="12">
        <v>66</v>
      </c>
      <c r="I247" s="1">
        <f>VLOOKUP($B247&amp;"__wt",'SegEnds_Xtal_BW#'!$A:$Z,9,FALSE)</f>
        <v>49</v>
      </c>
      <c r="J247" s="1">
        <f>VLOOKUP($B247&amp;"__wt",'SegEnds_Xtal_BW#'!$A:$Z,10,FALSE)</f>
        <v>52</v>
      </c>
      <c r="K247" s="12">
        <v>24</v>
      </c>
      <c r="L247" s="1">
        <f>VLOOKUP($B247&amp;"__wt",'SegEnds_Xtal_BW#'!$A:$Z,12,FALSE)</f>
        <v>56</v>
      </c>
      <c r="M247" s="1">
        <f>VLOOKUP($B247&amp;"__wt",'SegEnds_Xtal_BW#'!$A:$Z,13,FALSE)</f>
        <v>50</v>
      </c>
      <c r="N247" s="12">
        <v>57</v>
      </c>
      <c r="O247" s="87">
        <v>38</v>
      </c>
      <c r="P247" s="1">
        <f>VLOOKUP($B247&amp;"__wt",'SegEnds_Xtal_BW#'!$A:$Z,16,FALSE)</f>
        <v>64</v>
      </c>
      <c r="Q247" s="1">
        <f>VLOOKUP($B247&amp;"__wt",'SegEnds_Xtal_BW#'!$A:$Z,17,FALSE)</f>
        <v>50</v>
      </c>
      <c r="R247" s="1">
        <f>VLOOKUP($B247&amp;"__wt",'SegEnds_Xtal_BW#'!$A:$Z,18,FALSE)</f>
        <v>52</v>
      </c>
      <c r="S247" s="1">
        <f>VLOOKUP($B247&amp;"__wt",'SegEnds_Xtal_BW#'!$A:$Z,19,FALSE)</f>
        <v>30</v>
      </c>
      <c r="T247" s="1">
        <f t="array" ref="T247">INDEX(ICL3_classA!$G$2:$G$37,MATCH(MIN(ABS(AI247-ICL3_classA!$F$2:$F$37)),ABS(AI247-ICL3_classA!$F$2:$F$37),0))</f>
        <v>68</v>
      </c>
      <c r="U247" s="1">
        <f t="array" ref="U247">INDEX(ICL3_classA!$H$2:$H$37,MATCH(MIN(ABS(AI247-ICL3_classA!$F$2:$F$37)),ABS(AI247-ICL3_classA!$F$2:$F$37),0))</f>
        <v>30</v>
      </c>
      <c r="V247" s="1">
        <v>64</v>
      </c>
      <c r="W247" s="1">
        <v>24</v>
      </c>
      <c r="X247" s="1">
        <f>VLOOKUP($B247&amp;"__wt",'SegEnds_Xtal_BW#'!$A:$Z,24,FALSE)</f>
        <v>56</v>
      </c>
      <c r="Y247" s="1">
        <f>VLOOKUP($B247&amp;"__wt",'SegEnds_Xtal_BW#'!$A:$Z,25,FALSE)</f>
        <v>47</v>
      </c>
      <c r="Z247" s="1">
        <f>VLOOKUP($B247&amp;"__wt",'SegEnds_Xtal_BW#'!$A:$Z,26,FALSE)</f>
        <v>59</v>
      </c>
      <c r="AA247" s="27" t="str">
        <f>VLOOKUP(A247,Classification!A:B,2,FALSE)</f>
        <v>A</v>
      </c>
      <c r="AB247" s="1">
        <f>VLOOKUP(A247,'SegEnds_NonXtal_Prot#'!A:AL,10,FALSE)-VLOOKUP(A247,'SegEnds_NonXtal_Prot#'!A:AL,4,FALSE)</f>
        <v>28</v>
      </c>
      <c r="AC247" s="1">
        <f>VLOOKUP(A247,'SegEnds_NonXtal_Prot#'!A:AL,10,FALSE)-VLOOKUP(A247,'SegEnds_NonXtal_Prot#'!A:AL,7,FALSE)</f>
        <v>15</v>
      </c>
      <c r="AD247" s="1" t="e">
        <f>VLOOKUP(A247,'SegEnds_NonXtal_Prot#'!A:AL,13,FALSE)-VLOOKUP(A247,'SegEnds_NonXtal_Prot#'!A:AL,10,FALSE)</f>
        <v>#VALUE!</v>
      </c>
      <c r="AE247" s="1">
        <f>VLOOKUP(A247,'SegEnds_NonXtal_Prot#'!A:AL,16,FALSE)-VLOOKUP(A247,'SegEnds_NonXtal_Prot#'!A:AL,10,FALSE)</f>
        <v>50</v>
      </c>
      <c r="AF247" s="1">
        <f>VLOOKUP(A247,'SegEnds_NonXtal_Prot#'!A:AL,22,FALSE)-VLOOKUP(A247,'SegEnds_NonXtal_Prot#'!A:AL,19,FALSE)</f>
        <v>20</v>
      </c>
      <c r="AG247" s="1">
        <f>VLOOKUP(A247,'SegEnds_NonXtal_Prot#'!A:AL,28,FALSE)-VLOOKUP(A247,'SegEnds_NonXtal_Prot#'!A:AL,25,FALSE)</f>
        <v>28</v>
      </c>
      <c r="AH247" s="1">
        <f>VLOOKUP(A247,'SegEnds_NonXtal_Prot#'!A:AL,28,FALSE)-VLOOKUP(A247,'SegEnds_NonXtal_Prot#'!A:AL,22,FALSE)</f>
        <v>49</v>
      </c>
      <c r="AI247" s="1">
        <f>VLOOKUP(A247,'SegEnds_NonXtal_Prot#'!A:AL,31,FALSE)-VLOOKUP(A247,'SegEnds_NonXtal_Prot#'!A:AL,28,FALSE)</f>
        <v>43</v>
      </c>
      <c r="AJ247" s="1">
        <f>VLOOKUP(A247,'SegEnds_NonXtal_Prot#'!A:AL,34,FALSE)-VLOOKUP(A247,'SegEnds_NonXtal_Prot#'!A:AL,31,FALSE)</f>
        <v>44</v>
      </c>
      <c r="AK247" s="1">
        <f>VLOOKUP(A247,'SegEnds_NonXtal_Prot#'!A:AL,37,FALSE)-VLOOKUP(A247,'SegEnds_NonXtal_Prot#'!A:AL,34,FALSE)</f>
        <v>10</v>
      </c>
      <c r="AL247" s="1" t="str">
        <f>IF(ISERROR(MATCH(A247,'SegEnds_Xtal_Prot#'!B:B, 0)), "NoXtal", "Xtal")</f>
        <v>NoXtal</v>
      </c>
    </row>
    <row r="248" spans="1:38" x14ac:dyDescent="0.2">
      <c r="A248" s="1" t="s">
        <v>229</v>
      </c>
      <c r="B248" s="1" t="str">
        <f>VLOOKUP(A248,Xtal_Templ!A:B,2,FALSE)</f>
        <v>p2y12_human</v>
      </c>
      <c r="C248" s="5">
        <f>VLOOKUP($B248&amp;"__wt",'SegEnds_Xtal_BW#'!$A:$Z,3,FALSE)</f>
        <v>28</v>
      </c>
      <c r="D248" s="1">
        <f>VLOOKUP($B248&amp;"__wt",'SegEnds_Xtal_BW#'!$A:$Z,4,FALSE)</f>
        <v>60</v>
      </c>
      <c r="E248" s="1" t="str">
        <f>VLOOKUP($B248&amp;"__wt",'SegEnds_Xtal_BW#'!$A:$Z,5,FALSE)</f>
        <v>-</v>
      </c>
      <c r="F248" s="1" t="str">
        <f>VLOOKUP($B248&amp;"__wt",'SegEnds_Xtal_BW#'!$A:$Z,6,FALSE)</f>
        <v>-</v>
      </c>
      <c r="G248" s="1">
        <v>37</v>
      </c>
      <c r="H248" s="12">
        <f>VLOOKUP($B248&amp;"__wt",'SegEnds_Xtal_BW#'!$A:$Z,8,FALSE)</f>
        <v>66</v>
      </c>
      <c r="I248" s="1" t="str">
        <f>VLOOKUP($B248&amp;"__wt",'SegEnds_Xtal_BW#'!$A:$Z,9,FALSE)</f>
        <v>-</v>
      </c>
      <c r="J248" s="1" t="str">
        <f>VLOOKUP($B248&amp;"__wt",'SegEnds_Xtal_BW#'!$A:$Z,10,FALSE)</f>
        <v>-</v>
      </c>
      <c r="K248" s="12">
        <v>18</v>
      </c>
      <c r="L248" s="1">
        <f>VLOOKUP($B248&amp;"__wt",'SegEnds_Xtal_BW#'!$A:$Z,12,FALSE)</f>
        <v>56</v>
      </c>
      <c r="M248" s="1">
        <f>VLOOKUP($B248&amp;"__wt",'SegEnds_Xtal_BW#'!$A:$Z,13,FALSE)</f>
        <v>50</v>
      </c>
      <c r="N248" s="12">
        <v>57</v>
      </c>
      <c r="O248" s="87">
        <f>VLOOKUP($B248&amp;"__wt",'SegEnds_Xtal_BW#'!$A:$Z,15,FALSE)</f>
        <v>38</v>
      </c>
      <c r="P248" s="1">
        <f>VLOOKUP($B248&amp;"__wt",'SegEnds_Xtal_BW#'!$A:$Z,16,FALSE)</f>
        <v>64</v>
      </c>
      <c r="Q248" s="1">
        <f>VLOOKUP($B248&amp;"__wt",'SegEnds_Xtal_BW#'!$A:$Z,17,FALSE)</f>
        <v>50</v>
      </c>
      <c r="R248" s="1">
        <f>VLOOKUP($B248&amp;"__wt",'SegEnds_Xtal_BW#'!$A:$Z,18,FALSE)</f>
        <v>52</v>
      </c>
      <c r="S248" s="1">
        <f>VLOOKUP($B248&amp;"__wt",'SegEnds_Xtal_BW#'!$A:$Z,19,FALSE)</f>
        <v>30</v>
      </c>
      <c r="T248" s="1">
        <f t="array" ref="T248">INDEX(ICL3_classA!$G$2:$G$37,MATCH(MIN(ABS(AI248-ICL3_classA!$F$2:$F$37)),ABS(AI248-ICL3_classA!$F$2:$F$37),0))</f>
        <v>67</v>
      </c>
      <c r="U248" s="1">
        <f t="array" ref="U248">INDEX(ICL3_classA!$H$2:$H$37,MATCH(MIN(ABS(AI248-ICL3_classA!$F$2:$F$37)),ABS(AI248-ICL3_classA!$F$2:$F$37),0))</f>
        <v>26</v>
      </c>
      <c r="V248" s="1">
        <v>64</v>
      </c>
      <c r="W248" s="1">
        <v>24</v>
      </c>
      <c r="X248" s="1">
        <f>VLOOKUP($B248&amp;"__wt",'SegEnds_Xtal_BW#'!$A:$Z,24,FALSE)</f>
        <v>56</v>
      </c>
      <c r="Y248" s="1">
        <f>VLOOKUP($B248&amp;"__wt",'SegEnds_Xtal_BW#'!$A:$Z,25,FALSE)</f>
        <v>47</v>
      </c>
      <c r="Z248" s="1">
        <f>VLOOKUP($B248&amp;"__wt",'SegEnds_Xtal_BW#'!$A:$Z,26,FALSE)</f>
        <v>57</v>
      </c>
      <c r="AA248" s="27" t="str">
        <f>VLOOKUP(A248,Classification!A:B,2,FALSE)</f>
        <v>A</v>
      </c>
      <c r="AB248" s="1">
        <f>VLOOKUP(A248,'SegEnds_NonXtal_Prot#'!A:AL,10,FALSE)-VLOOKUP(A248,'SegEnds_NonXtal_Prot#'!A:AL,4,FALSE)</f>
        <v>28</v>
      </c>
      <c r="AC248" s="1" t="e">
        <f>VLOOKUP(A248,'SegEnds_NonXtal_Prot#'!A:AL,10,FALSE)-VLOOKUP(A248,'SegEnds_NonXtal_Prot#'!A:AL,7,FALSE)</f>
        <v>#VALUE!</v>
      </c>
      <c r="AD248" s="1" t="e">
        <f>VLOOKUP(A248,'SegEnds_NonXtal_Prot#'!A:AL,13,FALSE)-VLOOKUP(A248,'SegEnds_NonXtal_Prot#'!A:AL,10,FALSE)</f>
        <v>#VALUE!</v>
      </c>
      <c r="AE248" s="1">
        <f>VLOOKUP(A248,'SegEnds_NonXtal_Prot#'!A:AL,16,FALSE)-VLOOKUP(A248,'SegEnds_NonXtal_Prot#'!A:AL,10,FALSE)</f>
        <v>52</v>
      </c>
      <c r="AF248" s="1">
        <f>VLOOKUP(A248,'SegEnds_NonXtal_Prot#'!A:AL,22,FALSE)-VLOOKUP(A248,'SegEnds_NonXtal_Prot#'!A:AL,19,FALSE)</f>
        <v>20</v>
      </c>
      <c r="AG248" s="1">
        <f>VLOOKUP(A248,'SegEnds_NonXtal_Prot#'!A:AL,28,FALSE)-VLOOKUP(A248,'SegEnds_NonXtal_Prot#'!A:AL,25,FALSE)</f>
        <v>26</v>
      </c>
      <c r="AH248" s="1">
        <f>VLOOKUP(A248,'SegEnds_NonXtal_Prot#'!A:AL,28,FALSE)-VLOOKUP(A248,'SegEnds_NonXtal_Prot#'!A:AL,22,FALSE)</f>
        <v>52</v>
      </c>
      <c r="AI248" s="1">
        <f>VLOOKUP(A248,'SegEnds_NonXtal_Prot#'!A:AL,31,FALSE)-VLOOKUP(A248,'SegEnds_NonXtal_Prot#'!A:AL,28,FALSE)</f>
        <v>47</v>
      </c>
      <c r="AJ248" s="1">
        <f>VLOOKUP(A248,'SegEnds_NonXtal_Prot#'!A:AL,34,FALSE)-VLOOKUP(A248,'SegEnds_NonXtal_Prot#'!A:AL,31,FALSE)</f>
        <v>44</v>
      </c>
      <c r="AK248" s="1">
        <f>VLOOKUP(A248,'SegEnds_NonXtal_Prot#'!A:AL,37,FALSE)-VLOOKUP(A248,'SegEnds_NonXtal_Prot#'!A:AL,34,FALSE)</f>
        <v>10</v>
      </c>
      <c r="AL248" s="1" t="str">
        <f>IF(ISERROR(MATCH(A248,'SegEnds_Xtal_Prot#'!B:B, 0)), "NoXtal", "Xtal")</f>
        <v>NoXtal</v>
      </c>
    </row>
    <row r="249" spans="1:38" x14ac:dyDescent="0.2">
      <c r="A249" s="1" t="s">
        <v>231</v>
      </c>
      <c r="B249" s="1" t="str">
        <f>VLOOKUP(A249,Xtal_Templ!A:B,2,FALSE)</f>
        <v>p2ry1_human</v>
      </c>
      <c r="C249" s="5">
        <f>VLOOKUP($B249&amp;"__wt",'SegEnds_Xtal_BW#'!$A:$Z,3,FALSE)</f>
        <v>30</v>
      </c>
      <c r="D249" s="1">
        <f>VLOOKUP($B249&amp;"__wt",'SegEnds_Xtal_BW#'!$A:$Z,4,FALSE)</f>
        <v>60</v>
      </c>
      <c r="E249" s="1" t="str">
        <f>VLOOKUP($B249&amp;"__wt",'SegEnds_Xtal_BW#'!$A:$Z,5,FALSE)</f>
        <v>-</v>
      </c>
      <c r="F249" s="1" t="str">
        <f>VLOOKUP($B249&amp;"__wt",'SegEnds_Xtal_BW#'!$A:$Z,6,FALSE)</f>
        <v>-</v>
      </c>
      <c r="G249" s="1">
        <v>37</v>
      </c>
      <c r="H249" s="12">
        <v>66</v>
      </c>
      <c r="I249" s="1">
        <f>VLOOKUP($B249&amp;"__wt",'SegEnds_Xtal_BW#'!$A:$Z,9,FALSE)</f>
        <v>49</v>
      </c>
      <c r="J249" s="1">
        <f>VLOOKUP($B249&amp;"__wt",'SegEnds_Xtal_BW#'!$A:$Z,10,FALSE)</f>
        <v>52</v>
      </c>
      <c r="K249" s="12">
        <v>21</v>
      </c>
      <c r="L249" s="1">
        <f>VLOOKUP($B249&amp;"__wt",'SegEnds_Xtal_BW#'!$A:$Z,12,FALSE)</f>
        <v>56</v>
      </c>
      <c r="M249" s="1">
        <f>VLOOKUP($B249&amp;"__wt",'SegEnds_Xtal_BW#'!$A:$Z,13,FALSE)</f>
        <v>50</v>
      </c>
      <c r="N249" s="108">
        <v>56</v>
      </c>
      <c r="O249" s="87">
        <f>VLOOKUP($B249&amp;"__wt",'SegEnds_Xtal_BW#'!$A:$Z,15,FALSE)</f>
        <v>38</v>
      </c>
      <c r="P249" s="1">
        <f>VLOOKUP($B249&amp;"__wt",'SegEnds_Xtal_BW#'!$A:$Z,16,FALSE)</f>
        <v>64</v>
      </c>
      <c r="Q249" s="1">
        <f>VLOOKUP($B249&amp;"__wt",'SegEnds_Xtal_BW#'!$A:$Z,17,FALSE)</f>
        <v>50</v>
      </c>
      <c r="R249" s="1">
        <f>VLOOKUP($B249&amp;"__wt",'SegEnds_Xtal_BW#'!$A:$Z,18,FALSE)</f>
        <v>52</v>
      </c>
      <c r="S249" s="1">
        <f>VLOOKUP($B249&amp;"__wt",'SegEnds_Xtal_BW#'!$A:$Z,19,FALSE)</f>
        <v>32</v>
      </c>
      <c r="T249" s="1">
        <f t="array" ref="T249">INDEX(ICL3_classA!$G$2:$G$37,MATCH(MIN(ABS(AI249-ICL3_classA!$F$2:$F$37)),ABS(AI249-ICL3_classA!$F$2:$F$37),0))</f>
        <v>68</v>
      </c>
      <c r="U249" s="1">
        <f t="array" ref="U249">INDEX(ICL3_classA!$H$2:$H$37,MATCH(MIN(ABS(AI249-ICL3_classA!$F$2:$F$37)),ABS(AI249-ICL3_classA!$F$2:$F$37),0))</f>
        <v>24</v>
      </c>
      <c r="V249" s="1">
        <v>64</v>
      </c>
      <c r="W249" s="1">
        <v>24</v>
      </c>
      <c r="X249" s="1">
        <f>VLOOKUP($B249&amp;"__wt",'SegEnds_Xtal_BW#'!$A:$Z,24,FALSE)</f>
        <v>56</v>
      </c>
      <c r="Y249" s="1">
        <f>VLOOKUP($B249&amp;"__wt",'SegEnds_Xtal_BW#'!$A:$Z,25,FALSE)</f>
        <v>47</v>
      </c>
      <c r="Z249" s="1">
        <f>VLOOKUP($B249&amp;"__wt",'SegEnds_Xtal_BW#'!$A:$Z,26,FALSE)</f>
        <v>59</v>
      </c>
      <c r="AA249" s="27" t="str">
        <f>VLOOKUP(A249,Classification!A:B,2,FALSE)</f>
        <v>A</v>
      </c>
      <c r="AB249" s="1">
        <f>VLOOKUP(A249,'SegEnds_NonXtal_Prot#'!A:AL,10,FALSE)-VLOOKUP(A249,'SegEnds_NonXtal_Prot#'!A:AL,4,FALSE)</f>
        <v>28</v>
      </c>
      <c r="AC249" s="1" t="e">
        <f>VLOOKUP(A249,'SegEnds_NonXtal_Prot#'!A:AL,10,FALSE)-VLOOKUP(A249,'SegEnds_NonXtal_Prot#'!A:AL,7,FALSE)</f>
        <v>#VALUE!</v>
      </c>
      <c r="AD249" s="1">
        <f>VLOOKUP(A249,'SegEnds_NonXtal_Prot#'!A:AL,13,FALSE)-VLOOKUP(A249,'SegEnds_NonXtal_Prot#'!A:AL,10,FALSE)</f>
        <v>19</v>
      </c>
      <c r="AE249" s="1">
        <f>VLOOKUP(A249,'SegEnds_NonXtal_Prot#'!A:AL,16,FALSE)-VLOOKUP(A249,'SegEnds_NonXtal_Prot#'!A:AL,10,FALSE)</f>
        <v>51</v>
      </c>
      <c r="AF249" s="1">
        <f>VLOOKUP(A249,'SegEnds_NonXtal_Prot#'!A:AL,22,FALSE)-VLOOKUP(A249,'SegEnds_NonXtal_Prot#'!A:AL,19,FALSE)</f>
        <v>19</v>
      </c>
      <c r="AG249" s="1">
        <f>VLOOKUP(A249,'SegEnds_NonXtal_Prot#'!A:AL,28,FALSE)-VLOOKUP(A249,'SegEnds_NonXtal_Prot#'!A:AL,25,FALSE)</f>
        <v>29</v>
      </c>
      <c r="AH249" s="1">
        <f>VLOOKUP(A249,'SegEnds_NonXtal_Prot#'!A:AL,28,FALSE)-VLOOKUP(A249,'SegEnds_NonXtal_Prot#'!A:AL,22,FALSE)</f>
        <v>55</v>
      </c>
      <c r="AI249" s="1">
        <f>VLOOKUP(A249,'SegEnds_NonXtal_Prot#'!A:AL,31,FALSE)-VLOOKUP(A249,'SegEnds_NonXtal_Prot#'!A:AL,28,FALSE)</f>
        <v>48</v>
      </c>
      <c r="AJ249" s="1">
        <f>VLOOKUP(A249,'SegEnds_NonXtal_Prot#'!A:AL,34,FALSE)-VLOOKUP(A249,'SegEnds_NonXtal_Prot#'!A:AL,31,FALSE)</f>
        <v>44</v>
      </c>
      <c r="AK249" s="1">
        <f>VLOOKUP(A249,'SegEnds_NonXtal_Prot#'!A:AL,37,FALSE)-VLOOKUP(A249,'SegEnds_NonXtal_Prot#'!A:AL,34,FALSE)</f>
        <v>10</v>
      </c>
      <c r="AL249" s="1" t="str">
        <f>IF(ISERROR(MATCH(A249,'SegEnds_Xtal_Prot#'!B:B, 0)), "NoXtal", "Xtal")</f>
        <v>NoXtal</v>
      </c>
    </row>
    <row r="250" spans="1:38" x14ac:dyDescent="0.2">
      <c r="A250" s="1" t="s">
        <v>233</v>
      </c>
      <c r="B250" s="1" t="str">
        <f>VLOOKUP(A250,Xtal_Templ!A:B,2,FALSE)</f>
        <v>apj_human</v>
      </c>
      <c r="C250" s="5">
        <f>VLOOKUP($B250&amp;"__wt",'SegEnds_Xtal_BW#'!$A:$Z,3,FALSE)</f>
        <v>33</v>
      </c>
      <c r="D250" s="1">
        <f>VLOOKUP($B250&amp;"__wt",'SegEnds_Xtal_BW#'!$A:$Z,4,FALSE)</f>
        <v>60</v>
      </c>
      <c r="E250" s="1">
        <f>VLOOKUP($B250&amp;"__wt",'SegEnds_Xtal_BW#'!$A:$Z,5,FALSE)</f>
        <v>48</v>
      </c>
      <c r="F250" s="1">
        <f>VLOOKUP($B250&amp;"__wt",'SegEnds_Xtal_BW#'!$A:$Z,6,FALSE)</f>
        <v>52</v>
      </c>
      <c r="G250" s="1">
        <v>37</v>
      </c>
      <c r="H250" s="12">
        <f>VLOOKUP($B250&amp;"__wt",'SegEnds_Xtal_BW#'!$A:$Z,8,FALSE)</f>
        <v>67</v>
      </c>
      <c r="I250" s="1">
        <f>VLOOKUP($B250&amp;"__wt",'SegEnds_Xtal_BW#'!$A:$Z,9,FALSE)</f>
        <v>49</v>
      </c>
      <c r="J250" s="1">
        <f>VLOOKUP($B250&amp;"__wt",'SegEnds_Xtal_BW#'!$A:$Z,10,FALSE)</f>
        <v>52</v>
      </c>
      <c r="K250" s="12">
        <v>18</v>
      </c>
      <c r="L250" s="1">
        <f>VLOOKUP($B250&amp;"__wt",'SegEnds_Xtal_BW#'!$A:$Z,12,FALSE)</f>
        <v>56</v>
      </c>
      <c r="M250" s="1">
        <f>VLOOKUP($B250&amp;"__wt",'SegEnds_Xtal_BW#'!$A:$Z,13,FALSE)</f>
        <v>50</v>
      </c>
      <c r="N250" s="12">
        <v>57</v>
      </c>
      <c r="O250" s="87">
        <v>38</v>
      </c>
      <c r="P250" s="1">
        <f>VLOOKUP($B250&amp;"__wt",'SegEnds_Xtal_BW#'!$A:$Z,16,FALSE)</f>
        <v>64</v>
      </c>
      <c r="Q250" s="1">
        <f>VLOOKUP($B250&amp;"__wt",'SegEnds_Xtal_BW#'!$A:$Z,17,FALSE)</f>
        <v>50</v>
      </c>
      <c r="R250" s="1">
        <f>VLOOKUP($B250&amp;"__wt",'SegEnds_Xtal_BW#'!$A:$Z,18,FALSE)</f>
        <v>52</v>
      </c>
      <c r="S250" s="1">
        <f>VLOOKUP($B250&amp;"__wt",'SegEnds_Xtal_BW#'!$A:$Z,19,FALSE)</f>
        <v>30</v>
      </c>
      <c r="T250" s="1">
        <f t="array" ref="T250">INDEX(ICL3_classA!$G$2:$G$37,MATCH(MIN(ABS(AI250-ICL3_classA!$F$2:$F$37)),ABS(AI250-ICL3_classA!$F$2:$F$37),0))</f>
        <v>68</v>
      </c>
      <c r="U250" s="1">
        <f t="array" ref="U250">INDEX(ICL3_classA!$H$2:$H$37,MATCH(MIN(ABS(AI250-ICL3_classA!$F$2:$F$37)),ABS(AI250-ICL3_classA!$F$2:$F$37),0))</f>
        <v>30</v>
      </c>
      <c r="V250" s="1">
        <v>64</v>
      </c>
      <c r="W250" s="1">
        <v>24</v>
      </c>
      <c r="X250" s="1">
        <f>VLOOKUP($B250&amp;"__wt",'SegEnds_Xtal_BW#'!$A:$Z,24,FALSE)</f>
        <v>56</v>
      </c>
      <c r="Y250" s="1">
        <f>VLOOKUP($B250&amp;"__wt",'SegEnds_Xtal_BW#'!$A:$Z,25,FALSE)</f>
        <v>47</v>
      </c>
      <c r="Z250" s="1">
        <f>VLOOKUP($B250&amp;"__wt",'SegEnds_Xtal_BW#'!$A:$Z,26,FALSE)</f>
        <v>61</v>
      </c>
      <c r="AA250" s="27" t="str">
        <f>VLOOKUP(A250,Classification!A:B,2,FALSE)</f>
        <v>A</v>
      </c>
      <c r="AB250" s="1">
        <f>VLOOKUP(A250,'SegEnds_NonXtal_Prot#'!A:AL,10,FALSE)-VLOOKUP(A250,'SegEnds_NonXtal_Prot#'!A:AL,4,FALSE)</f>
        <v>28</v>
      </c>
      <c r="AC250" s="1">
        <f>VLOOKUP(A250,'SegEnds_NonXtal_Prot#'!A:AL,10,FALSE)-VLOOKUP(A250,'SegEnds_NonXtal_Prot#'!A:AL,7,FALSE)</f>
        <v>15</v>
      </c>
      <c r="AD250" s="1">
        <f>VLOOKUP(A250,'SegEnds_NonXtal_Prot#'!A:AL,13,FALSE)-VLOOKUP(A250,'SegEnds_NonXtal_Prot#'!A:AL,10,FALSE)</f>
        <v>20</v>
      </c>
      <c r="AE250" s="1">
        <f>VLOOKUP(A250,'SegEnds_NonXtal_Prot#'!A:AL,16,FALSE)-VLOOKUP(A250,'SegEnds_NonXtal_Prot#'!A:AL,10,FALSE)</f>
        <v>52</v>
      </c>
      <c r="AF250" s="1">
        <f>VLOOKUP(A250,'SegEnds_NonXtal_Prot#'!A:AL,22,FALSE)-VLOOKUP(A250,'SegEnds_NonXtal_Prot#'!A:AL,19,FALSE)</f>
        <v>20</v>
      </c>
      <c r="AG250" s="1">
        <f>VLOOKUP(A250,'SegEnds_NonXtal_Prot#'!A:AL,28,FALSE)-VLOOKUP(A250,'SegEnds_NonXtal_Prot#'!A:AL,25,FALSE)</f>
        <v>28</v>
      </c>
      <c r="AH250" s="1">
        <f>VLOOKUP(A250,'SegEnds_NonXtal_Prot#'!A:AL,28,FALSE)-VLOOKUP(A250,'SegEnds_NonXtal_Prot#'!A:AL,22,FALSE)</f>
        <v>52</v>
      </c>
      <c r="AI250" s="1">
        <f>VLOOKUP(A250,'SegEnds_NonXtal_Prot#'!A:AL,31,FALSE)-VLOOKUP(A250,'SegEnds_NonXtal_Prot#'!A:AL,28,FALSE)</f>
        <v>43</v>
      </c>
      <c r="AJ250" s="1">
        <f>VLOOKUP(A250,'SegEnds_NonXtal_Prot#'!A:AL,34,FALSE)-VLOOKUP(A250,'SegEnds_NonXtal_Prot#'!A:AL,31,FALSE)</f>
        <v>44</v>
      </c>
      <c r="AK250" s="1">
        <f>VLOOKUP(A250,'SegEnds_NonXtal_Prot#'!A:AL,37,FALSE)-VLOOKUP(A250,'SegEnds_NonXtal_Prot#'!A:AL,34,FALSE)</f>
        <v>10</v>
      </c>
      <c r="AL250" s="1" t="str">
        <f>IF(ISERROR(MATCH(A250,'SegEnds_Xtal_Prot#'!B:B, 0)), "NoXtal", "Xtal")</f>
        <v>NoXtal</v>
      </c>
    </row>
    <row r="251" spans="1:38" x14ac:dyDescent="0.2">
      <c r="A251" s="1" t="s">
        <v>240</v>
      </c>
      <c r="B251" s="1" t="str">
        <f>VLOOKUP(A251,Xtal_Templ!A:B,2,FALSE)</f>
        <v>apj_human</v>
      </c>
      <c r="C251" s="5">
        <f>VLOOKUP($B251&amp;"__wt",'SegEnds_Xtal_BW#'!$A:$Z,3,FALSE)</f>
        <v>33</v>
      </c>
      <c r="D251" s="1">
        <f>VLOOKUP($B251&amp;"__wt",'SegEnds_Xtal_BW#'!$A:$Z,4,FALSE)</f>
        <v>60</v>
      </c>
      <c r="E251" s="1">
        <f>VLOOKUP($B251&amp;"__wt",'SegEnds_Xtal_BW#'!$A:$Z,5,FALSE)</f>
        <v>48</v>
      </c>
      <c r="F251" s="1">
        <f>VLOOKUP($B251&amp;"__wt",'SegEnds_Xtal_BW#'!$A:$Z,6,FALSE)</f>
        <v>52</v>
      </c>
      <c r="G251" s="1">
        <v>37</v>
      </c>
      <c r="H251" s="12">
        <f>VLOOKUP($B251&amp;"__wt",'SegEnds_Xtal_BW#'!$A:$Z,8,FALSE)</f>
        <v>67</v>
      </c>
      <c r="I251" s="1">
        <f>VLOOKUP($B251&amp;"__wt",'SegEnds_Xtal_BW#'!$A:$Z,9,FALSE)</f>
        <v>49</v>
      </c>
      <c r="J251" s="1">
        <f>VLOOKUP($B251&amp;"__wt",'SegEnds_Xtal_BW#'!$A:$Z,10,FALSE)</f>
        <v>52</v>
      </c>
      <c r="K251" s="12">
        <v>18</v>
      </c>
      <c r="L251" s="1">
        <f>VLOOKUP($B251&amp;"__wt",'SegEnds_Xtal_BW#'!$A:$Z,12,FALSE)</f>
        <v>56</v>
      </c>
      <c r="M251" s="1">
        <f>VLOOKUP($B251&amp;"__wt",'SegEnds_Xtal_BW#'!$A:$Z,13,FALSE)</f>
        <v>50</v>
      </c>
      <c r="N251" s="12">
        <v>57</v>
      </c>
      <c r="O251" s="87">
        <f>VLOOKUP($B251&amp;"__wt",'SegEnds_Xtal_BW#'!$A:$Z,15,FALSE)</f>
        <v>38</v>
      </c>
      <c r="P251" s="1">
        <f>VLOOKUP($B251&amp;"__wt",'SegEnds_Xtal_BW#'!$A:$Z,16,FALSE)</f>
        <v>64</v>
      </c>
      <c r="Q251" s="1">
        <f>VLOOKUP($B251&amp;"__wt",'SegEnds_Xtal_BW#'!$A:$Z,17,FALSE)</f>
        <v>50</v>
      </c>
      <c r="R251" s="1">
        <f>VLOOKUP($B251&amp;"__wt",'SegEnds_Xtal_BW#'!$A:$Z,18,FALSE)</f>
        <v>52</v>
      </c>
      <c r="S251" s="1">
        <f>VLOOKUP($B251&amp;"__wt",'SegEnds_Xtal_BW#'!$A:$Z,19,FALSE)</f>
        <v>30</v>
      </c>
      <c r="T251" s="1">
        <f t="array" ref="T251">INDEX(ICL3_classA!$G$2:$G$37,MATCH(MIN(ABS(AI251-ICL3_classA!$F$2:$F$37)),ABS(AI251-ICL3_classA!$F$2:$F$37),0))</f>
        <v>67</v>
      </c>
      <c r="U251" s="1">
        <f t="array" ref="U251">INDEX(ICL3_classA!$H$2:$H$37,MATCH(MIN(ABS(AI251-ICL3_classA!$F$2:$F$37)),ABS(AI251-ICL3_classA!$F$2:$F$37),0))</f>
        <v>26</v>
      </c>
      <c r="V251" s="1">
        <v>64</v>
      </c>
      <c r="W251" s="1">
        <v>24</v>
      </c>
      <c r="X251" s="1">
        <f>VLOOKUP($B251&amp;"__wt",'SegEnds_Xtal_BW#'!$A:$Z,24,FALSE)</f>
        <v>56</v>
      </c>
      <c r="Y251" s="1">
        <f>VLOOKUP($B251&amp;"__wt",'SegEnds_Xtal_BW#'!$A:$Z,25,FALSE)</f>
        <v>47</v>
      </c>
      <c r="Z251" s="1">
        <f>VLOOKUP($B251&amp;"__wt",'SegEnds_Xtal_BW#'!$A:$Z,26,FALSE)</f>
        <v>61</v>
      </c>
      <c r="AA251" s="27" t="str">
        <f>VLOOKUP(A251,Classification!A:B,2,FALSE)</f>
        <v>A</v>
      </c>
      <c r="AB251" s="1">
        <f>VLOOKUP(A251,'SegEnds_NonXtal_Prot#'!A:AL,10,FALSE)-VLOOKUP(A251,'SegEnds_NonXtal_Prot#'!A:AL,4,FALSE)</f>
        <v>28</v>
      </c>
      <c r="AC251" s="1" t="e">
        <f>VLOOKUP(A251,'SegEnds_NonXtal_Prot#'!A:AL,10,FALSE)-VLOOKUP(A251,'SegEnds_NonXtal_Prot#'!A:AL,7,FALSE)</f>
        <v>#VALUE!</v>
      </c>
      <c r="AD251" s="1">
        <f>VLOOKUP(A251,'SegEnds_NonXtal_Prot#'!A:AL,13,FALSE)-VLOOKUP(A251,'SegEnds_NonXtal_Prot#'!A:AL,10,FALSE)</f>
        <v>20</v>
      </c>
      <c r="AE251" s="1">
        <f>VLOOKUP(A251,'SegEnds_NonXtal_Prot#'!A:AL,16,FALSE)-VLOOKUP(A251,'SegEnds_NonXtal_Prot#'!A:AL,10,FALSE)</f>
        <v>52</v>
      </c>
      <c r="AF251" s="1">
        <f>VLOOKUP(A251,'SegEnds_NonXtal_Prot#'!A:AL,22,FALSE)-VLOOKUP(A251,'SegEnds_NonXtal_Prot#'!A:AL,19,FALSE)</f>
        <v>20</v>
      </c>
      <c r="AG251" s="1">
        <f>VLOOKUP(A251,'SegEnds_NonXtal_Prot#'!A:AL,28,FALSE)-VLOOKUP(A251,'SegEnds_NonXtal_Prot#'!A:AL,25,FALSE)</f>
        <v>23</v>
      </c>
      <c r="AH251" s="1">
        <f>VLOOKUP(A251,'SegEnds_NonXtal_Prot#'!A:AL,28,FALSE)-VLOOKUP(A251,'SegEnds_NonXtal_Prot#'!A:AL,22,FALSE)</f>
        <v>48</v>
      </c>
      <c r="AI251" s="1">
        <f>VLOOKUP(A251,'SegEnds_NonXtal_Prot#'!A:AL,31,FALSE)-VLOOKUP(A251,'SegEnds_NonXtal_Prot#'!A:AL,28,FALSE)</f>
        <v>46</v>
      </c>
      <c r="AJ251" s="1">
        <f>VLOOKUP(A251,'SegEnds_NonXtal_Prot#'!A:AL,34,FALSE)-VLOOKUP(A251,'SegEnds_NonXtal_Prot#'!A:AL,31,FALSE)</f>
        <v>44</v>
      </c>
      <c r="AK251" s="1">
        <f>VLOOKUP(A251,'SegEnds_NonXtal_Prot#'!A:AL,37,FALSE)-VLOOKUP(A251,'SegEnds_NonXtal_Prot#'!A:AL,34,FALSE)</f>
        <v>10</v>
      </c>
      <c r="AL251" s="1" t="str">
        <f>IF(ISERROR(MATCH(A251,'SegEnds_Xtal_Prot#'!B:B, 0)), "NoXtal", "Xtal")</f>
        <v>NoXtal</v>
      </c>
    </row>
    <row r="252" spans="1:38" x14ac:dyDescent="0.2">
      <c r="A252" s="1" t="s">
        <v>257</v>
      </c>
      <c r="B252" s="1" t="str">
        <f>VLOOKUP(A252,Xtal_Templ!A:B,2,FALSE)</f>
        <v>ptafr_human</v>
      </c>
      <c r="C252" s="5">
        <f>VLOOKUP($B252&amp;"__wt",'SegEnds_Xtal_BW#'!$A:$Z,3,FALSE)</f>
        <v>27</v>
      </c>
      <c r="D252" s="1">
        <f>VLOOKUP($B252&amp;"__wt",'SegEnds_Xtal_BW#'!$A:$Z,4,FALSE)</f>
        <v>61</v>
      </c>
      <c r="E252" s="1" t="str">
        <f>VLOOKUP($B252&amp;"__wt",'SegEnds_Xtal_BW#'!$A:$Z,5,FALSE)</f>
        <v>-</v>
      </c>
      <c r="F252" s="1" t="str">
        <f>VLOOKUP($B252&amp;"__wt",'SegEnds_Xtal_BW#'!$A:$Z,6,FALSE)</f>
        <v>-</v>
      </c>
      <c r="G252" s="1">
        <v>37</v>
      </c>
      <c r="H252" s="12">
        <f>VLOOKUP($B252&amp;"__wt",'SegEnds_Xtal_BW#'!$A:$Z,8,FALSE)</f>
        <v>67</v>
      </c>
      <c r="I252" s="1">
        <f>VLOOKUP($B252&amp;"__wt",'SegEnds_Xtal_BW#'!$A:$Z,9,FALSE)</f>
        <v>49</v>
      </c>
      <c r="J252" s="1">
        <f>VLOOKUP($B252&amp;"__wt",'SegEnds_Xtal_BW#'!$A:$Z,10,FALSE)</f>
        <v>52</v>
      </c>
      <c r="K252" s="12">
        <v>18</v>
      </c>
      <c r="L252" s="1">
        <f>VLOOKUP($B252&amp;"__wt",'SegEnds_Xtal_BW#'!$A:$Z,12,FALSE)</f>
        <v>56</v>
      </c>
      <c r="M252" s="1">
        <f>VLOOKUP($B252&amp;"__wt",'SegEnds_Xtal_BW#'!$A:$Z,13,FALSE)</f>
        <v>50</v>
      </c>
      <c r="N252" s="12">
        <v>57</v>
      </c>
      <c r="O252" s="87">
        <f>VLOOKUP($B252&amp;"__wt",'SegEnds_Xtal_BW#'!$A:$Z,15,FALSE)</f>
        <v>38</v>
      </c>
      <c r="P252" s="1">
        <f>VLOOKUP($B252&amp;"__wt",'SegEnds_Xtal_BW#'!$A:$Z,16,FALSE)</f>
        <v>63</v>
      </c>
      <c r="Q252" s="1">
        <f>VLOOKUP($B252&amp;"__wt",'SegEnds_Xtal_BW#'!$A:$Z,17,FALSE)</f>
        <v>50</v>
      </c>
      <c r="R252" s="1">
        <f>VLOOKUP($B252&amp;"__wt",'SegEnds_Xtal_BW#'!$A:$Z,18,FALSE)</f>
        <v>52</v>
      </c>
      <c r="S252" s="1">
        <f>VLOOKUP($B252&amp;"__wt",'SegEnds_Xtal_BW#'!$A:$Z,19,FALSE)</f>
        <v>33</v>
      </c>
      <c r="T252" s="1">
        <f t="array" ref="T252">INDEX(ICL3_classA!$G$2:$G$37,MATCH(MIN(ABS(AI252-ICL3_classA!$F$2:$F$37)),ABS(AI252-ICL3_classA!$F$2:$F$37),0))</f>
        <v>67</v>
      </c>
      <c r="U252" s="1">
        <f t="array" ref="U252">INDEX(ICL3_classA!$H$2:$H$37,MATCH(MIN(ABS(AI252-ICL3_classA!$F$2:$F$37)),ABS(AI252-ICL3_classA!$F$2:$F$37),0))</f>
        <v>26</v>
      </c>
      <c r="V252" s="1">
        <v>64</v>
      </c>
      <c r="W252" s="1">
        <v>24</v>
      </c>
      <c r="X252" s="1">
        <f>VLOOKUP($B252&amp;"__wt",'SegEnds_Xtal_BW#'!$A:$Z,24,FALSE)</f>
        <v>59</v>
      </c>
      <c r="Y252" s="1">
        <f>VLOOKUP($B252&amp;"__wt",'SegEnds_Xtal_BW#'!$A:$Z,25,FALSE)</f>
        <v>50</v>
      </c>
      <c r="Z252" s="1">
        <f>VLOOKUP($B252&amp;"__wt",'SegEnds_Xtal_BW#'!$A:$Z,26,FALSE)</f>
        <v>63</v>
      </c>
      <c r="AA252" s="27" t="str">
        <f>VLOOKUP(A252,Classification!A:B,2,FALSE)</f>
        <v>A</v>
      </c>
      <c r="AB252" s="1">
        <f>VLOOKUP(A252,'SegEnds_NonXtal_Prot#'!A:AL,10,FALSE)-VLOOKUP(A252,'SegEnds_NonXtal_Prot#'!A:AL,4,FALSE)</f>
        <v>28</v>
      </c>
      <c r="AC252" s="1" t="e">
        <f>VLOOKUP(A252,'SegEnds_NonXtal_Prot#'!A:AL,10,FALSE)-VLOOKUP(A252,'SegEnds_NonXtal_Prot#'!A:AL,7,FALSE)</f>
        <v>#VALUE!</v>
      </c>
      <c r="AD252" s="1">
        <f>VLOOKUP(A252,'SegEnds_NonXtal_Prot#'!A:AL,13,FALSE)-VLOOKUP(A252,'SegEnds_NonXtal_Prot#'!A:AL,10,FALSE)</f>
        <v>20</v>
      </c>
      <c r="AE252" s="1">
        <f>VLOOKUP(A252,'SegEnds_NonXtal_Prot#'!A:AL,16,FALSE)-VLOOKUP(A252,'SegEnds_NonXtal_Prot#'!A:AL,10,FALSE)</f>
        <v>52</v>
      </c>
      <c r="AF252" s="1">
        <f>VLOOKUP(A252,'SegEnds_NonXtal_Prot#'!A:AL,22,FALSE)-VLOOKUP(A252,'SegEnds_NonXtal_Prot#'!A:AL,19,FALSE)</f>
        <v>20</v>
      </c>
      <c r="AG252" s="1">
        <f>VLOOKUP(A252,'SegEnds_NonXtal_Prot#'!A:AL,28,FALSE)-VLOOKUP(A252,'SegEnds_NonXtal_Prot#'!A:AL,25,FALSE)</f>
        <v>25</v>
      </c>
      <c r="AH252" s="1">
        <f>VLOOKUP(A252,'SegEnds_NonXtal_Prot#'!A:AL,28,FALSE)-VLOOKUP(A252,'SegEnds_NonXtal_Prot#'!A:AL,22,FALSE)</f>
        <v>51</v>
      </c>
      <c r="AI252" s="1">
        <f>VLOOKUP(A252,'SegEnds_NonXtal_Prot#'!A:AL,31,FALSE)-VLOOKUP(A252,'SegEnds_NonXtal_Prot#'!A:AL,28,FALSE)</f>
        <v>46</v>
      </c>
      <c r="AJ252" s="1">
        <f>VLOOKUP(A252,'SegEnds_NonXtal_Prot#'!A:AL,34,FALSE)-VLOOKUP(A252,'SegEnds_NonXtal_Prot#'!A:AL,31,FALSE)</f>
        <v>44</v>
      </c>
      <c r="AK252" s="1">
        <f>VLOOKUP(A252,'SegEnds_NonXtal_Prot#'!A:AL,37,FALSE)-VLOOKUP(A252,'SegEnds_NonXtal_Prot#'!A:AL,34,FALSE)</f>
        <v>10</v>
      </c>
      <c r="AL252" s="1" t="str">
        <f>IF(ISERROR(MATCH(A252,'SegEnds_Xtal_Prot#'!B:B, 0)), "NoXtal", "Xtal")</f>
        <v>NoXtal</v>
      </c>
    </row>
    <row r="253" spans="1:38" x14ac:dyDescent="0.2">
      <c r="A253" s="1" t="s">
        <v>261</v>
      </c>
      <c r="B253" s="1" t="str">
        <f>VLOOKUP(A253,Xtal_Templ!A:B,2,FALSE)</f>
        <v>oprk_human</v>
      </c>
      <c r="C253" s="5">
        <f>VLOOKUP($B253&amp;"__wt",'SegEnds_Xtal_BW#'!$A:$Z,3,FALSE)</f>
        <v>30</v>
      </c>
      <c r="D253" s="1">
        <f>VLOOKUP($B253&amp;"__wt",'SegEnds_Xtal_BW#'!$A:$Z,4,FALSE)</f>
        <v>60</v>
      </c>
      <c r="E253" s="1">
        <f>VLOOKUP($B253&amp;"__wt",'SegEnds_Xtal_BW#'!$A:$Z,5,FALSE)</f>
        <v>48</v>
      </c>
      <c r="F253" s="1">
        <f>VLOOKUP($B253&amp;"__wt",'SegEnds_Xtal_BW#'!$A:$Z,6,FALSE)</f>
        <v>51</v>
      </c>
      <c r="G253" s="1">
        <v>37</v>
      </c>
      <c r="H253" s="12">
        <v>66</v>
      </c>
      <c r="I253" s="1">
        <f>VLOOKUP($B253&amp;"__wt",'SegEnds_Xtal_BW#'!$A:$Z,9,FALSE)</f>
        <v>49</v>
      </c>
      <c r="J253" s="1">
        <f>VLOOKUP($B253&amp;"__wt",'SegEnds_Xtal_BW#'!$A:$Z,10,FALSE)</f>
        <v>52</v>
      </c>
      <c r="K253" s="12">
        <v>24</v>
      </c>
      <c r="L253" s="1">
        <f>VLOOKUP($B253&amp;"__wt",'SegEnds_Xtal_BW#'!$A:$Z,12,FALSE)</f>
        <v>56</v>
      </c>
      <c r="M253" s="1">
        <f>VLOOKUP($B253&amp;"__wt",'SegEnds_Xtal_BW#'!$A:$Z,13,FALSE)</f>
        <v>50</v>
      </c>
      <c r="N253" s="12">
        <v>57</v>
      </c>
      <c r="O253" s="87">
        <v>38</v>
      </c>
      <c r="P253" s="1">
        <f>VLOOKUP($B253&amp;"__wt",'SegEnds_Xtal_BW#'!$A:$Z,16,FALSE)</f>
        <v>64</v>
      </c>
      <c r="Q253" s="1">
        <f>VLOOKUP($B253&amp;"__wt",'SegEnds_Xtal_BW#'!$A:$Z,17,FALSE)</f>
        <v>50</v>
      </c>
      <c r="R253" s="1">
        <f>VLOOKUP($B253&amp;"__wt",'SegEnds_Xtal_BW#'!$A:$Z,18,FALSE)</f>
        <v>52</v>
      </c>
      <c r="S253" s="1">
        <f>VLOOKUP($B253&amp;"__wt",'SegEnds_Xtal_BW#'!$A:$Z,19,FALSE)</f>
        <v>30</v>
      </c>
      <c r="T253" s="1">
        <f t="array" ref="T253">INDEX(ICL3_classA!$G$2:$G$37,MATCH(MIN(ABS(AI253-ICL3_classA!$F$2:$F$37)),ABS(AI253-ICL3_classA!$F$2:$F$37),0))</f>
        <v>68</v>
      </c>
      <c r="U253" s="1">
        <f t="array" ref="U253">INDEX(ICL3_classA!$H$2:$H$37,MATCH(MIN(ABS(AI253-ICL3_classA!$F$2:$F$37)),ABS(AI253-ICL3_classA!$F$2:$F$37),0))</f>
        <v>24</v>
      </c>
      <c r="V253" s="1">
        <v>64</v>
      </c>
      <c r="W253" s="1">
        <v>24</v>
      </c>
      <c r="X253" s="1">
        <f>VLOOKUP($B253&amp;"__wt",'SegEnds_Xtal_BW#'!$A:$Z,24,FALSE)</f>
        <v>56</v>
      </c>
      <c r="Y253" s="1">
        <f>VLOOKUP($B253&amp;"__wt",'SegEnds_Xtal_BW#'!$A:$Z,25,FALSE)</f>
        <v>47</v>
      </c>
      <c r="Z253" s="1">
        <f>VLOOKUP($B253&amp;"__wt",'SegEnds_Xtal_BW#'!$A:$Z,26,FALSE)</f>
        <v>59</v>
      </c>
      <c r="AA253" s="27" t="str">
        <f>VLOOKUP(A253,Classification!A:B,2,FALSE)</f>
        <v>A</v>
      </c>
      <c r="AB253" s="1">
        <f>VLOOKUP(A253,'SegEnds_NonXtal_Prot#'!A:AL,10,FALSE)-VLOOKUP(A253,'SegEnds_NonXtal_Prot#'!A:AL,4,FALSE)</f>
        <v>32</v>
      </c>
      <c r="AC253" s="1" t="e">
        <f>VLOOKUP(A253,'SegEnds_NonXtal_Prot#'!A:AL,10,FALSE)-VLOOKUP(A253,'SegEnds_NonXtal_Prot#'!A:AL,7,FALSE)</f>
        <v>#VALUE!</v>
      </c>
      <c r="AD253" s="1" t="e">
        <f>VLOOKUP(A253,'SegEnds_NonXtal_Prot#'!A:AL,13,FALSE)-VLOOKUP(A253,'SegEnds_NonXtal_Prot#'!A:AL,10,FALSE)</f>
        <v>#VALUE!</v>
      </c>
      <c r="AE253" s="1">
        <f>VLOOKUP(A253,'SegEnds_NonXtal_Prot#'!A:AL,16,FALSE)-VLOOKUP(A253,'SegEnds_NonXtal_Prot#'!A:AL,10,FALSE)</f>
        <v>49</v>
      </c>
      <c r="AF253" s="1">
        <f>VLOOKUP(A253,'SegEnds_NonXtal_Prot#'!A:AL,22,FALSE)-VLOOKUP(A253,'SegEnds_NonXtal_Prot#'!A:AL,19,FALSE)</f>
        <v>20</v>
      </c>
      <c r="AG253" s="1">
        <f>VLOOKUP(A253,'SegEnds_NonXtal_Prot#'!A:AL,28,FALSE)-VLOOKUP(A253,'SegEnds_NonXtal_Prot#'!A:AL,25,FALSE)</f>
        <v>25</v>
      </c>
      <c r="AH253" s="1">
        <f>VLOOKUP(A253,'SegEnds_NonXtal_Prot#'!A:AL,28,FALSE)-VLOOKUP(A253,'SegEnds_NonXtal_Prot#'!A:AL,22,FALSE)</f>
        <v>47</v>
      </c>
      <c r="AI253" s="1">
        <f>VLOOKUP(A253,'SegEnds_NonXtal_Prot#'!A:AL,31,FALSE)-VLOOKUP(A253,'SegEnds_NonXtal_Prot#'!A:AL,28,FALSE)</f>
        <v>48</v>
      </c>
      <c r="AJ253" s="1">
        <f>VLOOKUP(A253,'SegEnds_NonXtal_Prot#'!A:AL,34,FALSE)-VLOOKUP(A253,'SegEnds_NonXtal_Prot#'!A:AL,31,FALSE)</f>
        <v>44</v>
      </c>
      <c r="AK253" s="1">
        <f>VLOOKUP(A253,'SegEnds_NonXtal_Prot#'!A:AL,37,FALSE)-VLOOKUP(A253,'SegEnds_NonXtal_Prot#'!A:AL,34,FALSE)</f>
        <v>10</v>
      </c>
      <c r="AL253" s="1" t="str">
        <f>IF(ISERROR(MATCH(A253,'SegEnds_Xtal_Prot#'!B:B, 0)), "NoXtal", "Xtal")</f>
        <v>NoXtal</v>
      </c>
    </row>
    <row r="254" spans="1:38" x14ac:dyDescent="0.2">
      <c r="A254" s="1" t="s">
        <v>272</v>
      </c>
      <c r="B254" s="1" t="str">
        <f>VLOOKUP(A254,Xtal_Templ!A:B,2,FALSE)</f>
        <v>p2y12_human</v>
      </c>
      <c r="C254" s="5">
        <f>VLOOKUP($B254&amp;"__wt",'SegEnds_Xtal_BW#'!$A:$Z,3,FALSE)</f>
        <v>28</v>
      </c>
      <c r="D254" s="1">
        <f>VLOOKUP($B254&amp;"__wt",'SegEnds_Xtal_BW#'!$A:$Z,4,FALSE)</f>
        <v>60</v>
      </c>
      <c r="E254" s="1" t="str">
        <f>VLOOKUP($B254&amp;"__wt",'SegEnds_Xtal_BW#'!$A:$Z,5,FALSE)</f>
        <v>-</v>
      </c>
      <c r="F254" s="1" t="str">
        <f>VLOOKUP($B254&amp;"__wt",'SegEnds_Xtal_BW#'!$A:$Z,6,FALSE)</f>
        <v>-</v>
      </c>
      <c r="G254" s="1">
        <v>37</v>
      </c>
      <c r="H254" s="12">
        <f>VLOOKUP($B254&amp;"__wt",'SegEnds_Xtal_BW#'!$A:$Z,8,FALSE)</f>
        <v>66</v>
      </c>
      <c r="I254" s="1" t="str">
        <f>VLOOKUP($B254&amp;"__wt",'SegEnds_Xtal_BW#'!$A:$Z,9,FALSE)</f>
        <v>-</v>
      </c>
      <c r="J254" s="1" t="str">
        <f>VLOOKUP($B254&amp;"__wt",'SegEnds_Xtal_BW#'!$A:$Z,10,FALSE)</f>
        <v>-</v>
      </c>
      <c r="K254" s="12">
        <v>18</v>
      </c>
      <c r="L254" s="1">
        <f>VLOOKUP($B254&amp;"__wt",'SegEnds_Xtal_BW#'!$A:$Z,12,FALSE)</f>
        <v>56</v>
      </c>
      <c r="M254" s="1">
        <f>VLOOKUP($B254&amp;"__wt",'SegEnds_Xtal_BW#'!$A:$Z,13,FALSE)</f>
        <v>50</v>
      </c>
      <c r="N254" s="12">
        <v>57</v>
      </c>
      <c r="O254" s="87">
        <f>VLOOKUP($B254&amp;"__wt",'SegEnds_Xtal_BW#'!$A:$Z,15,FALSE)</f>
        <v>38</v>
      </c>
      <c r="P254" s="1">
        <f>VLOOKUP($B254&amp;"__wt",'SegEnds_Xtal_BW#'!$A:$Z,16,FALSE)</f>
        <v>64</v>
      </c>
      <c r="Q254" s="1">
        <f>VLOOKUP($B254&amp;"__wt",'SegEnds_Xtal_BW#'!$A:$Z,17,FALSE)</f>
        <v>50</v>
      </c>
      <c r="R254" s="1">
        <f>VLOOKUP($B254&amp;"__wt",'SegEnds_Xtal_BW#'!$A:$Z,18,FALSE)</f>
        <v>52</v>
      </c>
      <c r="S254" s="1">
        <f>VLOOKUP($B254&amp;"__wt",'SegEnds_Xtal_BW#'!$A:$Z,19,FALSE)</f>
        <v>30</v>
      </c>
      <c r="T254" s="1">
        <f t="array" ref="T254">INDEX(ICL3_classA!$G$2:$G$37,MATCH(MIN(ABS(AI254-ICL3_classA!$F$2:$F$37)),ABS(AI254-ICL3_classA!$F$2:$F$37),0))</f>
        <v>68</v>
      </c>
      <c r="U254" s="1">
        <f t="array" ref="U254">INDEX(ICL3_classA!$H$2:$H$37,MATCH(MIN(ABS(AI254-ICL3_classA!$F$2:$F$37)),ABS(AI254-ICL3_classA!$F$2:$F$37),0))</f>
        <v>24</v>
      </c>
      <c r="V254" s="1">
        <v>64</v>
      </c>
      <c r="W254" s="1">
        <v>24</v>
      </c>
      <c r="X254" s="1">
        <f>VLOOKUP($B254&amp;"__wt",'SegEnds_Xtal_BW#'!$A:$Z,24,FALSE)</f>
        <v>56</v>
      </c>
      <c r="Y254" s="1">
        <f>VLOOKUP($B254&amp;"__wt",'SegEnds_Xtal_BW#'!$A:$Z,25,FALSE)</f>
        <v>47</v>
      </c>
      <c r="Z254" s="1">
        <f>VLOOKUP($B254&amp;"__wt",'SegEnds_Xtal_BW#'!$A:$Z,26,FALSE)</f>
        <v>57</v>
      </c>
      <c r="AA254" s="27" t="str">
        <f>VLOOKUP(A254,Classification!A:B,2,FALSE)</f>
        <v>A</v>
      </c>
      <c r="AB254" s="1">
        <f>VLOOKUP(A254,'SegEnds_NonXtal_Prot#'!A:AL,10,FALSE)-VLOOKUP(A254,'SegEnds_NonXtal_Prot#'!A:AL,4,FALSE)</f>
        <v>27</v>
      </c>
      <c r="AC254" s="1" t="e">
        <f>VLOOKUP(A254,'SegEnds_NonXtal_Prot#'!A:AL,10,FALSE)-VLOOKUP(A254,'SegEnds_NonXtal_Prot#'!A:AL,7,FALSE)</f>
        <v>#VALUE!</v>
      </c>
      <c r="AD254" s="1">
        <f>VLOOKUP(A254,'SegEnds_NonXtal_Prot#'!A:AL,13,FALSE)-VLOOKUP(A254,'SegEnds_NonXtal_Prot#'!A:AL,10,FALSE)</f>
        <v>20</v>
      </c>
      <c r="AE254" s="1">
        <f>VLOOKUP(A254,'SegEnds_NonXtal_Prot#'!A:AL,16,FALSE)-VLOOKUP(A254,'SegEnds_NonXtal_Prot#'!A:AL,10,FALSE)</f>
        <v>52</v>
      </c>
      <c r="AF254" s="1">
        <f>VLOOKUP(A254,'SegEnds_NonXtal_Prot#'!A:AL,22,FALSE)-VLOOKUP(A254,'SegEnds_NonXtal_Prot#'!A:AL,19,FALSE)</f>
        <v>20</v>
      </c>
      <c r="AG254" s="1">
        <f>VLOOKUP(A254,'SegEnds_NonXtal_Prot#'!A:AL,28,FALSE)-VLOOKUP(A254,'SegEnds_NonXtal_Prot#'!A:AL,25,FALSE)</f>
        <v>26</v>
      </c>
      <c r="AH254" s="1">
        <f>VLOOKUP(A254,'SegEnds_NonXtal_Prot#'!A:AL,28,FALSE)-VLOOKUP(A254,'SegEnds_NonXtal_Prot#'!A:AL,22,FALSE)</f>
        <v>52</v>
      </c>
      <c r="AI254" s="1">
        <f>VLOOKUP(A254,'SegEnds_NonXtal_Prot#'!A:AL,31,FALSE)-VLOOKUP(A254,'SegEnds_NonXtal_Prot#'!A:AL,28,FALSE)</f>
        <v>49</v>
      </c>
      <c r="AJ254" s="1">
        <f>VLOOKUP(A254,'SegEnds_NonXtal_Prot#'!A:AL,34,FALSE)-VLOOKUP(A254,'SegEnds_NonXtal_Prot#'!A:AL,31,FALSE)</f>
        <v>44</v>
      </c>
      <c r="AK254" s="1">
        <f>VLOOKUP(A254,'SegEnds_NonXtal_Prot#'!A:AL,37,FALSE)-VLOOKUP(A254,'SegEnds_NonXtal_Prot#'!A:AL,34,FALSE)</f>
        <v>10</v>
      </c>
      <c r="AL254" s="1" t="str">
        <f>IF(ISERROR(MATCH(A254,'SegEnds_Xtal_Prot#'!B:B, 0)), "NoXtal", "Xtal")</f>
        <v>NoXtal</v>
      </c>
    </row>
    <row r="255" spans="1:38" x14ac:dyDescent="0.2">
      <c r="A255" s="1" t="s">
        <v>288</v>
      </c>
      <c r="B255" s="1" t="str">
        <f>VLOOKUP(A255,Xtal_Templ!A:B,2,FALSE)</f>
        <v>oprk_human</v>
      </c>
      <c r="C255" s="5">
        <f>VLOOKUP($B255&amp;"__wt",'SegEnds_Xtal_BW#'!$A:$Z,3,FALSE)</f>
        <v>30</v>
      </c>
      <c r="D255" s="1">
        <f>VLOOKUP($B255&amp;"__wt",'SegEnds_Xtal_BW#'!$A:$Z,4,FALSE)</f>
        <v>60</v>
      </c>
      <c r="E255" s="1">
        <f>VLOOKUP($B255&amp;"__wt",'SegEnds_Xtal_BW#'!$A:$Z,5,FALSE)</f>
        <v>48</v>
      </c>
      <c r="F255" s="1">
        <f>VLOOKUP($B255&amp;"__wt",'SegEnds_Xtal_BW#'!$A:$Z,6,FALSE)</f>
        <v>51</v>
      </c>
      <c r="G255" s="1">
        <v>37</v>
      </c>
      <c r="H255" s="12">
        <v>66</v>
      </c>
      <c r="I255" s="1">
        <f>VLOOKUP($B255&amp;"__wt",'SegEnds_Xtal_BW#'!$A:$Z,9,FALSE)</f>
        <v>49</v>
      </c>
      <c r="J255" s="1">
        <f>VLOOKUP($B255&amp;"__wt",'SegEnds_Xtal_BW#'!$A:$Z,10,FALSE)</f>
        <v>52</v>
      </c>
      <c r="K255" s="12">
        <v>21</v>
      </c>
      <c r="L255" s="1">
        <f>VLOOKUP($B255&amp;"__wt",'SegEnds_Xtal_BW#'!$A:$Z,12,FALSE)</f>
        <v>56</v>
      </c>
      <c r="M255" s="1">
        <f>VLOOKUP($B255&amp;"__wt",'SegEnds_Xtal_BW#'!$A:$Z,13,FALSE)</f>
        <v>50</v>
      </c>
      <c r="N255" s="12">
        <v>57</v>
      </c>
      <c r="O255" s="87">
        <v>38</v>
      </c>
      <c r="P255" s="1">
        <f>VLOOKUP($B255&amp;"__wt",'SegEnds_Xtal_BW#'!$A:$Z,16,FALSE)</f>
        <v>64</v>
      </c>
      <c r="Q255" s="1">
        <f>VLOOKUP($B255&amp;"__wt",'SegEnds_Xtal_BW#'!$A:$Z,17,FALSE)</f>
        <v>50</v>
      </c>
      <c r="R255" s="1">
        <f>VLOOKUP($B255&amp;"__wt",'SegEnds_Xtal_BW#'!$A:$Z,18,FALSE)</f>
        <v>52</v>
      </c>
      <c r="S255" s="1">
        <f>VLOOKUP($B255&amp;"__wt",'SegEnds_Xtal_BW#'!$A:$Z,19,FALSE)</f>
        <v>30</v>
      </c>
      <c r="T255" s="1">
        <f t="array" ref="T255">INDEX(ICL3_classA!$G$2:$G$37,MATCH(MIN(ABS(AI255-ICL3_classA!$F$2:$F$37)),ABS(AI255-ICL3_classA!$F$2:$F$37),0))</f>
        <v>68</v>
      </c>
      <c r="U255" s="1">
        <f t="array" ref="U255">INDEX(ICL3_classA!$H$2:$H$37,MATCH(MIN(ABS(AI255-ICL3_classA!$F$2:$F$37)),ABS(AI255-ICL3_classA!$F$2:$F$37),0))</f>
        <v>24</v>
      </c>
      <c r="V255" s="1">
        <v>64</v>
      </c>
      <c r="W255" s="1">
        <v>24</v>
      </c>
      <c r="X255" s="1">
        <f>VLOOKUP($B255&amp;"__wt",'SegEnds_Xtal_BW#'!$A:$Z,24,FALSE)</f>
        <v>56</v>
      </c>
      <c r="Y255" s="1">
        <f>VLOOKUP($B255&amp;"__wt",'SegEnds_Xtal_BW#'!$A:$Z,25,FALSE)</f>
        <v>47</v>
      </c>
      <c r="Z255" s="1">
        <f>VLOOKUP($B255&amp;"__wt",'SegEnds_Xtal_BW#'!$A:$Z,26,FALSE)</f>
        <v>59</v>
      </c>
      <c r="AA255" s="27" t="str">
        <f>VLOOKUP(A255,Classification!A:B,2,FALSE)</f>
        <v>A</v>
      </c>
      <c r="AB255" s="1">
        <f>VLOOKUP(A255,'SegEnds_NonXtal_Prot#'!A:AL,10,FALSE)-VLOOKUP(A255,'SegEnds_NonXtal_Prot#'!A:AL,4,FALSE)</f>
        <v>28</v>
      </c>
      <c r="AC255" s="1">
        <f>VLOOKUP(A255,'SegEnds_NonXtal_Prot#'!A:AL,10,FALSE)-VLOOKUP(A255,'SegEnds_NonXtal_Prot#'!A:AL,7,FALSE)</f>
        <v>15</v>
      </c>
      <c r="AD255" s="1">
        <f>VLOOKUP(A255,'SegEnds_NonXtal_Prot#'!A:AL,13,FALSE)-VLOOKUP(A255,'SegEnds_NonXtal_Prot#'!A:AL,10,FALSE)</f>
        <v>19</v>
      </c>
      <c r="AE255" s="1">
        <f>VLOOKUP(A255,'SegEnds_NonXtal_Prot#'!A:AL,16,FALSE)-VLOOKUP(A255,'SegEnds_NonXtal_Prot#'!A:AL,10,FALSE)</f>
        <v>51</v>
      </c>
      <c r="AF255" s="1">
        <f>VLOOKUP(A255,'SegEnds_NonXtal_Prot#'!A:AL,22,FALSE)-VLOOKUP(A255,'SegEnds_NonXtal_Prot#'!A:AL,19,FALSE)</f>
        <v>20</v>
      </c>
      <c r="AG255" s="1">
        <f>VLOOKUP(A255,'SegEnds_NonXtal_Prot#'!A:AL,28,FALSE)-VLOOKUP(A255,'SegEnds_NonXtal_Prot#'!A:AL,25,FALSE)</f>
        <v>28</v>
      </c>
      <c r="AH255" s="1">
        <f>VLOOKUP(A255,'SegEnds_NonXtal_Prot#'!A:AL,28,FALSE)-VLOOKUP(A255,'SegEnds_NonXtal_Prot#'!A:AL,22,FALSE)</f>
        <v>53</v>
      </c>
      <c r="AI255" s="1">
        <f>VLOOKUP(A255,'SegEnds_NonXtal_Prot#'!A:AL,31,FALSE)-VLOOKUP(A255,'SegEnds_NonXtal_Prot#'!A:AL,28,FALSE)</f>
        <v>48</v>
      </c>
      <c r="AJ255" s="1">
        <f>VLOOKUP(A255,'SegEnds_NonXtal_Prot#'!A:AL,34,FALSE)-VLOOKUP(A255,'SegEnds_NonXtal_Prot#'!A:AL,31,FALSE)</f>
        <v>44</v>
      </c>
      <c r="AK255" s="1">
        <f>VLOOKUP(A255,'SegEnds_NonXtal_Prot#'!A:AL,37,FALSE)-VLOOKUP(A255,'SegEnds_NonXtal_Prot#'!A:AL,34,FALSE)</f>
        <v>10</v>
      </c>
      <c r="AL255" s="1" t="str">
        <f>IF(ISERROR(MATCH(A255,'SegEnds_Xtal_Prot#'!B:B, 0)), "NoXtal", "Xtal")</f>
        <v>NoXtal</v>
      </c>
    </row>
    <row r="256" spans="1:38" x14ac:dyDescent="0.2">
      <c r="A256" s="1" t="s">
        <v>290</v>
      </c>
      <c r="B256" s="1" t="str">
        <f>VLOOKUP(A256,Xtal_Templ!A:B,2,FALSE)</f>
        <v>ptafr_human</v>
      </c>
      <c r="C256" s="5">
        <f>VLOOKUP($B256&amp;"__wt",'SegEnds_Xtal_BW#'!$A:$Z,3,FALSE)</f>
        <v>27</v>
      </c>
      <c r="D256" s="108">
        <v>60</v>
      </c>
      <c r="E256" s="1" t="str">
        <f>VLOOKUP($B256&amp;"__wt",'SegEnds_Xtal_BW#'!$A:$Z,5,FALSE)</f>
        <v>-</v>
      </c>
      <c r="F256" s="1" t="str">
        <f>VLOOKUP($B256&amp;"__wt",'SegEnds_Xtal_BW#'!$A:$Z,6,FALSE)</f>
        <v>-</v>
      </c>
      <c r="G256" s="1">
        <v>37</v>
      </c>
      <c r="H256" s="12">
        <v>66</v>
      </c>
      <c r="I256" s="1">
        <f>VLOOKUP($B256&amp;"__wt",'SegEnds_Xtal_BW#'!$A:$Z,9,FALSE)</f>
        <v>49</v>
      </c>
      <c r="J256" s="1">
        <f>VLOOKUP($B256&amp;"__wt",'SegEnds_Xtal_BW#'!$A:$Z,10,FALSE)</f>
        <v>52</v>
      </c>
      <c r="K256" s="12">
        <v>21</v>
      </c>
      <c r="L256" s="1">
        <f>VLOOKUP($B256&amp;"__wt",'SegEnds_Xtal_BW#'!$A:$Z,12,FALSE)</f>
        <v>56</v>
      </c>
      <c r="M256" s="1">
        <f>VLOOKUP($B256&amp;"__wt",'SegEnds_Xtal_BW#'!$A:$Z,13,FALSE)</f>
        <v>50</v>
      </c>
      <c r="N256" s="12">
        <v>57</v>
      </c>
      <c r="O256" s="87">
        <f>VLOOKUP($B256&amp;"__wt",'SegEnds_Xtal_BW#'!$A:$Z,15,FALSE)</f>
        <v>38</v>
      </c>
      <c r="P256" s="1">
        <f>VLOOKUP($B256&amp;"__wt",'SegEnds_Xtal_BW#'!$A:$Z,16,FALSE)</f>
        <v>63</v>
      </c>
      <c r="Q256" s="1">
        <f>VLOOKUP($B256&amp;"__wt",'SegEnds_Xtal_BW#'!$A:$Z,17,FALSE)</f>
        <v>50</v>
      </c>
      <c r="R256" s="1">
        <f>VLOOKUP($B256&amp;"__wt",'SegEnds_Xtal_BW#'!$A:$Z,18,FALSE)</f>
        <v>52</v>
      </c>
      <c r="S256" s="1">
        <f>VLOOKUP($B256&amp;"__wt",'SegEnds_Xtal_BW#'!$A:$Z,19,FALSE)</f>
        <v>33</v>
      </c>
      <c r="T256" s="1">
        <f t="array" ref="T256">INDEX(ICL3_classA!$G$2:$G$37,MATCH(MIN(ABS(AI256-ICL3_classA!$F$2:$F$37)),ABS(AI256-ICL3_classA!$F$2:$F$37),0))</f>
        <v>68</v>
      </c>
      <c r="U256" s="1">
        <f t="array" ref="U256">INDEX(ICL3_classA!$H$2:$H$37,MATCH(MIN(ABS(AI256-ICL3_classA!$F$2:$F$37)),ABS(AI256-ICL3_classA!$F$2:$F$37),0))</f>
        <v>24</v>
      </c>
      <c r="V256" s="1">
        <v>64</v>
      </c>
      <c r="W256" s="1">
        <v>24</v>
      </c>
      <c r="X256" s="1">
        <f>VLOOKUP($B256&amp;"__wt",'SegEnds_Xtal_BW#'!$A:$Z,24,FALSE)</f>
        <v>59</v>
      </c>
      <c r="Y256" s="1">
        <f>VLOOKUP($B256&amp;"__wt",'SegEnds_Xtal_BW#'!$A:$Z,25,FALSE)</f>
        <v>50</v>
      </c>
      <c r="Z256" s="1">
        <f>VLOOKUP($B256&amp;"__wt",'SegEnds_Xtal_BW#'!$A:$Z,26,FALSE)</f>
        <v>63</v>
      </c>
      <c r="AA256" s="27" t="str">
        <f>VLOOKUP(A256,Classification!A:B,2,FALSE)</f>
        <v>A</v>
      </c>
      <c r="AB256" s="1">
        <f>VLOOKUP(A256,'SegEnds_NonXtal_Prot#'!A:AL,10,FALSE)-VLOOKUP(A256,'SegEnds_NonXtal_Prot#'!A:AL,4,FALSE)</f>
        <v>28</v>
      </c>
      <c r="AC256" s="1">
        <f>VLOOKUP(A256,'SegEnds_NonXtal_Prot#'!A:AL,10,FALSE)-VLOOKUP(A256,'SegEnds_NonXtal_Prot#'!A:AL,7,FALSE)</f>
        <v>15</v>
      </c>
      <c r="AD256" s="1">
        <f>VLOOKUP(A256,'SegEnds_NonXtal_Prot#'!A:AL,13,FALSE)-VLOOKUP(A256,'SegEnds_NonXtal_Prot#'!A:AL,10,FALSE)</f>
        <v>19</v>
      </c>
      <c r="AE256" s="1">
        <f>VLOOKUP(A256,'SegEnds_NonXtal_Prot#'!A:AL,16,FALSE)-VLOOKUP(A256,'SegEnds_NonXtal_Prot#'!A:AL,10,FALSE)</f>
        <v>51</v>
      </c>
      <c r="AF256" s="1">
        <f>VLOOKUP(A256,'SegEnds_NonXtal_Prot#'!A:AL,22,FALSE)-VLOOKUP(A256,'SegEnds_NonXtal_Prot#'!A:AL,19,FALSE)</f>
        <v>20</v>
      </c>
      <c r="AG256" s="1">
        <f>VLOOKUP(A256,'SegEnds_NonXtal_Prot#'!A:AL,28,FALSE)-VLOOKUP(A256,'SegEnds_NonXtal_Prot#'!A:AL,25,FALSE)</f>
        <v>28</v>
      </c>
      <c r="AH256" s="1">
        <f>VLOOKUP(A256,'SegEnds_NonXtal_Prot#'!A:AL,28,FALSE)-VLOOKUP(A256,'SegEnds_NonXtal_Prot#'!A:AL,22,FALSE)</f>
        <v>55</v>
      </c>
      <c r="AI256" s="1">
        <f>VLOOKUP(A256,'SegEnds_NonXtal_Prot#'!A:AL,31,FALSE)-VLOOKUP(A256,'SegEnds_NonXtal_Prot#'!A:AL,28,FALSE)</f>
        <v>48</v>
      </c>
      <c r="AJ256" s="1">
        <f>VLOOKUP(A256,'SegEnds_NonXtal_Prot#'!A:AL,34,FALSE)-VLOOKUP(A256,'SegEnds_NonXtal_Prot#'!A:AL,31,FALSE)</f>
        <v>44</v>
      </c>
      <c r="AK256" s="1">
        <f>VLOOKUP(A256,'SegEnds_NonXtal_Prot#'!A:AL,37,FALSE)-VLOOKUP(A256,'SegEnds_NonXtal_Prot#'!A:AL,34,FALSE)</f>
        <v>10</v>
      </c>
      <c r="AL256" s="1" t="str">
        <f>IF(ISERROR(MATCH(A256,'SegEnds_Xtal_Prot#'!B:B, 0)), "NoXtal", "Xtal")</f>
        <v>NoXtal</v>
      </c>
    </row>
    <row r="257" spans="1:38" x14ac:dyDescent="0.2">
      <c r="A257" s="1" t="s">
        <v>348</v>
      </c>
      <c r="B257" s="1" t="str">
        <f>VLOOKUP(A257,Xtal_Templ!A:B,2,FALSE)</f>
        <v>p2ry1_human</v>
      </c>
      <c r="C257" s="5">
        <f>VLOOKUP($B257&amp;"__wt",'SegEnds_Xtal_BW#'!$A:$Z,3,FALSE)</f>
        <v>30</v>
      </c>
      <c r="D257" s="1">
        <f>VLOOKUP($B257&amp;"__wt",'SegEnds_Xtal_BW#'!$A:$Z,4,FALSE)</f>
        <v>60</v>
      </c>
      <c r="E257" s="1" t="str">
        <f>VLOOKUP($B257&amp;"__wt",'SegEnds_Xtal_BW#'!$A:$Z,5,FALSE)</f>
        <v>-</v>
      </c>
      <c r="F257" s="1" t="str">
        <f>VLOOKUP($B257&amp;"__wt",'SegEnds_Xtal_BW#'!$A:$Z,6,FALSE)</f>
        <v>-</v>
      </c>
      <c r="G257" s="1">
        <v>37</v>
      </c>
      <c r="H257" s="12">
        <f>VLOOKUP($B257&amp;"__wt",'SegEnds_Xtal_BW#'!$A:$Z,8,FALSE)</f>
        <v>66</v>
      </c>
      <c r="I257" s="1">
        <f>VLOOKUP($B257&amp;"__wt",'SegEnds_Xtal_BW#'!$A:$Z,9,FALSE)</f>
        <v>49</v>
      </c>
      <c r="J257" s="1">
        <f>VLOOKUP($B257&amp;"__wt",'SegEnds_Xtal_BW#'!$A:$Z,10,FALSE)</f>
        <v>52</v>
      </c>
      <c r="K257" s="12">
        <v>18</v>
      </c>
      <c r="L257" s="1">
        <f>VLOOKUP($B257&amp;"__wt",'SegEnds_Xtal_BW#'!$A:$Z,12,FALSE)</f>
        <v>56</v>
      </c>
      <c r="M257" s="1">
        <f>VLOOKUP($B257&amp;"__wt",'SegEnds_Xtal_BW#'!$A:$Z,13,FALSE)</f>
        <v>50</v>
      </c>
      <c r="N257" s="12">
        <v>58</v>
      </c>
      <c r="O257" s="87">
        <f>VLOOKUP($B257&amp;"__wt",'SegEnds_Xtal_BW#'!$A:$Z,15,FALSE)</f>
        <v>38</v>
      </c>
      <c r="P257" s="1">
        <f>VLOOKUP($B257&amp;"__wt",'SegEnds_Xtal_BW#'!$A:$Z,16,FALSE)</f>
        <v>64</v>
      </c>
      <c r="Q257" s="1">
        <f>VLOOKUP($B257&amp;"__wt",'SegEnds_Xtal_BW#'!$A:$Z,17,FALSE)</f>
        <v>50</v>
      </c>
      <c r="R257" s="1">
        <f>VLOOKUP($B257&amp;"__wt",'SegEnds_Xtal_BW#'!$A:$Z,18,FALSE)</f>
        <v>52</v>
      </c>
      <c r="S257" s="1">
        <f>VLOOKUP($B257&amp;"__wt",'SegEnds_Xtal_BW#'!$A:$Z,19,FALSE)</f>
        <v>32</v>
      </c>
      <c r="T257" s="1">
        <f t="array" ref="T257">INDEX(ICL3_classA!$G$2:$G$37,MATCH(MIN(ABS(AI257-ICL3_classA!$F$2:$F$37)),ABS(AI257-ICL3_classA!$F$2:$F$37),0))</f>
        <v>72</v>
      </c>
      <c r="U257" s="1">
        <f t="array" ref="U257">INDEX(ICL3_classA!$H$2:$H$37,MATCH(MIN(ABS(AI257-ICL3_classA!$F$2:$F$37)),ABS(AI257-ICL3_classA!$F$2:$F$37),0))</f>
        <v>29</v>
      </c>
      <c r="V257" s="1">
        <v>64</v>
      </c>
      <c r="W257" s="1">
        <v>24</v>
      </c>
      <c r="X257" s="1">
        <f>VLOOKUP($B257&amp;"__wt",'SegEnds_Xtal_BW#'!$A:$Z,24,FALSE)</f>
        <v>56</v>
      </c>
      <c r="Y257" s="1">
        <f>VLOOKUP($B257&amp;"__wt",'SegEnds_Xtal_BW#'!$A:$Z,25,FALSE)</f>
        <v>47</v>
      </c>
      <c r="Z257" s="1">
        <f>VLOOKUP($B257&amp;"__wt",'SegEnds_Xtal_BW#'!$A:$Z,26,FALSE)</f>
        <v>59</v>
      </c>
      <c r="AA257" s="27" t="str">
        <f>VLOOKUP(A257,Classification!A:B,2,FALSE)</f>
        <v>A</v>
      </c>
      <c r="AB257" s="1">
        <f>VLOOKUP(A257,'SegEnds_NonXtal_Prot#'!A:AL,10,FALSE)-VLOOKUP(A257,'SegEnds_NonXtal_Prot#'!A:AL,4,FALSE)</f>
        <v>28</v>
      </c>
      <c r="AC257" s="1">
        <f>VLOOKUP(A257,'SegEnds_NonXtal_Prot#'!A:AL,10,FALSE)-VLOOKUP(A257,'SegEnds_NonXtal_Prot#'!A:AL,7,FALSE)</f>
        <v>15</v>
      </c>
      <c r="AD257" s="1">
        <f>VLOOKUP(A257,'SegEnds_NonXtal_Prot#'!A:AL,13,FALSE)-VLOOKUP(A257,'SegEnds_NonXtal_Prot#'!A:AL,10,FALSE)</f>
        <v>20</v>
      </c>
      <c r="AE257" s="1">
        <f>VLOOKUP(A257,'SegEnds_NonXtal_Prot#'!A:AL,16,FALSE)-VLOOKUP(A257,'SegEnds_NonXtal_Prot#'!A:AL,10,FALSE)</f>
        <v>52</v>
      </c>
      <c r="AF257" s="1">
        <f>VLOOKUP(A257,'SegEnds_NonXtal_Prot#'!A:AL,22,FALSE)-VLOOKUP(A257,'SegEnds_NonXtal_Prot#'!A:AL,19,FALSE)</f>
        <v>21</v>
      </c>
      <c r="AG257" s="1">
        <f>VLOOKUP(A257,'SegEnds_NonXtal_Prot#'!A:AL,28,FALSE)-VLOOKUP(A257,'SegEnds_NonXtal_Prot#'!A:AL,25,FALSE)</f>
        <v>27</v>
      </c>
      <c r="AH257" s="1">
        <f>VLOOKUP(A257,'SegEnds_NonXtal_Prot#'!A:AL,28,FALSE)-VLOOKUP(A257,'SegEnds_NonXtal_Prot#'!A:AL,22,FALSE)</f>
        <v>52</v>
      </c>
      <c r="AI257" s="1">
        <f>VLOOKUP(A257,'SegEnds_NonXtal_Prot#'!A:AL,31,FALSE)-VLOOKUP(A257,'SegEnds_NonXtal_Prot#'!A:AL,28,FALSE)</f>
        <v>50</v>
      </c>
      <c r="AJ257" s="1">
        <f>VLOOKUP(A257,'SegEnds_NonXtal_Prot#'!A:AL,34,FALSE)-VLOOKUP(A257,'SegEnds_NonXtal_Prot#'!A:AL,31,FALSE)</f>
        <v>44</v>
      </c>
      <c r="AK257" s="1">
        <f>VLOOKUP(A257,'SegEnds_NonXtal_Prot#'!A:AL,37,FALSE)-VLOOKUP(A257,'SegEnds_NonXtal_Prot#'!A:AL,34,FALSE)</f>
        <v>10</v>
      </c>
      <c r="AL257" s="1" t="str">
        <f>IF(ISERROR(MATCH(A257,'SegEnds_Xtal_Prot#'!B:B, 0)), "NoXtal", "Xtal")</f>
        <v>NoXtal</v>
      </c>
    </row>
    <row r="258" spans="1:38" x14ac:dyDescent="0.2">
      <c r="A258" s="4" t="s">
        <v>350</v>
      </c>
      <c r="B258" s="4" t="str">
        <f>VLOOKUP(A258,Xtal_Templ!A:B,2,FALSE)</f>
        <v>ptafr_human</v>
      </c>
      <c r="C258" s="5">
        <f>VLOOKUP($B258&amp;"__wt",'SegEnds_Xtal_BW#'!$A:$Z,3,FALSE)</f>
        <v>27</v>
      </c>
      <c r="D258" s="4">
        <f>VLOOKUP($B258&amp;"__wt",'SegEnds_Xtal_BW#'!$A:$Z,4,FALSE)</f>
        <v>61</v>
      </c>
      <c r="E258" s="4" t="str">
        <f>VLOOKUP($B258&amp;"__wt",'SegEnds_Xtal_BW#'!$A:$Z,5,FALSE)</f>
        <v>-</v>
      </c>
      <c r="F258" s="4" t="str">
        <f>VLOOKUP($B258&amp;"__wt",'SegEnds_Xtal_BW#'!$A:$Z,6,FALSE)</f>
        <v>-</v>
      </c>
      <c r="G258" s="4">
        <v>37</v>
      </c>
      <c r="H258" s="11">
        <v>66</v>
      </c>
      <c r="I258" s="4">
        <f>VLOOKUP($B258&amp;"__wt",'SegEnds_Xtal_BW#'!$A:$Z,9,FALSE)</f>
        <v>49</v>
      </c>
      <c r="J258" s="4">
        <f>VLOOKUP($B258&amp;"__wt",'SegEnds_Xtal_BW#'!$A:$Z,10,FALSE)</f>
        <v>52</v>
      </c>
      <c r="K258" s="11">
        <v>21</v>
      </c>
      <c r="L258" s="4">
        <f>VLOOKUP($B258&amp;"__wt",'SegEnds_Xtal_BW#'!$A:$Z,12,FALSE)</f>
        <v>56</v>
      </c>
      <c r="M258" s="4">
        <f>VLOOKUP($B258&amp;"__wt",'SegEnds_Xtal_BW#'!$A:$Z,13,FALSE)</f>
        <v>50</v>
      </c>
      <c r="N258" s="108">
        <v>56</v>
      </c>
      <c r="O258" s="87">
        <f>VLOOKUP($B258&amp;"__wt",'SegEnds_Xtal_BW#'!$A:$Z,15,FALSE)</f>
        <v>38</v>
      </c>
      <c r="P258" s="4">
        <f>VLOOKUP($B258&amp;"__wt",'SegEnds_Xtal_BW#'!$A:$Z,16,FALSE)</f>
        <v>63</v>
      </c>
      <c r="Q258" s="4">
        <f>VLOOKUP($B258&amp;"__wt",'SegEnds_Xtal_BW#'!$A:$Z,17,FALSE)</f>
        <v>50</v>
      </c>
      <c r="R258" s="4">
        <f>VLOOKUP($B258&amp;"__wt",'SegEnds_Xtal_BW#'!$A:$Z,18,FALSE)</f>
        <v>52</v>
      </c>
      <c r="S258" s="4">
        <f>VLOOKUP($B258&amp;"__wt",'SegEnds_Xtal_BW#'!$A:$Z,19,FALSE)</f>
        <v>33</v>
      </c>
      <c r="T258" s="4">
        <f t="array" ref="T258">INDEX(ICL3_classA!$G$2:$G$37,MATCH(MIN(ABS(AI258-ICL3_classA!$F$2:$F$37)),ABS(AI258-ICL3_classA!$F$2:$F$37),0))</f>
        <v>68</v>
      </c>
      <c r="U258" s="4">
        <f t="array" ref="U258">INDEX(ICL3_classA!$H$2:$H$37,MATCH(MIN(ABS(AI258-ICL3_classA!$F$2:$F$37)),ABS(AI258-ICL3_classA!$F$2:$F$37),0))</f>
        <v>24</v>
      </c>
      <c r="V258" s="4">
        <v>64</v>
      </c>
      <c r="W258" s="4">
        <v>24</v>
      </c>
      <c r="X258" s="4">
        <f>VLOOKUP($B258&amp;"__wt",'SegEnds_Xtal_BW#'!$A:$Z,24,FALSE)</f>
        <v>59</v>
      </c>
      <c r="Y258" s="4">
        <f>VLOOKUP($B258&amp;"__wt",'SegEnds_Xtal_BW#'!$A:$Z,25,FALSE)</f>
        <v>50</v>
      </c>
      <c r="Z258" s="4">
        <f>VLOOKUP($B258&amp;"__wt",'SegEnds_Xtal_BW#'!$A:$Z,26,FALSE)</f>
        <v>63</v>
      </c>
      <c r="AA258" s="27" t="str">
        <f>VLOOKUP(A258,Classification!A:B,2,FALSE)</f>
        <v>A</v>
      </c>
      <c r="AB258" s="1">
        <f>VLOOKUP(A258,'SegEnds_NonXtal_Prot#'!A:AL,10,FALSE)-VLOOKUP(A258,'SegEnds_NonXtal_Prot#'!A:AL,4,FALSE)</f>
        <v>28</v>
      </c>
      <c r="AC258" s="4" t="e">
        <f>VLOOKUP(A258,'SegEnds_NonXtal_Prot#'!A:AL,10,FALSE)-VLOOKUP(A258,'SegEnds_NonXtal_Prot#'!A:AL,7,FALSE)</f>
        <v>#VALUE!</v>
      </c>
      <c r="AD258" s="4">
        <f>VLOOKUP(A258,'SegEnds_NonXtal_Prot#'!A:AL,13,FALSE)-VLOOKUP(A258,'SegEnds_NonXtal_Prot#'!A:AL,10,FALSE)</f>
        <v>19</v>
      </c>
      <c r="AE258" s="4">
        <f>VLOOKUP(A258,'SegEnds_NonXtal_Prot#'!A:AL,16,FALSE)-VLOOKUP(A258,'SegEnds_NonXtal_Prot#'!A:AL,10,FALSE)</f>
        <v>51</v>
      </c>
      <c r="AF258" s="1">
        <f>VLOOKUP(A258,'SegEnds_NonXtal_Prot#'!A:AL,22,FALSE)-VLOOKUP(A258,'SegEnds_NonXtal_Prot#'!A:AL,19,FALSE)</f>
        <v>19</v>
      </c>
      <c r="AG258" s="4">
        <f>VLOOKUP(A258,'SegEnds_NonXtal_Prot#'!A:AL,28,FALSE)-VLOOKUP(A258,'SegEnds_NonXtal_Prot#'!A:AL,25,FALSE)</f>
        <v>29</v>
      </c>
      <c r="AH258" s="1">
        <f>VLOOKUP(A258,'SegEnds_NonXtal_Prot#'!A:AL,28,FALSE)-VLOOKUP(A258,'SegEnds_NonXtal_Prot#'!A:AL,22,FALSE)</f>
        <v>53</v>
      </c>
      <c r="AI258" s="4">
        <f>VLOOKUP(A258,'SegEnds_NonXtal_Prot#'!A:AL,31,FALSE)-VLOOKUP(A258,'SegEnds_NonXtal_Prot#'!A:AL,28,FALSE)</f>
        <v>48</v>
      </c>
      <c r="AJ258" s="4">
        <f>VLOOKUP(A258,'SegEnds_NonXtal_Prot#'!A:AL,34,FALSE)-VLOOKUP(A258,'SegEnds_NonXtal_Prot#'!A:AL,31,FALSE)</f>
        <v>44</v>
      </c>
      <c r="AK258" s="1">
        <f>VLOOKUP(A258,'SegEnds_NonXtal_Prot#'!A:AL,37,FALSE)-VLOOKUP(A258,'SegEnds_NonXtal_Prot#'!A:AL,34,FALSE)</f>
        <v>10</v>
      </c>
      <c r="AL258" s="1" t="str">
        <f>IF(ISERROR(MATCH(A258,'SegEnds_Xtal_Prot#'!B:B, 0)), "NoXtal", "Xtal")</f>
        <v>NoXtal</v>
      </c>
    </row>
    <row r="259" spans="1:38" x14ac:dyDescent="0.2">
      <c r="A259" s="1" t="s">
        <v>352</v>
      </c>
      <c r="B259" s="1" t="str">
        <f>VLOOKUP(A259,Xtal_Templ!A:B,2,FALSE)</f>
        <v>p2y12_human</v>
      </c>
      <c r="C259" s="5">
        <f>VLOOKUP($B259&amp;"__wt",'SegEnds_Xtal_BW#'!$A:$Z,3,FALSE)</f>
        <v>28</v>
      </c>
      <c r="D259" s="1">
        <f>VLOOKUP($B259&amp;"__wt",'SegEnds_Xtal_BW#'!$A:$Z,4,FALSE)</f>
        <v>60</v>
      </c>
      <c r="E259" s="1" t="str">
        <f>VLOOKUP($B259&amp;"__wt",'SegEnds_Xtal_BW#'!$A:$Z,5,FALSE)</f>
        <v>-</v>
      </c>
      <c r="F259" s="1" t="str">
        <f>VLOOKUP($B259&amp;"__wt",'SegEnds_Xtal_BW#'!$A:$Z,6,FALSE)</f>
        <v>-</v>
      </c>
      <c r="G259" s="1">
        <v>37</v>
      </c>
      <c r="H259" s="12">
        <f>VLOOKUP($B259&amp;"__wt",'SegEnds_Xtal_BW#'!$A:$Z,8,FALSE)</f>
        <v>66</v>
      </c>
      <c r="I259" s="1" t="str">
        <f>VLOOKUP($B259&amp;"__wt",'SegEnds_Xtal_BW#'!$A:$Z,9,FALSE)</f>
        <v>-</v>
      </c>
      <c r="J259" s="1" t="str">
        <f>VLOOKUP($B259&amp;"__wt",'SegEnds_Xtal_BW#'!$A:$Z,10,FALSE)</f>
        <v>-</v>
      </c>
      <c r="K259" s="12">
        <v>18</v>
      </c>
      <c r="L259" s="1">
        <f>VLOOKUP($B259&amp;"__wt",'SegEnds_Xtal_BW#'!$A:$Z,12,FALSE)</f>
        <v>56</v>
      </c>
      <c r="M259" s="1">
        <f>VLOOKUP($B259&amp;"__wt",'SegEnds_Xtal_BW#'!$A:$Z,13,FALSE)</f>
        <v>50</v>
      </c>
      <c r="N259" s="12">
        <f>VLOOKUP($B259&amp;"__wt",'SegEnds_Xtal_BW#'!$A:$Z,14,FALSE)</f>
        <v>57</v>
      </c>
      <c r="O259" s="87">
        <f>VLOOKUP($B259&amp;"__wt",'SegEnds_Xtal_BW#'!$A:$Z,15,FALSE)</f>
        <v>38</v>
      </c>
      <c r="P259" s="1">
        <f>VLOOKUP($B259&amp;"__wt",'SegEnds_Xtal_BW#'!$A:$Z,16,FALSE)</f>
        <v>64</v>
      </c>
      <c r="Q259" s="1">
        <f>VLOOKUP($B259&amp;"__wt",'SegEnds_Xtal_BW#'!$A:$Z,17,FALSE)</f>
        <v>50</v>
      </c>
      <c r="R259" s="1">
        <f>VLOOKUP($B259&amp;"__wt",'SegEnds_Xtal_BW#'!$A:$Z,18,FALSE)</f>
        <v>52</v>
      </c>
      <c r="S259" s="1">
        <f>VLOOKUP($B259&amp;"__wt",'SegEnds_Xtal_BW#'!$A:$Z,19,FALSE)</f>
        <v>30</v>
      </c>
      <c r="T259" s="1">
        <f t="array" ref="T259">INDEX(ICL3_classA!$G$2:$G$37,MATCH(MIN(ABS(AI259-ICL3_classA!$F$2:$F$37)),ABS(AI259-ICL3_classA!$F$2:$F$37),0))</f>
        <v>72</v>
      </c>
      <c r="U259" s="1">
        <f t="array" ref="U259">INDEX(ICL3_classA!$H$2:$H$37,MATCH(MIN(ABS(AI259-ICL3_classA!$F$2:$F$37)),ABS(AI259-ICL3_classA!$F$2:$F$37),0))</f>
        <v>29</v>
      </c>
      <c r="V259" s="1">
        <v>64</v>
      </c>
      <c r="W259" s="1">
        <v>24</v>
      </c>
      <c r="X259" s="1">
        <f>VLOOKUP($B259&amp;"__wt",'SegEnds_Xtal_BW#'!$A:$Z,24,FALSE)</f>
        <v>56</v>
      </c>
      <c r="Y259" s="1">
        <f>VLOOKUP($B259&amp;"__wt",'SegEnds_Xtal_BW#'!$A:$Z,25,FALSE)</f>
        <v>47</v>
      </c>
      <c r="Z259" s="1">
        <f>VLOOKUP($B259&amp;"__wt",'SegEnds_Xtal_BW#'!$A:$Z,26,FALSE)</f>
        <v>57</v>
      </c>
      <c r="AA259" s="27" t="str">
        <f>VLOOKUP(A259,Classification!A:B,2,FALSE)</f>
        <v>A</v>
      </c>
      <c r="AB259" s="1">
        <f>VLOOKUP(A259,'SegEnds_NonXtal_Prot#'!A:AL,10,FALSE)-VLOOKUP(A259,'SegEnds_NonXtal_Prot#'!A:AL,4,FALSE)</f>
        <v>27</v>
      </c>
      <c r="AC259" s="1" t="e">
        <f>VLOOKUP(A259,'SegEnds_NonXtal_Prot#'!A:AL,10,FALSE)-VLOOKUP(A259,'SegEnds_NonXtal_Prot#'!A:AL,7,FALSE)</f>
        <v>#VALUE!</v>
      </c>
      <c r="AD259" s="1" t="e">
        <f>VLOOKUP(A259,'SegEnds_NonXtal_Prot#'!A:AL,13,FALSE)-VLOOKUP(A259,'SegEnds_NonXtal_Prot#'!A:AL,10,FALSE)</f>
        <v>#VALUE!</v>
      </c>
      <c r="AE259" s="1">
        <f>VLOOKUP(A259,'SegEnds_NonXtal_Prot#'!A:AL,16,FALSE)-VLOOKUP(A259,'SegEnds_NonXtal_Prot#'!A:AL,10,FALSE)</f>
        <v>52</v>
      </c>
      <c r="AF259" s="1">
        <f>VLOOKUP(A259,'SegEnds_NonXtal_Prot#'!A:AL,22,FALSE)-VLOOKUP(A259,'SegEnds_NonXtal_Prot#'!A:AL,19,FALSE)</f>
        <v>20</v>
      </c>
      <c r="AG259" s="1">
        <f>VLOOKUP(A259,'SegEnds_NonXtal_Prot#'!A:AL,28,FALSE)-VLOOKUP(A259,'SegEnds_NonXtal_Prot#'!A:AL,25,FALSE)</f>
        <v>26</v>
      </c>
      <c r="AH259" s="1">
        <f>VLOOKUP(A259,'SegEnds_NonXtal_Prot#'!A:AL,28,FALSE)-VLOOKUP(A259,'SegEnds_NonXtal_Prot#'!A:AL,22,FALSE)</f>
        <v>52</v>
      </c>
      <c r="AI259" s="1">
        <f>VLOOKUP(A259,'SegEnds_NonXtal_Prot#'!A:AL,31,FALSE)-VLOOKUP(A259,'SegEnds_NonXtal_Prot#'!A:AL,28,FALSE)</f>
        <v>50</v>
      </c>
      <c r="AJ259" s="1">
        <f>VLOOKUP(A259,'SegEnds_NonXtal_Prot#'!A:AL,34,FALSE)-VLOOKUP(A259,'SegEnds_NonXtal_Prot#'!A:AL,31,FALSE)</f>
        <v>44</v>
      </c>
      <c r="AK259" s="1">
        <f>VLOOKUP(A259,'SegEnds_NonXtal_Prot#'!A:AL,37,FALSE)-VLOOKUP(A259,'SegEnds_NonXtal_Prot#'!A:AL,34,FALSE)</f>
        <v>10</v>
      </c>
      <c r="AL259" s="1" t="str">
        <f>IF(ISERROR(MATCH(A259,'SegEnds_Xtal_Prot#'!B:B, 0)), "NoXtal", "Xtal")</f>
        <v>Xtal</v>
      </c>
    </row>
    <row r="260" spans="1:38" x14ac:dyDescent="0.2">
      <c r="A260" s="1" t="s">
        <v>353</v>
      </c>
      <c r="B260" s="1" t="str">
        <f>VLOOKUP(A260,Xtal_Templ!A:B,2,FALSE)</f>
        <v>p2y12_human</v>
      </c>
      <c r="C260" s="5">
        <f>VLOOKUP($B260&amp;"__wt",'SegEnds_Xtal_BW#'!$A:$Z,3,FALSE)</f>
        <v>28</v>
      </c>
      <c r="D260" s="1">
        <f>VLOOKUP($B260&amp;"__wt",'SegEnds_Xtal_BW#'!$A:$Z,4,FALSE)</f>
        <v>60</v>
      </c>
      <c r="E260" s="1" t="str">
        <f>VLOOKUP($B260&amp;"__wt",'SegEnds_Xtal_BW#'!$A:$Z,5,FALSE)</f>
        <v>-</v>
      </c>
      <c r="F260" s="1" t="str">
        <f>VLOOKUP($B260&amp;"__wt",'SegEnds_Xtal_BW#'!$A:$Z,6,FALSE)</f>
        <v>-</v>
      </c>
      <c r="G260" s="1">
        <v>37</v>
      </c>
      <c r="H260" s="12">
        <f>VLOOKUP($B260&amp;"__wt",'SegEnds_Xtal_BW#'!$A:$Z,8,FALSE)</f>
        <v>66</v>
      </c>
      <c r="I260" s="1" t="str">
        <f>VLOOKUP($B260&amp;"__wt",'SegEnds_Xtal_BW#'!$A:$Z,9,FALSE)</f>
        <v>-</v>
      </c>
      <c r="J260" s="1" t="str">
        <f>VLOOKUP($B260&amp;"__wt",'SegEnds_Xtal_BW#'!$A:$Z,10,FALSE)</f>
        <v>-</v>
      </c>
      <c r="K260" s="12">
        <v>18</v>
      </c>
      <c r="L260" s="1">
        <f>VLOOKUP($B260&amp;"__wt",'SegEnds_Xtal_BW#'!$A:$Z,12,FALSE)</f>
        <v>56</v>
      </c>
      <c r="M260" s="1">
        <f>VLOOKUP($B260&amp;"__wt",'SegEnds_Xtal_BW#'!$A:$Z,13,FALSE)</f>
        <v>50</v>
      </c>
      <c r="N260" s="12">
        <v>57</v>
      </c>
      <c r="O260" s="87">
        <f>VLOOKUP($B260&amp;"__wt",'SegEnds_Xtal_BW#'!$A:$Z,15,FALSE)</f>
        <v>38</v>
      </c>
      <c r="P260" s="1">
        <f>VLOOKUP($B260&amp;"__wt",'SegEnds_Xtal_BW#'!$A:$Z,16,FALSE)</f>
        <v>64</v>
      </c>
      <c r="Q260" s="1">
        <f>VLOOKUP($B260&amp;"__wt",'SegEnds_Xtal_BW#'!$A:$Z,17,FALSE)</f>
        <v>50</v>
      </c>
      <c r="R260" s="1">
        <f>VLOOKUP($B260&amp;"__wt",'SegEnds_Xtal_BW#'!$A:$Z,18,FALSE)</f>
        <v>52</v>
      </c>
      <c r="S260" s="1">
        <f>VLOOKUP($B260&amp;"__wt",'SegEnds_Xtal_BW#'!$A:$Z,19,FALSE)</f>
        <v>30</v>
      </c>
      <c r="T260" s="1">
        <f t="array" ref="T260">INDEX(ICL3_classA!$G$2:$G$37,MATCH(MIN(ABS(AI260-ICL3_classA!$F$2:$F$37)),ABS(AI260-ICL3_classA!$F$2:$F$37),0))</f>
        <v>72</v>
      </c>
      <c r="U260" s="1">
        <f t="array" ref="U260">INDEX(ICL3_classA!$H$2:$H$37,MATCH(MIN(ABS(AI260-ICL3_classA!$F$2:$F$37)),ABS(AI260-ICL3_classA!$F$2:$F$37),0))</f>
        <v>29</v>
      </c>
      <c r="V260" s="1">
        <v>64</v>
      </c>
      <c r="W260" s="1">
        <v>24</v>
      </c>
      <c r="X260" s="1">
        <f>VLOOKUP($B260&amp;"__wt",'SegEnds_Xtal_BW#'!$A:$Z,24,FALSE)</f>
        <v>56</v>
      </c>
      <c r="Y260" s="1">
        <f>VLOOKUP($B260&amp;"__wt",'SegEnds_Xtal_BW#'!$A:$Z,25,FALSE)</f>
        <v>47</v>
      </c>
      <c r="Z260" s="1">
        <f>VLOOKUP($B260&amp;"__wt",'SegEnds_Xtal_BW#'!$A:$Z,26,FALSE)</f>
        <v>57</v>
      </c>
      <c r="AA260" s="27" t="str">
        <f>VLOOKUP(A260,Classification!A:B,2,FALSE)</f>
        <v>A</v>
      </c>
      <c r="AB260" s="1">
        <f>VLOOKUP(A260,'SegEnds_NonXtal_Prot#'!A:AL,10,FALSE)-VLOOKUP(A260,'SegEnds_NonXtal_Prot#'!A:AL,4,FALSE)</f>
        <v>27</v>
      </c>
      <c r="AC260" s="1" t="e">
        <f>VLOOKUP(A260,'SegEnds_NonXtal_Prot#'!A:AL,10,FALSE)-VLOOKUP(A260,'SegEnds_NonXtal_Prot#'!A:AL,7,FALSE)</f>
        <v>#VALUE!</v>
      </c>
      <c r="AD260" s="1" t="e">
        <f>VLOOKUP(A260,'SegEnds_NonXtal_Prot#'!A:AL,13,FALSE)-VLOOKUP(A260,'SegEnds_NonXtal_Prot#'!A:AL,10,FALSE)</f>
        <v>#VALUE!</v>
      </c>
      <c r="AE260" s="1">
        <f>VLOOKUP(A260,'SegEnds_NonXtal_Prot#'!A:AL,16,FALSE)-VLOOKUP(A260,'SegEnds_NonXtal_Prot#'!A:AL,10,FALSE)</f>
        <v>52</v>
      </c>
      <c r="AF260" s="1">
        <f>VLOOKUP(A260,'SegEnds_NonXtal_Prot#'!A:AL,22,FALSE)-VLOOKUP(A260,'SegEnds_NonXtal_Prot#'!A:AL,19,FALSE)</f>
        <v>20</v>
      </c>
      <c r="AG260" s="1">
        <f>VLOOKUP(A260,'SegEnds_NonXtal_Prot#'!A:AL,28,FALSE)-VLOOKUP(A260,'SegEnds_NonXtal_Prot#'!A:AL,25,FALSE)</f>
        <v>26</v>
      </c>
      <c r="AH260" s="1">
        <f>VLOOKUP(A260,'SegEnds_NonXtal_Prot#'!A:AL,28,FALSE)-VLOOKUP(A260,'SegEnds_NonXtal_Prot#'!A:AL,22,FALSE)</f>
        <v>52</v>
      </c>
      <c r="AI260" s="1">
        <f>VLOOKUP(A260,'SegEnds_NonXtal_Prot#'!A:AL,31,FALSE)-VLOOKUP(A260,'SegEnds_NonXtal_Prot#'!A:AL,28,FALSE)</f>
        <v>50</v>
      </c>
      <c r="AJ260" s="1">
        <f>VLOOKUP(A260,'SegEnds_NonXtal_Prot#'!A:AL,34,FALSE)-VLOOKUP(A260,'SegEnds_NonXtal_Prot#'!A:AL,31,FALSE)</f>
        <v>44</v>
      </c>
      <c r="AK260" s="1">
        <f>VLOOKUP(A260,'SegEnds_NonXtal_Prot#'!A:AL,37,FALSE)-VLOOKUP(A260,'SegEnds_NonXtal_Prot#'!A:AL,34,FALSE)</f>
        <v>10</v>
      </c>
      <c r="AL260" s="1" t="str">
        <f>IF(ISERROR(MATCH(A260,'SegEnds_Xtal_Prot#'!B:B, 0)), "NoXtal", "Xtal")</f>
        <v>NoXtal</v>
      </c>
    </row>
    <row r="261" spans="1:38" x14ac:dyDescent="0.2">
      <c r="A261" s="1" t="s">
        <v>354</v>
      </c>
      <c r="B261" s="1" t="str">
        <f>VLOOKUP(A261,Xtal_Templ!A:B,2,FALSE)</f>
        <v>p2y12_human</v>
      </c>
      <c r="C261" s="5">
        <f>VLOOKUP($B261&amp;"__wt",'SegEnds_Xtal_BW#'!$A:$Z,3,FALSE)</f>
        <v>28</v>
      </c>
      <c r="D261" s="1">
        <f>VLOOKUP($B261&amp;"__wt",'SegEnds_Xtal_BW#'!$A:$Z,4,FALSE)</f>
        <v>60</v>
      </c>
      <c r="E261" s="1" t="str">
        <f>VLOOKUP($B261&amp;"__wt",'SegEnds_Xtal_BW#'!$A:$Z,5,FALSE)</f>
        <v>-</v>
      </c>
      <c r="F261" s="1" t="str">
        <f>VLOOKUP($B261&amp;"__wt",'SegEnds_Xtal_BW#'!$A:$Z,6,FALSE)</f>
        <v>-</v>
      </c>
      <c r="G261" s="1">
        <v>37</v>
      </c>
      <c r="H261" s="12">
        <f>VLOOKUP($B261&amp;"__wt",'SegEnds_Xtal_BW#'!$A:$Z,8,FALSE)</f>
        <v>66</v>
      </c>
      <c r="I261" s="1" t="str">
        <f>VLOOKUP($B261&amp;"__wt",'SegEnds_Xtal_BW#'!$A:$Z,9,FALSE)</f>
        <v>-</v>
      </c>
      <c r="J261" s="1" t="str">
        <f>VLOOKUP($B261&amp;"__wt",'SegEnds_Xtal_BW#'!$A:$Z,10,FALSE)</f>
        <v>-</v>
      </c>
      <c r="K261" s="12">
        <v>18</v>
      </c>
      <c r="L261" s="1">
        <f>VLOOKUP($B261&amp;"__wt",'SegEnds_Xtal_BW#'!$A:$Z,12,FALSE)</f>
        <v>56</v>
      </c>
      <c r="M261" s="1">
        <f>VLOOKUP($B261&amp;"__wt",'SegEnds_Xtal_BW#'!$A:$Z,13,FALSE)</f>
        <v>50</v>
      </c>
      <c r="N261" s="12">
        <v>57</v>
      </c>
      <c r="O261" s="87">
        <f>VLOOKUP($B261&amp;"__wt",'SegEnds_Xtal_BW#'!$A:$Z,15,FALSE)</f>
        <v>38</v>
      </c>
      <c r="P261" s="1">
        <f>VLOOKUP($B261&amp;"__wt",'SegEnds_Xtal_BW#'!$A:$Z,16,FALSE)</f>
        <v>64</v>
      </c>
      <c r="Q261" s="1">
        <f>VLOOKUP($B261&amp;"__wt",'SegEnds_Xtal_BW#'!$A:$Z,17,FALSE)</f>
        <v>50</v>
      </c>
      <c r="R261" s="1">
        <f>VLOOKUP($B261&amp;"__wt",'SegEnds_Xtal_BW#'!$A:$Z,18,FALSE)</f>
        <v>52</v>
      </c>
      <c r="S261" s="1">
        <f>VLOOKUP($B261&amp;"__wt",'SegEnds_Xtal_BW#'!$A:$Z,19,FALSE)</f>
        <v>30</v>
      </c>
      <c r="T261" s="1">
        <f t="array" ref="T261">INDEX(ICL3_classA!$G$2:$G$37,MATCH(MIN(ABS(AI261-ICL3_classA!$F$2:$F$37)),ABS(AI261-ICL3_classA!$F$2:$F$37),0))</f>
        <v>72</v>
      </c>
      <c r="U261" s="1">
        <f t="array" ref="U261">INDEX(ICL3_classA!$H$2:$H$37,MATCH(MIN(ABS(AI261-ICL3_classA!$F$2:$F$37)),ABS(AI261-ICL3_classA!$F$2:$F$37),0))</f>
        <v>29</v>
      </c>
      <c r="V261" s="1">
        <v>64</v>
      </c>
      <c r="W261" s="1">
        <v>24</v>
      </c>
      <c r="X261" s="1">
        <f>VLOOKUP($B261&amp;"__wt",'SegEnds_Xtal_BW#'!$A:$Z,24,FALSE)</f>
        <v>56</v>
      </c>
      <c r="Y261" s="1">
        <f>VLOOKUP($B261&amp;"__wt",'SegEnds_Xtal_BW#'!$A:$Z,25,FALSE)</f>
        <v>47</v>
      </c>
      <c r="Z261" s="1">
        <f>VLOOKUP($B261&amp;"__wt",'SegEnds_Xtal_BW#'!$A:$Z,26,FALSE)</f>
        <v>57</v>
      </c>
      <c r="AA261" s="27" t="str">
        <f>VLOOKUP(A261,Classification!A:B,2,FALSE)</f>
        <v>A</v>
      </c>
      <c r="AB261" s="1">
        <f>VLOOKUP(A261,'SegEnds_NonXtal_Prot#'!A:AL,10,FALSE)-VLOOKUP(A261,'SegEnds_NonXtal_Prot#'!A:AL,4,FALSE)</f>
        <v>27</v>
      </c>
      <c r="AC261" s="1" t="e">
        <f>VLOOKUP(A261,'SegEnds_NonXtal_Prot#'!A:AL,10,FALSE)-VLOOKUP(A261,'SegEnds_NonXtal_Prot#'!A:AL,7,FALSE)</f>
        <v>#VALUE!</v>
      </c>
      <c r="AD261" s="1" t="e">
        <f>VLOOKUP(A261,'SegEnds_NonXtal_Prot#'!A:AL,13,FALSE)-VLOOKUP(A261,'SegEnds_NonXtal_Prot#'!A:AL,10,FALSE)</f>
        <v>#VALUE!</v>
      </c>
      <c r="AE261" s="1">
        <f>VLOOKUP(A261,'SegEnds_NonXtal_Prot#'!A:AL,16,FALSE)-VLOOKUP(A261,'SegEnds_NonXtal_Prot#'!A:AL,10,FALSE)</f>
        <v>52</v>
      </c>
      <c r="AF261" s="1">
        <f>VLOOKUP(A261,'SegEnds_NonXtal_Prot#'!A:AL,22,FALSE)-VLOOKUP(A261,'SegEnds_NonXtal_Prot#'!A:AL,19,FALSE)</f>
        <v>20</v>
      </c>
      <c r="AG261" s="1">
        <f>VLOOKUP(A261,'SegEnds_NonXtal_Prot#'!A:AL,28,FALSE)-VLOOKUP(A261,'SegEnds_NonXtal_Prot#'!A:AL,25,FALSE)</f>
        <v>26</v>
      </c>
      <c r="AH261" s="1">
        <f>VLOOKUP(A261,'SegEnds_NonXtal_Prot#'!A:AL,28,FALSE)-VLOOKUP(A261,'SegEnds_NonXtal_Prot#'!A:AL,22,FALSE)</f>
        <v>52</v>
      </c>
      <c r="AI261" s="1">
        <f>VLOOKUP(A261,'SegEnds_NonXtal_Prot#'!A:AL,31,FALSE)-VLOOKUP(A261,'SegEnds_NonXtal_Prot#'!A:AL,28,FALSE)</f>
        <v>50</v>
      </c>
      <c r="AJ261" s="1">
        <f>VLOOKUP(A261,'SegEnds_NonXtal_Prot#'!A:AL,34,FALSE)-VLOOKUP(A261,'SegEnds_NonXtal_Prot#'!A:AL,31,FALSE)</f>
        <v>44</v>
      </c>
      <c r="AK261" s="1">
        <f>VLOOKUP(A261,'SegEnds_NonXtal_Prot#'!A:AL,37,FALSE)-VLOOKUP(A261,'SegEnds_NonXtal_Prot#'!A:AL,34,FALSE)</f>
        <v>10</v>
      </c>
      <c r="AL261" s="1" t="str">
        <f>IF(ISERROR(MATCH(A261,'SegEnds_Xtal_Prot#'!B:B, 0)), "NoXtal", "Xtal")</f>
        <v>NoXtal</v>
      </c>
    </row>
    <row r="262" spans="1:38" x14ac:dyDescent="0.2">
      <c r="A262" s="1" t="s">
        <v>1450</v>
      </c>
      <c r="B262" s="1" t="str">
        <f>VLOOKUP(A262,Xtal_Templ!A:B,2,FALSE)</f>
        <v>q08bg4_danre</v>
      </c>
      <c r="C262" s="5">
        <f>VLOOKUP($B262&amp;"__wt",'SegEnds_Xtal_BW#'!$A:$Z,3,FALSE)</f>
        <v>31</v>
      </c>
      <c r="D262" s="1">
        <f>VLOOKUP($B262&amp;"__wt",'SegEnds_Xtal_BW#'!$A:$Z,4,FALSE)</f>
        <v>60</v>
      </c>
      <c r="E262" s="1">
        <f>VLOOKUP($B262&amp;"__wt",'SegEnds_Xtal_BW#'!$A:$Z,5,FALSE)</f>
        <v>48</v>
      </c>
      <c r="F262" s="1">
        <f>VLOOKUP($B262&amp;"__wt",'SegEnds_Xtal_BW#'!$A:$Z,6,FALSE)</f>
        <v>51</v>
      </c>
      <c r="G262" s="1">
        <v>37</v>
      </c>
      <c r="H262" s="12">
        <f>VLOOKUP($B262&amp;"__wt",'SegEnds_Xtal_BW#'!$A:$Z,8,FALSE)</f>
        <v>66</v>
      </c>
      <c r="I262" s="1">
        <f>VLOOKUP($B262&amp;"__wt",'SegEnds_Xtal_BW#'!$A:$Z,9,FALSE)</f>
        <v>49</v>
      </c>
      <c r="J262" s="1">
        <f>VLOOKUP($B262&amp;"__wt",'SegEnds_Xtal_BW#'!$A:$Z,10,FALSE)</f>
        <v>52</v>
      </c>
      <c r="K262" s="12">
        <f>VLOOKUP($B262&amp;"__wt",'SegEnds_Xtal_BW#'!$A:$Z,11,FALSE)</f>
        <v>21</v>
      </c>
      <c r="L262" s="1">
        <f>VLOOKUP($B262&amp;"__wt",'SegEnds_Xtal_BW#'!$A:$Z,12,FALSE)</f>
        <v>56</v>
      </c>
      <c r="M262" s="1">
        <f>VLOOKUP($B262&amp;"__wt",'SegEnds_Xtal_BW#'!$A:$Z,13,FALSE)</f>
        <v>50</v>
      </c>
      <c r="N262" s="108">
        <f>VLOOKUP($B262&amp;"__wt",'SegEnds_Xtal_BW#'!$A:$Z,14,FALSE)</f>
        <v>57</v>
      </c>
      <c r="O262" s="108">
        <f>VLOOKUP($B262&amp;"__wt",'SegEnds_Xtal_BW#'!$A:$Z,15,FALSE)</f>
        <v>38</v>
      </c>
      <c r="P262" s="1">
        <f>VLOOKUP($B262&amp;"__wt",'SegEnds_Xtal_BW#'!$A:$Z,16,FALSE)</f>
        <v>65</v>
      </c>
      <c r="Q262" s="1">
        <f>VLOOKUP($B262&amp;"__wt",'SegEnds_Xtal_BW#'!$A:$Z,17,FALSE)</f>
        <v>50</v>
      </c>
      <c r="R262" s="1">
        <f>VLOOKUP($B262&amp;"__wt",'SegEnds_Xtal_BW#'!$A:$Z,18,FALSE)</f>
        <v>52</v>
      </c>
      <c r="S262" s="1">
        <f>VLOOKUP($B262&amp;"__wt",'SegEnds_Xtal_BW#'!$A:$Z,19,FALSE)</f>
        <v>31</v>
      </c>
      <c r="T262" s="1">
        <f t="array" ref="T262">INDEX(ICL3_classA!$G$2:$G$37,MATCH(MIN(ABS(AI262-ICL3_classA!$F$2:$F$37)),ABS(AI262-ICL3_classA!$F$2:$F$37),0))</f>
        <v>68</v>
      </c>
      <c r="U262" s="1">
        <f t="array" ref="U262">INDEX(ICL3_classA!$H$2:$H$37,MATCH(MIN(ABS(AI262-ICL3_classA!$F$2:$F$37)),ABS(AI262-ICL3_classA!$F$2:$F$37),0))</f>
        <v>24</v>
      </c>
      <c r="V262" s="108">
        <v>64</v>
      </c>
      <c r="W262" s="1">
        <v>24</v>
      </c>
      <c r="X262" s="1">
        <f>VLOOKUP($B262&amp;"__wt",'SegEnds_Xtal_BW#'!$A:$Z,24,FALSE)</f>
        <v>56</v>
      </c>
      <c r="Y262" s="1">
        <f>VLOOKUP($B262&amp;"__wt",'SegEnds_Xtal_BW#'!$A:$Z,25,FALSE)</f>
        <v>47</v>
      </c>
      <c r="Z262" s="1">
        <f>VLOOKUP($B262&amp;"__wt",'SegEnds_Xtal_BW#'!$A:$Z,26,FALSE)</f>
        <v>61</v>
      </c>
      <c r="AA262" s="27" t="str">
        <f>VLOOKUP(A262,Classification!A:B,2,FALSE)</f>
        <v>A</v>
      </c>
      <c r="AB262" s="1">
        <f>VLOOKUP(A262,'SegEnds_NonXtal_Prot#'!A:AL,10,FALSE)-VLOOKUP(A262,'SegEnds_NonXtal_Prot#'!A:AL,4,FALSE)</f>
        <v>28</v>
      </c>
      <c r="AC262" s="1">
        <f>VLOOKUP(A262,'SegEnds_NonXtal_Prot#'!A:AL,10,FALSE)-VLOOKUP(A262,'SegEnds_NonXtal_Prot#'!A:AL,7,FALSE)</f>
        <v>15</v>
      </c>
      <c r="AD262" s="1">
        <f>VLOOKUP(A262,'SegEnds_NonXtal_Prot#'!A:AL,13,FALSE)-VLOOKUP(A262,'SegEnds_NonXtal_Prot#'!A:AL,10,FALSE)</f>
        <v>19</v>
      </c>
      <c r="AE262" s="1">
        <f>VLOOKUP(A262,'SegEnds_NonXtal_Prot#'!A:AL,16,FALSE)-VLOOKUP(A262,'SegEnds_NonXtal_Prot#'!A:AL,10,FALSE)</f>
        <v>51</v>
      </c>
      <c r="AF262" s="1">
        <f>VLOOKUP(A262,'SegEnds_NonXtal_Prot#'!A:AL,22,FALSE)-VLOOKUP(A262,'SegEnds_NonXtal_Prot#'!A:AL,19,FALSE)</f>
        <v>20</v>
      </c>
      <c r="AG262" s="1">
        <f>VLOOKUP(A262,'SegEnds_NonXtal_Prot#'!A:AL,28,FALSE)-VLOOKUP(A262,'SegEnds_NonXtal_Prot#'!A:AL,25,FALSE)</f>
        <v>28</v>
      </c>
      <c r="AH262" s="1">
        <f>VLOOKUP(A262,'SegEnds_NonXtal_Prot#'!A:AL,28,FALSE)-VLOOKUP(A262,'SegEnds_NonXtal_Prot#'!A:AL,22,FALSE)</f>
        <v>55</v>
      </c>
      <c r="AI262" s="1">
        <f>VLOOKUP(A262,'SegEnds_NonXtal_Prot#'!A:AL,31,FALSE)-VLOOKUP(A262,'SegEnds_NonXtal_Prot#'!A:AL,28,FALSE)</f>
        <v>49</v>
      </c>
      <c r="AJ262" s="1">
        <f>VLOOKUP(A262,'SegEnds_NonXtal_Prot#'!A:AL,34,FALSE)-VLOOKUP(A262,'SegEnds_NonXtal_Prot#'!A:AL,31,FALSE)</f>
        <v>44</v>
      </c>
      <c r="AK262" s="1">
        <f>VLOOKUP(A262,'SegEnds_NonXtal_Prot#'!A:AL,37,FALSE)-VLOOKUP(A262,'SegEnds_NonXtal_Prot#'!A:AL,34,FALSE)</f>
        <v>10</v>
      </c>
      <c r="AL262" s="1" t="str">
        <f>IF(ISERROR(MATCH(A262,'SegEnds_Xtal_Prot#'!B:B, 0)), "NoXtal", "Xtal")</f>
        <v>Xtal</v>
      </c>
    </row>
    <row r="263" spans="1:38" x14ac:dyDescent="0.2">
      <c r="A263" s="1" t="s">
        <v>400</v>
      </c>
      <c r="B263" s="1" t="str">
        <f>VLOOKUP(A263,Xtal_Templ!A:B,2,FALSE)</f>
        <v>ccr5_human</v>
      </c>
      <c r="C263" s="5">
        <f>VLOOKUP($B263&amp;"__wt",'SegEnds_Xtal_BW#'!$A:$Z,3,FALSE)</f>
        <v>24</v>
      </c>
      <c r="D263" s="1">
        <f>VLOOKUP($B263&amp;"__wt",'SegEnds_Xtal_BW#'!$A:$Z,4,FALSE)</f>
        <v>60</v>
      </c>
      <c r="E263" s="1">
        <f>VLOOKUP($B263&amp;"__wt",'SegEnds_Xtal_BW#'!$A:$Z,5,FALSE)</f>
        <v>48</v>
      </c>
      <c r="F263" s="1">
        <f>VLOOKUP($B263&amp;"__wt",'SegEnds_Xtal_BW#'!$A:$Z,6,FALSE)</f>
        <v>51</v>
      </c>
      <c r="G263" s="1">
        <v>37</v>
      </c>
      <c r="H263" s="12">
        <v>66</v>
      </c>
      <c r="I263" s="1">
        <f>VLOOKUP($B263&amp;"__wt",'SegEnds_Xtal_BW#'!$A:$Z,9,FALSE)</f>
        <v>49</v>
      </c>
      <c r="J263" s="1">
        <f>VLOOKUP($B263&amp;"__wt",'SegEnds_Xtal_BW#'!$A:$Z,10,FALSE)</f>
        <v>52</v>
      </c>
      <c r="K263" s="12">
        <v>24</v>
      </c>
      <c r="L263" s="1">
        <f>VLOOKUP($B263&amp;"__wt",'SegEnds_Xtal_BW#'!$A:$Z,12,FALSE)</f>
        <v>56</v>
      </c>
      <c r="M263" s="1">
        <f>VLOOKUP($B263&amp;"__wt",'SegEnds_Xtal_BW#'!$A:$Z,13,FALSE)</f>
        <v>50</v>
      </c>
      <c r="N263" s="12">
        <v>57</v>
      </c>
      <c r="O263" s="87">
        <v>38</v>
      </c>
      <c r="P263" s="1">
        <f>VLOOKUP($B263&amp;"__wt",'SegEnds_Xtal_BW#'!$A:$Z,16,FALSE)</f>
        <v>64</v>
      </c>
      <c r="Q263" s="1">
        <f>VLOOKUP($B263&amp;"__wt",'SegEnds_Xtal_BW#'!$A:$Z,17,FALSE)</f>
        <v>50</v>
      </c>
      <c r="R263" s="1">
        <f>VLOOKUP($B263&amp;"__wt",'SegEnds_Xtal_BW#'!$A:$Z,18,FALSE)</f>
        <v>52</v>
      </c>
      <c r="S263" s="1">
        <v>35</v>
      </c>
      <c r="T263" s="1">
        <f t="array" ref="T263">INDEX(ICL3_classA!$G$2:$G$37,MATCH(MIN(ABS(AI263-ICL3_classA!$F$2:$F$37)),ABS(AI263-ICL3_classA!$F$2:$F$37),0))</f>
        <v>68</v>
      </c>
      <c r="U263" s="1">
        <f t="array" ref="U263">INDEX(ICL3_classA!$H$2:$H$37,MATCH(MIN(ABS(AI263-ICL3_classA!$F$2:$F$37)),ABS(AI263-ICL3_classA!$F$2:$F$37),0))</f>
        <v>30</v>
      </c>
      <c r="V263" s="1">
        <v>64</v>
      </c>
      <c r="W263" s="1">
        <v>24</v>
      </c>
      <c r="X263" s="1">
        <f>VLOOKUP($B263&amp;"__wt",'SegEnds_Xtal_BW#'!$A:$Z,24,FALSE)</f>
        <v>56</v>
      </c>
      <c r="Y263" s="1">
        <f>VLOOKUP($B263&amp;"__wt",'SegEnds_Xtal_BW#'!$A:$Z,25,FALSE)</f>
        <v>47</v>
      </c>
      <c r="Z263" s="1">
        <f>VLOOKUP($B263&amp;"__wt",'SegEnds_Xtal_BW#'!$A:$Z,26,FALSE)</f>
        <v>59</v>
      </c>
      <c r="AA263" s="27" t="str">
        <f>VLOOKUP(A263,Classification!A:B,2,FALSE)</f>
        <v>A</v>
      </c>
      <c r="AB263" s="1">
        <f>VLOOKUP(A263,'SegEnds_NonXtal_Prot#'!A:AL,10,FALSE)-VLOOKUP(A263,'SegEnds_NonXtal_Prot#'!A:AL,4,FALSE)</f>
        <v>28</v>
      </c>
      <c r="AC263" s="1">
        <f>VLOOKUP(A263,'SegEnds_NonXtal_Prot#'!A:AL,10,FALSE)-VLOOKUP(A263,'SegEnds_NonXtal_Prot#'!A:AL,7,FALSE)</f>
        <v>15</v>
      </c>
      <c r="AD263" s="1">
        <f>VLOOKUP(A263,'SegEnds_NonXtal_Prot#'!A:AL,13,FALSE)-VLOOKUP(A263,'SegEnds_NonXtal_Prot#'!A:AL,10,FALSE)</f>
        <v>18</v>
      </c>
      <c r="AE263" s="1">
        <f>VLOOKUP(A263,'SegEnds_NonXtal_Prot#'!A:AL,16,FALSE)-VLOOKUP(A263,'SegEnds_NonXtal_Prot#'!A:AL,10,FALSE)</f>
        <v>50</v>
      </c>
      <c r="AF263" s="1">
        <f>VLOOKUP(A263,'SegEnds_NonXtal_Prot#'!A:AL,22,FALSE)-VLOOKUP(A263,'SegEnds_NonXtal_Prot#'!A:AL,19,FALSE)</f>
        <v>20</v>
      </c>
      <c r="AG263" s="1">
        <f>VLOOKUP(A263,'SegEnds_NonXtal_Prot#'!A:AL,28,FALSE)-VLOOKUP(A263,'SegEnds_NonXtal_Prot#'!A:AL,25,FALSE)</f>
        <v>22</v>
      </c>
      <c r="AH263" s="1">
        <f>VLOOKUP(A263,'SegEnds_NonXtal_Prot#'!A:AL,28,FALSE)-VLOOKUP(A263,'SegEnds_NonXtal_Prot#'!A:AL,22,FALSE)</f>
        <v>43</v>
      </c>
      <c r="AI263" s="1">
        <f>VLOOKUP(A263,'SegEnds_NonXtal_Prot#'!A:AL,31,FALSE)-VLOOKUP(A263,'SegEnds_NonXtal_Prot#'!A:AL,28,FALSE)</f>
        <v>43</v>
      </c>
      <c r="AJ263" s="1">
        <f>VLOOKUP(A263,'SegEnds_NonXtal_Prot#'!A:AL,34,FALSE)-VLOOKUP(A263,'SegEnds_NonXtal_Prot#'!A:AL,31,FALSE)</f>
        <v>44</v>
      </c>
      <c r="AK263" s="1">
        <f>VLOOKUP(A263,'SegEnds_NonXtal_Prot#'!A:AL,37,FALSE)-VLOOKUP(A263,'SegEnds_NonXtal_Prot#'!A:AL,34,FALSE)</f>
        <v>10</v>
      </c>
      <c r="AL263" s="1" t="str">
        <f>IF(ISERROR(MATCH(A263,'SegEnds_Xtal_Prot#'!B:B, 0)), "NoXtal", "Xtal")</f>
        <v>NoXtal</v>
      </c>
    </row>
    <row r="264" spans="1:38" x14ac:dyDescent="0.2">
      <c r="A264" s="1" t="s">
        <v>144</v>
      </c>
      <c r="B264" s="1" t="str">
        <f>VLOOKUP(A264,Xtal_Templ!A:B,2,FALSE)</f>
        <v>agtr1_human</v>
      </c>
      <c r="C264" s="5">
        <f>VLOOKUP($B264&amp;"__wt",'SegEnds_Xtal_BW#'!$A:$Z,3,FALSE)</f>
        <v>28</v>
      </c>
      <c r="D264" s="1">
        <f>VLOOKUP($B264&amp;"__wt",'SegEnds_Xtal_BW#'!$A:$Z,4,FALSE)</f>
        <v>60</v>
      </c>
      <c r="E264" s="1">
        <f>VLOOKUP($B264&amp;"__wt",'SegEnds_Xtal_BW#'!$A:$Z,5,FALSE)</f>
        <v>48</v>
      </c>
      <c r="F264" s="1">
        <f>VLOOKUP($B264&amp;"__wt",'SegEnds_Xtal_BW#'!$A:$Z,6,FALSE)</f>
        <v>51</v>
      </c>
      <c r="G264" s="1">
        <v>37</v>
      </c>
      <c r="H264" s="12">
        <f>VLOOKUP($B264&amp;"__wt",'SegEnds_Xtal_BW#'!$A:$Z,8,FALSE)</f>
        <v>66</v>
      </c>
      <c r="I264" s="1">
        <f>VLOOKUP($B264&amp;"__wt",'SegEnds_Xtal_BW#'!$A:$Z,9,FALSE)</f>
        <v>49</v>
      </c>
      <c r="J264" s="1">
        <f>VLOOKUP($B264&amp;"__wt",'SegEnds_Xtal_BW#'!$A:$Z,10,FALSE)</f>
        <v>52</v>
      </c>
      <c r="K264" s="12">
        <v>21</v>
      </c>
      <c r="L264" s="1">
        <f>VLOOKUP($B264&amp;"__wt",'SegEnds_Xtal_BW#'!$A:$Z,12,FALSE)</f>
        <v>56</v>
      </c>
      <c r="M264" s="1">
        <f>VLOOKUP($B264&amp;"__wt",'SegEnds_Xtal_BW#'!$A:$Z,13,FALSE)</f>
        <v>50</v>
      </c>
      <c r="N264" s="12">
        <f>VLOOKUP($B264&amp;"__wt",'SegEnds_Xtal_BW#'!$A:$Z,14,FALSE)</f>
        <v>57</v>
      </c>
      <c r="O264" s="87">
        <f>VLOOKUP($B264&amp;"__wt",'SegEnds_Xtal_BW#'!$A:$Z,15,FALSE)</f>
        <v>38</v>
      </c>
      <c r="P264" s="1">
        <f>VLOOKUP($B264&amp;"__wt",'SegEnds_Xtal_BW#'!$A:$Z,16,FALSE)</f>
        <v>64</v>
      </c>
      <c r="Q264" s="1">
        <f>VLOOKUP($B264&amp;"__wt",'SegEnds_Xtal_BW#'!$A:$Z,17,FALSE)</f>
        <v>50</v>
      </c>
      <c r="R264" s="1">
        <f>VLOOKUP($B264&amp;"__wt",'SegEnds_Xtal_BW#'!$A:$Z,18,FALSE)</f>
        <v>52</v>
      </c>
      <c r="S264" s="1">
        <f>VLOOKUP($B264&amp;"__wt",'SegEnds_Xtal_BW#'!$A:$Z,19,FALSE)</f>
        <v>34</v>
      </c>
      <c r="T264" s="1">
        <f t="array" ref="T264">INDEX(ICL3_classA!$G$2:$G$37,MATCH(MIN(ABS(AI264-ICL3_classA!$F$2:$F$37)),ABS(AI264-ICL3_classA!$F$2:$F$37),0))</f>
        <v>68</v>
      </c>
      <c r="U264" s="1">
        <f t="array" ref="U264">INDEX(ICL3_classA!$H$2:$H$37,MATCH(MIN(ABS(AI264-ICL3_classA!$F$2:$F$37)),ABS(AI264-ICL3_classA!$F$2:$F$37),0))</f>
        <v>30</v>
      </c>
      <c r="V264" s="1">
        <v>64</v>
      </c>
      <c r="W264" s="1">
        <v>24</v>
      </c>
      <c r="X264" s="1">
        <f>VLOOKUP($B264&amp;"__wt",'SegEnds_Xtal_BW#'!$A:$Z,24,FALSE)</f>
        <v>56</v>
      </c>
      <c r="Y264" s="1">
        <f>VLOOKUP($B264&amp;"__wt",'SegEnds_Xtal_BW#'!$A:$Z,25,FALSE)</f>
        <v>47</v>
      </c>
      <c r="Z264" s="1">
        <f>VLOOKUP($B264&amp;"__wt",'SegEnds_Xtal_BW#'!$A:$Z,26,FALSE)</f>
        <v>61</v>
      </c>
      <c r="AA264" s="27" t="str">
        <f>VLOOKUP(A264,Classification!A:B,2,FALSE)</f>
        <v>A</v>
      </c>
      <c r="AB264" s="1">
        <f>VLOOKUP(A264,'SegEnds_NonXtal_Prot#'!A:AL,10,FALSE)-VLOOKUP(A264,'SegEnds_NonXtal_Prot#'!A:AL,4,FALSE)</f>
        <v>28</v>
      </c>
      <c r="AC264" s="1">
        <f>VLOOKUP(A264,'SegEnds_NonXtal_Prot#'!A:AL,10,FALSE)-VLOOKUP(A264,'SegEnds_NonXtal_Prot#'!A:AL,7,FALSE)</f>
        <v>15</v>
      </c>
      <c r="AD264" s="1">
        <f>VLOOKUP(A264,'SegEnds_NonXtal_Prot#'!A:AL,13,FALSE)-VLOOKUP(A264,'SegEnds_NonXtal_Prot#'!A:AL,10,FALSE)</f>
        <v>20</v>
      </c>
      <c r="AE264" s="1">
        <f>VLOOKUP(A264,'SegEnds_NonXtal_Prot#'!A:AL,16,FALSE)-VLOOKUP(A264,'SegEnds_NonXtal_Prot#'!A:AL,10,FALSE)</f>
        <v>52</v>
      </c>
      <c r="AF264" s="1" t="e">
        <f>VLOOKUP(A264,'SegEnds_NonXtal_Prot#'!A:AL,22,FALSE)-VLOOKUP(A264,'SegEnds_NonXtal_Prot#'!A:AL,19,FALSE)</f>
        <v>#VALUE!</v>
      </c>
      <c r="AG264" s="1">
        <f>VLOOKUP(A264,'SegEnds_NonXtal_Prot#'!A:AL,28,FALSE)-VLOOKUP(A264,'SegEnds_NonXtal_Prot#'!A:AL,25,FALSE)</f>
        <v>28</v>
      </c>
      <c r="AH264" s="1">
        <f>VLOOKUP(A264,'SegEnds_NonXtal_Prot#'!A:AL,28,FALSE)-VLOOKUP(A264,'SegEnds_NonXtal_Prot#'!A:AL,22,FALSE)</f>
        <v>55</v>
      </c>
      <c r="AI264" s="1">
        <f>VLOOKUP(A264,'SegEnds_NonXtal_Prot#'!A:AL,31,FALSE)-VLOOKUP(A264,'SegEnds_NonXtal_Prot#'!A:AL,28,FALSE)</f>
        <v>43</v>
      </c>
      <c r="AJ264" s="1">
        <f>VLOOKUP(A264,'SegEnds_NonXtal_Prot#'!A:AL,34,FALSE)-VLOOKUP(A264,'SegEnds_NonXtal_Prot#'!A:AL,31,FALSE)</f>
        <v>45</v>
      </c>
      <c r="AK264" s="1">
        <f>VLOOKUP(A264,'SegEnds_NonXtal_Prot#'!A:AL,37,FALSE)-VLOOKUP(A264,'SegEnds_NonXtal_Prot#'!A:AL,34,FALSE)</f>
        <v>10</v>
      </c>
      <c r="AL264" s="1" t="str">
        <f>IF(ISERROR(MATCH(A264,'SegEnds_Xtal_Prot#'!B:B, 0)), "NoXtal", "Xtal")</f>
        <v>NoXtal</v>
      </c>
    </row>
    <row r="265" spans="1:38" x14ac:dyDescent="0.2">
      <c r="A265" s="1" t="s">
        <v>145</v>
      </c>
      <c r="B265" s="1" t="str">
        <f>VLOOKUP(A265,Xtal_Templ!A:B,2,FALSE)</f>
        <v>ccr9_human</v>
      </c>
      <c r="C265" s="5">
        <f>VLOOKUP($B265&amp;"__wt",'SegEnds_Xtal_BW#'!$A:$Z,3,FALSE)</f>
        <v>27</v>
      </c>
      <c r="D265" s="1">
        <f>VLOOKUP($B265&amp;"__wt",'SegEnds_Xtal_BW#'!$A:$Z,4,FALSE)</f>
        <v>60</v>
      </c>
      <c r="E265" s="1">
        <f>VLOOKUP($B265&amp;"__wt",'SegEnds_Xtal_BW#'!$A:$Z,5,FALSE)</f>
        <v>48</v>
      </c>
      <c r="F265" s="1">
        <f>VLOOKUP($B265&amp;"__wt",'SegEnds_Xtal_BW#'!$A:$Z,6,FALSE)</f>
        <v>51</v>
      </c>
      <c r="G265" s="1">
        <v>37</v>
      </c>
      <c r="H265" s="12">
        <v>66</v>
      </c>
      <c r="I265" s="1">
        <f>VLOOKUP($B265&amp;"__wt",'SegEnds_Xtal_BW#'!$A:$Z,9,FALSE)</f>
        <v>49</v>
      </c>
      <c r="J265" s="1">
        <f>VLOOKUP($B265&amp;"__wt",'SegEnds_Xtal_BW#'!$A:$Z,10,FALSE)</f>
        <v>52</v>
      </c>
      <c r="K265" s="108">
        <v>21</v>
      </c>
      <c r="L265" s="1">
        <f>VLOOKUP($B265&amp;"__wt",'SegEnds_Xtal_BW#'!$A:$Z,12,FALSE)</f>
        <v>56</v>
      </c>
      <c r="M265" s="1">
        <f>VLOOKUP($B265&amp;"__wt",'SegEnds_Xtal_BW#'!$A:$Z,13,FALSE)</f>
        <v>50</v>
      </c>
      <c r="N265" s="12">
        <f>VLOOKUP($B265&amp;"__wt",'SegEnds_Xtal_BW#'!$A:$Z,14,FALSE)</f>
        <v>56</v>
      </c>
      <c r="O265" s="87">
        <v>38</v>
      </c>
      <c r="P265" s="1">
        <f>VLOOKUP($B265&amp;"__wt",'SegEnds_Xtal_BW#'!$A:$Z,16,FALSE)</f>
        <v>64</v>
      </c>
      <c r="Q265" s="1">
        <f>VLOOKUP($B265&amp;"__wt",'SegEnds_Xtal_BW#'!$A:$Z,17,FALSE)</f>
        <v>50</v>
      </c>
      <c r="R265" s="1">
        <f>VLOOKUP($B265&amp;"__wt",'SegEnds_Xtal_BW#'!$A:$Z,18,FALSE)</f>
        <v>52</v>
      </c>
      <c r="S265" s="1">
        <f>VLOOKUP($B265&amp;"__wt",'SegEnds_Xtal_BW#'!$A:$Z,19,FALSE)</f>
        <v>33</v>
      </c>
      <c r="T265" s="1">
        <f t="array" ref="T265">INDEX(ICL3_classA!$G$2:$G$37,MATCH(MIN(ABS(AI265-ICL3_classA!$F$2:$F$37)),ABS(AI265-ICL3_classA!$F$2:$F$37),0))</f>
        <v>68</v>
      </c>
      <c r="U265" s="1">
        <f t="array" ref="U265">INDEX(ICL3_classA!$H$2:$H$37,MATCH(MIN(ABS(AI265-ICL3_classA!$F$2:$F$37)),ABS(AI265-ICL3_classA!$F$2:$F$37),0))</f>
        <v>30</v>
      </c>
      <c r="V265" s="1">
        <v>64</v>
      </c>
      <c r="W265" s="1">
        <v>24</v>
      </c>
      <c r="X265" s="1">
        <f>VLOOKUP($B265&amp;"__wt",'SegEnds_Xtal_BW#'!$A:$Z,24,FALSE)</f>
        <v>56</v>
      </c>
      <c r="Y265" s="1">
        <f>VLOOKUP($B265&amp;"__wt",'SegEnds_Xtal_BW#'!$A:$Z,25,FALSE)</f>
        <v>47</v>
      </c>
      <c r="Z265" s="1">
        <f>VLOOKUP($B265&amp;"__wt",'SegEnds_Xtal_BW#'!$A:$Z,26,FALSE)</f>
        <v>67</v>
      </c>
      <c r="AA265" s="27" t="str">
        <f>VLOOKUP(A265,Classification!A:B,2,FALSE)</f>
        <v>A</v>
      </c>
      <c r="AB265" s="1">
        <f>VLOOKUP(A265,'SegEnds_NonXtal_Prot#'!A:AL,10,FALSE)-VLOOKUP(A265,'SegEnds_NonXtal_Prot#'!A:AL,4,FALSE)</f>
        <v>28</v>
      </c>
      <c r="AC265" s="1">
        <f>VLOOKUP(A265,'SegEnds_NonXtal_Prot#'!A:AL,10,FALSE)-VLOOKUP(A265,'SegEnds_NonXtal_Prot#'!A:AL,7,FALSE)</f>
        <v>15</v>
      </c>
      <c r="AD265" s="1">
        <f>VLOOKUP(A265,'SegEnds_NonXtal_Prot#'!A:AL,13,FALSE)-VLOOKUP(A265,'SegEnds_NonXtal_Prot#'!A:AL,10,FALSE)</f>
        <v>18</v>
      </c>
      <c r="AE265" s="1">
        <f>VLOOKUP(A265,'SegEnds_NonXtal_Prot#'!A:AL,16,FALSE)-VLOOKUP(A265,'SegEnds_NonXtal_Prot#'!A:AL,10,FALSE)</f>
        <v>50</v>
      </c>
      <c r="AF265" s="1" t="e">
        <f>VLOOKUP(A265,'SegEnds_NonXtal_Prot#'!A:AL,22,FALSE)-VLOOKUP(A265,'SegEnds_NonXtal_Prot#'!A:AL,19,FALSE)</f>
        <v>#VALUE!</v>
      </c>
      <c r="AG265" s="1">
        <f>VLOOKUP(A265,'SegEnds_NonXtal_Prot#'!A:AL,28,FALSE)-VLOOKUP(A265,'SegEnds_NonXtal_Prot#'!A:AL,25,FALSE)</f>
        <v>28</v>
      </c>
      <c r="AH265" s="1">
        <f>VLOOKUP(A265,'SegEnds_NonXtal_Prot#'!A:AL,28,FALSE)-VLOOKUP(A265,'SegEnds_NonXtal_Prot#'!A:AL,22,FALSE)</f>
        <v>50</v>
      </c>
      <c r="AI265" s="1">
        <f>VLOOKUP(A265,'SegEnds_NonXtal_Prot#'!A:AL,31,FALSE)-VLOOKUP(A265,'SegEnds_NonXtal_Prot#'!A:AL,28,FALSE)</f>
        <v>43</v>
      </c>
      <c r="AJ265" s="1">
        <f>VLOOKUP(A265,'SegEnds_NonXtal_Prot#'!A:AL,34,FALSE)-VLOOKUP(A265,'SegEnds_NonXtal_Prot#'!A:AL,31,FALSE)</f>
        <v>45</v>
      </c>
      <c r="AK265" s="1">
        <f>VLOOKUP(A265,'SegEnds_NonXtal_Prot#'!A:AL,37,FALSE)-VLOOKUP(A265,'SegEnds_NonXtal_Prot#'!A:AL,34,FALSE)</f>
        <v>10</v>
      </c>
      <c r="AL265" s="1" t="str">
        <f>IF(ISERROR(MATCH(A265,'SegEnds_Xtal_Prot#'!B:B, 0)), "NoXtal", "Xtal")</f>
        <v>NoXtal</v>
      </c>
    </row>
    <row r="266" spans="1:38" x14ac:dyDescent="0.2">
      <c r="A266" s="1" t="s">
        <v>169</v>
      </c>
      <c r="B266" s="1" t="str">
        <f>VLOOKUP(A266,Xtal_Templ!A:B,2,FALSE)</f>
        <v>ccr9_human</v>
      </c>
      <c r="C266" s="5">
        <f>VLOOKUP($B266&amp;"__wt",'SegEnds_Xtal_BW#'!$A:$Z,3,FALSE)</f>
        <v>27</v>
      </c>
      <c r="D266" s="1">
        <f>VLOOKUP($B266&amp;"__wt",'SegEnds_Xtal_BW#'!$A:$Z,4,FALSE)</f>
        <v>60</v>
      </c>
      <c r="E266" s="1">
        <f>VLOOKUP($B266&amp;"__wt",'SegEnds_Xtal_BW#'!$A:$Z,5,FALSE)</f>
        <v>48</v>
      </c>
      <c r="F266" s="1">
        <f>VLOOKUP($B266&amp;"__wt",'SegEnds_Xtal_BW#'!$A:$Z,6,FALSE)</f>
        <v>51</v>
      </c>
      <c r="G266" s="1">
        <v>37</v>
      </c>
      <c r="H266" s="12">
        <v>66</v>
      </c>
      <c r="I266" s="1">
        <f>VLOOKUP($B266&amp;"__wt",'SegEnds_Xtal_BW#'!$A:$Z,9,FALSE)</f>
        <v>49</v>
      </c>
      <c r="J266" s="1">
        <f>VLOOKUP($B266&amp;"__wt",'SegEnds_Xtal_BW#'!$A:$Z,10,FALSE)</f>
        <v>52</v>
      </c>
      <c r="K266" s="12">
        <v>24</v>
      </c>
      <c r="L266" s="1">
        <f>VLOOKUP($B266&amp;"__wt",'SegEnds_Xtal_BW#'!$A:$Z,12,FALSE)</f>
        <v>56</v>
      </c>
      <c r="M266" s="1">
        <f>VLOOKUP($B266&amp;"__wt",'SegEnds_Xtal_BW#'!$A:$Z,13,FALSE)</f>
        <v>50</v>
      </c>
      <c r="N266" s="12">
        <f>VLOOKUP($B266&amp;"__wt",'SegEnds_Xtal_BW#'!$A:$Z,14,FALSE)</f>
        <v>56</v>
      </c>
      <c r="O266" s="87">
        <v>38</v>
      </c>
      <c r="P266" s="1">
        <f>VLOOKUP($B266&amp;"__wt",'SegEnds_Xtal_BW#'!$A:$Z,16,FALSE)</f>
        <v>64</v>
      </c>
      <c r="Q266" s="1">
        <f>VLOOKUP($B266&amp;"__wt",'SegEnds_Xtal_BW#'!$A:$Z,17,FALSE)</f>
        <v>50</v>
      </c>
      <c r="R266" s="1">
        <f>VLOOKUP($B266&amp;"__wt",'SegEnds_Xtal_BW#'!$A:$Z,18,FALSE)</f>
        <v>52</v>
      </c>
      <c r="S266" s="1">
        <f>VLOOKUP($B266&amp;"__wt",'SegEnds_Xtal_BW#'!$A:$Z,19,FALSE)</f>
        <v>33</v>
      </c>
      <c r="T266" s="1">
        <f t="array" ref="T266">INDEX(ICL3_classA!$G$2:$G$37,MATCH(MIN(ABS(AI266-ICL3_classA!$F$2:$F$37)),ABS(AI266-ICL3_classA!$F$2:$F$37),0))</f>
        <v>68</v>
      </c>
      <c r="U266" s="1">
        <f t="array" ref="U266">INDEX(ICL3_classA!$H$2:$H$37,MATCH(MIN(ABS(AI266-ICL3_classA!$F$2:$F$37)),ABS(AI266-ICL3_classA!$F$2:$F$37),0))</f>
        <v>30</v>
      </c>
      <c r="V266" s="1">
        <v>65</v>
      </c>
      <c r="W266" s="1">
        <v>24</v>
      </c>
      <c r="X266" s="1">
        <f>VLOOKUP($B266&amp;"__wt",'SegEnds_Xtal_BW#'!$A:$Z,24,FALSE)</f>
        <v>56</v>
      </c>
      <c r="Y266" s="1">
        <f>VLOOKUP($B266&amp;"__wt",'SegEnds_Xtal_BW#'!$A:$Z,25,FALSE)</f>
        <v>47</v>
      </c>
      <c r="Z266" s="1">
        <f>VLOOKUP($B266&amp;"__wt",'SegEnds_Xtal_BW#'!$A:$Z,26,FALSE)</f>
        <v>67</v>
      </c>
      <c r="AA266" s="27" t="str">
        <f>VLOOKUP(A266,Classification!A:B,2,FALSE)</f>
        <v>A</v>
      </c>
      <c r="AB266" s="1">
        <f>VLOOKUP(A266,'SegEnds_NonXtal_Prot#'!A:AL,10,FALSE)-VLOOKUP(A266,'SegEnds_NonXtal_Prot#'!A:AL,4,FALSE)</f>
        <v>29</v>
      </c>
      <c r="AC266" s="1">
        <f>VLOOKUP(A266,'SegEnds_NonXtal_Prot#'!A:AL,10,FALSE)-VLOOKUP(A266,'SegEnds_NonXtal_Prot#'!A:AL,7,FALSE)</f>
        <v>16</v>
      </c>
      <c r="AD266" s="1">
        <f>VLOOKUP(A266,'SegEnds_NonXtal_Prot#'!A:AL,13,FALSE)-VLOOKUP(A266,'SegEnds_NonXtal_Prot#'!A:AL,10,FALSE)</f>
        <v>18</v>
      </c>
      <c r="AE266" s="1">
        <f>VLOOKUP(A266,'SegEnds_NonXtal_Prot#'!A:AL,16,FALSE)-VLOOKUP(A266,'SegEnds_NonXtal_Prot#'!A:AL,10,FALSE)</f>
        <v>50</v>
      </c>
      <c r="AF266" s="1" t="e">
        <f>VLOOKUP(A266,'SegEnds_NonXtal_Prot#'!A:AL,22,FALSE)-VLOOKUP(A266,'SegEnds_NonXtal_Prot#'!A:AL,19,FALSE)</f>
        <v>#VALUE!</v>
      </c>
      <c r="AG266" s="1">
        <f>VLOOKUP(A266,'SegEnds_NonXtal_Prot#'!A:AL,28,FALSE)-VLOOKUP(A266,'SegEnds_NonXtal_Prot#'!A:AL,25,FALSE)</f>
        <v>28</v>
      </c>
      <c r="AH266" s="1">
        <f>VLOOKUP(A266,'SegEnds_NonXtal_Prot#'!A:AL,28,FALSE)-VLOOKUP(A266,'SegEnds_NonXtal_Prot#'!A:AL,22,FALSE)</f>
        <v>53</v>
      </c>
      <c r="AI266" s="1">
        <f>VLOOKUP(A266,'SegEnds_NonXtal_Prot#'!A:AL,31,FALSE)-VLOOKUP(A266,'SegEnds_NonXtal_Prot#'!A:AL,28,FALSE)</f>
        <v>43</v>
      </c>
      <c r="AJ266" s="1">
        <f>VLOOKUP(A266,'SegEnds_NonXtal_Prot#'!A:AL,34,FALSE)-VLOOKUP(A266,'SegEnds_NonXtal_Prot#'!A:AL,31,FALSE)</f>
        <v>45</v>
      </c>
      <c r="AK266" s="1">
        <f>VLOOKUP(A266,'SegEnds_NonXtal_Prot#'!A:AL,37,FALSE)-VLOOKUP(A266,'SegEnds_NonXtal_Prot#'!A:AL,34,FALSE)</f>
        <v>10</v>
      </c>
      <c r="AL266" s="1" t="str">
        <f>IF(ISERROR(MATCH(A266,'SegEnds_Xtal_Prot#'!B:B, 0)), "NoXtal", "Xtal")</f>
        <v>NoXtal</v>
      </c>
    </row>
    <row r="267" spans="1:38" x14ac:dyDescent="0.2">
      <c r="A267" s="12" t="s">
        <v>175</v>
      </c>
      <c r="B267" s="12" t="str">
        <f>VLOOKUP(A267,Xtal_Templ!A:B,2,FALSE)</f>
        <v>ccr9_human</v>
      </c>
      <c r="C267" s="13">
        <f>VLOOKUP($B267&amp;"__wt",'SegEnds_Xtal_BW#'!$A:$Z,3,FALSE)</f>
        <v>27</v>
      </c>
      <c r="D267" s="12">
        <f>VLOOKUP($B267&amp;"__wt",'SegEnds_Xtal_BW#'!$A:$Z,4,FALSE)</f>
        <v>60</v>
      </c>
      <c r="E267" s="12">
        <f>VLOOKUP($B267&amp;"__wt",'SegEnds_Xtal_BW#'!$A:$Z,5,FALSE)</f>
        <v>48</v>
      </c>
      <c r="F267" s="12">
        <f>VLOOKUP($B267&amp;"__wt",'SegEnds_Xtal_BW#'!$A:$Z,6,FALSE)</f>
        <v>51</v>
      </c>
      <c r="G267" s="12">
        <v>37</v>
      </c>
      <c r="H267" s="12">
        <v>66</v>
      </c>
      <c r="I267" s="12">
        <f>VLOOKUP($B267&amp;"__wt",'SegEnds_Xtal_BW#'!$A:$Z,9,FALSE)</f>
        <v>49</v>
      </c>
      <c r="J267" s="12">
        <f>VLOOKUP($B267&amp;"__wt",'SegEnds_Xtal_BW#'!$A:$Z,10,FALSE)</f>
        <v>52</v>
      </c>
      <c r="K267" s="12">
        <v>24</v>
      </c>
      <c r="L267" s="12">
        <f>VLOOKUP($B267&amp;"__wt",'SegEnds_Xtal_BW#'!$A:$Z,12,FALSE)</f>
        <v>56</v>
      </c>
      <c r="M267" s="12">
        <f>VLOOKUP($B267&amp;"__wt",'SegEnds_Xtal_BW#'!$A:$Z,13,FALSE)</f>
        <v>50</v>
      </c>
      <c r="N267" s="12">
        <v>58</v>
      </c>
      <c r="O267" s="87">
        <v>38</v>
      </c>
      <c r="P267" s="12">
        <f>VLOOKUP($B267&amp;"__wt",'SegEnds_Xtal_BW#'!$A:$Z,16,FALSE)</f>
        <v>64</v>
      </c>
      <c r="Q267" s="12">
        <f>VLOOKUP($B267&amp;"__wt",'SegEnds_Xtal_BW#'!$A:$Z,17,FALSE)</f>
        <v>50</v>
      </c>
      <c r="R267" s="12">
        <f>VLOOKUP($B267&amp;"__wt",'SegEnds_Xtal_BW#'!$A:$Z,18,FALSE)</f>
        <v>52</v>
      </c>
      <c r="S267" s="12">
        <f>VLOOKUP($B267&amp;"__wt",'SegEnds_Xtal_BW#'!$A:$Z,19,FALSE)</f>
        <v>33</v>
      </c>
      <c r="T267" s="12">
        <f t="array" ref="T267">INDEX(ICL3_classA!$G$2:$G$37,MATCH(MIN(ABS(AI267-ICL3_classA!$F$2:$F$37)),ABS(AI267-ICL3_classA!$F$2:$F$37),0))</f>
        <v>68</v>
      </c>
      <c r="U267" s="12">
        <f t="array" ref="U267">INDEX(ICL3_classA!$H$2:$H$37,MATCH(MIN(ABS(AI267-ICL3_classA!$F$2:$F$37)),ABS(AI267-ICL3_classA!$F$2:$F$37),0))</f>
        <v>30</v>
      </c>
      <c r="V267" s="12">
        <v>65</v>
      </c>
      <c r="W267" s="12">
        <v>24</v>
      </c>
      <c r="X267" s="12">
        <f>VLOOKUP($B267&amp;"__wt",'SegEnds_Xtal_BW#'!$A:$Z,24,FALSE)</f>
        <v>56</v>
      </c>
      <c r="Y267" s="12">
        <f>VLOOKUP($B267&amp;"__wt",'SegEnds_Xtal_BW#'!$A:$Z,25,FALSE)</f>
        <v>47</v>
      </c>
      <c r="Z267" s="12">
        <f>VLOOKUP($B267&amp;"__wt",'SegEnds_Xtal_BW#'!$A:$Z,26,FALSE)</f>
        <v>67</v>
      </c>
      <c r="AA267" s="36" t="str">
        <f>VLOOKUP(A267,Classification!A:B,2,FALSE)</f>
        <v>A</v>
      </c>
      <c r="AB267" s="1">
        <f>VLOOKUP(A267,'SegEnds_NonXtal_Prot#'!A:AL,10,FALSE)-VLOOKUP(A267,'SegEnds_NonXtal_Prot#'!A:AL,4,FALSE)</f>
        <v>28</v>
      </c>
      <c r="AC267" s="12">
        <f>VLOOKUP(A267,'SegEnds_NonXtal_Prot#'!A:AL,10,FALSE)-VLOOKUP(A267,'SegEnds_NonXtal_Prot#'!A:AL,7,FALSE)</f>
        <v>15</v>
      </c>
      <c r="AD267" s="12">
        <f>VLOOKUP(A267,'SegEnds_NonXtal_Prot#'!A:AL,13,FALSE)-VLOOKUP(A267,'SegEnds_NonXtal_Prot#'!A:AL,10,FALSE)</f>
        <v>18</v>
      </c>
      <c r="AE267" s="12">
        <f>VLOOKUP(A267,'SegEnds_NonXtal_Prot#'!A:AL,16,FALSE)-VLOOKUP(A267,'SegEnds_NonXtal_Prot#'!A:AL,10,FALSE)</f>
        <v>50</v>
      </c>
      <c r="AF267" s="1">
        <f>VLOOKUP(A267,'SegEnds_NonXtal_Prot#'!A:AL,22,FALSE)-VLOOKUP(A267,'SegEnds_NonXtal_Prot#'!A:AL,19,FALSE)</f>
        <v>22</v>
      </c>
      <c r="AG267" s="12">
        <f>VLOOKUP(A267,'SegEnds_NonXtal_Prot#'!A:AL,28,FALSE)-VLOOKUP(A267,'SegEnds_NonXtal_Prot#'!A:AL,25,FALSE)</f>
        <v>25</v>
      </c>
      <c r="AH267" s="1">
        <f>VLOOKUP(A267,'SegEnds_NonXtal_Prot#'!A:AL,28,FALSE)-VLOOKUP(A267,'SegEnds_NonXtal_Prot#'!A:AL,22,FALSE)</f>
        <v>52</v>
      </c>
      <c r="AI267" s="12">
        <f>VLOOKUP(A267,'SegEnds_NonXtal_Prot#'!A:AL,31,FALSE)-VLOOKUP(A267,'SegEnds_NonXtal_Prot#'!A:AL,28,FALSE)</f>
        <v>43</v>
      </c>
      <c r="AJ267" s="12">
        <f>VLOOKUP(A267,'SegEnds_NonXtal_Prot#'!A:AL,34,FALSE)-VLOOKUP(A267,'SegEnds_NonXtal_Prot#'!A:AL,31,FALSE)</f>
        <v>45</v>
      </c>
      <c r="AK267" s="1">
        <f>VLOOKUP(A267,'SegEnds_NonXtal_Prot#'!A:AL,37,FALSE)-VLOOKUP(A267,'SegEnds_NonXtal_Prot#'!A:AL,34,FALSE)</f>
        <v>10</v>
      </c>
      <c r="AL267" s="12" t="str">
        <f>IF(ISERROR(MATCH(A267,'SegEnds_Xtal_Prot#'!B:B, 0)), "NoXtal", "Xtal")</f>
        <v>NoXtal</v>
      </c>
    </row>
    <row r="268" spans="1:38" x14ac:dyDescent="0.2">
      <c r="A268" s="12" t="s">
        <v>177</v>
      </c>
      <c r="B268" s="12" t="str">
        <f>VLOOKUP(A268,Xtal_Templ!A:B,2,FALSE)</f>
        <v>ccr9_human</v>
      </c>
      <c r="C268" s="13">
        <f>VLOOKUP($B268&amp;"__wt",'SegEnds_Xtal_BW#'!$A:$Z,3,FALSE)</f>
        <v>27</v>
      </c>
      <c r="D268" s="12">
        <f>VLOOKUP($B268&amp;"__wt",'SegEnds_Xtal_BW#'!$A:$Z,4,FALSE)</f>
        <v>60</v>
      </c>
      <c r="E268" s="12">
        <f>VLOOKUP($B268&amp;"__wt",'SegEnds_Xtal_BW#'!$A:$Z,5,FALSE)</f>
        <v>48</v>
      </c>
      <c r="F268" s="12">
        <f>VLOOKUP($B268&amp;"__wt",'SegEnds_Xtal_BW#'!$A:$Z,6,FALSE)</f>
        <v>51</v>
      </c>
      <c r="G268" s="12">
        <v>37</v>
      </c>
      <c r="H268" s="12">
        <v>66</v>
      </c>
      <c r="I268" s="12">
        <f>VLOOKUP($B268&amp;"__wt",'SegEnds_Xtal_BW#'!$A:$Z,9,FALSE)</f>
        <v>49</v>
      </c>
      <c r="J268" s="12">
        <f>VLOOKUP($B268&amp;"__wt",'SegEnds_Xtal_BW#'!$A:$Z,10,FALSE)</f>
        <v>52</v>
      </c>
      <c r="K268" s="12">
        <v>24</v>
      </c>
      <c r="L268" s="12">
        <f>VLOOKUP($B268&amp;"__wt",'SegEnds_Xtal_BW#'!$A:$Z,12,FALSE)</f>
        <v>56</v>
      </c>
      <c r="M268" s="12">
        <f>VLOOKUP($B268&amp;"__wt",'SegEnds_Xtal_BW#'!$A:$Z,13,FALSE)</f>
        <v>50</v>
      </c>
      <c r="N268" s="12">
        <f>VLOOKUP($B268&amp;"__wt",'SegEnds_Xtal_BW#'!$A:$Z,14,FALSE)</f>
        <v>56</v>
      </c>
      <c r="O268" s="87">
        <f>VLOOKUP($B268&amp;"__wt",'SegEnds_Xtal_BW#'!$A:$Z,15,FALSE)</f>
        <v>35</v>
      </c>
      <c r="P268" s="12">
        <f>VLOOKUP($B268&amp;"__wt",'SegEnds_Xtal_BW#'!$A:$Z,16,FALSE)</f>
        <v>64</v>
      </c>
      <c r="Q268" s="12">
        <f>VLOOKUP($B268&amp;"__wt",'SegEnds_Xtal_BW#'!$A:$Z,17,FALSE)</f>
        <v>50</v>
      </c>
      <c r="R268" s="12">
        <f>VLOOKUP($B268&amp;"__wt",'SegEnds_Xtal_BW#'!$A:$Z,18,FALSE)</f>
        <v>52</v>
      </c>
      <c r="S268" s="12">
        <f>VLOOKUP($B268&amp;"__wt",'SegEnds_Xtal_BW#'!$A:$Z,19,FALSE)</f>
        <v>33</v>
      </c>
      <c r="T268" s="12">
        <f t="array" ref="T268">INDEX(ICL3_classA!$G$2:$G$37,MATCH(MIN(ABS(AI268-ICL3_classA!$F$2:$F$37)),ABS(AI268-ICL3_classA!$F$2:$F$37),0))</f>
        <v>68</v>
      </c>
      <c r="U268" s="12">
        <f t="array" ref="U268">INDEX(ICL3_classA!$H$2:$H$37,MATCH(MIN(ABS(AI268-ICL3_classA!$F$2:$F$37)),ABS(AI268-ICL3_classA!$F$2:$F$37),0))</f>
        <v>30</v>
      </c>
      <c r="V268" s="12">
        <v>65</v>
      </c>
      <c r="W268" s="12">
        <v>24</v>
      </c>
      <c r="X268" s="12">
        <f>VLOOKUP($B268&amp;"__wt",'SegEnds_Xtal_BW#'!$A:$Z,24,FALSE)</f>
        <v>56</v>
      </c>
      <c r="Y268" s="12">
        <f>VLOOKUP($B268&amp;"__wt",'SegEnds_Xtal_BW#'!$A:$Z,25,FALSE)</f>
        <v>47</v>
      </c>
      <c r="Z268" s="12">
        <f>VLOOKUP($B268&amp;"__wt",'SegEnds_Xtal_BW#'!$A:$Z,26,FALSE)</f>
        <v>67</v>
      </c>
      <c r="AA268" s="36" t="str">
        <f>VLOOKUP(A268,Classification!A:B,2,FALSE)</f>
        <v>A</v>
      </c>
      <c r="AB268" s="1">
        <f>VLOOKUP(A268,'SegEnds_NonXtal_Prot#'!A:AL,10,FALSE)-VLOOKUP(A268,'SegEnds_NonXtal_Prot#'!A:AL,4,FALSE)</f>
        <v>28</v>
      </c>
      <c r="AC268" s="12">
        <f>VLOOKUP(A268,'SegEnds_NonXtal_Prot#'!A:AL,10,FALSE)-VLOOKUP(A268,'SegEnds_NonXtal_Prot#'!A:AL,7,FALSE)</f>
        <v>15</v>
      </c>
      <c r="AD268" s="12">
        <f>VLOOKUP(A268,'SegEnds_NonXtal_Prot#'!A:AL,13,FALSE)-VLOOKUP(A268,'SegEnds_NonXtal_Prot#'!A:AL,10,FALSE)</f>
        <v>18</v>
      </c>
      <c r="AE268" s="12">
        <f>VLOOKUP(A268,'SegEnds_NonXtal_Prot#'!A:AL,16,FALSE)-VLOOKUP(A268,'SegEnds_NonXtal_Prot#'!A:AL,10,FALSE)</f>
        <v>50</v>
      </c>
      <c r="AF268" s="1">
        <f>VLOOKUP(A268,'SegEnds_NonXtal_Prot#'!A:AL,22,FALSE)-VLOOKUP(A268,'SegEnds_NonXtal_Prot#'!A:AL,19,FALSE)</f>
        <v>22</v>
      </c>
      <c r="AG268" s="12">
        <f>VLOOKUP(A268,'SegEnds_NonXtal_Prot#'!A:AL,28,FALSE)-VLOOKUP(A268,'SegEnds_NonXtal_Prot#'!A:AL,25,FALSE)</f>
        <v>28</v>
      </c>
      <c r="AH268" s="1">
        <f>VLOOKUP(A268,'SegEnds_NonXtal_Prot#'!A:AL,28,FALSE)-VLOOKUP(A268,'SegEnds_NonXtal_Prot#'!A:AL,22,FALSE)</f>
        <v>53</v>
      </c>
      <c r="AI268" s="12">
        <f>VLOOKUP(A268,'SegEnds_NonXtal_Prot#'!A:AL,31,FALSE)-VLOOKUP(A268,'SegEnds_NonXtal_Prot#'!A:AL,28,FALSE)</f>
        <v>43</v>
      </c>
      <c r="AJ268" s="12">
        <f>VLOOKUP(A268,'SegEnds_NonXtal_Prot#'!A:AL,34,FALSE)-VLOOKUP(A268,'SegEnds_NonXtal_Prot#'!A:AL,31,FALSE)</f>
        <v>45</v>
      </c>
      <c r="AK268" s="1">
        <f>VLOOKUP(A268,'SegEnds_NonXtal_Prot#'!A:AL,37,FALSE)-VLOOKUP(A268,'SegEnds_NonXtal_Prot#'!A:AL,34,FALSE)</f>
        <v>10</v>
      </c>
      <c r="AL268" s="12" t="str">
        <f>IF(ISERROR(MATCH(A268,'SegEnds_Xtal_Prot#'!B:B, 0)), "NoXtal", "Xtal")</f>
        <v>Xtal</v>
      </c>
    </row>
    <row r="269" spans="1:38" x14ac:dyDescent="0.2">
      <c r="A269" s="1" t="s">
        <v>185</v>
      </c>
      <c r="B269" s="1" t="str">
        <f>VLOOKUP(A269,Xtal_Templ!A:B,2,FALSE)</f>
        <v>ccr2_human</v>
      </c>
      <c r="C269" s="5">
        <f>VLOOKUP($B269&amp;"__wt",'SegEnds_Xtal_BW#'!$A:$Z,3,FALSE)</f>
        <v>27</v>
      </c>
      <c r="D269" s="1">
        <f>VLOOKUP($B269&amp;"__wt",'SegEnds_Xtal_BW#'!$A:$Z,4,FALSE)</f>
        <v>60</v>
      </c>
      <c r="E269" s="1">
        <f>VLOOKUP($B269&amp;"__wt",'SegEnds_Xtal_BW#'!$A:$Z,5,FALSE)</f>
        <v>48</v>
      </c>
      <c r="F269" s="1">
        <f>VLOOKUP($B269&amp;"__wt",'SegEnds_Xtal_BW#'!$A:$Z,6,FALSE)</f>
        <v>51</v>
      </c>
      <c r="G269" s="1">
        <v>37</v>
      </c>
      <c r="H269" s="12">
        <v>66</v>
      </c>
      <c r="I269" s="1">
        <f>VLOOKUP($B269&amp;"__wt",'SegEnds_Xtal_BW#'!$A:$Z,9,FALSE)</f>
        <v>49</v>
      </c>
      <c r="J269" s="1">
        <f>VLOOKUP($B269&amp;"__wt",'SegEnds_Xtal_BW#'!$A:$Z,10,FALSE)</f>
        <v>52</v>
      </c>
      <c r="K269" s="12">
        <v>24</v>
      </c>
      <c r="L269" s="1">
        <f>VLOOKUP($B269&amp;"__wt",'SegEnds_Xtal_BW#'!$A:$Z,12,FALSE)</f>
        <v>56</v>
      </c>
      <c r="M269" s="1">
        <f>VLOOKUP($B269&amp;"__wt",'SegEnds_Xtal_BW#'!$A:$Z,13,FALSE)</f>
        <v>50</v>
      </c>
      <c r="N269" s="108">
        <v>56</v>
      </c>
      <c r="O269" s="87">
        <f>VLOOKUP($B269&amp;"__wt",'SegEnds_Xtal_BW#'!$A:$Z,15,FALSE)</f>
        <v>38</v>
      </c>
      <c r="P269" s="1">
        <f>VLOOKUP($B269&amp;"__wt",'SegEnds_Xtal_BW#'!$A:$Z,16,FALSE)</f>
        <v>64</v>
      </c>
      <c r="Q269" s="1">
        <f>VLOOKUP($B269&amp;"__wt",'SegEnds_Xtal_BW#'!$A:$Z,17,FALSE)</f>
        <v>50</v>
      </c>
      <c r="R269" s="1">
        <f>VLOOKUP($B269&amp;"__wt",'SegEnds_Xtal_BW#'!$A:$Z,18,FALSE)</f>
        <v>52</v>
      </c>
      <c r="S269" s="1">
        <f>VLOOKUP($B269&amp;"__wt",'SegEnds_Xtal_BW#'!$A:$Z,19,FALSE)</f>
        <v>31</v>
      </c>
      <c r="T269" s="1">
        <f t="array" ref="T269">INDEX(ICL3_classA!$G$2:$G$37,MATCH(MIN(ABS(AI269-ICL3_classA!$F$2:$F$37)),ABS(AI269-ICL3_classA!$F$2:$F$37),0))</f>
        <v>68</v>
      </c>
      <c r="U269" s="1">
        <f t="array" ref="U269">INDEX(ICL3_classA!$H$2:$H$37,MATCH(MIN(ABS(AI269-ICL3_classA!$F$2:$F$37)),ABS(AI269-ICL3_classA!$F$2:$F$37),0))</f>
        <v>30</v>
      </c>
      <c r="V269" s="1">
        <v>64</v>
      </c>
      <c r="W269" s="1">
        <v>24</v>
      </c>
      <c r="X269" s="1">
        <f>VLOOKUP($B269&amp;"__wt",'SegEnds_Xtal_BW#'!$A:$Z,24,FALSE)</f>
        <v>56</v>
      </c>
      <c r="Y269" s="1">
        <f>VLOOKUP($B269&amp;"__wt",'SegEnds_Xtal_BW#'!$A:$Z,25,FALSE)</f>
        <v>47</v>
      </c>
      <c r="Z269" s="1">
        <f>VLOOKUP($B269&amp;"__wt",'SegEnds_Xtal_BW#'!$A:$Z,26,FALSE)</f>
        <v>58</v>
      </c>
      <c r="AA269" s="27" t="str">
        <f>VLOOKUP(A269,Classification!A:B,2,FALSE)</f>
        <v>A</v>
      </c>
      <c r="AB269" s="1">
        <f>VLOOKUP(A269,'SegEnds_NonXtal_Prot#'!A:AL,10,FALSE)-VLOOKUP(A269,'SegEnds_NonXtal_Prot#'!A:AL,4,FALSE)</f>
        <v>28</v>
      </c>
      <c r="AC269" s="1">
        <f>VLOOKUP(A269,'SegEnds_NonXtal_Prot#'!A:AL,10,FALSE)-VLOOKUP(A269,'SegEnds_NonXtal_Prot#'!A:AL,7,FALSE)</f>
        <v>15</v>
      </c>
      <c r="AD269" s="1">
        <f>VLOOKUP(A269,'SegEnds_NonXtal_Prot#'!A:AL,13,FALSE)-VLOOKUP(A269,'SegEnds_NonXtal_Prot#'!A:AL,10,FALSE)</f>
        <v>18</v>
      </c>
      <c r="AE269" s="1">
        <f>VLOOKUP(A269,'SegEnds_NonXtal_Prot#'!A:AL,16,FALSE)-VLOOKUP(A269,'SegEnds_NonXtal_Prot#'!A:AL,10,FALSE)</f>
        <v>50</v>
      </c>
      <c r="AF269" s="1">
        <f>VLOOKUP(A269,'SegEnds_NonXtal_Prot#'!A:AL,22,FALSE)-VLOOKUP(A269,'SegEnds_NonXtal_Prot#'!A:AL,19,FALSE)</f>
        <v>19</v>
      </c>
      <c r="AG269" s="1">
        <f>VLOOKUP(A269,'SegEnds_NonXtal_Prot#'!A:AL,28,FALSE)-VLOOKUP(A269,'SegEnds_NonXtal_Prot#'!A:AL,25,FALSE)</f>
        <v>27</v>
      </c>
      <c r="AH269" s="1">
        <f>VLOOKUP(A269,'SegEnds_NonXtal_Prot#'!A:AL,28,FALSE)-VLOOKUP(A269,'SegEnds_NonXtal_Prot#'!A:AL,22,FALSE)</f>
        <v>53</v>
      </c>
      <c r="AI269" s="1">
        <f>VLOOKUP(A269,'SegEnds_NonXtal_Prot#'!A:AL,31,FALSE)-VLOOKUP(A269,'SegEnds_NonXtal_Prot#'!A:AL,28,FALSE)</f>
        <v>43</v>
      </c>
      <c r="AJ269" s="1">
        <f>VLOOKUP(A269,'SegEnds_NonXtal_Prot#'!A:AL,34,FALSE)-VLOOKUP(A269,'SegEnds_NonXtal_Prot#'!A:AL,31,FALSE)</f>
        <v>45</v>
      </c>
      <c r="AK269" s="1">
        <f>VLOOKUP(A269,'SegEnds_NonXtal_Prot#'!A:AL,37,FALSE)-VLOOKUP(A269,'SegEnds_NonXtal_Prot#'!A:AL,34,FALSE)</f>
        <v>10</v>
      </c>
      <c r="AL269" s="1" t="str">
        <f>IF(ISERROR(MATCH(A269,'SegEnds_Xtal_Prot#'!B:B, 0)), "NoXtal", "Xtal")</f>
        <v>NoXtal</v>
      </c>
    </row>
    <row r="270" spans="1:38" x14ac:dyDescent="0.2">
      <c r="A270" s="1" t="s">
        <v>186</v>
      </c>
      <c r="B270" s="1" t="str">
        <f>VLOOKUP(A270,Xtal_Templ!A:B,2,FALSE)</f>
        <v>ccr9_human</v>
      </c>
      <c r="C270" s="5">
        <f>VLOOKUP($B270&amp;"__wt",'SegEnds_Xtal_BW#'!$A:$Z,3,FALSE)</f>
        <v>27</v>
      </c>
      <c r="D270" s="1">
        <f>VLOOKUP($B270&amp;"__wt",'SegEnds_Xtal_BW#'!$A:$Z,4,FALSE)</f>
        <v>60</v>
      </c>
      <c r="E270" s="1">
        <f>VLOOKUP($B270&amp;"__wt",'SegEnds_Xtal_BW#'!$A:$Z,5,FALSE)</f>
        <v>48</v>
      </c>
      <c r="F270" s="1">
        <f>VLOOKUP($B270&amp;"__wt",'SegEnds_Xtal_BW#'!$A:$Z,6,FALSE)</f>
        <v>51</v>
      </c>
      <c r="G270" s="1">
        <v>37</v>
      </c>
      <c r="H270" s="12">
        <v>66</v>
      </c>
      <c r="I270" s="1">
        <f>VLOOKUP($B270&amp;"__wt",'SegEnds_Xtal_BW#'!$A:$Z,9,FALSE)</f>
        <v>49</v>
      </c>
      <c r="J270" s="1">
        <f>VLOOKUP($B270&amp;"__wt",'SegEnds_Xtal_BW#'!$A:$Z,10,FALSE)</f>
        <v>52</v>
      </c>
      <c r="K270" s="12">
        <v>24</v>
      </c>
      <c r="L270" s="1">
        <f>VLOOKUP($B270&amp;"__wt",'SegEnds_Xtal_BW#'!$A:$Z,12,FALSE)</f>
        <v>56</v>
      </c>
      <c r="M270" s="1">
        <f>VLOOKUP($B270&amp;"__wt",'SegEnds_Xtal_BW#'!$A:$Z,13,FALSE)</f>
        <v>50</v>
      </c>
      <c r="N270" s="108">
        <v>56</v>
      </c>
      <c r="O270" s="108">
        <v>38</v>
      </c>
      <c r="P270" s="1">
        <f>VLOOKUP($B270&amp;"__wt",'SegEnds_Xtal_BW#'!$A:$Z,16,FALSE)</f>
        <v>64</v>
      </c>
      <c r="Q270" s="1">
        <f>VLOOKUP($B270&amp;"__wt",'SegEnds_Xtal_BW#'!$A:$Z,17,FALSE)</f>
        <v>50</v>
      </c>
      <c r="R270" s="1">
        <f>VLOOKUP($B270&amp;"__wt",'SegEnds_Xtal_BW#'!$A:$Z,18,FALSE)</f>
        <v>52</v>
      </c>
      <c r="S270" s="1">
        <f>VLOOKUP($B270&amp;"__wt",'SegEnds_Xtal_BW#'!$A:$Z,19,FALSE)</f>
        <v>33</v>
      </c>
      <c r="T270" s="1">
        <f t="array" ref="T270">INDEX(ICL3_classA!$G$2:$G$37,MATCH(MIN(ABS(AI270-ICL3_classA!$F$2:$F$37)),ABS(AI270-ICL3_classA!$F$2:$F$37),0))</f>
        <v>68</v>
      </c>
      <c r="U270" s="1">
        <f t="array" ref="U270">INDEX(ICL3_classA!$H$2:$H$37,MATCH(MIN(ABS(AI270-ICL3_classA!$F$2:$F$37)),ABS(AI270-ICL3_classA!$F$2:$F$37),0))</f>
        <v>30</v>
      </c>
      <c r="V270" s="1">
        <v>64</v>
      </c>
      <c r="W270" s="1">
        <v>24</v>
      </c>
      <c r="X270" s="1">
        <f>VLOOKUP($B270&amp;"__wt",'SegEnds_Xtal_BW#'!$A:$Z,24,FALSE)</f>
        <v>56</v>
      </c>
      <c r="Y270" s="1">
        <f>VLOOKUP($B270&amp;"__wt",'SegEnds_Xtal_BW#'!$A:$Z,25,FALSE)</f>
        <v>47</v>
      </c>
      <c r="Z270" s="1">
        <f>VLOOKUP($B270&amp;"__wt",'SegEnds_Xtal_BW#'!$A:$Z,26,FALSE)</f>
        <v>67</v>
      </c>
      <c r="AA270" s="27" t="str">
        <f>VLOOKUP(A270,Classification!A:B,2,FALSE)</f>
        <v>A</v>
      </c>
      <c r="AB270" s="1">
        <f>VLOOKUP(A270,'SegEnds_NonXtal_Prot#'!A:AL,10,FALSE)-VLOOKUP(A270,'SegEnds_NonXtal_Prot#'!A:AL,4,FALSE)</f>
        <v>28</v>
      </c>
      <c r="AC270" s="1">
        <f>VLOOKUP(A270,'SegEnds_NonXtal_Prot#'!A:AL,10,FALSE)-VLOOKUP(A270,'SegEnds_NonXtal_Prot#'!A:AL,7,FALSE)</f>
        <v>15</v>
      </c>
      <c r="AD270" s="1">
        <f>VLOOKUP(A270,'SegEnds_NonXtal_Prot#'!A:AL,13,FALSE)-VLOOKUP(A270,'SegEnds_NonXtal_Prot#'!A:AL,10,FALSE)</f>
        <v>18</v>
      </c>
      <c r="AE270" s="1">
        <f>VLOOKUP(A270,'SegEnds_NonXtal_Prot#'!A:AL,16,FALSE)-VLOOKUP(A270,'SegEnds_NonXtal_Prot#'!A:AL,10,FALSE)</f>
        <v>50</v>
      </c>
      <c r="AF270" s="1">
        <f>VLOOKUP(A270,'SegEnds_NonXtal_Prot#'!A:AL,22,FALSE)-VLOOKUP(A270,'SegEnds_NonXtal_Prot#'!A:AL,19,FALSE)</f>
        <v>19</v>
      </c>
      <c r="AG270" s="1">
        <f>VLOOKUP(A270,'SegEnds_NonXtal_Prot#'!A:AL,28,FALSE)-VLOOKUP(A270,'SegEnds_NonXtal_Prot#'!A:AL,25,FALSE)</f>
        <v>27</v>
      </c>
      <c r="AH270" s="1">
        <f>VLOOKUP(A270,'SegEnds_NonXtal_Prot#'!A:AL,28,FALSE)-VLOOKUP(A270,'SegEnds_NonXtal_Prot#'!A:AL,22,FALSE)</f>
        <v>53</v>
      </c>
      <c r="AI270" s="1">
        <f>VLOOKUP(A270,'SegEnds_NonXtal_Prot#'!A:AL,31,FALSE)-VLOOKUP(A270,'SegEnds_NonXtal_Prot#'!A:AL,28,FALSE)</f>
        <v>43</v>
      </c>
      <c r="AJ270" s="1">
        <f>VLOOKUP(A270,'SegEnds_NonXtal_Prot#'!A:AL,34,FALSE)-VLOOKUP(A270,'SegEnds_NonXtal_Prot#'!A:AL,31,FALSE)</f>
        <v>45</v>
      </c>
      <c r="AK270" s="1">
        <f>VLOOKUP(A270,'SegEnds_NonXtal_Prot#'!A:AL,37,FALSE)-VLOOKUP(A270,'SegEnds_NonXtal_Prot#'!A:AL,34,FALSE)</f>
        <v>10</v>
      </c>
      <c r="AL270" s="1" t="str">
        <f>IF(ISERROR(MATCH(A270,'SegEnds_Xtal_Prot#'!B:B, 0)), "NoXtal", "Xtal")</f>
        <v>NoXtal</v>
      </c>
    </row>
    <row r="271" spans="1:38" x14ac:dyDescent="0.2">
      <c r="A271" s="1" t="s">
        <v>187</v>
      </c>
      <c r="B271" s="1" t="str">
        <f>VLOOKUP(A271,Xtal_Templ!A:B,2,FALSE)</f>
        <v>cxcr4_human</v>
      </c>
      <c r="C271" s="5">
        <f>VLOOKUP($B271&amp;"__wt",'SegEnds_Xtal_BW#'!$A:$Z,3,FALSE)</f>
        <v>24</v>
      </c>
      <c r="D271" s="1">
        <f>VLOOKUP($B271&amp;"__wt",'SegEnds_Xtal_BW#'!$A:$Z,4,FALSE)</f>
        <v>60</v>
      </c>
      <c r="E271" s="1">
        <f>VLOOKUP($B271&amp;"__wt",'SegEnds_Xtal_BW#'!$A:$Z,5,FALSE)</f>
        <v>48</v>
      </c>
      <c r="F271" s="1">
        <f>VLOOKUP($B271&amp;"__wt",'SegEnds_Xtal_BW#'!$A:$Z,6,FALSE)</f>
        <v>51</v>
      </c>
      <c r="G271" s="1">
        <v>37</v>
      </c>
      <c r="H271" s="12">
        <v>66</v>
      </c>
      <c r="I271" s="1">
        <f>VLOOKUP($B271&amp;"__wt",'SegEnds_Xtal_BW#'!$A:$Z,9,FALSE)</f>
        <v>49</v>
      </c>
      <c r="J271" s="1">
        <f>VLOOKUP($B271&amp;"__wt",'SegEnds_Xtal_BW#'!$A:$Z,10,FALSE)</f>
        <v>52</v>
      </c>
      <c r="K271" s="12">
        <v>24</v>
      </c>
      <c r="L271" s="1">
        <f>VLOOKUP($B271&amp;"__wt",'SegEnds_Xtal_BW#'!$A:$Z,12,FALSE)</f>
        <v>56</v>
      </c>
      <c r="M271" s="1">
        <f>VLOOKUP($B271&amp;"__wt",'SegEnds_Xtal_BW#'!$A:$Z,13,FALSE)</f>
        <v>50</v>
      </c>
      <c r="N271" s="12">
        <v>57</v>
      </c>
      <c r="O271" s="87">
        <v>38</v>
      </c>
      <c r="P271" s="1">
        <f>VLOOKUP($B271&amp;"__wt",'SegEnds_Xtal_BW#'!$A:$Z,16,FALSE)</f>
        <v>64</v>
      </c>
      <c r="Q271" s="1">
        <f>VLOOKUP($B271&amp;"__wt",'SegEnds_Xtal_BW#'!$A:$Z,17,FALSE)</f>
        <v>50</v>
      </c>
      <c r="R271" s="1">
        <f>VLOOKUP($B271&amp;"__wt",'SegEnds_Xtal_BW#'!$A:$Z,18,FALSE)</f>
        <v>52</v>
      </c>
      <c r="S271" s="1">
        <f>VLOOKUP($B271&amp;"__wt",'SegEnds_Xtal_BW#'!$A:$Z,19,FALSE)</f>
        <v>32</v>
      </c>
      <c r="T271" s="1">
        <f t="array" ref="T271">INDEX(ICL3_classA!$G$2:$G$37,MATCH(MIN(ABS(AI271-ICL3_classA!$F$2:$F$37)),ABS(AI271-ICL3_classA!$F$2:$F$37),0))</f>
        <v>68</v>
      </c>
      <c r="U271" s="1">
        <f t="array" ref="U271">INDEX(ICL3_classA!$H$2:$H$37,MATCH(MIN(ABS(AI271-ICL3_classA!$F$2:$F$37)),ABS(AI271-ICL3_classA!$F$2:$F$37),0))</f>
        <v>30</v>
      </c>
      <c r="V271" s="1">
        <v>64</v>
      </c>
      <c r="W271" s="1">
        <v>24</v>
      </c>
      <c r="X271" s="1">
        <f>VLOOKUP($B271&amp;"__wt",'SegEnds_Xtal_BW#'!$A:$Z,24,FALSE)</f>
        <v>56</v>
      </c>
      <c r="Y271" s="1">
        <f>VLOOKUP($B271&amp;"__wt",'SegEnds_Xtal_BW#'!$A:$Z,25,FALSE)</f>
        <v>47</v>
      </c>
      <c r="Z271" s="1">
        <f>VLOOKUP($B271&amp;"__wt",'SegEnds_Xtal_BW#'!$A:$Z,26,FALSE)</f>
        <v>59</v>
      </c>
      <c r="AA271" s="27" t="str">
        <f>VLOOKUP(A271,Classification!A:B,2,FALSE)</f>
        <v>A</v>
      </c>
      <c r="AB271" s="1">
        <f>VLOOKUP(A271,'SegEnds_NonXtal_Prot#'!A:AL,10,FALSE)-VLOOKUP(A271,'SegEnds_NonXtal_Prot#'!A:AL,4,FALSE)</f>
        <v>28</v>
      </c>
      <c r="AC271" s="1">
        <f>VLOOKUP(A271,'SegEnds_NonXtal_Prot#'!A:AL,10,FALSE)-VLOOKUP(A271,'SegEnds_NonXtal_Prot#'!A:AL,7,FALSE)</f>
        <v>15</v>
      </c>
      <c r="AD271" s="1">
        <f>VLOOKUP(A271,'SegEnds_NonXtal_Prot#'!A:AL,13,FALSE)-VLOOKUP(A271,'SegEnds_NonXtal_Prot#'!A:AL,10,FALSE)</f>
        <v>18</v>
      </c>
      <c r="AE271" s="1">
        <f>VLOOKUP(A271,'SegEnds_NonXtal_Prot#'!A:AL,16,FALSE)-VLOOKUP(A271,'SegEnds_NonXtal_Prot#'!A:AL,10,FALSE)</f>
        <v>50</v>
      </c>
      <c r="AF271" s="1">
        <f>VLOOKUP(A271,'SegEnds_NonXtal_Prot#'!A:AL,22,FALSE)-VLOOKUP(A271,'SegEnds_NonXtal_Prot#'!A:AL,19,FALSE)</f>
        <v>20</v>
      </c>
      <c r="AG271" s="1">
        <f>VLOOKUP(A271,'SegEnds_NonXtal_Prot#'!A:AL,28,FALSE)-VLOOKUP(A271,'SegEnds_NonXtal_Prot#'!A:AL,25,FALSE)</f>
        <v>24</v>
      </c>
      <c r="AH271" s="1">
        <f>VLOOKUP(A271,'SegEnds_NonXtal_Prot#'!A:AL,28,FALSE)-VLOOKUP(A271,'SegEnds_NonXtal_Prot#'!A:AL,22,FALSE)</f>
        <v>51</v>
      </c>
      <c r="AI271" s="1">
        <f>VLOOKUP(A271,'SegEnds_NonXtal_Prot#'!A:AL,31,FALSE)-VLOOKUP(A271,'SegEnds_NonXtal_Prot#'!A:AL,28,FALSE)</f>
        <v>43</v>
      </c>
      <c r="AJ271" s="1">
        <f>VLOOKUP(A271,'SegEnds_NonXtal_Prot#'!A:AL,34,FALSE)-VLOOKUP(A271,'SegEnds_NonXtal_Prot#'!A:AL,31,FALSE)</f>
        <v>45</v>
      </c>
      <c r="AK271" s="1">
        <f>VLOOKUP(A271,'SegEnds_NonXtal_Prot#'!A:AL,37,FALSE)-VLOOKUP(A271,'SegEnds_NonXtal_Prot#'!A:AL,34,FALSE)</f>
        <v>10</v>
      </c>
      <c r="AL271" s="1" t="str">
        <f>IF(ISERROR(MATCH(A271,'SegEnds_Xtal_Prot#'!B:B, 0)), "NoXtal", "Xtal")</f>
        <v>NoXtal</v>
      </c>
    </row>
    <row r="272" spans="1:38" x14ac:dyDescent="0.2">
      <c r="A272" s="1" t="s">
        <v>1172</v>
      </c>
      <c r="B272" s="1" t="str">
        <f>VLOOKUP(A272,Xtal_Templ!A:B,2,FALSE)</f>
        <v>cxcr4_human</v>
      </c>
      <c r="C272" s="5">
        <f>VLOOKUP($B272&amp;"__wt",'SegEnds_Xtal_BW#'!$A:$Z,3,FALSE)</f>
        <v>24</v>
      </c>
      <c r="D272" s="1">
        <f>VLOOKUP($B272&amp;"__wt",'SegEnds_Xtal_BW#'!$A:$Z,4,FALSE)</f>
        <v>60</v>
      </c>
      <c r="E272" s="1">
        <f>VLOOKUP($B272&amp;"__wt",'SegEnds_Xtal_BW#'!$A:$Z,5,FALSE)</f>
        <v>48</v>
      </c>
      <c r="F272" s="1">
        <f>VLOOKUP($B272&amp;"__wt",'SegEnds_Xtal_BW#'!$A:$Z,6,FALSE)</f>
        <v>51</v>
      </c>
      <c r="G272" s="1">
        <v>37</v>
      </c>
      <c r="H272" s="12">
        <v>66</v>
      </c>
      <c r="I272" s="1">
        <f>VLOOKUP($B272&amp;"__wt",'SegEnds_Xtal_BW#'!$A:$Z,9,FALSE)</f>
        <v>49</v>
      </c>
      <c r="J272" s="1">
        <f>VLOOKUP($B272&amp;"__wt",'SegEnds_Xtal_BW#'!$A:$Z,10,FALSE)</f>
        <v>52</v>
      </c>
      <c r="K272" s="12">
        <v>24</v>
      </c>
      <c r="L272" s="1">
        <f>VLOOKUP($B272&amp;"__wt",'SegEnds_Xtal_BW#'!$A:$Z,12,FALSE)</f>
        <v>56</v>
      </c>
      <c r="M272" s="1">
        <f>VLOOKUP($B272&amp;"__wt",'SegEnds_Xtal_BW#'!$A:$Z,13,FALSE)</f>
        <v>50</v>
      </c>
      <c r="N272" s="12">
        <f>VLOOKUP($B272&amp;"__wt",'SegEnds_Xtal_BW#'!$A:$Z,14,FALSE)</f>
        <v>57</v>
      </c>
      <c r="O272" s="87">
        <f>VLOOKUP($B272&amp;"__wt",'SegEnds_Xtal_BW#'!$A:$Z,15,FALSE)</f>
        <v>38</v>
      </c>
      <c r="P272" s="1">
        <f>VLOOKUP($B272&amp;"__wt",'SegEnds_Xtal_BW#'!$A:$Z,16,FALSE)</f>
        <v>64</v>
      </c>
      <c r="Q272" s="1">
        <f>VLOOKUP($B272&amp;"__wt",'SegEnds_Xtal_BW#'!$A:$Z,17,FALSE)</f>
        <v>50</v>
      </c>
      <c r="R272" s="1">
        <f>VLOOKUP($B272&amp;"__wt",'SegEnds_Xtal_BW#'!$A:$Z,18,FALSE)</f>
        <v>52</v>
      </c>
      <c r="S272" s="1">
        <f>VLOOKUP($B272&amp;"__wt",'SegEnds_Xtal_BW#'!$A:$Z,19,FALSE)</f>
        <v>32</v>
      </c>
      <c r="T272" s="1">
        <f t="array" ref="T272">INDEX(ICL3_classA!$G$2:$G$37,MATCH(MIN(ABS(AI272-ICL3_classA!$F$2:$F$37)),ABS(AI272-ICL3_classA!$F$2:$F$37),0))</f>
        <v>68</v>
      </c>
      <c r="U272" s="1">
        <f t="array" ref="U272">INDEX(ICL3_classA!$H$2:$H$37,MATCH(MIN(ABS(AI272-ICL3_classA!$F$2:$F$37)),ABS(AI272-ICL3_classA!$F$2:$F$37),0))</f>
        <v>30</v>
      </c>
      <c r="V272" s="1">
        <v>64</v>
      </c>
      <c r="W272" s="1">
        <v>24</v>
      </c>
      <c r="X272" s="1">
        <f>VLOOKUP($B272&amp;"__wt",'SegEnds_Xtal_BW#'!$A:$Z,24,FALSE)</f>
        <v>56</v>
      </c>
      <c r="Y272" s="1">
        <f>VLOOKUP($B272&amp;"__wt",'SegEnds_Xtal_BW#'!$A:$Z,25,FALSE)</f>
        <v>47</v>
      </c>
      <c r="Z272" s="1">
        <f>VLOOKUP($B272&amp;"__wt",'SegEnds_Xtal_BW#'!$A:$Z,26,FALSE)</f>
        <v>59</v>
      </c>
      <c r="AA272" s="27" t="str">
        <f>VLOOKUP(A272,Classification!A:B,2,FALSE)</f>
        <v>A</v>
      </c>
      <c r="AB272" s="1">
        <f>VLOOKUP(A272,'SegEnds_NonXtal_Prot#'!A:AL,10,FALSE)-VLOOKUP(A272,'SegEnds_NonXtal_Prot#'!A:AL,4,FALSE)</f>
        <v>28</v>
      </c>
      <c r="AC272" s="1">
        <f>VLOOKUP(A272,'SegEnds_NonXtal_Prot#'!A:AL,10,FALSE)-VLOOKUP(A272,'SegEnds_NonXtal_Prot#'!A:AL,7,FALSE)</f>
        <v>15</v>
      </c>
      <c r="AD272" s="1">
        <f>VLOOKUP(A272,'SegEnds_NonXtal_Prot#'!A:AL,13,FALSE)-VLOOKUP(A272,'SegEnds_NonXtal_Prot#'!A:AL,10,FALSE)</f>
        <v>18</v>
      </c>
      <c r="AE272" s="1">
        <f>VLOOKUP(A272,'SegEnds_NonXtal_Prot#'!A:AL,16,FALSE)-VLOOKUP(A272,'SegEnds_NonXtal_Prot#'!A:AL,10,FALSE)</f>
        <v>50</v>
      </c>
      <c r="AF272" s="1">
        <f>VLOOKUP(A272,'SegEnds_NonXtal_Prot#'!A:AL,22,FALSE)-VLOOKUP(A272,'SegEnds_NonXtal_Prot#'!A:AL,19,FALSE)</f>
        <v>20</v>
      </c>
      <c r="AG272" s="1">
        <f>VLOOKUP(A272,'SegEnds_NonXtal_Prot#'!A:AL,28,FALSE)-VLOOKUP(A272,'SegEnds_NonXtal_Prot#'!A:AL,25,FALSE)</f>
        <v>25</v>
      </c>
      <c r="AH272" s="1">
        <f>VLOOKUP(A272,'SegEnds_NonXtal_Prot#'!A:AL,28,FALSE)-VLOOKUP(A272,'SegEnds_NonXtal_Prot#'!A:AL,22,FALSE)</f>
        <v>50</v>
      </c>
      <c r="AI272" s="1">
        <f>VLOOKUP(A272,'SegEnds_NonXtal_Prot#'!A:AL,31,FALSE)-VLOOKUP(A272,'SegEnds_NonXtal_Prot#'!A:AL,28,FALSE)</f>
        <v>43</v>
      </c>
      <c r="AJ272" s="1">
        <f>VLOOKUP(A272,'SegEnds_NonXtal_Prot#'!A:AL,34,FALSE)-VLOOKUP(A272,'SegEnds_NonXtal_Prot#'!A:AL,31,FALSE)</f>
        <v>45</v>
      </c>
      <c r="AK272" s="1">
        <f>VLOOKUP(A272,'SegEnds_NonXtal_Prot#'!A:AL,37,FALSE)-VLOOKUP(A272,'SegEnds_NonXtal_Prot#'!A:AL,34,FALSE)</f>
        <v>10</v>
      </c>
      <c r="AL272" s="1" t="str">
        <f>IF(ISERROR(MATCH(A272,'SegEnds_Xtal_Prot#'!B:B, 0)), "NoXtal", "Xtal")</f>
        <v>Xtal</v>
      </c>
    </row>
    <row r="273" spans="1:38" x14ac:dyDescent="0.2">
      <c r="A273" s="1" t="s">
        <v>188</v>
      </c>
      <c r="B273" s="1" t="str">
        <f>VLOOKUP(A273,Xtal_Templ!A:B,2,FALSE)</f>
        <v>cxcr4_human</v>
      </c>
      <c r="C273" s="5">
        <f>VLOOKUP($B273&amp;"__wt",'SegEnds_Xtal_BW#'!$A:$Z,3,FALSE)</f>
        <v>24</v>
      </c>
      <c r="D273" s="1">
        <f>VLOOKUP($B273&amp;"__wt",'SegEnds_Xtal_BW#'!$A:$Z,4,FALSE)</f>
        <v>60</v>
      </c>
      <c r="E273" s="1">
        <f>VLOOKUP($B273&amp;"__wt",'SegEnds_Xtal_BW#'!$A:$Z,5,FALSE)</f>
        <v>48</v>
      </c>
      <c r="F273" s="1">
        <f>VLOOKUP($B273&amp;"__wt",'SegEnds_Xtal_BW#'!$A:$Z,6,FALSE)</f>
        <v>51</v>
      </c>
      <c r="G273" s="1">
        <v>37</v>
      </c>
      <c r="H273" s="12">
        <v>66</v>
      </c>
      <c r="I273" s="1">
        <f>VLOOKUP($B273&amp;"__wt",'SegEnds_Xtal_BW#'!$A:$Z,9,FALSE)</f>
        <v>49</v>
      </c>
      <c r="J273" s="1">
        <f>VLOOKUP($B273&amp;"__wt",'SegEnds_Xtal_BW#'!$A:$Z,10,FALSE)</f>
        <v>52</v>
      </c>
      <c r="K273" s="12">
        <v>24</v>
      </c>
      <c r="L273" s="1">
        <f>VLOOKUP($B273&amp;"__wt",'SegEnds_Xtal_BW#'!$A:$Z,12,FALSE)</f>
        <v>56</v>
      </c>
      <c r="M273" s="1">
        <f>VLOOKUP($B273&amp;"__wt",'SegEnds_Xtal_BW#'!$A:$Z,13,FALSE)</f>
        <v>50</v>
      </c>
      <c r="N273" s="12">
        <v>57</v>
      </c>
      <c r="O273" s="87">
        <v>38</v>
      </c>
      <c r="P273" s="1">
        <f>VLOOKUP($B273&amp;"__wt",'SegEnds_Xtal_BW#'!$A:$Z,16,FALSE)</f>
        <v>64</v>
      </c>
      <c r="Q273" s="1">
        <f>VLOOKUP($B273&amp;"__wt",'SegEnds_Xtal_BW#'!$A:$Z,17,FALSE)</f>
        <v>50</v>
      </c>
      <c r="R273" s="1">
        <f>VLOOKUP($B273&amp;"__wt",'SegEnds_Xtal_BW#'!$A:$Z,18,FALSE)</f>
        <v>52</v>
      </c>
      <c r="S273" s="1">
        <f>VLOOKUP($B273&amp;"__wt",'SegEnds_Xtal_BW#'!$A:$Z,19,FALSE)</f>
        <v>32</v>
      </c>
      <c r="T273" s="1">
        <f t="array" ref="T273">INDEX(ICL3_classA!$G$2:$G$37,MATCH(MIN(ABS(AI273-ICL3_classA!$F$2:$F$37)),ABS(AI273-ICL3_classA!$F$2:$F$37),0))</f>
        <v>68</v>
      </c>
      <c r="U273" s="1">
        <f t="array" ref="U273">INDEX(ICL3_classA!$H$2:$H$37,MATCH(MIN(ABS(AI273-ICL3_classA!$F$2:$F$37)),ABS(AI273-ICL3_classA!$F$2:$F$37),0))</f>
        <v>28</v>
      </c>
      <c r="V273" s="1">
        <v>64</v>
      </c>
      <c r="W273" s="1">
        <v>24</v>
      </c>
      <c r="X273" s="1">
        <f>VLOOKUP($B273&amp;"__wt",'SegEnds_Xtal_BW#'!$A:$Z,24,FALSE)</f>
        <v>56</v>
      </c>
      <c r="Y273" s="1">
        <f>VLOOKUP($B273&amp;"__wt",'SegEnds_Xtal_BW#'!$A:$Z,25,FALSE)</f>
        <v>47</v>
      </c>
      <c r="Z273" s="1">
        <f>VLOOKUP($B273&amp;"__wt",'SegEnds_Xtal_BW#'!$A:$Z,26,FALSE)</f>
        <v>59</v>
      </c>
      <c r="AA273" s="27" t="str">
        <f>VLOOKUP(A273,Classification!A:B,2,FALSE)</f>
        <v>A</v>
      </c>
      <c r="AB273" s="1">
        <f>VLOOKUP(A273,'SegEnds_NonXtal_Prot#'!A:AL,10,FALSE)-VLOOKUP(A273,'SegEnds_NonXtal_Prot#'!A:AL,4,FALSE)</f>
        <v>28</v>
      </c>
      <c r="AC273" s="1">
        <f>VLOOKUP(A273,'SegEnds_NonXtal_Prot#'!A:AL,10,FALSE)-VLOOKUP(A273,'SegEnds_NonXtal_Prot#'!A:AL,7,FALSE)</f>
        <v>15</v>
      </c>
      <c r="AD273" s="1">
        <f>VLOOKUP(A273,'SegEnds_NonXtal_Prot#'!A:AL,13,FALSE)-VLOOKUP(A273,'SegEnds_NonXtal_Prot#'!A:AL,10,FALSE)</f>
        <v>18</v>
      </c>
      <c r="AE273" s="1">
        <f>VLOOKUP(A273,'SegEnds_NonXtal_Prot#'!A:AL,16,FALSE)-VLOOKUP(A273,'SegEnds_NonXtal_Prot#'!A:AL,10,FALSE)</f>
        <v>50</v>
      </c>
      <c r="AF273" s="1">
        <f>VLOOKUP(A273,'SegEnds_NonXtal_Prot#'!A:AL,22,FALSE)-VLOOKUP(A273,'SegEnds_NonXtal_Prot#'!A:AL,19,FALSE)</f>
        <v>20</v>
      </c>
      <c r="AG273" s="1">
        <f>VLOOKUP(A273,'SegEnds_NonXtal_Prot#'!A:AL,28,FALSE)-VLOOKUP(A273,'SegEnds_NonXtal_Prot#'!A:AL,25,FALSE)</f>
        <v>28</v>
      </c>
      <c r="AH273" s="1">
        <f>VLOOKUP(A273,'SegEnds_NonXtal_Prot#'!A:AL,28,FALSE)-VLOOKUP(A273,'SegEnds_NonXtal_Prot#'!A:AL,22,FALSE)</f>
        <v>56</v>
      </c>
      <c r="AI273" s="1">
        <f>VLOOKUP(A273,'SegEnds_NonXtal_Prot#'!A:AL,31,FALSE)-VLOOKUP(A273,'SegEnds_NonXtal_Prot#'!A:AL,28,FALSE)</f>
        <v>44</v>
      </c>
      <c r="AJ273" s="1">
        <f>VLOOKUP(A273,'SegEnds_NonXtal_Prot#'!A:AL,34,FALSE)-VLOOKUP(A273,'SegEnds_NonXtal_Prot#'!A:AL,31,FALSE)</f>
        <v>45</v>
      </c>
      <c r="AK273" s="1">
        <f>VLOOKUP(A273,'SegEnds_NonXtal_Prot#'!A:AL,37,FALSE)-VLOOKUP(A273,'SegEnds_NonXtal_Prot#'!A:AL,34,FALSE)</f>
        <v>10</v>
      </c>
      <c r="AL273" s="1" t="str">
        <f>IF(ISERROR(MATCH(A273,'SegEnds_Xtal_Prot#'!B:B, 0)), "NoXtal", "Xtal")</f>
        <v>NoXtal</v>
      </c>
    </row>
    <row r="274" spans="1:38" x14ac:dyDescent="0.2">
      <c r="A274" s="1" t="s">
        <v>194</v>
      </c>
      <c r="B274" s="1" t="str">
        <f>VLOOKUP(A274,Xtal_Templ!A:B,2,FALSE)</f>
        <v>adrb2_human</v>
      </c>
      <c r="C274" s="5">
        <f>VLOOKUP($B274&amp;"__wt",'SegEnds_Xtal_BW#'!$A:$Z,3,FALSE)</f>
        <v>25</v>
      </c>
      <c r="D274" s="1">
        <f>VLOOKUP($B274&amp;"__wt",'SegEnds_Xtal_BW#'!$A:$Z,4,FALSE)</f>
        <v>60</v>
      </c>
      <c r="E274" s="1">
        <f>VLOOKUP($B274&amp;"__wt",'SegEnds_Xtal_BW#'!$A:$Z,5,FALSE)</f>
        <v>48</v>
      </c>
      <c r="F274" s="1">
        <f>VLOOKUP($B274&amp;"__wt",'SegEnds_Xtal_BW#'!$A:$Z,6,FALSE)</f>
        <v>51</v>
      </c>
      <c r="G274" s="1">
        <v>37</v>
      </c>
      <c r="H274" s="12">
        <v>66</v>
      </c>
      <c r="I274" s="1">
        <f>VLOOKUP($B274&amp;"__wt",'SegEnds_Xtal_BW#'!$A:$Z,9,FALSE)</f>
        <v>49</v>
      </c>
      <c r="J274" s="1">
        <f>VLOOKUP($B274&amp;"__wt",'SegEnds_Xtal_BW#'!$A:$Z,10,FALSE)</f>
        <v>52</v>
      </c>
      <c r="K274" s="12">
        <v>21</v>
      </c>
      <c r="L274" s="1">
        <f>VLOOKUP($B274&amp;"__wt",'SegEnds_Xtal_BW#'!$A:$Z,12,FALSE)</f>
        <v>56</v>
      </c>
      <c r="M274" s="1">
        <f>VLOOKUP($B274&amp;"__wt",'SegEnds_Xtal_BW#'!$A:$Z,13,FALSE)</f>
        <v>50</v>
      </c>
      <c r="N274" s="12">
        <v>57</v>
      </c>
      <c r="O274" s="87">
        <v>38</v>
      </c>
      <c r="P274" s="1">
        <f>VLOOKUP($B274&amp;"__wt",'SegEnds_Xtal_BW#'!$A:$Z,16,FALSE)</f>
        <v>64</v>
      </c>
      <c r="Q274" s="1">
        <f>VLOOKUP($B274&amp;"__wt",'SegEnds_Xtal_BW#'!$A:$Z,17,FALSE)</f>
        <v>50</v>
      </c>
      <c r="R274" s="1">
        <f>VLOOKUP($B274&amp;"__wt",'SegEnds_Xtal_BW#'!$A:$Z,18,FALSE)</f>
        <v>52</v>
      </c>
      <c r="S274" s="1">
        <v>35</v>
      </c>
      <c r="T274" s="1">
        <f t="array" ref="T274">INDEX(ICL3_classA!$G$2:$G$37,MATCH(MIN(ABS(AI274-ICL3_classA!$F$2:$F$37)),ABS(AI274-ICL3_classA!$F$2:$F$37),0))</f>
        <v>76</v>
      </c>
      <c r="U274" s="1">
        <f t="array" ref="U274">INDEX(ICL3_classA!$H$2:$H$37,MATCH(MIN(ABS(AI274-ICL3_classA!$F$2:$F$37)),ABS(AI274-ICL3_classA!$F$2:$F$37),0))</f>
        <v>24</v>
      </c>
      <c r="V274" s="1">
        <v>64</v>
      </c>
      <c r="W274" s="1">
        <v>24</v>
      </c>
      <c r="X274" s="126">
        <v>56</v>
      </c>
      <c r="Y274" s="1">
        <f>VLOOKUP($B274&amp;"__wt",'SegEnds_Xtal_BW#'!$A:$Z,25,FALSE)</f>
        <v>47</v>
      </c>
      <c r="Z274" s="1">
        <f>VLOOKUP($B274&amp;"__wt",'SegEnds_Xtal_BW#'!$A:$Z,26,FALSE)</f>
        <v>59</v>
      </c>
      <c r="AA274" s="27" t="str">
        <f>VLOOKUP(A274,Classification!A:B,2,FALSE)</f>
        <v>A</v>
      </c>
      <c r="AB274" s="1">
        <f>VLOOKUP(A274,'SegEnds_NonXtal_Prot#'!A:AL,10,FALSE)-VLOOKUP(A274,'SegEnds_NonXtal_Prot#'!A:AL,4,FALSE)</f>
        <v>29</v>
      </c>
      <c r="AC274" s="1">
        <f>VLOOKUP(A274,'SegEnds_NonXtal_Prot#'!A:AL,10,FALSE)-VLOOKUP(A274,'SegEnds_NonXtal_Prot#'!A:AL,7,FALSE)</f>
        <v>16</v>
      </c>
      <c r="AD274" s="1">
        <f>VLOOKUP(A274,'SegEnds_NonXtal_Prot#'!A:AL,13,FALSE)-VLOOKUP(A274,'SegEnds_NonXtal_Prot#'!A:AL,10,FALSE)</f>
        <v>20</v>
      </c>
      <c r="AE274" s="1">
        <f>VLOOKUP(A274,'SegEnds_NonXtal_Prot#'!A:AL,16,FALSE)-VLOOKUP(A274,'SegEnds_NonXtal_Prot#'!A:AL,10,FALSE)</f>
        <v>51</v>
      </c>
      <c r="AF274" s="1">
        <f>VLOOKUP(A274,'SegEnds_NonXtal_Prot#'!A:AL,22,FALSE)-VLOOKUP(A274,'SegEnds_NonXtal_Prot#'!A:AL,19,FALSE)</f>
        <v>20</v>
      </c>
      <c r="AG274" s="1">
        <f>VLOOKUP(A274,'SegEnds_NonXtal_Prot#'!A:AL,28,FALSE)-VLOOKUP(A274,'SegEnds_NonXtal_Prot#'!A:AL,25,FALSE)</f>
        <v>20</v>
      </c>
      <c r="AH274" s="1">
        <f>VLOOKUP(A274,'SegEnds_NonXtal_Prot#'!A:AL,28,FALSE)-VLOOKUP(A274,'SegEnds_NonXtal_Prot#'!A:AL,22,FALSE)</f>
        <v>72</v>
      </c>
      <c r="AI274" s="1">
        <f>VLOOKUP(A274,'SegEnds_NonXtal_Prot#'!A:AL,31,FALSE)-VLOOKUP(A274,'SegEnds_NonXtal_Prot#'!A:AL,28,FALSE)</f>
        <v>74</v>
      </c>
      <c r="AJ274" s="1">
        <f>VLOOKUP(A274,'SegEnds_NonXtal_Prot#'!A:AL,34,FALSE)-VLOOKUP(A274,'SegEnds_NonXtal_Prot#'!A:AL,31,FALSE)</f>
        <v>45</v>
      </c>
      <c r="AK274" s="1">
        <f>VLOOKUP(A274,'SegEnds_NonXtal_Prot#'!A:AL,37,FALSE)-VLOOKUP(A274,'SegEnds_NonXtal_Prot#'!A:AL,34,FALSE)</f>
        <v>10</v>
      </c>
      <c r="AL274" s="1" t="str">
        <f>IF(ISERROR(MATCH(A274,'SegEnds_Xtal_Prot#'!B:B, 0)), "NoXtal", "Xtal")</f>
        <v>NoXtal</v>
      </c>
    </row>
    <row r="275" spans="1:38" s="12" customFormat="1" x14ac:dyDescent="0.2">
      <c r="A275" s="1" t="s">
        <v>195</v>
      </c>
      <c r="B275" s="1" t="str">
        <f>VLOOKUP(A275,Xtal_Templ!A:B,2,FALSE)</f>
        <v>ednrb_human</v>
      </c>
      <c r="C275" s="5">
        <f>VLOOKUP($B275&amp;"__wt",'SegEnds_Xtal_BW#'!$A:$Z,3,FALSE)</f>
        <v>22</v>
      </c>
      <c r="D275" s="1">
        <f>VLOOKUP($B275&amp;"__wt",'SegEnds_Xtal_BW#'!$A:$Z,4,FALSE)</f>
        <v>60</v>
      </c>
      <c r="E275" s="1">
        <f>VLOOKUP($B275&amp;"__wt",'SegEnds_Xtal_BW#'!$A:$Z,5,FALSE)</f>
        <v>48</v>
      </c>
      <c r="F275" s="1">
        <f>VLOOKUP($B275&amp;"__wt",'SegEnds_Xtal_BW#'!$A:$Z,6,FALSE)</f>
        <v>52</v>
      </c>
      <c r="G275" s="1">
        <v>38</v>
      </c>
      <c r="H275" s="12">
        <v>67</v>
      </c>
      <c r="I275" s="1">
        <f>VLOOKUP($B275&amp;"__wt",'SegEnds_Xtal_BW#'!$A:$Z,9,FALSE)</f>
        <v>49</v>
      </c>
      <c r="J275" s="1">
        <f>VLOOKUP($B275&amp;"__wt",'SegEnds_Xtal_BW#'!$A:$Z,10,FALSE)</f>
        <v>52</v>
      </c>
      <c r="K275" s="9">
        <v>21</v>
      </c>
      <c r="L275" s="1">
        <f>VLOOKUP($B275&amp;"__wt",'SegEnds_Xtal_BW#'!$A:$Z,12,FALSE)</f>
        <v>56</v>
      </c>
      <c r="M275" s="1">
        <f>VLOOKUP($B275&amp;"__wt",'SegEnds_Xtal_BW#'!$A:$Z,13,FALSE)</f>
        <v>50</v>
      </c>
      <c r="N275" s="12">
        <v>57</v>
      </c>
      <c r="O275" s="87">
        <f>VLOOKUP($B275&amp;"__wt",'SegEnds_Xtal_BW#'!$A:$Z,15,FALSE)</f>
        <v>38</v>
      </c>
      <c r="P275" s="1">
        <f>VLOOKUP($B275&amp;"__wt",'SegEnds_Xtal_BW#'!$A:$Z,16,FALSE)</f>
        <v>64</v>
      </c>
      <c r="Q275" s="1">
        <f>VLOOKUP($B275&amp;"__wt",'SegEnds_Xtal_BW#'!$A:$Z,17,FALSE)</f>
        <v>50</v>
      </c>
      <c r="R275" s="1">
        <f>VLOOKUP($B275&amp;"__wt",'SegEnds_Xtal_BW#'!$A:$Z,18,FALSE)</f>
        <v>52</v>
      </c>
      <c r="S275" s="1">
        <f>VLOOKUP($B275&amp;"__wt",'SegEnds_Xtal_BW#'!$A:$Z,19,FALSE)</f>
        <v>28</v>
      </c>
      <c r="T275" s="1">
        <f t="array" ref="T275">INDEX(ICL3_classA!$G$2:$G$37,MATCH(MIN(ABS(AI275-ICL3_classA!$F$2:$F$37)),ABS(AI275-ICL3_classA!$F$2:$F$37),0))</f>
        <v>72</v>
      </c>
      <c r="U275" s="1">
        <f t="array" ref="U275">INDEX(ICL3_classA!$H$2:$H$37,MATCH(MIN(ABS(AI275-ICL3_classA!$F$2:$F$37)),ABS(AI275-ICL3_classA!$F$2:$F$37),0))</f>
        <v>24</v>
      </c>
      <c r="V275" s="1">
        <v>62</v>
      </c>
      <c r="W275" s="1">
        <v>24</v>
      </c>
      <c r="X275" s="1">
        <f>VLOOKUP($B275&amp;"__wt",'SegEnds_Xtal_BW#'!$A:$Z,24,FALSE)</f>
        <v>56</v>
      </c>
      <c r="Y275" s="1">
        <f>VLOOKUP($B275&amp;"__wt",'SegEnds_Xtal_BW#'!$A:$Z,25,FALSE)</f>
        <v>47</v>
      </c>
      <c r="Z275" s="1">
        <f>VLOOKUP($B275&amp;"__wt",'SegEnds_Xtal_BW#'!$A:$Z,26,FALSE)</f>
        <v>60</v>
      </c>
      <c r="AA275" s="27" t="str">
        <f>VLOOKUP(A275,Classification!A:B,2,FALSE)</f>
        <v>A</v>
      </c>
      <c r="AB275" s="1">
        <f>VLOOKUP(A275,'SegEnds_NonXtal_Prot#'!A:AL,10,FALSE)-VLOOKUP(A275,'SegEnds_NonXtal_Prot#'!A:AL,4,FALSE)</f>
        <v>28</v>
      </c>
      <c r="AC275" s="1">
        <f>VLOOKUP(A275,'SegEnds_NonXtal_Prot#'!A:AL,10,FALSE)-VLOOKUP(A275,'SegEnds_NonXtal_Prot#'!A:AL,7,FALSE)</f>
        <v>15</v>
      </c>
      <c r="AD275" s="1">
        <f>VLOOKUP(A275,'SegEnds_NonXtal_Prot#'!A:AL,13,FALSE)-VLOOKUP(A275,'SegEnds_NonXtal_Prot#'!A:AL,10,FALSE)</f>
        <v>20</v>
      </c>
      <c r="AE275" s="1">
        <f>VLOOKUP(A275,'SegEnds_NonXtal_Prot#'!A:AL,16,FALSE)-VLOOKUP(A275,'SegEnds_NonXtal_Prot#'!A:AL,10,FALSE)</f>
        <v>57</v>
      </c>
      <c r="AF275" s="1">
        <f>VLOOKUP(A275,'SegEnds_NonXtal_Prot#'!A:AL,22,FALSE)-VLOOKUP(A275,'SegEnds_NonXtal_Prot#'!A:AL,19,FALSE)</f>
        <v>20</v>
      </c>
      <c r="AG275" s="1">
        <f>VLOOKUP(A275,'SegEnds_NonXtal_Prot#'!A:AL,28,FALSE)-VLOOKUP(A275,'SegEnds_NonXtal_Prot#'!A:AL,25,FALSE)</f>
        <v>28</v>
      </c>
      <c r="AH275" s="1">
        <f>VLOOKUP(A275,'SegEnds_NonXtal_Prot#'!A:AL,28,FALSE)-VLOOKUP(A275,'SegEnds_NonXtal_Prot#'!A:AL,22,FALSE)</f>
        <v>57</v>
      </c>
      <c r="AI275" s="1">
        <f>VLOOKUP(A275,'SegEnds_NonXtal_Prot#'!A:AL,31,FALSE)-VLOOKUP(A275,'SegEnds_NonXtal_Prot#'!A:AL,28,FALSE)</f>
        <v>54</v>
      </c>
      <c r="AJ275" s="1">
        <f>VLOOKUP(A275,'SegEnds_NonXtal_Prot#'!A:AL,34,FALSE)-VLOOKUP(A275,'SegEnds_NonXtal_Prot#'!A:AL,31,FALSE)</f>
        <v>45</v>
      </c>
      <c r="AK275" s="1">
        <f>VLOOKUP(A275,'SegEnds_NonXtal_Prot#'!A:AL,37,FALSE)-VLOOKUP(A275,'SegEnds_NonXtal_Prot#'!A:AL,34,FALSE)</f>
        <v>10</v>
      </c>
      <c r="AL275" s="1" t="str">
        <f>IF(ISERROR(MATCH(A275,'SegEnds_Xtal_Prot#'!B:B, 0)), "NoXtal", "Xtal")</f>
        <v>NoXtal</v>
      </c>
    </row>
    <row r="276" spans="1:38" s="12" customFormat="1" x14ac:dyDescent="0.2">
      <c r="A276" s="1" t="s">
        <v>196</v>
      </c>
      <c r="B276" s="1" t="str">
        <f>VLOOKUP(A276,Xtal_Templ!A:B,2,FALSE)</f>
        <v>ednrb_human</v>
      </c>
      <c r="C276" s="5">
        <f>VLOOKUP($B276&amp;"__wt",'SegEnds_Xtal_BW#'!$A:$Z,3,FALSE)</f>
        <v>22</v>
      </c>
      <c r="D276" s="1">
        <f>VLOOKUP($B276&amp;"__wt",'SegEnds_Xtal_BW#'!$A:$Z,4,FALSE)</f>
        <v>60</v>
      </c>
      <c r="E276" s="1">
        <f>VLOOKUP($B276&amp;"__wt",'SegEnds_Xtal_BW#'!$A:$Z,5,FALSE)</f>
        <v>48</v>
      </c>
      <c r="F276" s="1">
        <f>VLOOKUP($B276&amp;"__wt",'SegEnds_Xtal_BW#'!$A:$Z,6,FALSE)</f>
        <v>52</v>
      </c>
      <c r="G276" s="1">
        <v>38</v>
      </c>
      <c r="H276" s="12">
        <f>VLOOKUP($B276&amp;"__wt",'SegEnds_Xtal_BW#'!$A:$Z,8,FALSE)</f>
        <v>67</v>
      </c>
      <c r="I276" s="1">
        <f>VLOOKUP($B276&amp;"__wt",'SegEnds_Xtal_BW#'!$A:$Z,9,FALSE)</f>
        <v>49</v>
      </c>
      <c r="J276" s="1">
        <f>VLOOKUP($B276&amp;"__wt",'SegEnds_Xtal_BW#'!$A:$Z,10,FALSE)</f>
        <v>52</v>
      </c>
      <c r="K276" s="12">
        <v>21</v>
      </c>
      <c r="L276" s="1">
        <f>VLOOKUP($B276&amp;"__wt",'SegEnds_Xtal_BW#'!$A:$Z,12,FALSE)</f>
        <v>56</v>
      </c>
      <c r="M276" s="1">
        <f>VLOOKUP($B276&amp;"__wt",'SegEnds_Xtal_BW#'!$A:$Z,13,FALSE)</f>
        <v>50</v>
      </c>
      <c r="N276" s="12">
        <f>VLOOKUP($B276&amp;"__wt",'SegEnds_Xtal_BW#'!$A:$Z,14,FALSE)</f>
        <v>57</v>
      </c>
      <c r="O276" s="87">
        <f>VLOOKUP($B276&amp;"__wt",'SegEnds_Xtal_BW#'!$A:$Z,15,FALSE)</f>
        <v>38</v>
      </c>
      <c r="P276" s="1">
        <f>VLOOKUP($B276&amp;"__wt",'SegEnds_Xtal_BW#'!$A:$Z,16,FALSE)</f>
        <v>64</v>
      </c>
      <c r="Q276" s="1">
        <f>VLOOKUP($B276&amp;"__wt",'SegEnds_Xtal_BW#'!$A:$Z,17,FALSE)</f>
        <v>50</v>
      </c>
      <c r="R276" s="1">
        <f>VLOOKUP($B276&amp;"__wt",'SegEnds_Xtal_BW#'!$A:$Z,18,FALSE)</f>
        <v>52</v>
      </c>
      <c r="S276" s="1">
        <f>VLOOKUP($B276&amp;"__wt",'SegEnds_Xtal_BW#'!$A:$Z,19,FALSE)</f>
        <v>28</v>
      </c>
      <c r="T276" s="1">
        <f t="array" ref="T276">INDEX(ICL3_classA!$G$2:$G$37,MATCH(MIN(ABS(AI276-ICL3_classA!$F$2:$F$37)),ABS(AI276-ICL3_classA!$F$2:$F$37),0))</f>
        <v>72</v>
      </c>
      <c r="U276" s="1">
        <f t="array" ref="U276">INDEX(ICL3_classA!$H$2:$H$37,MATCH(MIN(ABS(AI276-ICL3_classA!$F$2:$F$37)),ABS(AI276-ICL3_classA!$F$2:$F$37),0))</f>
        <v>24</v>
      </c>
      <c r="V276" s="1">
        <v>62</v>
      </c>
      <c r="W276" s="1">
        <v>24</v>
      </c>
      <c r="X276" s="1">
        <f>VLOOKUP($B276&amp;"__wt",'SegEnds_Xtal_BW#'!$A:$Z,24,FALSE)</f>
        <v>56</v>
      </c>
      <c r="Y276" s="1">
        <f>VLOOKUP($B276&amp;"__wt",'SegEnds_Xtal_BW#'!$A:$Z,25,FALSE)</f>
        <v>47</v>
      </c>
      <c r="Z276" s="1">
        <f>VLOOKUP($B276&amp;"__wt",'SegEnds_Xtal_BW#'!$A:$Z,26,FALSE)</f>
        <v>60</v>
      </c>
      <c r="AA276" s="27" t="str">
        <f>VLOOKUP(A276,Classification!A:B,2,FALSE)</f>
        <v>A</v>
      </c>
      <c r="AB276" s="1">
        <f>VLOOKUP(A276,'SegEnds_NonXtal_Prot#'!A:AL,10,FALSE)-VLOOKUP(A276,'SegEnds_NonXtal_Prot#'!A:AL,4,FALSE)</f>
        <v>28</v>
      </c>
      <c r="AC276" s="1">
        <f>VLOOKUP(A276,'SegEnds_NonXtal_Prot#'!A:AL,10,FALSE)-VLOOKUP(A276,'SegEnds_NonXtal_Prot#'!A:AL,7,FALSE)</f>
        <v>15</v>
      </c>
      <c r="AD276" s="1">
        <f>VLOOKUP(A276,'SegEnds_NonXtal_Prot#'!A:AL,13,FALSE)-VLOOKUP(A276,'SegEnds_NonXtal_Prot#'!A:AL,10,FALSE)</f>
        <v>20</v>
      </c>
      <c r="AE276" s="1">
        <f>VLOOKUP(A276,'SegEnds_NonXtal_Prot#'!A:AL,16,FALSE)-VLOOKUP(A276,'SegEnds_NonXtal_Prot#'!A:AL,10,FALSE)</f>
        <v>52</v>
      </c>
      <c r="AF276" s="1">
        <f>VLOOKUP(A276,'SegEnds_NonXtal_Prot#'!A:AL,22,FALSE)-VLOOKUP(A276,'SegEnds_NonXtal_Prot#'!A:AL,19,FALSE)</f>
        <v>20</v>
      </c>
      <c r="AG276" s="1">
        <f>VLOOKUP(A276,'SegEnds_NonXtal_Prot#'!A:AL,28,FALSE)-VLOOKUP(A276,'SegEnds_NonXtal_Prot#'!A:AL,25,FALSE)</f>
        <v>30</v>
      </c>
      <c r="AH276" s="1">
        <f>VLOOKUP(A276,'SegEnds_NonXtal_Prot#'!A:AL,28,FALSE)-VLOOKUP(A276,'SegEnds_NonXtal_Prot#'!A:AL,22,FALSE)</f>
        <v>59</v>
      </c>
      <c r="AI276" s="1">
        <f>VLOOKUP(A276,'SegEnds_NonXtal_Prot#'!A:AL,31,FALSE)-VLOOKUP(A276,'SegEnds_NonXtal_Prot#'!A:AL,28,FALSE)</f>
        <v>53</v>
      </c>
      <c r="AJ276" s="1">
        <f>VLOOKUP(A276,'SegEnds_NonXtal_Prot#'!A:AL,34,FALSE)-VLOOKUP(A276,'SegEnds_NonXtal_Prot#'!A:AL,31,FALSE)</f>
        <v>45</v>
      </c>
      <c r="AK276" s="1">
        <f>VLOOKUP(A276,'SegEnds_NonXtal_Prot#'!A:AL,37,FALSE)-VLOOKUP(A276,'SegEnds_NonXtal_Prot#'!A:AL,34,FALSE)</f>
        <v>10</v>
      </c>
      <c r="AL276" s="1" t="str">
        <f>IF(ISERROR(MATCH(A276,'SegEnds_Xtal_Prot#'!B:B, 0)), "NoXtal", "Xtal")</f>
        <v>Xtal</v>
      </c>
    </row>
    <row r="277" spans="1:38" s="12" customFormat="1" x14ac:dyDescent="0.2">
      <c r="A277" s="1" t="s">
        <v>219</v>
      </c>
      <c r="B277" s="1" t="str">
        <f>VLOOKUP(A277,Xtal_Templ!A:B,2,FALSE)</f>
        <v>agtr1_human</v>
      </c>
      <c r="C277" s="5">
        <f>VLOOKUP($B277&amp;"__wt",'SegEnds_Xtal_BW#'!$A:$Z,3,FALSE)</f>
        <v>28</v>
      </c>
      <c r="D277" s="1">
        <f>VLOOKUP($B277&amp;"__wt",'SegEnds_Xtal_BW#'!$A:$Z,4,FALSE)</f>
        <v>60</v>
      </c>
      <c r="E277" s="1">
        <f>VLOOKUP($B277&amp;"__wt",'SegEnds_Xtal_BW#'!$A:$Z,5,FALSE)</f>
        <v>48</v>
      </c>
      <c r="F277" s="1">
        <f>VLOOKUP($B277&amp;"__wt",'SegEnds_Xtal_BW#'!$A:$Z,6,FALSE)</f>
        <v>51</v>
      </c>
      <c r="G277" s="1">
        <v>37</v>
      </c>
      <c r="H277" s="12">
        <v>63</v>
      </c>
      <c r="I277" s="1">
        <f>VLOOKUP($B277&amp;"__wt",'SegEnds_Xtal_BW#'!$A:$Z,9,FALSE)</f>
        <v>49</v>
      </c>
      <c r="J277" s="1">
        <f>VLOOKUP($B277&amp;"__wt",'SegEnds_Xtal_BW#'!$A:$Z,10,FALSE)</f>
        <v>52</v>
      </c>
      <c r="K277" s="12">
        <v>24</v>
      </c>
      <c r="L277" s="1">
        <f>VLOOKUP($B277&amp;"__wt",'SegEnds_Xtal_BW#'!$A:$Z,12,FALSE)</f>
        <v>56</v>
      </c>
      <c r="M277" s="1">
        <f>VLOOKUP($B277&amp;"__wt",'SegEnds_Xtal_BW#'!$A:$Z,13,FALSE)</f>
        <v>50</v>
      </c>
      <c r="N277" s="12">
        <v>56</v>
      </c>
      <c r="O277" s="87">
        <v>38</v>
      </c>
      <c r="P277" s="1">
        <f>VLOOKUP($B277&amp;"__wt",'SegEnds_Xtal_BW#'!$A:$Z,16,FALSE)</f>
        <v>64</v>
      </c>
      <c r="Q277" s="1">
        <f>VLOOKUP($B277&amp;"__wt",'SegEnds_Xtal_BW#'!$A:$Z,17,FALSE)</f>
        <v>50</v>
      </c>
      <c r="R277" s="1">
        <f>VLOOKUP($B277&amp;"__wt",'SegEnds_Xtal_BW#'!$A:$Z,18,FALSE)</f>
        <v>52</v>
      </c>
      <c r="S277" s="1">
        <f>VLOOKUP($B277&amp;"__wt",'SegEnds_Xtal_BW#'!$A:$Z,19,FALSE)</f>
        <v>34</v>
      </c>
      <c r="T277" s="1">
        <f t="array" ref="T277">INDEX(ICL3_classA!$G$2:$G$37,MATCH(MIN(ABS(AI277-ICL3_classA!$F$2:$F$37)),ABS(AI277-ICL3_classA!$F$2:$F$37),0))</f>
        <v>68</v>
      </c>
      <c r="U277" s="1">
        <f t="array" ref="U277">INDEX(ICL3_classA!$H$2:$H$37,MATCH(MIN(ABS(AI277-ICL3_classA!$F$2:$F$37)),ABS(AI277-ICL3_classA!$F$2:$F$37),0))</f>
        <v>24</v>
      </c>
      <c r="V277" s="1">
        <v>64</v>
      </c>
      <c r="W277" s="1">
        <v>24</v>
      </c>
      <c r="X277" s="1">
        <f>VLOOKUP($B277&amp;"__wt",'SegEnds_Xtal_BW#'!$A:$Z,24,FALSE)</f>
        <v>56</v>
      </c>
      <c r="Y277" s="1">
        <f>VLOOKUP($B277&amp;"__wt",'SegEnds_Xtal_BW#'!$A:$Z,25,FALSE)</f>
        <v>47</v>
      </c>
      <c r="Z277" s="1">
        <f>VLOOKUP($B277&amp;"__wt",'SegEnds_Xtal_BW#'!$A:$Z,26,FALSE)</f>
        <v>61</v>
      </c>
      <c r="AA277" s="27" t="str">
        <f>VLOOKUP(A277,Classification!A:B,2,FALSE)</f>
        <v>A</v>
      </c>
      <c r="AB277" s="1">
        <f>VLOOKUP(A277,'SegEnds_NonXtal_Prot#'!A:AL,10,FALSE)-VLOOKUP(A277,'SegEnds_NonXtal_Prot#'!A:AL,4,FALSE)</f>
        <v>33</v>
      </c>
      <c r="AC277" s="1" t="e">
        <f>VLOOKUP(A277,'SegEnds_NonXtal_Prot#'!A:AL,10,FALSE)-VLOOKUP(A277,'SegEnds_NonXtal_Prot#'!A:AL,7,FALSE)</f>
        <v>#VALUE!</v>
      </c>
      <c r="AD277" s="1">
        <f>VLOOKUP(A277,'SegEnds_NonXtal_Prot#'!A:AL,13,FALSE)-VLOOKUP(A277,'SegEnds_NonXtal_Prot#'!A:AL,10,FALSE)</f>
        <v>17</v>
      </c>
      <c r="AE277" s="1">
        <f>VLOOKUP(A277,'SegEnds_NonXtal_Prot#'!A:AL,16,FALSE)-VLOOKUP(A277,'SegEnds_NonXtal_Prot#'!A:AL,10,FALSE)</f>
        <v>49</v>
      </c>
      <c r="AF277" s="1" t="e">
        <f>VLOOKUP(A277,'SegEnds_NonXtal_Prot#'!A:AL,22,FALSE)-VLOOKUP(A277,'SegEnds_NonXtal_Prot#'!A:AL,19,FALSE)</f>
        <v>#VALUE!</v>
      </c>
      <c r="AG277" s="1" t="e">
        <f>VLOOKUP(A277,'SegEnds_NonXtal_Prot#'!A:AL,28,FALSE)-VLOOKUP(A277,'SegEnds_NonXtal_Prot#'!A:AL,25,FALSE)</f>
        <v>#VALUE!</v>
      </c>
      <c r="AH277" s="1">
        <f>VLOOKUP(A277,'SegEnds_NonXtal_Prot#'!A:AL,28,FALSE)-VLOOKUP(A277,'SegEnds_NonXtal_Prot#'!A:AL,22,FALSE)</f>
        <v>47</v>
      </c>
      <c r="AI277" s="1">
        <f>VLOOKUP(A277,'SegEnds_NonXtal_Prot#'!A:AL,31,FALSE)-VLOOKUP(A277,'SegEnds_NonXtal_Prot#'!A:AL,28,FALSE)</f>
        <v>49</v>
      </c>
      <c r="AJ277" s="1">
        <f>VLOOKUP(A277,'SegEnds_NonXtal_Prot#'!A:AL,34,FALSE)-VLOOKUP(A277,'SegEnds_NonXtal_Prot#'!A:AL,31,FALSE)</f>
        <v>45</v>
      </c>
      <c r="AK277" s="1">
        <f>VLOOKUP(A277,'SegEnds_NonXtal_Prot#'!A:AL,37,FALSE)-VLOOKUP(A277,'SegEnds_NonXtal_Prot#'!A:AL,34,FALSE)</f>
        <v>10</v>
      </c>
      <c r="AL277" s="1" t="str">
        <f>IF(ISERROR(MATCH(A277,'SegEnds_Xtal_Prot#'!B:B, 0)), "NoXtal", "Xtal")</f>
        <v>NoXtal</v>
      </c>
    </row>
    <row r="278" spans="1:38" s="12" customFormat="1" x14ac:dyDescent="0.2">
      <c r="A278" s="1" t="s">
        <v>246</v>
      </c>
      <c r="B278" s="1" t="str">
        <f>VLOOKUP(A278,Xtal_Templ!A:B,2,FALSE)</f>
        <v>agtr1_human</v>
      </c>
      <c r="C278" s="5">
        <f>VLOOKUP($B278&amp;"__wt",'SegEnds_Xtal_BW#'!$A:$Z,3,FALSE)</f>
        <v>28</v>
      </c>
      <c r="D278" s="1">
        <f>VLOOKUP($B278&amp;"__wt",'SegEnds_Xtal_BW#'!$A:$Z,4,FALSE)</f>
        <v>60</v>
      </c>
      <c r="E278" s="1">
        <f>VLOOKUP($B278&amp;"__wt",'SegEnds_Xtal_BW#'!$A:$Z,5,FALSE)</f>
        <v>48</v>
      </c>
      <c r="F278" s="1">
        <f>VLOOKUP($B278&amp;"__wt",'SegEnds_Xtal_BW#'!$A:$Z,6,FALSE)</f>
        <v>51</v>
      </c>
      <c r="G278" s="1">
        <v>37</v>
      </c>
      <c r="H278" s="12">
        <f>VLOOKUP($B278&amp;"__wt",'SegEnds_Xtal_BW#'!$A:$Z,8,FALSE)</f>
        <v>66</v>
      </c>
      <c r="I278" s="1">
        <f>VLOOKUP($B278&amp;"__wt",'SegEnds_Xtal_BW#'!$A:$Z,9,FALSE)</f>
        <v>49</v>
      </c>
      <c r="J278" s="1">
        <f>VLOOKUP($B278&amp;"__wt",'SegEnds_Xtal_BW#'!$A:$Z,10,FALSE)</f>
        <v>52</v>
      </c>
      <c r="K278" s="12">
        <v>18</v>
      </c>
      <c r="L278" s="1">
        <f>VLOOKUP($B278&amp;"__wt",'SegEnds_Xtal_BW#'!$A:$Z,12,FALSE)</f>
        <v>56</v>
      </c>
      <c r="M278" s="1">
        <f>VLOOKUP($B278&amp;"__wt",'SegEnds_Xtal_BW#'!$A:$Z,13,FALSE)</f>
        <v>50</v>
      </c>
      <c r="N278" s="12">
        <v>57</v>
      </c>
      <c r="O278" s="87">
        <f>VLOOKUP($B278&amp;"__wt",'SegEnds_Xtal_BW#'!$A:$Z,15,FALSE)</f>
        <v>38</v>
      </c>
      <c r="P278" s="1">
        <f>VLOOKUP($B278&amp;"__wt",'SegEnds_Xtal_BW#'!$A:$Z,16,FALSE)</f>
        <v>64</v>
      </c>
      <c r="Q278" s="1">
        <f>VLOOKUP($B278&amp;"__wt",'SegEnds_Xtal_BW#'!$A:$Z,17,FALSE)</f>
        <v>50</v>
      </c>
      <c r="R278" s="1">
        <f>VLOOKUP($B278&amp;"__wt",'SegEnds_Xtal_BW#'!$A:$Z,18,FALSE)</f>
        <v>52</v>
      </c>
      <c r="S278" s="1">
        <f>VLOOKUP($B278&amp;"__wt",'SegEnds_Xtal_BW#'!$A:$Z,19,FALSE)</f>
        <v>34</v>
      </c>
      <c r="T278" s="1">
        <f t="array" ref="T278">INDEX(ICL3_classA!$G$2:$G$37,MATCH(MIN(ABS(AI278-ICL3_classA!$F$2:$F$37)),ABS(AI278-ICL3_classA!$F$2:$F$37),0))</f>
        <v>67</v>
      </c>
      <c r="U278" s="1">
        <f t="array" ref="U278">INDEX(ICL3_classA!$H$2:$H$37,MATCH(MIN(ABS(AI278-ICL3_classA!$F$2:$F$37)),ABS(AI278-ICL3_classA!$F$2:$F$37),0))</f>
        <v>28</v>
      </c>
      <c r="V278" s="1">
        <v>64</v>
      </c>
      <c r="W278" s="1">
        <v>24</v>
      </c>
      <c r="X278" s="1">
        <f>VLOOKUP($B278&amp;"__wt",'SegEnds_Xtal_BW#'!$A:$Z,24,FALSE)</f>
        <v>56</v>
      </c>
      <c r="Y278" s="1">
        <f>VLOOKUP($B278&amp;"__wt",'SegEnds_Xtal_BW#'!$A:$Z,25,FALSE)</f>
        <v>47</v>
      </c>
      <c r="Z278" s="1">
        <f>VLOOKUP($B278&amp;"__wt",'SegEnds_Xtal_BW#'!$A:$Z,26,FALSE)</f>
        <v>61</v>
      </c>
      <c r="AA278" s="27" t="str">
        <f>VLOOKUP(A278,Classification!A:B,2,FALSE)</f>
        <v>A</v>
      </c>
      <c r="AB278" s="1">
        <f>VLOOKUP(A278,'SegEnds_NonXtal_Prot#'!A:AL,10,FALSE)-VLOOKUP(A278,'SegEnds_NonXtal_Prot#'!A:AL,4,FALSE)</f>
        <v>28</v>
      </c>
      <c r="AC278" s="1">
        <f>VLOOKUP(A278,'SegEnds_NonXtal_Prot#'!A:AL,10,FALSE)-VLOOKUP(A278,'SegEnds_NonXtal_Prot#'!A:AL,7,FALSE)</f>
        <v>15</v>
      </c>
      <c r="AD278" s="1">
        <f>VLOOKUP(A278,'SegEnds_NonXtal_Prot#'!A:AL,13,FALSE)-VLOOKUP(A278,'SegEnds_NonXtal_Prot#'!A:AL,10,FALSE)</f>
        <v>20</v>
      </c>
      <c r="AE278" s="1">
        <f>VLOOKUP(A278,'SegEnds_NonXtal_Prot#'!A:AL,16,FALSE)-VLOOKUP(A278,'SegEnds_NonXtal_Prot#'!A:AL,10,FALSE)</f>
        <v>52</v>
      </c>
      <c r="AF278" s="1">
        <f>VLOOKUP(A278,'SegEnds_NonXtal_Prot#'!A:AL,22,FALSE)-VLOOKUP(A278,'SegEnds_NonXtal_Prot#'!A:AL,19,FALSE)</f>
        <v>20</v>
      </c>
      <c r="AG278" s="1">
        <f>VLOOKUP(A278,'SegEnds_NonXtal_Prot#'!A:AL,28,FALSE)-VLOOKUP(A278,'SegEnds_NonXtal_Prot#'!A:AL,25,FALSE)</f>
        <v>23</v>
      </c>
      <c r="AH278" s="1">
        <f>VLOOKUP(A278,'SegEnds_NonXtal_Prot#'!A:AL,28,FALSE)-VLOOKUP(A278,'SegEnds_NonXtal_Prot#'!A:AL,22,FALSE)</f>
        <v>50</v>
      </c>
      <c r="AI278" s="1">
        <f>VLOOKUP(A278,'SegEnds_NonXtal_Prot#'!A:AL,31,FALSE)-VLOOKUP(A278,'SegEnds_NonXtal_Prot#'!A:AL,28,FALSE)</f>
        <v>45</v>
      </c>
      <c r="AJ278" s="1">
        <f>VLOOKUP(A278,'SegEnds_NonXtal_Prot#'!A:AL,34,FALSE)-VLOOKUP(A278,'SegEnds_NonXtal_Prot#'!A:AL,31,FALSE)</f>
        <v>45</v>
      </c>
      <c r="AK278" s="1">
        <f>VLOOKUP(A278,'SegEnds_NonXtal_Prot#'!A:AL,37,FALSE)-VLOOKUP(A278,'SegEnds_NonXtal_Prot#'!A:AL,34,FALSE)</f>
        <v>10</v>
      </c>
      <c r="AL278" s="1" t="str">
        <f>IF(ISERROR(MATCH(A278,'SegEnds_Xtal_Prot#'!B:B, 0)), "NoXtal", "Xtal")</f>
        <v>NoXtal</v>
      </c>
    </row>
    <row r="279" spans="1:38" x14ac:dyDescent="0.2">
      <c r="A279" s="1" t="s">
        <v>276</v>
      </c>
      <c r="B279" s="1" t="str">
        <f>VLOOKUP(A279,Xtal_Templ!A:B,2,FALSE)</f>
        <v>oprk_human</v>
      </c>
      <c r="C279" s="5">
        <f>VLOOKUP($B279&amp;"__wt",'SegEnds_Xtal_BW#'!$A:$Z,3,FALSE)</f>
        <v>30</v>
      </c>
      <c r="D279" s="1">
        <f>VLOOKUP($B279&amp;"__wt",'SegEnds_Xtal_BW#'!$A:$Z,4,FALSE)</f>
        <v>60</v>
      </c>
      <c r="E279" s="1">
        <f>VLOOKUP($B279&amp;"__wt",'SegEnds_Xtal_BW#'!$A:$Z,5,FALSE)</f>
        <v>48</v>
      </c>
      <c r="F279" s="1">
        <f>VLOOKUP($B279&amp;"__wt",'SegEnds_Xtal_BW#'!$A:$Z,6,FALSE)</f>
        <v>51</v>
      </c>
      <c r="G279" s="1">
        <v>37</v>
      </c>
      <c r="H279" s="12">
        <f>VLOOKUP($B279&amp;"__wt",'SegEnds_Xtal_BW#'!$A:$Z,8,FALSE)</f>
        <v>67</v>
      </c>
      <c r="I279" s="1">
        <f>VLOOKUP($B279&amp;"__wt",'SegEnds_Xtal_BW#'!$A:$Z,9,FALSE)</f>
        <v>49</v>
      </c>
      <c r="J279" s="1">
        <f>VLOOKUP($B279&amp;"__wt",'SegEnds_Xtal_BW#'!$A:$Z,10,FALSE)</f>
        <v>52</v>
      </c>
      <c r="K279" s="12">
        <v>18</v>
      </c>
      <c r="L279" s="1">
        <f>VLOOKUP($B279&amp;"__wt",'SegEnds_Xtal_BW#'!$A:$Z,12,FALSE)</f>
        <v>56</v>
      </c>
      <c r="M279" s="1">
        <f>VLOOKUP($B279&amp;"__wt",'SegEnds_Xtal_BW#'!$A:$Z,13,FALSE)</f>
        <v>50</v>
      </c>
      <c r="N279" s="12">
        <v>57</v>
      </c>
      <c r="O279" s="87">
        <f>VLOOKUP($B279&amp;"__wt",'SegEnds_Xtal_BW#'!$A:$Z,15,FALSE)</f>
        <v>38</v>
      </c>
      <c r="P279" s="1">
        <f>VLOOKUP($B279&amp;"__wt",'SegEnds_Xtal_BW#'!$A:$Z,16,FALSE)</f>
        <v>64</v>
      </c>
      <c r="Q279" s="1">
        <f>VLOOKUP($B279&amp;"__wt",'SegEnds_Xtal_BW#'!$A:$Z,17,FALSE)</f>
        <v>50</v>
      </c>
      <c r="R279" s="1">
        <f>VLOOKUP($B279&amp;"__wt",'SegEnds_Xtal_BW#'!$A:$Z,18,FALSE)</f>
        <v>52</v>
      </c>
      <c r="S279" s="1">
        <f>VLOOKUP($B279&amp;"__wt",'SegEnds_Xtal_BW#'!$A:$Z,19,FALSE)</f>
        <v>30</v>
      </c>
      <c r="T279" s="1">
        <f t="array" ref="T279">INDEX(ICL3_classA!$G$2:$G$37,MATCH(MIN(ABS(AI279-ICL3_classA!$F$2:$F$37)),ABS(AI279-ICL3_classA!$F$2:$F$37),0))</f>
        <v>67</v>
      </c>
      <c r="U279" s="1">
        <f t="array" ref="U279">INDEX(ICL3_classA!$H$2:$H$37,MATCH(MIN(ABS(AI279-ICL3_classA!$F$2:$F$37)),ABS(AI279-ICL3_classA!$F$2:$F$37),0))</f>
        <v>26</v>
      </c>
      <c r="V279" s="1">
        <v>64</v>
      </c>
      <c r="W279" s="1">
        <v>24</v>
      </c>
      <c r="X279" s="1">
        <f>VLOOKUP($B279&amp;"__wt",'SegEnds_Xtal_BW#'!$A:$Z,24,FALSE)</f>
        <v>56</v>
      </c>
      <c r="Y279" s="1">
        <f>VLOOKUP($B279&amp;"__wt",'SegEnds_Xtal_BW#'!$A:$Z,25,FALSE)</f>
        <v>47</v>
      </c>
      <c r="Z279" s="1">
        <f>VLOOKUP($B279&amp;"__wt",'SegEnds_Xtal_BW#'!$A:$Z,26,FALSE)</f>
        <v>59</v>
      </c>
      <c r="AA279" s="27" t="str">
        <f>VLOOKUP(A279,Classification!A:B,2,FALSE)</f>
        <v>A</v>
      </c>
      <c r="AB279" s="1">
        <f>VLOOKUP(A279,'SegEnds_NonXtal_Prot#'!A:AL,10,FALSE)-VLOOKUP(A279,'SegEnds_NonXtal_Prot#'!A:AL,4,FALSE)</f>
        <v>28</v>
      </c>
      <c r="AC279" s="1" t="e">
        <f>VLOOKUP(A279,'SegEnds_NonXtal_Prot#'!A:AL,10,FALSE)-VLOOKUP(A279,'SegEnds_NonXtal_Prot#'!A:AL,7,FALSE)</f>
        <v>#VALUE!</v>
      </c>
      <c r="AD279" s="1">
        <f>VLOOKUP(A279,'SegEnds_NonXtal_Prot#'!A:AL,13,FALSE)-VLOOKUP(A279,'SegEnds_NonXtal_Prot#'!A:AL,10,FALSE)</f>
        <v>20</v>
      </c>
      <c r="AE279" s="1">
        <f>VLOOKUP(A279,'SegEnds_NonXtal_Prot#'!A:AL,16,FALSE)-VLOOKUP(A279,'SegEnds_NonXtal_Prot#'!A:AL,10,FALSE)</f>
        <v>52</v>
      </c>
      <c r="AF279" s="1">
        <f>VLOOKUP(A279,'SegEnds_NonXtal_Prot#'!A:AL,22,FALSE)-VLOOKUP(A279,'SegEnds_NonXtal_Prot#'!A:AL,19,FALSE)</f>
        <v>20</v>
      </c>
      <c r="AG279" s="1">
        <f>VLOOKUP(A279,'SegEnds_NonXtal_Prot#'!A:AL,28,FALSE)-VLOOKUP(A279,'SegEnds_NonXtal_Prot#'!A:AL,25,FALSE)</f>
        <v>23</v>
      </c>
      <c r="AH279" s="1">
        <f>VLOOKUP(A279,'SegEnds_NonXtal_Prot#'!A:AL,28,FALSE)-VLOOKUP(A279,'SegEnds_NonXtal_Prot#'!A:AL,22,FALSE)</f>
        <v>48</v>
      </c>
      <c r="AI279" s="1">
        <f>VLOOKUP(A279,'SegEnds_NonXtal_Prot#'!A:AL,31,FALSE)-VLOOKUP(A279,'SegEnds_NonXtal_Prot#'!A:AL,28,FALSE)</f>
        <v>46</v>
      </c>
      <c r="AJ279" s="1">
        <f>VLOOKUP(A279,'SegEnds_NonXtal_Prot#'!A:AL,34,FALSE)-VLOOKUP(A279,'SegEnds_NonXtal_Prot#'!A:AL,31,FALSE)</f>
        <v>45</v>
      </c>
      <c r="AK279" s="1">
        <f>VLOOKUP(A279,'SegEnds_NonXtal_Prot#'!A:AL,37,FALSE)-VLOOKUP(A279,'SegEnds_NonXtal_Prot#'!A:AL,34,FALSE)</f>
        <v>10</v>
      </c>
      <c r="AL279" s="1" t="str">
        <f>IF(ISERROR(MATCH(A279,'SegEnds_Xtal_Prot#'!B:B, 0)), "NoXtal", "Xtal")</f>
        <v>NoXtal</v>
      </c>
    </row>
    <row r="280" spans="1:38" x14ac:dyDescent="0.2">
      <c r="A280" s="1" t="s">
        <v>277</v>
      </c>
      <c r="B280" s="1" t="str">
        <f>VLOOKUP(A280,Xtal_Templ!A:B,2,FALSE)</f>
        <v>p2ry1_human</v>
      </c>
      <c r="C280" s="5">
        <f>VLOOKUP($B280&amp;"__wt",'SegEnds_Xtal_BW#'!$A:$Z,3,FALSE)</f>
        <v>30</v>
      </c>
      <c r="D280" s="1">
        <f>VLOOKUP($B280&amp;"__wt",'SegEnds_Xtal_BW#'!$A:$Z,4,FALSE)</f>
        <v>60</v>
      </c>
      <c r="E280" s="1" t="str">
        <f>VLOOKUP($B280&amp;"__wt",'SegEnds_Xtal_BW#'!$A:$Z,5,FALSE)</f>
        <v>-</v>
      </c>
      <c r="F280" s="1" t="str">
        <f>VLOOKUP($B280&amp;"__wt",'SegEnds_Xtal_BW#'!$A:$Z,6,FALSE)</f>
        <v>-</v>
      </c>
      <c r="G280" s="1">
        <v>37</v>
      </c>
      <c r="H280" s="12">
        <f>VLOOKUP($B280&amp;"__wt",'SegEnds_Xtal_BW#'!$A:$Z,8,FALSE)</f>
        <v>66</v>
      </c>
      <c r="I280" s="1">
        <f>VLOOKUP($B280&amp;"__wt",'SegEnds_Xtal_BW#'!$A:$Z,9,FALSE)</f>
        <v>49</v>
      </c>
      <c r="J280" s="1">
        <f>VLOOKUP($B280&amp;"__wt",'SegEnds_Xtal_BW#'!$A:$Z,10,FALSE)</f>
        <v>52</v>
      </c>
      <c r="K280" s="12">
        <v>18</v>
      </c>
      <c r="L280" s="1">
        <f>VLOOKUP($B280&amp;"__wt",'SegEnds_Xtal_BW#'!$A:$Z,12,FALSE)</f>
        <v>56</v>
      </c>
      <c r="M280" s="1">
        <f>VLOOKUP($B280&amp;"__wt",'SegEnds_Xtal_BW#'!$A:$Z,13,FALSE)</f>
        <v>50</v>
      </c>
      <c r="N280" s="12">
        <v>57</v>
      </c>
      <c r="O280" s="87">
        <f>VLOOKUP($B280&amp;"__wt",'SegEnds_Xtal_BW#'!$A:$Z,15,FALSE)</f>
        <v>38</v>
      </c>
      <c r="P280" s="1">
        <f>VLOOKUP($B280&amp;"__wt",'SegEnds_Xtal_BW#'!$A:$Z,16,FALSE)</f>
        <v>64</v>
      </c>
      <c r="Q280" s="1">
        <f>VLOOKUP($B280&amp;"__wt",'SegEnds_Xtal_BW#'!$A:$Z,17,FALSE)</f>
        <v>50</v>
      </c>
      <c r="R280" s="1">
        <f>VLOOKUP($B280&amp;"__wt",'SegEnds_Xtal_BW#'!$A:$Z,18,FALSE)</f>
        <v>52</v>
      </c>
      <c r="S280" s="1">
        <f>VLOOKUP($B280&amp;"__wt",'SegEnds_Xtal_BW#'!$A:$Z,19,FALSE)</f>
        <v>32</v>
      </c>
      <c r="T280" s="1">
        <f t="array" ref="T280">INDEX(ICL3_classA!$G$2:$G$37,MATCH(MIN(ABS(AI280-ICL3_classA!$F$2:$F$37)),ABS(AI280-ICL3_classA!$F$2:$F$37),0))</f>
        <v>67</v>
      </c>
      <c r="U280" s="1">
        <f t="array" ref="U280">INDEX(ICL3_classA!$H$2:$H$37,MATCH(MIN(ABS(AI280-ICL3_classA!$F$2:$F$37)),ABS(AI280-ICL3_classA!$F$2:$F$37),0))</f>
        <v>26</v>
      </c>
      <c r="V280" s="1">
        <v>64</v>
      </c>
      <c r="W280" s="1">
        <v>24</v>
      </c>
      <c r="X280" s="1">
        <f>VLOOKUP($B280&amp;"__wt",'SegEnds_Xtal_BW#'!$A:$Z,24,FALSE)</f>
        <v>56</v>
      </c>
      <c r="Y280" s="1">
        <f>VLOOKUP($B280&amp;"__wt",'SegEnds_Xtal_BW#'!$A:$Z,25,FALSE)</f>
        <v>47</v>
      </c>
      <c r="Z280" s="1">
        <f>VLOOKUP($B280&amp;"__wt",'SegEnds_Xtal_BW#'!$A:$Z,26,FALSE)</f>
        <v>59</v>
      </c>
      <c r="AA280" s="27" t="str">
        <f>VLOOKUP(A280,Classification!A:B,2,FALSE)</f>
        <v>A</v>
      </c>
      <c r="AB280" s="1">
        <f>VLOOKUP(A280,'SegEnds_NonXtal_Prot#'!A:AL,10,FALSE)-VLOOKUP(A280,'SegEnds_NonXtal_Prot#'!A:AL,4,FALSE)</f>
        <v>28</v>
      </c>
      <c r="AC280" s="1" t="e">
        <f>VLOOKUP(A280,'SegEnds_NonXtal_Prot#'!A:AL,10,FALSE)-VLOOKUP(A280,'SegEnds_NonXtal_Prot#'!A:AL,7,FALSE)</f>
        <v>#VALUE!</v>
      </c>
      <c r="AD280" s="1">
        <f>VLOOKUP(A280,'SegEnds_NonXtal_Prot#'!A:AL,13,FALSE)-VLOOKUP(A280,'SegEnds_NonXtal_Prot#'!A:AL,10,FALSE)</f>
        <v>20</v>
      </c>
      <c r="AE280" s="1">
        <f>VLOOKUP(A280,'SegEnds_NonXtal_Prot#'!A:AL,16,FALSE)-VLOOKUP(A280,'SegEnds_NonXtal_Prot#'!A:AL,10,FALSE)</f>
        <v>52</v>
      </c>
      <c r="AF280" s="1">
        <f>VLOOKUP(A280,'SegEnds_NonXtal_Prot#'!A:AL,22,FALSE)-VLOOKUP(A280,'SegEnds_NonXtal_Prot#'!A:AL,19,FALSE)</f>
        <v>20</v>
      </c>
      <c r="AG280" s="1">
        <f>VLOOKUP(A280,'SegEnds_NonXtal_Prot#'!A:AL,28,FALSE)-VLOOKUP(A280,'SegEnds_NonXtal_Prot#'!A:AL,25,FALSE)</f>
        <v>23</v>
      </c>
      <c r="AH280" s="1">
        <f>VLOOKUP(A280,'SegEnds_NonXtal_Prot#'!A:AL,28,FALSE)-VLOOKUP(A280,'SegEnds_NonXtal_Prot#'!A:AL,22,FALSE)</f>
        <v>48</v>
      </c>
      <c r="AI280" s="1">
        <f>VLOOKUP(A280,'SegEnds_NonXtal_Prot#'!A:AL,31,FALSE)-VLOOKUP(A280,'SegEnds_NonXtal_Prot#'!A:AL,28,FALSE)</f>
        <v>46</v>
      </c>
      <c r="AJ280" s="1">
        <f>VLOOKUP(A280,'SegEnds_NonXtal_Prot#'!A:AL,34,FALSE)-VLOOKUP(A280,'SegEnds_NonXtal_Prot#'!A:AL,31,FALSE)</f>
        <v>45</v>
      </c>
      <c r="AK280" s="1">
        <f>VLOOKUP(A280,'SegEnds_NonXtal_Prot#'!A:AL,37,FALSE)-VLOOKUP(A280,'SegEnds_NonXtal_Prot#'!A:AL,34,FALSE)</f>
        <v>10</v>
      </c>
      <c r="AL280" s="1" t="str">
        <f>IF(ISERROR(MATCH(A280,'SegEnds_Xtal_Prot#'!B:B, 0)), "NoXtal", "Xtal")</f>
        <v>NoXtal</v>
      </c>
    </row>
    <row r="281" spans="1:38" x14ac:dyDescent="0.2">
      <c r="A281" s="1" t="s">
        <v>289</v>
      </c>
      <c r="B281" s="1" t="str">
        <f>VLOOKUP(A281,Xtal_Templ!A:B,2,FALSE)</f>
        <v>par2_human</v>
      </c>
      <c r="C281" s="5">
        <f>VLOOKUP($B281&amp;"__wt",'SegEnds_Xtal_BW#'!$A:$Z,3,FALSE)</f>
        <v>28</v>
      </c>
      <c r="D281" s="1">
        <f>VLOOKUP($B281&amp;"__wt",'SegEnds_Xtal_BW#'!$A:$Z,4,FALSE)</f>
        <v>60</v>
      </c>
      <c r="E281" s="1" t="str">
        <f>VLOOKUP($B281&amp;"__wt",'SegEnds_Xtal_BW#'!$A:$Z,5,FALSE)</f>
        <v>-</v>
      </c>
      <c r="F281" s="1" t="str">
        <f>VLOOKUP($B281&amp;"__wt",'SegEnds_Xtal_BW#'!$A:$Z,6,FALSE)</f>
        <v>-</v>
      </c>
      <c r="G281" s="1">
        <v>37</v>
      </c>
      <c r="H281" s="12">
        <v>66</v>
      </c>
      <c r="I281" s="1">
        <f>VLOOKUP($B281&amp;"__wt",'SegEnds_Xtal_BW#'!$A:$Z,9,FALSE)</f>
        <v>47</v>
      </c>
      <c r="J281" s="1">
        <f>VLOOKUP($B281&amp;"__wt",'SegEnds_Xtal_BW#'!$A:$Z,10,FALSE)</f>
        <v>52</v>
      </c>
      <c r="K281" s="12">
        <v>21</v>
      </c>
      <c r="L281" s="1">
        <f>VLOOKUP($B281&amp;"__wt",'SegEnds_Xtal_BW#'!$A:$Z,12,FALSE)</f>
        <v>56</v>
      </c>
      <c r="M281" s="1">
        <f>VLOOKUP($B281&amp;"__wt",'SegEnds_Xtal_BW#'!$A:$Z,13,FALSE)</f>
        <v>50</v>
      </c>
      <c r="N281" s="12">
        <v>57</v>
      </c>
      <c r="O281" s="87">
        <v>38</v>
      </c>
      <c r="P281" s="1">
        <f>VLOOKUP($B281&amp;"__wt",'SegEnds_Xtal_BW#'!$A:$Z,16,FALSE)</f>
        <v>62</v>
      </c>
      <c r="Q281" s="1">
        <f>VLOOKUP($B281&amp;"__wt",'SegEnds_Xtal_BW#'!$A:$Z,17,FALSE)</f>
        <v>50</v>
      </c>
      <c r="R281" s="1">
        <f>VLOOKUP($B281&amp;"__wt",'SegEnds_Xtal_BW#'!$A:$Z,18,FALSE)</f>
        <v>52</v>
      </c>
      <c r="S281" s="1">
        <f>VLOOKUP($B281&amp;"__wt",'SegEnds_Xtal_BW#'!$A:$Z,19,FALSE)</f>
        <v>31</v>
      </c>
      <c r="T281" s="1">
        <f t="array" ref="T281">INDEX(ICL3_classA!$G$2:$G$37,MATCH(MIN(ABS(AI281-ICL3_classA!$F$2:$F$37)),ABS(AI281-ICL3_classA!$F$2:$F$37),0))</f>
        <v>67</v>
      </c>
      <c r="U281" s="1">
        <f t="array" ref="U281">INDEX(ICL3_classA!$H$2:$H$37,MATCH(MIN(ABS(AI281-ICL3_classA!$F$2:$F$37)),ABS(AI281-ICL3_classA!$F$2:$F$37),0))</f>
        <v>26</v>
      </c>
      <c r="V281" s="1">
        <v>64</v>
      </c>
      <c r="W281" s="1">
        <v>24</v>
      </c>
      <c r="X281" s="1">
        <f>VLOOKUP($B281&amp;"__wt",'SegEnds_Xtal_BW#'!$A:$Z,24,FALSE)</f>
        <v>56</v>
      </c>
      <c r="Y281" s="1">
        <f>VLOOKUP($B281&amp;"__wt",'SegEnds_Xtal_BW#'!$A:$Z,25,FALSE)</f>
        <v>47</v>
      </c>
      <c r="Z281" s="1">
        <f>VLOOKUP($B281&amp;"__wt",'SegEnds_Xtal_BW#'!$A:$Z,26,FALSE)</f>
        <v>61</v>
      </c>
      <c r="AA281" s="27" t="str">
        <f>VLOOKUP(A281,Classification!A:B,2,FALSE)</f>
        <v>A</v>
      </c>
      <c r="AB281" s="1">
        <f>VLOOKUP(A281,'SegEnds_NonXtal_Prot#'!A:AL,10,FALSE)-VLOOKUP(A281,'SegEnds_NonXtal_Prot#'!A:AL,4,FALSE)</f>
        <v>28</v>
      </c>
      <c r="AC281" s="1">
        <f>VLOOKUP(A281,'SegEnds_NonXtal_Prot#'!A:AL,10,FALSE)-VLOOKUP(A281,'SegEnds_NonXtal_Prot#'!A:AL,7,FALSE)</f>
        <v>15</v>
      </c>
      <c r="AD281" s="1">
        <f>VLOOKUP(A281,'SegEnds_NonXtal_Prot#'!A:AL,13,FALSE)-VLOOKUP(A281,'SegEnds_NonXtal_Prot#'!A:AL,10,FALSE)</f>
        <v>19</v>
      </c>
      <c r="AE281" s="1">
        <f>VLOOKUP(A281,'SegEnds_NonXtal_Prot#'!A:AL,16,FALSE)-VLOOKUP(A281,'SegEnds_NonXtal_Prot#'!A:AL,10,FALSE)</f>
        <v>51</v>
      </c>
      <c r="AF281" s="1">
        <f>VLOOKUP(A281,'SegEnds_NonXtal_Prot#'!A:AL,22,FALSE)-VLOOKUP(A281,'SegEnds_NonXtal_Prot#'!A:AL,19,FALSE)</f>
        <v>20</v>
      </c>
      <c r="AG281" s="1">
        <f>VLOOKUP(A281,'SegEnds_NonXtal_Prot#'!A:AL,28,FALSE)-VLOOKUP(A281,'SegEnds_NonXtal_Prot#'!A:AL,25,FALSE)</f>
        <v>28</v>
      </c>
      <c r="AH281" s="1">
        <f>VLOOKUP(A281,'SegEnds_NonXtal_Prot#'!A:AL,28,FALSE)-VLOOKUP(A281,'SegEnds_NonXtal_Prot#'!A:AL,22,FALSE)</f>
        <v>57</v>
      </c>
      <c r="AI281" s="1">
        <f>VLOOKUP(A281,'SegEnds_NonXtal_Prot#'!A:AL,31,FALSE)-VLOOKUP(A281,'SegEnds_NonXtal_Prot#'!A:AL,28,FALSE)</f>
        <v>46</v>
      </c>
      <c r="AJ281" s="1">
        <f>VLOOKUP(A281,'SegEnds_NonXtal_Prot#'!A:AL,34,FALSE)-VLOOKUP(A281,'SegEnds_NonXtal_Prot#'!A:AL,31,FALSE)</f>
        <v>45</v>
      </c>
      <c r="AK281" s="1">
        <f>VLOOKUP(A281,'SegEnds_NonXtal_Prot#'!A:AL,37,FALSE)-VLOOKUP(A281,'SegEnds_NonXtal_Prot#'!A:AL,34,FALSE)</f>
        <v>10</v>
      </c>
      <c r="AL281" s="1" t="str">
        <f>IF(ISERROR(MATCH(A281,'SegEnds_Xtal_Prot#'!B:B, 0)), "NoXtal", "Xtal")</f>
        <v>NoXtal</v>
      </c>
    </row>
    <row r="282" spans="1:38" x14ac:dyDescent="0.2">
      <c r="A282" s="1" t="s">
        <v>1523</v>
      </c>
      <c r="B282" s="1" t="str">
        <f>VLOOKUP(A282,Xtal_Templ!A:B,2,FALSE)</f>
        <v>q80km9_hcmv</v>
      </c>
      <c r="C282" s="5">
        <f>VLOOKUP($B282&amp;"__wt",'SegEnds_Xtal_BW#'!$A:$Z,3,FALSE)</f>
        <v>24</v>
      </c>
      <c r="D282" s="1">
        <f>VLOOKUP($B282&amp;"__wt",'SegEnds_Xtal_BW#'!$A:$Z,4,FALSE)</f>
        <v>60</v>
      </c>
      <c r="E282" s="1">
        <f>VLOOKUP($B282&amp;"__wt",'SegEnds_Xtal_BW#'!$A:$Z,5,FALSE)</f>
        <v>48</v>
      </c>
      <c r="F282" s="1">
        <f>VLOOKUP($B282&amp;"__wt",'SegEnds_Xtal_BW#'!$A:$Z,6,FALSE)</f>
        <v>51</v>
      </c>
      <c r="G282" s="1">
        <v>37</v>
      </c>
      <c r="H282" s="12">
        <v>66</v>
      </c>
      <c r="I282" s="1" t="str">
        <f>VLOOKUP($B282&amp;"__wt",'SegEnds_Xtal_BW#'!$A:$Z,9,FALSE)</f>
        <v>-</v>
      </c>
      <c r="J282" s="1" t="str">
        <f>VLOOKUP($B282&amp;"__wt",'SegEnds_Xtal_BW#'!$A:$Z,10,FALSE)</f>
        <v>-</v>
      </c>
      <c r="K282" s="108">
        <v>21</v>
      </c>
      <c r="L282" s="1">
        <f>VLOOKUP($B282&amp;"__wt",'SegEnds_Xtal_BW#'!$A:$Z,12,FALSE)</f>
        <v>55</v>
      </c>
      <c r="M282" s="1" t="str">
        <f>VLOOKUP($B282&amp;"__wt",'SegEnds_Xtal_BW#'!$A:$Z,13,FALSE)</f>
        <v>-</v>
      </c>
      <c r="N282" s="12" t="str">
        <f>VLOOKUP($B282&amp;"__wt",'SegEnds_Xtal_BW#'!$A:$Z,14,FALSE)</f>
        <v>-</v>
      </c>
      <c r="O282" s="87">
        <f>VLOOKUP($B282&amp;"__wt",'SegEnds_Xtal_BW#'!$A:$Z,15,FALSE)</f>
        <v>38</v>
      </c>
      <c r="P282" s="1">
        <f>VLOOKUP($B282&amp;"__wt",'SegEnds_Xtal_BW#'!$A:$Z,16,FALSE)</f>
        <v>62</v>
      </c>
      <c r="Q282" s="1">
        <f>VLOOKUP($B282&amp;"__wt",'SegEnds_Xtal_BW#'!$A:$Z,17,FALSE)</f>
        <v>50</v>
      </c>
      <c r="R282" s="1">
        <f>VLOOKUP($B282&amp;"__wt",'SegEnds_Xtal_BW#'!$A:$Z,18,FALSE)</f>
        <v>52</v>
      </c>
      <c r="S282" s="1">
        <f>VLOOKUP($B282&amp;"__wt",'SegEnds_Xtal_BW#'!$A:$Z,19,FALSE)</f>
        <v>33</v>
      </c>
      <c r="T282" s="1">
        <f t="array" ref="T282">INDEX(ICL3_classA!$G$2:$G$37,MATCH(MIN(ABS(AI282-ICL3_classA!$F$2:$F$37)),ABS(AI282-ICL3_classA!$F$2:$F$37),0))</f>
        <v>68</v>
      </c>
      <c r="U282" s="1">
        <v>29</v>
      </c>
      <c r="V282" s="1">
        <v>64</v>
      </c>
      <c r="W282" s="1">
        <v>24</v>
      </c>
      <c r="X282" s="1">
        <f>VLOOKUP($B282&amp;"__wt",'SegEnds_Xtal_BW#'!$A:$Z,24,FALSE)</f>
        <v>56</v>
      </c>
      <c r="Y282" s="1">
        <f>VLOOKUP($B282&amp;"__wt",'SegEnds_Xtal_BW#'!$A:$Z,25,FALSE)</f>
        <v>47</v>
      </c>
      <c r="Z282" s="1">
        <f>VLOOKUP($B282&amp;"__wt",'SegEnds_Xtal_BW#'!$A:$Z,26,FALSE)</f>
        <v>62</v>
      </c>
      <c r="AA282" s="27" t="str">
        <f>VLOOKUP(A282,Classification!A:B,2,FALSE)</f>
        <v>A</v>
      </c>
      <c r="AB282" s="1">
        <f>VLOOKUP(A282,'SegEnds_NonXtal_Prot#'!A:AL,10,FALSE)-VLOOKUP(A282,'SegEnds_NonXtal_Prot#'!A:AL,4,FALSE)</f>
        <v>28</v>
      </c>
      <c r="AC282" s="1">
        <f>VLOOKUP(A282,'SegEnds_NonXtal_Prot#'!A:AL,10,FALSE)-VLOOKUP(A282,'SegEnds_NonXtal_Prot#'!A:AL,7,FALSE)</f>
        <v>15</v>
      </c>
      <c r="AD282" s="1" t="e">
        <f>VLOOKUP(A282,'SegEnds_NonXtal_Prot#'!A:AL,13,FALSE)-VLOOKUP(A282,'SegEnds_NonXtal_Prot#'!A:AL,10,FALSE)</f>
        <v>#VALUE!</v>
      </c>
      <c r="AE282" s="1">
        <f>VLOOKUP(A282,'SegEnds_NonXtal_Prot#'!A:AL,16,FALSE)-VLOOKUP(A282,'SegEnds_NonXtal_Prot#'!A:AL,10,FALSE)</f>
        <v>50</v>
      </c>
      <c r="AF282" s="1" t="e">
        <f>VLOOKUP(A282,'SegEnds_NonXtal_Prot#'!A:AL,22,FALSE)-VLOOKUP(A282,'SegEnds_NonXtal_Prot#'!A:AL,19,FALSE)</f>
        <v>#VALUE!</v>
      </c>
      <c r="AG282" s="1">
        <f>VLOOKUP(A282,'SegEnds_NonXtal_Prot#'!A:AL,28,FALSE)-VLOOKUP(A282,'SegEnds_NonXtal_Prot#'!A:AL,25,FALSE)</f>
        <v>27</v>
      </c>
      <c r="AH282" s="1">
        <f>VLOOKUP(A282,'SegEnds_NonXtal_Prot#'!A:AL,28,FALSE)-VLOOKUP(A282,'SegEnds_NonXtal_Prot#'!A:AL,22,FALSE)</f>
        <v>48</v>
      </c>
      <c r="AI282" s="1">
        <f>VLOOKUP(A282,'SegEnds_NonXtal_Prot#'!A:AL,31,FALSE)-VLOOKUP(A282,'SegEnds_NonXtal_Prot#'!A:AL,28,FALSE)</f>
        <v>43</v>
      </c>
      <c r="AJ282" s="1">
        <f>VLOOKUP(A282,'SegEnds_NonXtal_Prot#'!A:AL,34,FALSE)-VLOOKUP(A282,'SegEnds_NonXtal_Prot#'!A:AL,31,FALSE)</f>
        <v>45</v>
      </c>
      <c r="AK282" s="1">
        <f>VLOOKUP(A282,'SegEnds_NonXtal_Prot#'!A:AL,37,FALSE)-VLOOKUP(A282,'SegEnds_NonXtal_Prot#'!A:AL,34,FALSE)</f>
        <v>10</v>
      </c>
      <c r="AL282" s="1" t="str">
        <f>IF(ISERROR(MATCH(A282,'SegEnds_Xtal_Prot#'!B:B, 0)), "NoXtal", "Xtal")</f>
        <v>Xtal</v>
      </c>
    </row>
    <row r="283" spans="1:38" x14ac:dyDescent="0.2">
      <c r="A283" s="1" t="s">
        <v>373</v>
      </c>
      <c r="B283" s="1" t="str">
        <f>VLOOKUP(A283,Xtal_Templ!A:B,2,FALSE)</f>
        <v>agtr1_human</v>
      </c>
      <c r="C283" s="5">
        <f>VLOOKUP($B283&amp;"__wt",'SegEnds_Xtal_BW#'!$A:$Z,3,FALSE)</f>
        <v>28</v>
      </c>
      <c r="D283" s="1">
        <f>VLOOKUP($B283&amp;"__wt",'SegEnds_Xtal_BW#'!$A:$Z,4,FALSE)</f>
        <v>60</v>
      </c>
      <c r="E283" s="1">
        <f>VLOOKUP($B283&amp;"__wt",'SegEnds_Xtal_BW#'!$A:$Z,5,FALSE)</f>
        <v>48</v>
      </c>
      <c r="F283" s="1">
        <f>VLOOKUP($B283&amp;"__wt",'SegEnds_Xtal_BW#'!$A:$Z,6,FALSE)</f>
        <v>51</v>
      </c>
      <c r="G283" s="1">
        <v>37</v>
      </c>
      <c r="H283" s="12">
        <f>VLOOKUP($B283&amp;"__wt",'SegEnds_Xtal_BW#'!$A:$Z,8,FALSE)</f>
        <v>66</v>
      </c>
      <c r="I283" s="1">
        <f>VLOOKUP($B283&amp;"__wt",'SegEnds_Xtal_BW#'!$A:$Z,9,FALSE)</f>
        <v>49</v>
      </c>
      <c r="J283" s="1">
        <f>VLOOKUP($B283&amp;"__wt",'SegEnds_Xtal_BW#'!$A:$Z,10,FALSE)</f>
        <v>52</v>
      </c>
      <c r="K283" s="12">
        <v>18</v>
      </c>
      <c r="L283" s="1">
        <f>VLOOKUP($B283&amp;"__wt",'SegEnds_Xtal_BW#'!$A:$Z,12,FALSE)</f>
        <v>56</v>
      </c>
      <c r="M283" s="1">
        <f>VLOOKUP($B283&amp;"__wt",'SegEnds_Xtal_BW#'!$A:$Z,13,FALSE)</f>
        <v>50</v>
      </c>
      <c r="N283" s="12">
        <v>58</v>
      </c>
      <c r="O283" s="87">
        <f>VLOOKUP($B283&amp;"__wt",'SegEnds_Xtal_BW#'!$A:$Z,15,FALSE)</f>
        <v>38</v>
      </c>
      <c r="P283" s="1">
        <f>VLOOKUP($B283&amp;"__wt",'SegEnds_Xtal_BW#'!$A:$Z,16,FALSE)</f>
        <v>64</v>
      </c>
      <c r="Q283" s="1">
        <f>VLOOKUP($B283&amp;"__wt",'SegEnds_Xtal_BW#'!$A:$Z,17,FALSE)</f>
        <v>50</v>
      </c>
      <c r="R283" s="1">
        <f>VLOOKUP($B283&amp;"__wt",'SegEnds_Xtal_BW#'!$A:$Z,18,FALSE)</f>
        <v>52</v>
      </c>
      <c r="S283" s="1">
        <f>VLOOKUP($B283&amp;"__wt",'SegEnds_Xtal_BW#'!$A:$Z,19,FALSE)</f>
        <v>34</v>
      </c>
      <c r="T283" s="1">
        <f t="array" ref="T283">INDEX(ICL3_classA!$G$2:$G$37,MATCH(MIN(ABS(AI283-ICL3_classA!$F$2:$F$37)),ABS(AI283-ICL3_classA!$F$2:$F$37),0))</f>
        <v>74</v>
      </c>
      <c r="U283" s="1">
        <f t="array" ref="U283">INDEX(ICL3_classA!$H$2:$H$37,MATCH(MIN(ABS(AI283-ICL3_classA!$F$2:$F$37)),ABS(AI283-ICL3_classA!$F$2:$F$37),0))</f>
        <v>21</v>
      </c>
      <c r="V283" s="1">
        <v>64</v>
      </c>
      <c r="W283" s="1">
        <v>24</v>
      </c>
      <c r="X283" s="1">
        <f>VLOOKUP($B283&amp;"__wt",'SegEnds_Xtal_BW#'!$A:$Z,24,FALSE)</f>
        <v>56</v>
      </c>
      <c r="Y283" s="1">
        <f>VLOOKUP($B283&amp;"__wt",'SegEnds_Xtal_BW#'!$A:$Z,25,FALSE)</f>
        <v>47</v>
      </c>
      <c r="Z283" s="1">
        <f>VLOOKUP($B283&amp;"__wt",'SegEnds_Xtal_BW#'!$A:$Z,26,FALSE)</f>
        <v>61</v>
      </c>
      <c r="AA283" s="27" t="str">
        <f>VLOOKUP(A283,Classification!A:B,2,FALSE)</f>
        <v>A</v>
      </c>
      <c r="AB283" s="1">
        <f>VLOOKUP(A283,'SegEnds_NonXtal_Prot#'!A:AL,10,FALSE)-VLOOKUP(A283,'SegEnds_NonXtal_Prot#'!A:AL,4,FALSE)</f>
        <v>29</v>
      </c>
      <c r="AC283" s="1">
        <f>VLOOKUP(A283,'SegEnds_NonXtal_Prot#'!A:AL,10,FALSE)-VLOOKUP(A283,'SegEnds_NonXtal_Prot#'!A:AL,7,FALSE)</f>
        <v>16</v>
      </c>
      <c r="AD283" s="1">
        <f>VLOOKUP(A283,'SegEnds_NonXtal_Prot#'!A:AL,13,FALSE)-VLOOKUP(A283,'SegEnds_NonXtal_Prot#'!A:AL,10,FALSE)</f>
        <v>20</v>
      </c>
      <c r="AE283" s="1">
        <f>VLOOKUP(A283,'SegEnds_NonXtal_Prot#'!A:AL,16,FALSE)-VLOOKUP(A283,'SegEnds_NonXtal_Prot#'!A:AL,10,FALSE)</f>
        <v>52</v>
      </c>
      <c r="AF283" s="1" t="e">
        <f>VLOOKUP(A283,'SegEnds_NonXtal_Prot#'!A:AL,22,FALSE)-VLOOKUP(A283,'SegEnds_NonXtal_Prot#'!A:AL,19,FALSE)</f>
        <v>#VALUE!</v>
      </c>
      <c r="AG283" s="1">
        <f>VLOOKUP(A283,'SegEnds_NonXtal_Prot#'!A:AL,28,FALSE)-VLOOKUP(A283,'SegEnds_NonXtal_Prot#'!A:AL,25,FALSE)</f>
        <v>32</v>
      </c>
      <c r="AH283" s="1">
        <f>VLOOKUP(A283,'SegEnds_NonXtal_Prot#'!A:AL,28,FALSE)-VLOOKUP(A283,'SegEnds_NonXtal_Prot#'!A:AL,22,FALSE)</f>
        <v>57</v>
      </c>
      <c r="AI283" s="1">
        <f>VLOOKUP(A283,'SegEnds_NonXtal_Prot#'!A:AL,31,FALSE)-VLOOKUP(A283,'SegEnds_NonXtal_Prot#'!A:AL,28,FALSE)</f>
        <v>62</v>
      </c>
      <c r="AJ283" s="1">
        <f>VLOOKUP(A283,'SegEnds_NonXtal_Prot#'!A:AL,34,FALSE)-VLOOKUP(A283,'SegEnds_NonXtal_Prot#'!A:AL,31,FALSE)</f>
        <v>45</v>
      </c>
      <c r="AK283" s="1">
        <f>VLOOKUP(A283,'SegEnds_NonXtal_Prot#'!A:AL,37,FALSE)-VLOOKUP(A283,'SegEnds_NonXtal_Prot#'!A:AL,34,FALSE)</f>
        <v>10</v>
      </c>
      <c r="AL283" s="1" t="str">
        <f>IF(ISERROR(MATCH(A283,'SegEnds_Xtal_Prot#'!B:B, 0)), "NoXtal", "Xtal")</f>
        <v>NoXtal</v>
      </c>
    </row>
    <row r="284" spans="1:38" x14ac:dyDescent="0.2">
      <c r="A284" s="1" t="s">
        <v>374</v>
      </c>
      <c r="B284" s="1" t="str">
        <f>VLOOKUP(A284,Xtal_Templ!A:B,2,FALSE)</f>
        <v>oprk_human</v>
      </c>
      <c r="C284" s="5">
        <f>VLOOKUP($B284&amp;"__wt",'SegEnds_Xtal_BW#'!$A:$Z,3,FALSE)</f>
        <v>30</v>
      </c>
      <c r="D284" s="1">
        <f>VLOOKUP($B284&amp;"__wt",'SegEnds_Xtal_BW#'!$A:$Z,4,FALSE)</f>
        <v>60</v>
      </c>
      <c r="E284" s="1">
        <f>VLOOKUP($B284&amp;"__wt",'SegEnds_Xtal_BW#'!$A:$Z,5,FALSE)</f>
        <v>48</v>
      </c>
      <c r="F284" s="1">
        <f>VLOOKUP($B284&amp;"__wt",'SegEnds_Xtal_BW#'!$A:$Z,6,FALSE)</f>
        <v>51</v>
      </c>
      <c r="G284" s="1">
        <v>37</v>
      </c>
      <c r="H284" s="12">
        <f>VLOOKUP($B284&amp;"__wt",'SegEnds_Xtal_BW#'!$A:$Z,8,FALSE)</f>
        <v>67</v>
      </c>
      <c r="I284" s="1">
        <f>VLOOKUP($B284&amp;"__wt",'SegEnds_Xtal_BW#'!$A:$Z,9,FALSE)</f>
        <v>49</v>
      </c>
      <c r="J284" s="1">
        <f>VLOOKUP($B284&amp;"__wt",'SegEnds_Xtal_BW#'!$A:$Z,10,FALSE)</f>
        <v>52</v>
      </c>
      <c r="K284" s="12">
        <v>18</v>
      </c>
      <c r="L284" s="1">
        <f>VLOOKUP($B284&amp;"__wt",'SegEnds_Xtal_BW#'!$A:$Z,12,FALSE)</f>
        <v>56</v>
      </c>
      <c r="M284" s="1">
        <f>VLOOKUP($B284&amp;"__wt",'SegEnds_Xtal_BW#'!$A:$Z,13,FALSE)</f>
        <v>50</v>
      </c>
      <c r="N284" s="12">
        <v>57</v>
      </c>
      <c r="O284" s="87">
        <f>VLOOKUP($B284&amp;"__wt",'SegEnds_Xtal_BW#'!$A:$Z,15,FALSE)</f>
        <v>38</v>
      </c>
      <c r="P284" s="1">
        <f>VLOOKUP($B284&amp;"__wt",'SegEnds_Xtal_BW#'!$A:$Z,16,FALSE)</f>
        <v>64</v>
      </c>
      <c r="Q284" s="1">
        <f>VLOOKUP($B284&amp;"__wt",'SegEnds_Xtal_BW#'!$A:$Z,17,FALSE)</f>
        <v>50</v>
      </c>
      <c r="R284" s="1">
        <f>VLOOKUP($B284&amp;"__wt",'SegEnds_Xtal_BW#'!$A:$Z,18,FALSE)</f>
        <v>52</v>
      </c>
      <c r="S284" s="1">
        <f>VLOOKUP($B284&amp;"__wt",'SegEnds_Xtal_BW#'!$A:$Z,19,FALSE)</f>
        <v>30</v>
      </c>
      <c r="T284" s="1">
        <f t="array" ref="T284">INDEX(ICL3_classA!$G$2:$G$37,MATCH(MIN(ABS(AI284-ICL3_classA!$F$2:$F$37)),ABS(AI284-ICL3_classA!$F$2:$F$37),0))</f>
        <v>67</v>
      </c>
      <c r="U284" s="1">
        <f t="array" ref="U284">INDEX(ICL3_classA!$H$2:$H$37,MATCH(MIN(ABS(AI284-ICL3_classA!$F$2:$F$37)),ABS(AI284-ICL3_classA!$F$2:$F$37),0))</f>
        <v>28</v>
      </c>
      <c r="V284" s="1">
        <v>64</v>
      </c>
      <c r="W284" s="1">
        <v>24</v>
      </c>
      <c r="X284" s="1">
        <f>VLOOKUP($B284&amp;"__wt",'SegEnds_Xtal_BW#'!$A:$Z,24,FALSE)</f>
        <v>56</v>
      </c>
      <c r="Y284" s="1">
        <f>VLOOKUP($B284&amp;"__wt",'SegEnds_Xtal_BW#'!$A:$Z,25,FALSE)</f>
        <v>47</v>
      </c>
      <c r="Z284" s="1">
        <f>VLOOKUP($B284&amp;"__wt",'SegEnds_Xtal_BW#'!$A:$Z,26,FALSE)</f>
        <v>59</v>
      </c>
      <c r="AA284" s="27" t="str">
        <f>VLOOKUP(A284,Classification!A:B,2,FALSE)</f>
        <v>A</v>
      </c>
      <c r="AB284" s="1">
        <f>VLOOKUP(A284,'SegEnds_NonXtal_Prot#'!A:AL,10,FALSE)-VLOOKUP(A284,'SegEnds_NonXtal_Prot#'!A:AL,4,FALSE)</f>
        <v>30</v>
      </c>
      <c r="AC284" s="1">
        <f>VLOOKUP(A284,'SegEnds_NonXtal_Prot#'!A:AL,10,FALSE)-VLOOKUP(A284,'SegEnds_NonXtal_Prot#'!A:AL,7,FALSE)</f>
        <v>16</v>
      </c>
      <c r="AD284" s="1">
        <f>VLOOKUP(A284,'SegEnds_NonXtal_Prot#'!A:AL,13,FALSE)-VLOOKUP(A284,'SegEnds_NonXtal_Prot#'!A:AL,10,FALSE)</f>
        <v>20</v>
      </c>
      <c r="AE284" s="1">
        <f>VLOOKUP(A284,'SegEnds_NonXtal_Prot#'!A:AL,16,FALSE)-VLOOKUP(A284,'SegEnds_NonXtal_Prot#'!A:AL,10,FALSE)</f>
        <v>52</v>
      </c>
      <c r="AF284" s="1">
        <f>VLOOKUP(A284,'SegEnds_NonXtal_Prot#'!A:AL,22,FALSE)-VLOOKUP(A284,'SegEnds_NonXtal_Prot#'!A:AL,19,FALSE)</f>
        <v>20</v>
      </c>
      <c r="AG284" s="1">
        <f>VLOOKUP(A284,'SegEnds_NonXtal_Prot#'!A:AL,28,FALSE)-VLOOKUP(A284,'SegEnds_NonXtal_Prot#'!A:AL,25,FALSE)</f>
        <v>25</v>
      </c>
      <c r="AH284" s="1">
        <f>VLOOKUP(A284,'SegEnds_NonXtal_Prot#'!A:AL,28,FALSE)-VLOOKUP(A284,'SegEnds_NonXtal_Prot#'!A:AL,22,FALSE)</f>
        <v>50</v>
      </c>
      <c r="AI284" s="1">
        <f>VLOOKUP(A284,'SegEnds_NonXtal_Prot#'!A:AL,31,FALSE)-VLOOKUP(A284,'SegEnds_NonXtal_Prot#'!A:AL,28,FALSE)</f>
        <v>45</v>
      </c>
      <c r="AJ284" s="1">
        <f>VLOOKUP(A284,'SegEnds_NonXtal_Prot#'!A:AL,34,FALSE)-VLOOKUP(A284,'SegEnds_NonXtal_Prot#'!A:AL,31,FALSE)</f>
        <v>45</v>
      </c>
      <c r="AK284" s="1">
        <f>VLOOKUP(A284,'SegEnds_NonXtal_Prot#'!A:AL,37,FALSE)-VLOOKUP(A284,'SegEnds_NonXtal_Prot#'!A:AL,34,FALSE)</f>
        <v>10</v>
      </c>
      <c r="AL284" s="1" t="str">
        <f>IF(ISERROR(MATCH(A284,'SegEnds_Xtal_Prot#'!B:B, 0)), "NoXtal", "Xtal")</f>
        <v>NoXtal</v>
      </c>
    </row>
    <row r="285" spans="1:38" x14ac:dyDescent="0.2">
      <c r="A285" s="1" t="s">
        <v>386</v>
      </c>
      <c r="B285" s="1" t="str">
        <f>VLOOKUP(A285,Xtal_Templ!A:B,2,FALSE)</f>
        <v>p2ry1_human</v>
      </c>
      <c r="C285" s="5">
        <f>VLOOKUP($B285&amp;"__wt",'SegEnds_Xtal_BW#'!$A:$Z,3,FALSE)</f>
        <v>30</v>
      </c>
      <c r="D285" s="1">
        <f>VLOOKUP($B285&amp;"__wt",'SegEnds_Xtal_BW#'!$A:$Z,4,FALSE)</f>
        <v>60</v>
      </c>
      <c r="E285" s="1" t="str">
        <f>VLOOKUP($B285&amp;"__wt",'SegEnds_Xtal_BW#'!$A:$Z,5,FALSE)</f>
        <v>-</v>
      </c>
      <c r="F285" s="1" t="str">
        <f>VLOOKUP($B285&amp;"__wt",'SegEnds_Xtal_BW#'!$A:$Z,6,FALSE)</f>
        <v>-</v>
      </c>
      <c r="G285" s="1">
        <v>37</v>
      </c>
      <c r="H285" s="12">
        <v>66</v>
      </c>
      <c r="I285" s="1">
        <f>VLOOKUP($B285&amp;"__wt",'SegEnds_Xtal_BW#'!$A:$Z,9,FALSE)</f>
        <v>49</v>
      </c>
      <c r="J285" s="1">
        <f>VLOOKUP($B285&amp;"__wt",'SegEnds_Xtal_BW#'!$A:$Z,10,FALSE)</f>
        <v>52</v>
      </c>
      <c r="K285" s="12">
        <v>21</v>
      </c>
      <c r="L285" s="1">
        <f>VLOOKUP($B285&amp;"__wt",'SegEnds_Xtal_BW#'!$A:$Z,12,FALSE)</f>
        <v>56</v>
      </c>
      <c r="M285" s="1">
        <f>VLOOKUP($B285&amp;"__wt",'SegEnds_Xtal_BW#'!$A:$Z,13,FALSE)</f>
        <v>50</v>
      </c>
      <c r="N285" s="12">
        <v>57</v>
      </c>
      <c r="O285" s="87">
        <f>VLOOKUP($B285&amp;"__wt",'SegEnds_Xtal_BW#'!$A:$Z,15,FALSE)</f>
        <v>38</v>
      </c>
      <c r="P285" s="1">
        <f>VLOOKUP($B285&amp;"__wt",'SegEnds_Xtal_BW#'!$A:$Z,16,FALSE)</f>
        <v>64</v>
      </c>
      <c r="Q285" s="1">
        <f>VLOOKUP($B285&amp;"__wt",'SegEnds_Xtal_BW#'!$A:$Z,17,FALSE)</f>
        <v>50</v>
      </c>
      <c r="R285" s="1">
        <f>VLOOKUP($B285&amp;"__wt",'SegEnds_Xtal_BW#'!$A:$Z,18,FALSE)</f>
        <v>52</v>
      </c>
      <c r="S285" s="1">
        <f>VLOOKUP($B285&amp;"__wt",'SegEnds_Xtal_BW#'!$A:$Z,19,FALSE)</f>
        <v>32</v>
      </c>
      <c r="T285" s="1">
        <f t="array" ref="T285">INDEX(ICL3_classA!$G$2:$G$37,MATCH(MIN(ABS(AI285-ICL3_classA!$F$2:$F$37)),ABS(AI285-ICL3_classA!$F$2:$F$37),0))</f>
        <v>68</v>
      </c>
      <c r="U285" s="1">
        <f t="array" ref="U285">INDEX(ICL3_classA!$H$2:$H$37,MATCH(MIN(ABS(AI285-ICL3_classA!$F$2:$F$37)),ABS(AI285-ICL3_classA!$F$2:$F$37),0))</f>
        <v>24</v>
      </c>
      <c r="V285" s="1">
        <v>64</v>
      </c>
      <c r="W285" s="1">
        <v>24</v>
      </c>
      <c r="X285" s="125">
        <f>VLOOKUP($B285&amp;"__wt",'SegEnds_Xtal_BW#'!$A:$Z,24,FALSE)</f>
        <v>56</v>
      </c>
      <c r="Y285" s="1">
        <f>VLOOKUP($B285&amp;"__wt",'SegEnds_Xtal_BW#'!$A:$Z,25,FALSE)</f>
        <v>47</v>
      </c>
      <c r="Z285" s="1">
        <f>VLOOKUP($B285&amp;"__wt",'SegEnds_Xtal_BW#'!$A:$Z,26,FALSE)</f>
        <v>59</v>
      </c>
      <c r="AA285" s="27" t="str">
        <f>VLOOKUP(A285,Classification!A:B,2,FALSE)</f>
        <v>A</v>
      </c>
      <c r="AB285" s="1">
        <f>VLOOKUP(A285,'SegEnds_NonXtal_Prot#'!A:AL,10,FALSE)-VLOOKUP(A285,'SegEnds_NonXtal_Prot#'!A:AL,4,FALSE)</f>
        <v>28</v>
      </c>
      <c r="AC285" s="1" t="e">
        <f>VLOOKUP(A285,'SegEnds_NonXtal_Prot#'!A:AL,10,FALSE)-VLOOKUP(A285,'SegEnds_NonXtal_Prot#'!A:AL,7,FALSE)</f>
        <v>#VALUE!</v>
      </c>
      <c r="AD285" s="1">
        <f>VLOOKUP(A285,'SegEnds_NonXtal_Prot#'!A:AL,13,FALSE)-VLOOKUP(A285,'SegEnds_NonXtal_Prot#'!A:AL,10,FALSE)</f>
        <v>19</v>
      </c>
      <c r="AE285" s="1">
        <f>VLOOKUP(A285,'SegEnds_NonXtal_Prot#'!A:AL,16,FALSE)-VLOOKUP(A285,'SegEnds_NonXtal_Prot#'!A:AL,10,FALSE)</f>
        <v>51</v>
      </c>
      <c r="AF285" s="1">
        <f>VLOOKUP(A285,'SegEnds_NonXtal_Prot#'!A:AL,22,FALSE)-VLOOKUP(A285,'SegEnds_NonXtal_Prot#'!A:AL,19,FALSE)</f>
        <v>20</v>
      </c>
      <c r="AG285" s="1">
        <f>VLOOKUP(A285,'SegEnds_NonXtal_Prot#'!A:AL,28,FALSE)-VLOOKUP(A285,'SegEnds_NonXtal_Prot#'!A:AL,25,FALSE)</f>
        <v>27</v>
      </c>
      <c r="AH285" s="1">
        <f>VLOOKUP(A285,'SegEnds_NonXtal_Prot#'!A:AL,28,FALSE)-VLOOKUP(A285,'SegEnds_NonXtal_Prot#'!A:AL,22,FALSE)</f>
        <v>52</v>
      </c>
      <c r="AI285" s="1">
        <f>VLOOKUP(A285,'SegEnds_NonXtal_Prot#'!A:AL,31,FALSE)-VLOOKUP(A285,'SegEnds_NonXtal_Prot#'!A:AL,28,FALSE)</f>
        <v>48</v>
      </c>
      <c r="AJ285" s="1">
        <f>VLOOKUP(A285,'SegEnds_NonXtal_Prot#'!A:AL,34,FALSE)-VLOOKUP(A285,'SegEnds_NonXtal_Prot#'!A:AL,31,FALSE)</f>
        <v>45</v>
      </c>
      <c r="AK285" s="1">
        <f>VLOOKUP(A285,'SegEnds_NonXtal_Prot#'!A:AL,37,FALSE)-VLOOKUP(A285,'SegEnds_NonXtal_Prot#'!A:AL,34,FALSE)</f>
        <v>10</v>
      </c>
      <c r="AL285" s="1" t="str">
        <f>IF(ISERROR(MATCH(A285,'SegEnds_Xtal_Prot#'!B:B, 0)), "NoXtal", "Xtal")</f>
        <v>NoXtal</v>
      </c>
    </row>
    <row r="286" spans="1:38" x14ac:dyDescent="0.2">
      <c r="A286" s="1" t="s">
        <v>473</v>
      </c>
      <c r="B286" s="1" t="str">
        <f>VLOOKUP(A286,Xtal_Templ!A:B,2,FALSE)</f>
        <v>ta2r_human</v>
      </c>
      <c r="C286" s="5">
        <f>VLOOKUP($B286&amp;"__wt",'SegEnds_Xtal_BW#'!$A:$Z,3,FALSE)</f>
        <v>35</v>
      </c>
      <c r="D286" s="1">
        <f>VLOOKUP($B286&amp;"__wt",'SegEnds_Xtal_BW#'!$A:$Z,4,FALSE)</f>
        <v>62</v>
      </c>
      <c r="E286" s="1" t="str">
        <f>VLOOKUP($B286&amp;"__wt",'SegEnds_Xtal_BW#'!$A:$Z,5,FALSE)</f>
        <v>-</v>
      </c>
      <c r="F286" s="1" t="str">
        <f>VLOOKUP($B286&amp;"__wt",'SegEnds_Xtal_BW#'!$A:$Z,6,FALSE)</f>
        <v>-</v>
      </c>
      <c r="G286" s="1">
        <v>37</v>
      </c>
      <c r="H286" s="12">
        <v>67</v>
      </c>
      <c r="I286" s="1">
        <f>VLOOKUP($B286&amp;"__wt",'SegEnds_Xtal_BW#'!$A:$Z,9,FALSE)</f>
        <v>49</v>
      </c>
      <c r="J286" s="1">
        <f>VLOOKUP($B286&amp;"__wt",'SegEnds_Xtal_BW#'!$A:$Z,10,FALSE)</f>
        <v>53</v>
      </c>
      <c r="K286" s="12">
        <v>18</v>
      </c>
      <c r="L286" s="1">
        <f>VLOOKUP($B286&amp;"__wt",'SegEnds_Xtal_BW#'!$A:$Z,12,FALSE)</f>
        <v>56</v>
      </c>
      <c r="M286" s="1">
        <f>VLOOKUP($B286&amp;"__wt",'SegEnds_Xtal_BW#'!$A:$Z,13,FALSE)</f>
        <v>50</v>
      </c>
      <c r="N286" s="12">
        <v>57</v>
      </c>
      <c r="O286" s="87">
        <f>VLOOKUP($B286&amp;"__wt",'SegEnds_Xtal_BW#'!$A:$Z,15,FALSE)</f>
        <v>38</v>
      </c>
      <c r="P286" s="1">
        <f>VLOOKUP($B286&amp;"__wt",'SegEnds_Xtal_BW#'!$A:$Z,16,FALSE)</f>
        <v>63</v>
      </c>
      <c r="Q286" s="1">
        <f>VLOOKUP($B286&amp;"__wt",'SegEnds_Xtal_BW#'!$A:$Z,17,FALSE)</f>
        <v>50</v>
      </c>
      <c r="R286" s="1">
        <f>VLOOKUP($B286&amp;"__wt",'SegEnds_Xtal_BW#'!$A:$Z,18,FALSE)</f>
        <v>52</v>
      </c>
      <c r="S286" s="1">
        <f>VLOOKUP($B286&amp;"__wt",'SegEnds_Xtal_BW#'!$A:$Z,19,FALSE)</f>
        <v>33</v>
      </c>
      <c r="T286" s="1">
        <f t="array" ref="T286">INDEX(ICL3_classA!$G$2:$G$37,MATCH(MIN(ABS(AI286-ICL3_classA!$F$2:$F$37)),ABS(AI286-ICL3_classA!$F$2:$F$37),0))</f>
        <v>72</v>
      </c>
      <c r="U286" s="1">
        <f t="array" ref="U286">INDEX(ICL3_classA!$H$2:$H$37,MATCH(MIN(ABS(AI286-ICL3_classA!$F$2:$F$37)),ABS(AI286-ICL3_classA!$F$2:$F$37),0))</f>
        <v>24</v>
      </c>
      <c r="V286" s="108">
        <v>61</v>
      </c>
      <c r="W286" s="108">
        <v>28</v>
      </c>
      <c r="X286" s="1">
        <f>VLOOKUP($B286&amp;"__wt",'SegEnds_Xtal_BW#'!$A:$Z,24,FALSE)</f>
        <v>56</v>
      </c>
      <c r="Y286" s="1">
        <f>VLOOKUP($B286&amp;"__wt",'SegEnds_Xtal_BW#'!$A:$Z,25,FALSE)</f>
        <v>47</v>
      </c>
      <c r="Z286" s="1">
        <f>VLOOKUP($B286&amp;"__wt",'SegEnds_Xtal_BW#'!$A:$Z,26,FALSE)</f>
        <v>66</v>
      </c>
      <c r="AA286" s="27" t="str">
        <f>VLOOKUP(A286,Classification!A:B,2,FALSE)</f>
        <v>A</v>
      </c>
      <c r="AB286" s="1">
        <f>VLOOKUP(A286,'SegEnds_NonXtal_Prot#'!A:AL,10,FALSE)-VLOOKUP(A286,'SegEnds_NonXtal_Prot#'!A:AL,4,FALSE)</f>
        <v>32</v>
      </c>
      <c r="AC286" s="1" t="e">
        <f>VLOOKUP(A286,'SegEnds_NonXtal_Prot#'!A:AL,10,FALSE)-VLOOKUP(A286,'SegEnds_NonXtal_Prot#'!A:AL,7,FALSE)</f>
        <v>#VALUE!</v>
      </c>
      <c r="AD286" s="1">
        <f>VLOOKUP(A286,'SegEnds_NonXtal_Prot#'!A:AL,13,FALSE)-VLOOKUP(A286,'SegEnds_NonXtal_Prot#'!A:AL,10,FALSE)</f>
        <v>21</v>
      </c>
      <c r="AE286" s="1">
        <f>VLOOKUP(A286,'SegEnds_NonXtal_Prot#'!A:AL,16,FALSE)-VLOOKUP(A286,'SegEnds_NonXtal_Prot#'!A:AL,10,FALSE)</f>
        <v>56</v>
      </c>
      <c r="AF286" s="1">
        <f>VLOOKUP(A286,'SegEnds_NonXtal_Prot#'!A:AL,22,FALSE)-VLOOKUP(A286,'SegEnds_NonXtal_Prot#'!A:AL,19,FALSE)</f>
        <v>20</v>
      </c>
      <c r="AG286" s="1">
        <f>VLOOKUP(A286,'SegEnds_NonXtal_Prot#'!A:AL,28,FALSE)-VLOOKUP(A286,'SegEnds_NonXtal_Prot#'!A:AL,25,FALSE)</f>
        <v>24</v>
      </c>
      <c r="AH286" s="1">
        <f>VLOOKUP(A286,'SegEnds_NonXtal_Prot#'!A:AL,28,FALSE)-VLOOKUP(A286,'SegEnds_NonXtal_Prot#'!A:AL,22,FALSE)</f>
        <v>50</v>
      </c>
      <c r="AI286" s="1">
        <f>VLOOKUP(A286,'SegEnds_NonXtal_Prot#'!A:AL,31,FALSE)-VLOOKUP(A286,'SegEnds_NonXtal_Prot#'!A:AL,28,FALSE)</f>
        <v>53</v>
      </c>
      <c r="AJ286" s="1">
        <f>VLOOKUP(A286,'SegEnds_NonXtal_Prot#'!A:AL,34,FALSE)-VLOOKUP(A286,'SegEnds_NonXtal_Prot#'!A:AL,31,FALSE)</f>
        <v>45</v>
      </c>
      <c r="AK286" s="1">
        <f>VLOOKUP(A286,'SegEnds_NonXtal_Prot#'!A:AL,37,FALSE)-VLOOKUP(A286,'SegEnds_NonXtal_Prot#'!A:AL,34,FALSE)</f>
        <v>10</v>
      </c>
      <c r="AL286" s="1" t="str">
        <f>IF(ISERROR(MATCH(A286,'SegEnds_Xtal_Prot#'!B:B, 0)), "NoXtal", "Xtal")</f>
        <v>Xtal</v>
      </c>
    </row>
    <row r="287" spans="1:38" x14ac:dyDescent="0.2">
      <c r="A287" s="1" t="s">
        <v>924</v>
      </c>
      <c r="B287" s="1" t="str">
        <f>VLOOKUP(A287,Xtal_Templ!A:B,2,FALSE)</f>
        <v>us28_hcmva</v>
      </c>
      <c r="C287" s="5">
        <f>VLOOKUP($B287&amp;"__wt",'SegEnds_Xtal_BW#'!$A:$Z,3,FALSE)</f>
        <v>24</v>
      </c>
      <c r="D287" s="1">
        <f>VLOOKUP($B287&amp;"__wt",'SegEnds_Xtal_BW#'!$A:$Z,4,FALSE)</f>
        <v>60</v>
      </c>
      <c r="E287" s="1">
        <f>VLOOKUP($B287&amp;"__wt",'SegEnds_Xtal_BW#'!$A:$Z,5,FALSE)</f>
        <v>48</v>
      </c>
      <c r="F287" s="1">
        <f>VLOOKUP($B287&amp;"__wt",'SegEnds_Xtal_BW#'!$A:$Z,6,FALSE)</f>
        <v>51</v>
      </c>
      <c r="G287" s="1">
        <v>37</v>
      </c>
      <c r="H287" s="12">
        <v>66</v>
      </c>
      <c r="I287" s="1" t="str">
        <f>VLOOKUP($B287&amp;"__wt",'SegEnds_Xtal_BW#'!$A:$Z,9,FALSE)</f>
        <v>-</v>
      </c>
      <c r="J287" s="1" t="str">
        <f>VLOOKUP($B287&amp;"__wt",'SegEnds_Xtal_BW#'!$A:$Z,10,FALSE)</f>
        <v>-</v>
      </c>
      <c r="K287" s="108">
        <v>21</v>
      </c>
      <c r="L287" s="1">
        <f>VLOOKUP($B287&amp;"__wt",'SegEnds_Xtal_BW#'!$A:$Z,12,FALSE)</f>
        <v>55</v>
      </c>
      <c r="M287" s="1" t="str">
        <f>VLOOKUP($B287&amp;"__wt",'SegEnds_Xtal_BW#'!$A:$Z,13,FALSE)</f>
        <v>-</v>
      </c>
      <c r="N287" s="12" t="str">
        <f>VLOOKUP($B287&amp;"__wt",'SegEnds_Xtal_BW#'!$A:$Z,14,FALSE)</f>
        <v>-</v>
      </c>
      <c r="O287" s="87">
        <f>VLOOKUP($B287&amp;"__wt",'SegEnds_Xtal_BW#'!$A:$Z,15,FALSE)</f>
        <v>38</v>
      </c>
      <c r="P287" s="1">
        <f>VLOOKUP($B287&amp;"__wt",'SegEnds_Xtal_BW#'!$A:$Z,16,FALSE)</f>
        <v>62</v>
      </c>
      <c r="Q287" s="1">
        <f>VLOOKUP($B287&amp;"__wt",'SegEnds_Xtal_BW#'!$A:$Z,17,FALSE)</f>
        <v>50</v>
      </c>
      <c r="R287" s="1">
        <f>VLOOKUP($B287&amp;"__wt",'SegEnds_Xtal_BW#'!$A:$Z,18,FALSE)</f>
        <v>52</v>
      </c>
      <c r="S287" s="1">
        <f>VLOOKUP($B287&amp;"__wt",'SegEnds_Xtal_BW#'!$A:$Z,19,FALSE)</f>
        <v>33</v>
      </c>
      <c r="T287" s="1">
        <f t="array" ref="T287">INDEX(ICL3_classA!$G$2:$G$37,MATCH(MIN(ABS(AI287-ICL3_classA!$F$2:$F$37)),ABS(AI287-ICL3_classA!$F$2:$F$37),0))</f>
        <v>68</v>
      </c>
      <c r="U287" s="1">
        <v>29</v>
      </c>
      <c r="V287" s="1">
        <v>64</v>
      </c>
      <c r="W287" s="1">
        <v>24</v>
      </c>
      <c r="X287" s="1">
        <f>VLOOKUP($B287&amp;"__wt",'SegEnds_Xtal_BW#'!$A:$Z,24,FALSE)</f>
        <v>56</v>
      </c>
      <c r="Y287" s="1">
        <f>VLOOKUP($B287&amp;"__wt",'SegEnds_Xtal_BW#'!$A:$Z,25,FALSE)</f>
        <v>47</v>
      </c>
      <c r="Z287" s="1">
        <f>VLOOKUP($B287&amp;"__wt",'SegEnds_Xtal_BW#'!$A:$Z,26,FALSE)</f>
        <v>62</v>
      </c>
      <c r="AA287" s="27" t="str">
        <f>VLOOKUP(A287,Classification!A:B,2,FALSE)</f>
        <v>A</v>
      </c>
      <c r="AB287" s="1">
        <f>VLOOKUP(A287,'SegEnds_NonXtal_Prot#'!A:AL,10,FALSE)-VLOOKUP(A287,'SegEnds_NonXtal_Prot#'!A:AL,4,FALSE)</f>
        <v>28</v>
      </c>
      <c r="AC287" s="1">
        <f>VLOOKUP(A287,'SegEnds_NonXtal_Prot#'!A:AL,10,FALSE)-VLOOKUP(A287,'SegEnds_NonXtal_Prot#'!A:AL,7,FALSE)</f>
        <v>15</v>
      </c>
      <c r="AD287" s="1" t="e">
        <f>VLOOKUP(A287,'SegEnds_NonXtal_Prot#'!A:AL,13,FALSE)-VLOOKUP(A287,'SegEnds_NonXtal_Prot#'!A:AL,10,FALSE)</f>
        <v>#VALUE!</v>
      </c>
      <c r="AE287" s="1">
        <f>VLOOKUP(A287,'SegEnds_NonXtal_Prot#'!A:AL,16,FALSE)-VLOOKUP(A287,'SegEnds_NonXtal_Prot#'!A:AL,10,FALSE)</f>
        <v>50</v>
      </c>
      <c r="AF287" s="1" t="e">
        <f>VLOOKUP(A287,'SegEnds_NonXtal_Prot#'!A:AL,22,FALSE)-VLOOKUP(A287,'SegEnds_NonXtal_Prot#'!A:AL,19,FALSE)</f>
        <v>#VALUE!</v>
      </c>
      <c r="AG287" s="1">
        <f>VLOOKUP(A287,'SegEnds_NonXtal_Prot#'!A:AL,28,FALSE)-VLOOKUP(A287,'SegEnds_NonXtal_Prot#'!A:AL,25,FALSE)</f>
        <v>27</v>
      </c>
      <c r="AH287" s="1">
        <f>VLOOKUP(A287,'SegEnds_NonXtal_Prot#'!A:AL,28,FALSE)-VLOOKUP(A287,'SegEnds_NonXtal_Prot#'!A:AL,22,FALSE)</f>
        <v>48</v>
      </c>
      <c r="AI287" s="1">
        <f>VLOOKUP(A287,'SegEnds_NonXtal_Prot#'!A:AL,31,FALSE)-VLOOKUP(A287,'SegEnds_NonXtal_Prot#'!A:AL,28,FALSE)</f>
        <v>43</v>
      </c>
      <c r="AJ287" s="1">
        <f>VLOOKUP(A287,'SegEnds_NonXtal_Prot#'!A:AL,34,FALSE)-VLOOKUP(A287,'SegEnds_NonXtal_Prot#'!A:AL,31,FALSE)</f>
        <v>45</v>
      </c>
      <c r="AK287" s="1">
        <f>VLOOKUP(A287,'SegEnds_NonXtal_Prot#'!A:AL,37,FALSE)-VLOOKUP(A287,'SegEnds_NonXtal_Prot#'!A:AL,34,FALSE)</f>
        <v>10</v>
      </c>
      <c r="AL287" s="1" t="str">
        <f>IF(ISERROR(MATCH(A287,'SegEnds_Xtal_Prot#'!B:B, 0)), "NoXtal", "Xtal")</f>
        <v>Xtal</v>
      </c>
    </row>
    <row r="288" spans="1:38" x14ac:dyDescent="0.2">
      <c r="A288" s="1" t="s">
        <v>142</v>
      </c>
      <c r="B288" s="1" t="str">
        <f>VLOOKUP(A288,Xtal_Templ!A:B,2,FALSE)</f>
        <v>c5ar1_human</v>
      </c>
      <c r="C288" s="5">
        <f>VLOOKUP($B288&amp;"__wt",'SegEnds_Xtal_BW#'!$A:$Z,3,FALSE)</f>
        <v>29</v>
      </c>
      <c r="D288" s="1">
        <f>VLOOKUP($B288&amp;"__wt",'SegEnds_Xtal_BW#'!$A:$Z,4,FALSE)</f>
        <v>60</v>
      </c>
      <c r="E288" s="1" t="str">
        <f>VLOOKUP($B288&amp;"__wt",'SegEnds_Xtal_BW#'!$A:$Z,5,FALSE)</f>
        <v>-</v>
      </c>
      <c r="F288" s="1" t="str">
        <f>VLOOKUP($B288&amp;"__wt",'SegEnds_Xtal_BW#'!$A:$Z,6,FALSE)</f>
        <v>-</v>
      </c>
      <c r="G288" s="1">
        <v>37</v>
      </c>
      <c r="H288" s="12">
        <v>66</v>
      </c>
      <c r="I288" s="1">
        <f>VLOOKUP($B288&amp;"__wt",'SegEnds_Xtal_BW#'!$A:$Z,9,FALSE)</f>
        <v>49</v>
      </c>
      <c r="J288" s="1">
        <f>VLOOKUP($B288&amp;"__wt",'SegEnds_Xtal_BW#'!$A:$Z,10,FALSE)</f>
        <v>52</v>
      </c>
      <c r="K288" s="12">
        <v>24</v>
      </c>
      <c r="L288" s="1">
        <f>VLOOKUP($B288&amp;"__wt",'SegEnds_Xtal_BW#'!$A:$Z,12,FALSE)</f>
        <v>56</v>
      </c>
      <c r="M288" s="1">
        <f>VLOOKUP($B288&amp;"__wt",'SegEnds_Xtal_BW#'!$A:$Z,13,FALSE)</f>
        <v>50</v>
      </c>
      <c r="N288" s="12">
        <f>VLOOKUP($B288&amp;"__wt",'SegEnds_Xtal_BW#'!$A:$Z,14,FALSE)</f>
        <v>57</v>
      </c>
      <c r="O288" s="87">
        <v>38</v>
      </c>
      <c r="P288" s="1">
        <f>VLOOKUP($B288&amp;"__wt",'SegEnds_Xtal_BW#'!$A:$Z,16,FALSE)</f>
        <v>64</v>
      </c>
      <c r="Q288" s="1">
        <f>VLOOKUP($B288&amp;"__wt",'SegEnds_Xtal_BW#'!$A:$Z,17,FALSE)</f>
        <v>50</v>
      </c>
      <c r="R288" s="1">
        <f>VLOOKUP($B288&amp;"__wt",'SegEnds_Xtal_BW#'!$A:$Z,18,FALSE)</f>
        <v>52</v>
      </c>
      <c r="S288" s="1">
        <f>VLOOKUP($B288&amp;"__wt",'SegEnds_Xtal_BW#'!$A:$Z,19,FALSE)</f>
        <v>31</v>
      </c>
      <c r="T288" s="1">
        <f t="array" ref="T288">INDEX(ICL3_classA!$G$2:$G$37,MATCH(MIN(ABS(AI288-ICL3_classA!$F$2:$F$37)),ABS(AI288-ICL3_classA!$F$2:$F$37),0))</f>
        <v>64</v>
      </c>
      <c r="U288" s="1">
        <f t="array" ref="U288">INDEX(ICL3_classA!$H$2:$H$37,MATCH(MIN(ABS(AI288-ICL3_classA!$F$2:$F$37)),ABS(AI288-ICL3_classA!$F$2:$F$37),0))</f>
        <v>34</v>
      </c>
      <c r="V288" s="1">
        <v>64</v>
      </c>
      <c r="W288" s="1">
        <v>24</v>
      </c>
      <c r="X288" s="108">
        <v>56</v>
      </c>
      <c r="Y288" s="1">
        <f>VLOOKUP($B288&amp;"__wt",'SegEnds_Xtal_BW#'!$A:$Z,25,FALSE)</f>
        <v>47</v>
      </c>
      <c r="Z288" s="1">
        <f>VLOOKUP($B288&amp;"__wt",'SegEnds_Xtal_BW#'!$A:$Z,26,FALSE)</f>
        <v>56</v>
      </c>
      <c r="AA288" s="27" t="str">
        <f>VLOOKUP(A288,Classification!A:B,2,FALSE)</f>
        <v>A</v>
      </c>
      <c r="AB288" s="1">
        <f>VLOOKUP(A288,'SegEnds_NonXtal_Prot#'!A:AL,10,FALSE)-VLOOKUP(A288,'SegEnds_NonXtal_Prot#'!A:AL,4,FALSE)</f>
        <v>30</v>
      </c>
      <c r="AC288" s="1" t="e">
        <f>VLOOKUP(A288,'SegEnds_NonXtal_Prot#'!A:AL,10,FALSE)-VLOOKUP(A288,'SegEnds_NonXtal_Prot#'!A:AL,7,FALSE)</f>
        <v>#VALUE!</v>
      </c>
      <c r="AD288" s="1" t="e">
        <f>VLOOKUP(A288,'SegEnds_NonXtal_Prot#'!A:AL,13,FALSE)-VLOOKUP(A288,'SegEnds_NonXtal_Prot#'!A:AL,10,FALSE)</f>
        <v>#VALUE!</v>
      </c>
      <c r="AE288" s="1">
        <f>VLOOKUP(A288,'SegEnds_NonXtal_Prot#'!A:AL,16,FALSE)-VLOOKUP(A288,'SegEnds_NonXtal_Prot#'!A:AL,10,FALSE)</f>
        <v>48</v>
      </c>
      <c r="AF288" s="1" t="e">
        <f>VLOOKUP(A288,'SegEnds_NonXtal_Prot#'!A:AL,22,FALSE)-VLOOKUP(A288,'SegEnds_NonXtal_Prot#'!A:AL,19,FALSE)</f>
        <v>#VALUE!</v>
      </c>
      <c r="AG288" s="1">
        <f>VLOOKUP(A288,'SegEnds_NonXtal_Prot#'!A:AL,28,FALSE)-VLOOKUP(A288,'SegEnds_NonXtal_Prot#'!A:AL,25,FALSE)</f>
        <v>23</v>
      </c>
      <c r="AH288" s="1">
        <f>VLOOKUP(A288,'SegEnds_NonXtal_Prot#'!A:AL,28,FALSE)-VLOOKUP(A288,'SegEnds_NonXtal_Prot#'!A:AL,22,FALSE)</f>
        <v>44</v>
      </c>
      <c r="AI288" s="1">
        <f>VLOOKUP(A288,'SegEnds_NonXtal_Prot#'!A:AL,31,FALSE)-VLOOKUP(A288,'SegEnds_NonXtal_Prot#'!A:AL,28,FALSE)</f>
        <v>37</v>
      </c>
      <c r="AJ288" s="1">
        <f>VLOOKUP(A288,'SegEnds_NonXtal_Prot#'!A:AL,34,FALSE)-VLOOKUP(A288,'SegEnds_NonXtal_Prot#'!A:AL,31,FALSE)</f>
        <v>46</v>
      </c>
      <c r="AK288" s="1">
        <f>VLOOKUP(A288,'SegEnds_NonXtal_Prot#'!A:AL,37,FALSE)-VLOOKUP(A288,'SegEnds_NonXtal_Prot#'!A:AL,34,FALSE)</f>
        <v>10</v>
      </c>
      <c r="AL288" s="1" t="str">
        <f>IF(ISERROR(MATCH(A288,'SegEnds_Xtal_Prot#'!B:B, 0)), "NoXtal", "Xtal")</f>
        <v>NoXtal</v>
      </c>
    </row>
    <row r="289" spans="1:38" x14ac:dyDescent="0.2">
      <c r="A289" s="1" t="s">
        <v>234</v>
      </c>
      <c r="B289" s="1" t="str">
        <f>VLOOKUP(A289,Xtal_Templ!A:B,2,FALSE)</f>
        <v>ccr5_human</v>
      </c>
      <c r="C289" s="5">
        <f>VLOOKUP($B289&amp;"__wt",'SegEnds_Xtal_BW#'!$A:$Z,3,FALSE)</f>
        <v>24</v>
      </c>
      <c r="D289" s="1">
        <f>VLOOKUP($B289&amp;"__wt",'SegEnds_Xtal_BW#'!$A:$Z,4,FALSE)</f>
        <v>60</v>
      </c>
      <c r="E289" s="1">
        <f>VLOOKUP($B289&amp;"__wt",'SegEnds_Xtal_BW#'!$A:$Z,5,FALSE)</f>
        <v>48</v>
      </c>
      <c r="F289" s="1">
        <f>VLOOKUP($B289&amp;"__wt",'SegEnds_Xtal_BW#'!$A:$Z,6,FALSE)</f>
        <v>51</v>
      </c>
      <c r="G289" s="1">
        <v>37</v>
      </c>
      <c r="H289" s="12">
        <f>VLOOKUP($B289&amp;"__wt",'SegEnds_Xtal_BW#'!$A:$Z,8,FALSE)</f>
        <v>66</v>
      </c>
      <c r="I289" s="1">
        <f>VLOOKUP($B289&amp;"__wt",'SegEnds_Xtal_BW#'!$A:$Z,9,FALSE)</f>
        <v>49</v>
      </c>
      <c r="J289" s="1">
        <f>VLOOKUP($B289&amp;"__wt",'SegEnds_Xtal_BW#'!$A:$Z,10,FALSE)</f>
        <v>52</v>
      </c>
      <c r="K289" s="12">
        <v>18</v>
      </c>
      <c r="L289" s="1">
        <f>VLOOKUP($B289&amp;"__wt",'SegEnds_Xtal_BW#'!$A:$Z,12,FALSE)</f>
        <v>56</v>
      </c>
      <c r="M289" s="1">
        <f>VLOOKUP($B289&amp;"__wt",'SegEnds_Xtal_BW#'!$A:$Z,13,FALSE)</f>
        <v>50</v>
      </c>
      <c r="N289" s="12">
        <v>57</v>
      </c>
      <c r="O289" s="87">
        <f>VLOOKUP($B289&amp;"__wt",'SegEnds_Xtal_BW#'!$A:$Z,15,FALSE)</f>
        <v>38</v>
      </c>
      <c r="P289" s="1">
        <f>VLOOKUP($B289&amp;"__wt",'SegEnds_Xtal_BW#'!$A:$Z,16,FALSE)</f>
        <v>64</v>
      </c>
      <c r="Q289" s="1">
        <f>VLOOKUP($B289&amp;"__wt",'SegEnds_Xtal_BW#'!$A:$Z,17,FALSE)</f>
        <v>50</v>
      </c>
      <c r="R289" s="1">
        <f>VLOOKUP($B289&amp;"__wt",'SegEnds_Xtal_BW#'!$A:$Z,18,FALSE)</f>
        <v>52</v>
      </c>
      <c r="S289" s="1">
        <f>VLOOKUP($B289&amp;"__wt",'SegEnds_Xtal_BW#'!$A:$Z,19,FALSE)</f>
        <v>30</v>
      </c>
      <c r="T289" s="1">
        <f t="array" ref="T289">INDEX(ICL3_classA!$G$2:$G$37,MATCH(MIN(ABS(AI289-ICL3_classA!$F$2:$F$37)),ABS(AI289-ICL3_classA!$F$2:$F$37),0))</f>
        <v>68</v>
      </c>
      <c r="U289" s="1">
        <f t="array" ref="U289">INDEX(ICL3_classA!$H$2:$H$37,MATCH(MIN(ABS(AI289-ICL3_classA!$F$2:$F$37)),ABS(AI289-ICL3_classA!$F$2:$F$37),0))</f>
        <v>23</v>
      </c>
      <c r="V289" s="1">
        <v>64</v>
      </c>
      <c r="W289" s="1">
        <v>24</v>
      </c>
      <c r="X289" s="1">
        <f>VLOOKUP($B289&amp;"__wt",'SegEnds_Xtal_BW#'!$A:$Z,24,FALSE)</f>
        <v>56</v>
      </c>
      <c r="Y289" s="1">
        <f>VLOOKUP($B289&amp;"__wt",'SegEnds_Xtal_BW#'!$A:$Z,25,FALSE)</f>
        <v>47</v>
      </c>
      <c r="Z289" s="1">
        <f>VLOOKUP($B289&amp;"__wt",'SegEnds_Xtal_BW#'!$A:$Z,26,FALSE)</f>
        <v>59</v>
      </c>
      <c r="AA289" s="27" t="str">
        <f>VLOOKUP(A289,Classification!A:B,2,FALSE)</f>
        <v>A</v>
      </c>
      <c r="AB289" s="1">
        <f>VLOOKUP(A289,'SegEnds_NonXtal_Prot#'!A:AL,10,FALSE)-VLOOKUP(A289,'SegEnds_NonXtal_Prot#'!A:AL,4,FALSE)</f>
        <v>28</v>
      </c>
      <c r="AC289" s="1">
        <f>VLOOKUP(A289,'SegEnds_NonXtal_Prot#'!A:AL,10,FALSE)-VLOOKUP(A289,'SegEnds_NonXtal_Prot#'!A:AL,7,FALSE)</f>
        <v>15</v>
      </c>
      <c r="AD289" s="1">
        <f>VLOOKUP(A289,'SegEnds_NonXtal_Prot#'!A:AL,13,FALSE)-VLOOKUP(A289,'SegEnds_NonXtal_Prot#'!A:AL,10,FALSE)</f>
        <v>20</v>
      </c>
      <c r="AE289" s="1">
        <f>VLOOKUP(A289,'SegEnds_NonXtal_Prot#'!A:AL,16,FALSE)-VLOOKUP(A289,'SegEnds_NonXtal_Prot#'!A:AL,10,FALSE)</f>
        <v>52</v>
      </c>
      <c r="AF289" s="1">
        <f>VLOOKUP(A289,'SegEnds_NonXtal_Prot#'!A:AL,22,FALSE)-VLOOKUP(A289,'SegEnds_NonXtal_Prot#'!A:AL,19,FALSE)</f>
        <v>20</v>
      </c>
      <c r="AG289" s="1">
        <f>VLOOKUP(A289,'SegEnds_NonXtal_Prot#'!A:AL,28,FALSE)-VLOOKUP(A289,'SegEnds_NonXtal_Prot#'!A:AL,25,FALSE)</f>
        <v>27</v>
      </c>
      <c r="AH289" s="1">
        <f>VLOOKUP(A289,'SegEnds_NonXtal_Prot#'!A:AL,28,FALSE)-VLOOKUP(A289,'SegEnds_NonXtal_Prot#'!A:AL,22,FALSE)</f>
        <v>52</v>
      </c>
      <c r="AI289" s="1">
        <f>VLOOKUP(A289,'SegEnds_NonXtal_Prot#'!A:AL,31,FALSE)-VLOOKUP(A289,'SegEnds_NonXtal_Prot#'!A:AL,28,FALSE)</f>
        <v>51</v>
      </c>
      <c r="AJ289" s="1">
        <f>VLOOKUP(A289,'SegEnds_NonXtal_Prot#'!A:AL,34,FALSE)-VLOOKUP(A289,'SegEnds_NonXtal_Prot#'!A:AL,31,FALSE)</f>
        <v>46</v>
      </c>
      <c r="AK289" s="1">
        <f>VLOOKUP(A289,'SegEnds_NonXtal_Prot#'!A:AL,37,FALSE)-VLOOKUP(A289,'SegEnds_NonXtal_Prot#'!A:AL,34,FALSE)</f>
        <v>10</v>
      </c>
      <c r="AL289" s="1" t="str">
        <f>IF(ISERROR(MATCH(A289,'SegEnds_Xtal_Prot#'!B:B, 0)), "NoXtal", "Xtal")</f>
        <v>NoXtal</v>
      </c>
    </row>
    <row r="290" spans="1:38" x14ac:dyDescent="0.2">
      <c r="A290" s="1" t="s">
        <v>292</v>
      </c>
      <c r="B290" s="1" t="str">
        <f>VLOOKUP(A290,Xtal_Templ!A:B,2,FALSE)</f>
        <v>pd2r2_human</v>
      </c>
      <c r="C290" s="5">
        <f>VLOOKUP($B290&amp;"__wt",'SegEnds_Xtal_BW#'!$A:$Z,3,FALSE)</f>
        <v>32</v>
      </c>
      <c r="D290" s="1">
        <f>VLOOKUP($B290&amp;"__wt",'SegEnds_Xtal_BW#'!$A:$Z,4,FALSE)</f>
        <v>60</v>
      </c>
      <c r="E290" s="1" t="str">
        <f>VLOOKUP($B290&amp;"__wt",'SegEnds_Xtal_BW#'!$A:$Z,5,FALSE)</f>
        <v>-</v>
      </c>
      <c r="F290" s="1" t="str">
        <f>VLOOKUP($B290&amp;"__wt",'SegEnds_Xtal_BW#'!$A:$Z,6,FALSE)</f>
        <v>-</v>
      </c>
      <c r="G290" s="1">
        <v>37</v>
      </c>
      <c r="H290" s="12">
        <v>66</v>
      </c>
      <c r="I290" s="1">
        <f>VLOOKUP($B290&amp;"__wt",'SegEnds_Xtal_BW#'!$A:$Z,9,FALSE)</f>
        <v>49</v>
      </c>
      <c r="J290" s="1">
        <f>VLOOKUP($B290&amp;"__wt",'SegEnds_Xtal_BW#'!$A:$Z,10,FALSE)</f>
        <v>52</v>
      </c>
      <c r="K290" s="12">
        <v>21</v>
      </c>
      <c r="L290" s="1">
        <f>VLOOKUP($B290&amp;"__wt",'SegEnds_Xtal_BW#'!$A:$Z,12,FALSE)</f>
        <v>56</v>
      </c>
      <c r="M290" s="1">
        <f>VLOOKUP($B290&amp;"__wt",'SegEnds_Xtal_BW#'!$A:$Z,13,FALSE)</f>
        <v>50</v>
      </c>
      <c r="N290" s="12">
        <v>57</v>
      </c>
      <c r="O290" s="87">
        <v>38</v>
      </c>
      <c r="P290" s="1">
        <f>VLOOKUP($B290&amp;"__wt",'SegEnds_Xtal_BW#'!$A:$Z,16,FALSE)</f>
        <v>64</v>
      </c>
      <c r="Q290" s="1">
        <f>VLOOKUP($B290&amp;"__wt",'SegEnds_Xtal_BW#'!$A:$Z,17,FALSE)</f>
        <v>50</v>
      </c>
      <c r="R290" s="1">
        <f>VLOOKUP($B290&amp;"__wt",'SegEnds_Xtal_BW#'!$A:$Z,18,FALSE)</f>
        <v>52</v>
      </c>
      <c r="S290" s="108">
        <v>29</v>
      </c>
      <c r="T290" s="1">
        <f t="array" ref="T290">INDEX(ICL3_classA!$G$2:$G$37,MATCH(MIN(ABS(AI290-ICL3_classA!$F$2:$F$37)),ABS(AI290-ICL3_classA!$F$2:$F$37),0))</f>
        <v>68</v>
      </c>
      <c r="U290" s="1">
        <f t="array" ref="U290">INDEX(ICL3_classA!$H$2:$H$37,MATCH(MIN(ABS(AI290-ICL3_classA!$F$2:$F$37)),ABS(AI290-ICL3_classA!$F$2:$F$37),0))</f>
        <v>30</v>
      </c>
      <c r="V290" s="1">
        <v>64</v>
      </c>
      <c r="W290" s="1">
        <v>24</v>
      </c>
      <c r="X290" s="1">
        <f>VLOOKUP($B290&amp;"__wt",'SegEnds_Xtal_BW#'!$A:$Z,24,FALSE)</f>
        <v>56</v>
      </c>
      <c r="Y290" s="1">
        <f>VLOOKUP($B290&amp;"__wt",'SegEnds_Xtal_BW#'!$A:$Z,25,FALSE)</f>
        <v>47</v>
      </c>
      <c r="Z290" s="1">
        <f>VLOOKUP($B290&amp;"__wt",'SegEnds_Xtal_BW#'!$A:$Z,26,FALSE)</f>
        <v>64</v>
      </c>
      <c r="AA290" s="27" t="str">
        <f>VLOOKUP(A290,Classification!A:B,2,FALSE)</f>
        <v>A</v>
      </c>
      <c r="AB290" s="1">
        <f>VLOOKUP(A290,'SegEnds_NonXtal_Prot#'!A:AL,10,FALSE)-VLOOKUP(A290,'SegEnds_NonXtal_Prot#'!A:AL,4,FALSE)</f>
        <v>28</v>
      </c>
      <c r="AC290" s="1">
        <f>VLOOKUP(A290,'SegEnds_NonXtal_Prot#'!A:AL,10,FALSE)-VLOOKUP(A290,'SegEnds_NonXtal_Prot#'!A:AL,7,FALSE)</f>
        <v>15</v>
      </c>
      <c r="AD290" s="1">
        <f>VLOOKUP(A290,'SegEnds_NonXtal_Prot#'!A:AL,13,FALSE)-VLOOKUP(A290,'SegEnds_NonXtal_Prot#'!A:AL,10,FALSE)</f>
        <v>19</v>
      </c>
      <c r="AE290" s="1">
        <f>VLOOKUP(A290,'SegEnds_NonXtal_Prot#'!A:AL,16,FALSE)-VLOOKUP(A290,'SegEnds_NonXtal_Prot#'!A:AL,10,FALSE)</f>
        <v>51</v>
      </c>
      <c r="AF290" s="1">
        <f>VLOOKUP(A290,'SegEnds_NonXtal_Prot#'!A:AL,22,FALSE)-VLOOKUP(A290,'SegEnds_NonXtal_Prot#'!A:AL,19,FALSE)</f>
        <v>20</v>
      </c>
      <c r="AG290" s="1">
        <f>VLOOKUP(A290,'SegEnds_NonXtal_Prot#'!A:AL,28,FALSE)-VLOOKUP(A290,'SegEnds_NonXtal_Prot#'!A:AL,25,FALSE)</f>
        <v>25</v>
      </c>
      <c r="AH290" s="1">
        <f>VLOOKUP(A290,'SegEnds_NonXtal_Prot#'!A:AL,28,FALSE)-VLOOKUP(A290,'SegEnds_NonXtal_Prot#'!A:AL,22,FALSE)</f>
        <v>51</v>
      </c>
      <c r="AI290" s="1">
        <f>VLOOKUP(A290,'SegEnds_NonXtal_Prot#'!A:AL,31,FALSE)-VLOOKUP(A290,'SegEnds_NonXtal_Prot#'!A:AL,28,FALSE)</f>
        <v>43</v>
      </c>
      <c r="AJ290" s="1">
        <f>VLOOKUP(A290,'SegEnds_NonXtal_Prot#'!A:AL,34,FALSE)-VLOOKUP(A290,'SegEnds_NonXtal_Prot#'!A:AL,31,FALSE)</f>
        <v>46</v>
      </c>
      <c r="AK290" s="1">
        <f>VLOOKUP(A290,'SegEnds_NonXtal_Prot#'!A:AL,37,FALSE)-VLOOKUP(A290,'SegEnds_NonXtal_Prot#'!A:AL,34,FALSE)</f>
        <v>10</v>
      </c>
      <c r="AL290" s="1" t="str">
        <f>IF(ISERROR(MATCH(A290,'SegEnds_Xtal_Prot#'!B:B, 0)), "NoXtal", "Xtal")</f>
        <v>NoXtal</v>
      </c>
    </row>
    <row r="291" spans="1:38" x14ac:dyDescent="0.2">
      <c r="A291" s="1" t="s">
        <v>293</v>
      </c>
      <c r="B291" s="1" t="str">
        <f>VLOOKUP(A291,Xtal_Templ!A:B,2,FALSE)</f>
        <v>pd2r2_human</v>
      </c>
      <c r="C291" s="5">
        <f>VLOOKUP($B291&amp;"__wt",'SegEnds_Xtal_BW#'!$A:$Z,3,FALSE)</f>
        <v>32</v>
      </c>
      <c r="D291" s="1">
        <f>VLOOKUP($B291&amp;"__wt",'SegEnds_Xtal_BW#'!$A:$Z,4,FALSE)</f>
        <v>60</v>
      </c>
      <c r="E291" s="1" t="str">
        <f>VLOOKUP($B291&amp;"__wt",'SegEnds_Xtal_BW#'!$A:$Z,5,FALSE)</f>
        <v>-</v>
      </c>
      <c r="F291" s="1" t="str">
        <f>VLOOKUP($B291&amp;"__wt",'SegEnds_Xtal_BW#'!$A:$Z,6,FALSE)</f>
        <v>-</v>
      </c>
      <c r="G291" s="1">
        <v>37</v>
      </c>
      <c r="H291" s="12">
        <v>66</v>
      </c>
      <c r="I291" s="1">
        <f>VLOOKUP($B291&amp;"__wt",'SegEnds_Xtal_BW#'!$A:$Z,9,FALSE)</f>
        <v>49</v>
      </c>
      <c r="J291" s="1">
        <f>VLOOKUP($B291&amp;"__wt",'SegEnds_Xtal_BW#'!$A:$Z,10,FALSE)</f>
        <v>52</v>
      </c>
      <c r="K291" s="12">
        <v>21</v>
      </c>
      <c r="L291" s="1">
        <f>VLOOKUP($B291&amp;"__wt",'SegEnds_Xtal_BW#'!$A:$Z,12,FALSE)</f>
        <v>56</v>
      </c>
      <c r="M291" s="1">
        <f>VLOOKUP($B291&amp;"__wt",'SegEnds_Xtal_BW#'!$A:$Z,13,FALSE)</f>
        <v>50</v>
      </c>
      <c r="N291" s="12">
        <v>57</v>
      </c>
      <c r="O291" s="87">
        <v>38</v>
      </c>
      <c r="P291" s="1">
        <f>VLOOKUP($B291&amp;"__wt",'SegEnds_Xtal_BW#'!$A:$Z,16,FALSE)</f>
        <v>64</v>
      </c>
      <c r="Q291" s="1">
        <f>VLOOKUP($B291&amp;"__wt",'SegEnds_Xtal_BW#'!$A:$Z,17,FALSE)</f>
        <v>50</v>
      </c>
      <c r="R291" s="1">
        <f>VLOOKUP($B291&amp;"__wt",'SegEnds_Xtal_BW#'!$A:$Z,18,FALSE)</f>
        <v>52</v>
      </c>
      <c r="S291" s="1">
        <v>35</v>
      </c>
      <c r="T291" s="1">
        <f t="array" ref="T291">INDEX(ICL3_classA!$G$2:$G$37,MATCH(MIN(ABS(AI291-ICL3_classA!$F$2:$F$37)),ABS(AI291-ICL3_classA!$F$2:$F$37),0))</f>
        <v>67</v>
      </c>
      <c r="U291" s="1">
        <f t="array" ref="U291">INDEX(ICL3_classA!$H$2:$H$37,MATCH(MIN(ABS(AI291-ICL3_classA!$F$2:$F$37)),ABS(AI291-ICL3_classA!$F$2:$F$37),0))</f>
        <v>26</v>
      </c>
      <c r="V291" s="1">
        <v>64</v>
      </c>
      <c r="W291" s="1">
        <v>24</v>
      </c>
      <c r="X291" s="108">
        <v>56</v>
      </c>
      <c r="Y291" s="1">
        <f>VLOOKUP($B291&amp;"__wt",'SegEnds_Xtal_BW#'!$A:$Z,25,FALSE)</f>
        <v>47</v>
      </c>
      <c r="Z291" s="1">
        <f>VLOOKUP($B291&amp;"__wt",'SegEnds_Xtal_BW#'!$A:$Z,26,FALSE)</f>
        <v>64</v>
      </c>
      <c r="AA291" s="27" t="str">
        <f>VLOOKUP(A291,Classification!A:B,2,FALSE)</f>
        <v>A</v>
      </c>
      <c r="AB291" s="1">
        <f>VLOOKUP(A291,'SegEnds_NonXtal_Prot#'!A:AL,10,FALSE)-VLOOKUP(A291,'SegEnds_NonXtal_Prot#'!A:AL,4,FALSE)</f>
        <v>30</v>
      </c>
      <c r="AC291" s="1">
        <f>VLOOKUP(A291,'SegEnds_NonXtal_Prot#'!A:AL,10,FALSE)-VLOOKUP(A291,'SegEnds_NonXtal_Prot#'!A:AL,7,FALSE)</f>
        <v>17</v>
      </c>
      <c r="AD291" s="1">
        <f>VLOOKUP(A291,'SegEnds_NonXtal_Prot#'!A:AL,13,FALSE)-VLOOKUP(A291,'SegEnds_NonXtal_Prot#'!A:AL,10,FALSE)</f>
        <v>19</v>
      </c>
      <c r="AE291" s="1">
        <f>VLOOKUP(A291,'SegEnds_NonXtal_Prot#'!A:AL,16,FALSE)-VLOOKUP(A291,'SegEnds_NonXtal_Prot#'!A:AL,10,FALSE)</f>
        <v>51</v>
      </c>
      <c r="AF291" s="1">
        <f>VLOOKUP(A291,'SegEnds_NonXtal_Prot#'!A:AL,22,FALSE)-VLOOKUP(A291,'SegEnds_NonXtal_Prot#'!A:AL,19,FALSE)</f>
        <v>20</v>
      </c>
      <c r="AG291" s="1">
        <f>VLOOKUP(A291,'SegEnds_NonXtal_Prot#'!A:AL,28,FALSE)-VLOOKUP(A291,'SegEnds_NonXtal_Prot#'!A:AL,25,FALSE)</f>
        <v>22</v>
      </c>
      <c r="AH291" s="1">
        <f>VLOOKUP(A291,'SegEnds_NonXtal_Prot#'!A:AL,28,FALSE)-VLOOKUP(A291,'SegEnds_NonXtal_Prot#'!A:AL,22,FALSE)</f>
        <v>47</v>
      </c>
      <c r="AI291" s="1">
        <f>VLOOKUP(A291,'SegEnds_NonXtal_Prot#'!A:AL,31,FALSE)-VLOOKUP(A291,'SegEnds_NonXtal_Prot#'!A:AL,28,FALSE)</f>
        <v>46</v>
      </c>
      <c r="AJ291" s="1">
        <f>VLOOKUP(A291,'SegEnds_NonXtal_Prot#'!A:AL,34,FALSE)-VLOOKUP(A291,'SegEnds_NonXtal_Prot#'!A:AL,31,FALSE)</f>
        <v>46</v>
      </c>
      <c r="AK291" s="1">
        <f>VLOOKUP(A291,'SegEnds_NonXtal_Prot#'!A:AL,37,FALSE)-VLOOKUP(A291,'SegEnds_NonXtal_Prot#'!A:AL,34,FALSE)</f>
        <v>10</v>
      </c>
      <c r="AL291" s="1" t="str">
        <f>IF(ISERROR(MATCH(A291,'SegEnds_Xtal_Prot#'!B:B, 0)), "NoXtal", "Xtal")</f>
        <v>NoXtal</v>
      </c>
    </row>
    <row r="292" spans="1:38" x14ac:dyDescent="0.2">
      <c r="A292" s="1" t="s">
        <v>345</v>
      </c>
      <c r="B292" s="1" t="str">
        <f>VLOOKUP(A292,Xtal_Templ!A:B,2,FALSE)</f>
        <v>p2ry1_human</v>
      </c>
      <c r="C292" s="5">
        <f>VLOOKUP($B292&amp;"__wt",'SegEnds_Xtal_BW#'!$A:$Z,3,FALSE)</f>
        <v>30</v>
      </c>
      <c r="D292" s="1">
        <f>VLOOKUP($B292&amp;"__wt",'SegEnds_Xtal_BW#'!$A:$Z,4,FALSE)</f>
        <v>60</v>
      </c>
      <c r="E292" s="1" t="str">
        <f>VLOOKUP($B292&amp;"__wt",'SegEnds_Xtal_BW#'!$A:$Z,5,FALSE)</f>
        <v>-</v>
      </c>
      <c r="F292" s="1" t="str">
        <f>VLOOKUP($B292&amp;"__wt",'SegEnds_Xtal_BW#'!$A:$Z,6,FALSE)</f>
        <v>-</v>
      </c>
      <c r="G292" s="1">
        <v>37</v>
      </c>
      <c r="H292" s="12">
        <f>VLOOKUP($B292&amp;"__wt",'SegEnds_Xtal_BW#'!$A:$Z,8,FALSE)</f>
        <v>66</v>
      </c>
      <c r="I292" s="1">
        <f>VLOOKUP($B292&amp;"__wt",'SegEnds_Xtal_BW#'!$A:$Z,9,FALSE)</f>
        <v>49</v>
      </c>
      <c r="J292" s="1">
        <f>VLOOKUP($B292&amp;"__wt",'SegEnds_Xtal_BW#'!$A:$Z,10,FALSE)</f>
        <v>52</v>
      </c>
      <c r="K292" s="12">
        <v>18</v>
      </c>
      <c r="L292" s="1">
        <f>VLOOKUP($B292&amp;"__wt",'SegEnds_Xtal_BW#'!$A:$Z,12,FALSE)</f>
        <v>56</v>
      </c>
      <c r="M292" s="1">
        <f>VLOOKUP($B292&amp;"__wt",'SegEnds_Xtal_BW#'!$A:$Z,13,FALSE)</f>
        <v>50</v>
      </c>
      <c r="N292" s="12">
        <f>VLOOKUP($B292&amp;"__wt",'SegEnds_Xtal_BW#'!$A:$Z,14,FALSE)</f>
        <v>57</v>
      </c>
      <c r="O292" s="87">
        <f>VLOOKUP($B292&amp;"__wt",'SegEnds_Xtal_BW#'!$A:$Z,15,FALSE)</f>
        <v>38</v>
      </c>
      <c r="P292" s="1">
        <f>VLOOKUP($B292&amp;"__wt",'SegEnds_Xtal_BW#'!$A:$Z,16,FALSE)</f>
        <v>64</v>
      </c>
      <c r="Q292" s="1">
        <f>VLOOKUP($B292&amp;"__wt",'SegEnds_Xtal_BW#'!$A:$Z,17,FALSE)</f>
        <v>50</v>
      </c>
      <c r="R292" s="1">
        <f>VLOOKUP($B292&amp;"__wt",'SegEnds_Xtal_BW#'!$A:$Z,18,FALSE)</f>
        <v>52</v>
      </c>
      <c r="S292" s="1">
        <f>VLOOKUP($B292&amp;"__wt",'SegEnds_Xtal_BW#'!$A:$Z,19,FALSE)</f>
        <v>32</v>
      </c>
      <c r="T292" s="1">
        <v>68</v>
      </c>
      <c r="U292" s="1">
        <v>28</v>
      </c>
      <c r="V292" s="1">
        <v>64</v>
      </c>
      <c r="W292" s="1">
        <v>24</v>
      </c>
      <c r="X292" s="1">
        <f>VLOOKUP($B292&amp;"__wt",'SegEnds_Xtal_BW#'!$A:$Z,24,FALSE)</f>
        <v>56</v>
      </c>
      <c r="Y292" s="1">
        <f>VLOOKUP($B292&amp;"__wt",'SegEnds_Xtal_BW#'!$A:$Z,25,FALSE)</f>
        <v>47</v>
      </c>
      <c r="Z292" s="1">
        <f>VLOOKUP($B292&amp;"__wt",'SegEnds_Xtal_BW#'!$A:$Z,26,FALSE)</f>
        <v>59</v>
      </c>
      <c r="AA292" s="27" t="str">
        <f>VLOOKUP(A292,Classification!A:B,2,FALSE)</f>
        <v>A</v>
      </c>
      <c r="AB292" s="1">
        <f>VLOOKUP(A292,'SegEnds_NonXtal_Prot#'!A:AL,10,FALSE)-VLOOKUP(A292,'SegEnds_NonXtal_Prot#'!A:AL,4,FALSE)</f>
        <v>28</v>
      </c>
      <c r="AC292" s="1" t="e">
        <f>VLOOKUP(A292,'SegEnds_NonXtal_Prot#'!A:AL,10,FALSE)-VLOOKUP(A292,'SegEnds_NonXtal_Prot#'!A:AL,7,FALSE)</f>
        <v>#VALUE!</v>
      </c>
      <c r="AD292" s="1">
        <f>VLOOKUP(A292,'SegEnds_NonXtal_Prot#'!A:AL,13,FALSE)-VLOOKUP(A292,'SegEnds_NonXtal_Prot#'!A:AL,10,FALSE)</f>
        <v>20</v>
      </c>
      <c r="AE292" s="1">
        <f>VLOOKUP(A292,'SegEnds_NonXtal_Prot#'!A:AL,16,FALSE)-VLOOKUP(A292,'SegEnds_NonXtal_Prot#'!A:AL,10,FALSE)</f>
        <v>52</v>
      </c>
      <c r="AF292" s="1">
        <f>VLOOKUP(A292,'SegEnds_NonXtal_Prot#'!A:AL,22,FALSE)-VLOOKUP(A292,'SegEnds_NonXtal_Prot#'!A:AL,19,FALSE)</f>
        <v>20</v>
      </c>
      <c r="AG292" s="1">
        <f>VLOOKUP(A292,'SegEnds_NonXtal_Prot#'!A:AL,28,FALSE)-VLOOKUP(A292,'SegEnds_NonXtal_Prot#'!A:AL,25,FALSE)</f>
        <v>27</v>
      </c>
      <c r="AH292" s="1">
        <f>VLOOKUP(A292,'SegEnds_NonXtal_Prot#'!A:AL,28,FALSE)-VLOOKUP(A292,'SegEnds_NonXtal_Prot#'!A:AL,22,FALSE)</f>
        <v>53</v>
      </c>
      <c r="AI292" s="1">
        <f>VLOOKUP(A292,'SegEnds_NonXtal_Prot#'!A:AL,31,FALSE)-VLOOKUP(A292,'SegEnds_NonXtal_Prot#'!A:AL,28,FALSE)</f>
        <v>46</v>
      </c>
      <c r="AJ292" s="1">
        <f>VLOOKUP(A292,'SegEnds_NonXtal_Prot#'!A:AL,34,FALSE)-VLOOKUP(A292,'SegEnds_NonXtal_Prot#'!A:AL,31,FALSE)</f>
        <v>46</v>
      </c>
      <c r="AK292" s="1">
        <f>VLOOKUP(A292,'SegEnds_NonXtal_Prot#'!A:AL,37,FALSE)-VLOOKUP(A292,'SegEnds_NonXtal_Prot#'!A:AL,34,FALSE)</f>
        <v>10</v>
      </c>
      <c r="AL292" s="1" t="str">
        <f>IF(ISERROR(MATCH(A292,'SegEnds_Xtal_Prot#'!B:B, 0)), "NoXtal", "Xtal")</f>
        <v>Xtal</v>
      </c>
    </row>
    <row r="293" spans="1:38" x14ac:dyDescent="0.2">
      <c r="A293" s="1" t="s">
        <v>363</v>
      </c>
      <c r="B293" s="1" t="str">
        <f>VLOOKUP(A293,Xtal_Templ!A:B,2,FALSE)</f>
        <v>pe2r3_human</v>
      </c>
      <c r="C293" s="5">
        <f>VLOOKUP($B293&amp;"__wt",'SegEnds_Xtal_BW#'!$A:$Z,3,FALSE)</f>
        <v>36</v>
      </c>
      <c r="D293" s="1">
        <f>VLOOKUP($B293&amp;"__wt",'SegEnds_Xtal_BW#'!$A:$Z,4,FALSE)</f>
        <v>62</v>
      </c>
      <c r="E293" s="1" t="str">
        <f>VLOOKUP($B293&amp;"__wt",'SegEnds_Xtal_BW#'!$A:$Z,5,FALSE)</f>
        <v>-</v>
      </c>
      <c r="F293" s="1" t="str">
        <f>VLOOKUP($B293&amp;"__wt",'SegEnds_Xtal_BW#'!$A:$Z,6,FALSE)</f>
        <v>-</v>
      </c>
      <c r="G293" s="1">
        <v>37</v>
      </c>
      <c r="H293" s="12">
        <f>VLOOKUP($B293&amp;"__wt",'SegEnds_Xtal_BW#'!$A:$Z,8,FALSE)</f>
        <v>68</v>
      </c>
      <c r="I293" s="1">
        <v>49</v>
      </c>
      <c r="J293" s="1">
        <f>VLOOKUP($B293&amp;"__wt",'SegEnds_Xtal_BW#'!$A:$Z,10,FALSE)</f>
        <v>56</v>
      </c>
      <c r="K293" s="12">
        <v>18</v>
      </c>
      <c r="L293" s="1">
        <f>VLOOKUP($B293&amp;"__wt",'SegEnds_Xtal_BW#'!$A:$Z,12,FALSE)</f>
        <v>56</v>
      </c>
      <c r="M293" s="1">
        <f>VLOOKUP($B293&amp;"__wt",'SegEnds_Xtal_BW#'!$A:$Z,13,FALSE)</f>
        <v>50</v>
      </c>
      <c r="N293" s="12">
        <v>57</v>
      </c>
      <c r="O293" s="87">
        <f>VLOOKUP($B293&amp;"__wt",'SegEnds_Xtal_BW#'!$A:$Z,15,FALSE)</f>
        <v>38</v>
      </c>
      <c r="P293" s="1">
        <f>VLOOKUP($B293&amp;"__wt",'SegEnds_Xtal_BW#'!$A:$Z,16,FALSE)</f>
        <v>63</v>
      </c>
      <c r="Q293" s="1">
        <f>VLOOKUP($B293&amp;"__wt",'SegEnds_Xtal_BW#'!$A:$Z,17,FALSE)</f>
        <v>50</v>
      </c>
      <c r="R293" s="1">
        <f>VLOOKUP($B293&amp;"__wt",'SegEnds_Xtal_BW#'!$A:$Z,18,FALSE)</f>
        <v>52</v>
      </c>
      <c r="S293" s="1">
        <f>VLOOKUP($B293&amp;"__wt",'SegEnds_Xtal_BW#'!$A:$Z,19,FALSE)</f>
        <v>34</v>
      </c>
      <c r="T293" s="1">
        <f t="array" ref="T293">INDEX(ICL3_classA!$G$2:$G$37,MATCH(MIN(ABS(AI293-ICL3_classA!$F$2:$F$37)),ABS(AI293-ICL3_classA!$F$2:$F$37),0))</f>
        <v>73</v>
      </c>
      <c r="U293" s="1">
        <f t="array" ref="U293">INDEX(ICL3_classA!$H$2:$H$37,MATCH(MIN(ABS(AI293-ICL3_classA!$F$2:$F$37)),ABS(AI293-ICL3_classA!$F$2:$F$37),0))</f>
        <v>22</v>
      </c>
      <c r="V293" s="1">
        <v>64</v>
      </c>
      <c r="W293" s="1">
        <v>24</v>
      </c>
      <c r="X293" s="1">
        <f>VLOOKUP($B293&amp;"__wt",'SegEnds_Xtal_BW#'!$A:$Z,24,FALSE)</f>
        <v>53</v>
      </c>
      <c r="Y293" s="1">
        <f>VLOOKUP($B293&amp;"__wt",'SegEnds_Xtal_BW#'!$A:$Z,25,FALSE)</f>
        <v>44</v>
      </c>
      <c r="Z293" s="1">
        <f>VLOOKUP($B293&amp;"__wt",'SegEnds_Xtal_BW#'!$A:$Z,26,FALSE)</f>
        <v>66</v>
      </c>
      <c r="AA293" s="27" t="str">
        <f>VLOOKUP(A293,Classification!A:B,2,FALSE)</f>
        <v>A</v>
      </c>
      <c r="AB293" s="1">
        <f>VLOOKUP(A293,'SegEnds_NonXtal_Prot#'!A:AL,10,FALSE)-VLOOKUP(A293,'SegEnds_NonXtal_Prot#'!A:AL,4,FALSE)</f>
        <v>33</v>
      </c>
      <c r="AC293" s="1" t="e">
        <f>VLOOKUP(A293,'SegEnds_NonXtal_Prot#'!A:AL,10,FALSE)-VLOOKUP(A293,'SegEnds_NonXtal_Prot#'!A:AL,7,FALSE)</f>
        <v>#VALUE!</v>
      </c>
      <c r="AD293" s="1">
        <f>VLOOKUP(A293,'SegEnds_NonXtal_Prot#'!A:AL,13,FALSE)-VLOOKUP(A293,'SegEnds_NonXtal_Prot#'!A:AL,10,FALSE)</f>
        <v>21</v>
      </c>
      <c r="AE293" s="1">
        <f>VLOOKUP(A293,'SegEnds_NonXtal_Prot#'!A:AL,16,FALSE)-VLOOKUP(A293,'SegEnds_NonXtal_Prot#'!A:AL,10,FALSE)</f>
        <v>56</v>
      </c>
      <c r="AF293" s="1">
        <f>VLOOKUP(A293,'SegEnds_NonXtal_Prot#'!A:AL,22,FALSE)-VLOOKUP(A293,'SegEnds_NonXtal_Prot#'!A:AL,19,FALSE)</f>
        <v>20</v>
      </c>
      <c r="AG293" s="1">
        <f>VLOOKUP(A293,'SegEnds_NonXtal_Prot#'!A:AL,28,FALSE)-VLOOKUP(A293,'SegEnds_NonXtal_Prot#'!A:AL,25,FALSE)</f>
        <v>33</v>
      </c>
      <c r="AH293" s="1">
        <f>VLOOKUP(A293,'SegEnds_NonXtal_Prot#'!A:AL,28,FALSE)-VLOOKUP(A293,'SegEnds_NonXtal_Prot#'!A:AL,22,FALSE)</f>
        <v>59</v>
      </c>
      <c r="AI293" s="1">
        <f>VLOOKUP(A293,'SegEnds_NonXtal_Prot#'!A:AL,31,FALSE)-VLOOKUP(A293,'SegEnds_NonXtal_Prot#'!A:AL,28,FALSE)</f>
        <v>56</v>
      </c>
      <c r="AJ293" s="1">
        <f>VLOOKUP(A293,'SegEnds_NonXtal_Prot#'!A:AL,34,FALSE)-VLOOKUP(A293,'SegEnds_NonXtal_Prot#'!A:AL,31,FALSE)</f>
        <v>46</v>
      </c>
      <c r="AK293" s="1">
        <f>VLOOKUP(A293,'SegEnds_NonXtal_Prot#'!A:AL,37,FALSE)-VLOOKUP(A293,'SegEnds_NonXtal_Prot#'!A:AL,34,FALSE)</f>
        <v>10</v>
      </c>
      <c r="AL293" s="1" t="str">
        <f>IF(ISERROR(MATCH(A293,'SegEnds_Xtal_Prot#'!B:B, 0)), "NoXtal", "Xtal")</f>
        <v>Xtal</v>
      </c>
    </row>
    <row r="294" spans="1:38" x14ac:dyDescent="0.2">
      <c r="A294" s="1" t="s">
        <v>370</v>
      </c>
      <c r="B294" s="1" t="str">
        <f>VLOOKUP(A294,Xtal_Templ!A:B,2,FALSE)</f>
        <v>p2ry1_human</v>
      </c>
      <c r="C294" s="5">
        <f>VLOOKUP($B294&amp;"__wt",'SegEnds_Xtal_BW#'!$A:$Z,3,FALSE)</f>
        <v>30</v>
      </c>
      <c r="D294" s="1">
        <f>VLOOKUP($B294&amp;"__wt",'SegEnds_Xtal_BW#'!$A:$Z,4,FALSE)</f>
        <v>60</v>
      </c>
      <c r="E294" s="1" t="str">
        <f>VLOOKUP($B294&amp;"__wt",'SegEnds_Xtal_BW#'!$A:$Z,5,FALSE)</f>
        <v>-</v>
      </c>
      <c r="F294" s="1" t="str">
        <f>VLOOKUP($B294&amp;"__wt",'SegEnds_Xtal_BW#'!$A:$Z,6,FALSE)</f>
        <v>-</v>
      </c>
      <c r="G294" s="1">
        <v>37</v>
      </c>
      <c r="H294" s="12">
        <f>VLOOKUP($B294&amp;"__wt",'SegEnds_Xtal_BW#'!$A:$Z,8,FALSE)</f>
        <v>66</v>
      </c>
      <c r="I294" s="1">
        <f>VLOOKUP($B294&amp;"__wt",'SegEnds_Xtal_BW#'!$A:$Z,9,FALSE)</f>
        <v>49</v>
      </c>
      <c r="J294" s="1">
        <f>VLOOKUP($B294&amp;"__wt",'SegEnds_Xtal_BW#'!$A:$Z,10,FALSE)</f>
        <v>52</v>
      </c>
      <c r="K294" s="12">
        <v>18</v>
      </c>
      <c r="L294" s="1">
        <f>VLOOKUP($B294&amp;"__wt",'SegEnds_Xtal_BW#'!$A:$Z,12,FALSE)</f>
        <v>56</v>
      </c>
      <c r="M294" s="1">
        <f>VLOOKUP($B294&amp;"__wt",'SegEnds_Xtal_BW#'!$A:$Z,13,FALSE)</f>
        <v>50</v>
      </c>
      <c r="N294" s="12">
        <v>57</v>
      </c>
      <c r="O294" s="87">
        <f>VLOOKUP($B294&amp;"__wt",'SegEnds_Xtal_BW#'!$A:$Z,15,FALSE)</f>
        <v>38</v>
      </c>
      <c r="P294" s="1">
        <f>VLOOKUP($B294&amp;"__wt",'SegEnds_Xtal_BW#'!$A:$Z,16,FALSE)</f>
        <v>64</v>
      </c>
      <c r="Q294" s="1">
        <f>VLOOKUP($B294&amp;"__wt",'SegEnds_Xtal_BW#'!$A:$Z,17,FALSE)</f>
        <v>50</v>
      </c>
      <c r="R294" s="1">
        <f>VLOOKUP($B294&amp;"__wt",'SegEnds_Xtal_BW#'!$A:$Z,18,FALSE)</f>
        <v>52</v>
      </c>
      <c r="S294" s="1">
        <f>VLOOKUP($B294&amp;"__wt",'SegEnds_Xtal_BW#'!$A:$Z,19,FALSE)</f>
        <v>32</v>
      </c>
      <c r="T294" s="1">
        <f t="array" ref="T294">INDEX(ICL3_classA!$G$2:$G$37,MATCH(MIN(ABS(AI294-ICL3_classA!$F$2:$F$37)),ABS(AI294-ICL3_classA!$F$2:$F$37),0))</f>
        <v>67</v>
      </c>
      <c r="U294" s="1">
        <f t="array" ref="U294">INDEX(ICL3_classA!$H$2:$H$37,MATCH(MIN(ABS(AI294-ICL3_classA!$F$2:$F$37)),ABS(AI294-ICL3_classA!$F$2:$F$37),0))</f>
        <v>26</v>
      </c>
      <c r="V294" s="1">
        <v>64</v>
      </c>
      <c r="W294" s="1">
        <v>24</v>
      </c>
      <c r="X294" s="1">
        <f>VLOOKUP($B294&amp;"__wt",'SegEnds_Xtal_BW#'!$A:$Z,24,FALSE)</f>
        <v>56</v>
      </c>
      <c r="Y294" s="1">
        <f>VLOOKUP($B294&amp;"__wt",'SegEnds_Xtal_BW#'!$A:$Z,25,FALSE)</f>
        <v>47</v>
      </c>
      <c r="Z294" s="1">
        <f>VLOOKUP($B294&amp;"__wt",'SegEnds_Xtal_BW#'!$A:$Z,26,FALSE)</f>
        <v>59</v>
      </c>
      <c r="AA294" s="27" t="str">
        <f>VLOOKUP(A294,Classification!A:B,2,FALSE)</f>
        <v>A</v>
      </c>
      <c r="AB294" s="1">
        <f>VLOOKUP(A294,'SegEnds_NonXtal_Prot#'!A:AL,10,FALSE)-VLOOKUP(A294,'SegEnds_NonXtal_Prot#'!A:AL,4,FALSE)</f>
        <v>28</v>
      </c>
      <c r="AC294" s="1" t="e">
        <f>VLOOKUP(A294,'SegEnds_NonXtal_Prot#'!A:AL,10,FALSE)-VLOOKUP(A294,'SegEnds_NonXtal_Prot#'!A:AL,7,FALSE)</f>
        <v>#VALUE!</v>
      </c>
      <c r="AD294" s="1">
        <f>VLOOKUP(A294,'SegEnds_NonXtal_Prot#'!A:AL,13,FALSE)-VLOOKUP(A294,'SegEnds_NonXtal_Prot#'!A:AL,10,FALSE)</f>
        <v>20</v>
      </c>
      <c r="AE294" s="1">
        <f>VLOOKUP(A294,'SegEnds_NonXtal_Prot#'!A:AL,16,FALSE)-VLOOKUP(A294,'SegEnds_NonXtal_Prot#'!A:AL,10,FALSE)</f>
        <v>52</v>
      </c>
      <c r="AF294" s="1">
        <f>VLOOKUP(A294,'SegEnds_NonXtal_Prot#'!A:AL,22,FALSE)-VLOOKUP(A294,'SegEnds_NonXtal_Prot#'!A:AL,19,FALSE)</f>
        <v>20</v>
      </c>
      <c r="AG294" s="1">
        <f>VLOOKUP(A294,'SegEnds_NonXtal_Prot#'!A:AL,28,FALSE)-VLOOKUP(A294,'SegEnds_NonXtal_Prot#'!A:AL,25,FALSE)</f>
        <v>25</v>
      </c>
      <c r="AH294" s="1">
        <f>VLOOKUP(A294,'SegEnds_NonXtal_Prot#'!A:AL,28,FALSE)-VLOOKUP(A294,'SegEnds_NonXtal_Prot#'!A:AL,22,FALSE)</f>
        <v>56</v>
      </c>
      <c r="AI294" s="1">
        <f>VLOOKUP(A294,'SegEnds_NonXtal_Prot#'!A:AL,31,FALSE)-VLOOKUP(A294,'SegEnds_NonXtal_Prot#'!A:AL,28,FALSE)</f>
        <v>46</v>
      </c>
      <c r="AJ294" s="1">
        <f>VLOOKUP(A294,'SegEnds_NonXtal_Prot#'!A:AL,34,FALSE)-VLOOKUP(A294,'SegEnds_NonXtal_Prot#'!A:AL,31,FALSE)</f>
        <v>46</v>
      </c>
      <c r="AK294" s="1">
        <f>VLOOKUP(A294,'SegEnds_NonXtal_Prot#'!A:AL,37,FALSE)-VLOOKUP(A294,'SegEnds_NonXtal_Prot#'!A:AL,34,FALSE)</f>
        <v>10</v>
      </c>
      <c r="AL294" s="1" t="str">
        <f>IF(ISERROR(MATCH(A294,'SegEnds_Xtal_Prot#'!B:B, 0)), "NoXtal", "Xtal")</f>
        <v>NoXtal</v>
      </c>
    </row>
    <row r="295" spans="1:38" x14ac:dyDescent="0.2">
      <c r="A295" s="1" t="s">
        <v>236</v>
      </c>
      <c r="B295" s="1" t="str">
        <f>VLOOKUP(A295,Xtal_Templ!A:B,2,FALSE)</f>
        <v>ccr5_human</v>
      </c>
      <c r="C295" s="5">
        <f>VLOOKUP($B295&amp;"__wt",'SegEnds_Xtal_BW#'!$A:$Z,3,FALSE)</f>
        <v>24</v>
      </c>
      <c r="D295" s="1">
        <f>VLOOKUP($B295&amp;"__wt",'SegEnds_Xtal_BW#'!$A:$Z,4,FALSE)</f>
        <v>60</v>
      </c>
      <c r="E295" s="1">
        <f>VLOOKUP($B295&amp;"__wt",'SegEnds_Xtal_BW#'!$A:$Z,5,FALSE)</f>
        <v>48</v>
      </c>
      <c r="F295" s="1">
        <f>VLOOKUP($B295&amp;"__wt",'SegEnds_Xtal_BW#'!$A:$Z,6,FALSE)</f>
        <v>51</v>
      </c>
      <c r="G295" s="1">
        <v>37</v>
      </c>
      <c r="H295" s="12">
        <v>66</v>
      </c>
      <c r="I295" s="1">
        <f>VLOOKUP($B295&amp;"__wt",'SegEnds_Xtal_BW#'!$A:$Z,9,FALSE)</f>
        <v>49</v>
      </c>
      <c r="J295" s="1">
        <f>VLOOKUP($B295&amp;"__wt",'SegEnds_Xtal_BW#'!$A:$Z,10,FALSE)</f>
        <v>52</v>
      </c>
      <c r="K295" s="12">
        <v>24</v>
      </c>
      <c r="L295" s="1">
        <f>VLOOKUP($B295&amp;"__wt",'SegEnds_Xtal_BW#'!$A:$Z,12,FALSE)</f>
        <v>56</v>
      </c>
      <c r="M295" s="1">
        <f>VLOOKUP($B295&amp;"__wt",'SegEnds_Xtal_BW#'!$A:$Z,13,FALSE)</f>
        <v>50</v>
      </c>
      <c r="N295" s="12">
        <v>57</v>
      </c>
      <c r="O295" s="87">
        <f>VLOOKUP($B295&amp;"__wt",'SegEnds_Xtal_BW#'!$A:$Z,15,FALSE)</f>
        <v>38</v>
      </c>
      <c r="P295" s="1">
        <f>VLOOKUP($B295&amp;"__wt",'SegEnds_Xtal_BW#'!$A:$Z,16,FALSE)</f>
        <v>64</v>
      </c>
      <c r="Q295" s="1">
        <f>VLOOKUP($B295&amp;"__wt",'SegEnds_Xtal_BW#'!$A:$Z,17,FALSE)</f>
        <v>50</v>
      </c>
      <c r="R295" s="1">
        <f>VLOOKUP($B295&amp;"__wt",'SegEnds_Xtal_BW#'!$A:$Z,18,FALSE)</f>
        <v>52</v>
      </c>
      <c r="S295" s="1">
        <v>34</v>
      </c>
      <c r="T295" s="1">
        <f t="array" ref="T295">INDEX(ICL3_classA!$G$2:$G$37,MATCH(MIN(ABS(AI295-ICL3_classA!$F$2:$F$37)),ABS(AI295-ICL3_classA!$F$2:$F$37),0))</f>
        <v>68</v>
      </c>
      <c r="U295" s="1">
        <f t="array" ref="U295">INDEX(ICL3_classA!$H$2:$H$37,MATCH(MIN(ABS(AI295-ICL3_classA!$F$2:$F$37)),ABS(AI295-ICL3_classA!$F$2:$F$37),0))</f>
        <v>24</v>
      </c>
      <c r="V295" s="1">
        <v>64</v>
      </c>
      <c r="W295" s="1">
        <v>24</v>
      </c>
      <c r="X295" s="125">
        <f>VLOOKUP($B295&amp;"__wt",'SegEnds_Xtal_BW#'!$A:$Z,24,FALSE)</f>
        <v>56</v>
      </c>
      <c r="Y295" s="1">
        <f>VLOOKUP($B295&amp;"__wt",'SegEnds_Xtal_BW#'!$A:$Z,25,FALSE)</f>
        <v>47</v>
      </c>
      <c r="Z295" s="1">
        <f>VLOOKUP($B295&amp;"__wt",'SegEnds_Xtal_BW#'!$A:$Z,26,FALSE)</f>
        <v>59</v>
      </c>
      <c r="AA295" s="27" t="str">
        <f>VLOOKUP(A295,Classification!A:B,2,FALSE)</f>
        <v>A</v>
      </c>
      <c r="AB295" s="1">
        <f>VLOOKUP(A295,'SegEnds_NonXtal_Prot#'!A:AL,10,FALSE)-VLOOKUP(A295,'SegEnds_NonXtal_Prot#'!A:AL,4,FALSE)</f>
        <v>28</v>
      </c>
      <c r="AC295" s="1">
        <f>VLOOKUP(A295,'SegEnds_NonXtal_Prot#'!A:AL,10,FALSE)-VLOOKUP(A295,'SegEnds_NonXtal_Prot#'!A:AL,7,FALSE)</f>
        <v>15</v>
      </c>
      <c r="AD295" s="1">
        <f>VLOOKUP(A295,'SegEnds_NonXtal_Prot#'!A:AL,13,FALSE)-VLOOKUP(A295,'SegEnds_NonXtal_Prot#'!A:AL,10,FALSE)</f>
        <v>19</v>
      </c>
      <c r="AE295" s="1">
        <f>VLOOKUP(A295,'SegEnds_NonXtal_Prot#'!A:AL,16,FALSE)-VLOOKUP(A295,'SegEnds_NonXtal_Prot#'!A:AL,10,FALSE)</f>
        <v>50</v>
      </c>
      <c r="AF295" s="1">
        <f>VLOOKUP(A295,'SegEnds_NonXtal_Prot#'!A:AL,22,FALSE)-VLOOKUP(A295,'SegEnds_NonXtal_Prot#'!A:AL,19,FALSE)</f>
        <v>20</v>
      </c>
      <c r="AG295" s="1">
        <f>VLOOKUP(A295,'SegEnds_NonXtal_Prot#'!A:AL,28,FALSE)-VLOOKUP(A295,'SegEnds_NonXtal_Prot#'!A:AL,25,FALSE)</f>
        <v>21</v>
      </c>
      <c r="AH295" s="1">
        <f>VLOOKUP(A295,'SegEnds_NonXtal_Prot#'!A:AL,28,FALSE)-VLOOKUP(A295,'SegEnds_NonXtal_Prot#'!A:AL,22,FALSE)</f>
        <v>44</v>
      </c>
      <c r="AI295" s="1">
        <f>VLOOKUP(A295,'SegEnds_NonXtal_Prot#'!A:AL,31,FALSE)-VLOOKUP(A295,'SegEnds_NonXtal_Prot#'!A:AL,28,FALSE)</f>
        <v>48</v>
      </c>
      <c r="AJ295" s="1">
        <f>VLOOKUP(A295,'SegEnds_NonXtal_Prot#'!A:AL,34,FALSE)-VLOOKUP(A295,'SegEnds_NonXtal_Prot#'!A:AL,31,FALSE)</f>
        <v>47</v>
      </c>
      <c r="AK295" s="1">
        <f>VLOOKUP(A295,'SegEnds_NonXtal_Prot#'!A:AL,37,FALSE)-VLOOKUP(A295,'SegEnds_NonXtal_Prot#'!A:AL,34,FALSE)</f>
        <v>10</v>
      </c>
      <c r="AL295" s="1" t="str">
        <f>IF(ISERROR(MATCH(A295,'SegEnds_Xtal_Prot#'!B:B, 0)), "NoXtal", "Xtal")</f>
        <v>NoXtal</v>
      </c>
    </row>
    <row r="296" spans="1:38" x14ac:dyDescent="0.2">
      <c r="A296" s="1" t="s">
        <v>214</v>
      </c>
      <c r="B296" s="1" t="str">
        <f>VLOOKUP(A296,Xtal_Templ!A:B,2,FALSE)</f>
        <v>p2ry1_human</v>
      </c>
      <c r="C296" s="5">
        <f>VLOOKUP($B296&amp;"__wt",'SegEnds_Xtal_BW#'!$A:$Z,3,FALSE)</f>
        <v>30</v>
      </c>
      <c r="D296" s="1">
        <f>VLOOKUP($B296&amp;"__wt",'SegEnds_Xtal_BW#'!$A:$Z,4,FALSE)</f>
        <v>60</v>
      </c>
      <c r="E296" s="1" t="str">
        <f>VLOOKUP($B296&amp;"__wt",'SegEnds_Xtal_BW#'!$A:$Z,5,FALSE)</f>
        <v>-</v>
      </c>
      <c r="F296" s="1" t="str">
        <f>VLOOKUP($B296&amp;"__wt",'SegEnds_Xtal_BW#'!$A:$Z,6,FALSE)</f>
        <v>-</v>
      </c>
      <c r="G296" s="1">
        <v>37</v>
      </c>
      <c r="H296" s="12">
        <f>VLOOKUP($B296&amp;"__wt",'SegEnds_Xtal_BW#'!$A:$Z,8,FALSE)</f>
        <v>66</v>
      </c>
      <c r="I296" s="1">
        <f>VLOOKUP($B296&amp;"__wt",'SegEnds_Xtal_BW#'!$A:$Z,9,FALSE)</f>
        <v>49</v>
      </c>
      <c r="J296" s="1">
        <f>VLOOKUP($B296&amp;"__wt",'SegEnds_Xtal_BW#'!$A:$Z,10,FALSE)</f>
        <v>52</v>
      </c>
      <c r="K296" s="12">
        <v>18</v>
      </c>
      <c r="L296" s="1">
        <f>VLOOKUP($B296&amp;"__wt",'SegEnds_Xtal_BW#'!$A:$Z,12,FALSE)</f>
        <v>56</v>
      </c>
      <c r="M296" s="1">
        <f>VLOOKUP($B296&amp;"__wt",'SegEnds_Xtal_BW#'!$A:$Z,13,FALSE)</f>
        <v>50</v>
      </c>
      <c r="N296" s="12">
        <f>VLOOKUP($B296&amp;"__wt",'SegEnds_Xtal_BW#'!$A:$Z,14,FALSE)</f>
        <v>57</v>
      </c>
      <c r="O296" s="87">
        <f>VLOOKUP($B296&amp;"__wt",'SegEnds_Xtal_BW#'!$A:$Z,15,FALSE)</f>
        <v>38</v>
      </c>
      <c r="P296" s="1">
        <f>VLOOKUP($B296&amp;"__wt",'SegEnds_Xtal_BW#'!$A:$Z,16,FALSE)</f>
        <v>64</v>
      </c>
      <c r="Q296" s="1">
        <f>VLOOKUP($B296&amp;"__wt",'SegEnds_Xtal_BW#'!$A:$Z,17,FALSE)</f>
        <v>50</v>
      </c>
      <c r="R296" s="1">
        <f>VLOOKUP($B296&amp;"__wt",'SegEnds_Xtal_BW#'!$A:$Z,18,FALSE)</f>
        <v>52</v>
      </c>
      <c r="S296" s="1">
        <f>VLOOKUP($B296&amp;"__wt",'SegEnds_Xtal_BW#'!$A:$Z,19,FALSE)</f>
        <v>32</v>
      </c>
      <c r="T296" s="1">
        <f t="array" ref="T296">INDEX(ICL3_classA!$G$2:$G$37,MATCH(MIN(ABS(AI296-ICL3_classA!$F$2:$F$37)),ABS(AI296-ICL3_classA!$F$2:$F$37),0))</f>
        <v>67</v>
      </c>
      <c r="U296" s="1">
        <f t="array" ref="U296">INDEX(ICL3_classA!$H$2:$H$37,MATCH(MIN(ABS(AI296-ICL3_classA!$F$2:$F$37)),ABS(AI296-ICL3_classA!$F$2:$F$37),0))</f>
        <v>26</v>
      </c>
      <c r="V296" s="1">
        <v>64</v>
      </c>
      <c r="W296" s="1">
        <v>24</v>
      </c>
      <c r="X296" s="1">
        <f>VLOOKUP($B296&amp;"__wt",'SegEnds_Xtal_BW#'!$A:$Z,24,FALSE)</f>
        <v>56</v>
      </c>
      <c r="Y296" s="1">
        <f>VLOOKUP($B296&amp;"__wt",'SegEnds_Xtal_BW#'!$A:$Z,25,FALSE)</f>
        <v>47</v>
      </c>
      <c r="Z296" s="1">
        <f>VLOOKUP($B296&amp;"__wt",'SegEnds_Xtal_BW#'!$A:$Z,26,FALSE)</f>
        <v>59</v>
      </c>
      <c r="AA296" s="27" t="str">
        <f>VLOOKUP(A296,Classification!A:B,2,FALSE)</f>
        <v>A</v>
      </c>
      <c r="AB296" s="1">
        <f>VLOOKUP(A296,'SegEnds_NonXtal_Prot#'!A:AL,10,FALSE)-VLOOKUP(A296,'SegEnds_NonXtal_Prot#'!A:AL,4,FALSE)</f>
        <v>28</v>
      </c>
      <c r="AC296" s="1" t="e">
        <f>VLOOKUP(A296,'SegEnds_NonXtal_Prot#'!A:AL,10,FALSE)-VLOOKUP(A296,'SegEnds_NonXtal_Prot#'!A:AL,7,FALSE)</f>
        <v>#VALUE!</v>
      </c>
      <c r="AD296" s="1">
        <f>VLOOKUP(A296,'SegEnds_NonXtal_Prot#'!A:AL,13,FALSE)-VLOOKUP(A296,'SegEnds_NonXtal_Prot#'!A:AL,10,FALSE)</f>
        <v>20</v>
      </c>
      <c r="AE296" s="1">
        <f>VLOOKUP(A296,'SegEnds_NonXtal_Prot#'!A:AL,16,FALSE)-VLOOKUP(A296,'SegEnds_NonXtal_Prot#'!A:AL,10,FALSE)</f>
        <v>52</v>
      </c>
      <c r="AF296" s="1" t="e">
        <f>VLOOKUP(A296,'SegEnds_NonXtal_Prot#'!A:AL,22,FALSE)-VLOOKUP(A296,'SegEnds_NonXtal_Prot#'!A:AL,19,FALSE)</f>
        <v>#VALUE!</v>
      </c>
      <c r="AG296" s="1">
        <f>VLOOKUP(A296,'SegEnds_NonXtal_Prot#'!A:AL,28,FALSE)-VLOOKUP(A296,'SegEnds_NonXtal_Prot#'!A:AL,25,FALSE)</f>
        <v>25</v>
      </c>
      <c r="AH296" s="1">
        <f>VLOOKUP(A296,'SegEnds_NonXtal_Prot#'!A:AL,28,FALSE)-VLOOKUP(A296,'SegEnds_NonXtal_Prot#'!A:AL,22,FALSE)</f>
        <v>44</v>
      </c>
      <c r="AI296" s="1">
        <f>VLOOKUP(A296,'SegEnds_NonXtal_Prot#'!A:AL,31,FALSE)-VLOOKUP(A296,'SegEnds_NonXtal_Prot#'!A:AL,28,FALSE)</f>
        <v>46</v>
      </c>
      <c r="AJ296" s="1">
        <f>VLOOKUP(A296,'SegEnds_NonXtal_Prot#'!A:AL,34,FALSE)-VLOOKUP(A296,'SegEnds_NonXtal_Prot#'!A:AL,31,FALSE)</f>
        <v>48</v>
      </c>
      <c r="AK296" s="1">
        <f>VLOOKUP(A296,'SegEnds_NonXtal_Prot#'!A:AL,37,FALSE)-VLOOKUP(A296,'SegEnds_NonXtal_Prot#'!A:AL,34,FALSE)</f>
        <v>10</v>
      </c>
      <c r="AL296" s="1" t="str">
        <f>IF(ISERROR(MATCH(A296,'SegEnds_Xtal_Prot#'!B:B, 0)), "NoXtal", "Xtal")</f>
        <v>NoXtal</v>
      </c>
    </row>
    <row r="297" spans="1:38" x14ac:dyDescent="0.2">
      <c r="A297" s="1" t="s">
        <v>351</v>
      </c>
      <c r="B297" s="1" t="str">
        <f>VLOOKUP(A297,Xtal_Templ!A:B,2,FALSE)</f>
        <v>p2ry1_human</v>
      </c>
      <c r="C297" s="5">
        <f>VLOOKUP($B297&amp;"__wt",'SegEnds_Xtal_BW#'!$A:$Z,3,FALSE)</f>
        <v>30</v>
      </c>
      <c r="D297" s="1">
        <f>VLOOKUP($B297&amp;"__wt",'SegEnds_Xtal_BW#'!$A:$Z,4,FALSE)</f>
        <v>60</v>
      </c>
      <c r="E297" s="1" t="str">
        <f>VLOOKUP($B297&amp;"__wt",'SegEnds_Xtal_BW#'!$A:$Z,5,FALSE)</f>
        <v>-</v>
      </c>
      <c r="F297" s="1" t="str">
        <f>VLOOKUP($B297&amp;"__wt",'SegEnds_Xtal_BW#'!$A:$Z,6,FALSE)</f>
        <v>-</v>
      </c>
      <c r="G297" s="1">
        <v>37</v>
      </c>
      <c r="H297" s="12">
        <f>VLOOKUP($B297&amp;"__wt",'SegEnds_Xtal_BW#'!$A:$Z,8,FALSE)</f>
        <v>66</v>
      </c>
      <c r="I297" s="1">
        <f>VLOOKUP($B297&amp;"__wt",'SegEnds_Xtal_BW#'!$A:$Z,9,FALSE)</f>
        <v>49</v>
      </c>
      <c r="J297" s="1">
        <f>VLOOKUP($B297&amp;"__wt",'SegEnds_Xtal_BW#'!$A:$Z,10,FALSE)</f>
        <v>52</v>
      </c>
      <c r="K297" s="12">
        <v>18</v>
      </c>
      <c r="L297" s="1">
        <f>VLOOKUP($B297&amp;"__wt",'SegEnds_Xtal_BW#'!$A:$Z,12,FALSE)</f>
        <v>56</v>
      </c>
      <c r="M297" s="1">
        <f>VLOOKUP($B297&amp;"__wt",'SegEnds_Xtal_BW#'!$A:$Z,13,FALSE)</f>
        <v>50</v>
      </c>
      <c r="N297" s="12">
        <v>57</v>
      </c>
      <c r="O297" s="87">
        <f>VLOOKUP($B297&amp;"__wt",'SegEnds_Xtal_BW#'!$A:$Z,15,FALSE)</f>
        <v>38</v>
      </c>
      <c r="P297" s="1">
        <f>VLOOKUP($B297&amp;"__wt",'SegEnds_Xtal_BW#'!$A:$Z,16,FALSE)</f>
        <v>64</v>
      </c>
      <c r="Q297" s="1">
        <f>VLOOKUP($B297&amp;"__wt",'SegEnds_Xtal_BW#'!$A:$Z,17,FALSE)</f>
        <v>50</v>
      </c>
      <c r="R297" s="1">
        <f>VLOOKUP($B297&amp;"__wt",'SegEnds_Xtal_BW#'!$A:$Z,18,FALSE)</f>
        <v>52</v>
      </c>
      <c r="S297" s="1">
        <f>VLOOKUP($B297&amp;"__wt",'SegEnds_Xtal_BW#'!$A:$Z,19,FALSE)</f>
        <v>32</v>
      </c>
      <c r="T297" s="1">
        <f t="array" ref="T297">INDEX(ICL3_classA!$G$2:$G$37,MATCH(MIN(ABS(AI297-ICL3_classA!$F$2:$F$37)),ABS(AI297-ICL3_classA!$F$2:$F$37),0))</f>
        <v>67</v>
      </c>
      <c r="U297" s="1">
        <f t="array" ref="U297">INDEX(ICL3_classA!$H$2:$H$37,MATCH(MIN(ABS(AI297-ICL3_classA!$F$2:$F$37)),ABS(AI297-ICL3_classA!$F$2:$F$37),0))</f>
        <v>26</v>
      </c>
      <c r="V297" s="1">
        <v>64</v>
      </c>
      <c r="W297" s="1">
        <v>24</v>
      </c>
      <c r="X297" s="1">
        <f>VLOOKUP($B297&amp;"__wt",'SegEnds_Xtal_BW#'!$A:$Z,24,FALSE)</f>
        <v>56</v>
      </c>
      <c r="Y297" s="1">
        <f>VLOOKUP($B297&amp;"__wt",'SegEnds_Xtal_BW#'!$A:$Z,25,FALSE)</f>
        <v>47</v>
      </c>
      <c r="Z297" s="1">
        <f>VLOOKUP($B297&amp;"__wt",'SegEnds_Xtal_BW#'!$A:$Z,26,FALSE)</f>
        <v>59</v>
      </c>
      <c r="AA297" s="27" t="str">
        <f>VLOOKUP(A297,Classification!A:B,2,FALSE)</f>
        <v>A</v>
      </c>
      <c r="AB297" s="1">
        <f>VLOOKUP(A297,'SegEnds_NonXtal_Prot#'!A:AL,10,FALSE)-VLOOKUP(A297,'SegEnds_NonXtal_Prot#'!A:AL,4,FALSE)</f>
        <v>29</v>
      </c>
      <c r="AC297" s="1" t="e">
        <f>VLOOKUP(A297,'SegEnds_NonXtal_Prot#'!A:AL,10,FALSE)-VLOOKUP(A297,'SegEnds_NonXtal_Prot#'!A:AL,7,FALSE)</f>
        <v>#VALUE!</v>
      </c>
      <c r="AD297" s="1">
        <f>VLOOKUP(A297,'SegEnds_NonXtal_Prot#'!A:AL,13,FALSE)-VLOOKUP(A297,'SegEnds_NonXtal_Prot#'!A:AL,10,FALSE)</f>
        <v>20</v>
      </c>
      <c r="AE297" s="1">
        <f>VLOOKUP(A297,'SegEnds_NonXtal_Prot#'!A:AL,16,FALSE)-VLOOKUP(A297,'SegEnds_NonXtal_Prot#'!A:AL,10,FALSE)</f>
        <v>52</v>
      </c>
      <c r="AF297" s="1">
        <f>VLOOKUP(A297,'SegEnds_NonXtal_Prot#'!A:AL,22,FALSE)-VLOOKUP(A297,'SegEnds_NonXtal_Prot#'!A:AL,19,FALSE)</f>
        <v>20</v>
      </c>
      <c r="AG297" s="1">
        <f>VLOOKUP(A297,'SegEnds_NonXtal_Prot#'!A:AL,28,FALSE)-VLOOKUP(A297,'SegEnds_NonXtal_Prot#'!A:AL,25,FALSE)</f>
        <v>26</v>
      </c>
      <c r="AH297" s="1">
        <f>VLOOKUP(A297,'SegEnds_NonXtal_Prot#'!A:AL,28,FALSE)-VLOOKUP(A297,'SegEnds_NonXtal_Prot#'!A:AL,22,FALSE)</f>
        <v>63</v>
      </c>
      <c r="AI297" s="1">
        <f>VLOOKUP(A297,'SegEnds_NonXtal_Prot#'!A:AL,31,FALSE)-VLOOKUP(A297,'SegEnds_NonXtal_Prot#'!A:AL,28,FALSE)</f>
        <v>46</v>
      </c>
      <c r="AJ297" s="1">
        <f>VLOOKUP(A297,'SegEnds_NonXtal_Prot#'!A:AL,34,FALSE)-VLOOKUP(A297,'SegEnds_NonXtal_Prot#'!A:AL,31,FALSE)</f>
        <v>55</v>
      </c>
      <c r="AK297" s="1">
        <f>VLOOKUP(A297,'SegEnds_NonXtal_Prot#'!A:AL,37,FALSE)-VLOOKUP(A297,'SegEnds_NonXtal_Prot#'!A:AL,34,FALSE)</f>
        <v>10</v>
      </c>
      <c r="AL297" s="1" t="str">
        <f>IF(ISERROR(MATCH(A297,'SegEnds_Xtal_Prot#'!B:B, 0)), "NoXtal", "Xtal")</f>
        <v>NoXtal</v>
      </c>
    </row>
    <row r="298" spans="1:38" x14ac:dyDescent="0.2">
      <c r="A298" s="1" t="s">
        <v>329</v>
      </c>
      <c r="B298" s="1" t="str">
        <f>VLOOKUP(A298,Xtal_Templ!A:B,2,FALSE)</f>
        <v>npy1r_human</v>
      </c>
      <c r="C298" s="5">
        <f>VLOOKUP($B298&amp;"__wt",'SegEnds_Xtal_BW#'!$A:$Z,3,FALSE)</f>
        <v>28</v>
      </c>
      <c r="D298" s="1">
        <f>VLOOKUP($B298&amp;"__wt",'SegEnds_Xtal_BW#'!$A:$Z,4,FALSE)</f>
        <v>60</v>
      </c>
      <c r="E298" s="1">
        <f>VLOOKUP($B298&amp;"__wt",'SegEnds_Xtal_BW#'!$A:$Z,5,FALSE)</f>
        <v>48</v>
      </c>
      <c r="F298" s="1">
        <f>VLOOKUP($B298&amp;"__wt",'SegEnds_Xtal_BW#'!$A:$Z,6,FALSE)</f>
        <v>51</v>
      </c>
      <c r="G298" s="1">
        <v>37</v>
      </c>
      <c r="H298" s="12">
        <f>VLOOKUP($B298&amp;"__wt",'SegEnds_Xtal_BW#'!$A:$Z,8,FALSE)</f>
        <v>68</v>
      </c>
      <c r="I298" s="1">
        <f>VLOOKUP($B298&amp;"__wt",'SegEnds_Xtal_BW#'!$A:$Z,9,FALSE)</f>
        <v>49</v>
      </c>
      <c r="J298" s="1">
        <f>VLOOKUP($B298&amp;"__wt",'SegEnds_Xtal_BW#'!$A:$Z,10,FALSE)</f>
        <v>52</v>
      </c>
      <c r="K298" s="12">
        <v>18</v>
      </c>
      <c r="L298" s="1">
        <f>VLOOKUP($B298&amp;"__wt",'SegEnds_Xtal_BW#'!$A:$Z,12,FALSE)</f>
        <v>56</v>
      </c>
      <c r="M298" s="1" t="str">
        <f>VLOOKUP($B298&amp;"__wt",'SegEnds_Xtal_BW#'!$A:$Z,13,FALSE)</f>
        <v>-</v>
      </c>
      <c r="N298" s="12" t="str">
        <f>VLOOKUP($B298&amp;"__wt",'SegEnds_Xtal_BW#'!$A:$Z,14,FALSE)</f>
        <v>-</v>
      </c>
      <c r="O298" s="87">
        <f>VLOOKUP($B298&amp;"__wt",'SegEnds_Xtal_BW#'!$A:$Z,15,FALSE)</f>
        <v>38</v>
      </c>
      <c r="P298" s="1">
        <f>VLOOKUP($B298&amp;"__wt",'SegEnds_Xtal_BW#'!$A:$Z,16,FALSE)</f>
        <v>64</v>
      </c>
      <c r="Q298" s="1">
        <f>VLOOKUP($B298&amp;"__wt",'SegEnds_Xtal_BW#'!$A:$Z,17,FALSE)</f>
        <v>50</v>
      </c>
      <c r="R298" s="1">
        <f>VLOOKUP($B298&amp;"__wt",'SegEnds_Xtal_BW#'!$A:$Z,18,FALSE)</f>
        <v>52</v>
      </c>
      <c r="S298" s="1">
        <f>VLOOKUP($B298&amp;"__wt",'SegEnds_Xtal_BW#'!$A:$Z,19,FALSE)</f>
        <v>31</v>
      </c>
      <c r="T298" s="1">
        <f t="array" ref="T298">INDEX(ICL3_classA!$G$2:$G$37,MATCH(MIN(ABS(AI298-ICL3_classA!$F$2:$F$37)),ABS(AI298-ICL3_classA!$F$2:$F$37),0))</f>
        <v>73</v>
      </c>
      <c r="U298" s="1">
        <f t="array" ref="U298">INDEX(ICL3_classA!$H$2:$H$37,MATCH(MIN(ABS(AI298-ICL3_classA!$F$2:$F$37)),ABS(AI298-ICL3_classA!$F$2:$F$37),0))</f>
        <v>22</v>
      </c>
      <c r="V298" s="1">
        <v>61</v>
      </c>
      <c r="W298" s="1">
        <v>24</v>
      </c>
      <c r="X298" s="1">
        <f>VLOOKUP($B298&amp;"__wt",'SegEnds_Xtal_BW#'!$A:$Z,24,FALSE)</f>
        <v>56</v>
      </c>
      <c r="Y298" s="1">
        <f>VLOOKUP($B298&amp;"__wt",'SegEnds_Xtal_BW#'!$A:$Z,25,FALSE)</f>
        <v>47</v>
      </c>
      <c r="Z298" s="1">
        <f>VLOOKUP($B298&amp;"__wt",'SegEnds_Xtal_BW#'!$A:$Z,26,FALSE)</f>
        <v>58</v>
      </c>
      <c r="AA298" s="27" t="str">
        <f>VLOOKUP(A298,Classification!A:B,2,FALSE)</f>
        <v>A</v>
      </c>
      <c r="AB298" s="1">
        <f>VLOOKUP(A298,'SegEnds_NonXtal_Prot#'!A:AL,10,FALSE)-VLOOKUP(A298,'SegEnds_NonXtal_Prot#'!A:AL,4,FALSE)</f>
        <v>29</v>
      </c>
      <c r="AC298" s="1">
        <f>VLOOKUP(A298,'SegEnds_NonXtal_Prot#'!A:AL,10,FALSE)-VLOOKUP(A298,'SegEnds_NonXtal_Prot#'!A:AL,7,FALSE)</f>
        <v>15</v>
      </c>
      <c r="AD298" s="1">
        <f>VLOOKUP(A298,'SegEnds_NonXtal_Prot#'!A:AL,13,FALSE)-VLOOKUP(A298,'SegEnds_NonXtal_Prot#'!A:AL,10,FALSE)</f>
        <v>20</v>
      </c>
      <c r="AE298" s="1">
        <f>VLOOKUP(A298,'SegEnds_NonXtal_Prot#'!A:AL,16,FALSE)-VLOOKUP(A298,'SegEnds_NonXtal_Prot#'!A:AL,10,FALSE)</f>
        <v>52</v>
      </c>
      <c r="AF298" s="1" t="e">
        <f>VLOOKUP(A298,'SegEnds_NonXtal_Prot#'!A:AL,22,FALSE)-VLOOKUP(A298,'SegEnds_NonXtal_Prot#'!A:AL,19,FALSE)</f>
        <v>#VALUE!</v>
      </c>
      <c r="AG298" s="1" t="e">
        <f>VLOOKUP(A298,'SegEnds_NonXtal_Prot#'!A:AL,28,FALSE)-VLOOKUP(A298,'SegEnds_NonXtal_Prot#'!A:AL,25,FALSE)</f>
        <v>#VALUE!</v>
      </c>
      <c r="AH298" s="1">
        <f>VLOOKUP(A298,'SegEnds_NonXtal_Prot#'!A:AL,28,FALSE)-VLOOKUP(A298,'SegEnds_NonXtal_Prot#'!A:AL,22,FALSE)</f>
        <v>62</v>
      </c>
      <c r="AI298" s="1">
        <f>VLOOKUP(A298,'SegEnds_NonXtal_Prot#'!A:AL,31,FALSE)-VLOOKUP(A298,'SegEnds_NonXtal_Prot#'!A:AL,28,FALSE)</f>
        <v>55</v>
      </c>
      <c r="AJ298" s="1" t="e">
        <f>VLOOKUP(A298,'SegEnds_NonXtal_Prot#'!A:AL,34,FALSE)-VLOOKUP(A298,'SegEnds_NonXtal_Prot#'!A:AL,31,FALSE)</f>
        <v>#VALUE!</v>
      </c>
      <c r="AK298" s="1" t="e">
        <f>VLOOKUP(A298,'SegEnds_NonXtal_Prot#'!A:AL,37,FALSE)-VLOOKUP(A298,'SegEnds_NonXtal_Prot#'!A:AL,34,FALSE)</f>
        <v>#VALUE!</v>
      </c>
      <c r="AL298" s="1" t="str">
        <f>IF(ISERROR(MATCH(A298,'SegEnds_Xtal_Prot#'!B:B, 0)), "NoXtal", "Xtal")</f>
        <v>NoXtal</v>
      </c>
    </row>
    <row r="299" spans="1:38" s="42" customFormat="1" x14ac:dyDescent="0.2">
      <c r="A299" s="42" t="s">
        <v>411</v>
      </c>
      <c r="B299" s="42" t="str">
        <f>VLOOKUP(A299,Xtal_Templ!A:B,2,FALSE)</f>
        <v>pth1r_human</v>
      </c>
      <c r="C299" s="43">
        <f>VLOOKUP($B299&amp;"__wt",'SegEnds_Xtal_BW#'!$A:$Z,3,FALSE)</f>
        <v>27</v>
      </c>
      <c r="D299" s="42">
        <f>VLOOKUP($B299&amp;"__wt",'SegEnds_Xtal_BW#'!$A:$Z,4,FALSE)</f>
        <v>60</v>
      </c>
      <c r="E299" s="42">
        <f>VLOOKUP($B299&amp;"__wt",'SegEnds_Xtal_BW#'!$A:$Z,5,FALSE)</f>
        <v>48</v>
      </c>
      <c r="F299" s="42">
        <f>VLOOKUP($B299&amp;"__wt",'SegEnds_Xtal_BW#'!$A:$Z,6,FALSE)</f>
        <v>51</v>
      </c>
      <c r="G299" s="42">
        <v>37</v>
      </c>
      <c r="H299" s="116">
        <v>64</v>
      </c>
      <c r="I299" s="42" t="str">
        <f>VLOOKUP($B299&amp;"__wt",'SegEnds_Xtal_BW#'!$A:$Z,9,FALSE)</f>
        <v>-</v>
      </c>
      <c r="J299" s="42" t="str">
        <f>VLOOKUP($B299&amp;"__wt",'SegEnds_Xtal_BW#'!$A:$Z,10,FALSE)</f>
        <v>-</v>
      </c>
      <c r="K299" s="116">
        <v>23</v>
      </c>
      <c r="L299" s="42">
        <f>VLOOKUP($B299&amp;"__wt",'SegEnds_Xtal_BW#'!$A:$Z,12,FALSE)</f>
        <v>56</v>
      </c>
      <c r="M299" s="42" t="str">
        <f>VLOOKUP($B299&amp;"__wt",'SegEnds_Xtal_BW#'!$A:$Z,13,FALSE)</f>
        <v>-</v>
      </c>
      <c r="N299" s="101" t="str">
        <f>VLOOKUP($B299&amp;"__wt",'SegEnds_Xtal_BW#'!$A:$Z,14,FALSE)</f>
        <v>-</v>
      </c>
      <c r="O299" s="89">
        <f>VLOOKUP($B299&amp;"__wt",'SegEnds_Xtal_BW#'!$A:$Z,15,FALSE)</f>
        <v>37</v>
      </c>
      <c r="P299" s="42">
        <f>VLOOKUP($B299&amp;"__wt",'SegEnds_Xtal_BW#'!$A:$Z,16,FALSE)</f>
        <v>68</v>
      </c>
      <c r="Q299" s="42">
        <f>VLOOKUP($B299&amp;"__wt",'SegEnds_Xtal_BW#'!$A:$Z,17,FALSE)</f>
        <v>50</v>
      </c>
      <c r="R299" s="42">
        <f>VLOOKUP($B299&amp;"__wt",'SegEnds_Xtal_BW#'!$A:$Z,18,FALSE)</f>
        <v>52</v>
      </c>
      <c r="S299" s="116">
        <v>39</v>
      </c>
      <c r="T299" s="42">
        <v>69</v>
      </c>
      <c r="U299" s="42">
        <v>25</v>
      </c>
      <c r="V299" s="4">
        <f>VLOOKUP($B299&amp;"__wt",'SegEnds_Xtal_BW#'!$A:$Z,22,FALSE)</f>
        <v>54</v>
      </c>
      <c r="W299" s="42">
        <v>31</v>
      </c>
      <c r="X299" s="42">
        <f>VLOOKUP($B299&amp;"__wt",'SegEnds_Xtal_BW#'!$A:$Z,24,FALSE)</f>
        <v>56</v>
      </c>
      <c r="Y299" s="42">
        <f>VLOOKUP($B299&amp;"__wt",'SegEnds_Xtal_BW#'!$A:$Z,25,FALSE)</f>
        <v>47</v>
      </c>
      <c r="Z299" s="42">
        <f>VLOOKUP($B299&amp;"__wt",'SegEnds_Xtal_BW#'!$A:$Z,26,FALSE)</f>
        <v>72</v>
      </c>
      <c r="AA299" s="44" t="str">
        <f>VLOOKUP(A299,Classification!A:B,2,FALSE)</f>
        <v>B1</v>
      </c>
      <c r="AB299" s="1">
        <f>VLOOKUP(A299,'SegEnds_NonXtal_Prot#'!A:AL,10,FALSE)-VLOOKUP(A299,'SegEnds_NonXtal_Prot#'!A:AL,4,FALSE)</f>
        <v>28</v>
      </c>
      <c r="AC299" s="42">
        <f>VLOOKUP(A299,'SegEnds_NonXtal_Prot#'!A:AL,10,FALSE)-VLOOKUP(A299,'SegEnds_NonXtal_Prot#'!A:AL,7,FALSE)</f>
        <v>15</v>
      </c>
      <c r="AD299" s="42" t="e">
        <f>VLOOKUP(A299,'SegEnds_NonXtal_Prot#'!A:AL,13,FALSE)-VLOOKUP(A299,'SegEnds_NonXtal_Prot#'!A:AL,10,FALSE)</f>
        <v>#VALUE!</v>
      </c>
      <c r="AE299" s="42">
        <f>VLOOKUP(A299,'SegEnds_NonXtal_Prot#'!A:AL,16,FALSE)-VLOOKUP(A299,'SegEnds_NonXtal_Prot#'!A:AL,10,FALSE)</f>
        <v>55</v>
      </c>
      <c r="AF299" s="1" t="e">
        <f>VLOOKUP(A299,'SegEnds_NonXtal_Prot#'!A:AL,22,FALSE)-VLOOKUP(A299,'SegEnds_NonXtal_Prot#'!A:AL,19,FALSE)</f>
        <v>#VALUE!</v>
      </c>
      <c r="AG299" s="42">
        <f>VLOOKUP(A299,'SegEnds_NonXtal_Prot#'!A:AL,28,FALSE)-VLOOKUP(A299,'SegEnds_NonXtal_Prot#'!A:AL,25,FALSE)</f>
        <v>20</v>
      </c>
      <c r="AH299" s="1">
        <f>VLOOKUP(A299,'SegEnds_NonXtal_Prot#'!A:AL,28,FALSE)-VLOOKUP(A299,'SegEnds_NonXtal_Prot#'!A:AL,22,FALSE)</f>
        <v>42</v>
      </c>
      <c r="AI299" s="42">
        <f>VLOOKUP(A299,'SegEnds_NonXtal_Prot#'!A:AL,31,FALSE)-VLOOKUP(A299,'SegEnds_NonXtal_Prot#'!A:AL,28,FALSE)</f>
        <v>52</v>
      </c>
      <c r="AJ299" s="42">
        <f>VLOOKUP(A299,'SegEnds_NonXtal_Prot#'!A:AL,34,FALSE)-VLOOKUP(A299,'SegEnds_NonXtal_Prot#'!A:AL,31,FALSE)</f>
        <v>28</v>
      </c>
      <c r="AK299" s="1">
        <f>VLOOKUP(A299,'SegEnds_NonXtal_Prot#'!A:AL,37,FALSE)-VLOOKUP(A299,'SegEnds_NonXtal_Prot#'!A:AL,34,FALSE)</f>
        <v>10</v>
      </c>
      <c r="AL299" s="1" t="str">
        <f>IF(ISERROR(MATCH(A299,'SegEnds_Xtal_Prot#'!B:B, 0)), "NoXtal", "Xtal")</f>
        <v>NoXtal</v>
      </c>
    </row>
    <row r="300" spans="1:38" x14ac:dyDescent="0.2">
      <c r="A300" s="4" t="s">
        <v>404</v>
      </c>
      <c r="B300" s="4" t="str">
        <f>VLOOKUP(A300,Xtal_Templ!A:B,2,FALSE)</f>
        <v>pth1r_human</v>
      </c>
      <c r="C300" s="5">
        <f>VLOOKUP($B300&amp;"__wt",'SegEnds_Xtal_BW#'!$A:$Z,3,FALSE)</f>
        <v>27</v>
      </c>
      <c r="D300" s="4">
        <f>VLOOKUP($B300&amp;"__wt",'SegEnds_Xtal_BW#'!$A:$Z,4,FALSE)</f>
        <v>60</v>
      </c>
      <c r="E300" s="4">
        <f>VLOOKUP($B300&amp;"__wt",'SegEnds_Xtal_BW#'!$A:$Z,5,FALSE)</f>
        <v>48</v>
      </c>
      <c r="F300" s="4">
        <f>VLOOKUP($B300&amp;"__wt",'SegEnds_Xtal_BW#'!$A:$Z,6,FALSE)</f>
        <v>51</v>
      </c>
      <c r="G300" s="4">
        <v>37</v>
      </c>
      <c r="H300" s="115">
        <v>64</v>
      </c>
      <c r="I300" s="4" t="str">
        <f>VLOOKUP($B300&amp;"__wt",'SegEnds_Xtal_BW#'!$A:$Z,9,FALSE)</f>
        <v>-</v>
      </c>
      <c r="J300" s="4" t="str">
        <f>VLOOKUP($B300&amp;"__wt",'SegEnds_Xtal_BW#'!$A:$Z,10,FALSE)</f>
        <v>-</v>
      </c>
      <c r="K300" s="115">
        <v>23</v>
      </c>
      <c r="L300" s="4">
        <f>VLOOKUP($B300&amp;"__wt",'SegEnds_Xtal_BW#'!$A:$Z,12,FALSE)</f>
        <v>56</v>
      </c>
      <c r="M300" s="4" t="str">
        <f>VLOOKUP($B300&amp;"__wt",'SegEnds_Xtal_BW#'!$A:$Z,13,FALSE)</f>
        <v>-</v>
      </c>
      <c r="N300" s="11" t="str">
        <f>VLOOKUP($B300&amp;"__wt",'SegEnds_Xtal_BW#'!$A:$Z,14,FALSE)</f>
        <v>-</v>
      </c>
      <c r="O300" s="88">
        <f>VLOOKUP($B300&amp;"__wt",'SegEnds_Xtal_BW#'!$A:$Z,15,FALSE)</f>
        <v>37</v>
      </c>
      <c r="P300" s="4">
        <f>VLOOKUP($B300&amp;"__wt",'SegEnds_Xtal_BW#'!$A:$Z,16,FALSE)</f>
        <v>68</v>
      </c>
      <c r="Q300" s="4">
        <f>VLOOKUP($B300&amp;"__wt",'SegEnds_Xtal_BW#'!$A:$Z,17,FALSE)</f>
        <v>50</v>
      </c>
      <c r="R300" s="4">
        <f>VLOOKUP($B300&amp;"__wt",'SegEnds_Xtal_BW#'!$A:$Z,18,FALSE)</f>
        <v>52</v>
      </c>
      <c r="S300" s="108">
        <v>39</v>
      </c>
      <c r="T300" s="4">
        <v>69</v>
      </c>
      <c r="U300" s="4">
        <v>25</v>
      </c>
      <c r="V300" s="4">
        <f>VLOOKUP($B300&amp;"__wt",'SegEnds_Xtal_BW#'!$A:$Z,22,FALSE)</f>
        <v>54</v>
      </c>
      <c r="W300" s="4">
        <v>31</v>
      </c>
      <c r="X300" s="4">
        <f>VLOOKUP($B300&amp;"__wt",'SegEnds_Xtal_BW#'!$A:$Z,24,FALSE)</f>
        <v>56</v>
      </c>
      <c r="Y300" s="4">
        <f>VLOOKUP($B300&amp;"__wt",'SegEnds_Xtal_BW#'!$A:$Z,25,FALSE)</f>
        <v>47</v>
      </c>
      <c r="Z300" s="4">
        <f>VLOOKUP($B300&amp;"__wt",'SegEnds_Xtal_BW#'!$A:$Z,26,FALSE)</f>
        <v>72</v>
      </c>
      <c r="AA300" s="27" t="str">
        <f>VLOOKUP(A300,Classification!A:B,2,FALSE)</f>
        <v>B1</v>
      </c>
      <c r="AB300" s="1">
        <f>VLOOKUP(A300,'SegEnds_NonXtal_Prot#'!A:AL,10,FALSE)-VLOOKUP(A300,'SegEnds_NonXtal_Prot#'!A:AL,4,FALSE)</f>
        <v>28</v>
      </c>
      <c r="AC300" s="4">
        <f>VLOOKUP(A300,'SegEnds_NonXtal_Prot#'!A:AL,10,FALSE)-VLOOKUP(A300,'SegEnds_NonXtal_Prot#'!A:AL,7,FALSE)</f>
        <v>15</v>
      </c>
      <c r="AD300" s="4" t="e">
        <f>VLOOKUP(A300,'SegEnds_NonXtal_Prot#'!A:AL,13,FALSE)-VLOOKUP(A300,'SegEnds_NonXtal_Prot#'!A:AL,10,FALSE)</f>
        <v>#VALUE!</v>
      </c>
      <c r="AE300" s="4">
        <f>VLOOKUP(A300,'SegEnds_NonXtal_Prot#'!A:AL,16,FALSE)-VLOOKUP(A300,'SegEnds_NonXtal_Prot#'!A:AL,10,FALSE)</f>
        <v>55</v>
      </c>
      <c r="AF300" s="1" t="e">
        <f>VLOOKUP(A300,'SegEnds_NonXtal_Prot#'!A:AL,22,FALSE)-VLOOKUP(A300,'SegEnds_NonXtal_Prot#'!A:AL,19,FALSE)</f>
        <v>#VALUE!</v>
      </c>
      <c r="AG300" s="4">
        <f>VLOOKUP(A300,'SegEnds_NonXtal_Prot#'!A:AL,28,FALSE)-VLOOKUP(A300,'SegEnds_NonXtal_Prot#'!A:AL,25,FALSE)</f>
        <v>20</v>
      </c>
      <c r="AH300" s="1">
        <f>VLOOKUP(A300,'SegEnds_NonXtal_Prot#'!A:AL,28,FALSE)-VLOOKUP(A300,'SegEnds_NonXtal_Prot#'!A:AL,22,FALSE)</f>
        <v>42</v>
      </c>
      <c r="AI300" s="4">
        <f>VLOOKUP(A300,'SegEnds_NonXtal_Prot#'!A:AL,31,FALSE)-VLOOKUP(A300,'SegEnds_NonXtal_Prot#'!A:AL,28,FALSE)</f>
        <v>52</v>
      </c>
      <c r="AJ300" s="4">
        <f>VLOOKUP(A300,'SegEnds_NonXtal_Prot#'!A:AL,34,FALSE)-VLOOKUP(A300,'SegEnds_NonXtal_Prot#'!A:AL,31,FALSE)</f>
        <v>29</v>
      </c>
      <c r="AK300" s="1">
        <f>VLOOKUP(A300,'SegEnds_NonXtal_Prot#'!A:AL,37,FALSE)-VLOOKUP(A300,'SegEnds_NonXtal_Prot#'!A:AL,34,FALSE)</f>
        <v>10</v>
      </c>
      <c r="AL300" s="1" t="str">
        <f>IF(ISERROR(MATCH(A300,'SegEnds_Xtal_Prot#'!B:B, 0)), "NoXtal", "Xtal")</f>
        <v>NoXtal</v>
      </c>
    </row>
    <row r="301" spans="1:38" x14ac:dyDescent="0.2">
      <c r="A301" s="1" t="s">
        <v>408</v>
      </c>
      <c r="B301" s="1" t="str">
        <f>VLOOKUP(A301,Xtal_Templ!A:B,2,FALSE)</f>
        <v>pth1r_human</v>
      </c>
      <c r="C301" s="5">
        <f>VLOOKUP($B301&amp;"__wt",'SegEnds_Xtal_BW#'!$A:$Z,3,FALSE)</f>
        <v>27</v>
      </c>
      <c r="D301" s="1">
        <f>VLOOKUP($B301&amp;"__wt",'SegEnds_Xtal_BW#'!$A:$Z,4,FALSE)</f>
        <v>60</v>
      </c>
      <c r="E301" s="1">
        <f>VLOOKUP($B301&amp;"__wt",'SegEnds_Xtal_BW#'!$A:$Z,5,FALSE)</f>
        <v>48</v>
      </c>
      <c r="F301" s="1">
        <f>VLOOKUP($B301&amp;"__wt",'SegEnds_Xtal_BW#'!$A:$Z,6,FALSE)</f>
        <v>51</v>
      </c>
      <c r="G301" s="1">
        <v>37</v>
      </c>
      <c r="H301" s="115">
        <v>64</v>
      </c>
      <c r="I301" s="1" t="str">
        <f>VLOOKUP($B301&amp;"__wt",'SegEnds_Xtal_BW#'!$A:$Z,9,FALSE)</f>
        <v>-</v>
      </c>
      <c r="J301" s="1" t="str">
        <f>VLOOKUP($B301&amp;"__wt",'SegEnds_Xtal_BW#'!$A:$Z,10,FALSE)</f>
        <v>-</v>
      </c>
      <c r="K301" s="108">
        <v>23</v>
      </c>
      <c r="L301" s="1">
        <f>VLOOKUP($B301&amp;"__wt",'SegEnds_Xtal_BW#'!$A:$Z,12,FALSE)</f>
        <v>56</v>
      </c>
      <c r="M301" s="1" t="str">
        <f>VLOOKUP($B301&amp;"__wt",'SegEnds_Xtal_BW#'!$A:$Z,13,FALSE)</f>
        <v>-</v>
      </c>
      <c r="N301" s="12" t="str">
        <f>VLOOKUP($B301&amp;"__wt",'SegEnds_Xtal_BW#'!$A:$Z,14,FALSE)</f>
        <v>-</v>
      </c>
      <c r="O301" s="87">
        <f>VLOOKUP($B301&amp;"__wt",'SegEnds_Xtal_BW#'!$A:$Z,15,FALSE)</f>
        <v>37</v>
      </c>
      <c r="P301" s="1">
        <f>VLOOKUP($B301&amp;"__wt",'SegEnds_Xtal_BW#'!$A:$Z,16,FALSE)</f>
        <v>68</v>
      </c>
      <c r="Q301" s="1">
        <f>VLOOKUP($B301&amp;"__wt",'SegEnds_Xtal_BW#'!$A:$Z,17,FALSE)</f>
        <v>50</v>
      </c>
      <c r="R301" s="1">
        <f>VLOOKUP($B301&amp;"__wt",'SegEnds_Xtal_BW#'!$A:$Z,18,FALSE)</f>
        <v>52</v>
      </c>
      <c r="S301" s="108">
        <v>39</v>
      </c>
      <c r="T301" s="1">
        <v>69</v>
      </c>
      <c r="U301" s="1">
        <v>25</v>
      </c>
      <c r="V301" s="1">
        <f>VLOOKUP($B301&amp;"__wt",'SegEnds_Xtal_BW#'!$A:$Z,22,FALSE)</f>
        <v>54</v>
      </c>
      <c r="W301" s="1">
        <v>31</v>
      </c>
      <c r="X301" s="1">
        <f>VLOOKUP($B301&amp;"__wt",'SegEnds_Xtal_BW#'!$A:$Z,24,FALSE)</f>
        <v>56</v>
      </c>
      <c r="Y301" s="1">
        <f>VLOOKUP($B301&amp;"__wt",'SegEnds_Xtal_BW#'!$A:$Z,25,FALSE)</f>
        <v>47</v>
      </c>
      <c r="Z301" s="1">
        <f>VLOOKUP($B301&amp;"__wt",'SegEnds_Xtal_BW#'!$A:$Z,26,FALSE)</f>
        <v>72</v>
      </c>
      <c r="AA301" s="27" t="str">
        <f>VLOOKUP(A301,Classification!A:B,2,FALSE)</f>
        <v>B1</v>
      </c>
      <c r="AB301" s="1">
        <f>VLOOKUP(A301,'SegEnds_NonXtal_Prot#'!A:AL,10,FALSE)-VLOOKUP(A301,'SegEnds_NonXtal_Prot#'!A:AL,4,FALSE)</f>
        <v>28</v>
      </c>
      <c r="AC301" s="1">
        <f>VLOOKUP(A301,'SegEnds_NonXtal_Prot#'!A:AL,10,FALSE)-VLOOKUP(A301,'SegEnds_NonXtal_Prot#'!A:AL,7,FALSE)</f>
        <v>15</v>
      </c>
      <c r="AD301" s="1" t="e">
        <f>VLOOKUP(A301,'SegEnds_NonXtal_Prot#'!A:AL,13,FALSE)-VLOOKUP(A301,'SegEnds_NonXtal_Prot#'!A:AL,10,FALSE)</f>
        <v>#VALUE!</v>
      </c>
      <c r="AE301" s="1">
        <f>VLOOKUP(A301,'SegEnds_NonXtal_Prot#'!A:AL,16,FALSE)-VLOOKUP(A301,'SegEnds_NonXtal_Prot#'!A:AL,10,FALSE)</f>
        <v>55</v>
      </c>
      <c r="AF301" s="1" t="e">
        <f>VLOOKUP(A301,'SegEnds_NonXtal_Prot#'!A:AL,22,FALSE)-VLOOKUP(A301,'SegEnds_NonXtal_Prot#'!A:AL,19,FALSE)</f>
        <v>#VALUE!</v>
      </c>
      <c r="AG301" s="1">
        <f>VLOOKUP(A301,'SegEnds_NonXtal_Prot#'!A:AL,28,FALSE)-VLOOKUP(A301,'SegEnds_NonXtal_Prot#'!A:AL,25,FALSE)</f>
        <v>20</v>
      </c>
      <c r="AH301" s="1">
        <f>VLOOKUP(A301,'SegEnds_NonXtal_Prot#'!A:AL,28,FALSE)-VLOOKUP(A301,'SegEnds_NonXtal_Prot#'!A:AL,22,FALSE)</f>
        <v>42</v>
      </c>
      <c r="AI301" s="1">
        <f>VLOOKUP(A301,'SegEnds_NonXtal_Prot#'!A:AL,31,FALSE)-VLOOKUP(A301,'SegEnds_NonXtal_Prot#'!A:AL,28,FALSE)</f>
        <v>52</v>
      </c>
      <c r="AJ301" s="1">
        <f>VLOOKUP(A301,'SegEnds_NonXtal_Prot#'!A:AL,34,FALSE)-VLOOKUP(A301,'SegEnds_NonXtal_Prot#'!A:AL,31,FALSE)</f>
        <v>29</v>
      </c>
      <c r="AK301" s="1">
        <f>VLOOKUP(A301,'SegEnds_NonXtal_Prot#'!A:AL,37,FALSE)-VLOOKUP(A301,'SegEnds_NonXtal_Prot#'!A:AL,34,FALSE)</f>
        <v>10</v>
      </c>
      <c r="AL301" s="1" t="str">
        <f>IF(ISERROR(MATCH(A301,'SegEnds_Xtal_Prot#'!B:B, 0)), "NoXtal", "Xtal")</f>
        <v>NoXtal</v>
      </c>
    </row>
    <row r="302" spans="1:38" x14ac:dyDescent="0.2">
      <c r="A302" s="4" t="s">
        <v>412</v>
      </c>
      <c r="B302" s="4" t="str">
        <f>VLOOKUP(A302,Xtal_Templ!A:B,2,FALSE)</f>
        <v>pth1r_human</v>
      </c>
      <c r="C302" s="5">
        <f>VLOOKUP($B302&amp;"__wt",'SegEnds_Xtal_BW#'!$A:$Z,3,FALSE)</f>
        <v>27</v>
      </c>
      <c r="D302" s="4">
        <f>VLOOKUP($B302&amp;"__wt",'SegEnds_Xtal_BW#'!$A:$Z,4,FALSE)</f>
        <v>60</v>
      </c>
      <c r="E302" s="4">
        <f>VLOOKUP($B302&amp;"__wt",'SegEnds_Xtal_BW#'!$A:$Z,5,FALSE)</f>
        <v>48</v>
      </c>
      <c r="F302" s="4">
        <f>VLOOKUP($B302&amp;"__wt",'SegEnds_Xtal_BW#'!$A:$Z,6,FALSE)</f>
        <v>51</v>
      </c>
      <c r="G302" s="4">
        <v>37</v>
      </c>
      <c r="H302" s="115">
        <v>64</v>
      </c>
      <c r="I302" s="4" t="str">
        <f>VLOOKUP($B302&amp;"__wt",'SegEnds_Xtal_BW#'!$A:$Z,9,FALSE)</f>
        <v>-</v>
      </c>
      <c r="J302" s="4" t="str">
        <f>VLOOKUP($B302&amp;"__wt",'SegEnds_Xtal_BW#'!$A:$Z,10,FALSE)</f>
        <v>-</v>
      </c>
      <c r="K302" s="115">
        <v>23</v>
      </c>
      <c r="L302" s="4">
        <f>VLOOKUP($B302&amp;"__wt",'SegEnds_Xtal_BW#'!$A:$Z,12,FALSE)</f>
        <v>56</v>
      </c>
      <c r="M302" s="4" t="str">
        <f>VLOOKUP($B302&amp;"__wt",'SegEnds_Xtal_BW#'!$A:$Z,13,FALSE)</f>
        <v>-</v>
      </c>
      <c r="N302" s="11" t="str">
        <f>VLOOKUP($B302&amp;"__wt",'SegEnds_Xtal_BW#'!$A:$Z,14,FALSE)</f>
        <v>-</v>
      </c>
      <c r="O302" s="88">
        <f>VLOOKUP($B302&amp;"__wt",'SegEnds_Xtal_BW#'!$A:$Z,15,FALSE)</f>
        <v>37</v>
      </c>
      <c r="P302" s="4">
        <f>VLOOKUP($B302&amp;"__wt",'SegEnds_Xtal_BW#'!$A:$Z,16,FALSE)</f>
        <v>68</v>
      </c>
      <c r="Q302" s="4">
        <f>VLOOKUP($B302&amp;"__wt",'SegEnds_Xtal_BW#'!$A:$Z,17,FALSE)</f>
        <v>50</v>
      </c>
      <c r="R302" s="4">
        <f>VLOOKUP($B302&amp;"__wt",'SegEnds_Xtal_BW#'!$A:$Z,18,FALSE)</f>
        <v>52</v>
      </c>
      <c r="S302" s="108">
        <v>39</v>
      </c>
      <c r="T302" s="4">
        <v>69</v>
      </c>
      <c r="U302" s="4">
        <v>25</v>
      </c>
      <c r="V302" s="1">
        <f>VLOOKUP($B302&amp;"__wt",'SegEnds_Xtal_BW#'!$A:$Z,22,FALSE)</f>
        <v>54</v>
      </c>
      <c r="W302" s="4">
        <v>31</v>
      </c>
      <c r="X302" s="4">
        <f>VLOOKUP($B302&amp;"__wt",'SegEnds_Xtal_BW#'!$A:$Z,24,FALSE)</f>
        <v>56</v>
      </c>
      <c r="Y302" s="4">
        <f>VLOOKUP($B302&amp;"__wt",'SegEnds_Xtal_BW#'!$A:$Z,25,FALSE)</f>
        <v>47</v>
      </c>
      <c r="Z302" s="4">
        <f>VLOOKUP($B302&amp;"__wt",'SegEnds_Xtal_BW#'!$A:$Z,26,FALSE)</f>
        <v>72</v>
      </c>
      <c r="AA302" s="27" t="str">
        <f>VLOOKUP(A302,Classification!A:B,2,FALSE)</f>
        <v>B1</v>
      </c>
      <c r="AB302" s="1">
        <f>VLOOKUP(A302,'SegEnds_NonXtal_Prot#'!A:AL,10,FALSE)-VLOOKUP(A302,'SegEnds_NonXtal_Prot#'!A:AL,4,FALSE)</f>
        <v>28</v>
      </c>
      <c r="AC302" s="4">
        <f>VLOOKUP(A302,'SegEnds_NonXtal_Prot#'!A:AL,10,FALSE)-VLOOKUP(A302,'SegEnds_NonXtal_Prot#'!A:AL,7,FALSE)</f>
        <v>15</v>
      </c>
      <c r="AD302" s="4" t="e">
        <f>VLOOKUP(A302,'SegEnds_NonXtal_Prot#'!A:AL,13,FALSE)-VLOOKUP(A302,'SegEnds_NonXtal_Prot#'!A:AL,10,FALSE)</f>
        <v>#VALUE!</v>
      </c>
      <c r="AE302" s="4">
        <f>VLOOKUP(A302,'SegEnds_NonXtal_Prot#'!A:AL,16,FALSE)-VLOOKUP(A302,'SegEnds_NonXtal_Prot#'!A:AL,10,FALSE)</f>
        <v>55</v>
      </c>
      <c r="AF302" s="1" t="e">
        <f>VLOOKUP(A302,'SegEnds_NonXtal_Prot#'!A:AL,22,FALSE)-VLOOKUP(A302,'SegEnds_NonXtal_Prot#'!A:AL,19,FALSE)</f>
        <v>#VALUE!</v>
      </c>
      <c r="AG302" s="4">
        <f>VLOOKUP(A302,'SegEnds_NonXtal_Prot#'!A:AL,28,FALSE)-VLOOKUP(A302,'SegEnds_NonXtal_Prot#'!A:AL,25,FALSE)</f>
        <v>19</v>
      </c>
      <c r="AH302" s="1">
        <f>VLOOKUP(A302,'SegEnds_NonXtal_Prot#'!A:AL,28,FALSE)-VLOOKUP(A302,'SegEnds_NonXtal_Prot#'!A:AL,22,FALSE)</f>
        <v>41</v>
      </c>
      <c r="AI302" s="4">
        <f>VLOOKUP(A302,'SegEnds_NonXtal_Prot#'!A:AL,31,FALSE)-VLOOKUP(A302,'SegEnds_NonXtal_Prot#'!A:AL,28,FALSE)</f>
        <v>52</v>
      </c>
      <c r="AJ302" s="4">
        <f>VLOOKUP(A302,'SegEnds_NonXtal_Prot#'!A:AL,34,FALSE)-VLOOKUP(A302,'SegEnds_NonXtal_Prot#'!A:AL,31,FALSE)</f>
        <v>29</v>
      </c>
      <c r="AK302" s="1">
        <f>VLOOKUP(A302,'SegEnds_NonXtal_Prot#'!A:AL,37,FALSE)-VLOOKUP(A302,'SegEnds_NonXtal_Prot#'!A:AL,34,FALSE)</f>
        <v>10</v>
      </c>
      <c r="AL302" s="1" t="str">
        <f>IF(ISERROR(MATCH(A302,'SegEnds_Xtal_Prot#'!B:B, 0)), "NoXtal", "Xtal")</f>
        <v>NoXtal</v>
      </c>
    </row>
    <row r="303" spans="1:38" x14ac:dyDescent="0.2">
      <c r="A303" s="4" t="s">
        <v>413</v>
      </c>
      <c r="B303" s="4" t="str">
        <f>VLOOKUP(A303,Xtal_Templ!A:B,2,FALSE)</f>
        <v>pth1r_human</v>
      </c>
      <c r="C303" s="5">
        <f>VLOOKUP($B303&amp;"__wt",'SegEnds_Xtal_BW#'!$A:$Z,3,FALSE)</f>
        <v>27</v>
      </c>
      <c r="D303" s="4">
        <f>VLOOKUP($B303&amp;"__wt",'SegEnds_Xtal_BW#'!$A:$Z,4,FALSE)</f>
        <v>60</v>
      </c>
      <c r="E303" s="4">
        <f>VLOOKUP($B303&amp;"__wt",'SegEnds_Xtal_BW#'!$A:$Z,5,FALSE)</f>
        <v>48</v>
      </c>
      <c r="F303" s="4">
        <f>VLOOKUP($B303&amp;"__wt",'SegEnds_Xtal_BW#'!$A:$Z,6,FALSE)</f>
        <v>51</v>
      </c>
      <c r="G303" s="4">
        <v>37</v>
      </c>
      <c r="H303" s="115">
        <v>64</v>
      </c>
      <c r="I303" s="4" t="str">
        <f>VLOOKUP($B303&amp;"__wt",'SegEnds_Xtal_BW#'!$A:$Z,9,FALSE)</f>
        <v>-</v>
      </c>
      <c r="J303" s="4" t="str">
        <f>VLOOKUP($B303&amp;"__wt",'SegEnds_Xtal_BW#'!$A:$Z,10,FALSE)</f>
        <v>-</v>
      </c>
      <c r="K303" s="115">
        <v>23</v>
      </c>
      <c r="L303" s="4">
        <f>VLOOKUP($B303&amp;"__wt",'SegEnds_Xtal_BW#'!$A:$Z,12,FALSE)</f>
        <v>56</v>
      </c>
      <c r="M303" s="4" t="str">
        <f>VLOOKUP($B303&amp;"__wt",'SegEnds_Xtal_BW#'!$A:$Z,13,FALSE)</f>
        <v>-</v>
      </c>
      <c r="N303" s="11" t="str">
        <f>VLOOKUP($B303&amp;"__wt",'SegEnds_Xtal_BW#'!$A:$Z,14,FALSE)</f>
        <v>-</v>
      </c>
      <c r="O303" s="88">
        <f>VLOOKUP($B303&amp;"__wt",'SegEnds_Xtal_BW#'!$A:$Z,15,FALSE)</f>
        <v>37</v>
      </c>
      <c r="P303" s="4">
        <f>VLOOKUP($B303&amp;"__wt",'SegEnds_Xtal_BW#'!$A:$Z,16,FALSE)</f>
        <v>68</v>
      </c>
      <c r="Q303" s="4">
        <f>VLOOKUP($B303&amp;"__wt",'SegEnds_Xtal_BW#'!$A:$Z,17,FALSE)</f>
        <v>50</v>
      </c>
      <c r="R303" s="4">
        <f>VLOOKUP($B303&amp;"__wt",'SegEnds_Xtal_BW#'!$A:$Z,18,FALSE)</f>
        <v>52</v>
      </c>
      <c r="S303" s="115">
        <v>39</v>
      </c>
      <c r="T303" s="4">
        <v>69</v>
      </c>
      <c r="U303" s="4">
        <v>25</v>
      </c>
      <c r="V303" s="4">
        <f>VLOOKUP($B303&amp;"__wt",'SegEnds_Xtal_BW#'!$A:$Z,22,FALSE)</f>
        <v>54</v>
      </c>
      <c r="W303" s="4">
        <v>31</v>
      </c>
      <c r="X303" s="4">
        <f>VLOOKUP($B303&amp;"__wt",'SegEnds_Xtal_BW#'!$A:$Z,24,FALSE)</f>
        <v>56</v>
      </c>
      <c r="Y303" s="4">
        <f>VLOOKUP($B303&amp;"__wt",'SegEnds_Xtal_BW#'!$A:$Z,25,FALSE)</f>
        <v>47</v>
      </c>
      <c r="Z303" s="4">
        <f>VLOOKUP($B303&amp;"__wt",'SegEnds_Xtal_BW#'!$A:$Z,26,FALSE)</f>
        <v>72</v>
      </c>
      <c r="AA303" s="27" t="str">
        <f>VLOOKUP(A303,Classification!A:B,2,FALSE)</f>
        <v>B1</v>
      </c>
      <c r="AB303" s="1">
        <f>VLOOKUP(A303,'SegEnds_NonXtal_Prot#'!A:AL,10,FALSE)-VLOOKUP(A303,'SegEnds_NonXtal_Prot#'!A:AL,4,FALSE)</f>
        <v>28</v>
      </c>
      <c r="AC303" s="4">
        <f>VLOOKUP(A303,'SegEnds_NonXtal_Prot#'!A:AL,10,FALSE)-VLOOKUP(A303,'SegEnds_NonXtal_Prot#'!A:AL,7,FALSE)</f>
        <v>15</v>
      </c>
      <c r="AD303" s="4" t="e">
        <f>VLOOKUP(A303,'SegEnds_NonXtal_Prot#'!A:AL,13,FALSE)-VLOOKUP(A303,'SegEnds_NonXtal_Prot#'!A:AL,10,FALSE)</f>
        <v>#VALUE!</v>
      </c>
      <c r="AE303" s="4">
        <f>VLOOKUP(A303,'SegEnds_NonXtal_Prot#'!A:AL,16,FALSE)-VLOOKUP(A303,'SegEnds_NonXtal_Prot#'!A:AL,10,FALSE)</f>
        <v>58</v>
      </c>
      <c r="AF303" s="4" t="e">
        <f>VLOOKUP(A303,'SegEnds_NonXtal_Prot#'!A:AL,22,FALSE)-VLOOKUP(A303,'SegEnds_NonXtal_Prot#'!A:AL,19,FALSE)</f>
        <v>#VALUE!</v>
      </c>
      <c r="AG303" s="4">
        <f>VLOOKUP(A303,'SegEnds_NonXtal_Prot#'!A:AL,28,FALSE)-VLOOKUP(A303,'SegEnds_NonXtal_Prot#'!A:AL,25,FALSE)</f>
        <v>20</v>
      </c>
      <c r="AH303" s="4">
        <f>VLOOKUP(A303,'SegEnds_NonXtal_Prot#'!A:AL,28,FALSE)-VLOOKUP(A303,'SegEnds_NonXtal_Prot#'!A:AL,22,FALSE)</f>
        <v>42</v>
      </c>
      <c r="AI303" s="4">
        <f>VLOOKUP(A303,'SegEnds_NonXtal_Prot#'!A:AL,31,FALSE)-VLOOKUP(A303,'SegEnds_NonXtal_Prot#'!A:AL,28,FALSE)</f>
        <v>52</v>
      </c>
      <c r="AJ303" s="4">
        <f>VLOOKUP(A303,'SegEnds_NonXtal_Prot#'!A:AL,34,FALSE)-VLOOKUP(A303,'SegEnds_NonXtal_Prot#'!A:AL,31,FALSE)</f>
        <v>29</v>
      </c>
      <c r="AK303" s="1">
        <f>VLOOKUP(A303,'SegEnds_NonXtal_Prot#'!A:AL,37,FALSE)-VLOOKUP(A303,'SegEnds_NonXtal_Prot#'!A:AL,34,FALSE)</f>
        <v>10</v>
      </c>
      <c r="AL303" s="4" t="str">
        <f>IF(ISERROR(MATCH(A303,'SegEnds_Xtal_Prot#'!B:B, 0)), "NoXtal", "Xtal")</f>
        <v>NoXtal</v>
      </c>
    </row>
    <row r="304" spans="1:38" x14ac:dyDescent="0.2">
      <c r="A304" s="4" t="s">
        <v>401</v>
      </c>
      <c r="B304" s="4" t="str">
        <f>VLOOKUP(A304,Xtal_Templ!A:B,2,FALSE)</f>
        <v>calcr_human</v>
      </c>
      <c r="C304" s="5">
        <f>VLOOKUP($B304&amp;"__wt",'SegEnds_Xtal_BW#'!$A:$Z,3,FALSE)</f>
        <v>19</v>
      </c>
      <c r="D304" s="4">
        <f>VLOOKUP($B304&amp;"__wt",'SegEnds_Xtal_BW#'!$A:$Z,4,FALSE)</f>
        <v>60</v>
      </c>
      <c r="E304" s="4">
        <f>VLOOKUP($B304&amp;"__wt",'SegEnds_Xtal_BW#'!$A:$Z,5,FALSE)</f>
        <v>48</v>
      </c>
      <c r="F304" s="4">
        <f>VLOOKUP($B304&amp;"__wt",'SegEnds_Xtal_BW#'!$A:$Z,6,FALSE)</f>
        <v>51</v>
      </c>
      <c r="G304" s="4">
        <v>37</v>
      </c>
      <c r="H304" s="115">
        <v>64</v>
      </c>
      <c r="I304" s="4" t="str">
        <f>VLOOKUP($B304&amp;"__wt",'SegEnds_Xtal_BW#'!$A:$Z,9,FALSE)</f>
        <v>-</v>
      </c>
      <c r="J304" s="4" t="str">
        <f>VLOOKUP($B304&amp;"__wt",'SegEnds_Xtal_BW#'!$A:$Z,10,FALSE)</f>
        <v>-</v>
      </c>
      <c r="K304" s="115">
        <v>23</v>
      </c>
      <c r="L304" s="4">
        <f>VLOOKUP($B304&amp;"__wt",'SegEnds_Xtal_BW#'!$A:$Z,12,FALSE)</f>
        <v>56</v>
      </c>
      <c r="M304" s="4" t="str">
        <f>VLOOKUP($B304&amp;"__wt",'SegEnds_Xtal_BW#'!$A:$Z,13,FALSE)</f>
        <v>-</v>
      </c>
      <c r="N304" s="11" t="str">
        <f>VLOOKUP($B304&amp;"__wt",'SegEnds_Xtal_BW#'!$A:$Z,14,FALSE)</f>
        <v>-</v>
      </c>
      <c r="O304" s="88">
        <f>VLOOKUP($B304&amp;"__wt",'SegEnds_Xtal_BW#'!$A:$Z,15,FALSE)</f>
        <v>41</v>
      </c>
      <c r="P304" s="4">
        <f>VLOOKUP($B304&amp;"__wt",'SegEnds_Xtal_BW#'!$A:$Z,16,FALSE)</f>
        <v>68</v>
      </c>
      <c r="Q304" s="4">
        <f>VLOOKUP($B304&amp;"__wt",'SegEnds_Xtal_BW#'!$A:$Z,17,FALSE)</f>
        <v>50</v>
      </c>
      <c r="R304" s="4">
        <f>VLOOKUP($B304&amp;"__wt",'SegEnds_Xtal_BW#'!$A:$Z,18,FALSE)</f>
        <v>52</v>
      </c>
      <c r="S304" s="115">
        <v>40</v>
      </c>
      <c r="T304" s="4">
        <f>VLOOKUP($B304&amp;"__wt",'SegEnds_Xtal_BW#'!$A:$Z,20,FALSE)</f>
        <v>70</v>
      </c>
      <c r="U304" s="4">
        <f>VLOOKUP($B304&amp;"__wt",'SegEnds_Xtal_BW#'!$A:$Z,21,FALSE)</f>
        <v>30</v>
      </c>
      <c r="V304" s="4">
        <f>VLOOKUP($B304&amp;"__wt",'SegEnds_Xtal_BW#'!$A:$Z,22,FALSE)</f>
        <v>53</v>
      </c>
      <c r="W304" s="115">
        <v>28</v>
      </c>
      <c r="X304" s="4">
        <f>VLOOKUP($B304&amp;"__wt",'SegEnds_Xtal_BW#'!$A:$Z,24,FALSE)</f>
        <v>56</v>
      </c>
      <c r="Y304" s="4">
        <f>VLOOKUP($B304&amp;"__wt",'SegEnds_Xtal_BW#'!$A:$Z,25,FALSE)</f>
        <v>47</v>
      </c>
      <c r="Z304" s="4">
        <f>VLOOKUP($B304&amp;"__wt",'SegEnds_Xtal_BW#'!$A:$Z,26,FALSE)</f>
        <v>72</v>
      </c>
      <c r="AA304" s="27" t="str">
        <f>VLOOKUP(A304,Classification!A:B,2,FALSE)</f>
        <v>B1</v>
      </c>
      <c r="AB304" s="1">
        <f>VLOOKUP(A304,'SegEnds_NonXtal_Prot#'!A:AL,10,FALSE)-VLOOKUP(A304,'SegEnds_NonXtal_Prot#'!A:AL,4,FALSE)</f>
        <v>28</v>
      </c>
      <c r="AC304" s="4">
        <f>VLOOKUP(A304,'SegEnds_NonXtal_Prot#'!A:AL,10,FALSE)-VLOOKUP(A304,'SegEnds_NonXtal_Prot#'!A:AL,7,FALSE)</f>
        <v>15</v>
      </c>
      <c r="AD304" s="4" t="e">
        <f>VLOOKUP(A304,'SegEnds_NonXtal_Prot#'!A:AL,13,FALSE)-VLOOKUP(A304,'SegEnds_NonXtal_Prot#'!A:AL,10,FALSE)</f>
        <v>#VALUE!</v>
      </c>
      <c r="AE304" s="4">
        <f>VLOOKUP(A304,'SegEnds_NonXtal_Prot#'!A:AL,16,FALSE)-VLOOKUP(A304,'SegEnds_NonXtal_Prot#'!A:AL,10,FALSE)</f>
        <v>53</v>
      </c>
      <c r="AF304" s="1" t="e">
        <f>VLOOKUP(A304,'SegEnds_NonXtal_Prot#'!A:AL,22,FALSE)-VLOOKUP(A304,'SegEnds_NonXtal_Prot#'!A:AL,19,FALSE)</f>
        <v>#VALUE!</v>
      </c>
      <c r="AG304" s="4">
        <f>VLOOKUP(A304,'SegEnds_NonXtal_Prot#'!A:AL,28,FALSE)-VLOOKUP(A304,'SegEnds_NonXtal_Prot#'!A:AL,25,FALSE)</f>
        <v>19</v>
      </c>
      <c r="AH304" s="1">
        <f>VLOOKUP(A304,'SegEnds_NonXtal_Prot#'!A:AL,28,FALSE)-VLOOKUP(A304,'SegEnds_NonXtal_Prot#'!A:AL,22,FALSE)</f>
        <v>41</v>
      </c>
      <c r="AI304" s="4">
        <f>VLOOKUP(A304,'SegEnds_NonXtal_Prot#'!A:AL,31,FALSE)-VLOOKUP(A304,'SegEnds_NonXtal_Prot#'!A:AL,28,FALSE)</f>
        <v>50</v>
      </c>
      <c r="AJ304" s="4">
        <f>VLOOKUP(A304,'SegEnds_NonXtal_Prot#'!A:AL,34,FALSE)-VLOOKUP(A304,'SegEnds_NonXtal_Prot#'!A:AL,31,FALSE)</f>
        <v>30</v>
      </c>
      <c r="AK304" s="1">
        <f>VLOOKUP(A304,'SegEnds_NonXtal_Prot#'!A:AL,37,FALSE)-VLOOKUP(A304,'SegEnds_NonXtal_Prot#'!A:AL,34,FALSE)</f>
        <v>10</v>
      </c>
      <c r="AL304" s="1" t="str">
        <f>IF(ISERROR(MATCH(A304,'SegEnds_Xtal_Prot#'!B:B, 0)), "NoXtal", "Xtal")</f>
        <v>Xtal</v>
      </c>
    </row>
    <row r="305" spans="1:38" x14ac:dyDescent="0.2">
      <c r="A305" s="1" t="s">
        <v>402</v>
      </c>
      <c r="B305" s="1" t="str">
        <f>VLOOKUP(A305,Xtal_Templ!A:B,2,FALSE)</f>
        <v>calrl_human</v>
      </c>
      <c r="C305" s="5">
        <f>VLOOKUP($B305&amp;"__wt",'SegEnds_Xtal_BW#'!$A:$Z,3,FALSE)</f>
        <v>24</v>
      </c>
      <c r="D305" s="1">
        <f>VLOOKUP($B305&amp;"__wt",'SegEnds_Xtal_BW#'!$A:$Z,4,FALSE)</f>
        <v>60</v>
      </c>
      <c r="E305" s="1">
        <f>VLOOKUP($B305&amp;"__wt",'SegEnds_Xtal_BW#'!$A:$Z,5,FALSE)</f>
        <v>48</v>
      </c>
      <c r="F305" s="1">
        <f>VLOOKUP($B305&amp;"__wt",'SegEnds_Xtal_BW#'!$A:$Z,6,FALSE)</f>
        <v>51</v>
      </c>
      <c r="G305" s="1">
        <v>37</v>
      </c>
      <c r="H305" s="115">
        <v>64</v>
      </c>
      <c r="I305" s="1" t="str">
        <f>VLOOKUP($B305&amp;"__wt",'SegEnds_Xtal_BW#'!$A:$Z,9,FALSE)</f>
        <v>-</v>
      </c>
      <c r="J305" s="1" t="str">
        <f>VLOOKUP($B305&amp;"__wt",'SegEnds_Xtal_BW#'!$A:$Z,10,FALSE)</f>
        <v>-</v>
      </c>
      <c r="K305" s="108">
        <v>23</v>
      </c>
      <c r="L305" s="1">
        <f>VLOOKUP($B305&amp;"__wt",'SegEnds_Xtal_BW#'!$A:$Z,12,FALSE)</f>
        <v>56</v>
      </c>
      <c r="M305" s="1" t="str">
        <f>VLOOKUP($B305&amp;"__wt",'SegEnds_Xtal_BW#'!$A:$Z,13,FALSE)</f>
        <v>-</v>
      </c>
      <c r="N305" s="12" t="str">
        <f>VLOOKUP($B305&amp;"__wt",'SegEnds_Xtal_BW#'!$A:$Z,14,FALSE)</f>
        <v>-</v>
      </c>
      <c r="O305" s="87">
        <f>VLOOKUP($B305&amp;"__wt",'SegEnds_Xtal_BW#'!$A:$Z,15,FALSE)</f>
        <v>41</v>
      </c>
      <c r="P305" s="1">
        <f>VLOOKUP($B305&amp;"__wt",'SegEnds_Xtal_BW#'!$A:$Z,16,FALSE)</f>
        <v>67</v>
      </c>
      <c r="Q305" s="1">
        <f>VLOOKUP($B305&amp;"__wt",'SegEnds_Xtal_BW#'!$A:$Z,17,FALSE)</f>
        <v>50</v>
      </c>
      <c r="R305" s="1">
        <f>VLOOKUP($B305&amp;"__wt",'SegEnds_Xtal_BW#'!$A:$Z,18,FALSE)</f>
        <v>52</v>
      </c>
      <c r="S305" s="108">
        <v>39</v>
      </c>
      <c r="T305" s="1">
        <f>VLOOKUP($B305&amp;"__wt",'SegEnds_Xtal_BW#'!$A:$Z,20,FALSE)</f>
        <v>70</v>
      </c>
      <c r="U305" s="1">
        <f>VLOOKUP($B305&amp;"__wt",'SegEnds_Xtal_BW#'!$A:$Z,21,FALSE)</f>
        <v>30</v>
      </c>
      <c r="V305" s="1">
        <f>VLOOKUP($B305&amp;"__wt",'SegEnds_Xtal_BW#'!$A:$Z,22,FALSE)</f>
        <v>53</v>
      </c>
      <c r="W305" s="108">
        <v>28</v>
      </c>
      <c r="X305" s="1">
        <f>VLOOKUP($B305&amp;"__wt",'SegEnds_Xtal_BW#'!$A:$Z,24,FALSE)</f>
        <v>56</v>
      </c>
      <c r="Y305" s="1">
        <f>VLOOKUP($B305&amp;"__wt",'SegEnds_Xtal_BW#'!$A:$Z,25,FALSE)</f>
        <v>47</v>
      </c>
      <c r="Z305" s="1">
        <f>VLOOKUP($B305&amp;"__wt",'SegEnds_Xtal_BW#'!$A:$Z,26,FALSE)</f>
        <v>72</v>
      </c>
      <c r="AA305" s="27" t="str">
        <f>VLOOKUP(A305,Classification!A:B,2,FALSE)</f>
        <v>B1</v>
      </c>
      <c r="AB305" s="1">
        <f>VLOOKUP(A305,'SegEnds_NonXtal_Prot#'!A:AL,10,FALSE)-VLOOKUP(A305,'SegEnds_NonXtal_Prot#'!A:AL,4,FALSE)</f>
        <v>28</v>
      </c>
      <c r="AC305" s="1">
        <f>VLOOKUP(A305,'SegEnds_NonXtal_Prot#'!A:AL,10,FALSE)-VLOOKUP(A305,'SegEnds_NonXtal_Prot#'!A:AL,7,FALSE)</f>
        <v>15</v>
      </c>
      <c r="AD305" s="1" t="e">
        <f>VLOOKUP(A305,'SegEnds_NonXtal_Prot#'!A:AL,13,FALSE)-VLOOKUP(A305,'SegEnds_NonXtal_Prot#'!A:AL,10,FALSE)</f>
        <v>#VALUE!</v>
      </c>
      <c r="AE305" s="1">
        <f>VLOOKUP(A305,'SegEnds_NonXtal_Prot#'!A:AL,16,FALSE)-VLOOKUP(A305,'SegEnds_NonXtal_Prot#'!A:AL,10,FALSE)</f>
        <v>53</v>
      </c>
      <c r="AF305" s="1" t="e">
        <f>VLOOKUP(A305,'SegEnds_NonXtal_Prot#'!A:AL,22,FALSE)-VLOOKUP(A305,'SegEnds_NonXtal_Prot#'!A:AL,19,FALSE)</f>
        <v>#VALUE!</v>
      </c>
      <c r="AG305" s="1">
        <f>VLOOKUP(A305,'SegEnds_NonXtal_Prot#'!A:AL,28,FALSE)-VLOOKUP(A305,'SegEnds_NonXtal_Prot#'!A:AL,25,FALSE)</f>
        <v>19</v>
      </c>
      <c r="AH305" s="1">
        <f>VLOOKUP(A305,'SegEnds_NonXtal_Prot#'!A:AL,28,FALSE)-VLOOKUP(A305,'SegEnds_NonXtal_Prot#'!A:AL,22,FALSE)</f>
        <v>41</v>
      </c>
      <c r="AI305" s="1">
        <f>VLOOKUP(A305,'SegEnds_NonXtal_Prot#'!A:AL,31,FALSE)-VLOOKUP(A305,'SegEnds_NonXtal_Prot#'!A:AL,28,FALSE)</f>
        <v>50</v>
      </c>
      <c r="AJ305" s="1">
        <f>VLOOKUP(A305,'SegEnds_NonXtal_Prot#'!A:AL,34,FALSE)-VLOOKUP(A305,'SegEnds_NonXtal_Prot#'!A:AL,31,FALSE)</f>
        <v>30</v>
      </c>
      <c r="AK305" s="1">
        <f>VLOOKUP(A305,'SegEnds_NonXtal_Prot#'!A:AL,37,FALSE)-VLOOKUP(A305,'SegEnds_NonXtal_Prot#'!A:AL,34,FALSE)</f>
        <v>10</v>
      </c>
      <c r="AL305" s="1" t="str">
        <f>IF(ISERROR(MATCH(A305,'SegEnds_Xtal_Prot#'!B:B, 0)), "NoXtal", "Xtal")</f>
        <v>Xtal</v>
      </c>
    </row>
    <row r="306" spans="1:38" x14ac:dyDescent="0.2">
      <c r="A306" s="4" t="s">
        <v>38</v>
      </c>
      <c r="B306" s="4" t="str">
        <f>VLOOKUP(A306,Xtal_Templ!A:B,2,FALSE)</f>
        <v>crfr1_human</v>
      </c>
      <c r="C306" s="5">
        <f>VLOOKUP($B306&amp;"__wt",'SegEnds_Xtal_BW#'!$A:$Z,3,FALSE)</f>
        <v>19</v>
      </c>
      <c r="D306" s="4">
        <f>VLOOKUP($B306&amp;"__wt",'SegEnds_Xtal_BW#'!$A:$Z,4,FALSE)</f>
        <v>60</v>
      </c>
      <c r="E306" s="4">
        <f>VLOOKUP($B306&amp;"__wt",'SegEnds_Xtal_BW#'!$A:$Z,5,FALSE)</f>
        <v>48</v>
      </c>
      <c r="F306" s="4">
        <f>VLOOKUP($B306&amp;"__wt",'SegEnds_Xtal_BW#'!$A:$Z,6,FALSE)</f>
        <v>51</v>
      </c>
      <c r="G306" s="4">
        <v>37</v>
      </c>
      <c r="H306" s="11">
        <v>63</v>
      </c>
      <c r="I306" s="4" t="str">
        <f>VLOOKUP($B306&amp;"__wt",'SegEnds_Xtal_BW#'!$A:$Z,9,FALSE)</f>
        <v>-</v>
      </c>
      <c r="J306" s="4" t="str">
        <f>VLOOKUP($B306&amp;"__wt",'SegEnds_Xtal_BW#'!$A:$Z,10,FALSE)</f>
        <v>-</v>
      </c>
      <c r="K306" s="115">
        <v>22</v>
      </c>
      <c r="L306" s="4">
        <f>VLOOKUP($B306&amp;"__wt",'SegEnds_Xtal_BW#'!$A:$Z,12,FALSE)</f>
        <v>56</v>
      </c>
      <c r="M306" s="4" t="str">
        <f>VLOOKUP($B306&amp;"__wt",'SegEnds_Xtal_BW#'!$A:$Z,13,FALSE)</f>
        <v>-</v>
      </c>
      <c r="N306" s="11" t="str">
        <f>VLOOKUP($B306&amp;"__wt",'SegEnds_Xtal_BW#'!$A:$Z,14,FALSE)</f>
        <v>-</v>
      </c>
      <c r="O306" s="88">
        <f>VLOOKUP($B306&amp;"__wt",'SegEnds_Xtal_BW#'!$A:$Z,15,FALSE)</f>
        <v>40</v>
      </c>
      <c r="P306" s="4">
        <f>VLOOKUP($B306&amp;"__wt",'SegEnds_Xtal_BW#'!$A:$Z,16,FALSE)</f>
        <v>68</v>
      </c>
      <c r="Q306" s="4">
        <f>VLOOKUP($B306&amp;"__wt",'SegEnds_Xtal_BW#'!$A:$Z,17,FALSE)</f>
        <v>50</v>
      </c>
      <c r="R306" s="4">
        <f>VLOOKUP($B306&amp;"__wt",'SegEnds_Xtal_BW#'!$A:$Z,18,FALSE)</f>
        <v>52</v>
      </c>
      <c r="S306" s="115">
        <v>39</v>
      </c>
      <c r="T306" s="4">
        <f>VLOOKUP($B306&amp;"__wt",'SegEnds_Xtal_BW#'!$A:$Z,20,FALSE)</f>
        <v>69</v>
      </c>
      <c r="U306" s="4">
        <f>VLOOKUP($B306&amp;"__wt",'SegEnds_Xtal_BW#'!$A:$Z,21,FALSE)</f>
        <v>25</v>
      </c>
      <c r="V306" s="4">
        <f>VLOOKUP($B306&amp;"__wt",'SegEnds_Xtal_BW#'!$A:$Z,22,FALSE)</f>
        <v>53</v>
      </c>
      <c r="W306" s="4">
        <v>29</v>
      </c>
      <c r="X306" s="4">
        <f>VLOOKUP($B306&amp;"__wt",'SegEnds_Xtal_BW#'!$A:$Z,24,FALSE)</f>
        <v>56</v>
      </c>
      <c r="Y306" s="4">
        <f>VLOOKUP($B306&amp;"__wt",'SegEnds_Xtal_BW#'!$A:$Z,25,FALSE)</f>
        <v>47</v>
      </c>
      <c r="Z306" s="4">
        <f>VLOOKUP($B306&amp;"__wt",'SegEnds_Xtal_BW#'!$A:$Z,26,FALSE)</f>
        <v>72</v>
      </c>
      <c r="AA306" s="27" t="str">
        <f>VLOOKUP(A306,Classification!A:B,2,FALSE)</f>
        <v>B1</v>
      </c>
      <c r="AB306" s="1">
        <f>VLOOKUP(A306,'SegEnds_NonXtal_Prot#'!A:AL,10,FALSE)-VLOOKUP(A306,'SegEnds_NonXtal_Prot#'!A:AL,4,FALSE)</f>
        <v>28</v>
      </c>
      <c r="AC306" s="4">
        <f>VLOOKUP(A306,'SegEnds_NonXtal_Prot#'!A:AL,10,FALSE)-VLOOKUP(A306,'SegEnds_NonXtal_Prot#'!A:AL,7,FALSE)</f>
        <v>15</v>
      </c>
      <c r="AD306" s="4" t="e">
        <f>VLOOKUP(A306,'SegEnds_NonXtal_Prot#'!A:AL,13,FALSE)-VLOOKUP(A306,'SegEnds_NonXtal_Prot#'!A:AL,10,FALSE)</f>
        <v>#VALUE!</v>
      </c>
      <c r="AE306" s="4">
        <f>VLOOKUP(A306,'SegEnds_NonXtal_Prot#'!A:AL,16,FALSE)-VLOOKUP(A306,'SegEnds_NonXtal_Prot#'!A:AL,10,FALSE)</f>
        <v>51</v>
      </c>
      <c r="AF306" s="4" t="e">
        <f>VLOOKUP(A306,'SegEnds_NonXtal_Prot#'!A:AL,22,FALSE)-VLOOKUP(A306,'SegEnds_NonXtal_Prot#'!A:AL,19,FALSE)</f>
        <v>#VALUE!</v>
      </c>
      <c r="AG306" s="4">
        <f>VLOOKUP(A306,'SegEnds_NonXtal_Prot#'!A:AL,28,FALSE)-VLOOKUP(A306,'SegEnds_NonXtal_Prot#'!A:AL,25,FALSE)</f>
        <v>21</v>
      </c>
      <c r="AH306" s="4">
        <f>VLOOKUP(A306,'SegEnds_NonXtal_Prot#'!A:AL,28,FALSE)-VLOOKUP(A306,'SegEnds_NonXtal_Prot#'!A:AL,22,FALSE)</f>
        <v>43</v>
      </c>
      <c r="AI306" s="4">
        <f>VLOOKUP(A306,'SegEnds_NonXtal_Prot#'!A:AL,31,FALSE)-VLOOKUP(A306,'SegEnds_NonXtal_Prot#'!A:AL,28,FALSE)</f>
        <v>50</v>
      </c>
      <c r="AJ306" s="4">
        <f>VLOOKUP(A306,'SegEnds_NonXtal_Prot#'!A:AL,34,FALSE)-VLOOKUP(A306,'SegEnds_NonXtal_Prot#'!A:AL,31,FALSE)</f>
        <v>31</v>
      </c>
      <c r="AK306" s="1">
        <f>VLOOKUP(A306,'SegEnds_NonXtal_Prot#'!A:AL,37,FALSE)-VLOOKUP(A306,'SegEnds_NonXtal_Prot#'!A:AL,34,FALSE)</f>
        <v>10</v>
      </c>
      <c r="AL306" s="4" t="str">
        <f>IF(ISERROR(MATCH(A306,'SegEnds_Xtal_Prot#'!B:B, 0)), "NoXtal", "Xtal")</f>
        <v>Xtal</v>
      </c>
    </row>
    <row r="307" spans="1:38" x14ac:dyDescent="0.2">
      <c r="A307" s="4" t="s">
        <v>403</v>
      </c>
      <c r="B307" s="4" t="str">
        <f>VLOOKUP(A307,Xtal_Templ!A:B,2,FALSE)</f>
        <v>crfr1_human</v>
      </c>
      <c r="C307" s="5">
        <f>VLOOKUP($B307&amp;"__wt",'SegEnds_Xtal_BW#'!$A:$Z,3,FALSE)</f>
        <v>19</v>
      </c>
      <c r="D307" s="4">
        <f>VLOOKUP($B307&amp;"__wt",'SegEnds_Xtal_BW#'!$A:$Z,4,FALSE)</f>
        <v>60</v>
      </c>
      <c r="E307" s="4">
        <f>VLOOKUP($B307&amp;"__wt",'SegEnds_Xtal_BW#'!$A:$Z,5,FALSE)</f>
        <v>48</v>
      </c>
      <c r="F307" s="4">
        <f>VLOOKUP($B307&amp;"__wt",'SegEnds_Xtal_BW#'!$A:$Z,6,FALSE)</f>
        <v>51</v>
      </c>
      <c r="G307" s="4">
        <v>37</v>
      </c>
      <c r="H307" s="11">
        <v>63</v>
      </c>
      <c r="I307" s="4" t="str">
        <f>VLOOKUP($B307&amp;"__wt",'SegEnds_Xtal_BW#'!$A:$Z,9,FALSE)</f>
        <v>-</v>
      </c>
      <c r="J307" s="4" t="str">
        <f>VLOOKUP($B307&amp;"__wt",'SegEnds_Xtal_BW#'!$A:$Z,10,FALSE)</f>
        <v>-</v>
      </c>
      <c r="K307" s="115">
        <v>22</v>
      </c>
      <c r="L307" s="4">
        <f>VLOOKUP($B307&amp;"__wt",'SegEnds_Xtal_BW#'!$A:$Z,12,FALSE)</f>
        <v>56</v>
      </c>
      <c r="M307" s="4" t="str">
        <f>VLOOKUP($B307&amp;"__wt",'SegEnds_Xtal_BW#'!$A:$Z,13,FALSE)</f>
        <v>-</v>
      </c>
      <c r="N307" s="11" t="str">
        <f>VLOOKUP($B307&amp;"__wt",'SegEnds_Xtal_BW#'!$A:$Z,14,FALSE)</f>
        <v>-</v>
      </c>
      <c r="O307" s="88">
        <f>VLOOKUP($B307&amp;"__wt",'SegEnds_Xtal_BW#'!$A:$Z,15,FALSE)</f>
        <v>40</v>
      </c>
      <c r="P307" s="4">
        <f>VLOOKUP($B307&amp;"__wt",'SegEnds_Xtal_BW#'!$A:$Z,16,FALSE)</f>
        <v>68</v>
      </c>
      <c r="Q307" s="4">
        <f>VLOOKUP($B307&amp;"__wt",'SegEnds_Xtal_BW#'!$A:$Z,17,FALSE)</f>
        <v>50</v>
      </c>
      <c r="R307" s="4">
        <f>VLOOKUP($B307&amp;"__wt",'SegEnds_Xtal_BW#'!$A:$Z,18,FALSE)</f>
        <v>52</v>
      </c>
      <c r="S307" s="115">
        <v>39</v>
      </c>
      <c r="T307" s="4">
        <f>VLOOKUP($B307&amp;"__wt",'SegEnds_Xtal_BW#'!$A:$Z,20,FALSE)</f>
        <v>69</v>
      </c>
      <c r="U307" s="4">
        <f>VLOOKUP($B307&amp;"__wt",'SegEnds_Xtal_BW#'!$A:$Z,21,FALSE)</f>
        <v>25</v>
      </c>
      <c r="V307" s="4">
        <f>VLOOKUP($B307&amp;"__wt",'SegEnds_Xtal_BW#'!$A:$Z,22,FALSE)</f>
        <v>53</v>
      </c>
      <c r="W307" s="4">
        <v>29</v>
      </c>
      <c r="X307" s="4">
        <f>VLOOKUP($B307&amp;"__wt",'SegEnds_Xtal_BW#'!$A:$Z,24,FALSE)</f>
        <v>56</v>
      </c>
      <c r="Y307" s="4">
        <f>VLOOKUP($B307&amp;"__wt",'SegEnds_Xtal_BW#'!$A:$Z,25,FALSE)</f>
        <v>47</v>
      </c>
      <c r="Z307" s="4">
        <f>VLOOKUP($B307&amp;"__wt",'SegEnds_Xtal_BW#'!$A:$Z,26,FALSE)</f>
        <v>72</v>
      </c>
      <c r="AA307" s="27" t="str">
        <f>VLOOKUP(A307,Classification!A:B,2,FALSE)</f>
        <v>B1</v>
      </c>
      <c r="AB307" s="1">
        <f>VLOOKUP(A307,'SegEnds_NonXtal_Prot#'!A:AL,10,FALSE)-VLOOKUP(A307,'SegEnds_NonXtal_Prot#'!A:AL,4,FALSE)</f>
        <v>28</v>
      </c>
      <c r="AC307" s="4">
        <f>VLOOKUP(A307,'SegEnds_NonXtal_Prot#'!A:AL,10,FALSE)-VLOOKUP(A307,'SegEnds_NonXtal_Prot#'!A:AL,7,FALSE)</f>
        <v>15</v>
      </c>
      <c r="AD307" s="4" t="e">
        <f>VLOOKUP(A307,'SegEnds_NonXtal_Prot#'!A:AL,13,FALSE)-VLOOKUP(A307,'SegEnds_NonXtal_Prot#'!A:AL,10,FALSE)</f>
        <v>#VALUE!</v>
      </c>
      <c r="AE307" s="4">
        <f>VLOOKUP(A307,'SegEnds_NonXtal_Prot#'!A:AL,16,FALSE)-VLOOKUP(A307,'SegEnds_NonXtal_Prot#'!A:AL,10,FALSE)</f>
        <v>50</v>
      </c>
      <c r="AF307" s="4" t="e">
        <f>VLOOKUP(A307,'SegEnds_NonXtal_Prot#'!A:AL,22,FALSE)-VLOOKUP(A307,'SegEnds_NonXtal_Prot#'!A:AL,19,FALSE)</f>
        <v>#VALUE!</v>
      </c>
      <c r="AG307" s="4">
        <f>VLOOKUP(A307,'SegEnds_NonXtal_Prot#'!A:AL,28,FALSE)-VLOOKUP(A307,'SegEnds_NonXtal_Prot#'!A:AL,25,FALSE)</f>
        <v>21</v>
      </c>
      <c r="AH307" s="4">
        <f>VLOOKUP(A307,'SegEnds_NonXtal_Prot#'!A:AL,28,FALSE)-VLOOKUP(A307,'SegEnds_NonXtal_Prot#'!A:AL,22,FALSE)</f>
        <v>43</v>
      </c>
      <c r="AI307" s="4">
        <f>VLOOKUP(A307,'SegEnds_NonXtal_Prot#'!A:AL,31,FALSE)-VLOOKUP(A307,'SegEnds_NonXtal_Prot#'!A:AL,28,FALSE)</f>
        <v>50</v>
      </c>
      <c r="AJ307" s="4">
        <f>VLOOKUP(A307,'SegEnds_NonXtal_Prot#'!A:AL,34,FALSE)-VLOOKUP(A307,'SegEnds_NonXtal_Prot#'!A:AL,31,FALSE)</f>
        <v>31</v>
      </c>
      <c r="AK307" s="1">
        <f>VLOOKUP(A307,'SegEnds_NonXtal_Prot#'!A:AL,37,FALSE)-VLOOKUP(A307,'SegEnds_NonXtal_Prot#'!A:AL,34,FALSE)</f>
        <v>10</v>
      </c>
      <c r="AL307" s="4" t="str">
        <f>IF(ISERROR(MATCH(A307,'SegEnds_Xtal_Prot#'!B:B, 0)), "NoXtal", "Xtal")</f>
        <v>NoXtal</v>
      </c>
    </row>
    <row r="308" spans="1:38" x14ac:dyDescent="0.2">
      <c r="A308" s="4" t="s">
        <v>410</v>
      </c>
      <c r="B308" s="4" t="str">
        <f>VLOOKUP(A308,Xtal_Templ!A:B,2,FALSE)</f>
        <v>pth1r_human</v>
      </c>
      <c r="C308" s="5">
        <f>VLOOKUP($B308&amp;"__wt",'SegEnds_Xtal_BW#'!$A:$Z,3,FALSE)</f>
        <v>27</v>
      </c>
      <c r="D308" s="4">
        <f>VLOOKUP($B308&amp;"__wt",'SegEnds_Xtal_BW#'!$A:$Z,4,FALSE)</f>
        <v>60</v>
      </c>
      <c r="E308" s="4">
        <f>VLOOKUP($B308&amp;"__wt",'SegEnds_Xtal_BW#'!$A:$Z,5,FALSE)</f>
        <v>48</v>
      </c>
      <c r="F308" s="4">
        <f>VLOOKUP($B308&amp;"__wt",'SegEnds_Xtal_BW#'!$A:$Z,6,FALSE)</f>
        <v>51</v>
      </c>
      <c r="G308" s="4">
        <v>37</v>
      </c>
      <c r="H308" s="115">
        <v>69</v>
      </c>
      <c r="I308" s="4" t="str">
        <f>VLOOKUP($B308&amp;"__wt",'SegEnds_Xtal_BW#'!$A:$Z,9,FALSE)</f>
        <v>-</v>
      </c>
      <c r="J308" s="4" t="str">
        <f>VLOOKUP($B308&amp;"__wt",'SegEnds_Xtal_BW#'!$A:$Z,10,FALSE)</f>
        <v>-</v>
      </c>
      <c r="K308" s="115">
        <v>21</v>
      </c>
      <c r="L308" s="4">
        <f>VLOOKUP($B308&amp;"__wt",'SegEnds_Xtal_BW#'!$A:$Z,12,FALSE)</f>
        <v>56</v>
      </c>
      <c r="M308" s="4" t="str">
        <f>VLOOKUP($B308&amp;"__wt",'SegEnds_Xtal_BW#'!$A:$Z,13,FALSE)</f>
        <v>-</v>
      </c>
      <c r="N308" s="11" t="str">
        <f>VLOOKUP($B308&amp;"__wt",'SegEnds_Xtal_BW#'!$A:$Z,14,FALSE)</f>
        <v>-</v>
      </c>
      <c r="O308" s="88">
        <f>VLOOKUP($B308&amp;"__wt",'SegEnds_Xtal_BW#'!$A:$Z,15,FALSE)</f>
        <v>37</v>
      </c>
      <c r="P308" s="4">
        <f>VLOOKUP($B308&amp;"__wt",'SegEnds_Xtal_BW#'!$A:$Z,16,FALSE)</f>
        <v>68</v>
      </c>
      <c r="Q308" s="4">
        <f>VLOOKUP($B308&amp;"__wt",'SegEnds_Xtal_BW#'!$A:$Z,17,FALSE)</f>
        <v>50</v>
      </c>
      <c r="R308" s="4">
        <f>VLOOKUP($B308&amp;"__wt",'SegEnds_Xtal_BW#'!$A:$Z,18,FALSE)</f>
        <v>52</v>
      </c>
      <c r="S308" s="115">
        <v>39</v>
      </c>
      <c r="T308" s="4">
        <v>69</v>
      </c>
      <c r="U308" s="4">
        <v>25</v>
      </c>
      <c r="V308" s="4">
        <f>VLOOKUP($B308&amp;"__wt",'SegEnds_Xtal_BW#'!$A:$Z,22,FALSE)</f>
        <v>54</v>
      </c>
      <c r="W308" s="4">
        <v>28</v>
      </c>
      <c r="X308" s="4">
        <f>VLOOKUP($B308&amp;"__wt",'SegEnds_Xtal_BW#'!$A:$Z,24,FALSE)</f>
        <v>56</v>
      </c>
      <c r="Y308" s="4">
        <f>VLOOKUP($B308&amp;"__wt",'SegEnds_Xtal_BW#'!$A:$Z,25,FALSE)</f>
        <v>47</v>
      </c>
      <c r="Z308" s="4">
        <f>VLOOKUP($B308&amp;"__wt",'SegEnds_Xtal_BW#'!$A:$Z,26,FALSE)</f>
        <v>72</v>
      </c>
      <c r="AA308" s="27" t="str">
        <f>VLOOKUP(A308,Classification!A:B,2,FALSE)</f>
        <v>B1</v>
      </c>
      <c r="AB308" s="1">
        <f>VLOOKUP(A308,'SegEnds_NonXtal_Prot#'!A:AL,10,FALSE)-VLOOKUP(A308,'SegEnds_NonXtal_Prot#'!A:AL,4,FALSE)</f>
        <v>28</v>
      </c>
      <c r="AC308" s="4">
        <f>VLOOKUP(A308,'SegEnds_NonXtal_Prot#'!A:AL,10,FALSE)-VLOOKUP(A308,'SegEnds_NonXtal_Prot#'!A:AL,7,FALSE)</f>
        <v>15</v>
      </c>
      <c r="AD308" s="4" t="e">
        <f>VLOOKUP(A308,'SegEnds_NonXtal_Prot#'!A:AL,13,FALSE)-VLOOKUP(A308,'SegEnds_NonXtal_Prot#'!A:AL,10,FALSE)</f>
        <v>#VALUE!</v>
      </c>
      <c r="AE308" s="4">
        <f>VLOOKUP(A308,'SegEnds_NonXtal_Prot#'!A:AL,16,FALSE)-VLOOKUP(A308,'SegEnds_NonXtal_Prot#'!A:AL,10,FALSE)</f>
        <v>74</v>
      </c>
      <c r="AF308" s="4" t="e">
        <f>VLOOKUP(A308,'SegEnds_NonXtal_Prot#'!A:AL,22,FALSE)-VLOOKUP(A308,'SegEnds_NonXtal_Prot#'!A:AL,19,FALSE)</f>
        <v>#VALUE!</v>
      </c>
      <c r="AG308" s="4">
        <f>VLOOKUP(A308,'SegEnds_NonXtal_Prot#'!A:AL,28,FALSE)-VLOOKUP(A308,'SegEnds_NonXtal_Prot#'!A:AL,25,FALSE)</f>
        <v>19</v>
      </c>
      <c r="AH308" s="4">
        <f>VLOOKUP(A308,'SegEnds_NonXtal_Prot#'!A:AL,28,FALSE)-VLOOKUP(A308,'SegEnds_NonXtal_Prot#'!A:AL,22,FALSE)</f>
        <v>41</v>
      </c>
      <c r="AI308" s="4">
        <f>VLOOKUP(A308,'SegEnds_NonXtal_Prot#'!A:AL,31,FALSE)-VLOOKUP(A308,'SegEnds_NonXtal_Prot#'!A:AL,28,FALSE)</f>
        <v>53</v>
      </c>
      <c r="AJ308" s="4">
        <f>VLOOKUP(A308,'SegEnds_NonXtal_Prot#'!A:AL,34,FALSE)-VLOOKUP(A308,'SegEnds_NonXtal_Prot#'!A:AL,31,FALSE)</f>
        <v>32</v>
      </c>
      <c r="AK308" s="1">
        <f>VLOOKUP(A308,'SegEnds_NonXtal_Prot#'!A:AL,37,FALSE)-VLOOKUP(A308,'SegEnds_NonXtal_Prot#'!A:AL,34,FALSE)</f>
        <v>10</v>
      </c>
      <c r="AL308" s="4" t="str">
        <f>IF(ISERROR(MATCH(A308,'SegEnds_Xtal_Prot#'!B:B, 0)), "NoXtal", "Xtal")</f>
        <v>NoXtal</v>
      </c>
    </row>
    <row r="309" spans="1:38" x14ac:dyDescent="0.2">
      <c r="A309" s="4" t="s">
        <v>1429</v>
      </c>
      <c r="B309" s="4" t="str">
        <f>VLOOKUP(A309,Xtal_Templ!A:B,2,FALSE)</f>
        <v>g1sgd4_rabit</v>
      </c>
      <c r="C309" s="5">
        <f>VLOOKUP($B309&amp;"__wt",'SegEnds_Xtal_BW#'!$A:$Z,3,FALSE)</f>
        <v>28</v>
      </c>
      <c r="D309" s="4">
        <f>VLOOKUP($B309&amp;"__wt",'SegEnds_Xtal_BW#'!$A:$Z,4,FALSE)</f>
        <v>60</v>
      </c>
      <c r="E309" s="4">
        <f>VLOOKUP($B309&amp;"__wt",'SegEnds_Xtal_BW#'!$A:$Z,5,FALSE)</f>
        <v>48</v>
      </c>
      <c r="F309" s="4">
        <f>VLOOKUP($B309&amp;"__wt",'SegEnds_Xtal_BW#'!$A:$Z,6,FALSE)</f>
        <v>51</v>
      </c>
      <c r="G309" s="4">
        <v>37</v>
      </c>
      <c r="H309" s="115">
        <v>74</v>
      </c>
      <c r="I309" s="4" t="str">
        <f>VLOOKUP($B309&amp;"__wt",'SegEnds_Xtal_BW#'!$A:$Z,9,FALSE)</f>
        <v>-</v>
      </c>
      <c r="J309" s="4" t="str">
        <f>VLOOKUP($B309&amp;"__wt",'SegEnds_Xtal_BW#'!$A:$Z,10,FALSE)</f>
        <v>-</v>
      </c>
      <c r="K309" s="115">
        <v>23</v>
      </c>
      <c r="L309" s="4">
        <f>VLOOKUP($B309&amp;"__wt",'SegEnds_Xtal_BW#'!$A:$Z,12,FALSE)</f>
        <v>56</v>
      </c>
      <c r="M309" s="4" t="str">
        <f>VLOOKUP($B309&amp;"__wt",'SegEnds_Xtal_BW#'!$A:$Z,13,FALSE)</f>
        <v>-</v>
      </c>
      <c r="N309" s="11" t="str">
        <f>VLOOKUP($B309&amp;"__wt",'SegEnds_Xtal_BW#'!$A:$Z,14,FALSE)</f>
        <v>-</v>
      </c>
      <c r="O309" s="88">
        <f>VLOOKUP($B309&amp;"__wt",'SegEnds_Xtal_BW#'!$A:$Z,15,FALSE)</f>
        <v>37</v>
      </c>
      <c r="P309" s="4">
        <f>VLOOKUP($B309&amp;"__wt",'SegEnds_Xtal_BW#'!$A:$Z,16,FALSE)</f>
        <v>68</v>
      </c>
      <c r="Q309" s="4">
        <f>VLOOKUP($B309&amp;"__wt",'SegEnds_Xtal_BW#'!$A:$Z,17,FALSE)</f>
        <v>50</v>
      </c>
      <c r="R309" s="4">
        <f>VLOOKUP($B309&amp;"__wt",'SegEnds_Xtal_BW#'!$A:$Z,18,FALSE)</f>
        <v>52</v>
      </c>
      <c r="S309" s="115">
        <v>39</v>
      </c>
      <c r="T309" s="4">
        <f>VLOOKUP($B309&amp;"__wt",'SegEnds_Xtal_BW#'!$A:$Z,20,FALSE)</f>
        <v>71</v>
      </c>
      <c r="U309" s="4">
        <f>VLOOKUP($B309&amp;"__wt",'SegEnds_Xtal_BW#'!$A:$Z,21,FALSE)</f>
        <v>30</v>
      </c>
      <c r="V309" s="4">
        <f>VLOOKUP($B309&amp;"__wt",'SegEnds_Xtal_BW#'!$A:$Z,22,FALSE)</f>
        <v>53</v>
      </c>
      <c r="W309" s="115">
        <v>30</v>
      </c>
      <c r="X309" s="4">
        <f>VLOOKUP($B309&amp;"__wt",'SegEnds_Xtal_BW#'!$A:$Z,24,FALSE)</f>
        <v>56</v>
      </c>
      <c r="Y309" s="4">
        <f>VLOOKUP($B309&amp;"__wt",'SegEnds_Xtal_BW#'!$A:$Z,25,FALSE)</f>
        <v>47</v>
      </c>
      <c r="Z309" s="4">
        <f>VLOOKUP($B309&amp;"__wt",'SegEnds_Xtal_BW#'!$A:$Z,26,FALSE)</f>
        <v>72</v>
      </c>
      <c r="AA309" s="27" t="str">
        <f>VLOOKUP(A309,Classification!A:B,2,FALSE)</f>
        <v>B1</v>
      </c>
      <c r="AB309" s="1">
        <f>VLOOKUP(A309,'SegEnds_NonXtal_Prot#'!A:AL,10,FALSE)-VLOOKUP(A309,'SegEnds_NonXtal_Prot#'!A:AL,4,FALSE)</f>
        <v>28</v>
      </c>
      <c r="AC309" s="4">
        <f>VLOOKUP(A309,'SegEnds_NonXtal_Prot#'!A:AL,10,FALSE)-VLOOKUP(A309,'SegEnds_NonXtal_Prot#'!A:AL,7,FALSE)</f>
        <v>15</v>
      </c>
      <c r="AD309" s="4" t="e">
        <f>VLOOKUP(A309,'SegEnds_NonXtal_Prot#'!A:AL,13,FALSE)-VLOOKUP(A309,'SegEnds_NonXtal_Prot#'!A:AL,10,FALSE)</f>
        <v>#VALUE!</v>
      </c>
      <c r="AE309" s="4">
        <f>VLOOKUP(A309,'SegEnds_NonXtal_Prot#'!A:AL,16,FALSE)-VLOOKUP(A309,'SegEnds_NonXtal_Prot#'!A:AL,10,FALSE)</f>
        <v>64</v>
      </c>
      <c r="AF309" s="4" t="e">
        <f>VLOOKUP(A309,'SegEnds_NonXtal_Prot#'!A:AL,22,FALSE)-VLOOKUP(A309,'SegEnds_NonXtal_Prot#'!A:AL,19,FALSE)</f>
        <v>#VALUE!</v>
      </c>
      <c r="AG309" s="4">
        <f>VLOOKUP(A309,'SegEnds_NonXtal_Prot#'!A:AL,28,FALSE)-VLOOKUP(A309,'SegEnds_NonXtal_Prot#'!A:AL,25,FALSE)</f>
        <v>20</v>
      </c>
      <c r="AH309" s="4">
        <f>VLOOKUP(A309,'SegEnds_NonXtal_Prot#'!A:AL,28,FALSE)-VLOOKUP(A309,'SegEnds_NonXtal_Prot#'!A:AL,22,FALSE)</f>
        <v>42</v>
      </c>
      <c r="AI309" s="4">
        <f>VLOOKUP(A309,'SegEnds_NonXtal_Prot#'!A:AL,31,FALSE)-VLOOKUP(A309,'SegEnds_NonXtal_Prot#'!A:AL,28,FALSE)</f>
        <v>50</v>
      </c>
      <c r="AJ309" s="4">
        <f>VLOOKUP(A309,'SegEnds_NonXtal_Prot#'!A:AL,34,FALSE)-VLOOKUP(A309,'SegEnds_NonXtal_Prot#'!A:AL,31,FALSE)</f>
        <v>33</v>
      </c>
      <c r="AK309" s="1">
        <f>VLOOKUP(A309,'SegEnds_NonXtal_Prot#'!A:AL,37,FALSE)-VLOOKUP(A309,'SegEnds_NonXtal_Prot#'!A:AL,34,FALSE)</f>
        <v>10</v>
      </c>
      <c r="AL309" s="4" t="str">
        <f>IF(ISERROR(MATCH(A309,'SegEnds_Xtal_Prot#'!B:B, 0)), "NoXtal", "Xtal")</f>
        <v>Xtal</v>
      </c>
    </row>
    <row r="310" spans="1:38" x14ac:dyDescent="0.2">
      <c r="A310" s="4" t="s">
        <v>405</v>
      </c>
      <c r="B310" s="4" t="str">
        <f>VLOOKUP(A310,Xtal_Templ!A:B,2,FALSE)</f>
        <v>glr_human</v>
      </c>
      <c r="C310" s="5">
        <f>VLOOKUP($B310&amp;"__wt",'SegEnds_Xtal_BW#'!$A:$Z,3,FALSE)</f>
        <v>25</v>
      </c>
      <c r="D310" s="4">
        <f>VLOOKUP($B310&amp;"__wt",'SegEnds_Xtal_BW#'!$A:$Z,4,FALSE)</f>
        <v>60</v>
      </c>
      <c r="E310" s="4">
        <f>VLOOKUP($B310&amp;"__wt",'SegEnds_Xtal_BW#'!$A:$Z,5,FALSE)</f>
        <v>48</v>
      </c>
      <c r="F310" s="4">
        <f>VLOOKUP($B310&amp;"__wt",'SegEnds_Xtal_BW#'!$A:$Z,6,FALSE)</f>
        <v>51</v>
      </c>
      <c r="G310" s="4">
        <v>37</v>
      </c>
      <c r="H310" s="115">
        <v>64</v>
      </c>
      <c r="I310" s="4" t="str">
        <f>VLOOKUP($B310&amp;"__wt",'SegEnds_Xtal_BW#'!$A:$Z,9,FALSE)</f>
        <v>-</v>
      </c>
      <c r="J310" s="4" t="str">
        <f>VLOOKUP($B310&amp;"__wt",'SegEnds_Xtal_BW#'!$A:$Z,10,FALSE)</f>
        <v>-</v>
      </c>
      <c r="K310" s="115">
        <v>23</v>
      </c>
      <c r="L310" s="4">
        <f>VLOOKUP($B310&amp;"__wt",'SegEnds_Xtal_BW#'!$A:$Z,12,FALSE)</f>
        <v>56</v>
      </c>
      <c r="M310" s="4" t="str">
        <f>VLOOKUP($B310&amp;"__wt",'SegEnds_Xtal_BW#'!$A:$Z,13,FALSE)</f>
        <v>-</v>
      </c>
      <c r="N310" s="11" t="str">
        <f>VLOOKUP($B310&amp;"__wt",'SegEnds_Xtal_BW#'!$A:$Z,14,FALSE)</f>
        <v>-</v>
      </c>
      <c r="O310" s="88">
        <f>VLOOKUP($B310&amp;"__wt",'SegEnds_Xtal_BW#'!$A:$Z,15,FALSE)</f>
        <v>40</v>
      </c>
      <c r="P310" s="4">
        <f>VLOOKUP($B310&amp;"__wt",'SegEnds_Xtal_BW#'!$A:$Z,16,FALSE)</f>
        <v>68</v>
      </c>
      <c r="Q310" s="4">
        <f>VLOOKUP($B310&amp;"__wt",'SegEnds_Xtal_BW#'!$A:$Z,17,FALSE)</f>
        <v>50</v>
      </c>
      <c r="R310" s="4">
        <f>VLOOKUP($B310&amp;"__wt",'SegEnds_Xtal_BW#'!$A:$Z,18,FALSE)</f>
        <v>52</v>
      </c>
      <c r="S310" s="108">
        <v>39</v>
      </c>
      <c r="T310" s="4">
        <f>VLOOKUP($B310&amp;"__wt",'SegEnds_Xtal_BW#'!$A:$Z,20,FALSE)</f>
        <v>71</v>
      </c>
      <c r="U310" s="115">
        <v>28</v>
      </c>
      <c r="V310" s="4">
        <f>VLOOKUP($B310&amp;"__wt",'SegEnds_Xtal_BW#'!$A:$Z,22,FALSE)</f>
        <v>53</v>
      </c>
      <c r="W310" s="4">
        <v>28</v>
      </c>
      <c r="X310" s="4">
        <f>VLOOKUP($B310&amp;"__wt",'SegEnds_Xtal_BW#'!$A:$Z,24,FALSE)</f>
        <v>56</v>
      </c>
      <c r="Y310" s="4">
        <f>VLOOKUP($B310&amp;"__wt",'SegEnds_Xtal_BW#'!$A:$Z,25,FALSE)</f>
        <v>47</v>
      </c>
      <c r="Z310" s="4">
        <f>VLOOKUP($B310&amp;"__wt",'SegEnds_Xtal_BW#'!$A:$Z,26,FALSE)</f>
        <v>72</v>
      </c>
      <c r="AA310" s="27" t="str">
        <f>VLOOKUP(A310,Classification!A:B,2,FALSE)</f>
        <v>B1</v>
      </c>
      <c r="AB310" s="1">
        <f>VLOOKUP(A310,'SegEnds_NonXtal_Prot#'!A:AL,10,FALSE)-VLOOKUP(A310,'SegEnds_NonXtal_Prot#'!A:AL,4,FALSE)</f>
        <v>28</v>
      </c>
      <c r="AC310" s="4">
        <f>VLOOKUP(A310,'SegEnds_NonXtal_Prot#'!A:AL,10,FALSE)-VLOOKUP(A310,'SegEnds_NonXtal_Prot#'!A:AL,7,FALSE)</f>
        <v>15</v>
      </c>
      <c r="AD310" s="4" t="e">
        <f>VLOOKUP(A310,'SegEnds_NonXtal_Prot#'!A:AL,13,FALSE)-VLOOKUP(A310,'SegEnds_NonXtal_Prot#'!A:AL,10,FALSE)</f>
        <v>#VALUE!</v>
      </c>
      <c r="AE310" s="4">
        <f>VLOOKUP(A310,'SegEnds_NonXtal_Prot#'!A:AL,16,FALSE)-VLOOKUP(A310,'SegEnds_NonXtal_Prot#'!A:AL,10,FALSE)</f>
        <v>61</v>
      </c>
      <c r="AF310" s="1" t="e">
        <f>VLOOKUP(A310,'SegEnds_NonXtal_Prot#'!A:AL,22,FALSE)-VLOOKUP(A310,'SegEnds_NonXtal_Prot#'!A:AL,19,FALSE)</f>
        <v>#VALUE!</v>
      </c>
      <c r="AG310" s="4">
        <f>VLOOKUP(A310,'SegEnds_NonXtal_Prot#'!A:AL,28,FALSE)-VLOOKUP(A310,'SegEnds_NonXtal_Prot#'!A:AL,25,FALSE)</f>
        <v>20</v>
      </c>
      <c r="AH310" s="1">
        <f>VLOOKUP(A310,'SegEnds_NonXtal_Prot#'!A:AL,28,FALSE)-VLOOKUP(A310,'SegEnds_NonXtal_Prot#'!A:AL,22,FALSE)</f>
        <v>42</v>
      </c>
      <c r="AI310" s="4">
        <f>VLOOKUP(A310,'SegEnds_NonXtal_Prot#'!A:AL,31,FALSE)-VLOOKUP(A310,'SegEnds_NonXtal_Prot#'!A:AL,28,FALSE)</f>
        <v>50</v>
      </c>
      <c r="AJ310" s="4">
        <f>VLOOKUP(A310,'SegEnds_NonXtal_Prot#'!A:AL,34,FALSE)-VLOOKUP(A310,'SegEnds_NonXtal_Prot#'!A:AL,31,FALSE)</f>
        <v>33</v>
      </c>
      <c r="AK310" s="1">
        <f>VLOOKUP(A310,'SegEnds_NonXtal_Prot#'!A:AL,37,FALSE)-VLOOKUP(A310,'SegEnds_NonXtal_Prot#'!A:AL,34,FALSE)</f>
        <v>10</v>
      </c>
      <c r="AL310" s="1" t="str">
        <f>IF(ISERROR(MATCH(A310,'SegEnds_Xtal_Prot#'!B:B, 0)), "NoXtal", "Xtal")</f>
        <v>NoXtal</v>
      </c>
    </row>
    <row r="311" spans="1:38" x14ac:dyDescent="0.2">
      <c r="A311" s="1" t="s">
        <v>406</v>
      </c>
      <c r="B311" s="1" t="str">
        <f>VLOOKUP(A311,Xtal_Templ!A:B,2,FALSE)</f>
        <v>glp1r_human</v>
      </c>
      <c r="C311" s="5">
        <f>VLOOKUP($B311&amp;"__wt",'SegEnds_Xtal_BW#'!$A:$Z,3,FALSE)</f>
        <v>29</v>
      </c>
      <c r="D311" s="1">
        <f>VLOOKUP($B311&amp;"__wt",'SegEnds_Xtal_BW#'!$A:$Z,4,FALSE)</f>
        <v>60</v>
      </c>
      <c r="E311" s="1">
        <f>VLOOKUP($B311&amp;"__wt",'SegEnds_Xtal_BW#'!$A:$Z,5,FALSE)</f>
        <v>48</v>
      </c>
      <c r="F311" s="1">
        <f>VLOOKUP($B311&amp;"__wt",'SegEnds_Xtal_BW#'!$A:$Z,6,FALSE)</f>
        <v>51</v>
      </c>
      <c r="G311" s="1">
        <v>37</v>
      </c>
      <c r="H311" s="108">
        <v>64</v>
      </c>
      <c r="I311" s="1" t="str">
        <f>VLOOKUP($B311&amp;"__wt",'SegEnds_Xtal_BW#'!$A:$Z,9,FALSE)</f>
        <v>-</v>
      </c>
      <c r="J311" s="1" t="str">
        <f>VLOOKUP($B311&amp;"__wt",'SegEnds_Xtal_BW#'!$A:$Z,10,FALSE)</f>
        <v>-</v>
      </c>
      <c r="K311" s="108">
        <v>23</v>
      </c>
      <c r="L311" s="1">
        <f>VLOOKUP($B311&amp;"__wt",'SegEnds_Xtal_BW#'!$A:$Z,12,FALSE)</f>
        <v>56</v>
      </c>
      <c r="M311" s="1" t="str">
        <f>VLOOKUP($B311&amp;"__wt",'SegEnds_Xtal_BW#'!$A:$Z,13,FALSE)</f>
        <v>-</v>
      </c>
      <c r="N311" s="12" t="str">
        <f>VLOOKUP($B311&amp;"__wt",'SegEnds_Xtal_BW#'!$A:$Z,14,FALSE)</f>
        <v>-</v>
      </c>
      <c r="O311" s="87">
        <f>VLOOKUP($B311&amp;"__wt",'SegEnds_Xtal_BW#'!$A:$Z,15,FALSE)</f>
        <v>38</v>
      </c>
      <c r="P311" s="1">
        <f>VLOOKUP($B311&amp;"__wt",'SegEnds_Xtal_BW#'!$A:$Z,16,FALSE)</f>
        <v>68</v>
      </c>
      <c r="Q311" s="1">
        <f>VLOOKUP($B311&amp;"__wt",'SegEnds_Xtal_BW#'!$A:$Z,17,FALSE)</f>
        <v>50</v>
      </c>
      <c r="R311" s="1">
        <f>VLOOKUP($B311&amp;"__wt",'SegEnds_Xtal_BW#'!$A:$Z,18,FALSE)</f>
        <v>52</v>
      </c>
      <c r="S311" s="108">
        <v>39</v>
      </c>
      <c r="T311" s="1">
        <f>VLOOKUP($B311&amp;"__wt",'SegEnds_Xtal_BW#'!$A:$Z,20,FALSE)</f>
        <v>71</v>
      </c>
      <c r="U311" s="1">
        <f>VLOOKUP($B311&amp;"__wt",'SegEnds_Xtal_BW#'!$A:$Z,21,FALSE)</f>
        <v>28</v>
      </c>
      <c r="V311" s="1">
        <f>VLOOKUP($B311&amp;"__wt",'SegEnds_Xtal_BW#'!$A:$Z,22,FALSE)</f>
        <v>53</v>
      </c>
      <c r="W311" s="1">
        <v>28</v>
      </c>
      <c r="X311" s="1">
        <f>VLOOKUP($B311&amp;"__wt",'SegEnds_Xtal_BW#'!$A:$Z,24,FALSE)</f>
        <v>56</v>
      </c>
      <c r="Y311" s="1">
        <f>VLOOKUP($B311&amp;"__wt",'SegEnds_Xtal_BW#'!$A:$Z,25,FALSE)</f>
        <v>47</v>
      </c>
      <c r="Z311" s="1">
        <f>VLOOKUP($B311&amp;"__wt",'SegEnds_Xtal_BW#'!$A:$Z,26,FALSE)</f>
        <v>72</v>
      </c>
      <c r="AA311" s="27" t="str">
        <f>VLOOKUP(A311,Classification!A:B,2,FALSE)</f>
        <v>B1</v>
      </c>
      <c r="AB311" s="1">
        <f>VLOOKUP(A311,'SegEnds_NonXtal_Prot#'!A:AL,10,FALSE)-VLOOKUP(A311,'SegEnds_NonXtal_Prot#'!A:AL,4,FALSE)</f>
        <v>28</v>
      </c>
      <c r="AC311" s="1">
        <f>VLOOKUP(A311,'SegEnds_NonXtal_Prot#'!A:AL,10,FALSE)-VLOOKUP(A311,'SegEnds_NonXtal_Prot#'!A:AL,7,FALSE)</f>
        <v>15</v>
      </c>
      <c r="AD311" s="1" t="e">
        <f>VLOOKUP(A311,'SegEnds_NonXtal_Prot#'!A:AL,13,FALSE)-VLOOKUP(A311,'SegEnds_NonXtal_Prot#'!A:AL,10,FALSE)</f>
        <v>#VALUE!</v>
      </c>
      <c r="AE311" s="1">
        <f>VLOOKUP(A311,'SegEnds_NonXtal_Prot#'!A:AL,16,FALSE)-VLOOKUP(A311,'SegEnds_NonXtal_Prot#'!A:AL,10,FALSE)</f>
        <v>64</v>
      </c>
      <c r="AF311" s="1" t="e">
        <f>VLOOKUP(A311,'SegEnds_NonXtal_Prot#'!A:AL,22,FALSE)-VLOOKUP(A311,'SegEnds_NonXtal_Prot#'!A:AL,19,FALSE)</f>
        <v>#VALUE!</v>
      </c>
      <c r="AG311" s="1">
        <f>VLOOKUP(A311,'SegEnds_NonXtal_Prot#'!A:AL,28,FALSE)-VLOOKUP(A311,'SegEnds_NonXtal_Prot#'!A:AL,25,FALSE)</f>
        <v>20</v>
      </c>
      <c r="AH311" s="1">
        <f>VLOOKUP(A311,'SegEnds_NonXtal_Prot#'!A:AL,28,FALSE)-VLOOKUP(A311,'SegEnds_NonXtal_Prot#'!A:AL,22,FALSE)</f>
        <v>42</v>
      </c>
      <c r="AI311" s="1">
        <f>VLOOKUP(A311,'SegEnds_NonXtal_Prot#'!A:AL,31,FALSE)-VLOOKUP(A311,'SegEnds_NonXtal_Prot#'!A:AL,28,FALSE)</f>
        <v>50</v>
      </c>
      <c r="AJ311" s="1">
        <f>VLOOKUP(A311,'SegEnds_NonXtal_Prot#'!A:AL,34,FALSE)-VLOOKUP(A311,'SegEnds_NonXtal_Prot#'!A:AL,31,FALSE)</f>
        <v>33</v>
      </c>
      <c r="AK311" s="1">
        <f>VLOOKUP(A311,'SegEnds_NonXtal_Prot#'!A:AL,37,FALSE)-VLOOKUP(A311,'SegEnds_NonXtal_Prot#'!A:AL,34,FALSE)</f>
        <v>10</v>
      </c>
      <c r="AL311" s="1" t="str">
        <f>IF(ISERROR(MATCH(A311,'SegEnds_Xtal_Prot#'!B:B, 0)), "NoXtal", "Xtal")</f>
        <v>Xtal</v>
      </c>
    </row>
    <row r="312" spans="1:38" x14ac:dyDescent="0.2">
      <c r="A312" s="4" t="s">
        <v>407</v>
      </c>
      <c r="B312" s="4" t="str">
        <f>VLOOKUP(A312,Xtal_Templ!A:B,2,FALSE)</f>
        <v>glr_human</v>
      </c>
      <c r="C312" s="5">
        <f>VLOOKUP($B312&amp;"__wt",'SegEnds_Xtal_BW#'!$A:$Z,3,FALSE)</f>
        <v>25</v>
      </c>
      <c r="D312" s="4">
        <f>VLOOKUP($B312&amp;"__wt",'SegEnds_Xtal_BW#'!$A:$Z,4,FALSE)</f>
        <v>60</v>
      </c>
      <c r="E312" s="4">
        <f>VLOOKUP($B312&amp;"__wt",'SegEnds_Xtal_BW#'!$A:$Z,5,FALSE)</f>
        <v>48</v>
      </c>
      <c r="F312" s="4">
        <f>VLOOKUP($B312&amp;"__wt",'SegEnds_Xtal_BW#'!$A:$Z,6,FALSE)</f>
        <v>51</v>
      </c>
      <c r="G312" s="4">
        <v>37</v>
      </c>
      <c r="H312" s="115">
        <v>64</v>
      </c>
      <c r="I312" s="4" t="str">
        <f>VLOOKUP($B312&amp;"__wt",'SegEnds_Xtal_BW#'!$A:$Z,9,FALSE)</f>
        <v>-</v>
      </c>
      <c r="J312" s="4" t="str">
        <f>VLOOKUP($B312&amp;"__wt",'SegEnds_Xtal_BW#'!$A:$Z,10,FALSE)</f>
        <v>-</v>
      </c>
      <c r="K312" s="115">
        <v>23</v>
      </c>
      <c r="L312" s="4">
        <f>VLOOKUP($B312&amp;"__wt",'SegEnds_Xtal_BW#'!$A:$Z,12,FALSE)</f>
        <v>56</v>
      </c>
      <c r="M312" s="4" t="str">
        <f>VLOOKUP($B312&amp;"__wt",'SegEnds_Xtal_BW#'!$A:$Z,13,FALSE)</f>
        <v>-</v>
      </c>
      <c r="N312" s="11" t="str">
        <f>VLOOKUP($B312&amp;"__wt",'SegEnds_Xtal_BW#'!$A:$Z,14,FALSE)</f>
        <v>-</v>
      </c>
      <c r="O312" s="88">
        <f>VLOOKUP($B312&amp;"__wt",'SegEnds_Xtal_BW#'!$A:$Z,15,FALSE)</f>
        <v>40</v>
      </c>
      <c r="P312" s="4">
        <f>VLOOKUP($B312&amp;"__wt",'SegEnds_Xtal_BW#'!$A:$Z,16,FALSE)</f>
        <v>68</v>
      </c>
      <c r="Q312" s="4">
        <f>VLOOKUP($B312&amp;"__wt",'SegEnds_Xtal_BW#'!$A:$Z,17,FALSE)</f>
        <v>50</v>
      </c>
      <c r="R312" s="4">
        <f>VLOOKUP($B312&amp;"__wt",'SegEnds_Xtal_BW#'!$A:$Z,18,FALSE)</f>
        <v>52</v>
      </c>
      <c r="S312" s="108">
        <v>39</v>
      </c>
      <c r="T312" s="4">
        <f>VLOOKUP($B312&amp;"__wt",'SegEnds_Xtal_BW#'!$A:$Z,20,FALSE)</f>
        <v>71</v>
      </c>
      <c r="U312" s="115">
        <v>28</v>
      </c>
      <c r="V312" s="4">
        <f>VLOOKUP($B312&amp;"__wt",'SegEnds_Xtal_BW#'!$A:$Z,22,FALSE)</f>
        <v>53</v>
      </c>
      <c r="W312" s="4">
        <v>28</v>
      </c>
      <c r="X312" s="4">
        <f>VLOOKUP($B312&amp;"__wt",'SegEnds_Xtal_BW#'!$A:$Z,24,FALSE)</f>
        <v>56</v>
      </c>
      <c r="Y312" s="4">
        <f>VLOOKUP($B312&amp;"__wt",'SegEnds_Xtal_BW#'!$A:$Z,25,FALSE)</f>
        <v>47</v>
      </c>
      <c r="Z312" s="4">
        <f>VLOOKUP($B312&amp;"__wt",'SegEnds_Xtal_BW#'!$A:$Z,26,FALSE)</f>
        <v>72</v>
      </c>
      <c r="AA312" s="27" t="str">
        <f>VLOOKUP(A312,Classification!A:B,2,FALSE)</f>
        <v>B1</v>
      </c>
      <c r="AB312" s="1">
        <f>VLOOKUP(A312,'SegEnds_NonXtal_Prot#'!A:AL,10,FALSE)-VLOOKUP(A312,'SegEnds_NonXtal_Prot#'!A:AL,4,FALSE)</f>
        <v>28</v>
      </c>
      <c r="AC312" s="4">
        <f>VLOOKUP(A312,'SegEnds_NonXtal_Prot#'!A:AL,10,FALSE)-VLOOKUP(A312,'SegEnds_NonXtal_Prot#'!A:AL,7,FALSE)</f>
        <v>15</v>
      </c>
      <c r="AD312" s="4" t="e">
        <f>VLOOKUP(A312,'SegEnds_NonXtal_Prot#'!A:AL,13,FALSE)-VLOOKUP(A312,'SegEnds_NonXtal_Prot#'!A:AL,10,FALSE)</f>
        <v>#VALUE!</v>
      </c>
      <c r="AE312" s="4">
        <f>VLOOKUP(A312,'SegEnds_NonXtal_Prot#'!A:AL,16,FALSE)-VLOOKUP(A312,'SegEnds_NonXtal_Prot#'!A:AL,10,FALSE)</f>
        <v>64</v>
      </c>
      <c r="AF312" s="1" t="e">
        <f>VLOOKUP(A312,'SegEnds_NonXtal_Prot#'!A:AL,22,FALSE)-VLOOKUP(A312,'SegEnds_NonXtal_Prot#'!A:AL,19,FALSE)</f>
        <v>#VALUE!</v>
      </c>
      <c r="AG312" s="4">
        <f>VLOOKUP(A312,'SegEnds_NonXtal_Prot#'!A:AL,28,FALSE)-VLOOKUP(A312,'SegEnds_NonXtal_Prot#'!A:AL,25,FALSE)</f>
        <v>20</v>
      </c>
      <c r="AH312" s="1">
        <f>VLOOKUP(A312,'SegEnds_NonXtal_Prot#'!A:AL,28,FALSE)-VLOOKUP(A312,'SegEnds_NonXtal_Prot#'!A:AL,22,FALSE)</f>
        <v>42</v>
      </c>
      <c r="AI312" s="4">
        <f>VLOOKUP(A312,'SegEnds_NonXtal_Prot#'!A:AL,31,FALSE)-VLOOKUP(A312,'SegEnds_NonXtal_Prot#'!A:AL,28,FALSE)</f>
        <v>50</v>
      </c>
      <c r="AJ312" s="4">
        <f>VLOOKUP(A312,'SegEnds_NonXtal_Prot#'!A:AL,34,FALSE)-VLOOKUP(A312,'SegEnds_NonXtal_Prot#'!A:AL,31,FALSE)</f>
        <v>33</v>
      </c>
      <c r="AK312" s="1">
        <f>VLOOKUP(A312,'SegEnds_NonXtal_Prot#'!A:AL,37,FALSE)-VLOOKUP(A312,'SegEnds_NonXtal_Prot#'!A:AL,34,FALSE)</f>
        <v>10</v>
      </c>
      <c r="AL312" s="1" t="str">
        <f>IF(ISERROR(MATCH(A312,'SegEnds_Xtal_Prot#'!B:B, 0)), "NoXtal", "Xtal")</f>
        <v>NoXtal</v>
      </c>
    </row>
    <row r="313" spans="1:38" s="4" customFormat="1" x14ac:dyDescent="0.2">
      <c r="A313" s="4" t="s">
        <v>32</v>
      </c>
      <c r="B313" s="4" t="str">
        <f>VLOOKUP(A313,Xtal_Templ!A:B,2,FALSE)</f>
        <v>glr_human</v>
      </c>
      <c r="C313" s="4">
        <f>VLOOKUP($B313&amp;"__wt",'SegEnds_Xtal_BW#'!$A:$Z,3,FALSE)</f>
        <v>25</v>
      </c>
      <c r="D313" s="4">
        <f>VLOOKUP($B313&amp;"__wt",'SegEnds_Xtal_BW#'!$A:$Z,4,FALSE)</f>
        <v>60</v>
      </c>
      <c r="E313" s="4">
        <f>VLOOKUP($B313&amp;"__wt",'SegEnds_Xtal_BW#'!$A:$Z,5,FALSE)</f>
        <v>48</v>
      </c>
      <c r="F313" s="4">
        <f>VLOOKUP($B313&amp;"__wt",'SegEnds_Xtal_BW#'!$A:$Z,6,FALSE)</f>
        <v>51</v>
      </c>
      <c r="G313" s="4">
        <v>37</v>
      </c>
      <c r="H313" s="115">
        <v>69</v>
      </c>
      <c r="I313" s="4" t="str">
        <f>VLOOKUP($B313&amp;"__wt",'SegEnds_Xtal_BW#'!$A:$Z,9,FALSE)</f>
        <v>-</v>
      </c>
      <c r="J313" s="4" t="str">
        <f>VLOOKUP($B313&amp;"__wt",'SegEnds_Xtal_BW#'!$A:$Z,10,FALSE)</f>
        <v>-</v>
      </c>
      <c r="K313" s="115">
        <v>21</v>
      </c>
      <c r="L313" s="4">
        <f>VLOOKUP($B313&amp;"__wt",'SegEnds_Xtal_BW#'!$A:$Z,12,FALSE)</f>
        <v>56</v>
      </c>
      <c r="M313" s="4" t="str">
        <f>VLOOKUP($B313&amp;"__wt",'SegEnds_Xtal_BW#'!$A:$Z,13,FALSE)</f>
        <v>-</v>
      </c>
      <c r="N313" s="11" t="str">
        <f>VLOOKUP($B313&amp;"__wt",'SegEnds_Xtal_BW#'!$A:$Z,14,FALSE)</f>
        <v>-</v>
      </c>
      <c r="O313" s="88">
        <f>VLOOKUP($B313&amp;"__wt",'SegEnds_Xtal_BW#'!$A:$Z,15,FALSE)</f>
        <v>40</v>
      </c>
      <c r="P313" s="4">
        <f>VLOOKUP($B313&amp;"__wt",'SegEnds_Xtal_BW#'!$A:$Z,16,FALSE)</f>
        <v>68</v>
      </c>
      <c r="Q313" s="4">
        <f>VLOOKUP($B313&amp;"__wt",'SegEnds_Xtal_BW#'!$A:$Z,17,FALSE)</f>
        <v>50</v>
      </c>
      <c r="R313" s="4">
        <f>VLOOKUP($B313&amp;"__wt",'SegEnds_Xtal_BW#'!$A:$Z,18,FALSE)</f>
        <v>52</v>
      </c>
      <c r="S313" s="1">
        <v>36</v>
      </c>
      <c r="T313" s="4">
        <f>VLOOKUP($B313&amp;"__wt",'SegEnds_Xtal_BW#'!$A:$Z,20,FALSE)</f>
        <v>71</v>
      </c>
      <c r="U313" s="4">
        <f>VLOOKUP($B313&amp;"__wt",'SegEnds_Xtal_BW#'!$A:$Z,21,FALSE)</f>
        <v>28</v>
      </c>
      <c r="V313" s="4">
        <f>VLOOKUP($B313&amp;"__wt",'SegEnds_Xtal_BW#'!$A:$Z,22,FALSE)</f>
        <v>53</v>
      </c>
      <c r="W313" s="115">
        <v>27</v>
      </c>
      <c r="X313" s="4">
        <f>VLOOKUP($B313&amp;"__wt",'SegEnds_Xtal_BW#'!$A:$Z,24,FALSE)</f>
        <v>56</v>
      </c>
      <c r="Y313" s="4">
        <f>VLOOKUP($B313&amp;"__wt",'SegEnds_Xtal_BW#'!$A:$Z,25,FALSE)</f>
        <v>47</v>
      </c>
      <c r="Z313" s="4">
        <f>VLOOKUP($B313&amp;"__wt",'SegEnds_Xtal_BW#'!$A:$Z,26,FALSE)</f>
        <v>72</v>
      </c>
      <c r="AA313" s="50" t="str">
        <f>VLOOKUP(A313,Classification!A:B,2,FALSE)</f>
        <v>B1</v>
      </c>
      <c r="AB313" s="1">
        <f>VLOOKUP(A313,'SegEnds_NonXtal_Prot#'!A:AL,10,FALSE)-VLOOKUP(A313,'SegEnds_NonXtal_Prot#'!A:AL,4,FALSE)</f>
        <v>28</v>
      </c>
      <c r="AC313" s="4">
        <f>VLOOKUP(A313,'SegEnds_NonXtal_Prot#'!A:AL,10,FALSE)-VLOOKUP(A313,'SegEnds_NonXtal_Prot#'!A:AL,7,FALSE)</f>
        <v>15</v>
      </c>
      <c r="AD313" s="4" t="e">
        <f>VLOOKUP(A313,'SegEnds_NonXtal_Prot#'!A:AL,13,FALSE)-VLOOKUP(A313,'SegEnds_NonXtal_Prot#'!A:AL,10,FALSE)</f>
        <v>#VALUE!</v>
      </c>
      <c r="AE313" s="4">
        <f>VLOOKUP(A313,'SegEnds_NonXtal_Prot#'!A:AL,16,FALSE)-VLOOKUP(A313,'SegEnds_NonXtal_Prot#'!A:AL,10,FALSE)</f>
        <v>65</v>
      </c>
      <c r="AF313" s="1" t="e">
        <f>VLOOKUP(A313,'SegEnds_NonXtal_Prot#'!A:AL,22,FALSE)-VLOOKUP(A313,'SegEnds_NonXtal_Prot#'!A:AL,19,FALSE)</f>
        <v>#VALUE!</v>
      </c>
      <c r="AG313" s="4">
        <f>VLOOKUP(A313,'SegEnds_NonXtal_Prot#'!A:AL,28,FALSE)-VLOOKUP(A313,'SegEnds_NonXtal_Prot#'!A:AL,25,FALSE)</f>
        <v>20</v>
      </c>
      <c r="AH313" s="1">
        <f>VLOOKUP(A313,'SegEnds_NonXtal_Prot#'!A:AL,28,FALSE)-VLOOKUP(A313,'SegEnds_NonXtal_Prot#'!A:AL,22,FALSE)</f>
        <v>42</v>
      </c>
      <c r="AI313" s="4">
        <f>VLOOKUP(A313,'SegEnds_NonXtal_Prot#'!A:AL,31,FALSE)-VLOOKUP(A313,'SegEnds_NonXtal_Prot#'!A:AL,28,FALSE)</f>
        <v>50</v>
      </c>
      <c r="AJ313" s="4">
        <f>VLOOKUP(A313,'SegEnds_NonXtal_Prot#'!A:AL,34,FALSE)-VLOOKUP(A313,'SegEnds_NonXtal_Prot#'!A:AL,31,FALSE)</f>
        <v>33</v>
      </c>
      <c r="AK313" s="1">
        <f>VLOOKUP(A313,'SegEnds_NonXtal_Prot#'!A:AL,37,FALSE)-VLOOKUP(A313,'SegEnds_NonXtal_Prot#'!A:AL,34,FALSE)</f>
        <v>10</v>
      </c>
      <c r="AL313" s="1" t="str">
        <f>IF(ISERROR(MATCH(A313,'SegEnds_Xtal_Prot#'!B:B, 0)), "NoXtal", "Xtal")</f>
        <v>Xtal</v>
      </c>
    </row>
    <row r="314" spans="1:38" s="45" customFormat="1" x14ac:dyDescent="0.2">
      <c r="A314" s="45" t="s">
        <v>409</v>
      </c>
      <c r="B314" s="45" t="str">
        <f>VLOOKUP(A314,Xtal_Templ!A:B,2,FALSE)</f>
        <v>pth1r_human</v>
      </c>
      <c r="C314" s="46">
        <f>VLOOKUP($B314&amp;"__wt",'SegEnds_Xtal_BW#'!$A:$Z,3,FALSE)</f>
        <v>27</v>
      </c>
      <c r="D314" s="45">
        <f>VLOOKUP($B314&amp;"__wt",'SegEnds_Xtal_BW#'!$A:$Z,4,FALSE)</f>
        <v>60</v>
      </c>
      <c r="E314" s="45">
        <f>VLOOKUP($B314&amp;"__wt",'SegEnds_Xtal_BW#'!$A:$Z,5,FALSE)</f>
        <v>48</v>
      </c>
      <c r="F314" s="45">
        <f>VLOOKUP($B314&amp;"__wt",'SegEnds_Xtal_BW#'!$A:$Z,6,FALSE)</f>
        <v>51</v>
      </c>
      <c r="G314" s="45">
        <v>37</v>
      </c>
      <c r="H314" s="117">
        <v>69</v>
      </c>
      <c r="I314" s="45" t="str">
        <f>VLOOKUP($B314&amp;"__wt",'SegEnds_Xtal_BW#'!$A:$Z,9,FALSE)</f>
        <v>-</v>
      </c>
      <c r="J314" s="45" t="str">
        <f>VLOOKUP($B314&amp;"__wt",'SegEnds_Xtal_BW#'!$A:$Z,10,FALSE)</f>
        <v>-</v>
      </c>
      <c r="K314" s="115">
        <v>21</v>
      </c>
      <c r="L314" s="45">
        <f>VLOOKUP($B314&amp;"__wt",'SegEnds_Xtal_BW#'!$A:$Z,12,FALSE)</f>
        <v>56</v>
      </c>
      <c r="M314" s="45" t="str">
        <f>VLOOKUP($B314&amp;"__wt",'SegEnds_Xtal_BW#'!$A:$Z,13,FALSE)</f>
        <v>-</v>
      </c>
      <c r="N314" s="102" t="str">
        <f>VLOOKUP($B314&amp;"__wt",'SegEnds_Xtal_BW#'!$A:$Z,14,FALSE)</f>
        <v>-</v>
      </c>
      <c r="O314" s="90">
        <f>VLOOKUP($B314&amp;"__wt",'SegEnds_Xtal_BW#'!$A:$Z,15,FALSE)</f>
        <v>37</v>
      </c>
      <c r="P314" s="45">
        <f>VLOOKUP($B314&amp;"__wt",'SegEnds_Xtal_BW#'!$A:$Z,16,FALSE)</f>
        <v>68</v>
      </c>
      <c r="Q314" s="45">
        <f>VLOOKUP($B314&amp;"__wt",'SegEnds_Xtal_BW#'!$A:$Z,17,FALSE)</f>
        <v>50</v>
      </c>
      <c r="R314" s="45">
        <f>VLOOKUP($B314&amp;"__wt",'SegEnds_Xtal_BW#'!$A:$Z,18,FALSE)</f>
        <v>52</v>
      </c>
      <c r="S314" s="117">
        <v>39</v>
      </c>
      <c r="T314" s="45">
        <v>69</v>
      </c>
      <c r="U314" s="45">
        <v>25</v>
      </c>
      <c r="V314" s="45">
        <f>VLOOKUP($B314&amp;"__wt",'SegEnds_Xtal_BW#'!$A:$Z,22,FALSE)</f>
        <v>54</v>
      </c>
      <c r="W314" s="45">
        <v>28</v>
      </c>
      <c r="X314" s="45">
        <f>VLOOKUP($B314&amp;"__wt",'SegEnds_Xtal_BW#'!$A:$Z,24,FALSE)</f>
        <v>56</v>
      </c>
      <c r="Y314" s="45">
        <f>VLOOKUP($B314&amp;"__wt",'SegEnds_Xtal_BW#'!$A:$Z,25,FALSE)</f>
        <v>47</v>
      </c>
      <c r="Z314" s="45">
        <f>VLOOKUP($B314&amp;"__wt",'SegEnds_Xtal_BW#'!$A:$Z,26,FALSE)</f>
        <v>72</v>
      </c>
      <c r="AA314" s="47" t="str">
        <f>VLOOKUP(A314,Classification!A:B,2,FALSE)</f>
        <v>B1</v>
      </c>
      <c r="AB314" s="1">
        <f>VLOOKUP(A314,'SegEnds_NonXtal_Prot#'!A:AL,10,FALSE)-VLOOKUP(A314,'SegEnds_NonXtal_Prot#'!A:AL,4,FALSE)</f>
        <v>28</v>
      </c>
      <c r="AC314" s="45">
        <f>VLOOKUP(A314,'SegEnds_NonXtal_Prot#'!A:AL,10,FALSE)-VLOOKUP(A314,'SegEnds_NonXtal_Prot#'!A:AL,7,FALSE)</f>
        <v>15</v>
      </c>
      <c r="AD314" s="45" t="e">
        <f>VLOOKUP(A314,'SegEnds_NonXtal_Prot#'!A:AL,13,FALSE)-VLOOKUP(A314,'SegEnds_NonXtal_Prot#'!A:AL,10,FALSE)</f>
        <v>#VALUE!</v>
      </c>
      <c r="AE314" s="45">
        <f>VLOOKUP(A314,'SegEnds_NonXtal_Prot#'!A:AL,16,FALSE)-VLOOKUP(A314,'SegEnds_NonXtal_Prot#'!A:AL,10,FALSE)</f>
        <v>76</v>
      </c>
      <c r="AF314" s="45" t="e">
        <f>VLOOKUP(A314,'SegEnds_NonXtal_Prot#'!A:AL,22,FALSE)-VLOOKUP(A314,'SegEnds_NonXtal_Prot#'!A:AL,19,FALSE)</f>
        <v>#VALUE!</v>
      </c>
      <c r="AG314" s="45">
        <f>VLOOKUP(A314,'SegEnds_NonXtal_Prot#'!A:AL,28,FALSE)-VLOOKUP(A314,'SegEnds_NonXtal_Prot#'!A:AL,25,FALSE)</f>
        <v>19</v>
      </c>
      <c r="AH314" s="45">
        <f>VLOOKUP(A314,'SegEnds_NonXtal_Prot#'!A:AL,28,FALSE)-VLOOKUP(A314,'SegEnds_NonXtal_Prot#'!A:AL,22,FALSE)</f>
        <v>41</v>
      </c>
      <c r="AI314" s="45">
        <f>VLOOKUP(A314,'SegEnds_NonXtal_Prot#'!A:AL,31,FALSE)-VLOOKUP(A314,'SegEnds_NonXtal_Prot#'!A:AL,28,FALSE)</f>
        <v>53</v>
      </c>
      <c r="AJ314" s="45">
        <f>VLOOKUP(A314,'SegEnds_NonXtal_Prot#'!A:AL,34,FALSE)-VLOOKUP(A314,'SegEnds_NonXtal_Prot#'!A:AL,31,FALSE)</f>
        <v>33</v>
      </c>
      <c r="AK314" s="1">
        <f>VLOOKUP(A314,'SegEnds_NonXtal_Prot#'!A:AL,37,FALSE)-VLOOKUP(A314,'SegEnds_NonXtal_Prot#'!A:AL,34,FALSE)</f>
        <v>10</v>
      </c>
      <c r="AL314" s="45" t="str">
        <f>IF(ISERROR(MATCH(A314,'SegEnds_Xtal_Prot#'!B:B, 0)), "NoXtal", "Xtal")</f>
        <v>Xtal</v>
      </c>
    </row>
    <row r="315" spans="1:38" x14ac:dyDescent="0.2">
      <c r="A315" s="1" t="s">
        <v>1183</v>
      </c>
      <c r="B315" s="1" t="str">
        <f>VLOOKUP(A315,Xtal_Templ!A:B,2,FALSE)</f>
        <v>crfr1_human</v>
      </c>
      <c r="C315" s="5">
        <v>23</v>
      </c>
      <c r="D315" s="1">
        <f>VLOOKUP($B315&amp;"__wt",'SegEnds_Xtal_BW#'!$A:$Z,4,FALSE)</f>
        <v>60</v>
      </c>
      <c r="E315" s="1">
        <f>VLOOKUP($B315&amp;"__wt",'SegEnds_Xtal_BW#'!$A:$Z,5,FALSE)</f>
        <v>48</v>
      </c>
      <c r="F315" s="1">
        <f>VLOOKUP($B315&amp;"__wt",'SegEnds_Xtal_BW#'!$A:$Z,6,FALSE)</f>
        <v>51</v>
      </c>
      <c r="G315" s="1">
        <v>37</v>
      </c>
      <c r="H315" s="12">
        <v>63</v>
      </c>
      <c r="I315" s="1" t="str">
        <f>VLOOKUP($B315&amp;"__wt",'SegEnds_Xtal_BW#'!$A:$Z,9,FALSE)</f>
        <v>-</v>
      </c>
      <c r="J315" s="1" t="str">
        <f>VLOOKUP($B315&amp;"__wt",'SegEnds_Xtal_BW#'!$A:$Z,10,FALSE)</f>
        <v>-</v>
      </c>
      <c r="K315" s="12">
        <v>23</v>
      </c>
      <c r="L315" s="1">
        <f>VLOOKUP($B315&amp;"__wt",'SegEnds_Xtal_BW#'!$A:$Z,12,FALSE)</f>
        <v>56</v>
      </c>
      <c r="M315" s="1" t="str">
        <f>VLOOKUP($B315&amp;"__wt",'SegEnds_Xtal_BW#'!$A:$Z,13,FALSE)</f>
        <v>-</v>
      </c>
      <c r="N315" s="12" t="str">
        <f>VLOOKUP($B315&amp;"__wt",'SegEnds_Xtal_BW#'!$A:$Z,14,FALSE)</f>
        <v>-</v>
      </c>
      <c r="O315" s="87">
        <f>VLOOKUP($B315&amp;"__wt",'SegEnds_Xtal_BW#'!$A:$Z,15,FALSE)</f>
        <v>40</v>
      </c>
      <c r="P315" s="1">
        <f>VLOOKUP($B315&amp;"__wt",'SegEnds_Xtal_BW#'!$A:$Z,16,FALSE)</f>
        <v>68</v>
      </c>
      <c r="Q315" s="1">
        <f>VLOOKUP($B315&amp;"__wt",'SegEnds_Xtal_BW#'!$A:$Z,17,FALSE)</f>
        <v>50</v>
      </c>
      <c r="R315" s="1">
        <f>VLOOKUP($B315&amp;"__wt",'SegEnds_Xtal_BW#'!$A:$Z,18,FALSE)</f>
        <v>52</v>
      </c>
      <c r="S315" s="1">
        <v>36</v>
      </c>
      <c r="T315" s="1">
        <v>69</v>
      </c>
      <c r="U315" s="1">
        <v>29</v>
      </c>
      <c r="V315" s="1">
        <v>50</v>
      </c>
      <c r="W315" s="1">
        <v>33</v>
      </c>
      <c r="X315" s="1">
        <f>VLOOKUP($B315&amp;"__wt",'SegEnds_Xtal_BW#'!$A:$Z,24,FALSE)</f>
        <v>56</v>
      </c>
      <c r="Y315" s="1">
        <f>VLOOKUP($B315&amp;"__wt",'SegEnds_Xtal_BW#'!$A:$Z,25,FALSE)</f>
        <v>47</v>
      </c>
      <c r="Z315" s="1">
        <v>63</v>
      </c>
      <c r="AA315" s="27" t="str">
        <f>VLOOKUP(A315,Classification!A:B,2,FALSE)</f>
        <v>B2</v>
      </c>
      <c r="AB315" s="1">
        <f>VLOOKUP(A315,'SegEnds_NonXtal_Prot#'!A:AL,10,FALSE)-VLOOKUP(A315,'SegEnds_NonXtal_Prot#'!A:AL,4,FALSE)</f>
        <v>28</v>
      </c>
      <c r="AC315" s="1" t="e">
        <f>VLOOKUP(A315,'SegEnds_NonXtal_Prot#'!A:AL,10,FALSE)-VLOOKUP(A315,'SegEnds_NonXtal_Prot#'!A:AL,7,FALSE)</f>
        <v>#VALUE!</v>
      </c>
      <c r="AD315" s="1" t="e">
        <f>VLOOKUP(A315,'SegEnds_NonXtal_Prot#'!A:AL,13,FALSE)-VLOOKUP(A315,'SegEnds_NonXtal_Prot#'!A:AL,10,FALSE)</f>
        <v>#VALUE!</v>
      </c>
      <c r="AE315" s="1">
        <f>VLOOKUP(A315,'SegEnds_NonXtal_Prot#'!A:AL,16,FALSE)-VLOOKUP(A315,'SegEnds_NonXtal_Prot#'!A:AL,10,FALSE)</f>
        <v>45</v>
      </c>
      <c r="AF315" s="1" t="e">
        <f>VLOOKUP(A315,'SegEnds_NonXtal_Prot#'!A:AL,22,FALSE)-VLOOKUP(A315,'SegEnds_NonXtal_Prot#'!A:AL,19,FALSE)</f>
        <v>#VALUE!</v>
      </c>
      <c r="AG315" s="1">
        <f>VLOOKUP(A315,'SegEnds_NonXtal_Prot#'!A:AL,28,FALSE)-VLOOKUP(A315,'SegEnds_NonXtal_Prot#'!A:AL,25,FALSE)</f>
        <v>19</v>
      </c>
      <c r="AH315" s="1">
        <f>VLOOKUP(A315,'SegEnds_NonXtal_Prot#'!A:AL,28,FALSE)-VLOOKUP(A315,'SegEnds_NonXtal_Prot#'!A:AL,22,FALSE)</f>
        <v>43</v>
      </c>
      <c r="AI315" s="1">
        <f>VLOOKUP(A315,'SegEnds_NonXtal_Prot#'!A:AL,31,FALSE)-VLOOKUP(A315,'SegEnds_NonXtal_Prot#'!A:AL,28,FALSE)</f>
        <v>66</v>
      </c>
      <c r="AJ315" s="1">
        <f>VLOOKUP(A315,'SegEnds_NonXtal_Prot#'!A:AL,34,FALSE)-VLOOKUP(A315,'SegEnds_NonXtal_Prot#'!A:AL,31,FALSE)</f>
        <v>20</v>
      </c>
      <c r="AK315" s="1">
        <f>VLOOKUP(A315,'SegEnds_NonXtal_Prot#'!A:AL,37,FALSE)-VLOOKUP(A315,'SegEnds_NonXtal_Prot#'!A:AL,34,FALSE)</f>
        <v>10</v>
      </c>
      <c r="AL315" s="1" t="str">
        <f>IF(ISERROR(MATCH(A315,'SegEnds_Xtal_Prot#'!B:B, 0)), "NoXtal", "Xtal")</f>
        <v>NoXtal</v>
      </c>
    </row>
    <row r="316" spans="1:38" x14ac:dyDescent="0.2">
      <c r="A316" s="1" t="s">
        <v>1189</v>
      </c>
      <c r="B316" s="1" t="str">
        <f>VLOOKUP(A316,Xtal_Templ!A:B,2,FALSE)</f>
        <v>calrl_human</v>
      </c>
      <c r="C316" s="5">
        <v>23</v>
      </c>
      <c r="D316" s="1">
        <f>VLOOKUP($B316&amp;"__wt",'SegEnds_Xtal_BW#'!$A:$Z,4,FALSE)</f>
        <v>60</v>
      </c>
      <c r="E316" s="1">
        <f>VLOOKUP($B316&amp;"__wt",'SegEnds_Xtal_BW#'!$A:$Z,5,FALSE)</f>
        <v>48</v>
      </c>
      <c r="F316" s="1">
        <f>VLOOKUP($B316&amp;"__wt",'SegEnds_Xtal_BW#'!$A:$Z,6,FALSE)</f>
        <v>51</v>
      </c>
      <c r="G316" s="1">
        <v>37</v>
      </c>
      <c r="H316" s="12">
        <v>63</v>
      </c>
      <c r="I316" s="1" t="str">
        <f>VLOOKUP($B316&amp;"__wt",'SegEnds_Xtal_BW#'!$A:$Z,9,FALSE)</f>
        <v>-</v>
      </c>
      <c r="J316" s="1" t="str">
        <f>VLOOKUP($B316&amp;"__wt",'SegEnds_Xtal_BW#'!$A:$Z,10,FALSE)</f>
        <v>-</v>
      </c>
      <c r="K316" s="12">
        <v>23</v>
      </c>
      <c r="L316" s="1">
        <f>VLOOKUP($B316&amp;"__wt",'SegEnds_Xtal_BW#'!$A:$Z,12,FALSE)</f>
        <v>56</v>
      </c>
      <c r="M316" s="1" t="str">
        <f>VLOOKUP($B316&amp;"__wt",'SegEnds_Xtal_BW#'!$A:$Z,13,FALSE)</f>
        <v>-</v>
      </c>
      <c r="N316" s="12" t="str">
        <f>VLOOKUP($B316&amp;"__wt",'SegEnds_Xtal_BW#'!$A:$Z,14,FALSE)</f>
        <v>-</v>
      </c>
      <c r="O316" s="87">
        <f>VLOOKUP($B316&amp;"__wt",'SegEnds_Xtal_BW#'!$A:$Z,15,FALSE)</f>
        <v>41</v>
      </c>
      <c r="P316" s="1">
        <f>VLOOKUP($B316&amp;"__wt",'SegEnds_Xtal_BW#'!$A:$Z,16,FALSE)</f>
        <v>67</v>
      </c>
      <c r="Q316" s="1">
        <f>VLOOKUP($B316&amp;"__wt",'SegEnds_Xtal_BW#'!$A:$Z,17,FALSE)</f>
        <v>50</v>
      </c>
      <c r="R316" s="1">
        <f>VLOOKUP($B316&amp;"__wt",'SegEnds_Xtal_BW#'!$A:$Z,18,FALSE)</f>
        <v>52</v>
      </c>
      <c r="S316" s="1">
        <v>36</v>
      </c>
      <c r="T316" s="1">
        <v>69</v>
      </c>
      <c r="U316" s="1">
        <v>29</v>
      </c>
      <c r="V316" s="108">
        <v>50</v>
      </c>
      <c r="W316" s="1">
        <v>31</v>
      </c>
      <c r="X316" s="1">
        <f>VLOOKUP($B316&amp;"__wt",'SegEnds_Xtal_BW#'!$A:$Z,24,FALSE)</f>
        <v>56</v>
      </c>
      <c r="Y316" s="1">
        <f>VLOOKUP($B316&amp;"__wt",'SegEnds_Xtal_BW#'!$A:$Z,25,FALSE)</f>
        <v>47</v>
      </c>
      <c r="Z316" s="1">
        <v>63</v>
      </c>
      <c r="AA316" s="27" t="str">
        <f>VLOOKUP(A316,Classification!A:B,2,FALSE)</f>
        <v>B2</v>
      </c>
      <c r="AB316" s="1">
        <f>VLOOKUP(A316,'SegEnds_NonXtal_Prot#'!A:AL,10,FALSE)-VLOOKUP(A316,'SegEnds_NonXtal_Prot#'!A:AL,4,FALSE)</f>
        <v>31</v>
      </c>
      <c r="AC316" s="1" t="e">
        <f>VLOOKUP(A316,'SegEnds_NonXtal_Prot#'!A:AL,10,FALSE)-VLOOKUP(A316,'SegEnds_NonXtal_Prot#'!A:AL,7,FALSE)</f>
        <v>#VALUE!</v>
      </c>
      <c r="AD316" s="1" t="e">
        <f>VLOOKUP(A316,'SegEnds_NonXtal_Prot#'!A:AL,13,FALSE)-VLOOKUP(A316,'SegEnds_NonXtal_Prot#'!A:AL,10,FALSE)</f>
        <v>#VALUE!</v>
      </c>
      <c r="AE316" s="1">
        <f>VLOOKUP(A316,'SegEnds_NonXtal_Prot#'!A:AL,16,FALSE)-VLOOKUP(A316,'SegEnds_NonXtal_Prot#'!A:AL,10,FALSE)</f>
        <v>51</v>
      </c>
      <c r="AF316" s="1" t="e">
        <f>VLOOKUP(A316,'SegEnds_NonXtal_Prot#'!A:AL,22,FALSE)-VLOOKUP(A316,'SegEnds_NonXtal_Prot#'!A:AL,19,FALSE)</f>
        <v>#VALUE!</v>
      </c>
      <c r="AG316" s="1">
        <f>VLOOKUP(A316,'SegEnds_NonXtal_Prot#'!A:AL,28,FALSE)-VLOOKUP(A316,'SegEnds_NonXtal_Prot#'!A:AL,25,FALSE)</f>
        <v>20</v>
      </c>
      <c r="AH316" s="1">
        <f>VLOOKUP(A316,'SegEnds_NonXtal_Prot#'!A:AL,28,FALSE)-VLOOKUP(A316,'SegEnds_NonXtal_Prot#'!A:AL,22,FALSE)</f>
        <v>46</v>
      </c>
      <c r="AI316" s="1">
        <f>VLOOKUP(A316,'SegEnds_NonXtal_Prot#'!A:AL,31,FALSE)-VLOOKUP(A316,'SegEnds_NonXtal_Prot#'!A:AL,28,FALSE)</f>
        <v>57</v>
      </c>
      <c r="AJ316" s="1">
        <f>VLOOKUP(A316,'SegEnds_NonXtal_Prot#'!A:AL,34,FALSE)-VLOOKUP(A316,'SegEnds_NonXtal_Prot#'!A:AL,31,FALSE)</f>
        <v>23</v>
      </c>
      <c r="AK316" s="1" t="e">
        <f>VLOOKUP(A316,'SegEnds_NonXtal_Prot#'!A:AL,37,FALSE)-VLOOKUP(A316,'SegEnds_NonXtal_Prot#'!A:AL,34,FALSE)</f>
        <v>#VALUE!</v>
      </c>
      <c r="AL316" s="1" t="str">
        <f>IF(ISERROR(MATCH(A316,'SegEnds_Xtal_Prot#'!B:B, 0)), "NoXtal", "Xtal")</f>
        <v>NoXtal</v>
      </c>
    </row>
    <row r="317" spans="1:38" x14ac:dyDescent="0.2">
      <c r="A317" s="1" t="s">
        <v>1195</v>
      </c>
      <c r="B317" s="1" t="str">
        <f>VLOOKUP(A317,Xtal_Templ!A:B,2,FALSE)</f>
        <v>pth1r_human</v>
      </c>
      <c r="C317" s="5">
        <v>23</v>
      </c>
      <c r="D317" s="1">
        <f>VLOOKUP($B317&amp;"__wt",'SegEnds_Xtal_BW#'!$A:$Z,4,FALSE)</f>
        <v>60</v>
      </c>
      <c r="E317" s="1">
        <f>VLOOKUP($B317&amp;"__wt",'SegEnds_Xtal_BW#'!$A:$Z,5,FALSE)</f>
        <v>48</v>
      </c>
      <c r="F317" s="1">
        <f>VLOOKUP($B317&amp;"__wt",'SegEnds_Xtal_BW#'!$A:$Z,6,FALSE)</f>
        <v>51</v>
      </c>
      <c r="G317" s="1">
        <v>37</v>
      </c>
      <c r="H317" s="12">
        <v>63</v>
      </c>
      <c r="I317" s="1" t="str">
        <f>VLOOKUP($B317&amp;"__wt",'SegEnds_Xtal_BW#'!$A:$Z,9,FALSE)</f>
        <v>-</v>
      </c>
      <c r="J317" s="1" t="str">
        <f>VLOOKUP($B317&amp;"__wt",'SegEnds_Xtal_BW#'!$A:$Z,10,FALSE)</f>
        <v>-</v>
      </c>
      <c r="K317" s="12">
        <v>23</v>
      </c>
      <c r="L317" s="1">
        <f>VLOOKUP($B317&amp;"__wt",'SegEnds_Xtal_BW#'!$A:$Z,12,FALSE)</f>
        <v>56</v>
      </c>
      <c r="M317" s="1" t="str">
        <f>VLOOKUP($B317&amp;"__wt",'SegEnds_Xtal_BW#'!$A:$Z,13,FALSE)</f>
        <v>-</v>
      </c>
      <c r="N317" s="12" t="str">
        <f>VLOOKUP($B317&amp;"__wt",'SegEnds_Xtal_BW#'!$A:$Z,14,FALSE)</f>
        <v>-</v>
      </c>
      <c r="O317" s="87">
        <f>VLOOKUP($B317&amp;"__wt",'SegEnds_Xtal_BW#'!$A:$Z,15,FALSE)</f>
        <v>37</v>
      </c>
      <c r="P317" s="1">
        <f>VLOOKUP($B317&amp;"__wt",'SegEnds_Xtal_BW#'!$A:$Z,16,FALSE)</f>
        <v>68</v>
      </c>
      <c r="Q317" s="1">
        <f>VLOOKUP($B317&amp;"__wt",'SegEnds_Xtal_BW#'!$A:$Z,17,FALSE)</f>
        <v>50</v>
      </c>
      <c r="R317" s="1">
        <f>VLOOKUP($B317&amp;"__wt",'SegEnds_Xtal_BW#'!$A:$Z,18,FALSE)</f>
        <v>52</v>
      </c>
      <c r="S317" s="1">
        <v>36</v>
      </c>
      <c r="T317" s="1">
        <v>69</v>
      </c>
      <c r="U317" s="1">
        <v>29</v>
      </c>
      <c r="V317" s="1">
        <v>50</v>
      </c>
      <c r="W317" s="1">
        <v>31</v>
      </c>
      <c r="X317" s="1">
        <f>VLOOKUP($B317&amp;"__wt",'SegEnds_Xtal_BW#'!$A:$Z,24,FALSE)</f>
        <v>56</v>
      </c>
      <c r="Y317" s="1">
        <f>VLOOKUP($B317&amp;"__wt",'SegEnds_Xtal_BW#'!$A:$Z,25,FALSE)</f>
        <v>47</v>
      </c>
      <c r="Z317" s="1">
        <v>63</v>
      </c>
      <c r="AA317" s="27" t="str">
        <f>VLOOKUP(A317,Classification!A:B,2,FALSE)</f>
        <v>B2</v>
      </c>
      <c r="AB317" s="1">
        <f>VLOOKUP(A317,'SegEnds_NonXtal_Prot#'!A:AL,10,FALSE)-VLOOKUP(A317,'SegEnds_NonXtal_Prot#'!A:AL,4,FALSE)</f>
        <v>33</v>
      </c>
      <c r="AC317" s="1" t="e">
        <f>VLOOKUP(A317,'SegEnds_NonXtal_Prot#'!A:AL,10,FALSE)-VLOOKUP(A317,'SegEnds_NonXtal_Prot#'!A:AL,7,FALSE)</f>
        <v>#VALUE!</v>
      </c>
      <c r="AD317" s="1" t="e">
        <f>VLOOKUP(A317,'SegEnds_NonXtal_Prot#'!A:AL,13,FALSE)-VLOOKUP(A317,'SegEnds_NonXtal_Prot#'!A:AL,10,FALSE)</f>
        <v>#VALUE!</v>
      </c>
      <c r="AE317" s="1">
        <f>VLOOKUP(A317,'SegEnds_NonXtal_Prot#'!A:AL,16,FALSE)-VLOOKUP(A317,'SegEnds_NonXtal_Prot#'!A:AL,10,FALSE)</f>
        <v>47</v>
      </c>
      <c r="AF317" s="1" t="e">
        <f>VLOOKUP(A317,'SegEnds_NonXtal_Prot#'!A:AL,22,FALSE)-VLOOKUP(A317,'SegEnds_NonXtal_Prot#'!A:AL,19,FALSE)</f>
        <v>#VALUE!</v>
      </c>
      <c r="AG317" s="1">
        <f>VLOOKUP(A317,'SegEnds_NonXtal_Prot#'!A:AL,28,FALSE)-VLOOKUP(A317,'SegEnds_NonXtal_Prot#'!A:AL,25,FALSE)</f>
        <v>18</v>
      </c>
      <c r="AH317" s="1">
        <f>VLOOKUP(A317,'SegEnds_NonXtal_Prot#'!A:AL,28,FALSE)-VLOOKUP(A317,'SegEnds_NonXtal_Prot#'!A:AL,22,FALSE)</f>
        <v>51</v>
      </c>
      <c r="AI317" s="1">
        <f>VLOOKUP(A317,'SegEnds_NonXtal_Prot#'!A:AL,31,FALSE)-VLOOKUP(A317,'SegEnds_NonXtal_Prot#'!A:AL,28,FALSE)</f>
        <v>54</v>
      </c>
      <c r="AJ317" s="1">
        <f>VLOOKUP(A317,'SegEnds_NonXtal_Prot#'!A:AL,34,FALSE)-VLOOKUP(A317,'SegEnds_NonXtal_Prot#'!A:AL,31,FALSE)</f>
        <v>26</v>
      </c>
      <c r="AK317" s="1">
        <f>VLOOKUP(A317,'SegEnds_NonXtal_Prot#'!A:AL,37,FALSE)-VLOOKUP(A317,'SegEnds_NonXtal_Prot#'!A:AL,34,FALSE)</f>
        <v>10</v>
      </c>
      <c r="AL317" s="1" t="str">
        <f>IF(ISERROR(MATCH(A317,'SegEnds_Xtal_Prot#'!B:B, 0)), "NoXtal", "Xtal")</f>
        <v>NoXtal</v>
      </c>
    </row>
    <row r="318" spans="1:38" x14ac:dyDescent="0.2">
      <c r="A318" s="1" t="s">
        <v>1182</v>
      </c>
      <c r="B318" s="1" t="str">
        <f>VLOOKUP(A318,Xtal_Templ!A:B,2,FALSE)</f>
        <v>crfr1_human</v>
      </c>
      <c r="C318" s="5">
        <v>23</v>
      </c>
      <c r="D318" s="1">
        <f>VLOOKUP($B318&amp;"__wt",'SegEnds_Xtal_BW#'!$A:$Z,4,FALSE)</f>
        <v>60</v>
      </c>
      <c r="E318" s="1">
        <f>VLOOKUP($B318&amp;"__wt",'SegEnds_Xtal_BW#'!$A:$Z,5,FALSE)</f>
        <v>48</v>
      </c>
      <c r="F318" s="1">
        <f>VLOOKUP($B318&amp;"__wt",'SegEnds_Xtal_BW#'!$A:$Z,6,FALSE)</f>
        <v>51</v>
      </c>
      <c r="G318" s="1">
        <v>37</v>
      </c>
      <c r="H318" s="12">
        <v>63</v>
      </c>
      <c r="I318" s="1" t="str">
        <f>VLOOKUP($B318&amp;"__wt",'SegEnds_Xtal_BW#'!$A:$Z,9,FALSE)</f>
        <v>-</v>
      </c>
      <c r="J318" s="1" t="str">
        <f>VLOOKUP($B318&amp;"__wt",'SegEnds_Xtal_BW#'!$A:$Z,10,FALSE)</f>
        <v>-</v>
      </c>
      <c r="K318" s="12">
        <v>23</v>
      </c>
      <c r="L318" s="1">
        <f>VLOOKUP($B318&amp;"__wt",'SegEnds_Xtal_BW#'!$A:$Z,12,FALSE)</f>
        <v>56</v>
      </c>
      <c r="M318" s="1" t="str">
        <f>VLOOKUP($B318&amp;"__wt",'SegEnds_Xtal_BW#'!$A:$Z,13,FALSE)</f>
        <v>-</v>
      </c>
      <c r="N318" s="12" t="str">
        <f>VLOOKUP($B318&amp;"__wt",'SegEnds_Xtal_BW#'!$A:$Z,14,FALSE)</f>
        <v>-</v>
      </c>
      <c r="O318" s="87">
        <f>VLOOKUP($B318&amp;"__wt",'SegEnds_Xtal_BW#'!$A:$Z,15,FALSE)</f>
        <v>40</v>
      </c>
      <c r="P318" s="1">
        <f>VLOOKUP($B318&amp;"__wt",'SegEnds_Xtal_BW#'!$A:$Z,16,FALSE)</f>
        <v>68</v>
      </c>
      <c r="Q318" s="1">
        <f>VLOOKUP($B318&amp;"__wt",'SegEnds_Xtal_BW#'!$A:$Z,17,FALSE)</f>
        <v>50</v>
      </c>
      <c r="R318" s="1">
        <f>VLOOKUP($B318&amp;"__wt",'SegEnds_Xtal_BW#'!$A:$Z,18,FALSE)</f>
        <v>52</v>
      </c>
      <c r="S318" s="1">
        <v>36</v>
      </c>
      <c r="T318" s="1">
        <v>69</v>
      </c>
      <c r="U318" s="1">
        <v>29</v>
      </c>
      <c r="V318" s="1">
        <f>VLOOKUP($B318&amp;"__wt",'SegEnds_Xtal_BW#'!$A:$Z,22,FALSE)</f>
        <v>53</v>
      </c>
      <c r="W318" s="1">
        <v>31</v>
      </c>
      <c r="X318" s="1">
        <f>VLOOKUP($B318&amp;"__wt",'SegEnds_Xtal_BW#'!$A:$Z,24,FALSE)</f>
        <v>56</v>
      </c>
      <c r="Y318" s="1">
        <f>VLOOKUP($B318&amp;"__wt",'SegEnds_Xtal_BW#'!$A:$Z,25,FALSE)</f>
        <v>47</v>
      </c>
      <c r="Z318" s="1">
        <v>63</v>
      </c>
      <c r="AA318" s="27" t="str">
        <f>VLOOKUP(A318,Classification!A:B,2,FALSE)</f>
        <v>B2</v>
      </c>
      <c r="AB318" s="1">
        <f>VLOOKUP(A318,'SegEnds_NonXtal_Prot#'!A:AL,10,FALSE)-VLOOKUP(A318,'SegEnds_NonXtal_Prot#'!A:AL,4,FALSE)</f>
        <v>31</v>
      </c>
      <c r="AC318" s="1">
        <f>VLOOKUP(A318,'SegEnds_NonXtal_Prot#'!A:AL,10,FALSE)-VLOOKUP(A318,'SegEnds_NonXtal_Prot#'!A:AL,7,FALSE)</f>
        <v>18</v>
      </c>
      <c r="AD318" s="1" t="e">
        <f>VLOOKUP(A318,'SegEnds_NonXtal_Prot#'!A:AL,13,FALSE)-VLOOKUP(A318,'SegEnds_NonXtal_Prot#'!A:AL,10,FALSE)</f>
        <v>#VALUE!</v>
      </c>
      <c r="AE318" s="1">
        <f>VLOOKUP(A318,'SegEnds_NonXtal_Prot#'!A:AL,16,FALSE)-VLOOKUP(A318,'SegEnds_NonXtal_Prot#'!A:AL,10,FALSE)</f>
        <v>45</v>
      </c>
      <c r="AF318" s="1" t="e">
        <f>VLOOKUP(A318,'SegEnds_NonXtal_Prot#'!A:AL,22,FALSE)-VLOOKUP(A318,'SegEnds_NonXtal_Prot#'!A:AL,19,FALSE)</f>
        <v>#VALUE!</v>
      </c>
      <c r="AG318" s="1">
        <f>VLOOKUP(A318,'SegEnds_NonXtal_Prot#'!A:AL,28,FALSE)-VLOOKUP(A318,'SegEnds_NonXtal_Prot#'!A:AL,25,FALSE)</f>
        <v>19</v>
      </c>
      <c r="AH318" s="1">
        <f>VLOOKUP(A318,'SegEnds_NonXtal_Prot#'!A:AL,28,FALSE)-VLOOKUP(A318,'SegEnds_NonXtal_Prot#'!A:AL,22,FALSE)</f>
        <v>43</v>
      </c>
      <c r="AI318" s="1">
        <f>VLOOKUP(A318,'SegEnds_NonXtal_Prot#'!A:AL,31,FALSE)-VLOOKUP(A318,'SegEnds_NonXtal_Prot#'!A:AL,28,FALSE)</f>
        <v>52</v>
      </c>
      <c r="AJ318" s="1">
        <f>VLOOKUP(A318,'SegEnds_NonXtal_Prot#'!A:AL,34,FALSE)-VLOOKUP(A318,'SegEnds_NonXtal_Prot#'!A:AL,31,FALSE)</f>
        <v>28</v>
      </c>
      <c r="AK318" s="1">
        <f>VLOOKUP(A318,'SegEnds_NonXtal_Prot#'!A:AL,37,FALSE)-VLOOKUP(A318,'SegEnds_NonXtal_Prot#'!A:AL,34,FALSE)</f>
        <v>10</v>
      </c>
      <c r="AL318" s="1" t="str">
        <f>IF(ISERROR(MATCH(A318,'SegEnds_Xtal_Prot#'!B:B, 0)), "NoXtal", "Xtal")</f>
        <v>NoXtal</v>
      </c>
    </row>
    <row r="319" spans="1:38" x14ac:dyDescent="0.2">
      <c r="A319" s="4" t="s">
        <v>1184</v>
      </c>
      <c r="B319" s="4" t="str">
        <f>VLOOKUP(A319,Xtal_Templ!A:B,2,FALSE)</f>
        <v>pth1r_human</v>
      </c>
      <c r="C319" s="5">
        <v>23</v>
      </c>
      <c r="D319" s="4">
        <f>VLOOKUP($B319&amp;"__wt",'SegEnds_Xtal_BW#'!$A:$Z,4,FALSE)</f>
        <v>60</v>
      </c>
      <c r="E319" s="4">
        <f>VLOOKUP($B319&amp;"__wt",'SegEnds_Xtal_BW#'!$A:$Z,5,FALSE)</f>
        <v>48</v>
      </c>
      <c r="F319" s="4">
        <f>VLOOKUP($B319&amp;"__wt",'SegEnds_Xtal_BW#'!$A:$Z,6,FALSE)</f>
        <v>51</v>
      </c>
      <c r="G319" s="4">
        <v>37</v>
      </c>
      <c r="H319" s="11">
        <v>63</v>
      </c>
      <c r="I319" s="4" t="str">
        <f>VLOOKUP($B319&amp;"__wt",'SegEnds_Xtal_BW#'!$A:$Z,9,FALSE)</f>
        <v>-</v>
      </c>
      <c r="J319" s="4" t="str">
        <f>VLOOKUP($B319&amp;"__wt",'SegEnds_Xtal_BW#'!$A:$Z,10,FALSE)</f>
        <v>-</v>
      </c>
      <c r="K319" s="11">
        <v>23</v>
      </c>
      <c r="L319" s="4">
        <f>VLOOKUP($B319&amp;"__wt",'SegEnds_Xtal_BW#'!$A:$Z,12,FALSE)</f>
        <v>56</v>
      </c>
      <c r="M319" s="4" t="str">
        <f>VLOOKUP($B319&amp;"__wt",'SegEnds_Xtal_BW#'!$A:$Z,13,FALSE)</f>
        <v>-</v>
      </c>
      <c r="N319" s="11" t="str">
        <f>VLOOKUP($B319&amp;"__wt",'SegEnds_Xtal_BW#'!$A:$Z,14,FALSE)</f>
        <v>-</v>
      </c>
      <c r="O319" s="88">
        <f>VLOOKUP($B319&amp;"__wt",'SegEnds_Xtal_BW#'!$A:$Z,15,FALSE)</f>
        <v>37</v>
      </c>
      <c r="P319" s="4">
        <f>VLOOKUP($B319&amp;"__wt",'SegEnds_Xtal_BW#'!$A:$Z,16,FALSE)</f>
        <v>68</v>
      </c>
      <c r="Q319" s="4">
        <f>VLOOKUP($B319&amp;"__wt",'SegEnds_Xtal_BW#'!$A:$Z,17,FALSE)</f>
        <v>50</v>
      </c>
      <c r="R319" s="4">
        <f>VLOOKUP($B319&amp;"__wt",'SegEnds_Xtal_BW#'!$A:$Z,18,FALSE)</f>
        <v>52</v>
      </c>
      <c r="S319" s="4">
        <v>36</v>
      </c>
      <c r="T319" s="4">
        <v>69</v>
      </c>
      <c r="U319" s="4">
        <v>29</v>
      </c>
      <c r="V319" s="4">
        <f>VLOOKUP($B319&amp;"__wt",'SegEnds_Xtal_BW#'!$A:$Z,22,FALSE)</f>
        <v>54</v>
      </c>
      <c r="W319" s="4">
        <v>31</v>
      </c>
      <c r="X319" s="4">
        <f>VLOOKUP($B319&amp;"__wt",'SegEnds_Xtal_BW#'!$A:$Z,24,FALSE)</f>
        <v>56</v>
      </c>
      <c r="Y319" s="4">
        <f>VLOOKUP($B319&amp;"__wt",'SegEnds_Xtal_BW#'!$A:$Z,25,FALSE)</f>
        <v>47</v>
      </c>
      <c r="Z319" s="4">
        <v>63</v>
      </c>
      <c r="AA319" s="27" t="str">
        <f>VLOOKUP(A319,Classification!A:B,2,FALSE)</f>
        <v>B2</v>
      </c>
      <c r="AB319" s="1">
        <f>VLOOKUP(A319,'SegEnds_NonXtal_Prot#'!A:AL,10,FALSE)-VLOOKUP(A319,'SegEnds_NonXtal_Prot#'!A:AL,4,FALSE)</f>
        <v>28</v>
      </c>
      <c r="AC319" s="4" t="e">
        <f>VLOOKUP(A319,'SegEnds_NonXtal_Prot#'!A:AL,10,FALSE)-VLOOKUP(A319,'SegEnds_NonXtal_Prot#'!A:AL,7,FALSE)</f>
        <v>#VALUE!</v>
      </c>
      <c r="AD319" s="4" t="e">
        <f>VLOOKUP(A319,'SegEnds_NonXtal_Prot#'!A:AL,13,FALSE)-VLOOKUP(A319,'SegEnds_NonXtal_Prot#'!A:AL,10,FALSE)</f>
        <v>#VALUE!</v>
      </c>
      <c r="AE319" s="4">
        <f>VLOOKUP(A319,'SegEnds_NonXtal_Prot#'!A:AL,16,FALSE)-VLOOKUP(A319,'SegEnds_NonXtal_Prot#'!A:AL,10,FALSE)</f>
        <v>45</v>
      </c>
      <c r="AF319" s="1" t="e">
        <f>VLOOKUP(A319,'SegEnds_NonXtal_Prot#'!A:AL,22,FALSE)-VLOOKUP(A319,'SegEnds_NonXtal_Prot#'!A:AL,19,FALSE)</f>
        <v>#VALUE!</v>
      </c>
      <c r="AG319" s="4">
        <f>VLOOKUP(A319,'SegEnds_NonXtal_Prot#'!A:AL,28,FALSE)-VLOOKUP(A319,'SegEnds_NonXtal_Prot#'!A:AL,25,FALSE)</f>
        <v>19</v>
      </c>
      <c r="AH319" s="1">
        <f>VLOOKUP(A319,'SegEnds_NonXtal_Prot#'!A:AL,28,FALSE)-VLOOKUP(A319,'SegEnds_NonXtal_Prot#'!A:AL,22,FALSE)</f>
        <v>43</v>
      </c>
      <c r="AI319" s="4">
        <f>VLOOKUP(A319,'SegEnds_NonXtal_Prot#'!A:AL,31,FALSE)-VLOOKUP(A319,'SegEnds_NonXtal_Prot#'!A:AL,28,FALSE)</f>
        <v>52</v>
      </c>
      <c r="AJ319" s="4">
        <f>VLOOKUP(A319,'SegEnds_NonXtal_Prot#'!A:AL,34,FALSE)-VLOOKUP(A319,'SegEnds_NonXtal_Prot#'!A:AL,31,FALSE)</f>
        <v>28</v>
      </c>
      <c r="AK319" s="1">
        <f>VLOOKUP(A319,'SegEnds_NonXtal_Prot#'!A:AL,37,FALSE)-VLOOKUP(A319,'SegEnds_NonXtal_Prot#'!A:AL,34,FALSE)</f>
        <v>10</v>
      </c>
      <c r="AL319" s="1" t="str">
        <f>IF(ISERROR(MATCH(A319,'SegEnds_Xtal_Prot#'!B:B, 0)), "NoXtal", "Xtal")</f>
        <v>NoXtal</v>
      </c>
    </row>
    <row r="320" spans="1:38" x14ac:dyDescent="0.2">
      <c r="A320" s="1" t="s">
        <v>1185</v>
      </c>
      <c r="B320" s="1" t="str">
        <f>VLOOKUP(A320,Xtal_Templ!A:B,2,FALSE)</f>
        <v>glp1r_human</v>
      </c>
      <c r="C320" s="5">
        <v>23</v>
      </c>
      <c r="D320" s="1">
        <f>VLOOKUP($B320&amp;"__wt",'SegEnds_Xtal_BW#'!$A:$Z,4,FALSE)</f>
        <v>60</v>
      </c>
      <c r="E320" s="1">
        <f>VLOOKUP($B320&amp;"__wt",'SegEnds_Xtal_BW#'!$A:$Z,5,FALSE)</f>
        <v>48</v>
      </c>
      <c r="F320" s="1">
        <f>VLOOKUP($B320&amp;"__wt",'SegEnds_Xtal_BW#'!$A:$Z,6,FALSE)</f>
        <v>51</v>
      </c>
      <c r="G320" s="1">
        <v>37</v>
      </c>
      <c r="H320" s="12">
        <v>63</v>
      </c>
      <c r="I320" s="1" t="str">
        <f>VLOOKUP($B320&amp;"__wt",'SegEnds_Xtal_BW#'!$A:$Z,9,FALSE)</f>
        <v>-</v>
      </c>
      <c r="J320" s="1" t="str">
        <f>VLOOKUP($B320&amp;"__wt",'SegEnds_Xtal_BW#'!$A:$Z,10,FALSE)</f>
        <v>-</v>
      </c>
      <c r="K320" s="12">
        <v>23</v>
      </c>
      <c r="L320" s="1">
        <f>VLOOKUP($B320&amp;"__wt",'SegEnds_Xtal_BW#'!$A:$Z,12,FALSE)</f>
        <v>56</v>
      </c>
      <c r="M320" s="1" t="str">
        <f>VLOOKUP($B320&amp;"__wt",'SegEnds_Xtal_BW#'!$A:$Z,13,FALSE)</f>
        <v>-</v>
      </c>
      <c r="N320" s="12" t="str">
        <f>VLOOKUP($B320&amp;"__wt",'SegEnds_Xtal_BW#'!$A:$Z,14,FALSE)</f>
        <v>-</v>
      </c>
      <c r="O320" s="87">
        <f>VLOOKUP($B320&amp;"__wt",'SegEnds_Xtal_BW#'!$A:$Z,15,FALSE)</f>
        <v>38</v>
      </c>
      <c r="P320" s="1">
        <f>VLOOKUP($B320&amp;"__wt",'SegEnds_Xtal_BW#'!$A:$Z,16,FALSE)</f>
        <v>68</v>
      </c>
      <c r="Q320" s="1">
        <f>VLOOKUP($B320&amp;"__wt",'SegEnds_Xtal_BW#'!$A:$Z,17,FALSE)</f>
        <v>50</v>
      </c>
      <c r="R320" s="1">
        <f>VLOOKUP($B320&amp;"__wt",'SegEnds_Xtal_BW#'!$A:$Z,18,FALSE)</f>
        <v>52</v>
      </c>
      <c r="S320" s="1">
        <v>36</v>
      </c>
      <c r="T320" s="1">
        <v>69</v>
      </c>
      <c r="U320" s="1">
        <v>29</v>
      </c>
      <c r="V320" s="1">
        <f>VLOOKUP($B320&amp;"__wt",'SegEnds_Xtal_BW#'!$A:$Z,22,FALSE)</f>
        <v>53</v>
      </c>
      <c r="W320" s="1">
        <v>31</v>
      </c>
      <c r="X320" s="1">
        <f>VLOOKUP($B320&amp;"__wt",'SegEnds_Xtal_BW#'!$A:$Z,24,FALSE)</f>
        <v>56</v>
      </c>
      <c r="Y320" s="1">
        <f>VLOOKUP($B320&amp;"__wt",'SegEnds_Xtal_BW#'!$A:$Z,25,FALSE)</f>
        <v>47</v>
      </c>
      <c r="Z320" s="1">
        <v>63</v>
      </c>
      <c r="AA320" s="27" t="str">
        <f>VLOOKUP(A320,Classification!A:B,2,FALSE)</f>
        <v>B2</v>
      </c>
      <c r="AB320" s="1">
        <f>VLOOKUP(A320,'SegEnds_NonXtal_Prot#'!A:AL,10,FALSE)-VLOOKUP(A320,'SegEnds_NonXtal_Prot#'!A:AL,4,FALSE)</f>
        <v>28</v>
      </c>
      <c r="AC320" s="1">
        <f>VLOOKUP(A320,'SegEnds_NonXtal_Prot#'!A:AL,10,FALSE)-VLOOKUP(A320,'SegEnds_NonXtal_Prot#'!A:AL,7,FALSE)</f>
        <v>15</v>
      </c>
      <c r="AD320" s="1" t="e">
        <f>VLOOKUP(A320,'SegEnds_NonXtal_Prot#'!A:AL,13,FALSE)-VLOOKUP(A320,'SegEnds_NonXtal_Prot#'!A:AL,10,FALSE)</f>
        <v>#VALUE!</v>
      </c>
      <c r="AE320" s="1">
        <f>VLOOKUP(A320,'SegEnds_NonXtal_Prot#'!A:AL,16,FALSE)-VLOOKUP(A320,'SegEnds_NonXtal_Prot#'!A:AL,10,FALSE)</f>
        <v>45</v>
      </c>
      <c r="AF320" s="1" t="e">
        <f>VLOOKUP(A320,'SegEnds_NonXtal_Prot#'!A:AL,22,FALSE)-VLOOKUP(A320,'SegEnds_NonXtal_Prot#'!A:AL,19,FALSE)</f>
        <v>#VALUE!</v>
      </c>
      <c r="AG320" s="1">
        <f>VLOOKUP(A320,'SegEnds_NonXtal_Prot#'!A:AL,28,FALSE)-VLOOKUP(A320,'SegEnds_NonXtal_Prot#'!A:AL,25,FALSE)</f>
        <v>19</v>
      </c>
      <c r="AH320" s="1">
        <f>VLOOKUP(A320,'SegEnds_NonXtal_Prot#'!A:AL,28,FALSE)-VLOOKUP(A320,'SegEnds_NonXtal_Prot#'!A:AL,22,FALSE)</f>
        <v>43</v>
      </c>
      <c r="AI320" s="1">
        <f>VLOOKUP(A320,'SegEnds_NonXtal_Prot#'!A:AL,31,FALSE)-VLOOKUP(A320,'SegEnds_NonXtal_Prot#'!A:AL,28,FALSE)</f>
        <v>52</v>
      </c>
      <c r="AJ320" s="1">
        <f>VLOOKUP(A320,'SegEnds_NonXtal_Prot#'!A:AL,34,FALSE)-VLOOKUP(A320,'SegEnds_NonXtal_Prot#'!A:AL,31,FALSE)</f>
        <v>28</v>
      </c>
      <c r="AK320" s="1">
        <f>VLOOKUP(A320,'SegEnds_NonXtal_Prot#'!A:AL,37,FALSE)-VLOOKUP(A320,'SegEnds_NonXtal_Prot#'!A:AL,34,FALSE)</f>
        <v>10</v>
      </c>
      <c r="AL320" s="1" t="str">
        <f>IF(ISERROR(MATCH(A320,'SegEnds_Xtal_Prot#'!B:B, 0)), "NoXtal", "Xtal")</f>
        <v>NoXtal</v>
      </c>
    </row>
    <row r="321" spans="1:38" x14ac:dyDescent="0.2">
      <c r="A321" s="1" t="s">
        <v>1186</v>
      </c>
      <c r="B321" s="1" t="str">
        <f>VLOOKUP(A321,Xtal_Templ!A:B,2,FALSE)</f>
        <v>pth1r_human</v>
      </c>
      <c r="C321" s="5">
        <v>23</v>
      </c>
      <c r="D321" s="1">
        <f>VLOOKUP($B321&amp;"__wt",'SegEnds_Xtal_BW#'!$A:$Z,4,FALSE)</f>
        <v>60</v>
      </c>
      <c r="E321" s="1">
        <f>VLOOKUP($B321&amp;"__wt",'SegEnds_Xtal_BW#'!$A:$Z,5,FALSE)</f>
        <v>48</v>
      </c>
      <c r="F321" s="1">
        <f>VLOOKUP($B321&amp;"__wt",'SegEnds_Xtal_BW#'!$A:$Z,6,FALSE)</f>
        <v>51</v>
      </c>
      <c r="G321" s="1">
        <v>37</v>
      </c>
      <c r="H321" s="12">
        <v>63</v>
      </c>
      <c r="I321" s="1" t="str">
        <f>VLOOKUP($B321&amp;"__wt",'SegEnds_Xtal_BW#'!$A:$Z,9,FALSE)</f>
        <v>-</v>
      </c>
      <c r="J321" s="1" t="str">
        <f>VLOOKUP($B321&amp;"__wt",'SegEnds_Xtal_BW#'!$A:$Z,10,FALSE)</f>
        <v>-</v>
      </c>
      <c r="K321" s="12">
        <v>23</v>
      </c>
      <c r="L321" s="1">
        <f>VLOOKUP($B321&amp;"__wt",'SegEnds_Xtal_BW#'!$A:$Z,12,FALSE)</f>
        <v>56</v>
      </c>
      <c r="M321" s="1" t="str">
        <f>VLOOKUP($B321&amp;"__wt",'SegEnds_Xtal_BW#'!$A:$Z,13,FALSE)</f>
        <v>-</v>
      </c>
      <c r="N321" s="12" t="str">
        <f>VLOOKUP($B321&amp;"__wt",'SegEnds_Xtal_BW#'!$A:$Z,14,FALSE)</f>
        <v>-</v>
      </c>
      <c r="O321" s="87">
        <f>VLOOKUP($B321&amp;"__wt",'SegEnds_Xtal_BW#'!$A:$Z,15,FALSE)</f>
        <v>37</v>
      </c>
      <c r="P321" s="1">
        <f>VLOOKUP($B321&amp;"__wt",'SegEnds_Xtal_BW#'!$A:$Z,16,FALSE)</f>
        <v>68</v>
      </c>
      <c r="Q321" s="1">
        <f>VLOOKUP($B321&amp;"__wt",'SegEnds_Xtal_BW#'!$A:$Z,17,FALSE)</f>
        <v>50</v>
      </c>
      <c r="R321" s="1">
        <f>VLOOKUP($B321&amp;"__wt",'SegEnds_Xtal_BW#'!$A:$Z,18,FALSE)</f>
        <v>52</v>
      </c>
      <c r="S321" s="1">
        <v>36</v>
      </c>
      <c r="T321" s="1">
        <v>69</v>
      </c>
      <c r="U321" s="1">
        <v>29</v>
      </c>
      <c r="V321" s="1">
        <f>VLOOKUP($B321&amp;"__wt",'SegEnds_Xtal_BW#'!$A:$Z,22,FALSE)</f>
        <v>54</v>
      </c>
      <c r="W321" s="1">
        <v>31</v>
      </c>
      <c r="X321" s="1">
        <f>VLOOKUP($B321&amp;"__wt",'SegEnds_Xtal_BW#'!$A:$Z,24,FALSE)</f>
        <v>56</v>
      </c>
      <c r="Y321" s="1">
        <f>VLOOKUP($B321&amp;"__wt",'SegEnds_Xtal_BW#'!$A:$Z,25,FALSE)</f>
        <v>47</v>
      </c>
      <c r="Z321" s="1">
        <v>63</v>
      </c>
      <c r="AA321" s="27" t="str">
        <f>VLOOKUP(A321,Classification!A:B,2,FALSE)</f>
        <v>B2</v>
      </c>
      <c r="AB321" s="1">
        <f>VLOOKUP(A321,'SegEnds_NonXtal_Prot#'!A:AL,10,FALSE)-VLOOKUP(A321,'SegEnds_NonXtal_Prot#'!A:AL,4,FALSE)</f>
        <v>28</v>
      </c>
      <c r="AC321" s="1">
        <f>VLOOKUP(A321,'SegEnds_NonXtal_Prot#'!A:AL,10,FALSE)-VLOOKUP(A321,'SegEnds_NonXtal_Prot#'!A:AL,7,FALSE)</f>
        <v>15</v>
      </c>
      <c r="AD321" s="1" t="e">
        <f>VLOOKUP(A321,'SegEnds_NonXtal_Prot#'!A:AL,13,FALSE)-VLOOKUP(A321,'SegEnds_NonXtal_Prot#'!A:AL,10,FALSE)</f>
        <v>#VALUE!</v>
      </c>
      <c r="AE321" s="1">
        <f>VLOOKUP(A321,'SegEnds_NonXtal_Prot#'!A:AL,16,FALSE)-VLOOKUP(A321,'SegEnds_NonXtal_Prot#'!A:AL,10,FALSE)</f>
        <v>45</v>
      </c>
      <c r="AF321" s="1" t="e">
        <f>VLOOKUP(A321,'SegEnds_NonXtal_Prot#'!A:AL,22,FALSE)-VLOOKUP(A321,'SegEnds_NonXtal_Prot#'!A:AL,19,FALSE)</f>
        <v>#VALUE!</v>
      </c>
      <c r="AG321" s="1">
        <f>VLOOKUP(A321,'SegEnds_NonXtal_Prot#'!A:AL,28,FALSE)-VLOOKUP(A321,'SegEnds_NonXtal_Prot#'!A:AL,25,FALSE)</f>
        <v>19</v>
      </c>
      <c r="AH321" s="1">
        <f>VLOOKUP(A321,'SegEnds_NonXtal_Prot#'!A:AL,28,FALSE)-VLOOKUP(A321,'SegEnds_NonXtal_Prot#'!A:AL,22,FALSE)</f>
        <v>43</v>
      </c>
      <c r="AI321" s="1">
        <f>VLOOKUP(A321,'SegEnds_NonXtal_Prot#'!A:AL,31,FALSE)-VLOOKUP(A321,'SegEnds_NonXtal_Prot#'!A:AL,28,FALSE)</f>
        <v>52</v>
      </c>
      <c r="AJ321" s="1">
        <f>VLOOKUP(A321,'SegEnds_NonXtal_Prot#'!A:AL,34,FALSE)-VLOOKUP(A321,'SegEnds_NonXtal_Prot#'!A:AL,31,FALSE)</f>
        <v>28</v>
      </c>
      <c r="AK321" s="1">
        <f>VLOOKUP(A321,'SegEnds_NonXtal_Prot#'!A:AL,37,FALSE)-VLOOKUP(A321,'SegEnds_NonXtal_Prot#'!A:AL,34,FALSE)</f>
        <v>10</v>
      </c>
      <c r="AL321" s="1" t="str">
        <f>IF(ISERROR(MATCH(A321,'SegEnds_Xtal_Prot#'!B:B, 0)), "NoXtal", "Xtal")</f>
        <v>NoXtal</v>
      </c>
    </row>
    <row r="322" spans="1:38" x14ac:dyDescent="0.2">
      <c r="A322" s="4" t="s">
        <v>1194</v>
      </c>
      <c r="B322" s="4" t="str">
        <f>VLOOKUP(A322,Xtal_Templ!A:B,2,FALSE)</f>
        <v>pth1r_human</v>
      </c>
      <c r="C322" s="5">
        <v>23</v>
      </c>
      <c r="D322" s="4">
        <f>VLOOKUP($B322&amp;"__wt",'SegEnds_Xtal_BW#'!$A:$Z,4,FALSE)</f>
        <v>60</v>
      </c>
      <c r="E322" s="4">
        <f>VLOOKUP($B322&amp;"__wt",'SegEnds_Xtal_BW#'!$A:$Z,5,FALSE)</f>
        <v>48</v>
      </c>
      <c r="F322" s="4">
        <f>VLOOKUP($B322&amp;"__wt",'SegEnds_Xtal_BW#'!$A:$Z,6,FALSE)</f>
        <v>51</v>
      </c>
      <c r="G322" s="4">
        <v>37</v>
      </c>
      <c r="H322" s="11">
        <v>63</v>
      </c>
      <c r="I322" s="4" t="str">
        <f>VLOOKUP($B322&amp;"__wt",'SegEnds_Xtal_BW#'!$A:$Z,9,FALSE)</f>
        <v>-</v>
      </c>
      <c r="J322" s="4" t="str">
        <f>VLOOKUP($B322&amp;"__wt",'SegEnds_Xtal_BW#'!$A:$Z,10,FALSE)</f>
        <v>-</v>
      </c>
      <c r="K322" s="11">
        <v>23</v>
      </c>
      <c r="L322" s="4">
        <f>VLOOKUP($B322&amp;"__wt",'SegEnds_Xtal_BW#'!$A:$Z,12,FALSE)</f>
        <v>56</v>
      </c>
      <c r="M322" s="4" t="str">
        <f>VLOOKUP($B322&amp;"__wt",'SegEnds_Xtal_BW#'!$A:$Z,13,FALSE)</f>
        <v>-</v>
      </c>
      <c r="N322" s="11" t="str">
        <f>VLOOKUP($B322&amp;"__wt",'SegEnds_Xtal_BW#'!$A:$Z,14,FALSE)</f>
        <v>-</v>
      </c>
      <c r="O322" s="88">
        <f>VLOOKUP($B322&amp;"__wt",'SegEnds_Xtal_BW#'!$A:$Z,15,FALSE)</f>
        <v>37</v>
      </c>
      <c r="P322" s="4">
        <f>VLOOKUP($B322&amp;"__wt",'SegEnds_Xtal_BW#'!$A:$Z,16,FALSE)</f>
        <v>68</v>
      </c>
      <c r="Q322" s="4">
        <f>VLOOKUP($B322&amp;"__wt",'SegEnds_Xtal_BW#'!$A:$Z,17,FALSE)</f>
        <v>50</v>
      </c>
      <c r="R322" s="4">
        <f>VLOOKUP($B322&amp;"__wt",'SegEnds_Xtal_BW#'!$A:$Z,18,FALSE)</f>
        <v>52</v>
      </c>
      <c r="S322" s="4">
        <v>36</v>
      </c>
      <c r="T322" s="4">
        <v>69</v>
      </c>
      <c r="U322" s="4">
        <v>29</v>
      </c>
      <c r="V322" s="4">
        <f>VLOOKUP($B322&amp;"__wt",'SegEnds_Xtal_BW#'!$A:$Z,22,FALSE)</f>
        <v>54</v>
      </c>
      <c r="W322" s="4">
        <v>31</v>
      </c>
      <c r="X322" s="4">
        <f>VLOOKUP($B322&amp;"__wt",'SegEnds_Xtal_BW#'!$A:$Z,24,FALSE)</f>
        <v>56</v>
      </c>
      <c r="Y322" s="4">
        <f>VLOOKUP($B322&amp;"__wt",'SegEnds_Xtal_BW#'!$A:$Z,25,FALSE)</f>
        <v>47</v>
      </c>
      <c r="Z322" s="4">
        <v>63</v>
      </c>
      <c r="AA322" s="27" t="str">
        <f>VLOOKUP(A322,Classification!A:B,2,FALSE)</f>
        <v>B2</v>
      </c>
      <c r="AB322" s="1">
        <f>VLOOKUP(A322,'SegEnds_NonXtal_Prot#'!A:AL,10,FALSE)-VLOOKUP(A322,'SegEnds_NonXtal_Prot#'!A:AL,4,FALSE)</f>
        <v>29</v>
      </c>
      <c r="AC322" s="4" t="e">
        <f>VLOOKUP(A322,'SegEnds_NonXtal_Prot#'!A:AL,10,FALSE)-VLOOKUP(A322,'SegEnds_NonXtal_Prot#'!A:AL,7,FALSE)</f>
        <v>#VALUE!</v>
      </c>
      <c r="AD322" s="4" t="e">
        <f>VLOOKUP(A322,'SegEnds_NonXtal_Prot#'!A:AL,13,FALSE)-VLOOKUP(A322,'SegEnds_NonXtal_Prot#'!A:AL,10,FALSE)</f>
        <v>#VALUE!</v>
      </c>
      <c r="AE322" s="4">
        <f>VLOOKUP(A322,'SegEnds_NonXtal_Prot#'!A:AL,16,FALSE)-VLOOKUP(A322,'SegEnds_NonXtal_Prot#'!A:AL,10,FALSE)</f>
        <v>47</v>
      </c>
      <c r="AF322" s="1" t="e">
        <f>VLOOKUP(A322,'SegEnds_NonXtal_Prot#'!A:AL,22,FALSE)-VLOOKUP(A322,'SegEnds_NonXtal_Prot#'!A:AL,19,FALSE)</f>
        <v>#VALUE!</v>
      </c>
      <c r="AG322" s="4">
        <f>VLOOKUP(A322,'SegEnds_NonXtal_Prot#'!A:AL,28,FALSE)-VLOOKUP(A322,'SegEnds_NonXtal_Prot#'!A:AL,25,FALSE)</f>
        <v>19</v>
      </c>
      <c r="AH322" s="1">
        <f>VLOOKUP(A322,'SegEnds_NonXtal_Prot#'!A:AL,28,FALSE)-VLOOKUP(A322,'SegEnds_NonXtal_Prot#'!A:AL,22,FALSE)</f>
        <v>54</v>
      </c>
      <c r="AI322" s="4">
        <f>VLOOKUP(A322,'SegEnds_NonXtal_Prot#'!A:AL,31,FALSE)-VLOOKUP(A322,'SegEnds_NonXtal_Prot#'!A:AL,28,FALSE)</f>
        <v>51</v>
      </c>
      <c r="AJ322" s="4">
        <f>VLOOKUP(A322,'SegEnds_NonXtal_Prot#'!A:AL,34,FALSE)-VLOOKUP(A322,'SegEnds_NonXtal_Prot#'!A:AL,31,FALSE)</f>
        <v>28</v>
      </c>
      <c r="AK322" s="1">
        <f>VLOOKUP(A322,'SegEnds_NonXtal_Prot#'!A:AL,37,FALSE)-VLOOKUP(A322,'SegEnds_NonXtal_Prot#'!A:AL,34,FALSE)</f>
        <v>10</v>
      </c>
      <c r="AL322" s="1" t="str">
        <f>IF(ISERROR(MATCH(A322,'SegEnds_Xtal_Prot#'!B:B, 0)), "NoXtal", "Xtal")</f>
        <v>NoXtal</v>
      </c>
    </row>
    <row r="323" spans="1:38" x14ac:dyDescent="0.2">
      <c r="A323" s="4" t="s">
        <v>1196</v>
      </c>
      <c r="B323" s="4" t="str">
        <f>VLOOKUP(A323,Xtal_Templ!A:B,2,FALSE)</f>
        <v>pth1r_human</v>
      </c>
      <c r="C323" s="5">
        <v>23</v>
      </c>
      <c r="D323" s="4">
        <f>VLOOKUP($B323&amp;"__wt",'SegEnds_Xtal_BW#'!$A:$Z,4,FALSE)</f>
        <v>60</v>
      </c>
      <c r="E323" s="4">
        <f>VLOOKUP($B323&amp;"__wt",'SegEnds_Xtal_BW#'!$A:$Z,5,FALSE)</f>
        <v>48</v>
      </c>
      <c r="F323" s="4">
        <f>VLOOKUP($B323&amp;"__wt",'SegEnds_Xtal_BW#'!$A:$Z,6,FALSE)</f>
        <v>51</v>
      </c>
      <c r="G323" s="4">
        <v>37</v>
      </c>
      <c r="H323" s="11">
        <v>63</v>
      </c>
      <c r="I323" s="4" t="str">
        <f>VLOOKUP($B323&amp;"__wt",'SegEnds_Xtal_BW#'!$A:$Z,9,FALSE)</f>
        <v>-</v>
      </c>
      <c r="J323" s="4" t="str">
        <f>VLOOKUP($B323&amp;"__wt",'SegEnds_Xtal_BW#'!$A:$Z,10,FALSE)</f>
        <v>-</v>
      </c>
      <c r="K323" s="11">
        <v>23</v>
      </c>
      <c r="L323" s="4">
        <f>VLOOKUP($B323&amp;"__wt",'SegEnds_Xtal_BW#'!$A:$Z,12,FALSE)</f>
        <v>56</v>
      </c>
      <c r="M323" s="4" t="str">
        <f>VLOOKUP($B323&amp;"__wt",'SegEnds_Xtal_BW#'!$A:$Z,13,FALSE)</f>
        <v>-</v>
      </c>
      <c r="N323" s="11" t="str">
        <f>VLOOKUP($B323&amp;"__wt",'SegEnds_Xtal_BW#'!$A:$Z,14,FALSE)</f>
        <v>-</v>
      </c>
      <c r="O323" s="88">
        <f>VLOOKUP($B323&amp;"__wt",'SegEnds_Xtal_BW#'!$A:$Z,15,FALSE)</f>
        <v>37</v>
      </c>
      <c r="P323" s="4">
        <f>VLOOKUP($B323&amp;"__wt",'SegEnds_Xtal_BW#'!$A:$Z,16,FALSE)</f>
        <v>68</v>
      </c>
      <c r="Q323" s="4">
        <f>VLOOKUP($B323&amp;"__wt",'SegEnds_Xtal_BW#'!$A:$Z,17,FALSE)</f>
        <v>50</v>
      </c>
      <c r="R323" s="4">
        <f>VLOOKUP($B323&amp;"__wt",'SegEnds_Xtal_BW#'!$A:$Z,18,FALSE)</f>
        <v>52</v>
      </c>
      <c r="S323" s="4">
        <v>36</v>
      </c>
      <c r="T323" s="4">
        <v>69</v>
      </c>
      <c r="U323" s="4">
        <v>29</v>
      </c>
      <c r="V323" s="4">
        <f>VLOOKUP($B323&amp;"__wt",'SegEnds_Xtal_BW#'!$A:$Z,22,FALSE)</f>
        <v>54</v>
      </c>
      <c r="W323" s="4">
        <v>31</v>
      </c>
      <c r="X323" s="4">
        <f>VLOOKUP($B323&amp;"__wt",'SegEnds_Xtal_BW#'!$A:$Z,24,FALSE)</f>
        <v>56</v>
      </c>
      <c r="Y323" s="4">
        <f>VLOOKUP($B323&amp;"__wt",'SegEnds_Xtal_BW#'!$A:$Z,25,FALSE)</f>
        <v>47</v>
      </c>
      <c r="Z323" s="4">
        <v>63</v>
      </c>
      <c r="AA323" s="27" t="str">
        <f>VLOOKUP(A323,Classification!A:B,2,FALSE)</f>
        <v>B2</v>
      </c>
      <c r="AB323" s="1">
        <f>VLOOKUP(A323,'SegEnds_NonXtal_Prot#'!A:AL,10,FALSE)-VLOOKUP(A323,'SegEnds_NonXtal_Prot#'!A:AL,4,FALSE)</f>
        <v>29</v>
      </c>
      <c r="AC323" s="4" t="e">
        <f>VLOOKUP(A323,'SegEnds_NonXtal_Prot#'!A:AL,10,FALSE)-VLOOKUP(A323,'SegEnds_NonXtal_Prot#'!A:AL,7,FALSE)</f>
        <v>#VALUE!</v>
      </c>
      <c r="AD323" s="4" t="e">
        <f>VLOOKUP(A323,'SegEnds_NonXtal_Prot#'!A:AL,13,FALSE)-VLOOKUP(A323,'SegEnds_NonXtal_Prot#'!A:AL,10,FALSE)</f>
        <v>#VALUE!</v>
      </c>
      <c r="AE323" s="4">
        <f>VLOOKUP(A323,'SegEnds_NonXtal_Prot#'!A:AL,16,FALSE)-VLOOKUP(A323,'SegEnds_NonXtal_Prot#'!A:AL,10,FALSE)</f>
        <v>47</v>
      </c>
      <c r="AF323" s="1" t="e">
        <f>VLOOKUP(A323,'SegEnds_NonXtal_Prot#'!A:AL,22,FALSE)-VLOOKUP(A323,'SegEnds_NonXtal_Prot#'!A:AL,19,FALSE)</f>
        <v>#VALUE!</v>
      </c>
      <c r="AG323" s="4">
        <f>VLOOKUP(A323,'SegEnds_NonXtal_Prot#'!A:AL,28,FALSE)-VLOOKUP(A323,'SegEnds_NonXtal_Prot#'!A:AL,25,FALSE)</f>
        <v>19</v>
      </c>
      <c r="AH323" s="1">
        <f>VLOOKUP(A323,'SegEnds_NonXtal_Prot#'!A:AL,28,FALSE)-VLOOKUP(A323,'SegEnds_NonXtal_Prot#'!A:AL,22,FALSE)</f>
        <v>47</v>
      </c>
      <c r="AI323" s="4">
        <f>VLOOKUP(A323,'SegEnds_NonXtal_Prot#'!A:AL,31,FALSE)-VLOOKUP(A323,'SegEnds_NonXtal_Prot#'!A:AL,28,FALSE)</f>
        <v>50</v>
      </c>
      <c r="AJ323" s="4">
        <f>VLOOKUP(A323,'SegEnds_NonXtal_Prot#'!A:AL,34,FALSE)-VLOOKUP(A323,'SegEnds_NonXtal_Prot#'!A:AL,31,FALSE)</f>
        <v>28</v>
      </c>
      <c r="AK323" s="1">
        <f>VLOOKUP(A323,'SegEnds_NonXtal_Prot#'!A:AL,37,FALSE)-VLOOKUP(A323,'SegEnds_NonXtal_Prot#'!A:AL,34,FALSE)</f>
        <v>10</v>
      </c>
      <c r="AL323" s="1" t="str">
        <f>IF(ISERROR(MATCH(A323,'SegEnds_Xtal_Prot#'!B:B, 0)), "NoXtal", "Xtal")</f>
        <v>NoXtal</v>
      </c>
    </row>
    <row r="324" spans="1:38" x14ac:dyDescent="0.2">
      <c r="A324" s="1" t="s">
        <v>1197</v>
      </c>
      <c r="B324" s="1" t="str">
        <f>VLOOKUP(A324,Xtal_Templ!A:B,2,FALSE)</f>
        <v>pth1r_human</v>
      </c>
      <c r="C324" s="5">
        <v>23</v>
      </c>
      <c r="D324" s="1">
        <f>VLOOKUP($B324&amp;"__wt",'SegEnds_Xtal_BW#'!$A:$Z,4,FALSE)</f>
        <v>60</v>
      </c>
      <c r="E324" s="1">
        <f>VLOOKUP($B324&amp;"__wt",'SegEnds_Xtal_BW#'!$A:$Z,5,FALSE)</f>
        <v>48</v>
      </c>
      <c r="F324" s="1">
        <f>VLOOKUP($B324&amp;"__wt",'SegEnds_Xtal_BW#'!$A:$Z,6,FALSE)</f>
        <v>51</v>
      </c>
      <c r="G324" s="1">
        <v>37</v>
      </c>
      <c r="H324" s="12">
        <v>63</v>
      </c>
      <c r="I324" s="1" t="str">
        <f>VLOOKUP($B324&amp;"__wt",'SegEnds_Xtal_BW#'!$A:$Z,9,FALSE)</f>
        <v>-</v>
      </c>
      <c r="J324" s="1" t="str">
        <f>VLOOKUP($B324&amp;"__wt",'SegEnds_Xtal_BW#'!$A:$Z,10,FALSE)</f>
        <v>-</v>
      </c>
      <c r="K324" s="12">
        <v>23</v>
      </c>
      <c r="L324" s="1">
        <f>VLOOKUP($B324&amp;"__wt",'SegEnds_Xtal_BW#'!$A:$Z,12,FALSE)</f>
        <v>56</v>
      </c>
      <c r="M324" s="1" t="str">
        <f>VLOOKUP($B324&amp;"__wt",'SegEnds_Xtal_BW#'!$A:$Z,13,FALSE)</f>
        <v>-</v>
      </c>
      <c r="N324" s="12" t="str">
        <f>VLOOKUP($B324&amp;"__wt",'SegEnds_Xtal_BW#'!$A:$Z,14,FALSE)</f>
        <v>-</v>
      </c>
      <c r="O324" s="87">
        <f>VLOOKUP($B324&amp;"__wt",'SegEnds_Xtal_BW#'!$A:$Z,15,FALSE)</f>
        <v>37</v>
      </c>
      <c r="P324" s="1">
        <f>VLOOKUP($B324&amp;"__wt",'SegEnds_Xtal_BW#'!$A:$Z,16,FALSE)</f>
        <v>68</v>
      </c>
      <c r="Q324" s="1">
        <f>VLOOKUP($B324&amp;"__wt",'SegEnds_Xtal_BW#'!$A:$Z,17,FALSE)</f>
        <v>50</v>
      </c>
      <c r="R324" s="1">
        <f>VLOOKUP($B324&amp;"__wt",'SegEnds_Xtal_BW#'!$A:$Z,18,FALSE)</f>
        <v>52</v>
      </c>
      <c r="S324" s="1">
        <v>36</v>
      </c>
      <c r="T324" s="1">
        <v>69</v>
      </c>
      <c r="U324" s="1">
        <v>29</v>
      </c>
      <c r="V324" s="1">
        <f>VLOOKUP($B324&amp;"__wt",'SegEnds_Xtal_BW#'!$A:$Z,22,FALSE)</f>
        <v>54</v>
      </c>
      <c r="W324" s="1">
        <v>31</v>
      </c>
      <c r="X324" s="1">
        <f>VLOOKUP($B324&amp;"__wt",'SegEnds_Xtal_BW#'!$A:$Z,24,FALSE)</f>
        <v>56</v>
      </c>
      <c r="Y324" s="1">
        <f>VLOOKUP($B324&amp;"__wt",'SegEnds_Xtal_BW#'!$A:$Z,25,FALSE)</f>
        <v>47</v>
      </c>
      <c r="Z324" s="1">
        <v>63</v>
      </c>
      <c r="AA324" s="27" t="str">
        <f>VLOOKUP(A324,Classification!A:B,2,FALSE)</f>
        <v>B2</v>
      </c>
      <c r="AB324" s="1">
        <f>VLOOKUP(A324,'SegEnds_NonXtal_Prot#'!A:AL,10,FALSE)-VLOOKUP(A324,'SegEnds_NonXtal_Prot#'!A:AL,4,FALSE)</f>
        <v>28</v>
      </c>
      <c r="AC324" s="1" t="e">
        <f>VLOOKUP(A324,'SegEnds_NonXtal_Prot#'!A:AL,10,FALSE)-VLOOKUP(A324,'SegEnds_NonXtal_Prot#'!A:AL,7,FALSE)</f>
        <v>#VALUE!</v>
      </c>
      <c r="AD324" s="1" t="e">
        <f>VLOOKUP(A324,'SegEnds_NonXtal_Prot#'!A:AL,13,FALSE)-VLOOKUP(A324,'SegEnds_NonXtal_Prot#'!A:AL,10,FALSE)</f>
        <v>#VALUE!</v>
      </c>
      <c r="AE324" s="1">
        <f>VLOOKUP(A324,'SegEnds_NonXtal_Prot#'!A:AL,16,FALSE)-VLOOKUP(A324,'SegEnds_NonXtal_Prot#'!A:AL,10,FALSE)</f>
        <v>48</v>
      </c>
      <c r="AF324" s="1" t="e">
        <f>VLOOKUP(A324,'SegEnds_NonXtal_Prot#'!A:AL,22,FALSE)-VLOOKUP(A324,'SegEnds_NonXtal_Prot#'!A:AL,19,FALSE)</f>
        <v>#VALUE!</v>
      </c>
      <c r="AG324" s="1">
        <f>VLOOKUP(A324,'SegEnds_NonXtal_Prot#'!A:AL,28,FALSE)-VLOOKUP(A324,'SegEnds_NonXtal_Prot#'!A:AL,25,FALSE)</f>
        <v>19</v>
      </c>
      <c r="AH324" s="1">
        <f>VLOOKUP(A324,'SegEnds_NonXtal_Prot#'!A:AL,28,FALSE)-VLOOKUP(A324,'SegEnds_NonXtal_Prot#'!A:AL,22,FALSE)</f>
        <v>60</v>
      </c>
      <c r="AI324" s="1">
        <f>VLOOKUP(A324,'SegEnds_NonXtal_Prot#'!A:AL,31,FALSE)-VLOOKUP(A324,'SegEnds_NonXtal_Prot#'!A:AL,28,FALSE)</f>
        <v>49</v>
      </c>
      <c r="AJ324" s="1">
        <f>VLOOKUP(A324,'SegEnds_NonXtal_Prot#'!A:AL,34,FALSE)-VLOOKUP(A324,'SegEnds_NonXtal_Prot#'!A:AL,31,FALSE)</f>
        <v>28</v>
      </c>
      <c r="AK324" s="1">
        <f>VLOOKUP(A324,'SegEnds_NonXtal_Prot#'!A:AL,37,FALSE)-VLOOKUP(A324,'SegEnds_NonXtal_Prot#'!A:AL,34,FALSE)</f>
        <v>10</v>
      </c>
      <c r="AL324" s="1" t="str">
        <f>IF(ISERROR(MATCH(A324,'SegEnds_Xtal_Prot#'!B:B, 0)), "NoXtal", "Xtal")</f>
        <v>NoXtal</v>
      </c>
    </row>
    <row r="325" spans="1:38" x14ac:dyDescent="0.2">
      <c r="A325" s="1" t="s">
        <v>1422</v>
      </c>
      <c r="B325" s="1" t="str">
        <f>VLOOKUP(A325,Xtal_Templ!A:B,2,FALSE)</f>
        <v>crfr1_human</v>
      </c>
      <c r="C325" s="5">
        <v>23</v>
      </c>
      <c r="D325" s="1">
        <f>VLOOKUP($B325&amp;"__wt",'SegEnds_Xtal_BW#'!$A:$Z,4,FALSE)</f>
        <v>60</v>
      </c>
      <c r="E325" s="1">
        <f>VLOOKUP($B325&amp;"__wt",'SegEnds_Xtal_BW#'!$A:$Z,5,FALSE)</f>
        <v>48</v>
      </c>
      <c r="F325" s="1">
        <f>VLOOKUP($B325&amp;"__wt",'SegEnds_Xtal_BW#'!$A:$Z,6,FALSE)</f>
        <v>51</v>
      </c>
      <c r="G325" s="1">
        <v>37</v>
      </c>
      <c r="H325" s="12">
        <v>63</v>
      </c>
      <c r="I325" s="1" t="str">
        <f>VLOOKUP($B325&amp;"__wt",'SegEnds_Xtal_BW#'!$A:$Z,9,FALSE)</f>
        <v>-</v>
      </c>
      <c r="J325" s="1" t="str">
        <f>VLOOKUP($B325&amp;"__wt",'SegEnds_Xtal_BW#'!$A:$Z,10,FALSE)</f>
        <v>-</v>
      </c>
      <c r="K325" s="12">
        <v>23</v>
      </c>
      <c r="L325" s="1">
        <f>VLOOKUP($B325&amp;"__wt",'SegEnds_Xtal_BW#'!$A:$Z,12,FALSE)</f>
        <v>56</v>
      </c>
      <c r="M325" s="1" t="str">
        <f>VLOOKUP($B325&amp;"__wt",'SegEnds_Xtal_BW#'!$A:$Z,13,FALSE)</f>
        <v>-</v>
      </c>
      <c r="N325" s="12" t="str">
        <f>VLOOKUP($B325&amp;"__wt",'SegEnds_Xtal_BW#'!$A:$Z,14,FALSE)</f>
        <v>-</v>
      </c>
      <c r="O325" s="87">
        <f>VLOOKUP($B325&amp;"__wt",'SegEnds_Xtal_BW#'!$A:$Z,15,FALSE)</f>
        <v>40</v>
      </c>
      <c r="P325" s="1">
        <f>VLOOKUP($B325&amp;"__wt",'SegEnds_Xtal_BW#'!$A:$Z,16,FALSE)</f>
        <v>68</v>
      </c>
      <c r="Q325" s="1">
        <f>VLOOKUP($B325&amp;"__wt",'SegEnds_Xtal_BW#'!$A:$Z,17,FALSE)</f>
        <v>50</v>
      </c>
      <c r="R325" s="1">
        <f>VLOOKUP($B325&amp;"__wt",'SegEnds_Xtal_BW#'!$A:$Z,18,FALSE)</f>
        <v>52</v>
      </c>
      <c r="S325" s="1">
        <v>36</v>
      </c>
      <c r="T325" s="1">
        <v>69</v>
      </c>
      <c r="U325" s="1">
        <v>29</v>
      </c>
      <c r="V325" s="1">
        <f>VLOOKUP($B325&amp;"__wt",'SegEnds_Xtal_BW#'!$A:$Z,22,FALSE)</f>
        <v>53</v>
      </c>
      <c r="W325" s="1">
        <v>31</v>
      </c>
      <c r="X325" s="1">
        <f>VLOOKUP($B325&amp;"__wt",'SegEnds_Xtal_BW#'!$A:$Z,24,FALSE)</f>
        <v>56</v>
      </c>
      <c r="Y325" s="1">
        <f>VLOOKUP($B325&amp;"__wt",'SegEnds_Xtal_BW#'!$A:$Z,25,FALSE)</f>
        <v>47</v>
      </c>
      <c r="Z325" s="1">
        <v>63</v>
      </c>
      <c r="AA325" s="27" t="str">
        <f>VLOOKUP(A325,Classification!A:B,2,FALSE)</f>
        <v>B2</v>
      </c>
      <c r="AB325" s="1">
        <f>VLOOKUP(A325,'SegEnds_NonXtal_Prot#'!A:AL,10,FALSE)-VLOOKUP(A325,'SegEnds_NonXtal_Prot#'!A:AL,4,FALSE)</f>
        <v>29</v>
      </c>
      <c r="AC325" s="1">
        <f>VLOOKUP(A325,'SegEnds_NonXtal_Prot#'!A:AL,10,FALSE)-VLOOKUP(A325,'SegEnds_NonXtal_Prot#'!A:AL,7,FALSE)</f>
        <v>16</v>
      </c>
      <c r="AD325" s="1" t="e">
        <f>VLOOKUP(A325,'SegEnds_NonXtal_Prot#'!A:AL,13,FALSE)-VLOOKUP(A325,'SegEnds_NonXtal_Prot#'!A:AL,10,FALSE)</f>
        <v>#VALUE!</v>
      </c>
      <c r="AE325" s="1">
        <f>VLOOKUP(A325,'SegEnds_NonXtal_Prot#'!A:AL,16,FALSE)-VLOOKUP(A325,'SegEnds_NonXtal_Prot#'!A:AL,10,FALSE)</f>
        <v>47</v>
      </c>
      <c r="AF325" s="1" t="e">
        <f>VLOOKUP(A325,'SegEnds_NonXtal_Prot#'!A:AL,22,FALSE)-VLOOKUP(A325,'SegEnds_NonXtal_Prot#'!A:AL,19,FALSE)</f>
        <v>#VALUE!</v>
      </c>
      <c r="AG325" s="1">
        <f>VLOOKUP(A325,'SegEnds_NonXtal_Prot#'!A:AL,28,FALSE)-VLOOKUP(A325,'SegEnds_NonXtal_Prot#'!A:AL,25,FALSE)</f>
        <v>19</v>
      </c>
      <c r="AH325" s="1">
        <f>VLOOKUP(A325,'SegEnds_NonXtal_Prot#'!A:AL,28,FALSE)-VLOOKUP(A325,'SegEnds_NonXtal_Prot#'!A:AL,22,FALSE)</f>
        <v>53</v>
      </c>
      <c r="AI325" s="1">
        <f>VLOOKUP(A325,'SegEnds_NonXtal_Prot#'!A:AL,31,FALSE)-VLOOKUP(A325,'SegEnds_NonXtal_Prot#'!A:AL,28,FALSE)</f>
        <v>51</v>
      </c>
      <c r="AJ325" s="1">
        <f>VLOOKUP(A325,'SegEnds_NonXtal_Prot#'!A:AL,34,FALSE)-VLOOKUP(A325,'SegEnds_NonXtal_Prot#'!A:AL,31,FALSE)</f>
        <v>28</v>
      </c>
      <c r="AK325" s="1">
        <f>VLOOKUP(A325,'SegEnds_NonXtal_Prot#'!A:AL,37,FALSE)-VLOOKUP(A325,'SegEnds_NonXtal_Prot#'!A:AL,34,FALSE)</f>
        <v>10</v>
      </c>
      <c r="AL325" s="1" t="str">
        <f>IF(ISERROR(MATCH(A325,'SegEnds_Xtal_Prot#'!B:B, 0)), "NoXtal", "Xtal")</f>
        <v>NoXtal</v>
      </c>
    </row>
    <row r="326" spans="1:38" x14ac:dyDescent="0.2">
      <c r="A326" s="1" t="s">
        <v>1199</v>
      </c>
      <c r="B326" s="1" t="str">
        <f>VLOOKUP(A326,Xtal_Templ!A:B,2,FALSE)</f>
        <v>calcr_human</v>
      </c>
      <c r="C326" s="5">
        <v>23</v>
      </c>
      <c r="D326" s="1">
        <f>VLOOKUP($B326&amp;"__wt",'SegEnds_Xtal_BW#'!$A:$Z,4,FALSE)</f>
        <v>60</v>
      </c>
      <c r="E326" s="1">
        <f>VLOOKUP($B326&amp;"__wt",'SegEnds_Xtal_BW#'!$A:$Z,5,FALSE)</f>
        <v>48</v>
      </c>
      <c r="F326" s="1">
        <f>VLOOKUP($B326&amp;"__wt",'SegEnds_Xtal_BW#'!$A:$Z,6,FALSE)</f>
        <v>51</v>
      </c>
      <c r="G326" s="1">
        <v>37</v>
      </c>
      <c r="H326" s="12">
        <v>63</v>
      </c>
      <c r="I326" s="1" t="str">
        <f>VLOOKUP($B326&amp;"__wt",'SegEnds_Xtal_BW#'!$A:$Z,9,FALSE)</f>
        <v>-</v>
      </c>
      <c r="J326" s="1" t="str">
        <f>VLOOKUP($B326&amp;"__wt",'SegEnds_Xtal_BW#'!$A:$Z,10,FALSE)</f>
        <v>-</v>
      </c>
      <c r="K326" s="12">
        <v>23</v>
      </c>
      <c r="L326" s="1">
        <f>VLOOKUP($B326&amp;"__wt",'SegEnds_Xtal_BW#'!$A:$Z,12,FALSE)</f>
        <v>56</v>
      </c>
      <c r="M326" s="1" t="str">
        <f>VLOOKUP($B326&amp;"__wt",'SegEnds_Xtal_BW#'!$A:$Z,13,FALSE)</f>
        <v>-</v>
      </c>
      <c r="N326" s="12" t="str">
        <f>VLOOKUP($B326&amp;"__wt",'SegEnds_Xtal_BW#'!$A:$Z,14,FALSE)</f>
        <v>-</v>
      </c>
      <c r="O326" s="87">
        <f>VLOOKUP($B326&amp;"__wt",'SegEnds_Xtal_BW#'!$A:$Z,15,FALSE)</f>
        <v>41</v>
      </c>
      <c r="P326" s="1">
        <f>VLOOKUP($B326&amp;"__wt",'SegEnds_Xtal_BW#'!$A:$Z,16,FALSE)</f>
        <v>68</v>
      </c>
      <c r="Q326" s="1">
        <f>VLOOKUP($B326&amp;"__wt",'SegEnds_Xtal_BW#'!$A:$Z,17,FALSE)</f>
        <v>50</v>
      </c>
      <c r="R326" s="1">
        <f>VLOOKUP($B326&amp;"__wt",'SegEnds_Xtal_BW#'!$A:$Z,18,FALSE)</f>
        <v>52</v>
      </c>
      <c r="S326" s="1">
        <v>36</v>
      </c>
      <c r="T326" s="1">
        <v>69</v>
      </c>
      <c r="U326" s="1">
        <v>29</v>
      </c>
      <c r="V326" s="1">
        <f>VLOOKUP($B326&amp;"__wt",'SegEnds_Xtal_BW#'!$A:$Z,22,FALSE)</f>
        <v>53</v>
      </c>
      <c r="W326" s="1">
        <v>31</v>
      </c>
      <c r="X326" s="1">
        <f>VLOOKUP($B326&amp;"__wt",'SegEnds_Xtal_BW#'!$A:$Z,24,FALSE)</f>
        <v>56</v>
      </c>
      <c r="Y326" s="1">
        <f>VLOOKUP($B326&amp;"__wt",'SegEnds_Xtal_BW#'!$A:$Z,25,FALSE)</f>
        <v>47</v>
      </c>
      <c r="Z326" s="1">
        <v>63</v>
      </c>
      <c r="AA326" s="27" t="str">
        <f>VLOOKUP(A326,Classification!A:B,2,FALSE)</f>
        <v>B2</v>
      </c>
      <c r="AB326" s="1">
        <f>VLOOKUP(A326,'SegEnds_NonXtal_Prot#'!A:AL,10,FALSE)-VLOOKUP(A326,'SegEnds_NonXtal_Prot#'!A:AL,4,FALSE)</f>
        <v>28</v>
      </c>
      <c r="AC326" s="1">
        <f>VLOOKUP(A326,'SegEnds_NonXtal_Prot#'!A:AL,10,FALSE)-VLOOKUP(A326,'SegEnds_NonXtal_Prot#'!A:AL,7,FALSE)</f>
        <v>15</v>
      </c>
      <c r="AD326" s="1" t="e">
        <f>VLOOKUP(A326,'SegEnds_NonXtal_Prot#'!A:AL,13,FALSE)-VLOOKUP(A326,'SegEnds_NonXtal_Prot#'!A:AL,10,FALSE)</f>
        <v>#VALUE!</v>
      </c>
      <c r="AE326" s="1">
        <f>VLOOKUP(A326,'SegEnds_NonXtal_Prot#'!A:AL,16,FALSE)-VLOOKUP(A326,'SegEnds_NonXtal_Prot#'!A:AL,10,FALSE)</f>
        <v>45</v>
      </c>
      <c r="AF326" s="1" t="e">
        <f>VLOOKUP(A326,'SegEnds_NonXtal_Prot#'!A:AL,22,FALSE)-VLOOKUP(A326,'SegEnds_NonXtal_Prot#'!A:AL,19,FALSE)</f>
        <v>#VALUE!</v>
      </c>
      <c r="AG326" s="1">
        <f>VLOOKUP(A326,'SegEnds_NonXtal_Prot#'!A:AL,28,FALSE)-VLOOKUP(A326,'SegEnds_NonXtal_Prot#'!A:AL,25,FALSE)</f>
        <v>19</v>
      </c>
      <c r="AH326" s="1">
        <f>VLOOKUP(A326,'SegEnds_NonXtal_Prot#'!A:AL,28,FALSE)-VLOOKUP(A326,'SegEnds_NonXtal_Prot#'!A:AL,22,FALSE)</f>
        <v>43</v>
      </c>
      <c r="AI326" s="1">
        <f>VLOOKUP(A326,'SegEnds_NonXtal_Prot#'!A:AL,31,FALSE)-VLOOKUP(A326,'SegEnds_NonXtal_Prot#'!A:AL,28,FALSE)</f>
        <v>52</v>
      </c>
      <c r="AJ326" s="1">
        <f>VLOOKUP(A326,'SegEnds_NonXtal_Prot#'!A:AL,34,FALSE)-VLOOKUP(A326,'SegEnds_NonXtal_Prot#'!A:AL,31,FALSE)</f>
        <v>28</v>
      </c>
      <c r="AK326" s="1">
        <f>VLOOKUP(A326,'SegEnds_NonXtal_Prot#'!A:AL,37,FALSE)-VLOOKUP(A326,'SegEnds_NonXtal_Prot#'!A:AL,34,FALSE)</f>
        <v>10</v>
      </c>
      <c r="AL326" s="1" t="str">
        <f>IF(ISERROR(MATCH(A326,'SegEnds_Xtal_Prot#'!B:B, 0)), "NoXtal", "Xtal")</f>
        <v>NoXtal</v>
      </c>
    </row>
    <row r="327" spans="1:38" x14ac:dyDescent="0.2">
      <c r="A327" s="1" t="s">
        <v>1200</v>
      </c>
      <c r="B327" s="1" t="str">
        <f>VLOOKUP(A327,Xtal_Templ!A:B,2,FALSE)</f>
        <v>calcr_human</v>
      </c>
      <c r="C327" s="5">
        <v>23</v>
      </c>
      <c r="D327" s="1">
        <f>VLOOKUP($B327&amp;"__wt",'SegEnds_Xtal_BW#'!$A:$Z,4,FALSE)</f>
        <v>60</v>
      </c>
      <c r="E327" s="1">
        <f>VLOOKUP($B327&amp;"__wt",'SegEnds_Xtal_BW#'!$A:$Z,5,FALSE)</f>
        <v>48</v>
      </c>
      <c r="F327" s="1">
        <f>VLOOKUP($B327&amp;"__wt",'SegEnds_Xtal_BW#'!$A:$Z,6,FALSE)</f>
        <v>51</v>
      </c>
      <c r="G327" s="1">
        <v>37</v>
      </c>
      <c r="H327" s="12">
        <v>63</v>
      </c>
      <c r="I327" s="1" t="str">
        <f>VLOOKUP($B327&amp;"__wt",'SegEnds_Xtal_BW#'!$A:$Z,9,FALSE)</f>
        <v>-</v>
      </c>
      <c r="J327" s="1" t="str">
        <f>VLOOKUP($B327&amp;"__wt",'SegEnds_Xtal_BW#'!$A:$Z,10,FALSE)</f>
        <v>-</v>
      </c>
      <c r="K327" s="12">
        <v>23</v>
      </c>
      <c r="L327" s="1">
        <f>VLOOKUP($B327&amp;"__wt",'SegEnds_Xtal_BW#'!$A:$Z,12,FALSE)</f>
        <v>56</v>
      </c>
      <c r="M327" s="1" t="str">
        <f>VLOOKUP($B327&amp;"__wt",'SegEnds_Xtal_BW#'!$A:$Z,13,FALSE)</f>
        <v>-</v>
      </c>
      <c r="N327" s="12" t="str">
        <f>VLOOKUP($B327&amp;"__wt",'SegEnds_Xtal_BW#'!$A:$Z,14,FALSE)</f>
        <v>-</v>
      </c>
      <c r="O327" s="87">
        <f>VLOOKUP($B327&amp;"__wt",'SegEnds_Xtal_BW#'!$A:$Z,15,FALSE)</f>
        <v>41</v>
      </c>
      <c r="P327" s="1">
        <f>VLOOKUP($B327&amp;"__wt",'SegEnds_Xtal_BW#'!$A:$Z,16,FALSE)</f>
        <v>68</v>
      </c>
      <c r="Q327" s="1">
        <f>VLOOKUP($B327&amp;"__wt",'SegEnds_Xtal_BW#'!$A:$Z,17,FALSE)</f>
        <v>50</v>
      </c>
      <c r="R327" s="1">
        <f>VLOOKUP($B327&amp;"__wt",'SegEnds_Xtal_BW#'!$A:$Z,18,FALSE)</f>
        <v>52</v>
      </c>
      <c r="S327" s="1">
        <v>36</v>
      </c>
      <c r="T327" s="1">
        <v>69</v>
      </c>
      <c r="U327" s="1">
        <v>29</v>
      </c>
      <c r="V327" s="1">
        <f>VLOOKUP($B327&amp;"__wt",'SegEnds_Xtal_BW#'!$A:$Z,22,FALSE)</f>
        <v>53</v>
      </c>
      <c r="W327" s="1">
        <v>31</v>
      </c>
      <c r="X327" s="1">
        <f>VLOOKUP($B327&amp;"__wt",'SegEnds_Xtal_BW#'!$A:$Z,24,FALSE)</f>
        <v>56</v>
      </c>
      <c r="Y327" s="1">
        <f>VLOOKUP($B327&amp;"__wt",'SegEnds_Xtal_BW#'!$A:$Z,25,FALSE)</f>
        <v>47</v>
      </c>
      <c r="Z327" s="1">
        <v>63</v>
      </c>
      <c r="AA327" s="27" t="str">
        <f>VLOOKUP(A327,Classification!A:B,2,FALSE)</f>
        <v>B2</v>
      </c>
      <c r="AB327" s="1">
        <f>VLOOKUP(A327,'SegEnds_NonXtal_Prot#'!A:AL,10,FALSE)-VLOOKUP(A327,'SegEnds_NonXtal_Prot#'!A:AL,4,FALSE)</f>
        <v>28</v>
      </c>
      <c r="AC327" s="1" t="e">
        <f>VLOOKUP(A327,'SegEnds_NonXtal_Prot#'!A:AL,10,FALSE)-VLOOKUP(A327,'SegEnds_NonXtal_Prot#'!A:AL,7,FALSE)</f>
        <v>#VALUE!</v>
      </c>
      <c r="AD327" s="1" t="e">
        <f>VLOOKUP(A327,'SegEnds_NonXtal_Prot#'!A:AL,13,FALSE)-VLOOKUP(A327,'SegEnds_NonXtal_Prot#'!A:AL,10,FALSE)</f>
        <v>#VALUE!</v>
      </c>
      <c r="AE327" s="1">
        <f>VLOOKUP(A327,'SegEnds_NonXtal_Prot#'!A:AL,16,FALSE)-VLOOKUP(A327,'SegEnds_NonXtal_Prot#'!A:AL,10,FALSE)</f>
        <v>45</v>
      </c>
      <c r="AF327" s="1" t="e">
        <f>VLOOKUP(A327,'SegEnds_NonXtal_Prot#'!A:AL,22,FALSE)-VLOOKUP(A327,'SegEnds_NonXtal_Prot#'!A:AL,19,FALSE)</f>
        <v>#VALUE!</v>
      </c>
      <c r="AG327" s="1">
        <f>VLOOKUP(A327,'SegEnds_NonXtal_Prot#'!A:AL,28,FALSE)-VLOOKUP(A327,'SegEnds_NonXtal_Prot#'!A:AL,25,FALSE)</f>
        <v>19</v>
      </c>
      <c r="AH327" s="1">
        <f>VLOOKUP(A327,'SegEnds_NonXtal_Prot#'!A:AL,28,FALSE)-VLOOKUP(A327,'SegEnds_NonXtal_Prot#'!A:AL,22,FALSE)</f>
        <v>43</v>
      </c>
      <c r="AI327" s="1">
        <f>VLOOKUP(A327,'SegEnds_NonXtal_Prot#'!A:AL,31,FALSE)-VLOOKUP(A327,'SegEnds_NonXtal_Prot#'!A:AL,28,FALSE)</f>
        <v>52</v>
      </c>
      <c r="AJ327" s="1">
        <f>VLOOKUP(A327,'SegEnds_NonXtal_Prot#'!A:AL,34,FALSE)-VLOOKUP(A327,'SegEnds_NonXtal_Prot#'!A:AL,31,FALSE)</f>
        <v>28</v>
      </c>
      <c r="AK327" s="1">
        <f>VLOOKUP(A327,'SegEnds_NonXtal_Prot#'!A:AL,37,FALSE)-VLOOKUP(A327,'SegEnds_NonXtal_Prot#'!A:AL,34,FALSE)</f>
        <v>10</v>
      </c>
      <c r="AL327" s="1" t="str">
        <f>IF(ISERROR(MATCH(A327,'SegEnds_Xtal_Prot#'!B:B, 0)), "NoXtal", "Xtal")</f>
        <v>NoXtal</v>
      </c>
    </row>
    <row r="328" spans="1:38" x14ac:dyDescent="0.2">
      <c r="A328" s="1" t="s">
        <v>1201</v>
      </c>
      <c r="B328" s="1" t="str">
        <f>VLOOKUP(A328,Xtal_Templ!A:B,2,FALSE)</f>
        <v>crfr1_human</v>
      </c>
      <c r="C328" s="5">
        <v>23</v>
      </c>
      <c r="D328" s="1">
        <f>VLOOKUP($B328&amp;"__wt",'SegEnds_Xtal_BW#'!$A:$Z,4,FALSE)</f>
        <v>60</v>
      </c>
      <c r="E328" s="1">
        <f>VLOOKUP($B328&amp;"__wt",'SegEnds_Xtal_BW#'!$A:$Z,5,FALSE)</f>
        <v>48</v>
      </c>
      <c r="F328" s="1">
        <f>VLOOKUP($B328&amp;"__wt",'SegEnds_Xtal_BW#'!$A:$Z,6,FALSE)</f>
        <v>51</v>
      </c>
      <c r="G328" s="1">
        <v>37</v>
      </c>
      <c r="H328" s="12">
        <v>63</v>
      </c>
      <c r="I328" s="1" t="str">
        <f>VLOOKUP($B328&amp;"__wt",'SegEnds_Xtal_BW#'!$A:$Z,9,FALSE)</f>
        <v>-</v>
      </c>
      <c r="J328" s="1" t="str">
        <f>VLOOKUP($B328&amp;"__wt",'SegEnds_Xtal_BW#'!$A:$Z,10,FALSE)</f>
        <v>-</v>
      </c>
      <c r="K328" s="12">
        <v>23</v>
      </c>
      <c r="L328" s="1">
        <f>VLOOKUP($B328&amp;"__wt",'SegEnds_Xtal_BW#'!$A:$Z,12,FALSE)</f>
        <v>56</v>
      </c>
      <c r="M328" s="1" t="str">
        <f>VLOOKUP($B328&amp;"__wt",'SegEnds_Xtal_BW#'!$A:$Z,13,FALSE)</f>
        <v>-</v>
      </c>
      <c r="N328" s="12" t="str">
        <f>VLOOKUP($B328&amp;"__wt",'SegEnds_Xtal_BW#'!$A:$Z,14,FALSE)</f>
        <v>-</v>
      </c>
      <c r="O328" s="87">
        <f>VLOOKUP($B328&amp;"__wt",'SegEnds_Xtal_BW#'!$A:$Z,15,FALSE)</f>
        <v>40</v>
      </c>
      <c r="P328" s="1">
        <f>VLOOKUP($B328&amp;"__wt",'SegEnds_Xtal_BW#'!$A:$Z,16,FALSE)</f>
        <v>68</v>
      </c>
      <c r="Q328" s="1">
        <f>VLOOKUP($B328&amp;"__wt",'SegEnds_Xtal_BW#'!$A:$Z,17,FALSE)</f>
        <v>50</v>
      </c>
      <c r="R328" s="1">
        <f>VLOOKUP($B328&amp;"__wt",'SegEnds_Xtal_BW#'!$A:$Z,18,FALSE)</f>
        <v>52</v>
      </c>
      <c r="S328" s="1">
        <v>36</v>
      </c>
      <c r="T328" s="1">
        <v>69</v>
      </c>
      <c r="U328" s="1">
        <v>29</v>
      </c>
      <c r="V328" s="1">
        <f>VLOOKUP($B328&amp;"__wt",'SegEnds_Xtal_BW#'!$A:$Z,22,FALSE)</f>
        <v>53</v>
      </c>
      <c r="W328" s="1">
        <v>31</v>
      </c>
      <c r="X328" s="1">
        <f>VLOOKUP($B328&amp;"__wt",'SegEnds_Xtal_BW#'!$A:$Z,24,FALSE)</f>
        <v>56</v>
      </c>
      <c r="Y328" s="1">
        <f>VLOOKUP($B328&amp;"__wt",'SegEnds_Xtal_BW#'!$A:$Z,25,FALSE)</f>
        <v>47</v>
      </c>
      <c r="Z328" s="1">
        <v>63</v>
      </c>
      <c r="AA328" s="27" t="str">
        <f>VLOOKUP(A328,Classification!A:B,2,FALSE)</f>
        <v>B2</v>
      </c>
      <c r="AB328" s="1">
        <f>VLOOKUP(A328,'SegEnds_NonXtal_Prot#'!A:AL,10,FALSE)-VLOOKUP(A328,'SegEnds_NonXtal_Prot#'!A:AL,4,FALSE)</f>
        <v>28</v>
      </c>
      <c r="AC328" s="1">
        <f>VLOOKUP(A328,'SegEnds_NonXtal_Prot#'!A:AL,10,FALSE)-VLOOKUP(A328,'SegEnds_NonXtal_Prot#'!A:AL,7,FALSE)</f>
        <v>15</v>
      </c>
      <c r="AD328" s="1" t="e">
        <f>VLOOKUP(A328,'SegEnds_NonXtal_Prot#'!A:AL,13,FALSE)-VLOOKUP(A328,'SegEnds_NonXtal_Prot#'!A:AL,10,FALSE)</f>
        <v>#VALUE!</v>
      </c>
      <c r="AE328" s="1">
        <f>VLOOKUP(A328,'SegEnds_NonXtal_Prot#'!A:AL,16,FALSE)-VLOOKUP(A328,'SegEnds_NonXtal_Prot#'!A:AL,10,FALSE)</f>
        <v>45</v>
      </c>
      <c r="AF328" s="1" t="e">
        <f>VLOOKUP(A328,'SegEnds_NonXtal_Prot#'!A:AL,22,FALSE)-VLOOKUP(A328,'SegEnds_NonXtal_Prot#'!A:AL,19,FALSE)</f>
        <v>#VALUE!</v>
      </c>
      <c r="AG328" s="1">
        <f>VLOOKUP(A328,'SegEnds_NonXtal_Prot#'!A:AL,28,FALSE)-VLOOKUP(A328,'SegEnds_NonXtal_Prot#'!A:AL,25,FALSE)</f>
        <v>19</v>
      </c>
      <c r="AH328" s="1">
        <f>VLOOKUP(A328,'SegEnds_NonXtal_Prot#'!A:AL,28,FALSE)-VLOOKUP(A328,'SegEnds_NonXtal_Prot#'!A:AL,22,FALSE)</f>
        <v>43</v>
      </c>
      <c r="AI328" s="1">
        <f>VLOOKUP(A328,'SegEnds_NonXtal_Prot#'!A:AL,31,FALSE)-VLOOKUP(A328,'SegEnds_NonXtal_Prot#'!A:AL,28,FALSE)</f>
        <v>52</v>
      </c>
      <c r="AJ328" s="1">
        <f>VLOOKUP(A328,'SegEnds_NonXtal_Prot#'!A:AL,34,FALSE)-VLOOKUP(A328,'SegEnds_NonXtal_Prot#'!A:AL,31,FALSE)</f>
        <v>28</v>
      </c>
      <c r="AK328" s="1">
        <f>VLOOKUP(A328,'SegEnds_NonXtal_Prot#'!A:AL,37,FALSE)-VLOOKUP(A328,'SegEnds_NonXtal_Prot#'!A:AL,34,FALSE)</f>
        <v>10</v>
      </c>
      <c r="AL328" s="1" t="str">
        <f>IF(ISERROR(MATCH(A328,'SegEnds_Xtal_Prot#'!B:B, 0)), "NoXtal", "Xtal")</f>
        <v>NoXtal</v>
      </c>
    </row>
    <row r="329" spans="1:38" x14ac:dyDescent="0.2">
      <c r="A329" s="1" t="s">
        <v>1202</v>
      </c>
      <c r="B329" s="1" t="str">
        <f>VLOOKUP(A329,Xtal_Templ!A:B,2,FALSE)</f>
        <v>crfr1_human</v>
      </c>
      <c r="C329" s="5">
        <v>23</v>
      </c>
      <c r="D329" s="1">
        <f>VLOOKUP($B329&amp;"__wt",'SegEnds_Xtal_BW#'!$A:$Z,4,FALSE)</f>
        <v>60</v>
      </c>
      <c r="E329" s="1">
        <f>VLOOKUP($B329&amp;"__wt",'SegEnds_Xtal_BW#'!$A:$Z,5,FALSE)</f>
        <v>48</v>
      </c>
      <c r="F329" s="1">
        <f>VLOOKUP($B329&amp;"__wt",'SegEnds_Xtal_BW#'!$A:$Z,6,FALSE)</f>
        <v>51</v>
      </c>
      <c r="G329" s="1">
        <v>37</v>
      </c>
      <c r="H329" s="12">
        <v>63</v>
      </c>
      <c r="I329" s="1" t="str">
        <f>VLOOKUP($B329&amp;"__wt",'SegEnds_Xtal_BW#'!$A:$Z,9,FALSE)</f>
        <v>-</v>
      </c>
      <c r="J329" s="1" t="str">
        <f>VLOOKUP($B329&amp;"__wt",'SegEnds_Xtal_BW#'!$A:$Z,10,FALSE)</f>
        <v>-</v>
      </c>
      <c r="K329" s="12">
        <v>23</v>
      </c>
      <c r="L329" s="1">
        <f>VLOOKUP($B329&amp;"__wt",'SegEnds_Xtal_BW#'!$A:$Z,12,FALSE)</f>
        <v>56</v>
      </c>
      <c r="M329" s="1" t="str">
        <f>VLOOKUP($B329&amp;"__wt",'SegEnds_Xtal_BW#'!$A:$Z,13,FALSE)</f>
        <v>-</v>
      </c>
      <c r="N329" s="12" t="str">
        <f>VLOOKUP($B329&amp;"__wt",'SegEnds_Xtal_BW#'!$A:$Z,14,FALSE)</f>
        <v>-</v>
      </c>
      <c r="O329" s="87">
        <f>VLOOKUP($B329&amp;"__wt",'SegEnds_Xtal_BW#'!$A:$Z,15,FALSE)</f>
        <v>40</v>
      </c>
      <c r="P329" s="1">
        <f>VLOOKUP($B329&amp;"__wt",'SegEnds_Xtal_BW#'!$A:$Z,16,FALSE)</f>
        <v>68</v>
      </c>
      <c r="Q329" s="1">
        <f>VLOOKUP($B329&amp;"__wt",'SegEnds_Xtal_BW#'!$A:$Z,17,FALSE)</f>
        <v>50</v>
      </c>
      <c r="R329" s="1">
        <f>VLOOKUP($B329&amp;"__wt",'SegEnds_Xtal_BW#'!$A:$Z,18,FALSE)</f>
        <v>52</v>
      </c>
      <c r="S329" s="1">
        <v>36</v>
      </c>
      <c r="T329" s="1">
        <v>69</v>
      </c>
      <c r="U329" s="1">
        <v>29</v>
      </c>
      <c r="V329" s="1">
        <f>VLOOKUP($B329&amp;"__wt",'SegEnds_Xtal_BW#'!$A:$Z,22,FALSE)</f>
        <v>53</v>
      </c>
      <c r="W329" s="1">
        <v>31</v>
      </c>
      <c r="X329" s="1">
        <f>VLOOKUP($B329&amp;"__wt",'SegEnds_Xtal_BW#'!$A:$Z,24,FALSE)</f>
        <v>56</v>
      </c>
      <c r="Y329" s="1">
        <f>VLOOKUP($B329&amp;"__wt",'SegEnds_Xtal_BW#'!$A:$Z,25,FALSE)</f>
        <v>47</v>
      </c>
      <c r="Z329" s="1">
        <v>63</v>
      </c>
      <c r="AA329" s="27" t="str">
        <f>VLOOKUP(A329,Classification!A:B,2,FALSE)</f>
        <v>B2</v>
      </c>
      <c r="AB329" s="1">
        <f>VLOOKUP(A329,'SegEnds_NonXtal_Prot#'!A:AL,10,FALSE)-VLOOKUP(A329,'SegEnds_NonXtal_Prot#'!A:AL,4,FALSE)</f>
        <v>28</v>
      </c>
      <c r="AC329" s="1" t="e">
        <f>VLOOKUP(A329,'SegEnds_NonXtal_Prot#'!A:AL,10,FALSE)-VLOOKUP(A329,'SegEnds_NonXtal_Prot#'!A:AL,7,FALSE)</f>
        <v>#VALUE!</v>
      </c>
      <c r="AD329" s="1" t="e">
        <f>VLOOKUP(A329,'SegEnds_NonXtal_Prot#'!A:AL,13,FALSE)-VLOOKUP(A329,'SegEnds_NonXtal_Prot#'!A:AL,10,FALSE)</f>
        <v>#VALUE!</v>
      </c>
      <c r="AE329" s="1">
        <f>VLOOKUP(A329,'SegEnds_NonXtal_Prot#'!A:AL,16,FALSE)-VLOOKUP(A329,'SegEnds_NonXtal_Prot#'!A:AL,10,FALSE)</f>
        <v>45</v>
      </c>
      <c r="AF329" s="1" t="e">
        <f>VLOOKUP(A329,'SegEnds_NonXtal_Prot#'!A:AL,22,FALSE)-VLOOKUP(A329,'SegEnds_NonXtal_Prot#'!A:AL,19,FALSE)</f>
        <v>#VALUE!</v>
      </c>
      <c r="AG329" s="1">
        <f>VLOOKUP(A329,'SegEnds_NonXtal_Prot#'!A:AL,28,FALSE)-VLOOKUP(A329,'SegEnds_NonXtal_Prot#'!A:AL,25,FALSE)</f>
        <v>19</v>
      </c>
      <c r="AH329" s="1">
        <f>VLOOKUP(A329,'SegEnds_NonXtal_Prot#'!A:AL,28,FALSE)-VLOOKUP(A329,'SegEnds_NonXtal_Prot#'!A:AL,22,FALSE)</f>
        <v>43</v>
      </c>
      <c r="AI329" s="1">
        <f>VLOOKUP(A329,'SegEnds_NonXtal_Prot#'!A:AL,31,FALSE)-VLOOKUP(A329,'SegEnds_NonXtal_Prot#'!A:AL,28,FALSE)</f>
        <v>52</v>
      </c>
      <c r="AJ329" s="1">
        <f>VLOOKUP(A329,'SegEnds_NonXtal_Prot#'!A:AL,34,FALSE)-VLOOKUP(A329,'SegEnds_NonXtal_Prot#'!A:AL,31,FALSE)</f>
        <v>28</v>
      </c>
      <c r="AK329" s="1">
        <f>VLOOKUP(A329,'SegEnds_NonXtal_Prot#'!A:AL,37,FALSE)-VLOOKUP(A329,'SegEnds_NonXtal_Prot#'!A:AL,34,FALSE)</f>
        <v>10</v>
      </c>
      <c r="AL329" s="1" t="str">
        <f>IF(ISERROR(MATCH(A329,'SegEnds_Xtal_Prot#'!B:B, 0)), "NoXtal", "Xtal")</f>
        <v>NoXtal</v>
      </c>
    </row>
    <row r="330" spans="1:38" x14ac:dyDescent="0.2">
      <c r="A330" s="4" t="s">
        <v>417</v>
      </c>
      <c r="B330" s="4" t="str">
        <f>VLOOKUP(A330,Xtal_Templ!A:B,2,FALSE)</f>
        <v>glp1r_human</v>
      </c>
      <c r="C330" s="5">
        <v>23</v>
      </c>
      <c r="D330" s="4">
        <f>VLOOKUP($B330&amp;"__wt",'SegEnds_Xtal_BW#'!$A:$Z,4,FALSE)</f>
        <v>60</v>
      </c>
      <c r="E330" s="4">
        <f>VLOOKUP($B330&amp;"__wt",'SegEnds_Xtal_BW#'!$A:$Z,5,FALSE)</f>
        <v>48</v>
      </c>
      <c r="F330" s="4">
        <f>VLOOKUP($B330&amp;"__wt",'SegEnds_Xtal_BW#'!$A:$Z,6,FALSE)</f>
        <v>51</v>
      </c>
      <c r="G330" s="4">
        <v>37</v>
      </c>
      <c r="H330" s="11">
        <v>63</v>
      </c>
      <c r="I330" s="4" t="str">
        <f>VLOOKUP($B330&amp;"__wt",'SegEnds_Xtal_BW#'!$A:$Z,9,FALSE)</f>
        <v>-</v>
      </c>
      <c r="J330" s="4" t="str">
        <f>VLOOKUP($B330&amp;"__wt",'SegEnds_Xtal_BW#'!$A:$Z,10,FALSE)</f>
        <v>-</v>
      </c>
      <c r="K330" s="11">
        <v>23</v>
      </c>
      <c r="L330" s="4">
        <f>VLOOKUP($B330&amp;"__wt",'SegEnds_Xtal_BW#'!$A:$Z,12,FALSE)</f>
        <v>56</v>
      </c>
      <c r="M330" s="4" t="str">
        <f>VLOOKUP($B330&amp;"__wt",'SegEnds_Xtal_BW#'!$A:$Z,13,FALSE)</f>
        <v>-</v>
      </c>
      <c r="N330" s="11" t="str">
        <f>VLOOKUP($B330&amp;"__wt",'SegEnds_Xtal_BW#'!$A:$Z,14,FALSE)</f>
        <v>-</v>
      </c>
      <c r="O330" s="88">
        <f>VLOOKUP($B330&amp;"__wt",'SegEnds_Xtal_BW#'!$A:$Z,15,FALSE)</f>
        <v>38</v>
      </c>
      <c r="P330" s="4">
        <f>VLOOKUP($B330&amp;"__wt",'SegEnds_Xtal_BW#'!$A:$Z,16,FALSE)</f>
        <v>68</v>
      </c>
      <c r="Q330" s="4">
        <f>VLOOKUP($B330&amp;"__wt",'SegEnds_Xtal_BW#'!$A:$Z,17,FALSE)</f>
        <v>50</v>
      </c>
      <c r="R330" s="4">
        <f>VLOOKUP($B330&amp;"__wt",'SegEnds_Xtal_BW#'!$A:$Z,18,FALSE)</f>
        <v>52</v>
      </c>
      <c r="S330" s="4">
        <v>36</v>
      </c>
      <c r="T330" s="4">
        <v>69</v>
      </c>
      <c r="U330" s="4">
        <v>29</v>
      </c>
      <c r="V330" s="4">
        <f>VLOOKUP($B330&amp;"__wt",'SegEnds_Xtal_BW#'!$A:$Z,22,FALSE)</f>
        <v>53</v>
      </c>
      <c r="W330" s="4">
        <v>31</v>
      </c>
      <c r="X330" s="4">
        <f>VLOOKUP($B330&amp;"__wt",'SegEnds_Xtal_BW#'!$A:$Z,24,FALSE)</f>
        <v>56</v>
      </c>
      <c r="Y330" s="4">
        <f>VLOOKUP($B330&amp;"__wt",'SegEnds_Xtal_BW#'!$A:$Z,25,FALSE)</f>
        <v>47</v>
      </c>
      <c r="Z330" s="4">
        <v>63</v>
      </c>
      <c r="AA330" s="27" t="str">
        <f>VLOOKUP(A330,Classification!A:B,2,FALSE)</f>
        <v>B2</v>
      </c>
      <c r="AB330" s="1">
        <f>VLOOKUP(A330,'SegEnds_NonXtal_Prot#'!A:AL,10,FALSE)-VLOOKUP(A330,'SegEnds_NonXtal_Prot#'!A:AL,4,FALSE)</f>
        <v>28</v>
      </c>
      <c r="AC330" s="4" t="e">
        <f>VLOOKUP(A330,'SegEnds_NonXtal_Prot#'!A:AL,10,FALSE)-VLOOKUP(A330,'SegEnds_NonXtal_Prot#'!A:AL,7,FALSE)</f>
        <v>#VALUE!</v>
      </c>
      <c r="AD330" s="4" t="e">
        <f>VLOOKUP(A330,'SegEnds_NonXtal_Prot#'!A:AL,13,FALSE)-VLOOKUP(A330,'SegEnds_NonXtal_Prot#'!A:AL,10,FALSE)</f>
        <v>#VALUE!</v>
      </c>
      <c r="AE330" s="4">
        <f>VLOOKUP(A330,'SegEnds_NonXtal_Prot#'!A:AL,16,FALSE)-VLOOKUP(A330,'SegEnds_NonXtal_Prot#'!A:AL,10,FALSE)</f>
        <v>47</v>
      </c>
      <c r="AF330" s="1" t="e">
        <f>VLOOKUP(A330,'SegEnds_NonXtal_Prot#'!A:AL,22,FALSE)-VLOOKUP(A330,'SegEnds_NonXtal_Prot#'!A:AL,19,FALSE)</f>
        <v>#VALUE!</v>
      </c>
      <c r="AG330" s="4">
        <f>VLOOKUP(A330,'SegEnds_NonXtal_Prot#'!A:AL,28,FALSE)-VLOOKUP(A330,'SegEnds_NonXtal_Prot#'!A:AL,25,FALSE)</f>
        <v>19</v>
      </c>
      <c r="AH330" s="1">
        <f>VLOOKUP(A330,'SegEnds_NonXtal_Prot#'!A:AL,28,FALSE)-VLOOKUP(A330,'SegEnds_NonXtal_Prot#'!A:AL,22,FALSE)</f>
        <v>43</v>
      </c>
      <c r="AI330" s="4">
        <f>VLOOKUP(A330,'SegEnds_NonXtal_Prot#'!A:AL,31,FALSE)-VLOOKUP(A330,'SegEnds_NonXtal_Prot#'!A:AL,28,FALSE)</f>
        <v>52</v>
      </c>
      <c r="AJ330" s="4">
        <f>VLOOKUP(A330,'SegEnds_NonXtal_Prot#'!A:AL,34,FALSE)-VLOOKUP(A330,'SegEnds_NonXtal_Prot#'!A:AL,31,FALSE)</f>
        <v>28</v>
      </c>
      <c r="AK330" s="1">
        <f>VLOOKUP(A330,'SegEnds_NonXtal_Prot#'!A:AL,37,FALSE)-VLOOKUP(A330,'SegEnds_NonXtal_Prot#'!A:AL,34,FALSE)</f>
        <v>10</v>
      </c>
      <c r="AL330" s="1" t="str">
        <f>IF(ISERROR(MATCH(A330,'SegEnds_Xtal_Prot#'!B:B, 0)), "NoXtal", "Xtal")</f>
        <v>NoXtal</v>
      </c>
    </row>
    <row r="331" spans="1:38" x14ac:dyDescent="0.2">
      <c r="A331" s="1" t="s">
        <v>418</v>
      </c>
      <c r="B331" s="1" t="str">
        <f>VLOOKUP(A331,Xtal_Templ!A:B,2,FALSE)</f>
        <v>pth1r_human</v>
      </c>
      <c r="C331" s="5">
        <v>23</v>
      </c>
      <c r="D331" s="1">
        <f>VLOOKUP($B331&amp;"__wt",'SegEnds_Xtal_BW#'!$A:$Z,4,FALSE)</f>
        <v>60</v>
      </c>
      <c r="E331" s="1">
        <f>VLOOKUP($B331&amp;"__wt",'SegEnds_Xtal_BW#'!$A:$Z,5,FALSE)</f>
        <v>48</v>
      </c>
      <c r="F331" s="1">
        <f>VLOOKUP($B331&amp;"__wt",'SegEnds_Xtal_BW#'!$A:$Z,6,FALSE)</f>
        <v>51</v>
      </c>
      <c r="G331" s="1">
        <v>37</v>
      </c>
      <c r="H331" s="12">
        <v>63</v>
      </c>
      <c r="I331" s="1" t="str">
        <f>VLOOKUP($B331&amp;"__wt",'SegEnds_Xtal_BW#'!$A:$Z,9,FALSE)</f>
        <v>-</v>
      </c>
      <c r="J331" s="1" t="str">
        <f>VLOOKUP($B331&amp;"__wt",'SegEnds_Xtal_BW#'!$A:$Z,10,FALSE)</f>
        <v>-</v>
      </c>
      <c r="K331" s="12">
        <v>23</v>
      </c>
      <c r="L331" s="1">
        <f>VLOOKUP($B331&amp;"__wt",'SegEnds_Xtal_BW#'!$A:$Z,12,FALSE)</f>
        <v>56</v>
      </c>
      <c r="M331" s="1" t="str">
        <f>VLOOKUP($B331&amp;"__wt",'SegEnds_Xtal_BW#'!$A:$Z,13,FALSE)</f>
        <v>-</v>
      </c>
      <c r="N331" s="12" t="str">
        <f>VLOOKUP($B331&amp;"__wt",'SegEnds_Xtal_BW#'!$A:$Z,14,FALSE)</f>
        <v>-</v>
      </c>
      <c r="O331" s="87">
        <f>VLOOKUP($B331&amp;"__wt",'SegEnds_Xtal_BW#'!$A:$Z,15,FALSE)</f>
        <v>37</v>
      </c>
      <c r="P331" s="1">
        <f>VLOOKUP($B331&amp;"__wt",'SegEnds_Xtal_BW#'!$A:$Z,16,FALSE)</f>
        <v>68</v>
      </c>
      <c r="Q331" s="1">
        <f>VLOOKUP($B331&amp;"__wt",'SegEnds_Xtal_BW#'!$A:$Z,17,FALSE)</f>
        <v>50</v>
      </c>
      <c r="R331" s="1">
        <f>VLOOKUP($B331&amp;"__wt",'SegEnds_Xtal_BW#'!$A:$Z,18,FALSE)</f>
        <v>52</v>
      </c>
      <c r="S331" s="1">
        <v>36</v>
      </c>
      <c r="T331" s="1">
        <v>69</v>
      </c>
      <c r="U331" s="1">
        <v>29</v>
      </c>
      <c r="V331" s="1">
        <f>VLOOKUP($B331&amp;"__wt",'SegEnds_Xtal_BW#'!$A:$Z,22,FALSE)</f>
        <v>54</v>
      </c>
      <c r="W331" s="1">
        <v>31</v>
      </c>
      <c r="X331" s="1">
        <f>VLOOKUP($B331&amp;"__wt",'SegEnds_Xtal_BW#'!$A:$Z,24,FALSE)</f>
        <v>56</v>
      </c>
      <c r="Y331" s="1">
        <f>VLOOKUP($B331&amp;"__wt",'SegEnds_Xtal_BW#'!$A:$Z,25,FALSE)</f>
        <v>47</v>
      </c>
      <c r="Z331" s="1">
        <v>63</v>
      </c>
      <c r="AA331" s="27" t="str">
        <f>VLOOKUP(A331,Classification!A:B,2,FALSE)</f>
        <v>B2</v>
      </c>
      <c r="AB331" s="1">
        <f>VLOOKUP(A331,'SegEnds_NonXtal_Prot#'!A:AL,10,FALSE)-VLOOKUP(A331,'SegEnds_NonXtal_Prot#'!A:AL,4,FALSE)</f>
        <v>28</v>
      </c>
      <c r="AC331" s="1">
        <f>VLOOKUP(A331,'SegEnds_NonXtal_Prot#'!A:AL,10,FALSE)-VLOOKUP(A331,'SegEnds_NonXtal_Prot#'!A:AL,7,FALSE)</f>
        <v>15</v>
      </c>
      <c r="AD331" s="1" t="e">
        <f>VLOOKUP(A331,'SegEnds_NonXtal_Prot#'!A:AL,13,FALSE)-VLOOKUP(A331,'SegEnds_NonXtal_Prot#'!A:AL,10,FALSE)</f>
        <v>#VALUE!</v>
      </c>
      <c r="AE331" s="1">
        <f>VLOOKUP(A331,'SegEnds_NonXtal_Prot#'!A:AL,16,FALSE)-VLOOKUP(A331,'SegEnds_NonXtal_Prot#'!A:AL,10,FALSE)</f>
        <v>45</v>
      </c>
      <c r="AF331" s="1" t="e">
        <f>VLOOKUP(A331,'SegEnds_NonXtal_Prot#'!A:AL,22,FALSE)-VLOOKUP(A331,'SegEnds_NonXtal_Prot#'!A:AL,19,FALSE)</f>
        <v>#VALUE!</v>
      </c>
      <c r="AG331" s="1">
        <f>VLOOKUP(A331,'SegEnds_NonXtal_Prot#'!A:AL,28,FALSE)-VLOOKUP(A331,'SegEnds_NonXtal_Prot#'!A:AL,25,FALSE)</f>
        <v>19</v>
      </c>
      <c r="AH331" s="1">
        <f>VLOOKUP(A331,'SegEnds_NonXtal_Prot#'!A:AL,28,FALSE)-VLOOKUP(A331,'SegEnds_NonXtal_Prot#'!A:AL,22,FALSE)</f>
        <v>43</v>
      </c>
      <c r="AI331" s="1">
        <f>VLOOKUP(A331,'SegEnds_NonXtal_Prot#'!A:AL,31,FALSE)-VLOOKUP(A331,'SegEnds_NonXtal_Prot#'!A:AL,28,FALSE)</f>
        <v>48</v>
      </c>
      <c r="AJ331" s="1">
        <f>VLOOKUP(A331,'SegEnds_NonXtal_Prot#'!A:AL,34,FALSE)-VLOOKUP(A331,'SegEnds_NonXtal_Prot#'!A:AL,31,FALSE)</f>
        <v>28</v>
      </c>
      <c r="AK331" s="1">
        <f>VLOOKUP(A331,'SegEnds_NonXtal_Prot#'!A:AL,37,FALSE)-VLOOKUP(A331,'SegEnds_NonXtal_Prot#'!A:AL,34,FALSE)</f>
        <v>10</v>
      </c>
      <c r="AL331" s="1" t="str">
        <f>IF(ISERROR(MATCH(A331,'SegEnds_Xtal_Prot#'!B:B, 0)), "NoXtal", "Xtal")</f>
        <v>NoXtal</v>
      </c>
    </row>
    <row r="332" spans="1:38" x14ac:dyDescent="0.2">
      <c r="A332" s="4" t="s">
        <v>419</v>
      </c>
      <c r="B332" s="4" t="str">
        <f>VLOOKUP(A332,Xtal_Templ!A:B,2,FALSE)</f>
        <v>calrl_human</v>
      </c>
      <c r="C332" s="5">
        <v>23</v>
      </c>
      <c r="D332" s="4">
        <f>VLOOKUP($B332&amp;"__wt",'SegEnds_Xtal_BW#'!$A:$Z,4,FALSE)</f>
        <v>60</v>
      </c>
      <c r="E332" s="4">
        <f>VLOOKUP($B332&amp;"__wt",'SegEnds_Xtal_BW#'!$A:$Z,5,FALSE)</f>
        <v>48</v>
      </c>
      <c r="F332" s="4">
        <f>VLOOKUP($B332&amp;"__wt",'SegEnds_Xtal_BW#'!$A:$Z,6,FALSE)</f>
        <v>51</v>
      </c>
      <c r="G332" s="4">
        <v>37</v>
      </c>
      <c r="H332" s="11">
        <v>63</v>
      </c>
      <c r="I332" s="4" t="str">
        <f>VLOOKUP($B332&amp;"__wt",'SegEnds_Xtal_BW#'!$A:$Z,9,FALSE)</f>
        <v>-</v>
      </c>
      <c r="J332" s="4" t="str">
        <f>VLOOKUP($B332&amp;"__wt",'SegEnds_Xtal_BW#'!$A:$Z,10,FALSE)</f>
        <v>-</v>
      </c>
      <c r="K332" s="11">
        <v>23</v>
      </c>
      <c r="L332" s="4">
        <f>VLOOKUP($B332&amp;"__wt",'SegEnds_Xtal_BW#'!$A:$Z,12,FALSE)</f>
        <v>56</v>
      </c>
      <c r="M332" s="4" t="str">
        <f>VLOOKUP($B332&amp;"__wt",'SegEnds_Xtal_BW#'!$A:$Z,13,FALSE)</f>
        <v>-</v>
      </c>
      <c r="N332" s="11" t="str">
        <f>VLOOKUP($B332&amp;"__wt",'SegEnds_Xtal_BW#'!$A:$Z,14,FALSE)</f>
        <v>-</v>
      </c>
      <c r="O332" s="88">
        <f>VLOOKUP($B332&amp;"__wt",'SegEnds_Xtal_BW#'!$A:$Z,15,FALSE)</f>
        <v>41</v>
      </c>
      <c r="P332" s="4">
        <f>VLOOKUP($B332&amp;"__wt",'SegEnds_Xtal_BW#'!$A:$Z,16,FALSE)</f>
        <v>67</v>
      </c>
      <c r="Q332" s="4">
        <f>VLOOKUP($B332&amp;"__wt",'SegEnds_Xtal_BW#'!$A:$Z,17,FALSE)</f>
        <v>50</v>
      </c>
      <c r="R332" s="4">
        <f>VLOOKUP($B332&amp;"__wt",'SegEnds_Xtal_BW#'!$A:$Z,18,FALSE)</f>
        <v>52</v>
      </c>
      <c r="S332" s="4">
        <v>36</v>
      </c>
      <c r="T332" s="4">
        <v>69</v>
      </c>
      <c r="U332" s="4">
        <v>29</v>
      </c>
      <c r="V332" s="4">
        <f>VLOOKUP($B332&amp;"__wt",'SegEnds_Xtal_BW#'!$A:$Z,22,FALSE)</f>
        <v>53</v>
      </c>
      <c r="W332" s="4">
        <v>31</v>
      </c>
      <c r="X332" s="4">
        <f>VLOOKUP($B332&amp;"__wt",'SegEnds_Xtal_BW#'!$A:$Z,24,FALSE)</f>
        <v>56</v>
      </c>
      <c r="Y332" s="4">
        <f>VLOOKUP($B332&amp;"__wt",'SegEnds_Xtal_BW#'!$A:$Z,25,FALSE)</f>
        <v>47</v>
      </c>
      <c r="Z332" s="4">
        <v>63</v>
      </c>
      <c r="AA332" s="27" t="str">
        <f>VLOOKUP(A332,Classification!A:B,2,FALSE)</f>
        <v>B2</v>
      </c>
      <c r="AB332" s="1">
        <f>VLOOKUP(A332,'SegEnds_NonXtal_Prot#'!A:AL,10,FALSE)-VLOOKUP(A332,'SegEnds_NonXtal_Prot#'!A:AL,4,FALSE)</f>
        <v>28</v>
      </c>
      <c r="AC332" s="4">
        <f>VLOOKUP(A332,'SegEnds_NonXtal_Prot#'!A:AL,10,FALSE)-VLOOKUP(A332,'SegEnds_NonXtal_Prot#'!A:AL,7,FALSE)</f>
        <v>15</v>
      </c>
      <c r="AD332" s="4" t="e">
        <f>VLOOKUP(A332,'SegEnds_NonXtal_Prot#'!A:AL,13,FALSE)-VLOOKUP(A332,'SegEnds_NonXtal_Prot#'!A:AL,10,FALSE)</f>
        <v>#VALUE!</v>
      </c>
      <c r="AE332" s="4">
        <f>VLOOKUP(A332,'SegEnds_NonXtal_Prot#'!A:AL,16,FALSE)-VLOOKUP(A332,'SegEnds_NonXtal_Prot#'!A:AL,10,FALSE)</f>
        <v>45</v>
      </c>
      <c r="AF332" s="1" t="e">
        <f>VLOOKUP(A332,'SegEnds_NonXtal_Prot#'!A:AL,22,FALSE)-VLOOKUP(A332,'SegEnds_NonXtal_Prot#'!A:AL,19,FALSE)</f>
        <v>#VALUE!</v>
      </c>
      <c r="AG332" s="4">
        <f>VLOOKUP(A332,'SegEnds_NonXtal_Prot#'!A:AL,28,FALSE)-VLOOKUP(A332,'SegEnds_NonXtal_Prot#'!A:AL,25,FALSE)</f>
        <v>19</v>
      </c>
      <c r="AH332" s="1">
        <f>VLOOKUP(A332,'SegEnds_NonXtal_Prot#'!A:AL,28,FALSE)-VLOOKUP(A332,'SegEnds_NonXtal_Prot#'!A:AL,22,FALSE)</f>
        <v>43</v>
      </c>
      <c r="AI332" s="4">
        <f>VLOOKUP(A332,'SegEnds_NonXtal_Prot#'!A:AL,31,FALSE)-VLOOKUP(A332,'SegEnds_NonXtal_Prot#'!A:AL,28,FALSE)</f>
        <v>48</v>
      </c>
      <c r="AJ332" s="4">
        <f>VLOOKUP(A332,'SegEnds_NonXtal_Prot#'!A:AL,34,FALSE)-VLOOKUP(A332,'SegEnds_NonXtal_Prot#'!A:AL,31,FALSE)</f>
        <v>28</v>
      </c>
      <c r="AK332" s="1">
        <f>VLOOKUP(A332,'SegEnds_NonXtal_Prot#'!A:AL,37,FALSE)-VLOOKUP(A332,'SegEnds_NonXtal_Prot#'!A:AL,34,FALSE)</f>
        <v>10</v>
      </c>
      <c r="AL332" s="1" t="str">
        <f>IF(ISERROR(MATCH(A332,'SegEnds_Xtal_Prot#'!B:B, 0)), "NoXtal", "Xtal")</f>
        <v>NoXtal</v>
      </c>
    </row>
    <row r="333" spans="1:38" x14ac:dyDescent="0.2">
      <c r="A333" s="1" t="s">
        <v>420</v>
      </c>
      <c r="B333" s="1" t="str">
        <f>VLOOKUP(A333,Xtal_Templ!A:B,2,FALSE)</f>
        <v>crfr1_human</v>
      </c>
      <c r="C333" s="5">
        <v>23</v>
      </c>
      <c r="D333" s="1">
        <f>VLOOKUP($B333&amp;"__wt",'SegEnds_Xtal_BW#'!$A:$Z,4,FALSE)</f>
        <v>60</v>
      </c>
      <c r="E333" s="1">
        <f>VLOOKUP($B333&amp;"__wt",'SegEnds_Xtal_BW#'!$A:$Z,5,FALSE)</f>
        <v>48</v>
      </c>
      <c r="F333" s="1">
        <f>VLOOKUP($B333&amp;"__wt",'SegEnds_Xtal_BW#'!$A:$Z,6,FALSE)</f>
        <v>51</v>
      </c>
      <c r="G333" s="1">
        <v>37</v>
      </c>
      <c r="H333" s="12">
        <v>63</v>
      </c>
      <c r="I333" s="1" t="str">
        <f>VLOOKUP($B333&amp;"__wt",'SegEnds_Xtal_BW#'!$A:$Z,9,FALSE)</f>
        <v>-</v>
      </c>
      <c r="J333" s="1" t="str">
        <f>VLOOKUP($B333&amp;"__wt",'SegEnds_Xtal_BW#'!$A:$Z,10,FALSE)</f>
        <v>-</v>
      </c>
      <c r="K333" s="12">
        <v>23</v>
      </c>
      <c r="L333" s="1">
        <f>VLOOKUP($B333&amp;"__wt",'SegEnds_Xtal_BW#'!$A:$Z,12,FALSE)</f>
        <v>56</v>
      </c>
      <c r="M333" s="1" t="str">
        <f>VLOOKUP($B333&amp;"__wt",'SegEnds_Xtal_BW#'!$A:$Z,13,FALSE)</f>
        <v>-</v>
      </c>
      <c r="N333" s="12" t="str">
        <f>VLOOKUP($B333&amp;"__wt",'SegEnds_Xtal_BW#'!$A:$Z,14,FALSE)</f>
        <v>-</v>
      </c>
      <c r="O333" s="87">
        <f>VLOOKUP($B333&amp;"__wt",'SegEnds_Xtal_BW#'!$A:$Z,15,FALSE)</f>
        <v>40</v>
      </c>
      <c r="P333" s="1">
        <f>VLOOKUP($B333&amp;"__wt",'SegEnds_Xtal_BW#'!$A:$Z,16,FALSE)</f>
        <v>68</v>
      </c>
      <c r="Q333" s="1">
        <f>VLOOKUP($B333&amp;"__wt",'SegEnds_Xtal_BW#'!$A:$Z,17,FALSE)</f>
        <v>50</v>
      </c>
      <c r="R333" s="1">
        <f>VLOOKUP($B333&amp;"__wt",'SegEnds_Xtal_BW#'!$A:$Z,18,FALSE)</f>
        <v>52</v>
      </c>
      <c r="S333" s="1">
        <v>36</v>
      </c>
      <c r="T333" s="1">
        <v>69</v>
      </c>
      <c r="U333" s="1">
        <v>29</v>
      </c>
      <c r="V333" s="1">
        <f>VLOOKUP($B333&amp;"__wt",'SegEnds_Xtal_BW#'!$A:$Z,22,FALSE)</f>
        <v>53</v>
      </c>
      <c r="W333" s="1">
        <v>31</v>
      </c>
      <c r="X333" s="1">
        <f>VLOOKUP($B333&amp;"__wt",'SegEnds_Xtal_BW#'!$A:$Z,24,FALSE)</f>
        <v>56</v>
      </c>
      <c r="Y333" s="1">
        <f>VLOOKUP($B333&amp;"__wt",'SegEnds_Xtal_BW#'!$A:$Z,25,FALSE)</f>
        <v>47</v>
      </c>
      <c r="Z333" s="1">
        <v>63</v>
      </c>
      <c r="AA333" s="27" t="str">
        <f>VLOOKUP(A333,Classification!A:B,2,FALSE)</f>
        <v>B2</v>
      </c>
      <c r="AB333" s="1">
        <f>VLOOKUP(A333,'SegEnds_NonXtal_Prot#'!A:AL,10,FALSE)-VLOOKUP(A333,'SegEnds_NonXtal_Prot#'!A:AL,4,FALSE)</f>
        <v>28</v>
      </c>
      <c r="AC333" s="1">
        <f>VLOOKUP(A333,'SegEnds_NonXtal_Prot#'!A:AL,10,FALSE)-VLOOKUP(A333,'SegEnds_NonXtal_Prot#'!A:AL,7,FALSE)</f>
        <v>15</v>
      </c>
      <c r="AD333" s="1" t="e">
        <f>VLOOKUP(A333,'SegEnds_NonXtal_Prot#'!A:AL,13,FALSE)-VLOOKUP(A333,'SegEnds_NonXtal_Prot#'!A:AL,10,FALSE)</f>
        <v>#VALUE!</v>
      </c>
      <c r="AE333" s="1">
        <f>VLOOKUP(A333,'SegEnds_NonXtal_Prot#'!A:AL,16,FALSE)-VLOOKUP(A333,'SegEnds_NonXtal_Prot#'!A:AL,10,FALSE)</f>
        <v>45</v>
      </c>
      <c r="AF333" s="1" t="e">
        <f>VLOOKUP(A333,'SegEnds_NonXtal_Prot#'!A:AL,22,FALSE)-VLOOKUP(A333,'SegEnds_NonXtal_Prot#'!A:AL,19,FALSE)</f>
        <v>#VALUE!</v>
      </c>
      <c r="AG333" s="1">
        <f>VLOOKUP(A333,'SegEnds_NonXtal_Prot#'!A:AL,28,FALSE)-VLOOKUP(A333,'SegEnds_NonXtal_Prot#'!A:AL,25,FALSE)</f>
        <v>19</v>
      </c>
      <c r="AH333" s="1">
        <f>VLOOKUP(A333,'SegEnds_NonXtal_Prot#'!A:AL,28,FALSE)-VLOOKUP(A333,'SegEnds_NonXtal_Prot#'!A:AL,22,FALSE)</f>
        <v>43</v>
      </c>
      <c r="AI333" s="1">
        <f>VLOOKUP(A333,'SegEnds_NonXtal_Prot#'!A:AL,31,FALSE)-VLOOKUP(A333,'SegEnds_NonXtal_Prot#'!A:AL,28,FALSE)</f>
        <v>47</v>
      </c>
      <c r="AJ333" s="1">
        <f>VLOOKUP(A333,'SegEnds_NonXtal_Prot#'!A:AL,34,FALSE)-VLOOKUP(A333,'SegEnds_NonXtal_Prot#'!A:AL,31,FALSE)</f>
        <v>28</v>
      </c>
      <c r="AK333" s="1">
        <f>VLOOKUP(A333,'SegEnds_NonXtal_Prot#'!A:AL,37,FALSE)-VLOOKUP(A333,'SegEnds_NonXtal_Prot#'!A:AL,34,FALSE)</f>
        <v>10</v>
      </c>
      <c r="AL333" s="1" t="str">
        <f>IF(ISERROR(MATCH(A333,'SegEnds_Xtal_Prot#'!B:B, 0)), "NoXtal", "Xtal")</f>
        <v>NoXtal</v>
      </c>
    </row>
    <row r="334" spans="1:38" x14ac:dyDescent="0.2">
      <c r="A334" s="1" t="s">
        <v>442</v>
      </c>
      <c r="B334" s="1" t="str">
        <f>VLOOKUP(A334,Xtal_Templ!A:B,2,FALSE)</f>
        <v>crfr1_human</v>
      </c>
      <c r="C334" s="5">
        <v>23</v>
      </c>
      <c r="D334" s="1">
        <f>VLOOKUP($B334&amp;"__wt",'SegEnds_Xtal_BW#'!$A:$Z,4,FALSE)</f>
        <v>60</v>
      </c>
      <c r="E334" s="1">
        <f>VLOOKUP($B334&amp;"__wt",'SegEnds_Xtal_BW#'!$A:$Z,5,FALSE)</f>
        <v>48</v>
      </c>
      <c r="F334" s="1">
        <f>VLOOKUP($B334&amp;"__wt",'SegEnds_Xtal_BW#'!$A:$Z,6,FALSE)</f>
        <v>51</v>
      </c>
      <c r="G334" s="1">
        <v>37</v>
      </c>
      <c r="H334" s="12">
        <v>63</v>
      </c>
      <c r="I334" s="1" t="str">
        <f>VLOOKUP($B334&amp;"__wt",'SegEnds_Xtal_BW#'!$A:$Z,9,FALSE)</f>
        <v>-</v>
      </c>
      <c r="J334" s="1" t="str">
        <f>VLOOKUP($B334&amp;"__wt",'SegEnds_Xtal_BW#'!$A:$Z,10,FALSE)</f>
        <v>-</v>
      </c>
      <c r="K334" s="12">
        <v>23</v>
      </c>
      <c r="L334" s="1">
        <f>VLOOKUP($B334&amp;"__wt",'SegEnds_Xtal_BW#'!$A:$Z,12,FALSE)</f>
        <v>56</v>
      </c>
      <c r="M334" s="1" t="str">
        <f>VLOOKUP($B334&amp;"__wt",'SegEnds_Xtal_BW#'!$A:$Z,13,FALSE)</f>
        <v>-</v>
      </c>
      <c r="N334" s="12" t="str">
        <f>VLOOKUP($B334&amp;"__wt",'SegEnds_Xtal_BW#'!$A:$Z,14,FALSE)</f>
        <v>-</v>
      </c>
      <c r="O334" s="87">
        <f>VLOOKUP($B334&amp;"__wt",'SegEnds_Xtal_BW#'!$A:$Z,15,FALSE)</f>
        <v>40</v>
      </c>
      <c r="P334" s="1">
        <f>VLOOKUP($B334&amp;"__wt",'SegEnds_Xtal_BW#'!$A:$Z,16,FALSE)</f>
        <v>68</v>
      </c>
      <c r="Q334" s="1">
        <f>VLOOKUP($B334&amp;"__wt",'SegEnds_Xtal_BW#'!$A:$Z,17,FALSE)</f>
        <v>50</v>
      </c>
      <c r="R334" s="1">
        <f>VLOOKUP($B334&amp;"__wt",'SegEnds_Xtal_BW#'!$A:$Z,18,FALSE)</f>
        <v>52</v>
      </c>
      <c r="S334" s="1">
        <v>36</v>
      </c>
      <c r="T334" s="1">
        <v>69</v>
      </c>
      <c r="U334" s="1">
        <v>29</v>
      </c>
      <c r="V334" s="1">
        <f>VLOOKUP($B334&amp;"__wt",'SegEnds_Xtal_BW#'!$A:$Z,22,FALSE)</f>
        <v>53</v>
      </c>
      <c r="W334" s="1">
        <v>31</v>
      </c>
      <c r="X334" s="1">
        <f>VLOOKUP($B334&amp;"__wt",'SegEnds_Xtal_BW#'!$A:$Z,24,FALSE)</f>
        <v>56</v>
      </c>
      <c r="Y334" s="1">
        <f>VLOOKUP($B334&amp;"__wt",'SegEnds_Xtal_BW#'!$A:$Z,25,FALSE)</f>
        <v>47</v>
      </c>
      <c r="Z334" s="1">
        <v>63</v>
      </c>
      <c r="AA334" s="27" t="str">
        <f>VLOOKUP(A334,Classification!A:B,2,FALSE)</f>
        <v>B2</v>
      </c>
      <c r="AB334" s="1">
        <f>VLOOKUP(A334,'SegEnds_NonXtal_Prot#'!A:AL,10,FALSE)-VLOOKUP(A334,'SegEnds_NonXtal_Prot#'!A:AL,4,FALSE)</f>
        <v>26</v>
      </c>
      <c r="AC334" s="1" t="e">
        <f>VLOOKUP(A334,'SegEnds_NonXtal_Prot#'!A:AL,10,FALSE)-VLOOKUP(A334,'SegEnds_NonXtal_Prot#'!A:AL,7,FALSE)</f>
        <v>#VALUE!</v>
      </c>
      <c r="AD334" s="1" t="e">
        <f>VLOOKUP(A334,'SegEnds_NonXtal_Prot#'!A:AL,13,FALSE)-VLOOKUP(A334,'SegEnds_NonXtal_Prot#'!A:AL,10,FALSE)</f>
        <v>#VALUE!</v>
      </c>
      <c r="AE334" s="1">
        <f>VLOOKUP(A334,'SegEnds_NonXtal_Prot#'!A:AL,16,FALSE)-VLOOKUP(A334,'SegEnds_NonXtal_Prot#'!A:AL,10,FALSE)</f>
        <v>47</v>
      </c>
      <c r="AF334" s="1" t="e">
        <f>VLOOKUP(A334,'SegEnds_NonXtal_Prot#'!A:AL,22,FALSE)-VLOOKUP(A334,'SegEnds_NonXtal_Prot#'!A:AL,19,FALSE)</f>
        <v>#VALUE!</v>
      </c>
      <c r="AG334" s="1">
        <f>VLOOKUP(A334,'SegEnds_NonXtal_Prot#'!A:AL,28,FALSE)-VLOOKUP(A334,'SegEnds_NonXtal_Prot#'!A:AL,25,FALSE)</f>
        <v>20</v>
      </c>
      <c r="AH334" s="1">
        <f>VLOOKUP(A334,'SegEnds_NonXtal_Prot#'!A:AL,28,FALSE)-VLOOKUP(A334,'SegEnds_NonXtal_Prot#'!A:AL,22,FALSE)</f>
        <v>54</v>
      </c>
      <c r="AI334" s="1">
        <f>VLOOKUP(A334,'SegEnds_NonXtal_Prot#'!A:AL,31,FALSE)-VLOOKUP(A334,'SegEnds_NonXtal_Prot#'!A:AL,28,FALSE)</f>
        <v>49</v>
      </c>
      <c r="AJ334" s="1">
        <f>VLOOKUP(A334,'SegEnds_NonXtal_Prot#'!A:AL,34,FALSE)-VLOOKUP(A334,'SegEnds_NonXtal_Prot#'!A:AL,31,FALSE)</f>
        <v>28</v>
      </c>
      <c r="AK334" s="1">
        <f>VLOOKUP(A334,'SegEnds_NonXtal_Prot#'!A:AL,37,FALSE)-VLOOKUP(A334,'SegEnds_NonXtal_Prot#'!A:AL,34,FALSE)</f>
        <v>10</v>
      </c>
      <c r="AL334" s="1" t="str">
        <f>IF(ISERROR(MATCH(A334,'SegEnds_Xtal_Prot#'!B:B, 0)), "NoXtal", "Xtal")</f>
        <v>NoXtal</v>
      </c>
    </row>
    <row r="335" spans="1:38" x14ac:dyDescent="0.2">
      <c r="A335" s="1" t="s">
        <v>1180</v>
      </c>
      <c r="B335" s="1" t="str">
        <f>VLOOKUP(A335,Xtal_Templ!A:B,2,FALSE)</f>
        <v>crfr1_human</v>
      </c>
      <c r="C335" s="5">
        <v>23</v>
      </c>
      <c r="D335" s="1">
        <f>VLOOKUP($B335&amp;"__wt",'SegEnds_Xtal_BW#'!$A:$Z,4,FALSE)</f>
        <v>60</v>
      </c>
      <c r="E335" s="1">
        <f>VLOOKUP($B335&amp;"__wt",'SegEnds_Xtal_BW#'!$A:$Z,5,FALSE)</f>
        <v>48</v>
      </c>
      <c r="F335" s="1">
        <f>VLOOKUP($B335&amp;"__wt",'SegEnds_Xtal_BW#'!$A:$Z,6,FALSE)</f>
        <v>51</v>
      </c>
      <c r="G335" s="1">
        <v>37</v>
      </c>
      <c r="H335" s="12">
        <v>63</v>
      </c>
      <c r="I335" s="1" t="str">
        <f>VLOOKUP($B335&amp;"__wt",'SegEnds_Xtal_BW#'!$A:$Z,9,FALSE)</f>
        <v>-</v>
      </c>
      <c r="J335" s="1" t="str">
        <f>VLOOKUP($B335&amp;"__wt",'SegEnds_Xtal_BW#'!$A:$Z,10,FALSE)</f>
        <v>-</v>
      </c>
      <c r="K335" s="12">
        <v>23</v>
      </c>
      <c r="L335" s="1">
        <f>VLOOKUP($B335&amp;"__wt",'SegEnds_Xtal_BW#'!$A:$Z,12,FALSE)</f>
        <v>56</v>
      </c>
      <c r="M335" s="1" t="str">
        <f>VLOOKUP($B335&amp;"__wt",'SegEnds_Xtal_BW#'!$A:$Z,13,FALSE)</f>
        <v>-</v>
      </c>
      <c r="N335" s="12" t="str">
        <f>VLOOKUP($B335&amp;"__wt",'SegEnds_Xtal_BW#'!$A:$Z,14,FALSE)</f>
        <v>-</v>
      </c>
      <c r="O335" s="87">
        <f>VLOOKUP($B335&amp;"__wt",'SegEnds_Xtal_BW#'!$A:$Z,15,FALSE)</f>
        <v>40</v>
      </c>
      <c r="P335" s="1">
        <f>VLOOKUP($B335&amp;"__wt",'SegEnds_Xtal_BW#'!$A:$Z,16,FALSE)</f>
        <v>68</v>
      </c>
      <c r="Q335" s="1">
        <f>VLOOKUP($B335&amp;"__wt",'SegEnds_Xtal_BW#'!$A:$Z,17,FALSE)</f>
        <v>50</v>
      </c>
      <c r="R335" s="1">
        <f>VLOOKUP($B335&amp;"__wt",'SegEnds_Xtal_BW#'!$A:$Z,18,FALSE)</f>
        <v>52</v>
      </c>
      <c r="S335" s="1">
        <v>36</v>
      </c>
      <c r="T335" s="1">
        <v>69</v>
      </c>
      <c r="U335" s="1">
        <v>29</v>
      </c>
      <c r="V335" s="1">
        <f>VLOOKUP($B335&amp;"__wt",'SegEnds_Xtal_BW#'!$A:$Z,22,FALSE)</f>
        <v>53</v>
      </c>
      <c r="W335" s="1">
        <v>31</v>
      </c>
      <c r="X335" s="1">
        <f>VLOOKUP($B335&amp;"__wt",'SegEnds_Xtal_BW#'!$A:$Z,24,FALSE)</f>
        <v>56</v>
      </c>
      <c r="Y335" s="1">
        <f>VLOOKUP($B335&amp;"__wt",'SegEnds_Xtal_BW#'!$A:$Z,25,FALSE)</f>
        <v>47</v>
      </c>
      <c r="Z335" s="1">
        <v>63</v>
      </c>
      <c r="AA335" s="27" t="str">
        <f>VLOOKUP(A335,Classification!A:B,2,FALSE)</f>
        <v>B2</v>
      </c>
      <c r="AB335" s="1">
        <f>VLOOKUP(A335,'SegEnds_NonXtal_Prot#'!A:AL,10,FALSE)-VLOOKUP(A335,'SegEnds_NonXtal_Prot#'!A:AL,4,FALSE)</f>
        <v>29</v>
      </c>
      <c r="AC335" s="1" t="e">
        <f>VLOOKUP(A335,'SegEnds_NonXtal_Prot#'!A:AL,10,FALSE)-VLOOKUP(A335,'SegEnds_NonXtal_Prot#'!A:AL,7,FALSE)</f>
        <v>#VALUE!</v>
      </c>
      <c r="AD335" s="1" t="e">
        <f>VLOOKUP(A335,'SegEnds_NonXtal_Prot#'!A:AL,13,FALSE)-VLOOKUP(A335,'SegEnds_NonXtal_Prot#'!A:AL,10,FALSE)</f>
        <v>#VALUE!</v>
      </c>
      <c r="AE335" s="1">
        <f>VLOOKUP(A335,'SegEnds_NonXtal_Prot#'!A:AL,16,FALSE)-VLOOKUP(A335,'SegEnds_NonXtal_Prot#'!A:AL,10,FALSE)</f>
        <v>45</v>
      </c>
      <c r="AF335" s="1" t="e">
        <f>VLOOKUP(A335,'SegEnds_NonXtal_Prot#'!A:AL,22,FALSE)-VLOOKUP(A335,'SegEnds_NonXtal_Prot#'!A:AL,19,FALSE)</f>
        <v>#VALUE!</v>
      </c>
      <c r="AG335" s="1">
        <f>VLOOKUP(A335,'SegEnds_NonXtal_Prot#'!A:AL,28,FALSE)-VLOOKUP(A335,'SegEnds_NonXtal_Prot#'!A:AL,25,FALSE)</f>
        <v>19</v>
      </c>
      <c r="AH335" s="1">
        <f>VLOOKUP(A335,'SegEnds_NonXtal_Prot#'!A:AL,28,FALSE)-VLOOKUP(A335,'SegEnds_NonXtal_Prot#'!A:AL,22,FALSE)</f>
        <v>44</v>
      </c>
      <c r="AI335" s="1">
        <f>VLOOKUP(A335,'SegEnds_NonXtal_Prot#'!A:AL,31,FALSE)-VLOOKUP(A335,'SegEnds_NonXtal_Prot#'!A:AL,28,FALSE)</f>
        <v>83</v>
      </c>
      <c r="AJ335" s="1">
        <f>VLOOKUP(A335,'SegEnds_NonXtal_Prot#'!A:AL,34,FALSE)-VLOOKUP(A335,'SegEnds_NonXtal_Prot#'!A:AL,31,FALSE)</f>
        <v>29</v>
      </c>
      <c r="AK335" s="1">
        <f>VLOOKUP(A335,'SegEnds_NonXtal_Prot#'!A:AL,37,FALSE)-VLOOKUP(A335,'SegEnds_NonXtal_Prot#'!A:AL,34,FALSE)</f>
        <v>10</v>
      </c>
      <c r="AL335" s="1" t="str">
        <f>IF(ISERROR(MATCH(A335,'SegEnds_Xtal_Prot#'!B:B, 0)), "NoXtal", "Xtal")</f>
        <v>NoXtal</v>
      </c>
    </row>
    <row r="336" spans="1:38" x14ac:dyDescent="0.2">
      <c r="A336" s="1" t="s">
        <v>1181</v>
      </c>
      <c r="B336" s="1" t="str">
        <f>VLOOKUP(A336,Xtal_Templ!A:B,2,FALSE)</f>
        <v>crfr1_human</v>
      </c>
      <c r="C336" s="5">
        <v>23</v>
      </c>
      <c r="D336" s="1">
        <f>VLOOKUP($B336&amp;"__wt",'SegEnds_Xtal_BW#'!$A:$Z,4,FALSE)</f>
        <v>60</v>
      </c>
      <c r="E336" s="1">
        <f>VLOOKUP($B336&amp;"__wt",'SegEnds_Xtal_BW#'!$A:$Z,5,FALSE)</f>
        <v>48</v>
      </c>
      <c r="F336" s="1">
        <f>VLOOKUP($B336&amp;"__wt",'SegEnds_Xtal_BW#'!$A:$Z,6,FALSE)</f>
        <v>51</v>
      </c>
      <c r="G336" s="1">
        <v>37</v>
      </c>
      <c r="H336" s="12">
        <v>63</v>
      </c>
      <c r="I336" s="1" t="str">
        <f>VLOOKUP($B336&amp;"__wt",'SegEnds_Xtal_BW#'!$A:$Z,9,FALSE)</f>
        <v>-</v>
      </c>
      <c r="J336" s="1" t="str">
        <f>VLOOKUP($B336&amp;"__wt",'SegEnds_Xtal_BW#'!$A:$Z,10,FALSE)</f>
        <v>-</v>
      </c>
      <c r="K336" s="12">
        <v>23</v>
      </c>
      <c r="L336" s="1">
        <f>VLOOKUP($B336&amp;"__wt",'SegEnds_Xtal_BW#'!$A:$Z,12,FALSE)</f>
        <v>56</v>
      </c>
      <c r="M336" s="1" t="str">
        <f>VLOOKUP($B336&amp;"__wt",'SegEnds_Xtal_BW#'!$A:$Z,13,FALSE)</f>
        <v>-</v>
      </c>
      <c r="N336" s="12" t="str">
        <f>VLOOKUP($B336&amp;"__wt",'SegEnds_Xtal_BW#'!$A:$Z,14,FALSE)</f>
        <v>-</v>
      </c>
      <c r="O336" s="87">
        <f>VLOOKUP($B336&amp;"__wt",'SegEnds_Xtal_BW#'!$A:$Z,15,FALSE)</f>
        <v>40</v>
      </c>
      <c r="P336" s="1">
        <f>VLOOKUP($B336&amp;"__wt",'SegEnds_Xtal_BW#'!$A:$Z,16,FALSE)</f>
        <v>68</v>
      </c>
      <c r="Q336" s="1">
        <f>VLOOKUP($B336&amp;"__wt",'SegEnds_Xtal_BW#'!$A:$Z,17,FALSE)</f>
        <v>50</v>
      </c>
      <c r="R336" s="1">
        <f>VLOOKUP($B336&amp;"__wt",'SegEnds_Xtal_BW#'!$A:$Z,18,FALSE)</f>
        <v>52</v>
      </c>
      <c r="S336" s="1">
        <v>36</v>
      </c>
      <c r="T336" s="1">
        <v>69</v>
      </c>
      <c r="U336" s="1">
        <v>29</v>
      </c>
      <c r="V336" s="1">
        <f>VLOOKUP($B336&amp;"__wt",'SegEnds_Xtal_BW#'!$A:$Z,22,FALSE)</f>
        <v>53</v>
      </c>
      <c r="W336" s="1">
        <v>31</v>
      </c>
      <c r="X336" s="1">
        <f>VLOOKUP($B336&amp;"__wt",'SegEnds_Xtal_BW#'!$A:$Z,24,FALSE)</f>
        <v>56</v>
      </c>
      <c r="Y336" s="1">
        <f>VLOOKUP($B336&amp;"__wt",'SegEnds_Xtal_BW#'!$A:$Z,25,FALSE)</f>
        <v>47</v>
      </c>
      <c r="Z336" s="1">
        <v>63</v>
      </c>
      <c r="AA336" s="27" t="str">
        <f>VLOOKUP(A336,Classification!A:B,2,FALSE)</f>
        <v>B2</v>
      </c>
      <c r="AB336" s="1">
        <f>VLOOKUP(A336,'SegEnds_NonXtal_Prot#'!A:AL,10,FALSE)-VLOOKUP(A336,'SegEnds_NonXtal_Prot#'!A:AL,4,FALSE)</f>
        <v>29</v>
      </c>
      <c r="AC336" s="1" t="e">
        <f>VLOOKUP(A336,'SegEnds_NonXtal_Prot#'!A:AL,10,FALSE)-VLOOKUP(A336,'SegEnds_NonXtal_Prot#'!A:AL,7,FALSE)</f>
        <v>#VALUE!</v>
      </c>
      <c r="AD336" s="1" t="e">
        <f>VLOOKUP(A336,'SegEnds_NonXtal_Prot#'!A:AL,13,FALSE)-VLOOKUP(A336,'SegEnds_NonXtal_Prot#'!A:AL,10,FALSE)</f>
        <v>#VALUE!</v>
      </c>
      <c r="AE336" s="1">
        <f>VLOOKUP(A336,'SegEnds_NonXtal_Prot#'!A:AL,16,FALSE)-VLOOKUP(A336,'SegEnds_NonXtal_Prot#'!A:AL,10,FALSE)</f>
        <v>45</v>
      </c>
      <c r="AF336" s="1" t="e">
        <f>VLOOKUP(A336,'SegEnds_NonXtal_Prot#'!A:AL,22,FALSE)-VLOOKUP(A336,'SegEnds_NonXtal_Prot#'!A:AL,19,FALSE)</f>
        <v>#VALUE!</v>
      </c>
      <c r="AG336" s="1">
        <f>VLOOKUP(A336,'SegEnds_NonXtal_Prot#'!A:AL,28,FALSE)-VLOOKUP(A336,'SegEnds_NonXtal_Prot#'!A:AL,25,FALSE)</f>
        <v>19</v>
      </c>
      <c r="AH336" s="1">
        <f>VLOOKUP(A336,'SegEnds_NonXtal_Prot#'!A:AL,28,FALSE)-VLOOKUP(A336,'SegEnds_NonXtal_Prot#'!A:AL,22,FALSE)</f>
        <v>44</v>
      </c>
      <c r="AI336" s="1">
        <f>VLOOKUP(A336,'SegEnds_NonXtal_Prot#'!A:AL,31,FALSE)-VLOOKUP(A336,'SegEnds_NonXtal_Prot#'!A:AL,28,FALSE)</f>
        <v>83</v>
      </c>
      <c r="AJ336" s="1">
        <f>VLOOKUP(A336,'SegEnds_NonXtal_Prot#'!A:AL,34,FALSE)-VLOOKUP(A336,'SegEnds_NonXtal_Prot#'!A:AL,31,FALSE)</f>
        <v>29</v>
      </c>
      <c r="AK336" s="1">
        <f>VLOOKUP(A336,'SegEnds_NonXtal_Prot#'!A:AL,37,FALSE)-VLOOKUP(A336,'SegEnds_NonXtal_Prot#'!A:AL,34,FALSE)</f>
        <v>10</v>
      </c>
      <c r="AL336" s="1" t="str">
        <f>IF(ISERROR(MATCH(A336,'SegEnds_Xtal_Prot#'!B:B, 0)), "NoXtal", "Xtal")</f>
        <v>NoXtal</v>
      </c>
    </row>
    <row r="337" spans="1:38" x14ac:dyDescent="0.2">
      <c r="A337" s="1" t="s">
        <v>1188</v>
      </c>
      <c r="B337" s="1" t="str">
        <f>VLOOKUP(A337,Xtal_Templ!A:B,2,FALSE)</f>
        <v>pth1r_human</v>
      </c>
      <c r="C337" s="5">
        <v>23</v>
      </c>
      <c r="D337" s="1">
        <f>VLOOKUP($B337&amp;"__wt",'SegEnds_Xtal_BW#'!$A:$Z,4,FALSE)</f>
        <v>60</v>
      </c>
      <c r="E337" s="1">
        <f>VLOOKUP($B337&amp;"__wt",'SegEnds_Xtal_BW#'!$A:$Z,5,FALSE)</f>
        <v>48</v>
      </c>
      <c r="F337" s="1">
        <f>VLOOKUP($B337&amp;"__wt",'SegEnds_Xtal_BW#'!$A:$Z,6,FALSE)</f>
        <v>51</v>
      </c>
      <c r="G337" s="1">
        <v>37</v>
      </c>
      <c r="H337" s="12">
        <v>63</v>
      </c>
      <c r="I337" s="1" t="str">
        <f>VLOOKUP($B337&amp;"__wt",'SegEnds_Xtal_BW#'!$A:$Z,9,FALSE)</f>
        <v>-</v>
      </c>
      <c r="J337" s="1" t="str">
        <f>VLOOKUP($B337&amp;"__wt",'SegEnds_Xtal_BW#'!$A:$Z,10,FALSE)</f>
        <v>-</v>
      </c>
      <c r="K337" s="12">
        <v>23</v>
      </c>
      <c r="L337" s="1">
        <f>VLOOKUP($B337&amp;"__wt",'SegEnds_Xtal_BW#'!$A:$Z,12,FALSE)</f>
        <v>56</v>
      </c>
      <c r="M337" s="1" t="str">
        <f>VLOOKUP($B337&amp;"__wt",'SegEnds_Xtal_BW#'!$A:$Z,13,FALSE)</f>
        <v>-</v>
      </c>
      <c r="N337" s="12" t="str">
        <f>VLOOKUP($B337&amp;"__wt",'SegEnds_Xtal_BW#'!$A:$Z,14,FALSE)</f>
        <v>-</v>
      </c>
      <c r="O337" s="87">
        <f>VLOOKUP($B337&amp;"__wt",'SegEnds_Xtal_BW#'!$A:$Z,15,FALSE)</f>
        <v>37</v>
      </c>
      <c r="P337" s="1">
        <f>VLOOKUP($B337&amp;"__wt",'SegEnds_Xtal_BW#'!$A:$Z,16,FALSE)</f>
        <v>68</v>
      </c>
      <c r="Q337" s="1">
        <f>VLOOKUP($B337&amp;"__wt",'SegEnds_Xtal_BW#'!$A:$Z,17,FALSE)</f>
        <v>50</v>
      </c>
      <c r="R337" s="1">
        <f>VLOOKUP($B337&amp;"__wt",'SegEnds_Xtal_BW#'!$A:$Z,18,FALSE)</f>
        <v>52</v>
      </c>
      <c r="S337" s="1">
        <v>36</v>
      </c>
      <c r="T337" s="1">
        <v>69</v>
      </c>
      <c r="U337" s="1">
        <v>29</v>
      </c>
      <c r="V337" s="1">
        <f>VLOOKUP($B337&amp;"__wt",'SegEnds_Xtal_BW#'!$A:$Z,22,FALSE)</f>
        <v>54</v>
      </c>
      <c r="W337" s="1">
        <v>31</v>
      </c>
      <c r="X337" s="1">
        <f>VLOOKUP($B337&amp;"__wt",'SegEnds_Xtal_BW#'!$A:$Z,24,FALSE)</f>
        <v>56</v>
      </c>
      <c r="Y337" s="1">
        <f>VLOOKUP($B337&amp;"__wt",'SegEnds_Xtal_BW#'!$A:$Z,25,FALSE)</f>
        <v>47</v>
      </c>
      <c r="Z337" s="1">
        <v>63</v>
      </c>
      <c r="AA337" s="27" t="str">
        <f>VLOOKUP(A337,Classification!A:B,2,FALSE)</f>
        <v>B2</v>
      </c>
      <c r="AB337" s="1">
        <f>VLOOKUP(A337,'SegEnds_NonXtal_Prot#'!A:AL,10,FALSE)-VLOOKUP(A337,'SegEnds_NonXtal_Prot#'!A:AL,4,FALSE)</f>
        <v>31</v>
      </c>
      <c r="AC337" s="1" t="e">
        <f>VLOOKUP(A337,'SegEnds_NonXtal_Prot#'!A:AL,10,FALSE)-VLOOKUP(A337,'SegEnds_NonXtal_Prot#'!A:AL,7,FALSE)</f>
        <v>#VALUE!</v>
      </c>
      <c r="AD337" s="1" t="e">
        <f>VLOOKUP(A337,'SegEnds_NonXtal_Prot#'!A:AL,13,FALSE)-VLOOKUP(A337,'SegEnds_NonXtal_Prot#'!A:AL,10,FALSE)</f>
        <v>#VALUE!</v>
      </c>
      <c r="AE337" s="1">
        <f>VLOOKUP(A337,'SegEnds_NonXtal_Prot#'!A:AL,16,FALSE)-VLOOKUP(A337,'SegEnds_NonXtal_Prot#'!A:AL,10,FALSE)</f>
        <v>51</v>
      </c>
      <c r="AF337" s="1" t="e">
        <f>VLOOKUP(A337,'SegEnds_NonXtal_Prot#'!A:AL,22,FALSE)-VLOOKUP(A337,'SegEnds_NonXtal_Prot#'!A:AL,19,FALSE)</f>
        <v>#VALUE!</v>
      </c>
      <c r="AG337" s="1">
        <f>VLOOKUP(A337,'SegEnds_NonXtal_Prot#'!A:AL,28,FALSE)-VLOOKUP(A337,'SegEnds_NonXtal_Prot#'!A:AL,25,FALSE)</f>
        <v>21</v>
      </c>
      <c r="AH337" s="1">
        <f>VLOOKUP(A337,'SegEnds_NonXtal_Prot#'!A:AL,28,FALSE)-VLOOKUP(A337,'SegEnds_NonXtal_Prot#'!A:AL,22,FALSE)</f>
        <v>47</v>
      </c>
      <c r="AI337" s="1">
        <f>VLOOKUP(A337,'SegEnds_NonXtal_Prot#'!A:AL,31,FALSE)-VLOOKUP(A337,'SegEnds_NonXtal_Prot#'!A:AL,28,FALSE)</f>
        <v>52</v>
      </c>
      <c r="AJ337" s="1">
        <f>VLOOKUP(A337,'SegEnds_NonXtal_Prot#'!A:AL,34,FALSE)-VLOOKUP(A337,'SegEnds_NonXtal_Prot#'!A:AL,31,FALSE)</f>
        <v>29</v>
      </c>
      <c r="AK337" s="1">
        <f>VLOOKUP(A337,'SegEnds_NonXtal_Prot#'!A:AL,37,FALSE)-VLOOKUP(A337,'SegEnds_NonXtal_Prot#'!A:AL,34,FALSE)</f>
        <v>10</v>
      </c>
      <c r="AL337" s="1" t="str">
        <f>IF(ISERROR(MATCH(A337,'SegEnds_Xtal_Prot#'!B:B, 0)), "NoXtal", "Xtal")</f>
        <v>NoXtal</v>
      </c>
    </row>
    <row r="338" spans="1:38" x14ac:dyDescent="0.2">
      <c r="A338" s="1" t="s">
        <v>1190</v>
      </c>
      <c r="B338" s="1" t="str">
        <f>VLOOKUP(A338,Xtal_Templ!A:B,2,FALSE)</f>
        <v>calrl_human</v>
      </c>
      <c r="C338" s="5">
        <v>23</v>
      </c>
      <c r="D338" s="1">
        <f>VLOOKUP($B338&amp;"__wt",'SegEnds_Xtal_BW#'!$A:$Z,4,FALSE)</f>
        <v>60</v>
      </c>
      <c r="E338" s="1">
        <f>VLOOKUP($B338&amp;"__wt",'SegEnds_Xtal_BW#'!$A:$Z,5,FALSE)</f>
        <v>48</v>
      </c>
      <c r="F338" s="1">
        <f>VLOOKUP($B338&amp;"__wt",'SegEnds_Xtal_BW#'!$A:$Z,6,FALSE)</f>
        <v>51</v>
      </c>
      <c r="G338" s="1">
        <v>37</v>
      </c>
      <c r="H338" s="12">
        <v>63</v>
      </c>
      <c r="I338" s="1" t="str">
        <f>VLOOKUP($B338&amp;"__wt",'SegEnds_Xtal_BW#'!$A:$Z,9,FALSE)</f>
        <v>-</v>
      </c>
      <c r="J338" s="1" t="str">
        <f>VLOOKUP($B338&amp;"__wt",'SegEnds_Xtal_BW#'!$A:$Z,10,FALSE)</f>
        <v>-</v>
      </c>
      <c r="K338" s="12">
        <v>23</v>
      </c>
      <c r="L338" s="1">
        <f>VLOOKUP($B338&amp;"__wt",'SegEnds_Xtal_BW#'!$A:$Z,12,FALSE)</f>
        <v>56</v>
      </c>
      <c r="M338" s="1" t="str">
        <f>VLOOKUP($B338&amp;"__wt",'SegEnds_Xtal_BW#'!$A:$Z,13,FALSE)</f>
        <v>-</v>
      </c>
      <c r="N338" s="12" t="str">
        <f>VLOOKUP($B338&amp;"__wt",'SegEnds_Xtal_BW#'!$A:$Z,14,FALSE)</f>
        <v>-</v>
      </c>
      <c r="O338" s="87">
        <f>VLOOKUP($B338&amp;"__wt",'SegEnds_Xtal_BW#'!$A:$Z,15,FALSE)</f>
        <v>41</v>
      </c>
      <c r="P338" s="1">
        <f>VLOOKUP($B338&amp;"__wt",'SegEnds_Xtal_BW#'!$A:$Z,16,FALSE)</f>
        <v>67</v>
      </c>
      <c r="Q338" s="1">
        <f>VLOOKUP($B338&amp;"__wt",'SegEnds_Xtal_BW#'!$A:$Z,17,FALSE)</f>
        <v>50</v>
      </c>
      <c r="R338" s="1">
        <f>VLOOKUP($B338&amp;"__wt",'SegEnds_Xtal_BW#'!$A:$Z,18,FALSE)</f>
        <v>52</v>
      </c>
      <c r="S338" s="1">
        <v>36</v>
      </c>
      <c r="T338" s="1">
        <v>69</v>
      </c>
      <c r="U338" s="1">
        <v>29</v>
      </c>
      <c r="V338" s="1">
        <f>VLOOKUP($B338&amp;"__wt",'SegEnds_Xtal_BW#'!$A:$Z,22,FALSE)</f>
        <v>53</v>
      </c>
      <c r="W338" s="1">
        <v>31</v>
      </c>
      <c r="X338" s="1">
        <f>VLOOKUP($B338&amp;"__wt",'SegEnds_Xtal_BW#'!$A:$Z,24,FALSE)</f>
        <v>56</v>
      </c>
      <c r="Y338" s="1">
        <f>VLOOKUP($B338&amp;"__wt",'SegEnds_Xtal_BW#'!$A:$Z,25,FALSE)</f>
        <v>47</v>
      </c>
      <c r="Z338" s="1">
        <v>63</v>
      </c>
      <c r="AA338" s="27" t="str">
        <f>VLOOKUP(A338,Classification!A:B,2,FALSE)</f>
        <v>B2</v>
      </c>
      <c r="AB338" s="1">
        <f>VLOOKUP(A338,'SegEnds_NonXtal_Prot#'!A:AL,10,FALSE)-VLOOKUP(A338,'SegEnds_NonXtal_Prot#'!A:AL,4,FALSE)</f>
        <v>31</v>
      </c>
      <c r="AC338" s="1" t="e">
        <f>VLOOKUP(A338,'SegEnds_NonXtal_Prot#'!A:AL,10,FALSE)-VLOOKUP(A338,'SegEnds_NonXtal_Prot#'!A:AL,7,FALSE)</f>
        <v>#VALUE!</v>
      </c>
      <c r="AD338" s="1" t="e">
        <f>VLOOKUP(A338,'SegEnds_NonXtal_Prot#'!A:AL,13,FALSE)-VLOOKUP(A338,'SegEnds_NonXtal_Prot#'!A:AL,10,FALSE)</f>
        <v>#VALUE!</v>
      </c>
      <c r="AE338" s="1">
        <f>VLOOKUP(A338,'SegEnds_NonXtal_Prot#'!A:AL,16,FALSE)-VLOOKUP(A338,'SegEnds_NonXtal_Prot#'!A:AL,10,FALSE)</f>
        <v>50</v>
      </c>
      <c r="AF338" s="1" t="e">
        <f>VLOOKUP(A338,'SegEnds_NonXtal_Prot#'!A:AL,22,FALSE)-VLOOKUP(A338,'SegEnds_NonXtal_Prot#'!A:AL,19,FALSE)</f>
        <v>#VALUE!</v>
      </c>
      <c r="AG338" s="1">
        <f>VLOOKUP(A338,'SegEnds_NonXtal_Prot#'!A:AL,28,FALSE)-VLOOKUP(A338,'SegEnds_NonXtal_Prot#'!A:AL,25,FALSE)</f>
        <v>19</v>
      </c>
      <c r="AH338" s="1">
        <f>VLOOKUP(A338,'SegEnds_NonXtal_Prot#'!A:AL,28,FALSE)-VLOOKUP(A338,'SegEnds_NonXtal_Prot#'!A:AL,22,FALSE)</f>
        <v>45</v>
      </c>
      <c r="AI338" s="1">
        <f>VLOOKUP(A338,'SegEnds_NonXtal_Prot#'!A:AL,31,FALSE)-VLOOKUP(A338,'SegEnds_NonXtal_Prot#'!A:AL,28,FALSE)</f>
        <v>52</v>
      </c>
      <c r="AJ338" s="1">
        <f>VLOOKUP(A338,'SegEnds_NonXtal_Prot#'!A:AL,34,FALSE)-VLOOKUP(A338,'SegEnds_NonXtal_Prot#'!A:AL,31,FALSE)</f>
        <v>29</v>
      </c>
      <c r="AK338" s="1">
        <f>VLOOKUP(A338,'SegEnds_NonXtal_Prot#'!A:AL,37,FALSE)-VLOOKUP(A338,'SegEnds_NonXtal_Prot#'!A:AL,34,FALSE)</f>
        <v>10</v>
      </c>
      <c r="AL338" s="1" t="str">
        <f>IF(ISERROR(MATCH(A338,'SegEnds_Xtal_Prot#'!B:B, 0)), "NoXtal", "Xtal")</f>
        <v>NoXtal</v>
      </c>
    </row>
    <row r="339" spans="1:38" x14ac:dyDescent="0.2">
      <c r="A339" s="1" t="s">
        <v>1191</v>
      </c>
      <c r="B339" s="1" t="str">
        <f>VLOOKUP(A339,Xtal_Templ!A:B,2,FALSE)</f>
        <v>crfr1_human</v>
      </c>
      <c r="C339" s="5">
        <v>23</v>
      </c>
      <c r="D339" s="1">
        <f>VLOOKUP($B339&amp;"__wt",'SegEnds_Xtal_BW#'!$A:$Z,4,FALSE)</f>
        <v>60</v>
      </c>
      <c r="E339" s="1">
        <f>VLOOKUP($B339&amp;"__wt",'SegEnds_Xtal_BW#'!$A:$Z,5,FALSE)</f>
        <v>48</v>
      </c>
      <c r="F339" s="1">
        <f>VLOOKUP($B339&amp;"__wt",'SegEnds_Xtal_BW#'!$A:$Z,6,FALSE)</f>
        <v>51</v>
      </c>
      <c r="G339" s="1">
        <v>37</v>
      </c>
      <c r="H339" s="12">
        <v>63</v>
      </c>
      <c r="I339" s="1" t="str">
        <f>VLOOKUP($B339&amp;"__wt",'SegEnds_Xtal_BW#'!$A:$Z,9,FALSE)</f>
        <v>-</v>
      </c>
      <c r="J339" s="1" t="str">
        <f>VLOOKUP($B339&amp;"__wt",'SegEnds_Xtal_BW#'!$A:$Z,10,FALSE)</f>
        <v>-</v>
      </c>
      <c r="K339" s="12">
        <v>23</v>
      </c>
      <c r="L339" s="1">
        <f>VLOOKUP($B339&amp;"__wt",'SegEnds_Xtal_BW#'!$A:$Z,12,FALSE)</f>
        <v>56</v>
      </c>
      <c r="M339" s="1" t="str">
        <f>VLOOKUP($B339&amp;"__wt",'SegEnds_Xtal_BW#'!$A:$Z,13,FALSE)</f>
        <v>-</v>
      </c>
      <c r="N339" s="12" t="str">
        <f>VLOOKUP($B339&amp;"__wt",'SegEnds_Xtal_BW#'!$A:$Z,14,FALSE)</f>
        <v>-</v>
      </c>
      <c r="O339" s="87">
        <f>VLOOKUP($B339&amp;"__wt",'SegEnds_Xtal_BW#'!$A:$Z,15,FALSE)</f>
        <v>40</v>
      </c>
      <c r="P339" s="1">
        <f>VLOOKUP($B339&amp;"__wt",'SegEnds_Xtal_BW#'!$A:$Z,16,FALSE)</f>
        <v>68</v>
      </c>
      <c r="Q339" s="1">
        <f>VLOOKUP($B339&amp;"__wt",'SegEnds_Xtal_BW#'!$A:$Z,17,FALSE)</f>
        <v>50</v>
      </c>
      <c r="R339" s="1">
        <f>VLOOKUP($B339&amp;"__wt",'SegEnds_Xtal_BW#'!$A:$Z,18,FALSE)</f>
        <v>52</v>
      </c>
      <c r="S339" s="1">
        <v>36</v>
      </c>
      <c r="T339" s="1">
        <v>69</v>
      </c>
      <c r="U339" s="1">
        <v>29</v>
      </c>
      <c r="V339" s="1">
        <f>VLOOKUP($B339&amp;"__wt",'SegEnds_Xtal_BW#'!$A:$Z,22,FALSE)</f>
        <v>53</v>
      </c>
      <c r="W339" s="1">
        <v>31</v>
      </c>
      <c r="X339" s="1">
        <f>VLOOKUP($B339&amp;"__wt",'SegEnds_Xtal_BW#'!$A:$Z,24,FALSE)</f>
        <v>56</v>
      </c>
      <c r="Y339" s="1">
        <f>VLOOKUP($B339&amp;"__wt",'SegEnds_Xtal_BW#'!$A:$Z,25,FALSE)</f>
        <v>47</v>
      </c>
      <c r="Z339" s="1">
        <v>63</v>
      </c>
      <c r="AA339" s="27" t="str">
        <f>VLOOKUP(A339,Classification!A:B,2,FALSE)</f>
        <v>B2</v>
      </c>
      <c r="AB339" s="1">
        <f>VLOOKUP(A339,'SegEnds_NonXtal_Prot#'!A:AL,10,FALSE)-VLOOKUP(A339,'SegEnds_NonXtal_Prot#'!A:AL,4,FALSE)</f>
        <v>31</v>
      </c>
      <c r="AC339" s="1" t="e">
        <f>VLOOKUP(A339,'SegEnds_NonXtal_Prot#'!A:AL,10,FALSE)-VLOOKUP(A339,'SegEnds_NonXtal_Prot#'!A:AL,7,FALSE)</f>
        <v>#VALUE!</v>
      </c>
      <c r="AD339" s="1" t="e">
        <f>VLOOKUP(A339,'SegEnds_NonXtal_Prot#'!A:AL,13,FALSE)-VLOOKUP(A339,'SegEnds_NonXtal_Prot#'!A:AL,10,FALSE)</f>
        <v>#VALUE!</v>
      </c>
      <c r="AE339" s="1">
        <f>VLOOKUP(A339,'SegEnds_NonXtal_Prot#'!A:AL,16,FALSE)-VLOOKUP(A339,'SegEnds_NonXtal_Prot#'!A:AL,10,FALSE)</f>
        <v>51</v>
      </c>
      <c r="AF339" s="1" t="e">
        <f>VLOOKUP(A339,'SegEnds_NonXtal_Prot#'!A:AL,22,FALSE)-VLOOKUP(A339,'SegEnds_NonXtal_Prot#'!A:AL,19,FALSE)</f>
        <v>#VALUE!</v>
      </c>
      <c r="AG339" s="1">
        <f>VLOOKUP(A339,'SegEnds_NonXtal_Prot#'!A:AL,28,FALSE)-VLOOKUP(A339,'SegEnds_NonXtal_Prot#'!A:AL,25,FALSE)</f>
        <v>20</v>
      </c>
      <c r="AH339" s="1">
        <f>VLOOKUP(A339,'SegEnds_NonXtal_Prot#'!A:AL,28,FALSE)-VLOOKUP(A339,'SegEnds_NonXtal_Prot#'!A:AL,22,FALSE)</f>
        <v>46</v>
      </c>
      <c r="AI339" s="1">
        <f>VLOOKUP(A339,'SegEnds_NonXtal_Prot#'!A:AL,31,FALSE)-VLOOKUP(A339,'SegEnds_NonXtal_Prot#'!A:AL,28,FALSE)</f>
        <v>51</v>
      </c>
      <c r="AJ339" s="1">
        <f>VLOOKUP(A339,'SegEnds_NonXtal_Prot#'!A:AL,34,FALSE)-VLOOKUP(A339,'SegEnds_NonXtal_Prot#'!A:AL,31,FALSE)</f>
        <v>29</v>
      </c>
      <c r="AK339" s="1">
        <f>VLOOKUP(A339,'SegEnds_NonXtal_Prot#'!A:AL,37,FALSE)-VLOOKUP(A339,'SegEnds_NonXtal_Prot#'!A:AL,34,FALSE)</f>
        <v>10</v>
      </c>
      <c r="AL339" s="1" t="str">
        <f>IF(ISERROR(MATCH(A339,'SegEnds_Xtal_Prot#'!B:B, 0)), "NoXtal", "Xtal")</f>
        <v>NoXtal</v>
      </c>
    </row>
    <row r="340" spans="1:38" x14ac:dyDescent="0.2">
      <c r="A340" s="1" t="s">
        <v>1192</v>
      </c>
      <c r="B340" s="1" t="str">
        <f>VLOOKUP(A340,Xtal_Templ!A:B,2,FALSE)</f>
        <v>crfr1_human</v>
      </c>
      <c r="C340" s="5">
        <v>23</v>
      </c>
      <c r="D340" s="1">
        <f>VLOOKUP($B340&amp;"__wt",'SegEnds_Xtal_BW#'!$A:$Z,4,FALSE)</f>
        <v>60</v>
      </c>
      <c r="E340" s="1">
        <f>VLOOKUP($B340&amp;"__wt",'SegEnds_Xtal_BW#'!$A:$Z,5,FALSE)</f>
        <v>48</v>
      </c>
      <c r="F340" s="1">
        <f>VLOOKUP($B340&amp;"__wt",'SegEnds_Xtal_BW#'!$A:$Z,6,FALSE)</f>
        <v>51</v>
      </c>
      <c r="G340" s="1">
        <v>37</v>
      </c>
      <c r="H340" s="12">
        <v>63</v>
      </c>
      <c r="I340" s="1" t="str">
        <f>VLOOKUP($B340&amp;"__wt",'SegEnds_Xtal_BW#'!$A:$Z,9,FALSE)</f>
        <v>-</v>
      </c>
      <c r="J340" s="1" t="str">
        <f>VLOOKUP($B340&amp;"__wt",'SegEnds_Xtal_BW#'!$A:$Z,10,FALSE)</f>
        <v>-</v>
      </c>
      <c r="K340" s="12">
        <v>23</v>
      </c>
      <c r="L340" s="1">
        <f>VLOOKUP($B340&amp;"__wt",'SegEnds_Xtal_BW#'!$A:$Z,12,FALSE)</f>
        <v>56</v>
      </c>
      <c r="M340" s="1" t="str">
        <f>VLOOKUP($B340&amp;"__wt",'SegEnds_Xtal_BW#'!$A:$Z,13,FALSE)</f>
        <v>-</v>
      </c>
      <c r="N340" s="12" t="str">
        <f>VLOOKUP($B340&amp;"__wt",'SegEnds_Xtal_BW#'!$A:$Z,14,FALSE)</f>
        <v>-</v>
      </c>
      <c r="O340" s="87">
        <f>VLOOKUP($B340&amp;"__wt",'SegEnds_Xtal_BW#'!$A:$Z,15,FALSE)</f>
        <v>40</v>
      </c>
      <c r="P340" s="1">
        <f>VLOOKUP($B340&amp;"__wt",'SegEnds_Xtal_BW#'!$A:$Z,16,FALSE)</f>
        <v>68</v>
      </c>
      <c r="Q340" s="1">
        <f>VLOOKUP($B340&amp;"__wt",'SegEnds_Xtal_BW#'!$A:$Z,17,FALSE)</f>
        <v>50</v>
      </c>
      <c r="R340" s="1">
        <f>VLOOKUP($B340&amp;"__wt",'SegEnds_Xtal_BW#'!$A:$Z,18,FALSE)</f>
        <v>52</v>
      </c>
      <c r="S340" s="1">
        <v>36</v>
      </c>
      <c r="T340" s="1">
        <v>69</v>
      </c>
      <c r="U340" s="1">
        <v>29</v>
      </c>
      <c r="V340" s="1">
        <f>VLOOKUP($B340&amp;"__wt",'SegEnds_Xtal_BW#'!$A:$Z,22,FALSE)</f>
        <v>53</v>
      </c>
      <c r="W340" s="1">
        <v>31</v>
      </c>
      <c r="X340" s="1">
        <f>VLOOKUP($B340&amp;"__wt",'SegEnds_Xtal_BW#'!$A:$Z,24,FALSE)</f>
        <v>56</v>
      </c>
      <c r="Y340" s="1">
        <f>VLOOKUP($B340&amp;"__wt",'SegEnds_Xtal_BW#'!$A:$Z,25,FALSE)</f>
        <v>47</v>
      </c>
      <c r="Z340" s="1">
        <v>63</v>
      </c>
      <c r="AA340" s="27" t="str">
        <f>VLOOKUP(A340,Classification!A:B,2,FALSE)</f>
        <v>B2</v>
      </c>
      <c r="AB340" s="1">
        <f>VLOOKUP(A340,'SegEnds_NonXtal_Prot#'!A:AL,10,FALSE)-VLOOKUP(A340,'SegEnds_NonXtal_Prot#'!A:AL,4,FALSE)</f>
        <v>31</v>
      </c>
      <c r="AC340" s="1">
        <f>VLOOKUP(A340,'SegEnds_NonXtal_Prot#'!A:AL,10,FALSE)-VLOOKUP(A340,'SegEnds_NonXtal_Prot#'!A:AL,7,FALSE)</f>
        <v>17</v>
      </c>
      <c r="AD340" s="1" t="e">
        <f>VLOOKUP(A340,'SegEnds_NonXtal_Prot#'!A:AL,13,FALSE)-VLOOKUP(A340,'SegEnds_NonXtal_Prot#'!A:AL,10,FALSE)</f>
        <v>#VALUE!</v>
      </c>
      <c r="AE340" s="1">
        <f>VLOOKUP(A340,'SegEnds_NonXtal_Prot#'!A:AL,16,FALSE)-VLOOKUP(A340,'SegEnds_NonXtal_Prot#'!A:AL,10,FALSE)</f>
        <v>53</v>
      </c>
      <c r="AF340" s="1" t="e">
        <f>VLOOKUP(A340,'SegEnds_NonXtal_Prot#'!A:AL,22,FALSE)-VLOOKUP(A340,'SegEnds_NonXtal_Prot#'!A:AL,19,FALSE)</f>
        <v>#VALUE!</v>
      </c>
      <c r="AG340" s="1">
        <f>VLOOKUP(A340,'SegEnds_NonXtal_Prot#'!A:AL,28,FALSE)-VLOOKUP(A340,'SegEnds_NonXtal_Prot#'!A:AL,25,FALSE)</f>
        <v>20</v>
      </c>
      <c r="AH340" s="1">
        <f>VLOOKUP(A340,'SegEnds_NonXtal_Prot#'!A:AL,28,FALSE)-VLOOKUP(A340,'SegEnds_NonXtal_Prot#'!A:AL,22,FALSE)</f>
        <v>46</v>
      </c>
      <c r="AI340" s="1">
        <f>VLOOKUP(A340,'SegEnds_NonXtal_Prot#'!A:AL,31,FALSE)-VLOOKUP(A340,'SegEnds_NonXtal_Prot#'!A:AL,28,FALSE)</f>
        <v>52</v>
      </c>
      <c r="AJ340" s="1">
        <f>VLOOKUP(A340,'SegEnds_NonXtal_Prot#'!A:AL,34,FALSE)-VLOOKUP(A340,'SegEnds_NonXtal_Prot#'!A:AL,31,FALSE)</f>
        <v>29</v>
      </c>
      <c r="AK340" s="1">
        <f>VLOOKUP(A340,'SegEnds_NonXtal_Prot#'!A:AL,37,FALSE)-VLOOKUP(A340,'SegEnds_NonXtal_Prot#'!A:AL,34,FALSE)</f>
        <v>10</v>
      </c>
      <c r="AL340" s="1" t="str">
        <f>IF(ISERROR(MATCH(A340,'SegEnds_Xtal_Prot#'!B:B, 0)), "NoXtal", "Xtal")</f>
        <v>NoXtal</v>
      </c>
    </row>
    <row r="341" spans="1:38" x14ac:dyDescent="0.2">
      <c r="A341" s="1" t="s">
        <v>414</v>
      </c>
      <c r="B341" s="1" t="str">
        <f>VLOOKUP(A341,Xtal_Templ!A:B,2,FALSE)</f>
        <v>crfr1_human</v>
      </c>
      <c r="C341" s="5">
        <v>23</v>
      </c>
      <c r="D341" s="1">
        <f>VLOOKUP($B341&amp;"__wt",'SegEnds_Xtal_BW#'!$A:$Z,4,FALSE)</f>
        <v>60</v>
      </c>
      <c r="E341" s="1">
        <f>VLOOKUP($B341&amp;"__wt",'SegEnds_Xtal_BW#'!$A:$Z,5,FALSE)</f>
        <v>48</v>
      </c>
      <c r="F341" s="1">
        <f>VLOOKUP($B341&amp;"__wt",'SegEnds_Xtal_BW#'!$A:$Z,6,FALSE)</f>
        <v>51</v>
      </c>
      <c r="G341" s="1">
        <v>37</v>
      </c>
      <c r="H341" s="12">
        <v>63</v>
      </c>
      <c r="I341" s="1" t="str">
        <f>VLOOKUP($B341&amp;"__wt",'SegEnds_Xtal_BW#'!$A:$Z,9,FALSE)</f>
        <v>-</v>
      </c>
      <c r="J341" s="1" t="str">
        <f>VLOOKUP($B341&amp;"__wt",'SegEnds_Xtal_BW#'!$A:$Z,10,FALSE)</f>
        <v>-</v>
      </c>
      <c r="K341" s="12">
        <v>23</v>
      </c>
      <c r="L341" s="1">
        <f>VLOOKUP($B341&amp;"__wt",'SegEnds_Xtal_BW#'!$A:$Z,12,FALSE)</f>
        <v>56</v>
      </c>
      <c r="M341" s="1" t="str">
        <f>VLOOKUP($B341&amp;"__wt",'SegEnds_Xtal_BW#'!$A:$Z,13,FALSE)</f>
        <v>-</v>
      </c>
      <c r="N341" s="12" t="str">
        <f>VLOOKUP($B341&amp;"__wt",'SegEnds_Xtal_BW#'!$A:$Z,14,FALSE)</f>
        <v>-</v>
      </c>
      <c r="O341" s="87">
        <f>VLOOKUP($B341&amp;"__wt",'SegEnds_Xtal_BW#'!$A:$Z,15,FALSE)</f>
        <v>40</v>
      </c>
      <c r="P341" s="1">
        <f>VLOOKUP($B341&amp;"__wt",'SegEnds_Xtal_BW#'!$A:$Z,16,FALSE)</f>
        <v>68</v>
      </c>
      <c r="Q341" s="1">
        <f>VLOOKUP($B341&amp;"__wt",'SegEnds_Xtal_BW#'!$A:$Z,17,FALSE)</f>
        <v>50</v>
      </c>
      <c r="R341" s="1">
        <f>VLOOKUP($B341&amp;"__wt",'SegEnds_Xtal_BW#'!$A:$Z,18,FALSE)</f>
        <v>52</v>
      </c>
      <c r="S341" s="1">
        <v>36</v>
      </c>
      <c r="T341" s="1">
        <v>69</v>
      </c>
      <c r="U341" s="1">
        <v>29</v>
      </c>
      <c r="V341" s="1">
        <f>VLOOKUP($B341&amp;"__wt",'SegEnds_Xtal_BW#'!$A:$Z,22,FALSE)</f>
        <v>53</v>
      </c>
      <c r="W341" s="1">
        <v>31</v>
      </c>
      <c r="X341" s="1">
        <f>VLOOKUP($B341&amp;"__wt",'SegEnds_Xtal_BW#'!$A:$Z,24,FALSE)</f>
        <v>56</v>
      </c>
      <c r="Y341" s="1">
        <f>VLOOKUP($B341&amp;"__wt",'SegEnds_Xtal_BW#'!$A:$Z,25,FALSE)</f>
        <v>47</v>
      </c>
      <c r="Z341" s="1">
        <v>63</v>
      </c>
      <c r="AA341" s="27" t="str">
        <f>VLOOKUP(A341,Classification!A:B,2,FALSE)</f>
        <v>B2</v>
      </c>
      <c r="AB341" s="1">
        <f>VLOOKUP(A341,'SegEnds_NonXtal_Prot#'!A:AL,10,FALSE)-VLOOKUP(A341,'SegEnds_NonXtal_Prot#'!A:AL,4,FALSE)</f>
        <v>29</v>
      </c>
      <c r="AC341" s="1" t="e">
        <f>VLOOKUP(A341,'SegEnds_NonXtal_Prot#'!A:AL,10,FALSE)-VLOOKUP(A341,'SegEnds_NonXtal_Prot#'!A:AL,7,FALSE)</f>
        <v>#VALUE!</v>
      </c>
      <c r="AD341" s="1" t="e">
        <f>VLOOKUP(A341,'SegEnds_NonXtal_Prot#'!A:AL,13,FALSE)-VLOOKUP(A341,'SegEnds_NonXtal_Prot#'!A:AL,10,FALSE)</f>
        <v>#VALUE!</v>
      </c>
      <c r="AE341" s="1">
        <f>VLOOKUP(A341,'SegEnds_NonXtal_Prot#'!A:AL,16,FALSE)-VLOOKUP(A341,'SegEnds_NonXtal_Prot#'!A:AL,10,FALSE)</f>
        <v>45</v>
      </c>
      <c r="AF341" s="1" t="e">
        <f>VLOOKUP(A341,'SegEnds_NonXtal_Prot#'!A:AL,22,FALSE)-VLOOKUP(A341,'SegEnds_NonXtal_Prot#'!A:AL,19,FALSE)</f>
        <v>#VALUE!</v>
      </c>
      <c r="AG341" s="1">
        <f>VLOOKUP(A341,'SegEnds_NonXtal_Prot#'!A:AL,28,FALSE)-VLOOKUP(A341,'SegEnds_NonXtal_Prot#'!A:AL,25,FALSE)</f>
        <v>19</v>
      </c>
      <c r="AH341" s="1">
        <f>VLOOKUP(A341,'SegEnds_NonXtal_Prot#'!A:AL,28,FALSE)-VLOOKUP(A341,'SegEnds_NonXtal_Prot#'!A:AL,22,FALSE)</f>
        <v>44</v>
      </c>
      <c r="AI341" s="1">
        <f>VLOOKUP(A341,'SegEnds_NonXtal_Prot#'!A:AL,31,FALSE)-VLOOKUP(A341,'SegEnds_NonXtal_Prot#'!A:AL,28,FALSE)</f>
        <v>50</v>
      </c>
      <c r="AJ341" s="1">
        <f>VLOOKUP(A341,'SegEnds_NonXtal_Prot#'!A:AL,34,FALSE)-VLOOKUP(A341,'SegEnds_NonXtal_Prot#'!A:AL,31,FALSE)</f>
        <v>29</v>
      </c>
      <c r="AK341" s="1">
        <f>VLOOKUP(A341,'SegEnds_NonXtal_Prot#'!A:AL,37,FALSE)-VLOOKUP(A341,'SegEnds_NonXtal_Prot#'!A:AL,34,FALSE)</f>
        <v>10</v>
      </c>
      <c r="AL341" s="1" t="str">
        <f>IF(ISERROR(MATCH(A341,'SegEnds_Xtal_Prot#'!B:B, 0)), "NoXtal", "Xtal")</f>
        <v>NoXtal</v>
      </c>
    </row>
    <row r="342" spans="1:38" x14ac:dyDescent="0.2">
      <c r="A342" s="4" t="s">
        <v>1193</v>
      </c>
      <c r="B342" s="4" t="str">
        <f>VLOOKUP(A342,Xtal_Templ!A:B,2,FALSE)</f>
        <v>crfr1_human</v>
      </c>
      <c r="C342" s="5">
        <v>23</v>
      </c>
      <c r="D342" s="4">
        <f>VLOOKUP($B342&amp;"__wt",'SegEnds_Xtal_BW#'!$A:$Z,4,FALSE)</f>
        <v>60</v>
      </c>
      <c r="E342" s="4">
        <f>VLOOKUP($B342&amp;"__wt",'SegEnds_Xtal_BW#'!$A:$Z,5,FALSE)</f>
        <v>48</v>
      </c>
      <c r="F342" s="4">
        <f>VLOOKUP($B342&amp;"__wt",'SegEnds_Xtal_BW#'!$A:$Z,6,FALSE)</f>
        <v>51</v>
      </c>
      <c r="G342" s="4">
        <v>37</v>
      </c>
      <c r="H342" s="11">
        <v>63</v>
      </c>
      <c r="I342" s="4" t="str">
        <f>VLOOKUP($B342&amp;"__wt",'SegEnds_Xtal_BW#'!$A:$Z,9,FALSE)</f>
        <v>-</v>
      </c>
      <c r="J342" s="4" t="str">
        <f>VLOOKUP($B342&amp;"__wt",'SegEnds_Xtal_BW#'!$A:$Z,10,FALSE)</f>
        <v>-</v>
      </c>
      <c r="K342" s="11">
        <v>23</v>
      </c>
      <c r="L342" s="4">
        <f>VLOOKUP($B342&amp;"__wt",'SegEnds_Xtal_BW#'!$A:$Z,12,FALSE)</f>
        <v>56</v>
      </c>
      <c r="M342" s="4" t="str">
        <f>VLOOKUP($B342&amp;"__wt",'SegEnds_Xtal_BW#'!$A:$Z,13,FALSE)</f>
        <v>-</v>
      </c>
      <c r="N342" s="11" t="str">
        <f>VLOOKUP($B342&amp;"__wt",'SegEnds_Xtal_BW#'!$A:$Z,14,FALSE)</f>
        <v>-</v>
      </c>
      <c r="O342" s="88">
        <f>VLOOKUP($B342&amp;"__wt",'SegEnds_Xtal_BW#'!$A:$Z,15,FALSE)</f>
        <v>40</v>
      </c>
      <c r="P342" s="4">
        <f>VLOOKUP($B342&amp;"__wt",'SegEnds_Xtal_BW#'!$A:$Z,16,FALSE)</f>
        <v>68</v>
      </c>
      <c r="Q342" s="4">
        <f>VLOOKUP($B342&amp;"__wt",'SegEnds_Xtal_BW#'!$A:$Z,17,FALSE)</f>
        <v>50</v>
      </c>
      <c r="R342" s="4">
        <f>VLOOKUP($B342&amp;"__wt",'SegEnds_Xtal_BW#'!$A:$Z,18,FALSE)</f>
        <v>52</v>
      </c>
      <c r="S342" s="4">
        <v>36</v>
      </c>
      <c r="T342" s="4">
        <v>69</v>
      </c>
      <c r="U342" s="4">
        <v>29</v>
      </c>
      <c r="V342" s="4">
        <f>VLOOKUP($B342&amp;"__wt",'SegEnds_Xtal_BW#'!$A:$Z,22,FALSE)</f>
        <v>53</v>
      </c>
      <c r="W342" s="115">
        <v>28</v>
      </c>
      <c r="X342" s="4">
        <f>VLOOKUP($B342&amp;"__wt",'SegEnds_Xtal_BW#'!$A:$Z,24,FALSE)</f>
        <v>56</v>
      </c>
      <c r="Y342" s="4">
        <f>VLOOKUP($B342&amp;"__wt",'SegEnds_Xtal_BW#'!$A:$Z,25,FALSE)</f>
        <v>47</v>
      </c>
      <c r="Z342" s="4">
        <v>63</v>
      </c>
      <c r="AA342" s="27" t="str">
        <f>VLOOKUP(A342,Classification!A:B,2,FALSE)</f>
        <v>B2</v>
      </c>
      <c r="AB342" s="1">
        <f>VLOOKUP(A342,'SegEnds_NonXtal_Prot#'!A:AL,10,FALSE)-VLOOKUP(A342,'SegEnds_NonXtal_Prot#'!A:AL,4,FALSE)</f>
        <v>35</v>
      </c>
      <c r="AC342" s="4">
        <f>VLOOKUP(A342,'SegEnds_NonXtal_Prot#'!A:AL,10,FALSE)-VLOOKUP(A342,'SegEnds_NonXtal_Prot#'!A:AL,7,FALSE)</f>
        <v>21</v>
      </c>
      <c r="AD342" s="4" t="e">
        <f>VLOOKUP(A342,'SegEnds_NonXtal_Prot#'!A:AL,13,FALSE)-VLOOKUP(A342,'SegEnds_NonXtal_Prot#'!A:AL,10,FALSE)</f>
        <v>#VALUE!</v>
      </c>
      <c r="AE342" s="4">
        <f>VLOOKUP(A342,'SegEnds_NonXtal_Prot#'!A:AL,16,FALSE)-VLOOKUP(A342,'SegEnds_NonXtal_Prot#'!A:AL,10,FALSE)</f>
        <v>47</v>
      </c>
      <c r="AF342" s="1" t="e">
        <f>VLOOKUP(A342,'SegEnds_NonXtal_Prot#'!A:AL,22,FALSE)-VLOOKUP(A342,'SegEnds_NonXtal_Prot#'!A:AL,19,FALSE)</f>
        <v>#VALUE!</v>
      </c>
      <c r="AG342" s="4">
        <f>VLOOKUP(A342,'SegEnds_NonXtal_Prot#'!A:AL,28,FALSE)-VLOOKUP(A342,'SegEnds_NonXtal_Prot#'!A:AL,25,FALSE)</f>
        <v>19</v>
      </c>
      <c r="AH342" s="1">
        <f>VLOOKUP(A342,'SegEnds_NonXtal_Prot#'!A:AL,28,FALSE)-VLOOKUP(A342,'SegEnds_NonXtal_Prot#'!A:AL,22,FALSE)</f>
        <v>57</v>
      </c>
      <c r="AI342" s="4">
        <f>VLOOKUP(A342,'SegEnds_NonXtal_Prot#'!A:AL,31,FALSE)-VLOOKUP(A342,'SegEnds_NonXtal_Prot#'!A:AL,28,FALSE)</f>
        <v>44</v>
      </c>
      <c r="AJ342" s="4">
        <f>VLOOKUP(A342,'SegEnds_NonXtal_Prot#'!A:AL,34,FALSE)-VLOOKUP(A342,'SegEnds_NonXtal_Prot#'!A:AL,31,FALSE)</f>
        <v>30</v>
      </c>
      <c r="AK342" s="1">
        <f>VLOOKUP(A342,'SegEnds_NonXtal_Prot#'!A:AL,37,FALSE)-VLOOKUP(A342,'SegEnds_NonXtal_Prot#'!A:AL,34,FALSE)</f>
        <v>10</v>
      </c>
      <c r="AL342" s="1" t="str">
        <f>IF(ISERROR(MATCH(A342,'SegEnds_Xtal_Prot#'!B:B, 0)), "NoXtal", "Xtal")</f>
        <v>NoXtal</v>
      </c>
    </row>
    <row r="343" spans="1:38" x14ac:dyDescent="0.2">
      <c r="A343" s="1" t="s">
        <v>1177</v>
      </c>
      <c r="B343" s="1" t="str">
        <f>VLOOKUP(A343,Xtal_Templ!A:B,2,FALSE)</f>
        <v>crfr1_human</v>
      </c>
      <c r="C343" s="5">
        <v>23</v>
      </c>
      <c r="D343" s="1">
        <f>VLOOKUP($B343&amp;"__wt",'SegEnds_Xtal_BW#'!$A:$Z,4,FALSE)</f>
        <v>60</v>
      </c>
      <c r="E343" s="1">
        <f>VLOOKUP($B343&amp;"__wt",'SegEnds_Xtal_BW#'!$A:$Z,5,FALSE)</f>
        <v>48</v>
      </c>
      <c r="F343" s="1">
        <f>VLOOKUP($B343&amp;"__wt",'SegEnds_Xtal_BW#'!$A:$Z,6,FALSE)</f>
        <v>51</v>
      </c>
      <c r="G343" s="1">
        <v>37</v>
      </c>
      <c r="H343" s="12">
        <v>63</v>
      </c>
      <c r="I343" s="1" t="str">
        <f>VLOOKUP($B343&amp;"__wt",'SegEnds_Xtal_BW#'!$A:$Z,9,FALSE)</f>
        <v>-</v>
      </c>
      <c r="J343" s="1" t="str">
        <f>VLOOKUP($B343&amp;"__wt",'SegEnds_Xtal_BW#'!$A:$Z,10,FALSE)</f>
        <v>-</v>
      </c>
      <c r="K343" s="12">
        <v>23</v>
      </c>
      <c r="L343" s="1">
        <f>VLOOKUP($B343&amp;"__wt",'SegEnds_Xtal_BW#'!$A:$Z,12,FALSE)</f>
        <v>56</v>
      </c>
      <c r="M343" s="1" t="str">
        <f>VLOOKUP($B343&amp;"__wt",'SegEnds_Xtal_BW#'!$A:$Z,13,FALSE)</f>
        <v>-</v>
      </c>
      <c r="N343" s="12" t="str">
        <f>VLOOKUP($B343&amp;"__wt",'SegEnds_Xtal_BW#'!$A:$Z,14,FALSE)</f>
        <v>-</v>
      </c>
      <c r="O343" s="87">
        <f>VLOOKUP($B343&amp;"__wt",'SegEnds_Xtal_BW#'!$A:$Z,15,FALSE)</f>
        <v>40</v>
      </c>
      <c r="P343" s="1">
        <f>VLOOKUP($B343&amp;"__wt",'SegEnds_Xtal_BW#'!$A:$Z,16,FALSE)</f>
        <v>68</v>
      </c>
      <c r="Q343" s="1">
        <f>VLOOKUP($B343&amp;"__wt",'SegEnds_Xtal_BW#'!$A:$Z,17,FALSE)</f>
        <v>50</v>
      </c>
      <c r="R343" s="1">
        <f>VLOOKUP($B343&amp;"__wt",'SegEnds_Xtal_BW#'!$A:$Z,18,FALSE)</f>
        <v>52</v>
      </c>
      <c r="S343" s="1">
        <v>36</v>
      </c>
      <c r="T343" s="1">
        <v>69</v>
      </c>
      <c r="U343" s="1">
        <v>29</v>
      </c>
      <c r="V343" s="1">
        <f>VLOOKUP($B343&amp;"__wt",'SegEnds_Xtal_BW#'!$A:$Z,22,FALSE)</f>
        <v>53</v>
      </c>
      <c r="W343" s="1">
        <v>29</v>
      </c>
      <c r="X343" s="1">
        <f>VLOOKUP($B343&amp;"__wt",'SegEnds_Xtal_BW#'!$A:$Z,24,FALSE)</f>
        <v>56</v>
      </c>
      <c r="Y343" s="1">
        <f>VLOOKUP($B343&amp;"__wt",'SegEnds_Xtal_BW#'!$A:$Z,25,FALSE)</f>
        <v>47</v>
      </c>
      <c r="Z343" s="1">
        <v>63</v>
      </c>
      <c r="AA343" s="27" t="str">
        <f>VLOOKUP(A343,Classification!A:B,2,FALSE)</f>
        <v>B2</v>
      </c>
      <c r="AB343" s="1">
        <f>VLOOKUP(A343,'SegEnds_NonXtal_Prot#'!A:AL,10,FALSE)-VLOOKUP(A343,'SegEnds_NonXtal_Prot#'!A:AL,4,FALSE)</f>
        <v>26</v>
      </c>
      <c r="AC343" s="1" t="e">
        <f>VLOOKUP(A343,'SegEnds_NonXtal_Prot#'!A:AL,10,FALSE)-VLOOKUP(A343,'SegEnds_NonXtal_Prot#'!A:AL,7,FALSE)</f>
        <v>#VALUE!</v>
      </c>
      <c r="AD343" s="1" t="e">
        <f>VLOOKUP(A343,'SegEnds_NonXtal_Prot#'!A:AL,13,FALSE)-VLOOKUP(A343,'SegEnds_NonXtal_Prot#'!A:AL,10,FALSE)</f>
        <v>#VALUE!</v>
      </c>
      <c r="AE343" s="1">
        <f>VLOOKUP(A343,'SegEnds_NonXtal_Prot#'!A:AL,16,FALSE)-VLOOKUP(A343,'SegEnds_NonXtal_Prot#'!A:AL,10,FALSE)</f>
        <v>47</v>
      </c>
      <c r="AF343" s="1" t="e">
        <f>VLOOKUP(A343,'SegEnds_NonXtal_Prot#'!A:AL,22,FALSE)-VLOOKUP(A343,'SegEnds_NonXtal_Prot#'!A:AL,19,FALSE)</f>
        <v>#VALUE!</v>
      </c>
      <c r="AG343" s="1">
        <f>VLOOKUP(A343,'SegEnds_NonXtal_Prot#'!A:AL,28,FALSE)-VLOOKUP(A343,'SegEnds_NonXtal_Prot#'!A:AL,25,FALSE)</f>
        <v>18</v>
      </c>
      <c r="AH343" s="1">
        <f>VLOOKUP(A343,'SegEnds_NonXtal_Prot#'!A:AL,28,FALSE)-VLOOKUP(A343,'SegEnds_NonXtal_Prot#'!A:AL,22,FALSE)</f>
        <v>46</v>
      </c>
      <c r="AI343" s="1">
        <f>VLOOKUP(A343,'SegEnds_NonXtal_Prot#'!A:AL,31,FALSE)-VLOOKUP(A343,'SegEnds_NonXtal_Prot#'!A:AL,28,FALSE)</f>
        <v>86</v>
      </c>
      <c r="AJ343" s="1">
        <f>VLOOKUP(A343,'SegEnds_NonXtal_Prot#'!A:AL,34,FALSE)-VLOOKUP(A343,'SegEnds_NonXtal_Prot#'!A:AL,31,FALSE)</f>
        <v>31</v>
      </c>
      <c r="AK343" s="1">
        <f>VLOOKUP(A343,'SegEnds_NonXtal_Prot#'!A:AL,37,FALSE)-VLOOKUP(A343,'SegEnds_NonXtal_Prot#'!A:AL,34,FALSE)</f>
        <v>10</v>
      </c>
      <c r="AL343" s="1" t="str">
        <f>IF(ISERROR(MATCH(A343,'SegEnds_Xtal_Prot#'!B:B, 0)), "NoXtal", "Xtal")</f>
        <v>NoXtal</v>
      </c>
    </row>
    <row r="344" spans="1:38" x14ac:dyDescent="0.2">
      <c r="A344" s="4" t="s">
        <v>1178</v>
      </c>
      <c r="B344" s="4" t="str">
        <f>VLOOKUP(A344,Xtal_Templ!A:B,2,FALSE)</f>
        <v>crfr1_human</v>
      </c>
      <c r="C344" s="5">
        <v>23</v>
      </c>
      <c r="D344" s="4">
        <f>VLOOKUP($B344&amp;"__wt",'SegEnds_Xtal_BW#'!$A:$Z,4,FALSE)</f>
        <v>60</v>
      </c>
      <c r="E344" s="4">
        <f>VLOOKUP($B344&amp;"__wt",'SegEnds_Xtal_BW#'!$A:$Z,5,FALSE)</f>
        <v>48</v>
      </c>
      <c r="F344" s="4">
        <f>VLOOKUP($B344&amp;"__wt",'SegEnds_Xtal_BW#'!$A:$Z,6,FALSE)</f>
        <v>51</v>
      </c>
      <c r="G344" s="4">
        <v>37</v>
      </c>
      <c r="H344" s="11">
        <v>63</v>
      </c>
      <c r="I344" s="4" t="str">
        <f>VLOOKUP($B344&amp;"__wt",'SegEnds_Xtal_BW#'!$A:$Z,9,FALSE)</f>
        <v>-</v>
      </c>
      <c r="J344" s="4" t="str">
        <f>VLOOKUP($B344&amp;"__wt",'SegEnds_Xtal_BW#'!$A:$Z,10,FALSE)</f>
        <v>-</v>
      </c>
      <c r="K344" s="11">
        <v>23</v>
      </c>
      <c r="L344" s="4">
        <f>VLOOKUP($B344&amp;"__wt",'SegEnds_Xtal_BW#'!$A:$Z,12,FALSE)</f>
        <v>56</v>
      </c>
      <c r="M344" s="4" t="str">
        <f>VLOOKUP($B344&amp;"__wt",'SegEnds_Xtal_BW#'!$A:$Z,13,FALSE)</f>
        <v>-</v>
      </c>
      <c r="N344" s="11" t="str">
        <f>VLOOKUP($B344&amp;"__wt",'SegEnds_Xtal_BW#'!$A:$Z,14,FALSE)</f>
        <v>-</v>
      </c>
      <c r="O344" s="88">
        <f>VLOOKUP($B344&amp;"__wt",'SegEnds_Xtal_BW#'!$A:$Z,15,FALSE)</f>
        <v>40</v>
      </c>
      <c r="P344" s="4">
        <f>VLOOKUP($B344&amp;"__wt",'SegEnds_Xtal_BW#'!$A:$Z,16,FALSE)</f>
        <v>68</v>
      </c>
      <c r="Q344" s="4">
        <f>VLOOKUP($B344&amp;"__wt",'SegEnds_Xtal_BW#'!$A:$Z,17,FALSE)</f>
        <v>50</v>
      </c>
      <c r="R344" s="4">
        <f>VLOOKUP($B344&amp;"__wt",'SegEnds_Xtal_BW#'!$A:$Z,18,FALSE)</f>
        <v>52</v>
      </c>
      <c r="S344" s="4">
        <v>36</v>
      </c>
      <c r="T344" s="4">
        <v>69</v>
      </c>
      <c r="U344" s="4">
        <v>29</v>
      </c>
      <c r="V344" s="4">
        <f>VLOOKUP($B344&amp;"__wt",'SegEnds_Xtal_BW#'!$A:$Z,22,FALSE)</f>
        <v>53</v>
      </c>
      <c r="W344" s="4">
        <v>29</v>
      </c>
      <c r="X344" s="4">
        <f>VLOOKUP($B344&amp;"__wt",'SegEnds_Xtal_BW#'!$A:$Z,24,FALSE)</f>
        <v>56</v>
      </c>
      <c r="Y344" s="4">
        <f>VLOOKUP($B344&amp;"__wt",'SegEnds_Xtal_BW#'!$A:$Z,25,FALSE)</f>
        <v>47</v>
      </c>
      <c r="Z344" s="4">
        <v>63</v>
      </c>
      <c r="AA344" s="27" t="str">
        <f>VLOOKUP(A344,Classification!A:B,2,FALSE)</f>
        <v>B2</v>
      </c>
      <c r="AB344" s="1">
        <f>VLOOKUP(A344,'SegEnds_NonXtal_Prot#'!A:AL,10,FALSE)-VLOOKUP(A344,'SegEnds_NonXtal_Prot#'!A:AL,4,FALSE)</f>
        <v>26</v>
      </c>
      <c r="AC344" s="4" t="e">
        <f>VLOOKUP(A344,'SegEnds_NonXtal_Prot#'!A:AL,10,FALSE)-VLOOKUP(A344,'SegEnds_NonXtal_Prot#'!A:AL,7,FALSE)</f>
        <v>#VALUE!</v>
      </c>
      <c r="AD344" s="4" t="e">
        <f>VLOOKUP(A344,'SegEnds_NonXtal_Prot#'!A:AL,13,FALSE)-VLOOKUP(A344,'SegEnds_NonXtal_Prot#'!A:AL,10,FALSE)</f>
        <v>#VALUE!</v>
      </c>
      <c r="AE344" s="4">
        <f>VLOOKUP(A344,'SegEnds_NonXtal_Prot#'!A:AL,16,FALSE)-VLOOKUP(A344,'SegEnds_NonXtal_Prot#'!A:AL,10,FALSE)</f>
        <v>47</v>
      </c>
      <c r="AF344" s="1" t="e">
        <f>VLOOKUP(A344,'SegEnds_NonXtal_Prot#'!A:AL,22,FALSE)-VLOOKUP(A344,'SegEnds_NonXtal_Prot#'!A:AL,19,FALSE)</f>
        <v>#VALUE!</v>
      </c>
      <c r="AG344" s="4">
        <f>VLOOKUP(A344,'SegEnds_NonXtal_Prot#'!A:AL,28,FALSE)-VLOOKUP(A344,'SegEnds_NonXtal_Prot#'!A:AL,25,FALSE)</f>
        <v>18</v>
      </c>
      <c r="AH344" s="1">
        <f>VLOOKUP(A344,'SegEnds_NonXtal_Prot#'!A:AL,28,FALSE)-VLOOKUP(A344,'SegEnds_NonXtal_Prot#'!A:AL,22,FALSE)</f>
        <v>43</v>
      </c>
      <c r="AI344" s="4">
        <f>VLOOKUP(A344,'SegEnds_NonXtal_Prot#'!A:AL,31,FALSE)-VLOOKUP(A344,'SegEnds_NonXtal_Prot#'!A:AL,28,FALSE)</f>
        <v>100</v>
      </c>
      <c r="AJ344" s="4">
        <f>VLOOKUP(A344,'SegEnds_NonXtal_Prot#'!A:AL,34,FALSE)-VLOOKUP(A344,'SegEnds_NonXtal_Prot#'!A:AL,31,FALSE)</f>
        <v>31</v>
      </c>
      <c r="AK344" s="1">
        <f>VLOOKUP(A344,'SegEnds_NonXtal_Prot#'!A:AL,37,FALSE)-VLOOKUP(A344,'SegEnds_NonXtal_Prot#'!A:AL,34,FALSE)</f>
        <v>10</v>
      </c>
      <c r="AL344" s="1" t="str">
        <f>IF(ISERROR(MATCH(A344,'SegEnds_Xtal_Prot#'!B:B, 0)), "NoXtal", "Xtal")</f>
        <v>NoXtal</v>
      </c>
    </row>
    <row r="345" spans="1:38" x14ac:dyDescent="0.2">
      <c r="A345" s="1" t="s">
        <v>1179</v>
      </c>
      <c r="B345" s="1" t="str">
        <f>VLOOKUP(A345,Xtal_Templ!A:B,2,FALSE)</f>
        <v>crfr1_human</v>
      </c>
      <c r="C345" s="5">
        <v>23</v>
      </c>
      <c r="D345" s="1">
        <f>VLOOKUP($B345&amp;"__wt",'SegEnds_Xtal_BW#'!$A:$Z,4,FALSE)</f>
        <v>60</v>
      </c>
      <c r="E345" s="1">
        <f>VLOOKUP($B345&amp;"__wt",'SegEnds_Xtal_BW#'!$A:$Z,5,FALSE)</f>
        <v>48</v>
      </c>
      <c r="F345" s="1">
        <f>VLOOKUP($B345&amp;"__wt",'SegEnds_Xtal_BW#'!$A:$Z,6,FALSE)</f>
        <v>51</v>
      </c>
      <c r="G345" s="1">
        <v>37</v>
      </c>
      <c r="H345" s="12">
        <v>63</v>
      </c>
      <c r="I345" s="1" t="str">
        <f>VLOOKUP($B345&amp;"__wt",'SegEnds_Xtal_BW#'!$A:$Z,9,FALSE)</f>
        <v>-</v>
      </c>
      <c r="J345" s="1" t="str">
        <f>VLOOKUP($B345&amp;"__wt",'SegEnds_Xtal_BW#'!$A:$Z,10,FALSE)</f>
        <v>-</v>
      </c>
      <c r="K345" s="12">
        <v>23</v>
      </c>
      <c r="L345" s="1">
        <f>VLOOKUP($B345&amp;"__wt",'SegEnds_Xtal_BW#'!$A:$Z,12,FALSE)</f>
        <v>56</v>
      </c>
      <c r="M345" s="1" t="str">
        <f>VLOOKUP($B345&amp;"__wt",'SegEnds_Xtal_BW#'!$A:$Z,13,FALSE)</f>
        <v>-</v>
      </c>
      <c r="N345" s="12" t="str">
        <f>VLOOKUP($B345&amp;"__wt",'SegEnds_Xtal_BW#'!$A:$Z,14,FALSE)</f>
        <v>-</v>
      </c>
      <c r="O345" s="87">
        <f>VLOOKUP($B345&amp;"__wt",'SegEnds_Xtal_BW#'!$A:$Z,15,FALSE)</f>
        <v>40</v>
      </c>
      <c r="P345" s="1">
        <f>VLOOKUP($B345&amp;"__wt",'SegEnds_Xtal_BW#'!$A:$Z,16,FALSE)</f>
        <v>68</v>
      </c>
      <c r="Q345" s="1">
        <f>VLOOKUP($B345&amp;"__wt",'SegEnds_Xtal_BW#'!$A:$Z,17,FALSE)</f>
        <v>50</v>
      </c>
      <c r="R345" s="1">
        <f>VLOOKUP($B345&amp;"__wt",'SegEnds_Xtal_BW#'!$A:$Z,18,FALSE)</f>
        <v>52</v>
      </c>
      <c r="S345" s="1">
        <v>36</v>
      </c>
      <c r="T345" s="1">
        <v>69</v>
      </c>
      <c r="U345" s="1">
        <v>29</v>
      </c>
      <c r="V345" s="1">
        <f>VLOOKUP($B345&amp;"__wt",'SegEnds_Xtal_BW#'!$A:$Z,22,FALSE)</f>
        <v>53</v>
      </c>
      <c r="W345" s="1">
        <v>29</v>
      </c>
      <c r="X345" s="1">
        <f>VLOOKUP($B345&amp;"__wt",'SegEnds_Xtal_BW#'!$A:$Z,24,FALSE)</f>
        <v>56</v>
      </c>
      <c r="Y345" s="1">
        <f>VLOOKUP($B345&amp;"__wt",'SegEnds_Xtal_BW#'!$A:$Z,25,FALSE)</f>
        <v>47</v>
      </c>
      <c r="Z345" s="1">
        <v>63</v>
      </c>
      <c r="AA345" s="27" t="str">
        <f>VLOOKUP(A345,Classification!A:B,2,FALSE)</f>
        <v>B2</v>
      </c>
      <c r="AB345" s="1">
        <f>VLOOKUP(A345,'SegEnds_NonXtal_Prot#'!A:AL,10,FALSE)-VLOOKUP(A345,'SegEnds_NonXtal_Prot#'!A:AL,4,FALSE)</f>
        <v>26</v>
      </c>
      <c r="AC345" s="1" t="e">
        <f>VLOOKUP(A345,'SegEnds_NonXtal_Prot#'!A:AL,10,FALSE)-VLOOKUP(A345,'SegEnds_NonXtal_Prot#'!A:AL,7,FALSE)</f>
        <v>#VALUE!</v>
      </c>
      <c r="AD345" s="1" t="e">
        <f>VLOOKUP(A345,'SegEnds_NonXtal_Prot#'!A:AL,13,FALSE)-VLOOKUP(A345,'SegEnds_NonXtal_Prot#'!A:AL,10,FALSE)</f>
        <v>#VALUE!</v>
      </c>
      <c r="AE345" s="1">
        <f>VLOOKUP(A345,'SegEnds_NonXtal_Prot#'!A:AL,16,FALSE)-VLOOKUP(A345,'SegEnds_NonXtal_Prot#'!A:AL,10,FALSE)</f>
        <v>47</v>
      </c>
      <c r="AF345" s="1" t="e">
        <f>VLOOKUP(A345,'SegEnds_NonXtal_Prot#'!A:AL,22,FALSE)-VLOOKUP(A345,'SegEnds_NonXtal_Prot#'!A:AL,19,FALSE)</f>
        <v>#VALUE!</v>
      </c>
      <c r="AG345" s="1">
        <f>VLOOKUP(A345,'SegEnds_NonXtal_Prot#'!A:AL,28,FALSE)-VLOOKUP(A345,'SegEnds_NonXtal_Prot#'!A:AL,25,FALSE)</f>
        <v>18</v>
      </c>
      <c r="AH345" s="1">
        <f>VLOOKUP(A345,'SegEnds_NonXtal_Prot#'!A:AL,28,FALSE)-VLOOKUP(A345,'SegEnds_NonXtal_Prot#'!A:AL,22,FALSE)</f>
        <v>45</v>
      </c>
      <c r="AI345" s="1">
        <f>VLOOKUP(A345,'SegEnds_NonXtal_Prot#'!A:AL,31,FALSE)-VLOOKUP(A345,'SegEnds_NonXtal_Prot#'!A:AL,28,FALSE)</f>
        <v>85</v>
      </c>
      <c r="AJ345" s="1">
        <f>VLOOKUP(A345,'SegEnds_NonXtal_Prot#'!A:AL,34,FALSE)-VLOOKUP(A345,'SegEnds_NonXtal_Prot#'!A:AL,31,FALSE)</f>
        <v>31</v>
      </c>
      <c r="AK345" s="1">
        <f>VLOOKUP(A345,'SegEnds_NonXtal_Prot#'!A:AL,37,FALSE)-VLOOKUP(A345,'SegEnds_NonXtal_Prot#'!A:AL,34,FALSE)</f>
        <v>10</v>
      </c>
      <c r="AL345" s="1" t="str">
        <f>IF(ISERROR(MATCH(A345,'SegEnds_Xtal_Prot#'!B:B, 0)), "NoXtal", "Xtal")</f>
        <v>NoXtal</v>
      </c>
    </row>
    <row r="346" spans="1:38" x14ac:dyDescent="0.2">
      <c r="A346" s="1" t="s">
        <v>1198</v>
      </c>
      <c r="B346" s="1" t="str">
        <f>VLOOKUP(A346,Xtal_Templ!A:B,2,FALSE)</f>
        <v>pth1r_human</v>
      </c>
      <c r="C346" s="5">
        <v>23</v>
      </c>
      <c r="D346" s="1">
        <f>VLOOKUP($B346&amp;"__wt",'SegEnds_Xtal_BW#'!$A:$Z,4,FALSE)</f>
        <v>60</v>
      </c>
      <c r="E346" s="1">
        <f>VLOOKUP($B346&amp;"__wt",'SegEnds_Xtal_BW#'!$A:$Z,5,FALSE)</f>
        <v>48</v>
      </c>
      <c r="F346" s="1">
        <f>VLOOKUP($B346&amp;"__wt",'SegEnds_Xtal_BW#'!$A:$Z,6,FALSE)</f>
        <v>51</v>
      </c>
      <c r="G346" s="1">
        <v>37</v>
      </c>
      <c r="H346" s="12">
        <v>65</v>
      </c>
      <c r="I346" s="1" t="str">
        <f>VLOOKUP($B346&amp;"__wt",'SegEnds_Xtal_BW#'!$A:$Z,9,FALSE)</f>
        <v>-</v>
      </c>
      <c r="J346" s="1" t="str">
        <f>VLOOKUP($B346&amp;"__wt",'SegEnds_Xtal_BW#'!$A:$Z,10,FALSE)</f>
        <v>-</v>
      </c>
      <c r="K346" s="12">
        <v>18</v>
      </c>
      <c r="L346" s="1">
        <f>VLOOKUP($B346&amp;"__wt",'SegEnds_Xtal_BW#'!$A:$Z,12,FALSE)</f>
        <v>56</v>
      </c>
      <c r="M346" s="1" t="str">
        <f>VLOOKUP($B346&amp;"__wt",'SegEnds_Xtal_BW#'!$A:$Z,13,FALSE)</f>
        <v>-</v>
      </c>
      <c r="N346" s="12" t="str">
        <f>VLOOKUP($B346&amp;"__wt",'SegEnds_Xtal_BW#'!$A:$Z,14,FALSE)</f>
        <v>-</v>
      </c>
      <c r="O346" s="87">
        <f>VLOOKUP($B346&amp;"__wt",'SegEnds_Xtal_BW#'!$A:$Z,15,FALSE)</f>
        <v>37</v>
      </c>
      <c r="P346" s="1">
        <f>VLOOKUP($B346&amp;"__wt",'SegEnds_Xtal_BW#'!$A:$Z,16,FALSE)</f>
        <v>68</v>
      </c>
      <c r="Q346" s="1">
        <f>VLOOKUP($B346&amp;"__wt",'SegEnds_Xtal_BW#'!$A:$Z,17,FALSE)</f>
        <v>50</v>
      </c>
      <c r="R346" s="1">
        <f>VLOOKUP($B346&amp;"__wt",'SegEnds_Xtal_BW#'!$A:$Z,18,FALSE)</f>
        <v>52</v>
      </c>
      <c r="S346" s="1">
        <v>36</v>
      </c>
      <c r="T346" s="1">
        <v>69</v>
      </c>
      <c r="U346" s="1">
        <v>29</v>
      </c>
      <c r="V346" s="1">
        <f>VLOOKUP($B346&amp;"__wt",'SegEnds_Xtal_BW#'!$A:$Z,22,FALSE)</f>
        <v>54</v>
      </c>
      <c r="W346" s="1">
        <v>29</v>
      </c>
      <c r="X346" s="1">
        <f>VLOOKUP($B346&amp;"__wt",'SegEnds_Xtal_BW#'!$A:$Z,24,FALSE)</f>
        <v>56</v>
      </c>
      <c r="Y346" s="1">
        <f>VLOOKUP($B346&amp;"__wt",'SegEnds_Xtal_BW#'!$A:$Z,25,FALSE)</f>
        <v>47</v>
      </c>
      <c r="Z346" s="1">
        <v>63</v>
      </c>
      <c r="AA346" s="27" t="str">
        <f>VLOOKUP(A346,Classification!A:B,2,FALSE)</f>
        <v>B2</v>
      </c>
      <c r="AB346" s="1">
        <f>VLOOKUP(A346,'SegEnds_NonXtal_Prot#'!A:AL,10,FALSE)-VLOOKUP(A346,'SegEnds_NonXtal_Prot#'!A:AL,4,FALSE)</f>
        <v>29</v>
      </c>
      <c r="AC346" s="1" t="e">
        <f>VLOOKUP(A346,'SegEnds_NonXtal_Prot#'!A:AL,10,FALSE)-VLOOKUP(A346,'SegEnds_NonXtal_Prot#'!A:AL,7,FALSE)</f>
        <v>#VALUE!</v>
      </c>
      <c r="AD346" s="1" t="e">
        <f>VLOOKUP(A346,'SegEnds_NonXtal_Prot#'!A:AL,13,FALSE)-VLOOKUP(A346,'SegEnds_NonXtal_Prot#'!A:AL,10,FALSE)</f>
        <v>#VALUE!</v>
      </c>
      <c r="AE346" s="1">
        <f>VLOOKUP(A346,'SegEnds_NonXtal_Prot#'!A:AL,16,FALSE)-VLOOKUP(A346,'SegEnds_NonXtal_Prot#'!A:AL,10,FALSE)</f>
        <v>73</v>
      </c>
      <c r="AF346" s="1" t="e">
        <f>VLOOKUP(A346,'SegEnds_NonXtal_Prot#'!A:AL,22,FALSE)-VLOOKUP(A346,'SegEnds_NonXtal_Prot#'!A:AL,19,FALSE)</f>
        <v>#VALUE!</v>
      </c>
      <c r="AG346" s="1">
        <f>VLOOKUP(A346,'SegEnds_NonXtal_Prot#'!A:AL,28,FALSE)-VLOOKUP(A346,'SegEnds_NonXtal_Prot#'!A:AL,25,FALSE)</f>
        <v>26</v>
      </c>
      <c r="AH346" s="1">
        <f>VLOOKUP(A346,'SegEnds_NonXtal_Prot#'!A:AL,28,FALSE)-VLOOKUP(A346,'SegEnds_NonXtal_Prot#'!A:AL,22,FALSE)</f>
        <v>60</v>
      </c>
      <c r="AI346" s="1">
        <f>VLOOKUP(A346,'SegEnds_NonXtal_Prot#'!A:AL,31,FALSE)-VLOOKUP(A346,'SegEnds_NonXtal_Prot#'!A:AL,28,FALSE)</f>
        <v>51</v>
      </c>
      <c r="AJ346" s="1">
        <f>VLOOKUP(A346,'SegEnds_NonXtal_Prot#'!A:AL,34,FALSE)-VLOOKUP(A346,'SegEnds_NonXtal_Prot#'!A:AL,31,FALSE)</f>
        <v>31</v>
      </c>
      <c r="AK346" s="1">
        <f>VLOOKUP(A346,'SegEnds_NonXtal_Prot#'!A:AL,37,FALSE)-VLOOKUP(A346,'SegEnds_NonXtal_Prot#'!A:AL,34,FALSE)</f>
        <v>10</v>
      </c>
      <c r="AL346" s="1" t="str">
        <f>IF(ISERROR(MATCH(A346,'SegEnds_Xtal_Prot#'!B:B, 0)), "NoXtal", "Xtal")</f>
        <v>NoXtal</v>
      </c>
    </row>
    <row r="347" spans="1:38" x14ac:dyDescent="0.2">
      <c r="A347" s="1" t="s">
        <v>1187</v>
      </c>
      <c r="B347" s="1" t="str">
        <f>VLOOKUP(A347,Xtal_Templ!A:B,2,FALSE)</f>
        <v>glp1r_human</v>
      </c>
      <c r="C347" s="5">
        <v>23</v>
      </c>
      <c r="D347" s="1">
        <f>VLOOKUP($B347&amp;"__wt",'SegEnds_Xtal_BW#'!$A:$Z,4,FALSE)</f>
        <v>60</v>
      </c>
      <c r="E347" s="1">
        <f>VLOOKUP($B347&amp;"__wt",'SegEnds_Xtal_BW#'!$A:$Z,5,FALSE)</f>
        <v>48</v>
      </c>
      <c r="F347" s="1">
        <f>VLOOKUP($B347&amp;"__wt",'SegEnds_Xtal_BW#'!$A:$Z,6,FALSE)</f>
        <v>51</v>
      </c>
      <c r="G347" s="1">
        <v>37</v>
      </c>
      <c r="H347" s="12">
        <v>63</v>
      </c>
      <c r="I347" s="1" t="str">
        <f>VLOOKUP($B347&amp;"__wt",'SegEnds_Xtal_BW#'!$A:$Z,9,FALSE)</f>
        <v>-</v>
      </c>
      <c r="J347" s="1" t="str">
        <f>VLOOKUP($B347&amp;"__wt",'SegEnds_Xtal_BW#'!$A:$Z,10,FALSE)</f>
        <v>-</v>
      </c>
      <c r="K347" s="12">
        <v>23</v>
      </c>
      <c r="L347" s="1">
        <f>VLOOKUP($B347&amp;"__wt",'SegEnds_Xtal_BW#'!$A:$Z,12,FALSE)</f>
        <v>56</v>
      </c>
      <c r="M347" s="1" t="str">
        <f>VLOOKUP($B347&amp;"__wt",'SegEnds_Xtal_BW#'!$A:$Z,13,FALSE)</f>
        <v>-</v>
      </c>
      <c r="N347" s="12" t="str">
        <f>VLOOKUP($B347&amp;"__wt",'SegEnds_Xtal_BW#'!$A:$Z,14,FALSE)</f>
        <v>-</v>
      </c>
      <c r="O347" s="87">
        <f>VLOOKUP($B347&amp;"__wt",'SegEnds_Xtal_BW#'!$A:$Z,15,FALSE)</f>
        <v>38</v>
      </c>
      <c r="P347" s="1">
        <f>VLOOKUP($B347&amp;"__wt",'SegEnds_Xtal_BW#'!$A:$Z,16,FALSE)</f>
        <v>68</v>
      </c>
      <c r="Q347" s="1">
        <f>VLOOKUP($B347&amp;"__wt",'SegEnds_Xtal_BW#'!$A:$Z,17,FALSE)</f>
        <v>50</v>
      </c>
      <c r="R347" s="1">
        <f>VLOOKUP($B347&amp;"__wt",'SegEnds_Xtal_BW#'!$A:$Z,18,FALSE)</f>
        <v>52</v>
      </c>
      <c r="S347" s="1">
        <v>36</v>
      </c>
      <c r="T347" s="1">
        <v>69</v>
      </c>
      <c r="U347" s="1">
        <v>29</v>
      </c>
      <c r="V347" s="1">
        <f>VLOOKUP($B347&amp;"__wt",'SegEnds_Xtal_BW#'!$A:$Z,22,FALSE)</f>
        <v>53</v>
      </c>
      <c r="W347" s="1">
        <v>28</v>
      </c>
      <c r="X347" s="1">
        <f>VLOOKUP($B347&amp;"__wt",'SegEnds_Xtal_BW#'!$A:$Z,24,FALSE)</f>
        <v>56</v>
      </c>
      <c r="Y347" s="1">
        <f>VLOOKUP($B347&amp;"__wt",'SegEnds_Xtal_BW#'!$A:$Z,25,FALSE)</f>
        <v>47</v>
      </c>
      <c r="Z347" s="1">
        <v>63</v>
      </c>
      <c r="AA347" s="27" t="str">
        <f>VLOOKUP(A347,Classification!A:B,2,FALSE)</f>
        <v>B2</v>
      </c>
      <c r="AB347" s="1">
        <f>VLOOKUP(A347,'SegEnds_NonXtal_Prot#'!A:AL,10,FALSE)-VLOOKUP(A347,'SegEnds_NonXtal_Prot#'!A:AL,4,FALSE)</f>
        <v>28</v>
      </c>
      <c r="AC347" s="1">
        <f>VLOOKUP(A347,'SegEnds_NonXtal_Prot#'!A:AL,10,FALSE)-VLOOKUP(A347,'SegEnds_NonXtal_Prot#'!A:AL,7,FALSE)</f>
        <v>15</v>
      </c>
      <c r="AD347" s="1" t="e">
        <f>VLOOKUP(A347,'SegEnds_NonXtal_Prot#'!A:AL,13,FALSE)-VLOOKUP(A347,'SegEnds_NonXtal_Prot#'!A:AL,10,FALSE)</f>
        <v>#VALUE!</v>
      </c>
      <c r="AE347" s="1">
        <f>VLOOKUP(A347,'SegEnds_NonXtal_Prot#'!A:AL,16,FALSE)-VLOOKUP(A347,'SegEnds_NonXtal_Prot#'!A:AL,10,FALSE)</f>
        <v>45</v>
      </c>
      <c r="AF347" s="1" t="e">
        <f>VLOOKUP(A347,'SegEnds_NonXtal_Prot#'!A:AL,22,FALSE)-VLOOKUP(A347,'SegEnds_NonXtal_Prot#'!A:AL,19,FALSE)</f>
        <v>#VALUE!</v>
      </c>
      <c r="AG347" s="1">
        <f>VLOOKUP(A347,'SegEnds_NonXtal_Prot#'!A:AL,28,FALSE)-VLOOKUP(A347,'SegEnds_NonXtal_Prot#'!A:AL,25,FALSE)</f>
        <v>19</v>
      </c>
      <c r="AH347" s="1">
        <f>VLOOKUP(A347,'SegEnds_NonXtal_Prot#'!A:AL,28,FALSE)-VLOOKUP(A347,'SegEnds_NonXtal_Prot#'!A:AL,22,FALSE)</f>
        <v>42</v>
      </c>
      <c r="AI347" s="1">
        <f>VLOOKUP(A347,'SegEnds_NonXtal_Prot#'!A:AL,31,FALSE)-VLOOKUP(A347,'SegEnds_NonXtal_Prot#'!A:AL,28,FALSE)</f>
        <v>52</v>
      </c>
      <c r="AJ347" s="1">
        <f>VLOOKUP(A347,'SegEnds_NonXtal_Prot#'!A:AL,34,FALSE)-VLOOKUP(A347,'SegEnds_NonXtal_Prot#'!A:AL,31,FALSE)</f>
        <v>32</v>
      </c>
      <c r="AK347" s="1">
        <f>VLOOKUP(A347,'SegEnds_NonXtal_Prot#'!A:AL,37,FALSE)-VLOOKUP(A347,'SegEnds_NonXtal_Prot#'!A:AL,34,FALSE)</f>
        <v>10</v>
      </c>
      <c r="AL347" s="1" t="str">
        <f>IF(ISERROR(MATCH(A347,'SegEnds_Xtal_Prot#'!B:B, 0)), "NoXtal", "Xtal")</f>
        <v>NoXtal</v>
      </c>
    </row>
    <row r="348" spans="1:38" s="42" customFormat="1" x14ac:dyDescent="0.2">
      <c r="A348" s="42" t="s">
        <v>40</v>
      </c>
      <c r="B348" s="42" t="str">
        <f>VLOOKUP(A348,Xtal_Templ!A:B,2,FALSE)</f>
        <v>grm1_human</v>
      </c>
      <c r="C348" s="43">
        <f>VLOOKUP($B348&amp;"__wt",'SegEnds_Xtal_BW#'!$A:$Z,3,FALSE)</f>
        <v>34</v>
      </c>
      <c r="D348" s="42">
        <f>VLOOKUP($B348&amp;"__wt",'SegEnds_Xtal_BW#'!$A:$Z,4,FALSE)</f>
        <v>60</v>
      </c>
      <c r="E348" s="42">
        <f>VLOOKUP($B348&amp;"__wt",'SegEnds_Xtal_BW#'!$A:$Z,5,FALSE)</f>
        <v>47</v>
      </c>
      <c r="F348" s="42">
        <f>VLOOKUP($B348&amp;"__wt",'SegEnds_Xtal_BW#'!$A:$Z,6,FALSE)</f>
        <v>53</v>
      </c>
      <c r="G348" s="42">
        <v>39</v>
      </c>
      <c r="H348" s="101">
        <f>VLOOKUP($B348&amp;"__wt",'SegEnds_Xtal_BW#'!$A:$Z,8,FALSE)</f>
        <v>61</v>
      </c>
      <c r="I348" s="42" t="str">
        <f>VLOOKUP($B348&amp;"__wt",'SegEnds_Xtal_BW#'!$A:$Z,9,FALSE)</f>
        <v>-</v>
      </c>
      <c r="J348" s="42" t="str">
        <f>VLOOKUP($B348&amp;"__wt",'SegEnds_Xtal_BW#'!$A:$Z,10,FALSE)</f>
        <v>-</v>
      </c>
      <c r="K348" s="101">
        <f>VLOOKUP($B348&amp;"__wt",'SegEnds_Xtal_BW#'!$A:$Z,11,FALSE)</f>
        <v>22</v>
      </c>
      <c r="L348" s="42">
        <f>VLOOKUP($B348&amp;"__wt",'SegEnds_Xtal_BW#'!$A:$Z,12,FALSE)</f>
        <v>54</v>
      </c>
      <c r="M348" s="42" t="str">
        <f>VLOOKUP($B348&amp;"__wt",'SegEnds_Xtal_BW#'!$A:$Z,13,FALSE)</f>
        <v>-</v>
      </c>
      <c r="N348" s="101" t="str">
        <f>VLOOKUP($B348&amp;"__wt",'SegEnds_Xtal_BW#'!$A:$Z,14,FALSE)</f>
        <v>-</v>
      </c>
      <c r="O348" s="89">
        <f>VLOOKUP($B348&amp;"__wt",'SegEnds_Xtal_BW#'!$A:$Z,15,FALSE)</f>
        <v>38</v>
      </c>
      <c r="P348" s="42">
        <f>VLOOKUP($B348&amp;"__wt",'SegEnds_Xtal_BW#'!$A:$Z,16,FALSE)</f>
        <v>64</v>
      </c>
      <c r="Q348" s="42">
        <f>VLOOKUP($B348&amp;"__wt",'SegEnds_Xtal_BW#'!$A:$Z,17,FALSE)</f>
        <v>50</v>
      </c>
      <c r="R348" s="42">
        <f>VLOOKUP($B348&amp;"__wt",'SegEnds_Xtal_BW#'!$A:$Z,18,FALSE)</f>
        <v>52</v>
      </c>
      <c r="S348" s="42">
        <f>VLOOKUP($B348&amp;"__wt",'SegEnds_Xtal_BW#'!$A:$Z,19,FALSE)</f>
        <v>36</v>
      </c>
      <c r="T348" s="42">
        <f>VLOOKUP($B348&amp;"__wt",'SegEnds_Xtal_BW#'!$A:$Z,20,FALSE)</f>
        <v>61</v>
      </c>
      <c r="U348" s="42">
        <f>VLOOKUP($B348&amp;"__wt",'SegEnds_Xtal_BW#'!$A:$Z,21,FALSE)</f>
        <v>33</v>
      </c>
      <c r="V348" s="42">
        <f>VLOOKUP($B348&amp;"__wt",'SegEnds_Xtal_BW#'!$A:$Z,22,FALSE)</f>
        <v>57</v>
      </c>
      <c r="W348" s="42">
        <f>VLOOKUP($B348&amp;"__wt",'SegEnds_Xtal_BW#'!$A:$Z,23,FALSE)</f>
        <v>33</v>
      </c>
      <c r="X348" s="42">
        <f>VLOOKUP($B348&amp;"__wt",'SegEnds_Xtal_BW#'!$A:$Z,24,FALSE)</f>
        <v>64</v>
      </c>
      <c r="Y348" s="42">
        <f>VLOOKUP($B348&amp;"__wt",'SegEnds_Xtal_BW#'!$A:$Z,25,FALSE)</f>
        <v>46</v>
      </c>
      <c r="Z348" s="42">
        <f>VLOOKUP($B348&amp;"__wt",'SegEnds_Xtal_BW#'!$A:$Z,26,FALSE)</f>
        <v>57</v>
      </c>
      <c r="AA348" s="44" t="str">
        <f>VLOOKUP(A348,Classification!A:B,2,FALSE)</f>
        <v>C</v>
      </c>
      <c r="AB348" s="1">
        <f>VLOOKUP(A348,'SegEnds_NonXtal_Prot#'!A:AL,10,FALSE)-VLOOKUP(A348,'SegEnds_NonXtal_Prot#'!A:AL,4,FALSE)</f>
        <v>31</v>
      </c>
      <c r="AC348" s="42">
        <f>VLOOKUP(A348,'SegEnds_NonXtal_Prot#'!A:AL,10,FALSE)-VLOOKUP(A348,'SegEnds_NonXtal_Prot#'!A:AL,7,FALSE)</f>
        <v>15</v>
      </c>
      <c r="AD348" s="42" t="e">
        <f>VLOOKUP(A348,'SegEnds_NonXtal_Prot#'!A:AL,13,FALSE)-VLOOKUP(A348,'SegEnds_NonXtal_Prot#'!A:AL,10,FALSE)</f>
        <v>#VALUE!</v>
      </c>
      <c r="AE348" s="42">
        <f>VLOOKUP(A348,'SegEnds_NonXtal_Prot#'!A:AL,16,FALSE)-VLOOKUP(A348,'SegEnds_NonXtal_Prot#'!A:AL,10,FALSE)</f>
        <v>44</v>
      </c>
      <c r="AF348" s="1" t="e">
        <f>VLOOKUP(A348,'SegEnds_NonXtal_Prot#'!A:AL,22,FALSE)-VLOOKUP(A348,'SegEnds_NonXtal_Prot#'!A:AL,19,FALSE)</f>
        <v>#VALUE!</v>
      </c>
      <c r="AG348" s="42">
        <f>VLOOKUP(A348,'SegEnds_NonXtal_Prot#'!A:AL,28,FALSE)-VLOOKUP(A348,'SegEnds_NonXtal_Prot#'!A:AL,25,FALSE)</f>
        <v>17</v>
      </c>
      <c r="AH348" s="1">
        <f>VLOOKUP(A348,'SegEnds_NonXtal_Prot#'!A:AL,28,FALSE)-VLOOKUP(A348,'SegEnds_NonXtal_Prot#'!A:AL,22,FALSE)</f>
        <v>49</v>
      </c>
      <c r="AI348" s="42">
        <f>VLOOKUP(A348,'SegEnds_NonXtal_Prot#'!A:AL,31,FALSE)-VLOOKUP(A348,'SegEnds_NonXtal_Prot#'!A:AL,28,FALSE)</f>
        <v>37</v>
      </c>
      <c r="AJ348" s="42">
        <f>VLOOKUP(A348,'SegEnds_NonXtal_Prot#'!A:AL,34,FALSE)-VLOOKUP(A348,'SegEnds_NonXtal_Prot#'!A:AL,31,FALSE)</f>
        <v>27</v>
      </c>
      <c r="AK348" s="1">
        <f>VLOOKUP(A348,'SegEnds_NonXtal_Prot#'!A:AL,37,FALSE)-VLOOKUP(A348,'SegEnds_NonXtal_Prot#'!A:AL,34,FALSE)</f>
        <v>19</v>
      </c>
      <c r="AL348" s="1" t="str">
        <f>IF(ISERROR(MATCH(A348,'SegEnds_Xtal_Prot#'!B:B, 0)), "NoXtal", "Xtal")</f>
        <v>Xtal</v>
      </c>
    </row>
    <row r="349" spans="1:38" x14ac:dyDescent="0.2">
      <c r="A349" s="1" t="s">
        <v>41</v>
      </c>
      <c r="B349" s="1" t="str">
        <f>VLOOKUP(A349,Xtal_Templ!A:B,2,FALSE)</f>
        <v>grm5_human</v>
      </c>
      <c r="C349" s="5">
        <f>VLOOKUP($B349&amp;"__wt",'SegEnds_Xtal_BW#'!$A:$Z,3,FALSE)</f>
        <v>34</v>
      </c>
      <c r="D349" s="1">
        <f>VLOOKUP($B349&amp;"__wt",'SegEnds_Xtal_BW#'!$A:$Z,4,FALSE)</f>
        <v>60</v>
      </c>
      <c r="E349" s="1">
        <f>VLOOKUP($B349&amp;"__wt",'SegEnds_Xtal_BW#'!$A:$Z,5,FALSE)</f>
        <v>47</v>
      </c>
      <c r="F349" s="1">
        <f>VLOOKUP($B349&amp;"__wt",'SegEnds_Xtal_BW#'!$A:$Z,6,FALSE)</f>
        <v>53</v>
      </c>
      <c r="G349" s="1">
        <v>39</v>
      </c>
      <c r="H349" s="12">
        <f>VLOOKUP($B349&amp;"__wt",'SegEnds_Xtal_BW#'!$A:$Z,8,FALSE)</f>
        <v>61</v>
      </c>
      <c r="I349" s="1" t="str">
        <f>VLOOKUP($B349&amp;"__wt",'SegEnds_Xtal_BW#'!$A:$Z,9,FALSE)</f>
        <v>-</v>
      </c>
      <c r="J349" s="1" t="str">
        <f>VLOOKUP($B349&amp;"__wt",'SegEnds_Xtal_BW#'!$A:$Z,10,FALSE)</f>
        <v>-</v>
      </c>
      <c r="K349" s="12">
        <f>VLOOKUP($B349&amp;"__wt",'SegEnds_Xtal_BW#'!$A:$Z,11,FALSE)</f>
        <v>21</v>
      </c>
      <c r="L349" s="1">
        <f>VLOOKUP($B349&amp;"__wt",'SegEnds_Xtal_BW#'!$A:$Z,12,FALSE)</f>
        <v>54</v>
      </c>
      <c r="M349" s="1" t="str">
        <f>VLOOKUP($B349&amp;"__wt",'SegEnds_Xtal_BW#'!$A:$Z,13,FALSE)</f>
        <v>-</v>
      </c>
      <c r="N349" s="12" t="str">
        <f>VLOOKUP($B349&amp;"__wt",'SegEnds_Xtal_BW#'!$A:$Z,14,FALSE)</f>
        <v>-</v>
      </c>
      <c r="O349" s="87">
        <f>VLOOKUP($B349&amp;"__wt",'SegEnds_Xtal_BW#'!$A:$Z,15,FALSE)</f>
        <v>38</v>
      </c>
      <c r="P349" s="1">
        <f>VLOOKUP($B349&amp;"__wt",'SegEnds_Xtal_BW#'!$A:$Z,16,FALSE)</f>
        <v>64</v>
      </c>
      <c r="Q349" s="1">
        <f>VLOOKUP($B349&amp;"__wt",'SegEnds_Xtal_BW#'!$A:$Z,17,FALSE)</f>
        <v>50</v>
      </c>
      <c r="R349" s="1">
        <f>VLOOKUP($B349&amp;"__wt",'SegEnds_Xtal_BW#'!$A:$Z,18,FALSE)</f>
        <v>52</v>
      </c>
      <c r="S349" s="1">
        <f>VLOOKUP($B349&amp;"__wt",'SegEnds_Xtal_BW#'!$A:$Z,19,FALSE)</f>
        <v>36</v>
      </c>
      <c r="T349" s="1">
        <f>VLOOKUP($B349&amp;"__wt",'SegEnds_Xtal_BW#'!$A:$Z,20,FALSE)</f>
        <v>61</v>
      </c>
      <c r="U349" s="1">
        <f>VLOOKUP($B349&amp;"__wt",'SegEnds_Xtal_BW#'!$A:$Z,21,FALSE)</f>
        <v>33</v>
      </c>
      <c r="V349" s="1">
        <f>VLOOKUP($B349&amp;"__wt",'SegEnds_Xtal_BW#'!$A:$Z,22,FALSE)</f>
        <v>57</v>
      </c>
      <c r="W349" s="1">
        <f>VLOOKUP($B349&amp;"__wt",'SegEnds_Xtal_BW#'!$A:$Z,23,FALSE)</f>
        <v>33</v>
      </c>
      <c r="X349" s="1">
        <f>VLOOKUP($B349&amp;"__wt",'SegEnds_Xtal_BW#'!$A:$Z,24,FALSE)</f>
        <v>64</v>
      </c>
      <c r="Y349" s="1">
        <f>VLOOKUP($B349&amp;"__wt",'SegEnds_Xtal_BW#'!$A:$Z,25,FALSE)</f>
        <v>46</v>
      </c>
      <c r="Z349" s="1">
        <f>VLOOKUP($B349&amp;"__wt",'SegEnds_Xtal_BW#'!$A:$Z,26,FALSE)</f>
        <v>57</v>
      </c>
      <c r="AA349" s="27" t="str">
        <f>VLOOKUP(A349,Classification!A:B,2,FALSE)</f>
        <v>C</v>
      </c>
      <c r="AB349" s="1">
        <f>VLOOKUP(A349,'SegEnds_NonXtal_Prot#'!A:AL,10,FALSE)-VLOOKUP(A349,'SegEnds_NonXtal_Prot#'!A:AL,4,FALSE)</f>
        <v>31</v>
      </c>
      <c r="AC349" s="1">
        <f>VLOOKUP(A349,'SegEnds_NonXtal_Prot#'!A:AL,10,FALSE)-VLOOKUP(A349,'SegEnds_NonXtal_Prot#'!A:AL,7,FALSE)</f>
        <v>15</v>
      </c>
      <c r="AD349" s="1" t="e">
        <f>VLOOKUP(A349,'SegEnds_NonXtal_Prot#'!A:AL,13,FALSE)-VLOOKUP(A349,'SegEnds_NonXtal_Prot#'!A:AL,10,FALSE)</f>
        <v>#VALUE!</v>
      </c>
      <c r="AE349" s="1">
        <f>VLOOKUP(A349,'SegEnds_NonXtal_Prot#'!A:AL,16,FALSE)-VLOOKUP(A349,'SegEnds_NonXtal_Prot#'!A:AL,10,FALSE)</f>
        <v>44</v>
      </c>
      <c r="AF349" s="1" t="e">
        <f>VLOOKUP(A349,'SegEnds_NonXtal_Prot#'!A:AL,22,FALSE)-VLOOKUP(A349,'SegEnds_NonXtal_Prot#'!A:AL,19,FALSE)</f>
        <v>#VALUE!</v>
      </c>
      <c r="AG349" s="1">
        <f>VLOOKUP(A349,'SegEnds_NonXtal_Prot#'!A:AL,28,FALSE)-VLOOKUP(A349,'SegEnds_NonXtal_Prot#'!A:AL,25,FALSE)</f>
        <v>17</v>
      </c>
      <c r="AH349" s="1">
        <f>VLOOKUP(A349,'SegEnds_NonXtal_Prot#'!A:AL,28,FALSE)-VLOOKUP(A349,'SegEnds_NonXtal_Prot#'!A:AL,22,FALSE)</f>
        <v>49</v>
      </c>
      <c r="AI349" s="1">
        <f>VLOOKUP(A349,'SegEnds_NonXtal_Prot#'!A:AL,31,FALSE)-VLOOKUP(A349,'SegEnds_NonXtal_Prot#'!A:AL,28,FALSE)</f>
        <v>37</v>
      </c>
      <c r="AJ349" s="1">
        <f>VLOOKUP(A349,'SegEnds_NonXtal_Prot#'!A:AL,34,FALSE)-VLOOKUP(A349,'SegEnds_NonXtal_Prot#'!A:AL,31,FALSE)</f>
        <v>27</v>
      </c>
      <c r="AK349" s="1">
        <f>VLOOKUP(A349,'SegEnds_NonXtal_Prot#'!A:AL,37,FALSE)-VLOOKUP(A349,'SegEnds_NonXtal_Prot#'!A:AL,34,FALSE)</f>
        <v>19</v>
      </c>
      <c r="AL349" s="1" t="str">
        <f>IF(ISERROR(MATCH(A349,'SegEnds_Xtal_Prot#'!B:B, 0)), "NoXtal", "Xtal")</f>
        <v>Xtal</v>
      </c>
    </row>
    <row r="350" spans="1:38" x14ac:dyDescent="0.2">
      <c r="A350" s="4" t="s">
        <v>105</v>
      </c>
      <c r="B350" s="4" t="str">
        <f>VLOOKUP(A350,Xtal_Templ!A:B,2,FALSE)</f>
        <v>grm5_human</v>
      </c>
      <c r="C350" s="5">
        <f>VLOOKUP($B350&amp;"__wt",'SegEnds_Xtal_BW#'!$A:$Z,3,FALSE)</f>
        <v>34</v>
      </c>
      <c r="D350" s="4">
        <f>VLOOKUP($B350&amp;"__wt",'SegEnds_Xtal_BW#'!$A:$Z,4,FALSE)</f>
        <v>60</v>
      </c>
      <c r="E350" s="4">
        <f>VLOOKUP($B350&amp;"__wt",'SegEnds_Xtal_BW#'!$A:$Z,5,FALSE)</f>
        <v>47</v>
      </c>
      <c r="F350" s="4">
        <f>VLOOKUP($B350&amp;"__wt",'SegEnds_Xtal_BW#'!$A:$Z,6,FALSE)</f>
        <v>53</v>
      </c>
      <c r="G350" s="4">
        <v>39</v>
      </c>
      <c r="H350" s="11">
        <f>VLOOKUP($B350&amp;"__wt",'SegEnds_Xtal_BW#'!$A:$Z,8,FALSE)</f>
        <v>61</v>
      </c>
      <c r="I350" s="4" t="str">
        <f>VLOOKUP($B350&amp;"__wt",'SegEnds_Xtal_BW#'!$A:$Z,9,FALSE)</f>
        <v>-</v>
      </c>
      <c r="J350" s="4" t="str">
        <f>VLOOKUP($B350&amp;"__wt",'SegEnds_Xtal_BW#'!$A:$Z,10,FALSE)</f>
        <v>-</v>
      </c>
      <c r="K350" s="11">
        <f>VLOOKUP($B350&amp;"__wt",'SegEnds_Xtal_BW#'!$A:$Z,11,FALSE)</f>
        <v>21</v>
      </c>
      <c r="L350" s="4">
        <f>VLOOKUP($B350&amp;"__wt",'SegEnds_Xtal_BW#'!$A:$Z,12,FALSE)</f>
        <v>54</v>
      </c>
      <c r="M350" s="4" t="str">
        <f>VLOOKUP($B350&amp;"__wt",'SegEnds_Xtal_BW#'!$A:$Z,13,FALSE)</f>
        <v>-</v>
      </c>
      <c r="N350" s="11" t="str">
        <f>VLOOKUP($B350&amp;"__wt",'SegEnds_Xtal_BW#'!$A:$Z,14,FALSE)</f>
        <v>-</v>
      </c>
      <c r="O350" s="88">
        <f>VLOOKUP($B350&amp;"__wt",'SegEnds_Xtal_BW#'!$A:$Z,15,FALSE)</f>
        <v>38</v>
      </c>
      <c r="P350" s="4">
        <f>VLOOKUP($B350&amp;"__wt",'SegEnds_Xtal_BW#'!$A:$Z,16,FALSE)</f>
        <v>64</v>
      </c>
      <c r="Q350" s="4">
        <f>VLOOKUP($B350&amp;"__wt",'SegEnds_Xtal_BW#'!$A:$Z,17,FALSE)</f>
        <v>50</v>
      </c>
      <c r="R350" s="4">
        <f>VLOOKUP($B350&amp;"__wt",'SegEnds_Xtal_BW#'!$A:$Z,18,FALSE)</f>
        <v>52</v>
      </c>
      <c r="S350" s="4">
        <f>VLOOKUP($B350&amp;"__wt",'SegEnds_Xtal_BW#'!$A:$Z,19,FALSE)</f>
        <v>36</v>
      </c>
      <c r="T350" s="4">
        <f>VLOOKUP($B350&amp;"__wt",'SegEnds_Xtal_BW#'!$A:$Z,20,FALSE)</f>
        <v>61</v>
      </c>
      <c r="U350" s="4">
        <f>VLOOKUP($B350&amp;"__wt",'SegEnds_Xtal_BW#'!$A:$Z,21,FALSE)</f>
        <v>33</v>
      </c>
      <c r="V350" s="4">
        <f>VLOOKUP($B350&amp;"__wt",'SegEnds_Xtal_BW#'!$A:$Z,22,FALSE)</f>
        <v>57</v>
      </c>
      <c r="W350" s="4">
        <f>VLOOKUP($B350&amp;"__wt",'SegEnds_Xtal_BW#'!$A:$Z,23,FALSE)</f>
        <v>33</v>
      </c>
      <c r="X350" s="4">
        <f>VLOOKUP($B350&amp;"__wt",'SegEnds_Xtal_BW#'!$A:$Z,24,FALSE)</f>
        <v>64</v>
      </c>
      <c r="Y350" s="4">
        <f>VLOOKUP($B350&amp;"__wt",'SegEnds_Xtal_BW#'!$A:$Z,25,FALSE)</f>
        <v>46</v>
      </c>
      <c r="Z350" s="4">
        <f>VLOOKUP($B350&amp;"__wt",'SegEnds_Xtal_BW#'!$A:$Z,26,FALSE)</f>
        <v>57</v>
      </c>
      <c r="AA350" s="27" t="str">
        <f>VLOOKUP(A350,Classification!A:B,2,FALSE)</f>
        <v>C</v>
      </c>
      <c r="AB350" s="1">
        <f>VLOOKUP(A350,'SegEnds_NonXtal_Prot#'!A:AL,10,FALSE)-VLOOKUP(A350,'SegEnds_NonXtal_Prot#'!A:AL,4,FALSE)</f>
        <v>31</v>
      </c>
      <c r="AC350" s="4">
        <f>VLOOKUP(A350,'SegEnds_NonXtal_Prot#'!A:AL,10,FALSE)-VLOOKUP(A350,'SegEnds_NonXtal_Prot#'!A:AL,7,FALSE)</f>
        <v>15</v>
      </c>
      <c r="AD350" s="4" t="e">
        <f>VLOOKUP(A350,'SegEnds_NonXtal_Prot#'!A:AL,13,FALSE)-VLOOKUP(A350,'SegEnds_NonXtal_Prot#'!A:AL,10,FALSE)</f>
        <v>#VALUE!</v>
      </c>
      <c r="AE350" s="4">
        <f>VLOOKUP(A350,'SegEnds_NonXtal_Prot#'!A:AL,16,FALSE)-VLOOKUP(A350,'SegEnds_NonXtal_Prot#'!A:AL,10,FALSE)</f>
        <v>44</v>
      </c>
      <c r="AF350" s="1" t="e">
        <f>VLOOKUP(A350,'SegEnds_NonXtal_Prot#'!A:AL,22,FALSE)-VLOOKUP(A350,'SegEnds_NonXtal_Prot#'!A:AL,19,FALSE)</f>
        <v>#VALUE!</v>
      </c>
      <c r="AG350" s="4">
        <f>VLOOKUP(A350,'SegEnds_NonXtal_Prot#'!A:AL,28,FALSE)-VLOOKUP(A350,'SegEnds_NonXtal_Prot#'!A:AL,25,FALSE)</f>
        <v>18</v>
      </c>
      <c r="AH350" s="1">
        <f>VLOOKUP(A350,'SegEnds_NonXtal_Prot#'!A:AL,28,FALSE)-VLOOKUP(A350,'SegEnds_NonXtal_Prot#'!A:AL,22,FALSE)</f>
        <v>51</v>
      </c>
      <c r="AI350" s="4">
        <f>VLOOKUP(A350,'SegEnds_NonXtal_Prot#'!A:AL,31,FALSE)-VLOOKUP(A350,'SegEnds_NonXtal_Prot#'!A:AL,28,FALSE)</f>
        <v>37</v>
      </c>
      <c r="AJ350" s="4">
        <f>VLOOKUP(A350,'SegEnds_NonXtal_Prot#'!A:AL,34,FALSE)-VLOOKUP(A350,'SegEnds_NonXtal_Prot#'!A:AL,31,FALSE)</f>
        <v>29</v>
      </c>
      <c r="AK350" s="1">
        <f>VLOOKUP(A350,'SegEnds_NonXtal_Prot#'!A:AL,37,FALSE)-VLOOKUP(A350,'SegEnds_NonXtal_Prot#'!A:AL,34,FALSE)</f>
        <v>19</v>
      </c>
      <c r="AL350" s="1" t="str">
        <f>IF(ISERROR(MATCH(A350,'SegEnds_Xtal_Prot#'!B:B, 0)), "NoXtal", "Xtal")</f>
        <v>NoXtal</v>
      </c>
    </row>
    <row r="351" spans="1:38" x14ac:dyDescent="0.2">
      <c r="A351" s="4" t="s">
        <v>114</v>
      </c>
      <c r="B351" s="4" t="str">
        <f>VLOOKUP(A351,Xtal_Templ!A:B,2,FALSE)</f>
        <v>grm1_human</v>
      </c>
      <c r="C351" s="5">
        <f>VLOOKUP($B351&amp;"__wt",'SegEnds_Xtal_BW#'!$A:$Z,3,FALSE)</f>
        <v>34</v>
      </c>
      <c r="D351" s="4">
        <f>VLOOKUP($B351&amp;"__wt",'SegEnds_Xtal_BW#'!$A:$Z,4,FALSE)</f>
        <v>60</v>
      </c>
      <c r="E351" s="4">
        <f>VLOOKUP($B351&amp;"__wt",'SegEnds_Xtal_BW#'!$A:$Z,5,FALSE)</f>
        <v>47</v>
      </c>
      <c r="F351" s="4">
        <f>VLOOKUP($B351&amp;"__wt",'SegEnds_Xtal_BW#'!$A:$Z,6,FALSE)</f>
        <v>53</v>
      </c>
      <c r="G351" s="4">
        <v>39</v>
      </c>
      <c r="H351" s="11">
        <f>VLOOKUP($B351&amp;"__wt",'SegEnds_Xtal_BW#'!$A:$Z,8,FALSE)</f>
        <v>61</v>
      </c>
      <c r="I351" s="4" t="str">
        <f>VLOOKUP($B351&amp;"__wt",'SegEnds_Xtal_BW#'!$A:$Z,9,FALSE)</f>
        <v>-</v>
      </c>
      <c r="J351" s="4" t="str">
        <f>VLOOKUP($B351&amp;"__wt",'SegEnds_Xtal_BW#'!$A:$Z,10,FALSE)</f>
        <v>-</v>
      </c>
      <c r="K351" s="11">
        <f>VLOOKUP($B351&amp;"__wt",'SegEnds_Xtal_BW#'!$A:$Z,11,FALSE)</f>
        <v>22</v>
      </c>
      <c r="L351" s="4">
        <f>VLOOKUP($B351&amp;"__wt",'SegEnds_Xtal_BW#'!$A:$Z,12,FALSE)</f>
        <v>54</v>
      </c>
      <c r="M351" s="4" t="str">
        <f>VLOOKUP($B351&amp;"__wt",'SegEnds_Xtal_BW#'!$A:$Z,13,FALSE)</f>
        <v>-</v>
      </c>
      <c r="N351" s="11" t="str">
        <f>VLOOKUP($B351&amp;"__wt",'SegEnds_Xtal_BW#'!$A:$Z,14,FALSE)</f>
        <v>-</v>
      </c>
      <c r="O351" s="88">
        <f>VLOOKUP($B351&amp;"__wt",'SegEnds_Xtal_BW#'!$A:$Z,15,FALSE)</f>
        <v>38</v>
      </c>
      <c r="P351" s="4">
        <f>VLOOKUP($B351&amp;"__wt",'SegEnds_Xtal_BW#'!$A:$Z,16,FALSE)</f>
        <v>64</v>
      </c>
      <c r="Q351" s="4">
        <f>VLOOKUP($B351&amp;"__wt",'SegEnds_Xtal_BW#'!$A:$Z,17,FALSE)</f>
        <v>50</v>
      </c>
      <c r="R351" s="4">
        <f>VLOOKUP($B351&amp;"__wt",'SegEnds_Xtal_BW#'!$A:$Z,18,FALSE)</f>
        <v>52</v>
      </c>
      <c r="S351" s="4">
        <f>VLOOKUP($B351&amp;"__wt",'SegEnds_Xtal_BW#'!$A:$Z,19,FALSE)</f>
        <v>36</v>
      </c>
      <c r="T351" s="4">
        <f>VLOOKUP($B351&amp;"__wt",'SegEnds_Xtal_BW#'!$A:$Z,20,FALSE)</f>
        <v>61</v>
      </c>
      <c r="U351" s="4">
        <f>VLOOKUP($B351&amp;"__wt",'SegEnds_Xtal_BW#'!$A:$Z,21,FALSE)</f>
        <v>33</v>
      </c>
      <c r="V351" s="4">
        <f>VLOOKUP($B351&amp;"__wt",'SegEnds_Xtal_BW#'!$A:$Z,22,FALSE)</f>
        <v>57</v>
      </c>
      <c r="W351" s="4">
        <f>VLOOKUP($B351&amp;"__wt",'SegEnds_Xtal_BW#'!$A:$Z,23,FALSE)</f>
        <v>33</v>
      </c>
      <c r="X351" s="4">
        <f>VLOOKUP($B351&amp;"__wt",'SegEnds_Xtal_BW#'!$A:$Z,24,FALSE)</f>
        <v>64</v>
      </c>
      <c r="Y351" s="4">
        <f>VLOOKUP($B351&amp;"__wt",'SegEnds_Xtal_BW#'!$A:$Z,25,FALSE)</f>
        <v>46</v>
      </c>
      <c r="Z351" s="4">
        <f>VLOOKUP($B351&amp;"__wt",'SegEnds_Xtal_BW#'!$A:$Z,26,FALSE)</f>
        <v>57</v>
      </c>
      <c r="AA351" s="27" t="str">
        <f>VLOOKUP(A351,Classification!A:B,2,FALSE)</f>
        <v>C</v>
      </c>
      <c r="AB351" s="1">
        <f>VLOOKUP(A351,'SegEnds_NonXtal_Prot#'!A:AL,10,FALSE)-VLOOKUP(A351,'SegEnds_NonXtal_Prot#'!A:AL,4,FALSE)</f>
        <v>32</v>
      </c>
      <c r="AC351" s="4">
        <f>VLOOKUP(A351,'SegEnds_NonXtal_Prot#'!A:AL,10,FALSE)-VLOOKUP(A351,'SegEnds_NonXtal_Prot#'!A:AL,7,FALSE)</f>
        <v>16</v>
      </c>
      <c r="AD351" s="4" t="e">
        <f>VLOOKUP(A351,'SegEnds_NonXtal_Prot#'!A:AL,13,FALSE)-VLOOKUP(A351,'SegEnds_NonXtal_Prot#'!A:AL,10,FALSE)</f>
        <v>#VALUE!</v>
      </c>
      <c r="AE351" s="4">
        <f>VLOOKUP(A351,'SegEnds_NonXtal_Prot#'!A:AL,16,FALSE)-VLOOKUP(A351,'SegEnds_NonXtal_Prot#'!A:AL,10,FALSE)</f>
        <v>44</v>
      </c>
      <c r="AF351" s="1" t="e">
        <f>VLOOKUP(A351,'SegEnds_NonXtal_Prot#'!A:AL,22,FALSE)-VLOOKUP(A351,'SegEnds_NonXtal_Prot#'!A:AL,19,FALSE)</f>
        <v>#VALUE!</v>
      </c>
      <c r="AG351" s="4">
        <f>VLOOKUP(A351,'SegEnds_NonXtal_Prot#'!A:AL,28,FALSE)-VLOOKUP(A351,'SegEnds_NonXtal_Prot#'!A:AL,25,FALSE)</f>
        <v>18</v>
      </c>
      <c r="AH351" s="1">
        <f>VLOOKUP(A351,'SegEnds_NonXtal_Prot#'!A:AL,28,FALSE)-VLOOKUP(A351,'SegEnds_NonXtal_Prot#'!A:AL,22,FALSE)</f>
        <v>50</v>
      </c>
      <c r="AI351" s="4">
        <f>VLOOKUP(A351,'SegEnds_NonXtal_Prot#'!A:AL,31,FALSE)-VLOOKUP(A351,'SegEnds_NonXtal_Prot#'!A:AL,28,FALSE)</f>
        <v>35</v>
      </c>
      <c r="AJ351" s="4">
        <f>VLOOKUP(A351,'SegEnds_NonXtal_Prot#'!A:AL,34,FALSE)-VLOOKUP(A351,'SegEnds_NonXtal_Prot#'!A:AL,31,FALSE)</f>
        <v>29</v>
      </c>
      <c r="AK351" s="1">
        <f>VLOOKUP(A351,'SegEnds_NonXtal_Prot#'!A:AL,37,FALSE)-VLOOKUP(A351,'SegEnds_NonXtal_Prot#'!A:AL,34,FALSE)</f>
        <v>19</v>
      </c>
      <c r="AL351" s="1" t="str">
        <f>IF(ISERROR(MATCH(A351,'SegEnds_Xtal_Prot#'!B:B, 0)), "NoXtal", "Xtal")</f>
        <v>NoXtal</v>
      </c>
    </row>
    <row r="352" spans="1:38" x14ac:dyDescent="0.2">
      <c r="A352" s="1" t="s">
        <v>122</v>
      </c>
      <c r="B352" s="1" t="str">
        <f>VLOOKUP(A352,Xtal_Templ!A:B,2,FALSE)</f>
        <v>grm1_human</v>
      </c>
      <c r="C352" s="5">
        <f>VLOOKUP($B352&amp;"__wt",'SegEnds_Xtal_BW#'!$A:$Z,3,FALSE)</f>
        <v>34</v>
      </c>
      <c r="D352" s="1">
        <f>VLOOKUP($B352&amp;"__wt",'SegEnds_Xtal_BW#'!$A:$Z,4,FALSE)</f>
        <v>60</v>
      </c>
      <c r="E352" s="1">
        <f>VLOOKUP($B352&amp;"__wt",'SegEnds_Xtal_BW#'!$A:$Z,5,FALSE)</f>
        <v>47</v>
      </c>
      <c r="F352" s="1">
        <f>VLOOKUP($B352&amp;"__wt",'SegEnds_Xtal_BW#'!$A:$Z,6,FALSE)</f>
        <v>53</v>
      </c>
      <c r="G352" s="1">
        <v>39</v>
      </c>
      <c r="H352" s="12">
        <f>VLOOKUP($B352&amp;"__wt",'SegEnds_Xtal_BW#'!$A:$Z,8,FALSE)</f>
        <v>61</v>
      </c>
      <c r="I352" s="1" t="str">
        <f>VLOOKUP($B352&amp;"__wt",'SegEnds_Xtal_BW#'!$A:$Z,9,FALSE)</f>
        <v>-</v>
      </c>
      <c r="J352" s="1" t="str">
        <f>VLOOKUP($B352&amp;"__wt",'SegEnds_Xtal_BW#'!$A:$Z,10,FALSE)</f>
        <v>-</v>
      </c>
      <c r="K352" s="12">
        <f>VLOOKUP($B352&amp;"__wt",'SegEnds_Xtal_BW#'!$A:$Z,11,FALSE)</f>
        <v>22</v>
      </c>
      <c r="L352" s="1">
        <f>VLOOKUP($B352&amp;"__wt",'SegEnds_Xtal_BW#'!$A:$Z,12,FALSE)</f>
        <v>54</v>
      </c>
      <c r="M352" s="1" t="str">
        <f>VLOOKUP($B352&amp;"__wt",'SegEnds_Xtal_BW#'!$A:$Z,13,FALSE)</f>
        <v>-</v>
      </c>
      <c r="N352" s="12" t="str">
        <f>VLOOKUP($B352&amp;"__wt",'SegEnds_Xtal_BW#'!$A:$Z,14,FALSE)</f>
        <v>-</v>
      </c>
      <c r="O352" s="87">
        <f>VLOOKUP($B352&amp;"__wt",'SegEnds_Xtal_BW#'!$A:$Z,15,FALSE)</f>
        <v>38</v>
      </c>
      <c r="P352" s="1">
        <f>VLOOKUP($B352&amp;"__wt",'SegEnds_Xtal_BW#'!$A:$Z,16,FALSE)</f>
        <v>64</v>
      </c>
      <c r="Q352" s="1">
        <f>VLOOKUP($B352&amp;"__wt",'SegEnds_Xtal_BW#'!$A:$Z,17,FALSE)</f>
        <v>50</v>
      </c>
      <c r="R352" s="1">
        <f>VLOOKUP($B352&amp;"__wt",'SegEnds_Xtal_BW#'!$A:$Z,18,FALSE)</f>
        <v>52</v>
      </c>
      <c r="S352" s="1">
        <f>VLOOKUP($B352&amp;"__wt",'SegEnds_Xtal_BW#'!$A:$Z,19,FALSE)</f>
        <v>36</v>
      </c>
      <c r="T352" s="1">
        <f>VLOOKUP($B352&amp;"__wt",'SegEnds_Xtal_BW#'!$A:$Z,20,FALSE)</f>
        <v>61</v>
      </c>
      <c r="U352" s="1">
        <f>VLOOKUP($B352&amp;"__wt",'SegEnds_Xtal_BW#'!$A:$Z,21,FALSE)</f>
        <v>33</v>
      </c>
      <c r="V352" s="1">
        <f>VLOOKUP($B352&amp;"__wt",'SegEnds_Xtal_BW#'!$A:$Z,22,FALSE)</f>
        <v>57</v>
      </c>
      <c r="W352" s="1">
        <f>VLOOKUP($B352&amp;"__wt",'SegEnds_Xtal_BW#'!$A:$Z,23,FALSE)</f>
        <v>33</v>
      </c>
      <c r="X352" s="1">
        <f>VLOOKUP($B352&amp;"__wt",'SegEnds_Xtal_BW#'!$A:$Z,24,FALSE)</f>
        <v>64</v>
      </c>
      <c r="Y352" s="1">
        <f>VLOOKUP($B352&amp;"__wt",'SegEnds_Xtal_BW#'!$A:$Z,25,FALSE)</f>
        <v>46</v>
      </c>
      <c r="Z352" s="1">
        <f>VLOOKUP($B352&amp;"__wt",'SegEnds_Xtal_BW#'!$A:$Z,26,FALSE)</f>
        <v>57</v>
      </c>
      <c r="AA352" s="27" t="str">
        <f>VLOOKUP(A352,Classification!A:B,2,FALSE)</f>
        <v>C</v>
      </c>
      <c r="AB352" s="1">
        <f>VLOOKUP(A352,'SegEnds_NonXtal_Prot#'!A:AL,10,FALSE)-VLOOKUP(A352,'SegEnds_NonXtal_Prot#'!A:AL,4,FALSE)</f>
        <v>31</v>
      </c>
      <c r="AC352" s="1">
        <f>VLOOKUP(A352,'SegEnds_NonXtal_Prot#'!A:AL,10,FALSE)-VLOOKUP(A352,'SegEnds_NonXtal_Prot#'!A:AL,7,FALSE)</f>
        <v>15</v>
      </c>
      <c r="AD352" s="1" t="e">
        <f>VLOOKUP(A352,'SegEnds_NonXtal_Prot#'!A:AL,13,FALSE)-VLOOKUP(A352,'SegEnds_NonXtal_Prot#'!A:AL,10,FALSE)</f>
        <v>#VALUE!</v>
      </c>
      <c r="AE352" s="1">
        <f>VLOOKUP(A352,'SegEnds_NonXtal_Prot#'!A:AL,16,FALSE)-VLOOKUP(A352,'SegEnds_NonXtal_Prot#'!A:AL,10,FALSE)</f>
        <v>44</v>
      </c>
      <c r="AF352" s="1" t="e">
        <f>VLOOKUP(A352,'SegEnds_NonXtal_Prot#'!A:AL,22,FALSE)-VLOOKUP(A352,'SegEnds_NonXtal_Prot#'!A:AL,19,FALSE)</f>
        <v>#VALUE!</v>
      </c>
      <c r="AG352" s="1">
        <f>VLOOKUP(A352,'SegEnds_NonXtal_Prot#'!A:AL,28,FALSE)-VLOOKUP(A352,'SegEnds_NonXtal_Prot#'!A:AL,25,FALSE)</f>
        <v>18</v>
      </c>
      <c r="AH352" s="1">
        <f>VLOOKUP(A352,'SegEnds_NonXtal_Prot#'!A:AL,28,FALSE)-VLOOKUP(A352,'SegEnds_NonXtal_Prot#'!A:AL,22,FALSE)</f>
        <v>51</v>
      </c>
      <c r="AI352" s="1">
        <f>VLOOKUP(A352,'SegEnds_NonXtal_Prot#'!A:AL,31,FALSE)-VLOOKUP(A352,'SegEnds_NonXtal_Prot#'!A:AL,28,FALSE)</f>
        <v>37</v>
      </c>
      <c r="AJ352" s="1">
        <f>VLOOKUP(A352,'SegEnds_NonXtal_Prot#'!A:AL,34,FALSE)-VLOOKUP(A352,'SegEnds_NonXtal_Prot#'!A:AL,31,FALSE)</f>
        <v>29</v>
      </c>
      <c r="AK352" s="1">
        <f>VLOOKUP(A352,'SegEnds_NonXtal_Prot#'!A:AL,37,FALSE)-VLOOKUP(A352,'SegEnds_NonXtal_Prot#'!A:AL,34,FALSE)</f>
        <v>19</v>
      </c>
      <c r="AL352" s="1" t="str">
        <f>IF(ISERROR(MATCH(A352,'SegEnds_Xtal_Prot#'!B:B, 0)), "NoXtal", "Xtal")</f>
        <v>NoXtal</v>
      </c>
    </row>
    <row r="353" spans="1:38" x14ac:dyDescent="0.2">
      <c r="A353" s="1" t="s">
        <v>123</v>
      </c>
      <c r="B353" s="1" t="str">
        <f>VLOOKUP(A353,Xtal_Templ!A:B,2,FALSE)</f>
        <v>grm1_human</v>
      </c>
      <c r="C353" s="5">
        <f>VLOOKUP($B353&amp;"__wt",'SegEnds_Xtal_BW#'!$A:$Z,3,FALSE)</f>
        <v>34</v>
      </c>
      <c r="D353" s="1">
        <f>VLOOKUP($B353&amp;"__wt",'SegEnds_Xtal_BW#'!$A:$Z,4,FALSE)</f>
        <v>60</v>
      </c>
      <c r="E353" s="1">
        <f>VLOOKUP($B353&amp;"__wt",'SegEnds_Xtal_BW#'!$A:$Z,5,FALSE)</f>
        <v>47</v>
      </c>
      <c r="F353" s="1">
        <f>VLOOKUP($B353&amp;"__wt",'SegEnds_Xtal_BW#'!$A:$Z,6,FALSE)</f>
        <v>53</v>
      </c>
      <c r="G353" s="1">
        <v>39</v>
      </c>
      <c r="H353" s="12">
        <f>VLOOKUP($B353&amp;"__wt",'SegEnds_Xtal_BW#'!$A:$Z,8,FALSE)</f>
        <v>61</v>
      </c>
      <c r="I353" s="1" t="str">
        <f>VLOOKUP($B353&amp;"__wt",'SegEnds_Xtal_BW#'!$A:$Z,9,FALSE)</f>
        <v>-</v>
      </c>
      <c r="J353" s="1" t="str">
        <f>VLOOKUP($B353&amp;"__wt",'SegEnds_Xtal_BW#'!$A:$Z,10,FALSE)</f>
        <v>-</v>
      </c>
      <c r="K353" s="12">
        <f>VLOOKUP($B353&amp;"__wt",'SegEnds_Xtal_BW#'!$A:$Z,11,FALSE)</f>
        <v>22</v>
      </c>
      <c r="L353" s="1">
        <f>VLOOKUP($B353&amp;"__wt",'SegEnds_Xtal_BW#'!$A:$Z,12,FALSE)</f>
        <v>54</v>
      </c>
      <c r="M353" s="1" t="str">
        <f>VLOOKUP($B353&amp;"__wt",'SegEnds_Xtal_BW#'!$A:$Z,13,FALSE)</f>
        <v>-</v>
      </c>
      <c r="N353" s="12" t="str">
        <f>VLOOKUP($B353&amp;"__wt",'SegEnds_Xtal_BW#'!$A:$Z,14,FALSE)</f>
        <v>-</v>
      </c>
      <c r="O353" s="87">
        <f>VLOOKUP($B353&amp;"__wt",'SegEnds_Xtal_BW#'!$A:$Z,15,FALSE)</f>
        <v>38</v>
      </c>
      <c r="P353" s="1">
        <f>VLOOKUP($B353&amp;"__wt",'SegEnds_Xtal_BW#'!$A:$Z,16,FALSE)</f>
        <v>64</v>
      </c>
      <c r="Q353" s="1">
        <f>VLOOKUP($B353&amp;"__wt",'SegEnds_Xtal_BW#'!$A:$Z,17,FALSE)</f>
        <v>50</v>
      </c>
      <c r="R353" s="1">
        <f>VLOOKUP($B353&amp;"__wt",'SegEnds_Xtal_BW#'!$A:$Z,18,FALSE)</f>
        <v>52</v>
      </c>
      <c r="S353" s="1">
        <f>VLOOKUP($B353&amp;"__wt",'SegEnds_Xtal_BW#'!$A:$Z,19,FALSE)</f>
        <v>36</v>
      </c>
      <c r="T353" s="1">
        <f>VLOOKUP($B353&amp;"__wt",'SegEnds_Xtal_BW#'!$A:$Z,20,FALSE)</f>
        <v>61</v>
      </c>
      <c r="U353" s="1">
        <f>VLOOKUP($B353&amp;"__wt",'SegEnds_Xtal_BW#'!$A:$Z,21,FALSE)</f>
        <v>33</v>
      </c>
      <c r="V353" s="1">
        <f>VLOOKUP($B353&amp;"__wt",'SegEnds_Xtal_BW#'!$A:$Z,22,FALSE)</f>
        <v>57</v>
      </c>
      <c r="W353" s="1">
        <f>VLOOKUP($B353&amp;"__wt",'SegEnds_Xtal_BW#'!$A:$Z,23,FALSE)</f>
        <v>33</v>
      </c>
      <c r="X353" s="1">
        <f>VLOOKUP($B353&amp;"__wt",'SegEnds_Xtal_BW#'!$A:$Z,24,FALSE)</f>
        <v>64</v>
      </c>
      <c r="Y353" s="1">
        <f>VLOOKUP($B353&amp;"__wt",'SegEnds_Xtal_BW#'!$A:$Z,25,FALSE)</f>
        <v>46</v>
      </c>
      <c r="Z353" s="1">
        <f>VLOOKUP($B353&amp;"__wt",'SegEnds_Xtal_BW#'!$A:$Z,26,FALSE)</f>
        <v>57</v>
      </c>
      <c r="AA353" s="27" t="str">
        <f>VLOOKUP(A353,Classification!A:B,2,FALSE)</f>
        <v>C</v>
      </c>
      <c r="AB353" s="1">
        <f>VLOOKUP(A353,'SegEnds_NonXtal_Prot#'!A:AL,10,FALSE)-VLOOKUP(A353,'SegEnds_NonXtal_Prot#'!A:AL,4,FALSE)</f>
        <v>31</v>
      </c>
      <c r="AC353" s="1">
        <f>VLOOKUP(A353,'SegEnds_NonXtal_Prot#'!A:AL,10,FALSE)-VLOOKUP(A353,'SegEnds_NonXtal_Prot#'!A:AL,7,FALSE)</f>
        <v>15</v>
      </c>
      <c r="AD353" s="1" t="e">
        <f>VLOOKUP(A353,'SegEnds_NonXtal_Prot#'!A:AL,13,FALSE)-VLOOKUP(A353,'SegEnds_NonXtal_Prot#'!A:AL,10,FALSE)</f>
        <v>#VALUE!</v>
      </c>
      <c r="AE353" s="1">
        <f>VLOOKUP(A353,'SegEnds_NonXtal_Prot#'!A:AL,16,FALSE)-VLOOKUP(A353,'SegEnds_NonXtal_Prot#'!A:AL,10,FALSE)</f>
        <v>44</v>
      </c>
      <c r="AF353" s="1" t="e">
        <f>VLOOKUP(A353,'SegEnds_NonXtal_Prot#'!A:AL,22,FALSE)-VLOOKUP(A353,'SegEnds_NonXtal_Prot#'!A:AL,19,FALSE)</f>
        <v>#VALUE!</v>
      </c>
      <c r="AG353" s="1">
        <f>VLOOKUP(A353,'SegEnds_NonXtal_Prot#'!A:AL,28,FALSE)-VLOOKUP(A353,'SegEnds_NonXtal_Prot#'!A:AL,25,FALSE)</f>
        <v>18</v>
      </c>
      <c r="AH353" s="1">
        <f>VLOOKUP(A353,'SegEnds_NonXtal_Prot#'!A:AL,28,FALSE)-VLOOKUP(A353,'SegEnds_NonXtal_Prot#'!A:AL,22,FALSE)</f>
        <v>52</v>
      </c>
      <c r="AI353" s="1">
        <f>VLOOKUP(A353,'SegEnds_NonXtal_Prot#'!A:AL,31,FALSE)-VLOOKUP(A353,'SegEnds_NonXtal_Prot#'!A:AL,28,FALSE)</f>
        <v>37</v>
      </c>
      <c r="AJ353" s="1">
        <f>VLOOKUP(A353,'SegEnds_NonXtal_Prot#'!A:AL,34,FALSE)-VLOOKUP(A353,'SegEnds_NonXtal_Prot#'!A:AL,31,FALSE)</f>
        <v>29</v>
      </c>
      <c r="AK353" s="1">
        <f>VLOOKUP(A353,'SegEnds_NonXtal_Prot#'!A:AL,37,FALSE)-VLOOKUP(A353,'SegEnds_NonXtal_Prot#'!A:AL,34,FALSE)</f>
        <v>19</v>
      </c>
      <c r="AL353" s="1" t="str">
        <f>IF(ISERROR(MATCH(A353,'SegEnds_Xtal_Prot#'!B:B, 0)), "NoXtal", "Xtal")</f>
        <v>NoXtal</v>
      </c>
    </row>
    <row r="354" spans="1:38" x14ac:dyDescent="0.2">
      <c r="A354" s="1" t="s">
        <v>124</v>
      </c>
      <c r="B354" s="1" t="str">
        <f>VLOOKUP(A354,Xtal_Templ!A:B,2,FALSE)</f>
        <v>grm1_human</v>
      </c>
      <c r="C354" s="5">
        <f>VLOOKUP($B354&amp;"__wt",'SegEnds_Xtal_BW#'!$A:$Z,3,FALSE)</f>
        <v>34</v>
      </c>
      <c r="D354" s="1">
        <f>VLOOKUP($B354&amp;"__wt",'SegEnds_Xtal_BW#'!$A:$Z,4,FALSE)</f>
        <v>60</v>
      </c>
      <c r="E354" s="1">
        <f>VLOOKUP($B354&amp;"__wt",'SegEnds_Xtal_BW#'!$A:$Z,5,FALSE)</f>
        <v>47</v>
      </c>
      <c r="F354" s="1">
        <f>VLOOKUP($B354&amp;"__wt",'SegEnds_Xtal_BW#'!$A:$Z,6,FALSE)</f>
        <v>53</v>
      </c>
      <c r="G354" s="1">
        <v>39</v>
      </c>
      <c r="H354" s="12">
        <f>VLOOKUP($B354&amp;"__wt",'SegEnds_Xtal_BW#'!$A:$Z,8,FALSE)</f>
        <v>61</v>
      </c>
      <c r="I354" s="1" t="str">
        <f>VLOOKUP($B354&amp;"__wt",'SegEnds_Xtal_BW#'!$A:$Z,9,FALSE)</f>
        <v>-</v>
      </c>
      <c r="J354" s="1" t="str">
        <f>VLOOKUP($B354&amp;"__wt",'SegEnds_Xtal_BW#'!$A:$Z,10,FALSE)</f>
        <v>-</v>
      </c>
      <c r="K354" s="12">
        <f>VLOOKUP($B354&amp;"__wt",'SegEnds_Xtal_BW#'!$A:$Z,11,FALSE)</f>
        <v>22</v>
      </c>
      <c r="L354" s="1">
        <f>VLOOKUP($B354&amp;"__wt",'SegEnds_Xtal_BW#'!$A:$Z,12,FALSE)</f>
        <v>54</v>
      </c>
      <c r="M354" s="1" t="str">
        <f>VLOOKUP($B354&amp;"__wt",'SegEnds_Xtal_BW#'!$A:$Z,13,FALSE)</f>
        <v>-</v>
      </c>
      <c r="N354" s="12" t="str">
        <f>VLOOKUP($B354&amp;"__wt",'SegEnds_Xtal_BW#'!$A:$Z,14,FALSE)</f>
        <v>-</v>
      </c>
      <c r="O354" s="87">
        <f>VLOOKUP($B354&amp;"__wt",'SegEnds_Xtal_BW#'!$A:$Z,15,FALSE)</f>
        <v>38</v>
      </c>
      <c r="P354" s="1">
        <f>VLOOKUP($B354&amp;"__wt",'SegEnds_Xtal_BW#'!$A:$Z,16,FALSE)</f>
        <v>64</v>
      </c>
      <c r="Q354" s="1">
        <f>VLOOKUP($B354&amp;"__wt",'SegEnds_Xtal_BW#'!$A:$Z,17,FALSE)</f>
        <v>50</v>
      </c>
      <c r="R354" s="1">
        <f>VLOOKUP($B354&amp;"__wt",'SegEnds_Xtal_BW#'!$A:$Z,18,FALSE)</f>
        <v>52</v>
      </c>
      <c r="S354" s="1">
        <f>VLOOKUP($B354&amp;"__wt",'SegEnds_Xtal_BW#'!$A:$Z,19,FALSE)</f>
        <v>36</v>
      </c>
      <c r="T354" s="1">
        <f>VLOOKUP($B354&amp;"__wt",'SegEnds_Xtal_BW#'!$A:$Z,20,FALSE)</f>
        <v>61</v>
      </c>
      <c r="U354" s="1">
        <f>VLOOKUP($B354&amp;"__wt",'SegEnds_Xtal_BW#'!$A:$Z,21,FALSE)</f>
        <v>33</v>
      </c>
      <c r="V354" s="1">
        <f>VLOOKUP($B354&amp;"__wt",'SegEnds_Xtal_BW#'!$A:$Z,22,FALSE)</f>
        <v>57</v>
      </c>
      <c r="W354" s="1">
        <f>VLOOKUP($B354&amp;"__wt",'SegEnds_Xtal_BW#'!$A:$Z,23,FALSE)</f>
        <v>33</v>
      </c>
      <c r="X354" s="1">
        <f>VLOOKUP($B354&amp;"__wt",'SegEnds_Xtal_BW#'!$A:$Z,24,FALSE)</f>
        <v>64</v>
      </c>
      <c r="Y354" s="1">
        <f>VLOOKUP($B354&amp;"__wt",'SegEnds_Xtal_BW#'!$A:$Z,25,FALSE)</f>
        <v>46</v>
      </c>
      <c r="Z354" s="1">
        <f>VLOOKUP($B354&amp;"__wt",'SegEnds_Xtal_BW#'!$A:$Z,26,FALSE)</f>
        <v>57</v>
      </c>
      <c r="AA354" s="27" t="str">
        <f>VLOOKUP(A354,Classification!A:B,2,FALSE)</f>
        <v>C</v>
      </c>
      <c r="AB354" s="1">
        <f>VLOOKUP(A354,'SegEnds_NonXtal_Prot#'!A:AL,10,FALSE)-VLOOKUP(A354,'SegEnds_NonXtal_Prot#'!A:AL,4,FALSE)</f>
        <v>31</v>
      </c>
      <c r="AC354" s="1">
        <f>VLOOKUP(A354,'SegEnds_NonXtal_Prot#'!A:AL,10,FALSE)-VLOOKUP(A354,'SegEnds_NonXtal_Prot#'!A:AL,7,FALSE)</f>
        <v>15</v>
      </c>
      <c r="AD354" s="1" t="e">
        <f>VLOOKUP(A354,'SegEnds_NonXtal_Prot#'!A:AL,13,FALSE)-VLOOKUP(A354,'SegEnds_NonXtal_Prot#'!A:AL,10,FALSE)</f>
        <v>#VALUE!</v>
      </c>
      <c r="AE354" s="1">
        <f>VLOOKUP(A354,'SegEnds_NonXtal_Prot#'!A:AL,16,FALSE)-VLOOKUP(A354,'SegEnds_NonXtal_Prot#'!A:AL,10,FALSE)</f>
        <v>44</v>
      </c>
      <c r="AF354" s="1" t="e">
        <f>VLOOKUP(A354,'SegEnds_NonXtal_Prot#'!A:AL,22,FALSE)-VLOOKUP(A354,'SegEnds_NonXtal_Prot#'!A:AL,19,FALSE)</f>
        <v>#VALUE!</v>
      </c>
      <c r="AG354" s="1">
        <f>VLOOKUP(A354,'SegEnds_NonXtal_Prot#'!A:AL,28,FALSE)-VLOOKUP(A354,'SegEnds_NonXtal_Prot#'!A:AL,25,FALSE)</f>
        <v>18</v>
      </c>
      <c r="AH354" s="1">
        <f>VLOOKUP(A354,'SegEnds_NonXtal_Prot#'!A:AL,28,FALSE)-VLOOKUP(A354,'SegEnds_NonXtal_Prot#'!A:AL,22,FALSE)</f>
        <v>51</v>
      </c>
      <c r="AI354" s="1">
        <f>VLOOKUP(A354,'SegEnds_NonXtal_Prot#'!A:AL,31,FALSE)-VLOOKUP(A354,'SegEnds_NonXtal_Prot#'!A:AL,28,FALSE)</f>
        <v>37</v>
      </c>
      <c r="AJ354" s="1">
        <f>VLOOKUP(A354,'SegEnds_NonXtal_Prot#'!A:AL,34,FALSE)-VLOOKUP(A354,'SegEnds_NonXtal_Prot#'!A:AL,31,FALSE)</f>
        <v>29</v>
      </c>
      <c r="AK354" s="1">
        <f>VLOOKUP(A354,'SegEnds_NonXtal_Prot#'!A:AL,37,FALSE)-VLOOKUP(A354,'SegEnds_NonXtal_Prot#'!A:AL,34,FALSE)</f>
        <v>19</v>
      </c>
      <c r="AL354" s="1" t="str">
        <f>IF(ISERROR(MATCH(A354,'SegEnds_Xtal_Prot#'!B:B, 0)), "NoXtal", "Xtal")</f>
        <v>NoXtal</v>
      </c>
    </row>
    <row r="355" spans="1:38" x14ac:dyDescent="0.2">
      <c r="A355" s="1" t="s">
        <v>108</v>
      </c>
      <c r="B355" s="1" t="str">
        <f>VLOOKUP(A355,Xtal_Templ!A:B,2,FALSE)</f>
        <v>grm1_human</v>
      </c>
      <c r="C355" s="5">
        <f>VLOOKUP($B355&amp;"__wt",'SegEnds_Xtal_BW#'!$A:$Z,3,FALSE)</f>
        <v>34</v>
      </c>
      <c r="D355" s="1">
        <f>VLOOKUP($B355&amp;"__wt",'SegEnds_Xtal_BW#'!$A:$Z,4,FALSE)</f>
        <v>60</v>
      </c>
      <c r="E355" s="1">
        <f>VLOOKUP($B355&amp;"__wt",'SegEnds_Xtal_BW#'!$A:$Z,5,FALSE)</f>
        <v>47</v>
      </c>
      <c r="F355" s="1">
        <f>VLOOKUP($B355&amp;"__wt",'SegEnds_Xtal_BW#'!$A:$Z,6,FALSE)</f>
        <v>53</v>
      </c>
      <c r="G355" s="1">
        <v>39</v>
      </c>
      <c r="H355" s="12">
        <f>VLOOKUP($B355&amp;"__wt",'SegEnds_Xtal_BW#'!$A:$Z,8,FALSE)</f>
        <v>61</v>
      </c>
      <c r="I355" s="1" t="str">
        <f>VLOOKUP($B355&amp;"__wt",'SegEnds_Xtal_BW#'!$A:$Z,9,FALSE)</f>
        <v>-</v>
      </c>
      <c r="J355" s="1" t="str">
        <f>VLOOKUP($B355&amp;"__wt",'SegEnds_Xtal_BW#'!$A:$Z,10,FALSE)</f>
        <v>-</v>
      </c>
      <c r="K355" s="12">
        <f>VLOOKUP($B355&amp;"__wt",'SegEnds_Xtal_BW#'!$A:$Z,11,FALSE)</f>
        <v>22</v>
      </c>
      <c r="L355" s="1">
        <f>VLOOKUP($B355&amp;"__wt",'SegEnds_Xtal_BW#'!$A:$Z,12,FALSE)</f>
        <v>54</v>
      </c>
      <c r="M355" s="1" t="str">
        <f>VLOOKUP($B355&amp;"__wt",'SegEnds_Xtal_BW#'!$A:$Z,13,FALSE)</f>
        <v>-</v>
      </c>
      <c r="N355" s="12" t="str">
        <f>VLOOKUP($B355&amp;"__wt",'SegEnds_Xtal_BW#'!$A:$Z,14,FALSE)</f>
        <v>-</v>
      </c>
      <c r="O355" s="87">
        <f>VLOOKUP($B355&amp;"__wt",'SegEnds_Xtal_BW#'!$A:$Z,15,FALSE)</f>
        <v>38</v>
      </c>
      <c r="P355" s="1">
        <f>VLOOKUP($B355&amp;"__wt",'SegEnds_Xtal_BW#'!$A:$Z,16,FALSE)</f>
        <v>64</v>
      </c>
      <c r="Q355" s="1">
        <f>VLOOKUP($B355&amp;"__wt",'SegEnds_Xtal_BW#'!$A:$Z,17,FALSE)</f>
        <v>50</v>
      </c>
      <c r="R355" s="1">
        <f>VLOOKUP($B355&amp;"__wt",'SegEnds_Xtal_BW#'!$A:$Z,18,FALSE)</f>
        <v>52</v>
      </c>
      <c r="S355" s="1">
        <f>VLOOKUP($B355&amp;"__wt",'SegEnds_Xtal_BW#'!$A:$Z,19,FALSE)</f>
        <v>36</v>
      </c>
      <c r="T355" s="1">
        <f>VLOOKUP($B355&amp;"__wt",'SegEnds_Xtal_BW#'!$A:$Z,20,FALSE)</f>
        <v>61</v>
      </c>
      <c r="U355" s="1">
        <f>VLOOKUP($B355&amp;"__wt",'SegEnds_Xtal_BW#'!$A:$Z,21,FALSE)</f>
        <v>33</v>
      </c>
      <c r="V355" s="1">
        <f>VLOOKUP($B355&amp;"__wt",'SegEnds_Xtal_BW#'!$A:$Z,22,FALSE)</f>
        <v>57</v>
      </c>
      <c r="W355" s="1">
        <f>VLOOKUP($B355&amp;"__wt",'SegEnds_Xtal_BW#'!$A:$Z,23,FALSE)</f>
        <v>33</v>
      </c>
      <c r="X355" s="1">
        <f>VLOOKUP($B355&amp;"__wt",'SegEnds_Xtal_BW#'!$A:$Z,24,FALSE)</f>
        <v>64</v>
      </c>
      <c r="Y355" s="1">
        <f>VLOOKUP($B355&amp;"__wt",'SegEnds_Xtal_BW#'!$A:$Z,25,FALSE)</f>
        <v>46</v>
      </c>
      <c r="Z355" s="1">
        <f>VLOOKUP($B355&amp;"__wt",'SegEnds_Xtal_BW#'!$A:$Z,26,FALSE)</f>
        <v>57</v>
      </c>
      <c r="AA355" s="27" t="str">
        <f>VLOOKUP(A355,Classification!A:B,2,FALSE)</f>
        <v>C</v>
      </c>
      <c r="AB355" s="1">
        <f>VLOOKUP(A355,'SegEnds_NonXtal_Prot#'!A:AL,10,FALSE)-VLOOKUP(A355,'SegEnds_NonXtal_Prot#'!A:AL,4,FALSE)</f>
        <v>31</v>
      </c>
      <c r="AC355" s="1">
        <f>VLOOKUP(A355,'SegEnds_NonXtal_Prot#'!A:AL,10,FALSE)-VLOOKUP(A355,'SegEnds_NonXtal_Prot#'!A:AL,7,FALSE)</f>
        <v>15</v>
      </c>
      <c r="AD355" s="1" t="e">
        <f>VLOOKUP(A355,'SegEnds_NonXtal_Prot#'!A:AL,13,FALSE)-VLOOKUP(A355,'SegEnds_NonXtal_Prot#'!A:AL,10,FALSE)</f>
        <v>#VALUE!</v>
      </c>
      <c r="AE355" s="1">
        <f>VLOOKUP(A355,'SegEnds_NonXtal_Prot#'!A:AL,16,FALSE)-VLOOKUP(A355,'SegEnds_NonXtal_Prot#'!A:AL,10,FALSE)</f>
        <v>50</v>
      </c>
      <c r="AF355" s="1" t="e">
        <f>VLOOKUP(A355,'SegEnds_NonXtal_Prot#'!A:AL,22,FALSE)-VLOOKUP(A355,'SegEnds_NonXtal_Prot#'!A:AL,19,FALSE)</f>
        <v>#VALUE!</v>
      </c>
      <c r="AG355" s="1">
        <f>VLOOKUP(A355,'SegEnds_NonXtal_Prot#'!A:AL,28,FALSE)-VLOOKUP(A355,'SegEnds_NonXtal_Prot#'!A:AL,25,FALSE)</f>
        <v>19</v>
      </c>
      <c r="AH355" s="1">
        <f>VLOOKUP(A355,'SegEnds_NonXtal_Prot#'!A:AL,28,FALSE)-VLOOKUP(A355,'SegEnds_NonXtal_Prot#'!A:AL,22,FALSE)</f>
        <v>62</v>
      </c>
      <c r="AI355" s="1">
        <f>VLOOKUP(A355,'SegEnds_NonXtal_Prot#'!A:AL,31,FALSE)-VLOOKUP(A355,'SegEnds_NonXtal_Prot#'!A:AL,28,FALSE)</f>
        <v>39</v>
      </c>
      <c r="AJ355" s="1">
        <f>VLOOKUP(A355,'SegEnds_NonXtal_Prot#'!A:AL,34,FALSE)-VLOOKUP(A355,'SegEnds_NonXtal_Prot#'!A:AL,31,FALSE)</f>
        <v>30</v>
      </c>
      <c r="AK355" s="1">
        <f>VLOOKUP(A355,'SegEnds_NonXtal_Prot#'!A:AL,37,FALSE)-VLOOKUP(A355,'SegEnds_NonXtal_Prot#'!A:AL,34,FALSE)</f>
        <v>19</v>
      </c>
      <c r="AL355" s="1" t="str">
        <f>IF(ISERROR(MATCH(A355,'SegEnds_Xtal_Prot#'!B:B, 0)), "NoXtal", "Xtal")</f>
        <v>NoXtal</v>
      </c>
    </row>
    <row r="356" spans="1:38" x14ac:dyDescent="0.2">
      <c r="A356" s="4" t="s">
        <v>106</v>
      </c>
      <c r="B356" s="4" t="str">
        <f>VLOOKUP(A356,Xtal_Templ!A:B,2,FALSE)</f>
        <v>grm1_human</v>
      </c>
      <c r="C356" s="5">
        <f>VLOOKUP($B356&amp;"__wt",'SegEnds_Xtal_BW#'!$A:$Z,3,FALSE)</f>
        <v>34</v>
      </c>
      <c r="D356" s="4">
        <f>VLOOKUP($B356&amp;"__wt",'SegEnds_Xtal_BW#'!$A:$Z,4,FALSE)</f>
        <v>60</v>
      </c>
      <c r="E356" s="4">
        <f>VLOOKUP($B356&amp;"__wt",'SegEnds_Xtal_BW#'!$A:$Z,5,FALSE)</f>
        <v>47</v>
      </c>
      <c r="F356" s="4">
        <f>VLOOKUP($B356&amp;"__wt",'SegEnds_Xtal_BW#'!$A:$Z,6,FALSE)</f>
        <v>53</v>
      </c>
      <c r="G356" s="4">
        <v>39</v>
      </c>
      <c r="H356" s="11">
        <f>VLOOKUP($B356&amp;"__wt",'SegEnds_Xtal_BW#'!$A:$Z,8,FALSE)</f>
        <v>61</v>
      </c>
      <c r="I356" s="4" t="str">
        <f>VLOOKUP($B356&amp;"__wt",'SegEnds_Xtal_BW#'!$A:$Z,9,FALSE)</f>
        <v>-</v>
      </c>
      <c r="J356" s="4" t="str">
        <f>VLOOKUP($B356&amp;"__wt",'SegEnds_Xtal_BW#'!$A:$Z,10,FALSE)</f>
        <v>-</v>
      </c>
      <c r="K356" s="11">
        <f>VLOOKUP($B356&amp;"__wt",'SegEnds_Xtal_BW#'!$A:$Z,11,FALSE)</f>
        <v>22</v>
      </c>
      <c r="L356" s="4">
        <f>VLOOKUP($B356&amp;"__wt",'SegEnds_Xtal_BW#'!$A:$Z,12,FALSE)</f>
        <v>54</v>
      </c>
      <c r="M356" s="4" t="str">
        <f>VLOOKUP($B356&amp;"__wt",'SegEnds_Xtal_BW#'!$A:$Z,13,FALSE)</f>
        <v>-</v>
      </c>
      <c r="N356" s="11" t="str">
        <f>VLOOKUP($B356&amp;"__wt",'SegEnds_Xtal_BW#'!$A:$Z,14,FALSE)</f>
        <v>-</v>
      </c>
      <c r="O356" s="88">
        <f>VLOOKUP($B356&amp;"__wt",'SegEnds_Xtal_BW#'!$A:$Z,15,FALSE)</f>
        <v>38</v>
      </c>
      <c r="P356" s="4">
        <f>VLOOKUP($B356&amp;"__wt",'SegEnds_Xtal_BW#'!$A:$Z,16,FALSE)</f>
        <v>64</v>
      </c>
      <c r="Q356" s="4">
        <f>VLOOKUP($B356&amp;"__wt",'SegEnds_Xtal_BW#'!$A:$Z,17,FALSE)</f>
        <v>50</v>
      </c>
      <c r="R356" s="4">
        <f>VLOOKUP($B356&amp;"__wt",'SegEnds_Xtal_BW#'!$A:$Z,18,FALSE)</f>
        <v>52</v>
      </c>
      <c r="S356" s="4">
        <f>VLOOKUP($B356&amp;"__wt",'SegEnds_Xtal_BW#'!$A:$Z,19,FALSE)</f>
        <v>36</v>
      </c>
      <c r="T356" s="4">
        <f>VLOOKUP($B356&amp;"__wt",'SegEnds_Xtal_BW#'!$A:$Z,20,FALSE)</f>
        <v>61</v>
      </c>
      <c r="U356" s="4">
        <f>VLOOKUP($B356&amp;"__wt",'SegEnds_Xtal_BW#'!$A:$Z,21,FALSE)</f>
        <v>33</v>
      </c>
      <c r="V356" s="4">
        <f>VLOOKUP($B356&amp;"__wt",'SegEnds_Xtal_BW#'!$A:$Z,22,FALSE)</f>
        <v>57</v>
      </c>
      <c r="W356" s="4">
        <f>VLOOKUP($B356&amp;"__wt",'SegEnds_Xtal_BW#'!$A:$Z,23,FALSE)</f>
        <v>33</v>
      </c>
      <c r="X356" s="4">
        <f>VLOOKUP($B356&amp;"__wt",'SegEnds_Xtal_BW#'!$A:$Z,24,FALSE)</f>
        <v>64</v>
      </c>
      <c r="Y356" s="4">
        <f>VLOOKUP($B356&amp;"__wt",'SegEnds_Xtal_BW#'!$A:$Z,25,FALSE)</f>
        <v>46</v>
      </c>
      <c r="Z356" s="4">
        <f>VLOOKUP($B356&amp;"__wt",'SegEnds_Xtal_BW#'!$A:$Z,26,FALSE)</f>
        <v>57</v>
      </c>
      <c r="AA356" s="27" t="str">
        <f>VLOOKUP(A356,Classification!A:B,2,FALSE)</f>
        <v>C</v>
      </c>
      <c r="AB356" s="1">
        <f>VLOOKUP(A356,'SegEnds_NonXtal_Prot#'!A:AL,10,FALSE)-VLOOKUP(A356,'SegEnds_NonXtal_Prot#'!A:AL,4,FALSE)</f>
        <v>31</v>
      </c>
      <c r="AC356" s="4">
        <f>VLOOKUP(A356,'SegEnds_NonXtal_Prot#'!A:AL,10,FALSE)-VLOOKUP(A356,'SegEnds_NonXtal_Prot#'!A:AL,7,FALSE)</f>
        <v>15</v>
      </c>
      <c r="AD356" s="4" t="e">
        <f>VLOOKUP(A356,'SegEnds_NonXtal_Prot#'!A:AL,13,FALSE)-VLOOKUP(A356,'SegEnds_NonXtal_Prot#'!A:AL,10,FALSE)</f>
        <v>#VALUE!</v>
      </c>
      <c r="AE356" s="4">
        <f>VLOOKUP(A356,'SegEnds_NonXtal_Prot#'!A:AL,16,FALSE)-VLOOKUP(A356,'SegEnds_NonXtal_Prot#'!A:AL,10,FALSE)</f>
        <v>51</v>
      </c>
      <c r="AF356" s="1" t="e">
        <f>VLOOKUP(A356,'SegEnds_NonXtal_Prot#'!A:AL,22,FALSE)-VLOOKUP(A356,'SegEnds_NonXtal_Prot#'!A:AL,19,FALSE)</f>
        <v>#VALUE!</v>
      </c>
      <c r="AG356" s="4">
        <f>VLOOKUP(A356,'SegEnds_NonXtal_Prot#'!A:AL,28,FALSE)-VLOOKUP(A356,'SegEnds_NonXtal_Prot#'!A:AL,25,FALSE)</f>
        <v>19</v>
      </c>
      <c r="AH356" s="1">
        <f>VLOOKUP(A356,'SegEnds_NonXtal_Prot#'!A:AL,28,FALSE)-VLOOKUP(A356,'SegEnds_NonXtal_Prot#'!A:AL,22,FALSE)</f>
        <v>62</v>
      </c>
      <c r="AI356" s="4">
        <f>VLOOKUP(A356,'SegEnds_NonXtal_Prot#'!A:AL,31,FALSE)-VLOOKUP(A356,'SegEnds_NonXtal_Prot#'!A:AL,28,FALSE)</f>
        <v>38</v>
      </c>
      <c r="AJ356" s="4">
        <f>VLOOKUP(A356,'SegEnds_NonXtal_Prot#'!A:AL,34,FALSE)-VLOOKUP(A356,'SegEnds_NonXtal_Prot#'!A:AL,31,FALSE)</f>
        <v>31</v>
      </c>
      <c r="AK356" s="1">
        <f>VLOOKUP(A356,'SegEnds_NonXtal_Prot#'!A:AL,37,FALSE)-VLOOKUP(A356,'SegEnds_NonXtal_Prot#'!A:AL,34,FALSE)</f>
        <v>19</v>
      </c>
      <c r="AL356" s="1" t="str">
        <f>IF(ISERROR(MATCH(A356,'SegEnds_Xtal_Prot#'!B:B, 0)), "NoXtal", "Xtal")</f>
        <v>NoXtal</v>
      </c>
    </row>
    <row r="357" spans="1:38" x14ac:dyDescent="0.2">
      <c r="A357" s="1" t="s">
        <v>107</v>
      </c>
      <c r="B357" s="1" t="str">
        <f>VLOOKUP(A357,Xtal_Templ!A:B,2,FALSE)</f>
        <v>grm5_human</v>
      </c>
      <c r="C357" s="5">
        <f>VLOOKUP($B357&amp;"__wt",'SegEnds_Xtal_BW#'!$A:$Z,3,FALSE)</f>
        <v>34</v>
      </c>
      <c r="D357" s="1">
        <f>VLOOKUP($B357&amp;"__wt",'SegEnds_Xtal_BW#'!$A:$Z,4,FALSE)</f>
        <v>60</v>
      </c>
      <c r="E357" s="1">
        <f>VLOOKUP($B357&amp;"__wt",'SegEnds_Xtal_BW#'!$A:$Z,5,FALSE)</f>
        <v>47</v>
      </c>
      <c r="F357" s="1">
        <f>VLOOKUP($B357&amp;"__wt",'SegEnds_Xtal_BW#'!$A:$Z,6,FALSE)</f>
        <v>53</v>
      </c>
      <c r="G357" s="1">
        <v>39</v>
      </c>
      <c r="H357" s="12">
        <f>VLOOKUP($B357&amp;"__wt",'SegEnds_Xtal_BW#'!$A:$Z,8,FALSE)</f>
        <v>61</v>
      </c>
      <c r="I357" s="1" t="str">
        <f>VLOOKUP($B357&amp;"__wt",'SegEnds_Xtal_BW#'!$A:$Z,9,FALSE)</f>
        <v>-</v>
      </c>
      <c r="J357" s="1" t="str">
        <f>VLOOKUP($B357&amp;"__wt",'SegEnds_Xtal_BW#'!$A:$Z,10,FALSE)</f>
        <v>-</v>
      </c>
      <c r="K357" s="12">
        <f>VLOOKUP($B357&amp;"__wt",'SegEnds_Xtal_BW#'!$A:$Z,11,FALSE)</f>
        <v>21</v>
      </c>
      <c r="L357" s="1">
        <f>VLOOKUP($B357&amp;"__wt",'SegEnds_Xtal_BW#'!$A:$Z,12,FALSE)</f>
        <v>54</v>
      </c>
      <c r="M357" s="1" t="str">
        <f>VLOOKUP($B357&amp;"__wt",'SegEnds_Xtal_BW#'!$A:$Z,13,FALSE)</f>
        <v>-</v>
      </c>
      <c r="N357" s="12" t="str">
        <f>VLOOKUP($B357&amp;"__wt",'SegEnds_Xtal_BW#'!$A:$Z,14,FALSE)</f>
        <v>-</v>
      </c>
      <c r="O357" s="87">
        <f>VLOOKUP($B357&amp;"__wt",'SegEnds_Xtal_BW#'!$A:$Z,15,FALSE)</f>
        <v>38</v>
      </c>
      <c r="P357" s="1">
        <f>VLOOKUP($B357&amp;"__wt",'SegEnds_Xtal_BW#'!$A:$Z,16,FALSE)</f>
        <v>64</v>
      </c>
      <c r="Q357" s="1">
        <f>VLOOKUP($B357&amp;"__wt",'SegEnds_Xtal_BW#'!$A:$Z,17,FALSE)</f>
        <v>50</v>
      </c>
      <c r="R357" s="1">
        <f>VLOOKUP($B357&amp;"__wt",'SegEnds_Xtal_BW#'!$A:$Z,18,FALSE)</f>
        <v>52</v>
      </c>
      <c r="S357" s="1">
        <f>VLOOKUP($B357&amp;"__wt",'SegEnds_Xtal_BW#'!$A:$Z,19,FALSE)</f>
        <v>36</v>
      </c>
      <c r="T357" s="1">
        <f>VLOOKUP($B357&amp;"__wt",'SegEnds_Xtal_BW#'!$A:$Z,20,FALSE)</f>
        <v>61</v>
      </c>
      <c r="U357" s="1">
        <f>VLOOKUP($B357&amp;"__wt",'SegEnds_Xtal_BW#'!$A:$Z,21,FALSE)</f>
        <v>33</v>
      </c>
      <c r="V357" s="1">
        <f>VLOOKUP($B357&amp;"__wt",'SegEnds_Xtal_BW#'!$A:$Z,22,FALSE)</f>
        <v>57</v>
      </c>
      <c r="W357" s="1">
        <f>VLOOKUP($B357&amp;"__wt",'SegEnds_Xtal_BW#'!$A:$Z,23,FALSE)</f>
        <v>33</v>
      </c>
      <c r="X357" s="1">
        <f>VLOOKUP($B357&amp;"__wt",'SegEnds_Xtal_BW#'!$A:$Z,24,FALSE)</f>
        <v>64</v>
      </c>
      <c r="Y357" s="1">
        <f>VLOOKUP($B357&amp;"__wt",'SegEnds_Xtal_BW#'!$A:$Z,25,FALSE)</f>
        <v>46</v>
      </c>
      <c r="Z357" s="1">
        <f>VLOOKUP($B357&amp;"__wt",'SegEnds_Xtal_BW#'!$A:$Z,26,FALSE)</f>
        <v>57</v>
      </c>
      <c r="AA357" s="27" t="str">
        <f>VLOOKUP(A357,Classification!A:B,2,FALSE)</f>
        <v>C</v>
      </c>
      <c r="AB357" s="1">
        <f>VLOOKUP(A357,'SegEnds_NonXtal_Prot#'!A:AL,10,FALSE)-VLOOKUP(A357,'SegEnds_NonXtal_Prot#'!A:AL,4,FALSE)</f>
        <v>31</v>
      </c>
      <c r="AC357" s="1">
        <f>VLOOKUP(A357,'SegEnds_NonXtal_Prot#'!A:AL,10,FALSE)-VLOOKUP(A357,'SegEnds_NonXtal_Prot#'!A:AL,7,FALSE)</f>
        <v>15</v>
      </c>
      <c r="AD357" s="1" t="e">
        <f>VLOOKUP(A357,'SegEnds_NonXtal_Prot#'!A:AL,13,FALSE)-VLOOKUP(A357,'SegEnds_NonXtal_Prot#'!A:AL,10,FALSE)</f>
        <v>#VALUE!</v>
      </c>
      <c r="AE357" s="1">
        <f>VLOOKUP(A357,'SegEnds_NonXtal_Prot#'!A:AL,16,FALSE)-VLOOKUP(A357,'SegEnds_NonXtal_Prot#'!A:AL,10,FALSE)</f>
        <v>51</v>
      </c>
      <c r="AF357" s="1" t="e">
        <f>VLOOKUP(A357,'SegEnds_NonXtal_Prot#'!A:AL,22,FALSE)-VLOOKUP(A357,'SegEnds_NonXtal_Prot#'!A:AL,19,FALSE)</f>
        <v>#VALUE!</v>
      </c>
      <c r="AG357" s="1">
        <f>VLOOKUP(A357,'SegEnds_NonXtal_Prot#'!A:AL,28,FALSE)-VLOOKUP(A357,'SegEnds_NonXtal_Prot#'!A:AL,25,FALSE)</f>
        <v>19</v>
      </c>
      <c r="AH357" s="1">
        <f>VLOOKUP(A357,'SegEnds_NonXtal_Prot#'!A:AL,28,FALSE)-VLOOKUP(A357,'SegEnds_NonXtal_Prot#'!A:AL,22,FALSE)</f>
        <v>62</v>
      </c>
      <c r="AI357" s="1">
        <f>VLOOKUP(A357,'SegEnds_NonXtal_Prot#'!A:AL,31,FALSE)-VLOOKUP(A357,'SegEnds_NonXtal_Prot#'!A:AL,28,FALSE)</f>
        <v>38</v>
      </c>
      <c r="AJ357" s="1">
        <f>VLOOKUP(A357,'SegEnds_NonXtal_Prot#'!A:AL,34,FALSE)-VLOOKUP(A357,'SegEnds_NonXtal_Prot#'!A:AL,31,FALSE)</f>
        <v>31</v>
      </c>
      <c r="AK357" s="1">
        <f>VLOOKUP(A357,'SegEnds_NonXtal_Prot#'!A:AL,37,FALSE)-VLOOKUP(A357,'SegEnds_NonXtal_Prot#'!A:AL,34,FALSE)</f>
        <v>19</v>
      </c>
      <c r="AL357" s="1" t="str">
        <f>IF(ISERROR(MATCH(A357,'SegEnds_Xtal_Prot#'!B:B, 0)), "NoXtal", "Xtal")</f>
        <v>NoXtal</v>
      </c>
    </row>
    <row r="358" spans="1:38" x14ac:dyDescent="0.2">
      <c r="A358" s="1" t="s">
        <v>115</v>
      </c>
      <c r="B358" s="1" t="str">
        <f>VLOOKUP(A358,Xtal_Templ!A:B,2,FALSE)</f>
        <v>grm1_human</v>
      </c>
      <c r="C358" s="5">
        <f>VLOOKUP($B358&amp;"__wt",'SegEnds_Xtal_BW#'!$A:$Z,3,FALSE)</f>
        <v>34</v>
      </c>
      <c r="D358" s="1">
        <f>VLOOKUP($B358&amp;"__wt",'SegEnds_Xtal_BW#'!$A:$Z,4,FALSE)</f>
        <v>60</v>
      </c>
      <c r="E358" s="1">
        <f>VLOOKUP($B358&amp;"__wt",'SegEnds_Xtal_BW#'!$A:$Z,5,FALSE)</f>
        <v>47</v>
      </c>
      <c r="F358" s="1">
        <f>VLOOKUP($B358&amp;"__wt",'SegEnds_Xtal_BW#'!$A:$Z,6,FALSE)</f>
        <v>53</v>
      </c>
      <c r="G358" s="1">
        <v>39</v>
      </c>
      <c r="H358" s="12">
        <f>VLOOKUP($B358&amp;"__wt",'SegEnds_Xtal_BW#'!$A:$Z,8,FALSE)</f>
        <v>61</v>
      </c>
      <c r="I358" s="1" t="str">
        <f>VLOOKUP($B358&amp;"__wt",'SegEnds_Xtal_BW#'!$A:$Z,9,FALSE)</f>
        <v>-</v>
      </c>
      <c r="J358" s="1" t="str">
        <f>VLOOKUP($B358&amp;"__wt",'SegEnds_Xtal_BW#'!$A:$Z,10,FALSE)</f>
        <v>-</v>
      </c>
      <c r="K358" s="12">
        <f>VLOOKUP($B358&amp;"__wt",'SegEnds_Xtal_BW#'!$A:$Z,11,FALSE)</f>
        <v>22</v>
      </c>
      <c r="L358" s="1">
        <f>VLOOKUP($B358&amp;"__wt",'SegEnds_Xtal_BW#'!$A:$Z,12,FALSE)</f>
        <v>54</v>
      </c>
      <c r="M358" s="1" t="str">
        <f>VLOOKUP($B358&amp;"__wt",'SegEnds_Xtal_BW#'!$A:$Z,13,FALSE)</f>
        <v>-</v>
      </c>
      <c r="N358" s="12" t="str">
        <f>VLOOKUP($B358&amp;"__wt",'SegEnds_Xtal_BW#'!$A:$Z,14,FALSE)</f>
        <v>-</v>
      </c>
      <c r="O358" s="87">
        <f>VLOOKUP($B358&amp;"__wt",'SegEnds_Xtal_BW#'!$A:$Z,15,FALSE)</f>
        <v>38</v>
      </c>
      <c r="P358" s="1">
        <f>VLOOKUP($B358&amp;"__wt",'SegEnds_Xtal_BW#'!$A:$Z,16,FALSE)</f>
        <v>64</v>
      </c>
      <c r="Q358" s="1">
        <f>VLOOKUP($B358&amp;"__wt",'SegEnds_Xtal_BW#'!$A:$Z,17,FALSE)</f>
        <v>50</v>
      </c>
      <c r="R358" s="1">
        <f>VLOOKUP($B358&amp;"__wt",'SegEnds_Xtal_BW#'!$A:$Z,18,FALSE)</f>
        <v>52</v>
      </c>
      <c r="S358" s="1">
        <f>VLOOKUP($B358&amp;"__wt",'SegEnds_Xtal_BW#'!$A:$Z,19,FALSE)</f>
        <v>36</v>
      </c>
      <c r="T358" s="1">
        <f>VLOOKUP($B358&amp;"__wt",'SegEnds_Xtal_BW#'!$A:$Z,20,FALSE)</f>
        <v>61</v>
      </c>
      <c r="U358" s="1">
        <f>VLOOKUP($B358&amp;"__wt",'SegEnds_Xtal_BW#'!$A:$Z,21,FALSE)</f>
        <v>33</v>
      </c>
      <c r="V358" s="1">
        <f>VLOOKUP($B358&amp;"__wt",'SegEnds_Xtal_BW#'!$A:$Z,22,FALSE)</f>
        <v>57</v>
      </c>
      <c r="W358" s="1">
        <f>VLOOKUP($B358&amp;"__wt",'SegEnds_Xtal_BW#'!$A:$Z,23,FALSE)</f>
        <v>33</v>
      </c>
      <c r="X358" s="1">
        <f>VLOOKUP($B358&amp;"__wt",'SegEnds_Xtal_BW#'!$A:$Z,24,FALSE)</f>
        <v>64</v>
      </c>
      <c r="Y358" s="1">
        <f>VLOOKUP($B358&amp;"__wt",'SegEnds_Xtal_BW#'!$A:$Z,25,FALSE)</f>
        <v>46</v>
      </c>
      <c r="Z358" s="1">
        <f>VLOOKUP($B358&amp;"__wt",'SegEnds_Xtal_BW#'!$A:$Z,26,FALSE)</f>
        <v>57</v>
      </c>
      <c r="AA358" s="27" t="str">
        <f>VLOOKUP(A358,Classification!A:B,2,FALSE)</f>
        <v>C</v>
      </c>
      <c r="AB358" s="1">
        <f>VLOOKUP(A358,'SegEnds_NonXtal_Prot#'!A:AL,10,FALSE)-VLOOKUP(A358,'SegEnds_NonXtal_Prot#'!A:AL,4,FALSE)</f>
        <v>31</v>
      </c>
      <c r="AC358" s="1">
        <f>VLOOKUP(A358,'SegEnds_NonXtal_Prot#'!A:AL,10,FALSE)-VLOOKUP(A358,'SegEnds_NonXtal_Prot#'!A:AL,7,FALSE)</f>
        <v>15</v>
      </c>
      <c r="AD358" s="1" t="e">
        <f>VLOOKUP(A358,'SegEnds_NonXtal_Prot#'!A:AL,13,FALSE)-VLOOKUP(A358,'SegEnds_NonXtal_Prot#'!A:AL,10,FALSE)</f>
        <v>#VALUE!</v>
      </c>
      <c r="AE358" s="1">
        <f>VLOOKUP(A358,'SegEnds_NonXtal_Prot#'!A:AL,16,FALSE)-VLOOKUP(A358,'SegEnds_NonXtal_Prot#'!A:AL,10,FALSE)</f>
        <v>44</v>
      </c>
      <c r="AF358" s="1" t="e">
        <f>VLOOKUP(A358,'SegEnds_NonXtal_Prot#'!A:AL,22,FALSE)-VLOOKUP(A358,'SegEnds_NonXtal_Prot#'!A:AL,19,FALSE)</f>
        <v>#VALUE!</v>
      </c>
      <c r="AG358" s="1">
        <f>VLOOKUP(A358,'SegEnds_NonXtal_Prot#'!A:AL,28,FALSE)-VLOOKUP(A358,'SegEnds_NonXtal_Prot#'!A:AL,25,FALSE)</f>
        <v>17</v>
      </c>
      <c r="AH358" s="1">
        <f>VLOOKUP(A358,'SegEnds_NonXtal_Prot#'!A:AL,28,FALSE)-VLOOKUP(A358,'SegEnds_NonXtal_Prot#'!A:AL,22,FALSE)</f>
        <v>51</v>
      </c>
      <c r="AI358" s="1">
        <f>VLOOKUP(A358,'SegEnds_NonXtal_Prot#'!A:AL,31,FALSE)-VLOOKUP(A358,'SegEnds_NonXtal_Prot#'!A:AL,28,FALSE)</f>
        <v>37</v>
      </c>
      <c r="AJ358" s="1">
        <f>VLOOKUP(A358,'SegEnds_NonXtal_Prot#'!A:AL,34,FALSE)-VLOOKUP(A358,'SegEnds_NonXtal_Prot#'!A:AL,31,FALSE)</f>
        <v>31</v>
      </c>
      <c r="AK358" s="1">
        <f>VLOOKUP(A358,'SegEnds_NonXtal_Prot#'!A:AL,37,FALSE)-VLOOKUP(A358,'SegEnds_NonXtal_Prot#'!A:AL,34,FALSE)</f>
        <v>19</v>
      </c>
      <c r="AL358" s="1" t="str">
        <f>IF(ISERROR(MATCH(A358,'SegEnds_Xtal_Prot#'!B:B, 0)), "NoXtal", "Xtal")</f>
        <v>NoXtal</v>
      </c>
    </row>
    <row r="359" spans="1:38" x14ac:dyDescent="0.2">
      <c r="A359" s="1" t="s">
        <v>116</v>
      </c>
      <c r="B359" s="1" t="str">
        <f>VLOOKUP(A359,Xtal_Templ!A:B,2,FALSE)</f>
        <v>grm5_human</v>
      </c>
      <c r="C359" s="5">
        <f>VLOOKUP($B359&amp;"__wt",'SegEnds_Xtal_BW#'!$A:$Z,3,FALSE)</f>
        <v>34</v>
      </c>
      <c r="D359" s="1">
        <f>VLOOKUP($B359&amp;"__wt",'SegEnds_Xtal_BW#'!$A:$Z,4,FALSE)</f>
        <v>60</v>
      </c>
      <c r="E359" s="1">
        <f>VLOOKUP($B359&amp;"__wt",'SegEnds_Xtal_BW#'!$A:$Z,5,FALSE)</f>
        <v>47</v>
      </c>
      <c r="F359" s="1">
        <f>VLOOKUP($B359&amp;"__wt",'SegEnds_Xtal_BW#'!$A:$Z,6,FALSE)</f>
        <v>53</v>
      </c>
      <c r="G359" s="1">
        <v>39</v>
      </c>
      <c r="H359" s="12">
        <f>VLOOKUP($B359&amp;"__wt",'SegEnds_Xtal_BW#'!$A:$Z,8,FALSE)</f>
        <v>61</v>
      </c>
      <c r="I359" s="1" t="str">
        <f>VLOOKUP($B359&amp;"__wt",'SegEnds_Xtal_BW#'!$A:$Z,9,FALSE)</f>
        <v>-</v>
      </c>
      <c r="J359" s="1" t="str">
        <f>VLOOKUP($B359&amp;"__wt",'SegEnds_Xtal_BW#'!$A:$Z,10,FALSE)</f>
        <v>-</v>
      </c>
      <c r="K359" s="12">
        <f>VLOOKUP($B359&amp;"__wt",'SegEnds_Xtal_BW#'!$A:$Z,11,FALSE)</f>
        <v>21</v>
      </c>
      <c r="L359" s="1">
        <f>VLOOKUP($B359&amp;"__wt",'SegEnds_Xtal_BW#'!$A:$Z,12,FALSE)</f>
        <v>54</v>
      </c>
      <c r="M359" s="1" t="str">
        <f>VLOOKUP($B359&amp;"__wt",'SegEnds_Xtal_BW#'!$A:$Z,13,FALSE)</f>
        <v>-</v>
      </c>
      <c r="N359" s="12" t="str">
        <f>VLOOKUP($B359&amp;"__wt",'SegEnds_Xtal_BW#'!$A:$Z,14,FALSE)</f>
        <v>-</v>
      </c>
      <c r="O359" s="87">
        <f>VLOOKUP($B359&amp;"__wt",'SegEnds_Xtal_BW#'!$A:$Z,15,FALSE)</f>
        <v>38</v>
      </c>
      <c r="P359" s="1">
        <f>VLOOKUP($B359&amp;"__wt",'SegEnds_Xtal_BW#'!$A:$Z,16,FALSE)</f>
        <v>64</v>
      </c>
      <c r="Q359" s="1">
        <f>VLOOKUP($B359&amp;"__wt",'SegEnds_Xtal_BW#'!$A:$Z,17,FALSE)</f>
        <v>50</v>
      </c>
      <c r="R359" s="1">
        <f>VLOOKUP($B359&amp;"__wt",'SegEnds_Xtal_BW#'!$A:$Z,18,FALSE)</f>
        <v>52</v>
      </c>
      <c r="S359" s="1">
        <f>VLOOKUP($B359&amp;"__wt",'SegEnds_Xtal_BW#'!$A:$Z,19,FALSE)</f>
        <v>36</v>
      </c>
      <c r="T359" s="1">
        <f>VLOOKUP($B359&amp;"__wt",'SegEnds_Xtal_BW#'!$A:$Z,20,FALSE)</f>
        <v>61</v>
      </c>
      <c r="U359" s="1">
        <f>VLOOKUP($B359&amp;"__wt",'SegEnds_Xtal_BW#'!$A:$Z,21,FALSE)</f>
        <v>33</v>
      </c>
      <c r="V359" s="1">
        <f>VLOOKUP($B359&amp;"__wt",'SegEnds_Xtal_BW#'!$A:$Z,22,FALSE)</f>
        <v>57</v>
      </c>
      <c r="W359" s="1">
        <f>VLOOKUP($B359&amp;"__wt",'SegEnds_Xtal_BW#'!$A:$Z,23,FALSE)</f>
        <v>33</v>
      </c>
      <c r="X359" s="1">
        <f>VLOOKUP($B359&amp;"__wt",'SegEnds_Xtal_BW#'!$A:$Z,24,FALSE)</f>
        <v>64</v>
      </c>
      <c r="Y359" s="1">
        <f>VLOOKUP($B359&amp;"__wt",'SegEnds_Xtal_BW#'!$A:$Z,25,FALSE)</f>
        <v>46</v>
      </c>
      <c r="Z359" s="1">
        <f>VLOOKUP($B359&amp;"__wt",'SegEnds_Xtal_BW#'!$A:$Z,26,FALSE)</f>
        <v>57</v>
      </c>
      <c r="AA359" s="27" t="str">
        <f>VLOOKUP(A359,Classification!A:B,2,FALSE)</f>
        <v>C</v>
      </c>
      <c r="AB359" s="1">
        <f>VLOOKUP(A359,'SegEnds_NonXtal_Prot#'!A:AL,10,FALSE)-VLOOKUP(A359,'SegEnds_NonXtal_Prot#'!A:AL,4,FALSE)</f>
        <v>31</v>
      </c>
      <c r="AC359" s="1">
        <f>VLOOKUP(A359,'SegEnds_NonXtal_Prot#'!A:AL,10,FALSE)-VLOOKUP(A359,'SegEnds_NonXtal_Prot#'!A:AL,7,FALSE)</f>
        <v>15</v>
      </c>
      <c r="AD359" s="1" t="e">
        <f>VLOOKUP(A359,'SegEnds_NonXtal_Prot#'!A:AL,13,FALSE)-VLOOKUP(A359,'SegEnds_NonXtal_Prot#'!A:AL,10,FALSE)</f>
        <v>#VALUE!</v>
      </c>
      <c r="AE359" s="1">
        <f>VLOOKUP(A359,'SegEnds_NonXtal_Prot#'!A:AL,16,FALSE)-VLOOKUP(A359,'SegEnds_NonXtal_Prot#'!A:AL,10,FALSE)</f>
        <v>44</v>
      </c>
      <c r="AF359" s="1" t="e">
        <f>VLOOKUP(A359,'SegEnds_NonXtal_Prot#'!A:AL,22,FALSE)-VLOOKUP(A359,'SegEnds_NonXtal_Prot#'!A:AL,19,FALSE)</f>
        <v>#VALUE!</v>
      </c>
      <c r="AG359" s="1">
        <f>VLOOKUP(A359,'SegEnds_NonXtal_Prot#'!A:AL,28,FALSE)-VLOOKUP(A359,'SegEnds_NonXtal_Prot#'!A:AL,25,FALSE)</f>
        <v>17</v>
      </c>
      <c r="AH359" s="1">
        <f>VLOOKUP(A359,'SegEnds_NonXtal_Prot#'!A:AL,28,FALSE)-VLOOKUP(A359,'SegEnds_NonXtal_Prot#'!A:AL,22,FALSE)</f>
        <v>51</v>
      </c>
      <c r="AI359" s="1">
        <f>VLOOKUP(A359,'SegEnds_NonXtal_Prot#'!A:AL,31,FALSE)-VLOOKUP(A359,'SegEnds_NonXtal_Prot#'!A:AL,28,FALSE)</f>
        <v>37</v>
      </c>
      <c r="AJ359" s="1">
        <f>VLOOKUP(A359,'SegEnds_NonXtal_Prot#'!A:AL,34,FALSE)-VLOOKUP(A359,'SegEnds_NonXtal_Prot#'!A:AL,31,FALSE)</f>
        <v>31</v>
      </c>
      <c r="AK359" s="1">
        <f>VLOOKUP(A359,'SegEnds_NonXtal_Prot#'!A:AL,37,FALSE)-VLOOKUP(A359,'SegEnds_NonXtal_Prot#'!A:AL,34,FALSE)</f>
        <v>19</v>
      </c>
      <c r="AL359" s="1" t="str">
        <f>IF(ISERROR(MATCH(A359,'SegEnds_Xtal_Prot#'!B:B, 0)), "NoXtal", "Xtal")</f>
        <v>NoXtal</v>
      </c>
    </row>
    <row r="360" spans="1:38" x14ac:dyDescent="0.2">
      <c r="A360" s="1" t="s">
        <v>121</v>
      </c>
      <c r="B360" s="1" t="str">
        <f>VLOOKUP(A360,Xtal_Templ!A:B,2,FALSE)</f>
        <v>grm1_human</v>
      </c>
      <c r="C360" s="5">
        <f>VLOOKUP($B360&amp;"__wt",'SegEnds_Xtal_BW#'!$A:$Z,3,FALSE)</f>
        <v>34</v>
      </c>
      <c r="D360" s="1">
        <f>VLOOKUP($B360&amp;"__wt",'SegEnds_Xtal_BW#'!$A:$Z,4,FALSE)</f>
        <v>60</v>
      </c>
      <c r="E360" s="1">
        <f>VLOOKUP($B360&amp;"__wt",'SegEnds_Xtal_BW#'!$A:$Z,5,FALSE)</f>
        <v>47</v>
      </c>
      <c r="F360" s="1">
        <f>VLOOKUP($B360&amp;"__wt",'SegEnds_Xtal_BW#'!$A:$Z,6,FALSE)</f>
        <v>53</v>
      </c>
      <c r="G360" s="1">
        <v>39</v>
      </c>
      <c r="H360" s="12">
        <f>VLOOKUP($B360&amp;"__wt",'SegEnds_Xtal_BW#'!$A:$Z,8,FALSE)</f>
        <v>61</v>
      </c>
      <c r="I360" s="1" t="str">
        <f>VLOOKUP($B360&amp;"__wt",'SegEnds_Xtal_BW#'!$A:$Z,9,FALSE)</f>
        <v>-</v>
      </c>
      <c r="J360" s="1" t="str">
        <f>VLOOKUP($B360&amp;"__wt",'SegEnds_Xtal_BW#'!$A:$Z,10,FALSE)</f>
        <v>-</v>
      </c>
      <c r="K360" s="12">
        <f>VLOOKUP($B360&amp;"__wt",'SegEnds_Xtal_BW#'!$A:$Z,11,FALSE)</f>
        <v>22</v>
      </c>
      <c r="L360" s="1">
        <f>VLOOKUP($B360&amp;"__wt",'SegEnds_Xtal_BW#'!$A:$Z,12,FALSE)</f>
        <v>54</v>
      </c>
      <c r="M360" s="1" t="str">
        <f>VLOOKUP($B360&amp;"__wt",'SegEnds_Xtal_BW#'!$A:$Z,13,FALSE)</f>
        <v>-</v>
      </c>
      <c r="N360" s="12" t="str">
        <f>VLOOKUP($B360&amp;"__wt",'SegEnds_Xtal_BW#'!$A:$Z,14,FALSE)</f>
        <v>-</v>
      </c>
      <c r="O360" s="87">
        <f>VLOOKUP($B360&amp;"__wt",'SegEnds_Xtal_BW#'!$A:$Z,15,FALSE)</f>
        <v>38</v>
      </c>
      <c r="P360" s="1">
        <f>VLOOKUP($B360&amp;"__wt",'SegEnds_Xtal_BW#'!$A:$Z,16,FALSE)</f>
        <v>64</v>
      </c>
      <c r="Q360" s="1">
        <f>VLOOKUP($B360&amp;"__wt",'SegEnds_Xtal_BW#'!$A:$Z,17,FALSE)</f>
        <v>50</v>
      </c>
      <c r="R360" s="1">
        <f>VLOOKUP($B360&amp;"__wt",'SegEnds_Xtal_BW#'!$A:$Z,18,FALSE)</f>
        <v>52</v>
      </c>
      <c r="S360" s="1">
        <f>VLOOKUP($B360&amp;"__wt",'SegEnds_Xtal_BW#'!$A:$Z,19,FALSE)</f>
        <v>36</v>
      </c>
      <c r="T360" s="1">
        <f>VLOOKUP($B360&amp;"__wt",'SegEnds_Xtal_BW#'!$A:$Z,20,FALSE)</f>
        <v>61</v>
      </c>
      <c r="U360" s="1">
        <f>VLOOKUP($B360&amp;"__wt",'SegEnds_Xtal_BW#'!$A:$Z,21,FALSE)</f>
        <v>33</v>
      </c>
      <c r="V360" s="1">
        <f>VLOOKUP($B360&amp;"__wt",'SegEnds_Xtal_BW#'!$A:$Z,22,FALSE)</f>
        <v>57</v>
      </c>
      <c r="W360" s="1">
        <f>VLOOKUP($B360&amp;"__wt",'SegEnds_Xtal_BW#'!$A:$Z,23,FALSE)</f>
        <v>33</v>
      </c>
      <c r="X360" s="1">
        <f>VLOOKUP($B360&amp;"__wt",'SegEnds_Xtal_BW#'!$A:$Z,24,FALSE)</f>
        <v>64</v>
      </c>
      <c r="Y360" s="1">
        <f>VLOOKUP($B360&amp;"__wt",'SegEnds_Xtal_BW#'!$A:$Z,25,FALSE)</f>
        <v>46</v>
      </c>
      <c r="Z360" s="1">
        <f>VLOOKUP($B360&amp;"__wt",'SegEnds_Xtal_BW#'!$A:$Z,26,FALSE)</f>
        <v>57</v>
      </c>
      <c r="AA360" s="27" t="str">
        <f>VLOOKUP(A360,Classification!A:B,2,FALSE)</f>
        <v>C</v>
      </c>
      <c r="AB360" s="1">
        <f>VLOOKUP(A360,'SegEnds_NonXtal_Prot#'!A:AL,10,FALSE)-VLOOKUP(A360,'SegEnds_NonXtal_Prot#'!A:AL,4,FALSE)</f>
        <v>33</v>
      </c>
      <c r="AC360" s="1">
        <f>VLOOKUP(A360,'SegEnds_NonXtal_Prot#'!A:AL,10,FALSE)-VLOOKUP(A360,'SegEnds_NonXtal_Prot#'!A:AL,7,FALSE)</f>
        <v>19</v>
      </c>
      <c r="AD360" s="1" t="e">
        <f>VLOOKUP(A360,'SegEnds_NonXtal_Prot#'!A:AL,13,FALSE)-VLOOKUP(A360,'SegEnds_NonXtal_Prot#'!A:AL,10,FALSE)</f>
        <v>#VALUE!</v>
      </c>
      <c r="AE360" s="1">
        <f>VLOOKUP(A360,'SegEnds_NonXtal_Prot#'!A:AL,16,FALSE)-VLOOKUP(A360,'SegEnds_NonXtal_Prot#'!A:AL,10,FALSE)</f>
        <v>44</v>
      </c>
      <c r="AF360" s="1" t="e">
        <f>VLOOKUP(A360,'SegEnds_NonXtal_Prot#'!A:AL,22,FALSE)-VLOOKUP(A360,'SegEnds_NonXtal_Prot#'!A:AL,19,FALSE)</f>
        <v>#VALUE!</v>
      </c>
      <c r="AG360" s="1" t="e">
        <f>VLOOKUP(A360,'SegEnds_NonXtal_Prot#'!A:AL,28,FALSE)-VLOOKUP(A360,'SegEnds_NonXtal_Prot#'!A:AL,25,FALSE)</f>
        <v>#VALUE!</v>
      </c>
      <c r="AH360" s="1">
        <f>VLOOKUP(A360,'SegEnds_NonXtal_Prot#'!A:AL,28,FALSE)-VLOOKUP(A360,'SegEnds_NonXtal_Prot#'!A:AL,22,FALSE)</f>
        <v>45</v>
      </c>
      <c r="AI360" s="1">
        <f>VLOOKUP(A360,'SegEnds_NonXtal_Prot#'!A:AL,31,FALSE)-VLOOKUP(A360,'SegEnds_NonXtal_Prot#'!A:AL,28,FALSE)</f>
        <v>39</v>
      </c>
      <c r="AJ360" s="1">
        <f>VLOOKUP(A360,'SegEnds_NonXtal_Prot#'!A:AL,34,FALSE)-VLOOKUP(A360,'SegEnds_NonXtal_Prot#'!A:AL,31,FALSE)</f>
        <v>31</v>
      </c>
      <c r="AK360" s="1">
        <f>VLOOKUP(A360,'SegEnds_NonXtal_Prot#'!A:AL,37,FALSE)-VLOOKUP(A360,'SegEnds_NonXtal_Prot#'!A:AL,34,FALSE)</f>
        <v>21</v>
      </c>
      <c r="AL360" s="1" t="str">
        <f>IF(ISERROR(MATCH(A360,'SegEnds_Xtal_Prot#'!B:B, 0)), "NoXtal", "Xtal")</f>
        <v>NoXtal</v>
      </c>
    </row>
    <row r="361" spans="1:38" x14ac:dyDescent="0.2">
      <c r="A361" s="4" t="s">
        <v>109</v>
      </c>
      <c r="B361" s="4" t="str">
        <f>VLOOKUP(A361,Xtal_Templ!A:B,2,FALSE)</f>
        <v>grm1_human</v>
      </c>
      <c r="C361" s="5">
        <f>VLOOKUP($B361&amp;"__wt",'SegEnds_Xtal_BW#'!$A:$Z,3,FALSE)</f>
        <v>34</v>
      </c>
      <c r="D361" s="4">
        <f>VLOOKUP($B361&amp;"__wt",'SegEnds_Xtal_BW#'!$A:$Z,4,FALSE)</f>
        <v>60</v>
      </c>
      <c r="E361" s="4">
        <f>VLOOKUP($B361&amp;"__wt",'SegEnds_Xtal_BW#'!$A:$Z,5,FALSE)</f>
        <v>47</v>
      </c>
      <c r="F361" s="4">
        <f>VLOOKUP($B361&amp;"__wt",'SegEnds_Xtal_BW#'!$A:$Z,6,FALSE)</f>
        <v>53</v>
      </c>
      <c r="G361" s="4">
        <v>39</v>
      </c>
      <c r="H361" s="11">
        <f>VLOOKUP($B361&amp;"__wt",'SegEnds_Xtal_BW#'!$A:$Z,8,FALSE)</f>
        <v>61</v>
      </c>
      <c r="I361" s="4" t="str">
        <f>VLOOKUP($B361&amp;"__wt",'SegEnds_Xtal_BW#'!$A:$Z,9,FALSE)</f>
        <v>-</v>
      </c>
      <c r="J361" s="4" t="str">
        <f>VLOOKUP($B361&amp;"__wt",'SegEnds_Xtal_BW#'!$A:$Z,10,FALSE)</f>
        <v>-</v>
      </c>
      <c r="K361" s="11">
        <f>VLOOKUP($B361&amp;"__wt",'SegEnds_Xtal_BW#'!$A:$Z,11,FALSE)</f>
        <v>22</v>
      </c>
      <c r="L361" s="4">
        <f>VLOOKUP($B361&amp;"__wt",'SegEnds_Xtal_BW#'!$A:$Z,12,FALSE)</f>
        <v>54</v>
      </c>
      <c r="M361" s="4" t="str">
        <f>VLOOKUP($B361&amp;"__wt",'SegEnds_Xtal_BW#'!$A:$Z,13,FALSE)</f>
        <v>-</v>
      </c>
      <c r="N361" s="11" t="str">
        <f>VLOOKUP($B361&amp;"__wt",'SegEnds_Xtal_BW#'!$A:$Z,14,FALSE)</f>
        <v>-</v>
      </c>
      <c r="O361" s="88">
        <f>VLOOKUP($B361&amp;"__wt",'SegEnds_Xtal_BW#'!$A:$Z,15,FALSE)</f>
        <v>38</v>
      </c>
      <c r="P361" s="4">
        <f>VLOOKUP($B361&amp;"__wt",'SegEnds_Xtal_BW#'!$A:$Z,16,FALSE)</f>
        <v>64</v>
      </c>
      <c r="Q361" s="4">
        <f>VLOOKUP($B361&amp;"__wt",'SegEnds_Xtal_BW#'!$A:$Z,17,FALSE)</f>
        <v>50</v>
      </c>
      <c r="R361" s="4">
        <f>VLOOKUP($B361&amp;"__wt",'SegEnds_Xtal_BW#'!$A:$Z,18,FALSE)</f>
        <v>52</v>
      </c>
      <c r="S361" s="4">
        <f>VLOOKUP($B361&amp;"__wt",'SegEnds_Xtal_BW#'!$A:$Z,19,FALSE)</f>
        <v>36</v>
      </c>
      <c r="T361" s="4">
        <f>VLOOKUP($B361&amp;"__wt",'SegEnds_Xtal_BW#'!$A:$Z,20,FALSE)</f>
        <v>61</v>
      </c>
      <c r="U361" s="4">
        <f>VLOOKUP($B361&amp;"__wt",'SegEnds_Xtal_BW#'!$A:$Z,21,FALSE)</f>
        <v>33</v>
      </c>
      <c r="V361" s="4">
        <f>VLOOKUP($B361&amp;"__wt",'SegEnds_Xtal_BW#'!$A:$Z,22,FALSE)</f>
        <v>57</v>
      </c>
      <c r="W361" s="4">
        <f>VLOOKUP($B361&amp;"__wt",'SegEnds_Xtal_BW#'!$A:$Z,23,FALSE)</f>
        <v>33</v>
      </c>
      <c r="X361" s="4">
        <f>VLOOKUP($B361&amp;"__wt",'SegEnds_Xtal_BW#'!$A:$Z,24,FALSE)</f>
        <v>64</v>
      </c>
      <c r="Y361" s="4">
        <f>VLOOKUP($B361&amp;"__wt",'SegEnds_Xtal_BW#'!$A:$Z,25,FALSE)</f>
        <v>46</v>
      </c>
      <c r="Z361" s="4">
        <f>VLOOKUP($B361&amp;"__wt",'SegEnds_Xtal_BW#'!$A:$Z,26,FALSE)</f>
        <v>57</v>
      </c>
      <c r="AA361" s="27" t="str">
        <f>VLOOKUP(A361,Classification!A:B,2,FALSE)</f>
        <v>C</v>
      </c>
      <c r="AB361" s="1">
        <f>VLOOKUP(A361,'SegEnds_NonXtal_Prot#'!A:AL,10,FALSE)-VLOOKUP(A361,'SegEnds_NonXtal_Prot#'!A:AL,4,FALSE)</f>
        <v>31</v>
      </c>
      <c r="AC361" s="4">
        <f>VLOOKUP(A361,'SegEnds_NonXtal_Prot#'!A:AL,10,FALSE)-VLOOKUP(A361,'SegEnds_NonXtal_Prot#'!A:AL,7,FALSE)</f>
        <v>15</v>
      </c>
      <c r="AD361" s="4" t="e">
        <f>VLOOKUP(A361,'SegEnds_NonXtal_Prot#'!A:AL,13,FALSE)-VLOOKUP(A361,'SegEnds_NonXtal_Prot#'!A:AL,10,FALSE)</f>
        <v>#VALUE!</v>
      </c>
      <c r="AE361" s="4">
        <f>VLOOKUP(A361,'SegEnds_NonXtal_Prot#'!A:AL,16,FALSE)-VLOOKUP(A361,'SegEnds_NonXtal_Prot#'!A:AL,10,FALSE)</f>
        <v>44</v>
      </c>
      <c r="AF361" s="1" t="e">
        <f>VLOOKUP(A361,'SegEnds_NonXtal_Prot#'!A:AL,22,FALSE)-VLOOKUP(A361,'SegEnds_NonXtal_Prot#'!A:AL,19,FALSE)</f>
        <v>#VALUE!</v>
      </c>
      <c r="AG361" s="4">
        <f>VLOOKUP(A361,'SegEnds_NonXtal_Prot#'!A:AL,28,FALSE)-VLOOKUP(A361,'SegEnds_NonXtal_Prot#'!A:AL,25,FALSE)</f>
        <v>16</v>
      </c>
      <c r="AH361" s="1">
        <f>VLOOKUP(A361,'SegEnds_NonXtal_Prot#'!A:AL,28,FALSE)-VLOOKUP(A361,'SegEnds_NonXtal_Prot#'!A:AL,22,FALSE)</f>
        <v>65</v>
      </c>
      <c r="AI361" s="4">
        <f>VLOOKUP(A361,'SegEnds_NonXtal_Prot#'!A:AL,31,FALSE)-VLOOKUP(A361,'SegEnds_NonXtal_Prot#'!A:AL,28,FALSE)</f>
        <v>37</v>
      </c>
      <c r="AJ361" s="4">
        <f>VLOOKUP(A361,'SegEnds_NonXtal_Prot#'!A:AL,34,FALSE)-VLOOKUP(A361,'SegEnds_NonXtal_Prot#'!A:AL,31,FALSE)</f>
        <v>33</v>
      </c>
      <c r="AK361" s="1">
        <f>VLOOKUP(A361,'SegEnds_NonXtal_Prot#'!A:AL,37,FALSE)-VLOOKUP(A361,'SegEnds_NonXtal_Prot#'!A:AL,34,FALSE)</f>
        <v>19</v>
      </c>
      <c r="AL361" s="1" t="str">
        <f>IF(ISERROR(MATCH(A361,'SegEnds_Xtal_Prot#'!B:B, 0)), "NoXtal", "Xtal")</f>
        <v>NoXtal</v>
      </c>
    </row>
    <row r="362" spans="1:38" x14ac:dyDescent="0.2">
      <c r="A362" s="1" t="s">
        <v>110</v>
      </c>
      <c r="B362" s="1" t="str">
        <f>VLOOKUP(A362,Xtal_Templ!A:B,2,FALSE)</f>
        <v>grm1_human</v>
      </c>
      <c r="C362" s="5">
        <f>VLOOKUP($B362&amp;"__wt",'SegEnds_Xtal_BW#'!$A:$Z,3,FALSE)</f>
        <v>34</v>
      </c>
      <c r="D362" s="1">
        <f>VLOOKUP($B362&amp;"__wt",'SegEnds_Xtal_BW#'!$A:$Z,4,FALSE)</f>
        <v>60</v>
      </c>
      <c r="E362" s="1">
        <f>VLOOKUP($B362&amp;"__wt",'SegEnds_Xtal_BW#'!$A:$Z,5,FALSE)</f>
        <v>47</v>
      </c>
      <c r="F362" s="1">
        <f>VLOOKUP($B362&amp;"__wt",'SegEnds_Xtal_BW#'!$A:$Z,6,FALSE)</f>
        <v>53</v>
      </c>
      <c r="G362" s="1">
        <v>39</v>
      </c>
      <c r="H362" s="12">
        <f>VLOOKUP($B362&amp;"__wt",'SegEnds_Xtal_BW#'!$A:$Z,8,FALSE)</f>
        <v>61</v>
      </c>
      <c r="I362" s="1" t="str">
        <f>VLOOKUP($B362&amp;"__wt",'SegEnds_Xtal_BW#'!$A:$Z,9,FALSE)</f>
        <v>-</v>
      </c>
      <c r="J362" s="1" t="str">
        <f>VLOOKUP($B362&amp;"__wt",'SegEnds_Xtal_BW#'!$A:$Z,10,FALSE)</f>
        <v>-</v>
      </c>
      <c r="K362" s="12">
        <f>VLOOKUP($B362&amp;"__wt",'SegEnds_Xtal_BW#'!$A:$Z,11,FALSE)</f>
        <v>22</v>
      </c>
      <c r="L362" s="1">
        <f>VLOOKUP($B362&amp;"__wt",'SegEnds_Xtal_BW#'!$A:$Z,12,FALSE)</f>
        <v>54</v>
      </c>
      <c r="M362" s="1" t="str">
        <f>VLOOKUP($B362&amp;"__wt",'SegEnds_Xtal_BW#'!$A:$Z,13,FALSE)</f>
        <v>-</v>
      </c>
      <c r="N362" s="12" t="str">
        <f>VLOOKUP($B362&amp;"__wt",'SegEnds_Xtal_BW#'!$A:$Z,14,FALSE)</f>
        <v>-</v>
      </c>
      <c r="O362" s="87">
        <f>VLOOKUP($B362&amp;"__wt",'SegEnds_Xtal_BW#'!$A:$Z,15,FALSE)</f>
        <v>38</v>
      </c>
      <c r="P362" s="1">
        <f>VLOOKUP($B362&amp;"__wt",'SegEnds_Xtal_BW#'!$A:$Z,16,FALSE)</f>
        <v>64</v>
      </c>
      <c r="Q362" s="1">
        <f>VLOOKUP($B362&amp;"__wt",'SegEnds_Xtal_BW#'!$A:$Z,17,FALSE)</f>
        <v>50</v>
      </c>
      <c r="R362" s="1">
        <f>VLOOKUP($B362&amp;"__wt",'SegEnds_Xtal_BW#'!$A:$Z,18,FALSE)</f>
        <v>52</v>
      </c>
      <c r="S362" s="1">
        <f>VLOOKUP($B362&amp;"__wt",'SegEnds_Xtal_BW#'!$A:$Z,19,FALSE)</f>
        <v>36</v>
      </c>
      <c r="T362" s="1">
        <f>VLOOKUP($B362&amp;"__wt",'SegEnds_Xtal_BW#'!$A:$Z,20,FALSE)</f>
        <v>61</v>
      </c>
      <c r="U362" s="1">
        <f>VLOOKUP($B362&amp;"__wt",'SegEnds_Xtal_BW#'!$A:$Z,21,FALSE)</f>
        <v>33</v>
      </c>
      <c r="V362" s="1">
        <f>VLOOKUP($B362&amp;"__wt",'SegEnds_Xtal_BW#'!$A:$Z,22,FALSE)</f>
        <v>57</v>
      </c>
      <c r="W362" s="1">
        <f>VLOOKUP($B362&amp;"__wt",'SegEnds_Xtal_BW#'!$A:$Z,23,FALSE)</f>
        <v>33</v>
      </c>
      <c r="X362" s="1">
        <f>VLOOKUP($B362&amp;"__wt",'SegEnds_Xtal_BW#'!$A:$Z,24,FALSE)</f>
        <v>64</v>
      </c>
      <c r="Y362" s="1">
        <f>VLOOKUP($B362&amp;"__wt",'SegEnds_Xtal_BW#'!$A:$Z,25,FALSE)</f>
        <v>46</v>
      </c>
      <c r="Z362" s="1">
        <f>VLOOKUP($B362&amp;"__wt",'SegEnds_Xtal_BW#'!$A:$Z,26,FALSE)</f>
        <v>57</v>
      </c>
      <c r="AA362" s="27" t="str">
        <f>VLOOKUP(A362,Classification!A:B,2,FALSE)</f>
        <v>C</v>
      </c>
      <c r="AB362" s="1">
        <f>VLOOKUP(A362,'SegEnds_NonXtal_Prot#'!A:AL,10,FALSE)-VLOOKUP(A362,'SegEnds_NonXtal_Prot#'!A:AL,4,FALSE)</f>
        <v>31</v>
      </c>
      <c r="AC362" s="1">
        <f>VLOOKUP(A362,'SegEnds_NonXtal_Prot#'!A:AL,10,FALSE)-VLOOKUP(A362,'SegEnds_NonXtal_Prot#'!A:AL,7,FALSE)</f>
        <v>15</v>
      </c>
      <c r="AD362" s="1" t="e">
        <f>VLOOKUP(A362,'SegEnds_NonXtal_Prot#'!A:AL,13,FALSE)-VLOOKUP(A362,'SegEnds_NonXtal_Prot#'!A:AL,10,FALSE)</f>
        <v>#VALUE!</v>
      </c>
      <c r="AE362" s="1">
        <f>VLOOKUP(A362,'SegEnds_NonXtal_Prot#'!A:AL,16,FALSE)-VLOOKUP(A362,'SegEnds_NonXtal_Prot#'!A:AL,10,FALSE)</f>
        <v>44</v>
      </c>
      <c r="AF362" s="1" t="e">
        <f>VLOOKUP(A362,'SegEnds_NonXtal_Prot#'!A:AL,22,FALSE)-VLOOKUP(A362,'SegEnds_NonXtal_Prot#'!A:AL,19,FALSE)</f>
        <v>#VALUE!</v>
      </c>
      <c r="AG362" s="1">
        <f>VLOOKUP(A362,'SegEnds_NonXtal_Prot#'!A:AL,28,FALSE)-VLOOKUP(A362,'SegEnds_NonXtal_Prot#'!A:AL,25,FALSE)</f>
        <v>16</v>
      </c>
      <c r="AH362" s="1">
        <f>VLOOKUP(A362,'SegEnds_NonXtal_Prot#'!A:AL,28,FALSE)-VLOOKUP(A362,'SegEnds_NonXtal_Prot#'!A:AL,22,FALSE)</f>
        <v>65</v>
      </c>
      <c r="AI362" s="1">
        <f>VLOOKUP(A362,'SegEnds_NonXtal_Prot#'!A:AL,31,FALSE)-VLOOKUP(A362,'SegEnds_NonXtal_Prot#'!A:AL,28,FALSE)</f>
        <v>37</v>
      </c>
      <c r="AJ362" s="1">
        <f>VLOOKUP(A362,'SegEnds_NonXtal_Prot#'!A:AL,34,FALSE)-VLOOKUP(A362,'SegEnds_NonXtal_Prot#'!A:AL,31,FALSE)</f>
        <v>33</v>
      </c>
      <c r="AK362" s="1">
        <f>VLOOKUP(A362,'SegEnds_NonXtal_Prot#'!A:AL,37,FALSE)-VLOOKUP(A362,'SegEnds_NonXtal_Prot#'!A:AL,34,FALSE)</f>
        <v>19</v>
      </c>
      <c r="AL362" s="1" t="str">
        <f>IF(ISERROR(MATCH(A362,'SegEnds_Xtal_Prot#'!B:B, 0)), "NoXtal", "Xtal")</f>
        <v>NoXtal</v>
      </c>
    </row>
    <row r="363" spans="1:38" x14ac:dyDescent="0.2">
      <c r="A363" s="1" t="s">
        <v>112</v>
      </c>
      <c r="B363" s="1" t="str">
        <f>VLOOKUP(A363,Xtal_Templ!A:B,2,FALSE)</f>
        <v>grm1_human</v>
      </c>
      <c r="C363" s="5">
        <f>VLOOKUP($B363&amp;"__wt",'SegEnds_Xtal_BW#'!$A:$Z,3,FALSE)</f>
        <v>34</v>
      </c>
      <c r="D363" s="1">
        <f>VLOOKUP($B363&amp;"__wt",'SegEnds_Xtal_BW#'!$A:$Z,4,FALSE)</f>
        <v>60</v>
      </c>
      <c r="E363" s="1">
        <f>VLOOKUP($B363&amp;"__wt",'SegEnds_Xtal_BW#'!$A:$Z,5,FALSE)</f>
        <v>47</v>
      </c>
      <c r="F363" s="1">
        <f>VLOOKUP($B363&amp;"__wt",'SegEnds_Xtal_BW#'!$A:$Z,6,FALSE)</f>
        <v>53</v>
      </c>
      <c r="G363" s="1">
        <v>39</v>
      </c>
      <c r="H363" s="12">
        <f>VLOOKUP($B363&amp;"__wt",'SegEnds_Xtal_BW#'!$A:$Z,8,FALSE)</f>
        <v>61</v>
      </c>
      <c r="I363" s="1" t="str">
        <f>VLOOKUP($B363&amp;"__wt",'SegEnds_Xtal_BW#'!$A:$Z,9,FALSE)</f>
        <v>-</v>
      </c>
      <c r="J363" s="1" t="str">
        <f>VLOOKUP($B363&amp;"__wt",'SegEnds_Xtal_BW#'!$A:$Z,10,FALSE)</f>
        <v>-</v>
      </c>
      <c r="K363" s="12">
        <f>VLOOKUP($B363&amp;"__wt",'SegEnds_Xtal_BW#'!$A:$Z,11,FALSE)</f>
        <v>22</v>
      </c>
      <c r="L363" s="1">
        <f>VLOOKUP($B363&amp;"__wt",'SegEnds_Xtal_BW#'!$A:$Z,12,FALSE)</f>
        <v>54</v>
      </c>
      <c r="M363" s="1" t="str">
        <f>VLOOKUP($B363&amp;"__wt",'SegEnds_Xtal_BW#'!$A:$Z,13,FALSE)</f>
        <v>-</v>
      </c>
      <c r="N363" s="12" t="str">
        <f>VLOOKUP($B363&amp;"__wt",'SegEnds_Xtal_BW#'!$A:$Z,14,FALSE)</f>
        <v>-</v>
      </c>
      <c r="O363" s="87">
        <f>VLOOKUP($B363&amp;"__wt",'SegEnds_Xtal_BW#'!$A:$Z,15,FALSE)</f>
        <v>38</v>
      </c>
      <c r="P363" s="1">
        <f>VLOOKUP($B363&amp;"__wt",'SegEnds_Xtal_BW#'!$A:$Z,16,FALSE)</f>
        <v>64</v>
      </c>
      <c r="Q363" s="1">
        <f>VLOOKUP($B363&amp;"__wt",'SegEnds_Xtal_BW#'!$A:$Z,17,FALSE)</f>
        <v>50</v>
      </c>
      <c r="R363" s="1">
        <f>VLOOKUP($B363&amp;"__wt",'SegEnds_Xtal_BW#'!$A:$Z,18,FALSE)</f>
        <v>52</v>
      </c>
      <c r="S363" s="1">
        <f>VLOOKUP($B363&amp;"__wt",'SegEnds_Xtal_BW#'!$A:$Z,19,FALSE)</f>
        <v>36</v>
      </c>
      <c r="T363" s="1">
        <f>VLOOKUP($B363&amp;"__wt",'SegEnds_Xtal_BW#'!$A:$Z,20,FALSE)</f>
        <v>61</v>
      </c>
      <c r="U363" s="1">
        <f>VLOOKUP($B363&amp;"__wt",'SegEnds_Xtal_BW#'!$A:$Z,21,FALSE)</f>
        <v>33</v>
      </c>
      <c r="V363" s="1">
        <f>VLOOKUP($B363&amp;"__wt",'SegEnds_Xtal_BW#'!$A:$Z,22,FALSE)</f>
        <v>57</v>
      </c>
      <c r="W363" s="1">
        <f>VLOOKUP($B363&amp;"__wt",'SegEnds_Xtal_BW#'!$A:$Z,23,FALSE)</f>
        <v>33</v>
      </c>
      <c r="X363" s="1">
        <f>VLOOKUP($B363&amp;"__wt",'SegEnds_Xtal_BW#'!$A:$Z,24,FALSE)</f>
        <v>64</v>
      </c>
      <c r="Y363" s="1">
        <f>VLOOKUP($B363&amp;"__wt",'SegEnds_Xtal_BW#'!$A:$Z,25,FALSE)</f>
        <v>46</v>
      </c>
      <c r="Z363" s="1">
        <f>VLOOKUP($B363&amp;"__wt",'SegEnds_Xtal_BW#'!$A:$Z,26,FALSE)</f>
        <v>57</v>
      </c>
      <c r="AA363" s="27" t="str">
        <f>VLOOKUP(A363,Classification!A:B,2,FALSE)</f>
        <v>C</v>
      </c>
      <c r="AB363" s="1">
        <f>VLOOKUP(A363,'SegEnds_NonXtal_Prot#'!A:AL,10,FALSE)-VLOOKUP(A363,'SegEnds_NonXtal_Prot#'!A:AL,4,FALSE)</f>
        <v>33</v>
      </c>
      <c r="AC363" s="1">
        <f>VLOOKUP(A363,'SegEnds_NonXtal_Prot#'!A:AL,10,FALSE)-VLOOKUP(A363,'SegEnds_NonXtal_Prot#'!A:AL,7,FALSE)</f>
        <v>19</v>
      </c>
      <c r="AD363" s="1" t="e">
        <f>VLOOKUP(A363,'SegEnds_NonXtal_Prot#'!A:AL,13,FALSE)-VLOOKUP(A363,'SegEnds_NonXtal_Prot#'!A:AL,10,FALSE)</f>
        <v>#VALUE!</v>
      </c>
      <c r="AE363" s="1">
        <f>VLOOKUP(A363,'SegEnds_NonXtal_Prot#'!A:AL,16,FALSE)-VLOOKUP(A363,'SegEnds_NonXtal_Prot#'!A:AL,10,FALSE)</f>
        <v>44</v>
      </c>
      <c r="AF363" s="1" t="e">
        <f>VLOOKUP(A363,'SegEnds_NonXtal_Prot#'!A:AL,22,FALSE)-VLOOKUP(A363,'SegEnds_NonXtal_Prot#'!A:AL,19,FALSE)</f>
        <v>#VALUE!</v>
      </c>
      <c r="AG363" s="1">
        <f>VLOOKUP(A363,'SegEnds_NonXtal_Prot#'!A:AL,28,FALSE)-VLOOKUP(A363,'SegEnds_NonXtal_Prot#'!A:AL,25,FALSE)</f>
        <v>17</v>
      </c>
      <c r="AH363" s="1">
        <f>VLOOKUP(A363,'SegEnds_NonXtal_Prot#'!A:AL,28,FALSE)-VLOOKUP(A363,'SegEnds_NonXtal_Prot#'!A:AL,22,FALSE)</f>
        <v>55</v>
      </c>
      <c r="AI363" s="1">
        <f>VLOOKUP(A363,'SegEnds_NonXtal_Prot#'!A:AL,31,FALSE)-VLOOKUP(A363,'SegEnds_NonXtal_Prot#'!A:AL,28,FALSE)</f>
        <v>39</v>
      </c>
      <c r="AJ363" s="1">
        <f>VLOOKUP(A363,'SegEnds_NonXtal_Prot#'!A:AL,34,FALSE)-VLOOKUP(A363,'SegEnds_NonXtal_Prot#'!A:AL,31,FALSE)</f>
        <v>34</v>
      </c>
      <c r="AK363" s="1">
        <f>VLOOKUP(A363,'SegEnds_NonXtal_Prot#'!A:AL,37,FALSE)-VLOOKUP(A363,'SegEnds_NonXtal_Prot#'!A:AL,34,FALSE)</f>
        <v>20</v>
      </c>
      <c r="AL363" s="1" t="str">
        <f>IF(ISERROR(MATCH(A363,'SegEnds_Xtal_Prot#'!B:B, 0)), "NoXtal", "Xtal")</f>
        <v>NoXtal</v>
      </c>
    </row>
    <row r="364" spans="1:38" x14ac:dyDescent="0.2">
      <c r="A364" s="1" t="s">
        <v>117</v>
      </c>
      <c r="B364" s="1" t="str">
        <f>VLOOKUP(A364,Xtal_Templ!A:B,2,FALSE)</f>
        <v>grm5_human</v>
      </c>
      <c r="C364" s="5">
        <f>VLOOKUP($B364&amp;"__wt",'SegEnds_Xtal_BW#'!$A:$Z,3,FALSE)</f>
        <v>34</v>
      </c>
      <c r="D364" s="1">
        <f>VLOOKUP($B364&amp;"__wt",'SegEnds_Xtal_BW#'!$A:$Z,4,FALSE)</f>
        <v>60</v>
      </c>
      <c r="E364" s="1">
        <f>VLOOKUP($B364&amp;"__wt",'SegEnds_Xtal_BW#'!$A:$Z,5,FALSE)</f>
        <v>47</v>
      </c>
      <c r="F364" s="1">
        <f>VLOOKUP($B364&amp;"__wt",'SegEnds_Xtal_BW#'!$A:$Z,6,FALSE)</f>
        <v>53</v>
      </c>
      <c r="G364" s="1">
        <v>39</v>
      </c>
      <c r="H364" s="12">
        <f>VLOOKUP($B364&amp;"__wt",'SegEnds_Xtal_BW#'!$A:$Z,8,FALSE)</f>
        <v>61</v>
      </c>
      <c r="I364" s="1" t="str">
        <f>VLOOKUP($B364&amp;"__wt",'SegEnds_Xtal_BW#'!$A:$Z,9,FALSE)</f>
        <v>-</v>
      </c>
      <c r="J364" s="1" t="str">
        <f>VLOOKUP($B364&amp;"__wt",'SegEnds_Xtal_BW#'!$A:$Z,10,FALSE)</f>
        <v>-</v>
      </c>
      <c r="K364" s="12">
        <f>VLOOKUP($B364&amp;"__wt",'SegEnds_Xtal_BW#'!$A:$Z,11,FALSE)</f>
        <v>21</v>
      </c>
      <c r="L364" s="1">
        <f>VLOOKUP($B364&amp;"__wt",'SegEnds_Xtal_BW#'!$A:$Z,12,FALSE)</f>
        <v>54</v>
      </c>
      <c r="M364" s="1" t="str">
        <f>VLOOKUP($B364&amp;"__wt",'SegEnds_Xtal_BW#'!$A:$Z,13,FALSE)</f>
        <v>-</v>
      </c>
      <c r="N364" s="12" t="str">
        <f>VLOOKUP($B364&amp;"__wt",'SegEnds_Xtal_BW#'!$A:$Z,14,FALSE)</f>
        <v>-</v>
      </c>
      <c r="O364" s="87">
        <f>VLOOKUP($B364&amp;"__wt",'SegEnds_Xtal_BW#'!$A:$Z,15,FALSE)</f>
        <v>38</v>
      </c>
      <c r="P364" s="1">
        <f>VLOOKUP($B364&amp;"__wt",'SegEnds_Xtal_BW#'!$A:$Z,16,FALSE)</f>
        <v>64</v>
      </c>
      <c r="Q364" s="1">
        <f>VLOOKUP($B364&amp;"__wt",'SegEnds_Xtal_BW#'!$A:$Z,17,FALSE)</f>
        <v>50</v>
      </c>
      <c r="R364" s="1">
        <f>VLOOKUP($B364&amp;"__wt",'SegEnds_Xtal_BW#'!$A:$Z,18,FALSE)</f>
        <v>52</v>
      </c>
      <c r="S364" s="1">
        <f>VLOOKUP($B364&amp;"__wt",'SegEnds_Xtal_BW#'!$A:$Z,19,FALSE)</f>
        <v>36</v>
      </c>
      <c r="T364" s="1">
        <f>VLOOKUP($B364&amp;"__wt",'SegEnds_Xtal_BW#'!$A:$Z,20,FALSE)</f>
        <v>61</v>
      </c>
      <c r="U364" s="1">
        <f>VLOOKUP($B364&amp;"__wt",'SegEnds_Xtal_BW#'!$A:$Z,21,FALSE)</f>
        <v>33</v>
      </c>
      <c r="V364" s="1">
        <f>VLOOKUP($B364&amp;"__wt",'SegEnds_Xtal_BW#'!$A:$Z,22,FALSE)</f>
        <v>57</v>
      </c>
      <c r="W364" s="1">
        <f>VLOOKUP($B364&amp;"__wt",'SegEnds_Xtal_BW#'!$A:$Z,23,FALSE)</f>
        <v>33</v>
      </c>
      <c r="X364" s="1">
        <f>VLOOKUP($B364&amp;"__wt",'SegEnds_Xtal_BW#'!$A:$Z,24,FALSE)</f>
        <v>64</v>
      </c>
      <c r="Y364" s="1">
        <f>VLOOKUP($B364&amp;"__wt",'SegEnds_Xtal_BW#'!$A:$Z,25,FALSE)</f>
        <v>46</v>
      </c>
      <c r="Z364" s="1">
        <f>VLOOKUP($B364&amp;"__wt",'SegEnds_Xtal_BW#'!$A:$Z,26,FALSE)</f>
        <v>57</v>
      </c>
      <c r="AA364" s="27" t="str">
        <f>VLOOKUP(A364,Classification!A:B,2,FALSE)</f>
        <v>C</v>
      </c>
      <c r="AB364" s="1">
        <f>VLOOKUP(A364,'SegEnds_NonXtal_Prot#'!A:AL,10,FALSE)-VLOOKUP(A364,'SegEnds_NonXtal_Prot#'!A:AL,4,FALSE)</f>
        <v>31</v>
      </c>
      <c r="AC364" s="1">
        <f>VLOOKUP(A364,'SegEnds_NonXtal_Prot#'!A:AL,10,FALSE)-VLOOKUP(A364,'SegEnds_NonXtal_Prot#'!A:AL,7,FALSE)</f>
        <v>15</v>
      </c>
      <c r="AD364" s="1" t="e">
        <f>VLOOKUP(A364,'SegEnds_NonXtal_Prot#'!A:AL,13,FALSE)-VLOOKUP(A364,'SegEnds_NonXtal_Prot#'!A:AL,10,FALSE)</f>
        <v>#VALUE!</v>
      </c>
      <c r="AE364" s="1">
        <f>VLOOKUP(A364,'SegEnds_NonXtal_Prot#'!A:AL,16,FALSE)-VLOOKUP(A364,'SegEnds_NonXtal_Prot#'!A:AL,10,FALSE)</f>
        <v>44</v>
      </c>
      <c r="AF364" s="1" t="e">
        <f>VLOOKUP(A364,'SegEnds_NonXtal_Prot#'!A:AL,22,FALSE)-VLOOKUP(A364,'SegEnds_NonXtal_Prot#'!A:AL,19,FALSE)</f>
        <v>#VALUE!</v>
      </c>
      <c r="AG364" s="1">
        <f>VLOOKUP(A364,'SegEnds_NonXtal_Prot#'!A:AL,28,FALSE)-VLOOKUP(A364,'SegEnds_NonXtal_Prot#'!A:AL,25,FALSE)</f>
        <v>17</v>
      </c>
      <c r="AH364" s="1">
        <f>VLOOKUP(A364,'SegEnds_NonXtal_Prot#'!A:AL,28,FALSE)-VLOOKUP(A364,'SegEnds_NonXtal_Prot#'!A:AL,22,FALSE)</f>
        <v>56</v>
      </c>
      <c r="AI364" s="1">
        <f>VLOOKUP(A364,'SegEnds_NonXtal_Prot#'!A:AL,31,FALSE)-VLOOKUP(A364,'SegEnds_NonXtal_Prot#'!A:AL,28,FALSE)</f>
        <v>37</v>
      </c>
      <c r="AJ364" s="1">
        <f>VLOOKUP(A364,'SegEnds_NonXtal_Prot#'!A:AL,34,FALSE)-VLOOKUP(A364,'SegEnds_NonXtal_Prot#'!A:AL,31,FALSE)</f>
        <v>34</v>
      </c>
      <c r="AK364" s="1">
        <f>VLOOKUP(A364,'SegEnds_NonXtal_Prot#'!A:AL,37,FALSE)-VLOOKUP(A364,'SegEnds_NonXtal_Prot#'!A:AL,34,FALSE)</f>
        <v>19</v>
      </c>
      <c r="AL364" s="1" t="str">
        <f>IF(ISERROR(MATCH(A364,'SegEnds_Xtal_Prot#'!B:B, 0)), "NoXtal", "Xtal")</f>
        <v>NoXtal</v>
      </c>
    </row>
    <row r="365" spans="1:38" x14ac:dyDescent="0.2">
      <c r="A365" s="1" t="s">
        <v>118</v>
      </c>
      <c r="B365" s="1" t="str">
        <f>VLOOKUP(A365,Xtal_Templ!A:B,2,FALSE)</f>
        <v>grm5_human</v>
      </c>
      <c r="C365" s="5">
        <f>VLOOKUP($B365&amp;"__wt",'SegEnds_Xtal_BW#'!$A:$Z,3,FALSE)</f>
        <v>34</v>
      </c>
      <c r="D365" s="1">
        <f>VLOOKUP($B365&amp;"__wt",'SegEnds_Xtal_BW#'!$A:$Z,4,FALSE)</f>
        <v>60</v>
      </c>
      <c r="E365" s="1">
        <f>VLOOKUP($B365&amp;"__wt",'SegEnds_Xtal_BW#'!$A:$Z,5,FALSE)</f>
        <v>47</v>
      </c>
      <c r="F365" s="1">
        <f>VLOOKUP($B365&amp;"__wt",'SegEnds_Xtal_BW#'!$A:$Z,6,FALSE)</f>
        <v>53</v>
      </c>
      <c r="G365" s="1">
        <v>39</v>
      </c>
      <c r="H365" s="12">
        <f>VLOOKUP($B365&amp;"__wt",'SegEnds_Xtal_BW#'!$A:$Z,8,FALSE)</f>
        <v>61</v>
      </c>
      <c r="I365" s="1" t="str">
        <f>VLOOKUP($B365&amp;"__wt",'SegEnds_Xtal_BW#'!$A:$Z,9,FALSE)</f>
        <v>-</v>
      </c>
      <c r="J365" s="1" t="str">
        <f>VLOOKUP($B365&amp;"__wt",'SegEnds_Xtal_BW#'!$A:$Z,10,FALSE)</f>
        <v>-</v>
      </c>
      <c r="K365" s="12">
        <f>VLOOKUP($B365&amp;"__wt",'SegEnds_Xtal_BW#'!$A:$Z,11,FALSE)</f>
        <v>21</v>
      </c>
      <c r="L365" s="1">
        <f>VLOOKUP($B365&amp;"__wt",'SegEnds_Xtal_BW#'!$A:$Z,12,FALSE)</f>
        <v>54</v>
      </c>
      <c r="M365" s="1" t="str">
        <f>VLOOKUP($B365&amp;"__wt",'SegEnds_Xtal_BW#'!$A:$Z,13,FALSE)</f>
        <v>-</v>
      </c>
      <c r="N365" s="12" t="str">
        <f>VLOOKUP($B365&amp;"__wt",'SegEnds_Xtal_BW#'!$A:$Z,14,FALSE)</f>
        <v>-</v>
      </c>
      <c r="O365" s="87">
        <f>VLOOKUP($B365&amp;"__wt",'SegEnds_Xtal_BW#'!$A:$Z,15,FALSE)</f>
        <v>38</v>
      </c>
      <c r="P365" s="1">
        <f>VLOOKUP($B365&amp;"__wt",'SegEnds_Xtal_BW#'!$A:$Z,16,FALSE)</f>
        <v>64</v>
      </c>
      <c r="Q365" s="1">
        <f>VLOOKUP($B365&amp;"__wt",'SegEnds_Xtal_BW#'!$A:$Z,17,FALSE)</f>
        <v>50</v>
      </c>
      <c r="R365" s="1">
        <f>VLOOKUP($B365&amp;"__wt",'SegEnds_Xtal_BW#'!$A:$Z,18,FALSE)</f>
        <v>52</v>
      </c>
      <c r="S365" s="1">
        <f>VLOOKUP($B365&amp;"__wt",'SegEnds_Xtal_BW#'!$A:$Z,19,FALSE)</f>
        <v>36</v>
      </c>
      <c r="T365" s="1">
        <f>VLOOKUP($B365&amp;"__wt",'SegEnds_Xtal_BW#'!$A:$Z,20,FALSE)</f>
        <v>61</v>
      </c>
      <c r="U365" s="1">
        <f>VLOOKUP($B365&amp;"__wt",'SegEnds_Xtal_BW#'!$A:$Z,21,FALSE)</f>
        <v>33</v>
      </c>
      <c r="V365" s="1">
        <f>VLOOKUP($B365&amp;"__wt",'SegEnds_Xtal_BW#'!$A:$Z,22,FALSE)</f>
        <v>57</v>
      </c>
      <c r="W365" s="1">
        <f>VLOOKUP($B365&amp;"__wt",'SegEnds_Xtal_BW#'!$A:$Z,23,FALSE)</f>
        <v>33</v>
      </c>
      <c r="X365" s="1">
        <f>VLOOKUP($B365&amp;"__wt",'SegEnds_Xtal_BW#'!$A:$Z,24,FALSE)</f>
        <v>64</v>
      </c>
      <c r="Y365" s="1">
        <f>VLOOKUP($B365&amp;"__wt",'SegEnds_Xtal_BW#'!$A:$Z,25,FALSE)</f>
        <v>46</v>
      </c>
      <c r="Z365" s="1">
        <f>VLOOKUP($B365&amp;"__wt",'SegEnds_Xtal_BW#'!$A:$Z,26,FALSE)</f>
        <v>57</v>
      </c>
      <c r="AA365" s="27" t="str">
        <f>VLOOKUP(A365,Classification!A:B,2,FALSE)</f>
        <v>C</v>
      </c>
      <c r="AB365" s="1">
        <f>VLOOKUP(A365,'SegEnds_NonXtal_Prot#'!A:AL,10,FALSE)-VLOOKUP(A365,'SegEnds_NonXtal_Prot#'!A:AL,4,FALSE)</f>
        <v>31</v>
      </c>
      <c r="AC365" s="1">
        <f>VLOOKUP(A365,'SegEnds_NonXtal_Prot#'!A:AL,10,FALSE)-VLOOKUP(A365,'SegEnds_NonXtal_Prot#'!A:AL,7,FALSE)</f>
        <v>15</v>
      </c>
      <c r="AD365" s="1" t="e">
        <f>VLOOKUP(A365,'SegEnds_NonXtal_Prot#'!A:AL,13,FALSE)-VLOOKUP(A365,'SegEnds_NonXtal_Prot#'!A:AL,10,FALSE)</f>
        <v>#VALUE!</v>
      </c>
      <c r="AE365" s="1">
        <f>VLOOKUP(A365,'SegEnds_NonXtal_Prot#'!A:AL,16,FALSE)-VLOOKUP(A365,'SegEnds_NonXtal_Prot#'!A:AL,10,FALSE)</f>
        <v>44</v>
      </c>
      <c r="AF365" s="1" t="e">
        <f>VLOOKUP(A365,'SegEnds_NonXtal_Prot#'!A:AL,22,FALSE)-VLOOKUP(A365,'SegEnds_NonXtal_Prot#'!A:AL,19,FALSE)</f>
        <v>#VALUE!</v>
      </c>
      <c r="AG365" s="1">
        <f>VLOOKUP(A365,'SegEnds_NonXtal_Prot#'!A:AL,28,FALSE)-VLOOKUP(A365,'SegEnds_NonXtal_Prot#'!A:AL,25,FALSE)</f>
        <v>17</v>
      </c>
      <c r="AH365" s="1">
        <f>VLOOKUP(A365,'SegEnds_NonXtal_Prot#'!A:AL,28,FALSE)-VLOOKUP(A365,'SegEnds_NonXtal_Prot#'!A:AL,22,FALSE)</f>
        <v>56</v>
      </c>
      <c r="AI365" s="1">
        <f>VLOOKUP(A365,'SegEnds_NonXtal_Prot#'!A:AL,31,FALSE)-VLOOKUP(A365,'SegEnds_NonXtal_Prot#'!A:AL,28,FALSE)</f>
        <v>37</v>
      </c>
      <c r="AJ365" s="1">
        <f>VLOOKUP(A365,'SegEnds_NonXtal_Prot#'!A:AL,34,FALSE)-VLOOKUP(A365,'SegEnds_NonXtal_Prot#'!A:AL,31,FALSE)</f>
        <v>34</v>
      </c>
      <c r="AK365" s="1">
        <f>VLOOKUP(A365,'SegEnds_NonXtal_Prot#'!A:AL,37,FALSE)-VLOOKUP(A365,'SegEnds_NonXtal_Prot#'!A:AL,34,FALSE)</f>
        <v>19</v>
      </c>
      <c r="AL365" s="1" t="str">
        <f>IF(ISERROR(MATCH(A365,'SegEnds_Xtal_Prot#'!B:B, 0)), "NoXtal", "Xtal")</f>
        <v>NoXtal</v>
      </c>
    </row>
    <row r="366" spans="1:38" x14ac:dyDescent="0.2">
      <c r="A366" s="1" t="s">
        <v>119</v>
      </c>
      <c r="B366" s="1" t="str">
        <f>VLOOKUP(A366,Xtal_Templ!A:B,2,FALSE)</f>
        <v>grm5_human</v>
      </c>
      <c r="C366" s="5">
        <f>VLOOKUP($B366&amp;"__wt",'SegEnds_Xtal_BW#'!$A:$Z,3,FALSE)</f>
        <v>34</v>
      </c>
      <c r="D366" s="1">
        <f>VLOOKUP($B366&amp;"__wt",'SegEnds_Xtal_BW#'!$A:$Z,4,FALSE)</f>
        <v>60</v>
      </c>
      <c r="E366" s="1">
        <f>VLOOKUP($B366&amp;"__wt",'SegEnds_Xtal_BW#'!$A:$Z,5,FALSE)</f>
        <v>47</v>
      </c>
      <c r="F366" s="1">
        <f>VLOOKUP($B366&amp;"__wt",'SegEnds_Xtal_BW#'!$A:$Z,6,FALSE)</f>
        <v>53</v>
      </c>
      <c r="G366" s="1">
        <v>39</v>
      </c>
      <c r="H366" s="12">
        <f>VLOOKUP($B366&amp;"__wt",'SegEnds_Xtal_BW#'!$A:$Z,8,FALSE)</f>
        <v>61</v>
      </c>
      <c r="I366" s="1" t="str">
        <f>VLOOKUP($B366&amp;"__wt",'SegEnds_Xtal_BW#'!$A:$Z,9,FALSE)</f>
        <v>-</v>
      </c>
      <c r="J366" s="1" t="str">
        <f>VLOOKUP($B366&amp;"__wt",'SegEnds_Xtal_BW#'!$A:$Z,10,FALSE)</f>
        <v>-</v>
      </c>
      <c r="K366" s="12">
        <f>VLOOKUP($B366&amp;"__wt",'SegEnds_Xtal_BW#'!$A:$Z,11,FALSE)</f>
        <v>21</v>
      </c>
      <c r="L366" s="1">
        <f>VLOOKUP($B366&amp;"__wt",'SegEnds_Xtal_BW#'!$A:$Z,12,FALSE)</f>
        <v>54</v>
      </c>
      <c r="M366" s="1" t="str">
        <f>VLOOKUP($B366&amp;"__wt",'SegEnds_Xtal_BW#'!$A:$Z,13,FALSE)</f>
        <v>-</v>
      </c>
      <c r="N366" s="12" t="str">
        <f>VLOOKUP($B366&amp;"__wt",'SegEnds_Xtal_BW#'!$A:$Z,14,FALSE)</f>
        <v>-</v>
      </c>
      <c r="O366" s="87">
        <f>VLOOKUP($B366&amp;"__wt",'SegEnds_Xtal_BW#'!$A:$Z,15,FALSE)</f>
        <v>38</v>
      </c>
      <c r="P366" s="1">
        <f>VLOOKUP($B366&amp;"__wt",'SegEnds_Xtal_BW#'!$A:$Z,16,FALSE)</f>
        <v>64</v>
      </c>
      <c r="Q366" s="1">
        <f>VLOOKUP($B366&amp;"__wt",'SegEnds_Xtal_BW#'!$A:$Z,17,FALSE)</f>
        <v>50</v>
      </c>
      <c r="R366" s="1">
        <f>VLOOKUP($B366&amp;"__wt",'SegEnds_Xtal_BW#'!$A:$Z,18,FALSE)</f>
        <v>52</v>
      </c>
      <c r="S366" s="1">
        <f>VLOOKUP($B366&amp;"__wt",'SegEnds_Xtal_BW#'!$A:$Z,19,FALSE)</f>
        <v>36</v>
      </c>
      <c r="T366" s="1">
        <f>VLOOKUP($B366&amp;"__wt",'SegEnds_Xtal_BW#'!$A:$Z,20,FALSE)</f>
        <v>61</v>
      </c>
      <c r="U366" s="1">
        <f>VLOOKUP($B366&amp;"__wt",'SegEnds_Xtal_BW#'!$A:$Z,21,FALSE)</f>
        <v>33</v>
      </c>
      <c r="V366" s="1">
        <f>VLOOKUP($B366&amp;"__wt",'SegEnds_Xtal_BW#'!$A:$Z,22,FALSE)</f>
        <v>57</v>
      </c>
      <c r="W366" s="1">
        <f>VLOOKUP($B366&amp;"__wt",'SegEnds_Xtal_BW#'!$A:$Z,23,FALSE)</f>
        <v>33</v>
      </c>
      <c r="X366" s="1">
        <f>VLOOKUP($B366&amp;"__wt",'SegEnds_Xtal_BW#'!$A:$Z,24,FALSE)</f>
        <v>64</v>
      </c>
      <c r="Y366" s="1">
        <f>VLOOKUP($B366&amp;"__wt",'SegEnds_Xtal_BW#'!$A:$Z,25,FALSE)</f>
        <v>46</v>
      </c>
      <c r="Z366" s="1">
        <f>VLOOKUP($B366&amp;"__wt",'SegEnds_Xtal_BW#'!$A:$Z,26,FALSE)</f>
        <v>57</v>
      </c>
      <c r="AA366" s="27" t="str">
        <f>VLOOKUP(A366,Classification!A:B,2,FALSE)</f>
        <v>C</v>
      </c>
      <c r="AB366" s="1">
        <f>VLOOKUP(A366,'SegEnds_NonXtal_Prot#'!A:AL,10,FALSE)-VLOOKUP(A366,'SegEnds_NonXtal_Prot#'!A:AL,4,FALSE)</f>
        <v>31</v>
      </c>
      <c r="AC366" s="1">
        <f>VLOOKUP(A366,'SegEnds_NonXtal_Prot#'!A:AL,10,FALSE)-VLOOKUP(A366,'SegEnds_NonXtal_Prot#'!A:AL,7,FALSE)</f>
        <v>15</v>
      </c>
      <c r="AD366" s="1" t="e">
        <f>VLOOKUP(A366,'SegEnds_NonXtal_Prot#'!A:AL,13,FALSE)-VLOOKUP(A366,'SegEnds_NonXtal_Prot#'!A:AL,10,FALSE)</f>
        <v>#VALUE!</v>
      </c>
      <c r="AE366" s="1">
        <f>VLOOKUP(A366,'SegEnds_NonXtal_Prot#'!A:AL,16,FALSE)-VLOOKUP(A366,'SegEnds_NonXtal_Prot#'!A:AL,10,FALSE)</f>
        <v>44</v>
      </c>
      <c r="AF366" s="1" t="e">
        <f>VLOOKUP(A366,'SegEnds_NonXtal_Prot#'!A:AL,22,FALSE)-VLOOKUP(A366,'SegEnds_NonXtal_Prot#'!A:AL,19,FALSE)</f>
        <v>#VALUE!</v>
      </c>
      <c r="AG366" s="1">
        <f>VLOOKUP(A366,'SegEnds_NonXtal_Prot#'!A:AL,28,FALSE)-VLOOKUP(A366,'SegEnds_NonXtal_Prot#'!A:AL,25,FALSE)</f>
        <v>17</v>
      </c>
      <c r="AH366" s="1">
        <f>VLOOKUP(A366,'SegEnds_NonXtal_Prot#'!A:AL,28,FALSE)-VLOOKUP(A366,'SegEnds_NonXtal_Prot#'!A:AL,22,FALSE)</f>
        <v>56</v>
      </c>
      <c r="AI366" s="1">
        <f>VLOOKUP(A366,'SegEnds_NonXtal_Prot#'!A:AL,31,FALSE)-VLOOKUP(A366,'SegEnds_NonXtal_Prot#'!A:AL,28,FALSE)</f>
        <v>37</v>
      </c>
      <c r="AJ366" s="1">
        <f>VLOOKUP(A366,'SegEnds_NonXtal_Prot#'!A:AL,34,FALSE)-VLOOKUP(A366,'SegEnds_NonXtal_Prot#'!A:AL,31,FALSE)</f>
        <v>34</v>
      </c>
      <c r="AK366" s="1">
        <f>VLOOKUP(A366,'SegEnds_NonXtal_Prot#'!A:AL,37,FALSE)-VLOOKUP(A366,'SegEnds_NonXtal_Prot#'!A:AL,34,FALSE)</f>
        <v>19</v>
      </c>
      <c r="AL366" s="1" t="str">
        <f>IF(ISERROR(MATCH(A366,'SegEnds_Xtal_Prot#'!B:B, 0)), "NoXtal", "Xtal")</f>
        <v>NoXtal</v>
      </c>
    </row>
    <row r="367" spans="1:38" x14ac:dyDescent="0.2">
      <c r="A367" s="1" t="s">
        <v>120</v>
      </c>
      <c r="B367" s="1" t="str">
        <f>VLOOKUP(A367,Xtal_Templ!A:B,2,FALSE)</f>
        <v>grm5_human</v>
      </c>
      <c r="C367" s="5">
        <f>VLOOKUP($B367&amp;"__wt",'SegEnds_Xtal_BW#'!$A:$Z,3,FALSE)</f>
        <v>34</v>
      </c>
      <c r="D367" s="1">
        <f>VLOOKUP($B367&amp;"__wt",'SegEnds_Xtal_BW#'!$A:$Z,4,FALSE)</f>
        <v>60</v>
      </c>
      <c r="E367" s="1">
        <f>VLOOKUP($B367&amp;"__wt",'SegEnds_Xtal_BW#'!$A:$Z,5,FALSE)</f>
        <v>47</v>
      </c>
      <c r="F367" s="1">
        <f>VLOOKUP($B367&amp;"__wt",'SegEnds_Xtal_BW#'!$A:$Z,6,FALSE)</f>
        <v>53</v>
      </c>
      <c r="G367" s="1">
        <v>39</v>
      </c>
      <c r="H367" s="12">
        <f>VLOOKUP($B367&amp;"__wt",'SegEnds_Xtal_BW#'!$A:$Z,8,FALSE)</f>
        <v>61</v>
      </c>
      <c r="I367" s="1" t="str">
        <f>VLOOKUP($B367&amp;"__wt",'SegEnds_Xtal_BW#'!$A:$Z,9,FALSE)</f>
        <v>-</v>
      </c>
      <c r="J367" s="1" t="str">
        <f>VLOOKUP($B367&amp;"__wt",'SegEnds_Xtal_BW#'!$A:$Z,10,FALSE)</f>
        <v>-</v>
      </c>
      <c r="K367" s="12">
        <f>VLOOKUP($B367&amp;"__wt",'SegEnds_Xtal_BW#'!$A:$Z,11,FALSE)</f>
        <v>21</v>
      </c>
      <c r="L367" s="1">
        <f>VLOOKUP($B367&amp;"__wt",'SegEnds_Xtal_BW#'!$A:$Z,12,FALSE)</f>
        <v>54</v>
      </c>
      <c r="M367" s="1" t="str">
        <f>VLOOKUP($B367&amp;"__wt",'SegEnds_Xtal_BW#'!$A:$Z,13,FALSE)</f>
        <v>-</v>
      </c>
      <c r="N367" s="12" t="str">
        <f>VLOOKUP($B367&amp;"__wt",'SegEnds_Xtal_BW#'!$A:$Z,14,FALSE)</f>
        <v>-</v>
      </c>
      <c r="O367" s="87">
        <f>VLOOKUP($B367&amp;"__wt",'SegEnds_Xtal_BW#'!$A:$Z,15,FALSE)</f>
        <v>38</v>
      </c>
      <c r="P367" s="1">
        <f>VLOOKUP($B367&amp;"__wt",'SegEnds_Xtal_BW#'!$A:$Z,16,FALSE)</f>
        <v>64</v>
      </c>
      <c r="Q367" s="1">
        <f>VLOOKUP($B367&amp;"__wt",'SegEnds_Xtal_BW#'!$A:$Z,17,FALSE)</f>
        <v>50</v>
      </c>
      <c r="R367" s="1">
        <f>VLOOKUP($B367&amp;"__wt",'SegEnds_Xtal_BW#'!$A:$Z,18,FALSE)</f>
        <v>52</v>
      </c>
      <c r="S367" s="1">
        <f>VLOOKUP($B367&amp;"__wt",'SegEnds_Xtal_BW#'!$A:$Z,19,FALSE)</f>
        <v>36</v>
      </c>
      <c r="T367" s="1">
        <f>VLOOKUP($B367&amp;"__wt",'SegEnds_Xtal_BW#'!$A:$Z,20,FALSE)</f>
        <v>61</v>
      </c>
      <c r="U367" s="1">
        <f>VLOOKUP($B367&amp;"__wt",'SegEnds_Xtal_BW#'!$A:$Z,21,FALSE)</f>
        <v>33</v>
      </c>
      <c r="V367" s="1">
        <f>VLOOKUP($B367&amp;"__wt",'SegEnds_Xtal_BW#'!$A:$Z,22,FALSE)</f>
        <v>57</v>
      </c>
      <c r="W367" s="1">
        <f>VLOOKUP($B367&amp;"__wt",'SegEnds_Xtal_BW#'!$A:$Z,23,FALSE)</f>
        <v>33</v>
      </c>
      <c r="X367" s="1">
        <f>VLOOKUP($B367&amp;"__wt",'SegEnds_Xtal_BW#'!$A:$Z,24,FALSE)</f>
        <v>64</v>
      </c>
      <c r="Y367" s="1">
        <f>VLOOKUP($B367&amp;"__wt",'SegEnds_Xtal_BW#'!$A:$Z,25,FALSE)</f>
        <v>46</v>
      </c>
      <c r="Z367" s="1">
        <f>VLOOKUP($B367&amp;"__wt",'SegEnds_Xtal_BW#'!$A:$Z,26,FALSE)</f>
        <v>57</v>
      </c>
      <c r="AA367" s="27" t="str">
        <f>VLOOKUP(A367,Classification!A:B,2,FALSE)</f>
        <v>C</v>
      </c>
      <c r="AB367" s="1">
        <f>VLOOKUP(A367,'SegEnds_NonXtal_Prot#'!A:AL,10,FALSE)-VLOOKUP(A367,'SegEnds_NonXtal_Prot#'!A:AL,4,FALSE)</f>
        <v>31</v>
      </c>
      <c r="AC367" s="1">
        <f>VLOOKUP(A367,'SegEnds_NonXtal_Prot#'!A:AL,10,FALSE)-VLOOKUP(A367,'SegEnds_NonXtal_Prot#'!A:AL,7,FALSE)</f>
        <v>15</v>
      </c>
      <c r="AD367" s="1" t="e">
        <f>VLOOKUP(A367,'SegEnds_NonXtal_Prot#'!A:AL,13,FALSE)-VLOOKUP(A367,'SegEnds_NonXtal_Prot#'!A:AL,10,FALSE)</f>
        <v>#VALUE!</v>
      </c>
      <c r="AE367" s="1">
        <f>VLOOKUP(A367,'SegEnds_NonXtal_Prot#'!A:AL,16,FALSE)-VLOOKUP(A367,'SegEnds_NonXtal_Prot#'!A:AL,10,FALSE)</f>
        <v>44</v>
      </c>
      <c r="AF367" s="1" t="e">
        <f>VLOOKUP(A367,'SegEnds_NonXtal_Prot#'!A:AL,22,FALSE)-VLOOKUP(A367,'SegEnds_NonXtal_Prot#'!A:AL,19,FALSE)</f>
        <v>#VALUE!</v>
      </c>
      <c r="AG367" s="1">
        <f>VLOOKUP(A367,'SegEnds_NonXtal_Prot#'!A:AL,28,FALSE)-VLOOKUP(A367,'SegEnds_NonXtal_Prot#'!A:AL,25,FALSE)</f>
        <v>17</v>
      </c>
      <c r="AH367" s="1">
        <f>VLOOKUP(A367,'SegEnds_NonXtal_Prot#'!A:AL,28,FALSE)-VLOOKUP(A367,'SegEnds_NonXtal_Prot#'!A:AL,22,FALSE)</f>
        <v>56</v>
      </c>
      <c r="AI367" s="1">
        <f>VLOOKUP(A367,'SegEnds_NonXtal_Prot#'!A:AL,31,FALSE)-VLOOKUP(A367,'SegEnds_NonXtal_Prot#'!A:AL,28,FALSE)</f>
        <v>37</v>
      </c>
      <c r="AJ367" s="1">
        <f>VLOOKUP(A367,'SegEnds_NonXtal_Prot#'!A:AL,34,FALSE)-VLOOKUP(A367,'SegEnds_NonXtal_Prot#'!A:AL,31,FALSE)</f>
        <v>34</v>
      </c>
      <c r="AK367" s="1">
        <f>VLOOKUP(A367,'SegEnds_NonXtal_Prot#'!A:AL,37,FALSE)-VLOOKUP(A367,'SegEnds_NonXtal_Prot#'!A:AL,34,FALSE)</f>
        <v>19</v>
      </c>
      <c r="AL367" s="1" t="str">
        <f>IF(ISERROR(MATCH(A367,'SegEnds_Xtal_Prot#'!B:B, 0)), "NoXtal", "Xtal")</f>
        <v>NoXtal</v>
      </c>
    </row>
    <row r="368" spans="1:38" x14ac:dyDescent="0.2">
      <c r="A368" s="4" t="s">
        <v>111</v>
      </c>
      <c r="B368" s="4" t="str">
        <f>VLOOKUP(A368,Xtal_Templ!A:B,2,FALSE)</f>
        <v>grm1_human</v>
      </c>
      <c r="C368" s="5">
        <f>VLOOKUP($B368&amp;"__wt",'SegEnds_Xtal_BW#'!$A:$Z,3,FALSE)</f>
        <v>34</v>
      </c>
      <c r="D368" s="4">
        <f>VLOOKUP($B368&amp;"__wt",'SegEnds_Xtal_BW#'!$A:$Z,4,FALSE)</f>
        <v>60</v>
      </c>
      <c r="E368" s="4">
        <f>VLOOKUP($B368&amp;"__wt",'SegEnds_Xtal_BW#'!$A:$Z,5,FALSE)</f>
        <v>47</v>
      </c>
      <c r="F368" s="4">
        <f>VLOOKUP($B368&amp;"__wt",'SegEnds_Xtal_BW#'!$A:$Z,6,FALSE)</f>
        <v>53</v>
      </c>
      <c r="G368" s="4">
        <v>39</v>
      </c>
      <c r="H368" s="11">
        <f>VLOOKUP($B368&amp;"__wt",'SegEnds_Xtal_BW#'!$A:$Z,8,FALSE)</f>
        <v>61</v>
      </c>
      <c r="I368" s="4" t="str">
        <f>VLOOKUP($B368&amp;"__wt",'SegEnds_Xtal_BW#'!$A:$Z,9,FALSE)</f>
        <v>-</v>
      </c>
      <c r="J368" s="4" t="str">
        <f>VLOOKUP($B368&amp;"__wt",'SegEnds_Xtal_BW#'!$A:$Z,10,FALSE)</f>
        <v>-</v>
      </c>
      <c r="K368" s="11">
        <f>VLOOKUP($B368&amp;"__wt",'SegEnds_Xtal_BW#'!$A:$Z,11,FALSE)</f>
        <v>22</v>
      </c>
      <c r="L368" s="4">
        <f>VLOOKUP($B368&amp;"__wt",'SegEnds_Xtal_BW#'!$A:$Z,12,FALSE)</f>
        <v>54</v>
      </c>
      <c r="M368" s="4" t="str">
        <f>VLOOKUP($B368&amp;"__wt",'SegEnds_Xtal_BW#'!$A:$Z,13,FALSE)</f>
        <v>-</v>
      </c>
      <c r="N368" s="11" t="str">
        <f>VLOOKUP($B368&amp;"__wt",'SegEnds_Xtal_BW#'!$A:$Z,14,FALSE)</f>
        <v>-</v>
      </c>
      <c r="O368" s="88">
        <f>VLOOKUP($B368&amp;"__wt",'SegEnds_Xtal_BW#'!$A:$Z,15,FALSE)</f>
        <v>38</v>
      </c>
      <c r="P368" s="4">
        <f>VLOOKUP($B368&amp;"__wt",'SegEnds_Xtal_BW#'!$A:$Z,16,FALSE)</f>
        <v>64</v>
      </c>
      <c r="Q368" s="4">
        <f>VLOOKUP($B368&amp;"__wt",'SegEnds_Xtal_BW#'!$A:$Z,17,FALSE)</f>
        <v>50</v>
      </c>
      <c r="R368" s="4">
        <f>VLOOKUP($B368&amp;"__wt",'SegEnds_Xtal_BW#'!$A:$Z,18,FALSE)</f>
        <v>52</v>
      </c>
      <c r="S368" s="4">
        <f>VLOOKUP($B368&amp;"__wt",'SegEnds_Xtal_BW#'!$A:$Z,19,FALSE)</f>
        <v>36</v>
      </c>
      <c r="T368" s="4">
        <f>VLOOKUP($B368&amp;"__wt",'SegEnds_Xtal_BW#'!$A:$Z,20,FALSE)</f>
        <v>61</v>
      </c>
      <c r="U368" s="4">
        <f>VLOOKUP($B368&amp;"__wt",'SegEnds_Xtal_BW#'!$A:$Z,21,FALSE)</f>
        <v>33</v>
      </c>
      <c r="V368" s="4">
        <f>VLOOKUP($B368&amp;"__wt",'SegEnds_Xtal_BW#'!$A:$Z,22,FALSE)</f>
        <v>57</v>
      </c>
      <c r="W368" s="4">
        <f>VLOOKUP($B368&amp;"__wt",'SegEnds_Xtal_BW#'!$A:$Z,23,FALSE)</f>
        <v>33</v>
      </c>
      <c r="X368" s="4">
        <f>VLOOKUP($B368&amp;"__wt",'SegEnds_Xtal_BW#'!$A:$Z,24,FALSE)</f>
        <v>64</v>
      </c>
      <c r="Y368" s="4">
        <f>VLOOKUP($B368&amp;"__wt",'SegEnds_Xtal_BW#'!$A:$Z,25,FALSE)</f>
        <v>46</v>
      </c>
      <c r="Z368" s="4">
        <f>VLOOKUP($B368&amp;"__wt",'SegEnds_Xtal_BW#'!$A:$Z,26,FALSE)</f>
        <v>57</v>
      </c>
      <c r="AA368" s="27" t="str">
        <f>VLOOKUP(A368,Classification!A:B,2,FALSE)</f>
        <v>C</v>
      </c>
      <c r="AB368" s="1">
        <f>VLOOKUP(A368,'SegEnds_NonXtal_Prot#'!A:AL,10,FALSE)-VLOOKUP(A368,'SegEnds_NonXtal_Prot#'!A:AL,4,FALSE)</f>
        <v>33</v>
      </c>
      <c r="AC368" s="4">
        <f>VLOOKUP(A368,'SegEnds_NonXtal_Prot#'!A:AL,10,FALSE)-VLOOKUP(A368,'SegEnds_NonXtal_Prot#'!A:AL,7,FALSE)</f>
        <v>19</v>
      </c>
      <c r="AD368" s="4" t="e">
        <f>VLOOKUP(A368,'SegEnds_NonXtal_Prot#'!A:AL,13,FALSE)-VLOOKUP(A368,'SegEnds_NonXtal_Prot#'!A:AL,10,FALSE)</f>
        <v>#VALUE!</v>
      </c>
      <c r="AE368" s="4">
        <f>VLOOKUP(A368,'SegEnds_NonXtal_Prot#'!A:AL,16,FALSE)-VLOOKUP(A368,'SegEnds_NonXtal_Prot#'!A:AL,10,FALSE)</f>
        <v>44</v>
      </c>
      <c r="AF368" s="1" t="e">
        <f>VLOOKUP(A368,'SegEnds_NonXtal_Prot#'!A:AL,22,FALSE)-VLOOKUP(A368,'SegEnds_NonXtal_Prot#'!A:AL,19,FALSE)</f>
        <v>#VALUE!</v>
      </c>
      <c r="AG368" s="4">
        <f>VLOOKUP(A368,'SegEnds_NonXtal_Prot#'!A:AL,28,FALSE)-VLOOKUP(A368,'SegEnds_NonXtal_Prot#'!A:AL,25,FALSE)</f>
        <v>17</v>
      </c>
      <c r="AH368" s="1">
        <f>VLOOKUP(A368,'SegEnds_NonXtal_Prot#'!A:AL,28,FALSE)-VLOOKUP(A368,'SegEnds_NonXtal_Prot#'!A:AL,22,FALSE)</f>
        <v>40</v>
      </c>
      <c r="AI368" s="4">
        <f>VLOOKUP(A368,'SegEnds_NonXtal_Prot#'!A:AL,31,FALSE)-VLOOKUP(A368,'SegEnds_NonXtal_Prot#'!A:AL,28,FALSE)</f>
        <v>39</v>
      </c>
      <c r="AJ368" s="4">
        <f>VLOOKUP(A368,'SegEnds_NonXtal_Prot#'!A:AL,34,FALSE)-VLOOKUP(A368,'SegEnds_NonXtal_Prot#'!A:AL,31,FALSE)</f>
        <v>35</v>
      </c>
      <c r="AK368" s="1">
        <f>VLOOKUP(A368,'SegEnds_NonXtal_Prot#'!A:AL,37,FALSE)-VLOOKUP(A368,'SegEnds_NonXtal_Prot#'!A:AL,34,FALSE)</f>
        <v>20</v>
      </c>
      <c r="AL368" s="1" t="str">
        <f>IF(ISERROR(MATCH(A368,'SegEnds_Xtal_Prot#'!B:B, 0)), "NoXtal", "Xtal")</f>
        <v>NoXtal</v>
      </c>
    </row>
    <row r="369" spans="1:38" x14ac:dyDescent="0.2">
      <c r="A369" s="4" t="s">
        <v>113</v>
      </c>
      <c r="B369" s="4" t="str">
        <f>VLOOKUP(A369,Xtal_Templ!A:B,2,FALSE)</f>
        <v>grm1_human</v>
      </c>
      <c r="C369" s="5">
        <f>VLOOKUP($B369&amp;"__wt",'SegEnds_Xtal_BW#'!$A:$Z,3,FALSE)</f>
        <v>34</v>
      </c>
      <c r="D369" s="4">
        <f>VLOOKUP($B369&amp;"__wt",'SegEnds_Xtal_BW#'!$A:$Z,4,FALSE)</f>
        <v>60</v>
      </c>
      <c r="E369" s="4">
        <f>VLOOKUP($B369&amp;"__wt",'SegEnds_Xtal_BW#'!$A:$Z,5,FALSE)</f>
        <v>47</v>
      </c>
      <c r="F369" s="4">
        <f>VLOOKUP($B369&amp;"__wt",'SegEnds_Xtal_BW#'!$A:$Z,6,FALSE)</f>
        <v>53</v>
      </c>
      <c r="G369" s="4">
        <v>39</v>
      </c>
      <c r="H369" s="11">
        <f>VLOOKUP($B369&amp;"__wt",'SegEnds_Xtal_BW#'!$A:$Z,8,FALSE)</f>
        <v>61</v>
      </c>
      <c r="I369" s="4" t="str">
        <f>VLOOKUP($B369&amp;"__wt",'SegEnds_Xtal_BW#'!$A:$Z,9,FALSE)</f>
        <v>-</v>
      </c>
      <c r="J369" s="4" t="str">
        <f>VLOOKUP($B369&amp;"__wt",'SegEnds_Xtal_BW#'!$A:$Z,10,FALSE)</f>
        <v>-</v>
      </c>
      <c r="K369" s="11">
        <f>VLOOKUP($B369&amp;"__wt",'SegEnds_Xtal_BW#'!$A:$Z,11,FALSE)</f>
        <v>22</v>
      </c>
      <c r="L369" s="4">
        <f>VLOOKUP($B369&amp;"__wt",'SegEnds_Xtal_BW#'!$A:$Z,12,FALSE)</f>
        <v>54</v>
      </c>
      <c r="M369" s="4" t="str">
        <f>VLOOKUP($B369&amp;"__wt",'SegEnds_Xtal_BW#'!$A:$Z,13,FALSE)</f>
        <v>-</v>
      </c>
      <c r="N369" s="11" t="str">
        <f>VLOOKUP($B369&amp;"__wt",'SegEnds_Xtal_BW#'!$A:$Z,14,FALSE)</f>
        <v>-</v>
      </c>
      <c r="O369" s="88">
        <f>VLOOKUP($B369&amp;"__wt",'SegEnds_Xtal_BW#'!$A:$Z,15,FALSE)</f>
        <v>38</v>
      </c>
      <c r="P369" s="4">
        <f>VLOOKUP($B369&amp;"__wt",'SegEnds_Xtal_BW#'!$A:$Z,16,FALSE)</f>
        <v>64</v>
      </c>
      <c r="Q369" s="4">
        <f>VLOOKUP($B369&amp;"__wt",'SegEnds_Xtal_BW#'!$A:$Z,17,FALSE)</f>
        <v>50</v>
      </c>
      <c r="R369" s="4">
        <f>VLOOKUP($B369&amp;"__wt",'SegEnds_Xtal_BW#'!$A:$Z,18,FALSE)</f>
        <v>52</v>
      </c>
      <c r="S369" s="4">
        <f>VLOOKUP($B369&amp;"__wt",'SegEnds_Xtal_BW#'!$A:$Z,19,FALSE)</f>
        <v>36</v>
      </c>
      <c r="T369" s="4">
        <f>VLOOKUP($B369&amp;"__wt",'SegEnds_Xtal_BW#'!$A:$Z,20,FALSE)</f>
        <v>61</v>
      </c>
      <c r="U369" s="4">
        <f>VLOOKUP($B369&amp;"__wt",'SegEnds_Xtal_BW#'!$A:$Z,21,FALSE)</f>
        <v>33</v>
      </c>
      <c r="V369" s="4">
        <f>VLOOKUP($B369&amp;"__wt",'SegEnds_Xtal_BW#'!$A:$Z,22,FALSE)</f>
        <v>57</v>
      </c>
      <c r="W369" s="4">
        <f>VLOOKUP($B369&amp;"__wt",'SegEnds_Xtal_BW#'!$A:$Z,23,FALSE)</f>
        <v>33</v>
      </c>
      <c r="X369" s="4">
        <f>VLOOKUP($B369&amp;"__wt",'SegEnds_Xtal_BW#'!$A:$Z,24,FALSE)</f>
        <v>64</v>
      </c>
      <c r="Y369" s="4">
        <f>VLOOKUP($B369&amp;"__wt",'SegEnds_Xtal_BW#'!$A:$Z,25,FALSE)</f>
        <v>46</v>
      </c>
      <c r="Z369" s="4">
        <f>VLOOKUP($B369&amp;"__wt",'SegEnds_Xtal_BW#'!$A:$Z,26,FALSE)</f>
        <v>57</v>
      </c>
      <c r="AA369" s="27" t="str">
        <f>VLOOKUP(A369,Classification!A:B,2,FALSE)</f>
        <v>C</v>
      </c>
      <c r="AB369" s="1">
        <f>VLOOKUP(A369,'SegEnds_NonXtal_Prot#'!A:AL,10,FALSE)-VLOOKUP(A369,'SegEnds_NonXtal_Prot#'!A:AL,4,FALSE)</f>
        <v>33</v>
      </c>
      <c r="AC369" s="4">
        <f>VLOOKUP(A369,'SegEnds_NonXtal_Prot#'!A:AL,10,FALSE)-VLOOKUP(A369,'SegEnds_NonXtal_Prot#'!A:AL,7,FALSE)</f>
        <v>19</v>
      </c>
      <c r="AD369" s="4" t="e">
        <f>VLOOKUP(A369,'SegEnds_NonXtal_Prot#'!A:AL,13,FALSE)-VLOOKUP(A369,'SegEnds_NonXtal_Prot#'!A:AL,10,FALSE)</f>
        <v>#VALUE!</v>
      </c>
      <c r="AE369" s="4">
        <f>VLOOKUP(A369,'SegEnds_NonXtal_Prot#'!A:AL,16,FALSE)-VLOOKUP(A369,'SegEnds_NonXtal_Prot#'!A:AL,10,FALSE)</f>
        <v>44</v>
      </c>
      <c r="AF369" s="1" t="e">
        <f>VLOOKUP(A369,'SegEnds_NonXtal_Prot#'!A:AL,22,FALSE)-VLOOKUP(A369,'SegEnds_NonXtal_Prot#'!A:AL,19,FALSE)</f>
        <v>#VALUE!</v>
      </c>
      <c r="AG369" s="4">
        <f>VLOOKUP(A369,'SegEnds_NonXtal_Prot#'!A:AL,28,FALSE)-VLOOKUP(A369,'SegEnds_NonXtal_Prot#'!A:AL,25,FALSE)</f>
        <v>16</v>
      </c>
      <c r="AH369" s="1">
        <f>VLOOKUP(A369,'SegEnds_NonXtal_Prot#'!A:AL,28,FALSE)-VLOOKUP(A369,'SegEnds_NonXtal_Prot#'!A:AL,22,FALSE)</f>
        <v>43</v>
      </c>
      <c r="AI369" s="4">
        <f>VLOOKUP(A369,'SegEnds_NonXtal_Prot#'!A:AL,31,FALSE)-VLOOKUP(A369,'SegEnds_NonXtal_Prot#'!A:AL,28,FALSE)</f>
        <v>39</v>
      </c>
      <c r="AJ369" s="4">
        <f>VLOOKUP(A369,'SegEnds_NonXtal_Prot#'!A:AL,34,FALSE)-VLOOKUP(A369,'SegEnds_NonXtal_Prot#'!A:AL,31,FALSE)</f>
        <v>35</v>
      </c>
      <c r="AK369" s="1">
        <f>VLOOKUP(A369,'SegEnds_NonXtal_Prot#'!A:AL,37,FALSE)-VLOOKUP(A369,'SegEnds_NonXtal_Prot#'!A:AL,34,FALSE)</f>
        <v>21</v>
      </c>
      <c r="AL369" s="1" t="str">
        <f>IF(ISERROR(MATCH(A369,'SegEnds_Xtal_Prot#'!B:B, 0)), "NoXtal", "Xtal")</f>
        <v>NoXtal</v>
      </c>
    </row>
    <row r="370" spans="1:38" x14ac:dyDescent="0.2">
      <c r="A370" s="1" t="s">
        <v>450</v>
      </c>
      <c r="B370" s="1" t="str">
        <f>VLOOKUP(A370,Xtal_Templ!A:B,2,FALSE)</f>
        <v>fzd4_human</v>
      </c>
      <c r="C370" s="5">
        <f>VLOOKUP($B370&amp;"__wt",'SegEnds_Xtal_BW#'!$A:$Z,3,FALSE)</f>
        <v>28</v>
      </c>
      <c r="D370" s="1">
        <f>VLOOKUP($B370&amp;"__wt",'SegEnds_Xtal_BW#'!$A:$Z,4,FALSE)</f>
        <v>60</v>
      </c>
      <c r="E370" s="1">
        <f>VLOOKUP($B370&amp;"__wt",'SegEnds_Xtal_BW#'!$A:$Z,5,FALSE)</f>
        <v>47</v>
      </c>
      <c r="F370" s="1">
        <f>VLOOKUP($B370&amp;"__wt",'SegEnds_Xtal_BW#'!$A:$Z,6,FALSE)</f>
        <v>51</v>
      </c>
      <c r="G370" s="1">
        <v>39</v>
      </c>
      <c r="H370" s="12">
        <f>VLOOKUP($B370&amp;"__wt",'SegEnds_Xtal_BW#'!$A:$Z,8,FALSE)</f>
        <v>66</v>
      </c>
      <c r="I370" s="1" t="str">
        <f>VLOOKUP($B370&amp;"__wt",'SegEnds_Xtal_BW#'!$A:$Z,9,FALSE)</f>
        <v>-</v>
      </c>
      <c r="J370" s="1" t="str">
        <f>VLOOKUP($B370&amp;"__wt",'SegEnds_Xtal_BW#'!$A:$Z,10,FALSE)</f>
        <v>-</v>
      </c>
      <c r="K370" s="12">
        <f>VLOOKUP($B370&amp;"__wt",'SegEnds_Xtal_BW#'!$A:$Z,11,FALSE)</f>
        <v>22</v>
      </c>
      <c r="L370" s="1">
        <f>VLOOKUP($B370&amp;"__wt",'SegEnds_Xtal_BW#'!$A:$Z,12,FALSE)</f>
        <v>55</v>
      </c>
      <c r="M370" s="1" t="str">
        <f>VLOOKUP($B370&amp;"__wt",'SegEnds_Xtal_BW#'!$A:$Z,13,FALSE)</f>
        <v>-</v>
      </c>
      <c r="N370" s="12" t="str">
        <f>VLOOKUP($B370&amp;"__wt",'SegEnds_Xtal_BW#'!$A:$Z,14,FALSE)</f>
        <v>-</v>
      </c>
      <c r="O370" s="87">
        <f>VLOOKUP($B370&amp;"__wt",'SegEnds_Xtal_BW#'!$A:$Z,15,FALSE)</f>
        <v>41</v>
      </c>
      <c r="P370" s="1">
        <f>VLOOKUP($B370&amp;"__wt",'SegEnds_Xtal_BW#'!$A:$Z,16,FALSE)</f>
        <v>64</v>
      </c>
      <c r="Q370" s="1">
        <f>VLOOKUP($B370&amp;"__wt",'SegEnds_Xtal_BW#'!$A:$Z,17,FALSE)</f>
        <v>50</v>
      </c>
      <c r="R370" s="1">
        <f>VLOOKUP($B370&amp;"__wt",'SegEnds_Xtal_BW#'!$A:$Z,18,FALSE)</f>
        <v>52</v>
      </c>
      <c r="S370" s="1">
        <f>VLOOKUP($B370&amp;"__wt",'SegEnds_Xtal_BW#'!$A:$Z,19,FALSE)</f>
        <v>35</v>
      </c>
      <c r="T370" s="1">
        <f>VLOOKUP($B370&amp;"__wt",'SegEnds_Xtal_BW#'!$A:$Z,20,FALSE)</f>
        <v>72</v>
      </c>
      <c r="U370" s="1">
        <f>VLOOKUP($B370&amp;"__wt",'SegEnds_Xtal_BW#'!$A:$Z,21,FALSE)</f>
        <v>28</v>
      </c>
      <c r="V370" s="1">
        <f>VLOOKUP($B370&amp;"__wt",'SegEnds_Xtal_BW#'!$A:$Z,22,FALSE)</f>
        <v>58</v>
      </c>
      <c r="W370" s="1">
        <f>VLOOKUP($B370&amp;"__wt",'SegEnds_Xtal_BW#'!$A:$Z,23,FALSE)</f>
        <v>34</v>
      </c>
      <c r="X370" s="1">
        <f>VLOOKUP($B370&amp;"__wt",'SegEnds_Xtal_BW#'!$A:$Z,24,FALSE)</f>
        <v>57</v>
      </c>
      <c r="Y370" s="1">
        <f>VLOOKUP($B370&amp;"__wt",'SegEnds_Xtal_BW#'!$A:$Z,25,FALSE)</f>
        <v>47</v>
      </c>
      <c r="Z370" s="1">
        <f>VLOOKUP($B370&amp;"__wt",'SegEnds_Xtal_BW#'!$A:$Z,26,FALSE)</f>
        <v>62</v>
      </c>
      <c r="AA370" s="27" t="str">
        <f>VLOOKUP(A370,Classification!A:B,2,FALSE)</f>
        <v>F</v>
      </c>
      <c r="AB370" s="1">
        <f>VLOOKUP(A370,'SegEnds_NonXtal_Prot#'!A:AL,10,FALSE)-VLOOKUP(A370,'SegEnds_NonXtal_Prot#'!A:AL,4,FALSE)</f>
        <v>26</v>
      </c>
      <c r="AC370" s="1">
        <f>VLOOKUP(A370,'SegEnds_NonXtal_Prot#'!A:AL,10,FALSE)-VLOOKUP(A370,'SegEnds_NonXtal_Prot#'!A:AL,7,FALSE)</f>
        <v>12</v>
      </c>
      <c r="AD370" s="1" t="e">
        <f>VLOOKUP(A370,'SegEnds_NonXtal_Prot#'!A:AL,13,FALSE)-VLOOKUP(A370,'SegEnds_NonXtal_Prot#'!A:AL,10,FALSE)</f>
        <v>#VALUE!</v>
      </c>
      <c r="AE370" s="1">
        <f>VLOOKUP(A370,'SegEnds_NonXtal_Prot#'!A:AL,16,FALSE)-VLOOKUP(A370,'SegEnds_NonXtal_Prot#'!A:AL,10,FALSE)</f>
        <v>67</v>
      </c>
      <c r="AF370" s="1" t="e">
        <f>VLOOKUP(A370,'SegEnds_NonXtal_Prot#'!A:AL,22,FALSE)-VLOOKUP(A370,'SegEnds_NonXtal_Prot#'!A:AL,19,FALSE)</f>
        <v>#VALUE!</v>
      </c>
      <c r="AG370" s="1">
        <f>VLOOKUP(A370,'SegEnds_NonXtal_Prot#'!A:AL,28,FALSE)-VLOOKUP(A370,'SegEnds_NonXtal_Prot#'!A:AL,25,FALSE)</f>
        <v>21</v>
      </c>
      <c r="AH370" s="1">
        <f>VLOOKUP(A370,'SegEnds_NonXtal_Prot#'!A:AL,28,FALSE)-VLOOKUP(A370,'SegEnds_NonXtal_Prot#'!A:AL,22,FALSE)</f>
        <v>46</v>
      </c>
      <c r="AI370" s="1">
        <f>VLOOKUP(A370,'SegEnds_NonXtal_Prot#'!A:AL,31,FALSE)-VLOOKUP(A370,'SegEnds_NonXtal_Prot#'!A:AL,28,FALSE)</f>
        <v>55</v>
      </c>
      <c r="AJ370" s="1">
        <f>VLOOKUP(A370,'SegEnds_NonXtal_Prot#'!A:AL,34,FALSE)-VLOOKUP(A370,'SegEnds_NonXtal_Prot#'!A:AL,31,FALSE)</f>
        <v>36</v>
      </c>
      <c r="AK370" s="1">
        <f>VLOOKUP(A370,'SegEnds_NonXtal_Prot#'!A:AL,37,FALSE)-VLOOKUP(A370,'SegEnds_NonXtal_Prot#'!A:AL,34,FALSE)</f>
        <v>11</v>
      </c>
      <c r="AL370" s="1" t="str">
        <f>IF(ISERROR(MATCH(A370,'SegEnds_Xtal_Prot#'!B:B, 0)), "NoXtal", "Xtal")</f>
        <v>Xtal</v>
      </c>
    </row>
    <row r="371" spans="1:38" x14ac:dyDescent="0.2">
      <c r="A371" s="1" t="s">
        <v>451</v>
      </c>
      <c r="B371" s="1" t="str">
        <f>VLOOKUP(A371,Xtal_Templ!A:B,2,FALSE)</f>
        <v>fzd4_human</v>
      </c>
      <c r="C371" s="5">
        <f>VLOOKUP($B371&amp;"__wt",'SegEnds_Xtal_BW#'!$A:$Z,3,FALSE)</f>
        <v>28</v>
      </c>
      <c r="D371" s="1">
        <f>VLOOKUP($B371&amp;"__wt",'SegEnds_Xtal_BW#'!$A:$Z,4,FALSE)</f>
        <v>60</v>
      </c>
      <c r="E371" s="1">
        <f>VLOOKUP($B371&amp;"__wt",'SegEnds_Xtal_BW#'!$A:$Z,5,FALSE)</f>
        <v>47</v>
      </c>
      <c r="F371" s="1">
        <f>VLOOKUP($B371&amp;"__wt",'SegEnds_Xtal_BW#'!$A:$Z,6,FALSE)</f>
        <v>51</v>
      </c>
      <c r="G371" s="1">
        <v>39</v>
      </c>
      <c r="H371" s="12">
        <f>VLOOKUP($B371&amp;"__wt",'SegEnds_Xtal_BW#'!$A:$Z,8,FALSE)</f>
        <v>66</v>
      </c>
      <c r="I371" s="1" t="str">
        <f>VLOOKUP($B371&amp;"__wt",'SegEnds_Xtal_BW#'!$A:$Z,9,FALSE)</f>
        <v>-</v>
      </c>
      <c r="J371" s="1" t="str">
        <f>VLOOKUP($B371&amp;"__wt",'SegEnds_Xtal_BW#'!$A:$Z,10,FALSE)</f>
        <v>-</v>
      </c>
      <c r="K371" s="12">
        <f>VLOOKUP($B371&amp;"__wt",'SegEnds_Xtal_BW#'!$A:$Z,11,FALSE)</f>
        <v>22</v>
      </c>
      <c r="L371" s="1">
        <f>VLOOKUP($B371&amp;"__wt",'SegEnds_Xtal_BW#'!$A:$Z,12,FALSE)</f>
        <v>55</v>
      </c>
      <c r="M371" s="1" t="str">
        <f>VLOOKUP($B371&amp;"__wt",'SegEnds_Xtal_BW#'!$A:$Z,13,FALSE)</f>
        <v>-</v>
      </c>
      <c r="N371" s="12" t="str">
        <f>VLOOKUP($B371&amp;"__wt",'SegEnds_Xtal_BW#'!$A:$Z,14,FALSE)</f>
        <v>-</v>
      </c>
      <c r="O371" s="87">
        <f>VLOOKUP($B371&amp;"__wt",'SegEnds_Xtal_BW#'!$A:$Z,15,FALSE)</f>
        <v>41</v>
      </c>
      <c r="P371" s="1">
        <f>VLOOKUP($B371&amp;"__wt",'SegEnds_Xtal_BW#'!$A:$Z,16,FALSE)</f>
        <v>64</v>
      </c>
      <c r="Q371" s="1">
        <f>VLOOKUP($B371&amp;"__wt",'SegEnds_Xtal_BW#'!$A:$Z,17,FALSE)</f>
        <v>50</v>
      </c>
      <c r="R371" s="1">
        <f>VLOOKUP($B371&amp;"__wt",'SegEnds_Xtal_BW#'!$A:$Z,18,FALSE)</f>
        <v>52</v>
      </c>
      <c r="S371" s="1">
        <f>VLOOKUP($B371&amp;"__wt",'SegEnds_Xtal_BW#'!$A:$Z,19,FALSE)</f>
        <v>35</v>
      </c>
      <c r="T371" s="1">
        <f>VLOOKUP($B371&amp;"__wt",'SegEnds_Xtal_BW#'!$A:$Z,20,FALSE)</f>
        <v>72</v>
      </c>
      <c r="U371" s="1">
        <f>VLOOKUP($B371&amp;"__wt",'SegEnds_Xtal_BW#'!$A:$Z,21,FALSE)</f>
        <v>28</v>
      </c>
      <c r="V371" s="108">
        <v>78</v>
      </c>
      <c r="W371" s="1">
        <f>VLOOKUP($B371&amp;"__wt",'SegEnds_Xtal_BW#'!$A:$Z,23,FALSE)</f>
        <v>34</v>
      </c>
      <c r="X371" s="1">
        <f>VLOOKUP($B371&amp;"__wt",'SegEnds_Xtal_BW#'!$A:$Z,24,FALSE)</f>
        <v>57</v>
      </c>
      <c r="Y371" s="1">
        <f>VLOOKUP($B371&amp;"__wt",'SegEnds_Xtal_BW#'!$A:$Z,25,FALSE)</f>
        <v>47</v>
      </c>
      <c r="Z371" s="1">
        <f>VLOOKUP($B371&amp;"__wt",'SegEnds_Xtal_BW#'!$A:$Z,26,FALSE)</f>
        <v>62</v>
      </c>
      <c r="AA371" s="27" t="str">
        <f>VLOOKUP(A371,Classification!A:B,2,FALSE)</f>
        <v>F</v>
      </c>
      <c r="AB371" s="1">
        <f>VLOOKUP(A371,'SegEnds_NonXtal_Prot#'!A:AL,10,FALSE)-VLOOKUP(A371,'SegEnds_NonXtal_Prot#'!A:AL,4,FALSE)</f>
        <v>26</v>
      </c>
      <c r="AC371" s="1">
        <f>VLOOKUP(A371,'SegEnds_NonXtal_Prot#'!A:AL,10,FALSE)-VLOOKUP(A371,'SegEnds_NonXtal_Prot#'!A:AL,7,FALSE)</f>
        <v>12</v>
      </c>
      <c r="AD371" s="1" t="e">
        <f>VLOOKUP(A371,'SegEnds_NonXtal_Prot#'!A:AL,13,FALSE)-VLOOKUP(A371,'SegEnds_NonXtal_Prot#'!A:AL,10,FALSE)</f>
        <v>#VALUE!</v>
      </c>
      <c r="AE371" s="1">
        <f>VLOOKUP(A371,'SegEnds_NonXtal_Prot#'!A:AL,16,FALSE)-VLOOKUP(A371,'SegEnds_NonXtal_Prot#'!A:AL,10,FALSE)</f>
        <v>64</v>
      </c>
      <c r="AF371" s="1" t="e">
        <f>VLOOKUP(A371,'SegEnds_NonXtal_Prot#'!A:AL,22,FALSE)-VLOOKUP(A371,'SegEnds_NonXtal_Prot#'!A:AL,19,FALSE)</f>
        <v>#VALUE!</v>
      </c>
      <c r="AG371" s="1">
        <f>VLOOKUP(A371,'SegEnds_NonXtal_Prot#'!A:AL,28,FALSE)-VLOOKUP(A371,'SegEnds_NonXtal_Prot#'!A:AL,25,FALSE)</f>
        <v>21</v>
      </c>
      <c r="AH371" s="1">
        <f>VLOOKUP(A371,'SegEnds_NonXtal_Prot#'!A:AL,28,FALSE)-VLOOKUP(A371,'SegEnds_NonXtal_Prot#'!A:AL,22,FALSE)</f>
        <v>46</v>
      </c>
      <c r="AI371" s="1">
        <f>VLOOKUP(A371,'SegEnds_NonXtal_Prot#'!A:AL,31,FALSE)-VLOOKUP(A371,'SegEnds_NonXtal_Prot#'!A:AL,28,FALSE)</f>
        <v>55</v>
      </c>
      <c r="AJ371" s="1">
        <f>VLOOKUP(A371,'SegEnds_NonXtal_Prot#'!A:AL,34,FALSE)-VLOOKUP(A371,'SegEnds_NonXtal_Prot#'!A:AL,31,FALSE)</f>
        <v>49</v>
      </c>
      <c r="AK371" s="1">
        <f>VLOOKUP(A371,'SegEnds_NonXtal_Prot#'!A:AL,37,FALSE)-VLOOKUP(A371,'SegEnds_NonXtal_Prot#'!A:AL,34,FALSE)</f>
        <v>11</v>
      </c>
      <c r="AL371" s="1" t="str">
        <f>IF(ISERROR(MATCH(A371,'SegEnds_Xtal_Prot#'!B:B, 0)), "NoXtal", "Xtal")</f>
        <v>NoXtal</v>
      </c>
    </row>
    <row r="372" spans="1:38" x14ac:dyDescent="0.2">
      <c r="A372" s="1" t="s">
        <v>454</v>
      </c>
      <c r="B372" s="1" t="str">
        <f>VLOOKUP(A372,Xtal_Templ!A:B,2,FALSE)</f>
        <v>fzd4_human</v>
      </c>
      <c r="C372" s="5">
        <f>VLOOKUP($B372&amp;"__wt",'SegEnds_Xtal_BW#'!$A:$Z,3,FALSE)</f>
        <v>28</v>
      </c>
      <c r="D372" s="1">
        <f>VLOOKUP($B372&amp;"__wt",'SegEnds_Xtal_BW#'!$A:$Z,4,FALSE)</f>
        <v>60</v>
      </c>
      <c r="E372" s="1">
        <f>VLOOKUP($B372&amp;"__wt",'SegEnds_Xtal_BW#'!$A:$Z,5,FALSE)</f>
        <v>47</v>
      </c>
      <c r="F372" s="1">
        <f>VLOOKUP($B372&amp;"__wt",'SegEnds_Xtal_BW#'!$A:$Z,6,FALSE)</f>
        <v>51</v>
      </c>
      <c r="G372" s="1">
        <v>39</v>
      </c>
      <c r="H372" s="12">
        <f>VLOOKUP($B372&amp;"__wt",'SegEnds_Xtal_BW#'!$A:$Z,8,FALSE)</f>
        <v>66</v>
      </c>
      <c r="I372" s="1" t="str">
        <f>VLOOKUP($B372&amp;"__wt",'SegEnds_Xtal_BW#'!$A:$Z,9,FALSE)</f>
        <v>-</v>
      </c>
      <c r="J372" s="1" t="str">
        <f>VLOOKUP($B372&amp;"__wt",'SegEnds_Xtal_BW#'!$A:$Z,10,FALSE)</f>
        <v>-</v>
      </c>
      <c r="K372" s="12">
        <f>VLOOKUP($B372&amp;"__wt",'SegEnds_Xtal_BW#'!$A:$Z,11,FALSE)</f>
        <v>22</v>
      </c>
      <c r="L372" s="1">
        <f>VLOOKUP($B372&amp;"__wt",'SegEnds_Xtal_BW#'!$A:$Z,12,FALSE)</f>
        <v>55</v>
      </c>
      <c r="M372" s="1" t="str">
        <f>VLOOKUP($B372&amp;"__wt",'SegEnds_Xtal_BW#'!$A:$Z,13,FALSE)</f>
        <v>-</v>
      </c>
      <c r="N372" s="12" t="str">
        <f>VLOOKUP($B372&amp;"__wt",'SegEnds_Xtal_BW#'!$A:$Z,14,FALSE)</f>
        <v>-</v>
      </c>
      <c r="O372" s="87">
        <f>VLOOKUP($B372&amp;"__wt",'SegEnds_Xtal_BW#'!$A:$Z,15,FALSE)</f>
        <v>41</v>
      </c>
      <c r="P372" s="1">
        <f>VLOOKUP($B372&amp;"__wt",'SegEnds_Xtal_BW#'!$A:$Z,16,FALSE)</f>
        <v>64</v>
      </c>
      <c r="Q372" s="1">
        <f>VLOOKUP($B372&amp;"__wt",'SegEnds_Xtal_BW#'!$A:$Z,17,FALSE)</f>
        <v>50</v>
      </c>
      <c r="R372" s="1">
        <f>VLOOKUP($B372&amp;"__wt",'SegEnds_Xtal_BW#'!$A:$Z,18,FALSE)</f>
        <v>52</v>
      </c>
      <c r="S372" s="1">
        <f>VLOOKUP($B372&amp;"__wt",'SegEnds_Xtal_BW#'!$A:$Z,19,FALSE)</f>
        <v>35</v>
      </c>
      <c r="T372" s="1">
        <f>VLOOKUP($B372&amp;"__wt",'SegEnds_Xtal_BW#'!$A:$Z,20,FALSE)</f>
        <v>72</v>
      </c>
      <c r="U372" s="1">
        <f>VLOOKUP($B372&amp;"__wt",'SegEnds_Xtal_BW#'!$A:$Z,21,FALSE)</f>
        <v>28</v>
      </c>
      <c r="V372" s="108">
        <v>78</v>
      </c>
      <c r="W372" s="1">
        <f>VLOOKUP($B372&amp;"__wt",'SegEnds_Xtal_BW#'!$A:$Z,23,FALSE)</f>
        <v>34</v>
      </c>
      <c r="X372" s="1">
        <f>VLOOKUP($B372&amp;"__wt",'SegEnds_Xtal_BW#'!$A:$Z,24,FALSE)</f>
        <v>57</v>
      </c>
      <c r="Y372" s="1">
        <f>VLOOKUP($B372&amp;"__wt",'SegEnds_Xtal_BW#'!$A:$Z,25,FALSE)</f>
        <v>47</v>
      </c>
      <c r="Z372" s="1">
        <f>VLOOKUP($B372&amp;"__wt",'SegEnds_Xtal_BW#'!$A:$Z,26,FALSE)</f>
        <v>62</v>
      </c>
      <c r="AA372" s="27" t="str">
        <f>VLOOKUP(A372,Classification!A:B,2,FALSE)</f>
        <v>F</v>
      </c>
      <c r="AB372" s="1">
        <f>VLOOKUP(A372,'SegEnds_NonXtal_Prot#'!A:AL,10,FALSE)-VLOOKUP(A372,'SegEnds_NonXtal_Prot#'!A:AL,4,FALSE)</f>
        <v>26</v>
      </c>
      <c r="AC372" s="1">
        <f>VLOOKUP(A372,'SegEnds_NonXtal_Prot#'!A:AL,10,FALSE)-VLOOKUP(A372,'SegEnds_NonXtal_Prot#'!A:AL,7,FALSE)</f>
        <v>12</v>
      </c>
      <c r="AD372" s="1" t="e">
        <f>VLOOKUP(A372,'SegEnds_NonXtal_Prot#'!A:AL,13,FALSE)-VLOOKUP(A372,'SegEnds_NonXtal_Prot#'!A:AL,10,FALSE)</f>
        <v>#VALUE!</v>
      </c>
      <c r="AE372" s="1">
        <f>VLOOKUP(A372,'SegEnds_NonXtal_Prot#'!A:AL,16,FALSE)-VLOOKUP(A372,'SegEnds_NonXtal_Prot#'!A:AL,10,FALSE)</f>
        <v>103</v>
      </c>
      <c r="AF372" s="1" t="e">
        <f>VLOOKUP(A372,'SegEnds_NonXtal_Prot#'!A:AL,22,FALSE)-VLOOKUP(A372,'SegEnds_NonXtal_Prot#'!A:AL,19,FALSE)</f>
        <v>#VALUE!</v>
      </c>
      <c r="AG372" s="1">
        <f>VLOOKUP(A372,'SegEnds_NonXtal_Prot#'!A:AL,28,FALSE)-VLOOKUP(A372,'SegEnds_NonXtal_Prot#'!A:AL,25,FALSE)</f>
        <v>21</v>
      </c>
      <c r="AH372" s="1">
        <f>VLOOKUP(A372,'SegEnds_NonXtal_Prot#'!A:AL,28,FALSE)-VLOOKUP(A372,'SegEnds_NonXtal_Prot#'!A:AL,22,FALSE)</f>
        <v>46</v>
      </c>
      <c r="AI372" s="1">
        <f>VLOOKUP(A372,'SegEnds_NonXtal_Prot#'!A:AL,31,FALSE)-VLOOKUP(A372,'SegEnds_NonXtal_Prot#'!A:AL,28,FALSE)</f>
        <v>57</v>
      </c>
      <c r="AJ372" s="1">
        <f>VLOOKUP(A372,'SegEnds_NonXtal_Prot#'!A:AL,34,FALSE)-VLOOKUP(A372,'SegEnds_NonXtal_Prot#'!A:AL,31,FALSE)</f>
        <v>49</v>
      </c>
      <c r="AK372" s="1">
        <f>VLOOKUP(A372,'SegEnds_NonXtal_Prot#'!A:AL,37,FALSE)-VLOOKUP(A372,'SegEnds_NonXtal_Prot#'!A:AL,34,FALSE)</f>
        <v>11</v>
      </c>
      <c r="AL372" s="1" t="str">
        <f>IF(ISERROR(MATCH(A372,'SegEnds_Xtal_Prot#'!B:B, 0)), "NoXtal", "Xtal")</f>
        <v>NoXtal</v>
      </c>
    </row>
    <row r="373" spans="1:38" x14ac:dyDescent="0.2">
      <c r="A373" s="1" t="s">
        <v>448</v>
      </c>
      <c r="B373" s="1" t="str">
        <f>VLOOKUP(A373,Xtal_Templ!A:B,2,FALSE)</f>
        <v>fzd4_human</v>
      </c>
      <c r="C373" s="5">
        <f>VLOOKUP($B373&amp;"__wt",'SegEnds_Xtal_BW#'!$A:$Z,3,FALSE)</f>
        <v>28</v>
      </c>
      <c r="D373" s="1">
        <f>VLOOKUP($B373&amp;"__wt",'SegEnds_Xtal_BW#'!$A:$Z,4,FALSE)</f>
        <v>60</v>
      </c>
      <c r="E373" s="1">
        <f>VLOOKUP($B373&amp;"__wt",'SegEnds_Xtal_BW#'!$A:$Z,5,FALSE)</f>
        <v>47</v>
      </c>
      <c r="F373" s="1">
        <f>VLOOKUP($B373&amp;"__wt",'SegEnds_Xtal_BW#'!$A:$Z,6,FALSE)</f>
        <v>51</v>
      </c>
      <c r="G373" s="1">
        <v>39</v>
      </c>
      <c r="H373" s="12">
        <f>VLOOKUP($B373&amp;"__wt",'SegEnds_Xtal_BW#'!$A:$Z,8,FALSE)</f>
        <v>66</v>
      </c>
      <c r="I373" s="1" t="str">
        <f>VLOOKUP($B373&amp;"__wt",'SegEnds_Xtal_BW#'!$A:$Z,9,FALSE)</f>
        <v>-</v>
      </c>
      <c r="J373" s="1" t="str">
        <f>VLOOKUP($B373&amp;"__wt",'SegEnds_Xtal_BW#'!$A:$Z,10,FALSE)</f>
        <v>-</v>
      </c>
      <c r="K373" s="12">
        <f>VLOOKUP($B373&amp;"__wt",'SegEnds_Xtal_BW#'!$A:$Z,11,FALSE)</f>
        <v>22</v>
      </c>
      <c r="L373" s="1">
        <f>VLOOKUP($B373&amp;"__wt",'SegEnds_Xtal_BW#'!$A:$Z,12,FALSE)</f>
        <v>55</v>
      </c>
      <c r="M373" s="1" t="str">
        <f>VLOOKUP($B373&amp;"__wt",'SegEnds_Xtal_BW#'!$A:$Z,13,FALSE)</f>
        <v>-</v>
      </c>
      <c r="N373" s="12" t="str">
        <f>VLOOKUP($B373&amp;"__wt",'SegEnds_Xtal_BW#'!$A:$Z,14,FALSE)</f>
        <v>-</v>
      </c>
      <c r="O373" s="87">
        <f>VLOOKUP($B373&amp;"__wt",'SegEnds_Xtal_BW#'!$A:$Z,15,FALSE)</f>
        <v>41</v>
      </c>
      <c r="P373" s="1">
        <f>VLOOKUP($B373&amp;"__wt",'SegEnds_Xtal_BW#'!$A:$Z,16,FALSE)</f>
        <v>64</v>
      </c>
      <c r="Q373" s="1">
        <f>VLOOKUP($B373&amp;"__wt",'SegEnds_Xtal_BW#'!$A:$Z,17,FALSE)</f>
        <v>50</v>
      </c>
      <c r="R373" s="1">
        <f>VLOOKUP($B373&amp;"__wt",'SegEnds_Xtal_BW#'!$A:$Z,18,FALSE)</f>
        <v>52</v>
      </c>
      <c r="S373" s="1">
        <f>VLOOKUP($B373&amp;"__wt",'SegEnds_Xtal_BW#'!$A:$Z,19,FALSE)</f>
        <v>35</v>
      </c>
      <c r="T373" s="1">
        <f>VLOOKUP($B373&amp;"__wt",'SegEnds_Xtal_BW#'!$A:$Z,20,FALSE)</f>
        <v>72</v>
      </c>
      <c r="U373" s="1">
        <f>VLOOKUP($B373&amp;"__wt",'SegEnds_Xtal_BW#'!$A:$Z,21,FALSE)</f>
        <v>28</v>
      </c>
      <c r="V373" s="108">
        <v>78</v>
      </c>
      <c r="W373" s="1">
        <f>VLOOKUP($B373&amp;"__wt",'SegEnds_Xtal_BW#'!$A:$Z,23,FALSE)</f>
        <v>34</v>
      </c>
      <c r="X373" s="1">
        <f>VLOOKUP($B373&amp;"__wt",'SegEnds_Xtal_BW#'!$A:$Z,24,FALSE)</f>
        <v>57</v>
      </c>
      <c r="Y373" s="1">
        <f>VLOOKUP($B373&amp;"__wt",'SegEnds_Xtal_BW#'!$A:$Z,25,FALSE)</f>
        <v>47</v>
      </c>
      <c r="Z373" s="1">
        <f>VLOOKUP($B373&amp;"__wt",'SegEnds_Xtal_BW#'!$A:$Z,26,FALSE)</f>
        <v>62</v>
      </c>
      <c r="AA373" s="27" t="str">
        <f>VLOOKUP(A373,Classification!A:B,2,FALSE)</f>
        <v>F</v>
      </c>
      <c r="AB373" s="1">
        <f>VLOOKUP(A373,'SegEnds_NonXtal_Prot#'!A:AL,10,FALSE)-VLOOKUP(A373,'SegEnds_NonXtal_Prot#'!A:AL,4,FALSE)</f>
        <v>26</v>
      </c>
      <c r="AC373" s="1">
        <f>VLOOKUP(A373,'SegEnds_NonXtal_Prot#'!A:AL,10,FALSE)-VLOOKUP(A373,'SegEnds_NonXtal_Prot#'!A:AL,7,FALSE)</f>
        <v>12</v>
      </c>
      <c r="AD373" s="1" t="e">
        <f>VLOOKUP(A373,'SegEnds_NonXtal_Prot#'!A:AL,13,FALSE)-VLOOKUP(A373,'SegEnds_NonXtal_Prot#'!A:AL,10,FALSE)</f>
        <v>#VALUE!</v>
      </c>
      <c r="AE373" s="1">
        <f>VLOOKUP(A373,'SegEnds_NonXtal_Prot#'!A:AL,16,FALSE)-VLOOKUP(A373,'SegEnds_NonXtal_Prot#'!A:AL,10,FALSE)</f>
        <v>67</v>
      </c>
      <c r="AF373" s="1" t="e">
        <f>VLOOKUP(A373,'SegEnds_NonXtal_Prot#'!A:AL,22,FALSE)-VLOOKUP(A373,'SegEnds_NonXtal_Prot#'!A:AL,19,FALSE)</f>
        <v>#VALUE!</v>
      </c>
      <c r="AG373" s="1">
        <f>VLOOKUP(A373,'SegEnds_NonXtal_Prot#'!A:AL,28,FALSE)-VLOOKUP(A373,'SegEnds_NonXtal_Prot#'!A:AL,25,FALSE)</f>
        <v>21</v>
      </c>
      <c r="AH373" s="1">
        <f>VLOOKUP(A373,'SegEnds_NonXtal_Prot#'!A:AL,28,FALSE)-VLOOKUP(A373,'SegEnds_NonXtal_Prot#'!A:AL,22,FALSE)</f>
        <v>46</v>
      </c>
      <c r="AI373" s="1">
        <f>VLOOKUP(A373,'SegEnds_NonXtal_Prot#'!A:AL,31,FALSE)-VLOOKUP(A373,'SegEnds_NonXtal_Prot#'!A:AL,28,FALSE)</f>
        <v>55</v>
      </c>
      <c r="AJ373" s="1">
        <f>VLOOKUP(A373,'SegEnds_NonXtal_Prot#'!A:AL,34,FALSE)-VLOOKUP(A373,'SegEnds_NonXtal_Prot#'!A:AL,31,FALSE)</f>
        <v>55</v>
      </c>
      <c r="AK373" s="1">
        <f>VLOOKUP(A373,'SegEnds_NonXtal_Prot#'!A:AL,37,FALSE)-VLOOKUP(A373,'SegEnds_NonXtal_Prot#'!A:AL,34,FALSE)</f>
        <v>11</v>
      </c>
      <c r="AL373" s="1" t="str">
        <f>IF(ISERROR(MATCH(A373,'SegEnds_Xtal_Prot#'!B:B, 0)), "NoXtal", "Xtal")</f>
        <v>NoXtal</v>
      </c>
    </row>
    <row r="374" spans="1:38" x14ac:dyDescent="0.2">
      <c r="A374" s="1" t="s">
        <v>449</v>
      </c>
      <c r="B374" s="1" t="str">
        <f>VLOOKUP(A374,Xtal_Templ!A:B,2,FALSE)</f>
        <v>fzd4_human</v>
      </c>
      <c r="C374" s="5">
        <f>VLOOKUP($B374&amp;"__wt",'SegEnds_Xtal_BW#'!$A:$Z,3,FALSE)</f>
        <v>28</v>
      </c>
      <c r="D374" s="1">
        <f>VLOOKUP($B374&amp;"__wt",'SegEnds_Xtal_BW#'!$A:$Z,4,FALSE)</f>
        <v>60</v>
      </c>
      <c r="E374" s="1">
        <f>VLOOKUP($B374&amp;"__wt",'SegEnds_Xtal_BW#'!$A:$Z,5,FALSE)</f>
        <v>47</v>
      </c>
      <c r="F374" s="1">
        <f>VLOOKUP($B374&amp;"__wt",'SegEnds_Xtal_BW#'!$A:$Z,6,FALSE)</f>
        <v>51</v>
      </c>
      <c r="G374" s="1">
        <v>39</v>
      </c>
      <c r="H374" s="12">
        <f>VLOOKUP($B374&amp;"__wt",'SegEnds_Xtal_BW#'!$A:$Z,8,FALSE)</f>
        <v>66</v>
      </c>
      <c r="I374" s="1" t="str">
        <f>VLOOKUP($B374&amp;"__wt",'SegEnds_Xtal_BW#'!$A:$Z,9,FALSE)</f>
        <v>-</v>
      </c>
      <c r="J374" s="1" t="str">
        <f>VLOOKUP($B374&amp;"__wt",'SegEnds_Xtal_BW#'!$A:$Z,10,FALSE)</f>
        <v>-</v>
      </c>
      <c r="K374" s="12">
        <f>VLOOKUP($B374&amp;"__wt",'SegEnds_Xtal_BW#'!$A:$Z,11,FALSE)</f>
        <v>22</v>
      </c>
      <c r="L374" s="1">
        <f>VLOOKUP($B374&amp;"__wt",'SegEnds_Xtal_BW#'!$A:$Z,12,FALSE)</f>
        <v>55</v>
      </c>
      <c r="M374" s="1" t="str">
        <f>VLOOKUP($B374&amp;"__wt",'SegEnds_Xtal_BW#'!$A:$Z,13,FALSE)</f>
        <v>-</v>
      </c>
      <c r="N374" s="12" t="str">
        <f>VLOOKUP($B374&amp;"__wt",'SegEnds_Xtal_BW#'!$A:$Z,14,FALSE)</f>
        <v>-</v>
      </c>
      <c r="O374" s="87">
        <f>VLOOKUP($B374&amp;"__wt",'SegEnds_Xtal_BW#'!$A:$Z,15,FALSE)</f>
        <v>41</v>
      </c>
      <c r="P374" s="1">
        <f>VLOOKUP($B374&amp;"__wt",'SegEnds_Xtal_BW#'!$A:$Z,16,FALSE)</f>
        <v>64</v>
      </c>
      <c r="Q374" s="1">
        <f>VLOOKUP($B374&amp;"__wt",'SegEnds_Xtal_BW#'!$A:$Z,17,FALSE)</f>
        <v>50</v>
      </c>
      <c r="R374" s="1">
        <f>VLOOKUP($B374&amp;"__wt",'SegEnds_Xtal_BW#'!$A:$Z,18,FALSE)</f>
        <v>52</v>
      </c>
      <c r="S374" s="1">
        <f>VLOOKUP($B374&amp;"__wt",'SegEnds_Xtal_BW#'!$A:$Z,19,FALSE)</f>
        <v>35</v>
      </c>
      <c r="T374" s="1">
        <f>VLOOKUP($B374&amp;"__wt",'SegEnds_Xtal_BW#'!$A:$Z,20,FALSE)</f>
        <v>72</v>
      </c>
      <c r="U374" s="1">
        <f>VLOOKUP($B374&amp;"__wt",'SegEnds_Xtal_BW#'!$A:$Z,21,FALSE)</f>
        <v>28</v>
      </c>
      <c r="V374" s="108">
        <v>78</v>
      </c>
      <c r="W374" s="1">
        <f>VLOOKUP($B374&amp;"__wt",'SegEnds_Xtal_BW#'!$A:$Z,23,FALSE)</f>
        <v>34</v>
      </c>
      <c r="X374" s="1">
        <f>VLOOKUP($B374&amp;"__wt",'SegEnds_Xtal_BW#'!$A:$Z,24,FALSE)</f>
        <v>57</v>
      </c>
      <c r="Y374" s="1">
        <f>VLOOKUP($B374&amp;"__wt",'SegEnds_Xtal_BW#'!$A:$Z,25,FALSE)</f>
        <v>47</v>
      </c>
      <c r="Z374" s="1">
        <f>VLOOKUP($B374&amp;"__wt",'SegEnds_Xtal_BW#'!$A:$Z,26,FALSE)</f>
        <v>62</v>
      </c>
      <c r="AA374" s="27" t="str">
        <f>VLOOKUP(A374,Classification!A:B,2,FALSE)</f>
        <v>F</v>
      </c>
      <c r="AB374" s="1">
        <f>VLOOKUP(A374,'SegEnds_NonXtal_Prot#'!A:AL,10,FALSE)-VLOOKUP(A374,'SegEnds_NonXtal_Prot#'!A:AL,4,FALSE)</f>
        <v>26</v>
      </c>
      <c r="AC374" s="1">
        <f>VLOOKUP(A374,'SegEnds_NonXtal_Prot#'!A:AL,10,FALSE)-VLOOKUP(A374,'SegEnds_NonXtal_Prot#'!A:AL,7,FALSE)</f>
        <v>12</v>
      </c>
      <c r="AD374" s="1" t="e">
        <f>VLOOKUP(A374,'SegEnds_NonXtal_Prot#'!A:AL,13,FALSE)-VLOOKUP(A374,'SegEnds_NonXtal_Prot#'!A:AL,10,FALSE)</f>
        <v>#VALUE!</v>
      </c>
      <c r="AE374" s="1">
        <f>VLOOKUP(A374,'SegEnds_NonXtal_Prot#'!A:AL,16,FALSE)-VLOOKUP(A374,'SegEnds_NonXtal_Prot#'!A:AL,10,FALSE)</f>
        <v>68</v>
      </c>
      <c r="AF374" s="1" t="e">
        <f>VLOOKUP(A374,'SegEnds_NonXtal_Prot#'!A:AL,22,FALSE)-VLOOKUP(A374,'SegEnds_NonXtal_Prot#'!A:AL,19,FALSE)</f>
        <v>#VALUE!</v>
      </c>
      <c r="AG374" s="1">
        <f>VLOOKUP(A374,'SegEnds_NonXtal_Prot#'!A:AL,28,FALSE)-VLOOKUP(A374,'SegEnds_NonXtal_Prot#'!A:AL,25,FALSE)</f>
        <v>21</v>
      </c>
      <c r="AH374" s="1">
        <f>VLOOKUP(A374,'SegEnds_NonXtal_Prot#'!A:AL,28,FALSE)-VLOOKUP(A374,'SegEnds_NonXtal_Prot#'!A:AL,22,FALSE)</f>
        <v>46</v>
      </c>
      <c r="AI374" s="1">
        <f>VLOOKUP(A374,'SegEnds_NonXtal_Prot#'!A:AL,31,FALSE)-VLOOKUP(A374,'SegEnds_NonXtal_Prot#'!A:AL,28,FALSE)</f>
        <v>55</v>
      </c>
      <c r="AJ374" s="1">
        <f>VLOOKUP(A374,'SegEnds_NonXtal_Prot#'!A:AL,34,FALSE)-VLOOKUP(A374,'SegEnds_NonXtal_Prot#'!A:AL,31,FALSE)</f>
        <v>55</v>
      </c>
      <c r="AK374" s="1">
        <f>VLOOKUP(A374,'SegEnds_NonXtal_Prot#'!A:AL,37,FALSE)-VLOOKUP(A374,'SegEnds_NonXtal_Prot#'!A:AL,34,FALSE)</f>
        <v>11</v>
      </c>
      <c r="AL374" s="1" t="str">
        <f>IF(ISERROR(MATCH(A374,'SegEnds_Xtal_Prot#'!B:B, 0)), "NoXtal", "Xtal")</f>
        <v>NoXtal</v>
      </c>
    </row>
    <row r="375" spans="1:38" x14ac:dyDescent="0.2">
      <c r="A375" s="1" t="s">
        <v>452</v>
      </c>
      <c r="B375" s="1" t="str">
        <f>VLOOKUP(A375,Xtal_Templ!A:B,2,FALSE)</f>
        <v>fzd4_human</v>
      </c>
      <c r="C375" s="5">
        <f>VLOOKUP($B375&amp;"__wt",'SegEnds_Xtal_BW#'!$A:$Z,3,FALSE)</f>
        <v>28</v>
      </c>
      <c r="D375" s="1">
        <f>VLOOKUP($B375&amp;"__wt",'SegEnds_Xtal_BW#'!$A:$Z,4,FALSE)</f>
        <v>60</v>
      </c>
      <c r="E375" s="1">
        <f>VLOOKUP($B375&amp;"__wt",'SegEnds_Xtal_BW#'!$A:$Z,5,FALSE)</f>
        <v>47</v>
      </c>
      <c r="F375" s="1">
        <f>VLOOKUP($B375&amp;"__wt",'SegEnds_Xtal_BW#'!$A:$Z,6,FALSE)</f>
        <v>51</v>
      </c>
      <c r="G375" s="1">
        <v>39</v>
      </c>
      <c r="H375" s="12">
        <f>VLOOKUP($B375&amp;"__wt",'SegEnds_Xtal_BW#'!$A:$Z,8,FALSE)</f>
        <v>66</v>
      </c>
      <c r="I375" s="1" t="str">
        <f>VLOOKUP($B375&amp;"__wt",'SegEnds_Xtal_BW#'!$A:$Z,9,FALSE)</f>
        <v>-</v>
      </c>
      <c r="J375" s="1" t="str">
        <f>VLOOKUP($B375&amp;"__wt",'SegEnds_Xtal_BW#'!$A:$Z,10,FALSE)</f>
        <v>-</v>
      </c>
      <c r="K375" s="12">
        <f>VLOOKUP($B375&amp;"__wt",'SegEnds_Xtal_BW#'!$A:$Z,11,FALSE)</f>
        <v>22</v>
      </c>
      <c r="L375" s="1">
        <f>VLOOKUP($B375&amp;"__wt",'SegEnds_Xtal_BW#'!$A:$Z,12,FALSE)</f>
        <v>55</v>
      </c>
      <c r="M375" s="1" t="str">
        <f>VLOOKUP($B375&amp;"__wt",'SegEnds_Xtal_BW#'!$A:$Z,13,FALSE)</f>
        <v>-</v>
      </c>
      <c r="N375" s="12" t="str">
        <f>VLOOKUP($B375&amp;"__wt",'SegEnds_Xtal_BW#'!$A:$Z,14,FALSE)</f>
        <v>-</v>
      </c>
      <c r="O375" s="87">
        <f>VLOOKUP($B375&amp;"__wt",'SegEnds_Xtal_BW#'!$A:$Z,15,FALSE)</f>
        <v>41</v>
      </c>
      <c r="P375" s="1">
        <f>VLOOKUP($B375&amp;"__wt",'SegEnds_Xtal_BW#'!$A:$Z,16,FALSE)</f>
        <v>64</v>
      </c>
      <c r="Q375" s="1">
        <f>VLOOKUP($B375&amp;"__wt",'SegEnds_Xtal_BW#'!$A:$Z,17,FALSE)</f>
        <v>50</v>
      </c>
      <c r="R375" s="1">
        <f>VLOOKUP($B375&amp;"__wt",'SegEnds_Xtal_BW#'!$A:$Z,18,FALSE)</f>
        <v>52</v>
      </c>
      <c r="S375" s="1">
        <f>VLOOKUP($B375&amp;"__wt",'SegEnds_Xtal_BW#'!$A:$Z,19,FALSE)</f>
        <v>35</v>
      </c>
      <c r="T375" s="1">
        <f>VLOOKUP($B375&amp;"__wt",'SegEnds_Xtal_BW#'!$A:$Z,20,FALSE)</f>
        <v>72</v>
      </c>
      <c r="U375" s="1">
        <f>VLOOKUP($B375&amp;"__wt",'SegEnds_Xtal_BW#'!$A:$Z,21,FALSE)</f>
        <v>28</v>
      </c>
      <c r="V375" s="108">
        <v>78</v>
      </c>
      <c r="W375" s="1">
        <f>VLOOKUP($B375&amp;"__wt",'SegEnds_Xtal_BW#'!$A:$Z,23,FALSE)</f>
        <v>34</v>
      </c>
      <c r="X375" s="1">
        <f>VLOOKUP($B375&amp;"__wt",'SegEnds_Xtal_BW#'!$A:$Z,24,FALSE)</f>
        <v>57</v>
      </c>
      <c r="Y375" s="1">
        <f>VLOOKUP($B375&amp;"__wt",'SegEnds_Xtal_BW#'!$A:$Z,25,FALSE)</f>
        <v>47</v>
      </c>
      <c r="Z375" s="1">
        <f>VLOOKUP($B375&amp;"__wt",'SegEnds_Xtal_BW#'!$A:$Z,26,FALSE)</f>
        <v>62</v>
      </c>
      <c r="AA375" s="27" t="str">
        <f>VLOOKUP(A375,Classification!A:B,2,FALSE)</f>
        <v>F</v>
      </c>
      <c r="AB375" s="1">
        <f>VLOOKUP(A375,'SegEnds_NonXtal_Prot#'!A:AL,10,FALSE)-VLOOKUP(A375,'SegEnds_NonXtal_Prot#'!A:AL,4,FALSE)</f>
        <v>26</v>
      </c>
      <c r="AC375" s="1">
        <f>VLOOKUP(A375,'SegEnds_NonXtal_Prot#'!A:AL,10,FALSE)-VLOOKUP(A375,'SegEnds_NonXtal_Prot#'!A:AL,7,FALSE)</f>
        <v>12</v>
      </c>
      <c r="AD375" s="1" t="e">
        <f>VLOOKUP(A375,'SegEnds_NonXtal_Prot#'!A:AL,13,FALSE)-VLOOKUP(A375,'SegEnds_NonXtal_Prot#'!A:AL,10,FALSE)</f>
        <v>#VALUE!</v>
      </c>
      <c r="AE375" s="1">
        <f>VLOOKUP(A375,'SegEnds_NonXtal_Prot#'!A:AL,16,FALSE)-VLOOKUP(A375,'SegEnds_NonXtal_Prot#'!A:AL,10,FALSE)</f>
        <v>68</v>
      </c>
      <c r="AF375" s="1" t="e">
        <f>VLOOKUP(A375,'SegEnds_NonXtal_Prot#'!A:AL,22,FALSE)-VLOOKUP(A375,'SegEnds_NonXtal_Prot#'!A:AL,19,FALSE)</f>
        <v>#VALUE!</v>
      </c>
      <c r="AG375" s="1">
        <f>VLOOKUP(A375,'SegEnds_NonXtal_Prot#'!A:AL,28,FALSE)-VLOOKUP(A375,'SegEnds_NonXtal_Prot#'!A:AL,25,FALSE)</f>
        <v>21</v>
      </c>
      <c r="AH375" s="1">
        <f>VLOOKUP(A375,'SegEnds_NonXtal_Prot#'!A:AL,28,FALSE)-VLOOKUP(A375,'SegEnds_NonXtal_Prot#'!A:AL,22,FALSE)</f>
        <v>46</v>
      </c>
      <c r="AI375" s="1">
        <f>VLOOKUP(A375,'SegEnds_NonXtal_Prot#'!A:AL,31,FALSE)-VLOOKUP(A375,'SegEnds_NonXtal_Prot#'!A:AL,28,FALSE)</f>
        <v>55</v>
      </c>
      <c r="AJ375" s="1">
        <f>VLOOKUP(A375,'SegEnds_NonXtal_Prot#'!A:AL,34,FALSE)-VLOOKUP(A375,'SegEnds_NonXtal_Prot#'!A:AL,31,FALSE)</f>
        <v>55</v>
      </c>
      <c r="AK375" s="1">
        <f>VLOOKUP(A375,'SegEnds_NonXtal_Prot#'!A:AL,37,FALSE)-VLOOKUP(A375,'SegEnds_NonXtal_Prot#'!A:AL,34,FALSE)</f>
        <v>11</v>
      </c>
      <c r="AL375" s="1" t="str">
        <f>IF(ISERROR(MATCH(A375,'SegEnds_Xtal_Prot#'!B:B, 0)), "NoXtal", "Xtal")</f>
        <v>NoXtal</v>
      </c>
    </row>
    <row r="376" spans="1:38" x14ac:dyDescent="0.2">
      <c r="A376" s="1" t="s">
        <v>453</v>
      </c>
      <c r="B376" s="1" t="str">
        <f>VLOOKUP(A376,Xtal_Templ!A:B,2,FALSE)</f>
        <v>fzd4_human</v>
      </c>
      <c r="C376" s="5">
        <f>VLOOKUP($B376&amp;"__wt",'SegEnds_Xtal_BW#'!$A:$Z,3,FALSE)</f>
        <v>28</v>
      </c>
      <c r="D376" s="1">
        <f>VLOOKUP($B376&amp;"__wt",'SegEnds_Xtal_BW#'!$A:$Z,4,FALSE)</f>
        <v>60</v>
      </c>
      <c r="E376" s="1">
        <f>VLOOKUP($B376&amp;"__wt",'SegEnds_Xtal_BW#'!$A:$Z,5,FALSE)</f>
        <v>47</v>
      </c>
      <c r="F376" s="1">
        <f>VLOOKUP($B376&amp;"__wt",'SegEnds_Xtal_BW#'!$A:$Z,6,FALSE)</f>
        <v>51</v>
      </c>
      <c r="G376" s="1">
        <v>39</v>
      </c>
      <c r="H376" s="12">
        <f>VLOOKUP($B376&amp;"__wt",'SegEnds_Xtal_BW#'!$A:$Z,8,FALSE)</f>
        <v>66</v>
      </c>
      <c r="I376" s="1" t="str">
        <f>VLOOKUP($B376&amp;"__wt",'SegEnds_Xtal_BW#'!$A:$Z,9,FALSE)</f>
        <v>-</v>
      </c>
      <c r="J376" s="1" t="str">
        <f>VLOOKUP($B376&amp;"__wt",'SegEnds_Xtal_BW#'!$A:$Z,10,FALSE)</f>
        <v>-</v>
      </c>
      <c r="K376" s="12">
        <f>VLOOKUP($B376&amp;"__wt",'SegEnds_Xtal_BW#'!$A:$Z,11,FALSE)</f>
        <v>22</v>
      </c>
      <c r="L376" s="1">
        <f>VLOOKUP($B376&amp;"__wt",'SegEnds_Xtal_BW#'!$A:$Z,12,FALSE)</f>
        <v>55</v>
      </c>
      <c r="M376" s="1" t="str">
        <f>VLOOKUP($B376&amp;"__wt",'SegEnds_Xtal_BW#'!$A:$Z,13,FALSE)</f>
        <v>-</v>
      </c>
      <c r="N376" s="12" t="str">
        <f>VLOOKUP($B376&amp;"__wt",'SegEnds_Xtal_BW#'!$A:$Z,14,FALSE)</f>
        <v>-</v>
      </c>
      <c r="O376" s="87">
        <f>VLOOKUP($B376&amp;"__wt",'SegEnds_Xtal_BW#'!$A:$Z,15,FALSE)</f>
        <v>41</v>
      </c>
      <c r="P376" s="1">
        <f>VLOOKUP($B376&amp;"__wt",'SegEnds_Xtal_BW#'!$A:$Z,16,FALSE)</f>
        <v>64</v>
      </c>
      <c r="Q376" s="1">
        <f>VLOOKUP($B376&amp;"__wt",'SegEnds_Xtal_BW#'!$A:$Z,17,FALSE)</f>
        <v>50</v>
      </c>
      <c r="R376" s="1">
        <f>VLOOKUP($B376&amp;"__wt",'SegEnds_Xtal_BW#'!$A:$Z,18,FALSE)</f>
        <v>52</v>
      </c>
      <c r="S376" s="1">
        <f>VLOOKUP($B376&amp;"__wt",'SegEnds_Xtal_BW#'!$A:$Z,19,FALSE)</f>
        <v>35</v>
      </c>
      <c r="T376" s="1">
        <f>VLOOKUP($B376&amp;"__wt",'SegEnds_Xtal_BW#'!$A:$Z,20,FALSE)</f>
        <v>72</v>
      </c>
      <c r="U376" s="1">
        <f>VLOOKUP($B376&amp;"__wt",'SegEnds_Xtal_BW#'!$A:$Z,21,FALSE)</f>
        <v>28</v>
      </c>
      <c r="V376" s="108">
        <v>78</v>
      </c>
      <c r="W376" s="1">
        <f>VLOOKUP($B376&amp;"__wt",'SegEnds_Xtal_BW#'!$A:$Z,23,FALSE)</f>
        <v>34</v>
      </c>
      <c r="X376" s="1">
        <f>VLOOKUP($B376&amp;"__wt",'SegEnds_Xtal_BW#'!$A:$Z,24,FALSE)</f>
        <v>57</v>
      </c>
      <c r="Y376" s="1">
        <f>VLOOKUP($B376&amp;"__wt",'SegEnds_Xtal_BW#'!$A:$Z,25,FALSE)</f>
        <v>47</v>
      </c>
      <c r="Z376" s="1">
        <f>VLOOKUP($B376&amp;"__wt",'SegEnds_Xtal_BW#'!$A:$Z,26,FALSE)</f>
        <v>62</v>
      </c>
      <c r="AA376" s="27" t="str">
        <f>VLOOKUP(A376,Classification!A:B,2,FALSE)</f>
        <v>F</v>
      </c>
      <c r="AB376" s="1">
        <f>VLOOKUP(A376,'SegEnds_NonXtal_Prot#'!A:AL,10,FALSE)-VLOOKUP(A376,'SegEnds_NonXtal_Prot#'!A:AL,4,FALSE)</f>
        <v>26</v>
      </c>
      <c r="AC376" s="1">
        <f>VLOOKUP(A376,'SegEnds_NonXtal_Prot#'!A:AL,10,FALSE)-VLOOKUP(A376,'SegEnds_NonXtal_Prot#'!A:AL,7,FALSE)</f>
        <v>12</v>
      </c>
      <c r="AD376" s="1" t="e">
        <f>VLOOKUP(A376,'SegEnds_NonXtal_Prot#'!A:AL,13,FALSE)-VLOOKUP(A376,'SegEnds_NonXtal_Prot#'!A:AL,10,FALSE)</f>
        <v>#VALUE!</v>
      </c>
      <c r="AE376" s="1">
        <f>VLOOKUP(A376,'SegEnds_NonXtal_Prot#'!A:AL,16,FALSE)-VLOOKUP(A376,'SegEnds_NonXtal_Prot#'!A:AL,10,FALSE)</f>
        <v>67</v>
      </c>
      <c r="AF376" s="1" t="e">
        <f>VLOOKUP(A376,'SegEnds_NonXtal_Prot#'!A:AL,22,FALSE)-VLOOKUP(A376,'SegEnds_NonXtal_Prot#'!A:AL,19,FALSE)</f>
        <v>#VALUE!</v>
      </c>
      <c r="AG376" s="1">
        <f>VLOOKUP(A376,'SegEnds_NonXtal_Prot#'!A:AL,28,FALSE)-VLOOKUP(A376,'SegEnds_NonXtal_Prot#'!A:AL,25,FALSE)</f>
        <v>21</v>
      </c>
      <c r="AH376" s="1">
        <f>VLOOKUP(A376,'SegEnds_NonXtal_Prot#'!A:AL,28,FALSE)-VLOOKUP(A376,'SegEnds_NonXtal_Prot#'!A:AL,22,FALSE)</f>
        <v>46</v>
      </c>
      <c r="AI376" s="1">
        <f>VLOOKUP(A376,'SegEnds_NonXtal_Prot#'!A:AL,31,FALSE)-VLOOKUP(A376,'SegEnds_NonXtal_Prot#'!A:AL,28,FALSE)</f>
        <v>55</v>
      </c>
      <c r="AJ376" s="1">
        <f>VLOOKUP(A376,'SegEnds_NonXtal_Prot#'!A:AL,34,FALSE)-VLOOKUP(A376,'SegEnds_NonXtal_Prot#'!A:AL,31,FALSE)</f>
        <v>55</v>
      </c>
      <c r="AK376" s="1">
        <f>VLOOKUP(A376,'SegEnds_NonXtal_Prot#'!A:AL,37,FALSE)-VLOOKUP(A376,'SegEnds_NonXtal_Prot#'!A:AL,34,FALSE)</f>
        <v>11</v>
      </c>
      <c r="AL376" s="1" t="str">
        <f>IF(ISERROR(MATCH(A376,'SegEnds_Xtal_Prot#'!B:B, 0)), "NoXtal", "Xtal")</f>
        <v>NoXtal</v>
      </c>
    </row>
    <row r="377" spans="1:38" x14ac:dyDescent="0.2">
      <c r="A377" s="1" t="s">
        <v>447</v>
      </c>
      <c r="B377" s="1" t="str">
        <f>VLOOKUP(A377,Xtal_Templ!A:B,2,FALSE)</f>
        <v>fzd4_human</v>
      </c>
      <c r="C377" s="5">
        <f>VLOOKUP($B377&amp;"__wt",'SegEnds_Xtal_BW#'!$A:$Z,3,FALSE)</f>
        <v>28</v>
      </c>
      <c r="D377" s="1">
        <f>VLOOKUP($B377&amp;"__wt",'SegEnds_Xtal_BW#'!$A:$Z,4,FALSE)</f>
        <v>60</v>
      </c>
      <c r="E377" s="1">
        <f>VLOOKUP($B377&amp;"__wt",'SegEnds_Xtal_BW#'!$A:$Z,5,FALSE)</f>
        <v>47</v>
      </c>
      <c r="F377" s="1">
        <f>VLOOKUP($B377&amp;"__wt",'SegEnds_Xtal_BW#'!$A:$Z,6,FALSE)</f>
        <v>51</v>
      </c>
      <c r="G377" s="1">
        <v>39</v>
      </c>
      <c r="H377" s="12">
        <f>VLOOKUP($B377&amp;"__wt",'SegEnds_Xtal_BW#'!$A:$Z,8,FALSE)</f>
        <v>66</v>
      </c>
      <c r="I377" s="1" t="str">
        <f>VLOOKUP($B377&amp;"__wt",'SegEnds_Xtal_BW#'!$A:$Z,9,FALSE)</f>
        <v>-</v>
      </c>
      <c r="J377" s="1" t="str">
        <f>VLOOKUP($B377&amp;"__wt",'SegEnds_Xtal_BW#'!$A:$Z,10,FALSE)</f>
        <v>-</v>
      </c>
      <c r="K377" s="12">
        <f>VLOOKUP($B377&amp;"__wt",'SegEnds_Xtal_BW#'!$A:$Z,11,FALSE)</f>
        <v>22</v>
      </c>
      <c r="L377" s="1">
        <f>VLOOKUP($B377&amp;"__wt",'SegEnds_Xtal_BW#'!$A:$Z,12,FALSE)</f>
        <v>55</v>
      </c>
      <c r="M377" s="1" t="str">
        <f>VLOOKUP($B377&amp;"__wt",'SegEnds_Xtal_BW#'!$A:$Z,13,FALSE)</f>
        <v>-</v>
      </c>
      <c r="N377" s="12" t="str">
        <f>VLOOKUP($B377&amp;"__wt",'SegEnds_Xtal_BW#'!$A:$Z,14,FALSE)</f>
        <v>-</v>
      </c>
      <c r="O377" s="87">
        <f>VLOOKUP($B377&amp;"__wt",'SegEnds_Xtal_BW#'!$A:$Z,15,FALSE)</f>
        <v>41</v>
      </c>
      <c r="P377" s="1">
        <f>VLOOKUP($B377&amp;"__wt",'SegEnds_Xtal_BW#'!$A:$Z,16,FALSE)</f>
        <v>64</v>
      </c>
      <c r="Q377" s="1">
        <f>VLOOKUP($B377&amp;"__wt",'SegEnds_Xtal_BW#'!$A:$Z,17,FALSE)</f>
        <v>50</v>
      </c>
      <c r="R377" s="1">
        <f>VLOOKUP($B377&amp;"__wt",'SegEnds_Xtal_BW#'!$A:$Z,18,FALSE)</f>
        <v>52</v>
      </c>
      <c r="S377" s="1">
        <f>VLOOKUP($B377&amp;"__wt",'SegEnds_Xtal_BW#'!$A:$Z,19,FALSE)</f>
        <v>35</v>
      </c>
      <c r="T377" s="1">
        <f>VLOOKUP($B377&amp;"__wt",'SegEnds_Xtal_BW#'!$A:$Z,20,FALSE)</f>
        <v>72</v>
      </c>
      <c r="U377" s="1">
        <f>VLOOKUP($B377&amp;"__wt",'SegEnds_Xtal_BW#'!$A:$Z,21,FALSE)</f>
        <v>28</v>
      </c>
      <c r="V377" s="108">
        <v>78</v>
      </c>
      <c r="W377" s="1">
        <f>VLOOKUP($B377&amp;"__wt",'SegEnds_Xtal_BW#'!$A:$Z,23,FALSE)</f>
        <v>34</v>
      </c>
      <c r="X377" s="1">
        <f>VLOOKUP($B377&amp;"__wt",'SegEnds_Xtal_BW#'!$A:$Z,24,FALSE)</f>
        <v>57</v>
      </c>
      <c r="Y377" s="1">
        <f>VLOOKUP($B377&amp;"__wt",'SegEnds_Xtal_BW#'!$A:$Z,25,FALSE)</f>
        <v>47</v>
      </c>
      <c r="Z377" s="1">
        <f>VLOOKUP($B377&amp;"__wt",'SegEnds_Xtal_BW#'!$A:$Z,26,FALSE)</f>
        <v>62</v>
      </c>
      <c r="AA377" s="27" t="str">
        <f>VLOOKUP(A377,Classification!A:B,2,FALSE)</f>
        <v>F</v>
      </c>
      <c r="AB377" s="1">
        <f>VLOOKUP(A377,'SegEnds_NonXtal_Prot#'!A:AL,10,FALSE)-VLOOKUP(A377,'SegEnds_NonXtal_Prot#'!A:AL,4,FALSE)</f>
        <v>26</v>
      </c>
      <c r="AC377" s="1">
        <f>VLOOKUP(A377,'SegEnds_NonXtal_Prot#'!A:AL,10,FALSE)-VLOOKUP(A377,'SegEnds_NonXtal_Prot#'!A:AL,7,FALSE)</f>
        <v>12</v>
      </c>
      <c r="AD377" s="1" t="e">
        <f>VLOOKUP(A377,'SegEnds_NonXtal_Prot#'!A:AL,13,FALSE)-VLOOKUP(A377,'SegEnds_NonXtal_Prot#'!A:AL,10,FALSE)</f>
        <v>#VALUE!</v>
      </c>
      <c r="AE377" s="1">
        <f>VLOOKUP(A377,'SegEnds_NonXtal_Prot#'!A:AL,16,FALSE)-VLOOKUP(A377,'SegEnds_NonXtal_Prot#'!A:AL,10,FALSE)</f>
        <v>66</v>
      </c>
      <c r="AF377" s="1" t="e">
        <f>VLOOKUP(A377,'SegEnds_NonXtal_Prot#'!A:AL,22,FALSE)-VLOOKUP(A377,'SegEnds_NonXtal_Prot#'!A:AL,19,FALSE)</f>
        <v>#VALUE!</v>
      </c>
      <c r="AG377" s="1">
        <f>VLOOKUP(A377,'SegEnds_NonXtal_Prot#'!A:AL,28,FALSE)-VLOOKUP(A377,'SegEnds_NonXtal_Prot#'!A:AL,25,FALSE)</f>
        <v>21</v>
      </c>
      <c r="AH377" s="1">
        <f>VLOOKUP(A377,'SegEnds_NonXtal_Prot#'!A:AL,28,FALSE)-VLOOKUP(A377,'SegEnds_NonXtal_Prot#'!A:AL,22,FALSE)</f>
        <v>46</v>
      </c>
      <c r="AI377" s="1">
        <f>VLOOKUP(A377,'SegEnds_NonXtal_Prot#'!A:AL,31,FALSE)-VLOOKUP(A377,'SegEnds_NonXtal_Prot#'!A:AL,28,FALSE)</f>
        <v>55</v>
      </c>
      <c r="AJ377" s="1">
        <f>VLOOKUP(A377,'SegEnds_NonXtal_Prot#'!A:AL,34,FALSE)-VLOOKUP(A377,'SegEnds_NonXtal_Prot#'!A:AL,31,FALSE)</f>
        <v>56</v>
      </c>
      <c r="AK377" s="1">
        <f>VLOOKUP(A377,'SegEnds_NonXtal_Prot#'!A:AL,37,FALSE)-VLOOKUP(A377,'SegEnds_NonXtal_Prot#'!A:AL,34,FALSE)</f>
        <v>11</v>
      </c>
      <c r="AL377" s="1" t="str">
        <f>IF(ISERROR(MATCH(A377,'SegEnds_Xtal_Prot#'!B:B, 0)), "NoXtal", "Xtal")</f>
        <v>NoXtal</v>
      </c>
    </row>
    <row r="378" spans="1:38" x14ac:dyDescent="0.2">
      <c r="A378" s="1" t="s">
        <v>455</v>
      </c>
      <c r="B378" s="1" t="str">
        <f>VLOOKUP(A378,Xtal_Templ!A:B,2,FALSE)</f>
        <v>fzd4_human</v>
      </c>
      <c r="C378" s="5">
        <f>VLOOKUP($B378&amp;"__wt",'SegEnds_Xtal_BW#'!$A:$Z,3,FALSE)</f>
        <v>28</v>
      </c>
      <c r="D378" s="1">
        <f>VLOOKUP($B378&amp;"__wt",'SegEnds_Xtal_BW#'!$A:$Z,4,FALSE)</f>
        <v>60</v>
      </c>
      <c r="E378" s="1">
        <f>VLOOKUP($B378&amp;"__wt",'SegEnds_Xtal_BW#'!$A:$Z,5,FALSE)</f>
        <v>47</v>
      </c>
      <c r="F378" s="1">
        <f>VLOOKUP($B378&amp;"__wt",'SegEnds_Xtal_BW#'!$A:$Z,6,FALSE)</f>
        <v>51</v>
      </c>
      <c r="G378" s="1">
        <v>39</v>
      </c>
      <c r="H378" s="12">
        <f>VLOOKUP($B378&amp;"__wt",'SegEnds_Xtal_BW#'!$A:$Z,8,FALSE)</f>
        <v>66</v>
      </c>
      <c r="I378" s="1" t="str">
        <f>VLOOKUP($B378&amp;"__wt",'SegEnds_Xtal_BW#'!$A:$Z,9,FALSE)</f>
        <v>-</v>
      </c>
      <c r="J378" s="1" t="str">
        <f>VLOOKUP($B378&amp;"__wt",'SegEnds_Xtal_BW#'!$A:$Z,10,FALSE)</f>
        <v>-</v>
      </c>
      <c r="K378" s="12">
        <f>VLOOKUP($B378&amp;"__wt",'SegEnds_Xtal_BW#'!$A:$Z,11,FALSE)</f>
        <v>22</v>
      </c>
      <c r="L378" s="1">
        <f>VLOOKUP($B378&amp;"__wt",'SegEnds_Xtal_BW#'!$A:$Z,12,FALSE)</f>
        <v>55</v>
      </c>
      <c r="M378" s="1" t="str">
        <f>VLOOKUP($B378&amp;"__wt",'SegEnds_Xtal_BW#'!$A:$Z,13,FALSE)</f>
        <v>-</v>
      </c>
      <c r="N378" s="12" t="str">
        <f>VLOOKUP($B378&amp;"__wt",'SegEnds_Xtal_BW#'!$A:$Z,14,FALSE)</f>
        <v>-</v>
      </c>
      <c r="O378" s="87">
        <f>VLOOKUP($B378&amp;"__wt",'SegEnds_Xtal_BW#'!$A:$Z,15,FALSE)</f>
        <v>41</v>
      </c>
      <c r="P378" s="1">
        <f>VLOOKUP($B378&amp;"__wt",'SegEnds_Xtal_BW#'!$A:$Z,16,FALSE)</f>
        <v>64</v>
      </c>
      <c r="Q378" s="1">
        <f>VLOOKUP($B378&amp;"__wt",'SegEnds_Xtal_BW#'!$A:$Z,17,FALSE)</f>
        <v>50</v>
      </c>
      <c r="R378" s="1">
        <f>VLOOKUP($B378&amp;"__wt",'SegEnds_Xtal_BW#'!$A:$Z,18,FALSE)</f>
        <v>52</v>
      </c>
      <c r="S378" s="1">
        <f>VLOOKUP($B378&amp;"__wt",'SegEnds_Xtal_BW#'!$A:$Z,19,FALSE)</f>
        <v>35</v>
      </c>
      <c r="T378" s="1">
        <f>VLOOKUP($B378&amp;"__wt",'SegEnds_Xtal_BW#'!$A:$Z,20,FALSE)</f>
        <v>72</v>
      </c>
      <c r="U378" s="1">
        <f>VLOOKUP($B378&amp;"__wt",'SegEnds_Xtal_BW#'!$A:$Z,21,FALSE)</f>
        <v>28</v>
      </c>
      <c r="V378" s="108">
        <v>78</v>
      </c>
      <c r="W378" s="1">
        <f>VLOOKUP($B378&amp;"__wt",'SegEnds_Xtal_BW#'!$A:$Z,23,FALSE)</f>
        <v>34</v>
      </c>
      <c r="X378" s="1">
        <f>VLOOKUP($B378&amp;"__wt",'SegEnds_Xtal_BW#'!$A:$Z,24,FALSE)</f>
        <v>57</v>
      </c>
      <c r="Y378" s="1">
        <f>VLOOKUP($B378&amp;"__wt",'SegEnds_Xtal_BW#'!$A:$Z,25,FALSE)</f>
        <v>47</v>
      </c>
      <c r="Z378" s="1">
        <f>VLOOKUP($B378&amp;"__wt",'SegEnds_Xtal_BW#'!$A:$Z,26,FALSE)</f>
        <v>62</v>
      </c>
      <c r="AA378" s="27" t="str">
        <f>VLOOKUP(A378,Classification!A:B,2,FALSE)</f>
        <v>F</v>
      </c>
      <c r="AB378" s="1">
        <f>VLOOKUP(A378,'SegEnds_NonXtal_Prot#'!A:AL,10,FALSE)-VLOOKUP(A378,'SegEnds_NonXtal_Prot#'!A:AL,4,FALSE)</f>
        <v>26</v>
      </c>
      <c r="AC378" s="1">
        <f>VLOOKUP(A378,'SegEnds_NonXtal_Prot#'!A:AL,10,FALSE)-VLOOKUP(A378,'SegEnds_NonXtal_Prot#'!A:AL,7,FALSE)</f>
        <v>12</v>
      </c>
      <c r="AD378" s="1" t="e">
        <f>VLOOKUP(A378,'SegEnds_NonXtal_Prot#'!A:AL,13,FALSE)-VLOOKUP(A378,'SegEnds_NonXtal_Prot#'!A:AL,10,FALSE)</f>
        <v>#VALUE!</v>
      </c>
      <c r="AE378" s="1">
        <f>VLOOKUP(A378,'SegEnds_NonXtal_Prot#'!A:AL,16,FALSE)-VLOOKUP(A378,'SegEnds_NonXtal_Prot#'!A:AL,10,FALSE)</f>
        <v>66</v>
      </c>
      <c r="AF378" s="1" t="e">
        <f>VLOOKUP(A378,'SegEnds_NonXtal_Prot#'!A:AL,22,FALSE)-VLOOKUP(A378,'SegEnds_NonXtal_Prot#'!A:AL,19,FALSE)</f>
        <v>#VALUE!</v>
      </c>
      <c r="AG378" s="1">
        <f>VLOOKUP(A378,'SegEnds_NonXtal_Prot#'!A:AL,28,FALSE)-VLOOKUP(A378,'SegEnds_NonXtal_Prot#'!A:AL,25,FALSE)</f>
        <v>21</v>
      </c>
      <c r="AH378" s="1">
        <f>VLOOKUP(A378,'SegEnds_NonXtal_Prot#'!A:AL,28,FALSE)-VLOOKUP(A378,'SegEnds_NonXtal_Prot#'!A:AL,22,FALSE)</f>
        <v>46</v>
      </c>
      <c r="AI378" s="1">
        <f>VLOOKUP(A378,'SegEnds_NonXtal_Prot#'!A:AL,31,FALSE)-VLOOKUP(A378,'SegEnds_NonXtal_Prot#'!A:AL,28,FALSE)</f>
        <v>55</v>
      </c>
      <c r="AJ378" s="1">
        <f>VLOOKUP(A378,'SegEnds_NonXtal_Prot#'!A:AL,34,FALSE)-VLOOKUP(A378,'SegEnds_NonXtal_Prot#'!A:AL,31,FALSE)</f>
        <v>58</v>
      </c>
      <c r="AK378" s="1">
        <f>VLOOKUP(A378,'SegEnds_NonXtal_Prot#'!A:AL,37,FALSE)-VLOOKUP(A378,'SegEnds_NonXtal_Prot#'!A:AL,34,FALSE)</f>
        <v>11</v>
      </c>
      <c r="AL378" s="1" t="str">
        <f>IF(ISERROR(MATCH(A378,'SegEnds_Xtal_Prot#'!B:B, 0)), "NoXtal", "Xtal")</f>
        <v>NoXtal</v>
      </c>
    </row>
    <row r="379" spans="1:38" x14ac:dyDescent="0.2">
      <c r="A379" s="1" t="s">
        <v>446</v>
      </c>
      <c r="B379" s="1" t="str">
        <f>VLOOKUP(A379,Xtal_Templ!A:B,2,FALSE)</f>
        <v>fzd4_human</v>
      </c>
      <c r="C379" s="5">
        <f>VLOOKUP($B379&amp;"__wt",'SegEnds_Xtal_BW#'!$A:$Z,3,FALSE)</f>
        <v>28</v>
      </c>
      <c r="D379" s="1">
        <f>VLOOKUP($B379&amp;"__wt",'SegEnds_Xtal_BW#'!$A:$Z,4,FALSE)</f>
        <v>60</v>
      </c>
      <c r="E379" s="1">
        <f>VLOOKUP($B379&amp;"__wt",'SegEnds_Xtal_BW#'!$A:$Z,5,FALSE)</f>
        <v>47</v>
      </c>
      <c r="F379" s="1">
        <f>VLOOKUP($B379&amp;"__wt",'SegEnds_Xtal_BW#'!$A:$Z,6,FALSE)</f>
        <v>51</v>
      </c>
      <c r="G379" s="1">
        <v>39</v>
      </c>
      <c r="H379" s="12">
        <f>VLOOKUP($B379&amp;"__wt",'SegEnds_Xtal_BW#'!$A:$Z,8,FALSE)</f>
        <v>66</v>
      </c>
      <c r="I379" s="1" t="str">
        <f>VLOOKUP($B379&amp;"__wt",'SegEnds_Xtal_BW#'!$A:$Z,9,FALSE)</f>
        <v>-</v>
      </c>
      <c r="J379" s="1" t="str">
        <f>VLOOKUP($B379&amp;"__wt",'SegEnds_Xtal_BW#'!$A:$Z,10,FALSE)</f>
        <v>-</v>
      </c>
      <c r="K379" s="12">
        <f>VLOOKUP($B379&amp;"__wt",'SegEnds_Xtal_BW#'!$A:$Z,11,FALSE)</f>
        <v>22</v>
      </c>
      <c r="L379" s="1">
        <f>VLOOKUP($B379&amp;"__wt",'SegEnds_Xtal_BW#'!$A:$Z,12,FALSE)</f>
        <v>55</v>
      </c>
      <c r="M379" s="1" t="str">
        <f>VLOOKUP($B379&amp;"__wt",'SegEnds_Xtal_BW#'!$A:$Z,13,FALSE)</f>
        <v>-</v>
      </c>
      <c r="N379" s="12" t="str">
        <f>VLOOKUP($B379&amp;"__wt",'SegEnds_Xtal_BW#'!$A:$Z,14,FALSE)</f>
        <v>-</v>
      </c>
      <c r="O379" s="87">
        <f>VLOOKUP($B379&amp;"__wt",'SegEnds_Xtal_BW#'!$A:$Z,15,FALSE)</f>
        <v>41</v>
      </c>
      <c r="P379" s="1">
        <f>VLOOKUP($B379&amp;"__wt",'SegEnds_Xtal_BW#'!$A:$Z,16,FALSE)</f>
        <v>64</v>
      </c>
      <c r="Q379" s="1">
        <f>VLOOKUP($B379&amp;"__wt",'SegEnds_Xtal_BW#'!$A:$Z,17,FALSE)</f>
        <v>50</v>
      </c>
      <c r="R379" s="1">
        <f>VLOOKUP($B379&amp;"__wt",'SegEnds_Xtal_BW#'!$A:$Z,18,FALSE)</f>
        <v>52</v>
      </c>
      <c r="S379" s="1">
        <f>VLOOKUP($B379&amp;"__wt",'SegEnds_Xtal_BW#'!$A:$Z,19,FALSE)</f>
        <v>35</v>
      </c>
      <c r="T379" s="1">
        <f>VLOOKUP($B379&amp;"__wt",'SegEnds_Xtal_BW#'!$A:$Z,20,FALSE)</f>
        <v>72</v>
      </c>
      <c r="U379" s="1">
        <f>VLOOKUP($B379&amp;"__wt",'SegEnds_Xtal_BW#'!$A:$Z,21,FALSE)</f>
        <v>28</v>
      </c>
      <c r="V379" s="108">
        <v>78</v>
      </c>
      <c r="W379" s="1">
        <f>VLOOKUP($B379&amp;"__wt",'SegEnds_Xtal_BW#'!$A:$Z,23,FALSE)</f>
        <v>34</v>
      </c>
      <c r="X379" s="1">
        <f>VLOOKUP($B379&amp;"__wt",'SegEnds_Xtal_BW#'!$A:$Z,24,FALSE)</f>
        <v>57</v>
      </c>
      <c r="Y379" s="1">
        <f>VLOOKUP($B379&amp;"__wt",'SegEnds_Xtal_BW#'!$A:$Z,25,FALSE)</f>
        <v>47</v>
      </c>
      <c r="Z379" s="1">
        <f>VLOOKUP($B379&amp;"__wt",'SegEnds_Xtal_BW#'!$A:$Z,26,FALSE)</f>
        <v>62</v>
      </c>
      <c r="AA379" s="27" t="str">
        <f>VLOOKUP(A379,Classification!A:B,2,FALSE)</f>
        <v>F</v>
      </c>
      <c r="AB379" s="1">
        <f>VLOOKUP(A379,'SegEnds_NonXtal_Prot#'!A:AL,10,FALSE)-VLOOKUP(A379,'SegEnds_NonXtal_Prot#'!A:AL,4,FALSE)</f>
        <v>26</v>
      </c>
      <c r="AC379" s="1">
        <f>VLOOKUP(A379,'SegEnds_NonXtal_Prot#'!A:AL,10,FALSE)-VLOOKUP(A379,'SegEnds_NonXtal_Prot#'!A:AL,7,FALSE)</f>
        <v>12</v>
      </c>
      <c r="AD379" s="1" t="e">
        <f>VLOOKUP(A379,'SegEnds_NonXtal_Prot#'!A:AL,13,FALSE)-VLOOKUP(A379,'SegEnds_NonXtal_Prot#'!A:AL,10,FALSE)</f>
        <v>#VALUE!</v>
      </c>
      <c r="AE379" s="1">
        <f>VLOOKUP(A379,'SegEnds_NonXtal_Prot#'!A:AL,16,FALSE)-VLOOKUP(A379,'SegEnds_NonXtal_Prot#'!A:AL,10,FALSE)</f>
        <v>67</v>
      </c>
      <c r="AF379" s="1" t="e">
        <f>VLOOKUP(A379,'SegEnds_NonXtal_Prot#'!A:AL,22,FALSE)-VLOOKUP(A379,'SegEnds_NonXtal_Prot#'!A:AL,19,FALSE)</f>
        <v>#VALUE!</v>
      </c>
      <c r="AG379" s="1">
        <f>VLOOKUP(A379,'SegEnds_NonXtal_Prot#'!A:AL,28,FALSE)-VLOOKUP(A379,'SegEnds_NonXtal_Prot#'!A:AL,25,FALSE)</f>
        <v>21</v>
      </c>
      <c r="AH379" s="1">
        <f>VLOOKUP(A379,'SegEnds_NonXtal_Prot#'!A:AL,28,FALSE)-VLOOKUP(A379,'SegEnds_NonXtal_Prot#'!A:AL,22,FALSE)</f>
        <v>46</v>
      </c>
      <c r="AI379" s="1">
        <f>VLOOKUP(A379,'SegEnds_NonXtal_Prot#'!A:AL,31,FALSE)-VLOOKUP(A379,'SegEnds_NonXtal_Prot#'!A:AL,28,FALSE)</f>
        <v>55</v>
      </c>
      <c r="AJ379" s="1">
        <f>VLOOKUP(A379,'SegEnds_NonXtal_Prot#'!A:AL,34,FALSE)-VLOOKUP(A379,'SegEnds_NonXtal_Prot#'!A:AL,31,FALSE)</f>
        <v>62</v>
      </c>
      <c r="AK379" s="1">
        <f>VLOOKUP(A379,'SegEnds_NonXtal_Prot#'!A:AL,37,FALSE)-VLOOKUP(A379,'SegEnds_NonXtal_Prot#'!A:AL,34,FALSE)</f>
        <v>11</v>
      </c>
      <c r="AL379" s="1" t="str">
        <f>IF(ISERROR(MATCH(A379,'SegEnds_Xtal_Prot#'!B:B, 0)), "NoXtal", "Xtal")</f>
        <v>NoXtal</v>
      </c>
    </row>
    <row r="380" spans="1:38" x14ac:dyDescent="0.2">
      <c r="A380" s="122" t="s">
        <v>1509</v>
      </c>
      <c r="B380" s="1" t="str">
        <f>VLOOKUP(A380,Xtal_Templ!A:B,2,FALSE)</f>
        <v>q98sw5_xenla</v>
      </c>
      <c r="C380" s="5">
        <f>VLOOKUP($B380&amp;"__wt",'SegEnds_Xtal_BW#'!$A:$Z,3,FALSE)</f>
        <v>28</v>
      </c>
      <c r="D380" s="1">
        <f>VLOOKUP($B380&amp;"__wt",'SegEnds_Xtal_BW#'!$A:$Z,4,FALSE)</f>
        <v>60</v>
      </c>
      <c r="E380" s="1">
        <f>VLOOKUP($B380&amp;"__wt",'SegEnds_Xtal_BW#'!$A:$Z,5,FALSE)</f>
        <v>47</v>
      </c>
      <c r="F380" s="1">
        <f>VLOOKUP($B380&amp;"__wt",'SegEnds_Xtal_BW#'!$A:$Z,6,FALSE)</f>
        <v>51</v>
      </c>
      <c r="G380" s="1">
        <v>40</v>
      </c>
      <c r="H380" s="12">
        <f>VLOOKUP($B380&amp;"__wt",'SegEnds_Xtal_BW#'!$A:$Z,8,FALSE)</f>
        <v>61</v>
      </c>
      <c r="I380" s="1" t="str">
        <f>VLOOKUP($B380&amp;"__wt",'SegEnds_Xtal_BW#'!$A:$Z,9,FALSE)</f>
        <v>-</v>
      </c>
      <c r="J380" s="1" t="str">
        <f>VLOOKUP($B380&amp;"__wt",'SegEnds_Xtal_BW#'!$A:$Z,10,FALSE)</f>
        <v>-</v>
      </c>
      <c r="K380" s="12">
        <f>VLOOKUP($B380&amp;"__wt",'SegEnds_Xtal_BW#'!$A:$Z,11,FALSE)</f>
        <v>23</v>
      </c>
      <c r="L380" s="1">
        <f>VLOOKUP($B380&amp;"__wt",'SegEnds_Xtal_BW#'!$A:$Z,12,FALSE)</f>
        <v>59</v>
      </c>
      <c r="M380" s="1" t="str">
        <f>VLOOKUP($B380&amp;"__wt",'SegEnds_Xtal_BW#'!$A:$Z,13,FALSE)</f>
        <v>-</v>
      </c>
      <c r="N380" s="12" t="str">
        <f>VLOOKUP($B380&amp;"__wt",'SegEnds_Xtal_BW#'!$A:$Z,14,FALSE)</f>
        <v>-</v>
      </c>
      <c r="O380" s="87">
        <f>VLOOKUP($B380&amp;"__wt",'SegEnds_Xtal_BW#'!$A:$Z,15,FALSE)</f>
        <v>38</v>
      </c>
      <c r="P380" s="1">
        <f>VLOOKUP($B380&amp;"__wt",'SegEnds_Xtal_BW#'!$A:$Z,16,FALSE)</f>
        <v>63</v>
      </c>
      <c r="Q380" s="1">
        <f>VLOOKUP($B380&amp;"__wt",'SegEnds_Xtal_BW#'!$A:$Z,17,FALSE)</f>
        <v>50</v>
      </c>
      <c r="R380" s="1">
        <f>VLOOKUP($B380&amp;"__wt",'SegEnds_Xtal_BW#'!$A:$Z,18,FALSE)</f>
        <v>52</v>
      </c>
      <c r="S380" s="1">
        <f>VLOOKUP($B380&amp;"__wt",'SegEnds_Xtal_BW#'!$A:$Z,19,FALSE)</f>
        <v>35</v>
      </c>
      <c r="T380" s="1">
        <f>VLOOKUP($B380&amp;"__wt",'SegEnds_Xtal_BW#'!$A:$Z,20,FALSE)</f>
        <v>72</v>
      </c>
      <c r="U380" s="1">
        <f>VLOOKUP($B380&amp;"__wt",'SegEnds_Xtal_BW#'!$A:$Z,21,FALSE)</f>
        <v>24</v>
      </c>
      <c r="V380" s="1">
        <f>VLOOKUP($B380&amp;"__wt",'SegEnds_Xtal_BW#'!$A:$Z,22,FALSE)</f>
        <v>81</v>
      </c>
      <c r="W380" s="1">
        <f>VLOOKUP($B380&amp;"__wt",'SegEnds_Xtal_BW#'!$A:$Z,23,FALSE)</f>
        <v>34</v>
      </c>
      <c r="X380" s="1">
        <f>VLOOKUP($B380&amp;"__wt",'SegEnds_Xtal_BW#'!$A:$Z,24,FALSE)</f>
        <v>57</v>
      </c>
      <c r="Y380" s="1">
        <f>VLOOKUP($B380&amp;"__wt",'SegEnds_Xtal_BW#'!$A:$Z,25,FALSE)</f>
        <v>47</v>
      </c>
      <c r="Z380" s="1">
        <f>VLOOKUP($B380&amp;"__wt",'SegEnds_Xtal_BW#'!$A:$Z,26,FALSE)</f>
        <v>62</v>
      </c>
      <c r="AA380" s="27" t="str">
        <f>VLOOKUP(A380,Classification!A:B,2,FALSE)</f>
        <v>F</v>
      </c>
      <c r="AB380" s="1">
        <f>VLOOKUP(A380,'SegEnds_NonXtal_Prot#'!A:AL,10,FALSE)-VLOOKUP(A380,'SegEnds_NonXtal_Prot#'!A:AL,4,FALSE)</f>
        <v>27</v>
      </c>
      <c r="AC380" s="1">
        <f>VLOOKUP(A380,'SegEnds_NonXtal_Prot#'!A:AL,10,FALSE)-VLOOKUP(A380,'SegEnds_NonXtal_Prot#'!A:AL,7,FALSE)</f>
        <v>13</v>
      </c>
      <c r="AD380" s="1" t="e">
        <f>VLOOKUP(A380,'SegEnds_NonXtal_Prot#'!A:AL,13,FALSE)-VLOOKUP(A380,'SegEnds_NonXtal_Prot#'!A:AL,10,FALSE)</f>
        <v>#VALUE!</v>
      </c>
      <c r="AE380" s="1">
        <f>VLOOKUP(A380,'SegEnds_NonXtal_Prot#'!A:AL,16,FALSE)-VLOOKUP(A380,'SegEnds_NonXtal_Prot#'!A:AL,10,FALSE)</f>
        <v>67</v>
      </c>
      <c r="AF380" s="1" t="e">
        <f>VLOOKUP(A380,'SegEnds_NonXtal_Prot#'!A:AL,22,FALSE)-VLOOKUP(A380,'SegEnds_NonXtal_Prot#'!A:AL,19,FALSE)</f>
        <v>#VALUE!</v>
      </c>
      <c r="AG380" s="1">
        <f>VLOOKUP(A380,'SegEnds_NonXtal_Prot#'!A:AL,28,FALSE)-VLOOKUP(A380,'SegEnds_NonXtal_Prot#'!A:AL,25,FALSE)</f>
        <v>21</v>
      </c>
      <c r="AH380" s="1">
        <f>VLOOKUP(A380,'SegEnds_NonXtal_Prot#'!A:AL,28,FALSE)-VLOOKUP(A380,'SegEnds_NonXtal_Prot#'!A:AL,22,FALSE)</f>
        <v>46</v>
      </c>
      <c r="AI380" s="1">
        <f>VLOOKUP(A380,'SegEnds_NonXtal_Prot#'!A:AL,31,FALSE)-VLOOKUP(A380,'SegEnds_NonXtal_Prot#'!A:AL,28,FALSE)</f>
        <v>57</v>
      </c>
      <c r="AJ380" s="1">
        <f>VLOOKUP(A380,'SegEnds_NonXtal_Prot#'!A:AL,34,FALSE)-VLOOKUP(A380,'SegEnds_NonXtal_Prot#'!A:AL,31,FALSE)</f>
        <v>62</v>
      </c>
      <c r="AK380" s="1">
        <f>VLOOKUP(A380,'SegEnds_NonXtal_Prot#'!A:AL,37,FALSE)-VLOOKUP(A380,'SegEnds_NonXtal_Prot#'!A:AL,34,FALSE)</f>
        <v>11</v>
      </c>
      <c r="AL380" s="1" t="str">
        <f>IF(ISERROR(MATCH(A380,'SegEnds_Xtal_Prot#'!B:B, 0)), "NoXtal", "Xtal")</f>
        <v>Xtal</v>
      </c>
    </row>
    <row r="381" spans="1:38" x14ac:dyDescent="0.2">
      <c r="A381" s="1" t="s">
        <v>33</v>
      </c>
      <c r="B381" s="1" t="str">
        <f>VLOOKUP(A381,Xtal_Templ!A:B,2,FALSE)</f>
        <v>smo_human</v>
      </c>
      <c r="C381" s="5">
        <f>VLOOKUP($B381&amp;"__wt",'SegEnds_Xtal_BW#'!$A:$Z,3,FALSE)</f>
        <v>28</v>
      </c>
      <c r="D381" s="1">
        <f>VLOOKUP($B381&amp;"__wt",'SegEnds_Xtal_BW#'!$A:$Z,4,FALSE)</f>
        <v>60</v>
      </c>
      <c r="E381" s="1">
        <f>VLOOKUP($B381&amp;"__wt",'SegEnds_Xtal_BW#'!$A:$Z,5,FALSE)</f>
        <v>47</v>
      </c>
      <c r="F381" s="1">
        <f>VLOOKUP($B381&amp;"__wt",'SegEnds_Xtal_BW#'!$A:$Z,6,FALSE)</f>
        <v>51</v>
      </c>
      <c r="G381" s="1">
        <v>40</v>
      </c>
      <c r="H381" s="12">
        <f>VLOOKUP($B381&amp;"__wt",'SegEnds_Xtal_BW#'!$A:$Z,8,FALSE)</f>
        <v>63</v>
      </c>
      <c r="I381" s="1" t="str">
        <f>VLOOKUP($B381&amp;"__wt",'SegEnds_Xtal_BW#'!$A:$Z,9,FALSE)</f>
        <v>-</v>
      </c>
      <c r="J381" s="1" t="str">
        <f>VLOOKUP($B381&amp;"__wt",'SegEnds_Xtal_BW#'!$A:$Z,10,FALSE)</f>
        <v>-</v>
      </c>
      <c r="K381" s="12">
        <f>VLOOKUP($B381&amp;"__wt",'SegEnds_Xtal_BW#'!$A:$Z,11,FALSE)</f>
        <v>23</v>
      </c>
      <c r="L381" s="1">
        <f>VLOOKUP($B381&amp;"__wt",'SegEnds_Xtal_BW#'!$A:$Z,12,FALSE)</f>
        <v>59</v>
      </c>
      <c r="M381" s="1" t="str">
        <f>VLOOKUP($B381&amp;"__wt",'SegEnds_Xtal_BW#'!$A:$Z,13,FALSE)</f>
        <v>-</v>
      </c>
      <c r="N381" s="12" t="str">
        <f>VLOOKUP($B381&amp;"__wt",'SegEnds_Xtal_BW#'!$A:$Z,14,FALSE)</f>
        <v>-</v>
      </c>
      <c r="O381" s="87">
        <f>VLOOKUP($B381&amp;"__wt",'SegEnds_Xtal_BW#'!$A:$Z,15,FALSE)</f>
        <v>38</v>
      </c>
      <c r="P381" s="1">
        <f>VLOOKUP($B381&amp;"__wt",'SegEnds_Xtal_BW#'!$A:$Z,16,FALSE)</f>
        <v>63</v>
      </c>
      <c r="Q381" s="1">
        <f>VLOOKUP($B381&amp;"__wt",'SegEnds_Xtal_BW#'!$A:$Z,17,FALSE)</f>
        <v>50</v>
      </c>
      <c r="R381" s="1">
        <f>VLOOKUP($B381&amp;"__wt",'SegEnds_Xtal_BW#'!$A:$Z,18,FALSE)</f>
        <v>52</v>
      </c>
      <c r="S381" s="1">
        <f>VLOOKUP($B381&amp;"__wt",'SegEnds_Xtal_BW#'!$A:$Z,19,FALSE)</f>
        <v>35</v>
      </c>
      <c r="T381" s="1">
        <f>VLOOKUP($B381&amp;"__wt",'SegEnds_Xtal_BW#'!$A:$Z,20,FALSE)</f>
        <v>72</v>
      </c>
      <c r="U381" s="1">
        <f>VLOOKUP($B381&amp;"__wt",'SegEnds_Xtal_BW#'!$A:$Z,21,FALSE)</f>
        <v>24</v>
      </c>
      <c r="V381" s="1">
        <f>VLOOKUP($B381&amp;"__wt",'SegEnds_Xtal_BW#'!$A:$Z,22,FALSE)</f>
        <v>78</v>
      </c>
      <c r="W381" s="1">
        <f>VLOOKUP($B381&amp;"__wt",'SegEnds_Xtal_BW#'!$A:$Z,23,FALSE)</f>
        <v>34</v>
      </c>
      <c r="X381" s="1">
        <f>VLOOKUP($B381&amp;"__wt",'SegEnds_Xtal_BW#'!$A:$Z,24,FALSE)</f>
        <v>57</v>
      </c>
      <c r="Y381" s="1">
        <f>VLOOKUP($B381&amp;"__wt",'SegEnds_Xtal_BW#'!$A:$Z,25,FALSE)</f>
        <v>47</v>
      </c>
      <c r="Z381" s="1">
        <f>VLOOKUP($B381&amp;"__wt",'SegEnds_Xtal_BW#'!$A:$Z,26,FALSE)</f>
        <v>62</v>
      </c>
      <c r="AA381" s="27" t="str">
        <f>VLOOKUP(A381,Classification!A:B,2,FALSE)</f>
        <v>F</v>
      </c>
      <c r="AB381" s="1">
        <f>VLOOKUP(A381,'SegEnds_NonXtal_Prot#'!A:AL,10,FALSE)-VLOOKUP(A381,'SegEnds_NonXtal_Prot#'!A:AL,4,FALSE)</f>
        <v>27</v>
      </c>
      <c r="AC381" s="1">
        <f>VLOOKUP(A381,'SegEnds_NonXtal_Prot#'!A:AL,10,FALSE)-VLOOKUP(A381,'SegEnds_NonXtal_Prot#'!A:AL,7,FALSE)</f>
        <v>13</v>
      </c>
      <c r="AD381" s="1" t="e">
        <f>VLOOKUP(A381,'SegEnds_NonXtal_Prot#'!A:AL,13,FALSE)-VLOOKUP(A381,'SegEnds_NonXtal_Prot#'!A:AL,10,FALSE)</f>
        <v>#VALUE!</v>
      </c>
      <c r="AE381" s="1">
        <f>VLOOKUP(A381,'SegEnds_NonXtal_Prot#'!A:AL,16,FALSE)-VLOOKUP(A381,'SegEnds_NonXtal_Prot#'!A:AL,10,FALSE)</f>
        <v>67</v>
      </c>
      <c r="AF381" s="1" t="e">
        <f>VLOOKUP(A381,'SegEnds_NonXtal_Prot#'!A:AL,22,FALSE)-VLOOKUP(A381,'SegEnds_NonXtal_Prot#'!A:AL,19,FALSE)</f>
        <v>#VALUE!</v>
      </c>
      <c r="AG381" s="1">
        <f>VLOOKUP(A381,'SegEnds_NonXtal_Prot#'!A:AL,28,FALSE)-VLOOKUP(A381,'SegEnds_NonXtal_Prot#'!A:AL,25,FALSE)</f>
        <v>21</v>
      </c>
      <c r="AH381" s="1">
        <f>VLOOKUP(A381,'SegEnds_NonXtal_Prot#'!A:AL,28,FALSE)-VLOOKUP(A381,'SegEnds_NonXtal_Prot#'!A:AL,22,FALSE)</f>
        <v>46</v>
      </c>
      <c r="AI381" s="1">
        <f>VLOOKUP(A381,'SegEnds_NonXtal_Prot#'!A:AL,31,FALSE)-VLOOKUP(A381,'SegEnds_NonXtal_Prot#'!A:AL,28,FALSE)</f>
        <v>57</v>
      </c>
      <c r="AJ381" s="1">
        <f>VLOOKUP(A381,'SegEnds_NonXtal_Prot#'!A:AL,34,FALSE)-VLOOKUP(A381,'SegEnds_NonXtal_Prot#'!A:AL,31,FALSE)</f>
        <v>62</v>
      </c>
      <c r="AK381" s="1">
        <f>VLOOKUP(A381,'SegEnds_NonXtal_Prot#'!A:AL,37,FALSE)-VLOOKUP(A381,'SegEnds_NonXtal_Prot#'!A:AL,34,FALSE)</f>
        <v>11</v>
      </c>
      <c r="AL381" s="1" t="str">
        <f>IF(ISERROR(MATCH(A381,'SegEnds_Xtal_Prot#'!B:B, 0)), "NoXtal", "Xtal")</f>
        <v>Xtal</v>
      </c>
    </row>
    <row r="382" spans="1:38" x14ac:dyDescent="0.2">
      <c r="A382" s="1" t="s">
        <v>481</v>
      </c>
      <c r="B382" s="1" t="str">
        <f>VLOOKUP(A382,Xtal_Templ!A:B,2,FALSE)</f>
        <v>agtr1_human</v>
      </c>
      <c r="C382" s="5">
        <f>VLOOKUP($B382&amp;"__wt",'SegEnds_Xtal_BW#'!$A:$Z,3,FALSE)</f>
        <v>28</v>
      </c>
      <c r="D382" s="1">
        <v>60</v>
      </c>
      <c r="E382" s="1" t="s">
        <v>23</v>
      </c>
      <c r="F382" s="1" t="s">
        <v>23</v>
      </c>
      <c r="G382" s="1">
        <v>39</v>
      </c>
      <c r="H382" s="12">
        <v>63</v>
      </c>
      <c r="I382" s="1" t="s">
        <v>23</v>
      </c>
      <c r="J382" s="1" t="s">
        <v>23</v>
      </c>
      <c r="K382" s="12">
        <v>23</v>
      </c>
      <c r="L382" s="1">
        <v>56</v>
      </c>
      <c r="M382" s="1" t="s">
        <v>23</v>
      </c>
      <c r="N382" s="12" t="s">
        <v>23</v>
      </c>
      <c r="O382" s="87">
        <v>40</v>
      </c>
      <c r="P382" s="1">
        <f>VLOOKUP($B382&amp;"__wt",'SegEnds_Xtal_BW#'!$A:$Z,16,FALSE)</f>
        <v>64</v>
      </c>
      <c r="Q382" s="1" t="s">
        <v>23</v>
      </c>
      <c r="R382" s="1" t="s">
        <v>23</v>
      </c>
      <c r="S382" s="1">
        <v>39</v>
      </c>
      <c r="T382" s="1">
        <v>61</v>
      </c>
      <c r="U382" s="1">
        <v>29</v>
      </c>
      <c r="V382" s="1">
        <v>53</v>
      </c>
      <c r="W382" s="1">
        <v>35</v>
      </c>
      <c r="X382" s="1">
        <v>56</v>
      </c>
      <c r="Y382" s="1">
        <v>47</v>
      </c>
      <c r="Z382" s="1">
        <v>57</v>
      </c>
      <c r="AA382" s="27" t="str">
        <f>VLOOKUP(A382,Classification!A:B,2,FALSE)</f>
        <v>O</v>
      </c>
      <c r="AB382" s="1">
        <f>VLOOKUP(A382,'SegEnds_NonXtal_Prot#'!A:AL,10,FALSE)-VLOOKUP(A382,'SegEnds_NonXtal_Prot#'!A:AL,4,FALSE)</f>
        <v>18</v>
      </c>
      <c r="AC382" s="1" t="e">
        <f>VLOOKUP(A382,'SegEnds_NonXtal_Prot#'!A:AL,10,FALSE)-VLOOKUP(A382,'SegEnds_NonXtal_Prot#'!A:AL,7,FALSE)</f>
        <v>#VALUE!</v>
      </c>
      <c r="AD382" s="1" t="e">
        <f>VLOOKUP(A382,'SegEnds_NonXtal_Prot#'!A:AL,13,FALSE)-VLOOKUP(A382,'SegEnds_NonXtal_Prot#'!A:AL,10,FALSE)</f>
        <v>#VALUE!</v>
      </c>
      <c r="AE382" s="1">
        <f>VLOOKUP(A382,'SegEnds_NonXtal_Prot#'!A:AL,16,FALSE)-VLOOKUP(A382,'SegEnds_NonXtal_Prot#'!A:AL,10,FALSE)</f>
        <v>81</v>
      </c>
      <c r="AF382" s="1" t="e">
        <f>VLOOKUP(A382,'SegEnds_NonXtal_Prot#'!A:AL,22,FALSE)-VLOOKUP(A382,'SegEnds_NonXtal_Prot#'!A:AL,19,FALSE)</f>
        <v>#VALUE!</v>
      </c>
      <c r="AG382" s="1" t="e">
        <f>VLOOKUP(A382,'SegEnds_NonXtal_Prot#'!A:AL,28,FALSE)-VLOOKUP(A382,'SegEnds_NonXtal_Prot#'!A:AL,25,FALSE)</f>
        <v>#VALUE!</v>
      </c>
      <c r="AH382" s="1">
        <f>VLOOKUP(A382,'SegEnds_NonXtal_Prot#'!A:AL,28,FALSE)-VLOOKUP(A382,'SegEnds_NonXtal_Prot#'!A:AL,22,FALSE)</f>
        <v>83</v>
      </c>
      <c r="AI382" s="1">
        <f>VLOOKUP(A382,'SegEnds_NonXtal_Prot#'!A:AL,31,FALSE)-VLOOKUP(A382,'SegEnds_NonXtal_Prot#'!A:AL,28,FALSE)</f>
        <v>79</v>
      </c>
      <c r="AJ382" s="1">
        <f>VLOOKUP(A382,'SegEnds_NonXtal_Prot#'!A:AL,34,FALSE)-VLOOKUP(A382,'SegEnds_NonXtal_Prot#'!A:AL,31,FALSE)</f>
        <v>33</v>
      </c>
      <c r="AK382" s="1">
        <f>VLOOKUP(A382,'SegEnds_NonXtal_Prot#'!A:AL,37,FALSE)-VLOOKUP(A382,'SegEnds_NonXtal_Prot#'!A:AL,34,FALSE)</f>
        <v>10</v>
      </c>
      <c r="AL382" s="1" t="str">
        <f>IF(ISERROR(MATCH(A382,'SegEnds_Xtal_Prot#'!B:B, 0)), "NoXtal", "Xtal")</f>
        <v>NoXtal</v>
      </c>
    </row>
    <row r="383" spans="1:38" x14ac:dyDescent="0.2">
      <c r="A383" s="1" t="s">
        <v>484</v>
      </c>
      <c r="B383" s="1" t="str">
        <f>VLOOKUP(A383,Xtal_Templ!A:B,2,FALSE)</f>
        <v>pe2r4_human</v>
      </c>
      <c r="C383" s="5">
        <f>VLOOKUP($B383&amp;"__wt",'SegEnds_Xtal_BW#'!$A:$Z,3,FALSE)</f>
        <v>33</v>
      </c>
      <c r="D383" s="1">
        <v>60</v>
      </c>
      <c r="E383" s="1" t="s">
        <v>23</v>
      </c>
      <c r="F383" s="1" t="s">
        <v>23</v>
      </c>
      <c r="G383" s="1">
        <v>39</v>
      </c>
      <c r="H383" s="12">
        <v>63</v>
      </c>
      <c r="I383" s="1" t="s">
        <v>23</v>
      </c>
      <c r="J383" s="1" t="s">
        <v>23</v>
      </c>
      <c r="K383" s="12">
        <v>23</v>
      </c>
      <c r="L383" s="1">
        <v>56</v>
      </c>
      <c r="M383" s="1" t="s">
        <v>23</v>
      </c>
      <c r="N383" s="12" t="s">
        <v>23</v>
      </c>
      <c r="O383" s="87">
        <v>40</v>
      </c>
      <c r="P383" s="108">
        <v>61</v>
      </c>
      <c r="Q383" s="1" t="s">
        <v>23</v>
      </c>
      <c r="R383" s="1" t="s">
        <v>23</v>
      </c>
      <c r="S383" s="108">
        <v>40</v>
      </c>
      <c r="T383" s="1">
        <v>61</v>
      </c>
      <c r="U383" s="1">
        <v>29</v>
      </c>
      <c r="V383" s="1">
        <v>53</v>
      </c>
      <c r="W383" s="1">
        <v>35</v>
      </c>
      <c r="X383" s="1">
        <v>56</v>
      </c>
      <c r="Y383" s="1">
        <v>47</v>
      </c>
      <c r="Z383" s="1">
        <v>57</v>
      </c>
      <c r="AA383" s="27" t="str">
        <f>VLOOKUP(A383,Classification!A:B,2,FALSE)</f>
        <v>O</v>
      </c>
      <c r="AB383" s="1">
        <f>VLOOKUP(A383,'SegEnds_NonXtal_Prot#'!A:AL,10,FALSE)-VLOOKUP(A383,'SegEnds_NonXtal_Prot#'!A:AL,4,FALSE)</f>
        <v>32</v>
      </c>
      <c r="AC383" s="1" t="e">
        <f>VLOOKUP(A383,'SegEnds_NonXtal_Prot#'!A:AL,10,FALSE)-VLOOKUP(A383,'SegEnds_NonXtal_Prot#'!A:AL,7,FALSE)</f>
        <v>#VALUE!</v>
      </c>
      <c r="AD383" s="1" t="e">
        <f>VLOOKUP(A383,'SegEnds_NonXtal_Prot#'!A:AL,13,FALSE)-VLOOKUP(A383,'SegEnds_NonXtal_Prot#'!A:AL,10,FALSE)</f>
        <v>#VALUE!</v>
      </c>
      <c r="AE383" s="1">
        <f>VLOOKUP(A383,'SegEnds_NonXtal_Prot#'!A:AL,16,FALSE)-VLOOKUP(A383,'SegEnds_NonXtal_Prot#'!A:AL,10,FALSE)</f>
        <v>45</v>
      </c>
      <c r="AF383" s="1" t="e">
        <f>VLOOKUP(A383,'SegEnds_NonXtal_Prot#'!A:AL,22,FALSE)-VLOOKUP(A383,'SegEnds_NonXtal_Prot#'!A:AL,19,FALSE)</f>
        <v>#VALUE!</v>
      </c>
      <c r="AG383" s="1" t="e">
        <f>VLOOKUP(A383,'SegEnds_NonXtal_Prot#'!A:AL,28,FALSE)-VLOOKUP(A383,'SegEnds_NonXtal_Prot#'!A:AL,25,FALSE)</f>
        <v>#VALUE!</v>
      </c>
      <c r="AH383" s="1">
        <f>VLOOKUP(A383,'SegEnds_NonXtal_Prot#'!A:AL,28,FALSE)-VLOOKUP(A383,'SegEnds_NonXtal_Prot#'!A:AL,22,FALSE)</f>
        <v>25</v>
      </c>
      <c r="AI383" s="1">
        <f>VLOOKUP(A383,'SegEnds_NonXtal_Prot#'!A:AL,31,FALSE)-VLOOKUP(A383,'SegEnds_NonXtal_Prot#'!A:AL,28,FALSE)</f>
        <v>76</v>
      </c>
      <c r="AJ383" s="1">
        <f>VLOOKUP(A383,'SegEnds_NonXtal_Prot#'!A:AL,34,FALSE)-VLOOKUP(A383,'SegEnds_NonXtal_Prot#'!A:AL,31,FALSE)</f>
        <v>36</v>
      </c>
      <c r="AK383" s="1">
        <f>VLOOKUP(A383,'SegEnds_NonXtal_Prot#'!A:AL,37,FALSE)-VLOOKUP(A383,'SegEnds_NonXtal_Prot#'!A:AL,34,FALSE)</f>
        <v>24</v>
      </c>
      <c r="AL383" s="1" t="str">
        <f>IF(ISERROR(MATCH(A383,'SegEnds_Xtal_Prot#'!B:B, 0)), "NoXtal", "Xtal")</f>
        <v>NoXtal</v>
      </c>
    </row>
    <row r="384" spans="1:38" x14ac:dyDescent="0.2">
      <c r="A384" s="1" t="s">
        <v>482</v>
      </c>
      <c r="B384" s="1" t="str">
        <f>VLOOKUP(A384,Xtal_Templ!A:B,2,FALSE)</f>
        <v>ccr9_human</v>
      </c>
      <c r="C384" s="5">
        <f>VLOOKUP($B384&amp;"__wt",'SegEnds_Xtal_BW#'!$A:$Z,3,FALSE)</f>
        <v>27</v>
      </c>
      <c r="D384" s="1">
        <v>60</v>
      </c>
      <c r="E384" s="1" t="s">
        <v>23</v>
      </c>
      <c r="F384" s="1" t="s">
        <v>23</v>
      </c>
      <c r="G384" s="1">
        <v>39</v>
      </c>
      <c r="H384" s="12">
        <v>63</v>
      </c>
      <c r="I384" s="1" t="s">
        <v>23</v>
      </c>
      <c r="J384" s="1" t="s">
        <v>23</v>
      </c>
      <c r="K384" s="12">
        <v>23</v>
      </c>
      <c r="L384" s="1">
        <v>56</v>
      </c>
      <c r="M384" s="1" t="s">
        <v>23</v>
      </c>
      <c r="N384" s="12" t="s">
        <v>23</v>
      </c>
      <c r="O384" s="87">
        <v>40</v>
      </c>
      <c r="P384" s="1">
        <v>64</v>
      </c>
      <c r="Q384" s="1" t="s">
        <v>23</v>
      </c>
      <c r="R384" s="1" t="s">
        <v>23</v>
      </c>
      <c r="S384" s="1">
        <v>39</v>
      </c>
      <c r="T384" s="1">
        <v>61</v>
      </c>
      <c r="U384" s="1">
        <v>29</v>
      </c>
      <c r="V384" s="1">
        <v>53</v>
      </c>
      <c r="W384" s="1">
        <v>35</v>
      </c>
      <c r="X384" s="1">
        <v>56</v>
      </c>
      <c r="Y384" s="1">
        <v>47</v>
      </c>
      <c r="Z384" s="1">
        <v>57</v>
      </c>
      <c r="AA384" s="27" t="str">
        <f>VLOOKUP(A384,Classification!A:B,2,FALSE)</f>
        <v>O</v>
      </c>
      <c r="AB384" s="1">
        <f>VLOOKUP(A384,'SegEnds_NonXtal_Prot#'!A:AL,10,FALSE)-VLOOKUP(A384,'SegEnds_NonXtal_Prot#'!A:AL,4,FALSE)</f>
        <v>49</v>
      </c>
      <c r="AC384" s="1" t="e">
        <f>VLOOKUP(A384,'SegEnds_NonXtal_Prot#'!A:AL,10,FALSE)-VLOOKUP(A384,'SegEnds_NonXtal_Prot#'!A:AL,7,FALSE)</f>
        <v>#VALUE!</v>
      </c>
      <c r="AD384" s="1" t="e">
        <f>VLOOKUP(A384,'SegEnds_NonXtal_Prot#'!A:AL,13,FALSE)-VLOOKUP(A384,'SegEnds_NonXtal_Prot#'!A:AL,10,FALSE)</f>
        <v>#VALUE!</v>
      </c>
      <c r="AE384" s="1">
        <f>VLOOKUP(A384,'SegEnds_NonXtal_Prot#'!A:AL,16,FALSE)-VLOOKUP(A384,'SegEnds_NonXtal_Prot#'!A:AL,10,FALSE)</f>
        <v>74</v>
      </c>
      <c r="AF384" s="1" t="e">
        <f>VLOOKUP(A384,'SegEnds_NonXtal_Prot#'!A:AL,22,FALSE)-VLOOKUP(A384,'SegEnds_NonXtal_Prot#'!A:AL,19,FALSE)</f>
        <v>#VALUE!</v>
      </c>
      <c r="AG384" s="1" t="e">
        <f>VLOOKUP(A384,'SegEnds_NonXtal_Prot#'!A:AL,28,FALSE)-VLOOKUP(A384,'SegEnds_NonXtal_Prot#'!A:AL,25,FALSE)</f>
        <v>#VALUE!</v>
      </c>
      <c r="AH384" s="1">
        <f>VLOOKUP(A384,'SegEnds_NonXtal_Prot#'!A:AL,28,FALSE)-VLOOKUP(A384,'SegEnds_NonXtal_Prot#'!A:AL,22,FALSE)</f>
        <v>81</v>
      </c>
      <c r="AI384" s="1">
        <f>VLOOKUP(A384,'SegEnds_NonXtal_Prot#'!A:AL,31,FALSE)-VLOOKUP(A384,'SegEnds_NonXtal_Prot#'!A:AL,28,FALSE)</f>
        <v>37</v>
      </c>
      <c r="AJ384" s="1">
        <f>VLOOKUP(A384,'SegEnds_NonXtal_Prot#'!A:AL,34,FALSE)-VLOOKUP(A384,'SegEnds_NonXtal_Prot#'!A:AL,31,FALSE)</f>
        <v>44</v>
      </c>
      <c r="AK384" s="1">
        <f>VLOOKUP(A384,'SegEnds_NonXtal_Prot#'!A:AL,37,FALSE)-VLOOKUP(A384,'SegEnds_NonXtal_Prot#'!A:AL,34,FALSE)</f>
        <v>11</v>
      </c>
      <c r="AL384" s="1" t="str">
        <f>IF(ISERROR(MATCH(A384,'SegEnds_Xtal_Prot#'!B:B, 0)), "NoXtal", "Xtal")</f>
        <v>NoXtal</v>
      </c>
    </row>
    <row r="385" spans="1:38" x14ac:dyDescent="0.2">
      <c r="A385" s="1" t="s">
        <v>486</v>
      </c>
      <c r="B385" s="1" t="str">
        <f>VLOOKUP(A385,Xtal_Templ!A:B,2,FALSE)</f>
        <v>5ht2c_human</v>
      </c>
      <c r="C385" s="5">
        <f>VLOOKUP($B385&amp;"__wt",'SegEnds_Xtal_BW#'!$A:$Z,3,FALSE)</f>
        <v>33</v>
      </c>
      <c r="D385" s="1">
        <v>60</v>
      </c>
      <c r="E385" s="1" t="s">
        <v>23</v>
      </c>
      <c r="F385" s="1" t="s">
        <v>23</v>
      </c>
      <c r="G385" s="1">
        <v>39</v>
      </c>
      <c r="H385" s="12">
        <v>63</v>
      </c>
      <c r="I385" s="1" t="s">
        <v>23</v>
      </c>
      <c r="J385" s="1" t="s">
        <v>23</v>
      </c>
      <c r="K385" s="12">
        <v>23</v>
      </c>
      <c r="L385" s="1">
        <v>56</v>
      </c>
      <c r="M385" s="1" t="s">
        <v>23</v>
      </c>
      <c r="N385" s="12" t="s">
        <v>23</v>
      </c>
      <c r="O385" s="87">
        <v>40</v>
      </c>
      <c r="P385" s="1">
        <v>64</v>
      </c>
      <c r="Q385" s="1" t="s">
        <v>23</v>
      </c>
      <c r="R385" s="1" t="s">
        <v>23</v>
      </c>
      <c r="S385" s="1">
        <v>39</v>
      </c>
      <c r="T385" s="1">
        <v>61</v>
      </c>
      <c r="U385" s="1">
        <v>29</v>
      </c>
      <c r="V385" s="1">
        <v>53</v>
      </c>
      <c r="W385" s="1">
        <v>35</v>
      </c>
      <c r="X385" s="1">
        <v>56</v>
      </c>
      <c r="Y385" s="1">
        <v>47</v>
      </c>
      <c r="Z385" s="1">
        <v>57</v>
      </c>
      <c r="AA385" s="27" t="str">
        <f>VLOOKUP(A385,Classification!A:B,2,FALSE)</f>
        <v>O</v>
      </c>
      <c r="AB385" s="1">
        <f>VLOOKUP(A385,'SegEnds_NonXtal_Prot#'!A:AL,10,FALSE)-VLOOKUP(A385,'SegEnds_NonXtal_Prot#'!A:AL,4,FALSE)</f>
        <v>28</v>
      </c>
      <c r="AC385" s="1" t="e">
        <f>VLOOKUP(A385,'SegEnds_NonXtal_Prot#'!A:AL,10,FALSE)-VLOOKUP(A385,'SegEnds_NonXtal_Prot#'!A:AL,7,FALSE)</f>
        <v>#VALUE!</v>
      </c>
      <c r="AD385" s="1" t="e">
        <f>VLOOKUP(A385,'SegEnds_NonXtal_Prot#'!A:AL,13,FALSE)-VLOOKUP(A385,'SegEnds_NonXtal_Prot#'!A:AL,10,FALSE)</f>
        <v>#VALUE!</v>
      </c>
      <c r="AE385" s="1">
        <f>VLOOKUP(A385,'SegEnds_NonXtal_Prot#'!A:AL,16,FALSE)-VLOOKUP(A385,'SegEnds_NonXtal_Prot#'!A:AL,10,FALSE)</f>
        <v>47</v>
      </c>
      <c r="AF385" s="1" t="e">
        <f>VLOOKUP(A385,'SegEnds_NonXtal_Prot#'!A:AL,22,FALSE)-VLOOKUP(A385,'SegEnds_NonXtal_Prot#'!A:AL,19,FALSE)</f>
        <v>#VALUE!</v>
      </c>
      <c r="AG385" s="1" t="e">
        <f>VLOOKUP(A385,'SegEnds_NonXtal_Prot#'!A:AL,28,FALSE)-VLOOKUP(A385,'SegEnds_NonXtal_Prot#'!A:AL,25,FALSE)</f>
        <v>#VALUE!</v>
      </c>
      <c r="AH385" s="1">
        <f>VLOOKUP(A385,'SegEnds_NonXtal_Prot#'!A:AL,28,FALSE)-VLOOKUP(A385,'SegEnds_NonXtal_Prot#'!A:AL,22,FALSE)</f>
        <v>29</v>
      </c>
      <c r="AI385" s="1">
        <f>VLOOKUP(A385,'SegEnds_NonXtal_Prot#'!A:AL,31,FALSE)-VLOOKUP(A385,'SegEnds_NonXtal_Prot#'!A:AL,28,FALSE)</f>
        <v>67</v>
      </c>
      <c r="AJ385" s="1">
        <f>VLOOKUP(A385,'SegEnds_NonXtal_Prot#'!A:AL,34,FALSE)-VLOOKUP(A385,'SegEnds_NonXtal_Prot#'!A:AL,31,FALSE)</f>
        <v>45</v>
      </c>
      <c r="AK385" s="1">
        <f>VLOOKUP(A385,'SegEnds_NonXtal_Prot#'!A:AL,37,FALSE)-VLOOKUP(A385,'SegEnds_NonXtal_Prot#'!A:AL,34,FALSE)</f>
        <v>18</v>
      </c>
      <c r="AL385" s="1" t="str">
        <f>IF(ISERROR(MATCH(A385,'SegEnds_Xtal_Prot#'!B:B, 0)), "NoXtal", "Xtal")</f>
        <v>NoXtal</v>
      </c>
    </row>
    <row r="386" spans="1:38" x14ac:dyDescent="0.2">
      <c r="A386" s="4" t="s">
        <v>485</v>
      </c>
      <c r="B386" s="4" t="str">
        <f>VLOOKUP(A386,Xtal_Templ!A:B,2,FALSE)</f>
        <v>aa2ar_human</v>
      </c>
      <c r="C386" s="5">
        <f>VLOOKUP($B386&amp;"__wt",'SegEnds_Xtal_BW#'!$A:$Z,3,FALSE)</f>
        <v>27</v>
      </c>
      <c r="D386" s="4">
        <v>60</v>
      </c>
      <c r="E386" s="4" t="s">
        <v>23</v>
      </c>
      <c r="F386" s="4" t="s">
        <v>23</v>
      </c>
      <c r="G386" s="4">
        <v>39</v>
      </c>
      <c r="H386" s="11">
        <v>63</v>
      </c>
      <c r="I386" s="4" t="s">
        <v>23</v>
      </c>
      <c r="J386" s="4" t="s">
        <v>23</v>
      </c>
      <c r="K386" s="11">
        <v>23</v>
      </c>
      <c r="L386" s="4">
        <v>56</v>
      </c>
      <c r="M386" s="4" t="s">
        <v>23</v>
      </c>
      <c r="N386" s="11" t="s">
        <v>23</v>
      </c>
      <c r="O386" s="88">
        <v>40</v>
      </c>
      <c r="P386" s="4">
        <v>64</v>
      </c>
      <c r="Q386" s="4" t="s">
        <v>23</v>
      </c>
      <c r="R386" s="4" t="s">
        <v>23</v>
      </c>
      <c r="S386" s="4">
        <v>39</v>
      </c>
      <c r="T386" s="4">
        <v>61</v>
      </c>
      <c r="U386" s="4">
        <v>29</v>
      </c>
      <c r="V386" s="4">
        <v>53</v>
      </c>
      <c r="W386" s="4">
        <v>35</v>
      </c>
      <c r="X386" s="4">
        <v>56</v>
      </c>
      <c r="Y386" s="4">
        <v>47</v>
      </c>
      <c r="Z386" s="4">
        <v>57</v>
      </c>
      <c r="AA386" s="27" t="str">
        <f>VLOOKUP(A386,Classification!A:B,2,FALSE)</f>
        <v>O</v>
      </c>
      <c r="AB386" s="1">
        <f>VLOOKUP(A386,'SegEnds_NonXtal_Prot#'!A:AL,10,FALSE)-VLOOKUP(A386,'SegEnds_NonXtal_Prot#'!A:AL,4,FALSE)</f>
        <v>36</v>
      </c>
      <c r="AC386" s="4" t="e">
        <f>VLOOKUP(A386,'SegEnds_NonXtal_Prot#'!A:AL,10,FALSE)-VLOOKUP(A386,'SegEnds_NonXtal_Prot#'!A:AL,7,FALSE)</f>
        <v>#VALUE!</v>
      </c>
      <c r="AD386" s="4" t="e">
        <f>VLOOKUP(A386,'SegEnds_NonXtal_Prot#'!A:AL,13,FALSE)-VLOOKUP(A386,'SegEnds_NonXtal_Prot#'!A:AL,10,FALSE)</f>
        <v>#VALUE!</v>
      </c>
      <c r="AE386" s="4">
        <f>VLOOKUP(A386,'SegEnds_NonXtal_Prot#'!A:AL,16,FALSE)-VLOOKUP(A386,'SegEnds_NonXtal_Prot#'!A:AL,10,FALSE)</f>
        <v>63</v>
      </c>
      <c r="AF386" s="1" t="e">
        <f>VLOOKUP(A386,'SegEnds_NonXtal_Prot#'!A:AL,22,FALSE)-VLOOKUP(A386,'SegEnds_NonXtal_Prot#'!A:AL,19,FALSE)</f>
        <v>#VALUE!</v>
      </c>
      <c r="AG386" s="4" t="e">
        <f>VLOOKUP(A386,'SegEnds_NonXtal_Prot#'!A:AL,28,FALSE)-VLOOKUP(A386,'SegEnds_NonXtal_Prot#'!A:AL,25,FALSE)</f>
        <v>#VALUE!</v>
      </c>
      <c r="AH386" s="1">
        <f>VLOOKUP(A386,'SegEnds_NonXtal_Prot#'!A:AL,28,FALSE)-VLOOKUP(A386,'SegEnds_NonXtal_Prot#'!A:AL,22,FALSE)</f>
        <v>39</v>
      </c>
      <c r="AI386" s="4">
        <f>VLOOKUP(A386,'SegEnds_NonXtal_Prot#'!A:AL,31,FALSE)-VLOOKUP(A386,'SegEnds_NonXtal_Prot#'!A:AL,28,FALSE)</f>
        <v>58</v>
      </c>
      <c r="AJ386" s="4">
        <f>VLOOKUP(A386,'SegEnds_NonXtal_Prot#'!A:AL,34,FALSE)-VLOOKUP(A386,'SegEnds_NonXtal_Prot#'!A:AL,31,FALSE)</f>
        <v>49</v>
      </c>
      <c r="AK386" s="1">
        <f>VLOOKUP(A386,'SegEnds_NonXtal_Prot#'!A:AL,37,FALSE)-VLOOKUP(A386,'SegEnds_NonXtal_Prot#'!A:AL,34,FALSE)</f>
        <v>10</v>
      </c>
      <c r="AL386" s="1" t="str">
        <f>IF(ISERROR(MATCH(A386,'SegEnds_Xtal_Prot#'!B:B, 0)), "NoXtal", "Xtal")</f>
        <v>NoXtal</v>
      </c>
    </row>
    <row r="387" spans="1:38" x14ac:dyDescent="0.2">
      <c r="A387" s="1" t="s">
        <v>930</v>
      </c>
      <c r="B387" s="1" t="str">
        <f>VLOOKUP(A387,Xtal_Templ!A:B,2,FALSE)</f>
        <v>5ht2c_human</v>
      </c>
      <c r="C387" s="5">
        <v>32</v>
      </c>
      <c r="D387" s="1">
        <v>62</v>
      </c>
      <c r="E387" s="1">
        <f>VLOOKUP($B387&amp;"__wt",'SegEnds_Xtal_BW#'!$A:$Z,5,FALSE)</f>
        <v>48</v>
      </c>
      <c r="F387" s="1">
        <f>VLOOKUP($B387&amp;"__wt",'SegEnds_Xtal_BW#'!$A:$Z,6,FALSE)</f>
        <v>51</v>
      </c>
      <c r="G387" s="1">
        <v>39</v>
      </c>
      <c r="H387" s="12">
        <v>66</v>
      </c>
      <c r="I387" s="1" t="s">
        <v>23</v>
      </c>
      <c r="J387" s="1" t="s">
        <v>23</v>
      </c>
      <c r="K387" s="12">
        <v>21</v>
      </c>
      <c r="L387" s="1">
        <f>VLOOKUP($B387&amp;"__wt",'SegEnds_Xtal_BW#'!$A:$Z,12,FALSE)</f>
        <v>56</v>
      </c>
      <c r="M387" s="1">
        <f>VLOOKUP($B387&amp;"__wt",'SegEnds_Xtal_BW#'!$A:$Z,13,FALSE)</f>
        <v>50</v>
      </c>
      <c r="N387" s="12">
        <v>57</v>
      </c>
      <c r="O387" s="88">
        <v>38</v>
      </c>
      <c r="P387" s="1">
        <f>VLOOKUP($B387&amp;"__wt",'SegEnds_Xtal_BW#'!$A:$Z,16,FALSE)</f>
        <v>67</v>
      </c>
      <c r="Q387" s="1">
        <f>VLOOKUP($B387&amp;"__wt",'SegEnds_Xtal_BW#'!$A:$Z,17,FALSE)</f>
        <v>50</v>
      </c>
      <c r="R387" s="1">
        <f>VLOOKUP($B387&amp;"__wt",'SegEnds_Xtal_BW#'!$A:$Z,18,FALSE)</f>
        <v>52</v>
      </c>
      <c r="S387" s="1">
        <v>32</v>
      </c>
      <c r="T387" s="1">
        <v>72</v>
      </c>
      <c r="U387" s="1">
        <v>29</v>
      </c>
      <c r="V387" s="1">
        <v>61</v>
      </c>
      <c r="W387" s="1">
        <v>33</v>
      </c>
      <c r="X387" s="1">
        <f>VLOOKUP($B387&amp;"__wt",'SegEnds_Xtal_BW#'!$A:$Z,24,FALSE)</f>
        <v>56</v>
      </c>
      <c r="Y387" s="1">
        <f>VLOOKUP($B387&amp;"__wt",'SegEnds_Xtal_BW#'!$A:$Z,25,FALSE)</f>
        <v>47</v>
      </c>
      <c r="Z387" s="1">
        <v>60</v>
      </c>
      <c r="AA387" s="27" t="str">
        <f>VLOOKUP(A387,Classification!A:B,2,FALSE)</f>
        <v>T</v>
      </c>
      <c r="AB387" s="1">
        <f>VLOOKUP(A387,'SegEnds_NonXtal_Prot#'!A:AL,10,FALSE)-VLOOKUP(A387,'SegEnds_NonXtal_Prot#'!A:AL,4,FALSE)</f>
        <v>31</v>
      </c>
      <c r="AC387" s="1">
        <f>VLOOKUP(A387,'SegEnds_NonXtal_Prot#'!A:AL,10,FALSE)-VLOOKUP(A387,'SegEnds_NonXtal_Prot#'!A:AL,7,FALSE)</f>
        <v>16</v>
      </c>
      <c r="AD387" s="1" t="e">
        <f>VLOOKUP(A387,'SegEnds_NonXtal_Prot#'!A:AL,13,FALSE)-VLOOKUP(A387,'SegEnds_NonXtal_Prot#'!A:AL,10,FALSE)</f>
        <v>#VALUE!</v>
      </c>
      <c r="AE387" s="1">
        <f>VLOOKUP(A387,'SegEnds_NonXtal_Prot#'!A:AL,16,FALSE)-VLOOKUP(A387,'SegEnds_NonXtal_Prot#'!A:AL,10,FALSE)</f>
        <v>51</v>
      </c>
      <c r="AF387" s="1">
        <f>VLOOKUP(A387,'SegEnds_NonXtal_Prot#'!A:AL,22,FALSE)-VLOOKUP(A387,'SegEnds_NonXtal_Prot#'!A:AL,19,FALSE)</f>
        <v>20</v>
      </c>
      <c r="AG387" s="1" t="e">
        <f>VLOOKUP(A387,'SegEnds_NonXtal_Prot#'!A:AL,28,FALSE)-VLOOKUP(A387,'SegEnds_NonXtal_Prot#'!A:AL,25,FALSE)</f>
        <v>#VALUE!</v>
      </c>
      <c r="AH387" s="1">
        <f>VLOOKUP(A387,'SegEnds_NonXtal_Prot#'!A:AL,28,FALSE)-VLOOKUP(A387,'SegEnds_NonXtal_Prot#'!A:AL,22,FALSE)</f>
        <v>52</v>
      </c>
      <c r="AI387" s="1">
        <f>VLOOKUP(A387,'SegEnds_NonXtal_Prot#'!A:AL,31,FALSE)-VLOOKUP(A387,'SegEnds_NonXtal_Prot#'!A:AL,28,FALSE)</f>
        <v>56</v>
      </c>
      <c r="AJ387" s="1">
        <f>VLOOKUP(A387,'SegEnds_NonXtal_Prot#'!A:AL,34,FALSE)-VLOOKUP(A387,'SegEnds_NonXtal_Prot#'!A:AL,31,FALSE)</f>
        <v>33</v>
      </c>
      <c r="AK387" s="1">
        <f>VLOOKUP(A387,'SegEnds_NonXtal_Prot#'!A:AL,37,FALSE)-VLOOKUP(A387,'SegEnds_NonXtal_Prot#'!A:AL,34,FALSE)</f>
        <v>10</v>
      </c>
      <c r="AL387" s="1" t="str">
        <f>IF(ISERROR(MATCH(A387,'SegEnds_Xtal_Prot#'!B:B, 0)), "NoXtal", "Xtal")</f>
        <v>NoXtal</v>
      </c>
    </row>
    <row r="388" spans="1:38" x14ac:dyDescent="0.2">
      <c r="A388" s="1" t="s">
        <v>457</v>
      </c>
      <c r="B388" s="1" t="str">
        <f>VLOOKUP(A388,Xtal_Templ!A:B,2,FALSE)</f>
        <v>5ht2a_human</v>
      </c>
      <c r="C388" s="5">
        <v>32</v>
      </c>
      <c r="D388" s="1">
        <v>62</v>
      </c>
      <c r="E388" s="1">
        <f>VLOOKUP($B388&amp;"__wt",'SegEnds_Xtal_BW#'!$A:$Z,5,FALSE)</f>
        <v>48</v>
      </c>
      <c r="F388" s="1">
        <f>VLOOKUP($B388&amp;"__wt",'SegEnds_Xtal_BW#'!$A:$Z,6,FALSE)</f>
        <v>51</v>
      </c>
      <c r="G388" s="1">
        <v>39</v>
      </c>
      <c r="H388" s="12">
        <v>67</v>
      </c>
      <c r="I388" s="1" t="s">
        <v>23</v>
      </c>
      <c r="J388" s="1" t="s">
        <v>23</v>
      </c>
      <c r="K388" s="12">
        <v>21</v>
      </c>
      <c r="L388" s="1">
        <f>VLOOKUP($B388&amp;"__wt",'SegEnds_Xtal_BW#'!$A:$Z,12,FALSE)</f>
        <v>56</v>
      </c>
      <c r="M388" s="1">
        <f>VLOOKUP($B388&amp;"__wt",'SegEnds_Xtal_BW#'!$A:$Z,13,FALSE)</f>
        <v>50</v>
      </c>
      <c r="N388" s="12">
        <v>57</v>
      </c>
      <c r="O388" s="87">
        <v>38</v>
      </c>
      <c r="P388" s="1">
        <f>VLOOKUP($B388&amp;"__wt",'SegEnds_Xtal_BW#'!$A:$Z,16,FALSE)</f>
        <v>67</v>
      </c>
      <c r="Q388" s="1">
        <f>VLOOKUP($B388&amp;"__wt",'SegEnds_Xtal_BW#'!$A:$Z,17,FALSE)</f>
        <v>50</v>
      </c>
      <c r="R388" s="1">
        <f>VLOOKUP($B388&amp;"__wt",'SegEnds_Xtal_BW#'!$A:$Z,18,FALSE)</f>
        <v>52</v>
      </c>
      <c r="S388" s="1">
        <v>32</v>
      </c>
      <c r="T388" s="1">
        <v>72</v>
      </c>
      <c r="U388" s="1">
        <v>29</v>
      </c>
      <c r="V388" s="1">
        <v>61</v>
      </c>
      <c r="W388" s="1">
        <v>31</v>
      </c>
      <c r="X388" s="1">
        <f>VLOOKUP($B388&amp;"__wt",'SegEnds_Xtal_BW#'!$A:$Z,24,FALSE)</f>
        <v>56</v>
      </c>
      <c r="Y388" s="1">
        <f>VLOOKUP($B388&amp;"__wt",'SegEnds_Xtal_BW#'!$A:$Z,25,FALSE)</f>
        <v>47</v>
      </c>
      <c r="Z388" s="1">
        <v>60</v>
      </c>
      <c r="AA388" s="27" t="str">
        <f>VLOOKUP(A388,Classification!A:B,2,FALSE)</f>
        <v>T</v>
      </c>
      <c r="AB388" s="1">
        <f>VLOOKUP(A388,'SegEnds_NonXtal_Prot#'!A:AL,10,FALSE)-VLOOKUP(A388,'SegEnds_NonXtal_Prot#'!A:AL,4,FALSE)</f>
        <v>31</v>
      </c>
      <c r="AC388" s="1">
        <f>VLOOKUP(A388,'SegEnds_NonXtal_Prot#'!A:AL,10,FALSE)-VLOOKUP(A388,'SegEnds_NonXtal_Prot#'!A:AL,7,FALSE)</f>
        <v>16</v>
      </c>
      <c r="AD388" s="1" t="e">
        <f>VLOOKUP(A388,'SegEnds_NonXtal_Prot#'!A:AL,13,FALSE)-VLOOKUP(A388,'SegEnds_NonXtal_Prot#'!A:AL,10,FALSE)</f>
        <v>#VALUE!</v>
      </c>
      <c r="AE388" s="1">
        <f>VLOOKUP(A388,'SegEnds_NonXtal_Prot#'!A:AL,16,FALSE)-VLOOKUP(A388,'SegEnds_NonXtal_Prot#'!A:AL,10,FALSE)</f>
        <v>52</v>
      </c>
      <c r="AF388" s="1">
        <f>VLOOKUP(A388,'SegEnds_NonXtal_Prot#'!A:AL,22,FALSE)-VLOOKUP(A388,'SegEnds_NonXtal_Prot#'!A:AL,19,FALSE)</f>
        <v>20</v>
      </c>
      <c r="AG388" s="1" t="e">
        <f>VLOOKUP(A388,'SegEnds_NonXtal_Prot#'!A:AL,28,FALSE)-VLOOKUP(A388,'SegEnds_NonXtal_Prot#'!A:AL,25,FALSE)</f>
        <v>#VALUE!</v>
      </c>
      <c r="AH388" s="1">
        <f>VLOOKUP(A388,'SegEnds_NonXtal_Prot#'!A:AL,28,FALSE)-VLOOKUP(A388,'SegEnds_NonXtal_Prot#'!A:AL,22,FALSE)</f>
        <v>54</v>
      </c>
      <c r="AI388" s="1">
        <f>VLOOKUP(A388,'SegEnds_NonXtal_Prot#'!A:AL,31,FALSE)-VLOOKUP(A388,'SegEnds_NonXtal_Prot#'!A:AL,28,FALSE)</f>
        <v>53</v>
      </c>
      <c r="AJ388" s="1">
        <f>VLOOKUP(A388,'SegEnds_NonXtal_Prot#'!A:AL,34,FALSE)-VLOOKUP(A388,'SegEnds_NonXtal_Prot#'!A:AL,31,FALSE)</f>
        <v>35</v>
      </c>
      <c r="AK388" s="1">
        <f>VLOOKUP(A388,'SegEnds_NonXtal_Prot#'!A:AL,37,FALSE)-VLOOKUP(A388,'SegEnds_NonXtal_Prot#'!A:AL,34,FALSE)</f>
        <v>10</v>
      </c>
      <c r="AL388" s="1" t="str">
        <f>IF(ISERROR(MATCH(A388,'SegEnds_Xtal_Prot#'!B:B, 0)), "NoXtal", "Xtal")</f>
        <v>NoXtal</v>
      </c>
    </row>
    <row r="389" spans="1:38" x14ac:dyDescent="0.2">
      <c r="A389" s="1" t="s">
        <v>458</v>
      </c>
      <c r="B389" s="1" t="str">
        <f>VLOOKUP(A389,Xtal_Templ!A:B,2,FALSE)</f>
        <v>5ht2c_human</v>
      </c>
      <c r="C389" s="5">
        <v>32</v>
      </c>
      <c r="D389" s="1">
        <v>62</v>
      </c>
      <c r="E389" s="1">
        <f>VLOOKUP($B389&amp;"__wt",'SegEnds_Xtal_BW#'!$A:$Z,5,FALSE)</f>
        <v>48</v>
      </c>
      <c r="F389" s="1">
        <f>VLOOKUP($B389&amp;"__wt",'SegEnds_Xtal_BW#'!$A:$Z,6,FALSE)</f>
        <v>51</v>
      </c>
      <c r="G389" s="1">
        <v>39</v>
      </c>
      <c r="H389" s="12">
        <v>67</v>
      </c>
      <c r="I389" s="1" t="s">
        <v>23</v>
      </c>
      <c r="J389" s="1" t="s">
        <v>23</v>
      </c>
      <c r="K389" s="12">
        <v>21</v>
      </c>
      <c r="L389" s="1">
        <f>VLOOKUP($B389&amp;"__wt",'SegEnds_Xtal_BW#'!$A:$Z,12,FALSE)</f>
        <v>56</v>
      </c>
      <c r="M389" s="1">
        <f>VLOOKUP($B389&amp;"__wt",'SegEnds_Xtal_BW#'!$A:$Z,13,FALSE)</f>
        <v>50</v>
      </c>
      <c r="N389" s="12">
        <v>57</v>
      </c>
      <c r="O389" s="87">
        <v>38</v>
      </c>
      <c r="P389" s="1">
        <f>VLOOKUP($B389&amp;"__wt",'SegEnds_Xtal_BW#'!$A:$Z,16,FALSE)</f>
        <v>67</v>
      </c>
      <c r="Q389" s="1">
        <f>VLOOKUP($B389&amp;"__wt",'SegEnds_Xtal_BW#'!$A:$Z,17,FALSE)</f>
        <v>50</v>
      </c>
      <c r="R389" s="1">
        <f>VLOOKUP($B389&amp;"__wt",'SegEnds_Xtal_BW#'!$A:$Z,18,FALSE)</f>
        <v>52</v>
      </c>
      <c r="S389" s="1">
        <v>32</v>
      </c>
      <c r="T389" s="1">
        <v>72</v>
      </c>
      <c r="U389" s="1">
        <v>29</v>
      </c>
      <c r="V389" s="1">
        <v>61</v>
      </c>
      <c r="W389" s="1">
        <v>31</v>
      </c>
      <c r="X389" s="1">
        <f>VLOOKUP($B389&amp;"__wt",'SegEnds_Xtal_BW#'!$A:$Z,24,FALSE)</f>
        <v>56</v>
      </c>
      <c r="Y389" s="1">
        <f>VLOOKUP($B389&amp;"__wt",'SegEnds_Xtal_BW#'!$A:$Z,25,FALSE)</f>
        <v>47</v>
      </c>
      <c r="Z389" s="1">
        <v>60</v>
      </c>
      <c r="AA389" s="27" t="str">
        <f>VLOOKUP(A389,Classification!A:B,2,FALSE)</f>
        <v>T</v>
      </c>
      <c r="AB389" s="1">
        <f>VLOOKUP(A389,'SegEnds_NonXtal_Prot#'!A:AL,10,FALSE)-VLOOKUP(A389,'SegEnds_NonXtal_Prot#'!A:AL,4,FALSE)</f>
        <v>31</v>
      </c>
      <c r="AC389" s="1">
        <f>VLOOKUP(A389,'SegEnds_NonXtal_Prot#'!A:AL,10,FALSE)-VLOOKUP(A389,'SegEnds_NonXtal_Prot#'!A:AL,7,FALSE)</f>
        <v>16</v>
      </c>
      <c r="AD389" s="1" t="e">
        <f>VLOOKUP(A389,'SegEnds_NonXtal_Prot#'!A:AL,13,FALSE)-VLOOKUP(A389,'SegEnds_NonXtal_Prot#'!A:AL,10,FALSE)</f>
        <v>#VALUE!</v>
      </c>
      <c r="AE389" s="1">
        <f>VLOOKUP(A389,'SegEnds_NonXtal_Prot#'!A:AL,16,FALSE)-VLOOKUP(A389,'SegEnds_NonXtal_Prot#'!A:AL,10,FALSE)</f>
        <v>52</v>
      </c>
      <c r="AF389" s="1">
        <f>VLOOKUP(A389,'SegEnds_NonXtal_Prot#'!A:AL,22,FALSE)-VLOOKUP(A389,'SegEnds_NonXtal_Prot#'!A:AL,19,FALSE)</f>
        <v>20</v>
      </c>
      <c r="AG389" s="1" t="e">
        <f>VLOOKUP(A389,'SegEnds_NonXtal_Prot#'!A:AL,28,FALSE)-VLOOKUP(A389,'SegEnds_NonXtal_Prot#'!A:AL,25,FALSE)</f>
        <v>#VALUE!</v>
      </c>
      <c r="AH389" s="1">
        <f>VLOOKUP(A389,'SegEnds_NonXtal_Prot#'!A:AL,28,FALSE)-VLOOKUP(A389,'SegEnds_NonXtal_Prot#'!A:AL,22,FALSE)</f>
        <v>54</v>
      </c>
      <c r="AI389" s="1">
        <f>VLOOKUP(A389,'SegEnds_NonXtal_Prot#'!A:AL,31,FALSE)-VLOOKUP(A389,'SegEnds_NonXtal_Prot#'!A:AL,28,FALSE)</f>
        <v>52</v>
      </c>
      <c r="AJ389" s="1">
        <f>VLOOKUP(A389,'SegEnds_NonXtal_Prot#'!A:AL,34,FALSE)-VLOOKUP(A389,'SegEnds_NonXtal_Prot#'!A:AL,31,FALSE)</f>
        <v>35</v>
      </c>
      <c r="AK389" s="1">
        <f>VLOOKUP(A389,'SegEnds_NonXtal_Prot#'!A:AL,37,FALSE)-VLOOKUP(A389,'SegEnds_NonXtal_Prot#'!A:AL,34,FALSE)</f>
        <v>10</v>
      </c>
      <c r="AL389" s="1" t="str">
        <f>IF(ISERROR(MATCH(A389,'SegEnds_Xtal_Prot#'!B:B, 0)), "NoXtal", "Xtal")</f>
        <v>NoXtal</v>
      </c>
    </row>
    <row r="390" spans="1:38" x14ac:dyDescent="0.2">
      <c r="A390" s="1" t="s">
        <v>459</v>
      </c>
      <c r="B390" s="1" t="str">
        <f>VLOOKUP(A390,Xtal_Templ!A:B,2,FALSE)</f>
        <v>pd2r2_human</v>
      </c>
      <c r="C390" s="5">
        <v>32</v>
      </c>
      <c r="D390" s="1">
        <v>62</v>
      </c>
      <c r="E390" s="1" t="str">
        <f>VLOOKUP($B390&amp;"__wt",'SegEnds_Xtal_BW#'!$A:$Z,5,FALSE)</f>
        <v>-</v>
      </c>
      <c r="F390" s="1" t="str">
        <f>VLOOKUP($B390&amp;"__wt",'SegEnds_Xtal_BW#'!$A:$Z,6,FALSE)</f>
        <v>-</v>
      </c>
      <c r="G390" s="1">
        <v>39</v>
      </c>
      <c r="H390" s="12">
        <v>66</v>
      </c>
      <c r="I390" s="1" t="s">
        <v>23</v>
      </c>
      <c r="J390" s="1" t="s">
        <v>23</v>
      </c>
      <c r="K390" s="12">
        <v>24</v>
      </c>
      <c r="L390" s="1">
        <f>VLOOKUP($B390&amp;"__wt",'SegEnds_Xtal_BW#'!$A:$Z,12,FALSE)</f>
        <v>56</v>
      </c>
      <c r="M390" s="1">
        <f>VLOOKUP($B390&amp;"__wt",'SegEnds_Xtal_BW#'!$A:$Z,13,FALSE)</f>
        <v>50</v>
      </c>
      <c r="N390" s="12">
        <v>57</v>
      </c>
      <c r="O390" s="87">
        <v>38</v>
      </c>
      <c r="P390" s="1">
        <f>VLOOKUP($B390&amp;"__wt",'SegEnds_Xtal_BW#'!$A:$Z,16,FALSE)</f>
        <v>64</v>
      </c>
      <c r="Q390" s="1">
        <f>VLOOKUP($B390&amp;"__wt",'SegEnds_Xtal_BW#'!$A:$Z,17,FALSE)</f>
        <v>50</v>
      </c>
      <c r="R390" s="1">
        <f>VLOOKUP($B390&amp;"__wt",'SegEnds_Xtal_BW#'!$A:$Z,18,FALSE)</f>
        <v>52</v>
      </c>
      <c r="S390" s="1">
        <v>32</v>
      </c>
      <c r="T390" s="1">
        <v>72</v>
      </c>
      <c r="U390" s="1">
        <v>29</v>
      </c>
      <c r="V390" s="1">
        <v>61</v>
      </c>
      <c r="W390" s="1">
        <v>31</v>
      </c>
      <c r="X390" s="1">
        <f>VLOOKUP($B390&amp;"__wt",'SegEnds_Xtal_BW#'!$A:$Z,24,FALSE)</f>
        <v>56</v>
      </c>
      <c r="Y390" s="1">
        <f>VLOOKUP($B390&amp;"__wt",'SegEnds_Xtal_BW#'!$A:$Z,25,FALSE)</f>
        <v>47</v>
      </c>
      <c r="Z390" s="1">
        <v>60</v>
      </c>
      <c r="AA390" s="27" t="str">
        <f>VLOOKUP(A390,Classification!A:B,2,FALSE)</f>
        <v>T</v>
      </c>
      <c r="AB390" s="1">
        <f>VLOOKUP(A390,'SegEnds_NonXtal_Prot#'!A:AL,10,FALSE)-VLOOKUP(A390,'SegEnds_NonXtal_Prot#'!A:AL,4,FALSE)</f>
        <v>31</v>
      </c>
      <c r="AC390" s="1">
        <f>VLOOKUP(A390,'SegEnds_NonXtal_Prot#'!A:AL,10,FALSE)-VLOOKUP(A390,'SegEnds_NonXtal_Prot#'!A:AL,7,FALSE)</f>
        <v>16</v>
      </c>
      <c r="AD390" s="1" t="e">
        <f>VLOOKUP(A390,'SegEnds_NonXtal_Prot#'!A:AL,13,FALSE)-VLOOKUP(A390,'SegEnds_NonXtal_Prot#'!A:AL,10,FALSE)</f>
        <v>#VALUE!</v>
      </c>
      <c r="AE390" s="1">
        <f>VLOOKUP(A390,'SegEnds_NonXtal_Prot#'!A:AL,16,FALSE)-VLOOKUP(A390,'SegEnds_NonXtal_Prot#'!A:AL,10,FALSE)</f>
        <v>47</v>
      </c>
      <c r="AF390" s="1">
        <f>VLOOKUP(A390,'SegEnds_NonXtal_Prot#'!A:AL,22,FALSE)-VLOOKUP(A390,'SegEnds_NonXtal_Prot#'!A:AL,19,FALSE)</f>
        <v>20</v>
      </c>
      <c r="AG390" s="1" t="e">
        <f>VLOOKUP(A390,'SegEnds_NonXtal_Prot#'!A:AL,28,FALSE)-VLOOKUP(A390,'SegEnds_NonXtal_Prot#'!A:AL,25,FALSE)</f>
        <v>#VALUE!</v>
      </c>
      <c r="AH390" s="1">
        <f>VLOOKUP(A390,'SegEnds_NonXtal_Prot#'!A:AL,28,FALSE)-VLOOKUP(A390,'SegEnds_NonXtal_Prot#'!A:AL,22,FALSE)</f>
        <v>56</v>
      </c>
      <c r="AI390" s="1">
        <f>VLOOKUP(A390,'SegEnds_NonXtal_Prot#'!A:AL,31,FALSE)-VLOOKUP(A390,'SegEnds_NonXtal_Prot#'!A:AL,28,FALSE)</f>
        <v>50</v>
      </c>
      <c r="AJ390" s="1">
        <f>VLOOKUP(A390,'SegEnds_NonXtal_Prot#'!A:AL,34,FALSE)-VLOOKUP(A390,'SegEnds_NonXtal_Prot#'!A:AL,31,FALSE)</f>
        <v>35</v>
      </c>
      <c r="AK390" s="1">
        <f>VLOOKUP(A390,'SegEnds_NonXtal_Prot#'!A:AL,37,FALSE)-VLOOKUP(A390,'SegEnds_NonXtal_Prot#'!A:AL,34,FALSE)</f>
        <v>10</v>
      </c>
      <c r="AL390" s="1" t="str">
        <f>IF(ISERROR(MATCH(A390,'SegEnds_Xtal_Prot#'!B:B, 0)), "NoXtal", "Xtal")</f>
        <v>NoXtal</v>
      </c>
    </row>
    <row r="391" spans="1:38" x14ac:dyDescent="0.2">
      <c r="A391" s="1" t="s">
        <v>465</v>
      </c>
      <c r="B391" s="1" t="str">
        <f>VLOOKUP(A391,Xtal_Templ!A:B,2,FALSE)</f>
        <v>agtr1_human</v>
      </c>
      <c r="C391" s="5">
        <v>32</v>
      </c>
      <c r="D391" s="1">
        <v>62</v>
      </c>
      <c r="E391" s="1">
        <f>VLOOKUP($B391&amp;"__wt",'SegEnds_Xtal_BW#'!$A:$Z,5,FALSE)</f>
        <v>48</v>
      </c>
      <c r="F391" s="1">
        <f>VLOOKUP($B391&amp;"__wt",'SegEnds_Xtal_BW#'!$A:$Z,6,FALSE)</f>
        <v>51</v>
      </c>
      <c r="G391" s="1">
        <v>39</v>
      </c>
      <c r="H391" s="12">
        <v>66</v>
      </c>
      <c r="I391" s="1" t="s">
        <v>23</v>
      </c>
      <c r="J391" s="1" t="s">
        <v>23</v>
      </c>
      <c r="K391" s="12">
        <v>18</v>
      </c>
      <c r="L391" s="1">
        <f>VLOOKUP($B391&amp;"__wt",'SegEnds_Xtal_BW#'!$A:$Z,12,FALSE)</f>
        <v>56</v>
      </c>
      <c r="M391" s="1">
        <f>VLOOKUP($B391&amp;"__wt",'SegEnds_Xtal_BW#'!$A:$Z,13,FALSE)</f>
        <v>50</v>
      </c>
      <c r="N391" s="12">
        <v>57</v>
      </c>
      <c r="O391" s="88">
        <v>38</v>
      </c>
      <c r="P391" s="1">
        <f>VLOOKUP($B391&amp;"__wt",'SegEnds_Xtal_BW#'!$A:$Z,16,FALSE)</f>
        <v>64</v>
      </c>
      <c r="Q391" s="1">
        <f>VLOOKUP($B391&amp;"__wt",'SegEnds_Xtal_BW#'!$A:$Z,17,FALSE)</f>
        <v>50</v>
      </c>
      <c r="R391" s="1">
        <f>VLOOKUP($B391&amp;"__wt",'SegEnds_Xtal_BW#'!$A:$Z,18,FALSE)</f>
        <v>52</v>
      </c>
      <c r="S391" s="1">
        <v>32</v>
      </c>
      <c r="T391" s="1">
        <v>72</v>
      </c>
      <c r="U391" s="1">
        <v>29</v>
      </c>
      <c r="V391" s="1">
        <v>61</v>
      </c>
      <c r="W391" s="1">
        <v>31</v>
      </c>
      <c r="X391" s="1">
        <f>VLOOKUP($B391&amp;"__wt",'SegEnds_Xtal_BW#'!$A:$Z,24,FALSE)</f>
        <v>56</v>
      </c>
      <c r="Y391" s="1">
        <f>VLOOKUP($B391&amp;"__wt",'SegEnds_Xtal_BW#'!$A:$Z,25,FALSE)</f>
        <v>47</v>
      </c>
      <c r="Z391" s="1">
        <v>60</v>
      </c>
      <c r="AA391" s="27" t="str">
        <f>VLOOKUP(A391,Classification!A:B,2,FALSE)</f>
        <v>T</v>
      </c>
      <c r="AB391" s="1">
        <f>VLOOKUP(A391,'SegEnds_NonXtal_Prot#'!A:AL,10,FALSE)-VLOOKUP(A391,'SegEnds_NonXtal_Prot#'!A:AL,4,FALSE)</f>
        <v>31</v>
      </c>
      <c r="AC391" s="1">
        <f>VLOOKUP(A391,'SegEnds_NonXtal_Prot#'!A:AL,10,FALSE)-VLOOKUP(A391,'SegEnds_NonXtal_Prot#'!A:AL,7,FALSE)</f>
        <v>16</v>
      </c>
      <c r="AD391" s="1" t="e">
        <f>VLOOKUP(A391,'SegEnds_NonXtal_Prot#'!A:AL,13,FALSE)-VLOOKUP(A391,'SegEnds_NonXtal_Prot#'!A:AL,10,FALSE)</f>
        <v>#VALUE!</v>
      </c>
      <c r="AE391" s="1">
        <f>VLOOKUP(A391,'SegEnds_NonXtal_Prot#'!A:AL,16,FALSE)-VLOOKUP(A391,'SegEnds_NonXtal_Prot#'!A:AL,10,FALSE)</f>
        <v>52</v>
      </c>
      <c r="AF391" s="1">
        <f>VLOOKUP(A391,'SegEnds_NonXtal_Prot#'!A:AL,22,FALSE)-VLOOKUP(A391,'SegEnds_NonXtal_Prot#'!A:AL,19,FALSE)</f>
        <v>20</v>
      </c>
      <c r="AG391" s="1" t="e">
        <f>VLOOKUP(A391,'SegEnds_NonXtal_Prot#'!A:AL,28,FALSE)-VLOOKUP(A391,'SegEnds_NonXtal_Prot#'!A:AL,25,FALSE)</f>
        <v>#VALUE!</v>
      </c>
      <c r="AH391" s="1">
        <f>VLOOKUP(A391,'SegEnds_NonXtal_Prot#'!A:AL,28,FALSE)-VLOOKUP(A391,'SegEnds_NonXtal_Prot#'!A:AL,22,FALSE)</f>
        <v>56</v>
      </c>
      <c r="AI391" s="1">
        <f>VLOOKUP(A391,'SegEnds_NonXtal_Prot#'!A:AL,31,FALSE)-VLOOKUP(A391,'SegEnds_NonXtal_Prot#'!A:AL,28,FALSE)</f>
        <v>53</v>
      </c>
      <c r="AJ391" s="1">
        <f>VLOOKUP(A391,'SegEnds_NonXtal_Prot#'!A:AL,34,FALSE)-VLOOKUP(A391,'SegEnds_NonXtal_Prot#'!A:AL,31,FALSE)</f>
        <v>35</v>
      </c>
      <c r="AK391" s="1">
        <f>VLOOKUP(A391,'SegEnds_NonXtal_Prot#'!A:AL,37,FALSE)-VLOOKUP(A391,'SegEnds_NonXtal_Prot#'!A:AL,34,FALSE)</f>
        <v>10</v>
      </c>
      <c r="AL391" s="1" t="str">
        <f>IF(ISERROR(MATCH(A391,'SegEnds_Xtal_Prot#'!B:B, 0)), "NoXtal", "Xtal")</f>
        <v>NoXtal</v>
      </c>
    </row>
    <row r="392" spans="1:38" x14ac:dyDescent="0.2">
      <c r="A392" s="1" t="s">
        <v>466</v>
      </c>
      <c r="B392" s="1" t="str">
        <f>VLOOKUP(A392,Xtal_Templ!A:B,2,FALSE)</f>
        <v>5ht2a_human</v>
      </c>
      <c r="C392" s="5">
        <v>32</v>
      </c>
      <c r="D392" s="1">
        <v>62</v>
      </c>
      <c r="E392" s="1">
        <f>VLOOKUP($B392&amp;"__wt",'SegEnds_Xtal_BW#'!$A:$Z,5,FALSE)</f>
        <v>48</v>
      </c>
      <c r="F392" s="1">
        <f>VLOOKUP($B392&amp;"__wt",'SegEnds_Xtal_BW#'!$A:$Z,6,FALSE)</f>
        <v>51</v>
      </c>
      <c r="G392" s="1">
        <v>39</v>
      </c>
      <c r="H392" s="12">
        <v>66</v>
      </c>
      <c r="I392" s="1" t="s">
        <v>23</v>
      </c>
      <c r="J392" s="1" t="s">
        <v>23</v>
      </c>
      <c r="K392" s="12">
        <v>18</v>
      </c>
      <c r="L392" s="1">
        <f>VLOOKUP($B392&amp;"__wt",'SegEnds_Xtal_BW#'!$A:$Z,12,FALSE)</f>
        <v>56</v>
      </c>
      <c r="M392" s="1">
        <f>VLOOKUP($B392&amp;"__wt",'SegEnds_Xtal_BW#'!$A:$Z,13,FALSE)</f>
        <v>50</v>
      </c>
      <c r="N392" s="12">
        <v>57</v>
      </c>
      <c r="O392" s="87">
        <v>38</v>
      </c>
      <c r="P392" s="1">
        <f>VLOOKUP($B392&amp;"__wt",'SegEnds_Xtal_BW#'!$A:$Z,16,FALSE)</f>
        <v>67</v>
      </c>
      <c r="Q392" s="1">
        <f>VLOOKUP($B392&amp;"__wt",'SegEnds_Xtal_BW#'!$A:$Z,17,FALSE)</f>
        <v>50</v>
      </c>
      <c r="R392" s="1">
        <f>VLOOKUP($B392&amp;"__wt",'SegEnds_Xtal_BW#'!$A:$Z,18,FALSE)</f>
        <v>52</v>
      </c>
      <c r="S392" s="1">
        <v>32</v>
      </c>
      <c r="T392" s="1">
        <v>72</v>
      </c>
      <c r="U392" s="1">
        <v>29</v>
      </c>
      <c r="V392" s="1">
        <v>61</v>
      </c>
      <c r="W392" s="1">
        <v>31</v>
      </c>
      <c r="X392" s="1">
        <f>VLOOKUP($B392&amp;"__wt",'SegEnds_Xtal_BW#'!$A:$Z,24,FALSE)</f>
        <v>56</v>
      </c>
      <c r="Y392" s="1">
        <f>VLOOKUP($B392&amp;"__wt",'SegEnds_Xtal_BW#'!$A:$Z,25,FALSE)</f>
        <v>47</v>
      </c>
      <c r="Z392" s="1">
        <v>60</v>
      </c>
      <c r="AA392" s="27" t="str">
        <f>VLOOKUP(A392,Classification!A:B,2,FALSE)</f>
        <v>T</v>
      </c>
      <c r="AB392" s="1">
        <f>VLOOKUP(A392,'SegEnds_NonXtal_Prot#'!A:AL,10,FALSE)-VLOOKUP(A392,'SegEnds_NonXtal_Prot#'!A:AL,4,FALSE)</f>
        <v>31</v>
      </c>
      <c r="AC392" s="1">
        <f>VLOOKUP(A392,'SegEnds_NonXtal_Prot#'!A:AL,10,FALSE)-VLOOKUP(A392,'SegEnds_NonXtal_Prot#'!A:AL,7,FALSE)</f>
        <v>16</v>
      </c>
      <c r="AD392" s="1" t="e">
        <f>VLOOKUP(A392,'SegEnds_NonXtal_Prot#'!A:AL,13,FALSE)-VLOOKUP(A392,'SegEnds_NonXtal_Prot#'!A:AL,10,FALSE)</f>
        <v>#VALUE!</v>
      </c>
      <c r="AE392" s="1">
        <f>VLOOKUP(A392,'SegEnds_NonXtal_Prot#'!A:AL,16,FALSE)-VLOOKUP(A392,'SegEnds_NonXtal_Prot#'!A:AL,10,FALSE)</f>
        <v>52</v>
      </c>
      <c r="AF392" s="1">
        <f>VLOOKUP(A392,'SegEnds_NonXtal_Prot#'!A:AL,22,FALSE)-VLOOKUP(A392,'SegEnds_NonXtal_Prot#'!A:AL,19,FALSE)</f>
        <v>20</v>
      </c>
      <c r="AG392" s="1" t="e">
        <f>VLOOKUP(A392,'SegEnds_NonXtal_Prot#'!A:AL,28,FALSE)-VLOOKUP(A392,'SegEnds_NonXtal_Prot#'!A:AL,25,FALSE)</f>
        <v>#VALUE!</v>
      </c>
      <c r="AH392" s="1">
        <f>VLOOKUP(A392,'SegEnds_NonXtal_Prot#'!A:AL,28,FALSE)-VLOOKUP(A392,'SegEnds_NonXtal_Prot#'!A:AL,22,FALSE)</f>
        <v>57</v>
      </c>
      <c r="AI392" s="1">
        <f>VLOOKUP(A392,'SegEnds_NonXtal_Prot#'!A:AL,31,FALSE)-VLOOKUP(A392,'SegEnds_NonXtal_Prot#'!A:AL,28,FALSE)</f>
        <v>53</v>
      </c>
      <c r="AJ392" s="1">
        <f>VLOOKUP(A392,'SegEnds_NonXtal_Prot#'!A:AL,34,FALSE)-VLOOKUP(A392,'SegEnds_NonXtal_Prot#'!A:AL,31,FALSE)</f>
        <v>35</v>
      </c>
      <c r="AK392" s="1">
        <f>VLOOKUP(A392,'SegEnds_NonXtal_Prot#'!A:AL,37,FALSE)-VLOOKUP(A392,'SegEnds_NonXtal_Prot#'!A:AL,34,FALSE)</f>
        <v>10</v>
      </c>
      <c r="AL392" s="1" t="str">
        <f>IF(ISERROR(MATCH(A392,'SegEnds_Xtal_Prot#'!B:B, 0)), "NoXtal", "Xtal")</f>
        <v>NoXtal</v>
      </c>
    </row>
    <row r="393" spans="1:38" x14ac:dyDescent="0.2">
      <c r="A393" s="1" t="s">
        <v>467</v>
      </c>
      <c r="B393" s="1" t="str">
        <f>VLOOKUP(A393,Xtal_Templ!A:B,2,FALSE)</f>
        <v>drd2_human</v>
      </c>
      <c r="C393" s="5">
        <v>32</v>
      </c>
      <c r="D393" s="1">
        <v>62</v>
      </c>
      <c r="E393" s="1">
        <f>VLOOKUP($B393&amp;"__wt",'SegEnds_Xtal_BW#'!$A:$Z,5,FALSE)</f>
        <v>48</v>
      </c>
      <c r="F393" s="1">
        <f>VLOOKUP($B393&amp;"__wt",'SegEnds_Xtal_BW#'!$A:$Z,6,FALSE)</f>
        <v>51</v>
      </c>
      <c r="G393" s="1">
        <v>39</v>
      </c>
      <c r="H393" s="12">
        <v>67</v>
      </c>
      <c r="I393" s="1" t="s">
        <v>23</v>
      </c>
      <c r="J393" s="1" t="s">
        <v>23</v>
      </c>
      <c r="K393" s="12">
        <v>21</v>
      </c>
      <c r="L393" s="1">
        <f>VLOOKUP($B393&amp;"__wt",'SegEnds_Xtal_BW#'!$A:$Z,12,FALSE)</f>
        <v>56</v>
      </c>
      <c r="M393" s="1">
        <f>VLOOKUP($B393&amp;"__wt",'SegEnds_Xtal_BW#'!$A:$Z,13,FALSE)</f>
        <v>50</v>
      </c>
      <c r="N393" s="12">
        <v>57</v>
      </c>
      <c r="O393" s="88">
        <v>38</v>
      </c>
      <c r="P393" s="1">
        <f>VLOOKUP($B393&amp;"__wt",'SegEnds_Xtal_BW#'!$A:$Z,16,FALSE)</f>
        <v>62</v>
      </c>
      <c r="Q393" s="1">
        <f>VLOOKUP($B393&amp;"__wt",'SegEnds_Xtal_BW#'!$A:$Z,17,FALSE)</f>
        <v>50</v>
      </c>
      <c r="R393" s="1">
        <f>VLOOKUP($B393&amp;"__wt",'SegEnds_Xtal_BW#'!$A:$Z,18,FALSE)</f>
        <v>52</v>
      </c>
      <c r="S393" s="1">
        <v>32</v>
      </c>
      <c r="T393" s="1">
        <v>72</v>
      </c>
      <c r="U393" s="1">
        <v>29</v>
      </c>
      <c r="V393" s="1">
        <v>61</v>
      </c>
      <c r="W393" s="1">
        <v>31</v>
      </c>
      <c r="X393" s="1">
        <f>VLOOKUP($B393&amp;"__wt",'SegEnds_Xtal_BW#'!$A:$Z,24,FALSE)</f>
        <v>56</v>
      </c>
      <c r="Y393" s="1">
        <f>VLOOKUP($B393&amp;"__wt",'SegEnds_Xtal_BW#'!$A:$Z,25,FALSE)</f>
        <v>47</v>
      </c>
      <c r="Z393" s="1">
        <v>60</v>
      </c>
      <c r="AA393" s="27" t="str">
        <f>VLOOKUP(A393,Classification!A:B,2,FALSE)</f>
        <v>T</v>
      </c>
      <c r="AB393" s="1">
        <f>VLOOKUP(A393,'SegEnds_NonXtal_Prot#'!A:AL,10,FALSE)-VLOOKUP(A393,'SegEnds_NonXtal_Prot#'!A:AL,4,FALSE)</f>
        <v>31</v>
      </c>
      <c r="AC393" s="1">
        <f>VLOOKUP(A393,'SegEnds_NonXtal_Prot#'!A:AL,10,FALSE)-VLOOKUP(A393,'SegEnds_NonXtal_Prot#'!A:AL,7,FALSE)</f>
        <v>16</v>
      </c>
      <c r="AD393" s="1" t="e">
        <f>VLOOKUP(A393,'SegEnds_NonXtal_Prot#'!A:AL,13,FALSE)-VLOOKUP(A393,'SegEnds_NonXtal_Prot#'!A:AL,10,FALSE)</f>
        <v>#VALUE!</v>
      </c>
      <c r="AE393" s="1">
        <f>VLOOKUP(A393,'SegEnds_NonXtal_Prot#'!A:AL,16,FALSE)-VLOOKUP(A393,'SegEnds_NonXtal_Prot#'!A:AL,10,FALSE)</f>
        <v>52</v>
      </c>
      <c r="AF393" s="1">
        <f>VLOOKUP(A393,'SegEnds_NonXtal_Prot#'!A:AL,22,FALSE)-VLOOKUP(A393,'SegEnds_NonXtal_Prot#'!A:AL,19,FALSE)</f>
        <v>20</v>
      </c>
      <c r="AG393" s="1" t="e">
        <f>VLOOKUP(A393,'SegEnds_NonXtal_Prot#'!A:AL,28,FALSE)-VLOOKUP(A393,'SegEnds_NonXtal_Prot#'!A:AL,25,FALSE)</f>
        <v>#VALUE!</v>
      </c>
      <c r="AH393" s="1">
        <f>VLOOKUP(A393,'SegEnds_NonXtal_Prot#'!A:AL,28,FALSE)-VLOOKUP(A393,'SegEnds_NonXtal_Prot#'!A:AL,22,FALSE)</f>
        <v>56</v>
      </c>
      <c r="AI393" s="1">
        <f>VLOOKUP(A393,'SegEnds_NonXtal_Prot#'!A:AL,31,FALSE)-VLOOKUP(A393,'SegEnds_NonXtal_Prot#'!A:AL,28,FALSE)</f>
        <v>53</v>
      </c>
      <c r="AJ393" s="1">
        <f>VLOOKUP(A393,'SegEnds_NonXtal_Prot#'!A:AL,34,FALSE)-VLOOKUP(A393,'SegEnds_NonXtal_Prot#'!A:AL,31,FALSE)</f>
        <v>35</v>
      </c>
      <c r="AK393" s="1">
        <f>VLOOKUP(A393,'SegEnds_NonXtal_Prot#'!A:AL,37,FALSE)-VLOOKUP(A393,'SegEnds_NonXtal_Prot#'!A:AL,34,FALSE)</f>
        <v>10</v>
      </c>
      <c r="AL393" s="1" t="str">
        <f>IF(ISERROR(MATCH(A393,'SegEnds_Xtal_Prot#'!B:B, 0)), "NoXtal", "Xtal")</f>
        <v>NoXtal</v>
      </c>
    </row>
    <row r="394" spans="1:38" x14ac:dyDescent="0.2">
      <c r="A394" s="1" t="s">
        <v>472</v>
      </c>
      <c r="B394" s="1" t="str">
        <f>VLOOKUP(A394,Xtal_Templ!A:B,2,FALSE)</f>
        <v>oprk_human</v>
      </c>
      <c r="C394" s="5">
        <v>32</v>
      </c>
      <c r="D394" s="1">
        <v>62</v>
      </c>
      <c r="E394" s="1">
        <f>VLOOKUP($B394&amp;"__wt",'SegEnds_Xtal_BW#'!$A:$Z,5,FALSE)</f>
        <v>48</v>
      </c>
      <c r="F394" s="1">
        <f>VLOOKUP($B394&amp;"__wt",'SegEnds_Xtal_BW#'!$A:$Z,6,FALSE)</f>
        <v>51</v>
      </c>
      <c r="G394" s="1">
        <v>39</v>
      </c>
      <c r="H394" s="12">
        <v>66</v>
      </c>
      <c r="I394" s="1" t="s">
        <v>23</v>
      </c>
      <c r="J394" s="1" t="s">
        <v>23</v>
      </c>
      <c r="K394" s="12">
        <v>18</v>
      </c>
      <c r="L394" s="1">
        <f>VLOOKUP($B394&amp;"__wt",'SegEnds_Xtal_BW#'!$A:$Z,12,FALSE)</f>
        <v>56</v>
      </c>
      <c r="M394" s="1">
        <f>VLOOKUP($B394&amp;"__wt",'SegEnds_Xtal_BW#'!$A:$Z,13,FALSE)</f>
        <v>50</v>
      </c>
      <c r="N394" s="12">
        <v>57</v>
      </c>
      <c r="O394" s="88">
        <v>38</v>
      </c>
      <c r="P394" s="1">
        <f>VLOOKUP($B394&amp;"__wt",'SegEnds_Xtal_BW#'!$A:$Z,16,FALSE)</f>
        <v>64</v>
      </c>
      <c r="Q394" s="1">
        <f>VLOOKUP($B394&amp;"__wt",'SegEnds_Xtal_BW#'!$A:$Z,17,FALSE)</f>
        <v>50</v>
      </c>
      <c r="R394" s="1">
        <f>VLOOKUP($B394&amp;"__wt",'SegEnds_Xtal_BW#'!$A:$Z,18,FALSE)</f>
        <v>52</v>
      </c>
      <c r="S394" s="1">
        <v>32</v>
      </c>
      <c r="T394" s="1">
        <v>72</v>
      </c>
      <c r="U394" s="1">
        <v>29</v>
      </c>
      <c r="V394" s="1">
        <v>61</v>
      </c>
      <c r="W394" s="1">
        <v>31</v>
      </c>
      <c r="X394" s="1">
        <f>VLOOKUP($B394&amp;"__wt",'SegEnds_Xtal_BW#'!$A:$Z,24,FALSE)</f>
        <v>56</v>
      </c>
      <c r="Y394" s="1">
        <f>VLOOKUP($B394&amp;"__wt",'SegEnds_Xtal_BW#'!$A:$Z,25,FALSE)</f>
        <v>47</v>
      </c>
      <c r="Z394" s="1">
        <v>60</v>
      </c>
      <c r="AA394" s="27" t="str">
        <f>VLOOKUP(A394,Classification!A:B,2,FALSE)</f>
        <v>T</v>
      </c>
      <c r="AB394" s="1">
        <f>VLOOKUP(A394,'SegEnds_NonXtal_Prot#'!A:AL,10,FALSE)-VLOOKUP(A394,'SegEnds_NonXtal_Prot#'!A:AL,4,FALSE)</f>
        <v>31</v>
      </c>
      <c r="AC394" s="1">
        <f>VLOOKUP(A394,'SegEnds_NonXtal_Prot#'!A:AL,10,FALSE)-VLOOKUP(A394,'SegEnds_NonXtal_Prot#'!A:AL,7,FALSE)</f>
        <v>16</v>
      </c>
      <c r="AD394" s="1" t="e">
        <f>VLOOKUP(A394,'SegEnds_NonXtal_Prot#'!A:AL,13,FALSE)-VLOOKUP(A394,'SegEnds_NonXtal_Prot#'!A:AL,10,FALSE)</f>
        <v>#VALUE!</v>
      </c>
      <c r="AE394" s="1">
        <f>VLOOKUP(A394,'SegEnds_NonXtal_Prot#'!A:AL,16,FALSE)-VLOOKUP(A394,'SegEnds_NonXtal_Prot#'!A:AL,10,FALSE)</f>
        <v>52</v>
      </c>
      <c r="AF394" s="1">
        <f>VLOOKUP(A394,'SegEnds_NonXtal_Prot#'!A:AL,22,FALSE)-VLOOKUP(A394,'SegEnds_NonXtal_Prot#'!A:AL,19,FALSE)</f>
        <v>20</v>
      </c>
      <c r="AG394" s="1" t="e">
        <f>VLOOKUP(A394,'SegEnds_NonXtal_Prot#'!A:AL,28,FALSE)-VLOOKUP(A394,'SegEnds_NonXtal_Prot#'!A:AL,25,FALSE)</f>
        <v>#VALUE!</v>
      </c>
      <c r="AH394" s="1">
        <f>VLOOKUP(A394,'SegEnds_NonXtal_Prot#'!A:AL,28,FALSE)-VLOOKUP(A394,'SegEnds_NonXtal_Prot#'!A:AL,22,FALSE)</f>
        <v>58</v>
      </c>
      <c r="AI394" s="1">
        <f>VLOOKUP(A394,'SegEnds_NonXtal_Prot#'!A:AL,31,FALSE)-VLOOKUP(A394,'SegEnds_NonXtal_Prot#'!A:AL,28,FALSE)</f>
        <v>53</v>
      </c>
      <c r="AJ394" s="1">
        <f>VLOOKUP(A394,'SegEnds_NonXtal_Prot#'!A:AL,34,FALSE)-VLOOKUP(A394,'SegEnds_NonXtal_Prot#'!A:AL,31,FALSE)</f>
        <v>35</v>
      </c>
      <c r="AK394" s="1">
        <f>VLOOKUP(A394,'SegEnds_NonXtal_Prot#'!A:AL,37,FALSE)-VLOOKUP(A394,'SegEnds_NonXtal_Prot#'!A:AL,34,FALSE)</f>
        <v>10</v>
      </c>
      <c r="AL394" s="1" t="str">
        <f>IF(ISERROR(MATCH(A394,'SegEnds_Xtal_Prot#'!B:B, 0)), "NoXtal", "Xtal")</f>
        <v>NoXtal</v>
      </c>
    </row>
    <row r="395" spans="1:38" x14ac:dyDescent="0.2">
      <c r="A395" s="4" t="s">
        <v>474</v>
      </c>
      <c r="B395" s="4" t="str">
        <f>VLOOKUP(A395,Xtal_Templ!A:B,2,FALSE)</f>
        <v>cxcr4_human</v>
      </c>
      <c r="C395" s="5">
        <v>32</v>
      </c>
      <c r="D395" s="4">
        <v>62</v>
      </c>
      <c r="E395" s="4">
        <f>VLOOKUP($B395&amp;"__wt",'SegEnds_Xtal_BW#'!$A:$Z,5,FALSE)</f>
        <v>48</v>
      </c>
      <c r="F395" s="4">
        <f>VLOOKUP($B395&amp;"__wt",'SegEnds_Xtal_BW#'!$A:$Z,6,FALSE)</f>
        <v>51</v>
      </c>
      <c r="G395" s="4">
        <v>39</v>
      </c>
      <c r="H395" s="11">
        <v>66</v>
      </c>
      <c r="I395" s="4" t="s">
        <v>23</v>
      </c>
      <c r="J395" s="4" t="s">
        <v>23</v>
      </c>
      <c r="K395" s="11">
        <v>24</v>
      </c>
      <c r="L395" s="4">
        <f>VLOOKUP($B395&amp;"__wt",'SegEnds_Xtal_BW#'!$A:$Z,12,FALSE)</f>
        <v>56</v>
      </c>
      <c r="M395" s="4">
        <f>VLOOKUP($B395&amp;"__wt",'SegEnds_Xtal_BW#'!$A:$Z,13,FALSE)</f>
        <v>50</v>
      </c>
      <c r="N395" s="11">
        <v>57</v>
      </c>
      <c r="O395" s="88">
        <v>38</v>
      </c>
      <c r="P395" s="4">
        <f>VLOOKUP($B395&amp;"__wt",'SegEnds_Xtal_BW#'!$A:$Z,16,FALSE)</f>
        <v>64</v>
      </c>
      <c r="Q395" s="4">
        <f>VLOOKUP($B395&amp;"__wt",'SegEnds_Xtal_BW#'!$A:$Z,17,FALSE)</f>
        <v>50</v>
      </c>
      <c r="R395" s="4">
        <f>VLOOKUP($B395&amp;"__wt",'SegEnds_Xtal_BW#'!$A:$Z,18,FALSE)</f>
        <v>52</v>
      </c>
      <c r="S395" s="4">
        <v>32</v>
      </c>
      <c r="T395" s="4">
        <v>72</v>
      </c>
      <c r="U395" s="4">
        <v>29</v>
      </c>
      <c r="V395" s="4">
        <v>61</v>
      </c>
      <c r="W395" s="4">
        <v>31</v>
      </c>
      <c r="X395" s="4">
        <f>VLOOKUP($B395&amp;"__wt",'SegEnds_Xtal_BW#'!$A:$Z,24,FALSE)</f>
        <v>56</v>
      </c>
      <c r="Y395" s="4">
        <f>VLOOKUP($B395&amp;"__wt",'SegEnds_Xtal_BW#'!$A:$Z,25,FALSE)</f>
        <v>47</v>
      </c>
      <c r="Z395" s="4">
        <v>60</v>
      </c>
      <c r="AA395" s="27" t="str">
        <f>VLOOKUP(A395,Classification!A:B,2,FALSE)</f>
        <v>T</v>
      </c>
      <c r="AB395" s="1">
        <f>VLOOKUP(A395,'SegEnds_NonXtal_Prot#'!A:AL,10,FALSE)-VLOOKUP(A395,'SegEnds_NonXtal_Prot#'!A:AL,4,FALSE)</f>
        <v>31</v>
      </c>
      <c r="AC395" s="4">
        <f>VLOOKUP(A395,'SegEnds_NonXtal_Prot#'!A:AL,10,FALSE)-VLOOKUP(A395,'SegEnds_NonXtal_Prot#'!A:AL,7,FALSE)</f>
        <v>16</v>
      </c>
      <c r="AD395" s="4" t="e">
        <f>VLOOKUP(A395,'SegEnds_NonXtal_Prot#'!A:AL,13,FALSE)-VLOOKUP(A395,'SegEnds_NonXtal_Prot#'!A:AL,10,FALSE)</f>
        <v>#VALUE!</v>
      </c>
      <c r="AE395" s="4">
        <f>VLOOKUP(A395,'SegEnds_NonXtal_Prot#'!A:AL,16,FALSE)-VLOOKUP(A395,'SegEnds_NonXtal_Prot#'!A:AL,10,FALSE)</f>
        <v>48</v>
      </c>
      <c r="AF395" s="1">
        <f>VLOOKUP(A395,'SegEnds_NonXtal_Prot#'!A:AL,22,FALSE)-VLOOKUP(A395,'SegEnds_NonXtal_Prot#'!A:AL,19,FALSE)</f>
        <v>20</v>
      </c>
      <c r="AG395" s="4" t="e">
        <f>VLOOKUP(A395,'SegEnds_NonXtal_Prot#'!A:AL,28,FALSE)-VLOOKUP(A395,'SegEnds_NonXtal_Prot#'!A:AL,25,FALSE)</f>
        <v>#VALUE!</v>
      </c>
      <c r="AH395" s="1">
        <f>VLOOKUP(A395,'SegEnds_NonXtal_Prot#'!A:AL,28,FALSE)-VLOOKUP(A395,'SegEnds_NonXtal_Prot#'!A:AL,22,FALSE)</f>
        <v>54</v>
      </c>
      <c r="AI395" s="4">
        <f>VLOOKUP(A395,'SegEnds_NonXtal_Prot#'!A:AL,31,FALSE)-VLOOKUP(A395,'SegEnds_NonXtal_Prot#'!A:AL,28,FALSE)</f>
        <v>53</v>
      </c>
      <c r="AJ395" s="4">
        <f>VLOOKUP(A395,'SegEnds_NonXtal_Prot#'!A:AL,34,FALSE)-VLOOKUP(A395,'SegEnds_NonXtal_Prot#'!A:AL,31,FALSE)</f>
        <v>35</v>
      </c>
      <c r="AK395" s="1">
        <f>VLOOKUP(A395,'SegEnds_NonXtal_Prot#'!A:AL,37,FALSE)-VLOOKUP(A395,'SegEnds_NonXtal_Prot#'!A:AL,34,FALSE)</f>
        <v>10</v>
      </c>
      <c r="AL395" s="1" t="str">
        <f>IF(ISERROR(MATCH(A395,'SegEnds_Xtal_Prot#'!B:B, 0)), "NoXtal", "Xtal")</f>
        <v>NoXtal</v>
      </c>
    </row>
    <row r="396" spans="1:38" x14ac:dyDescent="0.2">
      <c r="A396" s="1" t="s">
        <v>456</v>
      </c>
      <c r="B396" s="1" t="str">
        <f>VLOOKUP(A396,Xtal_Templ!A:B,2,FALSE)</f>
        <v>drd2_human</v>
      </c>
      <c r="C396" s="5">
        <v>32</v>
      </c>
      <c r="D396" s="1">
        <v>62</v>
      </c>
      <c r="E396" s="1">
        <f>VLOOKUP($B396&amp;"__wt",'SegEnds_Xtal_BW#'!$A:$Z,5,FALSE)</f>
        <v>48</v>
      </c>
      <c r="F396" s="1">
        <f>VLOOKUP($B396&amp;"__wt",'SegEnds_Xtal_BW#'!$A:$Z,6,FALSE)</f>
        <v>51</v>
      </c>
      <c r="G396" s="1">
        <v>39</v>
      </c>
      <c r="H396" s="12">
        <v>67</v>
      </c>
      <c r="I396" s="1" t="s">
        <v>23</v>
      </c>
      <c r="J396" s="1" t="s">
        <v>23</v>
      </c>
      <c r="K396" s="12">
        <v>21</v>
      </c>
      <c r="L396" s="1">
        <f>VLOOKUP($B396&amp;"__wt",'SegEnds_Xtal_BW#'!$A:$Z,12,FALSE)</f>
        <v>56</v>
      </c>
      <c r="M396" s="1">
        <f>VLOOKUP($B396&amp;"__wt",'SegEnds_Xtal_BW#'!$A:$Z,13,FALSE)</f>
        <v>50</v>
      </c>
      <c r="N396" s="12">
        <f>VLOOKUP($B396&amp;"__wt",'SegEnds_Xtal_BW#'!$A:$Z,14,FALSE)</f>
        <v>58</v>
      </c>
      <c r="O396" s="88">
        <v>38</v>
      </c>
      <c r="P396" s="1">
        <f>VLOOKUP($B396&amp;"__wt",'SegEnds_Xtal_BW#'!$A:$Z,16,FALSE)</f>
        <v>62</v>
      </c>
      <c r="Q396" s="1">
        <f>VLOOKUP($B396&amp;"__wt",'SegEnds_Xtal_BW#'!$A:$Z,17,FALSE)</f>
        <v>50</v>
      </c>
      <c r="R396" s="1">
        <f>VLOOKUP($B396&amp;"__wt",'SegEnds_Xtal_BW#'!$A:$Z,18,FALSE)</f>
        <v>52</v>
      </c>
      <c r="S396" s="1">
        <v>32</v>
      </c>
      <c r="T396" s="1">
        <v>72</v>
      </c>
      <c r="U396" s="1">
        <v>29</v>
      </c>
      <c r="V396" s="1">
        <v>61</v>
      </c>
      <c r="W396" s="1">
        <v>31</v>
      </c>
      <c r="X396" s="1">
        <f>VLOOKUP($B396&amp;"__wt",'SegEnds_Xtal_BW#'!$A:$Z,24,FALSE)</f>
        <v>56</v>
      </c>
      <c r="Y396" s="1">
        <f>VLOOKUP($B396&amp;"__wt",'SegEnds_Xtal_BW#'!$A:$Z,25,FALSE)</f>
        <v>47</v>
      </c>
      <c r="Z396" s="1">
        <v>60</v>
      </c>
      <c r="AA396" s="27" t="str">
        <f>VLOOKUP(A396,Classification!A:B,2,FALSE)</f>
        <v>T</v>
      </c>
      <c r="AB396" s="1">
        <f>VLOOKUP(A396,'SegEnds_NonXtal_Prot#'!A:AL,10,FALSE)-VLOOKUP(A396,'SegEnds_NonXtal_Prot#'!A:AL,4,FALSE)</f>
        <v>30</v>
      </c>
      <c r="AC396" s="1">
        <f>VLOOKUP(A396,'SegEnds_NonXtal_Prot#'!A:AL,10,FALSE)-VLOOKUP(A396,'SegEnds_NonXtal_Prot#'!A:AL,7,FALSE)</f>
        <v>15</v>
      </c>
      <c r="AD396" s="1" t="e">
        <f>VLOOKUP(A396,'SegEnds_NonXtal_Prot#'!A:AL,13,FALSE)-VLOOKUP(A396,'SegEnds_NonXtal_Prot#'!A:AL,10,FALSE)</f>
        <v>#VALUE!</v>
      </c>
      <c r="AE396" s="1">
        <f>VLOOKUP(A396,'SegEnds_NonXtal_Prot#'!A:AL,16,FALSE)-VLOOKUP(A396,'SegEnds_NonXtal_Prot#'!A:AL,10,FALSE)</f>
        <v>52</v>
      </c>
      <c r="AF396" s="1">
        <f>VLOOKUP(A396,'SegEnds_NonXtal_Prot#'!A:AL,22,FALSE)-VLOOKUP(A396,'SegEnds_NonXtal_Prot#'!A:AL,19,FALSE)</f>
        <v>20</v>
      </c>
      <c r="AG396" s="1" t="e">
        <f>VLOOKUP(A396,'SegEnds_NonXtal_Prot#'!A:AL,28,FALSE)-VLOOKUP(A396,'SegEnds_NonXtal_Prot#'!A:AL,25,FALSE)</f>
        <v>#VALUE!</v>
      </c>
      <c r="AH396" s="1">
        <f>VLOOKUP(A396,'SegEnds_NonXtal_Prot#'!A:AL,28,FALSE)-VLOOKUP(A396,'SegEnds_NonXtal_Prot#'!A:AL,22,FALSE)</f>
        <v>50</v>
      </c>
      <c r="AI396" s="1">
        <f>VLOOKUP(A396,'SegEnds_NonXtal_Prot#'!A:AL,31,FALSE)-VLOOKUP(A396,'SegEnds_NonXtal_Prot#'!A:AL,28,FALSE)</f>
        <v>53</v>
      </c>
      <c r="AJ396" s="1">
        <f>VLOOKUP(A396,'SegEnds_NonXtal_Prot#'!A:AL,34,FALSE)-VLOOKUP(A396,'SegEnds_NonXtal_Prot#'!A:AL,31,FALSE)</f>
        <v>36</v>
      </c>
      <c r="AK396" s="1">
        <f>VLOOKUP(A396,'SegEnds_NonXtal_Prot#'!A:AL,37,FALSE)-VLOOKUP(A396,'SegEnds_NonXtal_Prot#'!A:AL,34,FALSE)</f>
        <v>10</v>
      </c>
      <c r="AL396" s="1" t="str">
        <f>IF(ISERROR(MATCH(A396,'SegEnds_Xtal_Prot#'!B:B, 0)), "NoXtal", "Xtal")</f>
        <v>NoXtal</v>
      </c>
    </row>
    <row r="397" spans="1:38" x14ac:dyDescent="0.2">
      <c r="A397" s="1" t="s">
        <v>460</v>
      </c>
      <c r="B397" s="1" t="str">
        <f>VLOOKUP(A397,Xtal_Templ!A:B,2,FALSE)</f>
        <v>5ht2c_human</v>
      </c>
      <c r="C397" s="5">
        <v>32</v>
      </c>
      <c r="D397" s="1">
        <v>62</v>
      </c>
      <c r="E397" s="1">
        <f>VLOOKUP($B397&amp;"__wt",'SegEnds_Xtal_BW#'!$A:$Z,5,FALSE)</f>
        <v>48</v>
      </c>
      <c r="F397" s="1">
        <f>VLOOKUP($B397&amp;"__wt",'SegEnds_Xtal_BW#'!$A:$Z,6,FALSE)</f>
        <v>51</v>
      </c>
      <c r="G397" s="1">
        <v>39</v>
      </c>
      <c r="H397" s="12">
        <v>66</v>
      </c>
      <c r="I397" s="1" t="s">
        <v>23</v>
      </c>
      <c r="J397" s="1" t="s">
        <v>23</v>
      </c>
      <c r="K397" s="12">
        <v>21</v>
      </c>
      <c r="L397" s="1">
        <f>VLOOKUP($B397&amp;"__wt",'SegEnds_Xtal_BW#'!$A:$Z,12,FALSE)</f>
        <v>56</v>
      </c>
      <c r="M397" s="1">
        <f>VLOOKUP($B397&amp;"__wt",'SegEnds_Xtal_BW#'!$A:$Z,13,FALSE)</f>
        <v>50</v>
      </c>
      <c r="N397" s="12">
        <v>57</v>
      </c>
      <c r="O397" s="88">
        <v>38</v>
      </c>
      <c r="P397" s="1">
        <f>VLOOKUP($B397&amp;"__wt",'SegEnds_Xtal_BW#'!$A:$Z,16,FALSE)</f>
        <v>67</v>
      </c>
      <c r="Q397" s="1">
        <f>VLOOKUP($B397&amp;"__wt",'SegEnds_Xtal_BW#'!$A:$Z,17,FALSE)</f>
        <v>50</v>
      </c>
      <c r="R397" s="1">
        <f>VLOOKUP($B397&amp;"__wt",'SegEnds_Xtal_BW#'!$A:$Z,18,FALSE)</f>
        <v>52</v>
      </c>
      <c r="S397" s="1">
        <v>32</v>
      </c>
      <c r="T397" s="1">
        <v>72</v>
      </c>
      <c r="U397" s="1">
        <v>29</v>
      </c>
      <c r="V397" s="1">
        <v>61</v>
      </c>
      <c r="W397" s="1">
        <v>31</v>
      </c>
      <c r="X397" s="1">
        <f>VLOOKUP($B397&amp;"__wt",'SegEnds_Xtal_BW#'!$A:$Z,24,FALSE)</f>
        <v>56</v>
      </c>
      <c r="Y397" s="1">
        <f>VLOOKUP($B397&amp;"__wt",'SegEnds_Xtal_BW#'!$A:$Z,25,FALSE)</f>
        <v>47</v>
      </c>
      <c r="Z397" s="1">
        <v>60</v>
      </c>
      <c r="AA397" s="27" t="str">
        <f>VLOOKUP(A397,Classification!A:B,2,FALSE)</f>
        <v>T</v>
      </c>
      <c r="AB397" s="1">
        <f>VLOOKUP(A397,'SegEnds_NonXtal_Prot#'!A:AL,10,FALSE)-VLOOKUP(A397,'SegEnds_NonXtal_Prot#'!A:AL,4,FALSE)</f>
        <v>31</v>
      </c>
      <c r="AC397" s="1">
        <f>VLOOKUP(A397,'SegEnds_NonXtal_Prot#'!A:AL,10,FALSE)-VLOOKUP(A397,'SegEnds_NonXtal_Prot#'!A:AL,7,FALSE)</f>
        <v>16</v>
      </c>
      <c r="AD397" s="1" t="e">
        <f>VLOOKUP(A397,'SegEnds_NonXtal_Prot#'!A:AL,13,FALSE)-VLOOKUP(A397,'SegEnds_NonXtal_Prot#'!A:AL,10,FALSE)</f>
        <v>#VALUE!</v>
      </c>
      <c r="AE397" s="1">
        <f>VLOOKUP(A397,'SegEnds_NonXtal_Prot#'!A:AL,16,FALSE)-VLOOKUP(A397,'SegEnds_NonXtal_Prot#'!A:AL,10,FALSE)</f>
        <v>51</v>
      </c>
      <c r="AF397" s="1">
        <f>VLOOKUP(A397,'SegEnds_NonXtal_Prot#'!A:AL,22,FALSE)-VLOOKUP(A397,'SegEnds_NonXtal_Prot#'!A:AL,19,FALSE)</f>
        <v>20</v>
      </c>
      <c r="AG397" s="1" t="e">
        <f>VLOOKUP(A397,'SegEnds_NonXtal_Prot#'!A:AL,28,FALSE)-VLOOKUP(A397,'SegEnds_NonXtal_Prot#'!A:AL,25,FALSE)</f>
        <v>#VALUE!</v>
      </c>
      <c r="AH397" s="1">
        <f>VLOOKUP(A397,'SegEnds_NonXtal_Prot#'!A:AL,28,FALSE)-VLOOKUP(A397,'SegEnds_NonXtal_Prot#'!A:AL,22,FALSE)</f>
        <v>52</v>
      </c>
      <c r="AI397" s="1">
        <f>VLOOKUP(A397,'SegEnds_NonXtal_Prot#'!A:AL,31,FALSE)-VLOOKUP(A397,'SegEnds_NonXtal_Prot#'!A:AL,28,FALSE)</f>
        <v>53</v>
      </c>
      <c r="AJ397" s="1">
        <f>VLOOKUP(A397,'SegEnds_NonXtal_Prot#'!A:AL,34,FALSE)-VLOOKUP(A397,'SegEnds_NonXtal_Prot#'!A:AL,31,FALSE)</f>
        <v>36</v>
      </c>
      <c r="AK397" s="1">
        <f>VLOOKUP(A397,'SegEnds_NonXtal_Prot#'!A:AL,37,FALSE)-VLOOKUP(A397,'SegEnds_NonXtal_Prot#'!A:AL,34,FALSE)</f>
        <v>10</v>
      </c>
      <c r="AL397" s="1" t="str">
        <f>IF(ISERROR(MATCH(A397,'SegEnds_Xtal_Prot#'!B:B, 0)), "NoXtal", "Xtal")</f>
        <v>NoXtal</v>
      </c>
    </row>
    <row r="398" spans="1:38" x14ac:dyDescent="0.2">
      <c r="A398" s="1" t="s">
        <v>461</v>
      </c>
      <c r="B398" s="1" t="str">
        <f>VLOOKUP(A398,Xtal_Templ!A:B,2,FALSE)</f>
        <v>5ht2c_human</v>
      </c>
      <c r="C398" s="5">
        <v>32</v>
      </c>
      <c r="D398" s="1">
        <v>62</v>
      </c>
      <c r="E398" s="1">
        <f>VLOOKUP($B398&amp;"__wt",'SegEnds_Xtal_BW#'!$A:$Z,5,FALSE)</f>
        <v>48</v>
      </c>
      <c r="F398" s="1">
        <f>VLOOKUP($B398&amp;"__wt",'SegEnds_Xtal_BW#'!$A:$Z,6,FALSE)</f>
        <v>51</v>
      </c>
      <c r="G398" s="1">
        <v>39</v>
      </c>
      <c r="H398" s="12">
        <v>66</v>
      </c>
      <c r="I398" s="1" t="s">
        <v>23</v>
      </c>
      <c r="J398" s="1" t="s">
        <v>23</v>
      </c>
      <c r="K398" s="12">
        <v>21</v>
      </c>
      <c r="L398" s="1">
        <f>VLOOKUP($B398&amp;"__wt",'SegEnds_Xtal_BW#'!$A:$Z,12,FALSE)</f>
        <v>56</v>
      </c>
      <c r="M398" s="1">
        <f>VLOOKUP($B398&amp;"__wt",'SegEnds_Xtal_BW#'!$A:$Z,13,FALSE)</f>
        <v>50</v>
      </c>
      <c r="N398" s="12">
        <v>57</v>
      </c>
      <c r="O398" s="87">
        <v>38</v>
      </c>
      <c r="P398" s="1">
        <f>VLOOKUP($B398&amp;"__wt",'SegEnds_Xtal_BW#'!$A:$Z,16,FALSE)</f>
        <v>67</v>
      </c>
      <c r="Q398" s="1">
        <f>VLOOKUP($B398&amp;"__wt",'SegEnds_Xtal_BW#'!$A:$Z,17,FALSE)</f>
        <v>50</v>
      </c>
      <c r="R398" s="1">
        <f>VLOOKUP($B398&amp;"__wt",'SegEnds_Xtal_BW#'!$A:$Z,18,FALSE)</f>
        <v>52</v>
      </c>
      <c r="S398" s="1">
        <v>32</v>
      </c>
      <c r="T398" s="1">
        <v>72</v>
      </c>
      <c r="U398" s="1">
        <v>29</v>
      </c>
      <c r="V398" s="1">
        <v>61</v>
      </c>
      <c r="W398" s="1">
        <v>31</v>
      </c>
      <c r="X398" s="1">
        <f>VLOOKUP($B398&amp;"__wt",'SegEnds_Xtal_BW#'!$A:$Z,24,FALSE)</f>
        <v>56</v>
      </c>
      <c r="Y398" s="1">
        <f>VLOOKUP($B398&amp;"__wt",'SegEnds_Xtal_BW#'!$A:$Z,25,FALSE)</f>
        <v>47</v>
      </c>
      <c r="Z398" s="1">
        <v>60</v>
      </c>
      <c r="AA398" s="27" t="str">
        <f>VLOOKUP(A398,Classification!A:B,2,FALSE)</f>
        <v>T</v>
      </c>
      <c r="AB398" s="1">
        <f>VLOOKUP(A398,'SegEnds_NonXtal_Prot#'!A:AL,10,FALSE)-VLOOKUP(A398,'SegEnds_NonXtal_Prot#'!A:AL,4,FALSE)</f>
        <v>31</v>
      </c>
      <c r="AC398" s="1">
        <f>VLOOKUP(A398,'SegEnds_NonXtal_Prot#'!A:AL,10,FALSE)-VLOOKUP(A398,'SegEnds_NonXtal_Prot#'!A:AL,7,FALSE)</f>
        <v>16</v>
      </c>
      <c r="AD398" s="1" t="e">
        <f>VLOOKUP(A398,'SegEnds_NonXtal_Prot#'!A:AL,13,FALSE)-VLOOKUP(A398,'SegEnds_NonXtal_Prot#'!A:AL,10,FALSE)</f>
        <v>#VALUE!</v>
      </c>
      <c r="AE398" s="1">
        <f>VLOOKUP(A398,'SegEnds_NonXtal_Prot#'!A:AL,16,FALSE)-VLOOKUP(A398,'SegEnds_NonXtal_Prot#'!A:AL,10,FALSE)</f>
        <v>51</v>
      </c>
      <c r="AF398" s="1">
        <f>VLOOKUP(A398,'SegEnds_NonXtal_Prot#'!A:AL,22,FALSE)-VLOOKUP(A398,'SegEnds_NonXtal_Prot#'!A:AL,19,FALSE)</f>
        <v>20</v>
      </c>
      <c r="AG398" s="1" t="e">
        <f>VLOOKUP(A398,'SegEnds_NonXtal_Prot#'!A:AL,28,FALSE)-VLOOKUP(A398,'SegEnds_NonXtal_Prot#'!A:AL,25,FALSE)</f>
        <v>#VALUE!</v>
      </c>
      <c r="AH398" s="1">
        <f>VLOOKUP(A398,'SegEnds_NonXtal_Prot#'!A:AL,28,FALSE)-VLOOKUP(A398,'SegEnds_NonXtal_Prot#'!A:AL,22,FALSE)</f>
        <v>52</v>
      </c>
      <c r="AI398" s="1">
        <f>VLOOKUP(A398,'SegEnds_NonXtal_Prot#'!A:AL,31,FALSE)-VLOOKUP(A398,'SegEnds_NonXtal_Prot#'!A:AL,28,FALSE)</f>
        <v>53</v>
      </c>
      <c r="AJ398" s="1">
        <f>VLOOKUP(A398,'SegEnds_NonXtal_Prot#'!A:AL,34,FALSE)-VLOOKUP(A398,'SegEnds_NonXtal_Prot#'!A:AL,31,FALSE)</f>
        <v>36</v>
      </c>
      <c r="AK398" s="1">
        <f>VLOOKUP(A398,'SegEnds_NonXtal_Prot#'!A:AL,37,FALSE)-VLOOKUP(A398,'SegEnds_NonXtal_Prot#'!A:AL,34,FALSE)</f>
        <v>10</v>
      </c>
      <c r="AL398" s="1" t="str">
        <f>IF(ISERROR(MATCH(A398,'SegEnds_Xtal_Prot#'!B:B, 0)), "NoXtal", "Xtal")</f>
        <v>NoXtal</v>
      </c>
    </row>
    <row r="399" spans="1:38" x14ac:dyDescent="0.2">
      <c r="A399" s="1" t="s">
        <v>462</v>
      </c>
      <c r="B399" s="1" t="str">
        <f>VLOOKUP(A399,Xtal_Templ!A:B,2,FALSE)</f>
        <v>5ht2c_human</v>
      </c>
      <c r="C399" s="5">
        <v>32</v>
      </c>
      <c r="D399" s="1">
        <v>62</v>
      </c>
      <c r="E399" s="1">
        <f>VLOOKUP($B399&amp;"__wt",'SegEnds_Xtal_BW#'!$A:$Z,5,FALSE)</f>
        <v>48</v>
      </c>
      <c r="F399" s="1">
        <f>VLOOKUP($B399&amp;"__wt",'SegEnds_Xtal_BW#'!$A:$Z,6,FALSE)</f>
        <v>51</v>
      </c>
      <c r="G399" s="1">
        <v>39</v>
      </c>
      <c r="H399" s="12">
        <v>66</v>
      </c>
      <c r="I399" s="1" t="s">
        <v>23</v>
      </c>
      <c r="J399" s="1" t="s">
        <v>23</v>
      </c>
      <c r="K399" s="12">
        <v>21</v>
      </c>
      <c r="L399" s="1">
        <f>VLOOKUP($B399&amp;"__wt",'SegEnds_Xtal_BW#'!$A:$Z,12,FALSE)</f>
        <v>56</v>
      </c>
      <c r="M399" s="1">
        <f>VLOOKUP($B399&amp;"__wt",'SegEnds_Xtal_BW#'!$A:$Z,13,FALSE)</f>
        <v>50</v>
      </c>
      <c r="N399" s="12">
        <v>57</v>
      </c>
      <c r="O399" s="88">
        <v>38</v>
      </c>
      <c r="P399" s="1">
        <f>VLOOKUP($B399&amp;"__wt",'SegEnds_Xtal_BW#'!$A:$Z,16,FALSE)</f>
        <v>67</v>
      </c>
      <c r="Q399" s="1">
        <f>VLOOKUP($B399&amp;"__wt",'SegEnds_Xtal_BW#'!$A:$Z,17,FALSE)</f>
        <v>50</v>
      </c>
      <c r="R399" s="1">
        <f>VLOOKUP($B399&amp;"__wt",'SegEnds_Xtal_BW#'!$A:$Z,18,FALSE)</f>
        <v>52</v>
      </c>
      <c r="S399" s="1">
        <v>32</v>
      </c>
      <c r="T399" s="1">
        <v>72</v>
      </c>
      <c r="U399" s="1">
        <v>29</v>
      </c>
      <c r="V399" s="1">
        <v>61</v>
      </c>
      <c r="W399" s="1">
        <v>31</v>
      </c>
      <c r="X399" s="1">
        <f>VLOOKUP($B399&amp;"__wt",'SegEnds_Xtal_BW#'!$A:$Z,24,FALSE)</f>
        <v>56</v>
      </c>
      <c r="Y399" s="1">
        <f>VLOOKUP($B399&amp;"__wt",'SegEnds_Xtal_BW#'!$A:$Z,25,FALSE)</f>
        <v>47</v>
      </c>
      <c r="Z399" s="1">
        <v>60</v>
      </c>
      <c r="AA399" s="27" t="str">
        <f>VLOOKUP(A399,Classification!A:B,2,FALSE)</f>
        <v>T</v>
      </c>
      <c r="AB399" s="1">
        <f>VLOOKUP(A399,'SegEnds_NonXtal_Prot#'!A:AL,10,FALSE)-VLOOKUP(A399,'SegEnds_NonXtal_Prot#'!A:AL,4,FALSE)</f>
        <v>31</v>
      </c>
      <c r="AC399" s="1">
        <f>VLOOKUP(A399,'SegEnds_NonXtal_Prot#'!A:AL,10,FALSE)-VLOOKUP(A399,'SegEnds_NonXtal_Prot#'!A:AL,7,FALSE)</f>
        <v>16</v>
      </c>
      <c r="AD399" s="1" t="e">
        <f>VLOOKUP(A399,'SegEnds_NonXtal_Prot#'!A:AL,13,FALSE)-VLOOKUP(A399,'SegEnds_NonXtal_Prot#'!A:AL,10,FALSE)</f>
        <v>#VALUE!</v>
      </c>
      <c r="AE399" s="1">
        <f>VLOOKUP(A399,'SegEnds_NonXtal_Prot#'!A:AL,16,FALSE)-VLOOKUP(A399,'SegEnds_NonXtal_Prot#'!A:AL,10,FALSE)</f>
        <v>51</v>
      </c>
      <c r="AF399" s="1">
        <f>VLOOKUP(A399,'SegEnds_NonXtal_Prot#'!A:AL,22,FALSE)-VLOOKUP(A399,'SegEnds_NonXtal_Prot#'!A:AL,19,FALSE)</f>
        <v>20</v>
      </c>
      <c r="AG399" s="1" t="e">
        <f>VLOOKUP(A399,'SegEnds_NonXtal_Prot#'!A:AL,28,FALSE)-VLOOKUP(A399,'SegEnds_NonXtal_Prot#'!A:AL,25,FALSE)</f>
        <v>#VALUE!</v>
      </c>
      <c r="AH399" s="1">
        <f>VLOOKUP(A399,'SegEnds_NonXtal_Prot#'!A:AL,28,FALSE)-VLOOKUP(A399,'SegEnds_NonXtal_Prot#'!A:AL,22,FALSE)</f>
        <v>52</v>
      </c>
      <c r="AI399" s="1">
        <f>VLOOKUP(A399,'SegEnds_NonXtal_Prot#'!A:AL,31,FALSE)-VLOOKUP(A399,'SegEnds_NonXtal_Prot#'!A:AL,28,FALSE)</f>
        <v>53</v>
      </c>
      <c r="AJ399" s="1">
        <f>VLOOKUP(A399,'SegEnds_NonXtal_Prot#'!A:AL,34,FALSE)-VLOOKUP(A399,'SegEnds_NonXtal_Prot#'!A:AL,31,FALSE)</f>
        <v>36</v>
      </c>
      <c r="AK399" s="1">
        <f>VLOOKUP(A399,'SegEnds_NonXtal_Prot#'!A:AL,37,FALSE)-VLOOKUP(A399,'SegEnds_NonXtal_Prot#'!A:AL,34,FALSE)</f>
        <v>10</v>
      </c>
      <c r="AL399" s="1" t="str">
        <f>IF(ISERROR(MATCH(A399,'SegEnds_Xtal_Prot#'!B:B, 0)), "NoXtal", "Xtal")</f>
        <v>NoXtal</v>
      </c>
    </row>
    <row r="400" spans="1:38" x14ac:dyDescent="0.2">
      <c r="A400" s="1" t="s">
        <v>463</v>
      </c>
      <c r="B400" s="1" t="str">
        <f>VLOOKUP(A400,Xtal_Templ!A:B,2,FALSE)</f>
        <v>drd2_human</v>
      </c>
      <c r="C400" s="5">
        <v>32</v>
      </c>
      <c r="D400" s="1">
        <v>62</v>
      </c>
      <c r="E400" s="1">
        <f>VLOOKUP($B400&amp;"__wt",'SegEnds_Xtal_BW#'!$A:$Z,5,FALSE)</f>
        <v>48</v>
      </c>
      <c r="F400" s="1">
        <f>VLOOKUP($B400&amp;"__wt",'SegEnds_Xtal_BW#'!$A:$Z,6,FALSE)</f>
        <v>51</v>
      </c>
      <c r="G400" s="1">
        <v>39</v>
      </c>
      <c r="H400" s="12">
        <v>66</v>
      </c>
      <c r="I400" s="1" t="s">
        <v>23</v>
      </c>
      <c r="J400" s="1" t="s">
        <v>23</v>
      </c>
      <c r="K400" s="12">
        <v>21</v>
      </c>
      <c r="L400" s="1">
        <f>VLOOKUP($B400&amp;"__wt",'SegEnds_Xtal_BW#'!$A:$Z,12,FALSE)</f>
        <v>56</v>
      </c>
      <c r="M400" s="1">
        <f>VLOOKUP($B400&amp;"__wt",'SegEnds_Xtal_BW#'!$A:$Z,13,FALSE)</f>
        <v>50</v>
      </c>
      <c r="N400" s="12">
        <v>57</v>
      </c>
      <c r="O400" s="87">
        <v>38</v>
      </c>
      <c r="P400" s="1">
        <f>VLOOKUP($B400&amp;"__wt",'SegEnds_Xtal_BW#'!$A:$Z,16,FALSE)</f>
        <v>62</v>
      </c>
      <c r="Q400" s="1">
        <f>VLOOKUP($B400&amp;"__wt",'SegEnds_Xtal_BW#'!$A:$Z,17,FALSE)</f>
        <v>50</v>
      </c>
      <c r="R400" s="1">
        <f>VLOOKUP($B400&amp;"__wt",'SegEnds_Xtal_BW#'!$A:$Z,18,FALSE)</f>
        <v>52</v>
      </c>
      <c r="S400" s="1">
        <v>32</v>
      </c>
      <c r="T400" s="1">
        <v>72</v>
      </c>
      <c r="U400" s="1">
        <v>29</v>
      </c>
      <c r="V400" s="1">
        <v>61</v>
      </c>
      <c r="W400" s="1">
        <v>31</v>
      </c>
      <c r="X400" s="1">
        <f>VLOOKUP($B400&amp;"__wt",'SegEnds_Xtal_BW#'!$A:$Z,24,FALSE)</f>
        <v>56</v>
      </c>
      <c r="Y400" s="1">
        <f>VLOOKUP($B400&amp;"__wt",'SegEnds_Xtal_BW#'!$A:$Z,25,FALSE)</f>
        <v>47</v>
      </c>
      <c r="Z400" s="1">
        <v>60</v>
      </c>
      <c r="AA400" s="27" t="str">
        <f>VLOOKUP(A400,Classification!A:B,2,FALSE)</f>
        <v>T</v>
      </c>
      <c r="AB400" s="1">
        <f>VLOOKUP(A400,'SegEnds_NonXtal_Prot#'!A:AL,10,FALSE)-VLOOKUP(A400,'SegEnds_NonXtal_Prot#'!A:AL,4,FALSE)</f>
        <v>31</v>
      </c>
      <c r="AC400" s="1">
        <f>VLOOKUP(A400,'SegEnds_NonXtal_Prot#'!A:AL,10,FALSE)-VLOOKUP(A400,'SegEnds_NonXtal_Prot#'!A:AL,7,FALSE)</f>
        <v>16</v>
      </c>
      <c r="AD400" s="1" t="e">
        <f>VLOOKUP(A400,'SegEnds_NonXtal_Prot#'!A:AL,13,FALSE)-VLOOKUP(A400,'SegEnds_NonXtal_Prot#'!A:AL,10,FALSE)</f>
        <v>#VALUE!</v>
      </c>
      <c r="AE400" s="1">
        <f>VLOOKUP(A400,'SegEnds_NonXtal_Prot#'!A:AL,16,FALSE)-VLOOKUP(A400,'SegEnds_NonXtal_Prot#'!A:AL,10,FALSE)</f>
        <v>51</v>
      </c>
      <c r="AF400" s="1">
        <f>VLOOKUP(A400,'SegEnds_NonXtal_Prot#'!A:AL,22,FALSE)-VLOOKUP(A400,'SegEnds_NonXtal_Prot#'!A:AL,19,FALSE)</f>
        <v>20</v>
      </c>
      <c r="AG400" s="1" t="e">
        <f>VLOOKUP(A400,'SegEnds_NonXtal_Prot#'!A:AL,28,FALSE)-VLOOKUP(A400,'SegEnds_NonXtal_Prot#'!A:AL,25,FALSE)</f>
        <v>#VALUE!</v>
      </c>
      <c r="AH400" s="1">
        <f>VLOOKUP(A400,'SegEnds_NonXtal_Prot#'!A:AL,28,FALSE)-VLOOKUP(A400,'SegEnds_NonXtal_Prot#'!A:AL,22,FALSE)</f>
        <v>52</v>
      </c>
      <c r="AI400" s="1">
        <f>VLOOKUP(A400,'SegEnds_NonXtal_Prot#'!A:AL,31,FALSE)-VLOOKUP(A400,'SegEnds_NonXtal_Prot#'!A:AL,28,FALSE)</f>
        <v>53</v>
      </c>
      <c r="AJ400" s="1">
        <f>VLOOKUP(A400,'SegEnds_NonXtal_Prot#'!A:AL,34,FALSE)-VLOOKUP(A400,'SegEnds_NonXtal_Prot#'!A:AL,31,FALSE)</f>
        <v>36</v>
      </c>
      <c r="AK400" s="1">
        <f>VLOOKUP(A400,'SegEnds_NonXtal_Prot#'!A:AL,37,FALSE)-VLOOKUP(A400,'SegEnds_NonXtal_Prot#'!A:AL,34,FALSE)</f>
        <v>10</v>
      </c>
      <c r="AL400" s="1" t="str">
        <f>IF(ISERROR(MATCH(A400,'SegEnds_Xtal_Prot#'!B:B, 0)), "NoXtal", "Xtal")</f>
        <v>NoXtal</v>
      </c>
    </row>
    <row r="401" spans="1:38" x14ac:dyDescent="0.2">
      <c r="A401" s="1" t="s">
        <v>464</v>
      </c>
      <c r="B401" s="1" t="str">
        <f>VLOOKUP(A401,Xtal_Templ!A:B,2,FALSE)</f>
        <v>agtr1_human</v>
      </c>
      <c r="C401" s="5">
        <v>32</v>
      </c>
      <c r="D401" s="1">
        <v>62</v>
      </c>
      <c r="E401" s="1">
        <f>VLOOKUP($B401&amp;"__wt",'SegEnds_Xtal_BW#'!$A:$Z,5,FALSE)</f>
        <v>48</v>
      </c>
      <c r="F401" s="1">
        <f>VLOOKUP($B401&amp;"__wt",'SegEnds_Xtal_BW#'!$A:$Z,6,FALSE)</f>
        <v>51</v>
      </c>
      <c r="G401" s="1">
        <v>39</v>
      </c>
      <c r="H401" s="12">
        <v>67</v>
      </c>
      <c r="I401" s="1" t="s">
        <v>23</v>
      </c>
      <c r="J401" s="1" t="s">
        <v>23</v>
      </c>
      <c r="K401" s="12">
        <v>18</v>
      </c>
      <c r="L401" s="1">
        <f>VLOOKUP($B401&amp;"__wt",'SegEnds_Xtal_BW#'!$A:$Z,12,FALSE)</f>
        <v>56</v>
      </c>
      <c r="M401" s="1">
        <f>VLOOKUP($B401&amp;"__wt",'SegEnds_Xtal_BW#'!$A:$Z,13,FALSE)</f>
        <v>50</v>
      </c>
      <c r="N401" s="12">
        <v>57</v>
      </c>
      <c r="O401" s="87">
        <v>38</v>
      </c>
      <c r="P401" s="1">
        <f>VLOOKUP($B401&amp;"__wt",'SegEnds_Xtal_BW#'!$A:$Z,16,FALSE)</f>
        <v>64</v>
      </c>
      <c r="Q401" s="1">
        <f>VLOOKUP($B401&amp;"__wt",'SegEnds_Xtal_BW#'!$A:$Z,17,FALSE)</f>
        <v>50</v>
      </c>
      <c r="R401" s="1">
        <f>VLOOKUP($B401&amp;"__wt",'SegEnds_Xtal_BW#'!$A:$Z,18,FALSE)</f>
        <v>52</v>
      </c>
      <c r="S401" s="1">
        <v>32</v>
      </c>
      <c r="T401" s="1">
        <v>72</v>
      </c>
      <c r="U401" s="1">
        <v>29</v>
      </c>
      <c r="V401" s="1">
        <v>61</v>
      </c>
      <c r="W401" s="1">
        <v>31</v>
      </c>
      <c r="X401" s="1">
        <f>VLOOKUP($B401&amp;"__wt",'SegEnds_Xtal_BW#'!$A:$Z,24,FALSE)</f>
        <v>56</v>
      </c>
      <c r="Y401" s="1">
        <f>VLOOKUP($B401&amp;"__wt",'SegEnds_Xtal_BW#'!$A:$Z,25,FALSE)</f>
        <v>47</v>
      </c>
      <c r="Z401" s="1">
        <v>60</v>
      </c>
      <c r="AA401" s="27" t="str">
        <f>VLOOKUP(A401,Classification!A:B,2,FALSE)</f>
        <v>T</v>
      </c>
      <c r="AB401" s="1">
        <f>VLOOKUP(A401,'SegEnds_NonXtal_Prot#'!A:AL,10,FALSE)-VLOOKUP(A401,'SegEnds_NonXtal_Prot#'!A:AL,4,FALSE)</f>
        <v>31</v>
      </c>
      <c r="AC401" s="1">
        <f>VLOOKUP(A401,'SegEnds_NonXtal_Prot#'!A:AL,10,FALSE)-VLOOKUP(A401,'SegEnds_NonXtal_Prot#'!A:AL,7,FALSE)</f>
        <v>16</v>
      </c>
      <c r="AD401" s="1" t="e">
        <f>VLOOKUP(A401,'SegEnds_NonXtal_Prot#'!A:AL,13,FALSE)-VLOOKUP(A401,'SegEnds_NonXtal_Prot#'!A:AL,10,FALSE)</f>
        <v>#VALUE!</v>
      </c>
      <c r="AE401" s="1">
        <f>VLOOKUP(A401,'SegEnds_NonXtal_Prot#'!A:AL,16,FALSE)-VLOOKUP(A401,'SegEnds_NonXtal_Prot#'!A:AL,10,FALSE)</f>
        <v>53</v>
      </c>
      <c r="AF401" s="1">
        <f>VLOOKUP(A401,'SegEnds_NonXtal_Prot#'!A:AL,22,FALSE)-VLOOKUP(A401,'SegEnds_NonXtal_Prot#'!A:AL,19,FALSE)</f>
        <v>20</v>
      </c>
      <c r="AG401" s="1" t="e">
        <f>VLOOKUP(A401,'SegEnds_NonXtal_Prot#'!A:AL,28,FALSE)-VLOOKUP(A401,'SegEnds_NonXtal_Prot#'!A:AL,25,FALSE)</f>
        <v>#VALUE!</v>
      </c>
      <c r="AH401" s="1">
        <f>VLOOKUP(A401,'SegEnds_NonXtal_Prot#'!A:AL,28,FALSE)-VLOOKUP(A401,'SegEnds_NonXtal_Prot#'!A:AL,22,FALSE)</f>
        <v>59</v>
      </c>
      <c r="AI401" s="1">
        <f>VLOOKUP(A401,'SegEnds_NonXtal_Prot#'!A:AL,31,FALSE)-VLOOKUP(A401,'SegEnds_NonXtal_Prot#'!A:AL,28,FALSE)</f>
        <v>53</v>
      </c>
      <c r="AJ401" s="1">
        <f>VLOOKUP(A401,'SegEnds_NonXtal_Prot#'!A:AL,34,FALSE)-VLOOKUP(A401,'SegEnds_NonXtal_Prot#'!A:AL,31,FALSE)</f>
        <v>36</v>
      </c>
      <c r="AK401" s="1">
        <f>VLOOKUP(A401,'SegEnds_NonXtal_Prot#'!A:AL,37,FALSE)-VLOOKUP(A401,'SegEnds_NonXtal_Prot#'!A:AL,34,FALSE)</f>
        <v>10</v>
      </c>
      <c r="AL401" s="1" t="str">
        <f>IF(ISERROR(MATCH(A401,'SegEnds_Xtal_Prot#'!B:B, 0)), "NoXtal", "Xtal")</f>
        <v>NoXtal</v>
      </c>
    </row>
    <row r="402" spans="1:38" x14ac:dyDescent="0.2">
      <c r="A402" s="1" t="s">
        <v>468</v>
      </c>
      <c r="B402" s="1" t="str">
        <f>VLOOKUP(A402,Xtal_Templ!A:B,2,FALSE)</f>
        <v>hrh1_human</v>
      </c>
      <c r="C402" s="5">
        <v>32</v>
      </c>
      <c r="D402" s="1">
        <v>62</v>
      </c>
      <c r="E402" s="1">
        <f>VLOOKUP($B402&amp;"__wt",'SegEnds_Xtal_BW#'!$A:$Z,5,FALSE)</f>
        <v>48</v>
      </c>
      <c r="F402" s="1">
        <f>VLOOKUP($B402&amp;"__wt",'SegEnds_Xtal_BW#'!$A:$Z,6,FALSE)</f>
        <v>51</v>
      </c>
      <c r="G402" s="1">
        <v>39</v>
      </c>
      <c r="H402" s="12">
        <v>67</v>
      </c>
      <c r="I402" s="1" t="s">
        <v>23</v>
      </c>
      <c r="J402" s="1" t="s">
        <v>23</v>
      </c>
      <c r="K402" s="12">
        <v>21</v>
      </c>
      <c r="L402" s="1">
        <f>VLOOKUP($B402&amp;"__wt",'SegEnds_Xtal_BW#'!$A:$Z,12,FALSE)</f>
        <v>56</v>
      </c>
      <c r="M402" s="1">
        <f>VLOOKUP($B402&amp;"__wt",'SegEnds_Xtal_BW#'!$A:$Z,13,FALSE)</f>
        <v>50</v>
      </c>
      <c r="N402" s="12">
        <v>57</v>
      </c>
      <c r="O402" s="87">
        <v>38</v>
      </c>
      <c r="P402" s="1">
        <f>VLOOKUP($B402&amp;"__wt",'SegEnds_Xtal_BW#'!$A:$Z,16,FALSE)</f>
        <v>62</v>
      </c>
      <c r="Q402" s="1">
        <f>VLOOKUP($B402&amp;"__wt",'SegEnds_Xtal_BW#'!$A:$Z,17,FALSE)</f>
        <v>50</v>
      </c>
      <c r="R402" s="1">
        <f>VLOOKUP($B402&amp;"__wt",'SegEnds_Xtal_BW#'!$A:$Z,18,FALSE)</f>
        <v>52</v>
      </c>
      <c r="S402" s="1">
        <v>32</v>
      </c>
      <c r="T402" s="1">
        <v>72</v>
      </c>
      <c r="U402" s="1">
        <v>29</v>
      </c>
      <c r="V402" s="1">
        <v>61</v>
      </c>
      <c r="W402" s="1">
        <v>31</v>
      </c>
      <c r="X402" s="1">
        <f>VLOOKUP($B402&amp;"__wt",'SegEnds_Xtal_BW#'!$A:$Z,24,FALSE)</f>
        <v>56</v>
      </c>
      <c r="Y402" s="1">
        <f>VLOOKUP($B402&amp;"__wt",'SegEnds_Xtal_BW#'!$A:$Z,25,FALSE)</f>
        <v>47</v>
      </c>
      <c r="Z402" s="1">
        <v>60</v>
      </c>
      <c r="AA402" s="27" t="str">
        <f>VLOOKUP(A402,Classification!A:B,2,FALSE)</f>
        <v>T</v>
      </c>
      <c r="AB402" s="1">
        <f>VLOOKUP(A402,'SegEnds_NonXtal_Prot#'!A:AL,10,FALSE)-VLOOKUP(A402,'SegEnds_NonXtal_Prot#'!A:AL,4,FALSE)</f>
        <v>31</v>
      </c>
      <c r="AC402" s="1">
        <f>VLOOKUP(A402,'SegEnds_NonXtal_Prot#'!A:AL,10,FALSE)-VLOOKUP(A402,'SegEnds_NonXtal_Prot#'!A:AL,7,FALSE)</f>
        <v>16</v>
      </c>
      <c r="AD402" s="1" t="e">
        <f>VLOOKUP(A402,'SegEnds_NonXtal_Prot#'!A:AL,13,FALSE)-VLOOKUP(A402,'SegEnds_NonXtal_Prot#'!A:AL,10,FALSE)</f>
        <v>#VALUE!</v>
      </c>
      <c r="AE402" s="1">
        <f>VLOOKUP(A402,'SegEnds_NonXtal_Prot#'!A:AL,16,FALSE)-VLOOKUP(A402,'SegEnds_NonXtal_Prot#'!A:AL,10,FALSE)</f>
        <v>52</v>
      </c>
      <c r="AF402" s="1">
        <f>VLOOKUP(A402,'SegEnds_NonXtal_Prot#'!A:AL,22,FALSE)-VLOOKUP(A402,'SegEnds_NonXtal_Prot#'!A:AL,19,FALSE)</f>
        <v>20</v>
      </c>
      <c r="AG402" s="1" t="e">
        <f>VLOOKUP(A402,'SegEnds_NonXtal_Prot#'!A:AL,28,FALSE)-VLOOKUP(A402,'SegEnds_NonXtal_Prot#'!A:AL,25,FALSE)</f>
        <v>#VALUE!</v>
      </c>
      <c r="AH402" s="1">
        <f>VLOOKUP(A402,'SegEnds_NonXtal_Prot#'!A:AL,28,FALSE)-VLOOKUP(A402,'SegEnds_NonXtal_Prot#'!A:AL,22,FALSE)</f>
        <v>56</v>
      </c>
      <c r="AI402" s="1">
        <f>VLOOKUP(A402,'SegEnds_NonXtal_Prot#'!A:AL,31,FALSE)-VLOOKUP(A402,'SegEnds_NonXtal_Prot#'!A:AL,28,FALSE)</f>
        <v>53</v>
      </c>
      <c r="AJ402" s="1">
        <f>VLOOKUP(A402,'SegEnds_NonXtal_Prot#'!A:AL,34,FALSE)-VLOOKUP(A402,'SegEnds_NonXtal_Prot#'!A:AL,31,FALSE)</f>
        <v>36</v>
      </c>
      <c r="AK402" s="1">
        <f>VLOOKUP(A402,'SegEnds_NonXtal_Prot#'!A:AL,37,FALSE)-VLOOKUP(A402,'SegEnds_NonXtal_Prot#'!A:AL,34,FALSE)</f>
        <v>10</v>
      </c>
      <c r="AL402" s="1" t="str">
        <f>IF(ISERROR(MATCH(A402,'SegEnds_Xtal_Prot#'!B:B, 0)), "NoXtal", "Xtal")</f>
        <v>NoXtal</v>
      </c>
    </row>
    <row r="403" spans="1:38" x14ac:dyDescent="0.2">
      <c r="A403" s="1" t="s">
        <v>469</v>
      </c>
      <c r="B403" s="1" t="str">
        <f>VLOOKUP(A403,Xtal_Templ!A:B,2,FALSE)</f>
        <v>drd2_human</v>
      </c>
      <c r="C403" s="5">
        <v>32</v>
      </c>
      <c r="D403" s="1">
        <v>62</v>
      </c>
      <c r="E403" s="1">
        <f>VLOOKUP($B403&amp;"__wt",'SegEnds_Xtal_BW#'!$A:$Z,5,FALSE)</f>
        <v>48</v>
      </c>
      <c r="F403" s="1">
        <f>VLOOKUP($B403&amp;"__wt",'SegEnds_Xtal_BW#'!$A:$Z,6,FALSE)</f>
        <v>51</v>
      </c>
      <c r="G403" s="1">
        <v>39</v>
      </c>
      <c r="H403" s="12">
        <v>66</v>
      </c>
      <c r="I403" s="1" t="s">
        <v>23</v>
      </c>
      <c r="J403" s="1" t="s">
        <v>23</v>
      </c>
      <c r="K403" s="12">
        <v>21</v>
      </c>
      <c r="L403" s="1">
        <f>VLOOKUP($B403&amp;"__wt",'SegEnds_Xtal_BW#'!$A:$Z,12,FALSE)</f>
        <v>56</v>
      </c>
      <c r="M403" s="1">
        <f>VLOOKUP($B403&amp;"__wt",'SegEnds_Xtal_BW#'!$A:$Z,13,FALSE)</f>
        <v>50</v>
      </c>
      <c r="N403" s="12">
        <v>57</v>
      </c>
      <c r="O403" s="88">
        <v>38</v>
      </c>
      <c r="P403" s="1">
        <f>VLOOKUP($B403&amp;"__wt",'SegEnds_Xtal_BW#'!$A:$Z,16,FALSE)</f>
        <v>62</v>
      </c>
      <c r="Q403" s="1">
        <f>VLOOKUP($B403&amp;"__wt",'SegEnds_Xtal_BW#'!$A:$Z,17,FALSE)</f>
        <v>50</v>
      </c>
      <c r="R403" s="1">
        <f>VLOOKUP($B403&amp;"__wt",'SegEnds_Xtal_BW#'!$A:$Z,18,FALSE)</f>
        <v>52</v>
      </c>
      <c r="S403" s="1">
        <v>32</v>
      </c>
      <c r="T403" s="1">
        <v>72</v>
      </c>
      <c r="U403" s="1">
        <v>29</v>
      </c>
      <c r="V403" s="1">
        <v>61</v>
      </c>
      <c r="W403" s="1">
        <v>31</v>
      </c>
      <c r="X403" s="1">
        <f>VLOOKUP($B403&amp;"__wt",'SegEnds_Xtal_BW#'!$A:$Z,24,FALSE)</f>
        <v>56</v>
      </c>
      <c r="Y403" s="1">
        <f>VLOOKUP($B403&amp;"__wt",'SegEnds_Xtal_BW#'!$A:$Z,25,FALSE)</f>
        <v>47</v>
      </c>
      <c r="Z403" s="1">
        <v>60</v>
      </c>
      <c r="AA403" s="27" t="str">
        <f>VLOOKUP(A403,Classification!A:B,2,FALSE)</f>
        <v>T</v>
      </c>
      <c r="AB403" s="1">
        <f>VLOOKUP(A403,'SegEnds_NonXtal_Prot#'!A:AL,10,FALSE)-VLOOKUP(A403,'SegEnds_NonXtal_Prot#'!A:AL,4,FALSE)</f>
        <v>31</v>
      </c>
      <c r="AC403" s="1">
        <f>VLOOKUP(A403,'SegEnds_NonXtal_Prot#'!A:AL,10,FALSE)-VLOOKUP(A403,'SegEnds_NonXtal_Prot#'!A:AL,7,FALSE)</f>
        <v>16</v>
      </c>
      <c r="AD403" s="1" t="e">
        <f>VLOOKUP(A403,'SegEnds_NonXtal_Prot#'!A:AL,13,FALSE)-VLOOKUP(A403,'SegEnds_NonXtal_Prot#'!A:AL,10,FALSE)</f>
        <v>#VALUE!</v>
      </c>
      <c r="AE403" s="1">
        <f>VLOOKUP(A403,'SegEnds_NonXtal_Prot#'!A:AL,16,FALSE)-VLOOKUP(A403,'SegEnds_NonXtal_Prot#'!A:AL,10,FALSE)</f>
        <v>51</v>
      </c>
      <c r="AF403" s="1">
        <f>VLOOKUP(A403,'SegEnds_NonXtal_Prot#'!A:AL,22,FALSE)-VLOOKUP(A403,'SegEnds_NonXtal_Prot#'!A:AL,19,FALSE)</f>
        <v>20</v>
      </c>
      <c r="AG403" s="1" t="e">
        <f>VLOOKUP(A403,'SegEnds_NonXtal_Prot#'!A:AL,28,FALSE)-VLOOKUP(A403,'SegEnds_NonXtal_Prot#'!A:AL,25,FALSE)</f>
        <v>#VALUE!</v>
      </c>
      <c r="AH403" s="1">
        <f>VLOOKUP(A403,'SegEnds_NonXtal_Prot#'!A:AL,28,FALSE)-VLOOKUP(A403,'SegEnds_NonXtal_Prot#'!A:AL,22,FALSE)</f>
        <v>52</v>
      </c>
      <c r="AI403" s="1">
        <f>VLOOKUP(A403,'SegEnds_NonXtal_Prot#'!A:AL,31,FALSE)-VLOOKUP(A403,'SegEnds_NonXtal_Prot#'!A:AL,28,FALSE)</f>
        <v>53</v>
      </c>
      <c r="AJ403" s="1">
        <f>VLOOKUP(A403,'SegEnds_NonXtal_Prot#'!A:AL,34,FALSE)-VLOOKUP(A403,'SegEnds_NonXtal_Prot#'!A:AL,31,FALSE)</f>
        <v>36</v>
      </c>
      <c r="AK403" s="1">
        <f>VLOOKUP(A403,'SegEnds_NonXtal_Prot#'!A:AL,37,FALSE)-VLOOKUP(A403,'SegEnds_NonXtal_Prot#'!A:AL,34,FALSE)</f>
        <v>10</v>
      </c>
      <c r="AL403" s="1" t="str">
        <f>IF(ISERROR(MATCH(A403,'SegEnds_Xtal_Prot#'!B:B, 0)), "NoXtal", "Xtal")</f>
        <v>NoXtal</v>
      </c>
    </row>
    <row r="404" spans="1:38" x14ac:dyDescent="0.2">
      <c r="A404" s="1" t="s">
        <v>470</v>
      </c>
      <c r="B404" s="1" t="str">
        <f>VLOOKUP(A404,Xtal_Templ!A:B,2,FALSE)</f>
        <v>5ht2c_human</v>
      </c>
      <c r="C404" s="5">
        <v>32</v>
      </c>
      <c r="D404" s="1">
        <v>62</v>
      </c>
      <c r="E404" s="1">
        <f>VLOOKUP($B404&amp;"__wt",'SegEnds_Xtal_BW#'!$A:$Z,5,FALSE)</f>
        <v>48</v>
      </c>
      <c r="F404" s="1">
        <f>VLOOKUP($B404&amp;"__wt",'SegEnds_Xtal_BW#'!$A:$Z,6,FALSE)</f>
        <v>51</v>
      </c>
      <c r="G404" s="1">
        <v>39</v>
      </c>
      <c r="H404" s="12">
        <v>66</v>
      </c>
      <c r="I404" s="1" t="s">
        <v>23</v>
      </c>
      <c r="J404" s="1" t="s">
        <v>23</v>
      </c>
      <c r="K404" s="12">
        <v>21</v>
      </c>
      <c r="L404" s="1">
        <f>VLOOKUP($B404&amp;"__wt",'SegEnds_Xtal_BW#'!$A:$Z,12,FALSE)</f>
        <v>56</v>
      </c>
      <c r="M404" s="1">
        <f>VLOOKUP($B404&amp;"__wt",'SegEnds_Xtal_BW#'!$A:$Z,13,FALSE)</f>
        <v>50</v>
      </c>
      <c r="N404" s="12">
        <v>57</v>
      </c>
      <c r="O404" s="87">
        <v>38</v>
      </c>
      <c r="P404" s="1">
        <f>VLOOKUP($B404&amp;"__wt",'SegEnds_Xtal_BW#'!$A:$Z,16,FALSE)</f>
        <v>67</v>
      </c>
      <c r="Q404" s="1">
        <f>VLOOKUP($B404&amp;"__wt",'SegEnds_Xtal_BW#'!$A:$Z,17,FALSE)</f>
        <v>50</v>
      </c>
      <c r="R404" s="1">
        <f>VLOOKUP($B404&amp;"__wt",'SegEnds_Xtal_BW#'!$A:$Z,18,FALSE)</f>
        <v>52</v>
      </c>
      <c r="S404" s="1">
        <v>32</v>
      </c>
      <c r="T404" s="1">
        <v>72</v>
      </c>
      <c r="U404" s="1">
        <v>29</v>
      </c>
      <c r="V404" s="1">
        <v>61</v>
      </c>
      <c r="W404" s="1">
        <v>31</v>
      </c>
      <c r="X404" s="1">
        <f>VLOOKUP($B404&amp;"__wt",'SegEnds_Xtal_BW#'!$A:$Z,24,FALSE)</f>
        <v>56</v>
      </c>
      <c r="Y404" s="1">
        <f>VLOOKUP($B404&amp;"__wt",'SegEnds_Xtal_BW#'!$A:$Z,25,FALSE)</f>
        <v>47</v>
      </c>
      <c r="Z404" s="1">
        <v>60</v>
      </c>
      <c r="AA404" s="27" t="str">
        <f>VLOOKUP(A404,Classification!A:B,2,FALSE)</f>
        <v>T</v>
      </c>
      <c r="AB404" s="1">
        <f>VLOOKUP(A404,'SegEnds_NonXtal_Prot#'!A:AL,10,FALSE)-VLOOKUP(A404,'SegEnds_NonXtal_Prot#'!A:AL,4,FALSE)</f>
        <v>31</v>
      </c>
      <c r="AC404" s="1">
        <f>VLOOKUP(A404,'SegEnds_NonXtal_Prot#'!A:AL,10,FALSE)-VLOOKUP(A404,'SegEnds_NonXtal_Prot#'!A:AL,7,FALSE)</f>
        <v>16</v>
      </c>
      <c r="AD404" s="1" t="e">
        <f>VLOOKUP(A404,'SegEnds_NonXtal_Prot#'!A:AL,13,FALSE)-VLOOKUP(A404,'SegEnds_NonXtal_Prot#'!A:AL,10,FALSE)</f>
        <v>#VALUE!</v>
      </c>
      <c r="AE404" s="1">
        <f>VLOOKUP(A404,'SegEnds_NonXtal_Prot#'!A:AL,16,FALSE)-VLOOKUP(A404,'SegEnds_NonXtal_Prot#'!A:AL,10,FALSE)</f>
        <v>51</v>
      </c>
      <c r="AF404" s="1">
        <f>VLOOKUP(A404,'SegEnds_NonXtal_Prot#'!A:AL,22,FALSE)-VLOOKUP(A404,'SegEnds_NonXtal_Prot#'!A:AL,19,FALSE)</f>
        <v>20</v>
      </c>
      <c r="AG404" s="1" t="e">
        <f>VLOOKUP(A404,'SegEnds_NonXtal_Prot#'!A:AL,28,FALSE)-VLOOKUP(A404,'SegEnds_NonXtal_Prot#'!A:AL,25,FALSE)</f>
        <v>#VALUE!</v>
      </c>
      <c r="AH404" s="1">
        <f>VLOOKUP(A404,'SegEnds_NonXtal_Prot#'!A:AL,28,FALSE)-VLOOKUP(A404,'SegEnds_NonXtal_Prot#'!A:AL,22,FALSE)</f>
        <v>52</v>
      </c>
      <c r="AI404" s="1">
        <f>VLOOKUP(A404,'SegEnds_NonXtal_Prot#'!A:AL,31,FALSE)-VLOOKUP(A404,'SegEnds_NonXtal_Prot#'!A:AL,28,FALSE)</f>
        <v>53</v>
      </c>
      <c r="AJ404" s="1">
        <f>VLOOKUP(A404,'SegEnds_NonXtal_Prot#'!A:AL,34,FALSE)-VLOOKUP(A404,'SegEnds_NonXtal_Prot#'!A:AL,31,FALSE)</f>
        <v>36</v>
      </c>
      <c r="AK404" s="1">
        <f>VLOOKUP(A404,'SegEnds_NonXtal_Prot#'!A:AL,37,FALSE)-VLOOKUP(A404,'SegEnds_NonXtal_Prot#'!A:AL,34,FALSE)</f>
        <v>10</v>
      </c>
      <c r="AL404" s="1" t="str">
        <f>IF(ISERROR(MATCH(A404,'SegEnds_Xtal_Prot#'!B:B, 0)), "NoXtal", "Xtal")</f>
        <v>NoXtal</v>
      </c>
    </row>
    <row r="405" spans="1:38" x14ac:dyDescent="0.2">
      <c r="A405" s="1" t="s">
        <v>471</v>
      </c>
      <c r="B405" s="1" t="str">
        <f>VLOOKUP(A405,Xtal_Templ!A:B,2,FALSE)</f>
        <v>drd2_human</v>
      </c>
      <c r="C405" s="5">
        <v>32</v>
      </c>
      <c r="D405" s="1">
        <v>62</v>
      </c>
      <c r="E405" s="1">
        <f>VLOOKUP($B405&amp;"__wt",'SegEnds_Xtal_BW#'!$A:$Z,5,FALSE)</f>
        <v>48</v>
      </c>
      <c r="F405" s="1">
        <f>VLOOKUP($B405&amp;"__wt",'SegEnds_Xtal_BW#'!$A:$Z,6,FALSE)</f>
        <v>51</v>
      </c>
      <c r="G405" s="1">
        <v>39</v>
      </c>
      <c r="H405" s="12">
        <v>66</v>
      </c>
      <c r="I405" s="1" t="s">
        <v>23</v>
      </c>
      <c r="J405" s="1" t="s">
        <v>23</v>
      </c>
      <c r="K405" s="12">
        <v>21</v>
      </c>
      <c r="L405" s="1">
        <f>VLOOKUP($B405&amp;"__wt",'SegEnds_Xtal_BW#'!$A:$Z,12,FALSE)</f>
        <v>56</v>
      </c>
      <c r="M405" s="1">
        <f>VLOOKUP($B405&amp;"__wt",'SegEnds_Xtal_BW#'!$A:$Z,13,FALSE)</f>
        <v>50</v>
      </c>
      <c r="N405" s="12">
        <v>57</v>
      </c>
      <c r="O405" s="88">
        <v>38</v>
      </c>
      <c r="P405" s="1">
        <f>VLOOKUP($B405&amp;"__wt",'SegEnds_Xtal_BW#'!$A:$Z,16,FALSE)</f>
        <v>62</v>
      </c>
      <c r="Q405" s="1">
        <f>VLOOKUP($B405&amp;"__wt",'SegEnds_Xtal_BW#'!$A:$Z,17,FALSE)</f>
        <v>50</v>
      </c>
      <c r="R405" s="1">
        <f>VLOOKUP($B405&amp;"__wt",'SegEnds_Xtal_BW#'!$A:$Z,18,FALSE)</f>
        <v>52</v>
      </c>
      <c r="S405" s="1">
        <v>32</v>
      </c>
      <c r="T405" s="1">
        <v>72</v>
      </c>
      <c r="U405" s="1">
        <v>29</v>
      </c>
      <c r="V405" s="1">
        <v>61</v>
      </c>
      <c r="W405" s="1">
        <v>31</v>
      </c>
      <c r="X405" s="1">
        <f>VLOOKUP($B405&amp;"__wt",'SegEnds_Xtal_BW#'!$A:$Z,24,FALSE)</f>
        <v>56</v>
      </c>
      <c r="Y405" s="1">
        <f>VLOOKUP($B405&amp;"__wt",'SegEnds_Xtal_BW#'!$A:$Z,25,FALSE)</f>
        <v>47</v>
      </c>
      <c r="Z405" s="1">
        <v>60</v>
      </c>
      <c r="AA405" s="27" t="str">
        <f>VLOOKUP(A405,Classification!A:B,2,FALSE)</f>
        <v>T</v>
      </c>
      <c r="AB405" s="1">
        <f>VLOOKUP(A405,'SegEnds_NonXtal_Prot#'!A:AL,10,FALSE)-VLOOKUP(A405,'SegEnds_NonXtal_Prot#'!A:AL,4,FALSE)</f>
        <v>31</v>
      </c>
      <c r="AC405" s="1">
        <f>VLOOKUP(A405,'SegEnds_NonXtal_Prot#'!A:AL,10,FALSE)-VLOOKUP(A405,'SegEnds_NonXtal_Prot#'!A:AL,7,FALSE)</f>
        <v>16</v>
      </c>
      <c r="AD405" s="1" t="e">
        <f>VLOOKUP(A405,'SegEnds_NonXtal_Prot#'!A:AL,13,FALSE)-VLOOKUP(A405,'SegEnds_NonXtal_Prot#'!A:AL,10,FALSE)</f>
        <v>#VALUE!</v>
      </c>
      <c r="AE405" s="1">
        <f>VLOOKUP(A405,'SegEnds_NonXtal_Prot#'!A:AL,16,FALSE)-VLOOKUP(A405,'SegEnds_NonXtal_Prot#'!A:AL,10,FALSE)</f>
        <v>51</v>
      </c>
      <c r="AF405" s="1">
        <f>VLOOKUP(A405,'SegEnds_NonXtal_Prot#'!A:AL,22,FALSE)-VLOOKUP(A405,'SegEnds_NonXtal_Prot#'!A:AL,19,FALSE)</f>
        <v>20</v>
      </c>
      <c r="AG405" s="1" t="e">
        <f>VLOOKUP(A405,'SegEnds_NonXtal_Prot#'!A:AL,28,FALSE)-VLOOKUP(A405,'SegEnds_NonXtal_Prot#'!A:AL,25,FALSE)</f>
        <v>#VALUE!</v>
      </c>
      <c r="AH405" s="1">
        <f>VLOOKUP(A405,'SegEnds_NonXtal_Prot#'!A:AL,28,FALSE)-VLOOKUP(A405,'SegEnds_NonXtal_Prot#'!A:AL,22,FALSE)</f>
        <v>52</v>
      </c>
      <c r="AI405" s="1">
        <f>VLOOKUP(A405,'SegEnds_NonXtal_Prot#'!A:AL,31,FALSE)-VLOOKUP(A405,'SegEnds_NonXtal_Prot#'!A:AL,28,FALSE)</f>
        <v>53</v>
      </c>
      <c r="AJ405" s="1">
        <f>VLOOKUP(A405,'SegEnds_NonXtal_Prot#'!A:AL,34,FALSE)-VLOOKUP(A405,'SegEnds_NonXtal_Prot#'!A:AL,31,FALSE)</f>
        <v>36</v>
      </c>
      <c r="AK405" s="1">
        <f>VLOOKUP(A405,'SegEnds_NonXtal_Prot#'!A:AL,37,FALSE)-VLOOKUP(A405,'SegEnds_NonXtal_Prot#'!A:AL,34,FALSE)</f>
        <v>10</v>
      </c>
      <c r="AL405" s="1" t="str">
        <f>IF(ISERROR(MATCH(A405,'SegEnds_Xtal_Prot#'!B:B, 0)), "NoXtal", "Xtal")</f>
        <v>NoXtal</v>
      </c>
    </row>
    <row r="406" spans="1:38" x14ac:dyDescent="0.2">
      <c r="A406" s="1" t="s">
        <v>475</v>
      </c>
      <c r="B406" s="1" t="str">
        <f>VLOOKUP(A406,Xtal_Templ!A:B,2,FALSE)</f>
        <v>agtr1_human</v>
      </c>
      <c r="C406" s="5">
        <v>32</v>
      </c>
      <c r="D406" s="1">
        <v>62</v>
      </c>
      <c r="E406" s="1">
        <f>VLOOKUP($B406&amp;"__wt",'SegEnds_Xtal_BW#'!$A:$Z,5,FALSE)</f>
        <v>48</v>
      </c>
      <c r="F406" s="1">
        <f>VLOOKUP($B406&amp;"__wt",'SegEnds_Xtal_BW#'!$A:$Z,6,FALSE)</f>
        <v>51</v>
      </c>
      <c r="G406" s="1">
        <v>39</v>
      </c>
      <c r="H406" s="12">
        <v>67</v>
      </c>
      <c r="I406" s="1" t="s">
        <v>23</v>
      </c>
      <c r="J406" s="1" t="s">
        <v>23</v>
      </c>
      <c r="K406" s="12">
        <v>21</v>
      </c>
      <c r="L406" s="1">
        <f>VLOOKUP($B406&amp;"__wt",'SegEnds_Xtal_BW#'!$A:$Z,12,FALSE)</f>
        <v>56</v>
      </c>
      <c r="M406" s="1">
        <f>VLOOKUP($B406&amp;"__wt",'SegEnds_Xtal_BW#'!$A:$Z,13,FALSE)</f>
        <v>50</v>
      </c>
      <c r="N406" s="12">
        <v>57</v>
      </c>
      <c r="O406" s="87">
        <v>38</v>
      </c>
      <c r="P406" s="1">
        <f>VLOOKUP($B406&amp;"__wt",'SegEnds_Xtal_BW#'!$A:$Z,16,FALSE)</f>
        <v>64</v>
      </c>
      <c r="Q406" s="1">
        <f>VLOOKUP($B406&amp;"__wt",'SegEnds_Xtal_BW#'!$A:$Z,17,FALSE)</f>
        <v>50</v>
      </c>
      <c r="R406" s="1">
        <f>VLOOKUP($B406&amp;"__wt",'SegEnds_Xtal_BW#'!$A:$Z,18,FALSE)</f>
        <v>52</v>
      </c>
      <c r="S406" s="1">
        <v>32</v>
      </c>
      <c r="T406" s="1">
        <v>72</v>
      </c>
      <c r="U406" s="1">
        <v>29</v>
      </c>
      <c r="V406" s="1">
        <v>61</v>
      </c>
      <c r="W406" s="1">
        <v>31</v>
      </c>
      <c r="X406" s="1">
        <f>VLOOKUP($B406&amp;"__wt",'SegEnds_Xtal_BW#'!$A:$Z,24,FALSE)</f>
        <v>56</v>
      </c>
      <c r="Y406" s="1">
        <f>VLOOKUP($B406&amp;"__wt",'SegEnds_Xtal_BW#'!$A:$Z,25,FALSE)</f>
        <v>47</v>
      </c>
      <c r="Z406" s="1">
        <v>60</v>
      </c>
      <c r="AA406" s="27" t="str">
        <f>VLOOKUP(A406,Classification!A:B,2,FALSE)</f>
        <v>T</v>
      </c>
      <c r="AB406" s="1">
        <f>VLOOKUP(A406,'SegEnds_NonXtal_Prot#'!A:AL,10,FALSE)-VLOOKUP(A406,'SegEnds_NonXtal_Prot#'!A:AL,4,FALSE)</f>
        <v>31</v>
      </c>
      <c r="AC406" s="1">
        <f>VLOOKUP(A406,'SegEnds_NonXtal_Prot#'!A:AL,10,FALSE)-VLOOKUP(A406,'SegEnds_NonXtal_Prot#'!A:AL,7,FALSE)</f>
        <v>16</v>
      </c>
      <c r="AD406" s="1" t="e">
        <f>VLOOKUP(A406,'SegEnds_NonXtal_Prot#'!A:AL,13,FALSE)-VLOOKUP(A406,'SegEnds_NonXtal_Prot#'!A:AL,10,FALSE)</f>
        <v>#VALUE!</v>
      </c>
      <c r="AE406" s="1">
        <f>VLOOKUP(A406,'SegEnds_NonXtal_Prot#'!A:AL,16,FALSE)-VLOOKUP(A406,'SegEnds_NonXtal_Prot#'!A:AL,10,FALSE)</f>
        <v>52</v>
      </c>
      <c r="AF406" s="1">
        <f>VLOOKUP(A406,'SegEnds_NonXtal_Prot#'!A:AL,22,FALSE)-VLOOKUP(A406,'SegEnds_NonXtal_Prot#'!A:AL,19,FALSE)</f>
        <v>20</v>
      </c>
      <c r="AG406" s="1" t="e">
        <f>VLOOKUP(A406,'SegEnds_NonXtal_Prot#'!A:AL,28,FALSE)-VLOOKUP(A406,'SegEnds_NonXtal_Prot#'!A:AL,25,FALSE)</f>
        <v>#VALUE!</v>
      </c>
      <c r="AH406" s="1">
        <f>VLOOKUP(A406,'SegEnds_NonXtal_Prot#'!A:AL,28,FALSE)-VLOOKUP(A406,'SegEnds_NonXtal_Prot#'!A:AL,22,FALSE)</f>
        <v>56</v>
      </c>
      <c r="AI406" s="1">
        <f>VLOOKUP(A406,'SegEnds_NonXtal_Prot#'!A:AL,31,FALSE)-VLOOKUP(A406,'SegEnds_NonXtal_Prot#'!A:AL,28,FALSE)</f>
        <v>53</v>
      </c>
      <c r="AJ406" s="1">
        <f>VLOOKUP(A406,'SegEnds_NonXtal_Prot#'!A:AL,34,FALSE)-VLOOKUP(A406,'SegEnds_NonXtal_Prot#'!A:AL,31,FALSE)</f>
        <v>36</v>
      </c>
      <c r="AK406" s="1">
        <f>VLOOKUP(A406,'SegEnds_NonXtal_Prot#'!A:AL,37,FALSE)-VLOOKUP(A406,'SegEnds_NonXtal_Prot#'!A:AL,34,FALSE)</f>
        <v>10</v>
      </c>
      <c r="AL406" s="1" t="str">
        <f>IF(ISERROR(MATCH(A406,'SegEnds_Xtal_Prot#'!B:B, 0)), "NoXtal", "Xtal")</f>
        <v>NoXtal</v>
      </c>
    </row>
    <row r="407" spans="1:38" x14ac:dyDescent="0.2">
      <c r="A407" s="1" t="s">
        <v>476</v>
      </c>
      <c r="B407" s="1" t="str">
        <f>VLOOKUP(A407,Xtal_Templ!A:B,2,FALSE)</f>
        <v>5ht1b_human</v>
      </c>
      <c r="C407" s="5">
        <v>32</v>
      </c>
      <c r="D407" s="1">
        <v>62</v>
      </c>
      <c r="E407" s="1">
        <f>VLOOKUP($B407&amp;"__wt",'SegEnds_Xtal_BW#'!$A:$Z,5,FALSE)</f>
        <v>48</v>
      </c>
      <c r="F407" s="1">
        <f>VLOOKUP($B407&amp;"__wt",'SegEnds_Xtal_BW#'!$A:$Z,6,FALSE)</f>
        <v>51</v>
      </c>
      <c r="G407" s="1">
        <v>39</v>
      </c>
      <c r="H407" s="12">
        <v>66</v>
      </c>
      <c r="I407" s="1" t="s">
        <v>23</v>
      </c>
      <c r="J407" s="1" t="s">
        <v>23</v>
      </c>
      <c r="K407" s="12">
        <v>21</v>
      </c>
      <c r="L407" s="1">
        <f>VLOOKUP($B407&amp;"__wt",'SegEnds_Xtal_BW#'!$A:$Z,12,FALSE)</f>
        <v>56</v>
      </c>
      <c r="M407" s="1">
        <f>VLOOKUP($B407&amp;"__wt",'SegEnds_Xtal_BW#'!$A:$Z,13,FALSE)</f>
        <v>50</v>
      </c>
      <c r="N407" s="12">
        <v>57</v>
      </c>
      <c r="O407" s="87">
        <v>38</v>
      </c>
      <c r="P407" s="1">
        <f>VLOOKUP($B407&amp;"__wt",'SegEnds_Xtal_BW#'!$A:$Z,16,FALSE)</f>
        <v>63</v>
      </c>
      <c r="Q407" s="1">
        <f>VLOOKUP($B407&amp;"__wt",'SegEnds_Xtal_BW#'!$A:$Z,17,FALSE)</f>
        <v>50</v>
      </c>
      <c r="R407" s="1">
        <f>VLOOKUP($B407&amp;"__wt",'SegEnds_Xtal_BW#'!$A:$Z,18,FALSE)</f>
        <v>52</v>
      </c>
      <c r="S407" s="1">
        <v>32</v>
      </c>
      <c r="T407" s="1">
        <v>72</v>
      </c>
      <c r="U407" s="1">
        <v>29</v>
      </c>
      <c r="V407" s="1">
        <v>61</v>
      </c>
      <c r="W407" s="1">
        <v>31</v>
      </c>
      <c r="X407" s="1">
        <f>VLOOKUP($B407&amp;"__wt",'SegEnds_Xtal_BW#'!$A:$Z,24,FALSE)</f>
        <v>56</v>
      </c>
      <c r="Y407" s="1">
        <f>VLOOKUP($B407&amp;"__wt",'SegEnds_Xtal_BW#'!$A:$Z,25,FALSE)</f>
        <v>47</v>
      </c>
      <c r="Z407" s="1">
        <v>60</v>
      </c>
      <c r="AA407" s="27" t="str">
        <f>VLOOKUP(A407,Classification!A:B,2,FALSE)</f>
        <v>T</v>
      </c>
      <c r="AB407" s="1">
        <f>VLOOKUP(A407,'SegEnds_NonXtal_Prot#'!A:AL,10,FALSE)-VLOOKUP(A407,'SegEnds_NonXtal_Prot#'!A:AL,4,FALSE)</f>
        <v>31</v>
      </c>
      <c r="AC407" s="1">
        <f>VLOOKUP(A407,'SegEnds_NonXtal_Prot#'!A:AL,10,FALSE)-VLOOKUP(A407,'SegEnds_NonXtal_Prot#'!A:AL,7,FALSE)</f>
        <v>16</v>
      </c>
      <c r="AD407" s="1" t="e">
        <f>VLOOKUP(A407,'SegEnds_NonXtal_Prot#'!A:AL,13,FALSE)-VLOOKUP(A407,'SegEnds_NonXtal_Prot#'!A:AL,10,FALSE)</f>
        <v>#VALUE!</v>
      </c>
      <c r="AE407" s="1">
        <f>VLOOKUP(A407,'SegEnds_NonXtal_Prot#'!A:AL,16,FALSE)-VLOOKUP(A407,'SegEnds_NonXtal_Prot#'!A:AL,10,FALSE)</f>
        <v>51</v>
      </c>
      <c r="AF407" s="1">
        <f>VLOOKUP(A407,'SegEnds_NonXtal_Prot#'!A:AL,22,FALSE)-VLOOKUP(A407,'SegEnds_NonXtal_Prot#'!A:AL,19,FALSE)</f>
        <v>20</v>
      </c>
      <c r="AG407" s="1" t="e">
        <f>VLOOKUP(A407,'SegEnds_NonXtal_Prot#'!A:AL,28,FALSE)-VLOOKUP(A407,'SegEnds_NonXtal_Prot#'!A:AL,25,FALSE)</f>
        <v>#VALUE!</v>
      </c>
      <c r="AH407" s="1">
        <f>VLOOKUP(A407,'SegEnds_NonXtal_Prot#'!A:AL,28,FALSE)-VLOOKUP(A407,'SegEnds_NonXtal_Prot#'!A:AL,22,FALSE)</f>
        <v>53</v>
      </c>
      <c r="AI407" s="1">
        <f>VLOOKUP(A407,'SegEnds_NonXtal_Prot#'!A:AL,31,FALSE)-VLOOKUP(A407,'SegEnds_NonXtal_Prot#'!A:AL,28,FALSE)</f>
        <v>53</v>
      </c>
      <c r="AJ407" s="1">
        <f>VLOOKUP(A407,'SegEnds_NonXtal_Prot#'!A:AL,34,FALSE)-VLOOKUP(A407,'SegEnds_NonXtal_Prot#'!A:AL,31,FALSE)</f>
        <v>36</v>
      </c>
      <c r="AK407" s="1">
        <f>VLOOKUP(A407,'SegEnds_NonXtal_Prot#'!A:AL,37,FALSE)-VLOOKUP(A407,'SegEnds_NonXtal_Prot#'!A:AL,34,FALSE)</f>
        <v>10</v>
      </c>
      <c r="AL407" s="1" t="str">
        <f>IF(ISERROR(MATCH(A407,'SegEnds_Xtal_Prot#'!B:B, 0)), "NoXtal", "Xtal")</f>
        <v>NoXtal</v>
      </c>
    </row>
    <row r="408" spans="1:38" x14ac:dyDescent="0.2">
      <c r="A408" s="1" t="s">
        <v>477</v>
      </c>
      <c r="B408" s="1" t="str">
        <f>VLOOKUP(A408,Xtal_Templ!A:B,2,FALSE)</f>
        <v>hrh1_human</v>
      </c>
      <c r="C408" s="5">
        <v>32</v>
      </c>
      <c r="D408" s="1">
        <v>62</v>
      </c>
      <c r="E408" s="1">
        <f>VLOOKUP($B408&amp;"__wt",'SegEnds_Xtal_BW#'!$A:$Z,5,FALSE)</f>
        <v>48</v>
      </c>
      <c r="F408" s="1">
        <f>VLOOKUP($B408&amp;"__wt",'SegEnds_Xtal_BW#'!$A:$Z,6,FALSE)</f>
        <v>51</v>
      </c>
      <c r="G408" s="1">
        <v>39</v>
      </c>
      <c r="H408" s="12">
        <v>66</v>
      </c>
      <c r="I408" s="1" t="s">
        <v>23</v>
      </c>
      <c r="J408" s="1" t="s">
        <v>23</v>
      </c>
      <c r="K408" s="12">
        <v>24</v>
      </c>
      <c r="L408" s="1">
        <f>VLOOKUP($B408&amp;"__wt",'SegEnds_Xtal_BW#'!$A:$Z,12,FALSE)</f>
        <v>56</v>
      </c>
      <c r="M408" s="1">
        <f>VLOOKUP($B408&amp;"__wt",'SegEnds_Xtal_BW#'!$A:$Z,13,FALSE)</f>
        <v>50</v>
      </c>
      <c r="N408" s="12">
        <f>VLOOKUP($B408&amp;"__wt",'SegEnds_Xtal_BW#'!$A:$Z,14,FALSE)</f>
        <v>57</v>
      </c>
      <c r="O408" s="87">
        <v>38</v>
      </c>
      <c r="P408" s="1">
        <f>VLOOKUP($B408&amp;"__wt",'SegEnds_Xtal_BW#'!$A:$Z,16,FALSE)</f>
        <v>62</v>
      </c>
      <c r="Q408" s="1">
        <f>VLOOKUP($B408&amp;"__wt",'SegEnds_Xtal_BW#'!$A:$Z,17,FALSE)</f>
        <v>50</v>
      </c>
      <c r="R408" s="1">
        <f>VLOOKUP($B408&amp;"__wt",'SegEnds_Xtal_BW#'!$A:$Z,18,FALSE)</f>
        <v>52</v>
      </c>
      <c r="S408" s="1">
        <v>32</v>
      </c>
      <c r="T408" s="1">
        <v>72</v>
      </c>
      <c r="U408" s="1">
        <v>29</v>
      </c>
      <c r="V408" s="1">
        <v>61</v>
      </c>
      <c r="W408" s="1">
        <v>31</v>
      </c>
      <c r="X408" s="1">
        <f>VLOOKUP($B408&amp;"__wt",'SegEnds_Xtal_BW#'!$A:$Z,24,FALSE)</f>
        <v>56</v>
      </c>
      <c r="Y408" s="1">
        <f>VLOOKUP($B408&amp;"__wt",'SegEnds_Xtal_BW#'!$A:$Z,25,FALSE)</f>
        <v>47</v>
      </c>
      <c r="Z408" s="1">
        <v>60</v>
      </c>
      <c r="AA408" s="27" t="str">
        <f>VLOOKUP(A408,Classification!A:B,2,FALSE)</f>
        <v>T</v>
      </c>
      <c r="AB408" s="1">
        <f>VLOOKUP(A408,'SegEnds_NonXtal_Prot#'!A:AL,10,FALSE)-VLOOKUP(A408,'SegEnds_NonXtal_Prot#'!A:AL,4,FALSE)</f>
        <v>31</v>
      </c>
      <c r="AC408" s="1">
        <f>VLOOKUP(A408,'SegEnds_NonXtal_Prot#'!A:AL,10,FALSE)-VLOOKUP(A408,'SegEnds_NonXtal_Prot#'!A:AL,7,FALSE)</f>
        <v>16</v>
      </c>
      <c r="AD408" s="1" t="e">
        <f>VLOOKUP(A408,'SegEnds_NonXtal_Prot#'!A:AL,13,FALSE)-VLOOKUP(A408,'SegEnds_NonXtal_Prot#'!A:AL,10,FALSE)</f>
        <v>#VALUE!</v>
      </c>
      <c r="AE408" s="1">
        <f>VLOOKUP(A408,'SegEnds_NonXtal_Prot#'!A:AL,16,FALSE)-VLOOKUP(A408,'SegEnds_NonXtal_Prot#'!A:AL,10,FALSE)</f>
        <v>48</v>
      </c>
      <c r="AF408" s="1">
        <f>VLOOKUP(A408,'SegEnds_NonXtal_Prot#'!A:AL,22,FALSE)-VLOOKUP(A408,'SegEnds_NonXtal_Prot#'!A:AL,19,FALSE)</f>
        <v>20</v>
      </c>
      <c r="AG408" s="1" t="e">
        <f>VLOOKUP(A408,'SegEnds_NonXtal_Prot#'!A:AL,28,FALSE)-VLOOKUP(A408,'SegEnds_NonXtal_Prot#'!A:AL,25,FALSE)</f>
        <v>#VALUE!</v>
      </c>
      <c r="AH408" s="1">
        <f>VLOOKUP(A408,'SegEnds_NonXtal_Prot#'!A:AL,28,FALSE)-VLOOKUP(A408,'SegEnds_NonXtal_Prot#'!A:AL,22,FALSE)</f>
        <v>48</v>
      </c>
      <c r="AI408" s="1">
        <f>VLOOKUP(A408,'SegEnds_NonXtal_Prot#'!A:AL,31,FALSE)-VLOOKUP(A408,'SegEnds_NonXtal_Prot#'!A:AL,28,FALSE)</f>
        <v>53</v>
      </c>
      <c r="AJ408" s="1">
        <f>VLOOKUP(A408,'SegEnds_NonXtal_Prot#'!A:AL,34,FALSE)-VLOOKUP(A408,'SegEnds_NonXtal_Prot#'!A:AL,31,FALSE)</f>
        <v>36</v>
      </c>
      <c r="AK408" s="1">
        <f>VLOOKUP(A408,'SegEnds_NonXtal_Prot#'!A:AL,37,FALSE)-VLOOKUP(A408,'SegEnds_NonXtal_Prot#'!A:AL,34,FALSE)</f>
        <v>10</v>
      </c>
      <c r="AL408" s="1" t="str">
        <f>IF(ISERROR(MATCH(A408,'SegEnds_Xtal_Prot#'!B:B, 0)), "NoXtal", "Xtal")</f>
        <v>NoXtal</v>
      </c>
    </row>
    <row r="409" spans="1:38" x14ac:dyDescent="0.2">
      <c r="A409" s="1" t="s">
        <v>478</v>
      </c>
      <c r="B409" s="1" t="str">
        <f>VLOOKUP(A409,Xtal_Templ!A:B,2,FALSE)</f>
        <v>drd2_human</v>
      </c>
      <c r="C409" s="5">
        <v>32</v>
      </c>
      <c r="D409" s="1">
        <v>62</v>
      </c>
      <c r="E409" s="1">
        <f>VLOOKUP($B409&amp;"__wt",'SegEnds_Xtal_BW#'!$A:$Z,5,FALSE)</f>
        <v>48</v>
      </c>
      <c r="F409" s="1">
        <f>VLOOKUP($B409&amp;"__wt",'SegEnds_Xtal_BW#'!$A:$Z,6,FALSE)</f>
        <v>51</v>
      </c>
      <c r="G409" s="1">
        <v>39</v>
      </c>
      <c r="H409" s="12">
        <v>67</v>
      </c>
      <c r="I409" s="1" t="s">
        <v>23</v>
      </c>
      <c r="J409" s="1" t="s">
        <v>23</v>
      </c>
      <c r="K409" s="12">
        <v>21</v>
      </c>
      <c r="L409" s="1">
        <f>VLOOKUP($B409&amp;"__wt",'SegEnds_Xtal_BW#'!$A:$Z,12,FALSE)</f>
        <v>56</v>
      </c>
      <c r="M409" s="1">
        <f>VLOOKUP($B409&amp;"__wt",'SegEnds_Xtal_BW#'!$A:$Z,13,FALSE)</f>
        <v>50</v>
      </c>
      <c r="N409" s="12">
        <v>57</v>
      </c>
      <c r="O409" s="88">
        <v>38</v>
      </c>
      <c r="P409" s="1">
        <f>VLOOKUP($B409&amp;"__wt",'SegEnds_Xtal_BW#'!$A:$Z,16,FALSE)</f>
        <v>62</v>
      </c>
      <c r="Q409" s="1">
        <f>VLOOKUP($B409&amp;"__wt",'SegEnds_Xtal_BW#'!$A:$Z,17,FALSE)</f>
        <v>50</v>
      </c>
      <c r="R409" s="1">
        <f>VLOOKUP($B409&amp;"__wt",'SegEnds_Xtal_BW#'!$A:$Z,18,FALSE)</f>
        <v>52</v>
      </c>
      <c r="S409" s="1">
        <v>32</v>
      </c>
      <c r="T409" s="1">
        <v>72</v>
      </c>
      <c r="U409" s="1">
        <v>29</v>
      </c>
      <c r="V409" s="1">
        <v>61</v>
      </c>
      <c r="W409" s="1">
        <v>31</v>
      </c>
      <c r="X409" s="1">
        <f>VLOOKUP($B409&amp;"__wt",'SegEnds_Xtal_BW#'!$A:$Z,24,FALSE)</f>
        <v>56</v>
      </c>
      <c r="Y409" s="1">
        <f>VLOOKUP($B409&amp;"__wt",'SegEnds_Xtal_BW#'!$A:$Z,25,FALSE)</f>
        <v>47</v>
      </c>
      <c r="Z409" s="1">
        <v>60</v>
      </c>
      <c r="AA409" s="27" t="str">
        <f>VLOOKUP(A409,Classification!A:B,2,FALSE)</f>
        <v>T</v>
      </c>
      <c r="AB409" s="1">
        <f>VLOOKUP(A409,'SegEnds_NonXtal_Prot#'!A:AL,10,FALSE)-VLOOKUP(A409,'SegEnds_NonXtal_Prot#'!A:AL,4,FALSE)</f>
        <v>31</v>
      </c>
      <c r="AC409" s="1">
        <f>VLOOKUP(A409,'SegEnds_NonXtal_Prot#'!A:AL,10,FALSE)-VLOOKUP(A409,'SegEnds_NonXtal_Prot#'!A:AL,7,FALSE)</f>
        <v>16</v>
      </c>
      <c r="AD409" s="1" t="e">
        <f>VLOOKUP(A409,'SegEnds_NonXtal_Prot#'!A:AL,13,FALSE)-VLOOKUP(A409,'SegEnds_NonXtal_Prot#'!A:AL,10,FALSE)</f>
        <v>#VALUE!</v>
      </c>
      <c r="AE409" s="1">
        <f>VLOOKUP(A409,'SegEnds_NonXtal_Prot#'!A:AL,16,FALSE)-VLOOKUP(A409,'SegEnds_NonXtal_Prot#'!A:AL,10,FALSE)</f>
        <v>52</v>
      </c>
      <c r="AF409" s="1">
        <f>VLOOKUP(A409,'SegEnds_NonXtal_Prot#'!A:AL,22,FALSE)-VLOOKUP(A409,'SegEnds_NonXtal_Prot#'!A:AL,19,FALSE)</f>
        <v>20</v>
      </c>
      <c r="AG409" s="1" t="e">
        <f>VLOOKUP(A409,'SegEnds_NonXtal_Prot#'!A:AL,28,FALSE)-VLOOKUP(A409,'SegEnds_NonXtal_Prot#'!A:AL,25,FALSE)</f>
        <v>#VALUE!</v>
      </c>
      <c r="AH409" s="1">
        <f>VLOOKUP(A409,'SegEnds_NonXtal_Prot#'!A:AL,28,FALSE)-VLOOKUP(A409,'SegEnds_NonXtal_Prot#'!A:AL,22,FALSE)</f>
        <v>57</v>
      </c>
      <c r="AI409" s="1">
        <f>VLOOKUP(A409,'SegEnds_NonXtal_Prot#'!A:AL,31,FALSE)-VLOOKUP(A409,'SegEnds_NonXtal_Prot#'!A:AL,28,FALSE)</f>
        <v>53</v>
      </c>
      <c r="AJ409" s="1">
        <f>VLOOKUP(A409,'SegEnds_NonXtal_Prot#'!A:AL,34,FALSE)-VLOOKUP(A409,'SegEnds_NonXtal_Prot#'!A:AL,31,FALSE)</f>
        <v>36</v>
      </c>
      <c r="AK409" s="1">
        <f>VLOOKUP(A409,'SegEnds_NonXtal_Prot#'!A:AL,37,FALSE)-VLOOKUP(A409,'SegEnds_NonXtal_Prot#'!A:AL,34,FALSE)</f>
        <v>10</v>
      </c>
      <c r="AL409" s="1" t="str">
        <f>IF(ISERROR(MATCH(A409,'SegEnds_Xtal_Prot#'!B:B, 0)), "NoXtal", "Xtal")</f>
        <v>NoXtal</v>
      </c>
    </row>
    <row r="410" spans="1:38" x14ac:dyDescent="0.2">
      <c r="A410" s="1" t="s">
        <v>479</v>
      </c>
      <c r="B410" s="1" t="str">
        <f>VLOOKUP(A410,Xtal_Templ!A:B,2,FALSE)</f>
        <v>drd2_human</v>
      </c>
      <c r="C410" s="5">
        <v>32</v>
      </c>
      <c r="D410" s="1">
        <v>62</v>
      </c>
      <c r="E410" s="1">
        <f>VLOOKUP($B410&amp;"__wt",'SegEnds_Xtal_BW#'!$A:$Z,5,FALSE)</f>
        <v>48</v>
      </c>
      <c r="F410" s="1">
        <f>VLOOKUP($B410&amp;"__wt",'SegEnds_Xtal_BW#'!$A:$Z,6,FALSE)</f>
        <v>51</v>
      </c>
      <c r="G410" s="1">
        <v>39</v>
      </c>
      <c r="H410" s="12">
        <v>66</v>
      </c>
      <c r="I410" s="1" t="s">
        <v>23</v>
      </c>
      <c r="J410" s="1" t="s">
        <v>23</v>
      </c>
      <c r="K410" s="12">
        <v>18</v>
      </c>
      <c r="L410" s="1">
        <f>VLOOKUP($B410&amp;"__wt",'SegEnds_Xtal_BW#'!$A:$Z,12,FALSE)</f>
        <v>56</v>
      </c>
      <c r="M410" s="1">
        <f>VLOOKUP($B410&amp;"__wt",'SegEnds_Xtal_BW#'!$A:$Z,13,FALSE)</f>
        <v>50</v>
      </c>
      <c r="N410" s="12">
        <v>57</v>
      </c>
      <c r="O410" s="87">
        <v>38</v>
      </c>
      <c r="P410" s="1">
        <f>VLOOKUP($B410&amp;"__wt",'SegEnds_Xtal_BW#'!$A:$Z,16,FALSE)</f>
        <v>62</v>
      </c>
      <c r="Q410" s="1">
        <f>VLOOKUP($B410&amp;"__wt",'SegEnds_Xtal_BW#'!$A:$Z,17,FALSE)</f>
        <v>50</v>
      </c>
      <c r="R410" s="1">
        <f>VLOOKUP($B410&amp;"__wt",'SegEnds_Xtal_BW#'!$A:$Z,18,FALSE)</f>
        <v>52</v>
      </c>
      <c r="S410" s="1">
        <v>32</v>
      </c>
      <c r="T410" s="1">
        <v>72</v>
      </c>
      <c r="U410" s="1">
        <v>29</v>
      </c>
      <c r="V410" s="1">
        <v>61</v>
      </c>
      <c r="W410" s="1">
        <v>31</v>
      </c>
      <c r="X410" s="1">
        <f>VLOOKUP($B410&amp;"__wt",'SegEnds_Xtal_BW#'!$A:$Z,24,FALSE)</f>
        <v>56</v>
      </c>
      <c r="Y410" s="1">
        <f>VLOOKUP($B410&amp;"__wt",'SegEnds_Xtal_BW#'!$A:$Z,25,FALSE)</f>
        <v>47</v>
      </c>
      <c r="Z410" s="1">
        <v>60</v>
      </c>
      <c r="AA410" s="27" t="str">
        <f>VLOOKUP(A410,Classification!A:B,2,FALSE)</f>
        <v>T</v>
      </c>
      <c r="AB410" s="1">
        <f>VLOOKUP(A410,'SegEnds_NonXtal_Prot#'!A:AL,10,FALSE)-VLOOKUP(A410,'SegEnds_NonXtal_Prot#'!A:AL,4,FALSE)</f>
        <v>31</v>
      </c>
      <c r="AC410" s="1">
        <f>VLOOKUP(A410,'SegEnds_NonXtal_Prot#'!A:AL,10,FALSE)-VLOOKUP(A410,'SegEnds_NonXtal_Prot#'!A:AL,7,FALSE)</f>
        <v>16</v>
      </c>
      <c r="AD410" s="1" t="e">
        <f>VLOOKUP(A410,'SegEnds_NonXtal_Prot#'!A:AL,13,FALSE)-VLOOKUP(A410,'SegEnds_NonXtal_Prot#'!A:AL,10,FALSE)</f>
        <v>#VALUE!</v>
      </c>
      <c r="AE410" s="1">
        <f>VLOOKUP(A410,'SegEnds_NonXtal_Prot#'!A:AL,16,FALSE)-VLOOKUP(A410,'SegEnds_NonXtal_Prot#'!A:AL,10,FALSE)</f>
        <v>52</v>
      </c>
      <c r="AF410" s="1">
        <f>VLOOKUP(A410,'SegEnds_NonXtal_Prot#'!A:AL,22,FALSE)-VLOOKUP(A410,'SegEnds_NonXtal_Prot#'!A:AL,19,FALSE)</f>
        <v>20</v>
      </c>
      <c r="AG410" s="1" t="e">
        <f>VLOOKUP(A410,'SegEnds_NonXtal_Prot#'!A:AL,28,FALSE)-VLOOKUP(A410,'SegEnds_NonXtal_Prot#'!A:AL,25,FALSE)</f>
        <v>#VALUE!</v>
      </c>
      <c r="AH410" s="1">
        <f>VLOOKUP(A410,'SegEnds_NonXtal_Prot#'!A:AL,28,FALSE)-VLOOKUP(A410,'SegEnds_NonXtal_Prot#'!A:AL,22,FALSE)</f>
        <v>57</v>
      </c>
      <c r="AI410" s="1">
        <f>VLOOKUP(A410,'SegEnds_NonXtal_Prot#'!A:AL,31,FALSE)-VLOOKUP(A410,'SegEnds_NonXtal_Prot#'!A:AL,28,FALSE)</f>
        <v>53</v>
      </c>
      <c r="AJ410" s="1">
        <f>VLOOKUP(A410,'SegEnds_NonXtal_Prot#'!A:AL,34,FALSE)-VLOOKUP(A410,'SegEnds_NonXtal_Prot#'!A:AL,31,FALSE)</f>
        <v>36</v>
      </c>
      <c r="AK410" s="1">
        <f>VLOOKUP(A410,'SegEnds_NonXtal_Prot#'!A:AL,37,FALSE)-VLOOKUP(A410,'SegEnds_NonXtal_Prot#'!A:AL,34,FALSE)</f>
        <v>10</v>
      </c>
      <c r="AL410" s="1" t="str">
        <f>IF(ISERROR(MATCH(A410,'SegEnds_Xtal_Prot#'!B:B, 0)), "NoXtal", "Xtal")</f>
        <v>NoXtal</v>
      </c>
    </row>
    <row r="411" spans="1:38" x14ac:dyDescent="0.2">
      <c r="A411" s="1" t="s">
        <v>480</v>
      </c>
      <c r="B411" s="1" t="str">
        <f>VLOOKUP(A411,Xtal_Templ!A:B,2,FALSE)</f>
        <v>agtr1_human</v>
      </c>
      <c r="C411" s="5">
        <v>32</v>
      </c>
      <c r="D411" s="1">
        <v>62</v>
      </c>
      <c r="E411" s="1">
        <f>VLOOKUP($B411&amp;"__wt",'SegEnds_Xtal_BW#'!$A:$Z,5,FALSE)</f>
        <v>48</v>
      </c>
      <c r="F411" s="1">
        <f>VLOOKUP($B411&amp;"__wt",'SegEnds_Xtal_BW#'!$A:$Z,6,FALSE)</f>
        <v>51</v>
      </c>
      <c r="G411" s="1">
        <v>39</v>
      </c>
      <c r="H411" s="12">
        <v>66</v>
      </c>
      <c r="I411" s="1" t="s">
        <v>23</v>
      </c>
      <c r="J411" s="1" t="s">
        <v>23</v>
      </c>
      <c r="K411" s="12">
        <v>18</v>
      </c>
      <c r="L411" s="1">
        <f>VLOOKUP($B411&amp;"__wt",'SegEnds_Xtal_BW#'!$A:$Z,12,FALSE)</f>
        <v>56</v>
      </c>
      <c r="M411" s="1">
        <f>VLOOKUP($B411&amp;"__wt",'SegEnds_Xtal_BW#'!$A:$Z,13,FALSE)</f>
        <v>50</v>
      </c>
      <c r="N411" s="12">
        <v>57</v>
      </c>
      <c r="O411" s="88">
        <v>38</v>
      </c>
      <c r="P411" s="1">
        <f>VLOOKUP($B411&amp;"__wt",'SegEnds_Xtal_BW#'!$A:$Z,16,FALSE)</f>
        <v>64</v>
      </c>
      <c r="Q411" s="1">
        <f>VLOOKUP($B411&amp;"__wt",'SegEnds_Xtal_BW#'!$A:$Z,17,FALSE)</f>
        <v>50</v>
      </c>
      <c r="R411" s="1">
        <f>VLOOKUP($B411&amp;"__wt",'SegEnds_Xtal_BW#'!$A:$Z,18,FALSE)</f>
        <v>52</v>
      </c>
      <c r="S411" s="1">
        <v>32</v>
      </c>
      <c r="T411" s="1">
        <v>72</v>
      </c>
      <c r="U411" s="1">
        <v>29</v>
      </c>
      <c r="V411" s="1">
        <v>61</v>
      </c>
      <c r="W411" s="1">
        <v>31</v>
      </c>
      <c r="X411" s="1">
        <f>VLOOKUP($B411&amp;"__wt",'SegEnds_Xtal_BW#'!$A:$Z,24,FALSE)</f>
        <v>56</v>
      </c>
      <c r="Y411" s="1">
        <f>VLOOKUP($B411&amp;"__wt",'SegEnds_Xtal_BW#'!$A:$Z,25,FALSE)</f>
        <v>47</v>
      </c>
      <c r="Z411" s="1">
        <v>60</v>
      </c>
      <c r="AA411" s="27" t="str">
        <f>VLOOKUP(A411,Classification!A:B,2,FALSE)</f>
        <v>T</v>
      </c>
      <c r="AB411" s="1">
        <f>VLOOKUP(A411,'SegEnds_NonXtal_Prot#'!A:AL,10,FALSE)-VLOOKUP(A411,'SegEnds_NonXtal_Prot#'!A:AL,4,FALSE)</f>
        <v>31</v>
      </c>
      <c r="AC411" s="1">
        <f>VLOOKUP(A411,'SegEnds_NonXtal_Prot#'!A:AL,10,FALSE)-VLOOKUP(A411,'SegEnds_NonXtal_Prot#'!A:AL,7,FALSE)</f>
        <v>16</v>
      </c>
      <c r="AD411" s="1" t="e">
        <f>VLOOKUP(A411,'SegEnds_NonXtal_Prot#'!A:AL,13,FALSE)-VLOOKUP(A411,'SegEnds_NonXtal_Prot#'!A:AL,10,FALSE)</f>
        <v>#VALUE!</v>
      </c>
      <c r="AE411" s="1">
        <f>VLOOKUP(A411,'SegEnds_NonXtal_Prot#'!A:AL,16,FALSE)-VLOOKUP(A411,'SegEnds_NonXtal_Prot#'!A:AL,10,FALSE)</f>
        <v>52</v>
      </c>
      <c r="AF411" s="1">
        <f>VLOOKUP(A411,'SegEnds_NonXtal_Prot#'!A:AL,22,FALSE)-VLOOKUP(A411,'SegEnds_NonXtal_Prot#'!A:AL,19,FALSE)</f>
        <v>20</v>
      </c>
      <c r="AG411" s="1" t="e">
        <f>VLOOKUP(A411,'SegEnds_NonXtal_Prot#'!A:AL,28,FALSE)-VLOOKUP(A411,'SegEnds_NonXtal_Prot#'!A:AL,25,FALSE)</f>
        <v>#VALUE!</v>
      </c>
      <c r="AH411" s="1">
        <f>VLOOKUP(A411,'SegEnds_NonXtal_Prot#'!A:AL,28,FALSE)-VLOOKUP(A411,'SegEnds_NonXtal_Prot#'!A:AL,22,FALSE)</f>
        <v>54</v>
      </c>
      <c r="AI411" s="1">
        <f>VLOOKUP(A411,'SegEnds_NonXtal_Prot#'!A:AL,31,FALSE)-VLOOKUP(A411,'SegEnds_NonXtal_Prot#'!A:AL,28,FALSE)</f>
        <v>53</v>
      </c>
      <c r="AJ411" s="1">
        <f>VLOOKUP(A411,'SegEnds_NonXtal_Prot#'!A:AL,34,FALSE)-VLOOKUP(A411,'SegEnds_NonXtal_Prot#'!A:AL,31,FALSE)</f>
        <v>36</v>
      </c>
      <c r="AK411" s="1">
        <f>VLOOKUP(A411,'SegEnds_NonXtal_Prot#'!A:AL,37,FALSE)-VLOOKUP(A411,'SegEnds_NonXtal_Prot#'!A:AL,34,FALSE)</f>
        <v>10</v>
      </c>
      <c r="AL411" s="1" t="str">
        <f>IF(ISERROR(MATCH(A411,'SegEnds_Xtal_Prot#'!B:B, 0)), "NoXtal", "Xtal")</f>
        <v>NoXtal</v>
      </c>
    </row>
  </sheetData>
  <sortState ref="A2:AL411">
    <sortCondition ref="AA2:AA411"/>
    <sortCondition ref="AJ2:AJ411"/>
    <sortCondition ref="A2:A411"/>
  </sortState>
  <customSheetViews>
    <customSheetView guid="{3E3401AF-8459-8641-BD70-AD04F80E86ED}" scale="135">
      <pane ySplit="1" topLeftCell="A2" activePane="bottomLeft" state="frozenSplit"/>
      <selection pane="bottomLeft" activeCell="S7" sqref="S7"/>
      <pageMargins left="0.7" right="0.7" top="0.75" bottom="0.75" header="0.3" footer="0.3"/>
      <pageSetup paperSize="9" orientation="portrait" horizontalDpi="0" verticalDpi="0"/>
    </customSheetView>
  </customSheetViews>
  <conditionalFormatting sqref="AI1:AI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:AL1048576">
    <cfRule type="cellIs" dxfId="25" priority="2" operator="equal">
      <formula>"Xtal"</formula>
    </cfRule>
  </conditionalFormatting>
  <conditionalFormatting sqref="AF1:AF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BH413"/>
  <sheetViews>
    <sheetView tabSelected="1" zoomScale="120" zoomScaleNormal="120" zoomScalePageLayoutView="120" workbookViewId="0">
      <pane ySplit="1" topLeftCell="A2" activePane="bottomLeft" state="frozenSplit"/>
      <selection pane="bottomLeft" activeCell="A280" sqref="A280:XFD280"/>
    </sheetView>
  </sheetViews>
  <sheetFormatPr baseColWidth="10" defaultColWidth="10.83203125" defaultRowHeight="16" x14ac:dyDescent="0.2"/>
  <cols>
    <col min="1" max="1" width="12.83203125" style="1" customWidth="1"/>
    <col min="2" max="2" width="11.6640625" style="1" customWidth="1"/>
    <col min="3" max="8" width="5.1640625" style="1" customWidth="1"/>
    <col min="9" max="9" width="3.6640625" style="1" customWidth="1"/>
    <col min="10" max="11" width="5.1640625" style="1" customWidth="1"/>
    <col min="12" max="14" width="4.1640625" style="1" customWidth="1"/>
    <col min="15" max="17" width="5.1640625" style="1" customWidth="1"/>
    <col min="18" max="19" width="4.1640625" style="1" customWidth="1"/>
    <col min="20" max="20" width="5" style="87" customWidth="1"/>
    <col min="21" max="21" width="5.1640625" style="12" customWidth="1"/>
    <col min="22" max="38" width="5.1640625" style="1" customWidth="1"/>
    <col min="39" max="39" width="3.1640625" style="27" bestFit="1" customWidth="1"/>
    <col min="40" max="40" width="8" style="5" customWidth="1"/>
    <col min="41" max="41" width="6.83203125" style="1" customWidth="1"/>
    <col min="42" max="43" width="6.33203125" style="1" customWidth="1"/>
    <col min="44" max="45" width="6.83203125" style="1" customWidth="1"/>
    <col min="46" max="47" width="6.33203125" style="1" customWidth="1"/>
    <col min="48" max="49" width="6.83203125" style="1" customWidth="1"/>
    <col min="50" max="50" width="5.83203125" style="1" bestFit="1" customWidth="1"/>
    <col min="51" max="52" width="5.83203125" style="1" customWidth="1"/>
    <col min="53" max="53" width="6.83203125" style="1" customWidth="1"/>
    <col min="54" max="54" width="5" style="5" bestFit="1" customWidth="1"/>
    <col min="55" max="55" width="5.5" style="12" customWidth="1"/>
    <col min="56" max="58" width="5" style="1" customWidth="1"/>
    <col min="59" max="59" width="3" style="1" customWidth="1"/>
    <col min="60" max="16384" width="10.83203125" style="1"/>
  </cols>
  <sheetData>
    <row r="1" spans="1:59" s="8" customFormat="1" x14ac:dyDescent="0.2">
      <c r="A1" s="8" t="s">
        <v>31</v>
      </c>
      <c r="B1" s="35" t="s">
        <v>1204</v>
      </c>
      <c r="C1" s="8" t="s">
        <v>1061</v>
      </c>
      <c r="D1" s="41" t="s">
        <v>1082</v>
      </c>
      <c r="E1" s="8" t="s">
        <v>1062</v>
      </c>
      <c r="F1" s="41" t="s">
        <v>1078</v>
      </c>
      <c r="G1" s="41" t="s">
        <v>1083</v>
      </c>
      <c r="H1" s="41" t="s">
        <v>1079</v>
      </c>
      <c r="I1" s="41" t="s">
        <v>1063</v>
      </c>
      <c r="J1" s="41" t="s">
        <v>1084</v>
      </c>
      <c r="K1" s="8" t="s">
        <v>1064</v>
      </c>
      <c r="L1" s="8" t="s">
        <v>1080</v>
      </c>
      <c r="M1" s="41" t="s">
        <v>1085</v>
      </c>
      <c r="N1" s="8" t="s">
        <v>1081</v>
      </c>
      <c r="O1" s="8" t="s">
        <v>1065</v>
      </c>
      <c r="P1" s="41" t="s">
        <v>1086</v>
      </c>
      <c r="Q1" s="8" t="s">
        <v>1066</v>
      </c>
      <c r="R1" s="8" t="s">
        <v>1093</v>
      </c>
      <c r="S1" s="41" t="s">
        <v>1092</v>
      </c>
      <c r="T1" s="86" t="s">
        <v>1094</v>
      </c>
      <c r="U1" s="99" t="s">
        <v>1067</v>
      </c>
      <c r="V1" s="41" t="s">
        <v>1087</v>
      </c>
      <c r="W1" s="8" t="s">
        <v>1068</v>
      </c>
      <c r="X1" s="8" t="s">
        <v>1096</v>
      </c>
      <c r="Y1" s="41" t="s">
        <v>1095</v>
      </c>
      <c r="Z1" s="8" t="s">
        <v>1097</v>
      </c>
      <c r="AA1" s="8" t="s">
        <v>1069</v>
      </c>
      <c r="AB1" s="41" t="s">
        <v>1088</v>
      </c>
      <c r="AC1" s="8" t="s">
        <v>1070</v>
      </c>
      <c r="AD1" s="8" t="s">
        <v>1071</v>
      </c>
      <c r="AE1" s="41" t="s">
        <v>1089</v>
      </c>
      <c r="AF1" s="8" t="s">
        <v>1072</v>
      </c>
      <c r="AG1" s="8" t="s">
        <v>1073</v>
      </c>
      <c r="AH1" s="41" t="s">
        <v>1090</v>
      </c>
      <c r="AI1" s="8" t="s">
        <v>1074</v>
      </c>
      <c r="AJ1" s="8" t="s">
        <v>1075</v>
      </c>
      <c r="AK1" s="41" t="s">
        <v>1091</v>
      </c>
      <c r="AL1" s="8" t="s">
        <v>1076</v>
      </c>
      <c r="AM1" s="26" t="s">
        <v>99</v>
      </c>
      <c r="AN1" s="26" t="s">
        <v>1167</v>
      </c>
      <c r="AO1" s="8" t="s">
        <v>1227</v>
      </c>
      <c r="AP1" s="8" t="s">
        <v>1229</v>
      </c>
      <c r="AQ1" s="8" t="s">
        <v>1230</v>
      </c>
      <c r="AR1" s="8" t="s">
        <v>1231</v>
      </c>
      <c r="AS1" s="8" t="s">
        <v>1232</v>
      </c>
      <c r="AT1" s="8" t="s">
        <v>1233</v>
      </c>
      <c r="AU1" s="8" t="s">
        <v>1234</v>
      </c>
      <c r="AV1" s="8" t="s">
        <v>1235</v>
      </c>
      <c r="AW1" s="8" t="s">
        <v>1236</v>
      </c>
      <c r="AX1" s="8" t="s">
        <v>1237</v>
      </c>
      <c r="AY1" s="8" t="s">
        <v>1238</v>
      </c>
      <c r="AZ1" s="8" t="s">
        <v>1239</v>
      </c>
      <c r="BA1" s="8" t="s">
        <v>1311</v>
      </c>
      <c r="BB1" s="26" t="s">
        <v>1241</v>
      </c>
      <c r="BC1" s="99" t="s">
        <v>1281</v>
      </c>
      <c r="BD1" s="8" t="s">
        <v>1241</v>
      </c>
      <c r="BE1" s="8" t="s">
        <v>1243</v>
      </c>
      <c r="BF1" s="8" t="s">
        <v>1240</v>
      </c>
      <c r="BG1" s="8" t="s">
        <v>1312</v>
      </c>
    </row>
    <row r="2" spans="1:59" s="3" customFormat="1" x14ac:dyDescent="0.2">
      <c r="A2" s="3" t="s">
        <v>210</v>
      </c>
      <c r="B2" s="3" t="str">
        <f>LOWER(VLOOKUP(A2,Xtal_Templ!A:B,2,FALSE))</f>
        <v>apj_human</v>
      </c>
      <c r="C2" s="3">
        <f>VLOOKUP($A2,'SegEnds_NonXtal_BW#'!$A:$Z,3,FALSE)+D2-50</f>
        <v>36</v>
      </c>
      <c r="D2" s="3">
        <v>53</v>
      </c>
      <c r="E2" s="3">
        <f>IF(ISERROR(VLOOKUP($A2,'SegEnds_NonXtal_BW#'!$A:$Z,4,FALSE)+VLOOKUP($A2,A:AL,4,FALSE)-50),"-",(VLOOKUP($A2,'SegEnds_NonXtal_BW#'!$A:$Z,4,FALSE)+VLOOKUP($A2,A:AL,4,FALSE)-50))</f>
        <v>63</v>
      </c>
      <c r="F2" s="3">
        <f>G2-2</f>
        <v>71</v>
      </c>
      <c r="G2" s="3">
        <v>73</v>
      </c>
      <c r="H2" s="3">
        <f t="shared" ref="H2:I4" si="0">G2+1</f>
        <v>74</v>
      </c>
      <c r="I2" s="3">
        <f t="shared" si="0"/>
        <v>75</v>
      </c>
      <c r="J2" s="105">
        <v>87</v>
      </c>
      <c r="K2" s="3">
        <f>VLOOKUP($A2,'SegEnds_NonXtal_BW#'!$A:$Z,8,FALSE)+VLOOKUP($A2,A:AL,10,FALSE)-50</f>
        <v>103</v>
      </c>
      <c r="L2" s="3">
        <f>M2-1</f>
        <v>106</v>
      </c>
      <c r="M2" s="3">
        <v>107</v>
      </c>
      <c r="N2" s="3">
        <f>M2+2</f>
        <v>109</v>
      </c>
      <c r="O2" s="3">
        <f>N2+1</f>
        <v>110</v>
      </c>
      <c r="P2" s="3">
        <v>139</v>
      </c>
      <c r="Q2" s="3">
        <f>VLOOKUP($A2,'SegEnds_NonXtal_BW#'!$A:$Z,12,FALSE)+VLOOKUP($A2,A:AL,16,FALSE)-50</f>
        <v>145</v>
      </c>
      <c r="R2" s="3">
        <f>IF(ISERROR(VLOOKUP($A2,'SegEnds_NonXtal_BW#'!$A:$Z,13,FALSE)+VLOOKUP($A2,A:AL,19,FALSE)-50),"-",VLOOKUP($A2,'SegEnds_NonXtal_BW#'!$A:$Z,13,FALSE)+VLOOKUP($A2,A:AL,19,FALSE)-50)</f>
        <v>146</v>
      </c>
      <c r="S2" s="3">
        <v>146</v>
      </c>
      <c r="T2" s="100">
        <f>IF(ISERROR(VLOOKUP($A2,'SegEnds_NonXtal_BW#'!$A:$Z,14,FALSE)+VLOOKUP($A2,A:AL,19,FALSE)-50),"-",(VLOOKUP($A2,'SegEnds_NonXtal_BW#'!$A:$Z,14,FALSE)+VLOOKUP($A2,A:AL,19,FALSE)-50))</f>
        <v>149</v>
      </c>
      <c r="U2" s="9">
        <f>IF(ISERROR(VLOOKUP($A2,'SegEnds_NonXtal_BW#'!$A:$Z,15,FALSE)+VLOOKUP($A2,A:AL,22,FALSE)-50),"-",VLOOKUP($A2,'SegEnds_NonXtal_BW#'!$A:$Z,15,FALSE)+VLOOKUP($A2,A:AL,22,FALSE)-50)</f>
        <v>152</v>
      </c>
      <c r="V2" s="3">
        <v>164</v>
      </c>
      <c r="W2" s="3">
        <f>IF(ISERROR(VLOOKUP($A2,'SegEnds_NonXtal_BW#'!$A:$Z,16,FALSE)+VLOOKUP($A2,A:AL,22,FALSE)-50),"-",(VLOOKUP($A2,'SegEnds_NonXtal_BW#'!$A:$Z,16,FALSE)+VLOOKUP($A2,A:AL,22,FALSE)-50))</f>
        <v>178</v>
      </c>
      <c r="X2" s="3">
        <f>IF(ISERROR(VLOOKUP($A2,'SegEnds_NonXtal_BW#'!$A:$Z,17,FALSE)+VLOOKUP($A2,A:AL,25,FALSE)-50),"-",(VLOOKUP($A2,'SegEnds_NonXtal_BW#'!$A:$Z,17,FALSE)+VLOOKUP($A2,A:AL,25,FALSE)-50))</f>
        <v>200</v>
      </c>
      <c r="Y2" s="3">
        <v>200</v>
      </c>
      <c r="Z2" s="3">
        <f t="shared" ref="Z2:Z11" si="1">Y2+2</f>
        <v>202</v>
      </c>
      <c r="AA2" s="3">
        <f>IF(ISERROR(VLOOKUP($A2,'SegEnds_NonXtal_BW#'!$A:$Z,19,FALSE)+VLOOKUP($A2,A:AL,28,FALSE)-50),"-",(VLOOKUP($A2,'SegEnds_NonXtal_BW#'!$A:$Z,19,FALSE)+VLOOKUP($A2,A:AL,28,FALSE)-50))</f>
        <v>203</v>
      </c>
      <c r="AB2" s="3">
        <v>223</v>
      </c>
      <c r="AC2" s="3">
        <f>IF(ISERROR((VLOOKUP($A2,'SegEnds_NonXtal_BW#'!$A:$Z,20,FALSE)+VLOOKUP($A2,A:AL,28,FALSE)-50)),"-",(VLOOKUP($A2,'SegEnds_NonXtal_BW#'!$A:$Z,20,FALSE)+VLOOKUP($A2,A:AL,28,FALSE)-50))</f>
        <v>247</v>
      </c>
      <c r="AD2" s="3">
        <f>IF(ISERROR(VLOOKUP($A2,'SegEnds_NonXtal_BW#'!$A:$Z,21,FALSE)+VLOOKUP($A2,A:AL,31,FALSE)-50),"-",(VLOOKUP($A2,'SegEnds_NonXtal_BW#'!$A:$Z,21,FALSE)+VLOOKUP($A2,A:AL,31,FALSE)-50))</f>
        <v>253</v>
      </c>
      <c r="AE2" s="3">
        <v>282</v>
      </c>
      <c r="AF2" s="3">
        <f>IF(ISERROR((VLOOKUP($A2,'SegEnds_NonXtal_BW#'!$A:$Z,22,FALSE)+VLOOKUP($A2,A:AL,31,FALSE)-50)),"-",(VLOOKUP($A2,'SegEnds_NonXtal_BW#'!$A:$Z,22,FALSE)+VLOOKUP($A2,A:AL,31,FALSE)-50))</f>
        <v>293</v>
      </c>
      <c r="AG2" s="3">
        <f>IF(ISERROR(VLOOKUP($A2,'SegEnds_NonXtal_BW#'!$A:$Z,23,FALSE)+VLOOKUP($A2,A:AL,34,FALSE)-50),"-",(VLOOKUP($A2,'SegEnds_NonXtal_BW#'!$A:$Z,23,FALSE)+VLOOKUP($A2,A:AL,34,FALSE)-50))</f>
        <v>295</v>
      </c>
      <c r="AH2" s="3">
        <v>320</v>
      </c>
      <c r="AI2" s="3">
        <f>IF(ISERROR((VLOOKUP($A2,'SegEnds_NonXtal_BW#'!$A:$Z,24,FALSE)+VLOOKUP($A2,A:AL,34,FALSE)-50)),"-",(VLOOKUP($A2,'SegEnds_NonXtal_BW#'!$A:$Z,24,FALSE)+VLOOKUP($A2,A:AL,34,FALSE)-50))</f>
        <v>326</v>
      </c>
      <c r="AJ2" s="3" t="str">
        <f>IF(ISERROR(VLOOKUP($A2,'SegEnds_NonXtal_BW#'!$A:$Z,25,FALSE)+VLOOKUP($A2,A:AL,37,FALSE)-50),"-",(VLOOKUP($A2,'SegEnds_NonXtal_BW#'!$A:$Z,25,FALSE)+VLOOKUP($A2,A:AL,37,FALSE)-50))</f>
        <v>-</v>
      </c>
      <c r="AK2" s="3" t="s">
        <v>23</v>
      </c>
      <c r="AL2" s="3" t="str">
        <f>IF(ISERROR((VLOOKUP($A2,'SegEnds_NonXtal_BW#'!$A:$Z,26,FALSE)+VLOOKUP($A2,A:AL,37,FALSE)-50)),"-",(VLOOKUP($A2,'SegEnds_NonXtal_BW#'!$A:$Z,26,FALSE)+VLOOKUP($A2,A:AL,37,FALSE)-50))</f>
        <v>-</v>
      </c>
      <c r="AM2" s="28" t="str">
        <f>VLOOKUP(A2,Classification!A:B,2,FALSE)</f>
        <v>A</v>
      </c>
      <c r="AN2" s="28" t="b">
        <f>AND(IF(Y2="-",IF(AA2-W2&gt;3,TRUE,FALSE),TRUE),IF(M2="-",IF(O2-K2&gt;3,TRUE,FALSE),TRUE),IF(AG2-AF2&gt;1,TRUE,FALSE),C2&lt;E2,OR(E2&lt;F2,F2="-"),OR(F2&lt;H2,F2="-"),OR(H2&lt;I2,H2="-"),I2&lt;K2,OR(K2&lt;L2,L2="-"),OR(L2&lt;N2,L2="-"),OR(N2&lt;O2,N2="-"),O2&lt;Q2,OR(Q2&lt;R2,R2="-"),OR(R2&lt;T2,R2="-"),OR(T2&lt;U2,T2="-"),U2&lt;W2,OR(W2&lt;X2,X2="-"),OR(X2&lt;Z2,X2="-"),OR(Z2&lt;AA2,Z2="-"),AA2&lt;AC2,AC2&lt;AD2,AD2&lt;AF2,AF2&lt;AG2,AG2&lt;AI2,OR(AI2&lt;AJ2,AJ2="-"),OR(AJ2&lt;AL2,AJ2="-"))</f>
        <v>1</v>
      </c>
      <c r="AO2" s="3" t="str">
        <f>IF(ISERROR(MATCH(A2,'SegEnds_Xtal_Prot#'!B:B, 0)), "NoXtal", "Xtal")</f>
        <v>NoXtal</v>
      </c>
      <c r="AP2" s="3">
        <f t="shared" ref="AP2:AP67" si="2">IF(ISERROR(F2-E2),"-",F2-E2)</f>
        <v>8</v>
      </c>
      <c r="AQ2" s="3">
        <f t="shared" ref="AQ2:AQ67" si="3">IF(ISERROR(I2-H2),"-",I2-H2)</f>
        <v>1</v>
      </c>
      <c r="AR2" s="3">
        <f t="shared" ref="AR2:AR67" si="4">IF(ISERROR(L2-K2),"-",L2-K2)</f>
        <v>3</v>
      </c>
      <c r="AS2" s="3">
        <f t="shared" ref="AS2:AS67" si="5">IF(ISERROR(O2-N2),"-",O2-N2)</f>
        <v>1</v>
      </c>
      <c r="AT2" s="3">
        <f t="shared" ref="AT2:AT67" si="6">IF(ISERROR(R2-Q2),"-",R2-Q2)</f>
        <v>1</v>
      </c>
      <c r="AU2" s="3">
        <f t="shared" ref="AU2:AU67" si="7">IF(ISERROR(U2-T2),"-",U2-T2)</f>
        <v>3</v>
      </c>
      <c r="AV2" s="3">
        <f t="shared" ref="AV2:AV67" si="8">IF(ISERROR(X2-W2),"-",X2-W2)</f>
        <v>22</v>
      </c>
      <c r="AW2" s="3">
        <f t="shared" ref="AW2:AW67" si="9">IF(ISERROR(AA2-Z2),"-",AA2-Z2)</f>
        <v>1</v>
      </c>
      <c r="AX2" s="3">
        <f t="shared" ref="AX2:AX67" si="10">IF(ISERROR(AD2-AC2),"-",AD2-AC2)</f>
        <v>6</v>
      </c>
      <c r="AY2" s="3">
        <f t="shared" ref="AY2:AY67" si="11">IF(ISERROR(AG2-AF2),"-",AG2-AF2)</f>
        <v>2</v>
      </c>
      <c r="AZ2" s="3" t="str">
        <f t="shared" ref="AZ2:AZ67" si="12">IF(ISERROR(AJ2-AI2),"-",AJ2-AI2)</f>
        <v>-</v>
      </c>
      <c r="BA2" s="3" t="str">
        <f>IF(ISERROR(LEN(VLOOKUP(A2,Seqs!A:E,2,FALSE))-AL2),"-",LEN(VLOOKUP(A2,Seqs!A:E,2,FALSE))-AL2)</f>
        <v>-</v>
      </c>
      <c r="BB2" s="16">
        <f t="shared" ref="BB2:BB67" si="13">J2-D2</f>
        <v>34</v>
      </c>
      <c r="BC2" s="9">
        <f t="shared" ref="BC2:BC67" si="14">IF(ISERROR(V2-S2),"-",V2-S2)</f>
        <v>18</v>
      </c>
      <c r="BD2" s="3">
        <f t="shared" ref="BD2:BD67" si="15">J2-D2</f>
        <v>34</v>
      </c>
      <c r="BE2" s="3">
        <f t="shared" ref="BE2:BE67" si="16">AE2-AB2</f>
        <v>59</v>
      </c>
    </row>
    <row r="3" spans="1:59" s="3" customFormat="1" x14ac:dyDescent="0.2">
      <c r="A3" s="3" t="s">
        <v>242</v>
      </c>
      <c r="B3" s="3" t="str">
        <f>LOWER(VLOOKUP(A3,Xtal_Templ!A:B,2,FALSE))</f>
        <v>ox2r_human</v>
      </c>
      <c r="C3" s="3">
        <f>VLOOKUP($A3,'SegEnds_NonXtal_BW#'!$A:$Z,3,FALSE)+D3-50</f>
        <v>64</v>
      </c>
      <c r="D3" s="3">
        <v>83</v>
      </c>
      <c r="E3" s="3">
        <f>IF(ISERROR(VLOOKUP($A3,'SegEnds_NonXtal_BW#'!$A:$Z,4,FALSE)+VLOOKUP($A3,A:AL,4,FALSE)-50),"-",(VLOOKUP($A3,'SegEnds_NonXtal_BW#'!$A:$Z,4,FALSE)+VLOOKUP($A3,A:AL,4,FALSE)-50))</f>
        <v>93</v>
      </c>
      <c r="F3" s="3">
        <f>G3-2</f>
        <v>94</v>
      </c>
      <c r="G3" s="3">
        <v>96</v>
      </c>
      <c r="H3" s="3">
        <f t="shared" si="0"/>
        <v>97</v>
      </c>
      <c r="I3" s="3">
        <f t="shared" si="0"/>
        <v>98</v>
      </c>
      <c r="J3" s="3">
        <v>111</v>
      </c>
      <c r="K3" s="3">
        <f>VLOOKUP($A3,'SegEnds_NonXtal_BW#'!$A:$Z,8,FALSE)+VLOOKUP($A3,A:AL,10,FALSE)-50</f>
        <v>129</v>
      </c>
      <c r="L3" s="3">
        <f>M3-1</f>
        <v>130</v>
      </c>
      <c r="M3" s="3">
        <v>131</v>
      </c>
      <c r="N3" s="3">
        <f>M3+2</f>
        <v>133</v>
      </c>
      <c r="O3" s="3">
        <f>N3+1</f>
        <v>134</v>
      </c>
      <c r="P3" s="3">
        <v>163</v>
      </c>
      <c r="Q3" s="3">
        <f>VLOOKUP($A3,'SegEnds_NonXtal_BW#'!$A:$Z,12,FALSE)+VLOOKUP($A3,A:AL,16,FALSE)-50</f>
        <v>169</v>
      </c>
      <c r="R3" s="3">
        <f>IF(ISERROR(VLOOKUP($A3,'SegEnds_NonXtal_BW#'!$A:$Z,13,FALSE)+VLOOKUP($A3,A:AL,19,FALSE)-50),"-",VLOOKUP($A3,'SegEnds_NonXtal_BW#'!$A:$Z,13,FALSE)+VLOOKUP($A3,A:AL,19,FALSE)-50)</f>
        <v>170</v>
      </c>
      <c r="S3" s="3">
        <v>170</v>
      </c>
      <c r="T3" s="100">
        <f>IF(ISERROR(VLOOKUP($A3,'SegEnds_NonXtal_BW#'!$A:$Z,14,FALSE)+VLOOKUP($A3,A:AL,19,FALSE)-50),"-",(VLOOKUP($A3,'SegEnds_NonXtal_BW#'!$A:$Z,14,FALSE)+VLOOKUP($A3,A:AL,19,FALSE)-50))</f>
        <v>173</v>
      </c>
      <c r="U3" s="9">
        <f>IF(ISERROR(VLOOKUP($A3,'SegEnds_NonXtal_BW#'!$A:$Z,15,FALSE)+VLOOKUP($A3,A:AL,22,FALSE)-50),"-",VLOOKUP($A3,'SegEnds_NonXtal_BW#'!$A:$Z,15,FALSE)+VLOOKUP($A3,A:AL,22,FALSE)-50)</f>
        <v>176</v>
      </c>
      <c r="V3" s="3">
        <v>188</v>
      </c>
      <c r="W3" s="3">
        <f>IF(ISERROR(VLOOKUP($A3,'SegEnds_NonXtal_BW#'!$A:$Z,16,FALSE)+VLOOKUP($A3,A:AL,22,FALSE)-50),"-",(VLOOKUP($A3,'SegEnds_NonXtal_BW#'!$A:$Z,16,FALSE)+VLOOKUP($A3,A:AL,22,FALSE)-50))</f>
        <v>202</v>
      </c>
      <c r="X3" s="3">
        <f>IF(ISERROR(VLOOKUP($A3,'SegEnds_NonXtal_BW#'!$A:$Z,17,FALSE)+VLOOKUP($A3,A:AL,25,FALSE)-50),"-",(VLOOKUP($A3,'SegEnds_NonXtal_BW#'!$A:$Z,17,FALSE)+VLOOKUP($A3,A:AL,25,FALSE)-50))</f>
        <v>210</v>
      </c>
      <c r="Y3" s="3">
        <v>210</v>
      </c>
      <c r="Z3" s="3">
        <f t="shared" si="1"/>
        <v>212</v>
      </c>
      <c r="AA3" s="3">
        <f>IF(ISERROR(VLOOKUP($A3,'SegEnds_NonXtal_BW#'!$A:$Z,19,FALSE)+VLOOKUP($A3,A:AL,28,FALSE)-50),"-",(VLOOKUP($A3,'SegEnds_NonXtal_BW#'!$A:$Z,19,FALSE)+VLOOKUP($A3,A:AL,28,FALSE)-50))</f>
        <v>218</v>
      </c>
      <c r="AB3" s="3">
        <v>235</v>
      </c>
      <c r="AC3" s="3">
        <f>IF(ISERROR((VLOOKUP($A3,'SegEnds_NonXtal_BW#'!$A:$Z,20,FALSE)+VLOOKUP($A3,A:AL,28,FALSE)-50)),"-",(VLOOKUP($A3,'SegEnds_NonXtal_BW#'!$A:$Z,20,FALSE)+VLOOKUP($A3,A:AL,28,FALSE)-50))</f>
        <v>258</v>
      </c>
      <c r="AD3" s="3">
        <f>IF(ISERROR(VLOOKUP($A3,'SegEnds_NonXtal_BW#'!$A:$Z,21,FALSE)+VLOOKUP($A3,A:AL,31,FALSE)-50),"-",(VLOOKUP($A3,'SegEnds_NonXtal_BW#'!$A:$Z,21,FALSE)+VLOOKUP($A3,A:AL,31,FALSE)-50))</f>
        <v>263</v>
      </c>
      <c r="AE3" s="3">
        <v>291</v>
      </c>
      <c r="AF3" s="3">
        <f>IF(ISERROR((VLOOKUP($A3,'SegEnds_NonXtal_BW#'!$A:$Z,22,FALSE)+VLOOKUP($A3,A:AL,31,FALSE)-50)),"-",(VLOOKUP($A3,'SegEnds_NonXtal_BW#'!$A:$Z,22,FALSE)+VLOOKUP($A3,A:AL,31,FALSE)-50))</f>
        <v>302</v>
      </c>
      <c r="AG3" s="3">
        <f>IF(ISERROR(VLOOKUP($A3,'SegEnds_NonXtal_BW#'!$A:$Z,23,FALSE)+VLOOKUP($A3,A:AL,34,FALSE)-50),"-",(VLOOKUP($A3,'SegEnds_NonXtal_BW#'!$A:$Z,23,FALSE)+VLOOKUP($A3,A:AL,34,FALSE)-50))</f>
        <v>308</v>
      </c>
      <c r="AH3" s="3">
        <v>327</v>
      </c>
      <c r="AI3" s="3">
        <f>IF(ISERROR((VLOOKUP($A3,'SegEnds_NonXtal_BW#'!$A:$Z,24,FALSE)+VLOOKUP($A3,A:AL,34,FALSE)-50)),"-",(VLOOKUP($A3,'SegEnds_NonXtal_BW#'!$A:$Z,24,FALSE)+VLOOKUP($A3,A:AL,34,FALSE)-50))</f>
        <v>333</v>
      </c>
      <c r="AJ3" s="3">
        <f>IF(ISERROR(VLOOKUP($A3,'SegEnds_NonXtal_BW#'!$A:$Z,25,FALSE)+VLOOKUP($A3,A:AL,37,FALSE)-50),"-",(VLOOKUP($A3,'SegEnds_NonXtal_BW#'!$A:$Z,25,FALSE)+VLOOKUP($A3,A:AL,37,FALSE)-50))</f>
        <v>334</v>
      </c>
      <c r="AK3" s="3">
        <v>337</v>
      </c>
      <c r="AL3" s="3">
        <f>IF(ISERROR((VLOOKUP($A3,'SegEnds_NonXtal_BW#'!$A:$Z,26,FALSE)+VLOOKUP($A3,A:AL,37,FALSE)-50)),"-",(VLOOKUP($A3,'SegEnds_NonXtal_BW#'!$A:$Z,26,FALSE)+VLOOKUP($A3,A:AL,37,FALSE)-50))</f>
        <v>345</v>
      </c>
      <c r="AM3" s="28" t="str">
        <f>VLOOKUP(A3,Classification!A:B,2,FALSE)</f>
        <v>A</v>
      </c>
      <c r="AN3" s="28" t="b">
        <f t="shared" ref="AN3:AN68" si="17">AND(IF(Y3="-",IF(AA3-W3&gt;3,TRUE,FALSE),TRUE),IF(M3="-",IF(O3-K3&gt;3,TRUE,FALSE),TRUE),IF(AG3-AF3&gt;1,TRUE,FALSE),C3&lt;E3,OR(E3&lt;F3,F3="-"),OR(F3&lt;H3,F3="-"),OR(H3&lt;I3,H3="-"),I3&lt;K3,OR(K3&lt;L3,L3="-"),OR(L3&lt;N3,L3="-"),OR(N3&lt;O3,N3="-"),O3&lt;Q3,OR(Q3&lt;R3,R3="-"),OR(R3&lt;T3,R3="-"),OR(T3&lt;U3,T3="-"),U3&lt;W3,OR(W3&lt;X3,X3="-"),OR(X3&lt;Z3,X3="-"),OR(Z3&lt;AA3,Z3="-"),AA3&lt;AC3,AC3&lt;AD3,AD3&lt;AF3,AF3&lt;AG3,AG3&lt;AI3,OR(AI3&lt;AJ3,AJ3="-"),OR(AJ3&lt;AL3,AJ3="-"))</f>
        <v>1</v>
      </c>
      <c r="AO3" s="3" t="str">
        <f>IF(ISERROR(MATCH(A3,'SegEnds_Xtal_Prot#'!B:B, 0)), "NoXtal", "Xtal")</f>
        <v>NoXtal</v>
      </c>
      <c r="AP3" s="3">
        <f t="shared" si="2"/>
        <v>1</v>
      </c>
      <c r="AQ3" s="3">
        <f t="shared" si="3"/>
        <v>1</v>
      </c>
      <c r="AR3" s="3">
        <f t="shared" si="4"/>
        <v>1</v>
      </c>
      <c r="AS3" s="3">
        <f t="shared" si="5"/>
        <v>1</v>
      </c>
      <c r="AT3" s="3">
        <f t="shared" si="6"/>
        <v>1</v>
      </c>
      <c r="AU3" s="3">
        <f t="shared" si="7"/>
        <v>3</v>
      </c>
      <c r="AV3" s="3">
        <f t="shared" si="8"/>
        <v>8</v>
      </c>
      <c r="AW3" s="3">
        <f t="shared" si="9"/>
        <v>6</v>
      </c>
      <c r="AX3" s="3">
        <f t="shared" si="10"/>
        <v>5</v>
      </c>
      <c r="AY3" s="3">
        <f t="shared" si="11"/>
        <v>6</v>
      </c>
      <c r="AZ3" s="3">
        <f t="shared" si="12"/>
        <v>1</v>
      </c>
      <c r="BA3" s="3">
        <f>IF(ISERROR(LEN(VLOOKUP(A3,Seqs!A:E,2,FALSE))-AL3),"-",LEN(VLOOKUP(A3,Seqs!A:E,2,FALSE))-AL3)</f>
        <v>70</v>
      </c>
      <c r="BB3" s="16">
        <f t="shared" si="13"/>
        <v>28</v>
      </c>
      <c r="BC3" s="9">
        <f t="shared" si="14"/>
        <v>18</v>
      </c>
      <c r="BD3" s="3">
        <f t="shared" si="15"/>
        <v>28</v>
      </c>
      <c r="BE3" s="3">
        <f t="shared" si="16"/>
        <v>56</v>
      </c>
    </row>
    <row r="4" spans="1:59" s="3" customFormat="1" x14ac:dyDescent="0.2">
      <c r="A4" s="3" t="s">
        <v>245</v>
      </c>
      <c r="B4" s="3" t="str">
        <f>LOWER(VLOOKUP(A4,Xtal_Templ!A:B,2,FALSE))</f>
        <v>hrh1_human</v>
      </c>
      <c r="C4" s="3">
        <f>VLOOKUP($A4,'SegEnds_NonXtal_BW#'!$A:$Z,3,FALSE)+D4-50</f>
        <v>43</v>
      </c>
      <c r="D4" s="3">
        <v>59</v>
      </c>
      <c r="E4" s="3">
        <f>IF(ISERROR(VLOOKUP($A4,'SegEnds_NonXtal_BW#'!$A:$Z,4,FALSE)+VLOOKUP($A4,A:AL,4,FALSE)-50),"-",(VLOOKUP($A4,'SegEnds_NonXtal_BW#'!$A:$Z,4,FALSE)+VLOOKUP($A4,A:AL,4,FALSE)-50))</f>
        <v>69</v>
      </c>
      <c r="F4" s="3">
        <f>G4-2</f>
        <v>70</v>
      </c>
      <c r="G4" s="3">
        <v>72</v>
      </c>
      <c r="H4" s="3">
        <f t="shared" si="0"/>
        <v>73</v>
      </c>
      <c r="I4" s="3">
        <f t="shared" si="0"/>
        <v>74</v>
      </c>
      <c r="J4" s="3">
        <v>88</v>
      </c>
      <c r="K4" s="3">
        <f>VLOOKUP($A4,'SegEnds_NonXtal_BW#'!$A:$Z,8,FALSE)+VLOOKUP($A4,A:AL,10,FALSE)-50</f>
        <v>105</v>
      </c>
      <c r="L4" s="3" t="str">
        <f>IF(ISERROR(VLOOKUP($A4,'SegEnds_NonXtal_BW#'!$A:$Z,9,FALSE)+VLOOKUP($A4,A:AL,13,FALSE)-50),"-",(VLOOKUP($A4,'SegEnds_NonXtal_BW#'!$A:$Z,9,FALSE)+VLOOKUP($A4,A:AL,13,FALSE)-50))</f>
        <v>-</v>
      </c>
      <c r="M4" s="3" t="s">
        <v>23</v>
      </c>
      <c r="N4" s="3" t="str">
        <f>IF(ISERROR(VLOOKUP($A4,'SegEnds_NonXtal_BW#'!$A:$Z,10,FALSE)+VLOOKUP($A4,A:AL,13,FALSE)-50),"-",(VLOOKUP($A4,'SegEnds_NonXtal_BW#'!$A:$Z,10,FALSE)+VLOOKUP($A4,A:AL,13,FALSE)-50))</f>
        <v>-</v>
      </c>
      <c r="O4" s="3">
        <f>VLOOKUP($A4,'SegEnds_NonXtal_BW#'!$A:$Z,11,FALSE)+VLOOKUP($A4,A:AL,16,FALSE)-50</f>
        <v>111</v>
      </c>
      <c r="P4" s="3">
        <v>140</v>
      </c>
      <c r="Q4" s="3">
        <f>VLOOKUP($A4,'SegEnds_NonXtal_BW#'!$A:$Z,12,FALSE)+VLOOKUP($A4,A:AL,16,FALSE)-50</f>
        <v>146</v>
      </c>
      <c r="R4" s="3">
        <f>IF(ISERROR(VLOOKUP($A4,'SegEnds_NonXtal_BW#'!$A:$Z,13,FALSE)+VLOOKUP($A4,A:AL,19,FALSE)-50),"-",VLOOKUP($A4,'SegEnds_NonXtal_BW#'!$A:$Z,13,FALSE)+VLOOKUP($A4,A:AL,19,FALSE)-50)</f>
        <v>147</v>
      </c>
      <c r="S4" s="3">
        <v>147</v>
      </c>
      <c r="T4" s="100">
        <f>IF(ISERROR(VLOOKUP($A4,'SegEnds_NonXtal_BW#'!$A:$Z,14,FALSE)+VLOOKUP($A4,A:AL,19,FALSE)-50),"-",(VLOOKUP($A4,'SegEnds_NonXtal_BW#'!$A:$Z,14,FALSE)+VLOOKUP($A4,A:AL,19,FALSE)-50))</f>
        <v>150</v>
      </c>
      <c r="U4" s="9">
        <f>IF(ISERROR(VLOOKUP($A4,'SegEnds_NonXtal_BW#'!$A:$Z,15,FALSE)+VLOOKUP($A4,A:AL,22,FALSE)-50),"-",VLOOKUP($A4,'SegEnds_NonXtal_BW#'!$A:$Z,15,FALSE)+VLOOKUP($A4,A:AL,22,FALSE)-50)</f>
        <v>153</v>
      </c>
      <c r="V4" s="3">
        <v>165</v>
      </c>
      <c r="W4" s="3">
        <f>IF(ISERROR(VLOOKUP($A4,'SegEnds_NonXtal_BW#'!$A:$Z,16,FALSE)+VLOOKUP($A4,A:AL,22,FALSE)-50),"-",(VLOOKUP($A4,'SegEnds_NonXtal_BW#'!$A:$Z,16,FALSE)+VLOOKUP($A4,A:AL,22,FALSE)-50))</f>
        <v>178</v>
      </c>
      <c r="X4" s="3">
        <f>IF(ISERROR(VLOOKUP($A4,'SegEnds_NonXtal_BW#'!$A:$Z,17,FALSE)+VLOOKUP($A4,A:AL,25,FALSE)-50),"-",(VLOOKUP($A4,'SegEnds_NonXtal_BW#'!$A:$Z,17,FALSE)+VLOOKUP($A4,A:AL,25,FALSE)-50))</f>
        <v>197</v>
      </c>
      <c r="Y4" s="3">
        <v>197</v>
      </c>
      <c r="Z4" s="3">
        <f t="shared" si="1"/>
        <v>199</v>
      </c>
      <c r="AA4" s="3">
        <f>IF(ISERROR(VLOOKUP($A4,'SegEnds_NonXtal_BW#'!$A:$Z,19,FALSE)+VLOOKUP($A4,A:AL,28,FALSE)-50),"-",(VLOOKUP($A4,'SegEnds_NonXtal_BW#'!$A:$Z,19,FALSE)+VLOOKUP($A4,A:AL,28,FALSE)-50))</f>
        <v>208</v>
      </c>
      <c r="AB4" s="3">
        <v>223</v>
      </c>
      <c r="AC4" s="3">
        <f>IF(ISERROR((VLOOKUP($A4,'SegEnds_NonXtal_BW#'!$A:$Z,20,FALSE)+VLOOKUP($A4,A:AL,28,FALSE)-50)),"-",(VLOOKUP($A4,'SegEnds_NonXtal_BW#'!$A:$Z,20,FALSE)+VLOOKUP($A4,A:AL,28,FALSE)-50))</f>
        <v>247</v>
      </c>
      <c r="AD4" s="3">
        <f>IF(ISERROR(VLOOKUP($A4,'SegEnds_NonXtal_BW#'!$A:$Z,21,FALSE)+VLOOKUP($A4,A:AL,31,FALSE)-50),"-",(VLOOKUP($A4,'SegEnds_NonXtal_BW#'!$A:$Z,21,FALSE)+VLOOKUP($A4,A:AL,31,FALSE)-50))</f>
        <v>302</v>
      </c>
      <c r="AE4" s="3">
        <v>328</v>
      </c>
      <c r="AF4" s="3">
        <f>IF(ISERROR((VLOOKUP($A4,'SegEnds_NonXtal_BW#'!$A:$Z,22,FALSE)+VLOOKUP($A4,A:AL,31,FALSE)-50)),"-",(VLOOKUP($A4,'SegEnds_NonXtal_BW#'!$A:$Z,22,FALSE)+VLOOKUP($A4,A:AL,31,FALSE)-50))</f>
        <v>339</v>
      </c>
      <c r="AG4" s="3">
        <f>IF(ISERROR(VLOOKUP($A4,'SegEnds_NonXtal_BW#'!$A:$Z,23,FALSE)+VLOOKUP($A4,A:AL,34,FALSE)-50),"-",(VLOOKUP($A4,'SegEnds_NonXtal_BW#'!$A:$Z,23,FALSE)+VLOOKUP($A4,A:AL,34,FALSE)-50))</f>
        <v>345</v>
      </c>
      <c r="AH4" s="3">
        <v>364</v>
      </c>
      <c r="AI4" s="3">
        <f>IF(ISERROR((VLOOKUP($A4,'SegEnds_NonXtal_BW#'!$A:$Z,24,FALSE)+VLOOKUP($A4,A:AL,34,FALSE)-50)),"-",(VLOOKUP($A4,'SegEnds_NonXtal_BW#'!$A:$Z,24,FALSE)+VLOOKUP($A4,A:AL,34,FALSE)-50))</f>
        <v>370</v>
      </c>
      <c r="AJ4" s="3">
        <f>IF(ISERROR(VLOOKUP($A4,'SegEnds_NonXtal_BW#'!$A:$Z,25,FALSE)+VLOOKUP($A4,A:AL,37,FALSE)-50),"-",(VLOOKUP($A4,'SegEnds_NonXtal_BW#'!$A:$Z,25,FALSE)+VLOOKUP($A4,A:AL,37,FALSE)-50))</f>
        <v>371</v>
      </c>
      <c r="AK4" s="3">
        <v>374</v>
      </c>
      <c r="AL4" s="3">
        <f>IF(ISERROR((VLOOKUP($A4,'SegEnds_NonXtal_BW#'!$A:$Z,26,FALSE)+VLOOKUP($A4,A:AL,37,FALSE)-50)),"-",(VLOOKUP($A4,'SegEnds_NonXtal_BW#'!$A:$Z,26,FALSE)+VLOOKUP($A4,A:AL,37,FALSE)-50))</f>
        <v>383</v>
      </c>
      <c r="AM4" s="28" t="str">
        <f>VLOOKUP(A4,Classification!A:B,2,FALSE)</f>
        <v>A</v>
      </c>
      <c r="AN4" s="28" t="b">
        <f t="shared" si="17"/>
        <v>1</v>
      </c>
      <c r="AO4" s="3" t="str">
        <f>IF(ISERROR(MATCH(A4,'SegEnds_Xtal_Prot#'!B:B, 0)), "NoXtal", "Xtal")</f>
        <v>NoXtal</v>
      </c>
      <c r="AP4" s="3">
        <f t="shared" si="2"/>
        <v>1</v>
      </c>
      <c r="AQ4" s="3">
        <f t="shared" si="3"/>
        <v>1</v>
      </c>
      <c r="AR4" s="3" t="str">
        <f t="shared" si="4"/>
        <v>-</v>
      </c>
      <c r="AS4" s="3" t="str">
        <f t="shared" si="5"/>
        <v>-</v>
      </c>
      <c r="AT4" s="3">
        <f t="shared" si="6"/>
        <v>1</v>
      </c>
      <c r="AU4" s="3">
        <f t="shared" si="7"/>
        <v>3</v>
      </c>
      <c r="AV4" s="3">
        <f t="shared" si="8"/>
        <v>19</v>
      </c>
      <c r="AW4" s="3">
        <f t="shared" si="9"/>
        <v>9</v>
      </c>
      <c r="AX4" s="3">
        <f t="shared" si="10"/>
        <v>55</v>
      </c>
      <c r="AY4" s="3">
        <f t="shared" si="11"/>
        <v>6</v>
      </c>
      <c r="AZ4" s="3">
        <f t="shared" si="12"/>
        <v>1</v>
      </c>
      <c r="BA4" s="3">
        <f>IF(ISERROR(LEN(VLOOKUP(A4,Seqs!A:E,2,FALSE))-AL4),"-",LEN(VLOOKUP(A4,Seqs!A:E,2,FALSE))-AL4)</f>
        <v>50</v>
      </c>
      <c r="BB4" s="16">
        <f t="shared" si="13"/>
        <v>29</v>
      </c>
      <c r="BC4" s="9">
        <f t="shared" si="14"/>
        <v>18</v>
      </c>
      <c r="BD4" s="3">
        <f t="shared" si="15"/>
        <v>29</v>
      </c>
      <c r="BE4" s="3">
        <f t="shared" si="16"/>
        <v>105</v>
      </c>
    </row>
    <row r="5" spans="1:59" s="3" customFormat="1" x14ac:dyDescent="0.2">
      <c r="A5" s="3" t="s">
        <v>324</v>
      </c>
      <c r="B5" s="3" t="str">
        <f>LOWER(VLOOKUP(A5,Xtal_Templ!A:B,2,FALSE))</f>
        <v>5ht2c_human</v>
      </c>
      <c r="C5" s="3">
        <f>VLOOKUP($A5,'SegEnds_NonXtal_BW#'!$A:$Z,3,FALSE)+D5-50</f>
        <v>50</v>
      </c>
      <c r="D5" s="3">
        <v>67</v>
      </c>
      <c r="E5" s="3">
        <f>IF(ISERROR(VLOOKUP($A5,'SegEnds_NonXtal_BW#'!$A:$Z,4,FALSE)+VLOOKUP($A5,A:AL,4,FALSE)-50),"-",(VLOOKUP($A5,'SegEnds_NonXtal_BW#'!$A:$Z,4,FALSE)+VLOOKUP($A5,A:AL,4,FALSE)-50))</f>
        <v>77</v>
      </c>
      <c r="F5" s="3" t="str">
        <f>IF(ISERROR(VLOOKUP($A5,'SegEnds_NonXtal_BW#'!$A:$Z,5,FALSE)+VLOOKUP($A5,A:AL,7,FALSE)-50),"-",(VLOOKUP($A5,'SegEnds_NonXtal_BW#'!$A:$Z,5,FALSE)+VLOOKUP($A5,A:AL,7,FALSE)-50))</f>
        <v>-</v>
      </c>
      <c r="G5" s="3" t="s">
        <v>23</v>
      </c>
      <c r="H5" s="3" t="str">
        <f>IF(ISERROR(VLOOKUP($A5,'SegEnds_NonXtal_BW#'!$A:$Z,6,FALSE)+VLOOKUP($A5,A:AL,7,FALSE)-50),"-",(VLOOKUP($A5,'SegEnds_NonXtal_BW#'!$A:$Z,6,FALSE)+VLOOKUP($A5,A:AL,7,FALSE)-50))</f>
        <v>-</v>
      </c>
      <c r="I5" s="3">
        <f>VLOOKUP($A5,'SegEnds_NonXtal_BW#'!$A:$Z,7,FALSE)+J5-50</f>
        <v>81</v>
      </c>
      <c r="J5" s="3">
        <v>94</v>
      </c>
      <c r="K5" s="3">
        <f>VLOOKUP($A5,'SegEnds_NonXtal_BW#'!$A:$Z,8,FALSE)+VLOOKUP($A5,A:AL,10,FALSE)-50</f>
        <v>112</v>
      </c>
      <c r="L5" s="3">
        <f t="shared" ref="L5:L11" si="18">M5-1</f>
        <v>113</v>
      </c>
      <c r="M5" s="3">
        <v>114</v>
      </c>
      <c r="N5" s="3">
        <f t="shared" ref="N5:N11" si="19">M5+2</f>
        <v>116</v>
      </c>
      <c r="O5" s="3">
        <f t="shared" ref="O5:O11" si="20">N5+1</f>
        <v>117</v>
      </c>
      <c r="P5" s="3">
        <v>146</v>
      </c>
      <c r="Q5" s="3">
        <f>VLOOKUP($A5,'SegEnds_NonXtal_BW#'!$A:$Z,12,FALSE)+VLOOKUP($A5,A:AL,16,FALSE)-50</f>
        <v>152</v>
      </c>
      <c r="R5" s="3">
        <f>IF(ISERROR(VLOOKUP($A5,'SegEnds_NonXtal_BW#'!$A:$Z,13,FALSE)+VLOOKUP($A5,A:AL,19,FALSE)-50),"-",VLOOKUP($A5,'SegEnds_NonXtal_BW#'!$A:$Z,13,FALSE)+VLOOKUP($A5,A:AL,19,FALSE)-50)</f>
        <v>153</v>
      </c>
      <c r="S5" s="3">
        <v>153</v>
      </c>
      <c r="T5" s="100">
        <f>IF(ISERROR(VLOOKUP($A5,'SegEnds_NonXtal_BW#'!$A:$Z,14,FALSE)+VLOOKUP($A5,A:AL,19,FALSE)-50),"-",(VLOOKUP($A5,'SegEnds_NonXtal_BW#'!$A:$Z,14,FALSE)+VLOOKUP($A5,A:AL,19,FALSE)-50))</f>
        <v>156</v>
      </c>
      <c r="U5" s="9">
        <f>IF(ISERROR(VLOOKUP($A5,'SegEnds_NonXtal_BW#'!$A:$Z,15,FALSE)+VLOOKUP($A5,A:AL,22,FALSE)-50),"-",VLOOKUP($A5,'SegEnds_NonXtal_BW#'!$A:$Z,15,FALSE)+VLOOKUP($A5,A:AL,22,FALSE)-50)</f>
        <v>159</v>
      </c>
      <c r="V5" s="3">
        <v>171</v>
      </c>
      <c r="W5" s="3">
        <f>IF(ISERROR(VLOOKUP($A5,'SegEnds_NonXtal_BW#'!$A:$Z,16,FALSE)+VLOOKUP($A5,A:AL,22,FALSE)-50),"-",(VLOOKUP($A5,'SegEnds_NonXtal_BW#'!$A:$Z,16,FALSE)+VLOOKUP($A5,A:AL,22,FALSE)-50))</f>
        <v>188</v>
      </c>
      <c r="X5" s="3">
        <f>IF(ISERROR(VLOOKUP($A5,'SegEnds_NonXtal_BW#'!$A:$Z,17,FALSE)+VLOOKUP($A5,A:AL,25,FALSE)-50),"-",(VLOOKUP($A5,'SegEnds_NonXtal_BW#'!$A:$Z,17,FALSE)+VLOOKUP($A5,A:AL,25,FALSE)-50))</f>
        <v>197</v>
      </c>
      <c r="Y5" s="3">
        <v>197</v>
      </c>
      <c r="Z5" s="3">
        <f t="shared" si="1"/>
        <v>199</v>
      </c>
      <c r="AA5" s="3">
        <f>IF(ISERROR(VLOOKUP($A5,'SegEnds_NonXtal_BW#'!$A:$Z,19,FALSE)+VLOOKUP($A5,A:AL,28,FALSE)-50),"-",(VLOOKUP($A5,'SegEnds_NonXtal_BW#'!$A:$Z,19,FALSE)+VLOOKUP($A5,A:AL,28,FALSE)-50))</f>
        <v>207</v>
      </c>
      <c r="AB5" s="3">
        <v>222</v>
      </c>
      <c r="AC5" s="3">
        <f>IF(ISERROR((VLOOKUP($A5,'SegEnds_NonXtal_BW#'!$A:$Z,20,FALSE)+VLOOKUP($A5,A:AL,28,FALSE)-50)),"-",(VLOOKUP($A5,'SegEnds_NonXtal_BW#'!$A:$Z,20,FALSE)+VLOOKUP($A5,A:AL,28,FALSE)-50))</f>
        <v>248</v>
      </c>
      <c r="AD5" s="3">
        <f>IF(ISERROR(VLOOKUP($A5,'SegEnds_NonXtal_BW#'!$A:$Z,21,FALSE)+VLOOKUP($A5,A:AL,31,FALSE)-50),"-",(VLOOKUP($A5,'SegEnds_NonXtal_BW#'!$A:$Z,21,FALSE)+VLOOKUP($A5,A:AL,31,FALSE)-50))</f>
        <v>263</v>
      </c>
      <c r="AE5" s="3">
        <v>289</v>
      </c>
      <c r="AF5" s="3">
        <f>IF(ISERROR((VLOOKUP($A5,'SegEnds_NonXtal_BW#'!$A:$Z,22,FALSE)+VLOOKUP($A5,A:AL,31,FALSE)-50)),"-",(VLOOKUP($A5,'SegEnds_NonXtal_BW#'!$A:$Z,22,FALSE)+VLOOKUP($A5,A:AL,31,FALSE)-50))</f>
        <v>300</v>
      </c>
      <c r="AG5" s="3">
        <f>IF(ISERROR(VLOOKUP($A5,'SegEnds_NonXtal_BW#'!$A:$Z,23,FALSE)+VLOOKUP($A5,A:AL,34,FALSE)-50),"-",(VLOOKUP($A5,'SegEnds_NonXtal_BW#'!$A:$Z,23,FALSE)+VLOOKUP($A5,A:AL,34,FALSE)-50))</f>
        <v>304</v>
      </c>
      <c r="AH5" s="3">
        <v>327</v>
      </c>
      <c r="AI5" s="3">
        <f>IF(ISERROR((VLOOKUP($A5,'SegEnds_NonXtal_BW#'!$A:$Z,24,FALSE)+VLOOKUP($A5,A:AL,34,FALSE)-50)),"-",(VLOOKUP($A5,'SegEnds_NonXtal_BW#'!$A:$Z,24,FALSE)+VLOOKUP($A5,A:AL,34,FALSE)-50))</f>
        <v>333</v>
      </c>
      <c r="AJ5" s="3">
        <f>IF(ISERROR(VLOOKUP($A5,'SegEnds_NonXtal_BW#'!$A:$Z,25,FALSE)+VLOOKUP($A5,A:AL,37,FALSE)-50),"-",(VLOOKUP($A5,'SegEnds_NonXtal_BW#'!$A:$Z,25,FALSE)+VLOOKUP($A5,A:AL,37,FALSE)-50))</f>
        <v>334</v>
      </c>
      <c r="AK5" s="3">
        <v>337</v>
      </c>
      <c r="AL5" s="3">
        <f>IF(ISERROR((VLOOKUP($A5,'SegEnds_NonXtal_BW#'!$A:$Z,26,FALSE)+VLOOKUP($A5,A:AL,37,FALSE)-50)),"-",(VLOOKUP($A5,'SegEnds_NonXtal_BW#'!$A:$Z,26,FALSE)+VLOOKUP($A5,A:AL,37,FALSE)-50))</f>
        <v>347</v>
      </c>
      <c r="AM5" s="28" t="str">
        <f>VLOOKUP(A5,Classification!A:B,2,FALSE)</f>
        <v>A</v>
      </c>
      <c r="AN5" s="28" t="b">
        <f t="shared" si="17"/>
        <v>1</v>
      </c>
      <c r="AO5" s="3" t="str">
        <f>IF(ISERROR(MATCH(A5,'SegEnds_Xtal_Prot#'!B:B, 0)), "NoXtal", "Xtal")</f>
        <v>NoXtal</v>
      </c>
      <c r="AP5" s="3" t="str">
        <f t="shared" si="2"/>
        <v>-</v>
      </c>
      <c r="AQ5" s="3" t="str">
        <f t="shared" si="3"/>
        <v>-</v>
      </c>
      <c r="AR5" s="3">
        <f t="shared" si="4"/>
        <v>1</v>
      </c>
      <c r="AS5" s="3">
        <f t="shared" si="5"/>
        <v>1</v>
      </c>
      <c r="AT5" s="3">
        <f t="shared" si="6"/>
        <v>1</v>
      </c>
      <c r="AU5" s="3">
        <f t="shared" si="7"/>
        <v>3</v>
      </c>
      <c r="AV5" s="3">
        <f t="shared" si="8"/>
        <v>9</v>
      </c>
      <c r="AW5" s="3">
        <f t="shared" si="9"/>
        <v>8</v>
      </c>
      <c r="AX5" s="3">
        <f t="shared" si="10"/>
        <v>15</v>
      </c>
      <c r="AY5" s="3">
        <f t="shared" si="11"/>
        <v>4</v>
      </c>
      <c r="AZ5" s="3">
        <f t="shared" si="12"/>
        <v>1</v>
      </c>
      <c r="BA5" s="3">
        <f>IF(ISERROR(LEN(VLOOKUP(A5,Seqs!A:E,2,FALSE))-AL5),"-",LEN(VLOOKUP(A5,Seqs!A:E,2,FALSE))-AL5)</f>
        <v>24</v>
      </c>
      <c r="BB5" s="16">
        <f t="shared" si="13"/>
        <v>27</v>
      </c>
      <c r="BC5" s="9">
        <f t="shared" si="14"/>
        <v>18</v>
      </c>
      <c r="BD5" s="3">
        <f t="shared" si="15"/>
        <v>27</v>
      </c>
      <c r="BE5" s="3">
        <f t="shared" si="16"/>
        <v>67</v>
      </c>
      <c r="BF5" s="3">
        <f>AH5-AE5</f>
        <v>38</v>
      </c>
    </row>
    <row r="6" spans="1:59" s="3" customFormat="1" x14ac:dyDescent="0.2">
      <c r="A6" s="3" t="s">
        <v>1175</v>
      </c>
      <c r="B6" s="3" t="str">
        <f>LOWER(VLOOKUP(A6,Xtal_Templ!A:B,2,FALSE))</f>
        <v>ox1r_human</v>
      </c>
      <c r="C6" s="3">
        <f>VLOOKUP($A6,'SegEnds_NonXtal_BW#'!$A:$Z,3,FALSE)+D6-50</f>
        <v>46</v>
      </c>
      <c r="D6" s="3">
        <v>64</v>
      </c>
      <c r="E6" s="3">
        <f>IF(ISERROR(VLOOKUP($A6,'SegEnds_NonXtal_BW#'!$A:$Z,4,FALSE)+VLOOKUP($A6,A:AL,4,FALSE)-50),"-",(VLOOKUP($A6,'SegEnds_NonXtal_BW#'!$A:$Z,4,FALSE)+VLOOKUP($A6,A:AL,4,FALSE)-50))</f>
        <v>74</v>
      </c>
      <c r="F6" s="3">
        <f>G6-2</f>
        <v>75</v>
      </c>
      <c r="G6" s="3">
        <v>77</v>
      </c>
      <c r="H6" s="3">
        <f t="shared" ref="H6:I8" si="21">G6+1</f>
        <v>78</v>
      </c>
      <c r="I6" s="3">
        <f t="shared" si="21"/>
        <v>79</v>
      </c>
      <c r="J6" s="3">
        <v>92</v>
      </c>
      <c r="K6" s="3">
        <f>VLOOKUP($A6,'SegEnds_NonXtal_BW#'!$A:$Z,8,FALSE)+VLOOKUP($A6,A:AL,10,FALSE)-50</f>
        <v>109</v>
      </c>
      <c r="L6" s="3">
        <f t="shared" si="18"/>
        <v>111</v>
      </c>
      <c r="M6" s="3">
        <v>112</v>
      </c>
      <c r="N6" s="3">
        <f t="shared" si="19"/>
        <v>114</v>
      </c>
      <c r="O6" s="3">
        <f t="shared" si="20"/>
        <v>115</v>
      </c>
      <c r="P6" s="3">
        <v>144</v>
      </c>
      <c r="Q6" s="3">
        <f>VLOOKUP($A6,'SegEnds_NonXtal_BW#'!$A:$Z,12,FALSE)+VLOOKUP($A6,A:AL,16,FALSE)-50</f>
        <v>150</v>
      </c>
      <c r="R6" s="3">
        <f>IF(ISERROR(VLOOKUP($A6,'SegEnds_NonXtal_BW#'!$A:$Z,13,FALSE)+VLOOKUP($A6,A:AL,19,FALSE)-50),"-",VLOOKUP($A6,'SegEnds_NonXtal_BW#'!$A:$Z,13,FALSE)+VLOOKUP($A6,A:AL,19,FALSE)-50)</f>
        <v>151</v>
      </c>
      <c r="S6" s="3">
        <v>151</v>
      </c>
      <c r="T6" s="100">
        <f>IF(ISERROR(VLOOKUP($A6,'SegEnds_NonXtal_BW#'!$A:$Z,14,FALSE)+VLOOKUP($A6,A:AL,19,FALSE)-50),"-",(VLOOKUP($A6,'SegEnds_NonXtal_BW#'!$A:$Z,14,FALSE)+VLOOKUP($A6,A:AL,19,FALSE)-50))</f>
        <v>154</v>
      </c>
      <c r="U6" s="9">
        <f>IF(ISERROR(VLOOKUP($A6,'SegEnds_NonXtal_BW#'!$A:$Z,15,FALSE)+VLOOKUP($A6,A:AL,22,FALSE)-50),"-",VLOOKUP($A6,'SegEnds_NonXtal_BW#'!$A:$Z,15,FALSE)+VLOOKUP($A6,A:AL,22,FALSE)-50)</f>
        <v>157</v>
      </c>
      <c r="V6" s="3">
        <v>169</v>
      </c>
      <c r="W6" s="3">
        <f>IF(ISERROR(VLOOKUP($A6,'SegEnds_NonXtal_BW#'!$A:$Z,16,FALSE)+VLOOKUP($A6,A:AL,22,FALSE)-50),"-",(VLOOKUP($A6,'SegEnds_NonXtal_BW#'!$A:$Z,16,FALSE)+VLOOKUP($A6,A:AL,22,FALSE)-50))</f>
        <v>183</v>
      </c>
      <c r="X6" s="3">
        <f>IF(ISERROR(VLOOKUP($A6,'SegEnds_NonXtal_BW#'!$A:$Z,17,FALSE)+VLOOKUP($A6,A:AL,25,FALSE)-50),"-",(VLOOKUP($A6,'SegEnds_NonXtal_BW#'!$A:$Z,17,FALSE)+VLOOKUP($A6,A:AL,25,FALSE)-50))</f>
        <v>202</v>
      </c>
      <c r="Y6" s="3">
        <v>202</v>
      </c>
      <c r="Z6" s="3">
        <f t="shared" si="1"/>
        <v>204</v>
      </c>
      <c r="AA6" s="3">
        <f>IF(ISERROR(VLOOKUP($A6,'SegEnds_NonXtal_BW#'!$A:$Z,19,FALSE)+VLOOKUP($A6,A:AL,28,FALSE)-50),"-",(VLOOKUP($A6,'SegEnds_NonXtal_BW#'!$A:$Z,19,FALSE)+VLOOKUP($A6,A:AL,28,FALSE)-50))</f>
        <v>209</v>
      </c>
      <c r="AB6" s="3">
        <v>227</v>
      </c>
      <c r="AC6" s="3">
        <v>248</v>
      </c>
      <c r="AD6" s="3">
        <f>IF(ISERROR(VLOOKUP($A6,'SegEnds_NonXtal_BW#'!$A:$Z,21,FALSE)+VLOOKUP($A6,A:AL,31,FALSE)-50),"-",(VLOOKUP($A6,'SegEnds_NonXtal_BW#'!$A:$Z,21,FALSE)+VLOOKUP($A6,A:AL,31,FALSE)-50))</f>
        <v>283</v>
      </c>
      <c r="AE6" s="3">
        <v>313</v>
      </c>
      <c r="AF6" s="3">
        <f>IF(ISERROR((VLOOKUP($A6,'SegEnds_NonXtal_BW#'!$A:$Z,22,FALSE)+VLOOKUP($A6,A:AL,31,FALSE)-50)),"-",(VLOOKUP($A6,'SegEnds_NonXtal_BW#'!$A:$Z,22,FALSE)+VLOOKUP($A6,A:AL,31,FALSE)-50))</f>
        <v>324</v>
      </c>
      <c r="AG6" s="3">
        <f>IF(ISERROR(VLOOKUP($A6,'SegEnds_NonXtal_BW#'!$A:$Z,23,FALSE)+VLOOKUP($A6,A:AL,34,FALSE)-50),"-",(VLOOKUP($A6,'SegEnds_NonXtal_BW#'!$A:$Z,23,FALSE)+VLOOKUP($A6,A:AL,34,FALSE)-50))</f>
        <v>333</v>
      </c>
      <c r="AH6" s="3">
        <v>355</v>
      </c>
      <c r="AI6" s="3">
        <f>IF(ISERROR((VLOOKUP($A6,'SegEnds_NonXtal_BW#'!$A:$Z,24,FALSE)+VLOOKUP($A6,A:AL,34,FALSE)-50)),"-",(VLOOKUP($A6,'SegEnds_NonXtal_BW#'!$A:$Z,24,FALSE)+VLOOKUP($A6,A:AL,34,FALSE)-50))</f>
        <v>361</v>
      </c>
      <c r="AJ6" s="3">
        <f>IF(ISERROR(VLOOKUP($A6,'SegEnds_NonXtal_BW#'!$A:$Z,25,FALSE)+VLOOKUP($A6,A:AL,37,FALSE)-50),"-",(VLOOKUP($A6,'SegEnds_NonXtal_BW#'!$A:$Z,25,FALSE)+VLOOKUP($A6,A:AL,37,FALSE)-50))</f>
        <v>362</v>
      </c>
      <c r="AK6" s="3">
        <v>365</v>
      </c>
      <c r="AL6" s="3">
        <f>IF(ISERROR((VLOOKUP($A6,'SegEnds_NonXtal_BW#'!$A:$Z,26,FALSE)+VLOOKUP($A6,A:AL,37,FALSE)-50)),"-",(VLOOKUP($A6,'SegEnds_NonXtal_BW#'!$A:$Z,26,FALSE)+VLOOKUP($A6,A:AL,37,FALSE)-50))</f>
        <v>373</v>
      </c>
      <c r="AM6" s="28" t="str">
        <f>VLOOKUP(A6,Classification!A:B,2,FALSE)</f>
        <v>A</v>
      </c>
      <c r="AN6" s="28" t="b">
        <f t="shared" si="17"/>
        <v>1</v>
      </c>
      <c r="AO6" s="3" t="str">
        <f>IF(ISERROR(MATCH(A6,'SegEnds_Xtal_Prot#'!B:B, 0)), "NoXtal", "Xtal")</f>
        <v>Xtal</v>
      </c>
      <c r="AP6" s="3">
        <f t="shared" si="2"/>
        <v>1</v>
      </c>
      <c r="AQ6" s="3">
        <f t="shared" si="3"/>
        <v>1</v>
      </c>
      <c r="AR6" s="3">
        <f t="shared" si="4"/>
        <v>2</v>
      </c>
      <c r="AS6" s="3">
        <f t="shared" si="5"/>
        <v>1</v>
      </c>
      <c r="AT6" s="3">
        <f t="shared" si="6"/>
        <v>1</v>
      </c>
      <c r="AU6" s="3">
        <f t="shared" si="7"/>
        <v>3</v>
      </c>
      <c r="AV6" s="3">
        <f t="shared" si="8"/>
        <v>19</v>
      </c>
      <c r="AW6" s="3">
        <f t="shared" si="9"/>
        <v>5</v>
      </c>
      <c r="AX6" s="3">
        <f t="shared" si="10"/>
        <v>35</v>
      </c>
      <c r="AY6" s="3">
        <f t="shared" si="11"/>
        <v>9</v>
      </c>
      <c r="AZ6" s="3">
        <f t="shared" si="12"/>
        <v>1</v>
      </c>
      <c r="BA6" s="3">
        <f>IF(ISERROR(LEN(VLOOKUP(A6,Seqs!A:E,2,FALSE))-AL6),"-",LEN(VLOOKUP(A6,Seqs!A:E,2,FALSE))-AL6)</f>
        <v>52</v>
      </c>
      <c r="BB6" s="16">
        <f t="shared" si="13"/>
        <v>28</v>
      </c>
      <c r="BC6" s="9">
        <f t="shared" si="14"/>
        <v>18</v>
      </c>
      <c r="BD6" s="3">
        <f t="shared" si="15"/>
        <v>28</v>
      </c>
      <c r="BE6" s="3">
        <f t="shared" si="16"/>
        <v>86</v>
      </c>
    </row>
    <row r="7" spans="1:59" s="3" customFormat="1" x14ac:dyDescent="0.2">
      <c r="A7" s="3" t="s">
        <v>1176</v>
      </c>
      <c r="B7" s="3" t="str">
        <f>LOWER(VLOOKUP(A7,Xtal_Templ!A:B,2,FALSE))</f>
        <v>ox2r_human</v>
      </c>
      <c r="C7" s="3">
        <f>VLOOKUP($A7,'SegEnds_NonXtal_BW#'!$A:$Z,3,FALSE)+D7-50</f>
        <v>53</v>
      </c>
      <c r="D7" s="3">
        <v>72</v>
      </c>
      <c r="E7" s="3">
        <f>IF(ISERROR(VLOOKUP($A7,'SegEnds_NonXtal_BW#'!$A:$Z,4,FALSE)+VLOOKUP($A7,A:AL,4,FALSE)-50),"-",(VLOOKUP($A7,'SegEnds_NonXtal_BW#'!$A:$Z,4,FALSE)+VLOOKUP($A7,A:AL,4,FALSE)-50))</f>
        <v>82</v>
      </c>
      <c r="F7" s="3">
        <f>G7-2</f>
        <v>83</v>
      </c>
      <c r="G7" s="3">
        <v>85</v>
      </c>
      <c r="H7" s="3">
        <f t="shared" si="21"/>
        <v>86</v>
      </c>
      <c r="I7" s="3">
        <f t="shared" si="21"/>
        <v>87</v>
      </c>
      <c r="J7" s="3">
        <v>100</v>
      </c>
      <c r="K7" s="3">
        <f>VLOOKUP($A7,'SegEnds_NonXtal_BW#'!$A:$Z,8,FALSE)+VLOOKUP($A7,A:AL,10,FALSE)-50</f>
        <v>118</v>
      </c>
      <c r="L7" s="3">
        <f t="shared" si="18"/>
        <v>119</v>
      </c>
      <c r="M7" s="3">
        <v>120</v>
      </c>
      <c r="N7" s="3">
        <f t="shared" si="19"/>
        <v>122</v>
      </c>
      <c r="O7" s="3">
        <f t="shared" si="20"/>
        <v>123</v>
      </c>
      <c r="P7" s="3">
        <v>152</v>
      </c>
      <c r="Q7" s="3">
        <f>VLOOKUP($A7,'SegEnds_NonXtal_BW#'!$A:$Z,12,FALSE)+VLOOKUP($A7,A:AL,16,FALSE)-50</f>
        <v>158</v>
      </c>
      <c r="R7" s="3">
        <f>IF(ISERROR(VLOOKUP($A7,'SegEnds_NonXtal_BW#'!$A:$Z,13,FALSE)+VLOOKUP($A7,A:AL,19,FALSE)-50),"-",VLOOKUP($A7,'SegEnds_NonXtal_BW#'!$A:$Z,13,FALSE)+VLOOKUP($A7,A:AL,19,FALSE)-50)</f>
        <v>159</v>
      </c>
      <c r="S7" s="3">
        <v>159</v>
      </c>
      <c r="T7" s="100">
        <f>IF(ISERROR(VLOOKUP($A7,'SegEnds_NonXtal_BW#'!$A:$Z,14,FALSE)+VLOOKUP($A7,A:AL,19,FALSE)-50),"-",(VLOOKUP($A7,'SegEnds_NonXtal_BW#'!$A:$Z,14,FALSE)+VLOOKUP($A7,A:AL,19,FALSE)-50))</f>
        <v>162</v>
      </c>
      <c r="U7" s="9">
        <f>IF(ISERROR(VLOOKUP($A7,'SegEnds_NonXtal_BW#'!$A:$Z,15,FALSE)+VLOOKUP($A7,A:AL,22,FALSE)-50),"-",VLOOKUP($A7,'SegEnds_NonXtal_BW#'!$A:$Z,15,FALSE)+VLOOKUP($A7,A:AL,22,FALSE)-50)</f>
        <v>165</v>
      </c>
      <c r="V7" s="3">
        <v>177</v>
      </c>
      <c r="W7" s="3">
        <f>IF(ISERROR(VLOOKUP($A7,'SegEnds_NonXtal_BW#'!$A:$Z,16,FALSE)+VLOOKUP($A7,A:AL,22,FALSE)-50),"-",(VLOOKUP($A7,'SegEnds_NonXtal_BW#'!$A:$Z,16,FALSE)+VLOOKUP($A7,A:AL,22,FALSE)-50))</f>
        <v>191</v>
      </c>
      <c r="X7" s="3">
        <f>IF(ISERROR(VLOOKUP($A7,'SegEnds_NonXtal_BW#'!$A:$Z,17,FALSE)+VLOOKUP($A7,A:AL,25,FALSE)-50),"-",(VLOOKUP($A7,'SegEnds_NonXtal_BW#'!$A:$Z,17,FALSE)+VLOOKUP($A7,A:AL,25,FALSE)-50))</f>
        <v>210</v>
      </c>
      <c r="Y7" s="3">
        <v>210</v>
      </c>
      <c r="Z7" s="3">
        <f t="shared" si="1"/>
        <v>212</v>
      </c>
      <c r="AA7" s="3">
        <f>IF(ISERROR(VLOOKUP($A7,'SegEnds_NonXtal_BW#'!$A:$Z,19,FALSE)+VLOOKUP($A7,A:AL,28,FALSE)-50),"-",(VLOOKUP($A7,'SegEnds_NonXtal_BW#'!$A:$Z,19,FALSE)+VLOOKUP($A7,A:AL,28,FALSE)-50))</f>
        <v>218</v>
      </c>
      <c r="AB7" s="3">
        <v>235</v>
      </c>
      <c r="AC7" s="3">
        <v>256</v>
      </c>
      <c r="AD7" s="3">
        <f>IF(ISERROR(VLOOKUP($A7,'SegEnds_NonXtal_BW#'!$A:$Z,21,FALSE)+VLOOKUP($A7,A:AL,31,FALSE)-50),"-",(VLOOKUP($A7,'SegEnds_NonXtal_BW#'!$A:$Z,21,FALSE)+VLOOKUP($A7,A:AL,31,FALSE)-50))</f>
        <v>289</v>
      </c>
      <c r="AE7" s="3">
        <v>319</v>
      </c>
      <c r="AF7" s="3">
        <f>IF(ISERROR((VLOOKUP($A7,'SegEnds_NonXtal_BW#'!$A:$Z,22,FALSE)+VLOOKUP($A7,A:AL,31,FALSE)-50)),"-",(VLOOKUP($A7,'SegEnds_NonXtal_BW#'!$A:$Z,22,FALSE)+VLOOKUP($A7,A:AL,31,FALSE)-50))</f>
        <v>330</v>
      </c>
      <c r="AG7" s="3">
        <f>IF(ISERROR(VLOOKUP($A7,'SegEnds_NonXtal_BW#'!$A:$Z,23,FALSE)+VLOOKUP($A7,A:AL,34,FALSE)-50),"-",(VLOOKUP($A7,'SegEnds_NonXtal_BW#'!$A:$Z,23,FALSE)+VLOOKUP($A7,A:AL,34,FALSE)-50))</f>
        <v>338</v>
      </c>
      <c r="AH7" s="3">
        <v>361</v>
      </c>
      <c r="AI7" s="3">
        <f>IF(ISERROR((VLOOKUP($A7,'SegEnds_NonXtal_BW#'!$A:$Z,24,FALSE)+VLOOKUP($A7,A:AL,34,FALSE)-50)),"-",(VLOOKUP($A7,'SegEnds_NonXtal_BW#'!$A:$Z,24,FALSE)+VLOOKUP($A7,A:AL,34,FALSE)-50))</f>
        <v>367</v>
      </c>
      <c r="AJ7" s="3">
        <f>IF(ISERROR(VLOOKUP($A7,'SegEnds_NonXtal_BW#'!$A:$Z,25,FALSE)+VLOOKUP($A7,A:AL,37,FALSE)-50),"-",(VLOOKUP($A7,'SegEnds_NonXtal_BW#'!$A:$Z,25,FALSE)+VLOOKUP($A7,A:AL,37,FALSE)-50))</f>
        <v>368</v>
      </c>
      <c r="AK7" s="3">
        <v>371</v>
      </c>
      <c r="AL7" s="3">
        <f>IF(ISERROR((VLOOKUP($A7,'SegEnds_NonXtal_BW#'!$A:$Z,26,FALSE)+VLOOKUP($A7,A:AL,37,FALSE)-50)),"-",(VLOOKUP($A7,'SegEnds_NonXtal_BW#'!$A:$Z,26,FALSE)+VLOOKUP($A7,A:AL,37,FALSE)-50))</f>
        <v>379</v>
      </c>
      <c r="AM7" s="28" t="str">
        <f>VLOOKUP(A7,Classification!A:B,2,FALSE)</f>
        <v>A</v>
      </c>
      <c r="AN7" s="28" t="b">
        <f t="shared" si="17"/>
        <v>1</v>
      </c>
      <c r="AO7" s="3" t="str">
        <f>IF(ISERROR(MATCH(A7,'SegEnds_Xtal_Prot#'!B:B, 0)), "NoXtal", "Xtal")</f>
        <v>Xtal</v>
      </c>
      <c r="AP7" s="3">
        <f t="shared" si="2"/>
        <v>1</v>
      </c>
      <c r="AQ7" s="3">
        <f t="shared" si="3"/>
        <v>1</v>
      </c>
      <c r="AR7" s="3">
        <f t="shared" si="4"/>
        <v>1</v>
      </c>
      <c r="AS7" s="3">
        <f t="shared" si="5"/>
        <v>1</v>
      </c>
      <c r="AT7" s="3">
        <f t="shared" si="6"/>
        <v>1</v>
      </c>
      <c r="AU7" s="3">
        <f t="shared" si="7"/>
        <v>3</v>
      </c>
      <c r="AV7" s="3">
        <f t="shared" si="8"/>
        <v>19</v>
      </c>
      <c r="AW7" s="3">
        <f t="shared" si="9"/>
        <v>6</v>
      </c>
      <c r="AX7" s="3">
        <f t="shared" si="10"/>
        <v>33</v>
      </c>
      <c r="AY7" s="3">
        <f t="shared" si="11"/>
        <v>8</v>
      </c>
      <c r="AZ7" s="3">
        <f t="shared" si="12"/>
        <v>1</v>
      </c>
      <c r="BA7" s="3">
        <f>IF(ISERROR(LEN(VLOOKUP(A7,Seqs!A:E,2,FALSE))-AL7),"-",LEN(VLOOKUP(A7,Seqs!A:E,2,FALSE))-AL7)</f>
        <v>65</v>
      </c>
      <c r="BB7" s="16">
        <f t="shared" si="13"/>
        <v>28</v>
      </c>
      <c r="BC7" s="9">
        <f t="shared" si="14"/>
        <v>18</v>
      </c>
      <c r="BD7" s="3">
        <f t="shared" si="15"/>
        <v>28</v>
      </c>
      <c r="BE7" s="3">
        <f t="shared" si="16"/>
        <v>84</v>
      </c>
    </row>
    <row r="8" spans="1:59" s="3" customFormat="1" x14ac:dyDescent="0.2">
      <c r="A8" s="3" t="s">
        <v>369</v>
      </c>
      <c r="B8" s="3" t="str">
        <f>LOWER(VLOOKUP(A8,Xtal_Templ!A:B,2,FALSE))</f>
        <v>ox2r_human</v>
      </c>
      <c r="C8" s="3">
        <f>VLOOKUP($A8,'SegEnds_NonXtal_BW#'!$A:$Z,3,FALSE)+D8-50</f>
        <v>59</v>
      </c>
      <c r="D8" s="3">
        <v>78</v>
      </c>
      <c r="E8" s="3">
        <f>IF(ISERROR(VLOOKUP($A8,'SegEnds_NonXtal_BW#'!$A:$Z,4,FALSE)+VLOOKUP($A8,A:AL,4,FALSE)-50),"-",(VLOOKUP($A8,'SegEnds_NonXtal_BW#'!$A:$Z,4,FALSE)+VLOOKUP($A8,A:AL,4,FALSE)-50))</f>
        <v>88</v>
      </c>
      <c r="F8" s="3">
        <f>G8-2</f>
        <v>89</v>
      </c>
      <c r="G8" s="3">
        <v>91</v>
      </c>
      <c r="H8" s="3">
        <f t="shared" si="21"/>
        <v>92</v>
      </c>
      <c r="I8" s="3">
        <f t="shared" si="21"/>
        <v>93</v>
      </c>
      <c r="J8" s="3">
        <v>106</v>
      </c>
      <c r="K8" s="3">
        <f>VLOOKUP($A8,'SegEnds_NonXtal_BW#'!$A:$Z,8,FALSE)+VLOOKUP($A8,A:AL,10,FALSE)-50</f>
        <v>124</v>
      </c>
      <c r="L8" s="3">
        <f t="shared" si="18"/>
        <v>126</v>
      </c>
      <c r="M8" s="3">
        <v>127</v>
      </c>
      <c r="N8" s="3">
        <f t="shared" si="19"/>
        <v>129</v>
      </c>
      <c r="O8" s="3">
        <f t="shared" si="20"/>
        <v>130</v>
      </c>
      <c r="P8" s="3">
        <v>159</v>
      </c>
      <c r="Q8" s="3">
        <f>VLOOKUP($A8,'SegEnds_NonXtal_BW#'!$A:$Z,12,FALSE)+VLOOKUP($A8,A:AL,16,FALSE)-50</f>
        <v>165</v>
      </c>
      <c r="R8" s="3">
        <f>IF(ISERROR(VLOOKUP($A8,'SegEnds_NonXtal_BW#'!$A:$Z,13,FALSE)+VLOOKUP($A8,A:AL,19,FALSE)-50),"-",VLOOKUP($A8,'SegEnds_NonXtal_BW#'!$A:$Z,13,FALSE)+VLOOKUP($A8,A:AL,19,FALSE)-50)</f>
        <v>166</v>
      </c>
      <c r="S8" s="3">
        <v>166</v>
      </c>
      <c r="T8" s="100">
        <f>IF(ISERROR(VLOOKUP($A8,'SegEnds_NonXtal_BW#'!$A:$Z,14,FALSE)+VLOOKUP($A8,A:AL,19,FALSE)-50),"-",(VLOOKUP($A8,'SegEnds_NonXtal_BW#'!$A:$Z,14,FALSE)+VLOOKUP($A8,A:AL,19,FALSE)-50))</f>
        <v>169</v>
      </c>
      <c r="U8" s="9">
        <f>IF(ISERROR(VLOOKUP($A8,'SegEnds_NonXtal_BW#'!$A:$Z,15,FALSE)+VLOOKUP($A8,A:AL,22,FALSE)-50),"-",VLOOKUP($A8,'SegEnds_NonXtal_BW#'!$A:$Z,15,FALSE)+VLOOKUP($A8,A:AL,22,FALSE)-50)</f>
        <v>172</v>
      </c>
      <c r="V8" s="3">
        <v>184</v>
      </c>
      <c r="W8" s="3">
        <f>IF(ISERROR(VLOOKUP($A8,'SegEnds_NonXtal_BW#'!$A:$Z,16,FALSE)+VLOOKUP($A8,A:AL,22,FALSE)-50),"-",(VLOOKUP($A8,'SegEnds_NonXtal_BW#'!$A:$Z,16,FALSE)+VLOOKUP($A8,A:AL,22,FALSE)-50))</f>
        <v>198</v>
      </c>
      <c r="X8" s="3">
        <f>IF(ISERROR(VLOOKUP($A8,'SegEnds_NonXtal_BW#'!$A:$Z,17,FALSE)+VLOOKUP($A8,A:AL,25,FALSE)-50),"-",(VLOOKUP($A8,'SegEnds_NonXtal_BW#'!$A:$Z,17,FALSE)+VLOOKUP($A8,A:AL,25,FALSE)-50))</f>
        <v>211</v>
      </c>
      <c r="Y8" s="3">
        <v>211</v>
      </c>
      <c r="Z8" s="3">
        <f t="shared" si="1"/>
        <v>213</v>
      </c>
      <c r="AA8" s="3">
        <f>IF(ISERROR(VLOOKUP($A8,'SegEnds_NonXtal_BW#'!$A:$Z,19,FALSE)+VLOOKUP($A8,A:AL,28,FALSE)-50),"-",(VLOOKUP($A8,'SegEnds_NonXtal_BW#'!$A:$Z,19,FALSE)+VLOOKUP($A8,A:AL,28,FALSE)-50))</f>
        <v>220</v>
      </c>
      <c r="AB8" s="3">
        <v>237</v>
      </c>
      <c r="AC8" s="3">
        <f>IF(ISERROR((VLOOKUP($A8,'SegEnds_NonXtal_BW#'!$A:$Z,20,FALSE)+VLOOKUP($A8,A:AL,28,FALSE)-50)),"-",(VLOOKUP($A8,'SegEnds_NonXtal_BW#'!$A:$Z,20,FALSE)+VLOOKUP($A8,A:AL,28,FALSE)-50))</f>
        <v>260</v>
      </c>
      <c r="AD8" s="3">
        <f>IF(ISERROR(VLOOKUP($A8,'SegEnds_NonXtal_BW#'!$A:$Z,21,FALSE)+VLOOKUP($A8,A:AL,31,FALSE)-50),"-",(VLOOKUP($A8,'SegEnds_NonXtal_BW#'!$A:$Z,21,FALSE)+VLOOKUP($A8,A:AL,31,FALSE)-50))</f>
        <v>265</v>
      </c>
      <c r="AE8" s="3">
        <v>293</v>
      </c>
      <c r="AF8" s="3">
        <f>IF(ISERROR((VLOOKUP($A8,'SegEnds_NonXtal_BW#'!$A:$Z,22,FALSE)+VLOOKUP($A8,A:AL,31,FALSE)-50)),"-",(VLOOKUP($A8,'SegEnds_NonXtal_BW#'!$A:$Z,22,FALSE)+VLOOKUP($A8,A:AL,31,FALSE)-50))</f>
        <v>304</v>
      </c>
      <c r="AG8" s="3">
        <f>IF(ISERROR(VLOOKUP($A8,'SegEnds_NonXtal_BW#'!$A:$Z,23,FALSE)+VLOOKUP($A8,A:AL,34,FALSE)-50),"-",(VLOOKUP($A8,'SegEnds_NonXtal_BW#'!$A:$Z,23,FALSE)+VLOOKUP($A8,A:AL,34,FALSE)-50))</f>
        <v>309</v>
      </c>
      <c r="AH8" s="3">
        <v>332</v>
      </c>
      <c r="AI8" s="3">
        <f>IF(ISERROR((VLOOKUP($A8,'SegEnds_NonXtal_BW#'!$A:$Z,24,FALSE)+VLOOKUP($A8,A:AL,34,FALSE)-50)),"-",(VLOOKUP($A8,'SegEnds_NonXtal_BW#'!$A:$Z,24,FALSE)+VLOOKUP($A8,A:AL,34,FALSE)-50))</f>
        <v>338</v>
      </c>
      <c r="AJ8" s="3">
        <f>IF(ISERROR(VLOOKUP($A8,'SegEnds_NonXtal_BW#'!$A:$Z,25,FALSE)+VLOOKUP($A8,A:AL,37,FALSE)-50),"-",(VLOOKUP($A8,'SegEnds_NonXtal_BW#'!$A:$Z,25,FALSE)+VLOOKUP($A8,A:AL,37,FALSE)-50))</f>
        <v>339</v>
      </c>
      <c r="AK8" s="3">
        <v>342</v>
      </c>
      <c r="AL8" s="3">
        <f>IF(ISERROR((VLOOKUP($A8,'SegEnds_NonXtal_BW#'!$A:$Z,26,FALSE)+VLOOKUP($A8,A:AL,37,FALSE)-50)),"-",(VLOOKUP($A8,'SegEnds_NonXtal_BW#'!$A:$Z,26,FALSE)+VLOOKUP($A8,A:AL,37,FALSE)-50))</f>
        <v>350</v>
      </c>
      <c r="AM8" s="28" t="str">
        <f>VLOOKUP(A8,Classification!A:B,2,FALSE)</f>
        <v>A</v>
      </c>
      <c r="AN8" s="28" t="b">
        <f t="shared" si="17"/>
        <v>1</v>
      </c>
      <c r="AO8" s="3" t="str">
        <f>IF(ISERROR(MATCH(A8,'SegEnds_Xtal_Prot#'!B:B, 0)), "NoXtal", "Xtal")</f>
        <v>NoXtal</v>
      </c>
      <c r="AP8" s="3">
        <f t="shared" si="2"/>
        <v>1</v>
      </c>
      <c r="AQ8" s="3">
        <f t="shared" si="3"/>
        <v>1</v>
      </c>
      <c r="AR8" s="3">
        <f t="shared" si="4"/>
        <v>2</v>
      </c>
      <c r="AS8" s="3">
        <f t="shared" si="5"/>
        <v>1</v>
      </c>
      <c r="AT8" s="3">
        <f t="shared" si="6"/>
        <v>1</v>
      </c>
      <c r="AU8" s="3">
        <f t="shared" si="7"/>
        <v>3</v>
      </c>
      <c r="AV8" s="3">
        <f t="shared" si="8"/>
        <v>13</v>
      </c>
      <c r="AW8" s="3">
        <f t="shared" si="9"/>
        <v>7</v>
      </c>
      <c r="AX8" s="3">
        <f t="shared" si="10"/>
        <v>5</v>
      </c>
      <c r="AY8" s="3">
        <f t="shared" si="11"/>
        <v>5</v>
      </c>
      <c r="AZ8" s="3">
        <f t="shared" si="12"/>
        <v>1</v>
      </c>
      <c r="BA8" s="3">
        <f>IF(ISERROR(LEN(VLOOKUP(A8,Seqs!A:E,2,FALSE))-AL8),"-",LEN(VLOOKUP(A8,Seqs!A:E,2,FALSE))-AL8)</f>
        <v>20</v>
      </c>
      <c r="BB8" s="16">
        <f t="shared" si="13"/>
        <v>28</v>
      </c>
      <c r="BC8" s="9">
        <f t="shared" si="14"/>
        <v>18</v>
      </c>
      <c r="BD8" s="3">
        <f t="shared" si="15"/>
        <v>28</v>
      </c>
      <c r="BE8" s="3">
        <f t="shared" si="16"/>
        <v>56</v>
      </c>
      <c r="BF8" s="3">
        <f>AH8-AE8</f>
        <v>39</v>
      </c>
    </row>
    <row r="9" spans="1:59" s="3" customFormat="1" x14ac:dyDescent="0.2">
      <c r="A9" s="3" t="s">
        <v>159</v>
      </c>
      <c r="B9" s="3" t="str">
        <f>LOWER(VLOOKUP(A9,Xtal_Templ!A:B,2,FALSE))</f>
        <v>agtr2_human</v>
      </c>
      <c r="C9" s="3">
        <f>VLOOKUP($A9,'SegEnds_NonXtal_BW#'!$A:$Z,3,FALSE)+D9-50</f>
        <v>45</v>
      </c>
      <c r="D9" s="3">
        <v>62</v>
      </c>
      <c r="E9" s="3">
        <f>IF(ISERROR(VLOOKUP($A9,'SegEnds_NonXtal_BW#'!$A:$Z,4,FALSE)+VLOOKUP($A9,A:AL,4,FALSE)-50),"-",(VLOOKUP($A9,'SegEnds_NonXtal_BW#'!$A:$Z,4,FALSE)+VLOOKUP($A9,A:AL,4,FALSE)-50))</f>
        <v>72</v>
      </c>
      <c r="F9" s="3" t="str">
        <f>IF(ISERROR(VLOOKUP($A9,'SegEnds_NonXtal_BW#'!$A:$Z,5,FALSE)+VLOOKUP($A9,A:AL,7,FALSE)-50),"-",(VLOOKUP($A9,'SegEnds_NonXtal_BW#'!$A:$Z,5,FALSE)+VLOOKUP($A9,A:AL,7,FALSE)-50))</f>
        <v>-</v>
      </c>
      <c r="G9" s="3" t="s">
        <v>23</v>
      </c>
      <c r="H9" s="3" t="str">
        <f>IF(ISERROR(VLOOKUP($A9,'SegEnds_NonXtal_BW#'!$A:$Z,6,FALSE)+VLOOKUP($A9,A:AL,7,FALSE)-50),"-",(VLOOKUP($A9,'SegEnds_NonXtal_BW#'!$A:$Z,6,FALSE)+VLOOKUP($A9,A:AL,7,FALSE)-50))</f>
        <v>-</v>
      </c>
      <c r="I9" s="3">
        <f>VLOOKUP($A9,'SegEnds_NonXtal_BW#'!$A:$Z,7,FALSE)+J9-50</f>
        <v>78</v>
      </c>
      <c r="J9" s="3">
        <v>90</v>
      </c>
      <c r="K9" s="3">
        <f>VLOOKUP($A9,'SegEnds_NonXtal_BW#'!$A:$Z,8,FALSE)+VLOOKUP($A9,A:AL,10,FALSE)-50</f>
        <v>106</v>
      </c>
      <c r="L9" s="3">
        <f t="shared" si="18"/>
        <v>109</v>
      </c>
      <c r="M9" s="3">
        <v>110</v>
      </c>
      <c r="N9" s="3">
        <f t="shared" si="19"/>
        <v>112</v>
      </c>
      <c r="O9" s="3">
        <f t="shared" si="20"/>
        <v>113</v>
      </c>
      <c r="P9" s="3">
        <v>142</v>
      </c>
      <c r="Q9" s="3">
        <f>VLOOKUP($A9,'SegEnds_NonXtal_BW#'!$A:$Z,12,FALSE)+VLOOKUP($A9,A:AL,16,FALSE)-50</f>
        <v>148</v>
      </c>
      <c r="R9" s="3">
        <f>IF(ISERROR(VLOOKUP($A9,'SegEnds_NonXtal_BW#'!$A:$Z,13,FALSE)+VLOOKUP($A9,A:AL,19,FALSE)-50),"-",VLOOKUP($A9,'SegEnds_NonXtal_BW#'!$A:$Z,13,FALSE)+VLOOKUP($A9,A:AL,19,FALSE)-50)</f>
        <v>149</v>
      </c>
      <c r="S9" s="3">
        <v>149</v>
      </c>
      <c r="T9" s="100">
        <f>IF(ISERROR(VLOOKUP($A9,'SegEnds_NonXtal_BW#'!$A:$Z,14,FALSE)+VLOOKUP($A9,A:AL,19,FALSE)-50),"-",(VLOOKUP($A9,'SegEnds_NonXtal_BW#'!$A:$Z,14,FALSE)+VLOOKUP($A9,A:AL,19,FALSE)-50))</f>
        <v>155</v>
      </c>
      <c r="U9" s="9">
        <f>IF(ISERROR(VLOOKUP($A9,'SegEnds_NonXtal_BW#'!$A:$Z,15,FALSE)+VLOOKUP($A9,A:AL,22,FALSE)-50),"-",VLOOKUP($A9,'SegEnds_NonXtal_BW#'!$A:$Z,15,FALSE)+VLOOKUP($A9,A:AL,22,FALSE)-50)</f>
        <v>156</v>
      </c>
      <c r="V9" s="3">
        <v>168</v>
      </c>
      <c r="W9" s="3">
        <f>IF(ISERROR(VLOOKUP($A9,'SegEnds_NonXtal_BW#'!$A:$Z,16,FALSE)+VLOOKUP($A9,A:AL,22,FALSE)-50),"-",(VLOOKUP($A9,'SegEnds_NonXtal_BW#'!$A:$Z,16,FALSE)+VLOOKUP($A9,A:AL,22,FALSE)-50))</f>
        <v>182</v>
      </c>
      <c r="X9" s="3">
        <f>IF(ISERROR(VLOOKUP($A9,'SegEnds_NonXtal_BW#'!$A:$Z,17,FALSE)+VLOOKUP($A9,A:AL,25,FALSE)-50),"-",(VLOOKUP($A9,'SegEnds_NonXtal_BW#'!$A:$Z,17,FALSE)+VLOOKUP($A9,A:AL,25,FALSE)-50))</f>
        <v>195</v>
      </c>
      <c r="Y9" s="3">
        <v>195</v>
      </c>
      <c r="Z9" s="3">
        <f t="shared" si="1"/>
        <v>197</v>
      </c>
      <c r="AA9" s="3">
        <f>IF(ISERROR(VLOOKUP($A9,'SegEnds_NonXtal_BW#'!$A:$Z,19,FALSE)+VLOOKUP($A9,A:AL,28,FALSE)-50),"-",(VLOOKUP($A9,'SegEnds_NonXtal_BW#'!$A:$Z,19,FALSE)+VLOOKUP($A9,A:AL,28,FALSE)-50))</f>
        <v>203</v>
      </c>
      <c r="AB9" s="3">
        <v>223</v>
      </c>
      <c r="AC9" s="3">
        <f>IF(ISERROR((VLOOKUP($A9,'SegEnds_NonXtal_BW#'!$A:$Z,20,FALSE)+VLOOKUP($A9,A:AL,28,FALSE)-50)),"-",(VLOOKUP($A9,'SegEnds_NonXtal_BW#'!$A:$Z,20,FALSE)+VLOOKUP($A9,A:AL,28,FALSE)-50))</f>
        <v>241</v>
      </c>
      <c r="AD9" s="3">
        <f>IF(ISERROR(VLOOKUP($A9,'SegEnds_NonXtal_BW#'!$A:$Z,21,FALSE)+VLOOKUP($A9,A:AL,31,FALSE)-50),"-",(VLOOKUP($A9,'SegEnds_NonXtal_BW#'!$A:$Z,21,FALSE)+VLOOKUP($A9,A:AL,31,FALSE)-50))</f>
        <v>245</v>
      </c>
      <c r="AE9" s="3">
        <v>271</v>
      </c>
      <c r="AF9" s="3">
        <f>IF(ISERROR((VLOOKUP($A9,'SegEnds_NonXtal_BW#'!$A:$Z,22,FALSE)+VLOOKUP($A9,A:AL,31,FALSE)-50)),"-",(VLOOKUP($A9,'SegEnds_NonXtal_BW#'!$A:$Z,22,FALSE)+VLOOKUP($A9,A:AL,31,FALSE)-50))</f>
        <v>285</v>
      </c>
      <c r="AG9" s="3">
        <f>IF(ISERROR(VLOOKUP($A9,'SegEnds_NonXtal_BW#'!$A:$Z,23,FALSE)+VLOOKUP($A9,A:AL,34,FALSE)-50),"-",(VLOOKUP($A9,'SegEnds_NonXtal_BW#'!$A:$Z,23,FALSE)+VLOOKUP($A9,A:AL,34,FALSE)-50))</f>
        <v>289</v>
      </c>
      <c r="AH9" s="3">
        <v>315</v>
      </c>
      <c r="AI9" s="3">
        <f>IF(ISERROR((VLOOKUP($A9,'SegEnds_NonXtal_BW#'!$A:$Z,24,FALSE)+VLOOKUP($A9,A:AL,34,FALSE)-50)),"-",(VLOOKUP($A9,'SegEnds_NonXtal_BW#'!$A:$Z,24,FALSE)+VLOOKUP($A9,A:AL,34,FALSE)-50))</f>
        <v>321</v>
      </c>
      <c r="AJ9" s="3">
        <f>IF(ISERROR(VLOOKUP($A9,'SegEnds_NonXtal_BW#'!$A:$Z,25,FALSE)+VLOOKUP($A9,A:AL,37,FALSE)-50),"-",(VLOOKUP($A9,'SegEnds_NonXtal_BW#'!$A:$Z,25,FALSE)+VLOOKUP($A9,A:AL,37,FALSE)-50))</f>
        <v>322</v>
      </c>
      <c r="AK9" s="3">
        <v>325</v>
      </c>
      <c r="AL9" s="3">
        <f>IF(ISERROR((VLOOKUP($A9,'SegEnds_NonXtal_BW#'!$A:$Z,26,FALSE)+VLOOKUP($A9,A:AL,37,FALSE)-50)),"-",(VLOOKUP($A9,'SegEnds_NonXtal_BW#'!$A:$Z,26,FALSE)+VLOOKUP($A9,A:AL,37,FALSE)-50))</f>
        <v>336</v>
      </c>
      <c r="AM9" s="28" t="str">
        <f>VLOOKUP(A9,Classification!A:B,2,FALSE)</f>
        <v>A</v>
      </c>
      <c r="AN9" s="28" t="b">
        <f t="shared" si="17"/>
        <v>1</v>
      </c>
      <c r="AO9" s="3" t="str">
        <f>IF(ISERROR(MATCH(A9,'SegEnds_Xtal_Prot#'!B:B, 0)), "NoXtal", "Xtal")</f>
        <v>Xtal</v>
      </c>
      <c r="AP9" s="3" t="str">
        <f t="shared" si="2"/>
        <v>-</v>
      </c>
      <c r="AQ9" s="3" t="str">
        <f t="shared" si="3"/>
        <v>-</v>
      </c>
      <c r="AR9" s="3">
        <f t="shared" si="4"/>
        <v>3</v>
      </c>
      <c r="AS9" s="3">
        <f t="shared" si="5"/>
        <v>1</v>
      </c>
      <c r="AT9" s="3">
        <f t="shared" si="6"/>
        <v>1</v>
      </c>
      <c r="AU9" s="3">
        <f t="shared" si="7"/>
        <v>1</v>
      </c>
      <c r="AV9" s="3">
        <f t="shared" si="8"/>
        <v>13</v>
      </c>
      <c r="AW9" s="3">
        <f t="shared" si="9"/>
        <v>6</v>
      </c>
      <c r="AX9" s="3">
        <f t="shared" si="10"/>
        <v>4</v>
      </c>
      <c r="AY9" s="3">
        <f t="shared" si="11"/>
        <v>4</v>
      </c>
      <c r="AZ9" s="3">
        <f t="shared" si="12"/>
        <v>1</v>
      </c>
      <c r="BA9" s="3">
        <f>IF(ISERROR(LEN(VLOOKUP(A9,Seqs!A:E,2,FALSE))-AL9),"-",LEN(VLOOKUP(A9,Seqs!A:E,2,FALSE))-AL9)</f>
        <v>27</v>
      </c>
      <c r="BB9" s="16">
        <f t="shared" si="13"/>
        <v>28</v>
      </c>
      <c r="BC9" s="9">
        <f t="shared" si="14"/>
        <v>19</v>
      </c>
      <c r="BD9" s="3">
        <f t="shared" si="15"/>
        <v>28</v>
      </c>
      <c r="BE9" s="3">
        <f t="shared" si="16"/>
        <v>48</v>
      </c>
      <c r="BF9" s="3">
        <f>AH9-AE9</f>
        <v>44</v>
      </c>
    </row>
    <row r="10" spans="1:59" s="3" customFormat="1" x14ac:dyDescent="0.2">
      <c r="A10" s="3" t="s">
        <v>185</v>
      </c>
      <c r="B10" s="3" t="str">
        <f>LOWER(VLOOKUP(A10,Xtal_Templ!A:B,2,FALSE))</f>
        <v>ccr2_human</v>
      </c>
      <c r="C10" s="3">
        <f>VLOOKUP($A10,'SegEnds_NonXtal_BW#'!$A:$Z,3,FALSE)+D10-50</f>
        <v>34</v>
      </c>
      <c r="D10" s="3">
        <v>57</v>
      </c>
      <c r="E10" s="3">
        <f>IF(ISERROR(VLOOKUP($A10,'SegEnds_NonXtal_BW#'!$A:$Z,4,FALSE)+VLOOKUP($A10,A:AL,4,FALSE)-50),"-",(VLOOKUP($A10,'SegEnds_NonXtal_BW#'!$A:$Z,4,FALSE)+VLOOKUP($A10,A:AL,4,FALSE)-50))</f>
        <v>67</v>
      </c>
      <c r="F10" s="3">
        <f>G10-2</f>
        <v>68</v>
      </c>
      <c r="G10" s="3">
        <v>70</v>
      </c>
      <c r="H10" s="3">
        <f>G10+1</f>
        <v>71</v>
      </c>
      <c r="I10" s="3">
        <f>H10+1</f>
        <v>72</v>
      </c>
      <c r="J10" s="3">
        <v>85</v>
      </c>
      <c r="K10" s="3">
        <f>VLOOKUP($A10,'SegEnds_NonXtal_BW#'!$A:$Z,8,FALSE)+VLOOKUP($A10,A:AL,10,FALSE)-50</f>
        <v>101</v>
      </c>
      <c r="L10" s="3">
        <f t="shared" si="18"/>
        <v>102</v>
      </c>
      <c r="M10" s="3">
        <v>103</v>
      </c>
      <c r="N10" s="3">
        <f t="shared" si="19"/>
        <v>105</v>
      </c>
      <c r="O10" s="3">
        <f t="shared" si="20"/>
        <v>106</v>
      </c>
      <c r="P10" s="3">
        <v>135</v>
      </c>
      <c r="Q10" s="3">
        <f>VLOOKUP($A10,'SegEnds_NonXtal_BW#'!$A:$Z,12,FALSE)+VLOOKUP($A10,A:AL,16,FALSE)-50</f>
        <v>141</v>
      </c>
      <c r="R10" s="3">
        <f>IF(ISERROR(VLOOKUP($A10,'SegEnds_NonXtal_BW#'!$A:$Z,13,FALSE)+VLOOKUP($A10,A:AL,19,FALSE)-50),"-",VLOOKUP($A10,'SegEnds_NonXtal_BW#'!$A:$Z,13,FALSE)+VLOOKUP($A10,A:AL,19,FALSE)-50)</f>
        <v>142</v>
      </c>
      <c r="S10" s="3">
        <v>142</v>
      </c>
      <c r="T10" s="100">
        <f>IF(ISERROR(VLOOKUP($A10,'SegEnds_NonXtal_BW#'!$A:$Z,14,FALSE)+VLOOKUP($A10,A:AL,19,FALSE)-50),"-",(VLOOKUP($A10,'SegEnds_NonXtal_BW#'!$A:$Z,14,FALSE)+VLOOKUP($A10,A:AL,19,FALSE)-50))</f>
        <v>148</v>
      </c>
      <c r="U10" s="9">
        <f>IF(ISERROR(VLOOKUP($A10,'SegEnds_NonXtal_BW#'!$A:$Z,15,FALSE)+VLOOKUP($A10,A:AL,22,FALSE)-50),"-",VLOOKUP($A10,'SegEnds_NonXtal_BW#'!$A:$Z,15,FALSE)+VLOOKUP($A10,A:AL,22,FALSE)-50)</f>
        <v>149</v>
      </c>
      <c r="V10" s="3">
        <v>161</v>
      </c>
      <c r="W10" s="3">
        <f>IF(ISERROR(VLOOKUP($A10,'SegEnds_NonXtal_BW#'!$A:$Z,16,FALSE)+VLOOKUP($A10,A:AL,22,FALSE)-50),"-",(VLOOKUP($A10,'SegEnds_NonXtal_BW#'!$A:$Z,16,FALSE)+VLOOKUP($A10,A:AL,22,FALSE)-50))</f>
        <v>175</v>
      </c>
      <c r="X10" s="3">
        <f>IF(ISERROR(VLOOKUP($A10,'SegEnds_NonXtal_BW#'!$A:$Z,17,FALSE)+VLOOKUP($A10,A:AL,25,FALSE)-50),"-",(VLOOKUP($A10,'SegEnds_NonXtal_BW#'!$A:$Z,17,FALSE)+VLOOKUP($A10,A:AL,25,FALSE)-50))</f>
        <v>187</v>
      </c>
      <c r="Y10" s="3">
        <v>187</v>
      </c>
      <c r="Z10" s="3">
        <f t="shared" si="1"/>
        <v>189</v>
      </c>
      <c r="AA10" s="3">
        <f>IF(ISERROR(VLOOKUP($A10,'SegEnds_NonXtal_BW#'!$A:$Z,19,FALSE)+VLOOKUP($A10,A:AL,28,FALSE)-50),"-",(VLOOKUP($A10,'SegEnds_NonXtal_BW#'!$A:$Z,19,FALSE)+VLOOKUP($A10,A:AL,28,FALSE)-50))</f>
        <v>195</v>
      </c>
      <c r="AB10" s="3">
        <v>214</v>
      </c>
      <c r="AC10" s="3">
        <f>IF(ISERROR((VLOOKUP($A10,'SegEnds_NonXtal_BW#'!$A:$Z,20,FALSE)+VLOOKUP($A10,A:AL,28,FALSE)-50)),"-",(VLOOKUP($A10,'SegEnds_NonXtal_BW#'!$A:$Z,20,FALSE)+VLOOKUP($A10,A:AL,28,FALSE)-50))</f>
        <v>232</v>
      </c>
      <c r="AD10" s="3">
        <f>IF(ISERROR(VLOOKUP($A10,'SegEnds_NonXtal_BW#'!$A:$Z,21,FALSE)+VLOOKUP($A10,A:AL,31,FALSE)-50),"-",(VLOOKUP($A10,'SegEnds_NonXtal_BW#'!$A:$Z,21,FALSE)+VLOOKUP($A10,A:AL,31,FALSE)-50))</f>
        <v>237</v>
      </c>
      <c r="AE10" s="3">
        <v>257</v>
      </c>
      <c r="AF10" s="3">
        <f>IF(ISERROR((VLOOKUP($A10,'SegEnds_NonXtal_BW#'!$A:$Z,22,FALSE)+VLOOKUP($A10,A:AL,31,FALSE)-50)),"-",(VLOOKUP($A10,'SegEnds_NonXtal_BW#'!$A:$Z,22,FALSE)+VLOOKUP($A10,A:AL,31,FALSE)-50))</f>
        <v>271</v>
      </c>
      <c r="AG10" s="3">
        <f>IF(ISERROR(VLOOKUP($A10,'SegEnds_NonXtal_BW#'!$A:$Z,23,FALSE)+VLOOKUP($A10,A:AL,34,FALSE)-50),"-",(VLOOKUP($A10,'SegEnds_NonXtal_BW#'!$A:$Z,23,FALSE)+VLOOKUP($A10,A:AL,34,FALSE)-50))</f>
        <v>276</v>
      </c>
      <c r="AH10" s="3">
        <v>302</v>
      </c>
      <c r="AI10" s="3">
        <f>IF(ISERROR((VLOOKUP($A10,'SegEnds_NonXtal_BW#'!$A:$Z,24,FALSE)+VLOOKUP($A10,A:AL,34,FALSE)-50)),"-",(VLOOKUP($A10,'SegEnds_NonXtal_BW#'!$A:$Z,24,FALSE)+VLOOKUP($A10,A:AL,34,FALSE)-50))</f>
        <v>308</v>
      </c>
      <c r="AJ10" s="3">
        <f>IF(ISERROR(VLOOKUP($A10,'SegEnds_NonXtal_BW#'!$A:$Z,25,FALSE)+VLOOKUP($A10,A:AL,37,FALSE)-50),"-",(VLOOKUP($A10,'SegEnds_NonXtal_BW#'!$A:$Z,25,FALSE)+VLOOKUP($A10,A:AL,37,FALSE)-50))</f>
        <v>309</v>
      </c>
      <c r="AK10" s="3">
        <v>312</v>
      </c>
      <c r="AL10" s="3">
        <f>IF(ISERROR((VLOOKUP($A10,'SegEnds_NonXtal_BW#'!$A:$Z,26,FALSE)+VLOOKUP($A10,A:AL,37,FALSE)-50)),"-",(VLOOKUP($A10,'SegEnds_NonXtal_BW#'!$A:$Z,26,FALSE)+VLOOKUP($A10,A:AL,37,FALSE)-50))</f>
        <v>320</v>
      </c>
      <c r="AM10" s="28" t="str">
        <f>VLOOKUP(A10,Classification!A:B,2,FALSE)</f>
        <v>A</v>
      </c>
      <c r="AN10" s="28" t="b">
        <f t="shared" si="17"/>
        <v>1</v>
      </c>
      <c r="AO10" s="3" t="str">
        <f>IF(ISERROR(MATCH(A10,'SegEnds_Xtal_Prot#'!B:B, 0)), "NoXtal", "Xtal")</f>
        <v>NoXtal</v>
      </c>
      <c r="AP10" s="3">
        <f t="shared" si="2"/>
        <v>1</v>
      </c>
      <c r="AQ10" s="3">
        <f t="shared" si="3"/>
        <v>1</v>
      </c>
      <c r="AR10" s="3">
        <f t="shared" si="4"/>
        <v>1</v>
      </c>
      <c r="AS10" s="3">
        <f t="shared" si="5"/>
        <v>1</v>
      </c>
      <c r="AT10" s="3">
        <f t="shared" si="6"/>
        <v>1</v>
      </c>
      <c r="AU10" s="3">
        <f t="shared" si="7"/>
        <v>1</v>
      </c>
      <c r="AV10" s="3">
        <f t="shared" si="8"/>
        <v>12</v>
      </c>
      <c r="AW10" s="3">
        <f t="shared" si="9"/>
        <v>6</v>
      </c>
      <c r="AX10" s="3">
        <f t="shared" si="10"/>
        <v>5</v>
      </c>
      <c r="AY10" s="3">
        <f t="shared" si="11"/>
        <v>5</v>
      </c>
      <c r="AZ10" s="3">
        <f t="shared" si="12"/>
        <v>1</v>
      </c>
      <c r="BA10" s="3">
        <f>IF(ISERROR(LEN(VLOOKUP(A10,Seqs!A:E,2,FALSE))-AL10),"-",LEN(VLOOKUP(A10,Seqs!A:E,2,FALSE))-AL10)</f>
        <v>30</v>
      </c>
      <c r="BB10" s="16">
        <f t="shared" si="13"/>
        <v>28</v>
      </c>
      <c r="BC10" s="9">
        <f t="shared" si="14"/>
        <v>19</v>
      </c>
      <c r="BD10" s="3">
        <f t="shared" si="15"/>
        <v>28</v>
      </c>
      <c r="BE10" s="3">
        <f t="shared" si="16"/>
        <v>43</v>
      </c>
      <c r="BF10" s="3">
        <f>AH10-AE10</f>
        <v>45</v>
      </c>
    </row>
    <row r="11" spans="1:59" s="3" customFormat="1" x14ac:dyDescent="0.2">
      <c r="A11" s="3" t="s">
        <v>186</v>
      </c>
      <c r="B11" s="3" t="str">
        <f>LOWER(VLOOKUP(A11,Xtal_Templ!A:B,2,FALSE))</f>
        <v>ccr9_human</v>
      </c>
      <c r="C11" s="3">
        <f>VLOOKUP($A11,'SegEnds_NonXtal_BW#'!$A:$Z,3,FALSE)+D11-50</f>
        <v>43</v>
      </c>
      <c r="D11" s="3">
        <v>66</v>
      </c>
      <c r="E11" s="3">
        <f>IF(ISERROR(VLOOKUP($A11,'SegEnds_NonXtal_BW#'!$A:$Z,4,FALSE)+VLOOKUP($A11,A:AL,4,FALSE)-50),"-",(VLOOKUP($A11,'SegEnds_NonXtal_BW#'!$A:$Z,4,FALSE)+VLOOKUP($A11,A:AL,4,FALSE)-50))</f>
        <v>76</v>
      </c>
      <c r="F11" s="3">
        <f>G11-2</f>
        <v>77</v>
      </c>
      <c r="G11" s="3">
        <v>79</v>
      </c>
      <c r="H11" s="3">
        <f>G11+1</f>
        <v>80</v>
      </c>
      <c r="I11" s="3">
        <f>H11+1</f>
        <v>81</v>
      </c>
      <c r="J11" s="3">
        <v>94</v>
      </c>
      <c r="K11" s="3">
        <f>VLOOKUP($A11,'SegEnds_NonXtal_BW#'!$A:$Z,8,FALSE)+VLOOKUP($A11,A:AL,10,FALSE)-50</f>
        <v>110</v>
      </c>
      <c r="L11" s="3">
        <f t="shared" si="18"/>
        <v>111</v>
      </c>
      <c r="M11" s="3">
        <v>112</v>
      </c>
      <c r="N11" s="3">
        <f t="shared" si="19"/>
        <v>114</v>
      </c>
      <c r="O11" s="3">
        <f t="shared" si="20"/>
        <v>115</v>
      </c>
      <c r="P11" s="3">
        <v>144</v>
      </c>
      <c r="Q11" s="3">
        <f>VLOOKUP($A11,'SegEnds_NonXtal_BW#'!$A:$Z,12,FALSE)+VLOOKUP($A11,A:AL,16,FALSE)-50</f>
        <v>150</v>
      </c>
      <c r="R11" s="3">
        <f>IF(ISERROR(VLOOKUP($A11,'SegEnds_NonXtal_BW#'!$A:$Z,13,FALSE)+VLOOKUP($A11,A:AL,19,FALSE)-50),"-",VLOOKUP($A11,'SegEnds_NonXtal_BW#'!$A:$Z,13,FALSE)+VLOOKUP($A11,A:AL,19,FALSE)-50)</f>
        <v>151</v>
      </c>
      <c r="S11" s="3">
        <v>151</v>
      </c>
      <c r="T11" s="100">
        <f>IF(ISERROR(VLOOKUP($A11,'SegEnds_NonXtal_BW#'!$A:$Z,14,FALSE)+VLOOKUP($A11,A:AL,19,FALSE)-50),"-",(VLOOKUP($A11,'SegEnds_NonXtal_BW#'!$A:$Z,14,FALSE)+VLOOKUP($A11,A:AL,19,FALSE)-50))</f>
        <v>157</v>
      </c>
      <c r="U11" s="9">
        <f>IF(ISERROR(VLOOKUP($A11,'SegEnds_NonXtal_BW#'!$A:$Z,15,FALSE)+VLOOKUP($A11,A:AL,22,FALSE)-50),"-",VLOOKUP($A11,'SegEnds_NonXtal_BW#'!$A:$Z,15,FALSE)+VLOOKUP($A11,A:AL,22,FALSE)-50)</f>
        <v>158</v>
      </c>
      <c r="V11" s="3">
        <v>170</v>
      </c>
      <c r="W11" s="3">
        <f>IF(ISERROR(VLOOKUP($A11,'SegEnds_NonXtal_BW#'!$A:$Z,16,FALSE)+VLOOKUP($A11,A:AL,22,FALSE)-50),"-",(VLOOKUP($A11,'SegEnds_NonXtal_BW#'!$A:$Z,16,FALSE)+VLOOKUP($A11,A:AL,22,FALSE)-50))</f>
        <v>184</v>
      </c>
      <c r="X11" s="3">
        <f>IF(ISERROR(VLOOKUP($A11,'SegEnds_NonXtal_BW#'!$A:$Z,17,FALSE)+VLOOKUP($A11,A:AL,25,FALSE)-50),"-",(VLOOKUP($A11,'SegEnds_NonXtal_BW#'!$A:$Z,17,FALSE)+VLOOKUP($A11,A:AL,25,FALSE)-50))</f>
        <v>196</v>
      </c>
      <c r="Y11" s="3">
        <v>196</v>
      </c>
      <c r="Z11" s="3">
        <f t="shared" si="1"/>
        <v>198</v>
      </c>
      <c r="AA11" s="3">
        <f>IF(ISERROR(VLOOKUP($A11,'SegEnds_NonXtal_BW#'!$A:$Z,19,FALSE)+VLOOKUP($A11,A:AL,28,FALSE)-50),"-",(VLOOKUP($A11,'SegEnds_NonXtal_BW#'!$A:$Z,19,FALSE)+VLOOKUP($A11,A:AL,28,FALSE)-50))</f>
        <v>206</v>
      </c>
      <c r="AB11" s="3">
        <v>223</v>
      </c>
      <c r="AC11" s="3">
        <f>IF(ISERROR((VLOOKUP($A11,'SegEnds_NonXtal_BW#'!$A:$Z,20,FALSE)+VLOOKUP($A11,A:AL,28,FALSE)-50)),"-",(VLOOKUP($A11,'SegEnds_NonXtal_BW#'!$A:$Z,20,FALSE)+VLOOKUP($A11,A:AL,28,FALSE)-50))</f>
        <v>241</v>
      </c>
      <c r="AD11" s="3">
        <f>IF(ISERROR(VLOOKUP($A11,'SegEnds_NonXtal_BW#'!$A:$Z,21,FALSE)+VLOOKUP($A11,A:AL,31,FALSE)-50),"-",(VLOOKUP($A11,'SegEnds_NonXtal_BW#'!$A:$Z,21,FALSE)+VLOOKUP($A11,A:AL,31,FALSE)-50))</f>
        <v>246</v>
      </c>
      <c r="AE11" s="3">
        <v>266</v>
      </c>
      <c r="AF11" s="3">
        <f>IF(ISERROR((VLOOKUP($A11,'SegEnds_NonXtal_BW#'!$A:$Z,22,FALSE)+VLOOKUP($A11,A:AL,31,FALSE)-50)),"-",(VLOOKUP($A11,'SegEnds_NonXtal_BW#'!$A:$Z,22,FALSE)+VLOOKUP($A11,A:AL,31,FALSE)-50))</f>
        <v>280</v>
      </c>
      <c r="AG11" s="3">
        <f>IF(ISERROR(VLOOKUP($A11,'SegEnds_NonXtal_BW#'!$A:$Z,23,FALSE)+VLOOKUP($A11,A:AL,34,FALSE)-50),"-",(VLOOKUP($A11,'SegEnds_NonXtal_BW#'!$A:$Z,23,FALSE)+VLOOKUP($A11,A:AL,34,FALSE)-50))</f>
        <v>285</v>
      </c>
      <c r="AH11" s="3">
        <v>311</v>
      </c>
      <c r="AI11" s="3">
        <f>IF(ISERROR((VLOOKUP($A11,'SegEnds_NonXtal_BW#'!$A:$Z,24,FALSE)+VLOOKUP($A11,A:AL,34,FALSE)-50)),"-",(VLOOKUP($A11,'SegEnds_NonXtal_BW#'!$A:$Z,24,FALSE)+VLOOKUP($A11,A:AL,34,FALSE)-50))</f>
        <v>317</v>
      </c>
      <c r="AJ11" s="3">
        <f>IF(ISERROR(VLOOKUP($A11,'SegEnds_NonXtal_BW#'!$A:$Z,25,FALSE)+VLOOKUP($A11,A:AL,37,FALSE)-50),"-",(VLOOKUP($A11,'SegEnds_NonXtal_BW#'!$A:$Z,25,FALSE)+VLOOKUP($A11,A:AL,37,FALSE)-50))</f>
        <v>318</v>
      </c>
      <c r="AK11" s="3">
        <v>321</v>
      </c>
      <c r="AL11" s="3">
        <f>IF(ISERROR((VLOOKUP($A11,'SegEnds_NonXtal_BW#'!$A:$Z,26,FALSE)+VLOOKUP($A11,A:AL,37,FALSE)-50)),"-",(VLOOKUP($A11,'SegEnds_NonXtal_BW#'!$A:$Z,26,FALSE)+VLOOKUP($A11,A:AL,37,FALSE)-50))</f>
        <v>338</v>
      </c>
      <c r="AM11" s="28" t="str">
        <f>VLOOKUP(A11,Classification!A:B,2,FALSE)</f>
        <v>A</v>
      </c>
      <c r="AN11" s="28" t="b">
        <f t="shared" si="17"/>
        <v>1</v>
      </c>
      <c r="AO11" s="3" t="str">
        <f>IF(ISERROR(MATCH(A11,'SegEnds_Xtal_Prot#'!B:B, 0)), "NoXtal", "Xtal")</f>
        <v>NoXtal</v>
      </c>
      <c r="AP11" s="3">
        <f t="shared" si="2"/>
        <v>1</v>
      </c>
      <c r="AQ11" s="3">
        <f t="shared" si="3"/>
        <v>1</v>
      </c>
      <c r="AR11" s="3">
        <f t="shared" si="4"/>
        <v>1</v>
      </c>
      <c r="AS11" s="3">
        <f t="shared" si="5"/>
        <v>1</v>
      </c>
      <c r="AT11" s="3">
        <f t="shared" si="6"/>
        <v>1</v>
      </c>
      <c r="AU11" s="3">
        <f t="shared" si="7"/>
        <v>1</v>
      </c>
      <c r="AV11" s="3">
        <f t="shared" si="8"/>
        <v>12</v>
      </c>
      <c r="AW11" s="3">
        <f t="shared" si="9"/>
        <v>8</v>
      </c>
      <c r="AX11" s="3">
        <f t="shared" si="10"/>
        <v>5</v>
      </c>
      <c r="AY11" s="3">
        <f t="shared" si="11"/>
        <v>5</v>
      </c>
      <c r="AZ11" s="3">
        <f t="shared" si="12"/>
        <v>1</v>
      </c>
      <c r="BA11" s="3">
        <f>IF(ISERROR(LEN(VLOOKUP(A11,Seqs!A:E,2,FALSE))-AL11),"-",LEN(VLOOKUP(A11,Seqs!A:E,2,FALSE))-AL11)</f>
        <v>22</v>
      </c>
      <c r="BB11" s="16">
        <f t="shared" si="13"/>
        <v>28</v>
      </c>
      <c r="BC11" s="9">
        <f t="shared" si="14"/>
        <v>19</v>
      </c>
      <c r="BD11" s="3">
        <f t="shared" si="15"/>
        <v>28</v>
      </c>
      <c r="BE11" s="3">
        <f t="shared" si="16"/>
        <v>43</v>
      </c>
    </row>
    <row r="12" spans="1:59" s="3" customFormat="1" x14ac:dyDescent="0.2">
      <c r="A12" s="3" t="s">
        <v>216</v>
      </c>
      <c r="B12" s="3" t="str">
        <f>LOWER(VLOOKUP(A12,Xtal_Templ!A:B,2,FALSE))</f>
        <v>5ht2c_human</v>
      </c>
      <c r="C12" s="3">
        <f>VLOOKUP($A12,'SegEnds_NonXtal_BW#'!$A:$Z,3,FALSE)+D12-50</f>
        <v>27</v>
      </c>
      <c r="D12" s="3">
        <v>44</v>
      </c>
      <c r="E12" s="3">
        <f>IF(ISERROR(VLOOKUP($A12,'SegEnds_NonXtal_BW#'!$A:$Z,4,FALSE)+VLOOKUP($A12,A:AL,4,FALSE)-50),"-",(VLOOKUP($A12,'SegEnds_NonXtal_BW#'!$A:$Z,4,FALSE)+VLOOKUP($A12,A:AL,4,FALSE)-50))</f>
        <v>54</v>
      </c>
      <c r="F12" s="3" t="str">
        <f>IF(ISERROR(VLOOKUP($A12,'SegEnds_NonXtal_BW#'!$A:$Z,5,FALSE)+VLOOKUP($A12,A:AL,7,FALSE)-50),"-",(VLOOKUP($A12,'SegEnds_NonXtal_BW#'!$A:$Z,5,FALSE)+VLOOKUP($A12,A:AL,7,FALSE)-50))</f>
        <v>-</v>
      </c>
      <c r="G12" s="3" t="s">
        <v>23</v>
      </c>
      <c r="H12" s="3" t="str">
        <f>IF(ISERROR(VLOOKUP($A12,'SegEnds_NonXtal_BW#'!$A:$Z,6,FALSE)+VLOOKUP($A12,A:AL,7,FALSE)-50),"-",(VLOOKUP($A12,'SegEnds_NonXtal_BW#'!$A:$Z,6,FALSE)+VLOOKUP($A12,A:AL,7,FALSE)-50))</f>
        <v>-</v>
      </c>
      <c r="I12" s="3">
        <f>VLOOKUP($A12,'SegEnds_NonXtal_BW#'!$A:$Z,7,FALSE)+J12-50</f>
        <v>60</v>
      </c>
      <c r="J12" s="3">
        <v>73</v>
      </c>
      <c r="K12" s="3">
        <f>VLOOKUP($A12,'SegEnds_NonXtal_BW#'!$A:$Z,8,FALSE)+VLOOKUP($A12,A:AL,10,FALSE)-50</f>
        <v>90</v>
      </c>
      <c r="L12" s="3" t="s">
        <v>23</v>
      </c>
      <c r="M12" s="3" t="s">
        <v>23</v>
      </c>
      <c r="N12" s="3" t="s">
        <v>23</v>
      </c>
      <c r="O12" s="3">
        <f>VLOOKUP($A12,'SegEnds_NonXtal_BW#'!$A:$Z,11,FALSE)+VLOOKUP($A12,A:AL,16,FALSE)-50</f>
        <v>94</v>
      </c>
      <c r="P12" s="3">
        <v>126</v>
      </c>
      <c r="Q12" s="3">
        <f>VLOOKUP($A12,'SegEnds_NonXtal_BW#'!$A:$Z,12,FALSE)+VLOOKUP($A12,A:AL,16,FALSE)-50</f>
        <v>132</v>
      </c>
      <c r="R12" s="3">
        <f>IF(ISERROR(VLOOKUP($A12,'SegEnds_NonXtal_BW#'!$A:$Z,13,FALSE)+VLOOKUP($A12,A:AL,19,FALSE)-50),"-",VLOOKUP($A12,'SegEnds_NonXtal_BW#'!$A:$Z,13,FALSE)+VLOOKUP($A12,A:AL,19,FALSE)-50)</f>
        <v>133</v>
      </c>
      <c r="S12" s="3">
        <v>133</v>
      </c>
      <c r="T12" s="100">
        <f>IF(ISERROR(VLOOKUP($A12,'SegEnds_NonXtal_BW#'!$A:$Z,14,FALSE)+VLOOKUP($A12,A:AL,19,FALSE)-50),"-",(VLOOKUP($A12,'SegEnds_NonXtal_BW#'!$A:$Z,14,FALSE)+VLOOKUP($A12,A:AL,19,FALSE)-50))</f>
        <v>139</v>
      </c>
      <c r="U12" s="9">
        <f>IF(ISERROR(VLOOKUP($A12,'SegEnds_NonXtal_BW#'!$A:$Z,15,FALSE)+VLOOKUP($A12,A:AL,22,FALSE)-50),"-",VLOOKUP($A12,'SegEnds_NonXtal_BW#'!$A:$Z,15,FALSE)+VLOOKUP($A12,A:AL,22,FALSE)-50)</f>
        <v>140</v>
      </c>
      <c r="V12" s="3">
        <v>152</v>
      </c>
      <c r="W12" s="3">
        <f>IF(ISERROR(VLOOKUP($A12,'SegEnds_NonXtal_BW#'!$A:$Z,16,FALSE)+VLOOKUP($A12,A:AL,22,FALSE)-50),"-",(VLOOKUP($A12,'SegEnds_NonXtal_BW#'!$A:$Z,16,FALSE)+VLOOKUP($A12,A:AL,22,FALSE)-50))</f>
        <v>169</v>
      </c>
      <c r="X12" s="3" t="str">
        <f>IF(ISERROR(VLOOKUP($A12,'SegEnds_NonXtal_BW#'!$A:$Z,17,FALSE)+VLOOKUP($A12,A:AL,25,FALSE)-50),"-",(VLOOKUP($A12,'SegEnds_NonXtal_BW#'!$A:$Z,17,FALSE)+VLOOKUP($A12,A:AL,25,FALSE)-50))</f>
        <v>-</v>
      </c>
      <c r="Y12" s="3" t="s">
        <v>23</v>
      </c>
      <c r="Z12" s="3" t="str">
        <f>IF(ISERROR(VLOOKUP($A12,'SegEnds_NonXtal_BW#'!$A:$Z,18,FALSE)+VLOOKUP($A12,A:AL,25,FALSE)-50),"-",(VLOOKUP($A12,'SegEnds_NonXtal_BW#'!$A:$Z,18,FALSE)+VLOOKUP($A12,A:AL,25,FALSE)-50))</f>
        <v>-</v>
      </c>
      <c r="AA12" s="3">
        <f>IF(ISERROR(VLOOKUP($A12,'SegEnds_NonXtal_BW#'!$A:$Z,19,FALSE)+VLOOKUP($A12,A:AL,28,FALSE)-50),"-",(VLOOKUP($A12,'SegEnds_NonXtal_BW#'!$A:$Z,19,FALSE)+VLOOKUP($A12,A:AL,28,FALSE)-50))</f>
        <v>180</v>
      </c>
      <c r="AB12" s="3">
        <v>195</v>
      </c>
      <c r="AC12" s="3">
        <f>IF(ISERROR((VLOOKUP($A12,'SegEnds_NonXtal_BW#'!$A:$Z,20,FALSE)+VLOOKUP($A12,A:AL,28,FALSE)-50)),"-",(VLOOKUP($A12,'SegEnds_NonXtal_BW#'!$A:$Z,20,FALSE)+VLOOKUP($A12,A:AL,28,FALSE)-50))</f>
        <v>213</v>
      </c>
      <c r="AD12" s="3">
        <f>IF(ISERROR(VLOOKUP($A12,'SegEnds_NonXtal_BW#'!$A:$Z,21,FALSE)+VLOOKUP($A12,A:AL,31,FALSE)-50),"-",(VLOOKUP($A12,'SegEnds_NonXtal_BW#'!$A:$Z,21,FALSE)+VLOOKUP($A12,A:AL,31,FALSE)-50))</f>
        <v>217</v>
      </c>
      <c r="AE12" s="3">
        <v>243</v>
      </c>
      <c r="AF12" s="3">
        <f>IF(ISERROR((VLOOKUP($A12,'SegEnds_NonXtal_BW#'!$A:$Z,22,FALSE)+VLOOKUP($A12,A:AL,31,FALSE)-50)),"-",(VLOOKUP($A12,'SegEnds_NonXtal_BW#'!$A:$Z,22,FALSE)+VLOOKUP($A12,A:AL,31,FALSE)-50))</f>
        <v>254</v>
      </c>
      <c r="AG12" s="3">
        <f>IF(ISERROR(VLOOKUP($A12,'SegEnds_NonXtal_BW#'!$A:$Z,23,FALSE)+VLOOKUP($A12,A:AL,34,FALSE)-50),"-",(VLOOKUP($A12,'SegEnds_NonXtal_BW#'!$A:$Z,23,FALSE)+VLOOKUP($A12,A:AL,34,FALSE)-50))</f>
        <v>259</v>
      </c>
      <c r="AH12" s="3">
        <v>282</v>
      </c>
      <c r="AI12" s="3">
        <f>IF(ISERROR((VLOOKUP($A12,'SegEnds_NonXtal_BW#'!$A:$Z,24,FALSE)+VLOOKUP($A12,A:AL,34,FALSE)-50)),"-",(VLOOKUP($A12,'SegEnds_NonXtal_BW#'!$A:$Z,24,FALSE)+VLOOKUP($A12,A:AL,34,FALSE)-50))</f>
        <v>288</v>
      </c>
      <c r="AJ12" s="3">
        <f>IF(ISERROR(VLOOKUP($A12,'SegEnds_NonXtal_BW#'!$A:$Z,25,FALSE)+VLOOKUP($A12,A:AL,37,FALSE)-50),"-",(VLOOKUP($A12,'SegEnds_NonXtal_BW#'!$A:$Z,25,FALSE)+VLOOKUP($A12,A:AL,37,FALSE)-50))</f>
        <v>289</v>
      </c>
      <c r="AK12" s="3">
        <v>292</v>
      </c>
      <c r="AL12" s="3">
        <f>IF(ISERROR((VLOOKUP($A12,'SegEnds_NonXtal_BW#'!$A:$Z,26,FALSE)+VLOOKUP($A12,A:AL,37,FALSE)-50)),"-",(VLOOKUP($A12,'SegEnds_NonXtal_BW#'!$A:$Z,26,FALSE)+VLOOKUP($A12,A:AL,37,FALSE)-50))</f>
        <v>302</v>
      </c>
      <c r="AM12" s="28" t="str">
        <f>VLOOKUP(A12,Classification!A:B,2,FALSE)</f>
        <v>A</v>
      </c>
      <c r="AN12" s="28" t="b">
        <f t="shared" si="17"/>
        <v>1</v>
      </c>
      <c r="AO12" s="3" t="str">
        <f>IF(ISERROR(MATCH(A12,'SegEnds_Xtal_Prot#'!B:B, 0)), "NoXtal", "Xtal")</f>
        <v>NoXtal</v>
      </c>
      <c r="AP12" s="3" t="str">
        <f t="shared" si="2"/>
        <v>-</v>
      </c>
      <c r="AQ12" s="3" t="str">
        <f t="shared" si="3"/>
        <v>-</v>
      </c>
      <c r="AR12" s="3" t="str">
        <f t="shared" si="4"/>
        <v>-</v>
      </c>
      <c r="AS12" s="3" t="str">
        <f t="shared" si="5"/>
        <v>-</v>
      </c>
      <c r="AT12" s="3">
        <f t="shared" si="6"/>
        <v>1</v>
      </c>
      <c r="AU12" s="3">
        <f t="shared" si="7"/>
        <v>1</v>
      </c>
      <c r="AV12" s="3" t="str">
        <f t="shared" si="8"/>
        <v>-</v>
      </c>
      <c r="AW12" s="3" t="str">
        <f t="shared" si="9"/>
        <v>-</v>
      </c>
      <c r="AX12" s="3">
        <f t="shared" si="10"/>
        <v>4</v>
      </c>
      <c r="AY12" s="3">
        <f t="shared" si="11"/>
        <v>5</v>
      </c>
      <c r="AZ12" s="3">
        <f t="shared" si="12"/>
        <v>1</v>
      </c>
      <c r="BA12" s="3">
        <f>IF(ISERROR(LEN(VLOOKUP(A12,Seqs!A:E,2,FALSE))-AL12),"-",LEN(VLOOKUP(A12,Seqs!A:E,2,FALSE))-AL12)</f>
        <v>51</v>
      </c>
      <c r="BB12" s="16">
        <f t="shared" si="13"/>
        <v>29</v>
      </c>
      <c r="BC12" s="9">
        <f t="shared" si="14"/>
        <v>19</v>
      </c>
      <c r="BD12" s="3">
        <f t="shared" si="15"/>
        <v>29</v>
      </c>
      <c r="BE12" s="3">
        <f t="shared" si="16"/>
        <v>48</v>
      </c>
    </row>
    <row r="13" spans="1:59" s="3" customFormat="1" x14ac:dyDescent="0.2">
      <c r="A13" s="3" t="s">
        <v>218</v>
      </c>
      <c r="B13" s="3" t="str">
        <f>LOWER(VLOOKUP(A13,Xtal_Templ!A:B,2,FALSE))</f>
        <v>5ht2a_human</v>
      </c>
      <c r="C13" s="3">
        <f>VLOOKUP($A13,'SegEnds_NonXtal_BW#'!$A:$Z,3,FALSE)+D13-50</f>
        <v>151</v>
      </c>
      <c r="D13" s="3">
        <v>174</v>
      </c>
      <c r="E13" s="3">
        <f>IF(ISERROR(VLOOKUP($A13,'SegEnds_NonXtal_BW#'!$A:$Z,4,FALSE)+VLOOKUP($A13,A:AL,4,FALSE)-50),"-",(VLOOKUP($A13,'SegEnds_NonXtal_BW#'!$A:$Z,4,FALSE)+VLOOKUP($A13,A:AL,4,FALSE)-50))</f>
        <v>184</v>
      </c>
      <c r="F13" s="3" t="str">
        <f>IF(ISERROR(VLOOKUP($A13,'SegEnds_NonXtal_BW#'!$A:$Z,5,FALSE)+VLOOKUP($A13,A:AL,7,FALSE)-50),"-",(VLOOKUP($A13,'SegEnds_NonXtal_BW#'!$A:$Z,5,FALSE)+VLOOKUP($A13,A:AL,7,FALSE)-50))</f>
        <v>-</v>
      </c>
      <c r="G13" s="3" t="s">
        <v>23</v>
      </c>
      <c r="H13" s="3" t="str">
        <f>IF(ISERROR(VLOOKUP($A13,'SegEnds_NonXtal_BW#'!$A:$Z,6,FALSE)+VLOOKUP($A13,A:AL,7,FALSE)-50),"-",(VLOOKUP($A13,'SegEnds_NonXtal_BW#'!$A:$Z,6,FALSE)+VLOOKUP($A13,A:AL,7,FALSE)-50))</f>
        <v>-</v>
      </c>
      <c r="I13" s="3">
        <f>VLOOKUP($A13,'SegEnds_NonXtal_BW#'!$A:$Z,7,FALSE)+J13-50</f>
        <v>190</v>
      </c>
      <c r="J13" s="3">
        <v>203</v>
      </c>
      <c r="K13" s="3">
        <f>VLOOKUP($A13,'SegEnds_NonXtal_BW#'!$A:$Z,8,FALSE)+VLOOKUP($A13,A:AL,10,FALSE)-50</f>
        <v>220</v>
      </c>
      <c r="L13" s="3" t="str">
        <f>IF(ISERROR(VLOOKUP($A13,'SegEnds_NonXtal_BW#'!$A:$Z,9,FALSE)+VLOOKUP($A13,A:AL,13,FALSE)-50),"-",(VLOOKUP($A13,'SegEnds_NonXtal_BW#'!$A:$Z,9,FALSE)+VLOOKUP($A13,A:AL,13,FALSE)-50))</f>
        <v>-</v>
      </c>
      <c r="M13" s="3" t="s">
        <v>23</v>
      </c>
      <c r="N13" s="3" t="str">
        <f>IF(ISERROR(VLOOKUP($A13,'SegEnds_NonXtal_BW#'!$A:$Z,10,FALSE)+VLOOKUP($A13,A:AL,13,FALSE)-50),"-",(VLOOKUP($A13,'SegEnds_NonXtal_BW#'!$A:$Z,10,FALSE)+VLOOKUP($A13,A:AL,13,FALSE)-50))</f>
        <v>-</v>
      </c>
      <c r="O13" s="3">
        <f>VLOOKUP($A13,'SegEnds_NonXtal_BW#'!$A:$Z,11,FALSE)+VLOOKUP($A13,A:AL,16,FALSE)-50</f>
        <v>224</v>
      </c>
      <c r="P13" s="3">
        <v>256</v>
      </c>
      <c r="Q13" s="3">
        <f>VLOOKUP($A13,'SegEnds_NonXtal_BW#'!$A:$Z,12,FALSE)+VLOOKUP($A13,A:AL,16,FALSE)-50</f>
        <v>262</v>
      </c>
      <c r="R13" s="3">
        <f>IF(ISERROR(VLOOKUP($A13,'SegEnds_NonXtal_BW#'!$A:$Z,13,FALSE)+VLOOKUP($A13,A:AL,19,FALSE)-50),"-",VLOOKUP($A13,'SegEnds_NonXtal_BW#'!$A:$Z,13,FALSE)+VLOOKUP($A13,A:AL,19,FALSE)-50)</f>
        <v>263</v>
      </c>
      <c r="S13" s="3">
        <v>263</v>
      </c>
      <c r="T13" s="100">
        <f>IF(ISERROR(VLOOKUP($A13,'SegEnds_NonXtal_BW#'!$A:$Z,14,FALSE)+VLOOKUP($A13,A:AL,19,FALSE)-50),"-",(VLOOKUP($A13,'SegEnds_NonXtal_BW#'!$A:$Z,14,FALSE)+VLOOKUP($A13,A:AL,19,FALSE)-50))</f>
        <v>269</v>
      </c>
      <c r="U13" s="9">
        <f>IF(ISERROR(VLOOKUP($A13,'SegEnds_NonXtal_BW#'!$A:$Z,15,FALSE)+VLOOKUP($A13,A:AL,22,FALSE)-50),"-",VLOOKUP($A13,'SegEnds_NonXtal_BW#'!$A:$Z,15,FALSE)+VLOOKUP($A13,A:AL,22,FALSE)-50)</f>
        <v>270</v>
      </c>
      <c r="V13" s="3">
        <v>282</v>
      </c>
      <c r="W13" s="3">
        <f>IF(ISERROR(VLOOKUP($A13,'SegEnds_NonXtal_BW#'!$A:$Z,16,FALSE)+VLOOKUP($A13,A:AL,22,FALSE)-50),"-",(VLOOKUP($A13,'SegEnds_NonXtal_BW#'!$A:$Z,16,FALSE)+VLOOKUP($A13,A:AL,22,FALSE)-50))</f>
        <v>299</v>
      </c>
      <c r="X13" s="3" t="str">
        <f>IF(ISERROR(VLOOKUP($A13,'SegEnds_NonXtal_BW#'!$A:$Z,17,FALSE)+VLOOKUP($A13,A:AL,25,FALSE)-50),"-",(VLOOKUP($A13,'SegEnds_NonXtal_BW#'!$A:$Z,17,FALSE)+VLOOKUP($A13,A:AL,25,FALSE)-50))</f>
        <v>-</v>
      </c>
      <c r="Y13" s="3" t="s">
        <v>23</v>
      </c>
      <c r="Z13" s="3" t="str">
        <f>IF(ISERROR(VLOOKUP($A13,'SegEnds_NonXtal_BW#'!$A:$Z,18,FALSE)+VLOOKUP($A13,A:AL,25,FALSE)-50),"-",(VLOOKUP($A13,'SegEnds_NonXtal_BW#'!$A:$Z,18,FALSE)+VLOOKUP($A13,A:AL,25,FALSE)-50))</f>
        <v>-</v>
      </c>
      <c r="AA13" s="3">
        <f>IF(ISERROR(VLOOKUP($A13,'SegEnds_NonXtal_BW#'!$A:$Z,19,FALSE)+VLOOKUP($A13,A:AL,28,FALSE)-50),"-",(VLOOKUP($A13,'SegEnds_NonXtal_BW#'!$A:$Z,19,FALSE)+VLOOKUP($A13,A:AL,28,FALSE)-50))</f>
        <v>310</v>
      </c>
      <c r="AB13" s="3">
        <v>325</v>
      </c>
      <c r="AC13" s="3">
        <f>IF(ISERROR((VLOOKUP($A13,'SegEnds_NonXtal_BW#'!$A:$Z,20,FALSE)+VLOOKUP($A13,A:AL,28,FALSE)-50)),"-",(VLOOKUP($A13,'SegEnds_NonXtal_BW#'!$A:$Z,20,FALSE)+VLOOKUP($A13,A:AL,28,FALSE)-50))</f>
        <v>342</v>
      </c>
      <c r="AD13" s="3">
        <f>IF(ISERROR(VLOOKUP($A13,'SegEnds_NonXtal_BW#'!$A:$Z,21,FALSE)+VLOOKUP($A13,A:AL,31,FALSE)-50),"-",(VLOOKUP($A13,'SegEnds_NonXtal_BW#'!$A:$Z,21,FALSE)+VLOOKUP($A13,A:AL,31,FALSE)-50))</f>
        <v>348</v>
      </c>
      <c r="AE13" s="3">
        <v>372</v>
      </c>
      <c r="AF13" s="3">
        <f>IF(ISERROR((VLOOKUP($A13,'SegEnds_NonXtal_BW#'!$A:$Z,22,FALSE)+VLOOKUP($A13,A:AL,31,FALSE)-50)),"-",(VLOOKUP($A13,'SegEnds_NonXtal_BW#'!$A:$Z,22,FALSE)+VLOOKUP($A13,A:AL,31,FALSE)-50))</f>
        <v>383</v>
      </c>
      <c r="AG13" s="3">
        <f>IF(ISERROR(VLOOKUP($A13,'SegEnds_NonXtal_BW#'!$A:$Z,23,FALSE)+VLOOKUP($A13,A:AL,34,FALSE)-50),"-",(VLOOKUP($A13,'SegEnds_NonXtal_BW#'!$A:$Z,23,FALSE)+VLOOKUP($A13,A:AL,34,FALSE)-50))</f>
        <v>388</v>
      </c>
      <c r="AH13" s="3">
        <v>411</v>
      </c>
      <c r="AI13" s="3">
        <f>IF(ISERROR((VLOOKUP($A13,'SegEnds_NonXtal_BW#'!$A:$Z,24,FALSE)+VLOOKUP($A13,A:AL,34,FALSE)-50)),"-",(VLOOKUP($A13,'SegEnds_NonXtal_BW#'!$A:$Z,24,FALSE)+VLOOKUP($A13,A:AL,34,FALSE)-50))</f>
        <v>417</v>
      </c>
      <c r="AJ13" s="3">
        <f>IF(ISERROR(VLOOKUP($A13,'SegEnds_NonXtal_BW#'!$A:$Z,25,FALSE)+VLOOKUP($A13,A:AL,37,FALSE)-50),"-",(VLOOKUP($A13,'SegEnds_NonXtal_BW#'!$A:$Z,25,FALSE)+VLOOKUP($A13,A:AL,37,FALSE)-50))</f>
        <v>418</v>
      </c>
      <c r="AK13" s="3">
        <v>421</v>
      </c>
      <c r="AL13" s="3">
        <f>IF(ISERROR((VLOOKUP($A13,'SegEnds_NonXtal_BW#'!$A:$Z,26,FALSE)+VLOOKUP($A13,A:AL,37,FALSE)-50)),"-",(VLOOKUP($A13,'SegEnds_NonXtal_BW#'!$A:$Z,26,FALSE)+VLOOKUP($A13,A:AL,37,FALSE)-50))</f>
        <v>431</v>
      </c>
      <c r="AM13" s="28" t="str">
        <f>VLOOKUP(A13,Classification!A:B,2,FALSE)</f>
        <v>A</v>
      </c>
      <c r="AN13" s="28" t="b">
        <f t="shared" si="17"/>
        <v>1</v>
      </c>
      <c r="AO13" s="3" t="str">
        <f>IF(ISERROR(MATCH(A13,'SegEnds_Xtal_Prot#'!B:B, 0)), "NoXtal", "Xtal")</f>
        <v>NoXtal</v>
      </c>
      <c r="AP13" s="3" t="str">
        <f t="shared" si="2"/>
        <v>-</v>
      </c>
      <c r="AQ13" s="3" t="str">
        <f t="shared" si="3"/>
        <v>-</v>
      </c>
      <c r="AR13" s="3" t="str">
        <f t="shared" si="4"/>
        <v>-</v>
      </c>
      <c r="AS13" s="3" t="str">
        <f t="shared" si="5"/>
        <v>-</v>
      </c>
      <c r="AT13" s="3">
        <f t="shared" si="6"/>
        <v>1</v>
      </c>
      <c r="AU13" s="3">
        <f t="shared" si="7"/>
        <v>1</v>
      </c>
      <c r="AV13" s="3" t="str">
        <f t="shared" si="8"/>
        <v>-</v>
      </c>
      <c r="AW13" s="3" t="str">
        <f t="shared" si="9"/>
        <v>-</v>
      </c>
      <c r="AX13" s="3">
        <f t="shared" si="10"/>
        <v>6</v>
      </c>
      <c r="AY13" s="3">
        <f t="shared" si="11"/>
        <v>5</v>
      </c>
      <c r="AZ13" s="3">
        <f t="shared" si="12"/>
        <v>1</v>
      </c>
      <c r="BA13" s="3">
        <f>IF(ISERROR(LEN(VLOOKUP(A13,Seqs!A:E,2,FALSE))-AL13),"-",LEN(VLOOKUP(A13,Seqs!A:E,2,FALSE))-AL13)</f>
        <v>31</v>
      </c>
      <c r="BB13" s="16">
        <f t="shared" si="13"/>
        <v>29</v>
      </c>
      <c r="BC13" s="9">
        <f t="shared" si="14"/>
        <v>19</v>
      </c>
      <c r="BD13" s="3">
        <f t="shared" si="15"/>
        <v>29</v>
      </c>
      <c r="BE13" s="3">
        <f t="shared" si="16"/>
        <v>47</v>
      </c>
    </row>
    <row r="14" spans="1:59" s="3" customFormat="1" x14ac:dyDescent="0.2">
      <c r="A14" s="3" t="s">
        <v>223</v>
      </c>
      <c r="B14" s="3" t="str">
        <f>LOWER(VLOOKUP(A14,Xtal_Templ!A:B,2,FALSE))</f>
        <v>agtr2_human</v>
      </c>
      <c r="C14" s="3">
        <f>VLOOKUP($A14,'SegEnds_NonXtal_BW#'!$A:$Z,3,FALSE)+D14-50</f>
        <v>37</v>
      </c>
      <c r="D14" s="3">
        <v>54</v>
      </c>
      <c r="E14" s="3">
        <f>IF(ISERROR(VLOOKUP($A14,'SegEnds_NonXtal_BW#'!$A:$Z,4,FALSE)+VLOOKUP($A14,A:AL,4,FALSE)-50),"-",(VLOOKUP($A14,'SegEnds_NonXtal_BW#'!$A:$Z,4,FALSE)+VLOOKUP($A14,A:AL,4,FALSE)-50))</f>
        <v>64</v>
      </c>
      <c r="F14" s="3" t="str">
        <f>IF(ISERROR(VLOOKUP($A14,'SegEnds_NonXtal_BW#'!$A:$Z,5,FALSE)+VLOOKUP($A14,A:AL,7,FALSE)-50),"-",(VLOOKUP($A14,'SegEnds_NonXtal_BW#'!$A:$Z,5,FALSE)+VLOOKUP($A14,A:AL,7,FALSE)-50))</f>
        <v>-</v>
      </c>
      <c r="G14" s="3" t="s">
        <v>23</v>
      </c>
      <c r="H14" s="3" t="str">
        <f>IF(ISERROR(VLOOKUP($A14,'SegEnds_NonXtal_BW#'!$A:$Z,6,FALSE)+VLOOKUP($A14,A:AL,7,FALSE)-50),"-",(VLOOKUP($A14,'SegEnds_NonXtal_BW#'!$A:$Z,6,FALSE)+VLOOKUP($A14,A:AL,7,FALSE)-50))</f>
        <v>-</v>
      </c>
      <c r="I14" s="3">
        <f>VLOOKUP($A14,'SegEnds_NonXtal_BW#'!$A:$Z,7,FALSE)+J14-50</f>
        <v>71</v>
      </c>
      <c r="J14" s="3">
        <v>84</v>
      </c>
      <c r="K14" s="3">
        <f>VLOOKUP($A14,'SegEnds_NonXtal_BW#'!$A:$Z,8,FALSE)+VLOOKUP($A14,A:AL,10,FALSE)-50</f>
        <v>100</v>
      </c>
      <c r="L14" s="3">
        <f>M14-1</f>
        <v>103</v>
      </c>
      <c r="M14" s="3">
        <v>104</v>
      </c>
      <c r="N14" s="3">
        <f>M14+2</f>
        <v>106</v>
      </c>
      <c r="O14" s="3">
        <f t="shared" ref="O14:O28" si="22">N14+1</f>
        <v>107</v>
      </c>
      <c r="P14" s="3">
        <v>136</v>
      </c>
      <c r="Q14" s="3">
        <f>VLOOKUP($A14,'SegEnds_NonXtal_BW#'!$A:$Z,12,FALSE)+VLOOKUP($A14,A:AL,16,FALSE)-50</f>
        <v>142</v>
      </c>
      <c r="R14" s="3">
        <f>IF(ISERROR(VLOOKUP($A14,'SegEnds_NonXtal_BW#'!$A:$Z,13,FALSE)+VLOOKUP($A14,A:AL,19,FALSE)-50),"-",VLOOKUP($A14,'SegEnds_NonXtal_BW#'!$A:$Z,13,FALSE)+VLOOKUP($A14,A:AL,19,FALSE)-50)</f>
        <v>143</v>
      </c>
      <c r="S14" s="3">
        <v>143</v>
      </c>
      <c r="T14" s="100">
        <f>IF(ISERROR(VLOOKUP($A14,'SegEnds_NonXtal_BW#'!$A:$Z,14,FALSE)+VLOOKUP($A14,A:AL,19,FALSE)-50),"-",(VLOOKUP($A14,'SegEnds_NonXtal_BW#'!$A:$Z,14,FALSE)+VLOOKUP($A14,A:AL,19,FALSE)-50))</f>
        <v>149</v>
      </c>
      <c r="U14" s="9">
        <f>IF(ISERROR(VLOOKUP($A14,'SegEnds_NonXtal_BW#'!$A:$Z,15,FALSE)+VLOOKUP($A14,A:AL,22,FALSE)-50),"-",VLOOKUP($A14,'SegEnds_NonXtal_BW#'!$A:$Z,15,FALSE)+VLOOKUP($A14,A:AL,22,FALSE)-50)</f>
        <v>150</v>
      </c>
      <c r="V14" s="3">
        <v>162</v>
      </c>
      <c r="W14" s="3">
        <f>IF(ISERROR(VLOOKUP($A14,'SegEnds_NonXtal_BW#'!$A:$Z,16,FALSE)+VLOOKUP($A14,A:AL,22,FALSE)-50),"-",(VLOOKUP($A14,'SegEnds_NonXtal_BW#'!$A:$Z,16,FALSE)+VLOOKUP($A14,A:AL,22,FALSE)-50))</f>
        <v>176</v>
      </c>
      <c r="X14" s="3">
        <f>IF(ISERROR(VLOOKUP($A14,'SegEnds_NonXtal_BW#'!$A:$Z,17,FALSE)+VLOOKUP($A14,A:AL,25,FALSE)-50),"-",(VLOOKUP($A14,'SegEnds_NonXtal_BW#'!$A:$Z,17,FALSE)+VLOOKUP($A14,A:AL,25,FALSE)-50))</f>
        <v>187</v>
      </c>
      <c r="Y14" s="3">
        <v>187</v>
      </c>
      <c r="Z14" s="3">
        <f>Y14+2</f>
        <v>189</v>
      </c>
      <c r="AA14" s="3">
        <f>IF(ISERROR(VLOOKUP($A14,'SegEnds_NonXtal_BW#'!$A:$Z,19,FALSE)+VLOOKUP($A14,A:AL,28,FALSE)-50),"-",(VLOOKUP($A14,'SegEnds_NonXtal_BW#'!$A:$Z,19,FALSE)+VLOOKUP($A14,A:AL,28,FALSE)-50))</f>
        <v>194</v>
      </c>
      <c r="AB14" s="3">
        <v>214</v>
      </c>
      <c r="AC14" s="3">
        <f>IF(ISERROR((VLOOKUP($A14,'SegEnds_NonXtal_BW#'!$A:$Z,20,FALSE)+VLOOKUP($A14,A:AL,28,FALSE)-50)),"-",(VLOOKUP($A14,'SegEnds_NonXtal_BW#'!$A:$Z,20,FALSE)+VLOOKUP($A14,A:AL,28,FALSE)-50))</f>
        <v>232</v>
      </c>
      <c r="AD14" s="3">
        <f>IF(ISERROR(VLOOKUP($A14,'SegEnds_NonXtal_BW#'!$A:$Z,21,FALSE)+VLOOKUP($A14,A:AL,31,FALSE)-50),"-",(VLOOKUP($A14,'SegEnds_NonXtal_BW#'!$A:$Z,21,FALSE)+VLOOKUP($A14,A:AL,31,FALSE)-50))</f>
        <v>238</v>
      </c>
      <c r="AE14" s="3">
        <v>265</v>
      </c>
      <c r="AF14" s="3">
        <f>IF(ISERROR((VLOOKUP($A14,'SegEnds_NonXtal_BW#'!$A:$Z,22,FALSE)+VLOOKUP($A14,A:AL,31,FALSE)-50)),"-",(VLOOKUP($A14,'SegEnds_NonXtal_BW#'!$A:$Z,22,FALSE)+VLOOKUP($A14,A:AL,31,FALSE)-50))</f>
        <v>276</v>
      </c>
      <c r="AG14" s="3">
        <f>IF(ISERROR(VLOOKUP($A14,'SegEnds_NonXtal_BW#'!$A:$Z,23,FALSE)+VLOOKUP($A14,A:AL,34,FALSE)-50),"-",(VLOOKUP($A14,'SegEnds_NonXtal_BW#'!$A:$Z,23,FALSE)+VLOOKUP($A14,A:AL,34,FALSE)-50))</f>
        <v>278</v>
      </c>
      <c r="AH14" s="3">
        <v>303</v>
      </c>
      <c r="AI14" s="3">
        <f>IF(ISERROR((VLOOKUP($A14,'SegEnds_NonXtal_BW#'!$A:$Z,24,FALSE)+VLOOKUP($A14,A:AL,34,FALSE)-50)),"-",(VLOOKUP($A14,'SegEnds_NonXtal_BW#'!$A:$Z,24,FALSE)+VLOOKUP($A14,A:AL,34,FALSE)-50))</f>
        <v>309</v>
      </c>
      <c r="AJ14" s="3">
        <f>IF(ISERROR(VLOOKUP($A14,'SegEnds_NonXtal_BW#'!$A:$Z,25,FALSE)+VLOOKUP($A14,A:AL,37,FALSE)-50),"-",(VLOOKUP($A14,'SegEnds_NonXtal_BW#'!$A:$Z,25,FALSE)+VLOOKUP($A14,A:AL,37,FALSE)-50))</f>
        <v>310</v>
      </c>
      <c r="AK14" s="3">
        <v>313</v>
      </c>
      <c r="AL14" s="3">
        <f>IF(ISERROR((VLOOKUP($A14,'SegEnds_NonXtal_BW#'!$A:$Z,26,FALSE)+VLOOKUP($A14,A:AL,37,FALSE)-50)),"-",(VLOOKUP($A14,'SegEnds_NonXtal_BW#'!$A:$Z,26,FALSE)+VLOOKUP($A14,A:AL,37,FALSE)-50))</f>
        <v>324</v>
      </c>
      <c r="AM14" s="28" t="str">
        <f>VLOOKUP(A14,Classification!A:B,2,FALSE)</f>
        <v>A</v>
      </c>
      <c r="AN14" s="28" t="b">
        <f t="shared" si="17"/>
        <v>1</v>
      </c>
      <c r="AO14" s="3" t="str">
        <f>IF(ISERROR(MATCH(A14,'SegEnds_Xtal_Prot#'!B:B, 0)), "NoXtal", "Xtal")</f>
        <v>NoXtal</v>
      </c>
      <c r="AP14" s="3" t="str">
        <f t="shared" si="2"/>
        <v>-</v>
      </c>
      <c r="AQ14" s="3" t="str">
        <f t="shared" si="3"/>
        <v>-</v>
      </c>
      <c r="AR14" s="3">
        <f t="shared" si="4"/>
        <v>3</v>
      </c>
      <c r="AS14" s="3">
        <f t="shared" si="5"/>
        <v>1</v>
      </c>
      <c r="AT14" s="3">
        <f t="shared" si="6"/>
        <v>1</v>
      </c>
      <c r="AU14" s="3">
        <f t="shared" si="7"/>
        <v>1</v>
      </c>
      <c r="AV14" s="3">
        <f t="shared" si="8"/>
        <v>11</v>
      </c>
      <c r="AW14" s="3">
        <f t="shared" si="9"/>
        <v>5</v>
      </c>
      <c r="AX14" s="3">
        <f t="shared" si="10"/>
        <v>6</v>
      </c>
      <c r="AY14" s="3">
        <f t="shared" si="11"/>
        <v>2</v>
      </c>
      <c r="AZ14" s="3">
        <f t="shared" si="12"/>
        <v>1</v>
      </c>
      <c r="BA14" s="3">
        <f>IF(ISERROR(LEN(VLOOKUP(A14,Seqs!A:E,2,FALSE))-AL14),"-",LEN(VLOOKUP(A14,Seqs!A:E,2,FALSE))-AL14)</f>
        <v>95</v>
      </c>
      <c r="BB14" s="16">
        <f t="shared" si="13"/>
        <v>30</v>
      </c>
      <c r="BC14" s="9">
        <f t="shared" si="14"/>
        <v>19</v>
      </c>
      <c r="BD14" s="3">
        <f t="shared" si="15"/>
        <v>30</v>
      </c>
      <c r="BE14" s="3">
        <f t="shared" si="16"/>
        <v>51</v>
      </c>
    </row>
    <row r="15" spans="1:59" s="3" customFormat="1" x14ac:dyDescent="0.2">
      <c r="A15" s="3" t="s">
        <v>231</v>
      </c>
      <c r="B15" s="3" t="str">
        <f>LOWER(VLOOKUP(A15,Xtal_Templ!A:B,2,FALSE))</f>
        <v>p2ry1_human</v>
      </c>
      <c r="C15" s="3">
        <f>VLOOKUP($A15,'SegEnds_NonXtal_BW#'!$A:$Z,3,FALSE)+D15-50</f>
        <v>17</v>
      </c>
      <c r="D15" s="3">
        <v>37</v>
      </c>
      <c r="E15" s="3">
        <f>IF(ISERROR(VLOOKUP($A15,'SegEnds_NonXtal_BW#'!$A:$Z,4,FALSE)+VLOOKUP($A15,A:AL,4,FALSE)-50),"-",(VLOOKUP($A15,'SegEnds_NonXtal_BW#'!$A:$Z,4,FALSE)+VLOOKUP($A15,A:AL,4,FALSE)-50))</f>
        <v>47</v>
      </c>
      <c r="F15" s="3" t="str">
        <f>IF(ISERROR(VLOOKUP($A15,'SegEnds_NonXtal_BW#'!$A:$Z,5,FALSE)+VLOOKUP($A15,A:AL,7,FALSE)-50),"-",(VLOOKUP($A15,'SegEnds_NonXtal_BW#'!$A:$Z,5,FALSE)+VLOOKUP($A15,A:AL,7,FALSE)-50))</f>
        <v>-</v>
      </c>
      <c r="G15" s="3" t="s">
        <v>23</v>
      </c>
      <c r="H15" s="3" t="str">
        <f>IF(ISERROR(VLOOKUP($A15,'SegEnds_NonXtal_BW#'!$A:$Z,6,FALSE)+VLOOKUP($A15,A:AL,7,FALSE)-50),"-",(VLOOKUP($A15,'SegEnds_NonXtal_BW#'!$A:$Z,6,FALSE)+VLOOKUP($A15,A:AL,7,FALSE)-50))</f>
        <v>-</v>
      </c>
      <c r="I15" s="3">
        <f>VLOOKUP($A15,'SegEnds_NonXtal_BW#'!$A:$Z,7,FALSE)+J15-50</f>
        <v>52</v>
      </c>
      <c r="J15" s="3">
        <v>65</v>
      </c>
      <c r="K15" s="3">
        <f>VLOOKUP($A15,'SegEnds_NonXtal_BW#'!$A:$Z,8,FALSE)+VLOOKUP($A15,A:AL,10,FALSE)-50</f>
        <v>81</v>
      </c>
      <c r="L15" s="3">
        <f>M15-1</f>
        <v>83</v>
      </c>
      <c r="M15" s="3">
        <v>84</v>
      </c>
      <c r="N15" s="3">
        <f>M15+2</f>
        <v>86</v>
      </c>
      <c r="O15" s="3">
        <f t="shared" si="22"/>
        <v>87</v>
      </c>
      <c r="P15" s="3">
        <v>116</v>
      </c>
      <c r="Q15" s="3">
        <f>VLOOKUP($A15,'SegEnds_NonXtal_BW#'!$A:$Z,12,FALSE)+VLOOKUP($A15,A:AL,16,FALSE)-50</f>
        <v>122</v>
      </c>
      <c r="R15" s="3">
        <f>IF(ISERROR(VLOOKUP($A15,'SegEnds_NonXtal_BW#'!$A:$Z,13,FALSE)+VLOOKUP($A15,A:AL,19,FALSE)-50),"-",VLOOKUP($A15,'SegEnds_NonXtal_BW#'!$A:$Z,13,FALSE)+VLOOKUP($A15,A:AL,19,FALSE)-50)</f>
        <v>123</v>
      </c>
      <c r="S15" s="3">
        <v>123</v>
      </c>
      <c r="T15" s="100">
        <f>IF(ISERROR(VLOOKUP($A15,'SegEnds_NonXtal_BW#'!$A:$Z,14,FALSE)+VLOOKUP($A15,A:AL,19,FALSE)-50),"-",(VLOOKUP($A15,'SegEnds_NonXtal_BW#'!$A:$Z,14,FALSE)+VLOOKUP($A15,A:AL,19,FALSE)-50))</f>
        <v>129</v>
      </c>
      <c r="U15" s="9">
        <f>IF(ISERROR(VLOOKUP($A15,'SegEnds_NonXtal_BW#'!$A:$Z,15,FALSE)+VLOOKUP($A15,A:AL,22,FALSE)-50),"-",VLOOKUP($A15,'SegEnds_NonXtal_BW#'!$A:$Z,15,FALSE)+VLOOKUP($A15,A:AL,22,FALSE)-50)</f>
        <v>130</v>
      </c>
      <c r="V15" s="3">
        <v>142</v>
      </c>
      <c r="W15" s="3">
        <f>IF(ISERROR(VLOOKUP($A15,'SegEnds_NonXtal_BW#'!$A:$Z,16,FALSE)+VLOOKUP($A15,A:AL,22,FALSE)-50),"-",(VLOOKUP($A15,'SegEnds_NonXtal_BW#'!$A:$Z,16,FALSE)+VLOOKUP($A15,A:AL,22,FALSE)-50))</f>
        <v>156</v>
      </c>
      <c r="X15" s="3">
        <f>IF(ISERROR(VLOOKUP($A15,'SegEnds_NonXtal_BW#'!$A:$Z,17,FALSE)+VLOOKUP($A15,A:AL,25,FALSE)-50),"-",(VLOOKUP($A15,'SegEnds_NonXtal_BW#'!$A:$Z,17,FALSE)+VLOOKUP($A15,A:AL,25,FALSE)-50))</f>
        <v>168</v>
      </c>
      <c r="Y15" s="3">
        <v>168</v>
      </c>
      <c r="Z15" s="3">
        <f>Y15+2</f>
        <v>170</v>
      </c>
      <c r="AA15" s="3">
        <f>IF(ISERROR(VLOOKUP($A15,'SegEnds_NonXtal_BW#'!$A:$Z,19,FALSE)+VLOOKUP($A15,A:AL,28,FALSE)-50),"-",(VLOOKUP($A15,'SegEnds_NonXtal_BW#'!$A:$Z,19,FALSE)+VLOOKUP($A15,A:AL,28,FALSE)-50))</f>
        <v>179</v>
      </c>
      <c r="AB15" s="3">
        <v>197</v>
      </c>
      <c r="AC15" s="3">
        <f>IF(ISERROR((VLOOKUP($A15,'SegEnds_NonXtal_BW#'!$A:$Z,20,FALSE)+VLOOKUP($A15,A:AL,28,FALSE)-50)),"-",(VLOOKUP($A15,'SegEnds_NonXtal_BW#'!$A:$Z,20,FALSE)+VLOOKUP($A15,A:AL,28,FALSE)-50))</f>
        <v>215</v>
      </c>
      <c r="AD15" s="3">
        <f>IF(ISERROR(VLOOKUP($A15,'SegEnds_NonXtal_BW#'!$A:$Z,21,FALSE)+VLOOKUP($A15,A:AL,31,FALSE)-50),"-",(VLOOKUP($A15,'SegEnds_NonXtal_BW#'!$A:$Z,21,FALSE)+VLOOKUP($A15,A:AL,31,FALSE)-50))</f>
        <v>219</v>
      </c>
      <c r="AE15" s="3">
        <v>245</v>
      </c>
      <c r="AF15" s="3">
        <f>IF(ISERROR((VLOOKUP($A15,'SegEnds_NonXtal_BW#'!$A:$Z,22,FALSE)+VLOOKUP($A15,A:AL,31,FALSE)-50)),"-",(VLOOKUP($A15,'SegEnds_NonXtal_BW#'!$A:$Z,22,FALSE)+VLOOKUP($A15,A:AL,31,FALSE)-50))</f>
        <v>259</v>
      </c>
      <c r="AG15" s="3">
        <f>IF(ISERROR(VLOOKUP($A15,'SegEnds_NonXtal_BW#'!$A:$Z,23,FALSE)+VLOOKUP($A15,A:AL,34,FALSE)-50),"-",(VLOOKUP($A15,'SegEnds_NonXtal_BW#'!$A:$Z,23,FALSE)+VLOOKUP($A15,A:AL,34,FALSE)-50))</f>
        <v>263</v>
      </c>
      <c r="AH15" s="3">
        <v>289</v>
      </c>
      <c r="AI15" s="3">
        <f>IF(ISERROR((VLOOKUP($A15,'SegEnds_NonXtal_BW#'!$A:$Z,24,FALSE)+VLOOKUP($A15,A:AL,34,FALSE)-50)),"-",(VLOOKUP($A15,'SegEnds_NonXtal_BW#'!$A:$Z,24,FALSE)+VLOOKUP($A15,A:AL,34,FALSE)-50))</f>
        <v>295</v>
      </c>
      <c r="AJ15" s="3">
        <f>IF(ISERROR(VLOOKUP($A15,'SegEnds_NonXtal_BW#'!$A:$Z,25,FALSE)+VLOOKUP($A15,A:AL,37,FALSE)-50),"-",(VLOOKUP($A15,'SegEnds_NonXtal_BW#'!$A:$Z,25,FALSE)+VLOOKUP($A15,A:AL,37,FALSE)-50))</f>
        <v>296</v>
      </c>
      <c r="AK15" s="3">
        <v>299</v>
      </c>
      <c r="AL15" s="3">
        <f>IF(ISERROR((VLOOKUP($A15,'SegEnds_NonXtal_BW#'!$A:$Z,26,FALSE)+VLOOKUP($A15,A:AL,37,FALSE)-50)),"-",(VLOOKUP($A15,'SegEnds_NonXtal_BW#'!$A:$Z,26,FALSE)+VLOOKUP($A15,A:AL,37,FALSE)-50))</f>
        <v>308</v>
      </c>
      <c r="AM15" s="28" t="str">
        <f>VLOOKUP(A15,Classification!A:B,2,FALSE)</f>
        <v>A</v>
      </c>
      <c r="AN15" s="28" t="b">
        <f t="shared" si="17"/>
        <v>1</v>
      </c>
      <c r="AO15" s="3" t="str">
        <f>IF(ISERROR(MATCH(A15,'SegEnds_Xtal_Prot#'!B:B, 0)), "NoXtal", "Xtal")</f>
        <v>NoXtal</v>
      </c>
      <c r="AP15" s="3" t="str">
        <f t="shared" si="2"/>
        <v>-</v>
      </c>
      <c r="AQ15" s="3" t="str">
        <f t="shared" si="3"/>
        <v>-</v>
      </c>
      <c r="AR15" s="3">
        <f t="shared" si="4"/>
        <v>2</v>
      </c>
      <c r="AS15" s="3">
        <f t="shared" si="5"/>
        <v>1</v>
      </c>
      <c r="AT15" s="3">
        <f t="shared" si="6"/>
        <v>1</v>
      </c>
      <c r="AU15" s="3">
        <f t="shared" si="7"/>
        <v>1</v>
      </c>
      <c r="AV15" s="3">
        <f t="shared" si="8"/>
        <v>12</v>
      </c>
      <c r="AW15" s="3">
        <f t="shared" si="9"/>
        <v>9</v>
      </c>
      <c r="AX15" s="3">
        <f t="shared" si="10"/>
        <v>4</v>
      </c>
      <c r="AY15" s="3">
        <f t="shared" si="11"/>
        <v>4</v>
      </c>
      <c r="AZ15" s="3">
        <f t="shared" si="12"/>
        <v>1</v>
      </c>
      <c r="BA15" s="3">
        <f>IF(ISERROR(LEN(VLOOKUP(A15,Seqs!A:E,2,FALSE))-AL15),"-",LEN(VLOOKUP(A15,Seqs!A:E,2,FALSE))-AL15)</f>
        <v>25</v>
      </c>
      <c r="BB15" s="16">
        <f t="shared" si="13"/>
        <v>28</v>
      </c>
      <c r="BC15" s="9">
        <f t="shared" si="14"/>
        <v>19</v>
      </c>
      <c r="BD15" s="3">
        <f t="shared" si="15"/>
        <v>28</v>
      </c>
      <c r="BE15" s="3">
        <f t="shared" si="16"/>
        <v>48</v>
      </c>
      <c r="BF15" s="3">
        <f>AH15-AE15</f>
        <v>44</v>
      </c>
    </row>
    <row r="16" spans="1:59" s="3" customFormat="1" x14ac:dyDescent="0.2">
      <c r="A16" s="3" t="s">
        <v>103</v>
      </c>
      <c r="B16" s="3" t="str">
        <f>LOWER(VLOOKUP(A16,Xtal_Templ!A:B,2,FALSE))</f>
        <v>lpar1_human</v>
      </c>
      <c r="C16" s="3">
        <f>VLOOKUP($A16,'SegEnds_NonXtal_BW#'!$A:$Z,3,FALSE)+D16-50</f>
        <v>47</v>
      </c>
      <c r="D16" s="3">
        <v>67</v>
      </c>
      <c r="E16" s="3">
        <f>IF(ISERROR(VLOOKUP($A16,'SegEnds_NonXtal_BW#'!$A:$Z,4,FALSE)+VLOOKUP($A16,A:AL,4,FALSE)-50),"-",(VLOOKUP($A16,'SegEnds_NonXtal_BW#'!$A:$Z,4,FALSE)+VLOOKUP($A16,A:AL,4,FALSE)-50))</f>
        <v>77</v>
      </c>
      <c r="F16" s="3">
        <f t="shared" ref="F16:F26" si="23">G16-2</f>
        <v>78</v>
      </c>
      <c r="G16" s="3">
        <v>80</v>
      </c>
      <c r="H16" s="3">
        <f t="shared" ref="H16:I26" si="24">G16+1</f>
        <v>81</v>
      </c>
      <c r="I16" s="3">
        <f t="shared" si="24"/>
        <v>82</v>
      </c>
      <c r="J16" s="3">
        <v>95</v>
      </c>
      <c r="K16" s="3">
        <f>VLOOKUP($A16,'SegEnds_NonXtal_BW#'!$A:$Z,8,FALSE)+VLOOKUP($A16,A:AL,10,FALSE)-50</f>
        <v>108</v>
      </c>
      <c r="L16" s="3">
        <f>M16-3</f>
        <v>110</v>
      </c>
      <c r="M16" s="3">
        <v>113</v>
      </c>
      <c r="N16" s="3">
        <f>M16+3</f>
        <v>116</v>
      </c>
      <c r="O16" s="3">
        <f t="shared" si="22"/>
        <v>117</v>
      </c>
      <c r="P16" s="3">
        <v>146</v>
      </c>
      <c r="Q16" s="3">
        <f>VLOOKUP($A16,'SegEnds_NonXtal_BW#'!$A:$Z,12,FALSE)+VLOOKUP($A16,A:AL,16,FALSE)-50</f>
        <v>152</v>
      </c>
      <c r="R16" s="3">
        <f>IF(ISERROR(VLOOKUP($A16,'SegEnds_NonXtal_BW#'!$A:$Z,13,FALSE)+VLOOKUP($A16,A:AL,19,FALSE)-50),"-",VLOOKUP($A16,'SegEnds_NonXtal_BW#'!$A:$Z,13,FALSE)+VLOOKUP($A16,A:AL,19,FALSE)-50)</f>
        <v>153</v>
      </c>
      <c r="S16" s="3">
        <v>153</v>
      </c>
      <c r="T16" s="100">
        <f>IF(ISERROR(VLOOKUP($A16,'SegEnds_NonXtal_BW#'!$A:$Z,14,FALSE)+VLOOKUP($A16,A:AL,19,FALSE)-50),"-",(VLOOKUP($A16,'SegEnds_NonXtal_BW#'!$A:$Z,14,FALSE)+VLOOKUP($A16,A:AL,19,FALSE)-50))</f>
        <v>159</v>
      </c>
      <c r="U16" s="9">
        <f>IF(ISERROR(VLOOKUP($A16,'SegEnds_NonXtal_BW#'!$A:$Z,15,FALSE)+VLOOKUP($A16,A:AL,22,FALSE)-50),"-",VLOOKUP($A16,'SegEnds_NonXtal_BW#'!$A:$Z,15,FALSE)+VLOOKUP($A16,A:AL,22,FALSE)-50)</f>
        <v>160</v>
      </c>
      <c r="V16" s="3">
        <v>172</v>
      </c>
      <c r="W16" s="3">
        <f>IF(ISERROR(VLOOKUP($A16,'SegEnds_NonXtal_BW#'!$A:$Z,16,FALSE)+VLOOKUP($A16,A:AL,22,FALSE)-50),"-",(VLOOKUP($A16,'SegEnds_NonXtal_BW#'!$A:$Z,16,FALSE)+VLOOKUP($A16,A:AL,22,FALSE)-50))</f>
        <v>185</v>
      </c>
      <c r="X16" s="3" t="str">
        <f>IF(ISERROR(VLOOKUP($A16,'SegEnds_NonXtal_BW#'!$A:$Z,17,FALSE)+VLOOKUP($A16,A:AL,25,FALSE)-50),"-",(VLOOKUP($A16,'SegEnds_NonXtal_BW#'!$A:$Z,17,FALSE)+VLOOKUP($A16,A:AL,25,FALSE)-50))</f>
        <v>-</v>
      </c>
      <c r="Y16" s="3" t="s">
        <v>23</v>
      </c>
      <c r="Z16" s="3" t="str">
        <f>IF(ISERROR(VLOOKUP($A16,'SegEnds_NonXtal_BW#'!$A:$Z,18,FALSE)+VLOOKUP($A16,A:AL,25,FALSE)-50),"-",(VLOOKUP($A16,'SegEnds_NonXtal_BW#'!$A:$Z,18,FALSE)+VLOOKUP($A16,A:AL,25,FALSE)-50))</f>
        <v>-</v>
      </c>
      <c r="AA16" s="3">
        <f>IF(ISERROR(VLOOKUP($A16,'SegEnds_NonXtal_BW#'!$A:$Z,19,FALSE)+VLOOKUP($A16,A:AL,28,FALSE)-50),"-",(VLOOKUP($A16,'SegEnds_NonXtal_BW#'!$A:$Z,19,FALSE)+VLOOKUP($A16,A:AL,28,FALSE)-50))</f>
        <v>203</v>
      </c>
      <c r="AB16" s="3">
        <v>217</v>
      </c>
      <c r="AC16" s="3">
        <f>IF(ISERROR((VLOOKUP($A16,'SegEnds_NonXtal_BW#'!$A:$Z,20,FALSE)+VLOOKUP($A16,A:AL,28,FALSE)-50)),"-",(VLOOKUP($A16,'SegEnds_NonXtal_BW#'!$A:$Z,20,FALSE)+VLOOKUP($A16,A:AL,28,FALSE)-50))</f>
        <v>240</v>
      </c>
      <c r="AD16" s="3">
        <f>IF(ISERROR(VLOOKUP($A16,'SegEnds_NonXtal_BW#'!$A:$Z,21,FALSE)+VLOOKUP($A16,A:AL,31,FALSE)-50),"-",(VLOOKUP($A16,'SegEnds_NonXtal_BW#'!$A:$Z,21,FALSE)+VLOOKUP($A16,A:AL,31,FALSE)-50))</f>
        <v>245</v>
      </c>
      <c r="AE16" s="3">
        <v>273</v>
      </c>
      <c r="AF16" s="3">
        <f>IF(ISERROR((VLOOKUP($A16,'SegEnds_NonXtal_BW#'!$A:$Z,22,FALSE)+VLOOKUP($A16,A:AL,31,FALSE)-50)),"-",(VLOOKUP($A16,'SegEnds_NonXtal_BW#'!$A:$Z,22,FALSE)+VLOOKUP($A16,A:AL,31,FALSE)-50))</f>
        <v>284</v>
      </c>
      <c r="AG16" s="3">
        <f>IF(ISERROR(VLOOKUP($A16,'SegEnds_NonXtal_BW#'!$A:$Z,23,FALSE)+VLOOKUP($A16,A:AL,34,FALSE)-50),"-",(VLOOKUP($A16,'SegEnds_NonXtal_BW#'!$A:$Z,23,FALSE)+VLOOKUP($A16,A:AL,34,FALSE)-50))</f>
        <v>288</v>
      </c>
      <c r="AH16" s="3">
        <v>308</v>
      </c>
      <c r="AI16" s="3">
        <f>IF(ISERROR((VLOOKUP($A16,'SegEnds_NonXtal_BW#'!$A:$Z,24,FALSE)+VLOOKUP($A16,A:AL,34,FALSE)-50)),"-",(VLOOKUP($A16,'SegEnds_NonXtal_BW#'!$A:$Z,24,FALSE)+VLOOKUP($A16,A:AL,34,FALSE)-50))</f>
        <v>314</v>
      </c>
      <c r="AJ16" s="3">
        <f>IF(ISERROR(VLOOKUP($A16,'SegEnds_NonXtal_BW#'!$A:$Z,25,FALSE)+VLOOKUP($A16,A:AL,37,FALSE)-50),"-",(VLOOKUP($A16,'SegEnds_NonXtal_BW#'!$A:$Z,25,FALSE)+VLOOKUP($A16,A:AL,37,FALSE)-50))</f>
        <v>315</v>
      </c>
      <c r="AK16" s="3">
        <v>318</v>
      </c>
      <c r="AL16" s="3">
        <f>IF(ISERROR((VLOOKUP($A16,'SegEnds_NonXtal_BW#'!$A:$Z,26,FALSE)+VLOOKUP($A16,A:AL,37,FALSE)-50)),"-",(VLOOKUP($A16,'SegEnds_NonXtal_BW#'!$A:$Z,26,FALSE)+VLOOKUP($A16,A:AL,37,FALSE)-50))</f>
        <v>327</v>
      </c>
      <c r="AM16" s="28" t="str">
        <f>VLOOKUP(A16,Classification!A:B,2,FALSE)</f>
        <v>A</v>
      </c>
      <c r="AN16" s="28" t="b">
        <f t="shared" si="17"/>
        <v>1</v>
      </c>
      <c r="AO16" s="3" t="str">
        <f>IF(ISERROR(MATCH(A16,'SegEnds_Xtal_Prot#'!B:B, 0)), "NoXtal", "Xtal")</f>
        <v>Xtal</v>
      </c>
      <c r="AP16" s="3">
        <f t="shared" si="2"/>
        <v>1</v>
      </c>
      <c r="AQ16" s="3">
        <f t="shared" si="3"/>
        <v>1</v>
      </c>
      <c r="AR16" s="3">
        <f t="shared" si="4"/>
        <v>2</v>
      </c>
      <c r="AS16" s="3">
        <f t="shared" si="5"/>
        <v>1</v>
      </c>
      <c r="AT16" s="3">
        <f t="shared" si="6"/>
        <v>1</v>
      </c>
      <c r="AU16" s="3">
        <f t="shared" si="7"/>
        <v>1</v>
      </c>
      <c r="AV16" s="3" t="str">
        <f t="shared" si="8"/>
        <v>-</v>
      </c>
      <c r="AW16" s="3" t="str">
        <f t="shared" si="9"/>
        <v>-</v>
      </c>
      <c r="AX16" s="3">
        <f t="shared" si="10"/>
        <v>5</v>
      </c>
      <c r="AY16" s="3">
        <f t="shared" si="11"/>
        <v>4</v>
      </c>
      <c r="AZ16" s="3">
        <f t="shared" si="12"/>
        <v>1</v>
      </c>
      <c r="BA16" s="3">
        <f>IF(ISERROR(LEN(VLOOKUP(A16,Seqs!A:E,2,FALSE))-AL16),"-",LEN(VLOOKUP(A16,Seqs!A:E,2,FALSE))-AL16)</f>
        <v>37</v>
      </c>
      <c r="BB16" s="16">
        <f t="shared" si="13"/>
        <v>28</v>
      </c>
      <c r="BC16" s="9">
        <f t="shared" si="14"/>
        <v>19</v>
      </c>
      <c r="BD16" s="3">
        <f t="shared" si="15"/>
        <v>28</v>
      </c>
      <c r="BE16" s="3">
        <f t="shared" si="16"/>
        <v>56</v>
      </c>
    </row>
    <row r="17" spans="1:60" s="3" customFormat="1" x14ac:dyDescent="0.2">
      <c r="A17" s="3" t="s">
        <v>286</v>
      </c>
      <c r="B17" s="3" t="str">
        <f>LOWER(VLOOKUP(A17,Xtal_Templ!A:B,2,FALSE))</f>
        <v>lpar1_human</v>
      </c>
      <c r="C17" s="3">
        <f>VLOOKUP($A17,'SegEnds_NonXtal_BW#'!$A:$Z,3,FALSE)+D17-50</f>
        <v>30</v>
      </c>
      <c r="D17" s="3">
        <v>50</v>
      </c>
      <c r="E17" s="3">
        <f>IF(ISERROR(VLOOKUP($A17,'SegEnds_NonXtal_BW#'!$A:$Z,4,FALSE)+VLOOKUP($A17,A:AL,4,FALSE)-50),"-",(VLOOKUP($A17,'SegEnds_NonXtal_BW#'!$A:$Z,4,FALSE)+VLOOKUP($A17,A:AL,4,FALSE)-50))</f>
        <v>60</v>
      </c>
      <c r="F17" s="3">
        <f t="shared" si="23"/>
        <v>61</v>
      </c>
      <c r="G17" s="3">
        <v>63</v>
      </c>
      <c r="H17" s="3">
        <f t="shared" si="24"/>
        <v>64</v>
      </c>
      <c r="I17" s="3">
        <f t="shared" si="24"/>
        <v>65</v>
      </c>
      <c r="J17" s="3">
        <v>78</v>
      </c>
      <c r="K17" s="3">
        <f>VLOOKUP($A17,'SegEnds_NonXtal_BW#'!$A:$Z,8,FALSE)+VLOOKUP($A17,A:AL,10,FALSE)-50</f>
        <v>91</v>
      </c>
      <c r="L17" s="3">
        <f>M17-3</f>
        <v>93</v>
      </c>
      <c r="M17" s="3">
        <v>96</v>
      </c>
      <c r="N17" s="3">
        <f>M17+3</f>
        <v>99</v>
      </c>
      <c r="O17" s="3">
        <f t="shared" si="22"/>
        <v>100</v>
      </c>
      <c r="P17" s="3">
        <v>129</v>
      </c>
      <c r="Q17" s="3">
        <f>VLOOKUP($A17,'SegEnds_NonXtal_BW#'!$A:$Z,12,FALSE)+VLOOKUP($A17,A:AL,16,FALSE)-50</f>
        <v>135</v>
      </c>
      <c r="R17" s="3">
        <f>IF(ISERROR(VLOOKUP($A17,'SegEnds_NonXtal_BW#'!$A:$Z,13,FALSE)+VLOOKUP($A17,A:AL,19,FALSE)-50),"-",VLOOKUP($A17,'SegEnds_NonXtal_BW#'!$A:$Z,13,FALSE)+VLOOKUP($A17,A:AL,19,FALSE)-50)</f>
        <v>136</v>
      </c>
      <c r="S17" s="3">
        <v>136</v>
      </c>
      <c r="T17" s="100">
        <f>IF(ISERROR(VLOOKUP($A17,'SegEnds_NonXtal_BW#'!$A:$Z,14,FALSE)+VLOOKUP($A17,A:AL,19,FALSE)-50),"-",(VLOOKUP($A17,'SegEnds_NonXtal_BW#'!$A:$Z,14,FALSE)+VLOOKUP($A17,A:AL,19,FALSE)-50))</f>
        <v>142</v>
      </c>
      <c r="U17" s="9">
        <f>IF(ISERROR(VLOOKUP($A17,'SegEnds_NonXtal_BW#'!$A:$Z,15,FALSE)+VLOOKUP($A17,A:AL,22,FALSE)-50),"-",VLOOKUP($A17,'SegEnds_NonXtal_BW#'!$A:$Z,15,FALSE)+VLOOKUP($A17,A:AL,22,FALSE)-50)</f>
        <v>143</v>
      </c>
      <c r="V17" s="3">
        <v>155</v>
      </c>
      <c r="W17" s="3">
        <f>IF(ISERROR(VLOOKUP($A17,'SegEnds_NonXtal_BW#'!$A:$Z,16,FALSE)+VLOOKUP($A17,A:AL,22,FALSE)-50),"-",(VLOOKUP($A17,'SegEnds_NonXtal_BW#'!$A:$Z,16,FALSE)+VLOOKUP($A17,A:AL,22,FALSE)-50))</f>
        <v>168</v>
      </c>
      <c r="X17" s="3" t="str">
        <f>IF(ISERROR(VLOOKUP($A17,'SegEnds_NonXtal_BW#'!$A:$Z,17,FALSE)+VLOOKUP($A17,A:AL,25,FALSE)-50),"-",(VLOOKUP($A17,'SegEnds_NonXtal_BW#'!$A:$Z,17,FALSE)+VLOOKUP($A17,A:AL,25,FALSE)-50))</f>
        <v>-</v>
      </c>
      <c r="Y17" s="3" t="s">
        <v>23</v>
      </c>
      <c r="Z17" s="3" t="str">
        <f>IF(ISERROR(VLOOKUP($A17,'SegEnds_NonXtal_BW#'!$A:$Z,18,FALSE)+VLOOKUP($A17,A:AL,25,FALSE)-50),"-",(VLOOKUP($A17,'SegEnds_NonXtal_BW#'!$A:$Z,18,FALSE)+VLOOKUP($A17,A:AL,25,FALSE)-50))</f>
        <v>-</v>
      </c>
      <c r="AA17" s="3">
        <f>IF(ISERROR(VLOOKUP($A17,'SegEnds_NonXtal_BW#'!$A:$Z,19,FALSE)+VLOOKUP($A17,A:AL,28,FALSE)-50),"-",(VLOOKUP($A17,'SegEnds_NonXtal_BW#'!$A:$Z,19,FALSE)+VLOOKUP($A17,A:AL,28,FALSE)-50))</f>
        <v>186</v>
      </c>
      <c r="AB17" s="3">
        <v>200</v>
      </c>
      <c r="AC17" s="3">
        <f>IF(ISERROR((VLOOKUP($A17,'SegEnds_NonXtal_BW#'!$A:$Z,20,FALSE)+VLOOKUP($A17,A:AL,28,FALSE)-50)),"-",(VLOOKUP($A17,'SegEnds_NonXtal_BW#'!$A:$Z,20,FALSE)+VLOOKUP($A17,A:AL,28,FALSE)-50))</f>
        <v>223</v>
      </c>
      <c r="AD17" s="3">
        <f>IF(ISERROR(VLOOKUP($A17,'SegEnds_NonXtal_BW#'!$A:$Z,21,FALSE)+VLOOKUP($A17,A:AL,31,FALSE)-50),"-",(VLOOKUP($A17,'SegEnds_NonXtal_BW#'!$A:$Z,21,FALSE)+VLOOKUP($A17,A:AL,31,FALSE)-50))</f>
        <v>228</v>
      </c>
      <c r="AE17" s="3">
        <v>256</v>
      </c>
      <c r="AF17" s="3">
        <f>IF(ISERROR((VLOOKUP($A17,'SegEnds_NonXtal_BW#'!$A:$Z,22,FALSE)+VLOOKUP($A17,A:AL,31,FALSE)-50)),"-",(VLOOKUP($A17,'SegEnds_NonXtal_BW#'!$A:$Z,22,FALSE)+VLOOKUP($A17,A:AL,31,FALSE)-50))</f>
        <v>267</v>
      </c>
      <c r="AG17" s="3">
        <f>IF(ISERROR(VLOOKUP($A17,'SegEnds_NonXtal_BW#'!$A:$Z,23,FALSE)+VLOOKUP($A17,A:AL,34,FALSE)-50),"-",(VLOOKUP($A17,'SegEnds_NonXtal_BW#'!$A:$Z,23,FALSE)+VLOOKUP($A17,A:AL,34,FALSE)-50))</f>
        <v>272</v>
      </c>
      <c r="AH17" s="3">
        <v>292</v>
      </c>
      <c r="AI17" s="3">
        <f>IF(ISERROR((VLOOKUP($A17,'SegEnds_NonXtal_BW#'!$A:$Z,24,FALSE)+VLOOKUP($A17,A:AL,34,FALSE)-50)),"-",(VLOOKUP($A17,'SegEnds_NonXtal_BW#'!$A:$Z,24,FALSE)+VLOOKUP($A17,A:AL,34,FALSE)-50))</f>
        <v>298</v>
      </c>
      <c r="AJ17" s="3">
        <f>IF(ISERROR(VLOOKUP($A17,'SegEnds_NonXtal_BW#'!$A:$Z,25,FALSE)+VLOOKUP($A17,A:AL,37,FALSE)-50),"-",(VLOOKUP($A17,'SegEnds_NonXtal_BW#'!$A:$Z,25,FALSE)+VLOOKUP($A17,A:AL,37,FALSE)-50))</f>
        <v>299</v>
      </c>
      <c r="AK17" s="3">
        <v>302</v>
      </c>
      <c r="AL17" s="3">
        <f>IF(ISERROR((VLOOKUP($A17,'SegEnds_NonXtal_BW#'!$A:$Z,26,FALSE)+VLOOKUP($A17,A:AL,37,FALSE)-50)),"-",(VLOOKUP($A17,'SegEnds_NonXtal_BW#'!$A:$Z,26,FALSE)+VLOOKUP($A17,A:AL,37,FALSE)-50))</f>
        <v>311</v>
      </c>
      <c r="AM17" s="28" t="str">
        <f>VLOOKUP(A17,Classification!A:B,2,FALSE)</f>
        <v>A</v>
      </c>
      <c r="AN17" s="28" t="b">
        <f t="shared" si="17"/>
        <v>1</v>
      </c>
      <c r="AO17" s="3" t="str">
        <f>IF(ISERROR(MATCH(A17,'SegEnds_Xtal_Prot#'!B:B, 0)), "NoXtal", "Xtal")</f>
        <v>NoXtal</v>
      </c>
      <c r="AP17" s="3">
        <f t="shared" si="2"/>
        <v>1</v>
      </c>
      <c r="AQ17" s="3">
        <f t="shared" si="3"/>
        <v>1</v>
      </c>
      <c r="AR17" s="3">
        <f t="shared" si="4"/>
        <v>2</v>
      </c>
      <c r="AS17" s="3">
        <f t="shared" si="5"/>
        <v>1</v>
      </c>
      <c r="AT17" s="3">
        <f t="shared" si="6"/>
        <v>1</v>
      </c>
      <c r="AU17" s="3">
        <f t="shared" si="7"/>
        <v>1</v>
      </c>
      <c r="AV17" s="3" t="str">
        <f t="shared" si="8"/>
        <v>-</v>
      </c>
      <c r="AW17" s="3" t="str">
        <f t="shared" si="9"/>
        <v>-</v>
      </c>
      <c r="AX17" s="3">
        <f t="shared" si="10"/>
        <v>5</v>
      </c>
      <c r="AY17" s="3">
        <f t="shared" si="11"/>
        <v>5</v>
      </c>
      <c r="AZ17" s="3">
        <f t="shared" si="12"/>
        <v>1</v>
      </c>
      <c r="BA17" s="3">
        <f>IF(ISERROR(LEN(VLOOKUP(A17,Seqs!A:E,2,FALSE))-AL17),"-",LEN(VLOOKUP(A17,Seqs!A:E,2,FALSE))-AL17)</f>
        <v>40</v>
      </c>
      <c r="BB17" s="16">
        <f t="shared" si="13"/>
        <v>28</v>
      </c>
      <c r="BC17" s="9">
        <f t="shared" si="14"/>
        <v>19</v>
      </c>
      <c r="BD17" s="3">
        <f t="shared" si="15"/>
        <v>28</v>
      </c>
      <c r="BE17" s="3">
        <f t="shared" si="16"/>
        <v>56</v>
      </c>
    </row>
    <row r="18" spans="1:60" s="3" customFormat="1" x14ac:dyDescent="0.2">
      <c r="A18" s="3" t="s">
        <v>287</v>
      </c>
      <c r="B18" s="3" t="str">
        <f>LOWER(VLOOKUP(A18,Xtal_Templ!A:B,2,FALSE))</f>
        <v>lpar1_human</v>
      </c>
      <c r="C18" s="3">
        <f>VLOOKUP($A18,'SegEnds_NonXtal_BW#'!$A:$Z,3,FALSE)+D18-50</f>
        <v>28</v>
      </c>
      <c r="D18" s="3">
        <v>48</v>
      </c>
      <c r="E18" s="3">
        <f>IF(ISERROR(VLOOKUP($A18,'SegEnds_NonXtal_BW#'!$A:$Z,4,FALSE)+VLOOKUP($A18,A:AL,4,FALSE)-50),"-",(VLOOKUP($A18,'SegEnds_NonXtal_BW#'!$A:$Z,4,FALSE)+VLOOKUP($A18,A:AL,4,FALSE)-50))</f>
        <v>58</v>
      </c>
      <c r="F18" s="3">
        <f t="shared" si="23"/>
        <v>59</v>
      </c>
      <c r="G18" s="3">
        <v>61</v>
      </c>
      <c r="H18" s="3">
        <f t="shared" si="24"/>
        <v>62</v>
      </c>
      <c r="I18" s="3">
        <f t="shared" si="24"/>
        <v>63</v>
      </c>
      <c r="J18" s="3">
        <v>76</v>
      </c>
      <c r="K18" s="3">
        <f>VLOOKUP($A18,'SegEnds_NonXtal_BW#'!$A:$Z,8,FALSE)+VLOOKUP($A18,A:AL,10,FALSE)-50</f>
        <v>89</v>
      </c>
      <c r="L18" s="3">
        <f>M18-3</f>
        <v>91</v>
      </c>
      <c r="M18" s="3">
        <v>94</v>
      </c>
      <c r="N18" s="3">
        <f>M18+3</f>
        <v>97</v>
      </c>
      <c r="O18" s="3">
        <f t="shared" si="22"/>
        <v>98</v>
      </c>
      <c r="P18" s="3">
        <v>127</v>
      </c>
      <c r="Q18" s="3">
        <f>VLOOKUP($A18,'SegEnds_NonXtal_BW#'!$A:$Z,12,FALSE)+VLOOKUP($A18,A:AL,16,FALSE)-50</f>
        <v>133</v>
      </c>
      <c r="R18" s="3">
        <f>IF(ISERROR(VLOOKUP($A18,'SegEnds_NonXtal_BW#'!$A:$Z,13,FALSE)+VLOOKUP($A18,A:AL,19,FALSE)-50),"-",VLOOKUP($A18,'SegEnds_NonXtal_BW#'!$A:$Z,13,FALSE)+VLOOKUP($A18,A:AL,19,FALSE)-50)</f>
        <v>134</v>
      </c>
      <c r="S18" s="3">
        <v>134</v>
      </c>
      <c r="T18" s="100">
        <f>IF(ISERROR(VLOOKUP($A18,'SegEnds_NonXtal_BW#'!$A:$Z,14,FALSE)+VLOOKUP($A18,A:AL,19,FALSE)-50),"-",(VLOOKUP($A18,'SegEnds_NonXtal_BW#'!$A:$Z,14,FALSE)+VLOOKUP($A18,A:AL,19,FALSE)-50))</f>
        <v>140</v>
      </c>
      <c r="U18" s="9">
        <f>IF(ISERROR(VLOOKUP($A18,'SegEnds_NonXtal_BW#'!$A:$Z,15,FALSE)+VLOOKUP($A18,A:AL,22,FALSE)-50),"-",VLOOKUP($A18,'SegEnds_NonXtal_BW#'!$A:$Z,15,FALSE)+VLOOKUP($A18,A:AL,22,FALSE)-50)</f>
        <v>141</v>
      </c>
      <c r="V18" s="3">
        <v>153</v>
      </c>
      <c r="W18" s="3">
        <f>IF(ISERROR(VLOOKUP($A18,'SegEnds_NonXtal_BW#'!$A:$Z,16,FALSE)+VLOOKUP($A18,A:AL,22,FALSE)-50),"-",(VLOOKUP($A18,'SegEnds_NonXtal_BW#'!$A:$Z,16,FALSE)+VLOOKUP($A18,A:AL,22,FALSE)-50))</f>
        <v>166</v>
      </c>
      <c r="X18" s="3" t="str">
        <f>IF(ISERROR(VLOOKUP($A18,'SegEnds_NonXtal_BW#'!$A:$Z,17,FALSE)+VLOOKUP($A18,A:AL,25,FALSE)-50),"-",(VLOOKUP($A18,'SegEnds_NonXtal_BW#'!$A:$Z,17,FALSE)+VLOOKUP($A18,A:AL,25,FALSE)-50))</f>
        <v>-</v>
      </c>
      <c r="Y18" s="3" t="s">
        <v>23</v>
      </c>
      <c r="Z18" s="3" t="str">
        <f>IF(ISERROR(VLOOKUP($A18,'SegEnds_NonXtal_BW#'!$A:$Z,18,FALSE)+VLOOKUP($A18,A:AL,25,FALSE)-50),"-",(VLOOKUP($A18,'SegEnds_NonXtal_BW#'!$A:$Z,18,FALSE)+VLOOKUP($A18,A:AL,25,FALSE)-50))</f>
        <v>-</v>
      </c>
      <c r="AA18" s="3">
        <f>IF(ISERROR(VLOOKUP($A18,'SegEnds_NonXtal_BW#'!$A:$Z,19,FALSE)+VLOOKUP($A18,A:AL,28,FALSE)-50),"-",(VLOOKUP($A18,'SegEnds_NonXtal_BW#'!$A:$Z,19,FALSE)+VLOOKUP($A18,A:AL,28,FALSE)-50))</f>
        <v>184</v>
      </c>
      <c r="AB18" s="3">
        <v>198</v>
      </c>
      <c r="AC18" s="3">
        <f>IF(ISERROR((VLOOKUP($A18,'SegEnds_NonXtal_BW#'!$A:$Z,20,FALSE)+VLOOKUP($A18,A:AL,28,FALSE)-50)),"-",(VLOOKUP($A18,'SegEnds_NonXtal_BW#'!$A:$Z,20,FALSE)+VLOOKUP($A18,A:AL,28,FALSE)-50))</f>
        <v>221</v>
      </c>
      <c r="AD18" s="3">
        <f>IF(ISERROR(VLOOKUP($A18,'SegEnds_NonXtal_BW#'!$A:$Z,21,FALSE)+VLOOKUP($A18,A:AL,31,FALSE)-50),"-",(VLOOKUP($A18,'SegEnds_NonXtal_BW#'!$A:$Z,21,FALSE)+VLOOKUP($A18,A:AL,31,FALSE)-50))</f>
        <v>226</v>
      </c>
      <c r="AE18" s="3">
        <v>254</v>
      </c>
      <c r="AF18" s="3">
        <f>IF(ISERROR((VLOOKUP($A18,'SegEnds_NonXtal_BW#'!$A:$Z,22,FALSE)+VLOOKUP($A18,A:AL,31,FALSE)-50)),"-",(VLOOKUP($A18,'SegEnds_NonXtal_BW#'!$A:$Z,22,FALSE)+VLOOKUP($A18,A:AL,31,FALSE)-50))</f>
        <v>265</v>
      </c>
      <c r="AG18" s="3">
        <f>IF(ISERROR(VLOOKUP($A18,'SegEnds_NonXtal_BW#'!$A:$Z,23,FALSE)+VLOOKUP($A18,A:AL,34,FALSE)-50),"-",(VLOOKUP($A18,'SegEnds_NonXtal_BW#'!$A:$Z,23,FALSE)+VLOOKUP($A18,A:AL,34,FALSE)-50))</f>
        <v>270</v>
      </c>
      <c r="AH18" s="3">
        <v>290</v>
      </c>
      <c r="AI18" s="3">
        <f>IF(ISERROR((VLOOKUP($A18,'SegEnds_NonXtal_BW#'!$A:$Z,24,FALSE)+VLOOKUP($A18,A:AL,34,FALSE)-50)),"-",(VLOOKUP($A18,'SegEnds_NonXtal_BW#'!$A:$Z,24,FALSE)+VLOOKUP($A18,A:AL,34,FALSE)-50))</f>
        <v>296</v>
      </c>
      <c r="AJ18" s="3">
        <f>IF(ISERROR(VLOOKUP($A18,'SegEnds_NonXtal_BW#'!$A:$Z,25,FALSE)+VLOOKUP($A18,A:AL,37,FALSE)-50),"-",(VLOOKUP($A18,'SegEnds_NonXtal_BW#'!$A:$Z,25,FALSE)+VLOOKUP($A18,A:AL,37,FALSE)-50))</f>
        <v>297</v>
      </c>
      <c r="AK18" s="3">
        <v>300</v>
      </c>
      <c r="AL18" s="3">
        <f>IF(ISERROR((VLOOKUP($A18,'SegEnds_NonXtal_BW#'!$A:$Z,26,FALSE)+VLOOKUP($A18,A:AL,37,FALSE)-50)),"-",(VLOOKUP($A18,'SegEnds_NonXtal_BW#'!$A:$Z,26,FALSE)+VLOOKUP($A18,A:AL,37,FALSE)-50))</f>
        <v>309</v>
      </c>
      <c r="AM18" s="28" t="str">
        <f>VLOOKUP(A18,Classification!A:B,2,FALSE)</f>
        <v>A</v>
      </c>
      <c r="AN18" s="28" t="b">
        <f t="shared" si="17"/>
        <v>1</v>
      </c>
      <c r="AO18" s="3" t="str">
        <f>IF(ISERROR(MATCH(A18,'SegEnds_Xtal_Prot#'!B:B, 0)), "NoXtal", "Xtal")</f>
        <v>NoXtal</v>
      </c>
      <c r="AP18" s="3">
        <f t="shared" si="2"/>
        <v>1</v>
      </c>
      <c r="AQ18" s="3">
        <f t="shared" si="3"/>
        <v>1</v>
      </c>
      <c r="AR18" s="3">
        <f t="shared" si="4"/>
        <v>2</v>
      </c>
      <c r="AS18" s="3">
        <f t="shared" si="5"/>
        <v>1</v>
      </c>
      <c r="AT18" s="3">
        <f t="shared" si="6"/>
        <v>1</v>
      </c>
      <c r="AU18" s="3">
        <f t="shared" si="7"/>
        <v>1</v>
      </c>
      <c r="AV18" s="3" t="str">
        <f t="shared" si="8"/>
        <v>-</v>
      </c>
      <c r="AW18" s="3" t="str">
        <f t="shared" si="9"/>
        <v>-</v>
      </c>
      <c r="AX18" s="3">
        <f t="shared" si="10"/>
        <v>5</v>
      </c>
      <c r="AY18" s="3">
        <f t="shared" si="11"/>
        <v>5</v>
      </c>
      <c r="AZ18" s="3">
        <f t="shared" si="12"/>
        <v>1</v>
      </c>
      <c r="BA18" s="3">
        <f>IF(ISERROR(LEN(VLOOKUP(A18,Seqs!A:E,2,FALSE))-AL18),"-",LEN(VLOOKUP(A18,Seqs!A:E,2,FALSE))-AL18)</f>
        <v>44</v>
      </c>
      <c r="BB18" s="16">
        <f t="shared" si="13"/>
        <v>28</v>
      </c>
      <c r="BC18" s="9">
        <f t="shared" si="14"/>
        <v>19</v>
      </c>
      <c r="BD18" s="3">
        <f t="shared" si="15"/>
        <v>28</v>
      </c>
      <c r="BE18" s="3">
        <f t="shared" si="16"/>
        <v>56</v>
      </c>
    </row>
    <row r="19" spans="1:60" s="3" customFormat="1" x14ac:dyDescent="0.2">
      <c r="A19" s="3" t="s">
        <v>1450</v>
      </c>
      <c r="B19" s="3" t="str">
        <f>LOWER(VLOOKUP(A19,Xtal_Templ!A:B,2,FALSE))</f>
        <v>q08bg4_danre</v>
      </c>
      <c r="C19" s="3">
        <f>VLOOKUP($A19,'SegEnds_NonXtal_BW#'!$A:$Z,3,FALSE)+D19-50</f>
        <v>26</v>
      </c>
      <c r="D19" s="3">
        <v>45</v>
      </c>
      <c r="E19" s="3">
        <f>IF(ISERROR(VLOOKUP($A19,'SegEnds_NonXtal_BW#'!$A:$Z,4,FALSE)+VLOOKUP($A19,A:AL,4,FALSE)-50),"-",(VLOOKUP($A19,'SegEnds_NonXtal_BW#'!$A:$Z,4,FALSE)+VLOOKUP($A19,A:AL,4,FALSE)-50))</f>
        <v>55</v>
      </c>
      <c r="F19" s="3">
        <f>G19-2</f>
        <v>56</v>
      </c>
      <c r="G19" s="3">
        <v>58</v>
      </c>
      <c r="H19" s="3">
        <f>G19+1</f>
        <v>59</v>
      </c>
      <c r="I19" s="3">
        <f>H19+1</f>
        <v>60</v>
      </c>
      <c r="J19" s="3">
        <v>73</v>
      </c>
      <c r="K19" s="3">
        <f>VLOOKUP($A19,'SegEnds_NonXtal_BW#'!$A:$Z,8,FALSE)+VLOOKUP($A19,A:AL,10,FALSE)-50</f>
        <v>89</v>
      </c>
      <c r="L19" s="3">
        <f>M19-1</f>
        <v>91</v>
      </c>
      <c r="M19" s="3">
        <v>92</v>
      </c>
      <c r="N19" s="3">
        <f>M19+2</f>
        <v>94</v>
      </c>
      <c r="O19" s="3">
        <f>N19+1</f>
        <v>95</v>
      </c>
      <c r="P19" s="3">
        <v>124</v>
      </c>
      <c r="Q19" s="3">
        <f>VLOOKUP($A19,'SegEnds_NonXtal_BW#'!$A:$Z,12,FALSE)+VLOOKUP($A19,A:AL,16,FALSE)-50</f>
        <v>130</v>
      </c>
      <c r="R19" s="3">
        <f>IF(ISERROR(VLOOKUP($A19,'SegEnds_NonXtal_BW#'!$A:$Z,13,FALSE)+VLOOKUP($A19,A:AL,19,FALSE)-50),"-",VLOOKUP($A19,'SegEnds_NonXtal_BW#'!$A:$Z,13,FALSE)+VLOOKUP($A19,A:AL,19,FALSE)-50)</f>
        <v>131</v>
      </c>
      <c r="S19" s="3">
        <v>131</v>
      </c>
      <c r="T19" s="100">
        <f>IF(ISERROR(VLOOKUP($A19,'SegEnds_NonXtal_BW#'!$A:$Z,14,FALSE)+VLOOKUP($A19,A:AL,19,FALSE)-50),"-",(VLOOKUP($A19,'SegEnds_NonXtal_BW#'!$A:$Z,14,FALSE)+VLOOKUP($A19,A:AL,19,FALSE)-50))</f>
        <v>138</v>
      </c>
      <c r="U19" s="9">
        <f>IF(ISERROR(VLOOKUP($A19,'SegEnds_NonXtal_BW#'!$A:$Z,15,FALSE)+VLOOKUP($A19,A:AL,22,FALSE)-50),"-",VLOOKUP($A19,'SegEnds_NonXtal_BW#'!$A:$Z,15,FALSE)+VLOOKUP($A19,A:AL,22,FALSE)-50)</f>
        <v>139</v>
      </c>
      <c r="V19" s="3">
        <v>151</v>
      </c>
      <c r="W19" s="3">
        <f>IF(ISERROR(VLOOKUP($A19,'SegEnds_NonXtal_BW#'!$A:$Z,16,FALSE)+VLOOKUP($A19,A:AL,22,FALSE)-50),"-",(VLOOKUP($A19,'SegEnds_NonXtal_BW#'!$A:$Z,16,FALSE)+VLOOKUP($A19,A:AL,22,FALSE)-50))</f>
        <v>166</v>
      </c>
      <c r="X19" s="3">
        <f>IF(ISERROR(VLOOKUP($A19,'SegEnds_NonXtal_BW#'!$A:$Z,17,FALSE)+VLOOKUP($A19,A:AL,25,FALSE)-50),"-",(VLOOKUP($A19,'SegEnds_NonXtal_BW#'!$A:$Z,17,FALSE)+VLOOKUP($A19,A:AL,25,FALSE)-50))</f>
        <v>178</v>
      </c>
      <c r="Y19" s="3">
        <v>178</v>
      </c>
      <c r="Z19" s="3">
        <f>IF(ISERROR(VLOOKUP($A19,'SegEnds_NonXtal_BW#'!$A:$Z,18,FALSE)+VLOOKUP($A19,A:AL,25,FALSE)-50),"-",(VLOOKUP($A19,'SegEnds_NonXtal_BW#'!$A:$Z,18,FALSE)+VLOOKUP($A19,A:AL,25,FALSE)-50))</f>
        <v>180</v>
      </c>
      <c r="AA19" s="3">
        <f>IF(ISERROR(VLOOKUP($A19,'SegEnds_NonXtal_BW#'!$A:$Z,19,FALSE)+VLOOKUP($A19,A:AL,28,FALSE)-50),"-",(VLOOKUP($A19,'SegEnds_NonXtal_BW#'!$A:$Z,19,FALSE)+VLOOKUP($A19,A:AL,28,FALSE)-50))</f>
        <v>187</v>
      </c>
      <c r="AB19" s="3">
        <v>206</v>
      </c>
      <c r="AC19" s="3">
        <f>IF(ISERROR((VLOOKUP($A19,'SegEnds_NonXtal_BW#'!$A:$Z,20,FALSE)+VLOOKUP($A19,A:AL,28,FALSE)-50)),"-",(VLOOKUP($A19,'SegEnds_NonXtal_BW#'!$A:$Z,20,FALSE)+VLOOKUP($A19,A:AL,28,FALSE)-50))</f>
        <v>224</v>
      </c>
      <c r="AD19" s="3">
        <f>IF(ISERROR(VLOOKUP($A19,'SegEnds_NonXtal_BW#'!$A:$Z,21,FALSE)+VLOOKUP($A19,A:AL,31,FALSE)-50),"-",(VLOOKUP($A19,'SegEnds_NonXtal_BW#'!$A:$Z,21,FALSE)+VLOOKUP($A19,A:AL,31,FALSE)-50))</f>
        <v>229</v>
      </c>
      <c r="AE19" s="3">
        <v>255</v>
      </c>
      <c r="AF19" s="3">
        <f>IF(ISERROR((VLOOKUP($A19,'SegEnds_NonXtal_BW#'!$A:$Z,22,FALSE)+VLOOKUP($A19,A:AL,31,FALSE)-50)),"-",(VLOOKUP($A19,'SegEnds_NonXtal_BW#'!$A:$Z,22,FALSE)+VLOOKUP($A19,A:AL,31,FALSE)-50))</f>
        <v>269</v>
      </c>
      <c r="AG19" s="3">
        <f>IF(ISERROR(VLOOKUP($A19,'SegEnds_NonXtal_BW#'!$A:$Z,23,FALSE)+VLOOKUP($A19,A:AL,34,FALSE)-50),"-",(VLOOKUP($A19,'SegEnds_NonXtal_BW#'!$A:$Z,23,FALSE)+VLOOKUP($A19,A:AL,34,FALSE)-50))</f>
        <v>273</v>
      </c>
      <c r="AH19" s="3">
        <v>299</v>
      </c>
      <c r="AI19" s="3">
        <f>IF(ISERROR((VLOOKUP($A19,'SegEnds_NonXtal_BW#'!$A:$Z,24,FALSE)+VLOOKUP($A19,A:AL,34,FALSE)-50)),"-",(VLOOKUP($A19,'SegEnds_NonXtal_BW#'!$A:$Z,24,FALSE)+VLOOKUP($A19,A:AL,34,FALSE)-50))</f>
        <v>305</v>
      </c>
      <c r="AJ19" s="3">
        <f>IF(ISERROR(VLOOKUP($A19,'SegEnds_NonXtal_BW#'!$A:$Z,25,FALSE)+VLOOKUP($A19,A:AL,37,FALSE)-50),"-",(VLOOKUP($A19,'SegEnds_NonXtal_BW#'!$A:$Z,25,FALSE)+VLOOKUP($A19,A:AL,37,FALSE)-50))</f>
        <v>306</v>
      </c>
      <c r="AK19" s="3">
        <v>309</v>
      </c>
      <c r="AL19" s="3">
        <f>IF(ISERROR((VLOOKUP($A19,'SegEnds_NonXtal_BW#'!$A:$Z,26,FALSE)+VLOOKUP($A19,A:AL,37,FALSE)-50)),"-",(VLOOKUP($A19,'SegEnds_NonXtal_BW#'!$A:$Z,26,FALSE)+VLOOKUP($A19,A:AL,37,FALSE)-50))</f>
        <v>320</v>
      </c>
      <c r="AM19" s="28" t="str">
        <f>VLOOKUP(A19,Classification!A:B,2,FALSE)</f>
        <v>A</v>
      </c>
      <c r="AN19" s="28" t="b">
        <f>AND(IF(Y19="-",IF(AA19-W19&gt;3,TRUE,FALSE),TRUE),IF(M19="-",IF(O19-K19&gt;3,TRUE,FALSE),TRUE),IF(AG19-AF19&gt;1,TRUE,FALSE),C19&lt;E19,OR(E19&lt;F19,F19="-"),OR(F19&lt;H19,F19="-"),OR(H19&lt;I19,H19="-"),I19&lt;K19,OR(K19&lt;L19,L19="-"),OR(L19&lt;N19,L19="-"),OR(N19&lt;O19,N19="-"),O19&lt;Q19,OR(Q19&lt;R19,R19="-"),OR(R19&lt;T19,R19="-"),OR(T19&lt;U19,T19="-"),U19&lt;W19,OR(W19&lt;X19,X19="-"),OR(X19&lt;Z19,X19="-"),OR(Z19&lt;AA19,Z19="-"),AA19&lt;AC19,AC19&lt;AD19,AD19&lt;AF19,AF19&lt;AG19,AG19&lt;AI19,OR(AI19&lt;AJ19,AJ19="-"),OR(AJ19&lt;AL19,AJ19="-"))</f>
        <v>1</v>
      </c>
      <c r="AO19" s="3" t="str">
        <f>IF(ISERROR(MATCH(A19,'SegEnds_Xtal_Prot#'!B:B, 0)), "NoXtal", "Xtal")</f>
        <v>Xtal</v>
      </c>
      <c r="AP19" s="3">
        <f>IF(ISERROR(F19-E19),"-",F19-E19)</f>
        <v>1</v>
      </c>
      <c r="AQ19" s="3">
        <f>IF(ISERROR(I19-H19),"-",I19-H19)</f>
        <v>1</v>
      </c>
      <c r="AR19" s="3">
        <f>IF(ISERROR(L19-K19),"-",L19-K19)</f>
        <v>2</v>
      </c>
      <c r="AS19" s="3">
        <f>IF(ISERROR(O19-N19),"-",O19-N19)</f>
        <v>1</v>
      </c>
      <c r="AT19" s="3">
        <f>IF(ISERROR(R19-Q19),"-",R19-Q19)</f>
        <v>1</v>
      </c>
      <c r="AU19" s="3">
        <f>IF(ISERROR(U19-T19),"-",U19-T19)</f>
        <v>1</v>
      </c>
      <c r="AV19" s="3">
        <f>IF(ISERROR(X19-W19),"-",X19-W19)</f>
        <v>12</v>
      </c>
      <c r="AW19" s="3">
        <f>IF(ISERROR(AA19-Z19),"-",AA19-Z19)</f>
        <v>7</v>
      </c>
      <c r="AX19" s="3">
        <f>IF(ISERROR(AD19-AC19),"-",AD19-AC19)</f>
        <v>5</v>
      </c>
      <c r="AY19" s="3">
        <f>IF(ISERROR(AG19-AF19),"-",AG19-AF19)</f>
        <v>4</v>
      </c>
      <c r="AZ19" s="3">
        <f>IF(ISERROR(AJ19-AI19),"-",AJ19-AI19)</f>
        <v>1</v>
      </c>
      <c r="BA19" s="3">
        <f>IF(ISERROR(LEN(VLOOKUP(A19,Seqs!A:E,2,FALSE))-AL19),"-",LEN(VLOOKUP(A19,Seqs!A:E,2,FALSE))-AL19)</f>
        <v>37</v>
      </c>
      <c r="BB19" s="16">
        <f>J19-D19</f>
        <v>28</v>
      </c>
      <c r="BC19" s="9">
        <f>IF(ISERROR(V19-S19),"-",V19-S19)</f>
        <v>20</v>
      </c>
      <c r="BD19" s="3">
        <f>J19-D19</f>
        <v>28</v>
      </c>
      <c r="BE19" s="3">
        <f>AE19-AB19</f>
        <v>49</v>
      </c>
    </row>
    <row r="20" spans="1:60" s="3" customFormat="1" x14ac:dyDescent="0.2">
      <c r="A20" s="3" t="s">
        <v>1462</v>
      </c>
      <c r="B20" s="3" t="str">
        <f>LOWER(VLOOKUP(A20,Xtal_Templ!A:B,2,FALSE))</f>
        <v>q9wtk1_cavpo</v>
      </c>
      <c r="C20" s="3">
        <f>VLOOKUP($A20,'SegEnds_NonXtal_BW#'!$A:$Z,3,FALSE)+D20-50</f>
        <v>17</v>
      </c>
      <c r="D20" s="3">
        <v>38</v>
      </c>
      <c r="E20" s="3">
        <f>IF(ISERROR(VLOOKUP($A20,'SegEnds_NonXtal_BW#'!$A:$Z,4,FALSE)+VLOOKUP($A20,A:AL,4,FALSE)-50),"-",(VLOOKUP($A20,'SegEnds_NonXtal_BW#'!$A:$Z,4,FALSE)+VLOOKUP($A20,A:AL,4,FALSE)-50))</f>
        <v>48</v>
      </c>
      <c r="F20" s="3">
        <f>G20-2</f>
        <v>49</v>
      </c>
      <c r="G20" s="3">
        <v>51</v>
      </c>
      <c r="H20" s="3">
        <f>G20+1</f>
        <v>52</v>
      </c>
      <c r="I20" s="3">
        <f>H20+1</f>
        <v>53</v>
      </c>
      <c r="J20" s="3">
        <v>66</v>
      </c>
      <c r="K20" s="3">
        <f>VLOOKUP($A20,'SegEnds_NonXtal_BW#'!$A:$Z,8,FALSE)+VLOOKUP($A20,A:AL,10,FALSE)-50</f>
        <v>83</v>
      </c>
      <c r="L20" s="3">
        <f>M20-1</f>
        <v>84</v>
      </c>
      <c r="M20" s="3">
        <v>85</v>
      </c>
      <c r="N20" s="3">
        <f>M20+2</f>
        <v>87</v>
      </c>
      <c r="O20" s="3">
        <f>N20+1</f>
        <v>88</v>
      </c>
      <c r="P20" s="3">
        <v>117</v>
      </c>
      <c r="Q20" s="3">
        <f>VLOOKUP($A20,'SegEnds_NonXtal_BW#'!$A:$Z,12,FALSE)+VLOOKUP($A20,A:AL,16,FALSE)-50</f>
        <v>123</v>
      </c>
      <c r="R20" s="3">
        <f>IF(ISERROR(VLOOKUP($A20,'SegEnds_NonXtal_BW#'!$A:$Z,13,FALSE)+VLOOKUP($A20,A:AL,19,FALSE)-50),"-",VLOOKUP($A20,'SegEnds_NonXtal_BW#'!$A:$Z,13,FALSE)+VLOOKUP($A20,A:AL,19,FALSE)-50)</f>
        <v>124</v>
      </c>
      <c r="S20" s="3">
        <v>124</v>
      </c>
      <c r="T20" s="100">
        <f>IF(ISERROR(VLOOKUP($A20,'SegEnds_NonXtal_BW#'!$A:$Z,14,FALSE)+VLOOKUP($A20,A:AL,19,FALSE)-50),"-",(VLOOKUP($A20,'SegEnds_NonXtal_BW#'!$A:$Z,14,FALSE)+VLOOKUP($A20,A:AL,19,FALSE)-50))</f>
        <v>131</v>
      </c>
      <c r="U20" s="9">
        <f>IF(ISERROR(VLOOKUP($A20,'SegEnds_NonXtal_BW#'!$A:$Z,15,FALSE)+VLOOKUP($A20,A:AL,22,FALSE)-50),"-",VLOOKUP($A20,'SegEnds_NonXtal_BW#'!$A:$Z,15,FALSE)+VLOOKUP($A20,A:AL,22,FALSE)-50)</f>
        <v>132</v>
      </c>
      <c r="V20" s="3">
        <v>144</v>
      </c>
      <c r="W20" s="3">
        <f>IF(ISERROR(VLOOKUP($A20,'SegEnds_NonXtal_BW#'!$A:$Z,16,FALSE)+VLOOKUP($A20,A:AL,22,FALSE)-50),"-",(VLOOKUP($A20,'SegEnds_NonXtal_BW#'!$A:$Z,16,FALSE)+VLOOKUP($A20,A:AL,22,FALSE)-50))</f>
        <v>158</v>
      </c>
      <c r="X20" s="3">
        <f>IF(ISERROR(VLOOKUP($A20,'SegEnds_NonXtal_BW#'!$A:$Z,17,FALSE)+VLOOKUP($A20,A:AL,25,FALSE)-50),"-",(VLOOKUP($A20,'SegEnds_NonXtal_BW#'!$A:$Z,17,FALSE)+VLOOKUP($A20,A:AL,25,FALSE)-50))</f>
        <v>170</v>
      </c>
      <c r="Y20" s="3">
        <v>170</v>
      </c>
      <c r="Z20" s="3">
        <f>IF(ISERROR(VLOOKUP($A20,'SegEnds_NonXtal_BW#'!$A:$Z,18,FALSE)+VLOOKUP($A20,A:AL,25,FALSE)-50),"-",(VLOOKUP($A20,'SegEnds_NonXtal_BW#'!$A:$Z,18,FALSE)+VLOOKUP($A20,A:AL,25,FALSE)-50))</f>
        <v>172</v>
      </c>
      <c r="AA20" s="3">
        <f>IF(ISERROR(VLOOKUP($A20,'SegEnds_NonXtal_BW#'!$A:$Z,19,FALSE)+VLOOKUP($A20,A:AL,28,FALSE)-50),"-",(VLOOKUP($A20,'SegEnds_NonXtal_BW#'!$A:$Z,19,FALSE)+VLOOKUP($A20,A:AL,28,FALSE)-50))</f>
        <v>176</v>
      </c>
      <c r="AB20" s="3">
        <v>195</v>
      </c>
      <c r="AC20" s="3">
        <f>IF(ISERROR((VLOOKUP($A20,'SegEnds_NonXtal_BW#'!$A:$Z,20,FALSE)+VLOOKUP($A20,A:AL,28,FALSE)-50)),"-",(VLOOKUP($A20,'SegEnds_NonXtal_BW#'!$A:$Z,20,FALSE)+VLOOKUP($A20,A:AL,28,FALSE)-50))</f>
        <v>213</v>
      </c>
      <c r="AD20" s="3">
        <f>IF(ISERROR(VLOOKUP($A20,'SegEnds_NonXtal_BW#'!$A:$Z,21,FALSE)+VLOOKUP($A20,A:AL,31,FALSE)-50),"-",(VLOOKUP($A20,'SegEnds_NonXtal_BW#'!$A:$Z,21,FALSE)+VLOOKUP($A20,A:AL,31,FALSE)-50))</f>
        <v>218</v>
      </c>
      <c r="AE20" s="3">
        <v>238</v>
      </c>
      <c r="AF20" s="3">
        <f>IF(ISERROR((VLOOKUP($A20,'SegEnds_NonXtal_BW#'!$A:$Z,22,FALSE)+VLOOKUP($A20,A:AL,31,FALSE)-50)),"-",(VLOOKUP($A20,'SegEnds_NonXtal_BW#'!$A:$Z,22,FALSE)+VLOOKUP($A20,A:AL,31,FALSE)-50))</f>
        <v>252</v>
      </c>
      <c r="AG20" s="3">
        <f>IF(ISERROR(VLOOKUP($A20,'SegEnds_NonXtal_BW#'!$A:$Z,23,FALSE)+VLOOKUP($A20,A:AL,34,FALSE)-50),"-",(VLOOKUP($A20,'SegEnds_NonXtal_BW#'!$A:$Z,23,FALSE)+VLOOKUP($A20,A:AL,34,FALSE)-50))</f>
        <v>255</v>
      </c>
      <c r="AH20" s="3">
        <v>281</v>
      </c>
      <c r="AI20" s="3">
        <f>IF(ISERROR((VLOOKUP($A20,'SegEnds_NonXtal_BW#'!$A:$Z,24,FALSE)+VLOOKUP($A20,A:AL,34,FALSE)-50)),"-",(VLOOKUP($A20,'SegEnds_NonXtal_BW#'!$A:$Z,24,FALSE)+VLOOKUP($A20,A:AL,34,FALSE)-50))</f>
        <v>287</v>
      </c>
      <c r="AJ20" s="3">
        <f>IF(ISERROR(VLOOKUP($A20,'SegEnds_NonXtal_BW#'!$A:$Z,25,FALSE)+VLOOKUP($A20,A:AL,37,FALSE)-50),"-",(VLOOKUP($A20,'SegEnds_NonXtal_BW#'!$A:$Z,25,FALSE)+VLOOKUP($A20,A:AL,37,FALSE)-50))</f>
        <v>288</v>
      </c>
      <c r="AK20" s="3">
        <v>291</v>
      </c>
      <c r="AL20" s="3">
        <f>IF(ISERROR((VLOOKUP($A20,'SegEnds_NonXtal_BW#'!$A:$Z,26,FALSE)+VLOOKUP($A20,A:AL,37,FALSE)-50)),"-",(VLOOKUP($A20,'SegEnds_NonXtal_BW#'!$A:$Z,26,FALSE)+VLOOKUP($A20,A:AL,37,FALSE)-50))</f>
        <v>302</v>
      </c>
      <c r="AM20" s="28" t="str">
        <f>VLOOKUP(A20,Classification!A:B,2,FALSE)</f>
        <v>A</v>
      </c>
      <c r="AN20" s="28" t="b">
        <f>AND(IF(Y20="-",IF(AA20-W20&gt;3,TRUE,FALSE),TRUE),IF(M20="-",IF(O20-K20&gt;3,TRUE,FALSE),TRUE),IF(AG20-AF20&gt;1,TRUE,FALSE),C20&lt;E20,OR(E20&lt;F20,F20="-"),OR(F20&lt;H20,F20="-"),OR(H20&lt;I20,H20="-"),I20&lt;K20,OR(K20&lt;L20,L20="-"),OR(L20&lt;N20,L20="-"),OR(N20&lt;O20,N20="-"),O20&lt;Q20,OR(Q20&lt;R20,R20="-"),OR(R20&lt;T20,R20="-"),OR(T20&lt;U20,T20="-"),U20&lt;W20,OR(W20&lt;X20,X20="-"),OR(X20&lt;Z20,X20="-"),OR(Z20&lt;AA20,Z20="-"),AA20&lt;AC20,AC20&lt;AD20,AD20&lt;AF20,AF20&lt;AG20,AG20&lt;AI20,OR(AI20&lt;AJ20,AJ20="-"),OR(AJ20&lt;AL20,AJ20="-"))</f>
        <v>1</v>
      </c>
      <c r="AO20" s="3" t="str">
        <f>IF(ISERROR(MATCH(A20,'SegEnds_Xtal_Prot#'!B:B, 0)), "NoXtal", "Xtal")</f>
        <v>Xtal</v>
      </c>
      <c r="AP20" s="3">
        <f>IF(ISERROR(F20-E20),"-",F20-E20)</f>
        <v>1</v>
      </c>
      <c r="AQ20" s="3">
        <f>IF(ISERROR(I20-H20),"-",I20-H20)</f>
        <v>1</v>
      </c>
      <c r="AR20" s="3">
        <f>IF(ISERROR(L20-K20),"-",L20-K20)</f>
        <v>1</v>
      </c>
      <c r="AS20" s="3">
        <f>IF(ISERROR(O20-N20),"-",O20-N20)</f>
        <v>1</v>
      </c>
      <c r="AT20" s="3">
        <f>IF(ISERROR(R20-Q20),"-",R20-Q20)</f>
        <v>1</v>
      </c>
      <c r="AU20" s="3">
        <f>IF(ISERROR(U20-T20),"-",U20-T20)</f>
        <v>1</v>
      </c>
      <c r="AV20" s="3">
        <f>IF(ISERROR(X20-W20),"-",X20-W20)</f>
        <v>12</v>
      </c>
      <c r="AW20" s="3">
        <f>IF(ISERROR(AA20-Z20),"-",AA20-Z20)</f>
        <v>4</v>
      </c>
      <c r="AX20" s="3">
        <f>IF(ISERROR(AD20-AC20),"-",AD20-AC20)</f>
        <v>5</v>
      </c>
      <c r="AY20" s="3">
        <f>IF(ISERROR(AG20-AF20),"-",AG20-AF20)</f>
        <v>3</v>
      </c>
      <c r="AZ20" s="3">
        <f>IF(ISERROR(AJ20-AI20),"-",AJ20-AI20)</f>
        <v>1</v>
      </c>
      <c r="BA20" s="3">
        <f>IF(ISERROR(LEN(VLOOKUP(A20,Seqs!A:E,2,FALSE))-AL20),"-",LEN(VLOOKUP(A20,Seqs!A:E,2,FALSE))-AL20)</f>
        <v>46</v>
      </c>
      <c r="BB20" s="16">
        <f>J20-D20</f>
        <v>28</v>
      </c>
      <c r="BC20" s="9">
        <f>IF(ISERROR(V20-S20),"-",V20-S20)</f>
        <v>20</v>
      </c>
      <c r="BD20" s="3">
        <f>J20-D20</f>
        <v>28</v>
      </c>
      <c r="BE20" s="3">
        <f>AE20-AB20</f>
        <v>43</v>
      </c>
    </row>
    <row r="21" spans="1:60" s="3" customFormat="1" x14ac:dyDescent="0.2">
      <c r="A21" s="3" t="s">
        <v>334</v>
      </c>
      <c r="B21" s="3" t="s">
        <v>920</v>
      </c>
      <c r="C21" s="3">
        <f>VLOOKUP($A21,'SegEnds_NonXtal_BW#'!$A:$Z,3,FALSE)+D21-50</f>
        <v>29</v>
      </c>
      <c r="D21" s="3">
        <v>51</v>
      </c>
      <c r="E21" s="3">
        <f>IF(ISERROR(VLOOKUP($A21,'SegEnds_NonXtal_BW#'!$A:$Z,4,FALSE)+VLOOKUP($A21,A:AL,4,FALSE)-50),"-",(VLOOKUP($A21,'SegEnds_NonXtal_BW#'!$A:$Z,4,FALSE)+VLOOKUP($A21,A:AL,4,FALSE)-50))</f>
        <v>61</v>
      </c>
      <c r="F21" s="3">
        <f t="shared" si="23"/>
        <v>63</v>
      </c>
      <c r="G21" s="3">
        <v>65</v>
      </c>
      <c r="H21" s="3">
        <f t="shared" si="24"/>
        <v>66</v>
      </c>
      <c r="I21" s="3">
        <f t="shared" si="24"/>
        <v>67</v>
      </c>
      <c r="J21" s="3">
        <v>79</v>
      </c>
      <c r="K21" s="3">
        <v>97</v>
      </c>
      <c r="L21" s="3">
        <f>M21-1</f>
        <v>98</v>
      </c>
      <c r="M21" s="3">
        <v>99</v>
      </c>
      <c r="N21" s="3">
        <f>M21+2</f>
        <v>101</v>
      </c>
      <c r="O21" s="3">
        <f t="shared" si="22"/>
        <v>102</v>
      </c>
      <c r="P21" s="3">
        <v>131</v>
      </c>
      <c r="Q21" s="3">
        <f>VLOOKUP($A21,'SegEnds_NonXtal_BW#'!$A:$Z,12,FALSE)+VLOOKUP($A21,A:AL,16,FALSE)-50</f>
        <v>137</v>
      </c>
      <c r="R21" s="3">
        <f>IF(ISERROR(VLOOKUP($A21,'SegEnds_NonXtal_BW#'!$A:$Z,13,FALSE)+VLOOKUP($A21,A:AL,19,FALSE)-50),"-",VLOOKUP($A21,'SegEnds_NonXtal_BW#'!$A:$Z,13,FALSE)+VLOOKUP($A21,A:AL,19,FALSE)-50)</f>
        <v>138</v>
      </c>
      <c r="S21" s="3">
        <v>138</v>
      </c>
      <c r="T21" s="100">
        <f>IF(ISERROR(VLOOKUP($A21,'SegEnds_NonXtal_BW#'!$A:$Z,14,FALSE)+VLOOKUP($A21,A:AL,19,FALSE)-50),"-",(VLOOKUP($A21,'SegEnds_NonXtal_BW#'!$A:$Z,14,FALSE)+VLOOKUP($A21,A:AL,19,FALSE)-50))</f>
        <v>144</v>
      </c>
      <c r="U21" s="9">
        <f>IF(ISERROR(VLOOKUP($A21,'SegEnds_NonXtal_BW#'!$A:$Z,15,FALSE)+VLOOKUP($A21,A:AL,22,FALSE)-50),"-",VLOOKUP($A21,'SegEnds_NonXtal_BW#'!$A:$Z,15,FALSE)+VLOOKUP($A21,A:AL,22,FALSE)-50)</f>
        <v>145</v>
      </c>
      <c r="V21" s="3">
        <v>157</v>
      </c>
      <c r="W21" s="3">
        <f>IF(ISERROR(VLOOKUP($A21,'SegEnds_NonXtal_BW#'!$A:$Z,16,FALSE)+VLOOKUP($A21,A:AL,22,FALSE)-50),"-",(VLOOKUP($A21,'SegEnds_NonXtal_BW#'!$A:$Z,16,FALSE)+VLOOKUP($A21,A:AL,22,FALSE)-50))</f>
        <v>169</v>
      </c>
      <c r="X21" s="3">
        <f>IF(ISERROR(VLOOKUP($A21,'SegEnds_NonXtal_BW#'!$A:$Z,17,FALSE)+VLOOKUP($A21,A:AL,25,FALSE)-50),"-",(VLOOKUP($A21,'SegEnds_NonXtal_BW#'!$A:$Z,17,FALSE)+VLOOKUP($A21,A:AL,25,FALSE)-50))</f>
        <v>183</v>
      </c>
      <c r="Y21" s="3">
        <v>183</v>
      </c>
      <c r="Z21" s="3">
        <f t="shared" ref="Z21:Z30" si="25">Y21+2</f>
        <v>185</v>
      </c>
      <c r="AA21" s="3">
        <f>IF(ISERROR(VLOOKUP($A21,'SegEnds_NonXtal_BW#'!$A:$Z,19,FALSE)+VLOOKUP($A21,A:AL,28,FALSE)-50),"-",(VLOOKUP($A21,'SegEnds_NonXtal_BW#'!$A:$Z,19,FALSE)+VLOOKUP($A21,A:AL,28,FALSE)-50))</f>
        <v>195</v>
      </c>
      <c r="AB21" s="3">
        <v>211</v>
      </c>
      <c r="AC21" s="3">
        <f>IF(ISERROR((VLOOKUP($A21,'SegEnds_NonXtal_BW#'!$A:$Z,20,FALSE)+VLOOKUP($A21,A:AL,28,FALSE)-50)),"-",(VLOOKUP($A21,'SegEnds_NonXtal_BW#'!$A:$Z,20,FALSE)+VLOOKUP($A21,A:AL,28,FALSE)-50))</f>
        <v>234</v>
      </c>
      <c r="AD21" s="3">
        <f>IF(ISERROR(VLOOKUP($A21,'SegEnds_NonXtal_BW#'!$A:$Z,21,FALSE)+VLOOKUP($A21,A:AL,31,FALSE)-50),"-",(VLOOKUP($A21,'SegEnds_NonXtal_BW#'!$A:$Z,21,FALSE)+VLOOKUP($A21,A:AL,31,FALSE)-50))</f>
        <v>239</v>
      </c>
      <c r="AE21" s="3">
        <v>267</v>
      </c>
      <c r="AF21" s="3">
        <f>IF(ISERROR((VLOOKUP($A21,'SegEnds_NonXtal_BW#'!$A:$Z,22,FALSE)+VLOOKUP($A21,A:AL,31,FALSE)-50)),"-",(VLOOKUP($A21,'SegEnds_NonXtal_BW#'!$A:$Z,22,FALSE)+VLOOKUP($A21,A:AL,31,FALSE)-50))</f>
        <v>278</v>
      </c>
      <c r="AG21" s="3">
        <f>IF(ISERROR(VLOOKUP($A21,'SegEnds_NonXtal_BW#'!$A:$Z,23,FALSE)+VLOOKUP($A21,A:AL,34,FALSE)-50),"-",(VLOOKUP($A21,'SegEnds_NonXtal_BW#'!$A:$Z,23,FALSE)+VLOOKUP($A21,A:AL,34,FALSE)-50))</f>
        <v>284</v>
      </c>
      <c r="AH21" s="3">
        <v>303</v>
      </c>
      <c r="AI21" s="3">
        <f>IF(ISERROR((VLOOKUP($A21,'SegEnds_NonXtal_BW#'!$A:$Z,24,FALSE)+VLOOKUP($A21,A:AL,34,FALSE)-50)),"-",(VLOOKUP($A21,'SegEnds_NonXtal_BW#'!$A:$Z,24,FALSE)+VLOOKUP($A21,A:AL,34,FALSE)-50))</f>
        <v>309</v>
      </c>
      <c r="AJ21" s="3">
        <f>IF(ISERROR(VLOOKUP($A21,'SegEnds_NonXtal_BW#'!$A:$Z,25,FALSE)+VLOOKUP($A21,A:AL,37,FALSE)-50),"-",(VLOOKUP($A21,'SegEnds_NonXtal_BW#'!$A:$Z,25,FALSE)+VLOOKUP($A21,A:AL,37,FALSE)-50))</f>
        <v>310</v>
      </c>
      <c r="AK21" s="3">
        <v>313</v>
      </c>
      <c r="AL21" s="3">
        <f>IF(ISERROR((VLOOKUP($A21,'SegEnds_NonXtal_BW#'!$A:$Z,26,FALSE)+VLOOKUP($A21,A:AL,37,FALSE)-50)),"-",(VLOOKUP($A21,'SegEnds_NonXtal_BW#'!$A:$Z,26,FALSE)+VLOOKUP($A21,A:AL,37,FALSE)-50))</f>
        <v>322</v>
      </c>
      <c r="AM21" s="28" t="str">
        <f>VLOOKUP(A21,Classification!A:B,2,FALSE)</f>
        <v>A</v>
      </c>
      <c r="AN21" s="28" t="b">
        <f t="shared" si="17"/>
        <v>1</v>
      </c>
      <c r="AO21" s="3" t="str">
        <f>IF(ISERROR(MATCH(A21,'SegEnds_Xtal_Prot#'!B:B, 0)), "NoXtal", "Xtal")</f>
        <v>NoXtal</v>
      </c>
      <c r="AP21" s="3">
        <f t="shared" si="2"/>
        <v>2</v>
      </c>
      <c r="AQ21" s="3">
        <f t="shared" si="3"/>
        <v>1</v>
      </c>
      <c r="AR21" s="3">
        <f t="shared" si="4"/>
        <v>1</v>
      </c>
      <c r="AS21" s="3">
        <f t="shared" si="5"/>
        <v>1</v>
      </c>
      <c r="AT21" s="3">
        <f t="shared" si="6"/>
        <v>1</v>
      </c>
      <c r="AU21" s="3">
        <f t="shared" si="7"/>
        <v>1</v>
      </c>
      <c r="AV21" s="3">
        <f t="shared" si="8"/>
        <v>14</v>
      </c>
      <c r="AW21" s="3">
        <f t="shared" si="9"/>
        <v>10</v>
      </c>
      <c r="AX21" s="3">
        <f t="shared" si="10"/>
        <v>5</v>
      </c>
      <c r="AY21" s="3">
        <f t="shared" si="11"/>
        <v>6</v>
      </c>
      <c r="AZ21" s="3">
        <f t="shared" si="12"/>
        <v>1</v>
      </c>
      <c r="BA21" s="3">
        <f>IF(ISERROR(LEN(VLOOKUP(A21,Seqs!A:E,2,FALSE))-AL21),"-",LEN(VLOOKUP(A21,Seqs!A:E,2,FALSE))-AL21)</f>
        <v>32</v>
      </c>
      <c r="BB21" s="16">
        <f t="shared" si="13"/>
        <v>28</v>
      </c>
      <c r="BC21" s="9">
        <f t="shared" si="14"/>
        <v>19</v>
      </c>
      <c r="BD21" s="3">
        <f t="shared" si="15"/>
        <v>28</v>
      </c>
      <c r="BE21" s="3">
        <f t="shared" si="16"/>
        <v>56</v>
      </c>
    </row>
    <row r="22" spans="1:60" s="3" customFormat="1" x14ac:dyDescent="0.2">
      <c r="A22" s="3" t="s">
        <v>338</v>
      </c>
      <c r="B22" s="3" t="str">
        <f>LOWER(VLOOKUP(A22,Xtal_Templ!A:B,2,FALSE))</f>
        <v>opsd_human</v>
      </c>
      <c r="C22" s="3">
        <f>VLOOKUP($A22,'SegEnds_NonXtal_BW#'!$A:$Z,3,FALSE)+D22-50</f>
        <v>31</v>
      </c>
      <c r="D22" s="3">
        <v>52</v>
      </c>
      <c r="E22" s="3">
        <f>IF(ISERROR(VLOOKUP($A22,'SegEnds_NonXtal_BW#'!$A:$Z,4,FALSE)+VLOOKUP($A22,A:AL,4,FALSE)-50),"-",(VLOOKUP($A22,'SegEnds_NonXtal_BW#'!$A:$Z,4,FALSE)+VLOOKUP($A22,A:AL,4,FALSE)-50))</f>
        <v>62</v>
      </c>
      <c r="F22" s="3">
        <f t="shared" si="23"/>
        <v>63</v>
      </c>
      <c r="G22" s="3">
        <v>65</v>
      </c>
      <c r="H22" s="3">
        <f t="shared" si="24"/>
        <v>66</v>
      </c>
      <c r="I22" s="3">
        <f t="shared" si="24"/>
        <v>67</v>
      </c>
      <c r="J22" s="3">
        <v>80</v>
      </c>
      <c r="K22" s="3">
        <f>VLOOKUP($A22,'SegEnds_NonXtal_BW#'!$A:$Z,8,FALSE)+VLOOKUP($A22,A:AL,10,FALSE)-50</f>
        <v>97</v>
      </c>
      <c r="L22" s="3">
        <f>M22-1</f>
        <v>99</v>
      </c>
      <c r="M22" s="3">
        <v>100</v>
      </c>
      <c r="N22" s="3">
        <f>M22+2</f>
        <v>102</v>
      </c>
      <c r="O22" s="3">
        <f t="shared" si="22"/>
        <v>103</v>
      </c>
      <c r="P22" s="3">
        <v>132</v>
      </c>
      <c r="Q22" s="3">
        <f>VLOOKUP($A22,'SegEnds_NonXtal_BW#'!$A:$Z,12,FALSE)+VLOOKUP($A22,A:AL,16,FALSE)-50</f>
        <v>138</v>
      </c>
      <c r="R22" s="3">
        <f>IF(ISERROR(VLOOKUP($A22,'SegEnds_NonXtal_BW#'!$A:$Z,13,FALSE)+VLOOKUP($A22,A:AL,19,FALSE)-50),"-",VLOOKUP($A22,'SegEnds_NonXtal_BW#'!$A:$Z,13,FALSE)+VLOOKUP($A22,A:AL,19,FALSE)-50)</f>
        <v>139</v>
      </c>
      <c r="S22" s="3">
        <v>139</v>
      </c>
      <c r="T22" s="100">
        <f>IF(ISERROR(VLOOKUP($A22,'SegEnds_NonXtal_BW#'!$A:$Z,14,FALSE)+VLOOKUP($A22,A:AL,19,FALSE)-50),"-",(VLOOKUP($A22,'SegEnds_NonXtal_BW#'!$A:$Z,14,FALSE)+VLOOKUP($A22,A:AL,19,FALSE)-50))</f>
        <v>145</v>
      </c>
      <c r="U22" s="9">
        <f>IF(ISERROR(VLOOKUP($A22,'SegEnds_NonXtal_BW#'!$A:$Z,15,FALSE)+VLOOKUP($A22,A:AL,22,FALSE)-50),"-",VLOOKUP($A22,'SegEnds_NonXtal_BW#'!$A:$Z,15,FALSE)+VLOOKUP($A22,A:AL,22,FALSE)-50)</f>
        <v>146</v>
      </c>
      <c r="V22" s="3">
        <v>158</v>
      </c>
      <c r="W22" s="3">
        <f>IF(ISERROR(VLOOKUP($A22,'SegEnds_NonXtal_BW#'!$A:$Z,16,FALSE)+VLOOKUP($A22,A:AL,22,FALSE)-50),"-",(VLOOKUP($A22,'SegEnds_NonXtal_BW#'!$A:$Z,16,FALSE)+VLOOKUP($A22,A:AL,22,FALSE)-50))</f>
        <v>170</v>
      </c>
      <c r="X22" s="3">
        <f>IF(ISERROR(VLOOKUP($A22,'SegEnds_NonXtal_BW#'!$A:$Z,17,FALSE)+VLOOKUP($A22,A:AL,25,FALSE)-50),"-",(VLOOKUP($A22,'SegEnds_NonXtal_BW#'!$A:$Z,17,FALSE)+VLOOKUP($A22,A:AL,25,FALSE)-50))</f>
        <v>184</v>
      </c>
      <c r="Y22" s="3">
        <v>184</v>
      </c>
      <c r="Z22" s="3">
        <f t="shared" si="25"/>
        <v>186</v>
      </c>
      <c r="AA22" s="3">
        <f>IF(ISERROR(VLOOKUP($A22,'SegEnds_NonXtal_BW#'!$A:$Z,19,FALSE)+VLOOKUP($A22,A:AL,28,FALSE)-50),"-",(VLOOKUP($A22,'SegEnds_NonXtal_BW#'!$A:$Z,19,FALSE)+VLOOKUP($A22,A:AL,28,FALSE)-50))</f>
        <v>196</v>
      </c>
      <c r="AB22" s="3">
        <v>212</v>
      </c>
      <c r="AC22" s="3">
        <f>IF(ISERROR((VLOOKUP($A22,'SegEnds_NonXtal_BW#'!$A:$Z,20,FALSE)+VLOOKUP($A22,A:AL,28,FALSE)-50)),"-",(VLOOKUP($A22,'SegEnds_NonXtal_BW#'!$A:$Z,20,FALSE)+VLOOKUP($A22,A:AL,28,FALSE)-50))</f>
        <v>234</v>
      </c>
      <c r="AD22" s="3">
        <f>IF(ISERROR(VLOOKUP($A22,'SegEnds_NonXtal_BW#'!$A:$Z,21,FALSE)+VLOOKUP($A22,A:AL,31,FALSE)-50),"-",(VLOOKUP($A22,'SegEnds_NonXtal_BW#'!$A:$Z,21,FALSE)+VLOOKUP($A22,A:AL,31,FALSE)-50))</f>
        <v>238</v>
      </c>
      <c r="AE22" s="3">
        <v>264</v>
      </c>
      <c r="AF22" s="3">
        <f>IF(ISERROR((VLOOKUP($A22,'SegEnds_NonXtal_BW#'!$A:$Z,22,FALSE)+VLOOKUP($A22,A:AL,31,FALSE)-50)),"-",(VLOOKUP($A22,'SegEnds_NonXtal_BW#'!$A:$Z,22,FALSE)+VLOOKUP($A22,A:AL,31,FALSE)-50))</f>
        <v>275</v>
      </c>
      <c r="AG22" s="3">
        <f>IF(ISERROR(VLOOKUP($A22,'SegEnds_NonXtal_BW#'!$A:$Z,23,FALSE)+VLOOKUP($A22,A:AL,34,FALSE)-50),"-",(VLOOKUP($A22,'SegEnds_NonXtal_BW#'!$A:$Z,23,FALSE)+VLOOKUP($A22,A:AL,34,FALSE)-50))</f>
        <v>281</v>
      </c>
      <c r="AH22" s="3">
        <v>300</v>
      </c>
      <c r="AI22" s="3">
        <f>IF(ISERROR((VLOOKUP($A22,'SegEnds_NonXtal_BW#'!$A:$Z,24,FALSE)+VLOOKUP($A22,A:AL,34,FALSE)-50)),"-",(VLOOKUP($A22,'SegEnds_NonXtal_BW#'!$A:$Z,24,FALSE)+VLOOKUP($A22,A:AL,34,FALSE)-50))</f>
        <v>306</v>
      </c>
      <c r="AJ22" s="3">
        <f>IF(ISERROR(VLOOKUP($A22,'SegEnds_NonXtal_BW#'!$A:$Z,25,FALSE)+VLOOKUP($A22,A:AL,37,FALSE)-50),"-",(VLOOKUP($A22,'SegEnds_NonXtal_BW#'!$A:$Z,25,FALSE)+VLOOKUP($A22,A:AL,37,FALSE)-50))</f>
        <v>307</v>
      </c>
      <c r="AK22" s="3">
        <v>310</v>
      </c>
      <c r="AL22" s="3">
        <f>IF(ISERROR((VLOOKUP($A22,'SegEnds_NonXtal_BW#'!$A:$Z,26,FALSE)+VLOOKUP($A22,A:AL,37,FALSE)-50)),"-",(VLOOKUP($A22,'SegEnds_NonXtal_BW#'!$A:$Z,26,FALSE)+VLOOKUP($A22,A:AL,37,FALSE)-50))</f>
        <v>319</v>
      </c>
      <c r="AM22" s="28" t="str">
        <f>VLOOKUP(A22,Classification!A:B,2,FALSE)</f>
        <v>A</v>
      </c>
      <c r="AN22" s="28" t="b">
        <f t="shared" si="17"/>
        <v>1</v>
      </c>
      <c r="AO22" s="3" t="str">
        <f>IF(ISERROR(MATCH(A22,'SegEnds_Xtal_Prot#'!B:B, 0)), "NoXtal", "Xtal")</f>
        <v>NoXtal</v>
      </c>
      <c r="AP22" s="3">
        <f t="shared" si="2"/>
        <v>1</v>
      </c>
      <c r="AQ22" s="3">
        <f t="shared" si="3"/>
        <v>1</v>
      </c>
      <c r="AR22" s="3">
        <f t="shared" si="4"/>
        <v>2</v>
      </c>
      <c r="AS22" s="3">
        <f t="shared" si="5"/>
        <v>1</v>
      </c>
      <c r="AT22" s="3">
        <f t="shared" si="6"/>
        <v>1</v>
      </c>
      <c r="AU22" s="3">
        <f t="shared" si="7"/>
        <v>1</v>
      </c>
      <c r="AV22" s="3">
        <f t="shared" si="8"/>
        <v>14</v>
      </c>
      <c r="AW22" s="3">
        <f t="shared" si="9"/>
        <v>10</v>
      </c>
      <c r="AX22" s="3">
        <f t="shared" si="10"/>
        <v>4</v>
      </c>
      <c r="AY22" s="3">
        <f t="shared" si="11"/>
        <v>6</v>
      </c>
      <c r="AZ22" s="3">
        <f t="shared" si="12"/>
        <v>1</v>
      </c>
      <c r="BA22" s="3">
        <f>IF(ISERROR(LEN(VLOOKUP(A22,Seqs!A:E,2,FALSE))-AL22),"-",LEN(VLOOKUP(A22,Seqs!A:E,2,FALSE))-AL22)</f>
        <v>29</v>
      </c>
      <c r="BB22" s="16">
        <f t="shared" si="13"/>
        <v>28</v>
      </c>
      <c r="BC22" s="9">
        <f t="shared" si="14"/>
        <v>19</v>
      </c>
      <c r="BD22" s="3">
        <f t="shared" si="15"/>
        <v>28</v>
      </c>
      <c r="BE22" s="3">
        <f t="shared" si="16"/>
        <v>52</v>
      </c>
      <c r="BF22" s="3">
        <f t="shared" ref="BF22:BF27" si="26">AH22-AE22</f>
        <v>36</v>
      </c>
    </row>
    <row r="23" spans="1:60" s="3" customFormat="1" x14ac:dyDescent="0.2">
      <c r="A23" s="3" t="s">
        <v>920</v>
      </c>
      <c r="B23" s="3" t="str">
        <f>LOWER(VLOOKUP(A23,Xtal_Templ!A:B,2,FALSE))</f>
        <v>opsd_bovin</v>
      </c>
      <c r="C23" s="3">
        <f>VLOOKUP($A23,'SegEnds_NonXtal_BW#'!$A:$Z,3,FALSE)+D23-50</f>
        <v>33</v>
      </c>
      <c r="D23" s="3">
        <v>55</v>
      </c>
      <c r="E23" s="3">
        <f>IF(ISERROR(VLOOKUP($A23,'SegEnds_NonXtal_BW#'!$A:$Z,4,FALSE)+VLOOKUP($A23,A:AL,4,FALSE)-50),"-",(VLOOKUP($A23,'SegEnds_NonXtal_BW#'!$A:$Z,4,FALSE)+VLOOKUP($A23,A:AL,4,FALSE)-50))</f>
        <v>65</v>
      </c>
      <c r="F23" s="3">
        <f t="shared" si="23"/>
        <v>66</v>
      </c>
      <c r="G23" s="3">
        <v>68</v>
      </c>
      <c r="H23" s="3">
        <f t="shared" si="24"/>
        <v>69</v>
      </c>
      <c r="I23" s="3">
        <f t="shared" si="24"/>
        <v>70</v>
      </c>
      <c r="J23" s="3">
        <v>83</v>
      </c>
      <c r="K23" s="3">
        <f>VLOOKUP($A23,'SegEnds_NonXtal_BW#'!$A:$Z,8,FALSE)+VLOOKUP($A23,A:AL,10,FALSE)-50</f>
        <v>100</v>
      </c>
      <c r="L23" s="3">
        <f>IF(ISERROR(VLOOKUP($A23,'SegEnds_NonXtal_BW#'!$A:$Z,9,FALSE)+VLOOKUP($A23,A:AL,13,FALSE)-50),"-",(VLOOKUP($A23,'SegEnds_NonXtal_BW#'!$A:$Z,9,FALSE)+VLOOKUP($A23,A:AL,13,FALSE)-50))</f>
        <v>102</v>
      </c>
      <c r="M23" s="3">
        <v>103</v>
      </c>
      <c r="N23" s="3">
        <f>IF(ISERROR(VLOOKUP($A23,'SegEnds_NonXtal_BW#'!$A:$Z,10,FALSE)+VLOOKUP($A23,A:AL,13,FALSE)-50),"-",(VLOOKUP($A23,'SegEnds_NonXtal_BW#'!$A:$Z,10,FALSE)+VLOOKUP($A23,A:AL,13,FALSE)-50))</f>
        <v>105</v>
      </c>
      <c r="O23" s="3">
        <f t="shared" si="22"/>
        <v>106</v>
      </c>
      <c r="P23" s="3">
        <v>135</v>
      </c>
      <c r="Q23" s="3">
        <f>VLOOKUP($A23,'SegEnds_NonXtal_BW#'!$A:$Z,12,FALSE)+VLOOKUP($A23,A:AL,16,FALSE)-50</f>
        <v>141</v>
      </c>
      <c r="R23" s="3">
        <f>IF(ISERROR(VLOOKUP($A23,'SegEnds_NonXtal_BW#'!$A:$Z,13,FALSE)+VLOOKUP($A23,A:AL,19,FALSE)-50),"-",VLOOKUP($A23,'SegEnds_NonXtal_BW#'!$A:$Z,13,FALSE)+VLOOKUP($A23,A:AL,19,FALSE)-50)</f>
        <v>142</v>
      </c>
      <c r="S23" s="3">
        <v>142</v>
      </c>
      <c r="T23" s="100">
        <f>IF(ISERROR(VLOOKUP($A23,'SegEnds_NonXtal_BW#'!$A:$Z,14,FALSE)+VLOOKUP($A23,A:AL,19,FALSE)-50),"-",(VLOOKUP($A23,'SegEnds_NonXtal_BW#'!$A:$Z,14,FALSE)+VLOOKUP($A23,A:AL,19,FALSE)-50))</f>
        <v>148</v>
      </c>
      <c r="U23" s="9">
        <f>IF(ISERROR(VLOOKUP($A23,'SegEnds_NonXtal_BW#'!$A:$Z,15,FALSE)+VLOOKUP($A23,A:AL,22,FALSE)-50),"-",VLOOKUP($A23,'SegEnds_NonXtal_BW#'!$A:$Z,15,FALSE)+VLOOKUP($A23,A:AL,22,FALSE)-50)</f>
        <v>149</v>
      </c>
      <c r="V23" s="3">
        <v>161</v>
      </c>
      <c r="W23" s="3">
        <f>IF(ISERROR(VLOOKUP($A23,'SegEnds_NonXtal_BW#'!$A:$Z,16,FALSE)+VLOOKUP($A23,A:AL,22,FALSE)-50),"-",(VLOOKUP($A23,'SegEnds_NonXtal_BW#'!$A:$Z,16,FALSE)+VLOOKUP($A23,A:AL,22,FALSE)-50))</f>
        <v>173</v>
      </c>
      <c r="X23" s="3">
        <f>IF(ISERROR(VLOOKUP($A23,'SegEnds_NonXtal_BW#'!$A:$Z,17,FALSE)+VLOOKUP($A23,A:AL,25,FALSE)-50),"-",(VLOOKUP($A23,'SegEnds_NonXtal_BW#'!$A:$Z,17,FALSE)+VLOOKUP($A23,A:AL,25,FALSE)-50))</f>
        <v>187</v>
      </c>
      <c r="Y23" s="3">
        <v>187</v>
      </c>
      <c r="Z23" s="3">
        <f t="shared" si="25"/>
        <v>189</v>
      </c>
      <c r="AA23" s="3">
        <f>IF(ISERROR(VLOOKUP($A23,'SegEnds_NonXtal_BW#'!$A:$Z,19,FALSE)+VLOOKUP($A23,A:AL,28,FALSE)-50),"-",(VLOOKUP($A23,'SegEnds_NonXtal_BW#'!$A:$Z,19,FALSE)+VLOOKUP($A23,A:AL,28,FALSE)-50))</f>
        <v>199</v>
      </c>
      <c r="AB23" s="3">
        <v>215</v>
      </c>
      <c r="AC23" s="3">
        <f>IF(ISERROR((VLOOKUP($A23,'SegEnds_NonXtal_BW#'!$A:$Z,20,FALSE)+VLOOKUP($A23,A:AL,28,FALSE)-50)),"-",(VLOOKUP($A23,'SegEnds_NonXtal_BW#'!$A:$Z,20,FALSE)+VLOOKUP($A23,A:AL,28,FALSE)-50))</f>
        <v>237</v>
      </c>
      <c r="AD23" s="3">
        <f>IF(ISERROR(VLOOKUP($A23,'SegEnds_NonXtal_BW#'!$A:$Z,21,FALSE)+VLOOKUP($A23,A:AL,31,FALSE)-50),"-",(VLOOKUP($A23,'SegEnds_NonXtal_BW#'!$A:$Z,21,FALSE)+VLOOKUP($A23,A:AL,31,FALSE)-50))</f>
        <v>241</v>
      </c>
      <c r="AE23" s="3">
        <v>267</v>
      </c>
      <c r="AF23" s="3">
        <f>IF(ISERROR((VLOOKUP($A23,'SegEnds_NonXtal_BW#'!$A:$Z,22,FALSE)+VLOOKUP($A23,A:AL,31,FALSE)-50)),"-",(VLOOKUP($A23,'SegEnds_NonXtal_BW#'!$A:$Z,22,FALSE)+VLOOKUP($A23,A:AL,31,FALSE)-50))</f>
        <v>278</v>
      </c>
      <c r="AG23" s="3">
        <f>IF(ISERROR(VLOOKUP($A23,'SegEnds_NonXtal_BW#'!$A:$Z,23,FALSE)+VLOOKUP($A23,A:AL,34,FALSE)-50),"-",(VLOOKUP($A23,'SegEnds_NonXtal_BW#'!$A:$Z,23,FALSE)+VLOOKUP($A23,A:AL,34,FALSE)-50))</f>
        <v>284</v>
      </c>
      <c r="AH23" s="3">
        <v>303</v>
      </c>
      <c r="AI23" s="3">
        <f>IF(ISERROR((VLOOKUP($A23,'SegEnds_NonXtal_BW#'!$A:$Z,24,FALSE)+VLOOKUP($A23,A:AL,34,FALSE)-50)),"-",(VLOOKUP($A23,'SegEnds_NonXtal_BW#'!$A:$Z,24,FALSE)+VLOOKUP($A23,A:AL,34,FALSE)-50))</f>
        <v>309</v>
      </c>
      <c r="AJ23" s="3">
        <f>IF(ISERROR(VLOOKUP($A23,'SegEnds_NonXtal_BW#'!$A:$Z,25,FALSE)+VLOOKUP($A23,A:AL,37,FALSE)-50),"-",(VLOOKUP($A23,'SegEnds_NonXtal_BW#'!$A:$Z,25,FALSE)+VLOOKUP($A23,A:AL,37,FALSE)-50))</f>
        <v>310</v>
      </c>
      <c r="AK23" s="3">
        <v>313</v>
      </c>
      <c r="AL23" s="3">
        <f>IF(ISERROR((VLOOKUP($A23,'SegEnds_NonXtal_BW#'!$A:$Z,26,FALSE)+VLOOKUP($A23,A:AL,37,FALSE)-50)),"-",(VLOOKUP($A23,'SegEnds_NonXtal_BW#'!$A:$Z,26,FALSE)+VLOOKUP($A23,A:AL,37,FALSE)-50))</f>
        <v>322</v>
      </c>
      <c r="AM23" s="28" t="str">
        <f>VLOOKUP(A23,Classification!A:B,2,FALSE)</f>
        <v>A</v>
      </c>
      <c r="AN23" s="28" t="b">
        <f t="shared" si="17"/>
        <v>1</v>
      </c>
      <c r="AO23" s="3" t="str">
        <f>IF(ISERROR(MATCH(A23,'SegEnds_Xtal_Prot#'!B:B, 0)), "NoXtal", "Xtal")</f>
        <v>Xtal</v>
      </c>
      <c r="AP23" s="3">
        <f t="shared" si="2"/>
        <v>1</v>
      </c>
      <c r="AQ23" s="3">
        <f t="shared" si="3"/>
        <v>1</v>
      </c>
      <c r="AR23" s="3">
        <f t="shared" si="4"/>
        <v>2</v>
      </c>
      <c r="AS23" s="3">
        <f t="shared" si="5"/>
        <v>1</v>
      </c>
      <c r="AT23" s="3">
        <f t="shared" si="6"/>
        <v>1</v>
      </c>
      <c r="AU23" s="3">
        <f t="shared" si="7"/>
        <v>1</v>
      </c>
      <c r="AV23" s="3">
        <f t="shared" si="8"/>
        <v>14</v>
      </c>
      <c r="AW23" s="3">
        <f t="shared" si="9"/>
        <v>10</v>
      </c>
      <c r="AX23" s="3">
        <f t="shared" si="10"/>
        <v>4</v>
      </c>
      <c r="AY23" s="3">
        <f t="shared" si="11"/>
        <v>6</v>
      </c>
      <c r="AZ23" s="3">
        <f t="shared" si="12"/>
        <v>1</v>
      </c>
      <c r="BA23" s="3">
        <f>IF(ISERROR(LEN(VLOOKUP(A23,Seqs!A:E,2,FALSE))-AL23),"-",LEN(VLOOKUP(A23,Seqs!A:E,2,FALSE))-AL23)</f>
        <v>26</v>
      </c>
      <c r="BB23" s="16">
        <f t="shared" si="13"/>
        <v>28</v>
      </c>
      <c r="BC23" s="9">
        <f t="shared" si="14"/>
        <v>19</v>
      </c>
      <c r="BD23" s="3">
        <f t="shared" si="15"/>
        <v>28</v>
      </c>
      <c r="BE23" s="3">
        <f t="shared" si="16"/>
        <v>52</v>
      </c>
      <c r="BF23" s="3">
        <f t="shared" si="26"/>
        <v>36</v>
      </c>
    </row>
    <row r="24" spans="1:60" s="3" customFormat="1" x14ac:dyDescent="0.2">
      <c r="A24" s="3" t="s">
        <v>339</v>
      </c>
      <c r="B24" s="3" t="str">
        <f>LOWER(VLOOKUP(A24,Xtal_Templ!A:B,2,FALSE))</f>
        <v>opsd_human</v>
      </c>
      <c r="C24" s="3">
        <f>VLOOKUP($A24,'SegEnds_NonXtal_BW#'!$A:$Z,3,FALSE)+D24-50</f>
        <v>34</v>
      </c>
      <c r="D24" s="3">
        <v>55</v>
      </c>
      <c r="E24" s="3">
        <f>IF(ISERROR(VLOOKUP($A24,'SegEnds_NonXtal_BW#'!$A:$Z,4,FALSE)+VLOOKUP($A24,A:AL,4,FALSE)-50),"-",(VLOOKUP($A24,'SegEnds_NonXtal_BW#'!$A:$Z,4,FALSE)+VLOOKUP($A24,A:AL,4,FALSE)-50))</f>
        <v>65</v>
      </c>
      <c r="F24" s="3">
        <f t="shared" si="23"/>
        <v>66</v>
      </c>
      <c r="G24" s="3">
        <v>68</v>
      </c>
      <c r="H24" s="3">
        <f t="shared" si="24"/>
        <v>69</v>
      </c>
      <c r="I24" s="3">
        <f t="shared" si="24"/>
        <v>70</v>
      </c>
      <c r="J24" s="3">
        <v>83</v>
      </c>
      <c r="K24" s="3">
        <f>VLOOKUP($A24,'SegEnds_NonXtal_BW#'!$A:$Z,8,FALSE)+VLOOKUP($A24,A:AL,10,FALSE)-50</f>
        <v>100</v>
      </c>
      <c r="L24" s="3">
        <f>M24-1</f>
        <v>102</v>
      </c>
      <c r="M24" s="3">
        <v>103</v>
      </c>
      <c r="N24" s="3">
        <f>M24+2</f>
        <v>105</v>
      </c>
      <c r="O24" s="3">
        <f t="shared" si="22"/>
        <v>106</v>
      </c>
      <c r="P24" s="3">
        <v>135</v>
      </c>
      <c r="Q24" s="3">
        <f>VLOOKUP($A24,'SegEnds_NonXtal_BW#'!$A:$Z,12,FALSE)+VLOOKUP($A24,A:AL,16,FALSE)-50</f>
        <v>141</v>
      </c>
      <c r="R24" s="3">
        <f>IF(ISERROR(VLOOKUP($A24,'SegEnds_NonXtal_BW#'!$A:$Z,13,FALSE)+VLOOKUP($A24,A:AL,19,FALSE)-50),"-",VLOOKUP($A24,'SegEnds_NonXtal_BW#'!$A:$Z,13,FALSE)+VLOOKUP($A24,A:AL,19,FALSE)-50)</f>
        <v>142</v>
      </c>
      <c r="S24" s="3">
        <v>142</v>
      </c>
      <c r="T24" s="100">
        <f>IF(ISERROR(VLOOKUP($A24,'SegEnds_NonXtal_BW#'!$A:$Z,14,FALSE)+VLOOKUP($A24,A:AL,19,FALSE)-50),"-",(VLOOKUP($A24,'SegEnds_NonXtal_BW#'!$A:$Z,14,FALSE)+VLOOKUP($A24,A:AL,19,FALSE)-50))</f>
        <v>148</v>
      </c>
      <c r="U24" s="9">
        <f>IF(ISERROR(VLOOKUP($A24,'SegEnds_NonXtal_BW#'!$A:$Z,15,FALSE)+VLOOKUP($A24,A:AL,22,FALSE)-50),"-",VLOOKUP($A24,'SegEnds_NonXtal_BW#'!$A:$Z,15,FALSE)+VLOOKUP($A24,A:AL,22,FALSE)-50)</f>
        <v>149</v>
      </c>
      <c r="V24" s="3">
        <v>161</v>
      </c>
      <c r="W24" s="3">
        <f>IF(ISERROR(VLOOKUP($A24,'SegEnds_NonXtal_BW#'!$A:$Z,16,FALSE)+VLOOKUP($A24,A:AL,22,FALSE)-50),"-",(VLOOKUP($A24,'SegEnds_NonXtal_BW#'!$A:$Z,16,FALSE)+VLOOKUP($A24,A:AL,22,FALSE)-50))</f>
        <v>173</v>
      </c>
      <c r="X24" s="3">
        <f>IF(ISERROR(VLOOKUP($A24,'SegEnds_NonXtal_BW#'!$A:$Z,17,FALSE)+VLOOKUP($A24,A:AL,25,FALSE)-50),"-",(VLOOKUP($A24,'SegEnds_NonXtal_BW#'!$A:$Z,17,FALSE)+VLOOKUP($A24,A:AL,25,FALSE)-50))</f>
        <v>187</v>
      </c>
      <c r="Y24" s="3">
        <v>187</v>
      </c>
      <c r="Z24" s="3">
        <f t="shared" si="25"/>
        <v>189</v>
      </c>
      <c r="AA24" s="3">
        <f>IF(ISERROR(VLOOKUP($A24,'SegEnds_NonXtal_BW#'!$A:$Z,19,FALSE)+VLOOKUP($A24,A:AL,28,FALSE)-50),"-",(VLOOKUP($A24,'SegEnds_NonXtal_BW#'!$A:$Z,19,FALSE)+VLOOKUP($A24,A:AL,28,FALSE)-50))</f>
        <v>199</v>
      </c>
      <c r="AB24" s="3">
        <v>215</v>
      </c>
      <c r="AC24" s="3">
        <f>IF(ISERROR((VLOOKUP($A24,'SegEnds_NonXtal_BW#'!$A:$Z,20,FALSE)+VLOOKUP($A24,A:AL,28,FALSE)-50)),"-",(VLOOKUP($A24,'SegEnds_NonXtal_BW#'!$A:$Z,20,FALSE)+VLOOKUP($A24,A:AL,28,FALSE)-50))</f>
        <v>237</v>
      </c>
      <c r="AD24" s="3">
        <f>IF(ISERROR(VLOOKUP($A24,'SegEnds_NonXtal_BW#'!$A:$Z,21,FALSE)+VLOOKUP($A24,A:AL,31,FALSE)-50),"-",(VLOOKUP($A24,'SegEnds_NonXtal_BW#'!$A:$Z,21,FALSE)+VLOOKUP($A24,A:AL,31,FALSE)-50))</f>
        <v>241</v>
      </c>
      <c r="AE24" s="3">
        <v>267</v>
      </c>
      <c r="AF24" s="3">
        <f>IF(ISERROR((VLOOKUP($A24,'SegEnds_NonXtal_BW#'!$A:$Z,22,FALSE)+VLOOKUP($A24,A:AL,31,FALSE)-50)),"-",(VLOOKUP($A24,'SegEnds_NonXtal_BW#'!$A:$Z,22,FALSE)+VLOOKUP($A24,A:AL,31,FALSE)-50))</f>
        <v>278</v>
      </c>
      <c r="AG24" s="3">
        <f>IF(ISERROR(VLOOKUP($A24,'SegEnds_NonXtal_BW#'!$A:$Z,23,FALSE)+VLOOKUP($A24,A:AL,34,FALSE)-50),"-",(VLOOKUP($A24,'SegEnds_NonXtal_BW#'!$A:$Z,23,FALSE)+VLOOKUP($A24,A:AL,34,FALSE)-50))</f>
        <v>284</v>
      </c>
      <c r="AH24" s="3">
        <v>303</v>
      </c>
      <c r="AI24" s="3">
        <f>IF(ISERROR((VLOOKUP($A24,'SegEnds_NonXtal_BW#'!$A:$Z,24,FALSE)+VLOOKUP($A24,A:AL,34,FALSE)-50)),"-",(VLOOKUP($A24,'SegEnds_NonXtal_BW#'!$A:$Z,24,FALSE)+VLOOKUP($A24,A:AL,34,FALSE)-50))</f>
        <v>309</v>
      </c>
      <c r="AJ24" s="3">
        <f>IF(ISERROR(VLOOKUP($A24,'SegEnds_NonXtal_BW#'!$A:$Z,25,FALSE)+VLOOKUP($A24,A:AL,37,FALSE)-50),"-",(VLOOKUP($A24,'SegEnds_NonXtal_BW#'!$A:$Z,25,FALSE)+VLOOKUP($A24,A:AL,37,FALSE)-50))</f>
        <v>310</v>
      </c>
      <c r="AK24" s="3">
        <v>313</v>
      </c>
      <c r="AL24" s="3">
        <f>IF(ISERROR((VLOOKUP($A24,'SegEnds_NonXtal_BW#'!$A:$Z,26,FALSE)+VLOOKUP($A24,A:AL,37,FALSE)-50)),"-",(VLOOKUP($A24,'SegEnds_NonXtal_BW#'!$A:$Z,26,FALSE)+VLOOKUP($A24,A:AL,37,FALSE)-50))</f>
        <v>322</v>
      </c>
      <c r="AM24" s="28" t="str">
        <f>VLOOKUP(A24,Classification!A:B,2,FALSE)</f>
        <v>A</v>
      </c>
      <c r="AN24" s="28" t="b">
        <f t="shared" si="17"/>
        <v>1</v>
      </c>
      <c r="AO24" s="3" t="str">
        <f>IF(ISERROR(MATCH(A24,'SegEnds_Xtal_Prot#'!B:B, 0)), "NoXtal", "Xtal")</f>
        <v>Xtal</v>
      </c>
      <c r="AP24" s="3">
        <f t="shared" si="2"/>
        <v>1</v>
      </c>
      <c r="AQ24" s="3">
        <f t="shared" si="3"/>
        <v>1</v>
      </c>
      <c r="AR24" s="3">
        <f t="shared" si="4"/>
        <v>2</v>
      </c>
      <c r="AS24" s="3">
        <f t="shared" si="5"/>
        <v>1</v>
      </c>
      <c r="AT24" s="3">
        <f t="shared" si="6"/>
        <v>1</v>
      </c>
      <c r="AU24" s="3">
        <f t="shared" si="7"/>
        <v>1</v>
      </c>
      <c r="AV24" s="3">
        <f t="shared" si="8"/>
        <v>14</v>
      </c>
      <c r="AW24" s="3">
        <f t="shared" si="9"/>
        <v>10</v>
      </c>
      <c r="AX24" s="3">
        <f t="shared" si="10"/>
        <v>4</v>
      </c>
      <c r="AY24" s="3">
        <f t="shared" si="11"/>
        <v>6</v>
      </c>
      <c r="AZ24" s="3">
        <f t="shared" si="12"/>
        <v>1</v>
      </c>
      <c r="BA24" s="3">
        <f>IF(ISERROR(LEN(VLOOKUP(A24,Seqs!A:E,2,FALSE))-AL24),"-",LEN(VLOOKUP(A24,Seqs!A:E,2,FALSE))-AL24)</f>
        <v>26</v>
      </c>
      <c r="BB24" s="16">
        <f t="shared" si="13"/>
        <v>28</v>
      </c>
      <c r="BC24" s="9">
        <f t="shared" si="14"/>
        <v>19</v>
      </c>
      <c r="BD24" s="3">
        <f t="shared" si="15"/>
        <v>28</v>
      </c>
      <c r="BE24" s="3">
        <f t="shared" si="16"/>
        <v>52</v>
      </c>
      <c r="BF24" s="3">
        <f t="shared" si="26"/>
        <v>36</v>
      </c>
    </row>
    <row r="25" spans="1:60" s="3" customFormat="1" x14ac:dyDescent="0.2">
      <c r="A25" s="3" t="s">
        <v>340</v>
      </c>
      <c r="B25" s="3" t="str">
        <f>LOWER(VLOOKUP(A25,Xtal_Templ!A:B,2,FALSE))</f>
        <v>opsd_human</v>
      </c>
      <c r="C25" s="3">
        <f>VLOOKUP($A25,'SegEnds_NonXtal_BW#'!$A:$Z,3,FALSE)+D25-50</f>
        <v>50</v>
      </c>
      <c r="D25" s="3">
        <v>71</v>
      </c>
      <c r="E25" s="3">
        <f>IF(ISERROR(VLOOKUP($A25,'SegEnds_NonXtal_BW#'!$A:$Z,4,FALSE)+VLOOKUP($A25,A:AL,4,FALSE)-50),"-",(VLOOKUP($A25,'SegEnds_NonXtal_BW#'!$A:$Z,4,FALSE)+VLOOKUP($A25,A:AL,4,FALSE)-50))</f>
        <v>81</v>
      </c>
      <c r="F25" s="3">
        <f t="shared" si="23"/>
        <v>82</v>
      </c>
      <c r="G25" s="3">
        <v>84</v>
      </c>
      <c r="H25" s="3">
        <f t="shared" si="24"/>
        <v>85</v>
      </c>
      <c r="I25" s="3">
        <f t="shared" si="24"/>
        <v>86</v>
      </c>
      <c r="J25" s="3">
        <v>99</v>
      </c>
      <c r="K25" s="3">
        <f>VLOOKUP($A25,'SegEnds_NonXtal_BW#'!$A:$Z,8,FALSE)+VLOOKUP($A25,A:AL,10,FALSE)-50</f>
        <v>116</v>
      </c>
      <c r="L25" s="3">
        <f>M25-1</f>
        <v>118</v>
      </c>
      <c r="M25" s="3">
        <v>119</v>
      </c>
      <c r="N25" s="3">
        <f>M25+2</f>
        <v>121</v>
      </c>
      <c r="O25" s="3">
        <f t="shared" si="22"/>
        <v>122</v>
      </c>
      <c r="P25" s="3">
        <v>151</v>
      </c>
      <c r="Q25" s="3">
        <f>VLOOKUP($A25,'SegEnds_NonXtal_BW#'!$A:$Z,12,FALSE)+VLOOKUP($A25,A:AL,16,FALSE)-50</f>
        <v>157</v>
      </c>
      <c r="R25" s="3">
        <f>IF(ISERROR(VLOOKUP($A25,'SegEnds_NonXtal_BW#'!$A:$Z,13,FALSE)+VLOOKUP($A25,A:AL,19,FALSE)-50),"-",VLOOKUP($A25,'SegEnds_NonXtal_BW#'!$A:$Z,13,FALSE)+VLOOKUP($A25,A:AL,19,FALSE)-50)</f>
        <v>158</v>
      </c>
      <c r="S25" s="3">
        <v>158</v>
      </c>
      <c r="T25" s="100">
        <f>IF(ISERROR(VLOOKUP($A25,'SegEnds_NonXtal_BW#'!$A:$Z,14,FALSE)+VLOOKUP($A25,A:AL,19,FALSE)-50),"-",(VLOOKUP($A25,'SegEnds_NonXtal_BW#'!$A:$Z,14,FALSE)+VLOOKUP($A25,A:AL,19,FALSE)-50))</f>
        <v>164</v>
      </c>
      <c r="U25" s="9">
        <f>IF(ISERROR(VLOOKUP($A25,'SegEnds_NonXtal_BW#'!$A:$Z,15,FALSE)+VLOOKUP($A25,A:AL,22,FALSE)-50),"-",VLOOKUP($A25,'SegEnds_NonXtal_BW#'!$A:$Z,15,FALSE)+VLOOKUP($A25,A:AL,22,FALSE)-50)</f>
        <v>165</v>
      </c>
      <c r="V25" s="3">
        <v>177</v>
      </c>
      <c r="W25" s="3">
        <f>IF(ISERROR(VLOOKUP($A25,'SegEnds_NonXtal_BW#'!$A:$Z,16,FALSE)+VLOOKUP($A25,A:AL,22,FALSE)-50),"-",(VLOOKUP($A25,'SegEnds_NonXtal_BW#'!$A:$Z,16,FALSE)+VLOOKUP($A25,A:AL,22,FALSE)-50))</f>
        <v>189</v>
      </c>
      <c r="X25" s="3">
        <f>IF(ISERROR(VLOOKUP($A25,'SegEnds_NonXtal_BW#'!$A:$Z,17,FALSE)+VLOOKUP($A25,A:AL,25,FALSE)-50),"-",(VLOOKUP($A25,'SegEnds_NonXtal_BW#'!$A:$Z,17,FALSE)+VLOOKUP($A25,A:AL,25,FALSE)-50))</f>
        <v>203</v>
      </c>
      <c r="Y25" s="3">
        <v>203</v>
      </c>
      <c r="Z25" s="3">
        <f t="shared" si="25"/>
        <v>205</v>
      </c>
      <c r="AA25" s="3">
        <f>IF(ISERROR(VLOOKUP($A25,'SegEnds_NonXtal_BW#'!$A:$Z,19,FALSE)+VLOOKUP($A25,A:AL,28,FALSE)-50),"-",(VLOOKUP($A25,'SegEnds_NonXtal_BW#'!$A:$Z,19,FALSE)+VLOOKUP($A25,A:AL,28,FALSE)-50))</f>
        <v>215</v>
      </c>
      <c r="AB25" s="3">
        <v>231</v>
      </c>
      <c r="AC25" s="3">
        <f>IF(ISERROR((VLOOKUP($A25,'SegEnds_NonXtal_BW#'!$A:$Z,20,FALSE)+VLOOKUP($A25,A:AL,28,FALSE)-50)),"-",(VLOOKUP($A25,'SegEnds_NonXtal_BW#'!$A:$Z,20,FALSE)+VLOOKUP($A25,A:AL,28,FALSE)-50))</f>
        <v>253</v>
      </c>
      <c r="AD25" s="3">
        <f>IF(ISERROR(VLOOKUP($A25,'SegEnds_NonXtal_BW#'!$A:$Z,21,FALSE)+VLOOKUP($A25,A:AL,31,FALSE)-50),"-",(VLOOKUP($A25,'SegEnds_NonXtal_BW#'!$A:$Z,21,FALSE)+VLOOKUP($A25,A:AL,31,FALSE)-50))</f>
        <v>257</v>
      </c>
      <c r="AE25" s="3">
        <v>283</v>
      </c>
      <c r="AF25" s="3">
        <f>IF(ISERROR((VLOOKUP($A25,'SegEnds_NonXtal_BW#'!$A:$Z,22,FALSE)+VLOOKUP($A25,A:AL,31,FALSE)-50)),"-",(VLOOKUP($A25,'SegEnds_NonXtal_BW#'!$A:$Z,22,FALSE)+VLOOKUP($A25,A:AL,31,FALSE)-50))</f>
        <v>294</v>
      </c>
      <c r="AG25" s="3">
        <f>IF(ISERROR(VLOOKUP($A25,'SegEnds_NonXtal_BW#'!$A:$Z,23,FALSE)+VLOOKUP($A25,A:AL,34,FALSE)-50),"-",(VLOOKUP($A25,'SegEnds_NonXtal_BW#'!$A:$Z,23,FALSE)+VLOOKUP($A25,A:AL,34,FALSE)-50))</f>
        <v>300</v>
      </c>
      <c r="AH25" s="3">
        <v>319</v>
      </c>
      <c r="AI25" s="3">
        <f>IF(ISERROR((VLOOKUP($A25,'SegEnds_NonXtal_BW#'!$A:$Z,24,FALSE)+VLOOKUP($A25,A:AL,34,FALSE)-50)),"-",(VLOOKUP($A25,'SegEnds_NonXtal_BW#'!$A:$Z,24,FALSE)+VLOOKUP($A25,A:AL,34,FALSE)-50))</f>
        <v>325</v>
      </c>
      <c r="AJ25" s="3">
        <f>IF(ISERROR(VLOOKUP($A25,'SegEnds_NonXtal_BW#'!$A:$Z,25,FALSE)+VLOOKUP($A25,A:AL,37,FALSE)-50),"-",(VLOOKUP($A25,'SegEnds_NonXtal_BW#'!$A:$Z,25,FALSE)+VLOOKUP($A25,A:AL,37,FALSE)-50))</f>
        <v>326</v>
      </c>
      <c r="AK25" s="3">
        <v>329</v>
      </c>
      <c r="AL25" s="3">
        <f>IF(ISERROR((VLOOKUP($A25,'SegEnds_NonXtal_BW#'!$A:$Z,26,FALSE)+VLOOKUP($A25,A:AL,37,FALSE)-50)),"-",(VLOOKUP($A25,'SegEnds_NonXtal_BW#'!$A:$Z,26,FALSE)+VLOOKUP($A25,A:AL,37,FALSE)-50))</f>
        <v>338</v>
      </c>
      <c r="AM25" s="28" t="str">
        <f>VLOOKUP(A25,Classification!A:B,2,FALSE)</f>
        <v>A</v>
      </c>
      <c r="AN25" s="28" t="b">
        <f t="shared" si="17"/>
        <v>1</v>
      </c>
      <c r="AO25" s="3" t="str">
        <f>IF(ISERROR(MATCH(A25,'SegEnds_Xtal_Prot#'!B:B, 0)), "NoXtal", "Xtal")</f>
        <v>NoXtal</v>
      </c>
      <c r="AP25" s="3">
        <f t="shared" si="2"/>
        <v>1</v>
      </c>
      <c r="AQ25" s="3">
        <f t="shared" si="3"/>
        <v>1</v>
      </c>
      <c r="AR25" s="3">
        <f t="shared" si="4"/>
        <v>2</v>
      </c>
      <c r="AS25" s="3">
        <f t="shared" si="5"/>
        <v>1</v>
      </c>
      <c r="AT25" s="3">
        <f t="shared" si="6"/>
        <v>1</v>
      </c>
      <c r="AU25" s="3">
        <f t="shared" si="7"/>
        <v>1</v>
      </c>
      <c r="AV25" s="3">
        <f t="shared" si="8"/>
        <v>14</v>
      </c>
      <c r="AW25" s="3">
        <f t="shared" si="9"/>
        <v>10</v>
      </c>
      <c r="AX25" s="3">
        <f t="shared" si="10"/>
        <v>4</v>
      </c>
      <c r="AY25" s="3">
        <f t="shared" si="11"/>
        <v>6</v>
      </c>
      <c r="AZ25" s="3">
        <f t="shared" si="12"/>
        <v>1</v>
      </c>
      <c r="BA25" s="3">
        <f>IF(ISERROR(LEN(VLOOKUP(A25,Seqs!A:E,2,FALSE))-AL25),"-",LEN(VLOOKUP(A25,Seqs!A:E,2,FALSE))-AL25)</f>
        <v>26</v>
      </c>
      <c r="BB25" s="16">
        <f t="shared" si="13"/>
        <v>28</v>
      </c>
      <c r="BC25" s="9">
        <f t="shared" si="14"/>
        <v>19</v>
      </c>
      <c r="BD25" s="3">
        <f t="shared" si="15"/>
        <v>28</v>
      </c>
      <c r="BE25" s="3">
        <f t="shared" si="16"/>
        <v>52</v>
      </c>
      <c r="BF25" s="3">
        <f t="shared" si="26"/>
        <v>36</v>
      </c>
    </row>
    <row r="26" spans="1:60" s="3" customFormat="1" x14ac:dyDescent="0.2">
      <c r="A26" s="3" t="s">
        <v>341</v>
      </c>
      <c r="B26" s="3" t="str">
        <f>LOWER(VLOOKUP(A26,Xtal_Templ!A:B,2,FALSE))</f>
        <v>opsd_human</v>
      </c>
      <c r="C26" s="3">
        <f>VLOOKUP($A26,'SegEnds_NonXtal_BW#'!$A:$Z,3,FALSE)+D26-50</f>
        <v>50</v>
      </c>
      <c r="D26" s="3">
        <v>71</v>
      </c>
      <c r="E26" s="3">
        <f>IF(ISERROR(VLOOKUP($A26,'SegEnds_NonXtal_BW#'!$A:$Z,4,FALSE)+VLOOKUP($A26,A:AL,4,FALSE)-50),"-",(VLOOKUP($A26,'SegEnds_NonXtal_BW#'!$A:$Z,4,FALSE)+VLOOKUP($A26,A:AL,4,FALSE)-50))</f>
        <v>81</v>
      </c>
      <c r="F26" s="3">
        <f t="shared" si="23"/>
        <v>82</v>
      </c>
      <c r="G26" s="3">
        <v>84</v>
      </c>
      <c r="H26" s="3">
        <f t="shared" si="24"/>
        <v>85</v>
      </c>
      <c r="I26" s="3">
        <f t="shared" si="24"/>
        <v>86</v>
      </c>
      <c r="J26" s="3">
        <v>99</v>
      </c>
      <c r="K26" s="3">
        <f>VLOOKUP($A26,'SegEnds_NonXtal_BW#'!$A:$Z,8,FALSE)+VLOOKUP($A26,A:AL,10,FALSE)-50</f>
        <v>116</v>
      </c>
      <c r="L26" s="3">
        <f>M26-1</f>
        <v>117</v>
      </c>
      <c r="M26" s="3">
        <v>118</v>
      </c>
      <c r="N26" s="3">
        <f>M26+2</f>
        <v>120</v>
      </c>
      <c r="O26" s="3">
        <f t="shared" si="22"/>
        <v>121</v>
      </c>
      <c r="P26" s="3">
        <v>151</v>
      </c>
      <c r="Q26" s="3">
        <f>VLOOKUP($A26,'SegEnds_NonXtal_BW#'!$A:$Z,12,FALSE)+VLOOKUP($A26,A:AL,16,FALSE)-50</f>
        <v>157</v>
      </c>
      <c r="R26" s="3">
        <f>IF(ISERROR(VLOOKUP($A26,'SegEnds_NonXtal_BW#'!$A:$Z,13,FALSE)+VLOOKUP($A26,A:AL,19,FALSE)-50),"-",VLOOKUP($A26,'SegEnds_NonXtal_BW#'!$A:$Z,13,FALSE)+VLOOKUP($A26,A:AL,19,FALSE)-50)</f>
        <v>158</v>
      </c>
      <c r="S26" s="3">
        <v>158</v>
      </c>
      <c r="T26" s="100">
        <f>IF(ISERROR(VLOOKUP($A26,'SegEnds_NonXtal_BW#'!$A:$Z,14,FALSE)+VLOOKUP($A26,A:AL,19,FALSE)-50),"-",(VLOOKUP($A26,'SegEnds_NonXtal_BW#'!$A:$Z,14,FALSE)+VLOOKUP($A26,A:AL,19,FALSE)-50))</f>
        <v>164</v>
      </c>
      <c r="U26" s="9">
        <f>IF(ISERROR(VLOOKUP($A26,'SegEnds_NonXtal_BW#'!$A:$Z,15,FALSE)+VLOOKUP($A26,A:AL,22,FALSE)-50),"-",VLOOKUP($A26,'SegEnds_NonXtal_BW#'!$A:$Z,15,FALSE)+VLOOKUP($A26,A:AL,22,FALSE)-50)</f>
        <v>165</v>
      </c>
      <c r="V26" s="3">
        <v>177</v>
      </c>
      <c r="W26" s="3">
        <f>IF(ISERROR(VLOOKUP($A26,'SegEnds_NonXtal_BW#'!$A:$Z,16,FALSE)+VLOOKUP($A26,A:AL,22,FALSE)-50),"-",(VLOOKUP($A26,'SegEnds_NonXtal_BW#'!$A:$Z,16,FALSE)+VLOOKUP($A26,A:AL,22,FALSE)-50))</f>
        <v>189</v>
      </c>
      <c r="X26" s="3">
        <f>IF(ISERROR(VLOOKUP($A26,'SegEnds_NonXtal_BW#'!$A:$Z,17,FALSE)+VLOOKUP($A26,A:AL,25,FALSE)-50),"-",(VLOOKUP($A26,'SegEnds_NonXtal_BW#'!$A:$Z,17,FALSE)+VLOOKUP($A26,A:AL,25,FALSE)-50))</f>
        <v>203</v>
      </c>
      <c r="Y26" s="3">
        <v>203</v>
      </c>
      <c r="Z26" s="3">
        <f t="shared" si="25"/>
        <v>205</v>
      </c>
      <c r="AA26" s="3">
        <f>IF(ISERROR(VLOOKUP($A26,'SegEnds_NonXtal_BW#'!$A:$Z,19,FALSE)+VLOOKUP($A26,A:AL,28,FALSE)-50),"-",(VLOOKUP($A26,'SegEnds_NonXtal_BW#'!$A:$Z,19,FALSE)+VLOOKUP($A26,A:AL,28,FALSE)-50))</f>
        <v>215</v>
      </c>
      <c r="AB26" s="3">
        <v>231</v>
      </c>
      <c r="AC26" s="3">
        <f>IF(ISERROR((VLOOKUP($A26,'SegEnds_NonXtal_BW#'!$A:$Z,20,FALSE)+VLOOKUP($A26,A:AL,28,FALSE)-50)),"-",(VLOOKUP($A26,'SegEnds_NonXtal_BW#'!$A:$Z,20,FALSE)+VLOOKUP($A26,A:AL,28,FALSE)-50))</f>
        <v>253</v>
      </c>
      <c r="AD26" s="3">
        <f>IF(ISERROR(VLOOKUP($A26,'SegEnds_NonXtal_BW#'!$A:$Z,21,FALSE)+VLOOKUP($A26,A:AL,31,FALSE)-50),"-",(VLOOKUP($A26,'SegEnds_NonXtal_BW#'!$A:$Z,21,FALSE)+VLOOKUP($A26,A:AL,31,FALSE)-50))</f>
        <v>257</v>
      </c>
      <c r="AE26" s="3">
        <v>283</v>
      </c>
      <c r="AF26" s="3">
        <f>IF(ISERROR((VLOOKUP($A26,'SegEnds_NonXtal_BW#'!$A:$Z,22,FALSE)+VLOOKUP($A26,A:AL,31,FALSE)-50)),"-",(VLOOKUP($A26,'SegEnds_NonXtal_BW#'!$A:$Z,22,FALSE)+VLOOKUP($A26,A:AL,31,FALSE)-50))</f>
        <v>294</v>
      </c>
      <c r="AG26" s="3">
        <f>IF(ISERROR(VLOOKUP($A26,'SegEnds_NonXtal_BW#'!$A:$Z,23,FALSE)+VLOOKUP($A26,A:AL,34,FALSE)-50),"-",(VLOOKUP($A26,'SegEnds_NonXtal_BW#'!$A:$Z,23,FALSE)+VLOOKUP($A26,A:AL,34,FALSE)-50))</f>
        <v>300</v>
      </c>
      <c r="AH26" s="3">
        <v>319</v>
      </c>
      <c r="AI26" s="3">
        <f>IF(ISERROR((VLOOKUP($A26,'SegEnds_NonXtal_BW#'!$A:$Z,24,FALSE)+VLOOKUP($A26,A:AL,34,FALSE)-50)),"-",(VLOOKUP($A26,'SegEnds_NonXtal_BW#'!$A:$Z,24,FALSE)+VLOOKUP($A26,A:AL,34,FALSE)-50))</f>
        <v>325</v>
      </c>
      <c r="AJ26" s="3">
        <f>IF(ISERROR(VLOOKUP($A26,'SegEnds_NonXtal_BW#'!$A:$Z,25,FALSE)+VLOOKUP($A26,A:AL,37,FALSE)-50),"-",(VLOOKUP($A26,'SegEnds_NonXtal_BW#'!$A:$Z,25,FALSE)+VLOOKUP($A26,A:AL,37,FALSE)-50))</f>
        <v>326</v>
      </c>
      <c r="AK26" s="3">
        <v>329</v>
      </c>
      <c r="AL26" s="3">
        <f>IF(ISERROR((VLOOKUP($A26,'SegEnds_NonXtal_BW#'!$A:$Z,26,FALSE)+VLOOKUP($A26,A:AL,37,FALSE)-50)),"-",(VLOOKUP($A26,'SegEnds_NonXtal_BW#'!$A:$Z,26,FALSE)+VLOOKUP($A26,A:AL,37,FALSE)-50))</f>
        <v>338</v>
      </c>
      <c r="AM26" s="28" t="str">
        <f>VLOOKUP(A26,Classification!A:B,2,FALSE)</f>
        <v>A</v>
      </c>
      <c r="AN26" s="28" t="b">
        <f t="shared" si="17"/>
        <v>1</v>
      </c>
      <c r="AO26" s="3" t="str">
        <f>IF(ISERROR(MATCH(A26,'SegEnds_Xtal_Prot#'!B:B, 0)), "NoXtal", "Xtal")</f>
        <v>NoXtal</v>
      </c>
      <c r="AP26" s="3">
        <f t="shared" si="2"/>
        <v>1</v>
      </c>
      <c r="AQ26" s="3">
        <f t="shared" si="3"/>
        <v>1</v>
      </c>
      <c r="AR26" s="3">
        <f t="shared" si="4"/>
        <v>1</v>
      </c>
      <c r="AS26" s="3">
        <f t="shared" si="5"/>
        <v>1</v>
      </c>
      <c r="AT26" s="3">
        <f t="shared" si="6"/>
        <v>1</v>
      </c>
      <c r="AU26" s="3">
        <f t="shared" si="7"/>
        <v>1</v>
      </c>
      <c r="AV26" s="3">
        <f t="shared" si="8"/>
        <v>14</v>
      </c>
      <c r="AW26" s="3">
        <f t="shared" si="9"/>
        <v>10</v>
      </c>
      <c r="AX26" s="3">
        <f t="shared" si="10"/>
        <v>4</v>
      </c>
      <c r="AY26" s="3">
        <f t="shared" si="11"/>
        <v>6</v>
      </c>
      <c r="AZ26" s="3">
        <f t="shared" si="12"/>
        <v>1</v>
      </c>
      <c r="BA26" s="3">
        <f>IF(ISERROR(LEN(VLOOKUP(A26,Seqs!A:E,2,FALSE))-AL26),"-",LEN(VLOOKUP(A26,Seqs!A:E,2,FALSE))-AL26)</f>
        <v>26</v>
      </c>
      <c r="BB26" s="16">
        <f t="shared" si="13"/>
        <v>28</v>
      </c>
      <c r="BC26" s="9">
        <f t="shared" si="14"/>
        <v>19</v>
      </c>
      <c r="BD26" s="3">
        <f t="shared" si="15"/>
        <v>28</v>
      </c>
      <c r="BE26" s="3">
        <f t="shared" si="16"/>
        <v>52</v>
      </c>
      <c r="BF26" s="3">
        <f t="shared" si="26"/>
        <v>36</v>
      </c>
    </row>
    <row r="27" spans="1:60" s="3" customFormat="1" x14ac:dyDescent="0.2">
      <c r="A27" s="3" t="s">
        <v>350</v>
      </c>
      <c r="B27" s="3" t="str">
        <f>LOWER(VLOOKUP(A27,Xtal_Templ!A:B,2,FALSE))</f>
        <v>ptafr_human</v>
      </c>
      <c r="C27" s="3">
        <f>VLOOKUP($A27,'SegEnds_NonXtal_BW#'!$A:$Z,3,FALSE)+D27-50</f>
        <v>29</v>
      </c>
      <c r="D27" s="3">
        <v>52</v>
      </c>
      <c r="E27" s="3">
        <f>IF(ISERROR(VLOOKUP($A27,'SegEnds_NonXtal_BW#'!$A:$Z,4,FALSE)+VLOOKUP($A27,A:AL,4,FALSE)-50),"-",(VLOOKUP($A27,'SegEnds_NonXtal_BW#'!$A:$Z,4,FALSE)+VLOOKUP($A27,A:AL,4,FALSE)-50))</f>
        <v>63</v>
      </c>
      <c r="F27" s="3" t="str">
        <f>IF(ISERROR(VLOOKUP($A27,'SegEnds_NonXtal_BW#'!$A:$Z,5,FALSE)+VLOOKUP($A27,A:AL,7,FALSE)-50),"-",(VLOOKUP($A27,'SegEnds_NonXtal_BW#'!$A:$Z,5,FALSE)+VLOOKUP($A27,A:AL,7,FALSE)-50))</f>
        <v>-</v>
      </c>
      <c r="G27" s="3" t="s">
        <v>23</v>
      </c>
      <c r="H27" s="3" t="str">
        <f>IF(ISERROR(VLOOKUP($A27,'SegEnds_NonXtal_BW#'!$A:$Z,6,FALSE)+VLOOKUP($A27,A:AL,7,FALSE)-50),"-",(VLOOKUP($A27,'SegEnds_NonXtal_BW#'!$A:$Z,6,FALSE)+VLOOKUP($A27,A:AL,7,FALSE)-50))</f>
        <v>-</v>
      </c>
      <c r="I27" s="3">
        <f>VLOOKUP($A27,'SegEnds_NonXtal_BW#'!$A:$Z,7,FALSE)+J27-50</f>
        <v>67</v>
      </c>
      <c r="J27" s="3">
        <v>80</v>
      </c>
      <c r="K27" s="3">
        <f>VLOOKUP($A27,'SegEnds_NonXtal_BW#'!$A:$Z,8,FALSE)+VLOOKUP($A27,A:AL,10,FALSE)-50</f>
        <v>96</v>
      </c>
      <c r="L27" s="3">
        <f>M27-1</f>
        <v>98</v>
      </c>
      <c r="M27" s="3">
        <v>99</v>
      </c>
      <c r="N27" s="3">
        <f>M27+2</f>
        <v>101</v>
      </c>
      <c r="O27" s="3">
        <f t="shared" si="22"/>
        <v>102</v>
      </c>
      <c r="P27" s="3">
        <v>131</v>
      </c>
      <c r="Q27" s="3">
        <f>VLOOKUP($A27,'SegEnds_NonXtal_BW#'!$A:$Z,12,FALSE)+VLOOKUP($A27,A:AL,16,FALSE)-50</f>
        <v>137</v>
      </c>
      <c r="R27" s="3">
        <f>IF(ISERROR(VLOOKUP($A27,'SegEnds_NonXtal_BW#'!$A:$Z,13,FALSE)+VLOOKUP($A27,A:AL,19,FALSE)-50),"-",VLOOKUP($A27,'SegEnds_NonXtal_BW#'!$A:$Z,13,FALSE)+VLOOKUP($A27,A:AL,19,FALSE)-50)</f>
        <v>138</v>
      </c>
      <c r="S27" s="3">
        <v>138</v>
      </c>
      <c r="T27" s="100">
        <f>IF(ISERROR(VLOOKUP($A27,'SegEnds_NonXtal_BW#'!$A:$Z,14,FALSE)+VLOOKUP($A27,A:AL,19,FALSE)-50),"-",(VLOOKUP($A27,'SegEnds_NonXtal_BW#'!$A:$Z,14,FALSE)+VLOOKUP($A27,A:AL,19,FALSE)-50))</f>
        <v>144</v>
      </c>
      <c r="U27" s="9">
        <f>IF(ISERROR(VLOOKUP($A27,'SegEnds_NonXtal_BW#'!$A:$Z,15,FALSE)+VLOOKUP($A27,A:AL,22,FALSE)-50),"-",VLOOKUP($A27,'SegEnds_NonXtal_BW#'!$A:$Z,15,FALSE)+VLOOKUP($A27,A:AL,22,FALSE)-50)</f>
        <v>145</v>
      </c>
      <c r="V27" s="3">
        <v>157</v>
      </c>
      <c r="W27" s="3">
        <f>IF(ISERROR(VLOOKUP($A27,'SegEnds_NonXtal_BW#'!$A:$Z,16,FALSE)+VLOOKUP($A27,A:AL,22,FALSE)-50),"-",(VLOOKUP($A27,'SegEnds_NonXtal_BW#'!$A:$Z,16,FALSE)+VLOOKUP($A27,A:AL,22,FALSE)-50))</f>
        <v>170</v>
      </c>
      <c r="X27" s="3">
        <f>IF(ISERROR(VLOOKUP($A27,'SegEnds_NonXtal_BW#'!$A:$Z,17,FALSE)+VLOOKUP($A27,A:AL,25,FALSE)-50),"-",(VLOOKUP($A27,'SegEnds_NonXtal_BW#'!$A:$Z,17,FALSE)+VLOOKUP($A27,A:AL,25,FALSE)-50))</f>
        <v>181</v>
      </c>
      <c r="Y27" s="3">
        <v>181</v>
      </c>
      <c r="Z27" s="3">
        <f t="shared" si="25"/>
        <v>183</v>
      </c>
      <c r="AA27" s="3">
        <f>IF(ISERROR(VLOOKUP($A27,'SegEnds_NonXtal_BW#'!$A:$Z,19,FALSE)+VLOOKUP($A27,A:AL,28,FALSE)-50),"-",(VLOOKUP($A27,'SegEnds_NonXtal_BW#'!$A:$Z,19,FALSE)+VLOOKUP($A27,A:AL,28,FALSE)-50))</f>
        <v>193</v>
      </c>
      <c r="AB27" s="3">
        <v>210</v>
      </c>
      <c r="AC27" s="3">
        <f>IF(ISERROR((VLOOKUP($A27,'SegEnds_NonXtal_BW#'!$A:$Z,20,FALSE)+VLOOKUP($A27,A:AL,28,FALSE)-50)),"-",(VLOOKUP($A27,'SegEnds_NonXtal_BW#'!$A:$Z,20,FALSE)+VLOOKUP($A27,A:AL,28,FALSE)-50))</f>
        <v>228</v>
      </c>
      <c r="AD27" s="3">
        <f>IF(ISERROR(VLOOKUP($A27,'SegEnds_NonXtal_BW#'!$A:$Z,21,FALSE)+VLOOKUP($A27,A:AL,31,FALSE)-50),"-",(VLOOKUP($A27,'SegEnds_NonXtal_BW#'!$A:$Z,21,FALSE)+VLOOKUP($A27,A:AL,31,FALSE)-50))</f>
        <v>232</v>
      </c>
      <c r="AE27" s="3">
        <v>258</v>
      </c>
      <c r="AF27" s="3">
        <f>IF(ISERROR((VLOOKUP($A27,'SegEnds_NonXtal_BW#'!$A:$Z,22,FALSE)+VLOOKUP($A27,A:AL,31,FALSE)-50)),"-",(VLOOKUP($A27,'SegEnds_NonXtal_BW#'!$A:$Z,22,FALSE)+VLOOKUP($A27,A:AL,31,FALSE)-50))</f>
        <v>272</v>
      </c>
      <c r="AG27" s="3">
        <f>IF(ISERROR(VLOOKUP($A27,'SegEnds_NonXtal_BW#'!$A:$Z,23,FALSE)+VLOOKUP($A27,A:AL,34,FALSE)-50),"-",(VLOOKUP($A27,'SegEnds_NonXtal_BW#'!$A:$Z,23,FALSE)+VLOOKUP($A27,A:AL,34,FALSE)-50))</f>
        <v>276</v>
      </c>
      <c r="AH27" s="3">
        <v>302</v>
      </c>
      <c r="AI27" s="3">
        <f>IF(ISERROR((VLOOKUP($A27,'SegEnds_NonXtal_BW#'!$A:$Z,24,FALSE)+VLOOKUP($A27,A:AL,34,FALSE)-50)),"-",(VLOOKUP($A27,'SegEnds_NonXtal_BW#'!$A:$Z,24,FALSE)+VLOOKUP($A27,A:AL,34,FALSE)-50))</f>
        <v>311</v>
      </c>
      <c r="AJ27" s="3">
        <f>IF(ISERROR(VLOOKUP($A27,'SegEnds_NonXtal_BW#'!$A:$Z,25,FALSE)+VLOOKUP($A27,A:AL,37,FALSE)-50),"-",(VLOOKUP($A27,'SegEnds_NonXtal_BW#'!$A:$Z,25,FALSE)+VLOOKUP($A27,A:AL,37,FALSE)-50))</f>
        <v>312</v>
      </c>
      <c r="AK27" s="3">
        <v>312</v>
      </c>
      <c r="AL27" s="3">
        <f>IF(ISERROR((VLOOKUP($A27,'SegEnds_NonXtal_BW#'!$A:$Z,26,FALSE)+VLOOKUP($A27,A:AL,37,FALSE)-50)),"-",(VLOOKUP($A27,'SegEnds_NonXtal_BW#'!$A:$Z,26,FALSE)+VLOOKUP($A27,A:AL,37,FALSE)-50))</f>
        <v>325</v>
      </c>
      <c r="AM27" s="28" t="str">
        <f>VLOOKUP(A27,Classification!A:B,2,FALSE)</f>
        <v>A</v>
      </c>
      <c r="AN27" s="28" t="b">
        <f t="shared" si="17"/>
        <v>1</v>
      </c>
      <c r="AO27" s="3" t="str">
        <f>IF(ISERROR(MATCH(A27,'SegEnds_Xtal_Prot#'!B:B, 0)), "NoXtal", "Xtal")</f>
        <v>NoXtal</v>
      </c>
      <c r="AP27" s="3" t="str">
        <f t="shared" si="2"/>
        <v>-</v>
      </c>
      <c r="AQ27" s="3" t="str">
        <f t="shared" si="3"/>
        <v>-</v>
      </c>
      <c r="AR27" s="3">
        <f t="shared" si="4"/>
        <v>2</v>
      </c>
      <c r="AS27" s="3">
        <f t="shared" si="5"/>
        <v>1</v>
      </c>
      <c r="AT27" s="3">
        <f t="shared" si="6"/>
        <v>1</v>
      </c>
      <c r="AU27" s="3">
        <f t="shared" si="7"/>
        <v>1</v>
      </c>
      <c r="AV27" s="3">
        <f t="shared" si="8"/>
        <v>11</v>
      </c>
      <c r="AW27" s="3">
        <f t="shared" si="9"/>
        <v>10</v>
      </c>
      <c r="AX27" s="3">
        <f t="shared" si="10"/>
        <v>4</v>
      </c>
      <c r="AY27" s="3">
        <f t="shared" si="11"/>
        <v>4</v>
      </c>
      <c r="AZ27" s="3">
        <f t="shared" si="12"/>
        <v>1</v>
      </c>
      <c r="BA27" s="3">
        <f>IF(ISERROR(LEN(VLOOKUP(A27,Seqs!A:E,2,FALSE))-AL27),"-",LEN(VLOOKUP(A27,Seqs!A:E,2,FALSE))-AL27)</f>
        <v>14</v>
      </c>
      <c r="BB27" s="16">
        <f t="shared" si="13"/>
        <v>28</v>
      </c>
      <c r="BC27" s="9">
        <f t="shared" si="14"/>
        <v>19</v>
      </c>
      <c r="BD27" s="3">
        <f t="shared" si="15"/>
        <v>28</v>
      </c>
      <c r="BE27" s="3">
        <f t="shared" si="16"/>
        <v>48</v>
      </c>
      <c r="BF27" s="3">
        <f t="shared" si="26"/>
        <v>44</v>
      </c>
    </row>
    <row r="28" spans="1:60" s="3" customFormat="1" x14ac:dyDescent="0.2">
      <c r="A28" s="3" t="s">
        <v>356</v>
      </c>
      <c r="B28" s="3" t="str">
        <f>LOWER(VLOOKUP(A28,Xtal_Templ!A:B,2,FALSE))</f>
        <v>par2_human</v>
      </c>
      <c r="C28" s="3">
        <f>VLOOKUP($A28,'SegEnds_NonXtal_BW#'!$A:$Z,3,FALSE)+D28-50</f>
        <v>71</v>
      </c>
      <c r="D28" s="3">
        <v>93</v>
      </c>
      <c r="E28" s="3">
        <f>IF(ISERROR(VLOOKUP($A28,'SegEnds_NonXtal_BW#'!$A:$Z,4,FALSE)+VLOOKUP($A28,A:AL,4,FALSE)-50),"-",(VLOOKUP($A28,'SegEnds_NonXtal_BW#'!$A:$Z,4,FALSE)+VLOOKUP($A28,A:AL,4,FALSE)-50))</f>
        <v>103</v>
      </c>
      <c r="F28" s="3" t="str">
        <f>IF(ISERROR(VLOOKUP($A28,'SegEnds_NonXtal_BW#'!$A:$Z,5,FALSE)+VLOOKUP($A28,A:AL,7,FALSE)-50),"-",(VLOOKUP($A28,'SegEnds_NonXtal_BW#'!$A:$Z,5,FALSE)+VLOOKUP($A28,A:AL,7,FALSE)-50))</f>
        <v>-</v>
      </c>
      <c r="G28" s="3" t="s">
        <v>23</v>
      </c>
      <c r="H28" s="3" t="str">
        <f>IF(ISERROR(VLOOKUP($A28,'SegEnds_NonXtal_BW#'!$A:$Z,6,FALSE)+VLOOKUP($A28,A:AL,7,FALSE)-50),"-",(VLOOKUP($A28,'SegEnds_NonXtal_BW#'!$A:$Z,6,FALSE)+VLOOKUP($A28,A:AL,7,FALSE)-50))</f>
        <v>-</v>
      </c>
      <c r="I28" s="3">
        <f>VLOOKUP($A28,'SegEnds_NonXtal_BW#'!$A:$Z,7,FALSE)+J28-50</f>
        <v>108</v>
      </c>
      <c r="J28" s="3">
        <v>121</v>
      </c>
      <c r="K28" s="3">
        <f>VLOOKUP($A28,'SegEnds_NonXtal_BW#'!$A:$Z,8,FALSE)+VLOOKUP($A28,A:AL,10,FALSE)-50</f>
        <v>137</v>
      </c>
      <c r="L28" s="3">
        <f>M28-1</f>
        <v>140</v>
      </c>
      <c r="M28" s="3">
        <v>141</v>
      </c>
      <c r="N28" s="3">
        <f>M28+2</f>
        <v>143</v>
      </c>
      <c r="O28" s="3">
        <f t="shared" si="22"/>
        <v>144</v>
      </c>
      <c r="P28" s="3">
        <v>173</v>
      </c>
      <c r="Q28" s="3">
        <f>VLOOKUP($A28,'SegEnds_NonXtal_BW#'!$A:$Z,12,FALSE)+VLOOKUP($A28,A:AL,16,FALSE)-50</f>
        <v>179</v>
      </c>
      <c r="R28" s="3">
        <f>IF(ISERROR(VLOOKUP($A28,'SegEnds_NonXtal_BW#'!$A:$Z,13,FALSE)+VLOOKUP($A28,A:AL,19,FALSE)-50),"-",VLOOKUP($A28,'SegEnds_NonXtal_BW#'!$A:$Z,13,FALSE)+VLOOKUP($A28,A:AL,19,FALSE)-50)</f>
        <v>180</v>
      </c>
      <c r="S28" s="3">
        <v>180</v>
      </c>
      <c r="T28" s="100">
        <f>IF(ISERROR(VLOOKUP($A28,'SegEnds_NonXtal_BW#'!$A:$Z,14,FALSE)+VLOOKUP($A28,A:AL,19,FALSE)-50),"-",(VLOOKUP($A28,'SegEnds_NonXtal_BW#'!$A:$Z,14,FALSE)+VLOOKUP($A28,A:AL,19,FALSE)-50))</f>
        <v>186</v>
      </c>
      <c r="U28" s="9">
        <f>IF(ISERROR(VLOOKUP($A28,'SegEnds_NonXtal_BW#'!$A:$Z,15,FALSE)+VLOOKUP($A28,A:AL,22,FALSE)-50),"-",VLOOKUP($A28,'SegEnds_NonXtal_BW#'!$A:$Z,15,FALSE)+VLOOKUP($A28,A:AL,22,FALSE)-50)</f>
        <v>187</v>
      </c>
      <c r="V28" s="3">
        <v>199</v>
      </c>
      <c r="W28" s="3">
        <f>IF(ISERROR(VLOOKUP($A28,'SegEnds_NonXtal_BW#'!$A:$Z,16,FALSE)+VLOOKUP($A28,A:AL,22,FALSE)-50),"-",(VLOOKUP($A28,'SegEnds_NonXtal_BW#'!$A:$Z,16,FALSE)+VLOOKUP($A28,A:AL,22,FALSE)-50))</f>
        <v>211</v>
      </c>
      <c r="X28" s="3">
        <f>IF(ISERROR(VLOOKUP($A28,'SegEnds_NonXtal_BW#'!$A:$Z,17,FALSE)+VLOOKUP($A28,A:AL,25,FALSE)-50),"-",(VLOOKUP($A28,'SegEnds_NonXtal_BW#'!$A:$Z,17,FALSE)+VLOOKUP($A28,A:AL,25,FALSE)-50))</f>
        <v>226</v>
      </c>
      <c r="Y28" s="3">
        <v>226</v>
      </c>
      <c r="Z28" s="3">
        <f t="shared" si="25"/>
        <v>228</v>
      </c>
      <c r="AA28" s="3">
        <f>IF(ISERROR(VLOOKUP($A28,'SegEnds_NonXtal_BW#'!$A:$Z,19,FALSE)+VLOOKUP($A28,A:AL,28,FALSE)-50),"-",(VLOOKUP($A28,'SegEnds_NonXtal_BW#'!$A:$Z,19,FALSE)+VLOOKUP($A28,A:AL,28,FALSE)-50))</f>
        <v>235</v>
      </c>
      <c r="AB28" s="3">
        <v>254</v>
      </c>
      <c r="AC28" s="3">
        <f>IF(ISERROR((VLOOKUP($A28,'SegEnds_NonXtal_BW#'!$A:$Z,20,FALSE)+VLOOKUP($A28,A:AL,28,FALSE)-50)),"-",(VLOOKUP($A28,'SegEnds_NonXtal_BW#'!$A:$Z,20,FALSE)+VLOOKUP($A28,A:AL,28,FALSE)-50))</f>
        <v>272</v>
      </c>
      <c r="AD28" s="3">
        <f>IF(ISERROR(VLOOKUP($A28,'SegEnds_NonXtal_BW#'!$A:$Z,21,FALSE)+VLOOKUP($A28,A:AL,31,FALSE)-50),"-",(VLOOKUP($A28,'SegEnds_NonXtal_BW#'!$A:$Z,21,FALSE)+VLOOKUP($A28,A:AL,31,FALSE)-50))</f>
        <v>276</v>
      </c>
      <c r="AE28" s="3">
        <v>302</v>
      </c>
      <c r="AF28" s="3">
        <f>IF(ISERROR((VLOOKUP($A28,'SegEnds_NonXtal_BW#'!$A:$Z,22,FALSE)+VLOOKUP($A28,A:AL,31,FALSE)-50)),"-",(VLOOKUP($A28,'SegEnds_NonXtal_BW#'!$A:$Z,22,FALSE)+VLOOKUP($A28,A:AL,31,FALSE)-50))</f>
        <v>314</v>
      </c>
      <c r="AG28" s="3">
        <f>IF(ISERROR(VLOOKUP($A28,'SegEnds_NonXtal_BW#'!$A:$Z,23,FALSE)+VLOOKUP($A28,A:AL,34,FALSE)-50),"-",(VLOOKUP($A28,'SegEnds_NonXtal_BW#'!$A:$Z,23,FALSE)+VLOOKUP($A28,A:AL,34,FALSE)-50))</f>
        <v>322</v>
      </c>
      <c r="AH28" s="3">
        <v>341</v>
      </c>
      <c r="AI28" s="3">
        <f>IF(ISERROR((VLOOKUP($A28,'SegEnds_NonXtal_BW#'!$A:$Z,24,FALSE)+VLOOKUP($A28,A:AL,34,FALSE)-50)),"-",(VLOOKUP($A28,'SegEnds_NonXtal_BW#'!$A:$Z,24,FALSE)+VLOOKUP($A28,A:AL,34,FALSE)-50))</f>
        <v>347</v>
      </c>
      <c r="AJ28" s="3">
        <f>IF(ISERROR(VLOOKUP($A28,'SegEnds_NonXtal_BW#'!$A:$Z,25,FALSE)+VLOOKUP($A28,A:AL,37,FALSE)-50),"-",(VLOOKUP($A28,'SegEnds_NonXtal_BW#'!$A:$Z,25,FALSE)+VLOOKUP($A28,A:AL,37,FALSE)-50))</f>
        <v>348</v>
      </c>
      <c r="AK28" s="3">
        <v>351</v>
      </c>
      <c r="AL28" s="3">
        <f>IF(ISERROR((VLOOKUP($A28,'SegEnds_NonXtal_BW#'!$A:$Z,26,FALSE)+VLOOKUP($A28,A:AL,37,FALSE)-50)),"-",(VLOOKUP($A28,'SegEnds_NonXtal_BW#'!$A:$Z,26,FALSE)+VLOOKUP($A28,A:AL,37,FALSE)-50))</f>
        <v>362</v>
      </c>
      <c r="AM28" s="28" t="str">
        <f>VLOOKUP(A28,Classification!A:B,2,FALSE)</f>
        <v>A</v>
      </c>
      <c r="AN28" s="28" t="b">
        <f t="shared" si="17"/>
        <v>1</v>
      </c>
      <c r="AO28" s="3" t="str">
        <f>IF(ISERROR(MATCH(A28,'SegEnds_Xtal_Prot#'!B:B, 0)), "NoXtal", "Xtal")</f>
        <v>Xtal</v>
      </c>
      <c r="AP28" s="3" t="str">
        <f t="shared" si="2"/>
        <v>-</v>
      </c>
      <c r="AQ28" s="3" t="str">
        <f t="shared" si="3"/>
        <v>-</v>
      </c>
      <c r="AR28" s="3">
        <f t="shared" si="4"/>
        <v>3</v>
      </c>
      <c r="AS28" s="3">
        <f t="shared" si="5"/>
        <v>1</v>
      </c>
      <c r="AT28" s="3">
        <f t="shared" si="6"/>
        <v>1</v>
      </c>
      <c r="AU28" s="3">
        <f t="shared" si="7"/>
        <v>1</v>
      </c>
      <c r="AV28" s="3">
        <f t="shared" si="8"/>
        <v>15</v>
      </c>
      <c r="AW28" s="3">
        <f t="shared" si="9"/>
        <v>7</v>
      </c>
      <c r="AX28" s="3">
        <f t="shared" si="10"/>
        <v>4</v>
      </c>
      <c r="AY28" s="3">
        <f t="shared" si="11"/>
        <v>8</v>
      </c>
      <c r="AZ28" s="3">
        <f t="shared" si="12"/>
        <v>1</v>
      </c>
      <c r="BA28" s="3">
        <f>IF(ISERROR(LEN(VLOOKUP(A28,Seqs!A:E,2,FALSE))-AL28),"-",LEN(VLOOKUP(A28,Seqs!A:E,2,FALSE))-AL28)</f>
        <v>35</v>
      </c>
      <c r="BB28" s="16">
        <f t="shared" si="13"/>
        <v>28</v>
      </c>
      <c r="BC28" s="9">
        <f t="shared" si="14"/>
        <v>19</v>
      </c>
      <c r="BD28" s="3">
        <f t="shared" si="15"/>
        <v>28</v>
      </c>
      <c r="BE28" s="3">
        <f t="shared" si="16"/>
        <v>48</v>
      </c>
    </row>
    <row r="29" spans="1:60" s="3" customFormat="1" x14ac:dyDescent="0.2">
      <c r="A29" s="3" t="s">
        <v>375</v>
      </c>
      <c r="B29" s="3" t="str">
        <f>LOWER(VLOOKUP(A29,Xtal_Templ!A:B,2,FALSE))</f>
        <v>aa1r_human</v>
      </c>
      <c r="C29" s="3">
        <f>VLOOKUP($A29,'SegEnds_NonXtal_BW#'!$A:$Z,3,FALSE)+D29-50</f>
        <v>402</v>
      </c>
      <c r="D29" s="3">
        <v>423</v>
      </c>
      <c r="E29" s="3">
        <f>IF(ISERROR(VLOOKUP($A29,'SegEnds_NonXtal_BW#'!$A:$Z,4,FALSE)+VLOOKUP($A29,A:AL,4,FALSE)-50),"-",(VLOOKUP($A29,'SegEnds_NonXtal_BW#'!$A:$Z,4,FALSE)+VLOOKUP($A29,A:AL,4,FALSE)-50))</f>
        <v>433</v>
      </c>
      <c r="F29" s="3">
        <f t="shared" ref="F29:F72" si="27">G29-2</f>
        <v>434</v>
      </c>
      <c r="G29" s="3">
        <v>436</v>
      </c>
      <c r="H29" s="3">
        <f t="shared" ref="H29:I48" si="28">G29+1</f>
        <v>437</v>
      </c>
      <c r="I29" s="3">
        <f t="shared" si="28"/>
        <v>438</v>
      </c>
      <c r="J29" s="3">
        <v>451</v>
      </c>
      <c r="K29" s="3">
        <f>VLOOKUP($A29,'SegEnds_NonXtal_BW#'!$A:$Z,8,FALSE)+VLOOKUP($A29,A:AL,10,FALSE)-50</f>
        <v>468</v>
      </c>
      <c r="L29" s="3" t="str">
        <f>IF(ISERROR(VLOOKUP($A29,'SegEnds_NonXtal_BW#'!$A:$Z,9,FALSE)+VLOOKUP($A29,A:AL,13,FALSE)-50),"-",(VLOOKUP($A29,'SegEnds_NonXtal_BW#'!$A:$Z,9,FALSE)+VLOOKUP($A29,A:AL,13,FALSE)-50))</f>
        <v>-</v>
      </c>
      <c r="M29" s="3" t="s">
        <v>23</v>
      </c>
      <c r="N29" s="3" t="str">
        <f>IF(ISERROR(VLOOKUP($A29,'SegEnds_NonXtal_BW#'!$A:$Z,10,FALSE)+VLOOKUP($A29,A:AL,13,FALSE)-50),"-",(VLOOKUP($A29,'SegEnds_NonXtal_BW#'!$A:$Z,10,FALSE)+VLOOKUP($A29,A:AL,13,FALSE)-50))</f>
        <v>-</v>
      </c>
      <c r="O29" s="3">
        <f>VLOOKUP($A29,'SegEnds_NonXtal_BW#'!$A:$Z,11,FALSE)+VLOOKUP($A29,A:AL,16,FALSE)-50</f>
        <v>478</v>
      </c>
      <c r="P29" s="3">
        <v>510</v>
      </c>
      <c r="Q29" s="3">
        <f>VLOOKUP($A29,'SegEnds_NonXtal_BW#'!$A:$Z,12,FALSE)+VLOOKUP($A29,A:AL,16,FALSE)-50</f>
        <v>516</v>
      </c>
      <c r="R29" s="3">
        <f>IF(ISERROR(VLOOKUP($A29,'SegEnds_NonXtal_BW#'!$A:$Z,13,FALSE)+VLOOKUP($A29,A:AL,19,FALSE)-50),"-",VLOOKUP($A29,'SegEnds_NonXtal_BW#'!$A:$Z,13,FALSE)+VLOOKUP($A29,A:AL,19,FALSE)-50)</f>
        <v>517</v>
      </c>
      <c r="S29" s="3">
        <v>517</v>
      </c>
      <c r="T29" s="100">
        <f>IF(ISERROR(VLOOKUP($A29,'SegEnds_NonXtal_BW#'!$A:$Z,14,FALSE)+VLOOKUP($A29,A:AL,19,FALSE)-50),"-",(VLOOKUP($A29,'SegEnds_NonXtal_BW#'!$A:$Z,14,FALSE)+VLOOKUP($A29,A:AL,19,FALSE)-50))</f>
        <v>523</v>
      </c>
      <c r="U29" s="9">
        <f>IF(ISERROR(VLOOKUP($A29,'SegEnds_NonXtal_BW#'!$A:$Z,15,FALSE)+VLOOKUP($A29,A:AL,22,FALSE)-50),"-",VLOOKUP($A29,'SegEnds_NonXtal_BW#'!$A:$Z,15,FALSE)+VLOOKUP($A29,A:AL,22,FALSE)-50)</f>
        <v>524</v>
      </c>
      <c r="V29" s="3">
        <v>536</v>
      </c>
      <c r="W29" s="3">
        <f>IF(ISERROR(VLOOKUP($A29,'SegEnds_NonXtal_BW#'!$A:$Z,16,FALSE)+VLOOKUP($A29,A:AL,22,FALSE)-50),"-",(VLOOKUP($A29,'SegEnds_NonXtal_BW#'!$A:$Z,16,FALSE)+VLOOKUP($A29,A:AL,22,FALSE)-50))</f>
        <v>549</v>
      </c>
      <c r="X29" s="3">
        <f>IF(ISERROR(VLOOKUP($A29,'SegEnds_NonXtal_BW#'!$A:$Z,17,FALSE)+VLOOKUP($A29,A:AL,25,FALSE)-50),"-",(VLOOKUP($A29,'SegEnds_NonXtal_BW#'!$A:$Z,17,FALSE)+VLOOKUP($A29,A:AL,25,FALSE)-50))</f>
        <v>563</v>
      </c>
      <c r="Y29" s="3">
        <v>563</v>
      </c>
      <c r="Z29" s="3">
        <f t="shared" si="25"/>
        <v>565</v>
      </c>
      <c r="AA29" s="3">
        <f>IF(ISERROR(VLOOKUP($A29,'SegEnds_NonXtal_BW#'!$A:$Z,19,FALSE)+VLOOKUP($A29,A:AL,28,FALSE)-50),"-",(VLOOKUP($A29,'SegEnds_NonXtal_BW#'!$A:$Z,19,FALSE)+VLOOKUP($A29,A:AL,28,FALSE)-50))</f>
        <v>576</v>
      </c>
      <c r="AB29" s="3">
        <v>591</v>
      </c>
      <c r="AC29" s="3">
        <f>IF(ISERROR((VLOOKUP($A29,'SegEnds_NonXtal_BW#'!$A:$Z,20,FALSE)+VLOOKUP($A29,A:AL,28,FALSE)-50)),"-",(VLOOKUP($A29,'SegEnds_NonXtal_BW#'!$A:$Z,20,FALSE)+VLOOKUP($A29,A:AL,28,FALSE)-50))</f>
        <v>613</v>
      </c>
      <c r="AD29" s="3">
        <f>IF(ISERROR(VLOOKUP($A29,'SegEnds_NonXtal_BW#'!$A:$Z,21,FALSE)+VLOOKUP($A29,A:AL,31,FALSE)-50),"-",(VLOOKUP($A29,'SegEnds_NonXtal_BW#'!$A:$Z,21,FALSE)+VLOOKUP($A29,A:AL,31,FALSE)-50))</f>
        <v>617</v>
      </c>
      <c r="AE29" s="3">
        <v>643</v>
      </c>
      <c r="AF29" s="3">
        <f>IF(ISERROR((VLOOKUP($A29,'SegEnds_NonXtal_BW#'!$A:$Z,22,FALSE)+VLOOKUP($A29,A:AL,31,FALSE)-50)),"-",(VLOOKUP($A29,'SegEnds_NonXtal_BW#'!$A:$Z,22,FALSE)+VLOOKUP($A29,A:AL,31,FALSE)-50))</f>
        <v>654</v>
      </c>
      <c r="AG29" s="3">
        <f>IF(ISERROR(VLOOKUP($A29,'SegEnds_NonXtal_BW#'!$A:$Z,23,FALSE)+VLOOKUP($A29,A:AL,34,FALSE)-50),"-",(VLOOKUP($A29,'SegEnds_NonXtal_BW#'!$A:$Z,23,FALSE)+VLOOKUP($A29,A:AL,34,FALSE)-50))</f>
        <v>659</v>
      </c>
      <c r="AH29" s="3">
        <v>678</v>
      </c>
      <c r="AI29" s="3">
        <v>684</v>
      </c>
      <c r="AJ29" s="3">
        <f>IF(ISERROR(VLOOKUP($A29,'SegEnds_NonXtal_BW#'!$A:$Z,25,FALSE)+VLOOKUP($A29,A:AL,37,FALSE)-50),"-",(VLOOKUP($A29,'SegEnds_NonXtal_BW#'!$A:$Z,25,FALSE)+VLOOKUP($A29,A:AL,37,FALSE)-50))</f>
        <v>685</v>
      </c>
      <c r="AK29" s="3">
        <v>688</v>
      </c>
      <c r="AL29" s="3">
        <f>IF(ISERROR((VLOOKUP($A29,'SegEnds_NonXtal_BW#'!$A:$Z,26,FALSE)+VLOOKUP($A29,A:AL,37,FALSE)-50)),"-",(VLOOKUP($A29,'SegEnds_NonXtal_BW#'!$A:$Z,26,FALSE)+VLOOKUP($A29,A:AL,37,FALSE)-50))</f>
        <v>707</v>
      </c>
      <c r="AM29" s="28" t="str">
        <f>VLOOKUP(A29,Classification!A:B,2,FALSE)</f>
        <v>A</v>
      </c>
      <c r="AN29" s="28" t="b">
        <f t="shared" si="17"/>
        <v>1</v>
      </c>
      <c r="AO29" s="3" t="str">
        <f>IF(ISERROR(MATCH(A29,'SegEnds_Xtal_Prot#'!B:B, 0)), "NoXtal", "Xtal")</f>
        <v>NoXtal</v>
      </c>
      <c r="AP29" s="3">
        <f t="shared" si="2"/>
        <v>1</v>
      </c>
      <c r="AQ29" s="3">
        <f t="shared" si="3"/>
        <v>1</v>
      </c>
      <c r="AR29" s="3" t="str">
        <f t="shared" si="4"/>
        <v>-</v>
      </c>
      <c r="AS29" s="3" t="str">
        <f t="shared" si="5"/>
        <v>-</v>
      </c>
      <c r="AT29" s="3">
        <f t="shared" si="6"/>
        <v>1</v>
      </c>
      <c r="AU29" s="3">
        <f t="shared" si="7"/>
        <v>1</v>
      </c>
      <c r="AV29" s="3">
        <f t="shared" si="8"/>
        <v>14</v>
      </c>
      <c r="AW29" s="3">
        <f t="shared" si="9"/>
        <v>11</v>
      </c>
      <c r="AX29" s="3">
        <f t="shared" si="10"/>
        <v>4</v>
      </c>
      <c r="AY29" s="3">
        <f t="shared" si="11"/>
        <v>5</v>
      </c>
      <c r="AZ29" s="3">
        <f t="shared" si="12"/>
        <v>1</v>
      </c>
      <c r="BA29" s="3">
        <f>IF(ISERROR(LEN(VLOOKUP(A29,Seqs!A:E,2,FALSE))-AL29),"-",LEN(VLOOKUP(A29,Seqs!A:E,2,FALSE))-AL29)</f>
        <v>50</v>
      </c>
      <c r="BB29" s="16">
        <f t="shared" si="13"/>
        <v>28</v>
      </c>
      <c r="BC29" s="9">
        <f t="shared" si="14"/>
        <v>19</v>
      </c>
      <c r="BD29" s="3">
        <f t="shared" si="15"/>
        <v>28</v>
      </c>
      <c r="BE29" s="3">
        <f t="shared" si="16"/>
        <v>52</v>
      </c>
    </row>
    <row r="30" spans="1:60" s="3" customFormat="1" x14ac:dyDescent="0.2">
      <c r="A30" s="3" t="s">
        <v>376</v>
      </c>
      <c r="B30" s="3" t="str">
        <f>LOWER(VLOOKUP(A30,Xtal_Templ!A:B,2,FALSE))</f>
        <v>aa1r_human</v>
      </c>
      <c r="C30" s="3">
        <f>VLOOKUP($A30,'SegEnds_NonXtal_BW#'!$A:$Z,3,FALSE)+D30-50</f>
        <v>412</v>
      </c>
      <c r="D30" s="3">
        <v>433</v>
      </c>
      <c r="E30" s="3">
        <f>IF(ISERROR(VLOOKUP($A30,'SegEnds_NonXtal_BW#'!$A:$Z,4,FALSE)+VLOOKUP($A30,A:AL,4,FALSE)-50),"-",(VLOOKUP($A30,'SegEnds_NonXtal_BW#'!$A:$Z,4,FALSE)+VLOOKUP($A30,A:AL,4,FALSE)-50))</f>
        <v>443</v>
      </c>
      <c r="F30" s="3">
        <f t="shared" si="27"/>
        <v>444</v>
      </c>
      <c r="G30" s="3">
        <v>446</v>
      </c>
      <c r="H30" s="3">
        <f t="shared" si="28"/>
        <v>447</v>
      </c>
      <c r="I30" s="3">
        <f t="shared" si="28"/>
        <v>448</v>
      </c>
      <c r="J30" s="3">
        <v>461</v>
      </c>
      <c r="K30" s="3">
        <f>VLOOKUP($A30,'SegEnds_NonXtal_BW#'!$A:$Z,8,FALSE)+VLOOKUP($A30,A:AL,10,FALSE)-50</f>
        <v>478</v>
      </c>
      <c r="L30" s="3">
        <f>M30-1</f>
        <v>484</v>
      </c>
      <c r="M30" s="3">
        <v>485</v>
      </c>
      <c r="N30" s="3">
        <f>M30+2</f>
        <v>487</v>
      </c>
      <c r="O30" s="3">
        <f t="shared" ref="O30:O53" si="29">N30+1</f>
        <v>488</v>
      </c>
      <c r="P30" s="3">
        <v>520</v>
      </c>
      <c r="Q30" s="3">
        <f>VLOOKUP($A30,'SegEnds_NonXtal_BW#'!$A:$Z,12,FALSE)+VLOOKUP($A30,A:AL,16,FALSE)-50</f>
        <v>526</v>
      </c>
      <c r="R30" s="3">
        <f>IF(ISERROR(VLOOKUP($A30,'SegEnds_NonXtal_BW#'!$A:$Z,13,FALSE)+VLOOKUP($A30,A:AL,19,FALSE)-50),"-",VLOOKUP($A30,'SegEnds_NonXtal_BW#'!$A:$Z,13,FALSE)+VLOOKUP($A30,A:AL,19,FALSE)-50)</f>
        <v>527</v>
      </c>
      <c r="S30" s="3">
        <v>527</v>
      </c>
      <c r="T30" s="100">
        <f>IF(ISERROR(VLOOKUP($A30,'SegEnds_NonXtal_BW#'!$A:$Z,14,FALSE)+VLOOKUP($A30,A:AL,19,FALSE)-50),"-",(VLOOKUP($A30,'SegEnds_NonXtal_BW#'!$A:$Z,14,FALSE)+VLOOKUP($A30,A:AL,19,FALSE)-50))</f>
        <v>533</v>
      </c>
      <c r="U30" s="9">
        <f>IF(ISERROR(VLOOKUP($A30,'SegEnds_NonXtal_BW#'!$A:$Z,15,FALSE)+VLOOKUP($A30,A:AL,22,FALSE)-50),"-",VLOOKUP($A30,'SegEnds_NonXtal_BW#'!$A:$Z,15,FALSE)+VLOOKUP($A30,A:AL,22,FALSE)-50)</f>
        <v>534</v>
      </c>
      <c r="V30" s="3">
        <v>546</v>
      </c>
      <c r="W30" s="3">
        <f>IF(ISERROR(VLOOKUP($A30,'SegEnds_NonXtal_BW#'!$A:$Z,16,FALSE)+VLOOKUP($A30,A:AL,22,FALSE)-50),"-",(VLOOKUP($A30,'SegEnds_NonXtal_BW#'!$A:$Z,16,FALSE)+VLOOKUP($A30,A:AL,22,FALSE)-50))</f>
        <v>559</v>
      </c>
      <c r="X30" s="3">
        <f>IF(ISERROR(VLOOKUP($A30,'SegEnds_NonXtal_BW#'!$A:$Z,17,FALSE)+VLOOKUP($A30,A:AL,25,FALSE)-50),"-",(VLOOKUP($A30,'SegEnds_NonXtal_BW#'!$A:$Z,17,FALSE)+VLOOKUP($A30,A:AL,25,FALSE)-50))</f>
        <v>573</v>
      </c>
      <c r="Y30" s="3">
        <v>573</v>
      </c>
      <c r="Z30" s="3">
        <f t="shared" si="25"/>
        <v>575</v>
      </c>
      <c r="AA30" s="3">
        <f>IF(ISERROR(VLOOKUP($A30,'SegEnds_NonXtal_BW#'!$A:$Z,19,FALSE)+VLOOKUP($A30,A:AL,28,FALSE)-50),"-",(VLOOKUP($A30,'SegEnds_NonXtal_BW#'!$A:$Z,19,FALSE)+VLOOKUP($A30,A:AL,28,FALSE)-50))</f>
        <v>586</v>
      </c>
      <c r="AB30" s="3">
        <v>601</v>
      </c>
      <c r="AC30" s="3">
        <f>IF(ISERROR((VLOOKUP($A30,'SegEnds_NonXtal_BW#'!$A:$Z,20,FALSE)+VLOOKUP($A30,A:AL,28,FALSE)-50)),"-",(VLOOKUP($A30,'SegEnds_NonXtal_BW#'!$A:$Z,20,FALSE)+VLOOKUP($A30,A:AL,28,FALSE)-50))</f>
        <v>623</v>
      </c>
      <c r="AD30" s="3">
        <f>IF(ISERROR(VLOOKUP($A30,'SegEnds_NonXtal_BW#'!$A:$Z,21,FALSE)+VLOOKUP($A30,A:AL,31,FALSE)-50),"-",(VLOOKUP($A30,'SegEnds_NonXtal_BW#'!$A:$Z,21,FALSE)+VLOOKUP($A30,A:AL,31,FALSE)-50))</f>
        <v>627</v>
      </c>
      <c r="AE30" s="3">
        <v>653</v>
      </c>
      <c r="AF30" s="3">
        <f>IF(ISERROR((VLOOKUP($A30,'SegEnds_NonXtal_BW#'!$A:$Z,22,FALSE)+VLOOKUP($A30,A:AL,31,FALSE)-50)),"-",(VLOOKUP($A30,'SegEnds_NonXtal_BW#'!$A:$Z,22,FALSE)+VLOOKUP($A30,A:AL,31,FALSE)-50))</f>
        <v>664</v>
      </c>
      <c r="AG30" s="3">
        <f>IF(ISERROR(VLOOKUP($A30,'SegEnds_NonXtal_BW#'!$A:$Z,23,FALSE)+VLOOKUP($A30,A:AL,34,FALSE)-50),"-",(VLOOKUP($A30,'SegEnds_NonXtal_BW#'!$A:$Z,23,FALSE)+VLOOKUP($A30,A:AL,34,FALSE)-50))</f>
        <v>669</v>
      </c>
      <c r="AH30" s="3">
        <v>688</v>
      </c>
      <c r="AI30" s="3">
        <v>694</v>
      </c>
      <c r="AJ30" s="3">
        <f>IF(ISERROR(VLOOKUP($A30,'SegEnds_NonXtal_BW#'!$A:$Z,25,FALSE)+VLOOKUP($A30,A:AL,37,FALSE)-50),"-",(VLOOKUP($A30,'SegEnds_NonXtal_BW#'!$A:$Z,25,FALSE)+VLOOKUP($A30,A:AL,37,FALSE)-50))</f>
        <v>695</v>
      </c>
      <c r="AK30" s="3">
        <v>698</v>
      </c>
      <c r="AL30" s="3">
        <f>IF(ISERROR((VLOOKUP($A30,'SegEnds_NonXtal_BW#'!$A:$Z,26,FALSE)+VLOOKUP($A30,A:AL,37,FALSE)-50)),"-",(VLOOKUP($A30,'SegEnds_NonXtal_BW#'!$A:$Z,26,FALSE)+VLOOKUP($A30,A:AL,37,FALSE)-50))</f>
        <v>717</v>
      </c>
      <c r="AM30" s="28" t="str">
        <f>VLOOKUP(A30,Classification!A:B,2,FALSE)</f>
        <v>A</v>
      </c>
      <c r="AN30" s="28" t="b">
        <f t="shared" si="17"/>
        <v>1</v>
      </c>
      <c r="AO30" s="3" t="str">
        <f>IF(ISERROR(MATCH(A30,'SegEnds_Xtal_Prot#'!B:B, 0)), "NoXtal", "Xtal")</f>
        <v>NoXtal</v>
      </c>
      <c r="AP30" s="3">
        <f t="shared" si="2"/>
        <v>1</v>
      </c>
      <c r="AQ30" s="3">
        <f t="shared" si="3"/>
        <v>1</v>
      </c>
      <c r="AR30" s="3">
        <f t="shared" si="4"/>
        <v>6</v>
      </c>
      <c r="AS30" s="3">
        <f t="shared" si="5"/>
        <v>1</v>
      </c>
      <c r="AT30" s="3">
        <f t="shared" si="6"/>
        <v>1</v>
      </c>
      <c r="AU30" s="3">
        <f t="shared" si="7"/>
        <v>1</v>
      </c>
      <c r="AV30" s="3">
        <f t="shared" si="8"/>
        <v>14</v>
      </c>
      <c r="AW30" s="3">
        <f t="shared" si="9"/>
        <v>11</v>
      </c>
      <c r="AX30" s="3">
        <f t="shared" si="10"/>
        <v>4</v>
      </c>
      <c r="AY30" s="3">
        <f t="shared" si="11"/>
        <v>5</v>
      </c>
      <c r="AZ30" s="3">
        <f t="shared" si="12"/>
        <v>1</v>
      </c>
      <c r="BA30" s="3">
        <f>IF(ISERROR(LEN(VLOOKUP(A30,Seqs!A:E,2,FALSE))-AL30),"-",LEN(VLOOKUP(A30,Seqs!A:E,2,FALSE))-AL30)</f>
        <v>37</v>
      </c>
      <c r="BB30" s="16">
        <f t="shared" si="13"/>
        <v>28</v>
      </c>
      <c r="BC30" s="9">
        <f t="shared" si="14"/>
        <v>19</v>
      </c>
      <c r="BD30" s="3">
        <f t="shared" si="15"/>
        <v>28</v>
      </c>
      <c r="BE30" s="3">
        <f t="shared" si="16"/>
        <v>52</v>
      </c>
    </row>
    <row r="31" spans="1:60" s="3" customFormat="1" x14ac:dyDescent="0.2">
      <c r="A31" s="3" t="s">
        <v>104</v>
      </c>
      <c r="B31" s="3" t="str">
        <f>LOWER(VLOOKUP(A31,Xtal_Templ!A:B,2,FALSE))</f>
        <v>s1pr1_human</v>
      </c>
      <c r="C31" s="3">
        <f>VLOOKUP($A31,'SegEnds_NonXtal_BW#'!$A:$Z,3,FALSE)+D31-50</f>
        <v>42</v>
      </c>
      <c r="D31" s="3">
        <v>63</v>
      </c>
      <c r="E31" s="3">
        <f>IF(ISERROR(VLOOKUP($A31,'SegEnds_NonXtal_BW#'!$A:$Z,4,FALSE)+VLOOKUP($A31,A:AL,4,FALSE)-50),"-",(VLOOKUP($A31,'SegEnds_NonXtal_BW#'!$A:$Z,4,FALSE)+VLOOKUP($A31,A:AL,4,FALSE)-50))</f>
        <v>73</v>
      </c>
      <c r="F31" s="3">
        <f t="shared" si="27"/>
        <v>74</v>
      </c>
      <c r="G31" s="3">
        <v>76</v>
      </c>
      <c r="H31" s="3">
        <f t="shared" si="28"/>
        <v>77</v>
      </c>
      <c r="I31" s="3">
        <f t="shared" si="28"/>
        <v>78</v>
      </c>
      <c r="J31" s="3">
        <v>91</v>
      </c>
      <c r="K31" s="3">
        <f>VLOOKUP($A31,'SegEnds_NonXtal_BW#'!$A:$Z,8,FALSE)+VLOOKUP($A31,A:AL,10,FALSE)-50</f>
        <v>104</v>
      </c>
      <c r="L31" s="3">
        <f>M31-3</f>
        <v>106</v>
      </c>
      <c r="M31" s="3">
        <v>109</v>
      </c>
      <c r="N31" s="3">
        <f>M31+3</f>
        <v>112</v>
      </c>
      <c r="O31" s="3">
        <f t="shared" si="29"/>
        <v>113</v>
      </c>
      <c r="P31" s="3">
        <v>142</v>
      </c>
      <c r="Q31" s="3">
        <f>VLOOKUP($A31,'SegEnds_NonXtal_BW#'!$A:$Z,12,FALSE)+VLOOKUP($A31,A:AL,16,FALSE)-50</f>
        <v>148</v>
      </c>
      <c r="R31" s="3">
        <f>IF(ISERROR(VLOOKUP($A31,'SegEnds_NonXtal_BW#'!$A:$Z,13,FALSE)+VLOOKUP($A31,A:AL,19,FALSE)-50),"-",VLOOKUP($A31,'SegEnds_NonXtal_BW#'!$A:$Z,13,FALSE)+VLOOKUP($A31,A:AL,19,FALSE)-50)</f>
        <v>149</v>
      </c>
      <c r="S31" s="3">
        <v>149</v>
      </c>
      <c r="T31" s="100">
        <f>IF(ISERROR(VLOOKUP($A31,'SegEnds_NonXtal_BW#'!$A:$Z,14,FALSE)+VLOOKUP($A31,A:AL,19,FALSE)-50),"-",(VLOOKUP($A31,'SegEnds_NonXtal_BW#'!$A:$Z,14,FALSE)+VLOOKUP($A31,A:AL,19,FALSE)-50))</f>
        <v>155</v>
      </c>
      <c r="U31" s="9">
        <f>IF(ISERROR(VLOOKUP($A31,'SegEnds_NonXtal_BW#'!$A:$Z,15,FALSE)+VLOOKUP($A31,A:AL,22,FALSE)-50),"-",VLOOKUP($A31,'SegEnds_NonXtal_BW#'!$A:$Z,15,FALSE)+VLOOKUP($A31,A:AL,22,FALSE)-50)</f>
        <v>156</v>
      </c>
      <c r="V31" s="3">
        <v>168</v>
      </c>
      <c r="W31" s="3">
        <f>IF(ISERROR(VLOOKUP($A31,'SegEnds_NonXtal_BW#'!$A:$Z,16,FALSE)+VLOOKUP($A31,A:AL,22,FALSE)-50),"-",(VLOOKUP($A31,'SegEnds_NonXtal_BW#'!$A:$Z,16,FALSE)+VLOOKUP($A31,A:AL,22,FALSE)-50))</f>
        <v>181</v>
      </c>
      <c r="X31" s="3" t="str">
        <f>IF(ISERROR(VLOOKUP($A31,'SegEnds_NonXtal_BW#'!$A:$Z,17,FALSE)+VLOOKUP($A31,A:AL,25,FALSE)-50),"-",(VLOOKUP($A31,'SegEnds_NonXtal_BW#'!$A:$Z,17,FALSE)+VLOOKUP($A31,A:AL,25,FALSE)-50))</f>
        <v>-</v>
      </c>
      <c r="Y31" s="3" t="s">
        <v>23</v>
      </c>
      <c r="Z31" s="3" t="str">
        <f>IF(ISERROR(VLOOKUP($A31,'SegEnds_NonXtal_BW#'!$A:$Z,18,FALSE)+VLOOKUP($A31,A:AL,25,FALSE)-50),"-",(VLOOKUP($A31,'SegEnds_NonXtal_BW#'!$A:$Z,18,FALSE)+VLOOKUP($A31,A:AL,25,FALSE)-50))</f>
        <v>-</v>
      </c>
      <c r="AA31" s="3">
        <f>IF(ISERROR(VLOOKUP($A31,'SegEnds_NonXtal_BW#'!$A:$Z,19,FALSE)+VLOOKUP($A31,A:AL,28,FALSE)-50),"-",(VLOOKUP($A31,'SegEnds_NonXtal_BW#'!$A:$Z,19,FALSE)+VLOOKUP($A31,A:AL,28,FALSE)-50))</f>
        <v>199</v>
      </c>
      <c r="AB31" s="3">
        <v>213</v>
      </c>
      <c r="AC31" s="3">
        <f>IF(ISERROR((VLOOKUP($A31,'SegEnds_NonXtal_BW#'!$A:$Z,20,FALSE)+VLOOKUP($A31,A:AL,28,FALSE)-50)),"-",(VLOOKUP($A31,'SegEnds_NonXtal_BW#'!$A:$Z,20,FALSE)+VLOOKUP($A31,A:AL,28,FALSE)-50))</f>
        <v>236</v>
      </c>
      <c r="AD31" s="3">
        <f>IF(ISERROR(VLOOKUP($A31,'SegEnds_NonXtal_BW#'!$A:$Z,21,FALSE)+VLOOKUP($A31,A:AL,31,FALSE)-50),"-",(VLOOKUP($A31,'SegEnds_NonXtal_BW#'!$A:$Z,21,FALSE)+VLOOKUP($A31,A:AL,31,FALSE)-50))</f>
        <v>245</v>
      </c>
      <c r="AE31" s="3">
        <v>271</v>
      </c>
      <c r="AF31" s="3">
        <f>IF(ISERROR((VLOOKUP($A31,'SegEnds_NonXtal_BW#'!$A:$Z,22,FALSE)+VLOOKUP($A31,A:AL,31,FALSE)-50)),"-",(VLOOKUP($A31,'SegEnds_NonXtal_BW#'!$A:$Z,22,FALSE)+VLOOKUP($A31,A:AL,31,FALSE)-50))</f>
        <v>282</v>
      </c>
      <c r="AG31" s="3">
        <f>IF(ISERROR(VLOOKUP($A31,'SegEnds_NonXtal_BW#'!$A:$Z,23,FALSE)+VLOOKUP($A31,A:AL,34,FALSE)-50),"-",(VLOOKUP($A31,'SegEnds_NonXtal_BW#'!$A:$Z,23,FALSE)+VLOOKUP($A31,A:AL,34,FALSE)-50))</f>
        <v>288</v>
      </c>
      <c r="AH31" s="3">
        <v>308</v>
      </c>
      <c r="AI31" s="3">
        <f>IF(ISERROR((VLOOKUP($A31,'SegEnds_NonXtal_BW#'!$A:$Z,24,FALSE)+VLOOKUP($A31,A:AL,34,FALSE)-50)),"-",(VLOOKUP($A31,'SegEnds_NonXtal_BW#'!$A:$Z,24,FALSE)+VLOOKUP($A31,A:AL,34,FALSE)-50))</f>
        <v>314</v>
      </c>
      <c r="AJ31" s="3">
        <f>IF(ISERROR(VLOOKUP($A31,'SegEnds_NonXtal_BW#'!$A:$Z,25,FALSE)+VLOOKUP($A31,A:AL,37,FALSE)-50),"-",(VLOOKUP($A31,'SegEnds_NonXtal_BW#'!$A:$Z,25,FALSE)+VLOOKUP($A31,A:AL,37,FALSE)-50))</f>
        <v>315</v>
      </c>
      <c r="AK31" s="3">
        <v>318</v>
      </c>
      <c r="AL31" s="3">
        <f>IF(ISERROR((VLOOKUP($A31,'SegEnds_NonXtal_BW#'!$A:$Z,26,FALSE)+VLOOKUP($A31,A:AL,37,FALSE)-50)),"-",(VLOOKUP($A31,'SegEnds_NonXtal_BW#'!$A:$Z,26,FALSE)+VLOOKUP($A31,A:AL,37,FALSE)-50))</f>
        <v>327</v>
      </c>
      <c r="AM31" s="28" t="str">
        <f>VLOOKUP(A31,Classification!A:B,2,FALSE)</f>
        <v>A</v>
      </c>
      <c r="AN31" s="28" t="b">
        <f t="shared" si="17"/>
        <v>1</v>
      </c>
      <c r="AO31" s="3" t="str">
        <f>IF(ISERROR(MATCH(A31,'SegEnds_Xtal_Prot#'!B:B, 0)), "NoXtal", "Xtal")</f>
        <v>Xtal</v>
      </c>
      <c r="AP31" s="3">
        <f t="shared" si="2"/>
        <v>1</v>
      </c>
      <c r="AQ31" s="3">
        <f t="shared" si="3"/>
        <v>1</v>
      </c>
      <c r="AR31" s="3">
        <f t="shared" si="4"/>
        <v>2</v>
      </c>
      <c r="AS31" s="3">
        <f t="shared" si="5"/>
        <v>1</v>
      </c>
      <c r="AT31" s="3">
        <f t="shared" si="6"/>
        <v>1</v>
      </c>
      <c r="AU31" s="3">
        <f t="shared" si="7"/>
        <v>1</v>
      </c>
      <c r="AV31" s="3" t="str">
        <f t="shared" si="8"/>
        <v>-</v>
      </c>
      <c r="AW31" s="3" t="str">
        <f t="shared" si="9"/>
        <v>-</v>
      </c>
      <c r="AX31" s="3">
        <f t="shared" si="10"/>
        <v>9</v>
      </c>
      <c r="AY31" s="3">
        <f t="shared" si="11"/>
        <v>6</v>
      </c>
      <c r="AZ31" s="3">
        <f t="shared" si="12"/>
        <v>1</v>
      </c>
      <c r="BA31" s="3">
        <f>IF(ISERROR(LEN(VLOOKUP(A31,Seqs!A:E,2,FALSE))-AL31),"-",LEN(VLOOKUP(A31,Seqs!A:E,2,FALSE))-AL31)</f>
        <v>55</v>
      </c>
      <c r="BB31" s="16">
        <f t="shared" si="13"/>
        <v>28</v>
      </c>
      <c r="BC31" s="9">
        <f t="shared" si="14"/>
        <v>19</v>
      </c>
      <c r="BD31" s="3">
        <f t="shared" si="15"/>
        <v>28</v>
      </c>
      <c r="BE31" s="3">
        <f t="shared" si="16"/>
        <v>58</v>
      </c>
    </row>
    <row r="32" spans="1:60" s="3" customFormat="1" x14ac:dyDescent="0.2">
      <c r="A32" s="3" t="s">
        <v>377</v>
      </c>
      <c r="B32" s="3" t="str">
        <f>LOWER(VLOOKUP(A32,Xtal_Templ!A:B,2,FALSE))</f>
        <v>s1pr1_human</v>
      </c>
      <c r="C32" s="3">
        <f>VLOOKUP($A32,'SegEnds_NonXtal_BW#'!$A:$Z,3,FALSE)+D32-50</f>
        <v>30</v>
      </c>
      <c r="D32" s="3">
        <v>51</v>
      </c>
      <c r="E32" s="3">
        <f>IF(ISERROR(VLOOKUP($A32,'SegEnds_NonXtal_BW#'!$A:$Z,4,FALSE)+VLOOKUP($A32,A:AL,4,FALSE)-50),"-",(VLOOKUP($A32,'SegEnds_NonXtal_BW#'!$A:$Z,4,FALSE)+VLOOKUP($A32,A:AL,4,FALSE)-50))</f>
        <v>61</v>
      </c>
      <c r="F32" s="3">
        <f t="shared" si="27"/>
        <v>62</v>
      </c>
      <c r="G32" s="3">
        <v>64</v>
      </c>
      <c r="H32" s="3">
        <f t="shared" si="28"/>
        <v>65</v>
      </c>
      <c r="I32" s="3">
        <f t="shared" si="28"/>
        <v>66</v>
      </c>
      <c r="J32" s="3">
        <v>79</v>
      </c>
      <c r="K32" s="3">
        <f>VLOOKUP($A32,'SegEnds_NonXtal_BW#'!$A:$Z,8,FALSE)+VLOOKUP($A32,A:AL,10,FALSE)-50</f>
        <v>92</v>
      </c>
      <c r="L32" s="3">
        <f>M32-3</f>
        <v>94</v>
      </c>
      <c r="M32" s="3">
        <v>97</v>
      </c>
      <c r="N32" s="3">
        <f>M32+3</f>
        <v>100</v>
      </c>
      <c r="O32" s="3">
        <f t="shared" si="29"/>
        <v>101</v>
      </c>
      <c r="P32" s="3">
        <v>130</v>
      </c>
      <c r="Q32" s="3">
        <f>VLOOKUP($A32,'SegEnds_NonXtal_BW#'!$A:$Z,12,FALSE)+VLOOKUP($A32,A:AL,16,FALSE)-50</f>
        <v>136</v>
      </c>
      <c r="R32" s="3">
        <f>IF(ISERROR(VLOOKUP($A32,'SegEnds_NonXtal_BW#'!$A:$Z,13,FALSE)+VLOOKUP($A32,A:AL,19,FALSE)-50),"-",VLOOKUP($A32,'SegEnds_NonXtal_BW#'!$A:$Z,13,FALSE)+VLOOKUP($A32,A:AL,19,FALSE)-50)</f>
        <v>137</v>
      </c>
      <c r="S32" s="3">
        <v>137</v>
      </c>
      <c r="T32" s="100">
        <f>IF(ISERROR(VLOOKUP($A32,'SegEnds_NonXtal_BW#'!$A:$Z,14,FALSE)+VLOOKUP($A32,A:AL,19,FALSE)-50),"-",(VLOOKUP($A32,'SegEnds_NonXtal_BW#'!$A:$Z,14,FALSE)+VLOOKUP($A32,A:AL,19,FALSE)-50))</f>
        <v>143</v>
      </c>
      <c r="U32" s="9">
        <f>IF(ISERROR(VLOOKUP($A32,'SegEnds_NonXtal_BW#'!$A:$Z,15,FALSE)+VLOOKUP($A32,A:AL,22,FALSE)-50),"-",VLOOKUP($A32,'SegEnds_NonXtal_BW#'!$A:$Z,15,FALSE)+VLOOKUP($A32,A:AL,22,FALSE)-50)</f>
        <v>144</v>
      </c>
      <c r="V32" s="3">
        <v>156</v>
      </c>
      <c r="W32" s="3">
        <f>IF(ISERROR(VLOOKUP($A32,'SegEnds_NonXtal_BW#'!$A:$Z,16,FALSE)+VLOOKUP($A32,A:AL,22,FALSE)-50),"-",(VLOOKUP($A32,'SegEnds_NonXtal_BW#'!$A:$Z,16,FALSE)+VLOOKUP($A32,A:AL,22,FALSE)-50))</f>
        <v>169</v>
      </c>
      <c r="X32" s="3" t="str">
        <f>IF(ISERROR(VLOOKUP($A32,'SegEnds_NonXtal_BW#'!$A:$Z,17,FALSE)+VLOOKUP($A32,A:AL,25,FALSE)-50),"-",(VLOOKUP($A32,'SegEnds_NonXtal_BW#'!$A:$Z,17,FALSE)+VLOOKUP($A32,A:AL,25,FALSE)-50))</f>
        <v>-</v>
      </c>
      <c r="Y32" s="3" t="s">
        <v>23</v>
      </c>
      <c r="Z32" s="3" t="str">
        <f>IF(ISERROR(VLOOKUP($A32,'SegEnds_NonXtal_BW#'!$A:$Z,18,FALSE)+VLOOKUP($A32,A:AL,25,FALSE)-50),"-",(VLOOKUP($A32,'SegEnds_NonXtal_BW#'!$A:$Z,18,FALSE)+VLOOKUP($A32,A:AL,25,FALSE)-50))</f>
        <v>-</v>
      </c>
      <c r="AA32" s="3">
        <f>IF(ISERROR(VLOOKUP($A32,'SegEnds_NonXtal_BW#'!$A:$Z,19,FALSE)+VLOOKUP($A32,A:AL,28,FALSE)-50),"-",(VLOOKUP($A32,'SegEnds_NonXtal_BW#'!$A:$Z,19,FALSE)+VLOOKUP($A32,A:AL,28,FALSE)-50))</f>
        <v>187</v>
      </c>
      <c r="AB32" s="3">
        <v>201</v>
      </c>
      <c r="AC32" s="3">
        <f>IF(ISERROR((VLOOKUP($A32,'SegEnds_NonXtal_BW#'!$A:$Z,20,FALSE)+VLOOKUP($A32,A:AL,28,FALSE)-50)),"-",(VLOOKUP($A32,'SegEnds_NonXtal_BW#'!$A:$Z,20,FALSE)+VLOOKUP($A32,A:AL,28,FALSE)-50))</f>
        <v>218</v>
      </c>
      <c r="AD32" s="3">
        <f>IF(ISERROR(VLOOKUP($A32,'SegEnds_NonXtal_BW#'!$A:$Z,21,FALSE)+VLOOKUP($A32,A:AL,31,FALSE)-50),"-",(VLOOKUP($A32,'SegEnds_NonXtal_BW#'!$A:$Z,21,FALSE)+VLOOKUP($A32,A:AL,31,FALSE)-50))</f>
        <v>224</v>
      </c>
      <c r="AE32" s="3">
        <v>248</v>
      </c>
      <c r="AF32" s="3">
        <f>IF(ISERROR((VLOOKUP($A32,'SegEnds_NonXtal_BW#'!$A:$Z,22,FALSE)+VLOOKUP($A32,A:AL,31,FALSE)-50)),"-",(VLOOKUP($A32,'SegEnds_NonXtal_BW#'!$A:$Z,22,FALSE)+VLOOKUP($A32,A:AL,31,FALSE)-50))</f>
        <v>259</v>
      </c>
      <c r="AG32" s="3">
        <f>IF(ISERROR(VLOOKUP($A32,'SegEnds_NonXtal_BW#'!$A:$Z,23,FALSE)+VLOOKUP($A32,A:AL,34,FALSE)-50),"-",(VLOOKUP($A32,'SegEnds_NonXtal_BW#'!$A:$Z,23,FALSE)+VLOOKUP($A32,A:AL,34,FALSE)-50))</f>
        <v>265</v>
      </c>
      <c r="AH32" s="3">
        <v>285</v>
      </c>
      <c r="AI32" s="3">
        <f>IF(ISERROR((VLOOKUP($A32,'SegEnds_NonXtal_BW#'!$A:$Z,24,FALSE)+VLOOKUP($A32,A:AL,34,FALSE)-50)),"-",(VLOOKUP($A32,'SegEnds_NonXtal_BW#'!$A:$Z,24,FALSE)+VLOOKUP($A32,A:AL,34,FALSE)-50))</f>
        <v>291</v>
      </c>
      <c r="AJ32" s="3">
        <f>IF(ISERROR(VLOOKUP($A32,'SegEnds_NonXtal_BW#'!$A:$Z,25,FALSE)+VLOOKUP($A32,A:AL,37,FALSE)-50),"-",(VLOOKUP($A32,'SegEnds_NonXtal_BW#'!$A:$Z,25,FALSE)+VLOOKUP($A32,A:AL,37,FALSE)-50))</f>
        <v>292</v>
      </c>
      <c r="AK32" s="3">
        <v>295</v>
      </c>
      <c r="AL32" s="3">
        <f>IF(ISERROR((VLOOKUP($A32,'SegEnds_NonXtal_BW#'!$A:$Z,26,FALSE)+VLOOKUP($A32,A:AL,37,FALSE)-50)),"-",(VLOOKUP($A32,'SegEnds_NonXtal_BW#'!$A:$Z,26,FALSE)+VLOOKUP($A32,A:AL,37,FALSE)-50))</f>
        <v>304</v>
      </c>
      <c r="AM32" s="28" t="str">
        <f>VLOOKUP(A32,Classification!A:B,2,FALSE)</f>
        <v>A</v>
      </c>
      <c r="AN32" s="28" t="b">
        <f t="shared" si="17"/>
        <v>1</v>
      </c>
      <c r="AO32" s="3" t="str">
        <f>IF(ISERROR(MATCH(A32,'SegEnds_Xtal_Prot#'!B:B, 0)), "NoXtal", "Xtal")</f>
        <v>NoXtal</v>
      </c>
      <c r="AP32" s="3">
        <f t="shared" si="2"/>
        <v>1</v>
      </c>
      <c r="AQ32" s="3">
        <f t="shared" si="3"/>
        <v>1</v>
      </c>
      <c r="AR32" s="3">
        <f t="shared" si="4"/>
        <v>2</v>
      </c>
      <c r="AS32" s="3">
        <f t="shared" si="5"/>
        <v>1</v>
      </c>
      <c r="AT32" s="3">
        <f t="shared" si="6"/>
        <v>1</v>
      </c>
      <c r="AU32" s="3">
        <f t="shared" si="7"/>
        <v>1</v>
      </c>
      <c r="AV32" s="3" t="str">
        <f t="shared" si="8"/>
        <v>-</v>
      </c>
      <c r="AW32" s="3" t="str">
        <f t="shared" si="9"/>
        <v>-</v>
      </c>
      <c r="AX32" s="3">
        <f t="shared" si="10"/>
        <v>6</v>
      </c>
      <c r="AY32" s="3">
        <f t="shared" si="11"/>
        <v>6</v>
      </c>
      <c r="AZ32" s="3">
        <f t="shared" si="12"/>
        <v>1</v>
      </c>
      <c r="BA32" s="3">
        <f>IF(ISERROR(LEN(VLOOKUP(A32,Seqs!A:E,2,FALSE))-AL32),"-",LEN(VLOOKUP(A32,Seqs!A:E,2,FALSE))-AL32)</f>
        <v>49</v>
      </c>
      <c r="BB32" s="16">
        <f t="shared" si="13"/>
        <v>28</v>
      </c>
      <c r="BC32" s="9">
        <f t="shared" si="14"/>
        <v>19</v>
      </c>
      <c r="BD32" s="3">
        <f t="shared" si="15"/>
        <v>28</v>
      </c>
      <c r="BE32" s="3">
        <f t="shared" si="16"/>
        <v>47</v>
      </c>
      <c r="BH32" s="9"/>
    </row>
    <row r="33" spans="1:58" s="3" customFormat="1" x14ac:dyDescent="0.2">
      <c r="A33" s="3" t="s">
        <v>378</v>
      </c>
      <c r="B33" s="3" t="str">
        <f>LOWER(VLOOKUP(A33,Xtal_Templ!A:B,2,FALSE))</f>
        <v>s1pr1_human</v>
      </c>
      <c r="C33" s="3">
        <f>VLOOKUP($A33,'SegEnds_NonXtal_BW#'!$A:$Z,3,FALSE)+D33-50</f>
        <v>36</v>
      </c>
      <c r="D33" s="3">
        <v>57</v>
      </c>
      <c r="E33" s="3">
        <f>IF(ISERROR(VLOOKUP($A33,'SegEnds_NonXtal_BW#'!$A:$Z,4,FALSE)+VLOOKUP($A33,A:AL,4,FALSE)-50),"-",(VLOOKUP($A33,'SegEnds_NonXtal_BW#'!$A:$Z,4,FALSE)+VLOOKUP($A33,A:AL,4,FALSE)-50))</f>
        <v>67</v>
      </c>
      <c r="F33" s="3">
        <f t="shared" si="27"/>
        <v>68</v>
      </c>
      <c r="G33" s="3">
        <v>70</v>
      </c>
      <c r="H33" s="3">
        <f t="shared" si="28"/>
        <v>71</v>
      </c>
      <c r="I33" s="3">
        <f t="shared" si="28"/>
        <v>72</v>
      </c>
      <c r="J33" s="3">
        <v>85</v>
      </c>
      <c r="K33" s="3">
        <f>VLOOKUP($A33,'SegEnds_NonXtal_BW#'!$A:$Z,8,FALSE)+VLOOKUP($A33,A:AL,10,FALSE)-50</f>
        <v>98</v>
      </c>
      <c r="L33" s="3">
        <f>M33-3</f>
        <v>100</v>
      </c>
      <c r="M33" s="3">
        <v>103</v>
      </c>
      <c r="N33" s="3">
        <f>M33+3</f>
        <v>106</v>
      </c>
      <c r="O33" s="3">
        <f t="shared" si="29"/>
        <v>107</v>
      </c>
      <c r="P33" s="3">
        <v>136</v>
      </c>
      <c r="Q33" s="3">
        <f>VLOOKUP($A33,'SegEnds_NonXtal_BW#'!$A:$Z,12,FALSE)+VLOOKUP($A33,A:AL,16,FALSE)-50</f>
        <v>142</v>
      </c>
      <c r="R33" s="3">
        <f>IF(ISERROR(VLOOKUP($A33,'SegEnds_NonXtal_BW#'!$A:$Z,13,FALSE)+VLOOKUP($A33,A:AL,19,FALSE)-50),"-",VLOOKUP($A33,'SegEnds_NonXtal_BW#'!$A:$Z,13,FALSE)+VLOOKUP($A33,A:AL,19,FALSE)-50)</f>
        <v>143</v>
      </c>
      <c r="S33" s="3">
        <v>143</v>
      </c>
      <c r="T33" s="100">
        <f>IF(ISERROR(VLOOKUP($A33,'SegEnds_NonXtal_BW#'!$A:$Z,14,FALSE)+VLOOKUP($A33,A:AL,19,FALSE)-50),"-",(VLOOKUP($A33,'SegEnds_NonXtal_BW#'!$A:$Z,14,FALSE)+VLOOKUP($A33,A:AL,19,FALSE)-50))</f>
        <v>149</v>
      </c>
      <c r="U33" s="9">
        <f>IF(ISERROR(VLOOKUP($A33,'SegEnds_NonXtal_BW#'!$A:$Z,15,FALSE)+VLOOKUP($A33,A:AL,22,FALSE)-50),"-",VLOOKUP($A33,'SegEnds_NonXtal_BW#'!$A:$Z,15,FALSE)+VLOOKUP($A33,A:AL,22,FALSE)-50)</f>
        <v>150</v>
      </c>
      <c r="V33" s="3">
        <v>162</v>
      </c>
      <c r="W33" s="3">
        <f>IF(ISERROR(VLOOKUP($A33,'SegEnds_NonXtal_BW#'!$A:$Z,16,FALSE)+VLOOKUP($A33,A:AL,22,FALSE)-50),"-",(VLOOKUP($A33,'SegEnds_NonXtal_BW#'!$A:$Z,16,FALSE)+VLOOKUP($A33,A:AL,22,FALSE)-50))</f>
        <v>175</v>
      </c>
      <c r="X33" s="3" t="str">
        <f>IF(ISERROR(VLOOKUP($A33,'SegEnds_NonXtal_BW#'!$A:$Z,17,FALSE)+VLOOKUP($A33,A:AL,25,FALSE)-50),"-",(VLOOKUP($A33,'SegEnds_NonXtal_BW#'!$A:$Z,17,FALSE)+VLOOKUP($A33,A:AL,25,FALSE)-50))</f>
        <v>-</v>
      </c>
      <c r="Y33" s="3" t="s">
        <v>23</v>
      </c>
      <c r="Z33" s="3" t="str">
        <f>IF(ISERROR(VLOOKUP($A33,'SegEnds_NonXtal_BW#'!$A:$Z,18,FALSE)+VLOOKUP($A33,A:AL,25,FALSE)-50),"-",(VLOOKUP($A33,'SegEnds_NonXtal_BW#'!$A:$Z,18,FALSE)+VLOOKUP($A33,A:AL,25,FALSE)-50))</f>
        <v>-</v>
      </c>
      <c r="AA33" s="3">
        <f>IF(ISERROR(VLOOKUP($A33,'SegEnds_NonXtal_BW#'!$A:$Z,19,FALSE)+VLOOKUP($A33,A:AL,28,FALSE)-50),"-",(VLOOKUP($A33,'SegEnds_NonXtal_BW#'!$A:$Z,19,FALSE)+VLOOKUP($A33,A:AL,28,FALSE)-50))</f>
        <v>193</v>
      </c>
      <c r="AB33" s="3">
        <v>207</v>
      </c>
      <c r="AC33" s="3">
        <f>IF(ISERROR((VLOOKUP($A33,'SegEnds_NonXtal_BW#'!$A:$Z,20,FALSE)+VLOOKUP($A33,A:AL,28,FALSE)-50)),"-",(VLOOKUP($A33,'SegEnds_NonXtal_BW#'!$A:$Z,20,FALSE)+VLOOKUP($A33,A:AL,28,FALSE)-50))</f>
        <v>225</v>
      </c>
      <c r="AD33" s="3">
        <f>IF(ISERROR(VLOOKUP($A33,'SegEnds_NonXtal_BW#'!$A:$Z,21,FALSE)+VLOOKUP($A33,A:AL,31,FALSE)-50),"-",(VLOOKUP($A33,'SegEnds_NonXtal_BW#'!$A:$Z,21,FALSE)+VLOOKUP($A33,A:AL,31,FALSE)-50))</f>
        <v>231</v>
      </c>
      <c r="AE33" s="3">
        <v>258</v>
      </c>
      <c r="AF33" s="3">
        <f>IF(ISERROR((VLOOKUP($A33,'SegEnds_NonXtal_BW#'!$A:$Z,22,FALSE)+VLOOKUP($A33,A:AL,31,FALSE)-50)),"-",(VLOOKUP($A33,'SegEnds_NonXtal_BW#'!$A:$Z,22,FALSE)+VLOOKUP($A33,A:AL,31,FALSE)-50))</f>
        <v>269</v>
      </c>
      <c r="AG33" s="3">
        <f>IF(ISERROR(VLOOKUP($A33,'SegEnds_NonXtal_BW#'!$A:$Z,23,FALSE)+VLOOKUP($A33,A:AL,34,FALSE)-50),"-",(VLOOKUP($A33,'SegEnds_NonXtal_BW#'!$A:$Z,23,FALSE)+VLOOKUP($A33,A:AL,34,FALSE)-50))</f>
        <v>275</v>
      </c>
      <c r="AH33" s="3">
        <v>295</v>
      </c>
      <c r="AI33" s="3">
        <f>IF(ISERROR((VLOOKUP($A33,'SegEnds_NonXtal_BW#'!$A:$Z,24,FALSE)+VLOOKUP($A33,A:AL,34,FALSE)-50)),"-",(VLOOKUP($A33,'SegEnds_NonXtal_BW#'!$A:$Z,24,FALSE)+VLOOKUP($A33,A:AL,34,FALSE)-50))</f>
        <v>301</v>
      </c>
      <c r="AJ33" s="3">
        <f>IF(ISERROR(VLOOKUP($A33,'SegEnds_NonXtal_BW#'!$A:$Z,25,FALSE)+VLOOKUP($A33,A:AL,37,FALSE)-50),"-",(VLOOKUP($A33,'SegEnds_NonXtal_BW#'!$A:$Z,25,FALSE)+VLOOKUP($A33,A:AL,37,FALSE)-50))</f>
        <v>302</v>
      </c>
      <c r="AK33" s="3">
        <v>305</v>
      </c>
      <c r="AL33" s="3">
        <f>IF(ISERROR((VLOOKUP($A33,'SegEnds_NonXtal_BW#'!$A:$Z,26,FALSE)+VLOOKUP($A33,A:AL,37,FALSE)-50)),"-",(VLOOKUP($A33,'SegEnds_NonXtal_BW#'!$A:$Z,26,FALSE)+VLOOKUP($A33,A:AL,37,FALSE)-50))</f>
        <v>314</v>
      </c>
      <c r="AM33" s="28" t="str">
        <f>VLOOKUP(A33,Classification!A:B,2,FALSE)</f>
        <v>A</v>
      </c>
      <c r="AN33" s="28" t="b">
        <f t="shared" si="17"/>
        <v>1</v>
      </c>
      <c r="AO33" s="3" t="str">
        <f>IF(ISERROR(MATCH(A33,'SegEnds_Xtal_Prot#'!B:B, 0)), "NoXtal", "Xtal")</f>
        <v>NoXtal</v>
      </c>
      <c r="AP33" s="3">
        <f t="shared" si="2"/>
        <v>1</v>
      </c>
      <c r="AQ33" s="3">
        <f t="shared" si="3"/>
        <v>1</v>
      </c>
      <c r="AR33" s="3">
        <f t="shared" si="4"/>
        <v>2</v>
      </c>
      <c r="AS33" s="3">
        <f t="shared" si="5"/>
        <v>1</v>
      </c>
      <c r="AT33" s="3">
        <f t="shared" si="6"/>
        <v>1</v>
      </c>
      <c r="AU33" s="3">
        <f t="shared" si="7"/>
        <v>1</v>
      </c>
      <c r="AV33" s="3" t="str">
        <f t="shared" si="8"/>
        <v>-</v>
      </c>
      <c r="AW33" s="3" t="str">
        <f t="shared" si="9"/>
        <v>-</v>
      </c>
      <c r="AX33" s="3">
        <f t="shared" si="10"/>
        <v>6</v>
      </c>
      <c r="AY33" s="3">
        <f t="shared" si="11"/>
        <v>6</v>
      </c>
      <c r="AZ33" s="3">
        <f t="shared" si="12"/>
        <v>1</v>
      </c>
      <c r="BA33" s="3">
        <f>IF(ISERROR(LEN(VLOOKUP(A33,Seqs!A:E,2,FALSE))-AL33),"-",LEN(VLOOKUP(A33,Seqs!A:E,2,FALSE))-AL33)</f>
        <v>64</v>
      </c>
      <c r="BB33" s="16">
        <f t="shared" si="13"/>
        <v>28</v>
      </c>
      <c r="BC33" s="9">
        <f t="shared" si="14"/>
        <v>19</v>
      </c>
      <c r="BD33" s="3">
        <f t="shared" si="15"/>
        <v>28</v>
      </c>
      <c r="BE33" s="3">
        <f t="shared" si="16"/>
        <v>51</v>
      </c>
    </row>
    <row r="34" spans="1:58" s="3" customFormat="1" x14ac:dyDescent="0.2">
      <c r="A34" s="3" t="s">
        <v>380</v>
      </c>
      <c r="B34" s="3" t="str">
        <f>LOWER(VLOOKUP(A34,Xtal_Templ!A:B,2,FALSE))</f>
        <v>s1pr1_human</v>
      </c>
      <c r="C34" s="3">
        <f>VLOOKUP($A34,'SegEnds_NonXtal_BW#'!$A:$Z,3,FALSE)+D34-50</f>
        <v>33</v>
      </c>
      <c r="D34" s="3">
        <v>54</v>
      </c>
      <c r="E34" s="3">
        <f>IF(ISERROR(VLOOKUP($A34,'SegEnds_NonXtal_BW#'!$A:$Z,4,FALSE)+VLOOKUP($A34,A:AL,4,FALSE)-50),"-",(VLOOKUP($A34,'SegEnds_NonXtal_BW#'!$A:$Z,4,FALSE)+VLOOKUP($A34,A:AL,4,FALSE)-50))</f>
        <v>64</v>
      </c>
      <c r="F34" s="3">
        <f t="shared" si="27"/>
        <v>65</v>
      </c>
      <c r="G34" s="3">
        <v>67</v>
      </c>
      <c r="H34" s="3">
        <f t="shared" si="28"/>
        <v>68</v>
      </c>
      <c r="I34" s="3">
        <f t="shared" si="28"/>
        <v>69</v>
      </c>
      <c r="J34" s="3">
        <v>82</v>
      </c>
      <c r="K34" s="3">
        <f>VLOOKUP($A34,'SegEnds_NonXtal_BW#'!$A:$Z,8,FALSE)+VLOOKUP($A34,A:AL,10,FALSE)-50</f>
        <v>95</v>
      </c>
      <c r="L34" s="3">
        <f>M34-3</f>
        <v>97</v>
      </c>
      <c r="M34" s="3">
        <v>100</v>
      </c>
      <c r="N34" s="3">
        <f>M34+3</f>
        <v>103</v>
      </c>
      <c r="O34" s="3">
        <f t="shared" si="29"/>
        <v>104</v>
      </c>
      <c r="P34" s="3">
        <v>133</v>
      </c>
      <c r="Q34" s="3">
        <f>VLOOKUP($A34,'SegEnds_NonXtal_BW#'!$A:$Z,12,FALSE)+VLOOKUP($A34,A:AL,16,FALSE)-50</f>
        <v>139</v>
      </c>
      <c r="R34" s="3">
        <f>IF(ISERROR(VLOOKUP($A34,'SegEnds_NonXtal_BW#'!$A:$Z,13,FALSE)+VLOOKUP($A34,A:AL,19,FALSE)-50),"-",VLOOKUP($A34,'SegEnds_NonXtal_BW#'!$A:$Z,13,FALSE)+VLOOKUP($A34,A:AL,19,FALSE)-50)</f>
        <v>140</v>
      </c>
      <c r="S34" s="3">
        <v>140</v>
      </c>
      <c r="T34" s="100">
        <f>IF(ISERROR(VLOOKUP($A34,'SegEnds_NonXtal_BW#'!$A:$Z,14,FALSE)+VLOOKUP($A34,A:AL,19,FALSE)-50),"-",(VLOOKUP($A34,'SegEnds_NonXtal_BW#'!$A:$Z,14,FALSE)+VLOOKUP($A34,A:AL,19,FALSE)-50))</f>
        <v>146</v>
      </c>
      <c r="U34" s="9">
        <f>IF(ISERROR(VLOOKUP($A34,'SegEnds_NonXtal_BW#'!$A:$Z,15,FALSE)+VLOOKUP($A34,A:AL,22,FALSE)-50),"-",VLOOKUP($A34,'SegEnds_NonXtal_BW#'!$A:$Z,15,FALSE)+VLOOKUP($A34,A:AL,22,FALSE)-50)</f>
        <v>147</v>
      </c>
      <c r="V34" s="3">
        <v>159</v>
      </c>
      <c r="W34" s="3">
        <f>IF(ISERROR(VLOOKUP($A34,'SegEnds_NonXtal_BW#'!$A:$Z,16,FALSE)+VLOOKUP($A34,A:AL,22,FALSE)-50),"-",(VLOOKUP($A34,'SegEnds_NonXtal_BW#'!$A:$Z,16,FALSE)+VLOOKUP($A34,A:AL,22,FALSE)-50))</f>
        <v>172</v>
      </c>
      <c r="X34" s="3" t="str">
        <f>IF(ISERROR(VLOOKUP($A34,'SegEnds_NonXtal_BW#'!$A:$Z,17,FALSE)+VLOOKUP($A34,A:AL,25,FALSE)-50),"-",(VLOOKUP($A34,'SegEnds_NonXtal_BW#'!$A:$Z,17,FALSE)+VLOOKUP($A34,A:AL,25,FALSE)-50))</f>
        <v>-</v>
      </c>
      <c r="Y34" s="3" t="s">
        <v>23</v>
      </c>
      <c r="Z34" s="3" t="str">
        <f>IF(ISERROR(VLOOKUP($A34,'SegEnds_NonXtal_BW#'!$A:$Z,18,FALSE)+VLOOKUP($A34,A:AL,25,FALSE)-50),"-",(VLOOKUP($A34,'SegEnds_NonXtal_BW#'!$A:$Z,18,FALSE)+VLOOKUP($A34,A:AL,25,FALSE)-50))</f>
        <v>-</v>
      </c>
      <c r="AA34" s="3">
        <f>IF(ISERROR(VLOOKUP($A34,'SegEnds_NonXtal_BW#'!$A:$Z,19,FALSE)+VLOOKUP($A34,A:AL,28,FALSE)-50),"-",(VLOOKUP($A34,'SegEnds_NonXtal_BW#'!$A:$Z,19,FALSE)+VLOOKUP($A34,A:AL,28,FALSE)-50))</f>
        <v>190</v>
      </c>
      <c r="AB34" s="3">
        <v>204</v>
      </c>
      <c r="AC34" s="3">
        <f>IF(ISERROR((VLOOKUP($A34,'SegEnds_NonXtal_BW#'!$A:$Z,20,FALSE)+VLOOKUP($A34,A:AL,28,FALSE)-50)),"-",(VLOOKUP($A34,'SegEnds_NonXtal_BW#'!$A:$Z,20,FALSE)+VLOOKUP($A34,A:AL,28,FALSE)-50))</f>
        <v>228</v>
      </c>
      <c r="AD34" s="3">
        <f>IF(ISERROR(VLOOKUP($A34,'SegEnds_NonXtal_BW#'!$A:$Z,21,FALSE)+VLOOKUP($A34,A:AL,31,FALSE)-50),"-",(VLOOKUP($A34,'SegEnds_NonXtal_BW#'!$A:$Z,21,FALSE)+VLOOKUP($A34,A:AL,31,FALSE)-50))</f>
        <v>237</v>
      </c>
      <c r="AE34" s="3">
        <v>266</v>
      </c>
      <c r="AF34" s="3">
        <f>IF(ISERROR((VLOOKUP($A34,'SegEnds_NonXtal_BW#'!$A:$Z,22,FALSE)+VLOOKUP($A34,A:AL,31,FALSE)-50)),"-",(VLOOKUP($A34,'SegEnds_NonXtal_BW#'!$A:$Z,22,FALSE)+VLOOKUP($A34,A:AL,31,FALSE)-50))</f>
        <v>277</v>
      </c>
      <c r="AG34" s="3">
        <f>IF(ISERROR(VLOOKUP($A34,'SegEnds_NonXtal_BW#'!$A:$Z,23,FALSE)+VLOOKUP($A34,A:AL,34,FALSE)-50),"-",(VLOOKUP($A34,'SegEnds_NonXtal_BW#'!$A:$Z,23,FALSE)+VLOOKUP($A34,A:AL,34,FALSE)-50))</f>
        <v>283</v>
      </c>
      <c r="AH34" s="3">
        <v>303</v>
      </c>
      <c r="AI34" s="3">
        <f>IF(ISERROR((VLOOKUP($A34,'SegEnds_NonXtal_BW#'!$A:$Z,24,FALSE)+VLOOKUP($A34,A:AL,34,FALSE)-50)),"-",(VLOOKUP($A34,'SegEnds_NonXtal_BW#'!$A:$Z,24,FALSE)+VLOOKUP($A34,A:AL,34,FALSE)-50))</f>
        <v>309</v>
      </c>
      <c r="AJ34" s="3">
        <f>IF(ISERROR(VLOOKUP($A34,'SegEnds_NonXtal_BW#'!$A:$Z,25,FALSE)+VLOOKUP($A34,A:AL,37,FALSE)-50),"-",(VLOOKUP($A34,'SegEnds_NonXtal_BW#'!$A:$Z,25,FALSE)+VLOOKUP($A34,A:AL,37,FALSE)-50))</f>
        <v>310</v>
      </c>
      <c r="AK34" s="3">
        <v>313</v>
      </c>
      <c r="AL34" s="3">
        <f>IF(ISERROR((VLOOKUP($A34,'SegEnds_NonXtal_BW#'!$A:$Z,26,FALSE)+VLOOKUP($A34,A:AL,37,FALSE)-50)),"-",(VLOOKUP($A34,'SegEnds_NonXtal_BW#'!$A:$Z,26,FALSE)+VLOOKUP($A34,A:AL,37,FALSE)-50))</f>
        <v>322</v>
      </c>
      <c r="AM34" s="28" t="str">
        <f>VLOOKUP(A34,Classification!A:B,2,FALSE)</f>
        <v>A</v>
      </c>
      <c r="AN34" s="28" t="b">
        <f t="shared" si="17"/>
        <v>1</v>
      </c>
      <c r="AO34" s="3" t="str">
        <f>IF(ISERROR(MATCH(A34,'SegEnds_Xtal_Prot#'!B:B, 0)), "NoXtal", "Xtal")</f>
        <v>NoXtal</v>
      </c>
      <c r="AP34" s="3">
        <f t="shared" si="2"/>
        <v>1</v>
      </c>
      <c r="AQ34" s="3">
        <f t="shared" si="3"/>
        <v>1</v>
      </c>
      <c r="AR34" s="3">
        <f t="shared" si="4"/>
        <v>2</v>
      </c>
      <c r="AS34" s="3">
        <f t="shared" si="5"/>
        <v>1</v>
      </c>
      <c r="AT34" s="3">
        <f t="shared" si="6"/>
        <v>1</v>
      </c>
      <c r="AU34" s="3">
        <f t="shared" si="7"/>
        <v>1</v>
      </c>
      <c r="AV34" s="3" t="str">
        <f t="shared" si="8"/>
        <v>-</v>
      </c>
      <c r="AW34" s="3" t="str">
        <f t="shared" si="9"/>
        <v>-</v>
      </c>
      <c r="AX34" s="3">
        <f t="shared" si="10"/>
        <v>9</v>
      </c>
      <c r="AY34" s="3">
        <f t="shared" si="11"/>
        <v>6</v>
      </c>
      <c r="AZ34" s="3">
        <f t="shared" si="12"/>
        <v>1</v>
      </c>
      <c r="BA34" s="3">
        <f>IF(ISERROR(LEN(VLOOKUP(A34,Seqs!A:E,2,FALSE))-AL34),"-",LEN(VLOOKUP(A34,Seqs!A:E,2,FALSE))-AL34)</f>
        <v>76</v>
      </c>
      <c r="BB34" s="16">
        <f t="shared" si="13"/>
        <v>28</v>
      </c>
      <c r="BC34" s="9">
        <f t="shared" si="14"/>
        <v>19</v>
      </c>
      <c r="BD34" s="3">
        <f t="shared" si="15"/>
        <v>28</v>
      </c>
      <c r="BE34" s="3">
        <f t="shared" si="16"/>
        <v>62</v>
      </c>
    </row>
    <row r="35" spans="1:58" s="3" customFormat="1" x14ac:dyDescent="0.2">
      <c r="A35" s="3" t="s">
        <v>396</v>
      </c>
      <c r="B35" s="3" t="str">
        <f>LOWER(VLOOKUP(A35,Xtal_Templ!A:B,2,FALSE))</f>
        <v>adrb2_human</v>
      </c>
      <c r="C35" s="3">
        <f>VLOOKUP($A35,'SegEnds_NonXtal_BW#'!$A:$Z,3,FALSE)+D35-50</f>
        <v>44</v>
      </c>
      <c r="D35" s="3">
        <v>69</v>
      </c>
      <c r="E35" s="3">
        <f>IF(ISERROR(VLOOKUP($A35,'SegEnds_NonXtal_BW#'!$A:$Z,4,FALSE)+VLOOKUP($A35,A:AL,4,FALSE)-50),"-",(VLOOKUP($A35,'SegEnds_NonXtal_BW#'!$A:$Z,4,FALSE)+VLOOKUP($A35,A:AL,4,FALSE)-50))</f>
        <v>79</v>
      </c>
      <c r="F35" s="3">
        <f t="shared" si="27"/>
        <v>80</v>
      </c>
      <c r="G35" s="3">
        <v>82</v>
      </c>
      <c r="H35" s="3">
        <f t="shared" si="28"/>
        <v>83</v>
      </c>
      <c r="I35" s="3">
        <f t="shared" si="28"/>
        <v>84</v>
      </c>
      <c r="J35" s="3">
        <v>97</v>
      </c>
      <c r="K35" s="3">
        <f>VLOOKUP($A35,'SegEnds_NonXtal_BW#'!$A:$Z,8,FALSE)+VLOOKUP($A35,A:AL,10,FALSE)-50</f>
        <v>113</v>
      </c>
      <c r="L35" s="3">
        <f>M35-1</f>
        <v>115</v>
      </c>
      <c r="M35" s="3">
        <v>116</v>
      </c>
      <c r="N35" s="3">
        <f t="shared" ref="N35:N53" si="30">M35+2</f>
        <v>118</v>
      </c>
      <c r="O35" s="3">
        <f t="shared" si="29"/>
        <v>119</v>
      </c>
      <c r="P35" s="3">
        <v>148</v>
      </c>
      <c r="Q35" s="3">
        <f>VLOOKUP($A35,'SegEnds_NonXtal_BW#'!$A:$Z,12,FALSE)+VLOOKUP($A35,A:AL,16,FALSE)-50</f>
        <v>154</v>
      </c>
      <c r="R35" s="3">
        <f>IF(ISERROR(VLOOKUP($A35,'SegEnds_NonXtal_BW#'!$A:$Z,13,FALSE)+VLOOKUP($A35,A:AL,19,FALSE)-50),"-",VLOOKUP($A35,'SegEnds_NonXtal_BW#'!$A:$Z,13,FALSE)+VLOOKUP($A35,A:AL,19,FALSE)-50)</f>
        <v>155</v>
      </c>
      <c r="S35" s="3">
        <v>155</v>
      </c>
      <c r="T35" s="100">
        <f>IF(ISERROR(VLOOKUP($A35,'SegEnds_NonXtal_BW#'!$A:$Z,14,FALSE)+VLOOKUP($A35,A:AL,19,FALSE)-50),"-",(VLOOKUP($A35,'SegEnds_NonXtal_BW#'!$A:$Z,14,FALSE)+VLOOKUP($A35,A:AL,19,FALSE)-50))</f>
        <v>161</v>
      </c>
      <c r="U35" s="9">
        <f>IF(ISERROR(VLOOKUP($A35,'SegEnds_NonXtal_BW#'!$A:$Z,15,FALSE)+VLOOKUP($A35,A:AL,22,FALSE)-50),"-",VLOOKUP($A35,'SegEnds_NonXtal_BW#'!$A:$Z,15,FALSE)+VLOOKUP($A35,A:AL,22,FALSE)-50)</f>
        <v>162</v>
      </c>
      <c r="V35" s="3">
        <v>174</v>
      </c>
      <c r="W35" s="3">
        <f>IF(ISERROR(VLOOKUP($A35,'SegEnds_NonXtal_BW#'!$A:$Z,16,FALSE)+VLOOKUP($A35,A:AL,22,FALSE)-50),"-",(VLOOKUP($A35,'SegEnds_NonXtal_BW#'!$A:$Z,16,FALSE)+VLOOKUP($A35,A:AL,22,FALSE)-50))</f>
        <v>188</v>
      </c>
      <c r="X35" s="3">
        <f>IF(ISERROR(VLOOKUP($A35,'SegEnds_NonXtal_BW#'!$A:$Z,17,FALSE)+VLOOKUP($A35,A:AL,25,FALSE)-50),"-",(VLOOKUP($A35,'SegEnds_NonXtal_BW#'!$A:$Z,17,FALSE)+VLOOKUP($A35,A:AL,25,FALSE)-50))</f>
        <v>199</v>
      </c>
      <c r="Y35" s="3">
        <v>199</v>
      </c>
      <c r="Z35" s="3">
        <f t="shared" ref="Z35:Z60" si="31">Y35+2</f>
        <v>201</v>
      </c>
      <c r="AA35" s="3">
        <f>IF(ISERROR(VLOOKUP($A35,'SegEnds_NonXtal_BW#'!$A:$Z,19,FALSE)+VLOOKUP($A35,A:AL,28,FALSE)-50),"-",(VLOOKUP($A35,'SegEnds_NonXtal_BW#'!$A:$Z,19,FALSE)+VLOOKUP($A35,A:AL,28,FALSE)-50))</f>
        <v>208</v>
      </c>
      <c r="AB35" s="3">
        <v>223</v>
      </c>
      <c r="AC35" s="3">
        <f>IF(ISERROR((VLOOKUP($A35,'SegEnds_NonXtal_BW#'!$A:$Z,20,FALSE)+VLOOKUP($A35,A:AL,28,FALSE)-50)),"-",(VLOOKUP($A35,'SegEnds_NonXtal_BW#'!$A:$Z,20,FALSE)+VLOOKUP($A35,A:AL,28,FALSE)-50))</f>
        <v>245</v>
      </c>
      <c r="AD35" s="3">
        <f>IF(ISERROR(VLOOKUP($A35,'SegEnds_NonXtal_BW#'!$A:$Z,21,FALSE)+VLOOKUP($A35,A:AL,31,FALSE)-50),"-",(VLOOKUP($A35,'SegEnds_NonXtal_BW#'!$A:$Z,21,FALSE)+VLOOKUP($A35,A:AL,31,FALSE)-50))</f>
        <v>252</v>
      </c>
      <c r="AE35" s="3">
        <v>273</v>
      </c>
      <c r="AF35" s="3">
        <f>IF(ISERROR((VLOOKUP($A35,'SegEnds_NonXtal_BW#'!$A:$Z,22,FALSE)+VLOOKUP($A35,A:AL,31,FALSE)-50)),"-",(VLOOKUP($A35,'SegEnds_NonXtal_BW#'!$A:$Z,22,FALSE)+VLOOKUP($A35,A:AL,31,FALSE)-50))</f>
        <v>284</v>
      </c>
      <c r="AG35" s="3">
        <f>IF(ISERROR(VLOOKUP($A35,'SegEnds_NonXtal_BW#'!$A:$Z,23,FALSE)+VLOOKUP($A35,A:AL,34,FALSE)-50),"-",(VLOOKUP($A35,'SegEnds_NonXtal_BW#'!$A:$Z,23,FALSE)+VLOOKUP($A35,A:AL,34,FALSE)-50))</f>
        <v>293</v>
      </c>
      <c r="AH35" s="3">
        <v>312</v>
      </c>
      <c r="AI35" s="3">
        <f>IF(ISERROR((VLOOKUP($A35,'SegEnds_NonXtal_BW#'!$A:$Z,24,FALSE)+VLOOKUP($A35,A:AL,34,FALSE)-50)),"-",(VLOOKUP($A35,'SegEnds_NonXtal_BW#'!$A:$Z,24,FALSE)+VLOOKUP($A35,A:AL,34,FALSE)-50))</f>
        <v>318</v>
      </c>
      <c r="AJ35" s="3">
        <f>IF(ISERROR(VLOOKUP($A35,'SegEnds_NonXtal_BW#'!$A:$Z,25,FALSE)+VLOOKUP($A35,A:AL,37,FALSE)-50),"-",(VLOOKUP($A35,'SegEnds_NonXtal_BW#'!$A:$Z,25,FALSE)+VLOOKUP($A35,A:AL,37,FALSE)-50))</f>
        <v>319</v>
      </c>
      <c r="AK35" s="3">
        <v>322</v>
      </c>
      <c r="AL35" s="3">
        <f>IF(ISERROR((VLOOKUP($A35,'SegEnds_NonXtal_BW#'!$A:$Z,26,FALSE)+VLOOKUP($A35,A:AL,37,FALSE)-50)),"-",(VLOOKUP($A35,'SegEnds_NonXtal_BW#'!$A:$Z,26,FALSE)+VLOOKUP($A35,A:AL,37,FALSE)-50))</f>
        <v>331</v>
      </c>
      <c r="AM35" s="28" t="str">
        <f>VLOOKUP(A35,Classification!A:B,2,FALSE)</f>
        <v>A</v>
      </c>
      <c r="AN35" s="28" t="b">
        <f t="shared" si="17"/>
        <v>1</v>
      </c>
      <c r="AO35" s="3" t="str">
        <f>IF(ISERROR(MATCH(A35,'SegEnds_Xtal_Prot#'!B:B, 0)), "NoXtal", "Xtal")</f>
        <v>NoXtal</v>
      </c>
      <c r="AP35" s="3">
        <f t="shared" si="2"/>
        <v>1</v>
      </c>
      <c r="AQ35" s="3">
        <f t="shared" si="3"/>
        <v>1</v>
      </c>
      <c r="AR35" s="3">
        <f t="shared" si="4"/>
        <v>2</v>
      </c>
      <c r="AS35" s="3">
        <f t="shared" si="5"/>
        <v>1</v>
      </c>
      <c r="AT35" s="3">
        <f t="shared" si="6"/>
        <v>1</v>
      </c>
      <c r="AU35" s="3">
        <f t="shared" si="7"/>
        <v>1</v>
      </c>
      <c r="AV35" s="3">
        <f t="shared" si="8"/>
        <v>11</v>
      </c>
      <c r="AW35" s="3">
        <f t="shared" si="9"/>
        <v>7</v>
      </c>
      <c r="AX35" s="3">
        <f t="shared" si="10"/>
        <v>7</v>
      </c>
      <c r="AY35" s="3">
        <f t="shared" si="11"/>
        <v>9</v>
      </c>
      <c r="AZ35" s="3">
        <f t="shared" si="12"/>
        <v>1</v>
      </c>
      <c r="BA35" s="3">
        <f>IF(ISERROR(LEN(VLOOKUP(A35,Seqs!A:E,2,FALSE))-AL35),"-",LEN(VLOOKUP(A35,Seqs!A:E,2,FALSE))-AL35)</f>
        <v>58</v>
      </c>
      <c r="BB35" s="16">
        <f t="shared" si="13"/>
        <v>28</v>
      </c>
      <c r="BC35" s="9">
        <f t="shared" si="14"/>
        <v>19</v>
      </c>
      <c r="BD35" s="3">
        <f t="shared" si="15"/>
        <v>28</v>
      </c>
      <c r="BE35" s="3">
        <f t="shared" si="16"/>
        <v>50</v>
      </c>
    </row>
    <row r="36" spans="1:58" s="3" customFormat="1" x14ac:dyDescent="0.2">
      <c r="A36" s="3" t="s">
        <v>397</v>
      </c>
      <c r="B36" s="3" t="str">
        <f>LOWER(VLOOKUP(A36,Xtal_Templ!A:B,2,FALSE))</f>
        <v>ox2r_human</v>
      </c>
      <c r="C36" s="3">
        <f>VLOOKUP($A36,'SegEnds_NonXtal_BW#'!$A:$Z,3,FALSE)+D36-50</f>
        <v>50</v>
      </c>
      <c r="D36" s="3">
        <v>69</v>
      </c>
      <c r="E36" s="3">
        <f>IF(ISERROR(VLOOKUP($A36,'SegEnds_NonXtal_BW#'!$A:$Z,4,FALSE)+VLOOKUP($A36,A:AL,4,FALSE)-50),"-",(VLOOKUP($A36,'SegEnds_NonXtal_BW#'!$A:$Z,4,FALSE)+VLOOKUP($A36,A:AL,4,FALSE)-50))</f>
        <v>79</v>
      </c>
      <c r="F36" s="3">
        <f t="shared" si="27"/>
        <v>80</v>
      </c>
      <c r="G36" s="3">
        <v>82</v>
      </c>
      <c r="H36" s="3">
        <f t="shared" si="28"/>
        <v>83</v>
      </c>
      <c r="I36" s="3">
        <f t="shared" si="28"/>
        <v>84</v>
      </c>
      <c r="J36" s="3">
        <v>97</v>
      </c>
      <c r="K36" s="3">
        <f>VLOOKUP($A36,'SegEnds_NonXtal_BW#'!$A:$Z,8,FALSE)+VLOOKUP($A36,A:AL,10,FALSE)-50</f>
        <v>113</v>
      </c>
      <c r="L36" s="105">
        <f>M36</f>
        <v>115</v>
      </c>
      <c r="M36" s="3">
        <v>115</v>
      </c>
      <c r="N36" s="3">
        <f t="shared" si="30"/>
        <v>117</v>
      </c>
      <c r="O36" s="3">
        <f t="shared" si="29"/>
        <v>118</v>
      </c>
      <c r="P36" s="3">
        <v>149</v>
      </c>
      <c r="Q36" s="3">
        <f>VLOOKUP($A36,'SegEnds_NonXtal_BW#'!$A:$Z,12,FALSE)+VLOOKUP($A36,A:AL,16,FALSE)-50</f>
        <v>155</v>
      </c>
      <c r="R36" s="3">
        <f>IF(ISERROR(VLOOKUP($A36,'SegEnds_NonXtal_BW#'!$A:$Z,13,FALSE)+VLOOKUP($A36,A:AL,19,FALSE)-50),"-",VLOOKUP($A36,'SegEnds_NonXtal_BW#'!$A:$Z,13,FALSE)+VLOOKUP($A36,A:AL,19,FALSE)-50)</f>
        <v>156</v>
      </c>
      <c r="S36" s="3">
        <v>156</v>
      </c>
      <c r="T36" s="100">
        <f>IF(ISERROR(VLOOKUP($A36,'SegEnds_NonXtal_BW#'!$A:$Z,14,FALSE)+VLOOKUP($A36,A:AL,19,FALSE)-50),"-",(VLOOKUP($A36,'SegEnds_NonXtal_BW#'!$A:$Z,14,FALSE)+VLOOKUP($A36,A:AL,19,FALSE)-50))</f>
        <v>162</v>
      </c>
      <c r="U36" s="9">
        <f>IF(ISERROR(VLOOKUP($A36,'SegEnds_NonXtal_BW#'!$A:$Z,15,FALSE)+VLOOKUP($A36,A:AL,22,FALSE)-50),"-",VLOOKUP($A36,'SegEnds_NonXtal_BW#'!$A:$Z,15,FALSE)+VLOOKUP($A36,A:AL,22,FALSE)-50)</f>
        <v>163</v>
      </c>
      <c r="V36" s="3">
        <v>175</v>
      </c>
      <c r="W36" s="3">
        <f>IF(ISERROR(VLOOKUP($A36,'SegEnds_NonXtal_BW#'!$A:$Z,16,FALSE)+VLOOKUP($A36,A:AL,22,FALSE)-50),"-",(VLOOKUP($A36,'SegEnds_NonXtal_BW#'!$A:$Z,16,FALSE)+VLOOKUP($A36,A:AL,22,FALSE)-50))</f>
        <v>189</v>
      </c>
      <c r="X36" s="3">
        <f>IF(ISERROR(VLOOKUP($A36,'SegEnds_NonXtal_BW#'!$A:$Z,17,FALSE)+VLOOKUP($A36,A:AL,25,FALSE)-50),"-",(VLOOKUP($A36,'SegEnds_NonXtal_BW#'!$A:$Z,17,FALSE)+VLOOKUP($A36,A:AL,25,FALSE)-50))</f>
        <v>203</v>
      </c>
      <c r="Y36" s="3">
        <v>203</v>
      </c>
      <c r="Z36" s="3">
        <f t="shared" si="31"/>
        <v>205</v>
      </c>
      <c r="AA36" s="3">
        <f>IF(ISERROR(VLOOKUP($A36,'SegEnds_NonXtal_BW#'!$A:$Z,19,FALSE)+VLOOKUP($A36,A:AL,28,FALSE)-50),"-",(VLOOKUP($A36,'SegEnds_NonXtal_BW#'!$A:$Z,19,FALSE)+VLOOKUP($A36,A:AL,28,FALSE)-50))</f>
        <v>211</v>
      </c>
      <c r="AB36" s="3">
        <v>228</v>
      </c>
      <c r="AC36" s="3">
        <f>IF(ISERROR((VLOOKUP($A36,'SegEnds_NonXtal_BW#'!$A:$Z,20,FALSE)+VLOOKUP($A36,A:AL,28,FALSE)-50)),"-",(VLOOKUP($A36,'SegEnds_NonXtal_BW#'!$A:$Z,20,FALSE)+VLOOKUP($A36,A:AL,28,FALSE)-50))</f>
        <v>254</v>
      </c>
      <c r="AD36" s="3">
        <f>IF(ISERROR(VLOOKUP($A36,'SegEnds_NonXtal_BW#'!$A:$Z,21,FALSE)+VLOOKUP($A36,A:AL,31,FALSE)-50),"-",(VLOOKUP($A36,'SegEnds_NonXtal_BW#'!$A:$Z,21,FALSE)+VLOOKUP($A36,A:AL,31,FALSE)-50))</f>
        <v>280</v>
      </c>
      <c r="AE36" s="3">
        <v>306</v>
      </c>
      <c r="AF36" s="3">
        <f>IF(ISERROR((VLOOKUP($A36,'SegEnds_NonXtal_BW#'!$A:$Z,22,FALSE)+VLOOKUP($A36,A:AL,31,FALSE)-50)),"-",(VLOOKUP($A36,'SegEnds_NonXtal_BW#'!$A:$Z,22,FALSE)+VLOOKUP($A36,A:AL,31,FALSE)-50))</f>
        <v>317</v>
      </c>
      <c r="AG36" s="3">
        <f>IF(ISERROR(VLOOKUP($A36,'SegEnds_NonXtal_BW#'!$A:$Z,23,FALSE)+VLOOKUP($A36,A:AL,34,FALSE)-50),"-",(VLOOKUP($A36,'SegEnds_NonXtal_BW#'!$A:$Z,23,FALSE)+VLOOKUP($A36,A:AL,34,FALSE)-50))</f>
        <v>322</v>
      </c>
      <c r="AH36" s="3">
        <v>345</v>
      </c>
      <c r="AI36" s="3">
        <f>IF(ISERROR((VLOOKUP($A36,'SegEnds_NonXtal_BW#'!$A:$Z,24,FALSE)+VLOOKUP($A36,A:AL,34,FALSE)-50)),"-",(VLOOKUP($A36,'SegEnds_NonXtal_BW#'!$A:$Z,24,FALSE)+VLOOKUP($A36,A:AL,34,FALSE)-50))</f>
        <v>351</v>
      </c>
      <c r="AJ36" s="3">
        <f>IF(ISERROR(VLOOKUP($A36,'SegEnds_NonXtal_BW#'!$A:$Z,25,FALSE)+VLOOKUP($A36,A:AL,37,FALSE)-50),"-",(VLOOKUP($A36,'SegEnds_NonXtal_BW#'!$A:$Z,25,FALSE)+VLOOKUP($A36,A:AL,37,FALSE)-50))</f>
        <v>352</v>
      </c>
      <c r="AK36" s="3">
        <v>355</v>
      </c>
      <c r="AL36" s="3">
        <f>IF(ISERROR((VLOOKUP($A36,'SegEnds_NonXtal_BW#'!$A:$Z,26,FALSE)+VLOOKUP($A36,A:AL,37,FALSE)-50)),"-",(VLOOKUP($A36,'SegEnds_NonXtal_BW#'!$A:$Z,26,FALSE)+VLOOKUP($A36,A:AL,37,FALSE)-50))</f>
        <v>363</v>
      </c>
      <c r="AM36" s="28" t="str">
        <f>VLOOKUP(A36,Classification!A:B,2,FALSE)</f>
        <v>A</v>
      </c>
      <c r="AN36" s="28" t="b">
        <f t="shared" si="17"/>
        <v>1</v>
      </c>
      <c r="AO36" s="3" t="str">
        <f>IF(ISERROR(MATCH(A36,'SegEnds_Xtal_Prot#'!B:B, 0)), "NoXtal", "Xtal")</f>
        <v>NoXtal</v>
      </c>
      <c r="AP36" s="3">
        <f t="shared" si="2"/>
        <v>1</v>
      </c>
      <c r="AQ36" s="3">
        <f t="shared" si="3"/>
        <v>1</v>
      </c>
      <c r="AR36" s="3">
        <f t="shared" si="4"/>
        <v>2</v>
      </c>
      <c r="AS36" s="3">
        <f t="shared" si="5"/>
        <v>1</v>
      </c>
      <c r="AT36" s="3">
        <f t="shared" si="6"/>
        <v>1</v>
      </c>
      <c r="AU36" s="3">
        <f t="shared" si="7"/>
        <v>1</v>
      </c>
      <c r="AV36" s="3">
        <f t="shared" si="8"/>
        <v>14</v>
      </c>
      <c r="AW36" s="3">
        <f t="shared" si="9"/>
        <v>6</v>
      </c>
      <c r="AX36" s="3">
        <f t="shared" si="10"/>
        <v>26</v>
      </c>
      <c r="AY36" s="3">
        <f t="shared" si="11"/>
        <v>5</v>
      </c>
      <c r="AZ36" s="3">
        <f t="shared" si="12"/>
        <v>1</v>
      </c>
      <c r="BA36" s="3">
        <f>IF(ISERROR(LEN(VLOOKUP(A36,Seqs!A:E,2,FALSE))-AL36),"-",LEN(VLOOKUP(A36,Seqs!A:E,2,FALSE))-AL36)</f>
        <v>55</v>
      </c>
      <c r="BB36" s="16">
        <f t="shared" si="13"/>
        <v>28</v>
      </c>
      <c r="BC36" s="9">
        <f t="shared" si="14"/>
        <v>19</v>
      </c>
      <c r="BD36" s="3">
        <f t="shared" si="15"/>
        <v>28</v>
      </c>
      <c r="BE36" s="3">
        <f t="shared" si="16"/>
        <v>78</v>
      </c>
    </row>
    <row r="37" spans="1:58" s="3" customFormat="1" x14ac:dyDescent="0.2">
      <c r="A37" s="3" t="s">
        <v>398</v>
      </c>
      <c r="B37" s="3" t="str">
        <f>LOWER(VLOOKUP(A37,Xtal_Templ!A:B,2,FALSE))</f>
        <v>ntr1_rat</v>
      </c>
      <c r="C37" s="3">
        <f>VLOOKUP($A37,'SegEnds_NonXtal_BW#'!$A:$Z,3,FALSE)+D37-50</f>
        <v>31</v>
      </c>
      <c r="D37" s="3">
        <v>52</v>
      </c>
      <c r="E37" s="3">
        <f>IF(ISERROR(VLOOKUP($A37,'SegEnds_NonXtal_BW#'!$A:$Z,4,FALSE)+VLOOKUP($A37,A:AL,4,FALSE)-50),"-",(VLOOKUP($A37,'SegEnds_NonXtal_BW#'!$A:$Z,4,FALSE)+VLOOKUP($A37,A:AL,4,FALSE)-50))</f>
        <v>62</v>
      </c>
      <c r="F37" s="3">
        <f t="shared" si="27"/>
        <v>63</v>
      </c>
      <c r="G37" s="3">
        <v>65</v>
      </c>
      <c r="H37" s="3">
        <f t="shared" si="28"/>
        <v>66</v>
      </c>
      <c r="I37" s="3">
        <f t="shared" si="28"/>
        <v>67</v>
      </c>
      <c r="J37" s="3">
        <v>80</v>
      </c>
      <c r="K37" s="3">
        <f>VLOOKUP($A37,'SegEnds_NonXtal_BW#'!$A:$Z,8,FALSE)+VLOOKUP($A37,A:AL,10,FALSE)-50</f>
        <v>96</v>
      </c>
      <c r="L37" s="105">
        <f>M37</f>
        <v>98</v>
      </c>
      <c r="M37" s="3">
        <v>98</v>
      </c>
      <c r="N37" s="3">
        <f t="shared" si="30"/>
        <v>100</v>
      </c>
      <c r="O37" s="3">
        <f t="shared" si="29"/>
        <v>101</v>
      </c>
      <c r="P37" s="3">
        <v>132</v>
      </c>
      <c r="Q37" s="3">
        <f>VLOOKUP($A37,'SegEnds_NonXtal_BW#'!$A:$Z,12,FALSE)+VLOOKUP($A37,A:AL,16,FALSE)-50</f>
        <v>138</v>
      </c>
      <c r="R37" s="3">
        <f>IF(ISERROR(VLOOKUP($A37,'SegEnds_NonXtal_BW#'!$A:$Z,13,FALSE)+VLOOKUP($A37,A:AL,19,FALSE)-50),"-",VLOOKUP($A37,'SegEnds_NonXtal_BW#'!$A:$Z,13,FALSE)+VLOOKUP($A37,A:AL,19,FALSE)-50)</f>
        <v>139</v>
      </c>
      <c r="S37" s="3">
        <v>139</v>
      </c>
      <c r="T37" s="100">
        <f>IF(ISERROR(VLOOKUP($A37,'SegEnds_NonXtal_BW#'!$A:$Z,14,FALSE)+VLOOKUP($A37,A:AL,19,FALSE)-50),"-",(VLOOKUP($A37,'SegEnds_NonXtal_BW#'!$A:$Z,14,FALSE)+VLOOKUP($A37,A:AL,19,FALSE)-50))</f>
        <v>145</v>
      </c>
      <c r="U37" s="9">
        <f>IF(ISERROR(VLOOKUP($A37,'SegEnds_NonXtal_BW#'!$A:$Z,15,FALSE)+VLOOKUP($A37,A:AL,22,FALSE)-50),"-",VLOOKUP($A37,'SegEnds_NonXtal_BW#'!$A:$Z,15,FALSE)+VLOOKUP($A37,A:AL,22,FALSE)-50)</f>
        <v>146</v>
      </c>
      <c r="V37" s="3">
        <v>158</v>
      </c>
      <c r="W37" s="3">
        <f>IF(ISERROR(VLOOKUP($A37,'SegEnds_NonXtal_BW#'!$A:$Z,16,FALSE)+VLOOKUP($A37,A:AL,22,FALSE)-50),"-",(VLOOKUP($A37,'SegEnds_NonXtal_BW#'!$A:$Z,16,FALSE)+VLOOKUP($A37,A:AL,22,FALSE)-50))</f>
        <v>172</v>
      </c>
      <c r="X37" s="105">
        <v>186</v>
      </c>
      <c r="Y37" s="3">
        <v>186</v>
      </c>
      <c r="Z37" s="3">
        <f t="shared" si="31"/>
        <v>188</v>
      </c>
      <c r="AA37" s="3">
        <f>IF(ISERROR(VLOOKUP($A37,'SegEnds_NonXtal_BW#'!$A:$Z,19,FALSE)+VLOOKUP($A37,A:AL,28,FALSE)-50),"-",(VLOOKUP($A37,'SegEnds_NonXtal_BW#'!$A:$Z,19,FALSE)+VLOOKUP($A37,A:AL,28,FALSE)-50))</f>
        <v>193</v>
      </c>
      <c r="AB37" s="3">
        <v>211</v>
      </c>
      <c r="AC37" s="3">
        <f>IF(ISERROR((VLOOKUP($A37,'SegEnds_NonXtal_BW#'!$A:$Z,20,FALSE)+VLOOKUP($A37,A:AL,28,FALSE)-50)),"-",(VLOOKUP($A37,'SegEnds_NonXtal_BW#'!$A:$Z,20,FALSE)+VLOOKUP($A37,A:AL,28,FALSE)-50))</f>
        <v>237</v>
      </c>
      <c r="AD37" s="3">
        <f>IF(ISERROR(VLOOKUP($A37,'SegEnds_NonXtal_BW#'!$A:$Z,21,FALSE)+VLOOKUP($A37,A:AL,31,FALSE)-50),"-",(VLOOKUP($A37,'SegEnds_NonXtal_BW#'!$A:$Z,21,FALSE)+VLOOKUP($A37,A:AL,31,FALSE)-50))</f>
        <v>270</v>
      </c>
      <c r="AE37" s="3">
        <v>296</v>
      </c>
      <c r="AF37" s="3">
        <f>IF(ISERROR((VLOOKUP($A37,'SegEnds_NonXtal_BW#'!$A:$Z,22,FALSE)+VLOOKUP($A37,A:AL,31,FALSE)-50)),"-",(VLOOKUP($A37,'SegEnds_NonXtal_BW#'!$A:$Z,22,FALSE)+VLOOKUP($A37,A:AL,31,FALSE)-50))</f>
        <v>307</v>
      </c>
      <c r="AG37" s="3">
        <f>IF(ISERROR(VLOOKUP($A37,'SegEnds_NonXtal_BW#'!$A:$Z,23,FALSE)+VLOOKUP($A37,A:AL,34,FALSE)-50),"-",(VLOOKUP($A37,'SegEnds_NonXtal_BW#'!$A:$Z,23,FALSE)+VLOOKUP($A37,A:AL,34,FALSE)-50))</f>
        <v>309</v>
      </c>
      <c r="AH37" s="3">
        <v>335</v>
      </c>
      <c r="AI37" s="3">
        <f>IF(ISERROR((VLOOKUP($A37,'SegEnds_NonXtal_BW#'!$A:$Z,24,FALSE)+VLOOKUP($A37,A:AL,34,FALSE)-50)),"-",(VLOOKUP($A37,'SegEnds_NonXtal_BW#'!$A:$Z,24,FALSE)+VLOOKUP($A37,A:AL,34,FALSE)-50))</f>
        <v>341</v>
      </c>
      <c r="AJ37" s="3">
        <f>IF(ISERROR(VLOOKUP($A37,'SegEnds_NonXtal_BW#'!$A:$Z,25,FALSE)+VLOOKUP($A37,A:AL,37,FALSE)-50),"-",(VLOOKUP($A37,'SegEnds_NonXtal_BW#'!$A:$Z,25,FALSE)+VLOOKUP($A37,A:AL,37,FALSE)-50))</f>
        <v>342</v>
      </c>
      <c r="AK37" s="3">
        <v>345</v>
      </c>
      <c r="AL37" s="3">
        <f>IF(ISERROR((VLOOKUP($A37,'SegEnds_NonXtal_BW#'!$A:$Z,26,FALSE)+VLOOKUP($A37,A:AL,37,FALSE)-50)),"-",(VLOOKUP($A37,'SegEnds_NonXtal_BW#'!$A:$Z,26,FALSE)+VLOOKUP($A37,A:AL,37,FALSE)-50))</f>
        <v>353</v>
      </c>
      <c r="AM37" s="28" t="str">
        <f>VLOOKUP(A37,Classification!A:B,2,FALSE)</f>
        <v>A</v>
      </c>
      <c r="AN37" s="28" t="b">
        <f t="shared" si="17"/>
        <v>1</v>
      </c>
      <c r="AO37" s="3" t="str">
        <f>IF(ISERROR(MATCH(A37,'SegEnds_Xtal_Prot#'!B:B, 0)), "NoXtal", "Xtal")</f>
        <v>NoXtal</v>
      </c>
      <c r="AP37" s="3">
        <f t="shared" si="2"/>
        <v>1</v>
      </c>
      <c r="AQ37" s="3">
        <f t="shared" si="3"/>
        <v>1</v>
      </c>
      <c r="AR37" s="3">
        <f t="shared" si="4"/>
        <v>2</v>
      </c>
      <c r="AS37" s="3">
        <f t="shared" si="5"/>
        <v>1</v>
      </c>
      <c r="AT37" s="3">
        <f t="shared" si="6"/>
        <v>1</v>
      </c>
      <c r="AU37" s="3">
        <f t="shared" si="7"/>
        <v>1</v>
      </c>
      <c r="AV37" s="3">
        <f t="shared" si="8"/>
        <v>14</v>
      </c>
      <c r="AW37" s="3">
        <f t="shared" si="9"/>
        <v>5</v>
      </c>
      <c r="AX37" s="3">
        <f t="shared" si="10"/>
        <v>33</v>
      </c>
      <c r="AY37" s="3">
        <f t="shared" si="11"/>
        <v>2</v>
      </c>
      <c r="AZ37" s="3">
        <f t="shared" si="12"/>
        <v>1</v>
      </c>
      <c r="BA37" s="3">
        <f>IF(ISERROR(LEN(VLOOKUP(A37,Seqs!A:E,2,FALSE))-AL37),"-",LEN(VLOOKUP(A37,Seqs!A:E,2,FALSE))-AL37)</f>
        <v>71</v>
      </c>
      <c r="BB37" s="16">
        <f t="shared" si="13"/>
        <v>28</v>
      </c>
      <c r="BC37" s="9">
        <f t="shared" si="14"/>
        <v>19</v>
      </c>
      <c r="BD37" s="3">
        <f t="shared" si="15"/>
        <v>28</v>
      </c>
      <c r="BE37" s="3">
        <f t="shared" si="16"/>
        <v>85</v>
      </c>
    </row>
    <row r="38" spans="1:58" s="3" customFormat="1" x14ac:dyDescent="0.2">
      <c r="A38" s="3" t="s">
        <v>128</v>
      </c>
      <c r="B38" s="3" t="str">
        <f>LOWER(VLOOKUP(A38,Xtal_Templ!A:B,2,FALSE))</f>
        <v>5ht1b_human</v>
      </c>
      <c r="C38" s="3">
        <f>VLOOKUP($A38,'SegEnds_NonXtal_BW#'!$A:$Z,3,FALSE)+D38-50</f>
        <v>32</v>
      </c>
      <c r="D38" s="3">
        <v>54</v>
      </c>
      <c r="E38" s="3">
        <f>IF(ISERROR(VLOOKUP($A38,'SegEnds_NonXtal_BW#'!$A:$Z,4,FALSE)+VLOOKUP($A38,A:AL,4,FALSE)-50),"-",(VLOOKUP($A38,'SegEnds_NonXtal_BW#'!$A:$Z,4,FALSE)+VLOOKUP($A38,A:AL,4,FALSE)-50))</f>
        <v>64</v>
      </c>
      <c r="F38" s="3">
        <f t="shared" si="27"/>
        <v>65</v>
      </c>
      <c r="G38" s="3">
        <v>67</v>
      </c>
      <c r="H38" s="3">
        <f t="shared" si="28"/>
        <v>68</v>
      </c>
      <c r="I38" s="3">
        <f t="shared" si="28"/>
        <v>69</v>
      </c>
      <c r="J38" s="3">
        <v>82</v>
      </c>
      <c r="K38" s="3">
        <f>VLOOKUP($A38,'SegEnds_NonXtal_BW#'!$A:$Z,8,FALSE)+VLOOKUP($A38,A:AL,10,FALSE)-50</f>
        <v>100</v>
      </c>
      <c r="L38" s="3">
        <f t="shared" ref="L38:L49" si="32">M38-1</f>
        <v>101</v>
      </c>
      <c r="M38" s="3">
        <v>102</v>
      </c>
      <c r="N38" s="3">
        <f t="shared" si="30"/>
        <v>104</v>
      </c>
      <c r="O38" s="3">
        <f t="shared" si="29"/>
        <v>105</v>
      </c>
      <c r="P38" s="3">
        <v>134</v>
      </c>
      <c r="Q38" s="3">
        <f>VLOOKUP($A38,'SegEnds_NonXtal_BW#'!$A:$Z,12,FALSE)+VLOOKUP($A38,A:AL,16,FALSE)-50</f>
        <v>140</v>
      </c>
      <c r="R38" s="3">
        <f>IF(ISERROR(VLOOKUP($A38,'SegEnds_NonXtal_BW#'!$A:$Z,13,FALSE)+VLOOKUP($A38,A:AL,19,FALSE)-50),"-",VLOOKUP($A38,'SegEnds_NonXtal_BW#'!$A:$Z,13,FALSE)+VLOOKUP($A38,A:AL,19,FALSE)-50)</f>
        <v>141</v>
      </c>
      <c r="S38" s="3">
        <v>141</v>
      </c>
      <c r="T38" s="100">
        <f>IF(ISERROR(VLOOKUP($A38,'SegEnds_NonXtal_BW#'!$A:$Z,14,FALSE)+VLOOKUP($A38,A:AL,19,FALSE)-50),"-",(VLOOKUP($A38,'SegEnds_NonXtal_BW#'!$A:$Z,14,FALSE)+VLOOKUP($A38,A:AL,19,FALSE)-50))</f>
        <v>148</v>
      </c>
      <c r="U38" s="9">
        <f>IF(ISERROR(VLOOKUP($A38,'SegEnds_NonXtal_BW#'!$A:$Z,15,FALSE)+VLOOKUP($A38,A:AL,22,FALSE)-50),"-",VLOOKUP($A38,'SegEnds_NonXtal_BW#'!$A:$Z,15,FALSE)+VLOOKUP($A38,A:AL,22,FALSE)-50)</f>
        <v>149</v>
      </c>
      <c r="V38" s="3">
        <v>161</v>
      </c>
      <c r="W38" s="3">
        <f>IF(ISERROR(VLOOKUP($A38,'SegEnds_NonXtal_BW#'!$A:$Z,16,FALSE)+VLOOKUP($A38,A:AL,22,FALSE)-50),"-",(VLOOKUP($A38,'SegEnds_NonXtal_BW#'!$A:$Z,16,FALSE)+VLOOKUP($A38,A:AL,22,FALSE)-50))</f>
        <v>174</v>
      </c>
      <c r="X38" s="3">
        <f>IF(ISERROR(VLOOKUP($A38,'SegEnds_NonXtal_BW#'!$A:$Z,17,FALSE)+VLOOKUP($A38,A:AL,25,FALSE)-50),"-",(VLOOKUP($A38,'SegEnds_NonXtal_BW#'!$A:$Z,17,FALSE)+VLOOKUP($A38,A:AL,25,FALSE)-50))</f>
        <v>187</v>
      </c>
      <c r="Y38" s="3">
        <v>187</v>
      </c>
      <c r="Z38" s="3">
        <f t="shared" si="31"/>
        <v>189</v>
      </c>
      <c r="AA38" s="3">
        <f>IF(ISERROR(VLOOKUP($A38,'SegEnds_NonXtal_BW#'!$A:$Z,19,FALSE)+VLOOKUP($A38,A:AL,28,FALSE)-50),"-",(VLOOKUP($A38,'SegEnds_NonXtal_BW#'!$A:$Z,19,FALSE)+VLOOKUP($A38,A:AL,28,FALSE)-50))</f>
        <v>192</v>
      </c>
      <c r="AB38" s="3">
        <v>207</v>
      </c>
      <c r="AC38" s="3">
        <f>IF(ISERROR((VLOOKUP($A38,'SegEnds_NonXtal_BW#'!$A:$Z,20,FALSE)+VLOOKUP($A38,A:AL,28,FALSE)-50)),"-",(VLOOKUP($A38,'SegEnds_NonXtal_BW#'!$A:$Z,20,FALSE)+VLOOKUP($A38,A:AL,28,FALSE)-50))</f>
        <v>233</v>
      </c>
      <c r="AD38" s="3">
        <f>IF(ISERROR(VLOOKUP($A38,'SegEnds_NonXtal_BW#'!$A:$Z,21,FALSE)+VLOOKUP($A38,A:AL,31,FALSE)-50),"-",(VLOOKUP($A38,'SegEnds_NonXtal_BW#'!$A:$Z,21,FALSE)+VLOOKUP($A38,A:AL,31,FALSE)-50))</f>
        <v>334</v>
      </c>
      <c r="AE38" s="3">
        <v>360</v>
      </c>
      <c r="AF38" s="3">
        <f>IF(ISERROR((VLOOKUP($A38,'SegEnds_NonXtal_BW#'!$A:$Z,22,FALSE)+VLOOKUP($A38,A:AL,31,FALSE)-50)),"-",(VLOOKUP($A38,'SegEnds_NonXtal_BW#'!$A:$Z,22,FALSE)+VLOOKUP($A38,A:AL,31,FALSE)-50))</f>
        <v>370</v>
      </c>
      <c r="AG38" s="3">
        <f>IF(ISERROR(VLOOKUP($A38,'SegEnds_NonXtal_BW#'!$A:$Z,23,FALSE)+VLOOKUP($A38,A:AL,34,FALSE)-50),"-",(VLOOKUP($A38,'SegEnds_NonXtal_BW#'!$A:$Z,23,FALSE)+VLOOKUP($A38,A:AL,34,FALSE)-50))</f>
        <v>378</v>
      </c>
      <c r="AH38" s="3">
        <v>397</v>
      </c>
      <c r="AI38" s="3">
        <f>IF(ISERROR((VLOOKUP($A38,'SegEnds_NonXtal_BW#'!$A:$Z,24,FALSE)+VLOOKUP($A38,A:AL,34,FALSE)-50)),"-",(VLOOKUP($A38,'SegEnds_NonXtal_BW#'!$A:$Z,24,FALSE)+VLOOKUP($A38,A:AL,34,FALSE)-50))</f>
        <v>403</v>
      </c>
      <c r="AJ38" s="3">
        <f>IF(ISERROR(VLOOKUP($A38,'SegEnds_NonXtal_BW#'!$A:$Z,25,FALSE)+VLOOKUP($A38,A:AL,37,FALSE)-50),"-",(VLOOKUP($A38,'SegEnds_NonXtal_BW#'!$A:$Z,25,FALSE)+VLOOKUP($A38,A:AL,37,FALSE)-50))</f>
        <v>404</v>
      </c>
      <c r="AK38" s="3">
        <v>407</v>
      </c>
      <c r="AL38" s="3">
        <f>IF(ISERROR((VLOOKUP($A38,'SegEnds_NonXtal_BW#'!$A:$Z,26,FALSE)+VLOOKUP($A38,A:AL,37,FALSE)-50)),"-",(VLOOKUP($A38,'SegEnds_NonXtal_BW#'!$A:$Z,26,FALSE)+VLOOKUP($A38,A:AL,37,FALSE)-50))</f>
        <v>415</v>
      </c>
      <c r="AM38" s="28" t="str">
        <f>VLOOKUP(A38,Classification!A:B,2,FALSE)</f>
        <v>A</v>
      </c>
      <c r="AN38" s="28" t="b">
        <f t="shared" si="17"/>
        <v>1</v>
      </c>
      <c r="AO38" s="3" t="str">
        <f>IF(ISERROR(MATCH(A38,'SegEnds_Xtal_Prot#'!B:B, 0)), "NoXtal", "Xtal")</f>
        <v>NoXtal</v>
      </c>
      <c r="AP38" s="3">
        <f t="shared" si="2"/>
        <v>1</v>
      </c>
      <c r="AQ38" s="3">
        <f t="shared" si="3"/>
        <v>1</v>
      </c>
      <c r="AR38" s="3">
        <f t="shared" si="4"/>
        <v>1</v>
      </c>
      <c r="AS38" s="3">
        <f t="shared" si="5"/>
        <v>1</v>
      </c>
      <c r="AT38" s="3">
        <f t="shared" si="6"/>
        <v>1</v>
      </c>
      <c r="AU38" s="3">
        <f t="shared" si="7"/>
        <v>1</v>
      </c>
      <c r="AV38" s="3">
        <f t="shared" si="8"/>
        <v>13</v>
      </c>
      <c r="AW38" s="3">
        <f t="shared" si="9"/>
        <v>3</v>
      </c>
      <c r="AX38" s="3">
        <f t="shared" si="10"/>
        <v>101</v>
      </c>
      <c r="AY38" s="3">
        <f t="shared" si="11"/>
        <v>8</v>
      </c>
      <c r="AZ38" s="3">
        <f t="shared" si="12"/>
        <v>1</v>
      </c>
      <c r="BA38" s="3">
        <f>IF(ISERROR(LEN(VLOOKUP(A38,Seqs!A:E,2,FALSE))-AL38),"-",LEN(VLOOKUP(A38,Seqs!A:E,2,FALSE))-AL38)</f>
        <v>7</v>
      </c>
      <c r="BB38" s="16">
        <f t="shared" si="13"/>
        <v>28</v>
      </c>
      <c r="BC38" s="9">
        <f t="shared" si="14"/>
        <v>20</v>
      </c>
      <c r="BD38" s="3">
        <f t="shared" si="15"/>
        <v>28</v>
      </c>
      <c r="BE38" s="3">
        <f t="shared" si="16"/>
        <v>153</v>
      </c>
      <c r="BF38" s="3">
        <f>AH38-AE38</f>
        <v>37</v>
      </c>
    </row>
    <row r="39" spans="1:58" s="3" customFormat="1" x14ac:dyDescent="0.2">
      <c r="A39" s="3" t="s">
        <v>34</v>
      </c>
      <c r="B39" s="3" t="str">
        <f>LOWER(VLOOKUP(A39,Xtal_Templ!A:B,2,FALSE))</f>
        <v>5ht1b_human</v>
      </c>
      <c r="C39" s="3">
        <f>VLOOKUP($A39,'SegEnds_NonXtal_BW#'!$A:$Z,3,FALSE)+D39-50</f>
        <v>45</v>
      </c>
      <c r="D39" s="3">
        <v>67</v>
      </c>
      <c r="E39" s="3">
        <f>IF(ISERROR(VLOOKUP($A39,'SegEnds_NonXtal_BW#'!$A:$Z,4,FALSE)+VLOOKUP($A39,A:AL,4,FALSE)-50),"-",(VLOOKUP($A39,'SegEnds_NonXtal_BW#'!$A:$Z,4,FALSE)+VLOOKUP($A39,A:AL,4,FALSE)-50))</f>
        <v>77</v>
      </c>
      <c r="F39" s="3">
        <f t="shared" si="27"/>
        <v>78</v>
      </c>
      <c r="G39" s="3">
        <v>80</v>
      </c>
      <c r="H39" s="3">
        <f t="shared" si="28"/>
        <v>81</v>
      </c>
      <c r="I39" s="3">
        <f t="shared" si="28"/>
        <v>82</v>
      </c>
      <c r="J39" s="3">
        <v>95</v>
      </c>
      <c r="K39" s="3">
        <f>VLOOKUP($A39,'SegEnds_NonXtal_BW#'!$A:$Z,8,FALSE)+VLOOKUP($A39,A:AL,10,FALSE)-50</f>
        <v>113</v>
      </c>
      <c r="L39" s="3">
        <f t="shared" si="32"/>
        <v>114</v>
      </c>
      <c r="M39" s="3">
        <v>115</v>
      </c>
      <c r="N39" s="3">
        <f t="shared" si="30"/>
        <v>117</v>
      </c>
      <c r="O39" s="3">
        <f t="shared" si="29"/>
        <v>118</v>
      </c>
      <c r="P39" s="3">
        <v>147</v>
      </c>
      <c r="Q39" s="3">
        <f>VLOOKUP($A39,'SegEnds_NonXtal_BW#'!$A:$Z,12,FALSE)+VLOOKUP($A39,A:AL,16,FALSE)-50</f>
        <v>153</v>
      </c>
      <c r="R39" s="3">
        <f>IF(ISERROR(VLOOKUP($A39,'SegEnds_NonXtal_BW#'!$A:$Z,13,FALSE)+VLOOKUP($A39,A:AL,19,FALSE)-50),"-",VLOOKUP($A39,'SegEnds_NonXtal_BW#'!$A:$Z,13,FALSE)+VLOOKUP($A39,A:AL,19,FALSE)-50)</f>
        <v>154</v>
      </c>
      <c r="S39" s="3">
        <v>154</v>
      </c>
      <c r="T39" s="100">
        <f>IF(ISERROR(VLOOKUP($A39,'SegEnds_NonXtal_BW#'!$A:$Z,14,FALSE)+VLOOKUP($A39,A:AL,19,FALSE)-50),"-",(VLOOKUP($A39,'SegEnds_NonXtal_BW#'!$A:$Z,14,FALSE)+VLOOKUP($A39,A:AL,19,FALSE)-50))</f>
        <v>161</v>
      </c>
      <c r="U39" s="9">
        <f>IF(ISERROR(VLOOKUP($A39,'SegEnds_NonXtal_BW#'!$A:$Z,15,FALSE)+VLOOKUP($A39,A:AL,22,FALSE)-50),"-",VLOOKUP($A39,'SegEnds_NonXtal_BW#'!$A:$Z,15,FALSE)+VLOOKUP($A39,A:AL,22,FALSE)-50)</f>
        <v>162</v>
      </c>
      <c r="V39" s="3">
        <v>174</v>
      </c>
      <c r="W39" s="3">
        <f>IF(ISERROR(VLOOKUP($A39,'SegEnds_NonXtal_BW#'!$A:$Z,16,FALSE)+VLOOKUP($A39,A:AL,22,FALSE)-50),"-",(VLOOKUP($A39,'SegEnds_NonXtal_BW#'!$A:$Z,16,FALSE)+VLOOKUP($A39,A:AL,22,FALSE)-50))</f>
        <v>187</v>
      </c>
      <c r="X39" s="3">
        <f>IF(ISERROR(VLOOKUP($A39,'SegEnds_NonXtal_BW#'!$A:$Z,17,FALSE)+VLOOKUP($A39,A:AL,25,FALSE)-50),"-",(VLOOKUP($A39,'SegEnds_NonXtal_BW#'!$A:$Z,17,FALSE)+VLOOKUP($A39,A:AL,25,FALSE)-50))</f>
        <v>199</v>
      </c>
      <c r="Y39" s="3">
        <v>199</v>
      </c>
      <c r="Z39" s="3">
        <f t="shared" si="31"/>
        <v>201</v>
      </c>
      <c r="AA39" s="3">
        <f>IF(ISERROR(VLOOKUP($A39,'SegEnds_NonXtal_BW#'!$A:$Z,19,FALSE)+VLOOKUP($A39,A:AL,28,FALSE)-50),"-",(VLOOKUP($A39,'SegEnds_NonXtal_BW#'!$A:$Z,19,FALSE)+VLOOKUP($A39,A:AL,28,FALSE)-50))</f>
        <v>205</v>
      </c>
      <c r="AB39" s="3">
        <v>220</v>
      </c>
      <c r="AC39" s="3">
        <f>IF(ISERROR((VLOOKUP($A39,'SegEnds_NonXtal_BW#'!$A:$Z,20,FALSE)+VLOOKUP($A39,A:AL,28,FALSE)-50)),"-",(VLOOKUP($A39,'SegEnds_NonXtal_BW#'!$A:$Z,20,FALSE)+VLOOKUP($A39,A:AL,28,FALSE)-50))</f>
        <v>244</v>
      </c>
      <c r="AD39" s="3">
        <f>IF(ISERROR(VLOOKUP($A39,'SegEnds_NonXtal_BW#'!$A:$Z,21,FALSE)+VLOOKUP($A39,A:AL,31,FALSE)-50),"-",(VLOOKUP($A39,'SegEnds_NonXtal_BW#'!$A:$Z,21,FALSE)+VLOOKUP($A39,A:AL,31,FALSE)-50))</f>
        <v>303</v>
      </c>
      <c r="AE39" s="3">
        <v>329</v>
      </c>
      <c r="AF39" s="3">
        <f>IF(ISERROR((VLOOKUP($A39,'SegEnds_NonXtal_BW#'!$A:$Z,22,FALSE)+VLOOKUP($A39,A:AL,31,FALSE)-50)),"-",(VLOOKUP($A39,'SegEnds_NonXtal_BW#'!$A:$Z,22,FALSE)+VLOOKUP($A39,A:AL,31,FALSE)-50))</f>
        <v>339</v>
      </c>
      <c r="AG39" s="3">
        <f>IF(ISERROR(VLOOKUP($A39,'SegEnds_NonXtal_BW#'!$A:$Z,23,FALSE)+VLOOKUP($A39,A:AL,34,FALSE)-50),"-",(VLOOKUP($A39,'SegEnds_NonXtal_BW#'!$A:$Z,23,FALSE)+VLOOKUP($A39,A:AL,34,FALSE)-50))</f>
        <v>347</v>
      </c>
      <c r="AH39" s="3">
        <v>366</v>
      </c>
      <c r="AI39" s="3">
        <f>IF(ISERROR((VLOOKUP($A39,'SegEnds_NonXtal_BW#'!$A:$Z,24,FALSE)+VLOOKUP($A39,A:AL,34,FALSE)-50)),"-",(VLOOKUP($A39,'SegEnds_NonXtal_BW#'!$A:$Z,24,FALSE)+VLOOKUP($A39,A:AL,34,FALSE)-50))</f>
        <v>372</v>
      </c>
      <c r="AJ39" s="3">
        <f>IF(ISERROR(VLOOKUP($A39,'SegEnds_NonXtal_BW#'!$A:$Z,25,FALSE)+VLOOKUP($A39,A:AL,37,FALSE)-50),"-",(VLOOKUP($A39,'SegEnds_NonXtal_BW#'!$A:$Z,25,FALSE)+VLOOKUP($A39,A:AL,37,FALSE)-50))</f>
        <v>373</v>
      </c>
      <c r="AK39" s="3">
        <v>376</v>
      </c>
      <c r="AL39" s="3">
        <f>IF(ISERROR((VLOOKUP($A39,'SegEnds_NonXtal_BW#'!$A:$Z,26,FALSE)+VLOOKUP($A39,A:AL,37,FALSE)-50)),"-",(VLOOKUP($A39,'SegEnds_NonXtal_BW#'!$A:$Z,26,FALSE)+VLOOKUP($A39,A:AL,37,FALSE)-50))</f>
        <v>384</v>
      </c>
      <c r="AM39" s="28" t="str">
        <f>VLOOKUP(A39,Classification!A:B,2,FALSE)</f>
        <v>A</v>
      </c>
      <c r="AN39" s="28" t="b">
        <f t="shared" si="17"/>
        <v>1</v>
      </c>
      <c r="AO39" s="3" t="str">
        <f>IF(ISERROR(MATCH(A39,'SegEnds_Xtal_Prot#'!B:B, 0)), "NoXtal", "Xtal")</f>
        <v>Xtal</v>
      </c>
      <c r="AP39" s="3">
        <f t="shared" si="2"/>
        <v>1</v>
      </c>
      <c r="AQ39" s="3">
        <f t="shared" si="3"/>
        <v>1</v>
      </c>
      <c r="AR39" s="3">
        <f t="shared" si="4"/>
        <v>1</v>
      </c>
      <c r="AS39" s="3">
        <f t="shared" si="5"/>
        <v>1</v>
      </c>
      <c r="AT39" s="3">
        <f t="shared" si="6"/>
        <v>1</v>
      </c>
      <c r="AU39" s="3">
        <f t="shared" si="7"/>
        <v>1</v>
      </c>
      <c r="AV39" s="3">
        <f t="shared" si="8"/>
        <v>12</v>
      </c>
      <c r="AW39" s="3">
        <f t="shared" si="9"/>
        <v>4</v>
      </c>
      <c r="AX39" s="3">
        <f t="shared" si="10"/>
        <v>59</v>
      </c>
      <c r="AY39" s="3">
        <f t="shared" si="11"/>
        <v>8</v>
      </c>
      <c r="AZ39" s="3">
        <f t="shared" si="12"/>
        <v>1</v>
      </c>
      <c r="BA39" s="3">
        <f>IF(ISERROR(LEN(VLOOKUP(A39,Seqs!A:E,2,FALSE))-AL39),"-",LEN(VLOOKUP(A39,Seqs!A:E,2,FALSE))-AL39)</f>
        <v>6</v>
      </c>
      <c r="BB39" s="16">
        <f t="shared" si="13"/>
        <v>28</v>
      </c>
      <c r="BC39" s="9">
        <f t="shared" si="14"/>
        <v>20</v>
      </c>
      <c r="BD39" s="3">
        <f t="shared" si="15"/>
        <v>28</v>
      </c>
      <c r="BE39" s="3">
        <f t="shared" si="16"/>
        <v>109</v>
      </c>
      <c r="BF39" s="3">
        <f>AH39-AE39</f>
        <v>37</v>
      </c>
    </row>
    <row r="40" spans="1:58" s="3" customFormat="1" x14ac:dyDescent="0.2">
      <c r="A40" s="3" t="s">
        <v>129</v>
      </c>
      <c r="B40" s="3" t="str">
        <f>LOWER(VLOOKUP(A40,Xtal_Templ!A:B,2,FALSE))</f>
        <v>5ht1b_human</v>
      </c>
      <c r="C40" s="3">
        <f>VLOOKUP($A40,'SegEnds_NonXtal_BW#'!$A:$Z,3,FALSE)+D40-50</f>
        <v>34</v>
      </c>
      <c r="D40" s="3">
        <v>56</v>
      </c>
      <c r="E40" s="3">
        <f>IF(ISERROR(VLOOKUP($A40,'SegEnds_NonXtal_BW#'!$A:$Z,4,FALSE)+VLOOKUP($A40,A:AL,4,FALSE)-50),"-",(VLOOKUP($A40,'SegEnds_NonXtal_BW#'!$A:$Z,4,FALSE)+VLOOKUP($A40,A:AL,4,FALSE)-50))</f>
        <v>66</v>
      </c>
      <c r="F40" s="3">
        <f t="shared" si="27"/>
        <v>67</v>
      </c>
      <c r="G40" s="3">
        <v>69</v>
      </c>
      <c r="H40" s="3">
        <f t="shared" si="28"/>
        <v>70</v>
      </c>
      <c r="I40" s="3">
        <f t="shared" si="28"/>
        <v>71</v>
      </c>
      <c r="J40" s="3">
        <v>84</v>
      </c>
      <c r="K40" s="3">
        <f>VLOOKUP($A40,'SegEnds_NonXtal_BW#'!$A:$Z,8,FALSE)+VLOOKUP($A40,A:AL,10,FALSE)-50</f>
        <v>102</v>
      </c>
      <c r="L40" s="3">
        <f t="shared" si="32"/>
        <v>103</v>
      </c>
      <c r="M40" s="3">
        <v>104</v>
      </c>
      <c r="N40" s="3">
        <f t="shared" si="30"/>
        <v>106</v>
      </c>
      <c r="O40" s="3">
        <f t="shared" si="29"/>
        <v>107</v>
      </c>
      <c r="P40" s="3">
        <v>136</v>
      </c>
      <c r="Q40" s="3">
        <f>VLOOKUP($A40,'SegEnds_NonXtal_BW#'!$A:$Z,12,FALSE)+VLOOKUP($A40,A:AL,16,FALSE)-50</f>
        <v>142</v>
      </c>
      <c r="R40" s="3">
        <f>IF(ISERROR(VLOOKUP($A40,'SegEnds_NonXtal_BW#'!$A:$Z,13,FALSE)+VLOOKUP($A40,A:AL,19,FALSE)-50),"-",VLOOKUP($A40,'SegEnds_NonXtal_BW#'!$A:$Z,13,FALSE)+VLOOKUP($A40,A:AL,19,FALSE)-50)</f>
        <v>143</v>
      </c>
      <c r="S40" s="3">
        <v>143</v>
      </c>
      <c r="T40" s="100">
        <f>IF(ISERROR(VLOOKUP($A40,'SegEnds_NonXtal_BW#'!$A:$Z,14,FALSE)+VLOOKUP($A40,A:AL,19,FALSE)-50),"-",(VLOOKUP($A40,'SegEnds_NonXtal_BW#'!$A:$Z,14,FALSE)+VLOOKUP($A40,A:AL,19,FALSE)-50))</f>
        <v>150</v>
      </c>
      <c r="U40" s="9">
        <f>IF(ISERROR(VLOOKUP($A40,'SegEnds_NonXtal_BW#'!$A:$Z,15,FALSE)+VLOOKUP($A40,A:AL,22,FALSE)-50),"-",VLOOKUP($A40,'SegEnds_NonXtal_BW#'!$A:$Z,15,FALSE)+VLOOKUP($A40,A:AL,22,FALSE)-50)</f>
        <v>151</v>
      </c>
      <c r="V40" s="3">
        <v>163</v>
      </c>
      <c r="W40" s="3">
        <f>IF(ISERROR(VLOOKUP($A40,'SegEnds_NonXtal_BW#'!$A:$Z,16,FALSE)+VLOOKUP($A40,A:AL,22,FALSE)-50),"-",(VLOOKUP($A40,'SegEnds_NonXtal_BW#'!$A:$Z,16,FALSE)+VLOOKUP($A40,A:AL,22,FALSE)-50))</f>
        <v>176</v>
      </c>
      <c r="X40" s="3">
        <f>IF(ISERROR(VLOOKUP($A40,'SegEnds_NonXtal_BW#'!$A:$Z,17,FALSE)+VLOOKUP($A40,A:AL,25,FALSE)-50),"-",(VLOOKUP($A40,'SegEnds_NonXtal_BW#'!$A:$Z,17,FALSE)+VLOOKUP($A40,A:AL,25,FALSE)-50))</f>
        <v>188</v>
      </c>
      <c r="Y40" s="3">
        <v>188</v>
      </c>
      <c r="Z40" s="3">
        <f t="shared" si="31"/>
        <v>190</v>
      </c>
      <c r="AA40" s="3">
        <f>IF(ISERROR(VLOOKUP($A40,'SegEnds_NonXtal_BW#'!$A:$Z,19,FALSE)+VLOOKUP($A40,A:AL,28,FALSE)-50),"-",(VLOOKUP($A40,'SegEnds_NonXtal_BW#'!$A:$Z,19,FALSE)+VLOOKUP($A40,A:AL,28,FALSE)-50))</f>
        <v>194</v>
      </c>
      <c r="AB40" s="3">
        <v>209</v>
      </c>
      <c r="AC40" s="3">
        <f>IF(ISERROR((VLOOKUP($A40,'SegEnds_NonXtal_BW#'!$A:$Z,20,FALSE)+VLOOKUP($A40,A:AL,28,FALSE)-50)),"-",(VLOOKUP($A40,'SegEnds_NonXtal_BW#'!$A:$Z,20,FALSE)+VLOOKUP($A40,A:AL,28,FALSE)-50))</f>
        <v>233</v>
      </c>
      <c r="AD40" s="3">
        <f>IF(ISERROR(VLOOKUP($A40,'SegEnds_NonXtal_BW#'!$A:$Z,21,FALSE)+VLOOKUP($A40,A:AL,31,FALSE)-50),"-",(VLOOKUP($A40,'SegEnds_NonXtal_BW#'!$A:$Z,21,FALSE)+VLOOKUP($A40,A:AL,31,FALSE)-50))</f>
        <v>290</v>
      </c>
      <c r="AE40" s="3">
        <v>316</v>
      </c>
      <c r="AF40" s="3">
        <f>IF(ISERROR((VLOOKUP($A40,'SegEnds_NonXtal_BW#'!$A:$Z,22,FALSE)+VLOOKUP($A40,A:AL,31,FALSE)-50)),"-",(VLOOKUP($A40,'SegEnds_NonXtal_BW#'!$A:$Z,22,FALSE)+VLOOKUP($A40,A:AL,31,FALSE)-50))</f>
        <v>326</v>
      </c>
      <c r="AG40" s="3">
        <f>IF(ISERROR(VLOOKUP($A40,'SegEnds_NonXtal_BW#'!$A:$Z,23,FALSE)+VLOOKUP($A40,A:AL,34,FALSE)-50),"-",(VLOOKUP($A40,'SegEnds_NonXtal_BW#'!$A:$Z,23,FALSE)+VLOOKUP($A40,A:AL,34,FALSE)-50))</f>
        <v>334</v>
      </c>
      <c r="AH40" s="3">
        <v>353</v>
      </c>
      <c r="AI40" s="3">
        <f>IF(ISERROR((VLOOKUP($A40,'SegEnds_NonXtal_BW#'!$A:$Z,24,FALSE)+VLOOKUP($A40,A:AL,34,FALSE)-50)),"-",(VLOOKUP($A40,'SegEnds_NonXtal_BW#'!$A:$Z,24,FALSE)+VLOOKUP($A40,A:AL,34,FALSE)-50))</f>
        <v>359</v>
      </c>
      <c r="AJ40" s="3">
        <f>IF(ISERROR(VLOOKUP($A40,'SegEnds_NonXtal_BW#'!$A:$Z,25,FALSE)+VLOOKUP($A40,A:AL,37,FALSE)-50),"-",(VLOOKUP($A40,'SegEnds_NonXtal_BW#'!$A:$Z,25,FALSE)+VLOOKUP($A40,A:AL,37,FALSE)-50))</f>
        <v>360</v>
      </c>
      <c r="AK40" s="3">
        <v>363</v>
      </c>
      <c r="AL40" s="3">
        <f>IF(ISERROR((VLOOKUP($A40,'SegEnds_NonXtal_BW#'!$A:$Z,26,FALSE)+VLOOKUP($A40,A:AL,37,FALSE)-50)),"-",(VLOOKUP($A40,'SegEnds_NonXtal_BW#'!$A:$Z,26,FALSE)+VLOOKUP($A40,A:AL,37,FALSE)-50))</f>
        <v>371</v>
      </c>
      <c r="AM40" s="28" t="str">
        <f>VLOOKUP(A40,Classification!A:B,2,FALSE)</f>
        <v>A</v>
      </c>
      <c r="AN40" s="28" t="b">
        <f t="shared" si="17"/>
        <v>1</v>
      </c>
      <c r="AO40" s="3" t="str">
        <f>IF(ISERROR(MATCH(A40,'SegEnds_Xtal_Prot#'!B:B, 0)), "NoXtal", "Xtal")</f>
        <v>NoXtal</v>
      </c>
      <c r="AP40" s="3">
        <f t="shared" si="2"/>
        <v>1</v>
      </c>
      <c r="AQ40" s="3">
        <f t="shared" si="3"/>
        <v>1</v>
      </c>
      <c r="AR40" s="3">
        <f t="shared" si="4"/>
        <v>1</v>
      </c>
      <c r="AS40" s="3">
        <f t="shared" si="5"/>
        <v>1</v>
      </c>
      <c r="AT40" s="3">
        <f t="shared" si="6"/>
        <v>1</v>
      </c>
      <c r="AU40" s="3">
        <f t="shared" si="7"/>
        <v>1</v>
      </c>
      <c r="AV40" s="3">
        <f t="shared" si="8"/>
        <v>12</v>
      </c>
      <c r="AW40" s="3">
        <f t="shared" si="9"/>
        <v>4</v>
      </c>
      <c r="AX40" s="3">
        <f t="shared" si="10"/>
        <v>57</v>
      </c>
      <c r="AY40" s="3">
        <f t="shared" si="11"/>
        <v>8</v>
      </c>
      <c r="AZ40" s="3">
        <f t="shared" si="12"/>
        <v>1</v>
      </c>
      <c r="BA40" s="3">
        <f>IF(ISERROR(LEN(VLOOKUP(A40,Seqs!A:E,2,FALSE))-AL40),"-",LEN(VLOOKUP(A40,Seqs!A:E,2,FALSE))-AL40)</f>
        <v>6</v>
      </c>
      <c r="BB40" s="16">
        <f t="shared" si="13"/>
        <v>28</v>
      </c>
      <c r="BC40" s="9">
        <f t="shared" si="14"/>
        <v>20</v>
      </c>
      <c r="BD40" s="3">
        <f t="shared" si="15"/>
        <v>28</v>
      </c>
      <c r="BE40" s="3">
        <f t="shared" si="16"/>
        <v>107</v>
      </c>
      <c r="BF40" s="3">
        <f>AH40-AE40</f>
        <v>37</v>
      </c>
    </row>
    <row r="41" spans="1:58" s="3" customFormat="1" x14ac:dyDescent="0.2">
      <c r="A41" s="3" t="s">
        <v>130</v>
      </c>
      <c r="B41" s="3" t="str">
        <f>LOWER(VLOOKUP(A41,Xtal_Templ!A:B,2,FALSE))</f>
        <v>5ht1b_human</v>
      </c>
      <c r="C41" s="3">
        <f>VLOOKUP($A41,'SegEnds_NonXtal_BW#'!$A:$Z,3,FALSE)+D41-50</f>
        <v>18</v>
      </c>
      <c r="D41" s="3">
        <v>40</v>
      </c>
      <c r="E41" s="3">
        <f>IF(ISERROR(VLOOKUP($A41,'SegEnds_NonXtal_BW#'!$A:$Z,4,FALSE)+VLOOKUP($A41,A:AL,4,FALSE)-50),"-",(VLOOKUP($A41,'SegEnds_NonXtal_BW#'!$A:$Z,4,FALSE)+VLOOKUP($A41,A:AL,4,FALSE)-50))</f>
        <v>50</v>
      </c>
      <c r="F41" s="3">
        <f t="shared" si="27"/>
        <v>51</v>
      </c>
      <c r="G41" s="3">
        <v>53</v>
      </c>
      <c r="H41" s="3">
        <f t="shared" si="28"/>
        <v>54</v>
      </c>
      <c r="I41" s="3">
        <f t="shared" si="28"/>
        <v>55</v>
      </c>
      <c r="J41" s="3">
        <v>68</v>
      </c>
      <c r="K41" s="3">
        <f>VLOOKUP($A41,'SegEnds_NonXtal_BW#'!$A:$Z,8,FALSE)+VLOOKUP($A41,A:AL,10,FALSE)-50</f>
        <v>86</v>
      </c>
      <c r="L41" s="3">
        <f t="shared" si="32"/>
        <v>87</v>
      </c>
      <c r="M41" s="3">
        <v>88</v>
      </c>
      <c r="N41" s="3">
        <f t="shared" si="30"/>
        <v>90</v>
      </c>
      <c r="O41" s="3">
        <f t="shared" si="29"/>
        <v>91</v>
      </c>
      <c r="P41" s="3">
        <v>120</v>
      </c>
      <c r="Q41" s="3">
        <f>VLOOKUP($A41,'SegEnds_NonXtal_BW#'!$A:$Z,12,FALSE)+VLOOKUP($A41,A:AL,16,FALSE)-50</f>
        <v>126</v>
      </c>
      <c r="R41" s="3">
        <f>IF(ISERROR(VLOOKUP($A41,'SegEnds_NonXtal_BW#'!$A:$Z,13,FALSE)+VLOOKUP($A41,A:AL,19,FALSE)-50),"-",VLOOKUP($A41,'SegEnds_NonXtal_BW#'!$A:$Z,13,FALSE)+VLOOKUP($A41,A:AL,19,FALSE)-50)</f>
        <v>127</v>
      </c>
      <c r="S41" s="3">
        <v>127</v>
      </c>
      <c r="T41" s="100">
        <f>IF(ISERROR(VLOOKUP($A41,'SegEnds_NonXtal_BW#'!$A:$Z,14,FALSE)+VLOOKUP($A41,A:AL,19,FALSE)-50),"-",(VLOOKUP($A41,'SegEnds_NonXtal_BW#'!$A:$Z,14,FALSE)+VLOOKUP($A41,A:AL,19,FALSE)-50))</f>
        <v>134</v>
      </c>
      <c r="U41" s="9">
        <f>IF(ISERROR(VLOOKUP($A41,'SegEnds_NonXtal_BW#'!$A:$Z,15,FALSE)+VLOOKUP($A41,A:AL,22,FALSE)-50),"-",VLOOKUP($A41,'SegEnds_NonXtal_BW#'!$A:$Z,15,FALSE)+VLOOKUP($A41,A:AL,22,FALSE)-50)</f>
        <v>135</v>
      </c>
      <c r="V41" s="3">
        <v>147</v>
      </c>
      <c r="W41" s="3">
        <f>IF(ISERROR(VLOOKUP($A41,'SegEnds_NonXtal_BW#'!$A:$Z,16,FALSE)+VLOOKUP($A41,A:AL,22,FALSE)-50),"-",(VLOOKUP($A41,'SegEnds_NonXtal_BW#'!$A:$Z,16,FALSE)+VLOOKUP($A41,A:AL,22,FALSE)-50))</f>
        <v>160</v>
      </c>
      <c r="X41" s="3">
        <f>IF(ISERROR(VLOOKUP($A41,'SegEnds_NonXtal_BW#'!$A:$Z,17,FALSE)+VLOOKUP($A41,A:AL,25,FALSE)-50),"-",(VLOOKUP($A41,'SegEnds_NonXtal_BW#'!$A:$Z,17,FALSE)+VLOOKUP($A41,A:AL,25,FALSE)-50))</f>
        <v>173</v>
      </c>
      <c r="Y41" s="3">
        <v>173</v>
      </c>
      <c r="Z41" s="3">
        <f t="shared" si="31"/>
        <v>175</v>
      </c>
      <c r="AA41" s="3">
        <f>IF(ISERROR(VLOOKUP($A41,'SegEnds_NonXtal_BW#'!$A:$Z,19,FALSE)+VLOOKUP($A41,A:AL,28,FALSE)-50),"-",(VLOOKUP($A41,'SegEnds_NonXtal_BW#'!$A:$Z,19,FALSE)+VLOOKUP($A41,A:AL,28,FALSE)-50))</f>
        <v>179</v>
      </c>
      <c r="AB41" s="3">
        <v>194</v>
      </c>
      <c r="AC41" s="3">
        <f>IF(ISERROR((VLOOKUP($A41,'SegEnds_NonXtal_BW#'!$A:$Z,20,FALSE)+VLOOKUP($A41,A:AL,28,FALSE)-50)),"-",(VLOOKUP($A41,'SegEnds_NonXtal_BW#'!$A:$Z,20,FALSE)+VLOOKUP($A41,A:AL,28,FALSE)-50))</f>
        <v>220</v>
      </c>
      <c r="AD41" s="3">
        <f>IF(ISERROR(VLOOKUP($A41,'SegEnds_NonXtal_BW#'!$A:$Z,21,FALSE)+VLOOKUP($A41,A:AL,31,FALSE)-50),"-",(VLOOKUP($A41,'SegEnds_NonXtal_BW#'!$A:$Z,21,FALSE)+VLOOKUP($A41,A:AL,31,FALSE)-50))</f>
        <v>280</v>
      </c>
      <c r="AE41" s="3">
        <v>306</v>
      </c>
      <c r="AF41" s="3">
        <f>IF(ISERROR((VLOOKUP($A41,'SegEnds_NonXtal_BW#'!$A:$Z,22,FALSE)+VLOOKUP($A41,A:AL,31,FALSE)-50)),"-",(VLOOKUP($A41,'SegEnds_NonXtal_BW#'!$A:$Z,22,FALSE)+VLOOKUP($A41,A:AL,31,FALSE)-50))</f>
        <v>317</v>
      </c>
      <c r="AG41" s="3">
        <f>IF(ISERROR(VLOOKUP($A41,'SegEnds_NonXtal_BW#'!$A:$Z,23,FALSE)+VLOOKUP($A41,A:AL,34,FALSE)-50),"-",(VLOOKUP($A41,'SegEnds_NonXtal_BW#'!$A:$Z,23,FALSE)+VLOOKUP($A41,A:AL,34,FALSE)-50))</f>
        <v>322</v>
      </c>
      <c r="AH41" s="3">
        <v>341</v>
      </c>
      <c r="AI41" s="3">
        <f>IF(ISERROR((VLOOKUP($A41,'SegEnds_NonXtal_BW#'!$A:$Z,24,FALSE)+VLOOKUP($A41,A:AL,34,FALSE)-50)),"-",(VLOOKUP($A41,'SegEnds_NonXtal_BW#'!$A:$Z,24,FALSE)+VLOOKUP($A41,A:AL,34,FALSE)-50))</f>
        <v>347</v>
      </c>
      <c r="AJ41" s="3">
        <f>IF(ISERROR(VLOOKUP($A41,'SegEnds_NonXtal_BW#'!$A:$Z,25,FALSE)+VLOOKUP($A41,A:AL,37,FALSE)-50),"-",(VLOOKUP($A41,'SegEnds_NonXtal_BW#'!$A:$Z,25,FALSE)+VLOOKUP($A41,A:AL,37,FALSE)-50))</f>
        <v>348</v>
      </c>
      <c r="AK41" s="3">
        <v>351</v>
      </c>
      <c r="AL41" s="3">
        <f>IF(ISERROR((VLOOKUP($A41,'SegEnds_NonXtal_BW#'!$A:$Z,26,FALSE)+VLOOKUP($A41,A:AL,37,FALSE)-50)),"-",(VLOOKUP($A41,'SegEnds_NonXtal_BW#'!$A:$Z,26,FALSE)+VLOOKUP($A41,A:AL,37,FALSE)-50))</f>
        <v>359</v>
      </c>
      <c r="AM41" s="28" t="str">
        <f>VLOOKUP(A41,Classification!A:B,2,FALSE)</f>
        <v>A</v>
      </c>
      <c r="AN41" s="28" t="b">
        <f t="shared" si="17"/>
        <v>1</v>
      </c>
      <c r="AO41" s="3" t="str">
        <f>IF(ISERROR(MATCH(A41,'SegEnds_Xtal_Prot#'!B:B, 0)), "NoXtal", "Xtal")</f>
        <v>NoXtal</v>
      </c>
      <c r="AP41" s="3">
        <f t="shared" si="2"/>
        <v>1</v>
      </c>
      <c r="AQ41" s="3">
        <f t="shared" si="3"/>
        <v>1</v>
      </c>
      <c r="AR41" s="3">
        <f t="shared" si="4"/>
        <v>1</v>
      </c>
      <c r="AS41" s="3">
        <f t="shared" si="5"/>
        <v>1</v>
      </c>
      <c r="AT41" s="3">
        <f t="shared" si="6"/>
        <v>1</v>
      </c>
      <c r="AU41" s="3">
        <f t="shared" si="7"/>
        <v>1</v>
      </c>
      <c r="AV41" s="3">
        <f t="shared" si="8"/>
        <v>13</v>
      </c>
      <c r="AW41" s="3">
        <f t="shared" si="9"/>
        <v>4</v>
      </c>
      <c r="AX41" s="3">
        <f t="shared" si="10"/>
        <v>60</v>
      </c>
      <c r="AY41" s="3">
        <f t="shared" si="11"/>
        <v>5</v>
      </c>
      <c r="AZ41" s="3">
        <f t="shared" si="12"/>
        <v>1</v>
      </c>
      <c r="BA41" s="3">
        <f>IF(ISERROR(LEN(VLOOKUP(A41,Seqs!A:E,2,FALSE))-AL41),"-",LEN(VLOOKUP(A41,Seqs!A:E,2,FALSE))-AL41)</f>
        <v>6</v>
      </c>
      <c r="BB41" s="16">
        <f t="shared" si="13"/>
        <v>28</v>
      </c>
      <c r="BC41" s="9">
        <f t="shared" si="14"/>
        <v>20</v>
      </c>
      <c r="BD41" s="3">
        <f t="shared" si="15"/>
        <v>28</v>
      </c>
      <c r="BE41" s="3">
        <f t="shared" si="16"/>
        <v>112</v>
      </c>
      <c r="BF41" s="3">
        <f>AH41-AE41</f>
        <v>35</v>
      </c>
    </row>
    <row r="42" spans="1:58" s="3" customFormat="1" x14ac:dyDescent="0.2">
      <c r="A42" s="3" t="s">
        <v>131</v>
      </c>
      <c r="B42" s="3" t="str">
        <f>LOWER(VLOOKUP(A42,Xtal_Templ!A:B,2,FALSE))</f>
        <v>5ht1b_human</v>
      </c>
      <c r="C42" s="3">
        <f>VLOOKUP($A42,'SegEnds_NonXtal_BW#'!$A:$Z,3,FALSE)+D42-50</f>
        <v>19</v>
      </c>
      <c r="D42" s="3">
        <v>41</v>
      </c>
      <c r="E42" s="3">
        <f>IF(ISERROR(VLOOKUP($A42,'SegEnds_NonXtal_BW#'!$A:$Z,4,FALSE)+VLOOKUP($A42,A:AL,4,FALSE)-50),"-",(VLOOKUP($A42,'SegEnds_NonXtal_BW#'!$A:$Z,4,FALSE)+VLOOKUP($A42,A:AL,4,FALSE)-50))</f>
        <v>51</v>
      </c>
      <c r="F42" s="3">
        <f t="shared" si="27"/>
        <v>52</v>
      </c>
      <c r="G42" s="3">
        <v>54</v>
      </c>
      <c r="H42" s="3">
        <f t="shared" si="28"/>
        <v>55</v>
      </c>
      <c r="I42" s="3">
        <f t="shared" si="28"/>
        <v>56</v>
      </c>
      <c r="J42" s="3">
        <v>69</v>
      </c>
      <c r="K42" s="3">
        <f>VLOOKUP($A42,'SegEnds_NonXtal_BW#'!$A:$Z,8,FALSE)+VLOOKUP($A42,A:AL,10,FALSE)-50</f>
        <v>87</v>
      </c>
      <c r="L42" s="3">
        <f t="shared" si="32"/>
        <v>88</v>
      </c>
      <c r="M42" s="3">
        <v>89</v>
      </c>
      <c r="N42" s="3">
        <f t="shared" si="30"/>
        <v>91</v>
      </c>
      <c r="O42" s="3">
        <f t="shared" si="29"/>
        <v>92</v>
      </c>
      <c r="P42" s="3">
        <v>121</v>
      </c>
      <c r="Q42" s="3">
        <f>VLOOKUP($A42,'SegEnds_NonXtal_BW#'!$A:$Z,12,FALSE)+VLOOKUP($A42,A:AL,16,FALSE)-50</f>
        <v>127</v>
      </c>
      <c r="R42" s="3">
        <f>IF(ISERROR(VLOOKUP($A42,'SegEnds_NonXtal_BW#'!$A:$Z,13,FALSE)+VLOOKUP($A42,A:AL,19,FALSE)-50),"-",VLOOKUP($A42,'SegEnds_NonXtal_BW#'!$A:$Z,13,FALSE)+VLOOKUP($A42,A:AL,19,FALSE)-50)</f>
        <v>128</v>
      </c>
      <c r="S42" s="3">
        <v>128</v>
      </c>
      <c r="T42" s="100">
        <f>IF(ISERROR(VLOOKUP($A42,'SegEnds_NonXtal_BW#'!$A:$Z,14,FALSE)+VLOOKUP($A42,A:AL,19,FALSE)-50),"-",(VLOOKUP($A42,'SegEnds_NonXtal_BW#'!$A:$Z,14,FALSE)+VLOOKUP($A42,A:AL,19,FALSE)-50))</f>
        <v>135</v>
      </c>
      <c r="U42" s="9">
        <f>IF(ISERROR(VLOOKUP($A42,'SegEnds_NonXtal_BW#'!$A:$Z,15,FALSE)+VLOOKUP($A42,A:AL,22,FALSE)-50),"-",VLOOKUP($A42,'SegEnds_NonXtal_BW#'!$A:$Z,15,FALSE)+VLOOKUP($A42,A:AL,22,FALSE)-50)</f>
        <v>136</v>
      </c>
      <c r="V42" s="3">
        <v>148</v>
      </c>
      <c r="W42" s="3">
        <f>IF(ISERROR(VLOOKUP($A42,'SegEnds_NonXtal_BW#'!$A:$Z,16,FALSE)+VLOOKUP($A42,A:AL,22,FALSE)-50),"-",(VLOOKUP($A42,'SegEnds_NonXtal_BW#'!$A:$Z,16,FALSE)+VLOOKUP($A42,A:AL,22,FALSE)-50))</f>
        <v>161</v>
      </c>
      <c r="X42" s="3">
        <f>IF(ISERROR(VLOOKUP($A42,'SegEnds_NonXtal_BW#'!$A:$Z,17,FALSE)+VLOOKUP($A42,A:AL,25,FALSE)-50),"-",(VLOOKUP($A42,'SegEnds_NonXtal_BW#'!$A:$Z,17,FALSE)+VLOOKUP($A42,A:AL,25,FALSE)-50))</f>
        <v>172</v>
      </c>
      <c r="Y42" s="3">
        <v>172</v>
      </c>
      <c r="Z42" s="3">
        <f t="shared" si="31"/>
        <v>174</v>
      </c>
      <c r="AA42" s="3">
        <f>IF(ISERROR(VLOOKUP($A42,'SegEnds_NonXtal_BW#'!$A:$Z,19,FALSE)+VLOOKUP($A42,A:AL,28,FALSE)-50),"-",(VLOOKUP($A42,'SegEnds_NonXtal_BW#'!$A:$Z,19,FALSE)+VLOOKUP($A42,A:AL,28,FALSE)-50))</f>
        <v>178</v>
      </c>
      <c r="AB42" s="3">
        <v>193</v>
      </c>
      <c r="AC42" s="3">
        <f>IF(ISERROR((VLOOKUP($A42,'SegEnds_NonXtal_BW#'!$A:$Z,20,FALSE)+VLOOKUP($A42,A:AL,28,FALSE)-50)),"-",(VLOOKUP($A42,'SegEnds_NonXtal_BW#'!$A:$Z,20,FALSE)+VLOOKUP($A42,A:AL,28,FALSE)-50))</f>
        <v>219</v>
      </c>
      <c r="AD42" s="3">
        <f>IF(ISERROR(VLOOKUP($A42,'SegEnds_NonXtal_BW#'!$A:$Z,21,FALSE)+VLOOKUP($A42,A:AL,31,FALSE)-50),"-",(VLOOKUP($A42,'SegEnds_NonXtal_BW#'!$A:$Z,21,FALSE)+VLOOKUP($A42,A:AL,31,FALSE)-50))</f>
        <v>282</v>
      </c>
      <c r="AE42" s="3">
        <v>308</v>
      </c>
      <c r="AF42" s="3">
        <f>IF(ISERROR((VLOOKUP($A42,'SegEnds_NonXtal_BW#'!$A:$Z,22,FALSE)+VLOOKUP($A42,A:AL,31,FALSE)-50)),"-",(VLOOKUP($A42,'SegEnds_NonXtal_BW#'!$A:$Z,22,FALSE)+VLOOKUP($A42,A:AL,31,FALSE)-50))</f>
        <v>319</v>
      </c>
      <c r="AG42" s="3">
        <f>IF(ISERROR(VLOOKUP($A42,'SegEnds_NonXtal_BW#'!$A:$Z,23,FALSE)+VLOOKUP($A42,A:AL,34,FALSE)-50),"-",(VLOOKUP($A42,'SegEnds_NonXtal_BW#'!$A:$Z,23,FALSE)+VLOOKUP($A42,A:AL,34,FALSE)-50))</f>
        <v>325</v>
      </c>
      <c r="AH42" s="3">
        <v>344</v>
      </c>
      <c r="AI42" s="3">
        <f>IF(ISERROR((VLOOKUP($A42,'SegEnds_NonXtal_BW#'!$A:$Z,24,FALSE)+VLOOKUP($A42,A:AL,34,FALSE)-50)),"-",(VLOOKUP($A42,'SegEnds_NonXtal_BW#'!$A:$Z,24,FALSE)+VLOOKUP($A42,A:AL,34,FALSE)-50))</f>
        <v>350</v>
      </c>
      <c r="AJ42" s="3">
        <f>IF(ISERROR(VLOOKUP($A42,'SegEnds_NonXtal_BW#'!$A:$Z,25,FALSE)+VLOOKUP($A42,A:AL,37,FALSE)-50),"-",(VLOOKUP($A42,'SegEnds_NonXtal_BW#'!$A:$Z,25,FALSE)+VLOOKUP($A42,A:AL,37,FALSE)-50))</f>
        <v>351</v>
      </c>
      <c r="AK42" s="3">
        <v>354</v>
      </c>
      <c r="AL42" s="3">
        <f>IF(ISERROR((VLOOKUP($A42,'SegEnds_NonXtal_BW#'!$A:$Z,26,FALSE)+VLOOKUP($A42,A:AL,37,FALSE)-50)),"-",(VLOOKUP($A42,'SegEnds_NonXtal_BW#'!$A:$Z,26,FALSE)+VLOOKUP($A42,A:AL,37,FALSE)-50))</f>
        <v>362</v>
      </c>
      <c r="AM42" s="28" t="str">
        <f>VLOOKUP(A42,Classification!A:B,2,FALSE)</f>
        <v>A</v>
      </c>
      <c r="AN42" s="28" t="b">
        <f t="shared" si="17"/>
        <v>1</v>
      </c>
      <c r="AO42" s="3" t="str">
        <f>IF(ISERROR(MATCH(A42,'SegEnds_Xtal_Prot#'!B:B, 0)), "NoXtal", "Xtal")</f>
        <v>NoXtal</v>
      </c>
      <c r="AP42" s="3">
        <f t="shared" si="2"/>
        <v>1</v>
      </c>
      <c r="AQ42" s="3">
        <f t="shared" si="3"/>
        <v>1</v>
      </c>
      <c r="AR42" s="3">
        <f t="shared" si="4"/>
        <v>1</v>
      </c>
      <c r="AS42" s="3">
        <f t="shared" si="5"/>
        <v>1</v>
      </c>
      <c r="AT42" s="3">
        <f t="shared" si="6"/>
        <v>1</v>
      </c>
      <c r="AU42" s="3">
        <f t="shared" si="7"/>
        <v>1</v>
      </c>
      <c r="AV42" s="3">
        <f t="shared" si="8"/>
        <v>11</v>
      </c>
      <c r="AW42" s="3">
        <f t="shared" si="9"/>
        <v>4</v>
      </c>
      <c r="AX42" s="3">
        <f t="shared" si="10"/>
        <v>63</v>
      </c>
      <c r="AY42" s="3">
        <f t="shared" si="11"/>
        <v>6</v>
      </c>
      <c r="AZ42" s="3">
        <f t="shared" si="12"/>
        <v>1</v>
      </c>
      <c r="BA42" s="3">
        <f>IF(ISERROR(LEN(VLOOKUP(A42,Seqs!A:E,2,FALSE))-AL42),"-",LEN(VLOOKUP(A42,Seqs!A:E,2,FALSE))-AL42)</f>
        <v>4</v>
      </c>
      <c r="BB42" s="16">
        <f t="shared" si="13"/>
        <v>28</v>
      </c>
      <c r="BC42" s="9">
        <f t="shared" si="14"/>
        <v>20</v>
      </c>
      <c r="BD42" s="3">
        <f t="shared" si="15"/>
        <v>28</v>
      </c>
      <c r="BE42" s="3">
        <f t="shared" si="16"/>
        <v>115</v>
      </c>
      <c r="BF42" s="3">
        <f>AH42-AE42</f>
        <v>36</v>
      </c>
    </row>
    <row r="43" spans="1:58" s="3" customFormat="1" x14ac:dyDescent="0.2">
      <c r="A43" s="3" t="s">
        <v>132</v>
      </c>
      <c r="B43" s="3" t="str">
        <f>LOWER(VLOOKUP(A43,Xtal_Templ!A:B,2,FALSE))</f>
        <v>5ht2a_human</v>
      </c>
      <c r="C43" s="3">
        <f>VLOOKUP($A43,'SegEnds_NonXtal_BW#'!$A:$Z,3,FALSE)+D43-50</f>
        <v>69</v>
      </c>
      <c r="D43" s="3">
        <v>92</v>
      </c>
      <c r="E43" s="3">
        <f>IF(ISERROR(VLOOKUP($A43,'SegEnds_NonXtal_BW#'!$A:$Z,4,FALSE)+VLOOKUP($A43,A:AL,4,FALSE)-50),"-",(VLOOKUP($A43,'SegEnds_NonXtal_BW#'!$A:$Z,4,FALSE)+VLOOKUP($A43,A:AL,4,FALSE)-50))</f>
        <v>102</v>
      </c>
      <c r="F43" s="3">
        <f t="shared" si="27"/>
        <v>103</v>
      </c>
      <c r="G43" s="3">
        <v>105</v>
      </c>
      <c r="H43" s="3">
        <f t="shared" si="28"/>
        <v>106</v>
      </c>
      <c r="I43" s="3">
        <f t="shared" si="28"/>
        <v>107</v>
      </c>
      <c r="J43" s="3">
        <v>120</v>
      </c>
      <c r="K43" s="3">
        <f>VLOOKUP($A43,'SegEnds_NonXtal_BW#'!$A:$Z,8,FALSE)+VLOOKUP($A43,A:AL,10,FALSE)-50</f>
        <v>138</v>
      </c>
      <c r="L43" s="3">
        <f t="shared" si="32"/>
        <v>140</v>
      </c>
      <c r="M43" s="3">
        <v>141</v>
      </c>
      <c r="N43" s="3">
        <f t="shared" si="30"/>
        <v>143</v>
      </c>
      <c r="O43" s="3">
        <f t="shared" si="29"/>
        <v>144</v>
      </c>
      <c r="P43" s="3">
        <v>173</v>
      </c>
      <c r="Q43" s="3">
        <f>VLOOKUP($A43,'SegEnds_NonXtal_BW#'!$A:$Z,12,FALSE)+VLOOKUP($A43,A:AL,16,FALSE)-50</f>
        <v>179</v>
      </c>
      <c r="R43" s="3">
        <f>IF(ISERROR(VLOOKUP($A43,'SegEnds_NonXtal_BW#'!$A:$Z,13,FALSE)+VLOOKUP($A43,A:AL,19,FALSE)-50),"-",VLOOKUP($A43,'SegEnds_NonXtal_BW#'!$A:$Z,13,FALSE)+VLOOKUP($A43,A:AL,19,FALSE)-50)</f>
        <v>180</v>
      </c>
      <c r="S43" s="3">
        <v>180</v>
      </c>
      <c r="T43" s="100">
        <f>IF(ISERROR(VLOOKUP($A43,'SegEnds_NonXtal_BW#'!$A:$Z,14,FALSE)+VLOOKUP($A43,A:AL,19,FALSE)-50),"-",(VLOOKUP($A43,'SegEnds_NonXtal_BW#'!$A:$Z,14,FALSE)+VLOOKUP($A43,A:AL,19,FALSE)-50))</f>
        <v>187</v>
      </c>
      <c r="U43" s="9">
        <f>IF(ISERROR(VLOOKUP($A43,'SegEnds_NonXtal_BW#'!$A:$Z,15,FALSE)+VLOOKUP($A43,A:AL,22,FALSE)-50),"-",VLOOKUP($A43,'SegEnds_NonXtal_BW#'!$A:$Z,15,FALSE)+VLOOKUP($A43,A:AL,22,FALSE)-50)</f>
        <v>188</v>
      </c>
      <c r="V43" s="3">
        <v>200</v>
      </c>
      <c r="W43" s="3">
        <f>IF(ISERROR(VLOOKUP($A43,'SegEnds_NonXtal_BW#'!$A:$Z,16,FALSE)+VLOOKUP($A43,A:AL,22,FALSE)-50),"-",(VLOOKUP($A43,'SegEnds_NonXtal_BW#'!$A:$Z,16,FALSE)+VLOOKUP($A43,A:AL,22,FALSE)-50))</f>
        <v>217</v>
      </c>
      <c r="X43" s="3">
        <f>IF(ISERROR(VLOOKUP($A43,'SegEnds_NonXtal_BW#'!$A:$Z,17,FALSE)+VLOOKUP($A43,A:AL,25,FALSE)-50),"-",(VLOOKUP($A43,'SegEnds_NonXtal_BW#'!$A:$Z,17,FALSE)+VLOOKUP($A43,A:AL,25,FALSE)-50))</f>
        <v>227</v>
      </c>
      <c r="Y43" s="3">
        <v>227</v>
      </c>
      <c r="Z43" s="3">
        <f t="shared" si="31"/>
        <v>229</v>
      </c>
      <c r="AA43" s="3">
        <f>IF(ISERROR(VLOOKUP($A43,'SegEnds_NonXtal_BW#'!$A:$Z,19,FALSE)+VLOOKUP($A43,A:AL,28,FALSE)-50),"-",(VLOOKUP($A43,'SegEnds_NonXtal_BW#'!$A:$Z,19,FALSE)+VLOOKUP($A43,A:AL,28,FALSE)-50))</f>
        <v>231</v>
      </c>
      <c r="AB43" s="3">
        <v>246</v>
      </c>
      <c r="AC43" s="3">
        <f>IF(ISERROR((VLOOKUP($A43,'SegEnds_NonXtal_BW#'!$A:$Z,20,FALSE)+VLOOKUP($A43,A:AL,28,FALSE)-50)),"-",(VLOOKUP($A43,'SegEnds_NonXtal_BW#'!$A:$Z,20,FALSE)+VLOOKUP($A43,A:AL,28,FALSE)-50))</f>
        <v>272</v>
      </c>
      <c r="AD43" s="3">
        <f>IF(ISERROR(VLOOKUP($A43,'SegEnds_NonXtal_BW#'!$A:$Z,21,FALSE)+VLOOKUP($A43,A:AL,31,FALSE)-50),"-",(VLOOKUP($A43,'SegEnds_NonXtal_BW#'!$A:$Z,21,FALSE)+VLOOKUP($A43,A:AL,31,FALSE)-50))</f>
        <v>312</v>
      </c>
      <c r="AE43" s="3">
        <v>338</v>
      </c>
      <c r="AF43" s="3">
        <f>IF(ISERROR((VLOOKUP($A43,'SegEnds_NonXtal_BW#'!$A:$Z,22,FALSE)+VLOOKUP($A43,A:AL,31,FALSE)-50)),"-",(VLOOKUP($A43,'SegEnds_NonXtal_BW#'!$A:$Z,22,FALSE)+VLOOKUP($A43,A:AL,31,FALSE)-50))</f>
        <v>349</v>
      </c>
      <c r="AG43" s="3">
        <f>IF(ISERROR(VLOOKUP($A43,'SegEnds_NonXtal_BW#'!$A:$Z,23,FALSE)+VLOOKUP($A43,A:AL,34,FALSE)-50),"-",(VLOOKUP($A43,'SegEnds_NonXtal_BW#'!$A:$Z,23,FALSE)+VLOOKUP($A43,A:AL,34,FALSE)-50))</f>
        <v>354</v>
      </c>
      <c r="AH43" s="3">
        <v>377</v>
      </c>
      <c r="AI43" s="3">
        <f>IF(ISERROR((VLOOKUP($A43,'SegEnds_NonXtal_BW#'!$A:$Z,24,FALSE)+VLOOKUP($A43,A:AL,34,FALSE)-50)),"-",(VLOOKUP($A43,'SegEnds_NonXtal_BW#'!$A:$Z,24,FALSE)+VLOOKUP($A43,A:AL,34,FALSE)-50))</f>
        <v>383</v>
      </c>
      <c r="AJ43" s="3">
        <f>IF(ISERROR(VLOOKUP($A43,'SegEnds_NonXtal_BW#'!$A:$Z,25,FALSE)+VLOOKUP($A43,A:AL,37,FALSE)-50),"-",(VLOOKUP($A43,'SegEnds_NonXtal_BW#'!$A:$Z,25,FALSE)+VLOOKUP($A43,A:AL,37,FALSE)-50))</f>
        <v>384</v>
      </c>
      <c r="AK43" s="3">
        <v>387</v>
      </c>
      <c r="AL43" s="3">
        <f>IF(ISERROR((VLOOKUP($A43,'SegEnds_NonXtal_BW#'!$A:$Z,26,FALSE)+VLOOKUP($A43,A:AL,37,FALSE)-50)),"-",(VLOOKUP($A43,'SegEnds_NonXtal_BW#'!$A:$Z,26,FALSE)+VLOOKUP($A43,A:AL,37,FALSE)-50))</f>
        <v>397</v>
      </c>
      <c r="AM43" s="28" t="str">
        <f>VLOOKUP(A43,Classification!A:B,2,FALSE)</f>
        <v>A</v>
      </c>
      <c r="AN43" s="28" t="b">
        <f t="shared" si="17"/>
        <v>1</v>
      </c>
      <c r="AO43" s="3" t="str">
        <f>IF(ISERROR(MATCH(A43,'SegEnds_Xtal_Prot#'!B:B, 0)), "NoXtal", "Xtal")</f>
        <v>Xtal</v>
      </c>
      <c r="AP43" s="3">
        <f t="shared" si="2"/>
        <v>1</v>
      </c>
      <c r="AQ43" s="3">
        <f t="shared" si="3"/>
        <v>1</v>
      </c>
      <c r="AR43" s="3">
        <f t="shared" si="4"/>
        <v>2</v>
      </c>
      <c r="AS43" s="3">
        <f t="shared" si="5"/>
        <v>1</v>
      </c>
      <c r="AT43" s="3">
        <f t="shared" si="6"/>
        <v>1</v>
      </c>
      <c r="AU43" s="3">
        <f t="shared" si="7"/>
        <v>1</v>
      </c>
      <c r="AV43" s="3">
        <f t="shared" si="8"/>
        <v>10</v>
      </c>
      <c r="AW43" s="3">
        <f t="shared" si="9"/>
        <v>2</v>
      </c>
      <c r="AX43" s="3">
        <f t="shared" si="10"/>
        <v>40</v>
      </c>
      <c r="AY43" s="3">
        <f t="shared" si="11"/>
        <v>5</v>
      </c>
      <c r="AZ43" s="3">
        <f t="shared" si="12"/>
        <v>1</v>
      </c>
      <c r="BA43" s="3">
        <f>IF(ISERROR(LEN(VLOOKUP(A43,Seqs!A:E,2,FALSE))-AL43),"-",LEN(VLOOKUP(A43,Seqs!A:E,2,FALSE))-AL43)</f>
        <v>74</v>
      </c>
      <c r="BB43" s="16">
        <f t="shared" si="13"/>
        <v>28</v>
      </c>
      <c r="BC43" s="9">
        <f t="shared" si="14"/>
        <v>20</v>
      </c>
      <c r="BD43" s="3">
        <f t="shared" si="15"/>
        <v>28</v>
      </c>
      <c r="BE43" s="3">
        <f t="shared" si="16"/>
        <v>92</v>
      </c>
    </row>
    <row r="44" spans="1:58" s="3" customFormat="1" x14ac:dyDescent="0.2">
      <c r="A44" s="3" t="s">
        <v>35</v>
      </c>
      <c r="B44" s="3" t="str">
        <f>LOWER(VLOOKUP(A44,Xtal_Templ!A:B,2,FALSE))</f>
        <v>5ht2b_human</v>
      </c>
      <c r="C44" s="3">
        <f>VLOOKUP($A44,'SegEnds_NonXtal_BW#'!$A:$Z,3,FALSE)+D44-50</f>
        <v>53</v>
      </c>
      <c r="D44" s="3">
        <v>72</v>
      </c>
      <c r="E44" s="3">
        <f>IF(ISERROR(VLOOKUP($A44,'SegEnds_NonXtal_BW#'!$A:$Z,4,FALSE)+VLOOKUP($A44,A:AL,4,FALSE)-50),"-",(VLOOKUP($A44,'SegEnds_NonXtal_BW#'!$A:$Z,4,FALSE)+VLOOKUP($A44,A:AL,4,FALSE)-50))</f>
        <v>82</v>
      </c>
      <c r="F44" s="3">
        <f t="shared" si="27"/>
        <v>83</v>
      </c>
      <c r="G44" s="3">
        <v>85</v>
      </c>
      <c r="H44" s="3">
        <f t="shared" si="28"/>
        <v>86</v>
      </c>
      <c r="I44" s="3">
        <f t="shared" si="28"/>
        <v>87</v>
      </c>
      <c r="J44" s="3">
        <v>100</v>
      </c>
      <c r="K44" s="3">
        <f>VLOOKUP($A44,'SegEnds_NonXtal_BW#'!$A:$Z,8,FALSE)+VLOOKUP($A44,A:AL,10,FALSE)-50</f>
        <v>117</v>
      </c>
      <c r="L44" s="3">
        <f t="shared" si="32"/>
        <v>120</v>
      </c>
      <c r="M44" s="3">
        <v>121</v>
      </c>
      <c r="N44" s="3">
        <f t="shared" si="30"/>
        <v>123</v>
      </c>
      <c r="O44" s="3">
        <f t="shared" si="29"/>
        <v>124</v>
      </c>
      <c r="P44" s="3">
        <v>153</v>
      </c>
      <c r="Q44" s="3">
        <f>VLOOKUP($A44,'SegEnds_NonXtal_BW#'!$A:$Z,12,FALSE)+VLOOKUP($A44,A:AL,16,FALSE)-50</f>
        <v>159</v>
      </c>
      <c r="R44" s="3">
        <f>IF(ISERROR(VLOOKUP($A44,'SegEnds_NonXtal_BW#'!$A:$Z,13,FALSE)+VLOOKUP($A44,A:AL,19,FALSE)-50),"-",VLOOKUP($A44,'SegEnds_NonXtal_BW#'!$A:$Z,13,FALSE)+VLOOKUP($A44,A:AL,19,FALSE)-50)</f>
        <v>160</v>
      </c>
      <c r="S44" s="3">
        <v>160</v>
      </c>
      <c r="T44" s="100">
        <f>IF(ISERROR(VLOOKUP($A44,'SegEnds_NonXtal_BW#'!$A:$Z,14,FALSE)+VLOOKUP($A44,A:AL,19,FALSE)-50),"-",(VLOOKUP($A44,'SegEnds_NonXtal_BW#'!$A:$Z,14,FALSE)+VLOOKUP($A44,A:AL,19,FALSE)-50))</f>
        <v>167</v>
      </c>
      <c r="U44" s="9">
        <f>IF(ISERROR(VLOOKUP($A44,'SegEnds_NonXtal_BW#'!$A:$Z,15,FALSE)+VLOOKUP($A44,A:AL,22,FALSE)-50),"-",VLOOKUP($A44,'SegEnds_NonXtal_BW#'!$A:$Z,15,FALSE)+VLOOKUP($A44,A:AL,22,FALSE)-50)</f>
        <v>168</v>
      </c>
      <c r="V44" s="3">
        <v>180</v>
      </c>
      <c r="W44" s="3">
        <f>IF(ISERROR(VLOOKUP($A44,'SegEnds_NonXtal_BW#'!$A:$Z,16,FALSE)+VLOOKUP($A44,A:AL,22,FALSE)-50),"-",(VLOOKUP($A44,'SegEnds_NonXtal_BW#'!$A:$Z,16,FALSE)+VLOOKUP($A44,A:AL,22,FALSE)-50))</f>
        <v>194</v>
      </c>
      <c r="X44" s="3">
        <f>IF(ISERROR(VLOOKUP($A44,'SegEnds_NonXtal_BW#'!$A:$Z,17,FALSE)+VLOOKUP($A44,A:AL,25,FALSE)-50),"-",(VLOOKUP($A44,'SegEnds_NonXtal_BW#'!$A:$Z,17,FALSE)+VLOOKUP($A44,A:AL,25,FALSE)-50))</f>
        <v>207</v>
      </c>
      <c r="Y44" s="3">
        <v>207</v>
      </c>
      <c r="Z44" s="3">
        <f t="shared" si="31"/>
        <v>209</v>
      </c>
      <c r="AA44" s="3">
        <f>IF(ISERROR(VLOOKUP($A44,'SegEnds_NonXtal_BW#'!$A:$Z,19,FALSE)+VLOOKUP($A44,A:AL,28,FALSE)-50),"-",(VLOOKUP($A44,'SegEnds_NonXtal_BW#'!$A:$Z,19,FALSE)+VLOOKUP($A44,A:AL,28,FALSE)-50))</f>
        <v>214</v>
      </c>
      <c r="AB44" s="3">
        <v>229</v>
      </c>
      <c r="AC44" s="3">
        <f>IF(ISERROR((VLOOKUP($A44,'SegEnds_NonXtal_BW#'!$A:$Z,20,FALSE)+VLOOKUP($A44,A:AL,28,FALSE)-50)),"-",(VLOOKUP($A44,'SegEnds_NonXtal_BW#'!$A:$Z,20,FALSE)+VLOOKUP($A44,A:AL,28,FALSE)-50))</f>
        <v>255</v>
      </c>
      <c r="AD44" s="3">
        <f>IF(ISERROR(VLOOKUP($A44,'SegEnds_NonXtal_BW#'!$A:$Z,21,FALSE)+VLOOKUP($A44,A:AL,31,FALSE)-50),"-",(VLOOKUP($A44,'SegEnds_NonXtal_BW#'!$A:$Z,21,FALSE)+VLOOKUP($A44,A:AL,31,FALSE)-50))</f>
        <v>313</v>
      </c>
      <c r="AE44" s="3">
        <v>339</v>
      </c>
      <c r="AF44" s="3">
        <f>IF(ISERROR((VLOOKUP($A44,'SegEnds_NonXtal_BW#'!$A:$Z,22,FALSE)+VLOOKUP($A44,A:AL,31,FALSE)-50)),"-",(VLOOKUP($A44,'SegEnds_NonXtal_BW#'!$A:$Z,22,FALSE)+VLOOKUP($A44,A:AL,31,FALSE)-50))</f>
        <v>350</v>
      </c>
      <c r="AG44" s="3">
        <f>IF(ISERROR(VLOOKUP($A44,'SegEnds_NonXtal_BW#'!$A:$Z,23,FALSE)+VLOOKUP($A44,A:AL,34,FALSE)-50),"-",(VLOOKUP($A44,'SegEnds_NonXtal_BW#'!$A:$Z,23,FALSE)+VLOOKUP($A44,A:AL,34,FALSE)-50))</f>
        <v>354</v>
      </c>
      <c r="AH44" s="3">
        <v>377</v>
      </c>
      <c r="AI44" s="3">
        <f>IF(ISERROR((VLOOKUP($A44,'SegEnds_NonXtal_BW#'!$A:$Z,24,FALSE)+VLOOKUP($A44,A:AL,34,FALSE)-50)),"-",(VLOOKUP($A44,'SegEnds_NonXtal_BW#'!$A:$Z,24,FALSE)+VLOOKUP($A44,A:AL,34,FALSE)-50))</f>
        <v>383</v>
      </c>
      <c r="AJ44" s="3">
        <f>IF(ISERROR(VLOOKUP($A44,'SegEnds_NonXtal_BW#'!$A:$Z,25,FALSE)+VLOOKUP($A44,A:AL,37,FALSE)-50),"-",(VLOOKUP($A44,'SegEnds_NonXtal_BW#'!$A:$Z,25,FALSE)+VLOOKUP($A44,A:AL,37,FALSE)-50))</f>
        <v>384</v>
      </c>
      <c r="AK44" s="3">
        <v>387</v>
      </c>
      <c r="AL44" s="3">
        <f>IF(ISERROR((VLOOKUP($A44,'SegEnds_NonXtal_BW#'!$A:$Z,26,FALSE)+VLOOKUP($A44,A:AL,37,FALSE)-50)),"-",(VLOOKUP($A44,'SegEnds_NonXtal_BW#'!$A:$Z,26,FALSE)+VLOOKUP($A44,A:AL,37,FALSE)-50))</f>
        <v>395</v>
      </c>
      <c r="AM44" s="28" t="str">
        <f>VLOOKUP(A44,Classification!A:B,2,FALSE)</f>
        <v>A</v>
      </c>
      <c r="AN44" s="28" t="b">
        <f t="shared" si="17"/>
        <v>1</v>
      </c>
      <c r="AO44" s="3" t="str">
        <f>IF(ISERROR(MATCH(A44,'SegEnds_Xtal_Prot#'!B:B, 0)), "NoXtal", "Xtal")</f>
        <v>Xtal</v>
      </c>
      <c r="AP44" s="3">
        <f t="shared" si="2"/>
        <v>1</v>
      </c>
      <c r="AQ44" s="3">
        <f t="shared" si="3"/>
        <v>1</v>
      </c>
      <c r="AR44" s="3">
        <f t="shared" si="4"/>
        <v>3</v>
      </c>
      <c r="AS44" s="3">
        <f t="shared" si="5"/>
        <v>1</v>
      </c>
      <c r="AT44" s="3">
        <f t="shared" si="6"/>
        <v>1</v>
      </c>
      <c r="AU44" s="3">
        <f t="shared" si="7"/>
        <v>1</v>
      </c>
      <c r="AV44" s="3">
        <f t="shared" si="8"/>
        <v>13</v>
      </c>
      <c r="AW44" s="3">
        <f t="shared" si="9"/>
        <v>5</v>
      </c>
      <c r="AX44" s="3">
        <f t="shared" si="10"/>
        <v>58</v>
      </c>
      <c r="AY44" s="3">
        <f t="shared" si="11"/>
        <v>4</v>
      </c>
      <c r="AZ44" s="3">
        <f t="shared" si="12"/>
        <v>1</v>
      </c>
      <c r="BA44" s="3">
        <f>IF(ISERROR(LEN(VLOOKUP(A44,Seqs!A:E,2,FALSE))-AL44),"-",LEN(VLOOKUP(A44,Seqs!A:E,2,FALSE))-AL44)</f>
        <v>86</v>
      </c>
      <c r="BB44" s="16">
        <f t="shared" si="13"/>
        <v>28</v>
      </c>
      <c r="BC44" s="9">
        <f t="shared" si="14"/>
        <v>20</v>
      </c>
      <c r="BD44" s="3">
        <f t="shared" si="15"/>
        <v>28</v>
      </c>
      <c r="BE44" s="3">
        <f t="shared" si="16"/>
        <v>110</v>
      </c>
    </row>
    <row r="45" spans="1:58" s="3" customFormat="1" x14ac:dyDescent="0.2">
      <c r="A45" s="3" t="s">
        <v>133</v>
      </c>
      <c r="B45" s="3" t="str">
        <f>LOWER(VLOOKUP(A45,Xtal_Templ!A:B,2,FALSE))</f>
        <v>5ht2c_human</v>
      </c>
      <c r="C45" s="3">
        <f>VLOOKUP($A45,'SegEnds_NonXtal_BW#'!$A:$Z,3,FALSE)+D45-50</f>
        <v>54</v>
      </c>
      <c r="D45" s="3">
        <v>71</v>
      </c>
      <c r="E45" s="3">
        <f>IF(ISERROR(VLOOKUP($A45,'SegEnds_NonXtal_BW#'!$A:$Z,4,FALSE)+VLOOKUP($A45,A:AL,4,FALSE)-50),"-",(VLOOKUP($A45,'SegEnds_NonXtal_BW#'!$A:$Z,4,FALSE)+VLOOKUP($A45,A:AL,4,FALSE)-50))</f>
        <v>81</v>
      </c>
      <c r="F45" s="3">
        <f t="shared" si="27"/>
        <v>82</v>
      </c>
      <c r="G45" s="3">
        <v>84</v>
      </c>
      <c r="H45" s="3">
        <f t="shared" si="28"/>
        <v>85</v>
      </c>
      <c r="I45" s="3">
        <f t="shared" si="28"/>
        <v>86</v>
      </c>
      <c r="J45" s="3">
        <v>99</v>
      </c>
      <c r="K45" s="3">
        <f>VLOOKUP($A45,'SegEnds_NonXtal_BW#'!$A:$Z,8,FALSE)+VLOOKUP($A45,A:AL,10,FALSE)-50</f>
        <v>117</v>
      </c>
      <c r="L45" s="3">
        <f t="shared" si="32"/>
        <v>119</v>
      </c>
      <c r="M45" s="3">
        <v>120</v>
      </c>
      <c r="N45" s="3">
        <f t="shared" si="30"/>
        <v>122</v>
      </c>
      <c r="O45" s="3">
        <f t="shared" si="29"/>
        <v>123</v>
      </c>
      <c r="P45" s="3">
        <v>152</v>
      </c>
      <c r="Q45" s="3">
        <f>VLOOKUP($A45,'SegEnds_NonXtal_BW#'!$A:$Z,12,FALSE)+VLOOKUP($A45,A:AL,16,FALSE)-50</f>
        <v>158</v>
      </c>
      <c r="R45" s="3">
        <f>IF(ISERROR(VLOOKUP($A45,'SegEnds_NonXtal_BW#'!$A:$Z,13,FALSE)+VLOOKUP($A45,A:AL,19,FALSE)-50),"-",VLOOKUP($A45,'SegEnds_NonXtal_BW#'!$A:$Z,13,FALSE)+VLOOKUP($A45,A:AL,19,FALSE)-50)</f>
        <v>159</v>
      </c>
      <c r="S45" s="3">
        <v>159</v>
      </c>
      <c r="T45" s="100">
        <f>IF(ISERROR(VLOOKUP($A45,'SegEnds_NonXtal_BW#'!$A:$Z,14,FALSE)+VLOOKUP($A45,A:AL,19,FALSE)-50),"-",(VLOOKUP($A45,'SegEnds_NonXtal_BW#'!$A:$Z,14,FALSE)+VLOOKUP($A45,A:AL,19,FALSE)-50))</f>
        <v>166</v>
      </c>
      <c r="U45" s="9">
        <f>IF(ISERROR(VLOOKUP($A45,'SegEnds_NonXtal_BW#'!$A:$Z,15,FALSE)+VLOOKUP($A45,A:AL,22,FALSE)-50),"-",VLOOKUP($A45,'SegEnds_NonXtal_BW#'!$A:$Z,15,FALSE)+VLOOKUP($A45,A:AL,22,FALSE)-50)</f>
        <v>167</v>
      </c>
      <c r="V45" s="3">
        <v>179</v>
      </c>
      <c r="W45" s="3">
        <f>IF(ISERROR(VLOOKUP($A45,'SegEnds_NonXtal_BW#'!$A:$Z,16,FALSE)+VLOOKUP($A45,A:AL,22,FALSE)-50),"-",(VLOOKUP($A45,'SegEnds_NonXtal_BW#'!$A:$Z,16,FALSE)+VLOOKUP($A45,A:AL,22,FALSE)-50))</f>
        <v>196</v>
      </c>
      <c r="X45" s="3">
        <f>IF(ISERROR(VLOOKUP($A45,'SegEnds_NonXtal_BW#'!$A:$Z,17,FALSE)+VLOOKUP($A45,A:AL,25,FALSE)-50),"-",(VLOOKUP($A45,'SegEnds_NonXtal_BW#'!$A:$Z,17,FALSE)+VLOOKUP($A45,A:AL,25,FALSE)-50))</f>
        <v>207</v>
      </c>
      <c r="Y45" s="3">
        <v>207</v>
      </c>
      <c r="Z45" s="3">
        <f t="shared" si="31"/>
        <v>209</v>
      </c>
      <c r="AA45" s="3">
        <f>IF(ISERROR(VLOOKUP($A45,'SegEnds_NonXtal_BW#'!$A:$Z,19,FALSE)+VLOOKUP($A45,A:AL,28,FALSE)-50),"-",(VLOOKUP($A45,'SegEnds_NonXtal_BW#'!$A:$Z,19,FALSE)+VLOOKUP($A45,A:AL,28,FALSE)-50))</f>
        <v>211</v>
      </c>
      <c r="AB45" s="3">
        <v>226</v>
      </c>
      <c r="AC45" s="3">
        <f>IF(ISERROR((VLOOKUP($A45,'SegEnds_NonXtal_BW#'!$A:$Z,20,FALSE)+VLOOKUP($A45,A:AL,28,FALSE)-50)),"-",(VLOOKUP($A45,'SegEnds_NonXtal_BW#'!$A:$Z,20,FALSE)+VLOOKUP($A45,A:AL,28,FALSE)-50))</f>
        <v>250</v>
      </c>
      <c r="AD45" s="3">
        <f>IF(ISERROR(VLOOKUP($A45,'SegEnds_NonXtal_BW#'!$A:$Z,21,FALSE)+VLOOKUP($A45,A:AL,31,FALSE)-50),"-",(VLOOKUP($A45,'SegEnds_NonXtal_BW#'!$A:$Z,21,FALSE)+VLOOKUP($A45,A:AL,31,FALSE)-50))</f>
        <v>300</v>
      </c>
      <c r="AE45" s="3">
        <v>326</v>
      </c>
      <c r="AF45" s="3">
        <f>IF(ISERROR((VLOOKUP($A45,'SegEnds_NonXtal_BW#'!$A:$Z,22,FALSE)+VLOOKUP($A45,A:AL,31,FALSE)-50)),"-",(VLOOKUP($A45,'SegEnds_NonXtal_BW#'!$A:$Z,22,FALSE)+VLOOKUP($A45,A:AL,31,FALSE)-50))</f>
        <v>337</v>
      </c>
      <c r="AG45" s="3">
        <f>IF(ISERROR(VLOOKUP($A45,'SegEnds_NonXtal_BW#'!$A:$Z,23,FALSE)+VLOOKUP($A45,A:AL,34,FALSE)-50),"-",(VLOOKUP($A45,'SegEnds_NonXtal_BW#'!$A:$Z,23,FALSE)+VLOOKUP($A45,A:AL,34,FALSE)-50))</f>
        <v>342</v>
      </c>
      <c r="AH45" s="3">
        <v>365</v>
      </c>
      <c r="AI45" s="3">
        <f>IF(ISERROR((VLOOKUP($A45,'SegEnds_NonXtal_BW#'!$A:$Z,24,FALSE)+VLOOKUP($A45,A:AL,34,FALSE)-50)),"-",(VLOOKUP($A45,'SegEnds_NonXtal_BW#'!$A:$Z,24,FALSE)+VLOOKUP($A45,A:AL,34,FALSE)-50))</f>
        <v>371</v>
      </c>
      <c r="AJ45" s="3">
        <f>IF(ISERROR(VLOOKUP($A45,'SegEnds_NonXtal_BW#'!$A:$Z,25,FALSE)+VLOOKUP($A45,A:AL,37,FALSE)-50),"-",(VLOOKUP($A45,'SegEnds_NonXtal_BW#'!$A:$Z,25,FALSE)+VLOOKUP($A45,A:AL,37,FALSE)-50))</f>
        <v>372</v>
      </c>
      <c r="AK45" s="3">
        <v>375</v>
      </c>
      <c r="AL45" s="3">
        <f>IF(ISERROR((VLOOKUP($A45,'SegEnds_NonXtal_BW#'!$A:$Z,26,FALSE)+VLOOKUP($A45,A:AL,37,FALSE)-50)),"-",(VLOOKUP($A45,'SegEnds_NonXtal_BW#'!$A:$Z,26,FALSE)+VLOOKUP($A45,A:AL,37,FALSE)-50))</f>
        <v>385</v>
      </c>
      <c r="AM45" s="28" t="str">
        <f>VLOOKUP(A45,Classification!A:B,2,FALSE)</f>
        <v>A</v>
      </c>
      <c r="AN45" s="28" t="b">
        <f t="shared" si="17"/>
        <v>1</v>
      </c>
      <c r="AO45" s="3" t="str">
        <f>IF(ISERROR(MATCH(A45,'SegEnds_Xtal_Prot#'!B:B, 0)), "NoXtal", "Xtal")</f>
        <v>Xtal</v>
      </c>
      <c r="AP45" s="3">
        <f t="shared" si="2"/>
        <v>1</v>
      </c>
      <c r="AQ45" s="3">
        <f t="shared" si="3"/>
        <v>1</v>
      </c>
      <c r="AR45" s="3">
        <f t="shared" si="4"/>
        <v>2</v>
      </c>
      <c r="AS45" s="3">
        <f t="shared" si="5"/>
        <v>1</v>
      </c>
      <c r="AT45" s="3">
        <f t="shared" si="6"/>
        <v>1</v>
      </c>
      <c r="AU45" s="3">
        <f t="shared" si="7"/>
        <v>1</v>
      </c>
      <c r="AV45" s="3">
        <f t="shared" si="8"/>
        <v>11</v>
      </c>
      <c r="AW45" s="3">
        <f t="shared" si="9"/>
        <v>2</v>
      </c>
      <c r="AX45" s="3">
        <f t="shared" si="10"/>
        <v>50</v>
      </c>
      <c r="AY45" s="3">
        <f t="shared" si="11"/>
        <v>5</v>
      </c>
      <c r="AZ45" s="3">
        <f t="shared" si="12"/>
        <v>1</v>
      </c>
      <c r="BA45" s="3">
        <f>IF(ISERROR(LEN(VLOOKUP(A45,Seqs!A:E,2,FALSE))-AL45),"-",LEN(VLOOKUP(A45,Seqs!A:E,2,FALSE))-AL45)</f>
        <v>73</v>
      </c>
      <c r="BB45" s="16">
        <f t="shared" si="13"/>
        <v>28</v>
      </c>
      <c r="BC45" s="9">
        <f t="shared" si="14"/>
        <v>20</v>
      </c>
      <c r="BD45" s="3">
        <f t="shared" si="15"/>
        <v>28</v>
      </c>
      <c r="BE45" s="3">
        <f t="shared" si="16"/>
        <v>100</v>
      </c>
    </row>
    <row r="46" spans="1:58" s="3" customFormat="1" ht="17" customHeight="1" x14ac:dyDescent="0.2">
      <c r="A46" s="3" t="s">
        <v>134</v>
      </c>
      <c r="B46" s="3" t="str">
        <f>LOWER(VLOOKUP(A46,Xtal_Templ!A:B,2,FALSE))</f>
        <v>drd2_human</v>
      </c>
      <c r="C46" s="3">
        <f>VLOOKUP($A46,'SegEnds_NonXtal_BW#'!$A:$Z,3,FALSE)+D46-50</f>
        <v>16</v>
      </c>
      <c r="D46" s="3">
        <v>37</v>
      </c>
      <c r="E46" s="3">
        <f>IF(ISERROR(VLOOKUP($A46,'SegEnds_NonXtal_BW#'!$A:$Z,4,FALSE)+VLOOKUP($A46,A:AL,4,FALSE)-50),"-",(VLOOKUP($A46,'SegEnds_NonXtal_BW#'!$A:$Z,4,FALSE)+VLOOKUP($A46,A:AL,4,FALSE)-50))</f>
        <v>47</v>
      </c>
      <c r="F46" s="3">
        <f t="shared" si="27"/>
        <v>48</v>
      </c>
      <c r="G46" s="3">
        <v>50</v>
      </c>
      <c r="H46" s="3">
        <f t="shared" si="28"/>
        <v>51</v>
      </c>
      <c r="I46" s="3">
        <f t="shared" si="28"/>
        <v>52</v>
      </c>
      <c r="J46" s="3">
        <v>66</v>
      </c>
      <c r="K46" s="3">
        <f>VLOOKUP($A46,'SegEnds_NonXtal_BW#'!$A:$Z,8,FALSE)+VLOOKUP($A46,A:AL,10,FALSE)-50</f>
        <v>84</v>
      </c>
      <c r="L46" s="3">
        <f t="shared" si="32"/>
        <v>85</v>
      </c>
      <c r="M46" s="3">
        <v>86</v>
      </c>
      <c r="N46" s="3">
        <f t="shared" si="30"/>
        <v>88</v>
      </c>
      <c r="O46" s="3">
        <f t="shared" si="29"/>
        <v>89</v>
      </c>
      <c r="P46" s="3">
        <v>118</v>
      </c>
      <c r="Q46" s="3">
        <f>VLOOKUP($A46,'SegEnds_NonXtal_BW#'!$A:$Z,12,FALSE)+VLOOKUP($A46,A:AL,16,FALSE)-50</f>
        <v>124</v>
      </c>
      <c r="R46" s="3">
        <f>IF(ISERROR(VLOOKUP($A46,'SegEnds_NonXtal_BW#'!$A:$Z,13,FALSE)+VLOOKUP($A46,A:AL,19,FALSE)-50),"-",VLOOKUP($A46,'SegEnds_NonXtal_BW#'!$A:$Z,13,FALSE)+VLOOKUP($A46,A:AL,19,FALSE)-50)</f>
        <v>126</v>
      </c>
      <c r="S46" s="3">
        <v>126</v>
      </c>
      <c r="T46" s="100">
        <f>IF(ISERROR(VLOOKUP($A46,'SegEnds_NonXtal_BW#'!$A:$Z,14,FALSE)+VLOOKUP($A46,A:AL,19,FALSE)-50),"-",(VLOOKUP($A46,'SegEnds_NonXtal_BW#'!$A:$Z,14,FALSE)+VLOOKUP($A46,A:AL,19,FALSE)-50))</f>
        <v>133</v>
      </c>
      <c r="U46" s="9">
        <f>IF(ISERROR(VLOOKUP($A46,'SegEnds_NonXtal_BW#'!$A:$Z,15,FALSE)+VLOOKUP($A46,A:AL,22,FALSE)-50),"-",VLOOKUP($A46,'SegEnds_NonXtal_BW#'!$A:$Z,15,FALSE)+VLOOKUP($A46,A:AL,22,FALSE)-50)</f>
        <v>134</v>
      </c>
      <c r="V46" s="3">
        <v>146</v>
      </c>
      <c r="W46" s="3">
        <f>IF(ISERROR(VLOOKUP($A46,'SegEnds_NonXtal_BW#'!$A:$Z,16,FALSE)+VLOOKUP($A46,A:AL,22,FALSE)-50),"-",(VLOOKUP($A46,'SegEnds_NonXtal_BW#'!$A:$Z,16,FALSE)+VLOOKUP($A46,A:AL,22,FALSE)-50))</f>
        <v>158</v>
      </c>
      <c r="X46" s="3">
        <f>IF(ISERROR(VLOOKUP($A46,'SegEnds_NonXtal_BW#'!$A:$Z,17,FALSE)+VLOOKUP($A46,A:AL,25,FALSE)-50),"-",(VLOOKUP($A46,'SegEnds_NonXtal_BW#'!$A:$Z,17,FALSE)+VLOOKUP($A46,A:AL,25,FALSE)-50))</f>
        <v>184</v>
      </c>
      <c r="Y46" s="3">
        <v>184</v>
      </c>
      <c r="Z46" s="3">
        <f t="shared" si="31"/>
        <v>186</v>
      </c>
      <c r="AA46" s="3">
        <f>IF(ISERROR(VLOOKUP($A46,'SegEnds_NonXtal_BW#'!$A:$Z,19,FALSE)+VLOOKUP($A46,A:AL,28,FALSE)-50),"-",(VLOOKUP($A46,'SegEnds_NonXtal_BW#'!$A:$Z,19,FALSE)+VLOOKUP($A46,A:AL,28,FALSE)-50))</f>
        <v>189</v>
      </c>
      <c r="AB46" s="3">
        <v>204</v>
      </c>
      <c r="AC46" s="3">
        <f>IF(ISERROR((VLOOKUP($A46,'SegEnds_NonXtal_BW#'!$A:$Z,20,FALSE)+VLOOKUP($A46,A:AL,28,FALSE)-50)),"-",(VLOOKUP($A46,'SegEnds_NonXtal_BW#'!$A:$Z,20,FALSE)+VLOOKUP($A46,A:AL,28,FALSE)-50))</f>
        <v>230</v>
      </c>
      <c r="AD46" s="3">
        <f>IF(ISERROR(VLOOKUP($A46,'SegEnds_NonXtal_BW#'!$A:$Z,21,FALSE)+VLOOKUP($A46,A:AL,31,FALSE)-50),"-",(VLOOKUP($A46,'SegEnds_NonXtal_BW#'!$A:$Z,21,FALSE)+VLOOKUP($A46,A:AL,31,FALSE)-50))</f>
        <v>248</v>
      </c>
      <c r="AE46" s="3">
        <v>274</v>
      </c>
      <c r="AF46" s="3">
        <f>IF(ISERROR((VLOOKUP($A46,'SegEnds_NonXtal_BW#'!$A:$Z,22,FALSE)+VLOOKUP($A46,A:AL,31,FALSE)-50)),"-",(VLOOKUP($A46,'SegEnds_NonXtal_BW#'!$A:$Z,22,FALSE)+VLOOKUP($A46,A:AL,31,FALSE)-50))</f>
        <v>285</v>
      </c>
      <c r="AG46" s="3">
        <f>IF(ISERROR(VLOOKUP($A46,'SegEnds_NonXtal_BW#'!$A:$Z,23,FALSE)+VLOOKUP($A46,A:AL,34,FALSE)-50),"-",(VLOOKUP($A46,'SegEnds_NonXtal_BW#'!$A:$Z,23,FALSE)+VLOOKUP($A46,A:AL,34,FALSE)-50))</f>
        <v>290</v>
      </c>
      <c r="AH46" s="3">
        <v>309</v>
      </c>
      <c r="AI46" s="3">
        <v>315</v>
      </c>
      <c r="AJ46" s="3">
        <f>IF(ISERROR(VLOOKUP($A46,'SegEnds_NonXtal_BW#'!$A:$Z,25,FALSE)+VLOOKUP($A46,A:AL,37,FALSE)-50),"-",(VLOOKUP($A46,'SegEnds_NonXtal_BW#'!$A:$Z,25,FALSE)+VLOOKUP($A46,A:AL,37,FALSE)-50))</f>
        <v>316</v>
      </c>
      <c r="AK46" s="3">
        <v>319</v>
      </c>
      <c r="AL46" s="3">
        <f>IF(ISERROR((VLOOKUP($A46,'SegEnds_NonXtal_BW#'!$A:$Z,26,FALSE)+VLOOKUP($A46,A:AL,37,FALSE)-50)),"-",(VLOOKUP($A46,'SegEnds_NonXtal_BW#'!$A:$Z,26,FALSE)+VLOOKUP($A46,A:AL,37,FALSE)-50))</f>
        <v>328</v>
      </c>
      <c r="AM46" s="28" t="str">
        <f>VLOOKUP(A46,Classification!A:B,2,FALSE)</f>
        <v>A</v>
      </c>
      <c r="AN46" s="28" t="b">
        <f t="shared" si="17"/>
        <v>1</v>
      </c>
      <c r="AO46" s="3" t="str">
        <f>IF(ISERROR(MATCH(A46,'SegEnds_Xtal_Prot#'!B:B, 0)), "NoXtal", "Xtal")</f>
        <v>NoXtal</v>
      </c>
      <c r="AP46" s="3">
        <f t="shared" si="2"/>
        <v>1</v>
      </c>
      <c r="AQ46" s="3">
        <f t="shared" si="3"/>
        <v>1</v>
      </c>
      <c r="AR46" s="3">
        <f t="shared" si="4"/>
        <v>1</v>
      </c>
      <c r="AS46" s="3">
        <f t="shared" si="5"/>
        <v>1</v>
      </c>
      <c r="AT46" s="3">
        <f t="shared" si="6"/>
        <v>2</v>
      </c>
      <c r="AU46" s="3">
        <f t="shared" si="7"/>
        <v>1</v>
      </c>
      <c r="AV46" s="3">
        <f t="shared" si="8"/>
        <v>26</v>
      </c>
      <c r="AW46" s="3">
        <f t="shared" si="9"/>
        <v>3</v>
      </c>
      <c r="AX46" s="3">
        <f t="shared" si="10"/>
        <v>18</v>
      </c>
      <c r="AY46" s="3">
        <f t="shared" si="11"/>
        <v>5</v>
      </c>
      <c r="AZ46" s="3">
        <f t="shared" si="12"/>
        <v>1</v>
      </c>
      <c r="BA46" s="3">
        <f>IF(ISERROR(LEN(VLOOKUP(A46,Seqs!A:E,2,FALSE))-AL46),"-",LEN(VLOOKUP(A46,Seqs!A:E,2,FALSE))-AL46)</f>
        <v>60</v>
      </c>
      <c r="BB46" s="16">
        <f t="shared" si="13"/>
        <v>29</v>
      </c>
      <c r="BC46" s="9">
        <f t="shared" si="14"/>
        <v>20</v>
      </c>
      <c r="BD46" s="3">
        <f t="shared" si="15"/>
        <v>29</v>
      </c>
      <c r="BE46" s="3">
        <f t="shared" si="16"/>
        <v>70</v>
      </c>
    </row>
    <row r="47" spans="1:58" s="3" customFormat="1" x14ac:dyDescent="0.2">
      <c r="A47" s="3" t="s">
        <v>135</v>
      </c>
      <c r="B47" s="3" t="str">
        <f>LOWER(VLOOKUP(A47,Xtal_Templ!A:B,2,FALSE))</f>
        <v>5ht1b_human</v>
      </c>
      <c r="C47" s="3">
        <f>VLOOKUP($A47,'SegEnds_NonXtal_BW#'!$A:$Z,3,FALSE)+D47-50</f>
        <v>36</v>
      </c>
      <c r="D47" s="3">
        <v>58</v>
      </c>
      <c r="E47" s="3">
        <f>IF(ISERROR(VLOOKUP($A47,'SegEnds_NonXtal_BW#'!$A:$Z,4,FALSE)+VLOOKUP($A47,A:AL,4,FALSE)-50),"-",(VLOOKUP($A47,'SegEnds_NonXtal_BW#'!$A:$Z,4,FALSE)+VLOOKUP($A47,A:AL,4,FALSE)-50))</f>
        <v>68</v>
      </c>
      <c r="F47" s="3">
        <f t="shared" si="27"/>
        <v>69</v>
      </c>
      <c r="G47" s="3">
        <v>71</v>
      </c>
      <c r="H47" s="3">
        <f t="shared" si="28"/>
        <v>72</v>
      </c>
      <c r="I47" s="3">
        <f t="shared" si="28"/>
        <v>73</v>
      </c>
      <c r="J47" s="3">
        <v>86</v>
      </c>
      <c r="K47" s="3">
        <f>VLOOKUP($A47,'SegEnds_NonXtal_BW#'!$A:$Z,8,FALSE)+VLOOKUP($A47,A:AL,10,FALSE)-50</f>
        <v>104</v>
      </c>
      <c r="L47" s="3">
        <f t="shared" si="32"/>
        <v>106</v>
      </c>
      <c r="M47" s="3">
        <v>107</v>
      </c>
      <c r="N47" s="3">
        <f t="shared" si="30"/>
        <v>109</v>
      </c>
      <c r="O47" s="3">
        <f t="shared" si="29"/>
        <v>110</v>
      </c>
      <c r="P47" s="3">
        <v>139</v>
      </c>
      <c r="Q47" s="3">
        <f>VLOOKUP($A47,'SegEnds_NonXtal_BW#'!$A:$Z,12,FALSE)+VLOOKUP($A47,A:AL,16,FALSE)-50</f>
        <v>145</v>
      </c>
      <c r="R47" s="3">
        <f>IF(ISERROR(VLOOKUP($A47,'SegEnds_NonXtal_BW#'!$A:$Z,13,FALSE)+VLOOKUP($A47,A:AL,19,FALSE)-50),"-",VLOOKUP($A47,'SegEnds_NonXtal_BW#'!$A:$Z,13,FALSE)+VLOOKUP($A47,A:AL,19,FALSE)-50)</f>
        <v>146</v>
      </c>
      <c r="S47" s="3">
        <v>146</v>
      </c>
      <c r="T47" s="100">
        <f>IF(ISERROR(VLOOKUP($A47,'SegEnds_NonXtal_BW#'!$A:$Z,14,FALSE)+VLOOKUP($A47,A:AL,19,FALSE)-50),"-",(VLOOKUP($A47,'SegEnds_NonXtal_BW#'!$A:$Z,14,FALSE)+VLOOKUP($A47,A:AL,19,FALSE)-50))</f>
        <v>153</v>
      </c>
      <c r="U47" s="9">
        <f>IF(ISERROR(VLOOKUP($A47,'SegEnds_NonXtal_BW#'!$A:$Z,15,FALSE)+VLOOKUP($A47,A:AL,22,FALSE)-50),"-",VLOOKUP($A47,'SegEnds_NonXtal_BW#'!$A:$Z,15,FALSE)+VLOOKUP($A47,A:AL,22,FALSE)-50)</f>
        <v>154</v>
      </c>
      <c r="V47" s="3">
        <v>166</v>
      </c>
      <c r="W47" s="3">
        <f>IF(ISERROR(VLOOKUP($A47,'SegEnds_NonXtal_BW#'!$A:$Z,16,FALSE)+VLOOKUP($A47,A:AL,22,FALSE)-50),"-",(VLOOKUP($A47,'SegEnds_NonXtal_BW#'!$A:$Z,16,FALSE)+VLOOKUP($A47,A:AL,22,FALSE)-50))</f>
        <v>179</v>
      </c>
      <c r="X47" s="3">
        <f>IF(ISERROR(VLOOKUP($A47,'SegEnds_NonXtal_BW#'!$A:$Z,17,FALSE)+VLOOKUP($A47,A:AL,25,FALSE)-50),"-",(VLOOKUP($A47,'SegEnds_NonXtal_BW#'!$A:$Z,17,FALSE)+VLOOKUP($A47,A:AL,25,FALSE)-50))</f>
        <v>192</v>
      </c>
      <c r="Y47" s="3">
        <v>192</v>
      </c>
      <c r="Z47" s="3">
        <f t="shared" si="31"/>
        <v>194</v>
      </c>
      <c r="AA47" s="3">
        <f>IF(ISERROR(VLOOKUP($A47,'SegEnds_NonXtal_BW#'!$A:$Z,19,FALSE)+VLOOKUP($A47,A:AL,28,FALSE)-50),"-",(VLOOKUP($A47,'SegEnds_NonXtal_BW#'!$A:$Z,19,FALSE)+VLOOKUP($A47,A:AL,28,FALSE)-50))</f>
        <v>197</v>
      </c>
      <c r="AB47" s="3">
        <v>212</v>
      </c>
      <c r="AC47" s="3">
        <f>IF(ISERROR((VLOOKUP($A47,'SegEnds_NonXtal_BW#'!$A:$Z,20,FALSE)+VLOOKUP($A47,A:AL,28,FALSE)-50)),"-",(VLOOKUP($A47,'SegEnds_NonXtal_BW#'!$A:$Z,20,FALSE)+VLOOKUP($A47,A:AL,28,FALSE)-50))</f>
        <v>238</v>
      </c>
      <c r="AD47" s="3">
        <f>IF(ISERROR(VLOOKUP($A47,'SegEnds_NonXtal_BW#'!$A:$Z,21,FALSE)+VLOOKUP($A47,A:AL,31,FALSE)-50),"-",(VLOOKUP($A47,'SegEnds_NonXtal_BW#'!$A:$Z,21,FALSE)+VLOOKUP($A47,A:AL,31,FALSE)-50))</f>
        <v>274</v>
      </c>
      <c r="AE47" s="3">
        <v>300</v>
      </c>
      <c r="AF47" s="3">
        <f>IF(ISERROR((VLOOKUP($A47,'SegEnds_NonXtal_BW#'!$A:$Z,22,FALSE)+VLOOKUP($A47,A:AL,31,FALSE)-50)),"-",(VLOOKUP($A47,'SegEnds_NonXtal_BW#'!$A:$Z,22,FALSE)+VLOOKUP($A47,A:AL,31,FALSE)-50))</f>
        <v>311</v>
      </c>
      <c r="AG47" s="3">
        <f>IF(ISERROR(VLOOKUP($A47,'SegEnds_NonXtal_BW#'!$A:$Z,23,FALSE)+VLOOKUP($A47,A:AL,34,FALSE)-50),"-",(VLOOKUP($A47,'SegEnds_NonXtal_BW#'!$A:$Z,23,FALSE)+VLOOKUP($A47,A:AL,34,FALSE)-50))</f>
        <v>316</v>
      </c>
      <c r="AH47" s="3">
        <v>335</v>
      </c>
      <c r="AI47" s="3">
        <f>IF(ISERROR((VLOOKUP($A47,'SegEnds_NonXtal_BW#'!$A:$Z,24,FALSE)+VLOOKUP($A47,A:AL,34,FALSE)-50)),"-",(VLOOKUP($A47,'SegEnds_NonXtal_BW#'!$A:$Z,24,FALSE)+VLOOKUP($A47,A:AL,34,FALSE)-50))</f>
        <v>341</v>
      </c>
      <c r="AJ47" s="3">
        <f>IF(ISERROR(VLOOKUP($A47,'SegEnds_NonXtal_BW#'!$A:$Z,25,FALSE)+VLOOKUP($A47,A:AL,37,FALSE)-50),"-",(VLOOKUP($A47,'SegEnds_NonXtal_BW#'!$A:$Z,25,FALSE)+VLOOKUP($A47,A:AL,37,FALSE)-50))</f>
        <v>342</v>
      </c>
      <c r="AK47" s="3">
        <v>345</v>
      </c>
      <c r="AL47" s="3">
        <f>IF(ISERROR((VLOOKUP($A47,'SegEnds_NonXtal_BW#'!$A:$Z,26,FALSE)+VLOOKUP($A47,A:AL,37,FALSE)-50)),"-",(VLOOKUP($A47,'SegEnds_NonXtal_BW#'!$A:$Z,26,FALSE)+VLOOKUP($A47,A:AL,37,FALSE)-50))</f>
        <v>353</v>
      </c>
      <c r="AM47" s="28" t="str">
        <f>VLOOKUP(A47,Classification!A:B,2,FALSE)</f>
        <v>A</v>
      </c>
      <c r="AN47" s="28" t="b">
        <f t="shared" si="17"/>
        <v>1</v>
      </c>
      <c r="AO47" s="3" t="str">
        <f>IF(ISERROR(MATCH(A47,'SegEnds_Xtal_Prot#'!B:B, 0)), "NoXtal", "Xtal")</f>
        <v>NoXtal</v>
      </c>
      <c r="AP47" s="3">
        <f t="shared" si="2"/>
        <v>1</v>
      </c>
      <c r="AQ47" s="3">
        <f t="shared" si="3"/>
        <v>1</v>
      </c>
      <c r="AR47" s="3">
        <f t="shared" si="4"/>
        <v>2</v>
      </c>
      <c r="AS47" s="3">
        <f t="shared" si="5"/>
        <v>1</v>
      </c>
      <c r="AT47" s="3">
        <f t="shared" si="6"/>
        <v>1</v>
      </c>
      <c r="AU47" s="3">
        <f t="shared" si="7"/>
        <v>1</v>
      </c>
      <c r="AV47" s="3">
        <f t="shared" si="8"/>
        <v>13</v>
      </c>
      <c r="AW47" s="3">
        <f t="shared" si="9"/>
        <v>3</v>
      </c>
      <c r="AX47" s="3">
        <f t="shared" si="10"/>
        <v>36</v>
      </c>
      <c r="AY47" s="3">
        <f t="shared" si="11"/>
        <v>5</v>
      </c>
      <c r="AZ47" s="3">
        <f t="shared" si="12"/>
        <v>1</v>
      </c>
      <c r="BA47" s="3">
        <f>IF(ISERROR(LEN(VLOOKUP(A47,Seqs!A:E,2,FALSE))-AL47),"-",LEN(VLOOKUP(A47,Seqs!A:E,2,FALSE))-AL47)</f>
        <v>4</v>
      </c>
      <c r="BB47" s="16">
        <f t="shared" si="13"/>
        <v>28</v>
      </c>
      <c r="BC47" s="9">
        <f t="shared" si="14"/>
        <v>20</v>
      </c>
      <c r="BD47" s="3">
        <f t="shared" si="15"/>
        <v>28</v>
      </c>
      <c r="BE47" s="3">
        <f t="shared" si="16"/>
        <v>88</v>
      </c>
      <c r="BF47" s="3">
        <f>AH47-AE47</f>
        <v>35</v>
      </c>
    </row>
    <row r="48" spans="1:58" s="3" customFormat="1" x14ac:dyDescent="0.2">
      <c r="A48" s="3" t="s">
        <v>136</v>
      </c>
      <c r="B48" s="3" t="str">
        <f>LOWER(VLOOKUP(A48,Xtal_Templ!A:B,2,FALSE))</f>
        <v>5ht2c_human</v>
      </c>
      <c r="C48" s="3">
        <f>VLOOKUP($A48,'SegEnds_NonXtal_BW#'!$A:$Z,3,FALSE)+D48-50</f>
        <v>27</v>
      </c>
      <c r="D48" s="3">
        <v>44</v>
      </c>
      <c r="E48" s="3">
        <f>IF(ISERROR(VLOOKUP($A48,'SegEnds_NonXtal_BW#'!$A:$Z,4,FALSE)+VLOOKUP($A48,A:AL,4,FALSE)-50),"-",(VLOOKUP($A48,'SegEnds_NonXtal_BW#'!$A:$Z,4,FALSE)+VLOOKUP($A48,A:AL,4,FALSE)-50))</f>
        <v>54</v>
      </c>
      <c r="F48" s="3">
        <f t="shared" si="27"/>
        <v>55</v>
      </c>
      <c r="G48" s="3">
        <v>57</v>
      </c>
      <c r="H48" s="3">
        <f t="shared" si="28"/>
        <v>58</v>
      </c>
      <c r="I48" s="3">
        <f t="shared" si="28"/>
        <v>59</v>
      </c>
      <c r="J48" s="3">
        <v>72</v>
      </c>
      <c r="K48" s="3">
        <f>VLOOKUP($A48,'SegEnds_NonXtal_BW#'!$A:$Z,8,FALSE)+VLOOKUP($A48,A:AL,10,FALSE)-50</f>
        <v>90</v>
      </c>
      <c r="L48" s="3">
        <f t="shared" si="32"/>
        <v>91</v>
      </c>
      <c r="M48" s="3">
        <v>92</v>
      </c>
      <c r="N48" s="3">
        <f t="shared" si="30"/>
        <v>94</v>
      </c>
      <c r="O48" s="3">
        <f t="shared" si="29"/>
        <v>95</v>
      </c>
      <c r="P48" s="3">
        <v>124</v>
      </c>
      <c r="Q48" s="3">
        <f>VLOOKUP($A48,'SegEnds_NonXtal_BW#'!$A:$Z,12,FALSE)+VLOOKUP($A48,A:AL,16,FALSE)-50</f>
        <v>130</v>
      </c>
      <c r="R48" s="3">
        <f>IF(ISERROR(VLOOKUP($A48,'SegEnds_NonXtal_BW#'!$A:$Z,13,FALSE)+VLOOKUP($A48,A:AL,19,FALSE)-50),"-",VLOOKUP($A48,'SegEnds_NonXtal_BW#'!$A:$Z,13,FALSE)+VLOOKUP($A48,A:AL,19,FALSE)-50)</f>
        <v>131</v>
      </c>
      <c r="S48" s="3">
        <v>131</v>
      </c>
      <c r="T48" s="100">
        <f>IF(ISERROR(VLOOKUP($A48,'SegEnds_NonXtal_BW#'!$A:$Z,14,FALSE)+VLOOKUP($A48,A:AL,19,FALSE)-50),"-",(VLOOKUP($A48,'SegEnds_NonXtal_BW#'!$A:$Z,14,FALSE)+VLOOKUP($A48,A:AL,19,FALSE)-50))</f>
        <v>138</v>
      </c>
      <c r="U48" s="9">
        <f>IF(ISERROR(VLOOKUP($A48,'SegEnds_NonXtal_BW#'!$A:$Z,15,FALSE)+VLOOKUP($A48,A:AL,22,FALSE)-50),"-",VLOOKUP($A48,'SegEnds_NonXtal_BW#'!$A:$Z,15,FALSE)+VLOOKUP($A48,A:AL,22,FALSE)-50)</f>
        <v>139</v>
      </c>
      <c r="V48" s="3">
        <v>151</v>
      </c>
      <c r="W48" s="3">
        <f>IF(ISERROR(VLOOKUP($A48,'SegEnds_NonXtal_BW#'!$A:$Z,16,FALSE)+VLOOKUP($A48,A:AL,22,FALSE)-50),"-",(VLOOKUP($A48,'SegEnds_NonXtal_BW#'!$A:$Z,16,FALSE)+VLOOKUP($A48,A:AL,22,FALSE)-50))</f>
        <v>168</v>
      </c>
      <c r="X48" s="3">
        <f>IF(ISERROR(VLOOKUP($A48,'SegEnds_NonXtal_BW#'!$A:$Z,17,FALSE)+VLOOKUP($A48,A:AL,25,FALSE)-50),"-",(VLOOKUP($A48,'SegEnds_NonXtal_BW#'!$A:$Z,17,FALSE)+VLOOKUP($A48,A:AL,25,FALSE)-50))</f>
        <v>180</v>
      </c>
      <c r="Y48" s="3">
        <v>180</v>
      </c>
      <c r="Z48" s="3">
        <f t="shared" si="31"/>
        <v>182</v>
      </c>
      <c r="AA48" s="3">
        <f>IF(ISERROR(VLOOKUP($A48,'SegEnds_NonXtal_BW#'!$A:$Z,19,FALSE)+VLOOKUP($A48,A:AL,28,FALSE)-50),"-",(VLOOKUP($A48,'SegEnds_NonXtal_BW#'!$A:$Z,19,FALSE)+VLOOKUP($A48,A:AL,28,FALSE)-50))</f>
        <v>185</v>
      </c>
      <c r="AB48" s="3">
        <v>200</v>
      </c>
      <c r="AC48" s="3">
        <f>IF(ISERROR((VLOOKUP($A48,'SegEnds_NonXtal_BW#'!$A:$Z,20,FALSE)+VLOOKUP($A48,A:AL,28,FALSE)-50)),"-",(VLOOKUP($A48,'SegEnds_NonXtal_BW#'!$A:$Z,20,FALSE)+VLOOKUP($A48,A:AL,28,FALSE)-50))</f>
        <v>226</v>
      </c>
      <c r="AD48" s="3">
        <f>IF(ISERROR(VLOOKUP($A48,'SegEnds_NonXtal_BW#'!$A:$Z,21,FALSE)+VLOOKUP($A48,A:AL,31,FALSE)-50),"-",(VLOOKUP($A48,'SegEnds_NonXtal_BW#'!$A:$Z,21,FALSE)+VLOOKUP($A48,A:AL,31,FALSE)-50))</f>
        <v>257</v>
      </c>
      <c r="AE48" s="3">
        <v>283</v>
      </c>
      <c r="AF48" s="3">
        <f>IF(ISERROR((VLOOKUP($A48,'SegEnds_NonXtal_BW#'!$A:$Z,22,FALSE)+VLOOKUP($A48,A:AL,31,FALSE)-50)),"-",(VLOOKUP($A48,'SegEnds_NonXtal_BW#'!$A:$Z,22,FALSE)+VLOOKUP($A48,A:AL,31,FALSE)-50))</f>
        <v>294</v>
      </c>
      <c r="AG48" s="3">
        <f>IF(ISERROR(VLOOKUP($A48,'SegEnds_NonXtal_BW#'!$A:$Z,23,FALSE)+VLOOKUP($A48,A:AL,34,FALSE)-50),"-",(VLOOKUP($A48,'SegEnds_NonXtal_BW#'!$A:$Z,23,FALSE)+VLOOKUP($A48,A:AL,34,FALSE)-50))</f>
        <v>299</v>
      </c>
      <c r="AH48" s="3">
        <v>317</v>
      </c>
      <c r="AI48" s="3">
        <f>IF(ISERROR((VLOOKUP($A48,'SegEnds_NonXtal_BW#'!$A:$Z,24,FALSE)+VLOOKUP($A48,A:AL,34,FALSE)-50)),"-",(VLOOKUP($A48,'SegEnds_NonXtal_BW#'!$A:$Z,24,FALSE)+VLOOKUP($A48,A:AL,34,FALSE)-50))</f>
        <v>323</v>
      </c>
      <c r="AJ48" s="3">
        <f>IF(ISERROR(VLOOKUP($A48,'SegEnds_NonXtal_BW#'!$A:$Z,25,FALSE)+VLOOKUP($A48,A:AL,37,FALSE)-50),"-",(VLOOKUP($A48,'SegEnds_NonXtal_BW#'!$A:$Z,25,FALSE)+VLOOKUP($A48,A:AL,37,FALSE)-50))</f>
        <v>324</v>
      </c>
      <c r="AK48" s="3">
        <v>327</v>
      </c>
      <c r="AL48" s="3">
        <f>IF(ISERROR((VLOOKUP($A48,'SegEnds_NonXtal_BW#'!$A:$Z,26,FALSE)+VLOOKUP($A48,A:AL,37,FALSE)-50)),"-",(VLOOKUP($A48,'SegEnds_NonXtal_BW#'!$A:$Z,26,FALSE)+VLOOKUP($A48,A:AL,37,FALSE)-50))</f>
        <v>337</v>
      </c>
      <c r="AM48" s="28" t="str">
        <f>VLOOKUP(A48,Classification!A:B,2,FALSE)</f>
        <v>A</v>
      </c>
      <c r="AN48" s="28" t="b">
        <f t="shared" si="17"/>
        <v>1</v>
      </c>
      <c r="AO48" s="3" t="str">
        <f>IF(ISERROR(MATCH(A48,'SegEnds_Xtal_Prot#'!B:B, 0)), "NoXtal", "Xtal")</f>
        <v>NoXtal</v>
      </c>
      <c r="AP48" s="3">
        <f t="shared" si="2"/>
        <v>1</v>
      </c>
      <c r="AQ48" s="3">
        <f t="shared" si="3"/>
        <v>1</v>
      </c>
      <c r="AR48" s="3">
        <f t="shared" si="4"/>
        <v>1</v>
      </c>
      <c r="AS48" s="3">
        <f t="shared" si="5"/>
        <v>1</v>
      </c>
      <c r="AT48" s="3">
        <f t="shared" si="6"/>
        <v>1</v>
      </c>
      <c r="AU48" s="3">
        <f t="shared" si="7"/>
        <v>1</v>
      </c>
      <c r="AV48" s="3">
        <f t="shared" si="8"/>
        <v>12</v>
      </c>
      <c r="AW48" s="3">
        <f t="shared" si="9"/>
        <v>3</v>
      </c>
      <c r="AX48" s="3">
        <f t="shared" si="10"/>
        <v>31</v>
      </c>
      <c r="AY48" s="3">
        <f t="shared" si="11"/>
        <v>5</v>
      </c>
      <c r="AZ48" s="3">
        <f t="shared" si="12"/>
        <v>1</v>
      </c>
      <c r="BA48" s="3">
        <f>IF(ISERROR(LEN(VLOOKUP(A48,Seqs!A:E,2,FALSE))-AL48),"-",LEN(VLOOKUP(A48,Seqs!A:E,2,FALSE))-AL48)</f>
        <v>103</v>
      </c>
      <c r="BB48" s="16">
        <f t="shared" si="13"/>
        <v>28</v>
      </c>
      <c r="BC48" s="9">
        <f t="shared" si="14"/>
        <v>20</v>
      </c>
      <c r="BD48" s="3">
        <f t="shared" si="15"/>
        <v>28</v>
      </c>
      <c r="BE48" s="3">
        <f t="shared" si="16"/>
        <v>83</v>
      </c>
    </row>
    <row r="49" spans="1:58" s="3" customFormat="1" x14ac:dyDescent="0.2">
      <c r="A49" s="3" t="s">
        <v>137</v>
      </c>
      <c r="B49" s="3" t="str">
        <f>LOWER(VLOOKUP(A49,Xtal_Templ!A:B,2,FALSE))</f>
        <v>5ht1b_human</v>
      </c>
      <c r="C49" s="3">
        <f>VLOOKUP($A49,'SegEnds_NonXtal_BW#'!$A:$Z,3,FALSE)+D49-50</f>
        <v>77</v>
      </c>
      <c r="D49" s="3">
        <v>99</v>
      </c>
      <c r="E49" s="3">
        <f>IF(ISERROR(VLOOKUP($A49,'SegEnds_NonXtal_BW#'!$A:$Z,4,FALSE)+VLOOKUP($A49,A:AL,4,FALSE)-50),"-",(VLOOKUP($A49,'SegEnds_NonXtal_BW#'!$A:$Z,4,FALSE)+VLOOKUP($A49,A:AL,4,FALSE)-50))</f>
        <v>109</v>
      </c>
      <c r="F49" s="3">
        <f t="shared" si="27"/>
        <v>110</v>
      </c>
      <c r="G49" s="3">
        <v>112</v>
      </c>
      <c r="H49" s="3">
        <f t="shared" ref="H49:I68" si="33">G49+1</f>
        <v>113</v>
      </c>
      <c r="I49" s="3">
        <f t="shared" si="33"/>
        <v>114</v>
      </c>
      <c r="J49" s="3">
        <v>127</v>
      </c>
      <c r="K49" s="3">
        <f>VLOOKUP($A49,'SegEnds_NonXtal_BW#'!$A:$Z,8,FALSE)+VLOOKUP($A49,A:AL,10,FALSE)-50</f>
        <v>145</v>
      </c>
      <c r="L49" s="3">
        <f t="shared" si="32"/>
        <v>147</v>
      </c>
      <c r="M49" s="3">
        <v>148</v>
      </c>
      <c r="N49" s="3">
        <f t="shared" si="30"/>
        <v>150</v>
      </c>
      <c r="O49" s="3">
        <f t="shared" si="29"/>
        <v>151</v>
      </c>
      <c r="P49" s="3">
        <v>180</v>
      </c>
      <c r="Q49" s="3">
        <f>VLOOKUP($A49,'SegEnds_NonXtal_BW#'!$A:$Z,12,FALSE)+VLOOKUP($A49,A:AL,16,FALSE)-50</f>
        <v>186</v>
      </c>
      <c r="R49" s="3">
        <f>IF(ISERROR(VLOOKUP($A49,'SegEnds_NonXtal_BW#'!$A:$Z,13,FALSE)+VLOOKUP($A49,A:AL,19,FALSE)-50),"-",VLOOKUP($A49,'SegEnds_NonXtal_BW#'!$A:$Z,13,FALSE)+VLOOKUP($A49,A:AL,19,FALSE)-50)</f>
        <v>187</v>
      </c>
      <c r="S49" s="3">
        <v>187</v>
      </c>
      <c r="T49" s="100">
        <f>IF(ISERROR(VLOOKUP($A49,'SegEnds_NonXtal_BW#'!$A:$Z,14,FALSE)+VLOOKUP($A49,A:AL,19,FALSE)-50),"-",(VLOOKUP($A49,'SegEnds_NonXtal_BW#'!$A:$Z,14,FALSE)+VLOOKUP($A49,A:AL,19,FALSE)-50))</f>
        <v>194</v>
      </c>
      <c r="U49" s="9">
        <f>IF(ISERROR(VLOOKUP($A49,'SegEnds_NonXtal_BW#'!$A:$Z,15,FALSE)+VLOOKUP($A49,A:AL,22,FALSE)-50),"-",VLOOKUP($A49,'SegEnds_NonXtal_BW#'!$A:$Z,15,FALSE)+VLOOKUP($A49,A:AL,22,FALSE)-50)</f>
        <v>195</v>
      </c>
      <c r="V49" s="3">
        <v>207</v>
      </c>
      <c r="W49" s="3">
        <f>IF(ISERROR(VLOOKUP($A49,'SegEnds_NonXtal_BW#'!$A:$Z,16,FALSE)+VLOOKUP($A49,A:AL,22,FALSE)-50),"-",(VLOOKUP($A49,'SegEnds_NonXtal_BW#'!$A:$Z,16,FALSE)+VLOOKUP($A49,A:AL,22,FALSE)-50))</f>
        <v>220</v>
      </c>
      <c r="X49" s="3">
        <f>IF(ISERROR(VLOOKUP($A49,'SegEnds_NonXtal_BW#'!$A:$Z,17,FALSE)+VLOOKUP($A49,A:AL,25,FALSE)-50),"-",(VLOOKUP($A49,'SegEnds_NonXtal_BW#'!$A:$Z,17,FALSE)+VLOOKUP($A49,A:AL,25,FALSE)-50))</f>
        <v>231</v>
      </c>
      <c r="Y49" s="3">
        <v>231</v>
      </c>
      <c r="Z49" s="3">
        <f t="shared" si="31"/>
        <v>233</v>
      </c>
      <c r="AA49" s="3">
        <f>IF(ISERROR(VLOOKUP($A49,'SegEnds_NonXtal_BW#'!$A:$Z,19,FALSE)+VLOOKUP($A49,A:AL,28,FALSE)-50),"-",(VLOOKUP($A49,'SegEnds_NonXtal_BW#'!$A:$Z,19,FALSE)+VLOOKUP($A49,A:AL,28,FALSE)-50))</f>
        <v>236</v>
      </c>
      <c r="AB49" s="3">
        <v>251</v>
      </c>
      <c r="AC49" s="3">
        <f>IF(ISERROR((VLOOKUP($A49,'SegEnds_NonXtal_BW#'!$A:$Z,20,FALSE)+VLOOKUP($A49,A:AL,28,FALSE)-50)),"-",(VLOOKUP($A49,'SegEnds_NonXtal_BW#'!$A:$Z,20,FALSE)+VLOOKUP($A49,A:AL,28,FALSE)-50))</f>
        <v>277</v>
      </c>
      <c r="AD49" s="3">
        <f>IF(ISERROR(VLOOKUP($A49,'SegEnds_NonXtal_BW#'!$A:$Z,21,FALSE)+VLOOKUP($A49,A:AL,31,FALSE)-50),"-",(VLOOKUP($A49,'SegEnds_NonXtal_BW#'!$A:$Z,21,FALSE)+VLOOKUP($A49,A:AL,31,FALSE)-50))</f>
        <v>316</v>
      </c>
      <c r="AE49" s="3">
        <v>342</v>
      </c>
      <c r="AF49" s="3">
        <f>IF(ISERROR((VLOOKUP($A49,'SegEnds_NonXtal_BW#'!$A:$Z,22,FALSE)+VLOOKUP($A49,A:AL,31,FALSE)-50)),"-",(VLOOKUP($A49,'SegEnds_NonXtal_BW#'!$A:$Z,22,FALSE)+VLOOKUP($A49,A:AL,31,FALSE)-50))</f>
        <v>353</v>
      </c>
      <c r="AG49" s="3">
        <f>IF(ISERROR(VLOOKUP($A49,'SegEnds_NonXtal_BW#'!$A:$Z,23,FALSE)+VLOOKUP($A49,A:AL,34,FALSE)-50),"-",(VLOOKUP($A49,'SegEnds_NonXtal_BW#'!$A:$Z,23,FALSE)+VLOOKUP($A49,A:AL,34,FALSE)-50))</f>
        <v>358</v>
      </c>
      <c r="AH49" s="3">
        <v>381</v>
      </c>
      <c r="AI49" s="3">
        <f>IF(ISERROR((VLOOKUP($A49,'SegEnds_NonXtal_BW#'!$A:$Z,24,FALSE)+VLOOKUP($A49,A:AL,34,FALSE)-50)),"-",(VLOOKUP($A49,'SegEnds_NonXtal_BW#'!$A:$Z,24,FALSE)+VLOOKUP($A49,A:AL,34,FALSE)-50))</f>
        <v>387</v>
      </c>
      <c r="AJ49" s="3">
        <f>IF(ISERROR(VLOOKUP($A49,'SegEnds_NonXtal_BW#'!$A:$Z,25,FALSE)+VLOOKUP($A49,A:AL,37,FALSE)-50),"-",(VLOOKUP($A49,'SegEnds_NonXtal_BW#'!$A:$Z,25,FALSE)+VLOOKUP($A49,A:AL,37,FALSE)-50))</f>
        <v>388</v>
      </c>
      <c r="AK49" s="3">
        <v>391</v>
      </c>
      <c r="AL49" s="3">
        <f>IF(ISERROR((VLOOKUP($A49,'SegEnds_NonXtal_BW#'!$A:$Z,26,FALSE)+VLOOKUP($A49,A:AL,37,FALSE)-50)),"-",(VLOOKUP($A49,'SegEnds_NonXtal_BW#'!$A:$Z,26,FALSE)+VLOOKUP($A49,A:AL,37,FALSE)-50))</f>
        <v>399</v>
      </c>
      <c r="AM49" s="28" t="str">
        <f>VLOOKUP(A49,Classification!A:B,2,FALSE)</f>
        <v>A</v>
      </c>
      <c r="AN49" s="28" t="b">
        <f t="shared" si="17"/>
        <v>1</v>
      </c>
      <c r="AO49" s="3" t="str">
        <f>IF(ISERROR(MATCH(A49,'SegEnds_Xtal_Prot#'!B:B, 0)), "NoXtal", "Xtal")</f>
        <v>NoXtal</v>
      </c>
      <c r="AP49" s="3">
        <f t="shared" si="2"/>
        <v>1</v>
      </c>
      <c r="AQ49" s="3">
        <f t="shared" si="3"/>
        <v>1</v>
      </c>
      <c r="AR49" s="3">
        <f t="shared" si="4"/>
        <v>2</v>
      </c>
      <c r="AS49" s="3">
        <f t="shared" si="5"/>
        <v>1</v>
      </c>
      <c r="AT49" s="3">
        <f t="shared" si="6"/>
        <v>1</v>
      </c>
      <c r="AU49" s="3">
        <f t="shared" si="7"/>
        <v>1</v>
      </c>
      <c r="AV49" s="3">
        <f t="shared" si="8"/>
        <v>11</v>
      </c>
      <c r="AW49" s="3">
        <f t="shared" si="9"/>
        <v>3</v>
      </c>
      <c r="AX49" s="3">
        <f t="shared" si="10"/>
        <v>39</v>
      </c>
      <c r="AY49" s="3">
        <f t="shared" si="11"/>
        <v>5</v>
      </c>
      <c r="AZ49" s="3">
        <f t="shared" si="12"/>
        <v>1</v>
      </c>
      <c r="BA49" s="3">
        <f>IF(ISERROR(LEN(VLOOKUP(A49,Seqs!A:E,2,FALSE))-AL49),"-",LEN(VLOOKUP(A49,Seqs!A:E,2,FALSE))-AL49)</f>
        <v>80</v>
      </c>
      <c r="BB49" s="16">
        <f t="shared" si="13"/>
        <v>28</v>
      </c>
      <c r="BC49" s="9">
        <f t="shared" si="14"/>
        <v>20</v>
      </c>
      <c r="BD49" s="3">
        <f t="shared" si="15"/>
        <v>28</v>
      </c>
      <c r="BE49" s="3">
        <f t="shared" si="16"/>
        <v>91</v>
      </c>
    </row>
    <row r="50" spans="1:58" s="3" customFormat="1" x14ac:dyDescent="0.2">
      <c r="A50" s="3" t="s">
        <v>138</v>
      </c>
      <c r="B50" s="3" t="str">
        <f>LOWER(VLOOKUP(A50,Xtal_Templ!A:B,2,FALSE))</f>
        <v>aa1r_human</v>
      </c>
      <c r="C50" s="3">
        <f>VLOOKUP($A50,'SegEnds_NonXtal_BW#'!$A:$Z,3,FALSE)+D50-50</f>
        <v>6</v>
      </c>
      <c r="D50" s="3">
        <v>27</v>
      </c>
      <c r="E50" s="3">
        <f>IF(ISERROR(VLOOKUP($A50,'SegEnds_NonXtal_BW#'!$A:$Z,4,FALSE)+VLOOKUP($A50,A:AL,4,FALSE)-50),"-",(VLOOKUP($A50,'SegEnds_NonXtal_BW#'!$A:$Z,4,FALSE)+VLOOKUP($A50,A:AL,4,FALSE)-50))</f>
        <v>37</v>
      </c>
      <c r="F50" s="3">
        <f t="shared" si="27"/>
        <v>38</v>
      </c>
      <c r="G50" s="3">
        <v>40</v>
      </c>
      <c r="H50" s="3">
        <f t="shared" si="33"/>
        <v>41</v>
      </c>
      <c r="I50" s="3">
        <f t="shared" si="33"/>
        <v>42</v>
      </c>
      <c r="J50" s="3">
        <v>55</v>
      </c>
      <c r="K50" s="3">
        <v>72</v>
      </c>
      <c r="L50" s="3">
        <f>M50</f>
        <v>73</v>
      </c>
      <c r="M50" s="3">
        <v>73</v>
      </c>
      <c r="N50" s="3">
        <f t="shared" si="30"/>
        <v>75</v>
      </c>
      <c r="O50" s="3">
        <f t="shared" si="29"/>
        <v>76</v>
      </c>
      <c r="P50" s="3">
        <v>105</v>
      </c>
      <c r="Q50" s="3">
        <f>VLOOKUP($A50,'SegEnds_NonXtal_BW#'!$A:$Z,12,FALSE)+VLOOKUP($A50,A:AL,16,FALSE)-50</f>
        <v>111</v>
      </c>
      <c r="R50" s="3">
        <f>IF(ISERROR(VLOOKUP($A50,'SegEnds_NonXtal_BW#'!$A:$Z,13,FALSE)+VLOOKUP($A50,A:AL,19,FALSE)-50),"-",VLOOKUP($A50,'SegEnds_NonXtal_BW#'!$A:$Z,13,FALSE)+VLOOKUP($A50,A:AL,19,FALSE)-50)</f>
        <v>112</v>
      </c>
      <c r="S50" s="3">
        <v>112</v>
      </c>
      <c r="T50" s="100">
        <f>IF(ISERROR(VLOOKUP($A50,'SegEnds_NonXtal_BW#'!$A:$Z,14,FALSE)+VLOOKUP($A50,A:AL,19,FALSE)-50),"-",(VLOOKUP($A50,'SegEnds_NonXtal_BW#'!$A:$Z,14,FALSE)+VLOOKUP($A50,A:AL,19,FALSE)-50))</f>
        <v>119</v>
      </c>
      <c r="U50" s="9">
        <f>IF(ISERROR(VLOOKUP($A50,'SegEnds_NonXtal_BW#'!$A:$Z,15,FALSE)+VLOOKUP($A50,A:AL,22,FALSE)-50),"-",VLOOKUP($A50,'SegEnds_NonXtal_BW#'!$A:$Z,15,FALSE)+VLOOKUP($A50,A:AL,22,FALSE)-50)</f>
        <v>120</v>
      </c>
      <c r="V50" s="3">
        <v>132</v>
      </c>
      <c r="W50" s="3">
        <f>IF(ISERROR(VLOOKUP($A50,'SegEnds_NonXtal_BW#'!$A:$Z,16,FALSE)+VLOOKUP($A50,A:AL,22,FALSE)-50),"-",(VLOOKUP($A50,'SegEnds_NonXtal_BW#'!$A:$Z,16,FALSE)+VLOOKUP($A50,A:AL,22,FALSE)-50))</f>
        <v>145</v>
      </c>
      <c r="X50" s="3">
        <f>IF(ISERROR(VLOOKUP($A50,'SegEnds_NonXtal_BW#'!$A:$Z,17,FALSE)+VLOOKUP($A50,A:AL,25,FALSE)-50),"-",(VLOOKUP($A50,'SegEnds_NonXtal_BW#'!$A:$Z,17,FALSE)+VLOOKUP($A50,A:AL,25,FALSE)-50))</f>
        <v>169</v>
      </c>
      <c r="Y50" s="3">
        <v>169</v>
      </c>
      <c r="Z50" s="3">
        <f t="shared" si="31"/>
        <v>171</v>
      </c>
      <c r="AA50" s="3">
        <f>IF(ISERROR(VLOOKUP($A50,'SegEnds_NonXtal_BW#'!$A:$Z,19,FALSE)+VLOOKUP($A50,A:AL,28,FALSE)-50),"-",(VLOOKUP($A50,'SegEnds_NonXtal_BW#'!$A:$Z,19,FALSE)+VLOOKUP($A50,A:AL,28,FALSE)-50))</f>
        <v>176</v>
      </c>
      <c r="AB50" s="3">
        <v>192</v>
      </c>
      <c r="AC50" s="3">
        <f>IF(ISERROR((VLOOKUP($A50,'SegEnds_NonXtal_BW#'!$A:$Z,20,FALSE)+VLOOKUP($A50,A:AL,28,FALSE)-50)),"-",(VLOOKUP($A50,'SegEnds_NonXtal_BW#'!$A:$Z,20,FALSE)+VLOOKUP($A50,A:AL,28,FALSE)-50))</f>
        <v>215</v>
      </c>
      <c r="AD50" s="3">
        <f>IF(ISERROR(VLOOKUP($A50,'SegEnds_NonXtal_BW#'!$A:$Z,21,FALSE)+VLOOKUP($A50,A:AL,31,FALSE)-50),"-",(VLOOKUP($A50,'SegEnds_NonXtal_BW#'!$A:$Z,21,FALSE)+VLOOKUP($A50,A:AL,31,FALSE)-50))</f>
        <v>221</v>
      </c>
      <c r="AE50" s="3">
        <v>249</v>
      </c>
      <c r="AF50" s="3">
        <f>IF(ISERROR((VLOOKUP($A50,'SegEnds_NonXtal_BW#'!$A:$Z,22,FALSE)+VLOOKUP($A50,A:AL,31,FALSE)-50)),"-",(VLOOKUP($A50,'SegEnds_NonXtal_BW#'!$A:$Z,22,FALSE)+VLOOKUP($A50,A:AL,31,FALSE)-50))</f>
        <v>260</v>
      </c>
      <c r="AG50" s="3">
        <f>IF(ISERROR(VLOOKUP($A50,'SegEnds_NonXtal_BW#'!$A:$Z,23,FALSE)+VLOOKUP($A50,A:AL,34,FALSE)-50),"-",(VLOOKUP($A50,'SegEnds_NonXtal_BW#'!$A:$Z,23,FALSE)+VLOOKUP($A50,A:AL,34,FALSE)-50))</f>
        <v>266</v>
      </c>
      <c r="AH50" s="3">
        <v>285</v>
      </c>
      <c r="AI50" s="3">
        <f>IF(ISERROR((VLOOKUP($A50,'SegEnds_NonXtal_BW#'!$A:$Z,24,FALSE)+VLOOKUP($A50,A:AL,34,FALSE)-50)),"-",(VLOOKUP($A50,'SegEnds_NonXtal_BW#'!$A:$Z,24,FALSE)+VLOOKUP($A50,A:AL,34,FALSE)-50))</f>
        <v>291</v>
      </c>
      <c r="AJ50" s="3">
        <f>IF(ISERROR(VLOOKUP($A50,'SegEnds_NonXtal_BW#'!$A:$Z,25,FALSE)+VLOOKUP($A50,A:AL,37,FALSE)-50),"-",(VLOOKUP($A50,'SegEnds_NonXtal_BW#'!$A:$Z,25,FALSE)+VLOOKUP($A50,A:AL,37,FALSE)-50))</f>
        <v>292</v>
      </c>
      <c r="AK50" s="3">
        <v>295</v>
      </c>
      <c r="AL50" s="3">
        <f>IF(ISERROR((VLOOKUP($A50,'SegEnds_NonXtal_BW#'!$A:$Z,26,FALSE)+VLOOKUP($A50,A:AL,37,FALSE)-50)),"-",(VLOOKUP($A50,'SegEnds_NonXtal_BW#'!$A:$Z,26,FALSE)+VLOOKUP($A50,A:AL,37,FALSE)-50))</f>
        <v>314</v>
      </c>
      <c r="AM50" s="28" t="str">
        <f>VLOOKUP(A50,Classification!A:B,2,FALSE)</f>
        <v>A</v>
      </c>
      <c r="AN50" s="28" t="b">
        <f t="shared" si="17"/>
        <v>1</v>
      </c>
      <c r="AO50" s="3" t="str">
        <f>IF(ISERROR(MATCH(A50,'SegEnds_Xtal_Prot#'!B:B, 0)), "NoXtal", "Xtal")</f>
        <v>Xtal</v>
      </c>
      <c r="AP50" s="3">
        <f t="shared" si="2"/>
        <v>1</v>
      </c>
      <c r="AQ50" s="3">
        <f t="shared" si="3"/>
        <v>1</v>
      </c>
      <c r="AR50" s="3">
        <f t="shared" si="4"/>
        <v>1</v>
      </c>
      <c r="AS50" s="3">
        <f t="shared" si="5"/>
        <v>1</v>
      </c>
      <c r="AT50" s="3">
        <f t="shared" si="6"/>
        <v>1</v>
      </c>
      <c r="AU50" s="3">
        <f t="shared" si="7"/>
        <v>1</v>
      </c>
      <c r="AV50" s="3">
        <f t="shared" si="8"/>
        <v>24</v>
      </c>
      <c r="AW50" s="3">
        <f t="shared" si="9"/>
        <v>5</v>
      </c>
      <c r="AX50" s="3">
        <f t="shared" si="10"/>
        <v>6</v>
      </c>
      <c r="AY50" s="3">
        <f t="shared" si="11"/>
        <v>6</v>
      </c>
      <c r="AZ50" s="3">
        <f t="shared" si="12"/>
        <v>1</v>
      </c>
      <c r="BA50" s="3">
        <f>IF(ISERROR(LEN(VLOOKUP(A50,Seqs!A:E,2,FALSE))-AL50),"-",LEN(VLOOKUP(A50,Seqs!A:E,2,FALSE))-AL50)</f>
        <v>12</v>
      </c>
      <c r="BB50" s="16">
        <f t="shared" si="13"/>
        <v>28</v>
      </c>
      <c r="BC50" s="9">
        <f t="shared" si="14"/>
        <v>20</v>
      </c>
      <c r="BD50" s="3">
        <f t="shared" si="15"/>
        <v>28</v>
      </c>
      <c r="BE50" s="3">
        <f t="shared" si="16"/>
        <v>57</v>
      </c>
      <c r="BF50" s="3">
        <f>AH50-AE50</f>
        <v>36</v>
      </c>
    </row>
    <row r="51" spans="1:58" s="3" customFormat="1" x14ac:dyDescent="0.2">
      <c r="A51" s="3" t="s">
        <v>139</v>
      </c>
      <c r="B51" s="3" t="str">
        <f>LOWER(VLOOKUP(A51,Xtal_Templ!A:B,2,FALSE))</f>
        <v>aa2ar_human</v>
      </c>
      <c r="C51" s="3">
        <f>VLOOKUP($A51,'SegEnds_NonXtal_BW#'!$A:$Z,3,FALSE)+D51-50</f>
        <v>1</v>
      </c>
      <c r="D51" s="3">
        <v>24</v>
      </c>
      <c r="E51" s="3">
        <f>IF(ISERROR(VLOOKUP($A51,'SegEnds_NonXtal_BW#'!$A:$Z,4,FALSE)+VLOOKUP($A51,A:AL,4,FALSE)-50),"-",(VLOOKUP($A51,'SegEnds_NonXtal_BW#'!$A:$Z,4,FALSE)+VLOOKUP($A51,A:AL,4,FALSE)-50))</f>
        <v>34</v>
      </c>
      <c r="F51" s="3">
        <f t="shared" si="27"/>
        <v>35</v>
      </c>
      <c r="G51" s="3">
        <v>37</v>
      </c>
      <c r="H51" s="3">
        <f t="shared" si="33"/>
        <v>38</v>
      </c>
      <c r="I51" s="3">
        <f t="shared" si="33"/>
        <v>39</v>
      </c>
      <c r="J51" s="3">
        <v>52</v>
      </c>
      <c r="K51" s="3">
        <v>69</v>
      </c>
      <c r="L51" s="3">
        <f>M51</f>
        <v>70</v>
      </c>
      <c r="M51" s="3">
        <v>70</v>
      </c>
      <c r="N51" s="3">
        <f t="shared" si="30"/>
        <v>72</v>
      </c>
      <c r="O51" s="3">
        <f t="shared" si="29"/>
        <v>73</v>
      </c>
      <c r="P51" s="3">
        <v>102</v>
      </c>
      <c r="Q51" s="3">
        <f>VLOOKUP($A51,'SegEnds_NonXtal_BW#'!$A:$Z,12,FALSE)+VLOOKUP($A51,A:AL,16,FALSE)-50</f>
        <v>108</v>
      </c>
      <c r="R51" s="3">
        <f>IF(ISERROR(VLOOKUP($A51,'SegEnds_NonXtal_BW#'!$A:$Z,13,FALSE)+VLOOKUP($A51,A:AL,19,FALSE)-50),"-",VLOOKUP($A51,'SegEnds_NonXtal_BW#'!$A:$Z,13,FALSE)+VLOOKUP($A51,A:AL,19,FALSE)-50)</f>
        <v>109</v>
      </c>
      <c r="S51" s="3">
        <v>109</v>
      </c>
      <c r="T51" s="100">
        <f>IF(ISERROR(VLOOKUP($A51,'SegEnds_NonXtal_BW#'!$A:$Z,14,FALSE)+VLOOKUP($A51,A:AL,19,FALSE)-50),"-",(VLOOKUP($A51,'SegEnds_NonXtal_BW#'!$A:$Z,14,FALSE)+VLOOKUP($A51,A:AL,19,FALSE)-50))</f>
        <v>116</v>
      </c>
      <c r="U51" s="9">
        <f>IF(ISERROR(VLOOKUP($A51,'SegEnds_NonXtal_BW#'!$A:$Z,15,FALSE)+VLOOKUP($A51,A:AL,22,FALSE)-50),"-",VLOOKUP($A51,'SegEnds_NonXtal_BW#'!$A:$Z,15,FALSE)+VLOOKUP($A51,A:AL,22,FALSE)-50)</f>
        <v>117</v>
      </c>
      <c r="V51" s="3">
        <v>129</v>
      </c>
      <c r="W51" s="3">
        <f>IF(ISERROR(VLOOKUP($A51,'SegEnds_NonXtal_BW#'!$A:$Z,16,FALSE)+VLOOKUP($A51,A:AL,22,FALSE)-50),"-",(VLOOKUP($A51,'SegEnds_NonXtal_BW#'!$A:$Z,16,FALSE)+VLOOKUP($A51,A:AL,22,FALSE)-50))</f>
        <v>142</v>
      </c>
      <c r="X51" s="3">
        <f>IF(ISERROR(VLOOKUP($A51,'SegEnds_NonXtal_BW#'!$A:$Z,17,FALSE)+VLOOKUP($A51,A:AL,25,FALSE)-50),"-",(VLOOKUP($A51,'SegEnds_NonXtal_BW#'!$A:$Z,17,FALSE)+VLOOKUP($A51,A:AL,25,FALSE)-50))</f>
        <v>166</v>
      </c>
      <c r="Y51" s="3">
        <v>166</v>
      </c>
      <c r="Z51" s="3">
        <f t="shared" si="31"/>
        <v>168</v>
      </c>
      <c r="AA51" s="3">
        <f>IF(ISERROR(VLOOKUP($A51,'SegEnds_NonXtal_BW#'!$A:$Z,19,FALSE)+VLOOKUP($A51,A:AL,28,FALSE)-50),"-",(VLOOKUP($A51,'SegEnds_NonXtal_BW#'!$A:$Z,19,FALSE)+VLOOKUP($A51,A:AL,28,FALSE)-50))</f>
        <v>173</v>
      </c>
      <c r="AB51" s="3">
        <v>189</v>
      </c>
      <c r="AC51" s="3">
        <f>IF(ISERROR((VLOOKUP($A51,'SegEnds_NonXtal_BW#'!$A:$Z,20,FALSE)+VLOOKUP($A51,A:AL,28,FALSE)-50)),"-",(VLOOKUP($A51,'SegEnds_NonXtal_BW#'!$A:$Z,20,FALSE)+VLOOKUP($A51,A:AL,28,FALSE)-50))</f>
        <v>213</v>
      </c>
      <c r="AD51" s="3">
        <f>IF(ISERROR(VLOOKUP($A51,'SegEnds_NonXtal_BW#'!$A:$Z,21,FALSE)+VLOOKUP($A51,A:AL,31,FALSE)-50),"-",(VLOOKUP($A51,'SegEnds_NonXtal_BW#'!$A:$Z,21,FALSE)+VLOOKUP($A51,A:AL,31,FALSE)-50))</f>
        <v>219</v>
      </c>
      <c r="AE51" s="3">
        <v>248</v>
      </c>
      <c r="AF51" s="3">
        <f>IF(ISERROR((VLOOKUP($A51,'SegEnds_NonXtal_BW#'!$A:$Z,22,FALSE)+VLOOKUP($A51,A:AL,31,FALSE)-50)),"-",(VLOOKUP($A51,'SegEnds_NonXtal_BW#'!$A:$Z,22,FALSE)+VLOOKUP($A51,A:AL,31,FALSE)-50))</f>
        <v>259</v>
      </c>
      <c r="AG51" s="3">
        <f>IF(ISERROR(VLOOKUP($A51,'SegEnds_NonXtal_BW#'!$A:$Z,23,FALSE)+VLOOKUP($A51,A:AL,34,FALSE)-50),"-",(VLOOKUP($A51,'SegEnds_NonXtal_BW#'!$A:$Z,23,FALSE)+VLOOKUP($A51,A:AL,34,FALSE)-50))</f>
        <v>266</v>
      </c>
      <c r="AH51" s="3">
        <v>285</v>
      </c>
      <c r="AI51" s="3">
        <f>IF(ISERROR((VLOOKUP($A51,'SegEnds_NonXtal_BW#'!$A:$Z,24,FALSE)+VLOOKUP($A51,A:AL,34,FALSE)-50)),"-",(VLOOKUP($A51,'SegEnds_NonXtal_BW#'!$A:$Z,24,FALSE)+VLOOKUP($A51,A:AL,34,FALSE)-50))</f>
        <v>291</v>
      </c>
      <c r="AJ51" s="3">
        <f>IF(ISERROR(VLOOKUP($A51,'SegEnds_NonXtal_BW#'!$A:$Z,25,FALSE)+VLOOKUP($A51,A:AL,37,FALSE)-50),"-",(VLOOKUP($A51,'SegEnds_NonXtal_BW#'!$A:$Z,25,FALSE)+VLOOKUP($A51,A:AL,37,FALSE)-50))</f>
        <v>292</v>
      </c>
      <c r="AK51" s="3">
        <v>295</v>
      </c>
      <c r="AL51" s="3">
        <f>IF(ISERROR((VLOOKUP($A51,'SegEnds_NonXtal_BW#'!$A:$Z,26,FALSE)+VLOOKUP($A51,A:AL,37,FALSE)-50)),"-",(VLOOKUP($A51,'SegEnds_NonXtal_BW#'!$A:$Z,26,FALSE)+VLOOKUP($A51,A:AL,37,FALSE)-50))</f>
        <v>314</v>
      </c>
      <c r="AM51" s="28" t="str">
        <f>VLOOKUP(A51,Classification!A:B,2,FALSE)</f>
        <v>A</v>
      </c>
      <c r="AN51" s="28" t="b">
        <f t="shared" si="17"/>
        <v>1</v>
      </c>
      <c r="AO51" s="3" t="str">
        <f>IF(ISERROR(MATCH(A51,'SegEnds_Xtal_Prot#'!B:B, 0)), "NoXtal", "Xtal")</f>
        <v>Xtal</v>
      </c>
      <c r="AP51" s="3">
        <f t="shared" si="2"/>
        <v>1</v>
      </c>
      <c r="AQ51" s="3">
        <f t="shared" si="3"/>
        <v>1</v>
      </c>
      <c r="AR51" s="3">
        <f t="shared" si="4"/>
        <v>1</v>
      </c>
      <c r="AS51" s="3">
        <f t="shared" si="5"/>
        <v>1</v>
      </c>
      <c r="AT51" s="3">
        <f t="shared" si="6"/>
        <v>1</v>
      </c>
      <c r="AU51" s="3">
        <f t="shared" si="7"/>
        <v>1</v>
      </c>
      <c r="AV51" s="3">
        <f t="shared" si="8"/>
        <v>24</v>
      </c>
      <c r="AW51" s="3">
        <f t="shared" si="9"/>
        <v>5</v>
      </c>
      <c r="AX51" s="3">
        <f t="shared" si="10"/>
        <v>6</v>
      </c>
      <c r="AY51" s="3">
        <f t="shared" si="11"/>
        <v>7</v>
      </c>
      <c r="AZ51" s="3">
        <f t="shared" si="12"/>
        <v>1</v>
      </c>
      <c r="BA51" s="3">
        <f>IF(ISERROR(LEN(VLOOKUP(A51,Seqs!A:E,2,FALSE))-AL51),"-",LEN(VLOOKUP(A51,Seqs!A:E,2,FALSE))-AL51)</f>
        <v>98</v>
      </c>
      <c r="BB51" s="16">
        <f t="shared" si="13"/>
        <v>28</v>
      </c>
      <c r="BC51" s="9">
        <f t="shared" si="14"/>
        <v>20</v>
      </c>
      <c r="BD51" s="3">
        <f t="shared" si="15"/>
        <v>28</v>
      </c>
      <c r="BE51" s="3">
        <f t="shared" si="16"/>
        <v>59</v>
      </c>
    </row>
    <row r="52" spans="1:58" s="3" customFormat="1" x14ac:dyDescent="0.2">
      <c r="A52" s="3" t="s">
        <v>140</v>
      </c>
      <c r="B52" s="3" t="str">
        <f>LOWER(VLOOKUP(A52,Xtal_Templ!A:B,2,FALSE))</f>
        <v>aa2ar_human</v>
      </c>
      <c r="C52" s="3">
        <f>VLOOKUP($A52,'SegEnds_NonXtal_BW#'!$A:$Z,3,FALSE)+D52-50</f>
        <v>2</v>
      </c>
      <c r="D52" s="3">
        <v>25</v>
      </c>
      <c r="E52" s="3">
        <f>IF(ISERROR(VLOOKUP($A52,'SegEnds_NonXtal_BW#'!$A:$Z,4,FALSE)+VLOOKUP($A52,A:AL,4,FALSE)-50),"-",(VLOOKUP($A52,'SegEnds_NonXtal_BW#'!$A:$Z,4,FALSE)+VLOOKUP($A52,A:AL,4,FALSE)-50))</f>
        <v>35</v>
      </c>
      <c r="F52" s="3">
        <f t="shared" si="27"/>
        <v>36</v>
      </c>
      <c r="G52" s="3">
        <v>38</v>
      </c>
      <c r="H52" s="3">
        <f t="shared" si="33"/>
        <v>39</v>
      </c>
      <c r="I52" s="3">
        <f t="shared" si="33"/>
        <v>40</v>
      </c>
      <c r="J52" s="3">
        <v>53</v>
      </c>
      <c r="K52" s="3">
        <v>70</v>
      </c>
      <c r="L52" s="3">
        <f>M52</f>
        <v>71</v>
      </c>
      <c r="M52" s="3">
        <v>71</v>
      </c>
      <c r="N52" s="3">
        <f t="shared" si="30"/>
        <v>73</v>
      </c>
      <c r="O52" s="3">
        <f t="shared" si="29"/>
        <v>74</v>
      </c>
      <c r="P52" s="3">
        <v>103</v>
      </c>
      <c r="Q52" s="3">
        <f>VLOOKUP($A52,'SegEnds_NonXtal_BW#'!$A:$Z,12,FALSE)+VLOOKUP($A52,A:AL,16,FALSE)-50</f>
        <v>109</v>
      </c>
      <c r="R52" s="3">
        <f>IF(ISERROR(VLOOKUP($A52,'SegEnds_NonXtal_BW#'!$A:$Z,13,FALSE)+VLOOKUP($A52,A:AL,19,FALSE)-50),"-",VLOOKUP($A52,'SegEnds_NonXtal_BW#'!$A:$Z,13,FALSE)+VLOOKUP($A52,A:AL,19,FALSE)-50)</f>
        <v>110</v>
      </c>
      <c r="S52" s="3">
        <v>110</v>
      </c>
      <c r="T52" s="100">
        <f>IF(ISERROR(VLOOKUP($A52,'SegEnds_NonXtal_BW#'!$A:$Z,14,FALSE)+VLOOKUP($A52,A:AL,19,FALSE)-50),"-",(VLOOKUP($A52,'SegEnds_NonXtal_BW#'!$A:$Z,14,FALSE)+VLOOKUP($A52,A:AL,19,FALSE)-50))</f>
        <v>117</v>
      </c>
      <c r="U52" s="9">
        <f>IF(ISERROR(VLOOKUP($A52,'SegEnds_NonXtal_BW#'!$A:$Z,15,FALSE)+VLOOKUP($A52,A:AL,22,FALSE)-50),"-",VLOOKUP($A52,'SegEnds_NonXtal_BW#'!$A:$Z,15,FALSE)+VLOOKUP($A52,A:AL,22,FALSE)-50)</f>
        <v>118</v>
      </c>
      <c r="V52" s="3">
        <v>130</v>
      </c>
      <c r="W52" s="3">
        <f>IF(ISERROR(VLOOKUP($A52,'SegEnds_NonXtal_BW#'!$A:$Z,16,FALSE)+VLOOKUP($A52,A:AL,22,FALSE)-50),"-",(VLOOKUP($A52,'SegEnds_NonXtal_BW#'!$A:$Z,16,FALSE)+VLOOKUP($A52,A:AL,22,FALSE)-50))</f>
        <v>143</v>
      </c>
      <c r="X52" s="3">
        <f>IF(ISERROR(VLOOKUP($A52,'SegEnds_NonXtal_BW#'!$A:$Z,17,FALSE)+VLOOKUP($A52,A:AL,25,FALSE)-50),"-",(VLOOKUP($A52,'SegEnds_NonXtal_BW#'!$A:$Z,17,FALSE)+VLOOKUP($A52,A:AL,25,FALSE)-50))</f>
        <v>171</v>
      </c>
      <c r="Y52" s="3">
        <v>171</v>
      </c>
      <c r="Z52" s="3">
        <f t="shared" si="31"/>
        <v>173</v>
      </c>
      <c r="AA52" s="3">
        <f>IF(ISERROR(VLOOKUP($A52,'SegEnds_NonXtal_BW#'!$A:$Z,19,FALSE)+VLOOKUP($A52,A:AL,28,FALSE)-50),"-",(VLOOKUP($A52,'SegEnds_NonXtal_BW#'!$A:$Z,19,FALSE)+VLOOKUP($A52,A:AL,28,FALSE)-50))</f>
        <v>178</v>
      </c>
      <c r="AB52" s="3">
        <v>194</v>
      </c>
      <c r="AC52" s="3">
        <f>IF(ISERROR((VLOOKUP($A52,'SegEnds_NonXtal_BW#'!$A:$Z,20,FALSE)+VLOOKUP($A52,A:AL,28,FALSE)-50)),"-",(VLOOKUP($A52,'SegEnds_NonXtal_BW#'!$A:$Z,20,FALSE)+VLOOKUP($A52,A:AL,28,FALSE)-50))</f>
        <v>217</v>
      </c>
      <c r="AD52" s="3">
        <f>IF(ISERROR(VLOOKUP($A52,'SegEnds_NonXtal_BW#'!$A:$Z,21,FALSE)+VLOOKUP($A52,A:AL,31,FALSE)-50),"-",(VLOOKUP($A52,'SegEnds_NonXtal_BW#'!$A:$Z,21,FALSE)+VLOOKUP($A52,A:AL,31,FALSE)-50))</f>
        <v>221</v>
      </c>
      <c r="AE52" s="3">
        <v>249</v>
      </c>
      <c r="AF52" s="3">
        <f>IF(ISERROR((VLOOKUP($A52,'SegEnds_NonXtal_BW#'!$A:$Z,22,FALSE)+VLOOKUP($A52,A:AL,31,FALSE)-50)),"-",(VLOOKUP($A52,'SegEnds_NonXtal_BW#'!$A:$Z,22,FALSE)+VLOOKUP($A52,A:AL,31,FALSE)-50))</f>
        <v>260</v>
      </c>
      <c r="AG52" s="3">
        <f>IF(ISERROR(VLOOKUP($A52,'SegEnds_NonXtal_BW#'!$A:$Z,23,FALSE)+VLOOKUP($A52,A:AL,34,FALSE)-50),"-",(VLOOKUP($A52,'SegEnds_NonXtal_BW#'!$A:$Z,23,FALSE)+VLOOKUP($A52,A:AL,34,FALSE)-50))</f>
        <v>268</v>
      </c>
      <c r="AH52" s="3">
        <v>287</v>
      </c>
      <c r="AI52" s="3">
        <f>IF(ISERROR((VLOOKUP($A52,'SegEnds_NonXtal_BW#'!$A:$Z,24,FALSE)+VLOOKUP($A52,A:AL,34,FALSE)-50)),"-",(VLOOKUP($A52,'SegEnds_NonXtal_BW#'!$A:$Z,24,FALSE)+VLOOKUP($A52,A:AL,34,FALSE)-50))</f>
        <v>293</v>
      </c>
      <c r="AJ52" s="3">
        <f>IF(ISERROR(VLOOKUP($A52,'SegEnds_NonXtal_BW#'!$A:$Z,25,FALSE)+VLOOKUP($A52,A:AL,37,FALSE)-50),"-",(VLOOKUP($A52,'SegEnds_NonXtal_BW#'!$A:$Z,25,FALSE)+VLOOKUP($A52,A:AL,37,FALSE)-50))</f>
        <v>294</v>
      </c>
      <c r="AK52" s="3">
        <v>297</v>
      </c>
      <c r="AL52" s="3">
        <f>IF(ISERROR((VLOOKUP($A52,'SegEnds_NonXtal_BW#'!$A:$Z,26,FALSE)+VLOOKUP($A52,A:AL,37,FALSE)-50)),"-",(VLOOKUP($A52,'SegEnds_NonXtal_BW#'!$A:$Z,26,FALSE)+VLOOKUP($A52,A:AL,37,FALSE)-50))</f>
        <v>316</v>
      </c>
      <c r="AM52" s="28" t="str">
        <f>VLOOKUP(A52,Classification!A:B,2,FALSE)</f>
        <v>A</v>
      </c>
      <c r="AN52" s="28" t="b">
        <f t="shared" si="17"/>
        <v>1</v>
      </c>
      <c r="AO52" s="3" t="str">
        <f>IF(ISERROR(MATCH(A52,'SegEnds_Xtal_Prot#'!B:B, 0)), "NoXtal", "Xtal")</f>
        <v>NoXtal</v>
      </c>
      <c r="AP52" s="3">
        <f t="shared" si="2"/>
        <v>1</v>
      </c>
      <c r="AQ52" s="3">
        <f t="shared" si="3"/>
        <v>1</v>
      </c>
      <c r="AR52" s="3">
        <f t="shared" si="4"/>
        <v>1</v>
      </c>
      <c r="AS52" s="3">
        <f t="shared" si="5"/>
        <v>1</v>
      </c>
      <c r="AT52" s="3">
        <f t="shared" si="6"/>
        <v>1</v>
      </c>
      <c r="AU52" s="3">
        <f t="shared" si="7"/>
        <v>1</v>
      </c>
      <c r="AV52" s="3">
        <f t="shared" si="8"/>
        <v>28</v>
      </c>
      <c r="AW52" s="3">
        <f t="shared" si="9"/>
        <v>5</v>
      </c>
      <c r="AX52" s="3">
        <f t="shared" si="10"/>
        <v>4</v>
      </c>
      <c r="AY52" s="3">
        <f t="shared" si="11"/>
        <v>8</v>
      </c>
      <c r="AZ52" s="3">
        <f t="shared" si="12"/>
        <v>1</v>
      </c>
      <c r="BA52" s="3">
        <f>IF(ISERROR(LEN(VLOOKUP(A52,Seqs!A:E,2,FALSE))-AL52),"-",LEN(VLOOKUP(A52,Seqs!A:E,2,FALSE))-AL52)</f>
        <v>16</v>
      </c>
      <c r="BB52" s="16">
        <f t="shared" si="13"/>
        <v>28</v>
      </c>
      <c r="BC52" s="9">
        <f t="shared" si="14"/>
        <v>20</v>
      </c>
      <c r="BD52" s="3">
        <f t="shared" si="15"/>
        <v>28</v>
      </c>
      <c r="BE52" s="3">
        <f t="shared" si="16"/>
        <v>55</v>
      </c>
      <c r="BF52" s="3">
        <f>AH52-AE52</f>
        <v>38</v>
      </c>
    </row>
    <row r="53" spans="1:58" s="3" customFormat="1" x14ac:dyDescent="0.2">
      <c r="A53" s="3" t="s">
        <v>141</v>
      </c>
      <c r="B53" s="3" t="str">
        <f>LOWER(VLOOKUP(A53,Xtal_Templ!A:B,2,FALSE))</f>
        <v>aa1r_human</v>
      </c>
      <c r="C53" s="3">
        <f>VLOOKUP($A53,'SegEnds_NonXtal_BW#'!$A:$Z,3,FALSE)+D53-50</f>
        <v>9</v>
      </c>
      <c r="D53" s="3">
        <v>30</v>
      </c>
      <c r="E53" s="3">
        <f>IF(ISERROR(VLOOKUP($A53,'SegEnds_NonXtal_BW#'!$A:$Z,4,FALSE)+VLOOKUP($A53,A:AL,4,FALSE)-50),"-",(VLOOKUP($A53,'SegEnds_NonXtal_BW#'!$A:$Z,4,FALSE)+VLOOKUP($A53,A:AL,4,FALSE)-50))</f>
        <v>40</v>
      </c>
      <c r="F53" s="3">
        <f t="shared" si="27"/>
        <v>41</v>
      </c>
      <c r="G53" s="3">
        <v>43</v>
      </c>
      <c r="H53" s="3">
        <f t="shared" si="33"/>
        <v>44</v>
      </c>
      <c r="I53" s="3">
        <f t="shared" si="33"/>
        <v>45</v>
      </c>
      <c r="J53" s="3">
        <v>58</v>
      </c>
      <c r="K53" s="3">
        <v>75</v>
      </c>
      <c r="L53" s="3">
        <f>M53</f>
        <v>76</v>
      </c>
      <c r="M53" s="3">
        <v>76</v>
      </c>
      <c r="N53" s="3">
        <f t="shared" si="30"/>
        <v>78</v>
      </c>
      <c r="O53" s="3">
        <f t="shared" si="29"/>
        <v>79</v>
      </c>
      <c r="P53" s="3">
        <v>108</v>
      </c>
      <c r="Q53" s="3">
        <f>VLOOKUP($A53,'SegEnds_NonXtal_BW#'!$A:$Z,12,FALSE)+VLOOKUP($A53,A:AL,16,FALSE)-50</f>
        <v>114</v>
      </c>
      <c r="R53" s="3">
        <f>IF(ISERROR(VLOOKUP($A53,'SegEnds_NonXtal_BW#'!$A:$Z,13,FALSE)+VLOOKUP($A53,A:AL,19,FALSE)-50),"-",VLOOKUP($A53,'SegEnds_NonXtal_BW#'!$A:$Z,13,FALSE)+VLOOKUP($A53,A:AL,19,FALSE)-50)</f>
        <v>115</v>
      </c>
      <c r="S53" s="3">
        <v>115</v>
      </c>
      <c r="T53" s="100">
        <f>IF(ISERROR(VLOOKUP($A53,'SegEnds_NonXtal_BW#'!$A:$Z,14,FALSE)+VLOOKUP($A53,A:AL,19,FALSE)-50),"-",(VLOOKUP($A53,'SegEnds_NonXtal_BW#'!$A:$Z,14,FALSE)+VLOOKUP($A53,A:AL,19,FALSE)-50))</f>
        <v>122</v>
      </c>
      <c r="U53" s="9">
        <f>IF(ISERROR(VLOOKUP($A53,'SegEnds_NonXtal_BW#'!$A:$Z,15,FALSE)+VLOOKUP($A53,A:AL,22,FALSE)-50),"-",VLOOKUP($A53,'SegEnds_NonXtal_BW#'!$A:$Z,15,FALSE)+VLOOKUP($A53,A:AL,22,FALSE)-50)</f>
        <v>123</v>
      </c>
      <c r="V53" s="3">
        <v>135</v>
      </c>
      <c r="W53" s="3">
        <f>IF(ISERROR(VLOOKUP($A53,'SegEnds_NonXtal_BW#'!$A:$Z,16,FALSE)+VLOOKUP($A53,A:AL,22,FALSE)-50),"-",(VLOOKUP($A53,'SegEnds_NonXtal_BW#'!$A:$Z,16,FALSE)+VLOOKUP($A53,A:AL,22,FALSE)-50))</f>
        <v>148</v>
      </c>
      <c r="X53" s="3">
        <f>IF(ISERROR(VLOOKUP($A53,'SegEnds_NonXtal_BW#'!$A:$Z,17,FALSE)+VLOOKUP($A53,A:AL,25,FALSE)-50),"-",(VLOOKUP($A53,'SegEnds_NonXtal_BW#'!$A:$Z,17,FALSE)+VLOOKUP($A53,A:AL,25,FALSE)-50))</f>
        <v>166</v>
      </c>
      <c r="Y53" s="3">
        <v>166</v>
      </c>
      <c r="Z53" s="3">
        <f t="shared" si="31"/>
        <v>168</v>
      </c>
      <c r="AA53" s="3">
        <f>IF(ISERROR(VLOOKUP($A53,'SegEnds_NonXtal_BW#'!$A:$Z,19,FALSE)+VLOOKUP($A53,A:AL,28,FALSE)-50),"-",(VLOOKUP($A53,'SegEnds_NonXtal_BW#'!$A:$Z,19,FALSE)+VLOOKUP($A53,A:AL,28,FALSE)-50))</f>
        <v>173</v>
      </c>
      <c r="AB53" s="3">
        <v>189</v>
      </c>
      <c r="AC53" s="3">
        <f>IF(ISERROR((VLOOKUP($A53,'SegEnds_NonXtal_BW#'!$A:$Z,20,FALSE)+VLOOKUP($A53,A:AL,28,FALSE)-50)),"-",(VLOOKUP($A53,'SegEnds_NonXtal_BW#'!$A:$Z,20,FALSE)+VLOOKUP($A53,A:AL,28,FALSE)-50))</f>
        <v>212</v>
      </c>
      <c r="AD53" s="3">
        <f>IF(ISERROR(VLOOKUP($A53,'SegEnds_NonXtal_BW#'!$A:$Z,21,FALSE)+VLOOKUP($A53,A:AL,31,FALSE)-50),"-",(VLOOKUP($A53,'SegEnds_NonXtal_BW#'!$A:$Z,21,FALSE)+VLOOKUP($A53,A:AL,31,FALSE)-50))</f>
        <v>217</v>
      </c>
      <c r="AE53" s="3">
        <v>245</v>
      </c>
      <c r="AF53" s="3">
        <f>IF(ISERROR((VLOOKUP($A53,'SegEnds_NonXtal_BW#'!$A:$Z,22,FALSE)+VLOOKUP($A53,A:AL,31,FALSE)-50)),"-",(VLOOKUP($A53,'SegEnds_NonXtal_BW#'!$A:$Z,22,FALSE)+VLOOKUP($A53,A:AL,31,FALSE)-50))</f>
        <v>256</v>
      </c>
      <c r="AG53" s="3">
        <f>IF(ISERROR(VLOOKUP($A53,'SegEnds_NonXtal_BW#'!$A:$Z,23,FALSE)+VLOOKUP($A53,A:AL,34,FALSE)-50),"-",(VLOOKUP($A53,'SegEnds_NonXtal_BW#'!$A:$Z,23,FALSE)+VLOOKUP($A53,A:AL,34,FALSE)-50))</f>
        <v>261</v>
      </c>
      <c r="AH53" s="3">
        <v>279</v>
      </c>
      <c r="AI53" s="3">
        <f>IF(ISERROR((VLOOKUP($A53,'SegEnds_NonXtal_BW#'!$A:$Z,24,FALSE)+VLOOKUP($A53,A:AL,34,FALSE)-50)),"-",(VLOOKUP($A53,'SegEnds_NonXtal_BW#'!$A:$Z,24,FALSE)+VLOOKUP($A53,A:AL,34,FALSE)-50))</f>
        <v>285</v>
      </c>
      <c r="AJ53" s="3">
        <f>IF(ISERROR(VLOOKUP($A53,'SegEnds_NonXtal_BW#'!$A:$Z,25,FALSE)+VLOOKUP($A53,A:AL,37,FALSE)-50),"-",(VLOOKUP($A53,'SegEnds_NonXtal_BW#'!$A:$Z,25,FALSE)+VLOOKUP($A53,A:AL,37,FALSE)-50))</f>
        <v>286</v>
      </c>
      <c r="AK53" s="3">
        <v>289</v>
      </c>
      <c r="AL53" s="3">
        <f>IF(ISERROR((VLOOKUP($A53,'SegEnds_NonXtal_BW#'!$A:$Z,26,FALSE)+VLOOKUP($A53,A:AL,37,FALSE)-50)),"-",(VLOOKUP($A53,'SegEnds_NonXtal_BW#'!$A:$Z,26,FALSE)+VLOOKUP($A53,A:AL,37,FALSE)-50))</f>
        <v>308</v>
      </c>
      <c r="AM53" s="28" t="str">
        <f>VLOOKUP(A53,Classification!A:B,2,FALSE)</f>
        <v>A</v>
      </c>
      <c r="AN53" s="28" t="b">
        <f t="shared" si="17"/>
        <v>1</v>
      </c>
      <c r="AO53" s="3" t="str">
        <f>IF(ISERROR(MATCH(A53,'SegEnds_Xtal_Prot#'!B:B, 0)), "NoXtal", "Xtal")</f>
        <v>NoXtal</v>
      </c>
      <c r="AP53" s="3">
        <f t="shared" si="2"/>
        <v>1</v>
      </c>
      <c r="AQ53" s="3">
        <f t="shared" si="3"/>
        <v>1</v>
      </c>
      <c r="AR53" s="3">
        <f t="shared" si="4"/>
        <v>1</v>
      </c>
      <c r="AS53" s="3">
        <f t="shared" si="5"/>
        <v>1</v>
      </c>
      <c r="AT53" s="3">
        <f t="shared" si="6"/>
        <v>1</v>
      </c>
      <c r="AU53" s="3">
        <f t="shared" si="7"/>
        <v>1</v>
      </c>
      <c r="AV53" s="3">
        <f t="shared" si="8"/>
        <v>18</v>
      </c>
      <c r="AW53" s="3">
        <f t="shared" si="9"/>
        <v>5</v>
      </c>
      <c r="AX53" s="3">
        <f t="shared" si="10"/>
        <v>5</v>
      </c>
      <c r="AY53" s="3">
        <f t="shared" si="11"/>
        <v>5</v>
      </c>
      <c r="AZ53" s="3">
        <f t="shared" si="12"/>
        <v>1</v>
      </c>
      <c r="BA53" s="3">
        <f>IF(ISERROR(LEN(VLOOKUP(A53,Seqs!A:E,2,FALSE))-AL53),"-",LEN(VLOOKUP(A53,Seqs!A:E,2,FALSE))-AL53)</f>
        <v>10</v>
      </c>
      <c r="BB53" s="16">
        <f t="shared" si="13"/>
        <v>28</v>
      </c>
      <c r="BC53" s="9">
        <f t="shared" si="14"/>
        <v>20</v>
      </c>
      <c r="BD53" s="3">
        <f t="shared" si="15"/>
        <v>28</v>
      </c>
      <c r="BE53" s="3">
        <f t="shared" si="16"/>
        <v>56</v>
      </c>
      <c r="BF53" s="3">
        <f>AH53-AE53</f>
        <v>34</v>
      </c>
    </row>
    <row r="54" spans="1:58" s="3" customFormat="1" x14ac:dyDescent="0.2">
      <c r="A54" s="3" t="s">
        <v>143</v>
      </c>
      <c r="B54" s="3" t="str">
        <f>LOWER(VLOOKUP(A54,Xtal_Templ!A:B,2,FALSE))</f>
        <v>ccr5_human</v>
      </c>
      <c r="C54" s="3">
        <f>VLOOKUP($A54,'SegEnds_NonXtal_BW#'!$A:$Z,3,FALSE)+D54-50</f>
        <v>38</v>
      </c>
      <c r="D54" s="3">
        <v>64</v>
      </c>
      <c r="E54" s="3">
        <f>IF(ISERROR(VLOOKUP($A54,'SegEnds_NonXtal_BW#'!$A:$Z,4,FALSE)+VLOOKUP($A54,A:AL,4,FALSE)-50),"-",(VLOOKUP($A54,'SegEnds_NonXtal_BW#'!$A:$Z,4,FALSE)+VLOOKUP($A54,A:AL,4,FALSE)-50))</f>
        <v>74</v>
      </c>
      <c r="F54" s="3">
        <f t="shared" si="27"/>
        <v>75</v>
      </c>
      <c r="G54" s="3">
        <v>77</v>
      </c>
      <c r="H54" s="3">
        <f t="shared" si="33"/>
        <v>78</v>
      </c>
      <c r="I54" s="3">
        <f t="shared" si="33"/>
        <v>79</v>
      </c>
      <c r="J54" s="3">
        <v>92</v>
      </c>
      <c r="K54" s="3">
        <f>VLOOKUP($A54,'SegEnds_NonXtal_BW#'!$A:$Z,8,FALSE)+VLOOKUP($A54,A:AL,10,FALSE)-50</f>
        <v>108</v>
      </c>
      <c r="L54" s="3">
        <f>IF(ISERROR(VLOOKUP($A54,'SegEnds_NonXtal_BW#'!$A:$Z,9,FALSE)+VLOOKUP($A54,A:AL,13,FALSE)-50),"-",(VLOOKUP($A54,'SegEnds_NonXtal_BW#'!$A:$Z,9,FALSE)+VLOOKUP($A54,A:AL,13,FALSE)-50))</f>
        <v>109</v>
      </c>
      <c r="M54" s="3">
        <v>110</v>
      </c>
      <c r="N54" s="3">
        <f>IF(ISERROR(VLOOKUP($A54,'SegEnds_NonXtal_BW#'!$A:$Z,10,FALSE)+VLOOKUP($A54,A:AL,13,FALSE)-50),"-",(VLOOKUP($A54,'SegEnds_NonXtal_BW#'!$A:$Z,10,FALSE)+VLOOKUP($A54,A:AL,13,FALSE)-50))</f>
        <v>112</v>
      </c>
      <c r="O54" s="3">
        <f>VLOOKUP($A54,'SegEnds_NonXtal_BW#'!$A:$Z,11,FALSE)+VLOOKUP($A54,A:AL,16,FALSE)-50</f>
        <v>113</v>
      </c>
      <c r="P54" s="3">
        <v>142</v>
      </c>
      <c r="Q54" s="3">
        <f>VLOOKUP($A54,'SegEnds_NonXtal_BW#'!$A:$Z,12,FALSE)+VLOOKUP($A54,A:AL,16,FALSE)-50</f>
        <v>148</v>
      </c>
      <c r="R54" s="3">
        <f>IF(ISERROR(VLOOKUP($A54,'SegEnds_NonXtal_BW#'!$A:$Z,13,FALSE)+VLOOKUP($A54,A:AL,19,FALSE)-50),"-",VLOOKUP($A54,'SegEnds_NonXtal_BW#'!$A:$Z,13,FALSE)+VLOOKUP($A54,A:AL,19,FALSE)-50)</f>
        <v>149</v>
      </c>
      <c r="S54" s="3">
        <v>149</v>
      </c>
      <c r="T54" s="100">
        <f>IF(ISERROR(VLOOKUP($A54,'SegEnds_NonXtal_BW#'!$A:$Z,14,FALSE)+VLOOKUP($A54,A:AL,19,FALSE)-50),"-",(VLOOKUP($A54,'SegEnds_NonXtal_BW#'!$A:$Z,14,FALSE)+VLOOKUP($A54,A:AL,19,FALSE)-50))</f>
        <v>156</v>
      </c>
      <c r="U54" s="9">
        <f>IF(ISERROR(VLOOKUP($A54,'SegEnds_NonXtal_BW#'!$A:$Z,15,FALSE)+VLOOKUP($A54,A:AL,22,FALSE)-50),"-",VLOOKUP($A54,'SegEnds_NonXtal_BW#'!$A:$Z,15,FALSE)+VLOOKUP($A54,A:AL,22,FALSE)-50)</f>
        <v>157</v>
      </c>
      <c r="V54" s="3">
        <v>169</v>
      </c>
      <c r="W54" s="3">
        <f>IF(ISERROR(VLOOKUP($A54,'SegEnds_NonXtal_BW#'!$A:$Z,16,FALSE)+VLOOKUP($A54,A:AL,22,FALSE)-50),"-",(VLOOKUP($A54,'SegEnds_NonXtal_BW#'!$A:$Z,16,FALSE)+VLOOKUP($A54,A:AL,22,FALSE)-50))</f>
        <v>183</v>
      </c>
      <c r="X54" s="3">
        <f>IF(ISERROR(VLOOKUP($A54,'SegEnds_NonXtal_BW#'!$A:$Z,17,FALSE)+VLOOKUP($A54,A:AL,25,FALSE)-50),"-",(VLOOKUP($A54,'SegEnds_NonXtal_BW#'!$A:$Z,17,FALSE)+VLOOKUP($A54,A:AL,25,FALSE)-50))</f>
        <v>195</v>
      </c>
      <c r="Y54" s="3">
        <v>195</v>
      </c>
      <c r="Z54" s="3">
        <f t="shared" si="31"/>
        <v>197</v>
      </c>
      <c r="AA54" s="3">
        <f>IF(ISERROR(VLOOKUP($A54,'SegEnds_NonXtal_BW#'!$A:$Z,19,FALSE)+VLOOKUP($A54,A:AL,28,FALSE)-50),"-",(VLOOKUP($A54,'SegEnds_NonXtal_BW#'!$A:$Z,19,FALSE)+VLOOKUP($A54,A:AL,28,FALSE)-50))</f>
        <v>202</v>
      </c>
      <c r="AB54" s="3">
        <v>222</v>
      </c>
      <c r="AC54" s="3">
        <f>IF(ISERROR((VLOOKUP($A54,'SegEnds_NonXtal_BW#'!$A:$Z,20,FALSE)+VLOOKUP($A54,A:AL,28,FALSE)-50)),"-",(VLOOKUP($A54,'SegEnds_NonXtal_BW#'!$A:$Z,20,FALSE)+VLOOKUP($A54,A:AL,28,FALSE)-50))</f>
        <v>240</v>
      </c>
      <c r="AD54" s="3">
        <f>IF(ISERROR(VLOOKUP($A54,'SegEnds_NonXtal_BW#'!$A:$Z,21,FALSE)+VLOOKUP($A54,A:AL,31,FALSE)-50),"-",(VLOOKUP($A54,'SegEnds_NonXtal_BW#'!$A:$Z,21,FALSE)+VLOOKUP($A54,A:AL,31,FALSE)-50))</f>
        <v>245</v>
      </c>
      <c r="AE54" s="3">
        <v>265</v>
      </c>
      <c r="AF54" s="3">
        <f>IF(ISERROR((VLOOKUP($A54,'SegEnds_NonXtal_BW#'!$A:$Z,22,FALSE)+VLOOKUP($A54,A:AL,31,FALSE)-50)),"-",(VLOOKUP($A54,'SegEnds_NonXtal_BW#'!$A:$Z,22,FALSE)+VLOOKUP($A54,A:AL,31,FALSE)-50))</f>
        <v>279</v>
      </c>
      <c r="AG54" s="3">
        <f>IF(ISERROR(VLOOKUP($A54,'SegEnds_NonXtal_BW#'!$A:$Z,23,FALSE)+VLOOKUP($A54,A:AL,34,FALSE)-50),"-",(VLOOKUP($A54,'SegEnds_NonXtal_BW#'!$A:$Z,23,FALSE)+VLOOKUP($A54,A:AL,34,FALSE)-50))</f>
        <v>283</v>
      </c>
      <c r="AH54" s="3">
        <v>309</v>
      </c>
      <c r="AI54" s="3">
        <f>IF(ISERROR((VLOOKUP($A54,'SegEnds_NonXtal_BW#'!$A:$Z,24,FALSE)+VLOOKUP($A54,A:AL,34,FALSE)-50)),"-",(VLOOKUP($A54,'SegEnds_NonXtal_BW#'!$A:$Z,24,FALSE)+VLOOKUP($A54,A:AL,34,FALSE)-50))</f>
        <v>315</v>
      </c>
      <c r="AJ54" s="3">
        <f>IF(ISERROR(VLOOKUP($A54,'SegEnds_NonXtal_BW#'!$A:$Z,25,FALSE)+VLOOKUP($A54,A:AL,37,FALSE)-50),"-",(VLOOKUP($A54,'SegEnds_NonXtal_BW#'!$A:$Z,25,FALSE)+VLOOKUP($A54,A:AL,37,FALSE)-50))</f>
        <v>316</v>
      </c>
      <c r="AK54" s="3">
        <v>319</v>
      </c>
      <c r="AL54" s="3">
        <f>IF(ISERROR((VLOOKUP($A54,'SegEnds_NonXtal_BW#'!$A:$Z,26,FALSE)+VLOOKUP($A54,A:AL,37,FALSE)-50)),"-",(VLOOKUP($A54,'SegEnds_NonXtal_BW#'!$A:$Z,26,FALSE)+VLOOKUP($A54,A:AL,37,FALSE)-50))</f>
        <v>328</v>
      </c>
      <c r="AM54" s="28" t="str">
        <f>VLOOKUP(A54,Classification!A:B,2,FALSE)</f>
        <v>A</v>
      </c>
      <c r="AN54" s="28" t="b">
        <f t="shared" si="17"/>
        <v>1</v>
      </c>
      <c r="AO54" s="3" t="str">
        <f>IF(ISERROR(MATCH(A54,'SegEnds_Xtal_Prot#'!B:B, 0)), "NoXtal", "Xtal")</f>
        <v>NoXtal</v>
      </c>
      <c r="AP54" s="3">
        <f t="shared" si="2"/>
        <v>1</v>
      </c>
      <c r="AQ54" s="3">
        <f t="shared" si="3"/>
        <v>1</v>
      </c>
      <c r="AR54" s="3">
        <f t="shared" si="4"/>
        <v>1</v>
      </c>
      <c r="AS54" s="3">
        <f t="shared" si="5"/>
        <v>1</v>
      </c>
      <c r="AT54" s="3">
        <f t="shared" si="6"/>
        <v>1</v>
      </c>
      <c r="AU54" s="3">
        <f t="shared" si="7"/>
        <v>1</v>
      </c>
      <c r="AV54" s="3">
        <f t="shared" si="8"/>
        <v>12</v>
      </c>
      <c r="AW54" s="3">
        <f t="shared" si="9"/>
        <v>5</v>
      </c>
      <c r="AX54" s="3">
        <f t="shared" si="10"/>
        <v>5</v>
      </c>
      <c r="AY54" s="3">
        <f t="shared" si="11"/>
        <v>4</v>
      </c>
      <c r="AZ54" s="3">
        <f t="shared" si="12"/>
        <v>1</v>
      </c>
      <c r="BA54" s="3">
        <f>IF(ISERROR(LEN(VLOOKUP(A54,Seqs!A:E,2,FALSE))-AL54),"-",LEN(VLOOKUP(A54,Seqs!A:E,2,FALSE))-AL54)</f>
        <v>56</v>
      </c>
      <c r="BB54" s="16">
        <f t="shared" si="13"/>
        <v>28</v>
      </c>
      <c r="BC54" s="9">
        <f t="shared" si="14"/>
        <v>20</v>
      </c>
      <c r="BD54" s="3">
        <f t="shared" si="15"/>
        <v>28</v>
      </c>
      <c r="BE54" s="3">
        <f t="shared" si="16"/>
        <v>43</v>
      </c>
    </row>
    <row r="55" spans="1:58" s="3" customFormat="1" x14ac:dyDescent="0.2">
      <c r="A55" s="3" t="s">
        <v>146</v>
      </c>
      <c r="B55" s="3" t="str">
        <f>LOWER(VLOOKUP(A55,Xtal_Templ!A:B,2,FALSE))</f>
        <v>acm1_human</v>
      </c>
      <c r="C55" s="3">
        <f>VLOOKUP($A55,'SegEnds_NonXtal_BW#'!$A:$Z,3,FALSE)+D55-50</f>
        <v>22</v>
      </c>
      <c r="D55" s="3">
        <v>43</v>
      </c>
      <c r="E55" s="3">
        <f>IF(ISERROR(VLOOKUP($A55,'SegEnds_NonXtal_BW#'!$A:$Z,4,FALSE)+VLOOKUP($A55,A:AL,4,FALSE)-50),"-",(VLOOKUP($A55,'SegEnds_NonXtal_BW#'!$A:$Z,4,FALSE)+VLOOKUP($A55,A:AL,4,FALSE)-50))</f>
        <v>53</v>
      </c>
      <c r="F55" s="3">
        <f t="shared" si="27"/>
        <v>54</v>
      </c>
      <c r="G55" s="3">
        <v>56</v>
      </c>
      <c r="H55" s="3">
        <f t="shared" si="33"/>
        <v>57</v>
      </c>
      <c r="I55" s="3">
        <f t="shared" si="33"/>
        <v>58</v>
      </c>
      <c r="J55" s="3">
        <v>71</v>
      </c>
      <c r="K55" s="3">
        <f>VLOOKUP($A55,'SegEnds_NonXtal_BW#'!$A:$Z,8,FALSE)+VLOOKUP($A55,A:AL,10,FALSE)-50</f>
        <v>89</v>
      </c>
      <c r="L55" s="3">
        <f>M55-1</f>
        <v>90</v>
      </c>
      <c r="M55" s="3">
        <v>91</v>
      </c>
      <c r="N55" s="3">
        <f>M55+2</f>
        <v>93</v>
      </c>
      <c r="O55" s="3">
        <f t="shared" ref="O55:O60" si="34">N55+1</f>
        <v>94</v>
      </c>
      <c r="P55" s="3">
        <v>123</v>
      </c>
      <c r="Q55" s="3">
        <f>VLOOKUP($A55,'SegEnds_NonXtal_BW#'!$A:$Z,12,FALSE)+VLOOKUP($A55,A:AL,16,FALSE)-50</f>
        <v>129</v>
      </c>
      <c r="R55" s="3">
        <f>IF(ISERROR(VLOOKUP($A55,'SegEnds_NonXtal_BW#'!$A:$Z,13,FALSE)+VLOOKUP($A55,A:AL,19,FALSE)-50),"-",VLOOKUP($A55,'SegEnds_NonXtal_BW#'!$A:$Z,13,FALSE)+VLOOKUP($A55,A:AL,19,FALSE)-50)</f>
        <v>130</v>
      </c>
      <c r="S55" s="3">
        <v>130</v>
      </c>
      <c r="T55" s="100">
        <f>IF(ISERROR(VLOOKUP($A55,'SegEnds_NonXtal_BW#'!$A:$Z,14,FALSE)+VLOOKUP($A55,A:AL,19,FALSE)-50),"-",(VLOOKUP($A55,'SegEnds_NonXtal_BW#'!$A:$Z,14,FALSE)+VLOOKUP($A55,A:AL,19,FALSE)-50))</f>
        <v>137</v>
      </c>
      <c r="U55" s="9">
        <f>IF(ISERROR(VLOOKUP($A55,'SegEnds_NonXtal_BW#'!$A:$Z,15,FALSE)+VLOOKUP($A55,A:AL,22,FALSE)-50),"-",VLOOKUP($A55,'SegEnds_NonXtal_BW#'!$A:$Z,15,FALSE)+VLOOKUP($A55,A:AL,22,FALSE)-50)</f>
        <v>138</v>
      </c>
      <c r="V55" s="3">
        <v>150</v>
      </c>
      <c r="W55" s="3">
        <f>IF(ISERROR(VLOOKUP($A55,'SegEnds_NonXtal_BW#'!$A:$Z,16,FALSE)+VLOOKUP($A55,A:AL,22,FALSE)-50),"-",(VLOOKUP($A55,'SegEnds_NonXtal_BW#'!$A:$Z,16,FALSE)+VLOOKUP($A55,A:AL,22,FALSE)-50))</f>
        <v>169</v>
      </c>
      <c r="X55" s="3">
        <f>IF(ISERROR(VLOOKUP($A55,'SegEnds_NonXtal_BW#'!$A:$Z,17,FALSE)+VLOOKUP($A55,A:AL,25,FALSE)-50),"-",(VLOOKUP($A55,'SegEnds_NonXtal_BW#'!$A:$Z,17,FALSE)+VLOOKUP($A55,A:AL,25,FALSE)-50))</f>
        <v>178</v>
      </c>
      <c r="Y55" s="3">
        <v>178</v>
      </c>
      <c r="Z55" s="3">
        <f t="shared" si="31"/>
        <v>180</v>
      </c>
      <c r="AA55" s="3">
        <f>IF(ISERROR(VLOOKUP($A55,'SegEnds_NonXtal_BW#'!$A:$Z,19,FALSE)+VLOOKUP($A55,A:AL,28,FALSE)-50),"-",(VLOOKUP($A55,'SegEnds_NonXtal_BW#'!$A:$Z,19,FALSE)+VLOOKUP($A55,A:AL,28,FALSE)-50))</f>
        <v>185</v>
      </c>
      <c r="AB55" s="3">
        <v>200</v>
      </c>
      <c r="AC55" s="3">
        <f>IF(ISERROR((VLOOKUP($A55,'SegEnds_NonXtal_BW#'!$A:$Z,20,FALSE)+VLOOKUP($A55,A:AL,28,FALSE)-50)),"-",(VLOOKUP($A55,'SegEnds_NonXtal_BW#'!$A:$Z,20,FALSE)+VLOOKUP($A55,A:AL,28,FALSE)-50))</f>
        <v>225</v>
      </c>
      <c r="AD55" s="3">
        <f>IF(ISERROR(VLOOKUP($A55,'SegEnds_NonXtal_BW#'!$A:$Z,21,FALSE)+VLOOKUP($A55,A:AL,31,FALSE)-50),"-",(VLOOKUP($A55,'SegEnds_NonXtal_BW#'!$A:$Z,21,FALSE)+VLOOKUP($A55,A:AL,31,FALSE)-50))</f>
        <v>354</v>
      </c>
      <c r="AE55" s="3">
        <v>380</v>
      </c>
      <c r="AF55" s="3">
        <f>IF(ISERROR((VLOOKUP($A55,'SegEnds_NonXtal_BW#'!$A:$Z,22,FALSE)+VLOOKUP($A55,A:AL,31,FALSE)-50)),"-",(VLOOKUP($A55,'SegEnds_NonXtal_BW#'!$A:$Z,22,FALSE)+VLOOKUP($A55,A:AL,31,FALSE)-50))</f>
        <v>391</v>
      </c>
      <c r="AG55" s="3">
        <f>IF(ISERROR(VLOOKUP($A55,'SegEnds_NonXtal_BW#'!$A:$Z,23,FALSE)+VLOOKUP($A55,A:AL,34,FALSE)-50),"-",(VLOOKUP($A55,'SegEnds_NonXtal_BW#'!$A:$Z,23,FALSE)+VLOOKUP($A55,A:AL,34,FALSE)-50))</f>
        <v>396</v>
      </c>
      <c r="AH55" s="3">
        <v>415</v>
      </c>
      <c r="AI55" s="3">
        <f>IF(ISERROR((VLOOKUP($A55,'SegEnds_NonXtal_BW#'!$A:$Z,24,FALSE)+VLOOKUP($A55,A:AL,34,FALSE)-50)),"-",(VLOOKUP($A55,'SegEnds_NonXtal_BW#'!$A:$Z,24,FALSE)+VLOOKUP($A55,A:AL,34,FALSE)-50))</f>
        <v>421</v>
      </c>
      <c r="AJ55" s="3">
        <f>IF(ISERROR(VLOOKUP($A55,'SegEnds_NonXtal_BW#'!$A:$Z,25,FALSE)+VLOOKUP($A55,A:AL,37,FALSE)-50),"-",(VLOOKUP($A55,'SegEnds_NonXtal_BW#'!$A:$Z,25,FALSE)+VLOOKUP($A55,A:AL,37,FALSE)-50))</f>
        <v>422</v>
      </c>
      <c r="AK55" s="3">
        <v>425</v>
      </c>
      <c r="AL55" s="3">
        <f>IF(ISERROR((VLOOKUP($A55,'SegEnds_NonXtal_BW#'!$A:$Z,26,FALSE)+VLOOKUP($A55,A:AL,37,FALSE)-50)),"-",(VLOOKUP($A55,'SegEnds_NonXtal_BW#'!$A:$Z,26,FALSE)+VLOOKUP($A55,A:AL,37,FALSE)-50))</f>
        <v>434</v>
      </c>
      <c r="AM55" s="28" t="str">
        <f>VLOOKUP(A55,Classification!A:B,2,FALSE)</f>
        <v>A</v>
      </c>
      <c r="AN55" s="28" t="b">
        <f t="shared" si="17"/>
        <v>1</v>
      </c>
      <c r="AO55" s="3" t="str">
        <f>IF(ISERROR(MATCH(A55,'SegEnds_Xtal_Prot#'!B:B, 0)), "NoXtal", "Xtal")</f>
        <v>Xtal</v>
      </c>
      <c r="AP55" s="3">
        <f t="shared" si="2"/>
        <v>1</v>
      </c>
      <c r="AQ55" s="3">
        <f t="shared" si="3"/>
        <v>1</v>
      </c>
      <c r="AR55" s="3">
        <f t="shared" si="4"/>
        <v>1</v>
      </c>
      <c r="AS55" s="3">
        <f t="shared" si="5"/>
        <v>1</v>
      </c>
      <c r="AT55" s="3">
        <f t="shared" si="6"/>
        <v>1</v>
      </c>
      <c r="AU55" s="3">
        <f t="shared" si="7"/>
        <v>1</v>
      </c>
      <c r="AV55" s="3">
        <f t="shared" si="8"/>
        <v>9</v>
      </c>
      <c r="AW55" s="3">
        <f t="shared" si="9"/>
        <v>5</v>
      </c>
      <c r="AX55" s="3">
        <f t="shared" si="10"/>
        <v>129</v>
      </c>
      <c r="AY55" s="3">
        <f t="shared" si="11"/>
        <v>5</v>
      </c>
      <c r="AZ55" s="3">
        <f t="shared" si="12"/>
        <v>1</v>
      </c>
      <c r="BA55" s="3">
        <f>IF(ISERROR(LEN(VLOOKUP(A55,Seqs!A:E,2,FALSE))-AL55),"-",LEN(VLOOKUP(A55,Seqs!A:E,2,FALSE))-AL55)</f>
        <v>26</v>
      </c>
      <c r="BB55" s="16">
        <f t="shared" si="13"/>
        <v>28</v>
      </c>
      <c r="BC55" s="9">
        <f t="shared" si="14"/>
        <v>20</v>
      </c>
      <c r="BD55" s="3">
        <f t="shared" si="15"/>
        <v>28</v>
      </c>
      <c r="BE55" s="3">
        <f t="shared" si="16"/>
        <v>180</v>
      </c>
      <c r="BF55" s="3">
        <f>AH55-AE55</f>
        <v>35</v>
      </c>
    </row>
    <row r="56" spans="1:58" s="3" customFormat="1" x14ac:dyDescent="0.2">
      <c r="A56" s="3" t="s">
        <v>147</v>
      </c>
      <c r="B56" s="3" t="str">
        <f>LOWER(VLOOKUP(A56,Xtal_Templ!A:B,2,FALSE))</f>
        <v>acm2_human</v>
      </c>
      <c r="C56" s="3">
        <f>VLOOKUP($A56,'SegEnds_NonXtal_BW#'!$A:$Z,3,FALSE)+D56-50</f>
        <v>19</v>
      </c>
      <c r="D56" s="3">
        <v>41</v>
      </c>
      <c r="E56" s="3">
        <f>IF(ISERROR(VLOOKUP($A56,'SegEnds_NonXtal_BW#'!$A:$Z,4,FALSE)+VLOOKUP($A56,A:AL,4,FALSE)-50),"-",(VLOOKUP($A56,'SegEnds_NonXtal_BW#'!$A:$Z,4,FALSE)+VLOOKUP($A56,A:AL,4,FALSE)-50))</f>
        <v>51</v>
      </c>
      <c r="F56" s="3">
        <f t="shared" si="27"/>
        <v>52</v>
      </c>
      <c r="G56" s="3">
        <v>54</v>
      </c>
      <c r="H56" s="3">
        <f t="shared" si="33"/>
        <v>55</v>
      </c>
      <c r="I56" s="3">
        <f t="shared" si="33"/>
        <v>56</v>
      </c>
      <c r="J56" s="3">
        <v>69</v>
      </c>
      <c r="K56" s="3">
        <f>VLOOKUP($A56,'SegEnds_NonXtal_BW#'!$A:$Z,8,FALSE)+VLOOKUP($A56,A:AL,10,FALSE)-50</f>
        <v>87</v>
      </c>
      <c r="L56" s="3">
        <f>M56-1</f>
        <v>88</v>
      </c>
      <c r="M56" s="3">
        <v>89</v>
      </c>
      <c r="N56" s="3">
        <f>M56+2</f>
        <v>91</v>
      </c>
      <c r="O56" s="3">
        <f t="shared" si="34"/>
        <v>92</v>
      </c>
      <c r="P56" s="3">
        <v>121</v>
      </c>
      <c r="Q56" s="3">
        <f>VLOOKUP($A56,'SegEnds_NonXtal_BW#'!$A:$Z,12,FALSE)+VLOOKUP($A56,A:AL,16,FALSE)-50</f>
        <v>127</v>
      </c>
      <c r="R56" s="3">
        <f>IF(ISERROR(VLOOKUP($A56,'SegEnds_NonXtal_BW#'!$A:$Z,13,FALSE)+VLOOKUP($A56,A:AL,19,FALSE)-50),"-",VLOOKUP($A56,'SegEnds_NonXtal_BW#'!$A:$Z,13,FALSE)+VLOOKUP($A56,A:AL,19,FALSE)-50)</f>
        <v>128</v>
      </c>
      <c r="S56" s="3">
        <v>128</v>
      </c>
      <c r="T56" s="100">
        <f>IF(ISERROR(VLOOKUP($A56,'SegEnds_NonXtal_BW#'!$A:$Z,14,FALSE)+VLOOKUP($A56,A:AL,19,FALSE)-50),"-",(VLOOKUP($A56,'SegEnds_NonXtal_BW#'!$A:$Z,14,FALSE)+VLOOKUP($A56,A:AL,19,FALSE)-50))</f>
        <v>135</v>
      </c>
      <c r="U56" s="9">
        <f>IF(ISERROR(VLOOKUP($A56,'SegEnds_NonXtal_BW#'!$A:$Z,15,FALSE)+VLOOKUP($A56,A:AL,22,FALSE)-50),"-",VLOOKUP($A56,'SegEnds_NonXtal_BW#'!$A:$Z,15,FALSE)+VLOOKUP($A56,A:AL,22,FALSE)-50)</f>
        <v>136</v>
      </c>
      <c r="V56" s="3">
        <v>148</v>
      </c>
      <c r="W56" s="3">
        <f>IF(ISERROR(VLOOKUP($A56,'SegEnds_NonXtal_BW#'!$A:$Z,16,FALSE)+VLOOKUP($A56,A:AL,22,FALSE)-50),"-",(VLOOKUP($A56,'SegEnds_NonXtal_BW#'!$A:$Z,16,FALSE)+VLOOKUP($A56,A:AL,22,FALSE)-50))</f>
        <v>167</v>
      </c>
      <c r="X56" s="3">
        <f>IF(ISERROR(VLOOKUP($A56,'SegEnds_NonXtal_BW#'!$A:$Z,17,FALSE)+VLOOKUP($A56,A:AL,25,FALSE)-50),"-",(VLOOKUP($A56,'SegEnds_NonXtal_BW#'!$A:$Z,17,FALSE)+VLOOKUP($A56,A:AL,25,FALSE)-50))</f>
        <v>176</v>
      </c>
      <c r="Y56" s="3">
        <v>176</v>
      </c>
      <c r="Z56" s="3">
        <f t="shared" si="31"/>
        <v>178</v>
      </c>
      <c r="AA56" s="3">
        <f>IF(ISERROR(VLOOKUP($A56,'SegEnds_NonXtal_BW#'!$A:$Z,19,FALSE)+VLOOKUP($A56,A:AL,28,FALSE)-50),"-",(VLOOKUP($A56,'SegEnds_NonXtal_BW#'!$A:$Z,19,FALSE)+VLOOKUP($A56,A:AL,28,FALSE)-50))</f>
        <v>183</v>
      </c>
      <c r="AB56" s="3">
        <v>198</v>
      </c>
      <c r="AC56" s="3">
        <f>IF(ISERROR((VLOOKUP($A56,'SegEnds_NonXtal_BW#'!$A:$Z,20,FALSE)+VLOOKUP($A56,A:AL,28,FALSE)-50)),"-",(VLOOKUP($A56,'SegEnds_NonXtal_BW#'!$A:$Z,20,FALSE)+VLOOKUP($A56,A:AL,28,FALSE)-50))</f>
        <v>223</v>
      </c>
      <c r="AD56" s="3">
        <f>IF(ISERROR(VLOOKUP($A56,'SegEnds_NonXtal_BW#'!$A:$Z,21,FALSE)+VLOOKUP($A56,A:AL,31,FALSE)-50),"-",(VLOOKUP($A56,'SegEnds_NonXtal_BW#'!$A:$Z,21,FALSE)+VLOOKUP($A56,A:AL,31,FALSE)-50))</f>
        <v>376</v>
      </c>
      <c r="AE56" s="3">
        <v>402</v>
      </c>
      <c r="AF56" s="3">
        <f>IF(ISERROR((VLOOKUP($A56,'SegEnds_NonXtal_BW#'!$A:$Z,22,FALSE)+VLOOKUP($A56,A:AL,31,FALSE)-50)),"-",(VLOOKUP($A56,'SegEnds_NonXtal_BW#'!$A:$Z,22,FALSE)+VLOOKUP($A56,A:AL,31,FALSE)-50))</f>
        <v>413</v>
      </c>
      <c r="AG56" s="3">
        <f>IF(ISERROR(VLOOKUP($A56,'SegEnds_NonXtal_BW#'!$A:$Z,23,FALSE)+VLOOKUP($A56,A:AL,34,FALSE)-50),"-",(VLOOKUP($A56,'SegEnds_NonXtal_BW#'!$A:$Z,23,FALSE)+VLOOKUP($A56,A:AL,34,FALSE)-50))</f>
        <v>418</v>
      </c>
      <c r="AH56" s="3">
        <v>437</v>
      </c>
      <c r="AI56" s="3">
        <f>IF(ISERROR((VLOOKUP($A56,'SegEnds_NonXtal_BW#'!$A:$Z,24,FALSE)+VLOOKUP($A56,A:AL,34,FALSE)-50)),"-",(VLOOKUP($A56,'SegEnds_NonXtal_BW#'!$A:$Z,24,FALSE)+VLOOKUP($A56,A:AL,34,FALSE)-50))</f>
        <v>443</v>
      </c>
      <c r="AJ56" s="3">
        <f>IF(ISERROR(VLOOKUP($A56,'SegEnds_NonXtal_BW#'!$A:$Z,25,FALSE)+VLOOKUP($A56,A:AL,37,FALSE)-50),"-",(VLOOKUP($A56,'SegEnds_NonXtal_BW#'!$A:$Z,25,FALSE)+VLOOKUP($A56,A:AL,37,FALSE)-50))</f>
        <v>444</v>
      </c>
      <c r="AK56" s="3">
        <v>447</v>
      </c>
      <c r="AL56" s="3">
        <f>IF(ISERROR((VLOOKUP($A56,'SegEnds_NonXtal_BW#'!$A:$Z,26,FALSE)+VLOOKUP($A56,A:AL,37,FALSE)-50)),"-",(VLOOKUP($A56,'SegEnds_NonXtal_BW#'!$A:$Z,26,FALSE)+VLOOKUP($A56,A:AL,37,FALSE)-50))</f>
        <v>456</v>
      </c>
      <c r="AM56" s="28" t="str">
        <f>VLOOKUP(A56,Classification!A:B,2,FALSE)</f>
        <v>A</v>
      </c>
      <c r="AN56" s="28" t="b">
        <f t="shared" si="17"/>
        <v>1</v>
      </c>
      <c r="AO56" s="3" t="str">
        <f>IF(ISERROR(MATCH(A56,'SegEnds_Xtal_Prot#'!B:B, 0)), "NoXtal", "Xtal")</f>
        <v>Xtal</v>
      </c>
      <c r="AP56" s="3">
        <f t="shared" si="2"/>
        <v>1</v>
      </c>
      <c r="AQ56" s="3">
        <f t="shared" si="3"/>
        <v>1</v>
      </c>
      <c r="AR56" s="3">
        <f t="shared" si="4"/>
        <v>1</v>
      </c>
      <c r="AS56" s="3">
        <f t="shared" si="5"/>
        <v>1</v>
      </c>
      <c r="AT56" s="3">
        <f t="shared" si="6"/>
        <v>1</v>
      </c>
      <c r="AU56" s="3">
        <f t="shared" si="7"/>
        <v>1</v>
      </c>
      <c r="AV56" s="3">
        <f t="shared" si="8"/>
        <v>9</v>
      </c>
      <c r="AW56" s="3">
        <f t="shared" si="9"/>
        <v>5</v>
      </c>
      <c r="AX56" s="3">
        <f t="shared" si="10"/>
        <v>153</v>
      </c>
      <c r="AY56" s="3">
        <f t="shared" si="11"/>
        <v>5</v>
      </c>
      <c r="AZ56" s="3">
        <f t="shared" si="12"/>
        <v>1</v>
      </c>
      <c r="BA56" s="3">
        <f>IF(ISERROR(LEN(VLOOKUP(A56,Seqs!A:E,2,FALSE))-AL56),"-",LEN(VLOOKUP(A56,Seqs!A:E,2,FALSE))-AL56)</f>
        <v>10</v>
      </c>
      <c r="BB56" s="16">
        <f t="shared" si="13"/>
        <v>28</v>
      </c>
      <c r="BC56" s="9">
        <f t="shared" si="14"/>
        <v>20</v>
      </c>
      <c r="BD56" s="3">
        <f t="shared" si="15"/>
        <v>28</v>
      </c>
      <c r="BE56" s="3">
        <f t="shared" si="16"/>
        <v>204</v>
      </c>
      <c r="BF56" s="3">
        <f>AH56-AE56</f>
        <v>35</v>
      </c>
    </row>
    <row r="57" spans="1:58" s="3" customFormat="1" x14ac:dyDescent="0.2">
      <c r="A57" s="3" t="s">
        <v>148</v>
      </c>
      <c r="B57" s="3" t="str">
        <f>LOWER(VLOOKUP(A57,Xtal_Templ!A:B,2,FALSE))</f>
        <v>acm3_rat</v>
      </c>
      <c r="C57" s="3">
        <f>VLOOKUP($A57,'SegEnds_NonXtal_BW#'!$A:$Z,3,FALSE)+D57-50</f>
        <v>65</v>
      </c>
      <c r="D57" s="3">
        <v>86</v>
      </c>
      <c r="E57" s="3">
        <f>IF(ISERROR(VLOOKUP($A57,'SegEnds_NonXtal_BW#'!$A:$Z,4,FALSE)+VLOOKUP($A57,A:AL,4,FALSE)-50),"-",(VLOOKUP($A57,'SegEnds_NonXtal_BW#'!$A:$Z,4,FALSE)+VLOOKUP($A57,A:AL,4,FALSE)-50))</f>
        <v>96</v>
      </c>
      <c r="F57" s="3">
        <f t="shared" si="27"/>
        <v>97</v>
      </c>
      <c r="G57" s="3">
        <v>99</v>
      </c>
      <c r="H57" s="3">
        <f t="shared" si="33"/>
        <v>100</v>
      </c>
      <c r="I57" s="3">
        <f t="shared" si="33"/>
        <v>101</v>
      </c>
      <c r="J57" s="3">
        <v>114</v>
      </c>
      <c r="K57" s="3">
        <f>VLOOKUP($A57,'SegEnds_NonXtal_BW#'!$A:$Z,8,FALSE)+VLOOKUP($A57,A:AL,10,FALSE)-50</f>
        <v>131</v>
      </c>
      <c r="L57" s="3">
        <f>M57-1</f>
        <v>133</v>
      </c>
      <c r="M57" s="3">
        <v>134</v>
      </c>
      <c r="N57" s="3">
        <f>M57+2</f>
        <v>136</v>
      </c>
      <c r="O57" s="3">
        <f t="shared" si="34"/>
        <v>137</v>
      </c>
      <c r="P57" s="3">
        <v>166</v>
      </c>
      <c r="Q57" s="3">
        <f>VLOOKUP($A57,'SegEnds_NonXtal_BW#'!$A:$Z,12,FALSE)+VLOOKUP($A57,A:AL,16,FALSE)-50</f>
        <v>172</v>
      </c>
      <c r="R57" s="3">
        <f>IF(ISERROR(VLOOKUP($A57,'SegEnds_NonXtal_BW#'!$A:$Z,13,FALSE)+VLOOKUP($A57,A:AL,19,FALSE)-50),"-",VLOOKUP($A57,'SegEnds_NonXtal_BW#'!$A:$Z,13,FALSE)+VLOOKUP($A57,A:AL,19,FALSE)-50)</f>
        <v>173</v>
      </c>
      <c r="S57" s="3">
        <v>173</v>
      </c>
      <c r="T57" s="100">
        <f>IF(ISERROR(VLOOKUP($A57,'SegEnds_NonXtal_BW#'!$A:$Z,14,FALSE)+VLOOKUP($A57,A:AL,19,FALSE)-50),"-",(VLOOKUP($A57,'SegEnds_NonXtal_BW#'!$A:$Z,14,FALSE)+VLOOKUP($A57,A:AL,19,FALSE)-50))</f>
        <v>180</v>
      </c>
      <c r="U57" s="9">
        <f>IF(ISERROR(VLOOKUP($A57,'SegEnds_NonXtal_BW#'!$A:$Z,15,FALSE)+VLOOKUP($A57,A:AL,22,FALSE)-50),"-",VLOOKUP($A57,'SegEnds_NonXtal_BW#'!$A:$Z,15,FALSE)+VLOOKUP($A57,A:AL,22,FALSE)-50)</f>
        <v>181</v>
      </c>
      <c r="V57" s="3">
        <v>193</v>
      </c>
      <c r="W57" s="3">
        <f>IF(ISERROR(VLOOKUP($A57,'SegEnds_NonXtal_BW#'!$A:$Z,16,FALSE)+VLOOKUP($A57,A:AL,22,FALSE)-50),"-",(VLOOKUP($A57,'SegEnds_NonXtal_BW#'!$A:$Z,16,FALSE)+VLOOKUP($A57,A:AL,22,FALSE)-50))</f>
        <v>212</v>
      </c>
      <c r="X57" s="3">
        <f>IF(ISERROR(VLOOKUP($A57,'SegEnds_NonXtal_BW#'!$A:$Z,17,FALSE)+VLOOKUP($A57,A:AL,25,FALSE)-50),"-",(VLOOKUP($A57,'SegEnds_NonXtal_BW#'!$A:$Z,17,FALSE)+VLOOKUP($A57,A:AL,25,FALSE)-50))</f>
        <v>221</v>
      </c>
      <c r="Y57" s="3">
        <v>221</v>
      </c>
      <c r="Z57" s="3">
        <f t="shared" si="31"/>
        <v>223</v>
      </c>
      <c r="AA57" s="3">
        <f>IF(ISERROR(VLOOKUP($A57,'SegEnds_NonXtal_BW#'!$A:$Z,19,FALSE)+VLOOKUP($A57,A:AL,28,FALSE)-50),"-",(VLOOKUP($A57,'SegEnds_NonXtal_BW#'!$A:$Z,19,FALSE)+VLOOKUP($A57,A:AL,28,FALSE)-50))</f>
        <v>228</v>
      </c>
      <c r="AB57" s="3">
        <v>243</v>
      </c>
      <c r="AC57" s="3">
        <f>IF(ISERROR((VLOOKUP($A57,'SegEnds_NonXtal_BW#'!$A:$Z,20,FALSE)+VLOOKUP($A57,A:AL,28,FALSE)-50)),"-",(VLOOKUP($A57,'SegEnds_NonXtal_BW#'!$A:$Z,20,FALSE)+VLOOKUP($A57,A:AL,28,FALSE)-50))</f>
        <v>268</v>
      </c>
      <c r="AD57" s="3">
        <f>IF(ISERROR(VLOOKUP($A57,'SegEnds_NonXtal_BW#'!$A:$Z,21,FALSE)+VLOOKUP($A57,A:AL,31,FALSE)-50),"-",(VLOOKUP($A57,'SegEnds_NonXtal_BW#'!$A:$Z,21,FALSE)+VLOOKUP($A57,A:AL,31,FALSE)-50))</f>
        <v>480</v>
      </c>
      <c r="AE57" s="3">
        <v>506</v>
      </c>
      <c r="AF57" s="3">
        <f>IF(ISERROR((VLOOKUP($A57,'SegEnds_NonXtal_BW#'!$A:$Z,22,FALSE)+VLOOKUP($A57,A:AL,31,FALSE)-50)),"-",(VLOOKUP($A57,'SegEnds_NonXtal_BW#'!$A:$Z,22,FALSE)+VLOOKUP($A57,A:AL,31,FALSE)-50))</f>
        <v>517</v>
      </c>
      <c r="AG57" s="3">
        <f>IF(ISERROR(VLOOKUP($A57,'SegEnds_NonXtal_BW#'!$A:$Z,23,FALSE)+VLOOKUP($A57,A:AL,34,FALSE)-50),"-",(VLOOKUP($A57,'SegEnds_NonXtal_BW#'!$A:$Z,23,FALSE)+VLOOKUP($A57,A:AL,34,FALSE)-50))</f>
        <v>522</v>
      </c>
      <c r="AH57" s="3">
        <v>541</v>
      </c>
      <c r="AI57" s="3">
        <f>IF(ISERROR((VLOOKUP($A57,'SegEnds_NonXtal_BW#'!$A:$Z,24,FALSE)+VLOOKUP($A57,A:AL,34,FALSE)-50)),"-",(VLOOKUP($A57,'SegEnds_NonXtal_BW#'!$A:$Z,24,FALSE)+VLOOKUP($A57,A:AL,34,FALSE)-50))</f>
        <v>547</v>
      </c>
      <c r="AJ57" s="3">
        <f>IF(ISERROR(VLOOKUP($A57,'SegEnds_NonXtal_BW#'!$A:$Z,25,FALSE)+VLOOKUP($A57,A:AL,37,FALSE)-50),"-",(VLOOKUP($A57,'SegEnds_NonXtal_BW#'!$A:$Z,25,FALSE)+VLOOKUP($A57,A:AL,37,FALSE)-50))</f>
        <v>548</v>
      </c>
      <c r="AK57" s="3">
        <v>551</v>
      </c>
      <c r="AL57" s="3">
        <f>IF(ISERROR((VLOOKUP($A57,'SegEnds_NonXtal_BW#'!$A:$Z,26,FALSE)+VLOOKUP($A57,A:AL,37,FALSE)-50)),"-",(VLOOKUP($A57,'SegEnds_NonXtal_BW#'!$A:$Z,26,FALSE)+VLOOKUP($A57,A:AL,37,FALSE)-50))</f>
        <v>559</v>
      </c>
      <c r="AM57" s="28" t="str">
        <f>VLOOKUP(A57,Classification!A:B,2,FALSE)</f>
        <v>A</v>
      </c>
      <c r="AN57" s="28" t="b">
        <f t="shared" si="17"/>
        <v>1</v>
      </c>
      <c r="AO57" s="3" t="str">
        <f>IF(ISERROR(MATCH(A57,'SegEnds_Xtal_Prot#'!B:B, 0)), "NoXtal", "Xtal")</f>
        <v>NoXtal</v>
      </c>
      <c r="AP57" s="3">
        <f t="shared" si="2"/>
        <v>1</v>
      </c>
      <c r="AQ57" s="3">
        <f t="shared" si="3"/>
        <v>1</v>
      </c>
      <c r="AR57" s="3">
        <f t="shared" si="4"/>
        <v>2</v>
      </c>
      <c r="AS57" s="3">
        <f t="shared" si="5"/>
        <v>1</v>
      </c>
      <c r="AT57" s="3">
        <f t="shared" si="6"/>
        <v>1</v>
      </c>
      <c r="AU57" s="3">
        <f t="shared" si="7"/>
        <v>1</v>
      </c>
      <c r="AV57" s="3">
        <f t="shared" si="8"/>
        <v>9</v>
      </c>
      <c r="AW57" s="3">
        <f t="shared" si="9"/>
        <v>5</v>
      </c>
      <c r="AX57" s="3">
        <f t="shared" si="10"/>
        <v>212</v>
      </c>
      <c r="AY57" s="3">
        <f t="shared" si="11"/>
        <v>5</v>
      </c>
      <c r="AZ57" s="3">
        <f t="shared" si="12"/>
        <v>1</v>
      </c>
      <c r="BA57" s="3">
        <f>IF(ISERROR(LEN(VLOOKUP(A57,Seqs!A:E,2,FALSE))-AL57),"-",LEN(VLOOKUP(A57,Seqs!A:E,2,FALSE))-AL57)</f>
        <v>31</v>
      </c>
      <c r="BB57" s="16">
        <f t="shared" si="13"/>
        <v>28</v>
      </c>
      <c r="BC57" s="9">
        <f t="shared" si="14"/>
        <v>20</v>
      </c>
      <c r="BD57" s="3">
        <f t="shared" si="15"/>
        <v>28</v>
      </c>
      <c r="BE57" s="3">
        <f t="shared" si="16"/>
        <v>263</v>
      </c>
    </row>
    <row r="58" spans="1:58" s="3" customFormat="1" x14ac:dyDescent="0.2">
      <c r="A58" s="3" t="s">
        <v>910</v>
      </c>
      <c r="B58" s="3" t="str">
        <f>LOWER(VLOOKUP(A58,Xtal_Templ!A:B,2,FALSE))</f>
        <v>acm3_rat</v>
      </c>
      <c r="C58" s="3">
        <f>VLOOKUP($A58,'SegEnds_NonXtal_BW#'!$A:$Z,3,FALSE)+D58-50</f>
        <v>64</v>
      </c>
      <c r="D58" s="3">
        <v>85</v>
      </c>
      <c r="E58" s="3">
        <f>IF(ISERROR(VLOOKUP($A58,'SegEnds_NonXtal_BW#'!$A:$Z,4,FALSE)+VLOOKUP($A58,A:AL,4,FALSE)-50),"-",(VLOOKUP($A58,'SegEnds_NonXtal_BW#'!$A:$Z,4,FALSE)+VLOOKUP($A58,A:AL,4,FALSE)-50))</f>
        <v>95</v>
      </c>
      <c r="F58" s="3">
        <f t="shared" si="27"/>
        <v>96</v>
      </c>
      <c r="G58" s="3">
        <v>98</v>
      </c>
      <c r="H58" s="3">
        <f t="shared" si="33"/>
        <v>99</v>
      </c>
      <c r="I58" s="3">
        <f t="shared" si="33"/>
        <v>100</v>
      </c>
      <c r="J58" s="3">
        <v>113</v>
      </c>
      <c r="K58" s="3">
        <f>VLOOKUP($A58,'SegEnds_NonXtal_BW#'!$A:$Z,8,FALSE)+VLOOKUP($A58,A:AL,10,FALSE)-50</f>
        <v>130</v>
      </c>
      <c r="L58" s="3">
        <f>IF(ISERROR(VLOOKUP($A58,'SegEnds_NonXtal_BW#'!$A:$Z,9,FALSE)+VLOOKUP($A58,A:AL,13,FALSE)-50),"-",(VLOOKUP($A58,'SegEnds_NonXtal_BW#'!$A:$Z,9,FALSE)+VLOOKUP($A58,A:AL,13,FALSE)-50))</f>
        <v>132</v>
      </c>
      <c r="M58" s="3">
        <v>133</v>
      </c>
      <c r="N58" s="3">
        <f>IF(ISERROR(VLOOKUP($A58,'SegEnds_NonXtal_BW#'!$A:$Z,10,FALSE)+VLOOKUP($A58,A:AL,13,FALSE)-50),"-",(VLOOKUP($A58,'SegEnds_NonXtal_BW#'!$A:$Z,10,FALSE)+VLOOKUP($A58,A:AL,13,FALSE)-50))</f>
        <v>135</v>
      </c>
      <c r="O58" s="3">
        <f t="shared" si="34"/>
        <v>136</v>
      </c>
      <c r="P58" s="3">
        <v>165</v>
      </c>
      <c r="Q58" s="3">
        <f>VLOOKUP($A58,'SegEnds_NonXtal_BW#'!$A:$Z,12,FALSE)+VLOOKUP($A58,A:AL,16,FALSE)-50</f>
        <v>171</v>
      </c>
      <c r="R58" s="3">
        <f>IF(ISERROR(VLOOKUP($A58,'SegEnds_NonXtal_BW#'!$A:$Z,13,FALSE)+VLOOKUP($A58,A:AL,19,FALSE)-50),"-",VLOOKUP($A58,'SegEnds_NonXtal_BW#'!$A:$Z,13,FALSE)+VLOOKUP($A58,A:AL,19,FALSE)-50)</f>
        <v>172</v>
      </c>
      <c r="S58" s="3">
        <v>172</v>
      </c>
      <c r="T58" s="100">
        <f>IF(ISERROR(VLOOKUP($A58,'SegEnds_NonXtal_BW#'!$A:$Z,14,FALSE)+VLOOKUP($A58,A:AL,19,FALSE)-50),"-",(VLOOKUP($A58,'SegEnds_NonXtal_BW#'!$A:$Z,14,FALSE)+VLOOKUP($A58,A:AL,19,FALSE)-50))</f>
        <v>179</v>
      </c>
      <c r="U58" s="9">
        <f>IF(ISERROR(VLOOKUP($A58,'SegEnds_NonXtal_BW#'!$A:$Z,15,FALSE)+VLOOKUP($A58,A:AL,22,FALSE)-50),"-",VLOOKUP($A58,'SegEnds_NonXtal_BW#'!$A:$Z,15,FALSE)+VLOOKUP($A58,A:AL,22,FALSE)-50)</f>
        <v>180</v>
      </c>
      <c r="V58" s="3">
        <v>192</v>
      </c>
      <c r="W58" s="3">
        <f>IF(ISERROR(VLOOKUP($A58,'SegEnds_NonXtal_BW#'!$A:$Z,16,FALSE)+VLOOKUP($A58,A:AL,22,FALSE)-50),"-",(VLOOKUP($A58,'SegEnds_NonXtal_BW#'!$A:$Z,16,FALSE)+VLOOKUP($A58,A:AL,22,FALSE)-50))</f>
        <v>211</v>
      </c>
      <c r="X58" s="3">
        <f>IF(ISERROR(VLOOKUP($A58,'SegEnds_NonXtal_BW#'!$A:$Z,17,FALSE)+VLOOKUP($A58,A:AL,25,FALSE)-50),"-",(VLOOKUP($A58,'SegEnds_NonXtal_BW#'!$A:$Z,17,FALSE)+VLOOKUP($A58,A:AL,25,FALSE)-50))</f>
        <v>220</v>
      </c>
      <c r="Y58" s="3">
        <v>220</v>
      </c>
      <c r="Z58" s="3">
        <f t="shared" si="31"/>
        <v>222</v>
      </c>
      <c r="AA58" s="3">
        <f>IF(ISERROR(VLOOKUP($A58,'SegEnds_NonXtal_BW#'!$A:$Z,19,FALSE)+VLOOKUP($A58,A:AL,28,FALSE)-50),"-",(VLOOKUP($A58,'SegEnds_NonXtal_BW#'!$A:$Z,19,FALSE)+VLOOKUP($A58,A:AL,28,FALSE)-50))</f>
        <v>227</v>
      </c>
      <c r="AB58" s="3">
        <v>242</v>
      </c>
      <c r="AC58" s="3">
        <f>IF(ISERROR((VLOOKUP($A58,'SegEnds_NonXtal_BW#'!$A:$Z,20,FALSE)+VLOOKUP($A58,A:AL,28,FALSE)-50)),"-",(VLOOKUP($A58,'SegEnds_NonXtal_BW#'!$A:$Z,20,FALSE)+VLOOKUP($A58,A:AL,28,FALSE)-50))</f>
        <v>267</v>
      </c>
      <c r="AD58" s="3">
        <f>IF(ISERROR(VLOOKUP($A58,'SegEnds_NonXtal_BW#'!$A:$Z,21,FALSE)+VLOOKUP($A58,A:AL,31,FALSE)-50),"-",(VLOOKUP($A58,'SegEnds_NonXtal_BW#'!$A:$Z,21,FALSE)+VLOOKUP($A58,A:AL,31,FALSE)-50))</f>
        <v>479</v>
      </c>
      <c r="AE58" s="3">
        <v>505</v>
      </c>
      <c r="AF58" s="3">
        <f>IF(ISERROR((VLOOKUP($A58,'SegEnds_NonXtal_BW#'!$A:$Z,22,FALSE)+VLOOKUP($A58,A:AL,31,FALSE)-50)),"-",(VLOOKUP($A58,'SegEnds_NonXtal_BW#'!$A:$Z,22,FALSE)+VLOOKUP($A58,A:AL,31,FALSE)-50))</f>
        <v>516</v>
      </c>
      <c r="AG58" s="3">
        <f>IF(ISERROR(VLOOKUP($A58,'SegEnds_NonXtal_BW#'!$A:$Z,23,FALSE)+VLOOKUP($A58,A:AL,34,FALSE)-50),"-",(VLOOKUP($A58,'SegEnds_NonXtal_BW#'!$A:$Z,23,FALSE)+VLOOKUP($A58,A:AL,34,FALSE)-50))</f>
        <v>521</v>
      </c>
      <c r="AH58" s="3">
        <v>540</v>
      </c>
      <c r="AI58" s="3">
        <f>IF(ISERROR((VLOOKUP($A58,'SegEnds_NonXtal_BW#'!$A:$Z,24,FALSE)+VLOOKUP($A58,A:AL,34,FALSE)-50)),"-",(VLOOKUP($A58,'SegEnds_NonXtal_BW#'!$A:$Z,24,FALSE)+VLOOKUP($A58,A:AL,34,FALSE)-50))</f>
        <v>546</v>
      </c>
      <c r="AJ58" s="3">
        <f>IF(ISERROR(VLOOKUP($A58,'SegEnds_NonXtal_BW#'!$A:$Z,25,FALSE)+VLOOKUP($A58,A:AL,37,FALSE)-50),"-",(VLOOKUP($A58,'SegEnds_NonXtal_BW#'!$A:$Z,25,FALSE)+VLOOKUP($A58,A:AL,37,FALSE)-50))</f>
        <v>547</v>
      </c>
      <c r="AK58" s="3">
        <v>550</v>
      </c>
      <c r="AL58" s="3">
        <f>IF(ISERROR((VLOOKUP($A58,'SegEnds_NonXtal_BW#'!$A:$Z,26,FALSE)+VLOOKUP($A58,A:AL,37,FALSE)-50)),"-",(VLOOKUP($A58,'SegEnds_NonXtal_BW#'!$A:$Z,26,FALSE)+VLOOKUP($A58,A:AL,37,FALSE)-50))</f>
        <v>558</v>
      </c>
      <c r="AM58" s="28" t="str">
        <f>VLOOKUP(A58,Classification!A:B,2,FALSE)</f>
        <v>A</v>
      </c>
      <c r="AN58" s="28" t="b">
        <f t="shared" si="17"/>
        <v>1</v>
      </c>
      <c r="AO58" s="3" t="str">
        <f>IF(ISERROR(MATCH(A58,'SegEnds_Xtal_Prot#'!B:B, 0)), "NoXtal", "Xtal")</f>
        <v>Xtal</v>
      </c>
      <c r="AP58" s="3">
        <f t="shared" si="2"/>
        <v>1</v>
      </c>
      <c r="AQ58" s="3">
        <f t="shared" si="3"/>
        <v>1</v>
      </c>
      <c r="AR58" s="3">
        <f t="shared" si="4"/>
        <v>2</v>
      </c>
      <c r="AS58" s="3">
        <f t="shared" si="5"/>
        <v>1</v>
      </c>
      <c r="AT58" s="3">
        <f t="shared" si="6"/>
        <v>1</v>
      </c>
      <c r="AU58" s="3">
        <f t="shared" si="7"/>
        <v>1</v>
      </c>
      <c r="AV58" s="3">
        <f t="shared" si="8"/>
        <v>9</v>
      </c>
      <c r="AW58" s="3">
        <f t="shared" si="9"/>
        <v>5</v>
      </c>
      <c r="AX58" s="3">
        <f t="shared" si="10"/>
        <v>212</v>
      </c>
      <c r="AY58" s="3">
        <f t="shared" si="11"/>
        <v>5</v>
      </c>
      <c r="AZ58" s="3">
        <f t="shared" si="12"/>
        <v>1</v>
      </c>
      <c r="BA58" s="3">
        <f>IF(ISERROR(LEN(VLOOKUP(A58,Seqs!A:E,2,FALSE))-AL58),"-",LEN(VLOOKUP(A58,Seqs!A:E,2,FALSE))-AL58)</f>
        <v>31</v>
      </c>
      <c r="BB58" s="16">
        <f t="shared" si="13"/>
        <v>28</v>
      </c>
      <c r="BC58" s="9">
        <f t="shared" si="14"/>
        <v>20</v>
      </c>
      <c r="BD58" s="3">
        <f t="shared" si="15"/>
        <v>28</v>
      </c>
      <c r="BE58" s="3">
        <f t="shared" si="16"/>
        <v>263</v>
      </c>
    </row>
    <row r="59" spans="1:58" s="3" customFormat="1" x14ac:dyDescent="0.2">
      <c r="A59" s="3" t="s">
        <v>149</v>
      </c>
      <c r="B59" s="3" t="str">
        <f>LOWER(VLOOKUP(A59,Xtal_Templ!A:B,2,FALSE))</f>
        <v>acm4_human</v>
      </c>
      <c r="C59" s="3">
        <f>VLOOKUP($A59,'SegEnds_NonXtal_BW#'!$A:$Z,3,FALSE)+D59-50</f>
        <v>26</v>
      </c>
      <c r="D59" s="3">
        <v>50</v>
      </c>
      <c r="E59" s="3">
        <f>IF(ISERROR(VLOOKUP($A59,'SegEnds_NonXtal_BW#'!$A:$Z,4,FALSE)+VLOOKUP($A59,A:AL,4,FALSE)-50),"-",(VLOOKUP($A59,'SegEnds_NonXtal_BW#'!$A:$Z,4,FALSE)+VLOOKUP($A59,A:AL,4,FALSE)-50))</f>
        <v>60</v>
      </c>
      <c r="F59" s="3">
        <f t="shared" si="27"/>
        <v>61</v>
      </c>
      <c r="G59" s="3">
        <v>63</v>
      </c>
      <c r="H59" s="3">
        <f t="shared" si="33"/>
        <v>64</v>
      </c>
      <c r="I59" s="3">
        <f t="shared" si="33"/>
        <v>65</v>
      </c>
      <c r="J59" s="3">
        <v>78</v>
      </c>
      <c r="K59" s="3">
        <f>VLOOKUP($A59,'SegEnds_NonXtal_BW#'!$A:$Z,8,FALSE)+VLOOKUP($A59,A:AL,10,FALSE)-50</f>
        <v>95</v>
      </c>
      <c r="L59" s="3">
        <f>M59-1</f>
        <v>97</v>
      </c>
      <c r="M59" s="3">
        <v>98</v>
      </c>
      <c r="N59" s="3">
        <f>M59+2</f>
        <v>100</v>
      </c>
      <c r="O59" s="3">
        <f t="shared" si="34"/>
        <v>101</v>
      </c>
      <c r="P59" s="3">
        <v>130</v>
      </c>
      <c r="Q59" s="3">
        <f>VLOOKUP($A59,'SegEnds_NonXtal_BW#'!$A:$Z,12,FALSE)+VLOOKUP($A59,A:AL,16,FALSE)-50</f>
        <v>136</v>
      </c>
      <c r="R59" s="3">
        <f>IF(ISERROR(VLOOKUP($A59,'SegEnds_NonXtal_BW#'!$A:$Z,13,FALSE)+VLOOKUP($A59,A:AL,19,FALSE)-50),"-",VLOOKUP($A59,'SegEnds_NonXtal_BW#'!$A:$Z,13,FALSE)+VLOOKUP($A59,A:AL,19,FALSE)-50)</f>
        <v>137</v>
      </c>
      <c r="S59" s="3">
        <v>137</v>
      </c>
      <c r="T59" s="100">
        <f>IF(ISERROR(VLOOKUP($A59,'SegEnds_NonXtal_BW#'!$A:$Z,14,FALSE)+VLOOKUP($A59,A:AL,19,FALSE)-50),"-",(VLOOKUP($A59,'SegEnds_NonXtal_BW#'!$A:$Z,14,FALSE)+VLOOKUP($A59,A:AL,19,FALSE)-50))</f>
        <v>144</v>
      </c>
      <c r="U59" s="9">
        <f>IF(ISERROR(VLOOKUP($A59,'SegEnds_NonXtal_BW#'!$A:$Z,15,FALSE)+VLOOKUP($A59,A:AL,22,FALSE)-50),"-",VLOOKUP($A59,'SegEnds_NonXtal_BW#'!$A:$Z,15,FALSE)+VLOOKUP($A59,A:AL,22,FALSE)-50)</f>
        <v>145</v>
      </c>
      <c r="V59" s="3">
        <v>157</v>
      </c>
      <c r="W59" s="3">
        <f>IF(ISERROR(VLOOKUP($A59,'SegEnds_NonXtal_BW#'!$A:$Z,16,FALSE)+VLOOKUP($A59,A:AL,22,FALSE)-50),"-",(VLOOKUP($A59,'SegEnds_NonXtal_BW#'!$A:$Z,16,FALSE)+VLOOKUP($A59,A:AL,22,FALSE)-50))</f>
        <v>176</v>
      </c>
      <c r="X59" s="3">
        <f>IF(ISERROR(VLOOKUP($A59,'SegEnds_NonXtal_BW#'!$A:$Z,17,FALSE)+VLOOKUP($A59,A:AL,25,FALSE)-50),"-",(VLOOKUP($A59,'SegEnds_NonXtal_BW#'!$A:$Z,17,FALSE)+VLOOKUP($A59,A:AL,25,FALSE)-50))</f>
        <v>185</v>
      </c>
      <c r="Y59" s="3">
        <v>185</v>
      </c>
      <c r="Z59" s="3">
        <f t="shared" si="31"/>
        <v>187</v>
      </c>
      <c r="AA59" s="3">
        <f>IF(ISERROR(VLOOKUP($A59,'SegEnds_NonXtal_BW#'!$A:$Z,19,FALSE)+VLOOKUP($A59,A:AL,28,FALSE)-50),"-",(VLOOKUP($A59,'SegEnds_NonXtal_BW#'!$A:$Z,19,FALSE)+VLOOKUP($A59,A:AL,28,FALSE)-50))</f>
        <v>192</v>
      </c>
      <c r="AB59" s="3">
        <v>207</v>
      </c>
      <c r="AC59" s="3">
        <f>IF(ISERROR((VLOOKUP($A59,'SegEnds_NonXtal_BW#'!$A:$Z,20,FALSE)+VLOOKUP($A59,A:AL,28,FALSE)-50)),"-",(VLOOKUP($A59,'SegEnds_NonXtal_BW#'!$A:$Z,20,FALSE)+VLOOKUP($A59,A:AL,28,FALSE)-50))</f>
        <v>232</v>
      </c>
      <c r="AD59" s="3">
        <f>IF(ISERROR(VLOOKUP($A59,'SegEnds_NonXtal_BW#'!$A:$Z,21,FALSE)+VLOOKUP($A59,A:AL,31,FALSE)-50),"-",(VLOOKUP($A59,'SegEnds_NonXtal_BW#'!$A:$Z,21,FALSE)+VLOOKUP($A59,A:AL,31,FALSE)-50))</f>
        <v>389</v>
      </c>
      <c r="AE59" s="3">
        <v>415</v>
      </c>
      <c r="AF59" s="3">
        <f>IF(ISERROR((VLOOKUP($A59,'SegEnds_NonXtal_BW#'!$A:$Z,22,FALSE)+VLOOKUP($A59,A:AL,31,FALSE)-50)),"-",(VLOOKUP($A59,'SegEnds_NonXtal_BW#'!$A:$Z,22,FALSE)+VLOOKUP($A59,A:AL,31,FALSE)-50))</f>
        <v>426</v>
      </c>
      <c r="AG59" s="3">
        <f>IF(ISERROR(VLOOKUP($A59,'SegEnds_NonXtal_BW#'!$A:$Z,23,FALSE)+VLOOKUP($A59,A:AL,34,FALSE)-50),"-",(VLOOKUP($A59,'SegEnds_NonXtal_BW#'!$A:$Z,23,FALSE)+VLOOKUP($A59,A:AL,34,FALSE)-50))</f>
        <v>431</v>
      </c>
      <c r="AH59" s="3">
        <v>450</v>
      </c>
      <c r="AI59" s="3">
        <f>IF(ISERROR((VLOOKUP($A59,'SegEnds_NonXtal_BW#'!$A:$Z,24,FALSE)+VLOOKUP($A59,A:AL,34,FALSE)-50)),"-",(VLOOKUP($A59,'SegEnds_NonXtal_BW#'!$A:$Z,24,FALSE)+VLOOKUP($A59,A:AL,34,FALSE)-50))</f>
        <v>456</v>
      </c>
      <c r="AJ59" s="3">
        <f>IF(ISERROR(VLOOKUP($A59,'SegEnds_NonXtal_BW#'!$A:$Z,25,FALSE)+VLOOKUP($A59,A:AL,37,FALSE)-50),"-",(VLOOKUP($A59,'SegEnds_NonXtal_BW#'!$A:$Z,25,FALSE)+VLOOKUP($A59,A:AL,37,FALSE)-50))</f>
        <v>457</v>
      </c>
      <c r="AK59" s="3">
        <v>460</v>
      </c>
      <c r="AL59" s="3">
        <f>IF(ISERROR((VLOOKUP($A59,'SegEnds_NonXtal_BW#'!$A:$Z,26,FALSE)+VLOOKUP($A59,A:AL,37,FALSE)-50)),"-",(VLOOKUP($A59,'SegEnds_NonXtal_BW#'!$A:$Z,26,FALSE)+VLOOKUP($A59,A:AL,37,FALSE)-50))</f>
        <v>469</v>
      </c>
      <c r="AM59" s="28" t="str">
        <f>VLOOKUP(A59,Classification!A:B,2,FALSE)</f>
        <v>A</v>
      </c>
      <c r="AN59" s="28" t="b">
        <f t="shared" si="17"/>
        <v>1</v>
      </c>
      <c r="AO59" s="3" t="str">
        <f>IF(ISERROR(MATCH(A59,'SegEnds_Xtal_Prot#'!B:B, 0)), "NoXtal", "Xtal")</f>
        <v>Xtal</v>
      </c>
      <c r="AP59" s="3">
        <f t="shared" si="2"/>
        <v>1</v>
      </c>
      <c r="AQ59" s="3">
        <f t="shared" si="3"/>
        <v>1</v>
      </c>
      <c r="AR59" s="3">
        <f t="shared" si="4"/>
        <v>2</v>
      </c>
      <c r="AS59" s="3">
        <f t="shared" si="5"/>
        <v>1</v>
      </c>
      <c r="AT59" s="3">
        <f t="shared" si="6"/>
        <v>1</v>
      </c>
      <c r="AU59" s="3">
        <f t="shared" si="7"/>
        <v>1</v>
      </c>
      <c r="AV59" s="3">
        <f t="shared" si="8"/>
        <v>9</v>
      </c>
      <c r="AW59" s="3">
        <f t="shared" si="9"/>
        <v>5</v>
      </c>
      <c r="AX59" s="3">
        <f t="shared" si="10"/>
        <v>157</v>
      </c>
      <c r="AY59" s="3">
        <f t="shared" si="11"/>
        <v>5</v>
      </c>
      <c r="AZ59" s="3">
        <f t="shared" si="12"/>
        <v>1</v>
      </c>
      <c r="BA59" s="3">
        <f>IF(ISERROR(LEN(VLOOKUP(A59,Seqs!A:E,2,FALSE))-AL59),"-",LEN(VLOOKUP(A59,Seqs!A:E,2,FALSE))-AL59)</f>
        <v>10</v>
      </c>
      <c r="BB59" s="16">
        <f t="shared" si="13"/>
        <v>28</v>
      </c>
      <c r="BC59" s="9">
        <f t="shared" si="14"/>
        <v>20</v>
      </c>
      <c r="BD59" s="3">
        <f t="shared" si="15"/>
        <v>28</v>
      </c>
      <c r="BE59" s="3">
        <f t="shared" si="16"/>
        <v>208</v>
      </c>
      <c r="BF59" s="3">
        <f>AH59-AE59</f>
        <v>35</v>
      </c>
    </row>
    <row r="60" spans="1:58" s="3" customFormat="1" x14ac:dyDescent="0.2">
      <c r="A60" s="3" t="s">
        <v>150</v>
      </c>
      <c r="B60" s="3" t="str">
        <f>LOWER(VLOOKUP(A60,Xtal_Templ!A:B,2,FALSE))</f>
        <v>acm3_rat</v>
      </c>
      <c r="C60" s="3">
        <f>VLOOKUP($A60,'SegEnds_NonXtal_BW#'!$A:$Z,3,FALSE)+D60-50</f>
        <v>27</v>
      </c>
      <c r="D60" s="3">
        <v>48</v>
      </c>
      <c r="E60" s="3">
        <f>IF(ISERROR(VLOOKUP($A60,'SegEnds_NonXtal_BW#'!$A:$Z,4,FALSE)+VLOOKUP($A60,A:AL,4,FALSE)-50),"-",(VLOOKUP($A60,'SegEnds_NonXtal_BW#'!$A:$Z,4,FALSE)+VLOOKUP($A60,A:AL,4,FALSE)-50))</f>
        <v>58</v>
      </c>
      <c r="F60" s="3">
        <f t="shared" si="27"/>
        <v>59</v>
      </c>
      <c r="G60" s="3">
        <v>61</v>
      </c>
      <c r="H60" s="3">
        <f t="shared" si="33"/>
        <v>62</v>
      </c>
      <c r="I60" s="3">
        <f t="shared" si="33"/>
        <v>63</v>
      </c>
      <c r="J60" s="3">
        <v>76</v>
      </c>
      <c r="K60" s="3">
        <f>VLOOKUP($A60,'SegEnds_NonXtal_BW#'!$A:$Z,8,FALSE)+VLOOKUP($A60,A:AL,10,FALSE)-50</f>
        <v>93</v>
      </c>
      <c r="L60" s="3">
        <f>M60-1</f>
        <v>95</v>
      </c>
      <c r="M60" s="3">
        <v>96</v>
      </c>
      <c r="N60" s="3">
        <f>M60+2</f>
        <v>98</v>
      </c>
      <c r="O60" s="3">
        <f t="shared" si="34"/>
        <v>99</v>
      </c>
      <c r="P60" s="3">
        <v>128</v>
      </c>
      <c r="Q60" s="3">
        <f>VLOOKUP($A60,'SegEnds_NonXtal_BW#'!$A:$Z,12,FALSE)+VLOOKUP($A60,A:AL,16,FALSE)-50</f>
        <v>134</v>
      </c>
      <c r="R60" s="3">
        <f>IF(ISERROR(VLOOKUP($A60,'SegEnds_NonXtal_BW#'!$A:$Z,13,FALSE)+VLOOKUP($A60,A:AL,19,FALSE)-50),"-",VLOOKUP($A60,'SegEnds_NonXtal_BW#'!$A:$Z,13,FALSE)+VLOOKUP($A60,A:AL,19,FALSE)-50)</f>
        <v>135</v>
      </c>
      <c r="S60" s="3">
        <v>135</v>
      </c>
      <c r="T60" s="100">
        <f>IF(ISERROR(VLOOKUP($A60,'SegEnds_NonXtal_BW#'!$A:$Z,14,FALSE)+VLOOKUP($A60,A:AL,19,FALSE)-50),"-",(VLOOKUP($A60,'SegEnds_NonXtal_BW#'!$A:$Z,14,FALSE)+VLOOKUP($A60,A:AL,19,FALSE)-50))</f>
        <v>142</v>
      </c>
      <c r="U60" s="9">
        <f>IF(ISERROR(VLOOKUP($A60,'SegEnds_NonXtal_BW#'!$A:$Z,15,FALSE)+VLOOKUP($A60,A:AL,22,FALSE)-50),"-",VLOOKUP($A60,'SegEnds_NonXtal_BW#'!$A:$Z,15,FALSE)+VLOOKUP($A60,A:AL,22,FALSE)-50)</f>
        <v>143</v>
      </c>
      <c r="V60" s="3">
        <v>155</v>
      </c>
      <c r="W60" s="3">
        <f>IF(ISERROR(VLOOKUP($A60,'SegEnds_NonXtal_BW#'!$A:$Z,16,FALSE)+VLOOKUP($A60,A:AL,22,FALSE)-50),"-",(VLOOKUP($A60,'SegEnds_NonXtal_BW#'!$A:$Z,16,FALSE)+VLOOKUP($A60,A:AL,22,FALSE)-50))</f>
        <v>174</v>
      </c>
      <c r="X60" s="3">
        <f>IF(ISERROR(VLOOKUP($A60,'SegEnds_NonXtal_BW#'!$A:$Z,17,FALSE)+VLOOKUP($A60,A:AL,25,FALSE)-50),"-",(VLOOKUP($A60,'SegEnds_NonXtal_BW#'!$A:$Z,17,FALSE)+VLOOKUP($A60,A:AL,25,FALSE)-50))</f>
        <v>183</v>
      </c>
      <c r="Y60" s="3">
        <v>183</v>
      </c>
      <c r="Z60" s="3">
        <f t="shared" si="31"/>
        <v>185</v>
      </c>
      <c r="AA60" s="3">
        <f>IF(ISERROR(VLOOKUP($A60,'SegEnds_NonXtal_BW#'!$A:$Z,19,FALSE)+VLOOKUP($A60,A:AL,28,FALSE)-50),"-",(VLOOKUP($A60,'SegEnds_NonXtal_BW#'!$A:$Z,19,FALSE)+VLOOKUP($A60,A:AL,28,FALSE)-50))</f>
        <v>190</v>
      </c>
      <c r="AB60" s="3">
        <v>205</v>
      </c>
      <c r="AC60" s="3">
        <f>IF(ISERROR((VLOOKUP($A60,'SegEnds_NonXtal_BW#'!$A:$Z,20,FALSE)+VLOOKUP($A60,A:AL,28,FALSE)-50)),"-",(VLOOKUP($A60,'SegEnds_NonXtal_BW#'!$A:$Z,20,FALSE)+VLOOKUP($A60,A:AL,28,FALSE)-50))</f>
        <v>230</v>
      </c>
      <c r="AD60" s="3">
        <f>IF(ISERROR(VLOOKUP($A60,'SegEnds_NonXtal_BW#'!$A:$Z,21,FALSE)+VLOOKUP($A60,A:AL,31,FALSE)-50),"-",(VLOOKUP($A60,'SegEnds_NonXtal_BW#'!$A:$Z,21,FALSE)+VLOOKUP($A60,A:AL,31,FALSE)-50))</f>
        <v>431</v>
      </c>
      <c r="AE60" s="3">
        <v>457</v>
      </c>
      <c r="AF60" s="3">
        <f>IF(ISERROR((VLOOKUP($A60,'SegEnds_NonXtal_BW#'!$A:$Z,22,FALSE)+VLOOKUP($A60,A:AL,31,FALSE)-50)),"-",(VLOOKUP($A60,'SegEnds_NonXtal_BW#'!$A:$Z,22,FALSE)+VLOOKUP($A60,A:AL,31,FALSE)-50))</f>
        <v>468</v>
      </c>
      <c r="AG60" s="3">
        <f>IF(ISERROR(VLOOKUP($A60,'SegEnds_NonXtal_BW#'!$A:$Z,23,FALSE)+VLOOKUP($A60,A:AL,34,FALSE)-50),"-",(VLOOKUP($A60,'SegEnds_NonXtal_BW#'!$A:$Z,23,FALSE)+VLOOKUP($A60,A:AL,34,FALSE)-50))</f>
        <v>473</v>
      </c>
      <c r="AH60" s="3">
        <v>492</v>
      </c>
      <c r="AI60" s="3">
        <f>IF(ISERROR((VLOOKUP($A60,'SegEnds_NonXtal_BW#'!$A:$Z,24,FALSE)+VLOOKUP($A60,A:AL,34,FALSE)-50)),"-",(VLOOKUP($A60,'SegEnds_NonXtal_BW#'!$A:$Z,24,FALSE)+VLOOKUP($A60,A:AL,34,FALSE)-50))</f>
        <v>498</v>
      </c>
      <c r="AJ60" s="3">
        <f>IF(ISERROR(VLOOKUP($A60,'SegEnds_NonXtal_BW#'!$A:$Z,25,FALSE)+VLOOKUP($A60,A:AL,37,FALSE)-50),"-",(VLOOKUP($A60,'SegEnds_NonXtal_BW#'!$A:$Z,25,FALSE)+VLOOKUP($A60,A:AL,37,FALSE)-50))</f>
        <v>499</v>
      </c>
      <c r="AK60" s="3">
        <v>502</v>
      </c>
      <c r="AL60" s="3">
        <f>IF(ISERROR((VLOOKUP($A60,'SegEnds_NonXtal_BW#'!$A:$Z,26,FALSE)+VLOOKUP($A60,A:AL,37,FALSE)-50)),"-",(VLOOKUP($A60,'SegEnds_NonXtal_BW#'!$A:$Z,26,FALSE)+VLOOKUP($A60,A:AL,37,FALSE)-50))</f>
        <v>510</v>
      </c>
      <c r="AM60" s="28" t="str">
        <f>VLOOKUP(A60,Classification!A:B,2,FALSE)</f>
        <v>A</v>
      </c>
      <c r="AN60" s="28" t="b">
        <f t="shared" si="17"/>
        <v>1</v>
      </c>
      <c r="AO60" s="3" t="str">
        <f>IF(ISERROR(MATCH(A60,'SegEnds_Xtal_Prot#'!B:B, 0)), "NoXtal", "Xtal")</f>
        <v>NoXtal</v>
      </c>
      <c r="AP60" s="3">
        <f t="shared" si="2"/>
        <v>1</v>
      </c>
      <c r="AQ60" s="3">
        <f t="shared" si="3"/>
        <v>1</v>
      </c>
      <c r="AR60" s="3">
        <f t="shared" si="4"/>
        <v>2</v>
      </c>
      <c r="AS60" s="3">
        <f t="shared" si="5"/>
        <v>1</v>
      </c>
      <c r="AT60" s="3">
        <f t="shared" si="6"/>
        <v>1</v>
      </c>
      <c r="AU60" s="3">
        <f t="shared" si="7"/>
        <v>1</v>
      </c>
      <c r="AV60" s="3">
        <f t="shared" si="8"/>
        <v>9</v>
      </c>
      <c r="AW60" s="3">
        <f t="shared" si="9"/>
        <v>5</v>
      </c>
      <c r="AX60" s="3">
        <f t="shared" si="10"/>
        <v>201</v>
      </c>
      <c r="AY60" s="3">
        <f t="shared" si="11"/>
        <v>5</v>
      </c>
      <c r="AZ60" s="3">
        <f t="shared" si="12"/>
        <v>1</v>
      </c>
      <c r="BA60" s="3">
        <f>IF(ISERROR(LEN(VLOOKUP(A60,Seqs!A:E,2,FALSE))-AL60),"-",LEN(VLOOKUP(A60,Seqs!A:E,2,FALSE))-AL60)</f>
        <v>22</v>
      </c>
      <c r="BB60" s="16">
        <f t="shared" si="13"/>
        <v>28</v>
      </c>
      <c r="BC60" s="9">
        <f t="shared" si="14"/>
        <v>20</v>
      </c>
      <c r="BD60" s="3">
        <f t="shared" si="15"/>
        <v>28</v>
      </c>
      <c r="BE60" s="3">
        <f t="shared" si="16"/>
        <v>252</v>
      </c>
      <c r="BF60" s="3">
        <f>AH60-AE60</f>
        <v>35</v>
      </c>
    </row>
    <row r="61" spans="1:58" s="3" customFormat="1" x14ac:dyDescent="0.2">
      <c r="A61" s="3" t="s">
        <v>151</v>
      </c>
      <c r="B61" s="3" t="str">
        <f>LOWER(VLOOKUP(A61,Xtal_Templ!A:B,2,FALSE))</f>
        <v>s1pr1_human</v>
      </c>
      <c r="C61" s="3">
        <f>VLOOKUP($A61,'SegEnds_NonXtal_BW#'!$A:$Z,3,FALSE)+D61-50</f>
        <v>21</v>
      </c>
      <c r="D61" s="3">
        <v>42</v>
      </c>
      <c r="E61" s="3">
        <f>IF(ISERROR(VLOOKUP($A61,'SegEnds_NonXtal_BW#'!$A:$Z,4,FALSE)+VLOOKUP($A61,A:AL,4,FALSE)-50),"-",(VLOOKUP($A61,'SegEnds_NonXtal_BW#'!$A:$Z,4,FALSE)+VLOOKUP($A61,A:AL,4,FALSE)-50))</f>
        <v>52</v>
      </c>
      <c r="F61" s="3">
        <f t="shared" si="27"/>
        <v>53</v>
      </c>
      <c r="G61" s="3">
        <v>55</v>
      </c>
      <c r="H61" s="3">
        <f t="shared" si="33"/>
        <v>56</v>
      </c>
      <c r="I61" s="3">
        <f t="shared" si="33"/>
        <v>57</v>
      </c>
      <c r="J61" s="3">
        <v>70</v>
      </c>
      <c r="K61" s="3">
        <f>VLOOKUP($A61,'SegEnds_NonXtal_BW#'!$A:$Z,8,FALSE)+VLOOKUP($A61,A:AL,10,FALSE)-50</f>
        <v>87</v>
      </c>
      <c r="L61" s="3" t="str">
        <f>IF(ISERROR(VLOOKUP($A61,'SegEnds_NonXtal_BW#'!$A:$Z,9,FALSE)+VLOOKUP($A61,A:AL,13,FALSE)-50),"-",(VLOOKUP($A61,'SegEnds_NonXtal_BW#'!$A:$Z,9,FALSE)+VLOOKUP($A61,A:AL,13,FALSE)-50))</f>
        <v>-</v>
      </c>
      <c r="M61" s="3" t="s">
        <v>23</v>
      </c>
      <c r="N61" s="3" t="str">
        <f>IF(ISERROR(VLOOKUP($A61,'SegEnds_NonXtal_BW#'!$A:$Z,10,FALSE)+VLOOKUP($A61,A:AL,13,FALSE)-50),"-",(VLOOKUP($A61,'SegEnds_NonXtal_BW#'!$A:$Z,10,FALSE)+VLOOKUP($A61,A:AL,13,FALSE)-50))</f>
        <v>-</v>
      </c>
      <c r="O61" s="3">
        <f>VLOOKUP($A61,'SegEnds_NonXtal_BW#'!$A:$Z,11,FALSE)+VLOOKUP($A61,A:AL,16,FALSE)-50</f>
        <v>96</v>
      </c>
      <c r="P61" s="3">
        <v>128</v>
      </c>
      <c r="Q61" s="3">
        <f>VLOOKUP($A61,'SegEnds_NonXtal_BW#'!$A:$Z,12,FALSE)+VLOOKUP($A61,A:AL,16,FALSE)-50</f>
        <v>134</v>
      </c>
      <c r="R61" s="3">
        <f>S61</f>
        <v>135</v>
      </c>
      <c r="S61" s="3">
        <v>135</v>
      </c>
      <c r="T61" s="100">
        <f>S61+7</f>
        <v>142</v>
      </c>
      <c r="U61" s="9">
        <f>IF(ISERROR(VLOOKUP($A61,'SegEnds_NonXtal_BW#'!$A:$Z,15,FALSE)+VLOOKUP($A61,A:AL,22,FALSE)-50),"-",VLOOKUP($A61,'SegEnds_NonXtal_BW#'!$A:$Z,15,FALSE)+VLOOKUP($A61,A:AL,22,FALSE)-50)</f>
        <v>143</v>
      </c>
      <c r="V61" s="3">
        <v>155</v>
      </c>
      <c r="W61" s="3">
        <f>IF(ISERROR(VLOOKUP($A61,'SegEnds_NonXtal_BW#'!$A:$Z,16,FALSE)+VLOOKUP($A61,A:AL,22,FALSE)-50),"-",(VLOOKUP($A61,'SegEnds_NonXtal_BW#'!$A:$Z,16,FALSE)+VLOOKUP($A61,A:AL,22,FALSE)-50))</f>
        <v>168</v>
      </c>
      <c r="X61" s="3" t="str">
        <f>IF(ISERROR(VLOOKUP($A61,'SegEnds_NonXtal_BW#'!$A:$Z,17,FALSE)+VLOOKUP($A61,A:AL,25,FALSE)-50),"-",(VLOOKUP($A61,'SegEnds_NonXtal_BW#'!$A:$Z,17,FALSE)+VLOOKUP($A61,A:AL,25,FALSE)-50))</f>
        <v>-</v>
      </c>
      <c r="Y61" s="3" t="s">
        <v>23</v>
      </c>
      <c r="Z61" s="3" t="str">
        <f>IF(ISERROR(VLOOKUP($A61,'SegEnds_NonXtal_BW#'!$A:$Z,18,FALSE)+VLOOKUP($A61,A:AL,25,FALSE)-50),"-",(VLOOKUP($A61,'SegEnds_NonXtal_BW#'!$A:$Z,18,FALSE)+VLOOKUP($A61,A:AL,25,FALSE)-50))</f>
        <v>-</v>
      </c>
      <c r="AA61" s="3">
        <f>IF(ISERROR(VLOOKUP($A61,'SegEnds_NonXtal_BW#'!$A:$Z,19,FALSE)+VLOOKUP($A61,A:AL,28,FALSE)-50),"-",(VLOOKUP($A61,'SegEnds_NonXtal_BW#'!$A:$Z,19,FALSE)+VLOOKUP($A61,A:AL,28,FALSE)-50))</f>
        <v>178</v>
      </c>
      <c r="AB61" s="9">
        <v>195</v>
      </c>
      <c r="AC61" s="3">
        <f>IF(ISERROR((VLOOKUP($A61,'SegEnds_NonXtal_BW#'!$A:$Z,20,FALSE)+VLOOKUP($A61,A:AL,28,FALSE)-50)),"-",(VLOOKUP($A61,'SegEnds_NonXtal_BW#'!$A:$Z,20,FALSE)+VLOOKUP($A61,A:AL,28,FALSE)-50))</f>
        <v>211</v>
      </c>
      <c r="AD61" s="3">
        <f>IF(ISERROR(VLOOKUP($A61,'SegEnds_NonXtal_BW#'!$A:$Z,21,FALSE)+VLOOKUP($A61,A:AL,31,FALSE)-50),"-",(VLOOKUP($A61,'SegEnds_NonXtal_BW#'!$A:$Z,21,FALSE)+VLOOKUP($A61,A:AL,31,FALSE)-50))</f>
        <v>214</v>
      </c>
      <c r="AE61" s="3">
        <v>234</v>
      </c>
      <c r="AF61" s="3">
        <f>IF(ISERROR((VLOOKUP($A61,'SegEnds_NonXtal_BW#'!$A:$Z,22,FALSE)+VLOOKUP($A61,A:AL,31,FALSE)-50)),"-",(VLOOKUP($A61,'SegEnds_NonXtal_BW#'!$A:$Z,22,FALSE)+VLOOKUP($A61,A:AL,31,FALSE)-50))</f>
        <v>245</v>
      </c>
      <c r="AG61" s="3">
        <f>IF(ISERROR(VLOOKUP($A61,'SegEnds_NonXtal_BW#'!$A:$Z,23,FALSE)+VLOOKUP($A61,A:AL,34,FALSE)-50),"-",(VLOOKUP($A61,'SegEnds_NonXtal_BW#'!$A:$Z,23,FALSE)+VLOOKUP($A61,A:AL,34,FALSE)-50))</f>
        <v>253</v>
      </c>
      <c r="AH61" s="3">
        <v>273</v>
      </c>
      <c r="AI61" s="3">
        <f>IF(ISERROR((VLOOKUP($A61,'SegEnds_NonXtal_BW#'!$A:$Z,24,FALSE)+VLOOKUP($A61,A:AL,34,FALSE)-50)),"-",(VLOOKUP($A61,'SegEnds_NonXtal_BW#'!$A:$Z,24,FALSE)+VLOOKUP($A61,A:AL,34,FALSE)-50))</f>
        <v>279</v>
      </c>
      <c r="AJ61" s="3">
        <f>IF(ISERROR(VLOOKUP($A61,'SegEnds_NonXtal_BW#'!$A:$Z,25,FALSE)+VLOOKUP($A61,A:AL,37,FALSE)-50),"-",(VLOOKUP($A61,'SegEnds_NonXtal_BW#'!$A:$Z,25,FALSE)+VLOOKUP($A61,A:AL,37,FALSE)-50))</f>
        <v>280</v>
      </c>
      <c r="AK61" s="3">
        <v>283</v>
      </c>
      <c r="AL61" s="3">
        <f>IF(ISERROR((VLOOKUP($A61,'SegEnds_NonXtal_BW#'!$A:$Z,26,FALSE)+VLOOKUP($A61,A:AL,37,FALSE)-50)),"-",(VLOOKUP($A61,'SegEnds_NonXtal_BW#'!$A:$Z,26,FALSE)+VLOOKUP($A61,A:AL,37,FALSE)-50))</f>
        <v>292</v>
      </c>
      <c r="AM61" s="28" t="str">
        <f>VLOOKUP(A61,Classification!A:B,2,FALSE)</f>
        <v>A</v>
      </c>
      <c r="AN61" s="28" t="b">
        <f t="shared" si="17"/>
        <v>1</v>
      </c>
      <c r="AO61" s="3" t="str">
        <f>IF(ISERROR(MATCH(A61,'SegEnds_Xtal_Prot#'!B:B, 0)), "NoXtal", "Xtal")</f>
        <v>NoXtal</v>
      </c>
      <c r="AP61" s="3">
        <f t="shared" si="2"/>
        <v>1</v>
      </c>
      <c r="AQ61" s="3">
        <f t="shared" si="3"/>
        <v>1</v>
      </c>
      <c r="AR61" s="3" t="str">
        <f t="shared" si="4"/>
        <v>-</v>
      </c>
      <c r="AS61" s="3" t="str">
        <f t="shared" si="5"/>
        <v>-</v>
      </c>
      <c r="AT61" s="3">
        <f t="shared" si="6"/>
        <v>1</v>
      </c>
      <c r="AU61" s="3">
        <f t="shared" si="7"/>
        <v>1</v>
      </c>
      <c r="AV61" s="3" t="str">
        <f t="shared" si="8"/>
        <v>-</v>
      </c>
      <c r="AW61" s="3" t="str">
        <f t="shared" si="9"/>
        <v>-</v>
      </c>
      <c r="AX61" s="3">
        <f t="shared" si="10"/>
        <v>3</v>
      </c>
      <c r="AY61" s="3">
        <f t="shared" si="11"/>
        <v>8</v>
      </c>
      <c r="AZ61" s="3">
        <f t="shared" si="12"/>
        <v>1</v>
      </c>
      <c r="BA61" s="3">
        <f>IF(ISERROR(LEN(VLOOKUP(A61,Seqs!A:E,2,FALSE))-AL61),"-",LEN(VLOOKUP(A61,Seqs!A:E,2,FALSE))-AL61)</f>
        <v>5</v>
      </c>
      <c r="BB61" s="16">
        <f t="shared" si="13"/>
        <v>28</v>
      </c>
      <c r="BC61" s="9">
        <f t="shared" si="14"/>
        <v>20</v>
      </c>
      <c r="BD61" s="3">
        <f t="shared" si="15"/>
        <v>28</v>
      </c>
      <c r="BE61" s="3">
        <f t="shared" si="16"/>
        <v>39</v>
      </c>
      <c r="BF61" s="3">
        <f>AH61-AE61</f>
        <v>39</v>
      </c>
    </row>
    <row r="62" spans="1:58" s="3" customFormat="1" x14ac:dyDescent="0.2">
      <c r="A62" s="3" t="s">
        <v>152</v>
      </c>
      <c r="B62" s="3" t="str">
        <f>LOWER(VLOOKUP(A62,Xtal_Templ!A:B,2,FALSE))</f>
        <v>drd2_human</v>
      </c>
      <c r="C62" s="3">
        <f>VLOOKUP($A62,'SegEnds_NonXtal_BW#'!$A:$Z,3,FALSE)+D62-50</f>
        <v>23</v>
      </c>
      <c r="D62" s="3">
        <v>44</v>
      </c>
      <c r="E62" s="3">
        <f>IF(ISERROR(VLOOKUP($A62,'SegEnds_NonXtal_BW#'!$A:$Z,4,FALSE)+VLOOKUP($A62,A:AL,4,FALSE)-50),"-",(VLOOKUP($A62,'SegEnds_NonXtal_BW#'!$A:$Z,4,FALSE)+VLOOKUP($A62,A:AL,4,FALSE)-50))</f>
        <v>54</v>
      </c>
      <c r="F62" s="3">
        <f t="shared" si="27"/>
        <v>55</v>
      </c>
      <c r="G62" s="3">
        <v>57</v>
      </c>
      <c r="H62" s="3">
        <f t="shared" si="33"/>
        <v>58</v>
      </c>
      <c r="I62" s="3">
        <f t="shared" si="33"/>
        <v>59</v>
      </c>
      <c r="J62" s="3">
        <v>72</v>
      </c>
      <c r="K62" s="3">
        <f>VLOOKUP($A62,'SegEnds_NonXtal_BW#'!$A:$Z,8,FALSE)+VLOOKUP($A62,A:AL,10,FALSE)-50</f>
        <v>90</v>
      </c>
      <c r="L62" s="3">
        <f t="shared" ref="L62:L68" si="35">M62-1</f>
        <v>91</v>
      </c>
      <c r="M62" s="3">
        <v>92</v>
      </c>
      <c r="N62" s="3">
        <f t="shared" ref="N62:N68" si="36">M62+2</f>
        <v>94</v>
      </c>
      <c r="O62" s="3">
        <f t="shared" ref="O62:O89" si="37">N62+1</f>
        <v>95</v>
      </c>
      <c r="P62" s="3">
        <v>124</v>
      </c>
      <c r="Q62" s="3">
        <f>VLOOKUP($A62,'SegEnds_NonXtal_BW#'!$A:$Z,12,FALSE)+VLOOKUP($A62,A:AL,16,FALSE)-50</f>
        <v>130</v>
      </c>
      <c r="R62" s="3">
        <f>IF(ISERROR(VLOOKUP($A62,'SegEnds_NonXtal_BW#'!$A:$Z,13,FALSE)+VLOOKUP($A62,A:AL,19,FALSE)-50),"-",VLOOKUP($A62,'SegEnds_NonXtal_BW#'!$A:$Z,13,FALSE)+VLOOKUP($A62,A:AL,19,FALSE)-50)</f>
        <v>131</v>
      </c>
      <c r="S62" s="3">
        <v>131</v>
      </c>
      <c r="T62" s="100">
        <f>IF(ISERROR(VLOOKUP($A62,'SegEnds_NonXtal_BW#'!$A:$Z,14,FALSE)+VLOOKUP($A62,A:AL,19,FALSE)-50),"-",(VLOOKUP($A62,'SegEnds_NonXtal_BW#'!$A:$Z,14,FALSE)+VLOOKUP($A62,A:AL,19,FALSE)-50))</f>
        <v>138</v>
      </c>
      <c r="U62" s="9">
        <f>IF(ISERROR(VLOOKUP($A62,'SegEnds_NonXtal_BW#'!$A:$Z,15,FALSE)+VLOOKUP($A62,A:AL,22,FALSE)-50),"-",VLOOKUP($A62,'SegEnds_NonXtal_BW#'!$A:$Z,15,FALSE)+VLOOKUP($A62,A:AL,22,FALSE)-50)</f>
        <v>139</v>
      </c>
      <c r="V62" s="3">
        <v>151</v>
      </c>
      <c r="W62" s="3">
        <f>IF(ISERROR(VLOOKUP($A62,'SegEnds_NonXtal_BW#'!$A:$Z,16,FALSE)+VLOOKUP($A62,A:AL,22,FALSE)-50),"-",(VLOOKUP($A62,'SegEnds_NonXtal_BW#'!$A:$Z,16,FALSE)+VLOOKUP($A62,A:AL,22,FALSE)-50))</f>
        <v>163</v>
      </c>
      <c r="X62" s="3">
        <f>IF(ISERROR(VLOOKUP($A62,'SegEnds_NonXtal_BW#'!$A:$Z,17,FALSE)+VLOOKUP($A62,A:AL,25,FALSE)-50),"-",(VLOOKUP($A62,'SegEnds_NonXtal_BW#'!$A:$Z,17,FALSE)+VLOOKUP($A62,A:AL,25,FALSE)-50))</f>
        <v>176</v>
      </c>
      <c r="Y62" s="3">
        <v>176</v>
      </c>
      <c r="Z62" s="3">
        <f t="shared" ref="Z62:Z89" si="38">Y62+2</f>
        <v>178</v>
      </c>
      <c r="AA62" s="3">
        <f>IF(ISERROR(VLOOKUP($A62,'SegEnds_NonXtal_BW#'!$A:$Z,19,FALSE)+VLOOKUP($A62,A:AL,28,FALSE)-50),"-",(VLOOKUP($A62,'SegEnds_NonXtal_BW#'!$A:$Z,19,FALSE)+VLOOKUP($A62,A:AL,28,FALSE)-50))</f>
        <v>181</v>
      </c>
      <c r="AB62" s="3">
        <v>196</v>
      </c>
      <c r="AC62" s="3">
        <f>IF(ISERROR((VLOOKUP($A62,'SegEnds_NonXtal_BW#'!$A:$Z,20,FALSE)+VLOOKUP($A62,A:AL,28,FALSE)-50)),"-",(VLOOKUP($A62,'SegEnds_NonXtal_BW#'!$A:$Z,20,FALSE)+VLOOKUP($A62,A:AL,28,FALSE)-50))</f>
        <v>222</v>
      </c>
      <c r="AD62" s="3">
        <f>IF(ISERROR(VLOOKUP($A62,'SegEnds_NonXtal_BW#'!$A:$Z,21,FALSE)+VLOOKUP($A62,A:AL,31,FALSE)-50),"-",(VLOOKUP($A62,'SegEnds_NonXtal_BW#'!$A:$Z,21,FALSE)+VLOOKUP($A62,A:AL,31,FALSE)-50))</f>
        <v>261</v>
      </c>
      <c r="AE62" s="3">
        <v>287</v>
      </c>
      <c r="AF62" s="3">
        <f>IF(ISERROR((VLOOKUP($A62,'SegEnds_NonXtal_BW#'!$A:$Z,22,FALSE)+VLOOKUP($A62,A:AL,31,FALSE)-50)),"-",(VLOOKUP($A62,'SegEnds_NonXtal_BW#'!$A:$Z,22,FALSE)+VLOOKUP($A62,A:AL,31,FALSE)-50))</f>
        <v>298</v>
      </c>
      <c r="AG62" s="3">
        <f>IF(ISERROR(VLOOKUP($A62,'SegEnds_NonXtal_BW#'!$A:$Z,23,FALSE)+VLOOKUP($A62,A:AL,34,FALSE)-50),"-",(VLOOKUP($A62,'SegEnds_NonXtal_BW#'!$A:$Z,23,FALSE)+VLOOKUP($A62,A:AL,34,FALSE)-50))</f>
        <v>304</v>
      </c>
      <c r="AH62" s="3">
        <v>323</v>
      </c>
      <c r="AI62" s="3">
        <f>IF(ISERROR((VLOOKUP($A62,'SegEnds_NonXtal_BW#'!$A:$Z,24,FALSE)+VLOOKUP($A62,A:AL,34,FALSE)-50)),"-",(VLOOKUP($A62,'SegEnds_NonXtal_BW#'!$A:$Z,24,FALSE)+VLOOKUP($A62,A:AL,34,FALSE)-50))</f>
        <v>329</v>
      </c>
      <c r="AJ62" s="3">
        <f>IF(ISERROR(VLOOKUP($A62,'SegEnds_NonXtal_BW#'!$A:$Z,25,FALSE)+VLOOKUP($A62,A:AL,37,FALSE)-50),"-",(VLOOKUP($A62,'SegEnds_NonXtal_BW#'!$A:$Z,25,FALSE)+VLOOKUP($A62,A:AL,37,FALSE)-50))</f>
        <v>330</v>
      </c>
      <c r="AK62" s="3">
        <v>333</v>
      </c>
      <c r="AL62" s="3">
        <f>IF(ISERROR((VLOOKUP($A62,'SegEnds_NonXtal_BW#'!$A:$Z,26,FALSE)+VLOOKUP($A62,A:AL,37,FALSE)-50)),"-",(VLOOKUP($A62,'SegEnds_NonXtal_BW#'!$A:$Z,26,FALSE)+VLOOKUP($A62,A:AL,37,FALSE)-50))</f>
        <v>342</v>
      </c>
      <c r="AM62" s="28" t="str">
        <f>VLOOKUP(A62,Classification!A:B,2,FALSE)</f>
        <v>A</v>
      </c>
      <c r="AN62" s="28" t="b">
        <f t="shared" si="17"/>
        <v>1</v>
      </c>
      <c r="AO62" s="3" t="str">
        <f>IF(ISERROR(MATCH(A62,'SegEnds_Xtal_Prot#'!B:B, 0)), "NoXtal", "Xtal")</f>
        <v>NoXtal</v>
      </c>
      <c r="AP62" s="3">
        <f t="shared" si="2"/>
        <v>1</v>
      </c>
      <c r="AQ62" s="3">
        <f t="shared" si="3"/>
        <v>1</v>
      </c>
      <c r="AR62" s="3">
        <f t="shared" si="4"/>
        <v>1</v>
      </c>
      <c r="AS62" s="3">
        <f t="shared" si="5"/>
        <v>1</v>
      </c>
      <c r="AT62" s="3">
        <f t="shared" si="6"/>
        <v>1</v>
      </c>
      <c r="AU62" s="3">
        <f t="shared" si="7"/>
        <v>1</v>
      </c>
      <c r="AV62" s="3">
        <f t="shared" si="8"/>
        <v>13</v>
      </c>
      <c r="AW62" s="3">
        <f t="shared" si="9"/>
        <v>3</v>
      </c>
      <c r="AX62" s="3">
        <f t="shared" si="10"/>
        <v>39</v>
      </c>
      <c r="AY62" s="3">
        <f t="shared" si="11"/>
        <v>6</v>
      </c>
      <c r="AZ62" s="3">
        <f t="shared" si="12"/>
        <v>1</v>
      </c>
      <c r="BA62" s="3">
        <f>IF(ISERROR(LEN(VLOOKUP(A62,Seqs!A:E,2,FALSE))-AL62),"-",LEN(VLOOKUP(A62,Seqs!A:E,2,FALSE))-AL62)</f>
        <v>124</v>
      </c>
      <c r="BB62" s="16">
        <f t="shared" si="13"/>
        <v>28</v>
      </c>
      <c r="BC62" s="9">
        <f t="shared" si="14"/>
        <v>20</v>
      </c>
      <c r="BD62" s="3">
        <f t="shared" si="15"/>
        <v>28</v>
      </c>
      <c r="BE62" s="3">
        <f t="shared" si="16"/>
        <v>91</v>
      </c>
    </row>
    <row r="63" spans="1:58" s="3" customFormat="1" x14ac:dyDescent="0.2">
      <c r="A63" s="3" t="s">
        <v>153</v>
      </c>
      <c r="B63" s="3" t="str">
        <f>LOWER(VLOOKUP(A63,Xtal_Templ!A:B,2,FALSE))</f>
        <v>drd2_human</v>
      </c>
      <c r="C63" s="3">
        <f>VLOOKUP($A63,'SegEnds_NonXtal_BW#'!$A:$Z,3,FALSE)+D63-50</f>
        <v>42</v>
      </c>
      <c r="D63" s="3">
        <v>63</v>
      </c>
      <c r="E63" s="3">
        <f>IF(ISERROR(VLOOKUP($A63,'SegEnds_NonXtal_BW#'!$A:$Z,4,FALSE)+VLOOKUP($A63,A:AL,4,FALSE)-50),"-",(VLOOKUP($A63,'SegEnds_NonXtal_BW#'!$A:$Z,4,FALSE)+VLOOKUP($A63,A:AL,4,FALSE)-50))</f>
        <v>73</v>
      </c>
      <c r="F63" s="3">
        <f t="shared" si="27"/>
        <v>74</v>
      </c>
      <c r="G63" s="3">
        <v>76</v>
      </c>
      <c r="H63" s="3">
        <f t="shared" si="33"/>
        <v>77</v>
      </c>
      <c r="I63" s="3">
        <f t="shared" si="33"/>
        <v>78</v>
      </c>
      <c r="J63" s="3">
        <v>91</v>
      </c>
      <c r="K63" s="3">
        <f>VLOOKUP($A63,'SegEnds_NonXtal_BW#'!$A:$Z,8,FALSE)+VLOOKUP($A63,A:AL,10,FALSE)-50</f>
        <v>109</v>
      </c>
      <c r="L63" s="3">
        <f t="shared" si="35"/>
        <v>110</v>
      </c>
      <c r="M63" s="3">
        <v>111</v>
      </c>
      <c r="N63" s="3">
        <f t="shared" si="36"/>
        <v>113</v>
      </c>
      <c r="O63" s="3">
        <f t="shared" si="37"/>
        <v>114</v>
      </c>
      <c r="P63" s="3">
        <v>143</v>
      </c>
      <c r="Q63" s="3">
        <f>VLOOKUP($A63,'SegEnds_NonXtal_BW#'!$A:$Z,12,FALSE)+VLOOKUP($A63,A:AL,16,FALSE)-50</f>
        <v>149</v>
      </c>
      <c r="R63" s="3">
        <f>IF(ISERROR(VLOOKUP($A63,'SegEnds_NonXtal_BW#'!$A:$Z,13,FALSE)+VLOOKUP($A63,A:AL,19,FALSE)-50),"-",VLOOKUP($A63,'SegEnds_NonXtal_BW#'!$A:$Z,13,FALSE)+VLOOKUP($A63,A:AL,19,FALSE)-50)</f>
        <v>150</v>
      </c>
      <c r="S63" s="3">
        <v>150</v>
      </c>
      <c r="T63" s="100">
        <f>IF(ISERROR(VLOOKUP($A63,'SegEnds_NonXtal_BW#'!$A:$Z,14,FALSE)+VLOOKUP($A63,A:AL,19,FALSE)-50),"-",(VLOOKUP($A63,'SegEnds_NonXtal_BW#'!$A:$Z,14,FALSE)+VLOOKUP($A63,A:AL,19,FALSE)-50))</f>
        <v>157</v>
      </c>
      <c r="U63" s="9">
        <f>IF(ISERROR(VLOOKUP($A63,'SegEnds_NonXtal_BW#'!$A:$Z,15,FALSE)+VLOOKUP($A63,A:AL,22,FALSE)-50),"-",VLOOKUP($A63,'SegEnds_NonXtal_BW#'!$A:$Z,15,FALSE)+VLOOKUP($A63,A:AL,22,FALSE)-50)</f>
        <v>158</v>
      </c>
      <c r="V63" s="3">
        <v>170</v>
      </c>
      <c r="W63" s="3">
        <f>IF(ISERROR(VLOOKUP($A63,'SegEnds_NonXtal_BW#'!$A:$Z,16,FALSE)+VLOOKUP($A63,A:AL,22,FALSE)-50),"-",(VLOOKUP($A63,'SegEnds_NonXtal_BW#'!$A:$Z,16,FALSE)+VLOOKUP($A63,A:AL,22,FALSE)-50))</f>
        <v>182</v>
      </c>
      <c r="X63" s="3">
        <f>IF(ISERROR(VLOOKUP($A63,'SegEnds_NonXtal_BW#'!$A:$Z,17,FALSE)+VLOOKUP($A63,A:AL,25,FALSE)-50),"-",(VLOOKUP($A63,'SegEnds_NonXtal_BW#'!$A:$Z,17,FALSE)+VLOOKUP($A63,A:AL,25,FALSE)-50))</f>
        <v>195</v>
      </c>
      <c r="Y63" s="3">
        <v>195</v>
      </c>
      <c r="Z63" s="3">
        <f t="shared" si="38"/>
        <v>197</v>
      </c>
      <c r="AA63" s="3">
        <f>IF(ISERROR(VLOOKUP($A63,'SegEnds_NonXtal_BW#'!$A:$Z,19,FALSE)+VLOOKUP($A63,A:AL,28,FALSE)-50),"-",(VLOOKUP($A63,'SegEnds_NonXtal_BW#'!$A:$Z,19,FALSE)+VLOOKUP($A63,A:AL,28,FALSE)-50))</f>
        <v>200</v>
      </c>
      <c r="AB63" s="3">
        <v>215</v>
      </c>
      <c r="AC63" s="3">
        <f>IF(ISERROR((VLOOKUP($A63,'SegEnds_NonXtal_BW#'!$A:$Z,20,FALSE)+VLOOKUP($A63,A:AL,28,FALSE)-50)),"-",(VLOOKUP($A63,'SegEnds_NonXtal_BW#'!$A:$Z,20,FALSE)+VLOOKUP($A63,A:AL,28,FALSE)-50))</f>
        <v>239</v>
      </c>
      <c r="AD63" s="3">
        <f>IF(ISERROR(VLOOKUP($A63,'SegEnds_NonXtal_BW#'!$A:$Z,21,FALSE)+VLOOKUP($A63,A:AL,31,FALSE)-50),"-",(VLOOKUP($A63,'SegEnds_NonXtal_BW#'!$A:$Z,21,FALSE)+VLOOKUP($A63,A:AL,31,FALSE)-50))</f>
        <v>283</v>
      </c>
      <c r="AE63" s="3">
        <v>309</v>
      </c>
      <c r="AF63" s="3">
        <f>IF(ISERROR((VLOOKUP($A63,'SegEnds_NonXtal_BW#'!$A:$Z,22,FALSE)+VLOOKUP($A63,A:AL,31,FALSE)-50)),"-",(VLOOKUP($A63,'SegEnds_NonXtal_BW#'!$A:$Z,22,FALSE)+VLOOKUP($A63,A:AL,31,FALSE)-50))</f>
        <v>320</v>
      </c>
      <c r="AG63" s="3">
        <f>IF(ISERROR(VLOOKUP($A63,'SegEnds_NonXtal_BW#'!$A:$Z,23,FALSE)+VLOOKUP($A63,A:AL,34,FALSE)-50),"-",(VLOOKUP($A63,'SegEnds_NonXtal_BW#'!$A:$Z,23,FALSE)+VLOOKUP($A63,A:AL,34,FALSE)-50))</f>
        <v>326</v>
      </c>
      <c r="AH63" s="3">
        <v>345</v>
      </c>
      <c r="AI63" s="3">
        <v>351</v>
      </c>
      <c r="AJ63" s="3">
        <f>IF(ISERROR(VLOOKUP($A63,'SegEnds_NonXtal_BW#'!$A:$Z,25,FALSE)+VLOOKUP($A63,A:AL,37,FALSE)-50),"-",(VLOOKUP($A63,'SegEnds_NonXtal_BW#'!$A:$Z,25,FALSE)+VLOOKUP($A63,A:AL,37,FALSE)-50))</f>
        <v>352</v>
      </c>
      <c r="AK63" s="3">
        <v>355</v>
      </c>
      <c r="AL63" s="3">
        <f>IF(ISERROR((VLOOKUP($A63,'SegEnds_NonXtal_BW#'!$A:$Z,26,FALSE)+VLOOKUP($A63,A:AL,37,FALSE)-50)),"-",(VLOOKUP($A63,'SegEnds_NonXtal_BW#'!$A:$Z,26,FALSE)+VLOOKUP($A63,A:AL,37,FALSE)-50))</f>
        <v>364</v>
      </c>
      <c r="AM63" s="28" t="str">
        <f>VLOOKUP(A63,Classification!A:B,2,FALSE)</f>
        <v>A</v>
      </c>
      <c r="AN63" s="28" t="b">
        <f t="shared" si="17"/>
        <v>1</v>
      </c>
      <c r="AO63" s="3" t="str">
        <f>IF(ISERROR(MATCH(A63,'SegEnds_Xtal_Prot#'!B:B, 0)), "NoXtal", "Xtal")</f>
        <v>NoXtal</v>
      </c>
      <c r="AP63" s="3">
        <f t="shared" si="2"/>
        <v>1</v>
      </c>
      <c r="AQ63" s="3">
        <f t="shared" si="3"/>
        <v>1</v>
      </c>
      <c r="AR63" s="3">
        <f t="shared" si="4"/>
        <v>1</v>
      </c>
      <c r="AS63" s="3">
        <f t="shared" si="5"/>
        <v>1</v>
      </c>
      <c r="AT63" s="3">
        <f t="shared" si="6"/>
        <v>1</v>
      </c>
      <c r="AU63" s="3">
        <f t="shared" si="7"/>
        <v>1</v>
      </c>
      <c r="AV63" s="3">
        <f t="shared" si="8"/>
        <v>13</v>
      </c>
      <c r="AW63" s="3">
        <f t="shared" si="9"/>
        <v>3</v>
      </c>
      <c r="AX63" s="3">
        <f t="shared" si="10"/>
        <v>44</v>
      </c>
      <c r="AY63" s="3">
        <f t="shared" si="11"/>
        <v>6</v>
      </c>
      <c r="AZ63" s="3">
        <f t="shared" si="12"/>
        <v>1</v>
      </c>
      <c r="BA63" s="3">
        <f>IF(ISERROR(LEN(VLOOKUP(A63,Seqs!A:E,2,FALSE))-AL63),"-",LEN(VLOOKUP(A63,Seqs!A:E,2,FALSE))-AL63)</f>
        <v>156</v>
      </c>
      <c r="BB63" s="16">
        <f t="shared" si="13"/>
        <v>28</v>
      </c>
      <c r="BC63" s="9">
        <f t="shared" si="14"/>
        <v>20</v>
      </c>
      <c r="BD63" s="3">
        <f t="shared" si="15"/>
        <v>28</v>
      </c>
      <c r="BE63" s="3">
        <f t="shared" si="16"/>
        <v>94</v>
      </c>
    </row>
    <row r="64" spans="1:58" s="3" customFormat="1" x14ac:dyDescent="0.2">
      <c r="A64" s="3" t="s">
        <v>154</v>
      </c>
      <c r="B64" s="3" t="str">
        <f>LOWER(VLOOKUP(A64,Xtal_Templ!A:B,2,FALSE))</f>
        <v>drd2_human</v>
      </c>
      <c r="C64" s="3">
        <f>VLOOKUP($A64,'SegEnds_NonXtal_BW#'!$A:$Z,3,FALSE)+D64-50</f>
        <v>93</v>
      </c>
      <c r="D64" s="3">
        <v>114</v>
      </c>
      <c r="E64" s="3">
        <f>IF(ISERROR(VLOOKUP($A64,'SegEnds_NonXtal_BW#'!$A:$Z,4,FALSE)+VLOOKUP($A64,A:AL,4,FALSE)-50),"-",(VLOOKUP($A64,'SegEnds_NonXtal_BW#'!$A:$Z,4,FALSE)+VLOOKUP($A64,A:AL,4,FALSE)-50))</f>
        <v>124</v>
      </c>
      <c r="F64" s="3">
        <f t="shared" si="27"/>
        <v>125</v>
      </c>
      <c r="G64" s="3">
        <v>127</v>
      </c>
      <c r="H64" s="3">
        <f t="shared" si="33"/>
        <v>128</v>
      </c>
      <c r="I64" s="3">
        <f t="shared" si="33"/>
        <v>129</v>
      </c>
      <c r="J64" s="3">
        <v>142</v>
      </c>
      <c r="K64" s="3">
        <f>VLOOKUP($A64,'SegEnds_NonXtal_BW#'!$A:$Z,8,FALSE)+VLOOKUP($A64,A:AL,10,FALSE)-50</f>
        <v>160</v>
      </c>
      <c r="L64" s="3">
        <f t="shared" si="35"/>
        <v>161</v>
      </c>
      <c r="M64" s="3">
        <v>162</v>
      </c>
      <c r="N64" s="3">
        <f t="shared" si="36"/>
        <v>164</v>
      </c>
      <c r="O64" s="3">
        <f t="shared" si="37"/>
        <v>165</v>
      </c>
      <c r="P64" s="3">
        <v>194</v>
      </c>
      <c r="Q64" s="3">
        <f>VLOOKUP($A64,'SegEnds_NonXtal_BW#'!$A:$Z,12,FALSE)+VLOOKUP($A64,A:AL,16,FALSE)-50</f>
        <v>200</v>
      </c>
      <c r="R64" s="3">
        <f>IF(ISERROR(VLOOKUP($A64,'SegEnds_NonXtal_BW#'!$A:$Z,13,FALSE)+VLOOKUP($A64,A:AL,19,FALSE)-50),"-",VLOOKUP($A64,'SegEnds_NonXtal_BW#'!$A:$Z,13,FALSE)+VLOOKUP($A64,A:AL,19,FALSE)-50)</f>
        <v>201</v>
      </c>
      <c r="S64" s="3">
        <v>201</v>
      </c>
      <c r="T64" s="100">
        <f>IF(ISERROR(VLOOKUP($A64,'SegEnds_NonXtal_BW#'!$A:$Z,14,FALSE)+VLOOKUP($A64,A:AL,19,FALSE)-50),"-",(VLOOKUP($A64,'SegEnds_NonXtal_BW#'!$A:$Z,14,FALSE)+VLOOKUP($A64,A:AL,19,FALSE)-50))</f>
        <v>208</v>
      </c>
      <c r="U64" s="9">
        <f>IF(ISERROR(VLOOKUP($A64,'SegEnds_NonXtal_BW#'!$A:$Z,15,FALSE)+VLOOKUP($A64,A:AL,22,FALSE)-50),"-",VLOOKUP($A64,'SegEnds_NonXtal_BW#'!$A:$Z,15,FALSE)+VLOOKUP($A64,A:AL,22,FALSE)-50)</f>
        <v>209</v>
      </c>
      <c r="V64" s="3">
        <v>221</v>
      </c>
      <c r="W64" s="3">
        <f>IF(ISERROR(VLOOKUP($A64,'SegEnds_NonXtal_BW#'!$A:$Z,16,FALSE)+VLOOKUP($A64,A:AL,22,FALSE)-50),"-",(VLOOKUP($A64,'SegEnds_NonXtal_BW#'!$A:$Z,16,FALSE)+VLOOKUP($A64,A:AL,22,FALSE)-50))</f>
        <v>233</v>
      </c>
      <c r="X64" s="3">
        <f>IF(ISERROR(VLOOKUP($A64,'SegEnds_NonXtal_BW#'!$A:$Z,17,FALSE)+VLOOKUP($A64,A:AL,25,FALSE)-50),"-",(VLOOKUP($A64,'SegEnds_NonXtal_BW#'!$A:$Z,17,FALSE)+VLOOKUP($A64,A:AL,25,FALSE)-50))</f>
        <v>246</v>
      </c>
      <c r="Y64" s="3">
        <v>246</v>
      </c>
      <c r="Z64" s="3">
        <f t="shared" si="38"/>
        <v>248</v>
      </c>
      <c r="AA64" s="3">
        <f>IF(ISERROR(VLOOKUP($A64,'SegEnds_NonXtal_BW#'!$A:$Z,19,FALSE)+VLOOKUP($A64,A:AL,28,FALSE)-50),"-",(VLOOKUP($A64,'SegEnds_NonXtal_BW#'!$A:$Z,19,FALSE)+VLOOKUP($A64,A:AL,28,FALSE)-50))</f>
        <v>251</v>
      </c>
      <c r="AB64" s="3">
        <v>266</v>
      </c>
      <c r="AC64" s="3">
        <f>IF(ISERROR((VLOOKUP($A64,'SegEnds_NonXtal_BW#'!$A:$Z,20,FALSE)+VLOOKUP($A64,A:AL,28,FALSE)-50)),"-",(VLOOKUP($A64,'SegEnds_NonXtal_BW#'!$A:$Z,20,FALSE)+VLOOKUP($A64,A:AL,28,FALSE)-50))</f>
        <v>290</v>
      </c>
      <c r="AD64" s="3">
        <f>IF(ISERROR(VLOOKUP($A64,'SegEnds_NonXtal_BW#'!$A:$Z,21,FALSE)+VLOOKUP($A64,A:AL,31,FALSE)-50),"-",(VLOOKUP($A64,'SegEnds_NonXtal_BW#'!$A:$Z,21,FALSE)+VLOOKUP($A64,A:AL,31,FALSE)-50))</f>
        <v>337</v>
      </c>
      <c r="AE64" s="3">
        <v>363</v>
      </c>
      <c r="AF64" s="3">
        <f>IF(ISERROR((VLOOKUP($A64,'SegEnds_NonXtal_BW#'!$A:$Z,22,FALSE)+VLOOKUP($A64,A:AL,31,FALSE)-50)),"-",(VLOOKUP($A64,'SegEnds_NonXtal_BW#'!$A:$Z,22,FALSE)+VLOOKUP($A64,A:AL,31,FALSE)-50))</f>
        <v>374</v>
      </c>
      <c r="AG64" s="3">
        <f>IF(ISERROR(VLOOKUP($A64,'SegEnds_NonXtal_BW#'!$A:$Z,23,FALSE)+VLOOKUP($A64,A:AL,34,FALSE)-50),"-",(VLOOKUP($A64,'SegEnds_NonXtal_BW#'!$A:$Z,23,FALSE)+VLOOKUP($A64,A:AL,34,FALSE)-50))</f>
        <v>380</v>
      </c>
      <c r="AH64" s="3">
        <v>399</v>
      </c>
      <c r="AI64" s="3">
        <v>405</v>
      </c>
      <c r="AJ64" s="3">
        <f>IF(ISERROR(VLOOKUP($A64,'SegEnds_NonXtal_BW#'!$A:$Z,25,FALSE)+VLOOKUP($A64,A:AL,37,FALSE)-50),"-",(VLOOKUP($A64,'SegEnds_NonXtal_BW#'!$A:$Z,25,FALSE)+VLOOKUP($A64,A:AL,37,FALSE)-50))</f>
        <v>406</v>
      </c>
      <c r="AK64" s="3">
        <v>409</v>
      </c>
      <c r="AL64" s="3">
        <f>IF(ISERROR((VLOOKUP($A64,'SegEnds_NonXtal_BW#'!$A:$Z,26,FALSE)+VLOOKUP($A64,A:AL,37,FALSE)-50)),"-",(VLOOKUP($A64,'SegEnds_NonXtal_BW#'!$A:$Z,26,FALSE)+VLOOKUP($A64,A:AL,37,FALSE)-50))</f>
        <v>418</v>
      </c>
      <c r="AM64" s="28" t="str">
        <f>VLOOKUP(A64,Classification!A:B,2,FALSE)</f>
        <v>A</v>
      </c>
      <c r="AN64" s="28" t="b">
        <f t="shared" si="17"/>
        <v>1</v>
      </c>
      <c r="AO64" s="3" t="str">
        <f>IF(ISERROR(MATCH(A64,'SegEnds_Xtal_Prot#'!B:B, 0)), "NoXtal", "Xtal")</f>
        <v>NoXtal</v>
      </c>
      <c r="AP64" s="3">
        <f t="shared" si="2"/>
        <v>1</v>
      </c>
      <c r="AQ64" s="3">
        <f t="shared" si="3"/>
        <v>1</v>
      </c>
      <c r="AR64" s="3">
        <f t="shared" si="4"/>
        <v>1</v>
      </c>
      <c r="AS64" s="3">
        <f t="shared" si="5"/>
        <v>1</v>
      </c>
      <c r="AT64" s="3">
        <f t="shared" si="6"/>
        <v>1</v>
      </c>
      <c r="AU64" s="3">
        <f t="shared" si="7"/>
        <v>1</v>
      </c>
      <c r="AV64" s="3">
        <f t="shared" si="8"/>
        <v>13</v>
      </c>
      <c r="AW64" s="3">
        <f t="shared" si="9"/>
        <v>3</v>
      </c>
      <c r="AX64" s="3">
        <f t="shared" si="10"/>
        <v>47</v>
      </c>
      <c r="AY64" s="3">
        <f t="shared" si="11"/>
        <v>6</v>
      </c>
      <c r="AZ64" s="3">
        <f t="shared" si="12"/>
        <v>1</v>
      </c>
      <c r="BA64" s="3">
        <f>IF(ISERROR(LEN(VLOOKUP(A64,Seqs!A:E,2,FALSE))-AL64),"-",LEN(VLOOKUP(A64,Seqs!A:E,2,FALSE))-AL64)</f>
        <v>154</v>
      </c>
      <c r="BB64" s="16">
        <f t="shared" si="13"/>
        <v>28</v>
      </c>
      <c r="BC64" s="9">
        <f t="shared" si="14"/>
        <v>20</v>
      </c>
      <c r="BD64" s="3">
        <f t="shared" si="15"/>
        <v>28</v>
      </c>
      <c r="BE64" s="3">
        <f t="shared" si="16"/>
        <v>97</v>
      </c>
    </row>
    <row r="65" spans="1:58" s="3" customFormat="1" x14ac:dyDescent="0.2">
      <c r="A65" s="3" t="s">
        <v>155</v>
      </c>
      <c r="B65" s="3" t="str">
        <f>LOWER(VLOOKUP(A65,Xtal_Templ!A:B,2,FALSE))</f>
        <v>drd2_human</v>
      </c>
      <c r="C65" s="3">
        <f>VLOOKUP($A65,'SegEnds_NonXtal_BW#'!$A:$Z,3,FALSE)+D65-50</f>
        <v>30</v>
      </c>
      <c r="D65" s="3">
        <v>51</v>
      </c>
      <c r="E65" s="3">
        <f>IF(ISERROR(VLOOKUP($A65,'SegEnds_NonXtal_BW#'!$A:$Z,4,FALSE)+VLOOKUP($A65,A:AL,4,FALSE)-50),"-",(VLOOKUP($A65,'SegEnds_NonXtal_BW#'!$A:$Z,4,FALSE)+VLOOKUP($A65,A:AL,4,FALSE)-50))</f>
        <v>61</v>
      </c>
      <c r="F65" s="3">
        <f t="shared" si="27"/>
        <v>62</v>
      </c>
      <c r="G65" s="3">
        <v>64</v>
      </c>
      <c r="H65" s="3">
        <f t="shared" si="33"/>
        <v>65</v>
      </c>
      <c r="I65" s="3">
        <f t="shared" si="33"/>
        <v>66</v>
      </c>
      <c r="J65" s="3">
        <v>79</v>
      </c>
      <c r="K65" s="3">
        <f>VLOOKUP($A65,'SegEnds_NonXtal_BW#'!$A:$Z,8,FALSE)+VLOOKUP($A65,A:AL,10,FALSE)-50</f>
        <v>97</v>
      </c>
      <c r="L65" s="3">
        <f t="shared" si="35"/>
        <v>98</v>
      </c>
      <c r="M65" s="3">
        <v>99</v>
      </c>
      <c r="N65" s="3">
        <f t="shared" si="36"/>
        <v>101</v>
      </c>
      <c r="O65" s="3">
        <f t="shared" si="37"/>
        <v>102</v>
      </c>
      <c r="P65" s="3">
        <v>131</v>
      </c>
      <c r="Q65" s="3">
        <f>VLOOKUP($A65,'SegEnds_NonXtal_BW#'!$A:$Z,12,FALSE)+VLOOKUP($A65,A:AL,16,FALSE)-50</f>
        <v>137</v>
      </c>
      <c r="R65" s="3">
        <f>IF(ISERROR(VLOOKUP($A65,'SegEnds_NonXtal_BW#'!$A:$Z,13,FALSE)+VLOOKUP($A65,A:AL,19,FALSE)-50),"-",VLOOKUP($A65,'SegEnds_NonXtal_BW#'!$A:$Z,13,FALSE)+VLOOKUP($A65,A:AL,19,FALSE)-50)</f>
        <v>138</v>
      </c>
      <c r="S65" s="3">
        <v>138</v>
      </c>
      <c r="T65" s="100">
        <f>IF(ISERROR(VLOOKUP($A65,'SegEnds_NonXtal_BW#'!$A:$Z,14,FALSE)+VLOOKUP($A65,A:AL,19,FALSE)-50),"-",(VLOOKUP($A65,'SegEnds_NonXtal_BW#'!$A:$Z,14,FALSE)+VLOOKUP($A65,A:AL,19,FALSE)-50))</f>
        <v>145</v>
      </c>
      <c r="U65" s="9">
        <f>IF(ISERROR(VLOOKUP($A65,'SegEnds_NonXtal_BW#'!$A:$Z,15,FALSE)+VLOOKUP($A65,A:AL,22,FALSE)-50),"-",VLOOKUP($A65,'SegEnds_NonXtal_BW#'!$A:$Z,15,FALSE)+VLOOKUP($A65,A:AL,22,FALSE)-50)</f>
        <v>146</v>
      </c>
      <c r="V65" s="3">
        <v>158</v>
      </c>
      <c r="W65" s="3">
        <f>IF(ISERROR(VLOOKUP($A65,'SegEnds_NonXtal_BW#'!$A:$Z,16,FALSE)+VLOOKUP($A65,A:AL,22,FALSE)-50),"-",(VLOOKUP($A65,'SegEnds_NonXtal_BW#'!$A:$Z,16,FALSE)+VLOOKUP($A65,A:AL,22,FALSE)-50))</f>
        <v>170</v>
      </c>
      <c r="X65" s="3">
        <f>IF(ISERROR(VLOOKUP($A65,'SegEnds_NonXtal_BW#'!$A:$Z,17,FALSE)+VLOOKUP($A65,A:AL,25,FALSE)-50),"-",(VLOOKUP($A65,'SegEnds_NonXtal_BW#'!$A:$Z,17,FALSE)+VLOOKUP($A65,A:AL,25,FALSE)-50))</f>
        <v>188</v>
      </c>
      <c r="Y65" s="3">
        <v>188</v>
      </c>
      <c r="Z65" s="3">
        <f t="shared" si="38"/>
        <v>190</v>
      </c>
      <c r="AA65" s="3">
        <f>IF(ISERROR(VLOOKUP($A65,'SegEnds_NonXtal_BW#'!$A:$Z,19,FALSE)+VLOOKUP($A65,A:AL,28,FALSE)-50),"-",(VLOOKUP($A65,'SegEnds_NonXtal_BW#'!$A:$Z,19,FALSE)+VLOOKUP($A65,A:AL,28,FALSE)-50))</f>
        <v>193</v>
      </c>
      <c r="AB65" s="3">
        <v>208</v>
      </c>
      <c r="AC65" s="3">
        <f>IF(ISERROR((VLOOKUP($A65,'SegEnds_NonXtal_BW#'!$A:$Z,20,FALSE)+VLOOKUP($A65,A:AL,28,FALSE)-50)),"-",(VLOOKUP($A65,'SegEnds_NonXtal_BW#'!$A:$Z,20,FALSE)+VLOOKUP($A65,A:AL,28,FALSE)-50))</f>
        <v>233</v>
      </c>
      <c r="AD65" s="3">
        <f>IF(ISERROR(VLOOKUP($A65,'SegEnds_NonXtal_BW#'!$A:$Z,21,FALSE)+VLOOKUP($A65,A:AL,31,FALSE)-50),"-",(VLOOKUP($A65,'SegEnds_NonXtal_BW#'!$A:$Z,21,FALSE)+VLOOKUP($A65,A:AL,31,FALSE)-50))</f>
        <v>363</v>
      </c>
      <c r="AE65" s="3">
        <v>389</v>
      </c>
      <c r="AF65" s="3">
        <f>IF(ISERROR((VLOOKUP($A65,'SegEnds_NonXtal_BW#'!$A:$Z,22,FALSE)+VLOOKUP($A65,A:AL,31,FALSE)-50)),"-",(VLOOKUP($A65,'SegEnds_NonXtal_BW#'!$A:$Z,22,FALSE)+VLOOKUP($A65,A:AL,31,FALSE)-50))</f>
        <v>400</v>
      </c>
      <c r="AG65" s="3">
        <f>IF(ISERROR(VLOOKUP($A65,'SegEnds_NonXtal_BW#'!$A:$Z,23,FALSE)+VLOOKUP($A65,A:AL,34,FALSE)-50),"-",(VLOOKUP($A65,'SegEnds_NonXtal_BW#'!$A:$Z,23,FALSE)+VLOOKUP($A65,A:AL,34,FALSE)-50))</f>
        <v>405</v>
      </c>
      <c r="AH65" s="3">
        <v>423</v>
      </c>
      <c r="AI65" s="3">
        <f>IF(ISERROR((VLOOKUP($A65,'SegEnds_NonXtal_BW#'!$A:$Z,24,FALSE)+VLOOKUP($A65,A:AL,34,FALSE)-50)),"-",(VLOOKUP($A65,'SegEnds_NonXtal_BW#'!$A:$Z,24,FALSE)+VLOOKUP($A65,A:AL,34,FALSE)-50))</f>
        <v>429</v>
      </c>
      <c r="AJ65" s="3">
        <f>IF(ISERROR(VLOOKUP($A65,'SegEnds_NonXtal_BW#'!$A:$Z,25,FALSE)+VLOOKUP($A65,A:AL,37,FALSE)-50),"-",(VLOOKUP($A65,'SegEnds_NonXtal_BW#'!$A:$Z,25,FALSE)+VLOOKUP($A65,A:AL,37,FALSE)-50))</f>
        <v>430</v>
      </c>
      <c r="AK65" s="3">
        <v>433</v>
      </c>
      <c r="AL65" s="3">
        <f>IF(ISERROR((VLOOKUP($A65,'SegEnds_NonXtal_BW#'!$A:$Z,26,FALSE)+VLOOKUP($A65,A:AL,37,FALSE)-50)),"-",(VLOOKUP($A65,'SegEnds_NonXtal_BW#'!$A:$Z,26,FALSE)+VLOOKUP($A65,A:AL,37,FALSE)-50))</f>
        <v>442</v>
      </c>
      <c r="AM65" s="28" t="str">
        <f>VLOOKUP(A65,Classification!A:B,2,FALSE)</f>
        <v>A</v>
      </c>
      <c r="AN65" s="28" t="b">
        <f t="shared" si="17"/>
        <v>1</v>
      </c>
      <c r="AO65" s="3" t="str">
        <f>IF(ISERROR(MATCH(A65,'SegEnds_Xtal_Prot#'!B:B, 0)), "NoXtal", "Xtal")</f>
        <v>NoXtal</v>
      </c>
      <c r="AP65" s="3">
        <f t="shared" si="2"/>
        <v>1</v>
      </c>
      <c r="AQ65" s="3">
        <f t="shared" si="3"/>
        <v>1</v>
      </c>
      <c r="AR65" s="3">
        <f t="shared" si="4"/>
        <v>1</v>
      </c>
      <c r="AS65" s="3">
        <f t="shared" si="5"/>
        <v>1</v>
      </c>
      <c r="AT65" s="3">
        <f t="shared" si="6"/>
        <v>1</v>
      </c>
      <c r="AU65" s="3">
        <f t="shared" si="7"/>
        <v>1</v>
      </c>
      <c r="AV65" s="3">
        <f t="shared" si="8"/>
        <v>18</v>
      </c>
      <c r="AW65" s="3">
        <f t="shared" si="9"/>
        <v>3</v>
      </c>
      <c r="AX65" s="3">
        <f t="shared" si="10"/>
        <v>130</v>
      </c>
      <c r="AY65" s="3">
        <f t="shared" si="11"/>
        <v>5</v>
      </c>
      <c r="AZ65" s="3">
        <f t="shared" si="12"/>
        <v>1</v>
      </c>
      <c r="BA65" s="3">
        <f>IF(ISERROR(LEN(VLOOKUP(A65,Seqs!A:E,2,FALSE))-AL65),"-",LEN(VLOOKUP(A65,Seqs!A:E,2,FALSE))-AL65)</f>
        <v>8</v>
      </c>
      <c r="BB65" s="16">
        <f t="shared" si="13"/>
        <v>28</v>
      </c>
      <c r="BC65" s="9">
        <f t="shared" si="14"/>
        <v>20</v>
      </c>
      <c r="BD65" s="3">
        <f t="shared" si="15"/>
        <v>28</v>
      </c>
      <c r="BE65" s="3">
        <f t="shared" si="16"/>
        <v>181</v>
      </c>
      <c r="BF65" s="3">
        <f>AH65-AE65</f>
        <v>34</v>
      </c>
    </row>
    <row r="66" spans="1:58" s="3" customFormat="1" x14ac:dyDescent="0.2">
      <c r="A66" s="3" t="s">
        <v>156</v>
      </c>
      <c r="B66" s="3" t="str">
        <f>LOWER(VLOOKUP(A66,Xtal_Templ!A:B,2,FALSE))</f>
        <v>drd2_human</v>
      </c>
      <c r="C66" s="3">
        <f>VLOOKUP($A66,'SegEnds_NonXtal_BW#'!$A:$Z,3,FALSE)+D66-50</f>
        <v>9</v>
      </c>
      <c r="D66" s="3">
        <v>30</v>
      </c>
      <c r="E66" s="3">
        <f>IF(ISERROR(VLOOKUP($A66,'SegEnds_NonXtal_BW#'!$A:$Z,4,FALSE)+VLOOKUP($A66,A:AL,4,FALSE)-50),"-",(VLOOKUP($A66,'SegEnds_NonXtal_BW#'!$A:$Z,4,FALSE)+VLOOKUP($A66,A:AL,4,FALSE)-50))</f>
        <v>40</v>
      </c>
      <c r="F66" s="3">
        <f t="shared" si="27"/>
        <v>41</v>
      </c>
      <c r="G66" s="3">
        <v>43</v>
      </c>
      <c r="H66" s="3">
        <f t="shared" si="33"/>
        <v>44</v>
      </c>
      <c r="I66" s="3">
        <f t="shared" si="33"/>
        <v>45</v>
      </c>
      <c r="J66" s="3">
        <v>58</v>
      </c>
      <c r="K66" s="3">
        <f>VLOOKUP($A66,'SegEnds_NonXtal_BW#'!$A:$Z,8,FALSE)+VLOOKUP($A66,A:AL,10,FALSE)-50</f>
        <v>76</v>
      </c>
      <c r="L66" s="3">
        <f t="shared" si="35"/>
        <v>77</v>
      </c>
      <c r="M66" s="3">
        <v>78</v>
      </c>
      <c r="N66" s="3">
        <f t="shared" si="36"/>
        <v>80</v>
      </c>
      <c r="O66" s="3">
        <f t="shared" si="37"/>
        <v>81</v>
      </c>
      <c r="P66" s="3">
        <v>110</v>
      </c>
      <c r="Q66" s="3">
        <f>VLOOKUP($A66,'SegEnds_NonXtal_BW#'!$A:$Z,12,FALSE)+VLOOKUP($A66,A:AL,16,FALSE)-50</f>
        <v>116</v>
      </c>
      <c r="R66" s="3">
        <f>IF(ISERROR(VLOOKUP($A66,'SegEnds_NonXtal_BW#'!$A:$Z,13,FALSE)+VLOOKUP($A66,A:AL,19,FALSE)-50),"-",VLOOKUP($A66,'SegEnds_NonXtal_BW#'!$A:$Z,13,FALSE)+VLOOKUP($A66,A:AL,19,FALSE)-50)</f>
        <v>117</v>
      </c>
      <c r="S66" s="3">
        <v>117</v>
      </c>
      <c r="T66" s="100">
        <f>IF(ISERROR(VLOOKUP($A66,'SegEnds_NonXtal_BW#'!$A:$Z,14,FALSE)+VLOOKUP($A66,A:AL,19,FALSE)-50),"-",(VLOOKUP($A66,'SegEnds_NonXtal_BW#'!$A:$Z,14,FALSE)+VLOOKUP($A66,A:AL,19,FALSE)-50))</f>
        <v>124</v>
      </c>
      <c r="U66" s="9">
        <f>IF(ISERROR(VLOOKUP($A66,'SegEnds_NonXtal_BW#'!$A:$Z,15,FALSE)+VLOOKUP($A66,A:AL,22,FALSE)-50),"-",VLOOKUP($A66,'SegEnds_NonXtal_BW#'!$A:$Z,15,FALSE)+VLOOKUP($A66,A:AL,22,FALSE)-50)</f>
        <v>125</v>
      </c>
      <c r="V66" s="3">
        <v>137</v>
      </c>
      <c r="W66" s="3">
        <f>IF(ISERROR(VLOOKUP($A66,'SegEnds_NonXtal_BW#'!$A:$Z,16,FALSE)+VLOOKUP($A66,A:AL,22,FALSE)-50),"-",(VLOOKUP($A66,'SegEnds_NonXtal_BW#'!$A:$Z,16,FALSE)+VLOOKUP($A66,A:AL,22,FALSE)-50))</f>
        <v>149</v>
      </c>
      <c r="X66" s="3">
        <f>IF(ISERROR(VLOOKUP($A66,'SegEnds_NonXtal_BW#'!$A:$Z,17,FALSE)+VLOOKUP($A66,A:AL,25,FALSE)-50),"-",(VLOOKUP($A66,'SegEnds_NonXtal_BW#'!$A:$Z,17,FALSE)+VLOOKUP($A66,A:AL,25,FALSE)-50))</f>
        <v>164</v>
      </c>
      <c r="Y66" s="3">
        <v>164</v>
      </c>
      <c r="Z66" s="3">
        <f t="shared" si="38"/>
        <v>166</v>
      </c>
      <c r="AA66" s="3">
        <f>IF(ISERROR(VLOOKUP($A66,'SegEnds_NonXtal_BW#'!$A:$Z,19,FALSE)+VLOOKUP($A66,A:AL,28,FALSE)-50),"-",(VLOOKUP($A66,'SegEnds_NonXtal_BW#'!$A:$Z,19,FALSE)+VLOOKUP($A66,A:AL,28,FALSE)-50))</f>
        <v>169</v>
      </c>
      <c r="AB66" s="3">
        <v>184</v>
      </c>
      <c r="AC66" s="3">
        <f>IF(ISERROR((VLOOKUP($A66,'SegEnds_NonXtal_BW#'!$A:$Z,20,FALSE)+VLOOKUP($A66,A:AL,28,FALSE)-50)),"-",(VLOOKUP($A66,'SegEnds_NonXtal_BW#'!$A:$Z,20,FALSE)+VLOOKUP($A66,A:AL,28,FALSE)-50))</f>
        <v>209</v>
      </c>
      <c r="AD66" s="3">
        <f>IF(ISERROR(VLOOKUP($A66,'SegEnds_NonXtal_BW#'!$A:$Z,21,FALSE)+VLOOKUP($A66,A:AL,31,FALSE)-50),"-",(VLOOKUP($A66,'SegEnds_NonXtal_BW#'!$A:$Z,21,FALSE)+VLOOKUP($A66,A:AL,31,FALSE)-50))</f>
        <v>357</v>
      </c>
      <c r="AE66" s="3">
        <v>383</v>
      </c>
      <c r="AF66" s="3">
        <f>IF(ISERROR((VLOOKUP($A66,'SegEnds_NonXtal_BW#'!$A:$Z,22,FALSE)+VLOOKUP($A66,A:AL,31,FALSE)-50)),"-",(VLOOKUP($A66,'SegEnds_NonXtal_BW#'!$A:$Z,22,FALSE)+VLOOKUP($A66,A:AL,31,FALSE)-50))</f>
        <v>394</v>
      </c>
      <c r="AG66" s="3">
        <f>IF(ISERROR(VLOOKUP($A66,'SegEnds_NonXtal_BW#'!$A:$Z,23,FALSE)+VLOOKUP($A66,A:AL,34,FALSE)-50),"-",(VLOOKUP($A66,'SegEnds_NonXtal_BW#'!$A:$Z,23,FALSE)+VLOOKUP($A66,A:AL,34,FALSE)-50))</f>
        <v>401</v>
      </c>
      <c r="AH66" s="3">
        <v>420</v>
      </c>
      <c r="AI66" s="3">
        <f>IF(ISERROR((VLOOKUP($A66,'SegEnds_NonXtal_BW#'!$A:$Z,24,FALSE)+VLOOKUP($A66,A:AL,34,FALSE)-50)),"-",(VLOOKUP($A66,'SegEnds_NonXtal_BW#'!$A:$Z,24,FALSE)+VLOOKUP($A66,A:AL,34,FALSE)-50))</f>
        <v>426</v>
      </c>
      <c r="AJ66" s="3">
        <f>IF(ISERROR(VLOOKUP($A66,'SegEnds_NonXtal_BW#'!$A:$Z,25,FALSE)+VLOOKUP($A66,A:AL,37,FALSE)-50),"-",(VLOOKUP($A66,'SegEnds_NonXtal_BW#'!$A:$Z,25,FALSE)+VLOOKUP($A66,A:AL,37,FALSE)-50))</f>
        <v>427</v>
      </c>
      <c r="AK66" s="3">
        <v>430</v>
      </c>
      <c r="AL66" s="3">
        <f>IF(ISERROR((VLOOKUP($A66,'SegEnds_NonXtal_BW#'!$A:$Z,26,FALSE)+VLOOKUP($A66,A:AL,37,FALSE)-50)),"-",(VLOOKUP($A66,'SegEnds_NonXtal_BW#'!$A:$Z,26,FALSE)+VLOOKUP($A66,A:AL,37,FALSE)-50))</f>
        <v>439</v>
      </c>
      <c r="AM66" s="28" t="str">
        <f>VLOOKUP(A66,Classification!A:B,2,FALSE)</f>
        <v>A</v>
      </c>
      <c r="AN66" s="28" t="b">
        <f t="shared" si="17"/>
        <v>1</v>
      </c>
      <c r="AO66" s="3" t="str">
        <f>IF(ISERROR(MATCH(A66,'SegEnds_Xtal_Prot#'!B:B, 0)), "NoXtal", "Xtal")</f>
        <v>NoXtal</v>
      </c>
      <c r="AP66" s="3">
        <f t="shared" si="2"/>
        <v>1</v>
      </c>
      <c r="AQ66" s="3">
        <f t="shared" si="3"/>
        <v>1</v>
      </c>
      <c r="AR66" s="3">
        <f t="shared" si="4"/>
        <v>1</v>
      </c>
      <c r="AS66" s="3">
        <f t="shared" si="5"/>
        <v>1</v>
      </c>
      <c r="AT66" s="3">
        <f t="shared" si="6"/>
        <v>1</v>
      </c>
      <c r="AU66" s="3">
        <f t="shared" si="7"/>
        <v>1</v>
      </c>
      <c r="AV66" s="3">
        <f t="shared" si="8"/>
        <v>15</v>
      </c>
      <c r="AW66" s="3">
        <f t="shared" si="9"/>
        <v>3</v>
      </c>
      <c r="AX66" s="3">
        <f t="shared" si="10"/>
        <v>148</v>
      </c>
      <c r="AY66" s="3">
        <f t="shared" si="11"/>
        <v>7</v>
      </c>
      <c r="AZ66" s="3">
        <f t="shared" si="12"/>
        <v>1</v>
      </c>
      <c r="BA66" s="3">
        <f>IF(ISERROR(LEN(VLOOKUP(A66,Seqs!A:E,2,FALSE))-AL66),"-",LEN(VLOOKUP(A66,Seqs!A:E,2,FALSE))-AL66)</f>
        <v>8</v>
      </c>
      <c r="BB66" s="16">
        <f t="shared" si="13"/>
        <v>28</v>
      </c>
      <c r="BC66" s="9">
        <f t="shared" si="14"/>
        <v>20</v>
      </c>
      <c r="BD66" s="3">
        <f t="shared" si="15"/>
        <v>28</v>
      </c>
      <c r="BE66" s="3">
        <f t="shared" si="16"/>
        <v>199</v>
      </c>
      <c r="BF66" s="3">
        <f>AH66-AE66</f>
        <v>37</v>
      </c>
    </row>
    <row r="67" spans="1:58" s="3" customFormat="1" x14ac:dyDescent="0.2">
      <c r="A67" s="3" t="s">
        <v>157</v>
      </c>
      <c r="B67" s="3" t="str">
        <f>LOWER(VLOOKUP(A67,Xtal_Templ!A:B,2,FALSE))</f>
        <v>drd2_human</v>
      </c>
      <c r="C67" s="3">
        <f>VLOOKUP($A67,'SegEnds_NonXtal_BW#'!$A:$Z,3,FALSE)+D67-50</f>
        <v>48</v>
      </c>
      <c r="D67" s="3">
        <v>69</v>
      </c>
      <c r="E67" s="3">
        <f>IF(ISERROR(VLOOKUP($A67,'SegEnds_NonXtal_BW#'!$A:$Z,4,FALSE)+VLOOKUP($A67,A:AL,4,FALSE)-50),"-",(VLOOKUP($A67,'SegEnds_NonXtal_BW#'!$A:$Z,4,FALSE)+VLOOKUP($A67,A:AL,4,FALSE)-50))</f>
        <v>79</v>
      </c>
      <c r="F67" s="3">
        <f t="shared" si="27"/>
        <v>80</v>
      </c>
      <c r="G67" s="3">
        <v>82</v>
      </c>
      <c r="H67" s="3">
        <f t="shared" si="33"/>
        <v>83</v>
      </c>
      <c r="I67" s="3">
        <f t="shared" si="33"/>
        <v>84</v>
      </c>
      <c r="J67" s="3">
        <v>97</v>
      </c>
      <c r="K67" s="3">
        <f>VLOOKUP($A67,'SegEnds_NonXtal_BW#'!$A:$Z,8,FALSE)+VLOOKUP($A67,A:AL,10,FALSE)-50</f>
        <v>115</v>
      </c>
      <c r="L67" s="3">
        <f t="shared" si="35"/>
        <v>116</v>
      </c>
      <c r="M67" s="3">
        <v>117</v>
      </c>
      <c r="N67" s="3">
        <f t="shared" si="36"/>
        <v>119</v>
      </c>
      <c r="O67" s="3">
        <f t="shared" si="37"/>
        <v>120</v>
      </c>
      <c r="P67" s="3">
        <v>149</v>
      </c>
      <c r="Q67" s="3">
        <f>VLOOKUP($A67,'SegEnds_NonXtal_BW#'!$A:$Z,12,FALSE)+VLOOKUP($A67,A:AL,16,FALSE)-50</f>
        <v>155</v>
      </c>
      <c r="R67" s="3">
        <f>IF(ISERROR(VLOOKUP($A67,'SegEnds_NonXtal_BW#'!$A:$Z,13,FALSE)+VLOOKUP($A67,A:AL,19,FALSE)-50),"-",VLOOKUP($A67,'SegEnds_NonXtal_BW#'!$A:$Z,13,FALSE)+VLOOKUP($A67,A:AL,19,FALSE)-50)</f>
        <v>156</v>
      </c>
      <c r="S67" s="3">
        <v>156</v>
      </c>
      <c r="T67" s="100">
        <f>IF(ISERROR(VLOOKUP($A67,'SegEnds_NonXtal_BW#'!$A:$Z,14,FALSE)+VLOOKUP($A67,A:AL,19,FALSE)-50),"-",(VLOOKUP($A67,'SegEnds_NonXtal_BW#'!$A:$Z,14,FALSE)+VLOOKUP($A67,A:AL,19,FALSE)-50))</f>
        <v>163</v>
      </c>
      <c r="U67" s="9">
        <f>IF(ISERROR(VLOOKUP($A67,'SegEnds_NonXtal_BW#'!$A:$Z,15,FALSE)+VLOOKUP($A67,A:AL,22,FALSE)-50),"-",VLOOKUP($A67,'SegEnds_NonXtal_BW#'!$A:$Z,15,FALSE)+VLOOKUP($A67,A:AL,22,FALSE)-50)</f>
        <v>164</v>
      </c>
      <c r="V67" s="3">
        <v>176</v>
      </c>
      <c r="W67" s="3">
        <f>IF(ISERROR(VLOOKUP($A67,'SegEnds_NonXtal_BW#'!$A:$Z,16,FALSE)+VLOOKUP($A67,A:AL,22,FALSE)-50),"-",(VLOOKUP($A67,'SegEnds_NonXtal_BW#'!$A:$Z,16,FALSE)+VLOOKUP($A67,A:AL,22,FALSE)-50))</f>
        <v>188</v>
      </c>
      <c r="X67" s="3">
        <f>IF(ISERROR(VLOOKUP($A67,'SegEnds_NonXtal_BW#'!$A:$Z,17,FALSE)+VLOOKUP($A67,A:AL,25,FALSE)-50),"-",(VLOOKUP($A67,'SegEnds_NonXtal_BW#'!$A:$Z,17,FALSE)+VLOOKUP($A67,A:AL,25,FALSE)-50))</f>
        <v>202</v>
      </c>
      <c r="Y67" s="3">
        <v>202</v>
      </c>
      <c r="Z67" s="3">
        <f t="shared" si="38"/>
        <v>204</v>
      </c>
      <c r="AA67" s="3">
        <f>IF(ISERROR(VLOOKUP($A67,'SegEnds_NonXtal_BW#'!$A:$Z,19,FALSE)+VLOOKUP($A67,A:AL,28,FALSE)-50),"-",(VLOOKUP($A67,'SegEnds_NonXtal_BW#'!$A:$Z,19,FALSE)+VLOOKUP($A67,A:AL,28,FALSE)-50))</f>
        <v>207</v>
      </c>
      <c r="AB67" s="3">
        <v>222</v>
      </c>
      <c r="AC67" s="3">
        <f>IF(ISERROR((VLOOKUP($A67,'SegEnds_NonXtal_BW#'!$A:$Z,20,FALSE)+VLOOKUP($A67,A:AL,28,FALSE)-50)),"-",(VLOOKUP($A67,'SegEnds_NonXtal_BW#'!$A:$Z,20,FALSE)+VLOOKUP($A67,A:AL,28,FALSE)-50))</f>
        <v>247</v>
      </c>
      <c r="AD67" s="3">
        <f>IF(ISERROR(VLOOKUP($A67,'SegEnds_NonXtal_BW#'!$A:$Z,21,FALSE)+VLOOKUP($A67,A:AL,31,FALSE)-50),"-",(VLOOKUP($A67,'SegEnds_NonXtal_BW#'!$A:$Z,21,FALSE)+VLOOKUP($A67,A:AL,31,FALSE)-50))</f>
        <v>371</v>
      </c>
      <c r="AE67" s="3">
        <v>397</v>
      </c>
      <c r="AF67" s="3">
        <f>IF(ISERROR((VLOOKUP($A67,'SegEnds_NonXtal_BW#'!$A:$Z,22,FALSE)+VLOOKUP($A67,A:AL,31,FALSE)-50)),"-",(VLOOKUP($A67,'SegEnds_NonXtal_BW#'!$A:$Z,22,FALSE)+VLOOKUP($A67,A:AL,31,FALSE)-50))</f>
        <v>408</v>
      </c>
      <c r="AG67" s="3">
        <f>IF(ISERROR(VLOOKUP($A67,'SegEnds_NonXtal_BW#'!$A:$Z,23,FALSE)+VLOOKUP($A67,A:AL,34,FALSE)-50),"-",(VLOOKUP($A67,'SegEnds_NonXtal_BW#'!$A:$Z,23,FALSE)+VLOOKUP($A67,A:AL,34,FALSE)-50))</f>
        <v>415</v>
      </c>
      <c r="AH67" s="3">
        <v>434</v>
      </c>
      <c r="AI67" s="3">
        <f>IF(ISERROR((VLOOKUP($A67,'SegEnds_NonXtal_BW#'!$A:$Z,24,FALSE)+VLOOKUP($A67,A:AL,34,FALSE)-50)),"-",(VLOOKUP($A67,'SegEnds_NonXtal_BW#'!$A:$Z,24,FALSE)+VLOOKUP($A67,A:AL,34,FALSE)-50))</f>
        <v>440</v>
      </c>
      <c r="AJ67" s="3">
        <f>IF(ISERROR(VLOOKUP($A67,'SegEnds_NonXtal_BW#'!$A:$Z,25,FALSE)+VLOOKUP($A67,A:AL,37,FALSE)-50),"-",(VLOOKUP($A67,'SegEnds_NonXtal_BW#'!$A:$Z,25,FALSE)+VLOOKUP($A67,A:AL,37,FALSE)-50))</f>
        <v>441</v>
      </c>
      <c r="AK67" s="3">
        <v>444</v>
      </c>
      <c r="AL67" s="3">
        <f>IF(ISERROR((VLOOKUP($A67,'SegEnds_NonXtal_BW#'!$A:$Z,26,FALSE)+VLOOKUP($A67,A:AL,37,FALSE)-50)),"-",(VLOOKUP($A67,'SegEnds_NonXtal_BW#'!$A:$Z,26,FALSE)+VLOOKUP($A67,A:AL,37,FALSE)-50))</f>
        <v>453</v>
      </c>
      <c r="AM67" s="28" t="str">
        <f>VLOOKUP(A67,Classification!A:B,2,FALSE)</f>
        <v>A</v>
      </c>
      <c r="AN67" s="28" t="b">
        <f t="shared" si="17"/>
        <v>1</v>
      </c>
      <c r="AO67" s="3" t="str">
        <f>IF(ISERROR(MATCH(A67,'SegEnds_Xtal_Prot#'!B:B, 0)), "NoXtal", "Xtal")</f>
        <v>NoXtal</v>
      </c>
      <c r="AP67" s="3">
        <f t="shared" si="2"/>
        <v>1</v>
      </c>
      <c r="AQ67" s="3">
        <f t="shared" si="3"/>
        <v>1</v>
      </c>
      <c r="AR67" s="3">
        <f t="shared" si="4"/>
        <v>1</v>
      </c>
      <c r="AS67" s="3">
        <f t="shared" si="5"/>
        <v>1</v>
      </c>
      <c r="AT67" s="3">
        <f t="shared" si="6"/>
        <v>1</v>
      </c>
      <c r="AU67" s="3">
        <f t="shared" si="7"/>
        <v>1</v>
      </c>
      <c r="AV67" s="3">
        <f t="shared" si="8"/>
        <v>14</v>
      </c>
      <c r="AW67" s="3">
        <f t="shared" si="9"/>
        <v>3</v>
      </c>
      <c r="AX67" s="3">
        <f t="shared" si="10"/>
        <v>124</v>
      </c>
      <c r="AY67" s="3">
        <f t="shared" si="11"/>
        <v>7</v>
      </c>
      <c r="AZ67" s="3">
        <f t="shared" si="12"/>
        <v>1</v>
      </c>
      <c r="BA67" s="3">
        <f>IF(ISERROR(LEN(VLOOKUP(A67,Seqs!A:E,2,FALSE))-AL67),"-",LEN(VLOOKUP(A67,Seqs!A:E,2,FALSE))-AL67)</f>
        <v>9</v>
      </c>
      <c r="BB67" s="16">
        <f t="shared" si="13"/>
        <v>28</v>
      </c>
      <c r="BC67" s="9">
        <f t="shared" si="14"/>
        <v>20</v>
      </c>
      <c r="BD67" s="3">
        <f t="shared" si="15"/>
        <v>28</v>
      </c>
      <c r="BE67" s="3">
        <f t="shared" si="16"/>
        <v>175</v>
      </c>
      <c r="BF67" s="3">
        <f>AH67-AE67</f>
        <v>37</v>
      </c>
    </row>
    <row r="68" spans="1:58" s="3" customFormat="1" x14ac:dyDescent="0.2">
      <c r="A68" s="3" t="s">
        <v>125</v>
      </c>
      <c r="B68" s="3" t="str">
        <f>LOWER(VLOOKUP(A68,Xtal_Templ!A:B,2,FALSE))</f>
        <v>adrb2_human</v>
      </c>
      <c r="C68" s="3">
        <f>VLOOKUP($A68,'SegEnds_NonXtal_BW#'!$A:$Z,3,FALSE)+D68-50</f>
        <v>51</v>
      </c>
      <c r="D68" s="3">
        <v>76</v>
      </c>
      <c r="E68" s="3">
        <f>IF(ISERROR(VLOOKUP($A68,'SegEnds_NonXtal_BW#'!$A:$Z,4,FALSE)+VLOOKUP($A68,A:AL,4,FALSE)-50),"-",(VLOOKUP($A68,'SegEnds_NonXtal_BW#'!$A:$Z,4,FALSE)+VLOOKUP($A68,A:AL,4,FALSE)-50))</f>
        <v>86</v>
      </c>
      <c r="F68" s="3">
        <f t="shared" si="27"/>
        <v>87</v>
      </c>
      <c r="G68" s="3">
        <v>89</v>
      </c>
      <c r="H68" s="3">
        <f t="shared" si="33"/>
        <v>90</v>
      </c>
      <c r="I68" s="3">
        <f t="shared" si="33"/>
        <v>91</v>
      </c>
      <c r="J68" s="3">
        <v>104</v>
      </c>
      <c r="K68" s="3">
        <f>VLOOKUP($A68,'SegEnds_NonXtal_BW#'!$A:$Z,8,FALSE)+VLOOKUP($A68,A:AL,10,FALSE)-50</f>
        <v>121</v>
      </c>
      <c r="L68" s="3">
        <f t="shared" si="35"/>
        <v>123</v>
      </c>
      <c r="M68" s="3">
        <v>124</v>
      </c>
      <c r="N68" s="3">
        <f t="shared" si="36"/>
        <v>126</v>
      </c>
      <c r="O68" s="3">
        <f t="shared" si="37"/>
        <v>127</v>
      </c>
      <c r="P68" s="3">
        <v>156</v>
      </c>
      <c r="Q68" s="3">
        <f>VLOOKUP($A68,'SegEnds_NonXtal_BW#'!$A:$Z,12,FALSE)+VLOOKUP($A68,A:AL,16,FALSE)-50</f>
        <v>162</v>
      </c>
      <c r="R68" s="3">
        <f>IF(ISERROR(VLOOKUP($A68,'SegEnds_NonXtal_BW#'!$A:$Z,13,FALSE)+VLOOKUP($A68,A:AL,19,FALSE)-50),"-",VLOOKUP($A68,'SegEnds_NonXtal_BW#'!$A:$Z,13,FALSE)+VLOOKUP($A68,A:AL,19,FALSE)-50)</f>
        <v>163</v>
      </c>
      <c r="S68" s="3">
        <v>163</v>
      </c>
      <c r="T68" s="100">
        <f>IF(ISERROR(VLOOKUP($A68,'SegEnds_NonXtal_BW#'!$A:$Z,14,FALSE)+VLOOKUP($A68,A:AL,19,FALSE)-50),"-",(VLOOKUP($A68,'SegEnds_NonXtal_BW#'!$A:$Z,14,FALSE)+VLOOKUP($A68,A:AL,19,FALSE)-50))</f>
        <v>170</v>
      </c>
      <c r="U68" s="9">
        <f>IF(ISERROR(VLOOKUP($A68,'SegEnds_NonXtal_BW#'!$A:$Z,15,FALSE)+VLOOKUP($A68,A:AL,22,FALSE)-50),"-",VLOOKUP($A68,'SegEnds_NonXtal_BW#'!$A:$Z,15,FALSE)+VLOOKUP($A68,A:AL,22,FALSE)-50)</f>
        <v>171</v>
      </c>
      <c r="V68" s="3">
        <v>183</v>
      </c>
      <c r="W68" s="3">
        <f>IF(ISERROR(VLOOKUP($A68,'SegEnds_NonXtal_BW#'!$A:$Z,16,FALSE)+VLOOKUP($A68,A:AL,22,FALSE)-50),"-",(VLOOKUP($A68,'SegEnds_NonXtal_BW#'!$A:$Z,16,FALSE)+VLOOKUP($A68,A:AL,22,FALSE)-50))</f>
        <v>197</v>
      </c>
      <c r="X68" s="3">
        <f>IF(ISERROR(VLOOKUP($A68,'SegEnds_NonXtal_BW#'!$A:$Z,17,FALSE)+VLOOKUP($A68,A:AL,25,FALSE)-50),"-",(VLOOKUP($A68,'SegEnds_NonXtal_BW#'!$A:$Z,17,FALSE)+VLOOKUP($A68,A:AL,25,FALSE)-50))</f>
        <v>216</v>
      </c>
      <c r="Y68" s="3">
        <v>216</v>
      </c>
      <c r="Z68" s="3">
        <f t="shared" si="38"/>
        <v>218</v>
      </c>
      <c r="AA68" s="3">
        <f>IF(ISERROR(VLOOKUP($A68,'SegEnds_NonXtal_BW#'!$A:$Z,19,FALSE)+VLOOKUP($A68,A:AL,28,FALSE)-50),"-",(VLOOKUP($A68,'SegEnds_NonXtal_BW#'!$A:$Z,19,FALSE)+VLOOKUP($A68,A:AL,28,FALSE)-50))</f>
        <v>221</v>
      </c>
      <c r="AB68" s="3">
        <v>236</v>
      </c>
      <c r="AC68" s="3">
        <f>IF(ISERROR((VLOOKUP($A68,'SegEnds_NonXtal_BW#'!$A:$Z,20,FALSE)+VLOOKUP($A68,A:AL,28,FALSE)-50)),"-",(VLOOKUP($A68,'SegEnds_NonXtal_BW#'!$A:$Z,20,FALSE)+VLOOKUP($A68,A:AL,28,FALSE)-50))</f>
        <v>260</v>
      </c>
      <c r="AD68" s="3">
        <f>IF(ISERROR(VLOOKUP($A68,'SegEnds_NonXtal_BW#'!$A:$Z,21,FALSE)+VLOOKUP($A68,A:AL,31,FALSE)-50),"-",(VLOOKUP($A68,'SegEnds_NonXtal_BW#'!$A:$Z,21,FALSE)+VLOOKUP($A68,A:AL,31,FALSE)-50))</f>
        <v>313</v>
      </c>
      <c r="AE68" s="3">
        <v>339</v>
      </c>
      <c r="AF68" s="3">
        <f>IF(ISERROR((VLOOKUP($A68,'SegEnds_NonXtal_BW#'!$A:$Z,22,FALSE)+VLOOKUP($A68,A:AL,31,FALSE)-50)),"-",(VLOOKUP($A68,'SegEnds_NonXtal_BW#'!$A:$Z,22,FALSE)+VLOOKUP($A68,A:AL,31,FALSE)-50))</f>
        <v>350</v>
      </c>
      <c r="AG68" s="3">
        <f>IF(ISERROR(VLOOKUP($A68,'SegEnds_NonXtal_BW#'!$A:$Z,23,FALSE)+VLOOKUP($A68,A:AL,34,FALSE)-50),"-",(VLOOKUP($A68,'SegEnds_NonXtal_BW#'!$A:$Z,23,FALSE)+VLOOKUP($A68,A:AL,34,FALSE)-50))</f>
        <v>355</v>
      </c>
      <c r="AH68" s="3">
        <v>374</v>
      </c>
      <c r="AI68" s="3">
        <v>379</v>
      </c>
      <c r="AJ68" s="3">
        <f>IF(ISERROR(VLOOKUP($A68,'SegEnds_NonXtal_BW#'!$A:$Z,25,FALSE)+VLOOKUP($A68,A:AL,37,FALSE)-50),"-",(VLOOKUP($A68,'SegEnds_NonXtal_BW#'!$A:$Z,25,FALSE)+VLOOKUP($A68,A:AL,37,FALSE)-50))</f>
        <v>380</v>
      </c>
      <c r="AK68" s="3">
        <v>383</v>
      </c>
      <c r="AL68" s="3">
        <f>IF(ISERROR((VLOOKUP($A68,'SegEnds_NonXtal_BW#'!$A:$Z,26,FALSE)+VLOOKUP($A68,A:AL,37,FALSE)-50)),"-",(VLOOKUP($A68,'SegEnds_NonXtal_BW#'!$A:$Z,26,FALSE)+VLOOKUP($A68,A:AL,37,FALSE)-50))</f>
        <v>392</v>
      </c>
      <c r="AM68" s="28" t="str">
        <f>VLOOKUP(A68,Classification!A:B,2,FALSE)</f>
        <v>A</v>
      </c>
      <c r="AN68" s="28" t="b">
        <f t="shared" si="17"/>
        <v>1</v>
      </c>
      <c r="AO68" s="3" t="str">
        <f>IF(ISERROR(MATCH(A68,'SegEnds_Xtal_Prot#'!B:B, 0)), "NoXtal", "Xtal")</f>
        <v>NoXtal</v>
      </c>
      <c r="AP68" s="3">
        <f t="shared" ref="AP68:AP131" si="39">IF(ISERROR(F68-E68),"-",F68-E68)</f>
        <v>1</v>
      </c>
      <c r="AQ68" s="3">
        <f t="shared" ref="AQ68:AQ131" si="40">IF(ISERROR(I68-H68),"-",I68-H68)</f>
        <v>1</v>
      </c>
      <c r="AR68" s="3">
        <f t="shared" ref="AR68:AR131" si="41">IF(ISERROR(L68-K68),"-",L68-K68)</f>
        <v>2</v>
      </c>
      <c r="AS68" s="3">
        <f t="shared" ref="AS68:AS131" si="42">IF(ISERROR(O68-N68),"-",O68-N68)</f>
        <v>1</v>
      </c>
      <c r="AT68" s="3">
        <f t="shared" ref="AT68:AT131" si="43">IF(ISERROR(R68-Q68),"-",R68-Q68)</f>
        <v>1</v>
      </c>
      <c r="AU68" s="3">
        <f t="shared" ref="AU68:AU131" si="44">IF(ISERROR(U68-T68),"-",U68-T68)</f>
        <v>1</v>
      </c>
      <c r="AV68" s="3">
        <f t="shared" ref="AV68:AV131" si="45">IF(ISERROR(X68-W68),"-",X68-W68)</f>
        <v>19</v>
      </c>
      <c r="AW68" s="3">
        <f t="shared" ref="AW68:AW131" si="46">IF(ISERROR(AA68-Z68),"-",AA68-Z68)</f>
        <v>3</v>
      </c>
      <c r="AX68" s="3">
        <f t="shared" ref="AX68:AX131" si="47">IF(ISERROR(AD68-AC68),"-",AD68-AC68)</f>
        <v>53</v>
      </c>
      <c r="AY68" s="3">
        <f t="shared" ref="AY68:AY131" si="48">IF(ISERROR(AG68-AF68),"-",AG68-AF68)</f>
        <v>5</v>
      </c>
      <c r="AZ68" s="3">
        <f t="shared" ref="AZ68:AZ131" si="49">IF(ISERROR(AJ68-AI68),"-",AJ68-AI68)</f>
        <v>1</v>
      </c>
      <c r="BA68" s="3">
        <f>IF(ISERROR(LEN(VLOOKUP(A68,Seqs!A:E,2,FALSE))-AL68),"-",LEN(VLOOKUP(A68,Seqs!A:E,2,FALSE))-AL68)</f>
        <v>85</v>
      </c>
      <c r="BB68" s="16">
        <f t="shared" ref="BB68:BB131" si="50">J68-D68</f>
        <v>28</v>
      </c>
      <c r="BC68" s="9">
        <f t="shared" ref="BC68:BC131" si="51">IF(ISERROR(V68-S68),"-",V68-S68)</f>
        <v>20</v>
      </c>
      <c r="BD68" s="3">
        <f t="shared" ref="BD68:BD131" si="52">J68-D68</f>
        <v>28</v>
      </c>
      <c r="BE68" s="3">
        <f t="shared" ref="BE68:BE131" si="53">AE68-AB68</f>
        <v>103</v>
      </c>
    </row>
    <row r="69" spans="1:58" s="3" customFormat="1" ht="17" customHeight="1" x14ac:dyDescent="0.2">
      <c r="A69" s="3" t="s">
        <v>912</v>
      </c>
      <c r="B69" s="3" t="str">
        <f>LOWER(VLOOKUP(A69,Xtal_Templ!A:B,2,FALSE))</f>
        <v>adrb1_melga</v>
      </c>
      <c r="C69" s="3">
        <f>VLOOKUP($A69,'SegEnds_NonXtal_BW#'!$A:$Z,3,FALSE)+D69-50</f>
        <v>33</v>
      </c>
      <c r="D69" s="3">
        <v>59</v>
      </c>
      <c r="E69" s="3">
        <f>IF(ISERROR(VLOOKUP($A69,'SegEnds_NonXtal_BW#'!$A:$Z,4,FALSE)+VLOOKUP($A69,A:AL,4,FALSE)-50),"-",(VLOOKUP($A69,'SegEnds_NonXtal_BW#'!$A:$Z,4,FALSE)+VLOOKUP($A69,A:AL,4,FALSE)-50))</f>
        <v>69</v>
      </c>
      <c r="F69" s="3">
        <f t="shared" si="27"/>
        <v>70</v>
      </c>
      <c r="G69" s="3">
        <v>72</v>
      </c>
      <c r="H69" s="3">
        <f t="shared" ref="H69:I72" si="54">G69+1</f>
        <v>73</v>
      </c>
      <c r="I69" s="3">
        <f t="shared" si="54"/>
        <v>74</v>
      </c>
      <c r="J69" s="3">
        <v>87</v>
      </c>
      <c r="K69" s="3">
        <f>VLOOKUP($A69,'SegEnds_NonXtal_BW#'!$A:$Z,8,FALSE)+VLOOKUP($A69,A:AL,10,FALSE)-50</f>
        <v>104</v>
      </c>
      <c r="L69" s="3">
        <f>IF(ISERROR(VLOOKUP($A69,'SegEnds_NonXtal_BW#'!$A:$Z,9,FALSE)+VLOOKUP($A69,A:AL,13,FALSE)-50),"-",(VLOOKUP($A69,'SegEnds_NonXtal_BW#'!$A:$Z,9,FALSE)+VLOOKUP($A69,A:AL,13,FALSE)-50))</f>
        <v>106</v>
      </c>
      <c r="M69" s="3">
        <v>107</v>
      </c>
      <c r="N69" s="3">
        <f>IF(ISERROR(VLOOKUP($A69,'SegEnds_NonXtal_BW#'!$A:$Z,10,FALSE)+VLOOKUP($A69,A:AL,13,FALSE)-50),"-",(VLOOKUP($A69,'SegEnds_NonXtal_BW#'!$A:$Z,10,FALSE)+VLOOKUP($A69,A:AL,13,FALSE)-50))</f>
        <v>109</v>
      </c>
      <c r="O69" s="3">
        <f t="shared" si="37"/>
        <v>110</v>
      </c>
      <c r="P69" s="3">
        <v>139</v>
      </c>
      <c r="Q69" s="3">
        <f>VLOOKUP($A69,'SegEnds_NonXtal_BW#'!$A:$Z,12,FALSE)+VLOOKUP($A69,A:AL,16,FALSE)-50</f>
        <v>145</v>
      </c>
      <c r="R69" s="3">
        <f>IF(ISERROR(VLOOKUP($A69,'SegEnds_NonXtal_BW#'!$A:$Z,13,FALSE)+VLOOKUP($A69,A:AL,19,FALSE)-50),"-",VLOOKUP($A69,'SegEnds_NonXtal_BW#'!$A:$Z,13,FALSE)+VLOOKUP($A69,A:AL,19,FALSE)-50)</f>
        <v>146</v>
      </c>
      <c r="S69" s="3">
        <v>146</v>
      </c>
      <c r="T69" s="100">
        <f>IF(ISERROR(VLOOKUP($A69,'SegEnds_NonXtal_BW#'!$A:$Z,14,FALSE)+VLOOKUP($A69,A:AL,19,FALSE)-50),"-",(VLOOKUP($A69,'SegEnds_NonXtal_BW#'!$A:$Z,14,FALSE)+VLOOKUP($A69,A:AL,19,FALSE)-50))</f>
        <v>153</v>
      </c>
      <c r="U69" s="9">
        <f>IF(ISERROR(VLOOKUP($A69,'SegEnds_NonXtal_BW#'!$A:$Z,15,FALSE)+VLOOKUP($A69,A:AL,22,FALSE)-50),"-",VLOOKUP($A69,'SegEnds_NonXtal_BW#'!$A:$Z,15,FALSE)+VLOOKUP($A69,A:AL,22,FALSE)-50)</f>
        <v>154</v>
      </c>
      <c r="V69" s="3">
        <v>166</v>
      </c>
      <c r="W69" s="3">
        <f>IF(ISERROR(VLOOKUP($A69,'SegEnds_NonXtal_BW#'!$A:$Z,16,FALSE)+VLOOKUP($A69,A:AL,22,FALSE)-50),"-",(VLOOKUP($A69,'SegEnds_NonXtal_BW#'!$A:$Z,16,FALSE)+VLOOKUP($A69,A:AL,22,FALSE)-50))</f>
        <v>180</v>
      </c>
      <c r="X69" s="3">
        <f>IF(ISERROR(VLOOKUP($A69,'SegEnds_NonXtal_BW#'!$A:$Z,17,FALSE)+VLOOKUP($A69,A:AL,25,FALSE)-50),"-",(VLOOKUP($A69,'SegEnds_NonXtal_BW#'!$A:$Z,17,FALSE)+VLOOKUP($A69,A:AL,25,FALSE)-50))</f>
        <v>199</v>
      </c>
      <c r="Y69" s="3">
        <v>199</v>
      </c>
      <c r="Z69" s="3">
        <f t="shared" si="38"/>
        <v>201</v>
      </c>
      <c r="AA69" s="3">
        <f>IF(ISERROR(VLOOKUP($A69,'SegEnds_NonXtal_BW#'!$A:$Z,19,FALSE)+VLOOKUP($A69,A:AL,28,FALSE)-50),"-",(VLOOKUP($A69,'SegEnds_NonXtal_BW#'!$A:$Z,19,FALSE)+VLOOKUP($A69,A:AL,28,FALSE)-50))</f>
        <v>204</v>
      </c>
      <c r="AB69" s="3">
        <v>219</v>
      </c>
      <c r="AC69" s="3">
        <f>IF(ISERROR((VLOOKUP($A69,'SegEnds_NonXtal_BW#'!$A:$Z,20,FALSE)+VLOOKUP($A69,A:AL,28,FALSE)-50)),"-",(VLOOKUP($A69,'SegEnds_NonXtal_BW#'!$A:$Z,20,FALSE)+VLOOKUP($A69,A:AL,28,FALSE)-50))</f>
        <v>245</v>
      </c>
      <c r="AD69" s="3">
        <f>IF(ISERROR(VLOOKUP($A69,'SegEnds_NonXtal_BW#'!$A:$Z,21,FALSE)+VLOOKUP($A69,A:AL,31,FALSE)-50),"-",(VLOOKUP($A69,'SegEnds_NonXtal_BW#'!$A:$Z,21,FALSE)+VLOOKUP($A69,A:AL,31,FALSE)-50))</f>
        <v>275</v>
      </c>
      <c r="AE69" s="3">
        <v>305</v>
      </c>
      <c r="AF69" s="3">
        <f>IF(ISERROR((VLOOKUP($A69,'SegEnds_NonXtal_BW#'!$A:$Z,22,FALSE)+VLOOKUP($A69,A:AL,31,FALSE)-50)),"-",(VLOOKUP($A69,'SegEnds_NonXtal_BW#'!$A:$Z,22,FALSE)+VLOOKUP($A69,A:AL,31,FALSE)-50))</f>
        <v>316</v>
      </c>
      <c r="AG69" s="3">
        <f>IF(ISERROR(VLOOKUP($A69,'SegEnds_NonXtal_BW#'!$A:$Z,23,FALSE)+VLOOKUP($A69,A:AL,34,FALSE)-50),"-",(VLOOKUP($A69,'SegEnds_NonXtal_BW#'!$A:$Z,23,FALSE)+VLOOKUP($A69,A:AL,34,FALSE)-50))</f>
        <v>321</v>
      </c>
      <c r="AH69" s="3">
        <v>340</v>
      </c>
      <c r="AI69" s="3">
        <f>IF(ISERROR((VLOOKUP($A69,'SegEnds_NonXtal_BW#'!$A:$Z,24,FALSE)+VLOOKUP($A69,A:AL,34,FALSE)-50)),"-",(VLOOKUP($A69,'SegEnds_NonXtal_BW#'!$A:$Z,24,FALSE)+VLOOKUP($A69,A:AL,34,FALSE)-50))</f>
        <v>345</v>
      </c>
      <c r="AJ69" s="3">
        <f>IF(ISERROR(VLOOKUP($A69,'SegEnds_NonXtal_BW#'!$A:$Z,25,FALSE)+VLOOKUP($A69,A:AL,37,FALSE)-50),"-",(VLOOKUP($A69,'SegEnds_NonXtal_BW#'!$A:$Z,25,FALSE)+VLOOKUP($A69,A:AL,37,FALSE)-50))</f>
        <v>346</v>
      </c>
      <c r="AK69" s="3">
        <v>349</v>
      </c>
      <c r="AL69" s="3">
        <f>IF(ISERROR((VLOOKUP($A69,'SegEnds_NonXtal_BW#'!$A:$Z,26,FALSE)+VLOOKUP($A69,A:AL,37,FALSE)-50)),"-",(VLOOKUP($A69,'SegEnds_NonXtal_BW#'!$A:$Z,26,FALSE)+VLOOKUP($A69,A:AL,37,FALSE)-50))</f>
        <v>358</v>
      </c>
      <c r="AM69" s="28" t="str">
        <f>VLOOKUP(A69,Classification!A:B,2,FALSE)</f>
        <v>A</v>
      </c>
      <c r="AN69" s="28" t="b">
        <f t="shared" ref="AN69:AN132" si="55">AND(IF(Y69="-",IF(AA69-W69&gt;3,TRUE,FALSE),TRUE),IF(M69="-",IF(O69-K69&gt;3,TRUE,FALSE),TRUE),IF(AG69-AF69&gt;1,TRUE,FALSE),C69&lt;E69,OR(E69&lt;F69,F69="-"),OR(F69&lt;H69,F69="-"),OR(H69&lt;I69,H69="-"),I69&lt;K69,OR(K69&lt;L69,L69="-"),OR(L69&lt;N69,L69="-"),OR(N69&lt;O69,N69="-"),O69&lt;Q69,OR(Q69&lt;R69,R69="-"),OR(R69&lt;T69,R69="-"),OR(T69&lt;U69,T69="-"),U69&lt;W69,OR(W69&lt;X69,X69="-"),OR(X69&lt;Z69,X69="-"),OR(Z69&lt;AA69,Z69="-"),AA69&lt;AC69,AC69&lt;AD69,AD69&lt;AF69,AF69&lt;AG69,AG69&lt;AI69,OR(AI69&lt;AJ69,AJ69="-"),OR(AJ69&lt;AL69,AJ69="-"))</f>
        <v>1</v>
      </c>
      <c r="AO69" s="3" t="str">
        <f>IF(ISERROR(MATCH(A69,'SegEnds_Xtal_Prot#'!B:B, 0)), "NoXtal", "Xtal")</f>
        <v>Xtal</v>
      </c>
      <c r="AP69" s="3">
        <f t="shared" si="39"/>
        <v>1</v>
      </c>
      <c r="AQ69" s="3">
        <f t="shared" si="40"/>
        <v>1</v>
      </c>
      <c r="AR69" s="3">
        <f t="shared" si="41"/>
        <v>2</v>
      </c>
      <c r="AS69" s="3">
        <f t="shared" si="42"/>
        <v>1</v>
      </c>
      <c r="AT69" s="3">
        <f t="shared" si="43"/>
        <v>1</v>
      </c>
      <c r="AU69" s="3">
        <f t="shared" si="44"/>
        <v>1</v>
      </c>
      <c r="AV69" s="3">
        <f t="shared" si="45"/>
        <v>19</v>
      </c>
      <c r="AW69" s="3">
        <f t="shared" si="46"/>
        <v>3</v>
      </c>
      <c r="AX69" s="3">
        <f t="shared" si="47"/>
        <v>30</v>
      </c>
      <c r="AY69" s="3">
        <f t="shared" si="48"/>
        <v>5</v>
      </c>
      <c r="AZ69" s="3">
        <f t="shared" si="49"/>
        <v>1</v>
      </c>
      <c r="BA69" s="3">
        <f>IF(ISERROR(LEN(VLOOKUP(A69,Seqs!A:E,2,FALSE))-AL69),"-",LEN(VLOOKUP(A69,Seqs!A:E,2,FALSE))-AL69)</f>
        <v>125</v>
      </c>
      <c r="BB69" s="16">
        <f t="shared" si="50"/>
        <v>28</v>
      </c>
      <c r="BC69" s="9">
        <f t="shared" si="51"/>
        <v>20</v>
      </c>
      <c r="BD69" s="3">
        <f t="shared" si="52"/>
        <v>28</v>
      </c>
      <c r="BE69" s="3">
        <f t="shared" si="53"/>
        <v>86</v>
      </c>
    </row>
    <row r="70" spans="1:58" s="3" customFormat="1" x14ac:dyDescent="0.2">
      <c r="A70" s="3" t="s">
        <v>126</v>
      </c>
      <c r="B70" s="3" t="str">
        <f>LOWER(VLOOKUP(A70,Xtal_Templ!A:B,2,FALSE))</f>
        <v>adrb2_human</v>
      </c>
      <c r="C70" s="3">
        <f>VLOOKUP($A70,'SegEnds_NonXtal_BW#'!$A:$Z,3,FALSE)+D70-50</f>
        <v>26</v>
      </c>
      <c r="D70" s="3">
        <v>51</v>
      </c>
      <c r="E70" s="3">
        <f>IF(ISERROR(VLOOKUP($A70,'SegEnds_NonXtal_BW#'!$A:$Z,4,FALSE)+VLOOKUP($A70,A:AL,4,FALSE)-50),"-",(VLOOKUP($A70,'SegEnds_NonXtal_BW#'!$A:$Z,4,FALSE)+VLOOKUP($A70,A:AL,4,FALSE)-50))</f>
        <v>61</v>
      </c>
      <c r="F70" s="3">
        <f t="shared" si="27"/>
        <v>62</v>
      </c>
      <c r="G70" s="3">
        <v>64</v>
      </c>
      <c r="H70" s="3">
        <f t="shared" si="54"/>
        <v>65</v>
      </c>
      <c r="I70" s="3">
        <f t="shared" si="54"/>
        <v>66</v>
      </c>
      <c r="J70" s="3">
        <v>79</v>
      </c>
      <c r="K70" s="3">
        <f>VLOOKUP($A70,'SegEnds_NonXtal_BW#'!$A:$Z,8,FALSE)+VLOOKUP($A70,A:AL,10,FALSE)-50</f>
        <v>96</v>
      </c>
      <c r="L70" s="3">
        <f t="shared" ref="L70:L89" si="56">M70-1</f>
        <v>98</v>
      </c>
      <c r="M70" s="3">
        <v>99</v>
      </c>
      <c r="N70" s="3">
        <f t="shared" ref="N70:N89" si="57">M70+2</f>
        <v>101</v>
      </c>
      <c r="O70" s="3">
        <f t="shared" si="37"/>
        <v>102</v>
      </c>
      <c r="P70" s="3">
        <v>131</v>
      </c>
      <c r="Q70" s="3">
        <f>VLOOKUP($A70,'SegEnds_NonXtal_BW#'!$A:$Z,12,FALSE)+VLOOKUP($A70,A:AL,16,FALSE)-50</f>
        <v>137</v>
      </c>
      <c r="R70" s="3">
        <f>IF(ISERROR(VLOOKUP($A70,'SegEnds_NonXtal_BW#'!$A:$Z,13,FALSE)+VLOOKUP($A70,A:AL,19,FALSE)-50),"-",VLOOKUP($A70,'SegEnds_NonXtal_BW#'!$A:$Z,13,FALSE)+VLOOKUP($A70,A:AL,19,FALSE)-50)</f>
        <v>138</v>
      </c>
      <c r="S70" s="3">
        <v>138</v>
      </c>
      <c r="T70" s="100">
        <f>IF(ISERROR(VLOOKUP($A70,'SegEnds_NonXtal_BW#'!$A:$Z,14,FALSE)+VLOOKUP($A70,A:AL,19,FALSE)-50),"-",(VLOOKUP($A70,'SegEnds_NonXtal_BW#'!$A:$Z,14,FALSE)+VLOOKUP($A70,A:AL,19,FALSE)-50))</f>
        <v>145</v>
      </c>
      <c r="U70" s="9">
        <f>IF(ISERROR(VLOOKUP($A70,'SegEnds_NonXtal_BW#'!$A:$Z,15,FALSE)+VLOOKUP($A70,A:AL,22,FALSE)-50),"-",VLOOKUP($A70,'SegEnds_NonXtal_BW#'!$A:$Z,15,FALSE)+VLOOKUP($A70,A:AL,22,FALSE)-50)</f>
        <v>146</v>
      </c>
      <c r="V70" s="3">
        <v>158</v>
      </c>
      <c r="W70" s="3">
        <f>IF(ISERROR(VLOOKUP($A70,'SegEnds_NonXtal_BW#'!$A:$Z,16,FALSE)+VLOOKUP($A70,A:AL,22,FALSE)-50),"-",(VLOOKUP($A70,'SegEnds_NonXtal_BW#'!$A:$Z,16,FALSE)+VLOOKUP($A70,A:AL,22,FALSE)-50))</f>
        <v>172</v>
      </c>
      <c r="X70" s="3">
        <f>IF(ISERROR(VLOOKUP($A70,'SegEnds_NonXtal_BW#'!$A:$Z,17,FALSE)+VLOOKUP($A70,A:AL,25,FALSE)-50),"-",(VLOOKUP($A70,'SegEnds_NonXtal_BW#'!$A:$Z,17,FALSE)+VLOOKUP($A70,A:AL,25,FALSE)-50))</f>
        <v>191</v>
      </c>
      <c r="Y70" s="3">
        <v>191</v>
      </c>
      <c r="Z70" s="3">
        <f t="shared" si="38"/>
        <v>193</v>
      </c>
      <c r="AA70" s="3">
        <f>IF(ISERROR(VLOOKUP($A70,'SegEnds_NonXtal_BW#'!$A:$Z,19,FALSE)+VLOOKUP($A70,A:AL,28,FALSE)-50),"-",(VLOOKUP($A70,'SegEnds_NonXtal_BW#'!$A:$Z,19,FALSE)+VLOOKUP($A70,A:AL,28,FALSE)-50))</f>
        <v>196</v>
      </c>
      <c r="AB70" s="3">
        <v>211</v>
      </c>
      <c r="AC70" s="3">
        <f>IF(ISERROR((VLOOKUP($A70,'SegEnds_NonXtal_BW#'!$A:$Z,20,FALSE)+VLOOKUP($A70,A:AL,28,FALSE)-50)),"-",(VLOOKUP($A70,'SegEnds_NonXtal_BW#'!$A:$Z,20,FALSE)+VLOOKUP($A70,A:AL,28,FALSE)-50))</f>
        <v>237</v>
      </c>
      <c r="AD70" s="3">
        <f>IF(ISERROR(VLOOKUP($A70,'SegEnds_NonXtal_BW#'!$A:$Z,21,FALSE)+VLOOKUP($A70,A:AL,31,FALSE)-50),"-",(VLOOKUP($A70,'SegEnds_NonXtal_BW#'!$A:$Z,21,FALSE)+VLOOKUP($A70,A:AL,31,FALSE)-50))</f>
        <v>262</v>
      </c>
      <c r="AE70" s="3">
        <v>288</v>
      </c>
      <c r="AF70" s="3">
        <f>IF(ISERROR((VLOOKUP($A70,'SegEnds_NonXtal_BW#'!$A:$Z,22,FALSE)+VLOOKUP($A70,A:AL,31,FALSE)-50)),"-",(VLOOKUP($A70,'SegEnds_NonXtal_BW#'!$A:$Z,22,FALSE)+VLOOKUP($A70,A:AL,31,FALSE)-50))</f>
        <v>299</v>
      </c>
      <c r="AG70" s="3">
        <f>IF(ISERROR(VLOOKUP($A70,'SegEnds_NonXtal_BW#'!$A:$Z,23,FALSE)+VLOOKUP($A70,A:AL,34,FALSE)-50),"-",(VLOOKUP($A70,'SegEnds_NonXtal_BW#'!$A:$Z,23,FALSE)+VLOOKUP($A70,A:AL,34,FALSE)-50))</f>
        <v>304</v>
      </c>
      <c r="AH70" s="3">
        <v>323</v>
      </c>
      <c r="AI70" s="3">
        <v>328</v>
      </c>
      <c r="AJ70" s="3">
        <f>IF(ISERROR(VLOOKUP($A70,'SegEnds_NonXtal_BW#'!$A:$Z,25,FALSE)+VLOOKUP($A70,A:AL,37,FALSE)-50),"-",(VLOOKUP($A70,'SegEnds_NonXtal_BW#'!$A:$Z,25,FALSE)+VLOOKUP($A70,A:AL,37,FALSE)-50))</f>
        <v>329</v>
      </c>
      <c r="AK70" s="3">
        <v>332</v>
      </c>
      <c r="AL70" s="3">
        <f>IF(ISERROR((VLOOKUP($A70,'SegEnds_NonXtal_BW#'!$A:$Z,26,FALSE)+VLOOKUP($A70,A:AL,37,FALSE)-50)),"-",(VLOOKUP($A70,'SegEnds_NonXtal_BW#'!$A:$Z,26,FALSE)+VLOOKUP($A70,A:AL,37,FALSE)-50))</f>
        <v>341</v>
      </c>
      <c r="AM70" s="28" t="str">
        <f>VLOOKUP(A70,Classification!A:B,2,FALSE)</f>
        <v>A</v>
      </c>
      <c r="AN70" s="28" t="b">
        <f t="shared" si="55"/>
        <v>1</v>
      </c>
      <c r="AO70" s="3" t="str">
        <f>IF(ISERROR(MATCH(A70,'SegEnds_Xtal_Prot#'!B:B, 0)), "NoXtal", "Xtal")</f>
        <v>Xtal</v>
      </c>
      <c r="AP70" s="3">
        <f t="shared" si="39"/>
        <v>1</v>
      </c>
      <c r="AQ70" s="3">
        <f t="shared" si="40"/>
        <v>1</v>
      </c>
      <c r="AR70" s="3">
        <f t="shared" si="41"/>
        <v>2</v>
      </c>
      <c r="AS70" s="3">
        <f t="shared" si="42"/>
        <v>1</v>
      </c>
      <c r="AT70" s="3">
        <f t="shared" si="43"/>
        <v>1</v>
      </c>
      <c r="AU70" s="3">
        <f t="shared" si="44"/>
        <v>1</v>
      </c>
      <c r="AV70" s="3">
        <f t="shared" si="45"/>
        <v>19</v>
      </c>
      <c r="AW70" s="3">
        <f t="shared" si="46"/>
        <v>3</v>
      </c>
      <c r="AX70" s="3">
        <f t="shared" si="47"/>
        <v>25</v>
      </c>
      <c r="AY70" s="3">
        <f t="shared" si="48"/>
        <v>5</v>
      </c>
      <c r="AZ70" s="3">
        <f t="shared" si="49"/>
        <v>1</v>
      </c>
      <c r="BA70" s="3">
        <f>IF(ISERROR(LEN(VLOOKUP(A70,Seqs!A:E,2,FALSE))-AL70),"-",LEN(VLOOKUP(A70,Seqs!A:E,2,FALSE))-AL70)</f>
        <v>72</v>
      </c>
      <c r="BB70" s="16">
        <f t="shared" si="50"/>
        <v>28</v>
      </c>
      <c r="BC70" s="9">
        <f t="shared" si="51"/>
        <v>20</v>
      </c>
      <c r="BD70" s="3">
        <f t="shared" si="52"/>
        <v>28</v>
      </c>
      <c r="BE70" s="3">
        <f t="shared" si="53"/>
        <v>77</v>
      </c>
    </row>
    <row r="71" spans="1:58" s="3" customFormat="1" x14ac:dyDescent="0.2">
      <c r="A71" s="3" t="s">
        <v>102</v>
      </c>
      <c r="B71" s="3" t="str">
        <f>LOWER(VLOOKUP(A71,Xtal_Templ!A:B,2,FALSE))</f>
        <v>adrb2_human</v>
      </c>
      <c r="C71" s="3">
        <f>VLOOKUP($A71,'SegEnds_NonXtal_BW#'!$A:$Z,3,FALSE)+D71-50</f>
        <v>30</v>
      </c>
      <c r="D71" s="3">
        <v>55</v>
      </c>
      <c r="E71" s="3">
        <f>IF(ISERROR(VLOOKUP($A71,'SegEnds_NonXtal_BW#'!$A:$Z,4,FALSE)+VLOOKUP($A71,A:AL,4,FALSE)-50),"-",(VLOOKUP($A71,'SegEnds_NonXtal_BW#'!$A:$Z,4,FALSE)+VLOOKUP($A71,A:AL,4,FALSE)-50))</f>
        <v>65</v>
      </c>
      <c r="F71" s="3">
        <f t="shared" si="27"/>
        <v>66</v>
      </c>
      <c r="G71" s="3">
        <v>68</v>
      </c>
      <c r="H71" s="3">
        <f t="shared" si="54"/>
        <v>69</v>
      </c>
      <c r="I71" s="3">
        <f t="shared" si="54"/>
        <v>70</v>
      </c>
      <c r="J71" s="3">
        <v>83</v>
      </c>
      <c r="K71" s="3">
        <f>VLOOKUP($A71,'SegEnds_NonXtal_BW#'!$A:$Z,8,FALSE)+VLOOKUP($A71,A:AL,10,FALSE)-50</f>
        <v>100</v>
      </c>
      <c r="L71" s="3">
        <f t="shared" si="56"/>
        <v>102</v>
      </c>
      <c r="M71" s="3">
        <v>103</v>
      </c>
      <c r="N71" s="3">
        <f t="shared" si="57"/>
        <v>105</v>
      </c>
      <c r="O71" s="3">
        <f t="shared" si="37"/>
        <v>106</v>
      </c>
      <c r="P71" s="3">
        <v>135</v>
      </c>
      <c r="Q71" s="3">
        <f>VLOOKUP($A71,'SegEnds_NonXtal_BW#'!$A:$Z,12,FALSE)+VLOOKUP($A71,A:AL,16,FALSE)-50</f>
        <v>141</v>
      </c>
      <c r="R71" s="3">
        <f>IF(ISERROR(VLOOKUP($A71,'SegEnds_NonXtal_BW#'!$A:$Z,13,FALSE)+VLOOKUP($A71,A:AL,19,FALSE)-50),"-",VLOOKUP($A71,'SegEnds_NonXtal_BW#'!$A:$Z,13,FALSE)+VLOOKUP($A71,A:AL,19,FALSE)-50)</f>
        <v>142</v>
      </c>
      <c r="S71" s="3">
        <v>142</v>
      </c>
      <c r="T71" s="100">
        <f>IF(ISERROR(VLOOKUP($A71,'SegEnds_NonXtal_BW#'!$A:$Z,14,FALSE)+VLOOKUP($A71,A:AL,19,FALSE)-50),"-",(VLOOKUP($A71,'SegEnds_NonXtal_BW#'!$A:$Z,14,FALSE)+VLOOKUP($A71,A:AL,19,FALSE)-50))</f>
        <v>149</v>
      </c>
      <c r="U71" s="9">
        <f>IF(ISERROR(VLOOKUP($A71,'SegEnds_NonXtal_BW#'!$A:$Z,15,FALSE)+VLOOKUP($A71,A:AL,22,FALSE)-50),"-",VLOOKUP($A71,'SegEnds_NonXtal_BW#'!$A:$Z,15,FALSE)+VLOOKUP($A71,A:AL,22,FALSE)-50)</f>
        <v>150</v>
      </c>
      <c r="V71" s="3">
        <v>162</v>
      </c>
      <c r="W71" s="3">
        <f>IF(ISERROR(VLOOKUP($A71,'SegEnds_NonXtal_BW#'!$A:$Z,16,FALSE)+VLOOKUP($A71,A:AL,22,FALSE)-50),"-",(VLOOKUP($A71,'SegEnds_NonXtal_BW#'!$A:$Z,16,FALSE)+VLOOKUP($A71,A:AL,22,FALSE)-50))</f>
        <v>176</v>
      </c>
      <c r="X71" s="3">
        <f>IF(ISERROR(VLOOKUP($A71,'SegEnds_NonXtal_BW#'!$A:$Z,17,FALSE)+VLOOKUP($A71,A:AL,25,FALSE)-50),"-",(VLOOKUP($A71,'SegEnds_NonXtal_BW#'!$A:$Z,17,FALSE)+VLOOKUP($A71,A:AL,25,FALSE)-50))</f>
        <v>196</v>
      </c>
      <c r="Y71" s="3">
        <v>196</v>
      </c>
      <c r="Z71" s="3">
        <f t="shared" si="38"/>
        <v>198</v>
      </c>
      <c r="AA71" s="3">
        <f>IF(ISERROR(VLOOKUP($A71,'SegEnds_NonXtal_BW#'!$A:$Z,19,FALSE)+VLOOKUP($A71,A:AL,28,FALSE)-50),"-",(VLOOKUP($A71,'SegEnds_NonXtal_BW#'!$A:$Z,19,FALSE)+VLOOKUP($A71,A:AL,28,FALSE)-50))</f>
        <v>201</v>
      </c>
      <c r="AB71" s="3">
        <v>216</v>
      </c>
      <c r="AC71" s="3">
        <f>IF(ISERROR((VLOOKUP($A71,'SegEnds_NonXtal_BW#'!$A:$Z,20,FALSE)+VLOOKUP($A71,A:AL,28,FALSE)-50)),"-",(VLOOKUP($A71,'SegEnds_NonXtal_BW#'!$A:$Z,20,FALSE)+VLOOKUP($A71,A:AL,28,FALSE)-50))</f>
        <v>242</v>
      </c>
      <c r="AD71" s="3">
        <f>IF(ISERROR(VLOOKUP($A71,'SegEnds_NonXtal_BW#'!$A:$Z,21,FALSE)+VLOOKUP($A71,A:AL,31,FALSE)-50),"-",(VLOOKUP($A71,'SegEnds_NonXtal_BW#'!$A:$Z,21,FALSE)+VLOOKUP($A71,A:AL,31,FALSE)-50))</f>
        <v>281</v>
      </c>
      <c r="AE71" s="3">
        <v>307</v>
      </c>
      <c r="AF71" s="3">
        <f>IF(ISERROR((VLOOKUP($A71,'SegEnds_NonXtal_BW#'!$A:$Z,22,FALSE)+VLOOKUP($A71,A:AL,31,FALSE)-50)),"-",(VLOOKUP($A71,'SegEnds_NonXtal_BW#'!$A:$Z,22,FALSE)+VLOOKUP($A71,A:AL,31,FALSE)-50))</f>
        <v>318</v>
      </c>
      <c r="AG71" s="3">
        <f>IF(ISERROR(VLOOKUP($A71,'SegEnds_NonXtal_BW#'!$A:$Z,23,FALSE)+VLOOKUP($A71,A:AL,34,FALSE)-50),"-",(VLOOKUP($A71,'SegEnds_NonXtal_BW#'!$A:$Z,23,FALSE)+VLOOKUP($A71,A:AL,34,FALSE)-50))</f>
        <v>324</v>
      </c>
      <c r="AH71" s="3">
        <v>343</v>
      </c>
      <c r="AI71" s="3">
        <v>348</v>
      </c>
      <c r="AJ71" s="3">
        <f>IF(ISERROR(VLOOKUP($A71,'SegEnds_NonXtal_BW#'!$A:$Z,25,FALSE)+VLOOKUP($A71,A:AL,37,FALSE)-50),"-",(VLOOKUP($A71,'SegEnds_NonXtal_BW#'!$A:$Z,25,FALSE)+VLOOKUP($A71,A:AL,37,FALSE)-50))</f>
        <v>349</v>
      </c>
      <c r="AK71" s="3">
        <v>352</v>
      </c>
      <c r="AL71" s="3">
        <f>IF(ISERROR((VLOOKUP($A71,'SegEnds_NonXtal_BW#'!$A:$Z,26,FALSE)+VLOOKUP($A71,A:AL,37,FALSE)-50)),"-",(VLOOKUP($A71,'SegEnds_NonXtal_BW#'!$A:$Z,26,FALSE)+VLOOKUP($A71,A:AL,37,FALSE)-50))</f>
        <v>361</v>
      </c>
      <c r="AM71" s="28" t="str">
        <f>VLOOKUP(A71,Classification!A:B,2,FALSE)</f>
        <v>A</v>
      </c>
      <c r="AN71" s="28" t="b">
        <f t="shared" si="55"/>
        <v>1</v>
      </c>
      <c r="AO71" s="3" t="str">
        <f>IF(ISERROR(MATCH(A71,'SegEnds_Xtal_Prot#'!B:B, 0)), "NoXtal", "Xtal")</f>
        <v>NoXtal</v>
      </c>
      <c r="AP71" s="3">
        <f t="shared" si="39"/>
        <v>1</v>
      </c>
      <c r="AQ71" s="3">
        <f t="shared" si="40"/>
        <v>1</v>
      </c>
      <c r="AR71" s="3">
        <f t="shared" si="41"/>
        <v>2</v>
      </c>
      <c r="AS71" s="3">
        <f t="shared" si="42"/>
        <v>1</v>
      </c>
      <c r="AT71" s="3">
        <f t="shared" si="43"/>
        <v>1</v>
      </c>
      <c r="AU71" s="3">
        <f t="shared" si="44"/>
        <v>1</v>
      </c>
      <c r="AV71" s="3">
        <f t="shared" si="45"/>
        <v>20</v>
      </c>
      <c r="AW71" s="3">
        <f t="shared" si="46"/>
        <v>3</v>
      </c>
      <c r="AX71" s="3">
        <f t="shared" si="47"/>
        <v>39</v>
      </c>
      <c r="AY71" s="3">
        <f t="shared" si="48"/>
        <v>6</v>
      </c>
      <c r="AZ71" s="3">
        <f t="shared" si="49"/>
        <v>1</v>
      </c>
      <c r="BA71" s="3">
        <f>IF(ISERROR(LEN(VLOOKUP(A71,Seqs!A:E,2,FALSE))-AL71),"-",LEN(VLOOKUP(A71,Seqs!A:E,2,FALSE))-AL71)</f>
        <v>47</v>
      </c>
      <c r="BB71" s="16">
        <f t="shared" si="50"/>
        <v>28</v>
      </c>
      <c r="BC71" s="9">
        <f t="shared" si="51"/>
        <v>20</v>
      </c>
      <c r="BD71" s="3">
        <f t="shared" si="52"/>
        <v>28</v>
      </c>
      <c r="BE71" s="3">
        <f t="shared" si="53"/>
        <v>91</v>
      </c>
    </row>
    <row r="72" spans="1:58" s="3" customFormat="1" x14ac:dyDescent="0.2">
      <c r="A72" s="3" t="s">
        <v>158</v>
      </c>
      <c r="B72" s="3" t="str">
        <f>LOWER(VLOOKUP(A72,Xtal_Templ!A:B,2,FALSE))</f>
        <v>agtr1_human</v>
      </c>
      <c r="C72" s="3">
        <f>VLOOKUP($A72,'SegEnds_NonXtal_BW#'!$A:$Z,3,FALSE)+D72-50</f>
        <v>24</v>
      </c>
      <c r="D72" s="3">
        <v>46</v>
      </c>
      <c r="E72" s="3">
        <f>IF(ISERROR(VLOOKUP($A72,'SegEnds_NonXtal_BW#'!$A:$Z,4,FALSE)+VLOOKUP($A72,A:AL,4,FALSE)-50),"-",(VLOOKUP($A72,'SegEnds_NonXtal_BW#'!$A:$Z,4,FALSE)+VLOOKUP($A72,A:AL,4,FALSE)-50))</f>
        <v>56</v>
      </c>
      <c r="F72" s="3">
        <f t="shared" si="27"/>
        <v>57</v>
      </c>
      <c r="G72" s="3">
        <v>59</v>
      </c>
      <c r="H72" s="3">
        <f t="shared" si="54"/>
        <v>60</v>
      </c>
      <c r="I72" s="3">
        <f t="shared" si="54"/>
        <v>61</v>
      </c>
      <c r="J72" s="3">
        <v>74</v>
      </c>
      <c r="K72" s="3">
        <f>VLOOKUP($A72,'SegEnds_NonXtal_BW#'!$A:$Z,8,FALSE)+VLOOKUP($A72,A:AL,10,FALSE)-50</f>
        <v>90</v>
      </c>
      <c r="L72" s="3">
        <f t="shared" si="56"/>
        <v>93</v>
      </c>
      <c r="M72" s="3">
        <v>94</v>
      </c>
      <c r="N72" s="3">
        <f t="shared" si="57"/>
        <v>96</v>
      </c>
      <c r="O72" s="3">
        <f t="shared" si="37"/>
        <v>97</v>
      </c>
      <c r="P72" s="3">
        <v>126</v>
      </c>
      <c r="Q72" s="3">
        <f>VLOOKUP($A72,'SegEnds_NonXtal_BW#'!$A:$Z,12,FALSE)+VLOOKUP($A72,A:AL,16,FALSE)-50</f>
        <v>132</v>
      </c>
      <c r="R72" s="3">
        <f>IF(ISERROR(VLOOKUP($A72,'SegEnds_NonXtal_BW#'!$A:$Z,13,FALSE)+VLOOKUP($A72,A:AL,19,FALSE)-50),"-",VLOOKUP($A72,'SegEnds_NonXtal_BW#'!$A:$Z,13,FALSE)+VLOOKUP($A72,A:AL,19,FALSE)-50)</f>
        <v>133</v>
      </c>
      <c r="S72" s="3">
        <v>133</v>
      </c>
      <c r="T72" s="100">
        <f>IF(ISERROR(VLOOKUP($A72,'SegEnds_NonXtal_BW#'!$A:$Z,14,FALSE)+VLOOKUP($A72,A:AL,19,FALSE)-50),"-",(VLOOKUP($A72,'SegEnds_NonXtal_BW#'!$A:$Z,14,FALSE)+VLOOKUP($A72,A:AL,19,FALSE)-50))</f>
        <v>140</v>
      </c>
      <c r="U72" s="9">
        <f>IF(ISERROR(VLOOKUP($A72,'SegEnds_NonXtal_BW#'!$A:$Z,15,FALSE)+VLOOKUP($A72,A:AL,22,FALSE)-50),"-",VLOOKUP($A72,'SegEnds_NonXtal_BW#'!$A:$Z,15,FALSE)+VLOOKUP($A72,A:AL,22,FALSE)-50)</f>
        <v>141</v>
      </c>
      <c r="V72" s="3">
        <v>153</v>
      </c>
      <c r="W72" s="3">
        <f>IF(ISERROR(VLOOKUP($A72,'SegEnds_NonXtal_BW#'!$A:$Z,16,FALSE)+VLOOKUP($A72,A:AL,22,FALSE)-50),"-",(VLOOKUP($A72,'SegEnds_NonXtal_BW#'!$A:$Z,16,FALSE)+VLOOKUP($A72,A:AL,22,FALSE)-50))</f>
        <v>167</v>
      </c>
      <c r="X72" s="3">
        <f>IF(ISERROR(VLOOKUP($A72,'SegEnds_NonXtal_BW#'!$A:$Z,17,FALSE)+VLOOKUP($A72,A:AL,25,FALSE)-50),"-",(VLOOKUP($A72,'SegEnds_NonXtal_BW#'!$A:$Z,17,FALSE)+VLOOKUP($A72,A:AL,25,FALSE)-50))</f>
        <v>180</v>
      </c>
      <c r="Y72" s="3">
        <v>180</v>
      </c>
      <c r="Z72" s="3">
        <f t="shared" si="38"/>
        <v>182</v>
      </c>
      <c r="AA72" s="3">
        <f>IF(ISERROR(VLOOKUP($A72,'SegEnds_NonXtal_BW#'!$A:$Z,19,FALSE)+VLOOKUP($A72,A:AL,28,FALSE)-50),"-",(VLOOKUP($A72,'SegEnds_NonXtal_BW#'!$A:$Z,19,FALSE)+VLOOKUP($A72,A:AL,28,FALSE)-50))</f>
        <v>191</v>
      </c>
      <c r="AB72" s="3">
        <v>207</v>
      </c>
      <c r="AC72" s="3">
        <f>IF(ISERROR((VLOOKUP($A72,'SegEnds_NonXtal_BW#'!$A:$Z,20,FALSE)+VLOOKUP($A72,A:AL,28,FALSE)-50)),"-",(VLOOKUP($A72,'SegEnds_NonXtal_BW#'!$A:$Z,20,FALSE)+VLOOKUP($A72,A:AL,28,FALSE)-50))</f>
        <v>225</v>
      </c>
      <c r="AD72" s="3">
        <f>IF(ISERROR(VLOOKUP($A72,'SegEnds_NonXtal_BW#'!$A:$Z,21,FALSE)+VLOOKUP($A72,A:AL,31,FALSE)-50),"-",(VLOOKUP($A72,'SegEnds_NonXtal_BW#'!$A:$Z,21,FALSE)+VLOOKUP($A72,A:AL,31,FALSE)-50))</f>
        <v>229</v>
      </c>
      <c r="AE72" s="3">
        <v>255</v>
      </c>
      <c r="AF72" s="3">
        <f>IF(ISERROR((VLOOKUP($A72,'SegEnds_NonXtal_BW#'!$A:$Z,22,FALSE)+VLOOKUP($A72,A:AL,31,FALSE)-50)),"-",(VLOOKUP($A72,'SegEnds_NonXtal_BW#'!$A:$Z,22,FALSE)+VLOOKUP($A72,A:AL,31,FALSE)-50))</f>
        <v>269</v>
      </c>
      <c r="AG72" s="3">
        <f>IF(ISERROR(VLOOKUP($A72,'SegEnds_NonXtal_BW#'!$A:$Z,23,FALSE)+VLOOKUP($A72,A:AL,34,FALSE)-50),"-",(VLOOKUP($A72,'SegEnds_NonXtal_BW#'!$A:$Z,23,FALSE)+VLOOKUP($A72,A:AL,34,FALSE)-50))</f>
        <v>273</v>
      </c>
      <c r="AH72" s="3">
        <v>299</v>
      </c>
      <c r="AI72" s="3">
        <f>IF(ISERROR((VLOOKUP($A72,'SegEnds_NonXtal_BW#'!$A:$Z,24,FALSE)+VLOOKUP($A72,A:AL,34,FALSE)-50)),"-",(VLOOKUP($A72,'SegEnds_NonXtal_BW#'!$A:$Z,24,FALSE)+VLOOKUP($A72,A:AL,34,FALSE)-50))</f>
        <v>305</v>
      </c>
      <c r="AJ72" s="3">
        <f>IF(ISERROR(VLOOKUP($A72,'SegEnds_NonXtal_BW#'!$A:$Z,25,FALSE)+VLOOKUP($A72,A:AL,37,FALSE)-50),"-",(VLOOKUP($A72,'SegEnds_NonXtal_BW#'!$A:$Z,25,FALSE)+VLOOKUP($A72,A:AL,37,FALSE)-50))</f>
        <v>306</v>
      </c>
      <c r="AK72" s="3">
        <v>309</v>
      </c>
      <c r="AL72" s="3">
        <f>IF(ISERROR((VLOOKUP($A72,'SegEnds_NonXtal_BW#'!$A:$Z,26,FALSE)+VLOOKUP($A72,A:AL,37,FALSE)-50)),"-",(VLOOKUP($A72,'SegEnds_NonXtal_BW#'!$A:$Z,26,FALSE)+VLOOKUP($A72,A:AL,37,FALSE)-50))</f>
        <v>320</v>
      </c>
      <c r="AM72" s="28" t="str">
        <f>VLOOKUP(A72,Classification!A:B,2,FALSE)</f>
        <v>A</v>
      </c>
      <c r="AN72" s="28" t="b">
        <f t="shared" si="55"/>
        <v>1</v>
      </c>
      <c r="AO72" s="3" t="str">
        <f>IF(ISERROR(MATCH(A72,'SegEnds_Xtal_Prot#'!B:B, 0)), "NoXtal", "Xtal")</f>
        <v>Xtal</v>
      </c>
      <c r="AP72" s="3">
        <f t="shared" si="39"/>
        <v>1</v>
      </c>
      <c r="AQ72" s="3">
        <f t="shared" si="40"/>
        <v>1</v>
      </c>
      <c r="AR72" s="3">
        <f t="shared" si="41"/>
        <v>3</v>
      </c>
      <c r="AS72" s="3">
        <f t="shared" si="42"/>
        <v>1</v>
      </c>
      <c r="AT72" s="3">
        <f t="shared" si="43"/>
        <v>1</v>
      </c>
      <c r="AU72" s="3">
        <f t="shared" si="44"/>
        <v>1</v>
      </c>
      <c r="AV72" s="3">
        <f t="shared" si="45"/>
        <v>13</v>
      </c>
      <c r="AW72" s="3">
        <f t="shared" si="46"/>
        <v>9</v>
      </c>
      <c r="AX72" s="3">
        <f t="shared" si="47"/>
        <v>4</v>
      </c>
      <c r="AY72" s="3">
        <f t="shared" si="48"/>
        <v>4</v>
      </c>
      <c r="AZ72" s="3">
        <f t="shared" si="49"/>
        <v>1</v>
      </c>
      <c r="BA72" s="3">
        <f>IF(ISERROR(LEN(VLOOKUP(A72,Seqs!A:E,2,FALSE))-AL72),"-",LEN(VLOOKUP(A72,Seqs!A:E,2,FALSE))-AL72)</f>
        <v>39</v>
      </c>
      <c r="BB72" s="16">
        <f t="shared" si="50"/>
        <v>28</v>
      </c>
      <c r="BC72" s="9">
        <f t="shared" si="51"/>
        <v>20</v>
      </c>
      <c r="BD72" s="3">
        <f t="shared" si="52"/>
        <v>28</v>
      </c>
      <c r="BE72" s="3">
        <f t="shared" si="53"/>
        <v>48</v>
      </c>
    </row>
    <row r="73" spans="1:58" s="3" customFormat="1" x14ac:dyDescent="0.2">
      <c r="A73" s="3" t="s">
        <v>160</v>
      </c>
      <c r="B73" s="3" t="str">
        <f>LOWER(VLOOKUP(A73,Xtal_Templ!A:B,2,FALSE))</f>
        <v>apj_human</v>
      </c>
      <c r="C73" s="3">
        <f>VLOOKUP($A73,'SegEnds_NonXtal_BW#'!$A:$Z,3,FALSE)+D73-50</f>
        <v>29</v>
      </c>
      <c r="D73" s="3">
        <v>46</v>
      </c>
      <c r="E73" s="3">
        <f>IF(ISERROR(VLOOKUP($A73,'SegEnds_NonXtal_BW#'!$A:$Z,4,FALSE)+VLOOKUP($A73,A:AL,4,FALSE)-50),"-",(VLOOKUP($A73,'SegEnds_NonXtal_BW#'!$A:$Z,4,FALSE)+VLOOKUP($A73,A:AL,4,FALSE)-50))</f>
        <v>56</v>
      </c>
      <c r="F73" s="3">
        <f>IF(ISERROR(VLOOKUP($A73,'SegEnds_NonXtal_BW#'!$A:$Z,5,FALSE)+VLOOKUP($A73,A:AL,7,FALSE)-50),"-",(VLOOKUP($A73,'SegEnds_NonXtal_BW#'!$A:$Z,5,FALSE)+VLOOKUP($A73,A:AL,7,FALSE)-50))</f>
        <v>57</v>
      </c>
      <c r="G73" s="3">
        <v>59</v>
      </c>
      <c r="H73" s="3">
        <f>IF(ISERROR(VLOOKUP($A73,'SegEnds_NonXtal_BW#'!$A:$Z,6,FALSE)+VLOOKUP($A73,A:AL,7,FALSE)-50),"-",(VLOOKUP($A73,'SegEnds_NonXtal_BW#'!$A:$Z,6,FALSE)+VLOOKUP($A73,A:AL,7,FALSE)-50))</f>
        <v>61</v>
      </c>
      <c r="I73" s="3">
        <f>VLOOKUP($A73,'SegEnds_NonXtal_BW#'!$A:$Z,7,FALSE)+J73-50</f>
        <v>62</v>
      </c>
      <c r="J73" s="3">
        <v>75</v>
      </c>
      <c r="K73" s="3">
        <f>VLOOKUP($A73,'SegEnds_NonXtal_BW#'!$A:$Z,8,FALSE)+VLOOKUP($A73,A:AL,10,FALSE)-50</f>
        <v>92</v>
      </c>
      <c r="L73" s="3">
        <f t="shared" si="56"/>
        <v>94</v>
      </c>
      <c r="M73" s="3">
        <v>95</v>
      </c>
      <c r="N73" s="3">
        <f t="shared" si="57"/>
        <v>97</v>
      </c>
      <c r="O73" s="3">
        <f t="shared" si="37"/>
        <v>98</v>
      </c>
      <c r="P73" s="3">
        <v>127</v>
      </c>
      <c r="Q73" s="3">
        <f>VLOOKUP($A73,'SegEnds_NonXtal_BW#'!$A:$Z,12,FALSE)+VLOOKUP($A73,A:AL,16,FALSE)-50</f>
        <v>133</v>
      </c>
      <c r="R73" s="3">
        <f>IF(ISERROR(VLOOKUP($A73,'SegEnds_NonXtal_BW#'!$A:$Z,13,FALSE)+VLOOKUP($A73,A:AL,19,FALSE)-50),"-",VLOOKUP($A73,'SegEnds_NonXtal_BW#'!$A:$Z,13,FALSE)+VLOOKUP($A73,A:AL,19,FALSE)-50)</f>
        <v>134</v>
      </c>
      <c r="S73" s="3">
        <v>134</v>
      </c>
      <c r="T73" s="100">
        <f>IF(ISERROR(VLOOKUP($A73,'SegEnds_NonXtal_BW#'!$A:$Z,14,FALSE)+VLOOKUP($A73,A:AL,19,FALSE)-50),"-",(VLOOKUP($A73,'SegEnds_NonXtal_BW#'!$A:$Z,14,FALSE)+VLOOKUP($A73,A:AL,19,FALSE)-50))</f>
        <v>141</v>
      </c>
      <c r="U73" s="9">
        <f>IF(ISERROR(VLOOKUP($A73,'SegEnds_NonXtal_BW#'!$A:$Z,15,FALSE)+VLOOKUP($A73,A:AL,22,FALSE)-50),"-",VLOOKUP($A73,'SegEnds_NonXtal_BW#'!$A:$Z,15,FALSE)+VLOOKUP($A73,A:AL,22,FALSE)-50)</f>
        <v>142</v>
      </c>
      <c r="V73" s="3">
        <v>154</v>
      </c>
      <c r="W73" s="3">
        <f>IF(ISERROR(VLOOKUP($A73,'SegEnds_NonXtal_BW#'!$A:$Z,16,FALSE)+VLOOKUP($A73,A:AL,22,FALSE)-50),"-",(VLOOKUP($A73,'SegEnds_NonXtal_BW#'!$A:$Z,16,FALSE)+VLOOKUP($A73,A:AL,22,FALSE)-50))</f>
        <v>168</v>
      </c>
      <c r="X73" s="3">
        <f>IF(ISERROR(VLOOKUP($A73,'SegEnds_NonXtal_BW#'!$A:$Z,17,FALSE)+VLOOKUP($A73,A:AL,25,FALSE)-50),"-",(VLOOKUP($A73,'SegEnds_NonXtal_BW#'!$A:$Z,17,FALSE)+VLOOKUP($A73,A:AL,25,FALSE)-50))</f>
        <v>181</v>
      </c>
      <c r="Y73" s="3">
        <v>181</v>
      </c>
      <c r="Z73" s="3">
        <f t="shared" si="38"/>
        <v>183</v>
      </c>
      <c r="AA73" s="3">
        <f>IF(ISERROR(VLOOKUP($A73,'SegEnds_NonXtal_BW#'!$A:$Z,19,FALSE)+VLOOKUP($A73,A:AL,28,FALSE)-50),"-",(VLOOKUP($A73,'SegEnds_NonXtal_BW#'!$A:$Z,19,FALSE)+VLOOKUP($A73,A:AL,28,FALSE)-50))</f>
        <v>193</v>
      </c>
      <c r="AB73" s="3">
        <v>213</v>
      </c>
      <c r="AC73" s="3">
        <f>IF(ISERROR((VLOOKUP($A73,'SegEnds_NonXtal_BW#'!$A:$Z,20,FALSE)+VLOOKUP($A73,A:AL,28,FALSE)-50)),"-",(VLOOKUP($A73,'SegEnds_NonXtal_BW#'!$A:$Z,20,FALSE)+VLOOKUP($A73,A:AL,28,FALSE)-50))</f>
        <v>235</v>
      </c>
      <c r="AD73" s="3">
        <f>IF(ISERROR(VLOOKUP($A73,'SegEnds_NonXtal_BW#'!$A:$Z,21,FALSE)+VLOOKUP($A73,A:AL,31,FALSE)-50),"-",(VLOOKUP($A73,'SegEnds_NonXtal_BW#'!$A:$Z,21,FALSE)+VLOOKUP($A73,A:AL,31,FALSE)-50))</f>
        <v>242</v>
      </c>
      <c r="AE73" s="3">
        <v>263</v>
      </c>
      <c r="AF73" s="3">
        <f>IF(ISERROR((VLOOKUP($A73,'SegEnds_NonXtal_BW#'!$A:$Z,22,FALSE)+VLOOKUP($A73,A:AL,31,FALSE)-50)),"-",(VLOOKUP($A73,'SegEnds_NonXtal_BW#'!$A:$Z,22,FALSE)+VLOOKUP($A73,A:AL,31,FALSE)-50))</f>
        <v>276</v>
      </c>
      <c r="AG73" s="3">
        <f>IF(ISERROR(VLOOKUP($A73,'SegEnds_NonXtal_BW#'!$A:$Z,23,FALSE)+VLOOKUP($A73,A:AL,34,FALSE)-50),"-",(VLOOKUP($A73,'SegEnds_NonXtal_BW#'!$A:$Z,23,FALSE)+VLOOKUP($A73,A:AL,34,FALSE)-50))</f>
        <v>280</v>
      </c>
      <c r="AH73" s="3">
        <v>306</v>
      </c>
      <c r="AI73" s="3">
        <f>IF(ISERROR((VLOOKUP($A73,'SegEnds_NonXtal_BW#'!$A:$Z,24,FALSE)+VLOOKUP($A73,A:AL,34,FALSE)-50)),"-",(VLOOKUP($A73,'SegEnds_NonXtal_BW#'!$A:$Z,24,FALSE)+VLOOKUP($A73,A:AL,34,FALSE)-50))</f>
        <v>312</v>
      </c>
      <c r="AJ73" s="3">
        <f>IF(ISERROR(VLOOKUP($A73,'SegEnds_NonXtal_BW#'!$A:$Z,25,FALSE)+VLOOKUP($A73,A:AL,37,FALSE)-50),"-",(VLOOKUP($A73,'SegEnds_NonXtal_BW#'!$A:$Z,25,FALSE)+VLOOKUP($A73,A:AL,37,FALSE)-50))</f>
        <v>313</v>
      </c>
      <c r="AK73" s="3">
        <v>316</v>
      </c>
      <c r="AL73" s="3">
        <f>IF(ISERROR((VLOOKUP($A73,'SegEnds_NonXtal_BW#'!$A:$Z,26,FALSE)+VLOOKUP($A73,A:AL,37,FALSE)-50)),"-",(VLOOKUP($A73,'SegEnds_NonXtal_BW#'!$A:$Z,26,FALSE)+VLOOKUP($A73,A:AL,37,FALSE)-50))</f>
        <v>327</v>
      </c>
      <c r="AM73" s="28" t="str">
        <f>VLOOKUP(A73,Classification!A:B,2,FALSE)</f>
        <v>A</v>
      </c>
      <c r="AN73" s="28" t="b">
        <f t="shared" si="55"/>
        <v>1</v>
      </c>
      <c r="AO73" s="3" t="str">
        <f>IF(ISERROR(MATCH(A73,'SegEnds_Xtal_Prot#'!B:B, 0)), "NoXtal", "Xtal")</f>
        <v>Xtal</v>
      </c>
      <c r="AP73" s="3">
        <f t="shared" si="39"/>
        <v>1</v>
      </c>
      <c r="AQ73" s="3">
        <f t="shared" si="40"/>
        <v>1</v>
      </c>
      <c r="AR73" s="3">
        <f t="shared" si="41"/>
        <v>2</v>
      </c>
      <c r="AS73" s="3">
        <f t="shared" si="42"/>
        <v>1</v>
      </c>
      <c r="AT73" s="3">
        <f t="shared" si="43"/>
        <v>1</v>
      </c>
      <c r="AU73" s="3">
        <f t="shared" si="44"/>
        <v>1</v>
      </c>
      <c r="AV73" s="3">
        <f t="shared" si="45"/>
        <v>13</v>
      </c>
      <c r="AW73" s="3">
        <f t="shared" si="46"/>
        <v>10</v>
      </c>
      <c r="AX73" s="3">
        <f t="shared" si="47"/>
        <v>7</v>
      </c>
      <c r="AY73" s="3">
        <f t="shared" si="48"/>
        <v>4</v>
      </c>
      <c r="AZ73" s="3">
        <f t="shared" si="49"/>
        <v>1</v>
      </c>
      <c r="BA73" s="3">
        <f>IF(ISERROR(LEN(VLOOKUP(A73,Seqs!A:E,2,FALSE))-AL73),"-",LEN(VLOOKUP(A73,Seqs!A:E,2,FALSE))-AL73)</f>
        <v>53</v>
      </c>
      <c r="BB73" s="16">
        <f t="shared" si="50"/>
        <v>29</v>
      </c>
      <c r="BC73" s="9">
        <f t="shared" si="51"/>
        <v>20</v>
      </c>
      <c r="BD73" s="3">
        <f t="shared" si="52"/>
        <v>29</v>
      </c>
      <c r="BE73" s="3">
        <f t="shared" si="53"/>
        <v>50</v>
      </c>
    </row>
    <row r="74" spans="1:58" s="3" customFormat="1" x14ac:dyDescent="0.2">
      <c r="A74" s="3" t="s">
        <v>161</v>
      </c>
      <c r="B74" s="3" t="str">
        <f>LOWER(VLOOKUP(A74,Xtal_Templ!A:B,2,FALSE))</f>
        <v>agtr1_human</v>
      </c>
      <c r="C74" s="3">
        <f>VLOOKUP($A74,'SegEnds_NonXtal_BW#'!$A:$Z,3,FALSE)+D74-50</f>
        <v>33</v>
      </c>
      <c r="D74" s="3">
        <v>55</v>
      </c>
      <c r="E74" s="3">
        <f>IF(ISERROR(VLOOKUP($A74,'SegEnds_NonXtal_BW#'!$A:$Z,4,FALSE)+VLOOKUP($A74,A:AL,4,FALSE)-50),"-",(VLOOKUP($A74,'SegEnds_NonXtal_BW#'!$A:$Z,4,FALSE)+VLOOKUP($A74,A:AL,4,FALSE)-50))</f>
        <v>65</v>
      </c>
      <c r="F74" s="3">
        <f>G74-2</f>
        <v>66</v>
      </c>
      <c r="G74" s="3">
        <v>68</v>
      </c>
      <c r="H74" s="3">
        <f t="shared" ref="H74:I76" si="58">G74+1</f>
        <v>69</v>
      </c>
      <c r="I74" s="3">
        <f t="shared" si="58"/>
        <v>70</v>
      </c>
      <c r="J74" s="3">
        <v>83</v>
      </c>
      <c r="K74" s="3">
        <f>VLOOKUP($A74,'SegEnds_NonXtal_BW#'!$A:$Z,8,FALSE)+VLOOKUP($A74,A:AL,10,FALSE)-50</f>
        <v>99</v>
      </c>
      <c r="L74" s="3">
        <f t="shared" si="56"/>
        <v>102</v>
      </c>
      <c r="M74" s="3">
        <v>103</v>
      </c>
      <c r="N74" s="3">
        <f t="shared" si="57"/>
        <v>105</v>
      </c>
      <c r="O74" s="3">
        <f t="shared" si="37"/>
        <v>106</v>
      </c>
      <c r="P74" s="3">
        <v>135</v>
      </c>
      <c r="Q74" s="3">
        <f>VLOOKUP($A74,'SegEnds_NonXtal_BW#'!$A:$Z,12,FALSE)+VLOOKUP($A74,A:AL,16,FALSE)-50</f>
        <v>141</v>
      </c>
      <c r="R74" s="3">
        <f>IF(ISERROR(VLOOKUP($A74,'SegEnds_NonXtal_BW#'!$A:$Z,13,FALSE)+VLOOKUP($A74,A:AL,19,FALSE)-50),"-",VLOOKUP($A74,'SegEnds_NonXtal_BW#'!$A:$Z,13,FALSE)+VLOOKUP($A74,A:AL,19,FALSE)-50)</f>
        <v>142</v>
      </c>
      <c r="S74" s="3">
        <v>142</v>
      </c>
      <c r="T74" s="100">
        <f>IF(ISERROR(VLOOKUP($A74,'SegEnds_NonXtal_BW#'!$A:$Z,14,FALSE)+VLOOKUP($A74,A:AL,19,FALSE)-50),"-",(VLOOKUP($A74,'SegEnds_NonXtal_BW#'!$A:$Z,14,FALSE)+VLOOKUP($A74,A:AL,19,FALSE)-50))</f>
        <v>149</v>
      </c>
      <c r="U74" s="9">
        <f>IF(ISERROR(VLOOKUP($A74,'SegEnds_NonXtal_BW#'!$A:$Z,15,FALSE)+VLOOKUP($A74,A:AL,22,FALSE)-50),"-",VLOOKUP($A74,'SegEnds_NonXtal_BW#'!$A:$Z,15,FALSE)+VLOOKUP($A74,A:AL,22,FALSE)-50)</f>
        <v>150</v>
      </c>
      <c r="V74" s="3">
        <v>162</v>
      </c>
      <c r="W74" s="3">
        <f>IF(ISERROR(VLOOKUP($A74,'SegEnds_NonXtal_BW#'!$A:$Z,16,FALSE)+VLOOKUP($A74,A:AL,22,FALSE)-50),"-",(VLOOKUP($A74,'SegEnds_NonXtal_BW#'!$A:$Z,16,FALSE)+VLOOKUP($A74,A:AL,22,FALSE)-50))</f>
        <v>176</v>
      </c>
      <c r="X74" s="3">
        <f>IF(ISERROR(VLOOKUP($A74,'SegEnds_NonXtal_BW#'!$A:$Z,17,FALSE)+VLOOKUP($A74,A:AL,25,FALSE)-50),"-",(VLOOKUP($A74,'SegEnds_NonXtal_BW#'!$A:$Z,17,FALSE)+VLOOKUP($A74,A:AL,25,FALSE)-50))</f>
        <v>189</v>
      </c>
      <c r="Y74" s="3">
        <v>189</v>
      </c>
      <c r="Z74" s="3">
        <f t="shared" si="38"/>
        <v>191</v>
      </c>
      <c r="AA74" s="3">
        <f>IF(ISERROR(VLOOKUP($A74,'SegEnds_NonXtal_BW#'!$A:$Z,19,FALSE)+VLOOKUP($A74,A:AL,28,FALSE)-50),"-",(VLOOKUP($A74,'SegEnds_NonXtal_BW#'!$A:$Z,19,FALSE)+VLOOKUP($A74,A:AL,28,FALSE)-50))</f>
        <v>198</v>
      </c>
      <c r="AB74" s="3">
        <v>214</v>
      </c>
      <c r="AC74" s="3">
        <f>IF(ISERROR((VLOOKUP($A74,'SegEnds_NonXtal_BW#'!$A:$Z,20,FALSE)+VLOOKUP($A74,A:AL,28,FALSE)-50)),"-",(VLOOKUP($A74,'SegEnds_NonXtal_BW#'!$A:$Z,20,FALSE)+VLOOKUP($A74,A:AL,28,FALSE)-50))</f>
        <v>232</v>
      </c>
      <c r="AD74" s="3">
        <f>IF(ISERROR(VLOOKUP($A74,'SegEnds_NonXtal_BW#'!$A:$Z,21,FALSE)+VLOOKUP($A74,A:AL,31,FALSE)-50),"-",(VLOOKUP($A74,'SegEnds_NonXtal_BW#'!$A:$Z,21,FALSE)+VLOOKUP($A74,A:AL,31,FALSE)-50))</f>
        <v>238</v>
      </c>
      <c r="AE74" s="3">
        <v>265</v>
      </c>
      <c r="AF74" s="3">
        <f>IF(ISERROR((VLOOKUP($A74,'SegEnds_NonXtal_BW#'!$A:$Z,22,FALSE)+VLOOKUP($A74,A:AL,31,FALSE)-50)),"-",(VLOOKUP($A74,'SegEnds_NonXtal_BW#'!$A:$Z,22,FALSE)+VLOOKUP($A74,A:AL,31,FALSE)-50))</f>
        <v>279</v>
      </c>
      <c r="AG74" s="3">
        <f>IF(ISERROR(VLOOKUP($A74,'SegEnds_NonXtal_BW#'!$A:$Z,23,FALSE)+VLOOKUP($A74,A:AL,34,FALSE)-50),"-",(VLOOKUP($A74,'SegEnds_NonXtal_BW#'!$A:$Z,23,FALSE)+VLOOKUP($A74,A:AL,34,FALSE)-50))</f>
        <v>283</v>
      </c>
      <c r="AH74" s="3">
        <v>309</v>
      </c>
      <c r="AI74" s="3">
        <f>IF(ISERROR((VLOOKUP($A74,'SegEnds_NonXtal_BW#'!$A:$Z,24,FALSE)+VLOOKUP($A74,A:AL,34,FALSE)-50)),"-",(VLOOKUP($A74,'SegEnds_NonXtal_BW#'!$A:$Z,24,FALSE)+VLOOKUP($A74,A:AL,34,FALSE)-50))</f>
        <v>315</v>
      </c>
      <c r="AJ74" s="3">
        <f>IF(ISERROR(VLOOKUP($A74,'SegEnds_NonXtal_BW#'!$A:$Z,25,FALSE)+VLOOKUP($A74,A:AL,37,FALSE)-50),"-",(VLOOKUP($A74,'SegEnds_NonXtal_BW#'!$A:$Z,25,FALSE)+VLOOKUP($A74,A:AL,37,FALSE)-50))</f>
        <v>316</v>
      </c>
      <c r="AK74" s="3">
        <v>319</v>
      </c>
      <c r="AL74" s="3">
        <f>IF(ISERROR((VLOOKUP($A74,'SegEnds_NonXtal_BW#'!$A:$Z,26,FALSE)+VLOOKUP($A74,A:AL,37,FALSE)-50)),"-",(VLOOKUP($A74,'SegEnds_NonXtal_BW#'!$A:$Z,26,FALSE)+VLOOKUP($A74,A:AL,37,FALSE)-50))</f>
        <v>330</v>
      </c>
      <c r="AM74" s="28" t="str">
        <f>VLOOKUP(A74,Classification!A:B,2,FALSE)</f>
        <v>A</v>
      </c>
      <c r="AN74" s="28" t="b">
        <f t="shared" si="55"/>
        <v>1</v>
      </c>
      <c r="AO74" s="3" t="str">
        <f>IF(ISERROR(MATCH(A74,'SegEnds_Xtal_Prot#'!B:B, 0)), "NoXtal", "Xtal")</f>
        <v>NoXtal</v>
      </c>
      <c r="AP74" s="3">
        <f t="shared" si="39"/>
        <v>1</v>
      </c>
      <c r="AQ74" s="3">
        <f t="shared" si="40"/>
        <v>1</v>
      </c>
      <c r="AR74" s="3">
        <f t="shared" si="41"/>
        <v>3</v>
      </c>
      <c r="AS74" s="3">
        <f t="shared" si="42"/>
        <v>1</v>
      </c>
      <c r="AT74" s="3">
        <f t="shared" si="43"/>
        <v>1</v>
      </c>
      <c r="AU74" s="3">
        <f t="shared" si="44"/>
        <v>1</v>
      </c>
      <c r="AV74" s="3">
        <f t="shared" si="45"/>
        <v>13</v>
      </c>
      <c r="AW74" s="3">
        <f t="shared" si="46"/>
        <v>7</v>
      </c>
      <c r="AX74" s="3">
        <f t="shared" si="47"/>
        <v>6</v>
      </c>
      <c r="AY74" s="3">
        <f t="shared" si="48"/>
        <v>4</v>
      </c>
      <c r="AZ74" s="3">
        <f t="shared" si="49"/>
        <v>1</v>
      </c>
      <c r="BA74" s="3">
        <f>IF(ISERROR(LEN(VLOOKUP(A74,Seqs!A:E,2,FALSE))-AL74),"-",LEN(VLOOKUP(A74,Seqs!A:E,2,FALSE))-AL74)</f>
        <v>23</v>
      </c>
      <c r="BB74" s="16">
        <f t="shared" si="50"/>
        <v>28</v>
      </c>
      <c r="BC74" s="9">
        <f t="shared" si="51"/>
        <v>20</v>
      </c>
      <c r="BD74" s="3">
        <f t="shared" si="52"/>
        <v>28</v>
      </c>
      <c r="BE74" s="3">
        <f t="shared" si="53"/>
        <v>51</v>
      </c>
      <c r="BF74" s="3">
        <f>AH74-AE74</f>
        <v>44</v>
      </c>
    </row>
    <row r="75" spans="1:58" s="3" customFormat="1" x14ac:dyDescent="0.2">
      <c r="A75" s="3" t="s">
        <v>162</v>
      </c>
      <c r="B75" s="3" t="str">
        <f>LOWER(VLOOKUP(A75,Xtal_Templ!A:B,2,FALSE))</f>
        <v>agtr2_human</v>
      </c>
      <c r="C75" s="3">
        <f>VLOOKUP($A75,'SegEnds_NonXtal_BW#'!$A:$Z,3,FALSE)+D75-50</f>
        <v>58</v>
      </c>
      <c r="D75" s="3">
        <v>75</v>
      </c>
      <c r="E75" s="3">
        <f>IF(ISERROR(VLOOKUP($A75,'SegEnds_NonXtal_BW#'!$A:$Z,4,FALSE)+VLOOKUP($A75,A:AL,4,FALSE)-50),"-",(VLOOKUP($A75,'SegEnds_NonXtal_BW#'!$A:$Z,4,FALSE)+VLOOKUP($A75,A:AL,4,FALSE)-50))</f>
        <v>85</v>
      </c>
      <c r="F75" s="3">
        <f>G75-2</f>
        <v>86</v>
      </c>
      <c r="G75" s="3">
        <v>88</v>
      </c>
      <c r="H75" s="3">
        <f t="shared" si="58"/>
        <v>89</v>
      </c>
      <c r="I75" s="3">
        <f t="shared" si="58"/>
        <v>90</v>
      </c>
      <c r="J75" s="3">
        <v>103</v>
      </c>
      <c r="K75" s="3">
        <f>VLOOKUP($A75,'SegEnds_NonXtal_BW#'!$A:$Z,8,FALSE)+VLOOKUP($A75,A:AL,10,FALSE)-50</f>
        <v>119</v>
      </c>
      <c r="L75" s="3">
        <f t="shared" si="56"/>
        <v>122</v>
      </c>
      <c r="M75" s="3">
        <v>123</v>
      </c>
      <c r="N75" s="3">
        <f t="shared" si="57"/>
        <v>125</v>
      </c>
      <c r="O75" s="3">
        <f t="shared" si="37"/>
        <v>126</v>
      </c>
      <c r="P75" s="3">
        <v>155</v>
      </c>
      <c r="Q75" s="3">
        <f>VLOOKUP($A75,'SegEnds_NonXtal_BW#'!$A:$Z,12,FALSE)+VLOOKUP($A75,A:AL,16,FALSE)-50</f>
        <v>161</v>
      </c>
      <c r="R75" s="3">
        <f>IF(ISERROR(VLOOKUP($A75,'SegEnds_NonXtal_BW#'!$A:$Z,13,FALSE)+VLOOKUP($A75,A:AL,19,FALSE)-50),"-",VLOOKUP($A75,'SegEnds_NonXtal_BW#'!$A:$Z,13,FALSE)+VLOOKUP($A75,A:AL,19,FALSE)-50)</f>
        <v>162</v>
      </c>
      <c r="S75" s="3">
        <v>162</v>
      </c>
      <c r="T75" s="100">
        <f>IF(ISERROR(VLOOKUP($A75,'SegEnds_NonXtal_BW#'!$A:$Z,14,FALSE)+VLOOKUP($A75,A:AL,19,FALSE)-50),"-",(VLOOKUP($A75,'SegEnds_NonXtal_BW#'!$A:$Z,14,FALSE)+VLOOKUP($A75,A:AL,19,FALSE)-50))</f>
        <v>169</v>
      </c>
      <c r="U75" s="9">
        <f>IF(ISERROR(VLOOKUP($A75,'SegEnds_NonXtal_BW#'!$A:$Z,15,FALSE)+VLOOKUP($A75,A:AL,22,FALSE)-50),"-",VLOOKUP($A75,'SegEnds_NonXtal_BW#'!$A:$Z,15,FALSE)+VLOOKUP($A75,A:AL,22,FALSE)-50)</f>
        <v>170</v>
      </c>
      <c r="V75" s="3">
        <v>182</v>
      </c>
      <c r="W75" s="3">
        <f>IF(ISERROR(VLOOKUP($A75,'SegEnds_NonXtal_BW#'!$A:$Z,16,FALSE)+VLOOKUP($A75,A:AL,22,FALSE)-50),"-",(VLOOKUP($A75,'SegEnds_NonXtal_BW#'!$A:$Z,16,FALSE)+VLOOKUP($A75,A:AL,22,FALSE)-50))</f>
        <v>196</v>
      </c>
      <c r="X75" s="3">
        <f>IF(ISERROR(VLOOKUP($A75,'SegEnds_NonXtal_BW#'!$A:$Z,17,FALSE)+VLOOKUP($A75,A:AL,25,FALSE)-50),"-",(VLOOKUP($A75,'SegEnds_NonXtal_BW#'!$A:$Z,17,FALSE)+VLOOKUP($A75,A:AL,25,FALSE)-50))</f>
        <v>211</v>
      </c>
      <c r="Y75" s="3">
        <v>211</v>
      </c>
      <c r="Z75" s="3">
        <f t="shared" si="38"/>
        <v>213</v>
      </c>
      <c r="AA75" s="3">
        <f>IF(ISERROR(VLOOKUP($A75,'SegEnds_NonXtal_BW#'!$A:$Z,19,FALSE)+VLOOKUP($A75,A:AL,28,FALSE)-50),"-",(VLOOKUP($A75,'SegEnds_NonXtal_BW#'!$A:$Z,19,FALSE)+VLOOKUP($A75,A:AL,28,FALSE)-50))</f>
        <v>216</v>
      </c>
      <c r="AB75" s="3">
        <v>236</v>
      </c>
      <c r="AC75" s="3">
        <f>IF(ISERROR((VLOOKUP($A75,'SegEnds_NonXtal_BW#'!$A:$Z,20,FALSE)+VLOOKUP($A75,A:AL,28,FALSE)-50)),"-",(VLOOKUP($A75,'SegEnds_NonXtal_BW#'!$A:$Z,20,FALSE)+VLOOKUP($A75,A:AL,28,FALSE)-50))</f>
        <v>254</v>
      </c>
      <c r="AD75" s="3">
        <f>IF(ISERROR(VLOOKUP($A75,'SegEnds_NonXtal_BW#'!$A:$Z,21,FALSE)+VLOOKUP($A75,A:AL,31,FALSE)-50),"-",(VLOOKUP($A75,'SegEnds_NonXtal_BW#'!$A:$Z,21,FALSE)+VLOOKUP($A75,A:AL,31,FALSE)-50))</f>
        <v>259</v>
      </c>
      <c r="AE75" s="3">
        <v>285</v>
      </c>
      <c r="AF75" s="3">
        <f>IF(ISERROR((VLOOKUP($A75,'SegEnds_NonXtal_BW#'!$A:$Z,22,FALSE)+VLOOKUP($A75,A:AL,31,FALSE)-50)),"-",(VLOOKUP($A75,'SegEnds_NonXtal_BW#'!$A:$Z,22,FALSE)+VLOOKUP($A75,A:AL,31,FALSE)-50))</f>
        <v>299</v>
      </c>
      <c r="AG75" s="3">
        <f>IF(ISERROR(VLOOKUP($A75,'SegEnds_NonXtal_BW#'!$A:$Z,23,FALSE)+VLOOKUP($A75,A:AL,34,FALSE)-50),"-",(VLOOKUP($A75,'SegEnds_NonXtal_BW#'!$A:$Z,23,FALSE)+VLOOKUP($A75,A:AL,34,FALSE)-50))</f>
        <v>303</v>
      </c>
      <c r="AH75" s="3">
        <v>329</v>
      </c>
      <c r="AI75" s="3">
        <f>IF(ISERROR((VLOOKUP($A75,'SegEnds_NonXtal_BW#'!$A:$Z,24,FALSE)+VLOOKUP($A75,A:AL,34,FALSE)-50)),"-",(VLOOKUP($A75,'SegEnds_NonXtal_BW#'!$A:$Z,24,FALSE)+VLOOKUP($A75,A:AL,34,FALSE)-50))</f>
        <v>335</v>
      </c>
      <c r="AJ75" s="3">
        <f>IF(ISERROR(VLOOKUP($A75,'SegEnds_NonXtal_BW#'!$A:$Z,25,FALSE)+VLOOKUP($A75,A:AL,37,FALSE)-50),"-",(VLOOKUP($A75,'SegEnds_NonXtal_BW#'!$A:$Z,25,FALSE)+VLOOKUP($A75,A:AL,37,FALSE)-50))</f>
        <v>336</v>
      </c>
      <c r="AK75" s="3">
        <v>339</v>
      </c>
      <c r="AL75" s="3">
        <f>IF(ISERROR((VLOOKUP($A75,'SegEnds_NonXtal_BW#'!$A:$Z,26,FALSE)+VLOOKUP($A75,A:AL,37,FALSE)-50)),"-",(VLOOKUP($A75,'SegEnds_NonXtal_BW#'!$A:$Z,26,FALSE)+VLOOKUP($A75,A:AL,37,FALSE)-50))</f>
        <v>350</v>
      </c>
      <c r="AM75" s="28" t="str">
        <f>VLOOKUP(A75,Classification!A:B,2,FALSE)</f>
        <v>A</v>
      </c>
      <c r="AN75" s="28" t="b">
        <f t="shared" si="55"/>
        <v>1</v>
      </c>
      <c r="AO75" s="3" t="str">
        <f>IF(ISERROR(MATCH(A75,'SegEnds_Xtal_Prot#'!B:B, 0)), "NoXtal", "Xtal")</f>
        <v>NoXtal</v>
      </c>
      <c r="AP75" s="3">
        <f t="shared" si="39"/>
        <v>1</v>
      </c>
      <c r="AQ75" s="3">
        <f t="shared" si="40"/>
        <v>1</v>
      </c>
      <c r="AR75" s="3">
        <f t="shared" si="41"/>
        <v>3</v>
      </c>
      <c r="AS75" s="3">
        <f t="shared" si="42"/>
        <v>1</v>
      </c>
      <c r="AT75" s="3">
        <f t="shared" si="43"/>
        <v>1</v>
      </c>
      <c r="AU75" s="3">
        <f t="shared" si="44"/>
        <v>1</v>
      </c>
      <c r="AV75" s="3">
        <f t="shared" si="45"/>
        <v>15</v>
      </c>
      <c r="AW75" s="3">
        <f t="shared" si="46"/>
        <v>3</v>
      </c>
      <c r="AX75" s="3">
        <f t="shared" si="47"/>
        <v>5</v>
      </c>
      <c r="AY75" s="3">
        <f t="shared" si="48"/>
        <v>4</v>
      </c>
      <c r="AZ75" s="3">
        <f t="shared" si="49"/>
        <v>1</v>
      </c>
      <c r="BA75" s="3">
        <f>IF(ISERROR(LEN(VLOOKUP(A75,Seqs!A:E,2,FALSE))-AL75),"-",LEN(VLOOKUP(A75,Seqs!A:E,2,FALSE))-AL75)</f>
        <v>41</v>
      </c>
      <c r="BB75" s="16">
        <f t="shared" si="50"/>
        <v>28</v>
      </c>
      <c r="BC75" s="9">
        <f t="shared" si="51"/>
        <v>20</v>
      </c>
      <c r="BD75" s="3">
        <f t="shared" si="52"/>
        <v>28</v>
      </c>
      <c r="BE75" s="3">
        <f t="shared" si="53"/>
        <v>49</v>
      </c>
    </row>
    <row r="76" spans="1:58" s="3" customFormat="1" x14ac:dyDescent="0.2">
      <c r="A76" s="3" t="s">
        <v>163</v>
      </c>
      <c r="B76" s="3" t="str">
        <f>LOWER(VLOOKUP(A76,Xtal_Templ!A:B,2,FALSE))</f>
        <v>ednrb_human</v>
      </c>
      <c r="C76" s="3">
        <f>VLOOKUP($A76,'SegEnds_NonXtal_BW#'!$A:$Z,3,FALSE)+D76-50</f>
        <v>37</v>
      </c>
      <c r="D76" s="3">
        <v>65</v>
      </c>
      <c r="E76" s="3">
        <f>IF(ISERROR(VLOOKUP($A76,'SegEnds_NonXtal_BW#'!$A:$Z,4,FALSE)+VLOOKUP($A76,A:AL,4,FALSE)-50),"-",(VLOOKUP($A76,'SegEnds_NonXtal_BW#'!$A:$Z,4,FALSE)+VLOOKUP($A76,A:AL,4,FALSE)-50))</f>
        <v>75</v>
      </c>
      <c r="F76" s="3">
        <f>G76-2</f>
        <v>76</v>
      </c>
      <c r="G76" s="3">
        <v>78</v>
      </c>
      <c r="H76" s="3">
        <f t="shared" si="58"/>
        <v>79</v>
      </c>
      <c r="I76" s="3">
        <f t="shared" si="58"/>
        <v>80</v>
      </c>
      <c r="J76" s="3">
        <v>93</v>
      </c>
      <c r="K76" s="3">
        <f>VLOOKUP($A76,'SegEnds_NonXtal_BW#'!$A:$Z,8,FALSE)+VLOOKUP($A76,A:AL,10,FALSE)-50</f>
        <v>110</v>
      </c>
      <c r="L76" s="3">
        <f t="shared" si="56"/>
        <v>112</v>
      </c>
      <c r="M76" s="3">
        <v>113</v>
      </c>
      <c r="N76" s="3">
        <f t="shared" si="57"/>
        <v>115</v>
      </c>
      <c r="O76" s="3">
        <f t="shared" si="37"/>
        <v>116</v>
      </c>
      <c r="P76" s="3">
        <v>145</v>
      </c>
      <c r="Q76" s="3">
        <f>VLOOKUP($A76,'SegEnds_NonXtal_BW#'!$A:$Z,12,FALSE)+VLOOKUP($A76,A:AL,16,FALSE)-50</f>
        <v>151</v>
      </c>
      <c r="R76" s="3">
        <f>IF(ISERROR(VLOOKUP($A76,'SegEnds_NonXtal_BW#'!$A:$Z,13,FALSE)+VLOOKUP($A76,A:AL,19,FALSE)-50),"-",VLOOKUP($A76,'SegEnds_NonXtal_BW#'!$A:$Z,13,FALSE)+VLOOKUP($A76,A:AL,19,FALSE)-50)</f>
        <v>152</v>
      </c>
      <c r="S76" s="3">
        <v>152</v>
      </c>
      <c r="T76" s="100">
        <f>IF(ISERROR(VLOOKUP($A76,'SegEnds_NonXtal_BW#'!$A:$Z,14,FALSE)+VLOOKUP($A76,A:AL,19,FALSE)-50),"-",(VLOOKUP($A76,'SegEnds_NonXtal_BW#'!$A:$Z,14,FALSE)+VLOOKUP($A76,A:AL,19,FALSE)-50))</f>
        <v>159</v>
      </c>
      <c r="U76" s="9">
        <f>IF(ISERROR(VLOOKUP($A76,'SegEnds_NonXtal_BW#'!$A:$Z,15,FALSE)+VLOOKUP($A76,A:AL,22,FALSE)-50),"-",VLOOKUP($A76,'SegEnds_NonXtal_BW#'!$A:$Z,15,FALSE)+VLOOKUP($A76,A:AL,22,FALSE)-50)</f>
        <v>160</v>
      </c>
      <c r="V76" s="3">
        <v>172</v>
      </c>
      <c r="W76" s="3">
        <f>IF(ISERROR(VLOOKUP($A76,'SegEnds_NonXtal_BW#'!$A:$Z,16,FALSE)+VLOOKUP($A76,A:AL,22,FALSE)-50),"-",(VLOOKUP($A76,'SegEnds_NonXtal_BW#'!$A:$Z,16,FALSE)+VLOOKUP($A76,A:AL,22,FALSE)-50))</f>
        <v>186</v>
      </c>
      <c r="X76" s="3">
        <f>IF(ISERROR(VLOOKUP($A76,'SegEnds_NonXtal_BW#'!$A:$Z,17,FALSE)+VLOOKUP($A76,A:AL,25,FALSE)-50),"-",(VLOOKUP($A76,'SegEnds_NonXtal_BW#'!$A:$Z,17,FALSE)+VLOOKUP($A76,A:AL,25,FALSE)-50))</f>
        <v>203</v>
      </c>
      <c r="Y76" s="3">
        <v>203</v>
      </c>
      <c r="Z76" s="3">
        <f t="shared" si="38"/>
        <v>205</v>
      </c>
      <c r="AA76" s="3">
        <f>IF(ISERROR(VLOOKUP($A76,'SegEnds_NonXtal_BW#'!$A:$Z,19,FALSE)+VLOOKUP($A76,A:AL,28,FALSE)-50),"-",(VLOOKUP($A76,'SegEnds_NonXtal_BW#'!$A:$Z,19,FALSE)+VLOOKUP($A76,A:AL,28,FALSE)-50))</f>
        <v>207</v>
      </c>
      <c r="AB76" s="3">
        <v>229</v>
      </c>
      <c r="AC76" s="3">
        <f>IF(ISERROR((VLOOKUP($A76,'SegEnds_NonXtal_BW#'!$A:$Z,20,FALSE)+VLOOKUP($A76,A:AL,28,FALSE)-50)),"-",(VLOOKUP($A76,'SegEnds_NonXtal_BW#'!$A:$Z,20,FALSE)+VLOOKUP($A76,A:AL,28,FALSE)-50))</f>
        <v>252</v>
      </c>
      <c r="AD76" s="3">
        <f>IF(ISERROR(VLOOKUP($A76,'SegEnds_NonXtal_BW#'!$A:$Z,21,FALSE)+VLOOKUP($A76,A:AL,31,FALSE)-50),"-",(VLOOKUP($A76,'SegEnds_NonXtal_BW#'!$A:$Z,21,FALSE)+VLOOKUP($A76,A:AL,31,FALSE)-50))</f>
        <v>258</v>
      </c>
      <c r="AE76" s="3">
        <v>286</v>
      </c>
      <c r="AF76" s="3">
        <f>IF(ISERROR((VLOOKUP($A76,'SegEnds_NonXtal_BW#'!$A:$Z,22,FALSE)+VLOOKUP($A76,A:AL,31,FALSE)-50)),"-",(VLOOKUP($A76,'SegEnds_NonXtal_BW#'!$A:$Z,22,FALSE)+VLOOKUP($A76,A:AL,31,FALSE)-50))</f>
        <v>297</v>
      </c>
      <c r="AG76" s="3">
        <f>IF(ISERROR(VLOOKUP($A76,'SegEnds_NonXtal_BW#'!$A:$Z,23,FALSE)+VLOOKUP($A76,A:AL,34,FALSE)-50),"-",(VLOOKUP($A76,'SegEnds_NonXtal_BW#'!$A:$Z,23,FALSE)+VLOOKUP($A76,A:AL,34,FALSE)-50))</f>
        <v>305</v>
      </c>
      <c r="AH76" s="3">
        <v>327</v>
      </c>
      <c r="AI76" s="3">
        <f>IF(ISERROR((VLOOKUP($A76,'SegEnds_NonXtal_BW#'!$A:$Z,24,FALSE)+VLOOKUP($A76,A:AL,34,FALSE)-50)),"-",(VLOOKUP($A76,'SegEnds_NonXtal_BW#'!$A:$Z,24,FALSE)+VLOOKUP($A76,A:AL,34,FALSE)-50))</f>
        <v>333</v>
      </c>
      <c r="AJ76" s="3">
        <f>IF(ISERROR(VLOOKUP($A76,'SegEnds_NonXtal_BW#'!$A:$Z,25,FALSE)+VLOOKUP($A76,A:AL,37,FALSE)-50),"-",(VLOOKUP($A76,'SegEnds_NonXtal_BW#'!$A:$Z,25,FALSE)+VLOOKUP($A76,A:AL,37,FALSE)-50))</f>
        <v>334</v>
      </c>
      <c r="AK76" s="3">
        <v>337</v>
      </c>
      <c r="AL76" s="3">
        <f>IF(ISERROR((VLOOKUP($A76,'SegEnds_NonXtal_BW#'!$A:$Z,26,FALSE)+VLOOKUP($A76,A:AL,37,FALSE)-50)),"-",(VLOOKUP($A76,'SegEnds_NonXtal_BW#'!$A:$Z,26,FALSE)+VLOOKUP($A76,A:AL,37,FALSE)-50))</f>
        <v>347</v>
      </c>
      <c r="AM76" s="28" t="str">
        <f>VLOOKUP(A76,Classification!A:B,2,FALSE)</f>
        <v>A</v>
      </c>
      <c r="AN76" s="28" t="b">
        <f t="shared" si="55"/>
        <v>1</v>
      </c>
      <c r="AO76" s="3" t="str">
        <f>IF(ISERROR(MATCH(A76,'SegEnds_Xtal_Prot#'!B:B, 0)), "NoXtal", "Xtal")</f>
        <v>NoXtal</v>
      </c>
      <c r="AP76" s="3">
        <f t="shared" si="39"/>
        <v>1</v>
      </c>
      <c r="AQ76" s="3">
        <f t="shared" si="40"/>
        <v>1</v>
      </c>
      <c r="AR76" s="3">
        <f t="shared" si="41"/>
        <v>2</v>
      </c>
      <c r="AS76" s="3">
        <f t="shared" si="42"/>
        <v>1</v>
      </c>
      <c r="AT76" s="3">
        <f t="shared" si="43"/>
        <v>1</v>
      </c>
      <c r="AU76" s="3">
        <f t="shared" si="44"/>
        <v>1</v>
      </c>
      <c r="AV76" s="3">
        <f t="shared" si="45"/>
        <v>17</v>
      </c>
      <c r="AW76" s="3">
        <f t="shared" si="46"/>
        <v>2</v>
      </c>
      <c r="AX76" s="3">
        <f t="shared" si="47"/>
        <v>6</v>
      </c>
      <c r="AY76" s="3">
        <f t="shared" si="48"/>
        <v>8</v>
      </c>
      <c r="AZ76" s="3">
        <f t="shared" si="49"/>
        <v>1</v>
      </c>
      <c r="BA76" s="3">
        <f>IF(ISERROR(LEN(VLOOKUP(A76,Seqs!A:E,2,FALSE))-AL76),"-",LEN(VLOOKUP(A76,Seqs!A:E,2,FALSE))-AL76)</f>
        <v>52</v>
      </c>
      <c r="BB76" s="16">
        <f t="shared" si="50"/>
        <v>28</v>
      </c>
      <c r="BC76" s="9">
        <f t="shared" si="51"/>
        <v>20</v>
      </c>
      <c r="BD76" s="3">
        <f t="shared" si="52"/>
        <v>28</v>
      </c>
      <c r="BE76" s="3">
        <f t="shared" si="53"/>
        <v>57</v>
      </c>
    </row>
    <row r="77" spans="1:58" s="3" customFormat="1" x14ac:dyDescent="0.2">
      <c r="A77" s="3" t="s">
        <v>164</v>
      </c>
      <c r="B77" s="3" t="str">
        <f>LOWER(VLOOKUP(A77,Xtal_Templ!A:B,2,FALSE))</f>
        <v>c5ar1_human</v>
      </c>
      <c r="C77" s="3">
        <f>VLOOKUP($A77,'SegEnds_NonXtal_BW#'!$A:$Z,3,FALSE)+D77-50</f>
        <v>20</v>
      </c>
      <c r="D77" s="3">
        <v>41</v>
      </c>
      <c r="E77" s="3">
        <f>IF(ISERROR(VLOOKUP($A77,'SegEnds_NonXtal_BW#'!$A:$Z,4,FALSE)+VLOOKUP($A77,A:AL,4,FALSE)-50),"-",(VLOOKUP($A77,'SegEnds_NonXtal_BW#'!$A:$Z,4,FALSE)+VLOOKUP($A77,A:AL,4,FALSE)-50))</f>
        <v>51</v>
      </c>
      <c r="F77" s="3" t="str">
        <f>IF(ISERROR(VLOOKUP($A77,'SegEnds_NonXtal_BW#'!$A:$Z,5,FALSE)+VLOOKUP($A77,A:AL,7,FALSE)-50),"-",(VLOOKUP($A77,'SegEnds_NonXtal_BW#'!$A:$Z,5,FALSE)+VLOOKUP($A77,A:AL,7,FALSE)-50))</f>
        <v>-</v>
      </c>
      <c r="G77" s="3" t="s">
        <v>23</v>
      </c>
      <c r="H77" s="3" t="str">
        <f>IF(ISERROR(VLOOKUP($A77,'SegEnds_NonXtal_BW#'!$A:$Z,6,FALSE)+VLOOKUP($A77,A:AL,7,FALSE)-50),"-",(VLOOKUP($A77,'SegEnds_NonXtal_BW#'!$A:$Z,6,FALSE)+VLOOKUP($A77,A:AL,7,FALSE)-50))</f>
        <v>-</v>
      </c>
      <c r="I77" s="3">
        <f>VLOOKUP($A77,'SegEnds_NonXtal_BW#'!$A:$Z,7,FALSE)+J77-50</f>
        <v>55</v>
      </c>
      <c r="J77" s="3">
        <v>68</v>
      </c>
      <c r="K77" s="3">
        <f>VLOOKUP($A77,'SegEnds_NonXtal_BW#'!$A:$Z,8,FALSE)+VLOOKUP($A77,A:AL,10,FALSE)-50</f>
        <v>85</v>
      </c>
      <c r="L77" s="3">
        <f t="shared" si="56"/>
        <v>87</v>
      </c>
      <c r="M77" s="3">
        <v>88</v>
      </c>
      <c r="N77" s="3">
        <f t="shared" si="57"/>
        <v>90</v>
      </c>
      <c r="O77" s="3">
        <f t="shared" si="37"/>
        <v>91</v>
      </c>
      <c r="P77" s="3">
        <v>120</v>
      </c>
      <c r="Q77" s="3">
        <f>VLOOKUP($A77,'SegEnds_NonXtal_BW#'!$A:$Z,12,FALSE)+VLOOKUP($A77,A:AL,16,FALSE)-50</f>
        <v>126</v>
      </c>
      <c r="R77" s="3">
        <f>IF(ISERROR(VLOOKUP($A77,'SegEnds_NonXtal_BW#'!$A:$Z,13,FALSE)+VLOOKUP($A77,A:AL,19,FALSE)-50),"-",VLOOKUP($A77,'SegEnds_NonXtal_BW#'!$A:$Z,13,FALSE)+VLOOKUP($A77,A:AL,19,FALSE)-50)</f>
        <v>127</v>
      </c>
      <c r="S77" s="3">
        <v>127</v>
      </c>
      <c r="T77" s="100">
        <f>IF(ISERROR(VLOOKUP($A77,'SegEnds_NonXtal_BW#'!$A:$Z,14,FALSE)+VLOOKUP($A77,A:AL,19,FALSE)-50),"-",(VLOOKUP($A77,'SegEnds_NonXtal_BW#'!$A:$Z,14,FALSE)+VLOOKUP($A77,A:AL,19,FALSE)-50))</f>
        <v>134</v>
      </c>
      <c r="U77" s="9">
        <f>IF(ISERROR(VLOOKUP($A77,'SegEnds_NonXtal_BW#'!$A:$Z,15,FALSE)+VLOOKUP($A77,A:AL,22,FALSE)-50),"-",VLOOKUP($A77,'SegEnds_NonXtal_BW#'!$A:$Z,15,FALSE)+VLOOKUP($A77,A:AL,22,FALSE)-50)</f>
        <v>135</v>
      </c>
      <c r="V77" s="3">
        <v>147</v>
      </c>
      <c r="W77" s="3">
        <f>IF(ISERROR(VLOOKUP($A77,'SegEnds_NonXtal_BW#'!$A:$Z,16,FALSE)+VLOOKUP($A77,A:AL,22,FALSE)-50),"-",(VLOOKUP($A77,'SegEnds_NonXtal_BW#'!$A:$Z,16,FALSE)+VLOOKUP($A77,A:AL,22,FALSE)-50))</f>
        <v>161</v>
      </c>
      <c r="X77" s="3">
        <f>IF(ISERROR(VLOOKUP($A77,'SegEnds_NonXtal_BW#'!$A:$Z,17,FALSE)+VLOOKUP($A77,A:AL,25,FALSE)-50),"-",(VLOOKUP($A77,'SegEnds_NonXtal_BW#'!$A:$Z,17,FALSE)+VLOOKUP($A77,A:AL,25,FALSE)-50))</f>
        <v>172</v>
      </c>
      <c r="Y77" s="3">
        <v>172</v>
      </c>
      <c r="Z77" s="3">
        <f t="shared" si="38"/>
        <v>174</v>
      </c>
      <c r="AA77" s="3">
        <f>IF(ISERROR(VLOOKUP($A77,'SegEnds_NonXtal_BW#'!$A:$Z,19,FALSE)+VLOOKUP($A77,A:AL,28,FALSE)-50),"-",(VLOOKUP($A77,'SegEnds_NonXtal_BW#'!$A:$Z,19,FALSE)+VLOOKUP($A77,A:AL,28,FALSE)-50))</f>
        <v>329</v>
      </c>
      <c r="AB77" s="3">
        <v>348</v>
      </c>
      <c r="AC77" s="3">
        <f>IF(ISERROR((VLOOKUP($A77,'SegEnds_NonXtal_BW#'!$A:$Z,20,FALSE)+VLOOKUP($A77,A:AL,28,FALSE)-50)),"-",(VLOOKUP($A77,'SegEnds_NonXtal_BW#'!$A:$Z,20,FALSE)+VLOOKUP($A77,A:AL,28,FALSE)-50))</f>
        <v>366</v>
      </c>
      <c r="AD77" s="3">
        <f>IF(ISERROR(VLOOKUP($A77,'SegEnds_NonXtal_BW#'!$A:$Z,21,FALSE)+VLOOKUP($A77,A:AL,31,FALSE)-50),"-",(VLOOKUP($A77,'SegEnds_NonXtal_BW#'!$A:$Z,21,FALSE)+VLOOKUP($A77,A:AL,31,FALSE)-50))</f>
        <v>373</v>
      </c>
      <c r="AE77" s="3">
        <v>392</v>
      </c>
      <c r="AF77" s="3">
        <f>IF(ISERROR((VLOOKUP($A77,'SegEnds_NonXtal_BW#'!$A:$Z,22,FALSE)+VLOOKUP($A77,A:AL,31,FALSE)-50)),"-",(VLOOKUP($A77,'SegEnds_NonXtal_BW#'!$A:$Z,22,FALSE)+VLOOKUP($A77,A:AL,31,FALSE)-50))</f>
        <v>403</v>
      </c>
      <c r="AG77" s="3">
        <f>IF(ISERROR(VLOOKUP($A77,'SegEnds_NonXtal_BW#'!$A:$Z,23,FALSE)+VLOOKUP($A77,A:AL,34,FALSE)-50),"-",(VLOOKUP($A77,'SegEnds_NonXtal_BW#'!$A:$Z,23,FALSE)+VLOOKUP($A77,A:AL,34,FALSE)-50))</f>
        <v>407</v>
      </c>
      <c r="AH77" s="3">
        <v>432</v>
      </c>
      <c r="AI77" s="3">
        <f>IF(ISERROR((VLOOKUP($A77,'SegEnds_NonXtal_BW#'!$A:$Z,24,FALSE)+VLOOKUP($A77,A:AL,34,FALSE)-50)),"-",(VLOOKUP($A77,'SegEnds_NonXtal_BW#'!$A:$Z,24,FALSE)+VLOOKUP($A77,A:AL,34,FALSE)-50))</f>
        <v>438</v>
      </c>
      <c r="AJ77" s="3">
        <f>IF(ISERROR(VLOOKUP($A77,'SegEnds_NonXtal_BW#'!$A:$Z,25,FALSE)+VLOOKUP($A77,A:AL,37,FALSE)-50),"-",(VLOOKUP($A77,'SegEnds_NonXtal_BW#'!$A:$Z,25,FALSE)+VLOOKUP($A77,A:AL,37,FALSE)-50))</f>
        <v>439</v>
      </c>
      <c r="AK77" s="3">
        <v>442</v>
      </c>
      <c r="AL77" s="3">
        <f>IF(ISERROR((VLOOKUP($A77,'SegEnds_NonXtal_BW#'!$A:$Z,26,FALSE)+VLOOKUP($A77,A:AL,37,FALSE)-50)),"-",(VLOOKUP($A77,'SegEnds_NonXtal_BW#'!$A:$Z,26,FALSE)+VLOOKUP($A77,A:AL,37,FALSE)-50))</f>
        <v>448</v>
      </c>
      <c r="AM77" s="28" t="str">
        <f>VLOOKUP(A77,Classification!A:B,2,FALSE)</f>
        <v>A</v>
      </c>
      <c r="AN77" s="28" t="b">
        <f t="shared" si="55"/>
        <v>1</v>
      </c>
      <c r="AO77" s="3" t="str">
        <f>IF(ISERROR(MATCH(A77,'SegEnds_Xtal_Prot#'!B:B, 0)), "NoXtal", "Xtal")</f>
        <v>NoXtal</v>
      </c>
      <c r="AP77" s="3" t="str">
        <f t="shared" si="39"/>
        <v>-</v>
      </c>
      <c r="AQ77" s="3" t="str">
        <f t="shared" si="40"/>
        <v>-</v>
      </c>
      <c r="AR77" s="3">
        <f t="shared" si="41"/>
        <v>2</v>
      </c>
      <c r="AS77" s="3">
        <f t="shared" si="42"/>
        <v>1</v>
      </c>
      <c r="AT77" s="3">
        <f t="shared" si="43"/>
        <v>1</v>
      </c>
      <c r="AU77" s="3">
        <f t="shared" si="44"/>
        <v>1</v>
      </c>
      <c r="AV77" s="3">
        <f t="shared" si="45"/>
        <v>11</v>
      </c>
      <c r="AW77" s="3">
        <f t="shared" si="46"/>
        <v>155</v>
      </c>
      <c r="AX77" s="3">
        <f t="shared" si="47"/>
        <v>7</v>
      </c>
      <c r="AY77" s="3">
        <f t="shared" si="48"/>
        <v>4</v>
      </c>
      <c r="AZ77" s="3">
        <f t="shared" si="49"/>
        <v>1</v>
      </c>
      <c r="BA77" s="3">
        <f>IF(ISERROR(LEN(VLOOKUP(A77,Seqs!A:E,2,FALSE))-AL77),"-",LEN(VLOOKUP(A77,Seqs!A:E,2,FALSE))-AL77)</f>
        <v>34</v>
      </c>
      <c r="BB77" s="16">
        <f t="shared" si="50"/>
        <v>27</v>
      </c>
      <c r="BC77" s="9">
        <f t="shared" si="51"/>
        <v>20</v>
      </c>
      <c r="BD77" s="3">
        <f t="shared" si="52"/>
        <v>27</v>
      </c>
      <c r="BE77" s="3">
        <f t="shared" si="53"/>
        <v>44</v>
      </c>
    </row>
    <row r="78" spans="1:58" s="3" customFormat="1" x14ac:dyDescent="0.2">
      <c r="A78" s="3" t="s">
        <v>165</v>
      </c>
      <c r="B78" s="3" t="str">
        <f>LOWER(VLOOKUP(A78,Xtal_Templ!A:B,2,FALSE))</f>
        <v>c5ar1_human</v>
      </c>
      <c r="C78" s="3">
        <f>VLOOKUP($A78,'SegEnds_NonXtal_BW#'!$A:$Z,3,FALSE)+D78-50</f>
        <v>34</v>
      </c>
      <c r="D78" s="3">
        <v>55</v>
      </c>
      <c r="E78" s="3">
        <f>IF(ISERROR(VLOOKUP($A78,'SegEnds_NonXtal_BW#'!$A:$Z,4,FALSE)+VLOOKUP($A78,A:AL,4,FALSE)-50),"-",(VLOOKUP($A78,'SegEnds_NonXtal_BW#'!$A:$Z,4,FALSE)+VLOOKUP($A78,A:AL,4,FALSE)-50))</f>
        <v>65</v>
      </c>
      <c r="F78" s="3" t="str">
        <f>IF(ISERROR(VLOOKUP($A78,'SegEnds_NonXtal_BW#'!$A:$Z,5,FALSE)+VLOOKUP($A78,A:AL,7,FALSE)-50),"-",(VLOOKUP($A78,'SegEnds_NonXtal_BW#'!$A:$Z,5,FALSE)+VLOOKUP($A78,A:AL,7,FALSE)-50))</f>
        <v>-</v>
      </c>
      <c r="G78" s="3" t="s">
        <v>23</v>
      </c>
      <c r="H78" s="3" t="str">
        <f>IF(ISERROR(VLOOKUP($A78,'SegEnds_NonXtal_BW#'!$A:$Z,6,FALSE)+VLOOKUP($A78,A:AL,7,FALSE)-50),"-",(VLOOKUP($A78,'SegEnds_NonXtal_BW#'!$A:$Z,6,FALSE)+VLOOKUP($A78,A:AL,7,FALSE)-50))</f>
        <v>-</v>
      </c>
      <c r="I78" s="3">
        <f>VLOOKUP($A78,'SegEnds_NonXtal_BW#'!$A:$Z,7,FALSE)+J78-50</f>
        <v>69</v>
      </c>
      <c r="J78" s="3">
        <v>82</v>
      </c>
      <c r="K78" s="3">
        <f>VLOOKUP($A78,'SegEnds_NonXtal_BW#'!$A:$Z,8,FALSE)+VLOOKUP($A78,A:AL,10,FALSE)-50</f>
        <v>99</v>
      </c>
      <c r="L78" s="3">
        <f t="shared" si="56"/>
        <v>101</v>
      </c>
      <c r="M78" s="3">
        <v>102</v>
      </c>
      <c r="N78" s="3">
        <f t="shared" si="57"/>
        <v>104</v>
      </c>
      <c r="O78" s="3">
        <f t="shared" si="37"/>
        <v>105</v>
      </c>
      <c r="P78" s="3">
        <v>134</v>
      </c>
      <c r="Q78" s="3">
        <f>VLOOKUP($A78,'SegEnds_NonXtal_BW#'!$A:$Z,12,FALSE)+VLOOKUP($A78,A:AL,16,FALSE)-50</f>
        <v>140</v>
      </c>
      <c r="R78" s="3">
        <f>IF(ISERROR(VLOOKUP($A78,'SegEnds_NonXtal_BW#'!$A:$Z,13,FALSE)+VLOOKUP($A78,A:AL,19,FALSE)-50),"-",VLOOKUP($A78,'SegEnds_NonXtal_BW#'!$A:$Z,13,FALSE)+VLOOKUP($A78,A:AL,19,FALSE)-50)</f>
        <v>141</v>
      </c>
      <c r="S78" s="3">
        <v>141</v>
      </c>
      <c r="T78" s="100">
        <f>IF(ISERROR(VLOOKUP($A78,'SegEnds_NonXtal_BW#'!$A:$Z,14,FALSE)+VLOOKUP($A78,A:AL,19,FALSE)-50),"-",(VLOOKUP($A78,'SegEnds_NonXtal_BW#'!$A:$Z,14,FALSE)+VLOOKUP($A78,A:AL,19,FALSE)-50))</f>
        <v>148</v>
      </c>
      <c r="U78" s="9">
        <f>IF(ISERROR(VLOOKUP($A78,'SegEnds_NonXtal_BW#'!$A:$Z,15,FALSE)+VLOOKUP($A78,A:AL,22,FALSE)-50),"-",VLOOKUP($A78,'SegEnds_NonXtal_BW#'!$A:$Z,15,FALSE)+VLOOKUP($A78,A:AL,22,FALSE)-50)</f>
        <v>149</v>
      </c>
      <c r="V78" s="3">
        <v>161</v>
      </c>
      <c r="W78" s="3">
        <f>IF(ISERROR(VLOOKUP($A78,'SegEnds_NonXtal_BW#'!$A:$Z,16,FALSE)+VLOOKUP($A78,A:AL,22,FALSE)-50),"-",(VLOOKUP($A78,'SegEnds_NonXtal_BW#'!$A:$Z,16,FALSE)+VLOOKUP($A78,A:AL,22,FALSE)-50))</f>
        <v>175</v>
      </c>
      <c r="X78" s="3">
        <f>IF(ISERROR(VLOOKUP($A78,'SegEnds_NonXtal_BW#'!$A:$Z,17,FALSE)+VLOOKUP($A78,A:AL,25,FALSE)-50),"-",(VLOOKUP($A78,'SegEnds_NonXtal_BW#'!$A:$Z,17,FALSE)+VLOOKUP($A78,A:AL,25,FALSE)-50))</f>
        <v>188</v>
      </c>
      <c r="Y78" s="3">
        <v>188</v>
      </c>
      <c r="Z78" s="3">
        <f t="shared" si="38"/>
        <v>190</v>
      </c>
      <c r="AA78" s="3">
        <f>IF(ISERROR(VLOOKUP($A78,'SegEnds_NonXtal_BW#'!$A:$Z,19,FALSE)+VLOOKUP($A78,A:AL,28,FALSE)-50),"-",(VLOOKUP($A78,'SegEnds_NonXtal_BW#'!$A:$Z,19,FALSE)+VLOOKUP($A78,A:AL,28,FALSE)-50))</f>
        <v>195</v>
      </c>
      <c r="AB78" s="3">
        <v>214</v>
      </c>
      <c r="AC78" s="3">
        <f>IF(ISERROR((VLOOKUP($A78,'SegEnds_NonXtal_BW#'!$A:$Z,20,FALSE)+VLOOKUP($A78,A:AL,28,FALSE)-50)),"-",(VLOOKUP($A78,'SegEnds_NonXtal_BW#'!$A:$Z,20,FALSE)+VLOOKUP($A78,A:AL,28,FALSE)-50))</f>
        <v>232</v>
      </c>
      <c r="AD78" s="3">
        <f>IF(ISERROR(VLOOKUP($A78,'SegEnds_NonXtal_BW#'!$A:$Z,21,FALSE)+VLOOKUP($A78,A:AL,31,FALSE)-50),"-",(VLOOKUP($A78,'SegEnds_NonXtal_BW#'!$A:$Z,21,FALSE)+VLOOKUP($A78,A:AL,31,FALSE)-50))</f>
        <v>238</v>
      </c>
      <c r="AE78" s="3">
        <v>257</v>
      </c>
      <c r="AF78" s="3">
        <f>IF(ISERROR((VLOOKUP($A78,'SegEnds_NonXtal_BW#'!$A:$Z,22,FALSE)+VLOOKUP($A78,A:AL,31,FALSE)-50)),"-",(VLOOKUP($A78,'SegEnds_NonXtal_BW#'!$A:$Z,22,FALSE)+VLOOKUP($A78,A:AL,31,FALSE)-50))</f>
        <v>268</v>
      </c>
      <c r="AG78" s="3">
        <f>IF(ISERROR(VLOOKUP($A78,'SegEnds_NonXtal_BW#'!$A:$Z,23,FALSE)+VLOOKUP($A78,A:AL,34,FALSE)-50),"-",(VLOOKUP($A78,'SegEnds_NonXtal_BW#'!$A:$Z,23,FALSE)+VLOOKUP($A78,A:AL,34,FALSE)-50))</f>
        <v>272</v>
      </c>
      <c r="AH78" s="3">
        <v>297</v>
      </c>
      <c r="AI78" s="3">
        <f>IF(ISERROR((VLOOKUP($A78,'SegEnds_NonXtal_BW#'!$A:$Z,24,FALSE)+VLOOKUP($A78,A:AL,34,FALSE)-50)),"-",(VLOOKUP($A78,'SegEnds_NonXtal_BW#'!$A:$Z,24,FALSE)+VLOOKUP($A78,A:AL,34,FALSE)-50))</f>
        <v>303</v>
      </c>
      <c r="AJ78" s="3">
        <f>IF(ISERROR(VLOOKUP($A78,'SegEnds_NonXtal_BW#'!$A:$Z,25,FALSE)+VLOOKUP($A78,A:AL,37,FALSE)-50),"-",(VLOOKUP($A78,'SegEnds_NonXtal_BW#'!$A:$Z,25,FALSE)+VLOOKUP($A78,A:AL,37,FALSE)-50))</f>
        <v>304</v>
      </c>
      <c r="AK78" s="3">
        <v>307</v>
      </c>
      <c r="AL78" s="3">
        <f>IF(ISERROR((VLOOKUP($A78,'SegEnds_NonXtal_BW#'!$A:$Z,26,FALSE)+VLOOKUP($A78,A:AL,37,FALSE)-50)),"-",(VLOOKUP($A78,'SegEnds_NonXtal_BW#'!$A:$Z,26,FALSE)+VLOOKUP($A78,A:AL,37,FALSE)-50))</f>
        <v>313</v>
      </c>
      <c r="AM78" s="28" t="str">
        <f>VLOOKUP(A78,Classification!A:B,2,FALSE)</f>
        <v>A</v>
      </c>
      <c r="AN78" s="28" t="b">
        <f t="shared" si="55"/>
        <v>1</v>
      </c>
      <c r="AO78" s="3" t="str">
        <f>IF(ISERROR(MATCH(A78,'SegEnds_Xtal_Prot#'!B:B, 0)), "NoXtal", "Xtal")</f>
        <v>Xtal</v>
      </c>
      <c r="AP78" s="3" t="str">
        <f t="shared" si="39"/>
        <v>-</v>
      </c>
      <c r="AQ78" s="3" t="str">
        <f t="shared" si="40"/>
        <v>-</v>
      </c>
      <c r="AR78" s="3">
        <f t="shared" si="41"/>
        <v>2</v>
      </c>
      <c r="AS78" s="3">
        <f t="shared" si="42"/>
        <v>1</v>
      </c>
      <c r="AT78" s="3">
        <f t="shared" si="43"/>
        <v>1</v>
      </c>
      <c r="AU78" s="3">
        <f t="shared" si="44"/>
        <v>1</v>
      </c>
      <c r="AV78" s="3">
        <f t="shared" si="45"/>
        <v>13</v>
      </c>
      <c r="AW78" s="3">
        <f t="shared" si="46"/>
        <v>5</v>
      </c>
      <c r="AX78" s="3">
        <f t="shared" si="47"/>
        <v>6</v>
      </c>
      <c r="AY78" s="3">
        <f t="shared" si="48"/>
        <v>4</v>
      </c>
      <c r="AZ78" s="3">
        <f t="shared" si="49"/>
        <v>1</v>
      </c>
      <c r="BA78" s="3">
        <f>IF(ISERROR(LEN(VLOOKUP(A78,Seqs!A:E,2,FALSE))-AL78),"-",LEN(VLOOKUP(A78,Seqs!A:E,2,FALSE))-AL78)</f>
        <v>37</v>
      </c>
      <c r="BB78" s="16">
        <f t="shared" si="50"/>
        <v>27</v>
      </c>
      <c r="BC78" s="9">
        <f t="shared" si="51"/>
        <v>20</v>
      </c>
      <c r="BD78" s="3">
        <f t="shared" si="52"/>
        <v>27</v>
      </c>
      <c r="BE78" s="3">
        <f t="shared" si="53"/>
        <v>43</v>
      </c>
    </row>
    <row r="79" spans="1:58" s="3" customFormat="1" x14ac:dyDescent="0.2">
      <c r="A79" s="3" t="s">
        <v>166</v>
      </c>
      <c r="B79" s="3" t="str">
        <f>LOWER(VLOOKUP(A79,Xtal_Templ!A:B,2,FALSE))</f>
        <v>c5ar1_human</v>
      </c>
      <c r="C79" s="3">
        <f>VLOOKUP($A79,'SegEnds_NonXtal_BW#'!$A:$Z,3,FALSE)+D79-50</f>
        <v>32</v>
      </c>
      <c r="D79" s="3">
        <v>53</v>
      </c>
      <c r="E79" s="3">
        <f>IF(ISERROR(VLOOKUP($A79,'SegEnds_NonXtal_BW#'!$A:$Z,4,FALSE)+VLOOKUP($A79,A:AL,4,FALSE)-50),"-",(VLOOKUP($A79,'SegEnds_NonXtal_BW#'!$A:$Z,4,FALSE)+VLOOKUP($A79,A:AL,4,FALSE)-50))</f>
        <v>63</v>
      </c>
      <c r="F79" s="3" t="str">
        <f>IF(ISERROR(VLOOKUP($A79,'SegEnds_NonXtal_BW#'!$A:$Z,5,FALSE)+VLOOKUP($A79,A:AL,7,FALSE)-50),"-",(VLOOKUP($A79,'SegEnds_NonXtal_BW#'!$A:$Z,5,FALSE)+VLOOKUP($A79,A:AL,7,FALSE)-50))</f>
        <v>-</v>
      </c>
      <c r="G79" s="3" t="s">
        <v>23</v>
      </c>
      <c r="H79" s="3" t="str">
        <f>IF(ISERROR(VLOOKUP($A79,'SegEnds_NonXtal_BW#'!$A:$Z,6,FALSE)+VLOOKUP($A79,A:AL,7,FALSE)-50),"-",(VLOOKUP($A79,'SegEnds_NonXtal_BW#'!$A:$Z,6,FALSE)+VLOOKUP($A79,A:AL,7,FALSE)-50))</f>
        <v>-</v>
      </c>
      <c r="I79" s="3">
        <f>VLOOKUP($A79,'SegEnds_NonXtal_BW#'!$A:$Z,7,FALSE)+J79-50</f>
        <v>67</v>
      </c>
      <c r="J79" s="3">
        <v>80</v>
      </c>
      <c r="K79" s="3">
        <f>VLOOKUP($A79,'SegEnds_NonXtal_BW#'!$A:$Z,8,FALSE)+VLOOKUP($A79,A:AL,10,FALSE)-50</f>
        <v>97</v>
      </c>
      <c r="L79" s="3">
        <f t="shared" si="56"/>
        <v>99</v>
      </c>
      <c r="M79" s="3">
        <v>100</v>
      </c>
      <c r="N79" s="3">
        <f t="shared" si="57"/>
        <v>102</v>
      </c>
      <c r="O79" s="3">
        <f t="shared" si="37"/>
        <v>103</v>
      </c>
      <c r="P79" s="3">
        <v>132</v>
      </c>
      <c r="Q79" s="3">
        <f>VLOOKUP($A79,'SegEnds_NonXtal_BW#'!$A:$Z,12,FALSE)+VLOOKUP($A79,A:AL,16,FALSE)-50</f>
        <v>138</v>
      </c>
      <c r="R79" s="3">
        <f>IF(ISERROR(VLOOKUP($A79,'SegEnds_NonXtal_BW#'!$A:$Z,13,FALSE)+VLOOKUP($A79,A:AL,19,FALSE)-50),"-",VLOOKUP($A79,'SegEnds_NonXtal_BW#'!$A:$Z,13,FALSE)+VLOOKUP($A79,A:AL,19,FALSE)-50)</f>
        <v>139</v>
      </c>
      <c r="S79" s="3">
        <v>139</v>
      </c>
      <c r="T79" s="100">
        <f>IF(ISERROR(VLOOKUP($A79,'SegEnds_NonXtal_BW#'!$A:$Z,14,FALSE)+VLOOKUP($A79,A:AL,19,FALSE)-50),"-",(VLOOKUP($A79,'SegEnds_NonXtal_BW#'!$A:$Z,14,FALSE)+VLOOKUP($A79,A:AL,19,FALSE)-50))</f>
        <v>146</v>
      </c>
      <c r="U79" s="9">
        <f>IF(ISERROR(VLOOKUP($A79,'SegEnds_NonXtal_BW#'!$A:$Z,15,FALSE)+VLOOKUP($A79,A:AL,22,FALSE)-50),"-",VLOOKUP($A79,'SegEnds_NonXtal_BW#'!$A:$Z,15,FALSE)+VLOOKUP($A79,A:AL,22,FALSE)-50)</f>
        <v>147</v>
      </c>
      <c r="V79" s="3">
        <v>159</v>
      </c>
      <c r="W79" s="3">
        <f>IF(ISERROR(VLOOKUP($A79,'SegEnds_NonXtal_BW#'!$A:$Z,16,FALSE)+VLOOKUP($A79,A:AL,22,FALSE)-50),"-",(VLOOKUP($A79,'SegEnds_NonXtal_BW#'!$A:$Z,16,FALSE)+VLOOKUP($A79,A:AL,22,FALSE)-50))</f>
        <v>173</v>
      </c>
      <c r="X79" s="3">
        <f>IF(ISERROR(VLOOKUP($A79,'SegEnds_NonXtal_BW#'!$A:$Z,17,FALSE)+VLOOKUP($A79,A:AL,25,FALSE)-50),"-",(VLOOKUP($A79,'SegEnds_NonXtal_BW#'!$A:$Z,17,FALSE)+VLOOKUP($A79,A:AL,25,FALSE)-50))</f>
        <v>186</v>
      </c>
      <c r="Y79" s="3">
        <v>186</v>
      </c>
      <c r="Z79" s="3">
        <f t="shared" si="38"/>
        <v>188</v>
      </c>
      <c r="AA79" s="3">
        <f>IF(ISERROR(VLOOKUP($A79,'SegEnds_NonXtal_BW#'!$A:$Z,19,FALSE)+VLOOKUP($A79,A:AL,28,FALSE)-50),"-",(VLOOKUP($A79,'SegEnds_NonXtal_BW#'!$A:$Z,19,FALSE)+VLOOKUP($A79,A:AL,28,FALSE)-50))</f>
        <v>193</v>
      </c>
      <c r="AB79" s="3">
        <v>212</v>
      </c>
      <c r="AC79" s="3">
        <f>IF(ISERROR((VLOOKUP($A79,'SegEnds_NonXtal_BW#'!$A:$Z,20,FALSE)+VLOOKUP($A79,A:AL,28,FALSE)-50)),"-",(VLOOKUP($A79,'SegEnds_NonXtal_BW#'!$A:$Z,20,FALSE)+VLOOKUP($A79,A:AL,28,FALSE)-50))</f>
        <v>226</v>
      </c>
      <c r="AD79" s="3">
        <f>IF(ISERROR(VLOOKUP($A79,'SegEnds_NonXtal_BW#'!$A:$Z,21,FALSE)+VLOOKUP($A79,A:AL,31,FALSE)-50),"-",(VLOOKUP($A79,'SegEnds_NonXtal_BW#'!$A:$Z,21,FALSE)+VLOOKUP($A79,A:AL,31,FALSE)-50))</f>
        <v>229</v>
      </c>
      <c r="AE79" s="3">
        <v>248</v>
      </c>
      <c r="AF79" s="3">
        <f>IF(ISERROR((VLOOKUP($A79,'SegEnds_NonXtal_BW#'!$A:$Z,22,FALSE)+VLOOKUP($A79,A:AL,31,FALSE)-50)),"-",(VLOOKUP($A79,'SegEnds_NonXtal_BW#'!$A:$Z,22,FALSE)+VLOOKUP($A79,A:AL,31,FALSE)-50))</f>
        <v>259</v>
      </c>
      <c r="AG79" s="3">
        <f>IF(ISERROR(VLOOKUP($A79,'SegEnds_NonXtal_BW#'!$A:$Z,23,FALSE)+VLOOKUP($A79,A:AL,34,FALSE)-50),"-",(VLOOKUP($A79,'SegEnds_NonXtal_BW#'!$A:$Z,23,FALSE)+VLOOKUP($A79,A:AL,34,FALSE)-50))</f>
        <v>263</v>
      </c>
      <c r="AH79" s="3">
        <v>288</v>
      </c>
      <c r="AI79" s="3">
        <f>IF(ISERROR((VLOOKUP($A79,'SegEnds_NonXtal_BW#'!$A:$Z,24,FALSE)+VLOOKUP($A79,A:AL,34,FALSE)-50)),"-",(VLOOKUP($A79,'SegEnds_NonXtal_BW#'!$A:$Z,24,FALSE)+VLOOKUP($A79,A:AL,34,FALSE)-50))</f>
        <v>294</v>
      </c>
      <c r="AJ79" s="3">
        <f>IF(ISERROR(VLOOKUP($A79,'SegEnds_NonXtal_BW#'!$A:$Z,25,FALSE)+VLOOKUP($A79,A:AL,37,FALSE)-50),"-",(VLOOKUP($A79,'SegEnds_NonXtal_BW#'!$A:$Z,25,FALSE)+VLOOKUP($A79,A:AL,37,FALSE)-50))</f>
        <v>295</v>
      </c>
      <c r="AK79" s="3">
        <v>298</v>
      </c>
      <c r="AL79" s="3">
        <f>IF(ISERROR((VLOOKUP($A79,'SegEnds_NonXtal_BW#'!$A:$Z,26,FALSE)+VLOOKUP($A79,A:AL,37,FALSE)-50)),"-",(VLOOKUP($A79,'SegEnds_NonXtal_BW#'!$A:$Z,26,FALSE)+VLOOKUP($A79,A:AL,37,FALSE)-50))</f>
        <v>304</v>
      </c>
      <c r="AM79" s="28" t="str">
        <f>VLOOKUP(A79,Classification!A:B,2,FALSE)</f>
        <v>A</v>
      </c>
      <c r="AN79" s="28" t="b">
        <f t="shared" si="55"/>
        <v>1</v>
      </c>
      <c r="AO79" s="3" t="str">
        <f>IF(ISERROR(MATCH(A79,'SegEnds_Xtal_Prot#'!B:B, 0)), "NoXtal", "Xtal")</f>
        <v>NoXtal</v>
      </c>
      <c r="AP79" s="3" t="str">
        <f t="shared" si="39"/>
        <v>-</v>
      </c>
      <c r="AQ79" s="3" t="str">
        <f t="shared" si="40"/>
        <v>-</v>
      </c>
      <c r="AR79" s="3">
        <f t="shared" si="41"/>
        <v>2</v>
      </c>
      <c r="AS79" s="3">
        <f t="shared" si="42"/>
        <v>1</v>
      </c>
      <c r="AT79" s="3">
        <f t="shared" si="43"/>
        <v>1</v>
      </c>
      <c r="AU79" s="3">
        <f t="shared" si="44"/>
        <v>1</v>
      </c>
      <c r="AV79" s="3">
        <f t="shared" si="45"/>
        <v>13</v>
      </c>
      <c r="AW79" s="3">
        <f t="shared" si="46"/>
        <v>5</v>
      </c>
      <c r="AX79" s="3">
        <f t="shared" si="47"/>
        <v>3</v>
      </c>
      <c r="AY79" s="3">
        <f t="shared" si="48"/>
        <v>4</v>
      </c>
      <c r="AZ79" s="3">
        <f t="shared" si="49"/>
        <v>1</v>
      </c>
      <c r="BA79" s="3">
        <f>IF(ISERROR(LEN(VLOOKUP(A79,Seqs!A:E,2,FALSE))-AL79),"-",LEN(VLOOKUP(A79,Seqs!A:E,2,FALSE))-AL79)</f>
        <v>33</v>
      </c>
      <c r="BB79" s="16">
        <f t="shared" si="50"/>
        <v>27</v>
      </c>
      <c r="BC79" s="9">
        <f t="shared" si="51"/>
        <v>20</v>
      </c>
      <c r="BD79" s="3">
        <f t="shared" si="52"/>
        <v>27</v>
      </c>
      <c r="BE79" s="3">
        <f t="shared" si="53"/>
        <v>36</v>
      </c>
      <c r="BF79" s="3">
        <f>MIN(ABS(BE79-ICL3_classA!F2:F229))</f>
        <v>36</v>
      </c>
    </row>
    <row r="80" spans="1:58" s="3" customFormat="1" x14ac:dyDescent="0.2">
      <c r="A80" s="3" t="s">
        <v>167</v>
      </c>
      <c r="B80" s="3" t="str">
        <f>LOWER(VLOOKUP(A80,Xtal_Templ!A:B,2,FALSE))</f>
        <v>ox1r_human</v>
      </c>
      <c r="C80" s="3">
        <f>VLOOKUP($A80,'SegEnds_NonXtal_BW#'!$A:$Z,3,FALSE)+D80-50</f>
        <v>41</v>
      </c>
      <c r="D80" s="3">
        <v>59</v>
      </c>
      <c r="E80" s="3">
        <f>IF(ISERROR(VLOOKUP($A80,'SegEnds_NonXtal_BW#'!$A:$Z,4,FALSE)+VLOOKUP($A80,A:AL,4,FALSE)-50),"-",(VLOOKUP($A80,'SegEnds_NonXtal_BW#'!$A:$Z,4,FALSE)+VLOOKUP($A80,A:AL,4,FALSE)-50))</f>
        <v>69</v>
      </c>
      <c r="F80" s="3">
        <f t="shared" ref="F80:F86" si="59">G80-2</f>
        <v>70</v>
      </c>
      <c r="G80" s="3">
        <v>72</v>
      </c>
      <c r="H80" s="3">
        <f t="shared" ref="H80:I86" si="60">G80+1</f>
        <v>73</v>
      </c>
      <c r="I80" s="3">
        <f t="shared" si="60"/>
        <v>74</v>
      </c>
      <c r="J80" s="3">
        <v>87</v>
      </c>
      <c r="K80" s="3">
        <f>VLOOKUP($A80,'SegEnds_NonXtal_BW#'!$A:$Z,8,FALSE)+VLOOKUP($A80,A:AL,10,FALSE)-50</f>
        <v>104</v>
      </c>
      <c r="L80" s="3">
        <f t="shared" si="56"/>
        <v>106</v>
      </c>
      <c r="M80" s="3">
        <v>107</v>
      </c>
      <c r="N80" s="3">
        <f t="shared" si="57"/>
        <v>109</v>
      </c>
      <c r="O80" s="3">
        <f t="shared" si="37"/>
        <v>110</v>
      </c>
      <c r="P80" s="3">
        <v>139</v>
      </c>
      <c r="Q80" s="3">
        <f>VLOOKUP($A80,'SegEnds_NonXtal_BW#'!$A:$Z,12,FALSE)+VLOOKUP($A80,A:AL,16,FALSE)-50</f>
        <v>145</v>
      </c>
      <c r="R80" s="3">
        <f>IF(ISERROR(VLOOKUP($A80,'SegEnds_NonXtal_BW#'!$A:$Z,13,FALSE)+VLOOKUP($A80,A:AL,19,FALSE)-50),"-",VLOOKUP($A80,'SegEnds_NonXtal_BW#'!$A:$Z,13,FALSE)+VLOOKUP($A80,A:AL,19,FALSE)-50)</f>
        <v>146</v>
      </c>
      <c r="S80" s="3">
        <v>146</v>
      </c>
      <c r="T80" s="100">
        <f>IF(ISERROR(VLOOKUP($A80,'SegEnds_NonXtal_BW#'!$A:$Z,14,FALSE)+VLOOKUP($A80,A:AL,19,FALSE)-50),"-",(VLOOKUP($A80,'SegEnds_NonXtal_BW#'!$A:$Z,14,FALSE)+VLOOKUP($A80,A:AL,19,FALSE)-50))</f>
        <v>153</v>
      </c>
      <c r="U80" s="9">
        <f>IF(ISERROR(VLOOKUP($A80,'SegEnds_NonXtal_BW#'!$A:$Z,15,FALSE)+VLOOKUP($A80,A:AL,22,FALSE)-50),"-",VLOOKUP($A80,'SegEnds_NonXtal_BW#'!$A:$Z,15,FALSE)+VLOOKUP($A80,A:AL,22,FALSE)-50)</f>
        <v>154</v>
      </c>
      <c r="V80" s="3">
        <v>166</v>
      </c>
      <c r="W80" s="3">
        <f>IF(ISERROR(VLOOKUP($A80,'SegEnds_NonXtal_BW#'!$A:$Z,16,FALSE)+VLOOKUP($A80,A:AL,22,FALSE)-50),"-",(VLOOKUP($A80,'SegEnds_NonXtal_BW#'!$A:$Z,16,FALSE)+VLOOKUP($A80,A:AL,22,FALSE)-50))</f>
        <v>180</v>
      </c>
      <c r="X80" s="3">
        <f>IF(ISERROR(VLOOKUP($A80,'SegEnds_NonXtal_BW#'!$A:$Z,17,FALSE)+VLOOKUP($A80,A:AL,25,FALSE)-50),"-",(VLOOKUP($A80,'SegEnds_NonXtal_BW#'!$A:$Z,17,FALSE)+VLOOKUP($A80,A:AL,25,FALSE)-50))</f>
        <v>196</v>
      </c>
      <c r="Y80" s="3">
        <v>196</v>
      </c>
      <c r="Z80" s="3">
        <f t="shared" si="38"/>
        <v>198</v>
      </c>
      <c r="AA80" s="3">
        <f>IF(ISERROR(VLOOKUP($A80,'SegEnds_NonXtal_BW#'!$A:$Z,19,FALSE)+VLOOKUP($A80,A:AL,28,FALSE)-50),"-",(VLOOKUP($A80,'SegEnds_NonXtal_BW#'!$A:$Z,19,FALSE)+VLOOKUP($A80,A:AL,28,FALSE)-50))</f>
        <v>203</v>
      </c>
      <c r="AB80" s="3">
        <v>221</v>
      </c>
      <c r="AC80" s="3">
        <f>IF(ISERROR((VLOOKUP($A80,'SegEnds_NonXtal_BW#'!$A:$Z,20,FALSE)+VLOOKUP($A80,A:AL,28,FALSE)-50)),"-",(VLOOKUP($A80,'SegEnds_NonXtal_BW#'!$A:$Z,20,FALSE)+VLOOKUP($A80,A:AL,28,FALSE)-50))</f>
        <v>245</v>
      </c>
      <c r="AD80" s="3">
        <f>IF(ISERROR(VLOOKUP($A80,'SegEnds_NonXtal_BW#'!$A:$Z,21,FALSE)+VLOOKUP($A80,A:AL,31,FALSE)-50),"-",(VLOOKUP($A80,'SegEnds_NonXtal_BW#'!$A:$Z,21,FALSE)+VLOOKUP($A80,A:AL,31,FALSE)-50))</f>
        <v>302</v>
      </c>
      <c r="AE80" s="3">
        <v>328</v>
      </c>
      <c r="AF80" s="3">
        <f>IF(ISERROR((VLOOKUP($A80,'SegEnds_NonXtal_BW#'!$A:$Z,22,FALSE)+VLOOKUP($A80,A:AL,31,FALSE)-50)),"-",(VLOOKUP($A80,'SegEnds_NonXtal_BW#'!$A:$Z,22,FALSE)+VLOOKUP($A80,A:AL,31,FALSE)-50))</f>
        <v>339</v>
      </c>
      <c r="AG80" s="3">
        <f>IF(ISERROR(VLOOKUP($A80,'SegEnds_NonXtal_BW#'!$A:$Z,23,FALSE)+VLOOKUP($A80,A:AL,34,FALSE)-50),"-",(VLOOKUP($A80,'SegEnds_NonXtal_BW#'!$A:$Z,23,FALSE)+VLOOKUP($A80,A:AL,34,FALSE)-50))</f>
        <v>345</v>
      </c>
      <c r="AH80" s="3">
        <v>367</v>
      </c>
      <c r="AI80" s="3">
        <f>IF(ISERROR((VLOOKUP($A80,'SegEnds_NonXtal_BW#'!$A:$Z,24,FALSE)+VLOOKUP($A80,A:AL,34,FALSE)-50)),"-",(VLOOKUP($A80,'SegEnds_NonXtal_BW#'!$A:$Z,24,FALSE)+VLOOKUP($A80,A:AL,34,FALSE)-50))</f>
        <v>373</v>
      </c>
      <c r="AJ80" s="3">
        <f>IF(ISERROR(VLOOKUP($A80,'SegEnds_NonXtal_BW#'!$A:$Z,25,FALSE)+VLOOKUP($A80,A:AL,37,FALSE)-50),"-",(VLOOKUP($A80,'SegEnds_NonXtal_BW#'!$A:$Z,25,FALSE)+VLOOKUP($A80,A:AL,37,FALSE)-50))</f>
        <v>374</v>
      </c>
      <c r="AK80" s="3">
        <v>377</v>
      </c>
      <c r="AL80" s="3">
        <f>IF(ISERROR((VLOOKUP($A80,'SegEnds_NonXtal_BW#'!$A:$Z,26,FALSE)+VLOOKUP($A80,A:AL,37,FALSE)-50)),"-",(VLOOKUP($A80,'SegEnds_NonXtal_BW#'!$A:$Z,26,FALSE)+VLOOKUP($A80,A:AL,37,FALSE)-50))</f>
        <v>385</v>
      </c>
      <c r="AM80" s="28" t="str">
        <f>VLOOKUP(A80,Classification!A:B,2,FALSE)</f>
        <v>A</v>
      </c>
      <c r="AN80" s="28" t="b">
        <f t="shared" si="55"/>
        <v>1</v>
      </c>
      <c r="AO80" s="3" t="str">
        <f>IF(ISERROR(MATCH(A80,'SegEnds_Xtal_Prot#'!B:B, 0)), "NoXtal", "Xtal")</f>
        <v>NoXtal</v>
      </c>
      <c r="AP80" s="3">
        <f t="shared" si="39"/>
        <v>1</v>
      </c>
      <c r="AQ80" s="3">
        <f t="shared" si="40"/>
        <v>1</v>
      </c>
      <c r="AR80" s="3">
        <f t="shared" si="41"/>
        <v>2</v>
      </c>
      <c r="AS80" s="3">
        <f t="shared" si="42"/>
        <v>1</v>
      </c>
      <c r="AT80" s="3">
        <f t="shared" si="43"/>
        <v>1</v>
      </c>
      <c r="AU80" s="3">
        <f t="shared" si="44"/>
        <v>1</v>
      </c>
      <c r="AV80" s="3">
        <f t="shared" si="45"/>
        <v>16</v>
      </c>
      <c r="AW80" s="3">
        <f t="shared" si="46"/>
        <v>5</v>
      </c>
      <c r="AX80" s="3">
        <f t="shared" si="47"/>
        <v>57</v>
      </c>
      <c r="AY80" s="3">
        <f t="shared" si="48"/>
        <v>6</v>
      </c>
      <c r="AZ80" s="3">
        <f t="shared" si="49"/>
        <v>1</v>
      </c>
      <c r="BA80" s="3">
        <f>IF(ISERROR(LEN(VLOOKUP(A80,Seqs!A:E,2,FALSE))-AL80),"-",LEN(VLOOKUP(A80,Seqs!A:E,2,FALSE))-AL80)</f>
        <v>43</v>
      </c>
      <c r="BB80" s="16">
        <f t="shared" si="50"/>
        <v>28</v>
      </c>
      <c r="BC80" s="9">
        <f t="shared" si="51"/>
        <v>20</v>
      </c>
      <c r="BD80" s="3">
        <f t="shared" si="52"/>
        <v>28</v>
      </c>
      <c r="BE80" s="3">
        <f t="shared" si="53"/>
        <v>107</v>
      </c>
    </row>
    <row r="81" spans="1:58" s="3" customFormat="1" x14ac:dyDescent="0.2">
      <c r="A81" s="3" t="s">
        <v>168</v>
      </c>
      <c r="B81" s="3" t="str">
        <f>LOWER(VLOOKUP(A81,Xtal_Templ!A:B,2,FALSE))</f>
        <v>ccr5_human</v>
      </c>
      <c r="C81" s="3">
        <f>VLOOKUP($A81,'SegEnds_NonXtal_BW#'!$A:$Z,3,FALSE)+D81-50</f>
        <v>26</v>
      </c>
      <c r="D81" s="3">
        <v>52</v>
      </c>
      <c r="E81" s="3">
        <f>IF(ISERROR(VLOOKUP($A81,'SegEnds_NonXtal_BW#'!$A:$Z,4,FALSE)+VLOOKUP($A81,A:AL,4,FALSE)-50),"-",(VLOOKUP($A81,'SegEnds_NonXtal_BW#'!$A:$Z,4,FALSE)+VLOOKUP($A81,A:AL,4,FALSE)-50))</f>
        <v>62</v>
      </c>
      <c r="F81" s="3">
        <f t="shared" si="59"/>
        <v>63</v>
      </c>
      <c r="G81" s="3">
        <v>65</v>
      </c>
      <c r="H81" s="3">
        <f t="shared" si="60"/>
        <v>66</v>
      </c>
      <c r="I81" s="3">
        <f t="shared" si="60"/>
        <v>67</v>
      </c>
      <c r="J81" s="3">
        <v>80</v>
      </c>
      <c r="K81" s="3">
        <f>VLOOKUP($A81,'SegEnds_NonXtal_BW#'!$A:$Z,8,FALSE)+VLOOKUP($A81,A:AL,10,FALSE)-50</f>
        <v>96</v>
      </c>
      <c r="L81" s="3">
        <f t="shared" si="56"/>
        <v>98</v>
      </c>
      <c r="M81" s="3">
        <v>99</v>
      </c>
      <c r="N81" s="3">
        <f t="shared" si="57"/>
        <v>101</v>
      </c>
      <c r="O81" s="3">
        <f t="shared" si="37"/>
        <v>102</v>
      </c>
      <c r="P81" s="3">
        <v>131</v>
      </c>
      <c r="Q81" s="3">
        <f>VLOOKUP($A81,'SegEnds_NonXtal_BW#'!$A:$Z,12,FALSE)+VLOOKUP($A81,A:AL,16,FALSE)-50</f>
        <v>137</v>
      </c>
      <c r="R81" s="3">
        <f>IF(ISERROR(VLOOKUP($A81,'SegEnds_NonXtal_BW#'!$A:$Z,13,FALSE)+VLOOKUP($A81,A:AL,19,FALSE)-50),"-",VLOOKUP($A81,'SegEnds_NonXtal_BW#'!$A:$Z,13,FALSE)+VLOOKUP($A81,A:AL,19,FALSE)-50)</f>
        <v>138</v>
      </c>
      <c r="S81" s="3">
        <v>138</v>
      </c>
      <c r="T81" s="100">
        <f>IF(ISERROR(VLOOKUP($A81,'SegEnds_NonXtal_BW#'!$A:$Z,14,FALSE)+VLOOKUP($A81,A:AL,19,FALSE)-50),"-",(VLOOKUP($A81,'SegEnds_NonXtal_BW#'!$A:$Z,14,FALSE)+VLOOKUP($A81,A:AL,19,FALSE)-50))</f>
        <v>145</v>
      </c>
      <c r="U81" s="9">
        <f>IF(ISERROR(VLOOKUP($A81,'SegEnds_NonXtal_BW#'!$A:$Z,15,FALSE)+VLOOKUP($A81,A:AL,22,FALSE)-50),"-",VLOOKUP($A81,'SegEnds_NonXtal_BW#'!$A:$Z,15,FALSE)+VLOOKUP($A81,A:AL,22,FALSE)-50)</f>
        <v>146</v>
      </c>
      <c r="V81" s="3">
        <v>158</v>
      </c>
      <c r="W81" s="3">
        <f>IF(ISERROR(VLOOKUP($A81,'SegEnds_NonXtal_BW#'!$A:$Z,16,FALSE)+VLOOKUP($A81,A:AL,22,FALSE)-50),"-",(VLOOKUP($A81,'SegEnds_NonXtal_BW#'!$A:$Z,16,FALSE)+VLOOKUP($A81,A:AL,22,FALSE)-50))</f>
        <v>172</v>
      </c>
      <c r="X81" s="3">
        <f>IF(ISERROR(VLOOKUP($A81,'SegEnds_NonXtal_BW#'!$A:$Z,17,FALSE)+VLOOKUP($A81,A:AL,25,FALSE)-50),"-",(VLOOKUP($A81,'SegEnds_NonXtal_BW#'!$A:$Z,17,FALSE)+VLOOKUP($A81,A:AL,25,FALSE)-50))</f>
        <v>183</v>
      </c>
      <c r="Y81" s="3">
        <v>183</v>
      </c>
      <c r="Z81" s="3">
        <f t="shared" si="38"/>
        <v>185</v>
      </c>
      <c r="AA81" s="3">
        <f>IF(ISERROR(VLOOKUP($A81,'SegEnds_NonXtal_BW#'!$A:$Z,19,FALSE)+VLOOKUP($A81,A:AL,28,FALSE)-50),"-",(VLOOKUP($A81,'SegEnds_NonXtal_BW#'!$A:$Z,19,FALSE)+VLOOKUP($A81,A:AL,28,FALSE)-50))</f>
        <v>191</v>
      </c>
      <c r="AB81" s="3">
        <v>211</v>
      </c>
      <c r="AC81" s="3">
        <f>IF(ISERROR((VLOOKUP($A81,'SegEnds_NonXtal_BW#'!$A:$Z,20,FALSE)+VLOOKUP($A81,A:AL,28,FALSE)-50)),"-",(VLOOKUP($A81,'SegEnds_NonXtal_BW#'!$A:$Z,20,FALSE)+VLOOKUP($A81,A:AL,28,FALSE)-50))</f>
        <v>229</v>
      </c>
      <c r="AD81" s="3">
        <f>IF(ISERROR(VLOOKUP($A81,'SegEnds_NonXtal_BW#'!$A:$Z,21,FALSE)+VLOOKUP($A81,A:AL,31,FALSE)-50),"-",(VLOOKUP($A81,'SegEnds_NonXtal_BW#'!$A:$Z,21,FALSE)+VLOOKUP($A81,A:AL,31,FALSE)-50))</f>
        <v>234</v>
      </c>
      <c r="AE81" s="3">
        <v>254</v>
      </c>
      <c r="AF81" s="3">
        <f>IF(ISERROR((VLOOKUP($A81,'SegEnds_NonXtal_BW#'!$A:$Z,22,FALSE)+VLOOKUP($A81,A:AL,31,FALSE)-50)),"-",(VLOOKUP($A81,'SegEnds_NonXtal_BW#'!$A:$Z,22,FALSE)+VLOOKUP($A81,A:AL,31,FALSE)-50))</f>
        <v>269</v>
      </c>
      <c r="AG81" s="3">
        <f>IF(ISERROR(VLOOKUP($A81,'SegEnds_NonXtal_BW#'!$A:$Z,23,FALSE)+VLOOKUP($A81,A:AL,34,FALSE)-50),"-",(VLOOKUP($A81,'SegEnds_NonXtal_BW#'!$A:$Z,23,FALSE)+VLOOKUP($A81,A:AL,34,FALSE)-50))</f>
        <v>272</v>
      </c>
      <c r="AH81" s="3">
        <v>298</v>
      </c>
      <c r="AI81" s="3">
        <f>IF(ISERROR((VLOOKUP($A81,'SegEnds_NonXtal_BW#'!$A:$Z,24,FALSE)+VLOOKUP($A81,A:AL,34,FALSE)-50)),"-",(VLOOKUP($A81,'SegEnds_NonXtal_BW#'!$A:$Z,24,FALSE)+VLOOKUP($A81,A:AL,34,FALSE)-50))</f>
        <v>304</v>
      </c>
      <c r="AJ81" s="3">
        <f>IF(ISERROR(VLOOKUP($A81,'SegEnds_NonXtal_BW#'!$A:$Z,25,FALSE)+VLOOKUP($A81,A:AL,37,FALSE)-50),"-",(VLOOKUP($A81,'SegEnds_NonXtal_BW#'!$A:$Z,25,FALSE)+VLOOKUP($A81,A:AL,37,FALSE)-50))</f>
        <v>305</v>
      </c>
      <c r="AK81" s="3">
        <v>308</v>
      </c>
      <c r="AL81" s="3">
        <f>IF(ISERROR((VLOOKUP($A81,'SegEnds_NonXtal_BW#'!$A:$Z,26,FALSE)+VLOOKUP($A81,A:AL,37,FALSE)-50)),"-",(VLOOKUP($A81,'SegEnds_NonXtal_BW#'!$A:$Z,26,FALSE)+VLOOKUP($A81,A:AL,37,FALSE)-50))</f>
        <v>317</v>
      </c>
      <c r="AM81" s="28" t="str">
        <f>VLOOKUP(A81,Classification!A:B,2,FALSE)</f>
        <v>A</v>
      </c>
      <c r="AN81" s="28" t="b">
        <f t="shared" si="55"/>
        <v>1</v>
      </c>
      <c r="AO81" s="3" t="str">
        <f>IF(ISERROR(MATCH(A81,'SegEnds_Xtal_Prot#'!B:B, 0)), "NoXtal", "Xtal")</f>
        <v>NoXtal</v>
      </c>
      <c r="AP81" s="3">
        <f t="shared" si="39"/>
        <v>1</v>
      </c>
      <c r="AQ81" s="3">
        <f t="shared" si="40"/>
        <v>1</v>
      </c>
      <c r="AR81" s="3">
        <f t="shared" si="41"/>
        <v>2</v>
      </c>
      <c r="AS81" s="3">
        <f t="shared" si="42"/>
        <v>1</v>
      </c>
      <c r="AT81" s="3">
        <f t="shared" si="43"/>
        <v>1</v>
      </c>
      <c r="AU81" s="3">
        <f t="shared" si="44"/>
        <v>1</v>
      </c>
      <c r="AV81" s="3">
        <f t="shared" si="45"/>
        <v>11</v>
      </c>
      <c r="AW81" s="3">
        <f t="shared" si="46"/>
        <v>6</v>
      </c>
      <c r="AX81" s="3">
        <f t="shared" si="47"/>
        <v>5</v>
      </c>
      <c r="AY81" s="3">
        <f t="shared" si="48"/>
        <v>3</v>
      </c>
      <c r="AZ81" s="3">
        <f t="shared" si="49"/>
        <v>1</v>
      </c>
      <c r="BA81" s="3">
        <f>IF(ISERROR(LEN(VLOOKUP(A81,Seqs!A:E,2,FALSE))-AL81),"-",LEN(VLOOKUP(A81,Seqs!A:E,2,FALSE))-AL81)</f>
        <v>38</v>
      </c>
      <c r="BB81" s="16">
        <f t="shared" si="50"/>
        <v>28</v>
      </c>
      <c r="BC81" s="9">
        <f t="shared" si="51"/>
        <v>20</v>
      </c>
      <c r="BD81" s="3">
        <f t="shared" si="52"/>
        <v>28</v>
      </c>
      <c r="BE81" s="3">
        <f t="shared" si="53"/>
        <v>43</v>
      </c>
    </row>
    <row r="82" spans="1:58" s="3" customFormat="1" x14ac:dyDescent="0.2">
      <c r="A82" s="3" t="s">
        <v>170</v>
      </c>
      <c r="B82" s="3" t="str">
        <f>LOWER(VLOOKUP(A82,Xtal_Templ!A:B,2,FALSE))</f>
        <v>ccr2_human</v>
      </c>
      <c r="C82" s="3">
        <f>VLOOKUP($A82,'SegEnds_NonXtal_BW#'!$A:$Z,3,FALSE)+D82-50</f>
        <v>37</v>
      </c>
      <c r="D82" s="3">
        <v>60</v>
      </c>
      <c r="E82" s="3">
        <f>IF(ISERROR(VLOOKUP($A82,'SegEnds_NonXtal_BW#'!$A:$Z,4,FALSE)+VLOOKUP($A82,A:AL,4,FALSE)-50),"-",(VLOOKUP($A82,'SegEnds_NonXtal_BW#'!$A:$Z,4,FALSE)+VLOOKUP($A82,A:AL,4,FALSE)-50))</f>
        <v>70</v>
      </c>
      <c r="F82" s="3">
        <f t="shared" si="59"/>
        <v>71</v>
      </c>
      <c r="G82" s="3">
        <v>73</v>
      </c>
      <c r="H82" s="3">
        <f t="shared" si="60"/>
        <v>74</v>
      </c>
      <c r="I82" s="3">
        <f t="shared" si="60"/>
        <v>75</v>
      </c>
      <c r="J82" s="3">
        <v>88</v>
      </c>
      <c r="K82" s="3">
        <f>VLOOKUP($A82,'SegEnds_NonXtal_BW#'!$A:$Z,8,FALSE)+VLOOKUP($A82,A:AL,10,FALSE)-50</f>
        <v>104</v>
      </c>
      <c r="L82" s="3">
        <f t="shared" si="56"/>
        <v>105</v>
      </c>
      <c r="M82" s="3">
        <v>106</v>
      </c>
      <c r="N82" s="3">
        <f t="shared" si="57"/>
        <v>108</v>
      </c>
      <c r="O82" s="3">
        <f t="shared" si="37"/>
        <v>109</v>
      </c>
      <c r="P82" s="3">
        <v>138</v>
      </c>
      <c r="Q82" s="3">
        <f>VLOOKUP($A82,'SegEnds_NonXtal_BW#'!$A:$Z,12,FALSE)+VLOOKUP($A82,A:AL,16,FALSE)-50</f>
        <v>144</v>
      </c>
      <c r="R82" s="3">
        <f>IF(ISERROR(VLOOKUP($A82,'SegEnds_NonXtal_BW#'!$A:$Z,13,FALSE)+VLOOKUP($A82,A:AL,19,FALSE)-50),"-",VLOOKUP($A82,'SegEnds_NonXtal_BW#'!$A:$Z,13,FALSE)+VLOOKUP($A82,A:AL,19,FALSE)-50)</f>
        <v>145</v>
      </c>
      <c r="S82" s="3">
        <v>145</v>
      </c>
      <c r="T82" s="100">
        <f>IF(ISERROR(VLOOKUP($A82,'SegEnds_NonXtal_BW#'!$A:$Z,14,FALSE)+VLOOKUP($A82,A:AL,19,FALSE)-50),"-",(VLOOKUP($A82,'SegEnds_NonXtal_BW#'!$A:$Z,14,FALSE)+VLOOKUP($A82,A:AL,19,FALSE)-50))</f>
        <v>152</v>
      </c>
      <c r="U82" s="9">
        <f>IF(ISERROR(VLOOKUP($A82,'SegEnds_NonXtal_BW#'!$A:$Z,15,FALSE)+VLOOKUP($A82,A:AL,22,FALSE)-50),"-",VLOOKUP($A82,'SegEnds_NonXtal_BW#'!$A:$Z,15,FALSE)+VLOOKUP($A82,A:AL,22,FALSE)-50)</f>
        <v>153</v>
      </c>
      <c r="V82" s="3">
        <v>165</v>
      </c>
      <c r="W82" s="3">
        <f>IF(ISERROR(VLOOKUP($A82,'SegEnds_NonXtal_BW#'!$A:$Z,16,FALSE)+VLOOKUP($A82,A:AL,22,FALSE)-50),"-",(VLOOKUP($A82,'SegEnds_NonXtal_BW#'!$A:$Z,16,FALSE)+VLOOKUP($A82,A:AL,22,FALSE)-50))</f>
        <v>179</v>
      </c>
      <c r="X82" s="3">
        <f>IF(ISERROR(VLOOKUP($A82,'SegEnds_NonXtal_BW#'!$A:$Z,17,FALSE)+VLOOKUP($A82,A:AL,25,FALSE)-50),"-",(VLOOKUP($A82,'SegEnds_NonXtal_BW#'!$A:$Z,17,FALSE)+VLOOKUP($A82,A:AL,25,FALSE)-50))</f>
        <v>190</v>
      </c>
      <c r="Y82" s="3">
        <v>190</v>
      </c>
      <c r="Z82" s="3">
        <f t="shared" si="38"/>
        <v>192</v>
      </c>
      <c r="AA82" s="3">
        <f>IF(ISERROR(VLOOKUP($A82,'SegEnds_NonXtal_BW#'!$A:$Z,19,FALSE)+VLOOKUP($A82,A:AL,28,FALSE)-50),"-",(VLOOKUP($A82,'SegEnds_NonXtal_BW#'!$A:$Z,19,FALSE)+VLOOKUP($A82,A:AL,28,FALSE)-50))</f>
        <v>195</v>
      </c>
      <c r="AB82" s="3">
        <v>214</v>
      </c>
      <c r="AC82" s="3">
        <f>IF(ISERROR((VLOOKUP($A82,'SegEnds_NonXtal_BW#'!$A:$Z,20,FALSE)+VLOOKUP($A82,A:AL,28,FALSE)-50)),"-",(VLOOKUP($A82,'SegEnds_NonXtal_BW#'!$A:$Z,20,FALSE)+VLOOKUP($A82,A:AL,28,FALSE)-50))</f>
        <v>232</v>
      </c>
      <c r="AD82" s="3">
        <f>IF(ISERROR(VLOOKUP($A82,'SegEnds_NonXtal_BW#'!$A:$Z,21,FALSE)+VLOOKUP($A82,A:AL,31,FALSE)-50),"-",(VLOOKUP($A82,'SegEnds_NonXtal_BW#'!$A:$Z,21,FALSE)+VLOOKUP($A82,A:AL,31,FALSE)-50))</f>
        <v>236</v>
      </c>
      <c r="AE82" s="3">
        <v>258</v>
      </c>
      <c r="AF82" s="3">
        <f>IF(ISERROR((VLOOKUP($A82,'SegEnds_NonXtal_BW#'!$A:$Z,22,FALSE)+VLOOKUP($A82,A:AL,31,FALSE)-50)),"-",(VLOOKUP($A82,'SegEnds_NonXtal_BW#'!$A:$Z,22,FALSE)+VLOOKUP($A82,A:AL,31,FALSE)-50))</f>
        <v>273</v>
      </c>
      <c r="AG82" s="3">
        <f>IF(ISERROR(VLOOKUP($A82,'SegEnds_NonXtal_BW#'!$A:$Z,23,FALSE)+VLOOKUP($A82,A:AL,34,FALSE)-50),"-",(VLOOKUP($A82,'SegEnds_NonXtal_BW#'!$A:$Z,23,FALSE)+VLOOKUP($A82,A:AL,34,FALSE)-50))</f>
        <v>276</v>
      </c>
      <c r="AH82" s="3">
        <v>302</v>
      </c>
      <c r="AI82" s="3">
        <f>IF(ISERROR((VLOOKUP($A82,'SegEnds_NonXtal_BW#'!$A:$Z,24,FALSE)+VLOOKUP($A82,A:AL,34,FALSE)-50)),"-",(VLOOKUP($A82,'SegEnds_NonXtal_BW#'!$A:$Z,24,FALSE)+VLOOKUP($A82,A:AL,34,FALSE)-50))</f>
        <v>308</v>
      </c>
      <c r="AJ82" s="3">
        <f>IF(ISERROR(VLOOKUP($A82,'SegEnds_NonXtal_BW#'!$A:$Z,25,FALSE)+VLOOKUP($A82,A:AL,37,FALSE)-50),"-",(VLOOKUP($A82,'SegEnds_NonXtal_BW#'!$A:$Z,25,FALSE)+VLOOKUP($A82,A:AL,37,FALSE)-50))</f>
        <v>309</v>
      </c>
      <c r="AK82" s="3">
        <v>312</v>
      </c>
      <c r="AL82" s="3">
        <f>IF(ISERROR((VLOOKUP($A82,'SegEnds_NonXtal_BW#'!$A:$Z,26,FALSE)+VLOOKUP($A82,A:AL,37,FALSE)-50)),"-",(VLOOKUP($A82,'SegEnds_NonXtal_BW#'!$A:$Z,26,FALSE)+VLOOKUP($A82,A:AL,37,FALSE)-50))</f>
        <v>320</v>
      </c>
      <c r="AM82" s="28" t="str">
        <f>VLOOKUP(A82,Classification!A:B,2,FALSE)</f>
        <v>A</v>
      </c>
      <c r="AN82" s="28" t="b">
        <f t="shared" si="55"/>
        <v>1</v>
      </c>
      <c r="AO82" s="3" t="str">
        <f>IF(ISERROR(MATCH(A82,'SegEnds_Xtal_Prot#'!B:B, 0)), "NoXtal", "Xtal")</f>
        <v>Xtal</v>
      </c>
      <c r="AP82" s="3">
        <f t="shared" si="39"/>
        <v>1</v>
      </c>
      <c r="AQ82" s="3">
        <f t="shared" si="40"/>
        <v>1</v>
      </c>
      <c r="AR82" s="3">
        <f t="shared" si="41"/>
        <v>1</v>
      </c>
      <c r="AS82" s="3">
        <f t="shared" si="42"/>
        <v>1</v>
      </c>
      <c r="AT82" s="3">
        <f t="shared" si="43"/>
        <v>1</v>
      </c>
      <c r="AU82" s="3">
        <f t="shared" si="44"/>
        <v>1</v>
      </c>
      <c r="AV82" s="3">
        <f t="shared" si="45"/>
        <v>11</v>
      </c>
      <c r="AW82" s="3">
        <f t="shared" si="46"/>
        <v>3</v>
      </c>
      <c r="AX82" s="3">
        <f t="shared" si="47"/>
        <v>4</v>
      </c>
      <c r="AY82" s="3">
        <f t="shared" si="48"/>
        <v>3</v>
      </c>
      <c r="AZ82" s="3">
        <f t="shared" si="49"/>
        <v>1</v>
      </c>
      <c r="BA82" s="3">
        <f>IF(ISERROR(LEN(VLOOKUP(A82,Seqs!A:E,2,FALSE))-AL82),"-",LEN(VLOOKUP(A82,Seqs!A:E,2,FALSE))-AL82)</f>
        <v>54</v>
      </c>
      <c r="BB82" s="16">
        <f t="shared" si="50"/>
        <v>28</v>
      </c>
      <c r="BC82" s="9">
        <f t="shared" si="51"/>
        <v>20</v>
      </c>
      <c r="BD82" s="3">
        <f t="shared" si="52"/>
        <v>28</v>
      </c>
      <c r="BE82" s="3">
        <f t="shared" si="53"/>
        <v>44</v>
      </c>
    </row>
    <row r="83" spans="1:58" s="3" customFormat="1" x14ac:dyDescent="0.2">
      <c r="A83" s="3" t="s">
        <v>171</v>
      </c>
      <c r="B83" s="3" t="str">
        <f>LOWER(VLOOKUP(A83,Xtal_Templ!A:B,2,FALSE))</f>
        <v>ccr5_human</v>
      </c>
      <c r="C83" s="3">
        <f>VLOOKUP($A83,'SegEnds_NonXtal_BW#'!$A:$Z,3,FALSE)+D83-50</f>
        <v>26</v>
      </c>
      <c r="D83" s="3">
        <v>52</v>
      </c>
      <c r="E83" s="3">
        <f>IF(ISERROR(VLOOKUP($A83,'SegEnds_NonXtal_BW#'!$A:$Z,4,FALSE)+VLOOKUP($A83,A:AL,4,FALSE)-50),"-",(VLOOKUP($A83,'SegEnds_NonXtal_BW#'!$A:$Z,4,FALSE)+VLOOKUP($A83,A:AL,4,FALSE)-50))</f>
        <v>62</v>
      </c>
      <c r="F83" s="3">
        <f t="shared" si="59"/>
        <v>63</v>
      </c>
      <c r="G83" s="3">
        <v>65</v>
      </c>
      <c r="H83" s="3">
        <f t="shared" si="60"/>
        <v>66</v>
      </c>
      <c r="I83" s="3">
        <f t="shared" si="60"/>
        <v>67</v>
      </c>
      <c r="J83" s="3">
        <v>80</v>
      </c>
      <c r="K83" s="3">
        <f>VLOOKUP($A83,'SegEnds_NonXtal_BW#'!$A:$Z,8,FALSE)+VLOOKUP($A83,A:AL,10,FALSE)-50</f>
        <v>96</v>
      </c>
      <c r="L83" s="3">
        <f t="shared" si="56"/>
        <v>98</v>
      </c>
      <c r="M83" s="3">
        <v>99</v>
      </c>
      <c r="N83" s="3">
        <f t="shared" si="57"/>
        <v>101</v>
      </c>
      <c r="O83" s="3">
        <f t="shared" si="37"/>
        <v>102</v>
      </c>
      <c r="P83" s="3">
        <v>131</v>
      </c>
      <c r="Q83" s="3">
        <f>VLOOKUP($A83,'SegEnds_NonXtal_BW#'!$A:$Z,12,FALSE)+VLOOKUP($A83,A:AL,16,FALSE)-50</f>
        <v>137</v>
      </c>
      <c r="R83" s="3">
        <f>IF(ISERROR(VLOOKUP($A83,'SegEnds_NonXtal_BW#'!$A:$Z,13,FALSE)+VLOOKUP($A83,A:AL,19,FALSE)-50),"-",VLOOKUP($A83,'SegEnds_NonXtal_BW#'!$A:$Z,13,FALSE)+VLOOKUP($A83,A:AL,19,FALSE)-50)</f>
        <v>138</v>
      </c>
      <c r="S83" s="3">
        <v>138</v>
      </c>
      <c r="T83" s="100">
        <f>IF(ISERROR(VLOOKUP($A83,'SegEnds_NonXtal_BW#'!$A:$Z,14,FALSE)+VLOOKUP($A83,A:AL,19,FALSE)-50),"-",(VLOOKUP($A83,'SegEnds_NonXtal_BW#'!$A:$Z,14,FALSE)+VLOOKUP($A83,A:AL,19,FALSE)-50))</f>
        <v>145</v>
      </c>
      <c r="U83" s="9">
        <f>IF(ISERROR(VLOOKUP($A83,'SegEnds_NonXtal_BW#'!$A:$Z,15,FALSE)+VLOOKUP($A83,A:AL,22,FALSE)-50),"-",VLOOKUP($A83,'SegEnds_NonXtal_BW#'!$A:$Z,15,FALSE)+VLOOKUP($A83,A:AL,22,FALSE)-50)</f>
        <v>146</v>
      </c>
      <c r="V83" s="3">
        <v>158</v>
      </c>
      <c r="W83" s="3">
        <f>IF(ISERROR(VLOOKUP($A83,'SegEnds_NonXtal_BW#'!$A:$Z,16,FALSE)+VLOOKUP($A83,A:AL,22,FALSE)-50),"-",(VLOOKUP($A83,'SegEnds_NonXtal_BW#'!$A:$Z,16,FALSE)+VLOOKUP($A83,A:AL,22,FALSE)-50))</f>
        <v>172</v>
      </c>
      <c r="X83" s="3">
        <f>IF(ISERROR(VLOOKUP($A83,'SegEnds_NonXtal_BW#'!$A:$Z,17,FALSE)+VLOOKUP($A83,A:AL,25,FALSE)-50),"-",(VLOOKUP($A83,'SegEnds_NonXtal_BW#'!$A:$Z,17,FALSE)+VLOOKUP($A83,A:AL,25,FALSE)-50))</f>
        <v>183</v>
      </c>
      <c r="Y83" s="3">
        <v>183</v>
      </c>
      <c r="Z83" s="3">
        <f t="shared" si="38"/>
        <v>185</v>
      </c>
      <c r="AA83" s="3">
        <f>IF(ISERROR(VLOOKUP($A83,'SegEnds_NonXtal_BW#'!$A:$Z,19,FALSE)+VLOOKUP($A83,A:AL,28,FALSE)-50),"-",(VLOOKUP($A83,'SegEnds_NonXtal_BW#'!$A:$Z,19,FALSE)+VLOOKUP($A83,A:AL,28,FALSE)-50))</f>
        <v>191</v>
      </c>
      <c r="AB83" s="3">
        <v>211</v>
      </c>
      <c r="AC83" s="3">
        <f>IF(ISERROR((VLOOKUP($A83,'SegEnds_NonXtal_BW#'!$A:$Z,20,FALSE)+VLOOKUP($A83,A:AL,28,FALSE)-50)),"-",(VLOOKUP($A83,'SegEnds_NonXtal_BW#'!$A:$Z,20,FALSE)+VLOOKUP($A83,A:AL,28,FALSE)-50))</f>
        <v>229</v>
      </c>
      <c r="AD83" s="3">
        <f>IF(ISERROR(VLOOKUP($A83,'SegEnds_NonXtal_BW#'!$A:$Z,21,FALSE)+VLOOKUP($A83,A:AL,31,FALSE)-50),"-",(VLOOKUP($A83,'SegEnds_NonXtal_BW#'!$A:$Z,21,FALSE)+VLOOKUP($A83,A:AL,31,FALSE)-50))</f>
        <v>234</v>
      </c>
      <c r="AE83" s="3">
        <v>254</v>
      </c>
      <c r="AF83" s="3">
        <f>IF(ISERROR((VLOOKUP($A83,'SegEnds_NonXtal_BW#'!$A:$Z,22,FALSE)+VLOOKUP($A83,A:AL,31,FALSE)-50)),"-",(VLOOKUP($A83,'SegEnds_NonXtal_BW#'!$A:$Z,22,FALSE)+VLOOKUP($A83,A:AL,31,FALSE)-50))</f>
        <v>269</v>
      </c>
      <c r="AG83" s="3">
        <f>IF(ISERROR(VLOOKUP($A83,'SegEnds_NonXtal_BW#'!$A:$Z,23,FALSE)+VLOOKUP($A83,A:AL,34,FALSE)-50),"-",(VLOOKUP($A83,'SegEnds_NonXtal_BW#'!$A:$Z,23,FALSE)+VLOOKUP($A83,A:AL,34,FALSE)-50))</f>
        <v>272</v>
      </c>
      <c r="AH83" s="3">
        <v>298</v>
      </c>
      <c r="AI83" s="3">
        <f>IF(ISERROR((VLOOKUP($A83,'SegEnds_NonXtal_BW#'!$A:$Z,24,FALSE)+VLOOKUP($A83,A:AL,34,FALSE)-50)),"-",(VLOOKUP($A83,'SegEnds_NonXtal_BW#'!$A:$Z,24,FALSE)+VLOOKUP($A83,A:AL,34,FALSE)-50))</f>
        <v>304</v>
      </c>
      <c r="AJ83" s="3">
        <f>IF(ISERROR(VLOOKUP($A83,'SegEnds_NonXtal_BW#'!$A:$Z,25,FALSE)+VLOOKUP($A83,A:AL,37,FALSE)-50),"-",(VLOOKUP($A83,'SegEnds_NonXtal_BW#'!$A:$Z,25,FALSE)+VLOOKUP($A83,A:AL,37,FALSE)-50))</f>
        <v>305</v>
      </c>
      <c r="AK83" s="3">
        <v>308</v>
      </c>
      <c r="AL83" s="3">
        <f>IF(ISERROR((VLOOKUP($A83,'SegEnds_NonXtal_BW#'!$A:$Z,26,FALSE)+VLOOKUP($A83,A:AL,37,FALSE)-50)),"-",(VLOOKUP($A83,'SegEnds_NonXtal_BW#'!$A:$Z,26,FALSE)+VLOOKUP($A83,A:AL,37,FALSE)-50))</f>
        <v>317</v>
      </c>
      <c r="AM83" s="28" t="str">
        <f>VLOOKUP(A83,Classification!A:B,2,FALSE)</f>
        <v>A</v>
      </c>
      <c r="AN83" s="28" t="b">
        <f t="shared" si="55"/>
        <v>1</v>
      </c>
      <c r="AO83" s="3" t="str">
        <f>IF(ISERROR(MATCH(A83,'SegEnds_Xtal_Prot#'!B:B, 0)), "NoXtal", "Xtal")</f>
        <v>NoXtal</v>
      </c>
      <c r="AP83" s="3">
        <f t="shared" si="39"/>
        <v>1</v>
      </c>
      <c r="AQ83" s="3">
        <f t="shared" si="40"/>
        <v>1</v>
      </c>
      <c r="AR83" s="3">
        <f t="shared" si="41"/>
        <v>2</v>
      </c>
      <c r="AS83" s="3">
        <f t="shared" si="42"/>
        <v>1</v>
      </c>
      <c r="AT83" s="3">
        <f t="shared" si="43"/>
        <v>1</v>
      </c>
      <c r="AU83" s="3">
        <f t="shared" si="44"/>
        <v>1</v>
      </c>
      <c r="AV83" s="3">
        <f t="shared" si="45"/>
        <v>11</v>
      </c>
      <c r="AW83" s="3">
        <f t="shared" si="46"/>
        <v>6</v>
      </c>
      <c r="AX83" s="3">
        <f t="shared" si="47"/>
        <v>5</v>
      </c>
      <c r="AY83" s="3">
        <f t="shared" si="48"/>
        <v>3</v>
      </c>
      <c r="AZ83" s="3">
        <f t="shared" si="49"/>
        <v>1</v>
      </c>
      <c r="BA83" s="3">
        <f>IF(ISERROR(LEN(VLOOKUP(A83,Seqs!A:E,2,FALSE))-AL83),"-",LEN(VLOOKUP(A83,Seqs!A:E,2,FALSE))-AL83)</f>
        <v>38</v>
      </c>
      <c r="BB83" s="16">
        <f t="shared" si="50"/>
        <v>28</v>
      </c>
      <c r="BC83" s="9">
        <f t="shared" si="51"/>
        <v>20</v>
      </c>
      <c r="BD83" s="3">
        <f t="shared" si="52"/>
        <v>28</v>
      </c>
      <c r="BE83" s="3">
        <f t="shared" si="53"/>
        <v>43</v>
      </c>
    </row>
    <row r="84" spans="1:58" s="3" customFormat="1" x14ac:dyDescent="0.2">
      <c r="A84" s="3" t="s">
        <v>172</v>
      </c>
      <c r="B84" s="3" t="str">
        <f>LOWER(VLOOKUP(A84,Xtal_Templ!A:B,2,FALSE))</f>
        <v>ccr5_human</v>
      </c>
      <c r="C84" s="3">
        <f>VLOOKUP($A84,'SegEnds_NonXtal_BW#'!$A:$Z,3,FALSE)+D84-50</f>
        <v>31</v>
      </c>
      <c r="D84" s="3">
        <v>57</v>
      </c>
      <c r="E84" s="3">
        <f>IF(ISERROR(VLOOKUP($A84,'SegEnds_NonXtal_BW#'!$A:$Z,4,FALSE)+VLOOKUP($A84,A:AL,4,FALSE)-50),"-",(VLOOKUP($A84,'SegEnds_NonXtal_BW#'!$A:$Z,4,FALSE)+VLOOKUP($A84,A:AL,4,FALSE)-50))</f>
        <v>67</v>
      </c>
      <c r="F84" s="3">
        <f t="shared" si="59"/>
        <v>68</v>
      </c>
      <c r="G84" s="3">
        <v>70</v>
      </c>
      <c r="H84" s="3">
        <f t="shared" si="60"/>
        <v>71</v>
      </c>
      <c r="I84" s="3">
        <f t="shared" si="60"/>
        <v>72</v>
      </c>
      <c r="J84" s="3">
        <v>85</v>
      </c>
      <c r="K84" s="3">
        <f>VLOOKUP($A84,'SegEnds_NonXtal_BW#'!$A:$Z,8,FALSE)+VLOOKUP($A84,A:AL,10,FALSE)-50</f>
        <v>101</v>
      </c>
      <c r="L84" s="3">
        <f t="shared" si="56"/>
        <v>102</v>
      </c>
      <c r="M84" s="3">
        <v>103</v>
      </c>
      <c r="N84" s="3">
        <f t="shared" si="57"/>
        <v>105</v>
      </c>
      <c r="O84" s="3">
        <f t="shared" si="37"/>
        <v>106</v>
      </c>
      <c r="P84" s="3">
        <v>135</v>
      </c>
      <c r="Q84" s="3">
        <f>VLOOKUP($A84,'SegEnds_NonXtal_BW#'!$A:$Z,12,FALSE)+VLOOKUP($A84,A:AL,16,FALSE)-50</f>
        <v>141</v>
      </c>
      <c r="R84" s="3">
        <f>IF(ISERROR(VLOOKUP($A84,'SegEnds_NonXtal_BW#'!$A:$Z,13,FALSE)+VLOOKUP($A84,A:AL,19,FALSE)-50),"-",VLOOKUP($A84,'SegEnds_NonXtal_BW#'!$A:$Z,13,FALSE)+VLOOKUP($A84,A:AL,19,FALSE)-50)</f>
        <v>142</v>
      </c>
      <c r="S84" s="3">
        <v>142</v>
      </c>
      <c r="T84" s="100">
        <f>IF(ISERROR(VLOOKUP($A84,'SegEnds_NonXtal_BW#'!$A:$Z,14,FALSE)+VLOOKUP($A84,A:AL,19,FALSE)-50),"-",(VLOOKUP($A84,'SegEnds_NonXtal_BW#'!$A:$Z,14,FALSE)+VLOOKUP($A84,A:AL,19,FALSE)-50))</f>
        <v>149</v>
      </c>
      <c r="U84" s="9">
        <f>IF(ISERROR(VLOOKUP($A84,'SegEnds_NonXtal_BW#'!$A:$Z,15,FALSE)+VLOOKUP($A84,A:AL,22,FALSE)-50),"-",VLOOKUP($A84,'SegEnds_NonXtal_BW#'!$A:$Z,15,FALSE)+VLOOKUP($A84,A:AL,22,FALSE)-50)</f>
        <v>150</v>
      </c>
      <c r="V84" s="3">
        <v>162</v>
      </c>
      <c r="W84" s="3">
        <f>IF(ISERROR(VLOOKUP($A84,'SegEnds_NonXtal_BW#'!$A:$Z,16,FALSE)+VLOOKUP($A84,A:AL,22,FALSE)-50),"-",(VLOOKUP($A84,'SegEnds_NonXtal_BW#'!$A:$Z,16,FALSE)+VLOOKUP($A84,A:AL,22,FALSE)-50))</f>
        <v>176</v>
      </c>
      <c r="X84" s="3">
        <f>IF(ISERROR(VLOOKUP($A84,'SegEnds_NonXtal_BW#'!$A:$Z,17,FALSE)+VLOOKUP($A84,A:AL,25,FALSE)-50),"-",(VLOOKUP($A84,'SegEnds_NonXtal_BW#'!$A:$Z,17,FALSE)+VLOOKUP($A84,A:AL,25,FALSE)-50))</f>
        <v>187</v>
      </c>
      <c r="Y84" s="3">
        <v>187</v>
      </c>
      <c r="Z84" s="3">
        <f t="shared" si="38"/>
        <v>189</v>
      </c>
      <c r="AA84" s="3">
        <f>IF(ISERROR(VLOOKUP($A84,'SegEnds_NonXtal_BW#'!$A:$Z,19,FALSE)+VLOOKUP($A84,A:AL,28,FALSE)-50),"-",(VLOOKUP($A84,'SegEnds_NonXtal_BW#'!$A:$Z,19,FALSE)+VLOOKUP($A84,A:AL,28,FALSE)-50))</f>
        <v>194</v>
      </c>
      <c r="AB84" s="3">
        <v>214</v>
      </c>
      <c r="AC84" s="3">
        <f>IF(ISERROR((VLOOKUP($A84,'SegEnds_NonXtal_BW#'!$A:$Z,20,FALSE)+VLOOKUP($A84,A:AL,28,FALSE)-50)),"-",(VLOOKUP($A84,'SegEnds_NonXtal_BW#'!$A:$Z,20,FALSE)+VLOOKUP($A84,A:AL,28,FALSE)-50))</f>
        <v>232</v>
      </c>
      <c r="AD84" s="3">
        <f>IF(ISERROR(VLOOKUP($A84,'SegEnds_NonXtal_BW#'!$A:$Z,21,FALSE)+VLOOKUP($A84,A:AL,31,FALSE)-50),"-",(VLOOKUP($A84,'SegEnds_NonXtal_BW#'!$A:$Z,21,FALSE)+VLOOKUP($A84,A:AL,31,FALSE)-50))</f>
        <v>237</v>
      </c>
      <c r="AE84" s="3">
        <v>257</v>
      </c>
      <c r="AF84" s="3">
        <f>IF(ISERROR((VLOOKUP($A84,'SegEnds_NonXtal_BW#'!$A:$Z,22,FALSE)+VLOOKUP($A84,A:AL,31,FALSE)-50)),"-",(VLOOKUP($A84,'SegEnds_NonXtal_BW#'!$A:$Z,22,FALSE)+VLOOKUP($A84,A:AL,31,FALSE)-50))</f>
        <v>272</v>
      </c>
      <c r="AG84" s="3">
        <f>IF(ISERROR(VLOOKUP($A84,'SegEnds_NonXtal_BW#'!$A:$Z,23,FALSE)+VLOOKUP($A84,A:AL,34,FALSE)-50),"-",(VLOOKUP($A84,'SegEnds_NonXtal_BW#'!$A:$Z,23,FALSE)+VLOOKUP($A84,A:AL,34,FALSE)-50))</f>
        <v>275</v>
      </c>
      <c r="AH84" s="3">
        <v>301</v>
      </c>
      <c r="AI84" s="3">
        <f>IF(ISERROR((VLOOKUP($A84,'SegEnds_NonXtal_BW#'!$A:$Z,24,FALSE)+VLOOKUP($A84,A:AL,34,FALSE)-50)),"-",(VLOOKUP($A84,'SegEnds_NonXtal_BW#'!$A:$Z,24,FALSE)+VLOOKUP($A84,A:AL,34,FALSE)-50))</f>
        <v>307</v>
      </c>
      <c r="AJ84" s="3">
        <f>IF(ISERROR(VLOOKUP($A84,'SegEnds_NonXtal_BW#'!$A:$Z,25,FALSE)+VLOOKUP($A84,A:AL,37,FALSE)-50),"-",(VLOOKUP($A84,'SegEnds_NonXtal_BW#'!$A:$Z,25,FALSE)+VLOOKUP($A84,A:AL,37,FALSE)-50))</f>
        <v>308</v>
      </c>
      <c r="AK84" s="3">
        <v>311</v>
      </c>
      <c r="AL84" s="3">
        <f>IF(ISERROR((VLOOKUP($A84,'SegEnds_NonXtal_BW#'!$A:$Z,26,FALSE)+VLOOKUP($A84,A:AL,37,FALSE)-50)),"-",(VLOOKUP($A84,'SegEnds_NonXtal_BW#'!$A:$Z,26,FALSE)+VLOOKUP($A84,A:AL,37,FALSE)-50))</f>
        <v>320</v>
      </c>
      <c r="AM84" s="28" t="str">
        <f>VLOOKUP(A84,Classification!A:B,2,FALSE)</f>
        <v>A</v>
      </c>
      <c r="AN84" s="28" t="b">
        <f t="shared" si="55"/>
        <v>1</v>
      </c>
      <c r="AO84" s="3" t="str">
        <f>IF(ISERROR(MATCH(A84,'SegEnds_Xtal_Prot#'!B:B, 0)), "NoXtal", "Xtal")</f>
        <v>NoXtal</v>
      </c>
      <c r="AP84" s="3">
        <f t="shared" si="39"/>
        <v>1</v>
      </c>
      <c r="AQ84" s="3">
        <f t="shared" si="40"/>
        <v>1</v>
      </c>
      <c r="AR84" s="3">
        <f t="shared" si="41"/>
        <v>1</v>
      </c>
      <c r="AS84" s="3">
        <f t="shared" si="42"/>
        <v>1</v>
      </c>
      <c r="AT84" s="3">
        <f t="shared" si="43"/>
        <v>1</v>
      </c>
      <c r="AU84" s="3">
        <f t="shared" si="44"/>
        <v>1</v>
      </c>
      <c r="AV84" s="3">
        <f t="shared" si="45"/>
        <v>11</v>
      </c>
      <c r="AW84" s="3">
        <f t="shared" si="46"/>
        <v>5</v>
      </c>
      <c r="AX84" s="3">
        <f t="shared" si="47"/>
        <v>5</v>
      </c>
      <c r="AY84" s="3">
        <f t="shared" si="48"/>
        <v>3</v>
      </c>
      <c r="AZ84" s="3">
        <f t="shared" si="49"/>
        <v>1</v>
      </c>
      <c r="BA84" s="3">
        <f>IF(ISERROR(LEN(VLOOKUP(A84,Seqs!A:E,2,FALSE))-AL84),"-",LEN(VLOOKUP(A84,Seqs!A:E,2,FALSE))-AL84)</f>
        <v>40</v>
      </c>
      <c r="BB84" s="16">
        <f t="shared" si="50"/>
        <v>28</v>
      </c>
      <c r="BC84" s="9">
        <f t="shared" si="51"/>
        <v>20</v>
      </c>
      <c r="BD84" s="3">
        <f t="shared" si="52"/>
        <v>28</v>
      </c>
      <c r="BE84" s="3">
        <f t="shared" si="53"/>
        <v>43</v>
      </c>
    </row>
    <row r="85" spans="1:58" s="3" customFormat="1" x14ac:dyDescent="0.2">
      <c r="A85" s="3" t="s">
        <v>173</v>
      </c>
      <c r="B85" s="3" t="str">
        <f>LOWER(VLOOKUP(A85,Xtal_Templ!A:B,2,FALSE))</f>
        <v>ccr5_human</v>
      </c>
      <c r="C85" s="3">
        <f>VLOOKUP($A85,'SegEnds_NonXtal_BW#'!$A:$Z,3,FALSE)+D85-50</f>
        <v>22</v>
      </c>
      <c r="D85" s="3">
        <v>48</v>
      </c>
      <c r="E85" s="3">
        <f>IF(ISERROR(VLOOKUP($A85,'SegEnds_NonXtal_BW#'!$A:$Z,4,FALSE)+VLOOKUP($A85,A:AL,4,FALSE)-50),"-",(VLOOKUP($A85,'SegEnds_NonXtal_BW#'!$A:$Z,4,FALSE)+VLOOKUP($A85,A:AL,4,FALSE)-50))</f>
        <v>58</v>
      </c>
      <c r="F85" s="3">
        <f t="shared" si="59"/>
        <v>59</v>
      </c>
      <c r="G85" s="3">
        <v>61</v>
      </c>
      <c r="H85" s="3">
        <f t="shared" si="60"/>
        <v>62</v>
      </c>
      <c r="I85" s="3">
        <f t="shared" si="60"/>
        <v>63</v>
      </c>
      <c r="J85" s="3">
        <v>76</v>
      </c>
      <c r="K85" s="3">
        <f>VLOOKUP($A85,'SegEnds_NonXtal_BW#'!$A:$Z,8,FALSE)+VLOOKUP($A85,A:AL,10,FALSE)-50</f>
        <v>92</v>
      </c>
      <c r="L85" s="3">
        <f t="shared" si="56"/>
        <v>93</v>
      </c>
      <c r="M85" s="3">
        <v>94</v>
      </c>
      <c r="N85" s="3">
        <f t="shared" si="57"/>
        <v>96</v>
      </c>
      <c r="O85" s="3">
        <f t="shared" si="37"/>
        <v>97</v>
      </c>
      <c r="P85" s="3">
        <v>126</v>
      </c>
      <c r="Q85" s="3">
        <f>VLOOKUP($A85,'SegEnds_NonXtal_BW#'!$A:$Z,12,FALSE)+VLOOKUP($A85,A:AL,16,FALSE)-50</f>
        <v>132</v>
      </c>
      <c r="R85" s="3">
        <f>IF(ISERROR(VLOOKUP($A85,'SegEnds_NonXtal_BW#'!$A:$Z,13,FALSE)+VLOOKUP($A85,A:AL,19,FALSE)-50),"-",VLOOKUP($A85,'SegEnds_NonXtal_BW#'!$A:$Z,13,FALSE)+VLOOKUP($A85,A:AL,19,FALSE)-50)</f>
        <v>133</v>
      </c>
      <c r="S85" s="3">
        <v>133</v>
      </c>
      <c r="T85" s="3">
        <f>IF(ISERROR(VLOOKUP($A85,'SegEnds_NonXtal_BW#'!$A:$Z,14,FALSE)+VLOOKUP($A85,A:AL,19,FALSE)-50),"-",(VLOOKUP($A85,'SegEnds_NonXtal_BW#'!$A:$Z,14,FALSE)+VLOOKUP($A85,A:AL,19,FALSE)-50))</f>
        <v>140</v>
      </c>
      <c r="U85" s="3">
        <f>IF(ISERROR(VLOOKUP($A85,'SegEnds_NonXtal_BW#'!$A:$Z,15,FALSE)+VLOOKUP($A85,A:AL,22,FALSE)-50),"-",VLOOKUP($A85,'SegEnds_NonXtal_BW#'!$A:$Z,15,FALSE)+VLOOKUP($A85,A:AL,22,FALSE)-50)</f>
        <v>141</v>
      </c>
      <c r="V85" s="3">
        <v>153</v>
      </c>
      <c r="W85" s="3">
        <f>IF(ISERROR(VLOOKUP($A85,'SegEnds_NonXtal_BW#'!$A:$Z,16,FALSE)+VLOOKUP($A85,A:AL,22,FALSE)-50),"-",(VLOOKUP($A85,'SegEnds_NonXtal_BW#'!$A:$Z,16,FALSE)+VLOOKUP($A85,A:AL,22,FALSE)-50))</f>
        <v>167</v>
      </c>
      <c r="X85" s="3">
        <f>IF(ISERROR(VLOOKUP($A85,'SegEnds_NonXtal_BW#'!$A:$Z,17,FALSE)+VLOOKUP($A85,A:AL,25,FALSE)-50),"-",(VLOOKUP($A85,'SegEnds_NonXtal_BW#'!$A:$Z,17,FALSE)+VLOOKUP($A85,A:AL,25,FALSE)-50))</f>
        <v>178</v>
      </c>
      <c r="Y85" s="3">
        <v>178</v>
      </c>
      <c r="Z85" s="3">
        <f t="shared" si="38"/>
        <v>180</v>
      </c>
      <c r="AA85" s="3">
        <f>IF(ISERROR(VLOOKUP($A85,'SegEnds_NonXtal_BW#'!$A:$Z,19,FALSE)+VLOOKUP($A85,A:AL,28,FALSE)-50),"-",(VLOOKUP($A85,'SegEnds_NonXtal_BW#'!$A:$Z,19,FALSE)+VLOOKUP($A85,A:AL,28,FALSE)-50))</f>
        <v>186</v>
      </c>
      <c r="AB85" s="3">
        <v>206</v>
      </c>
      <c r="AC85" s="3">
        <f>IF(ISERROR((VLOOKUP($A85,'SegEnds_NonXtal_BW#'!$A:$Z,20,FALSE)+VLOOKUP($A85,A:AL,28,FALSE)-50)),"-",(VLOOKUP($A85,'SegEnds_NonXtal_BW#'!$A:$Z,20,FALSE)+VLOOKUP($A85,A:AL,28,FALSE)-50))</f>
        <v>224</v>
      </c>
      <c r="AD85" s="3">
        <f>IF(ISERROR(VLOOKUP($A85,'SegEnds_NonXtal_BW#'!$A:$Z,21,FALSE)+VLOOKUP($A85,A:AL,31,FALSE)-50),"-",(VLOOKUP($A85,'SegEnds_NonXtal_BW#'!$A:$Z,21,FALSE)+VLOOKUP($A85,A:AL,31,FALSE)-50))</f>
        <v>228</v>
      </c>
      <c r="AE85" s="3">
        <v>250</v>
      </c>
      <c r="AF85" s="3">
        <f>IF(ISERROR((VLOOKUP($A85,'SegEnds_NonXtal_BW#'!$A:$Z,22,FALSE)+VLOOKUP($A85,A:AL,31,FALSE)-50)),"-",(VLOOKUP($A85,'SegEnds_NonXtal_BW#'!$A:$Z,22,FALSE)+VLOOKUP($A85,A:AL,31,FALSE)-50))</f>
        <v>265</v>
      </c>
      <c r="AG85" s="3">
        <f>IF(ISERROR(VLOOKUP($A85,'SegEnds_NonXtal_BW#'!$A:$Z,23,FALSE)+VLOOKUP($A85,A:AL,34,FALSE)-50),"-",(VLOOKUP($A85,'SegEnds_NonXtal_BW#'!$A:$Z,23,FALSE)+VLOOKUP($A85,A:AL,34,FALSE)-50))</f>
        <v>268</v>
      </c>
      <c r="AH85" s="3">
        <v>294</v>
      </c>
      <c r="AI85" s="3">
        <f>IF(ISERROR((VLOOKUP($A85,'SegEnds_NonXtal_BW#'!$A:$Z,24,FALSE)+VLOOKUP($A85,A:AL,34,FALSE)-50)),"-",(VLOOKUP($A85,'SegEnds_NonXtal_BW#'!$A:$Z,24,FALSE)+VLOOKUP($A85,A:AL,34,FALSE)-50))</f>
        <v>300</v>
      </c>
      <c r="AJ85" s="3">
        <f>IF(ISERROR(VLOOKUP($A85,'SegEnds_NonXtal_BW#'!$A:$Z,25,FALSE)+VLOOKUP($A85,A:AL,37,FALSE)-50),"-",(VLOOKUP($A85,'SegEnds_NonXtal_BW#'!$A:$Z,25,FALSE)+VLOOKUP($A85,A:AL,37,FALSE)-50))</f>
        <v>301</v>
      </c>
      <c r="AK85" s="3">
        <v>304</v>
      </c>
      <c r="AL85" s="3">
        <f>IF(ISERROR((VLOOKUP($A85,'SegEnds_NonXtal_BW#'!$A:$Z,26,FALSE)+VLOOKUP($A85,A:AL,37,FALSE)-50)),"-",(VLOOKUP($A85,'SegEnds_NonXtal_BW#'!$A:$Z,26,FALSE)+VLOOKUP($A85,A:AL,37,FALSE)-50))</f>
        <v>313</v>
      </c>
      <c r="AM85" s="28" t="str">
        <f>VLOOKUP(A85,Classification!A:B,2,FALSE)</f>
        <v>A</v>
      </c>
      <c r="AN85" s="28" t="b">
        <f t="shared" si="55"/>
        <v>1</v>
      </c>
      <c r="AO85" s="3" t="str">
        <f>IF(ISERROR(MATCH(A85,'SegEnds_Xtal_Prot#'!B:B, 0)), "NoXtal", "Xtal")</f>
        <v>Xtal</v>
      </c>
      <c r="AP85" s="3">
        <f t="shared" si="39"/>
        <v>1</v>
      </c>
      <c r="AQ85" s="3">
        <f t="shared" si="40"/>
        <v>1</v>
      </c>
      <c r="AR85" s="3">
        <f t="shared" si="41"/>
        <v>1</v>
      </c>
      <c r="AS85" s="3">
        <f t="shared" si="42"/>
        <v>1</v>
      </c>
      <c r="AT85" s="3">
        <f t="shared" si="43"/>
        <v>1</v>
      </c>
      <c r="AU85" s="3">
        <f t="shared" si="44"/>
        <v>1</v>
      </c>
      <c r="AV85" s="3">
        <f t="shared" si="45"/>
        <v>11</v>
      </c>
      <c r="AW85" s="3">
        <f t="shared" si="46"/>
        <v>6</v>
      </c>
      <c r="AX85" s="3">
        <f t="shared" si="47"/>
        <v>4</v>
      </c>
      <c r="AY85" s="3">
        <f t="shared" si="48"/>
        <v>3</v>
      </c>
      <c r="AZ85" s="3">
        <f t="shared" si="49"/>
        <v>1</v>
      </c>
      <c r="BA85" s="3">
        <f>IF(ISERROR(LEN(VLOOKUP(A85,Seqs!A:E,2,FALSE))-AL85),"-",LEN(VLOOKUP(A85,Seqs!A:E,2,FALSE))-AL85)</f>
        <v>39</v>
      </c>
      <c r="BB85" s="16">
        <f t="shared" si="50"/>
        <v>28</v>
      </c>
      <c r="BC85" s="3">
        <f t="shared" si="51"/>
        <v>20</v>
      </c>
      <c r="BD85" s="3">
        <f t="shared" si="52"/>
        <v>28</v>
      </c>
      <c r="BE85" s="3">
        <f t="shared" si="53"/>
        <v>44</v>
      </c>
    </row>
    <row r="86" spans="1:58" s="3" customFormat="1" x14ac:dyDescent="0.2">
      <c r="A86" s="3" t="s">
        <v>176</v>
      </c>
      <c r="B86" s="3" t="str">
        <f>LOWER(VLOOKUP(A86,Xtal_Templ!A:B,2,FALSE))</f>
        <v>ccr5_human</v>
      </c>
      <c r="C86" s="3">
        <f>VLOOKUP($A86,'SegEnds_NonXtal_BW#'!$A:$Z,3,FALSE)+D86-50</f>
        <v>27</v>
      </c>
      <c r="D86" s="3">
        <v>53</v>
      </c>
      <c r="E86" s="3">
        <f>IF(ISERROR(VLOOKUP($A86,'SegEnds_NonXtal_BW#'!$A:$Z,4,FALSE)+VLOOKUP($A86,A:AL,4,FALSE)-50),"-",(VLOOKUP($A86,'SegEnds_NonXtal_BW#'!$A:$Z,4,FALSE)+VLOOKUP($A86,A:AL,4,FALSE)-50))</f>
        <v>63</v>
      </c>
      <c r="F86" s="3">
        <f t="shared" si="59"/>
        <v>64</v>
      </c>
      <c r="G86" s="3">
        <v>66</v>
      </c>
      <c r="H86" s="3">
        <f t="shared" si="60"/>
        <v>67</v>
      </c>
      <c r="I86" s="3">
        <f t="shared" si="60"/>
        <v>68</v>
      </c>
      <c r="J86" s="3">
        <v>81</v>
      </c>
      <c r="K86" s="3">
        <f>VLOOKUP($A86,'SegEnds_NonXtal_BW#'!$A:$Z,8,FALSE)+VLOOKUP($A86,A:AL,10,FALSE)-50</f>
        <v>97</v>
      </c>
      <c r="L86" s="3">
        <f t="shared" si="56"/>
        <v>98</v>
      </c>
      <c r="M86" s="3">
        <v>99</v>
      </c>
      <c r="N86" s="3">
        <f t="shared" si="57"/>
        <v>101</v>
      </c>
      <c r="O86" s="3">
        <f t="shared" si="37"/>
        <v>102</v>
      </c>
      <c r="P86" s="3">
        <v>131</v>
      </c>
      <c r="Q86" s="3">
        <f>VLOOKUP($A86,'SegEnds_NonXtal_BW#'!$A:$Z,12,FALSE)+VLOOKUP($A86,A:AL,16,FALSE)-50</f>
        <v>137</v>
      </c>
      <c r="R86" s="3">
        <f>IF(ISERROR(VLOOKUP($A86,'SegEnds_NonXtal_BW#'!$A:$Z,13,FALSE)+VLOOKUP($A86,A:AL,19,FALSE)-50),"-",VLOOKUP($A86,'SegEnds_NonXtal_BW#'!$A:$Z,13,FALSE)+VLOOKUP($A86,A:AL,19,FALSE)-50)</f>
        <v>138</v>
      </c>
      <c r="S86" s="3">
        <v>138</v>
      </c>
      <c r="T86" s="100">
        <f>IF(ISERROR(VLOOKUP($A86,'SegEnds_NonXtal_BW#'!$A:$Z,14,FALSE)+VLOOKUP($A86,A:AL,19,FALSE)-50),"-",(VLOOKUP($A86,'SegEnds_NonXtal_BW#'!$A:$Z,14,FALSE)+VLOOKUP($A86,A:AL,19,FALSE)-50))</f>
        <v>145</v>
      </c>
      <c r="U86" s="9">
        <f>IF(ISERROR(VLOOKUP($A86,'SegEnds_NonXtal_BW#'!$A:$Z,15,FALSE)+VLOOKUP($A86,A:AL,22,FALSE)-50),"-",VLOOKUP($A86,'SegEnds_NonXtal_BW#'!$A:$Z,15,FALSE)+VLOOKUP($A86,A:AL,22,FALSE)-50)</f>
        <v>146</v>
      </c>
      <c r="V86" s="3">
        <v>158</v>
      </c>
      <c r="W86" s="3">
        <f>IF(ISERROR(VLOOKUP($A86,'SegEnds_NonXtal_BW#'!$A:$Z,16,FALSE)+VLOOKUP($A86,A:AL,22,FALSE)-50),"-",(VLOOKUP($A86,'SegEnds_NonXtal_BW#'!$A:$Z,16,FALSE)+VLOOKUP($A86,A:AL,22,FALSE)-50))</f>
        <v>172</v>
      </c>
      <c r="X86" s="3">
        <f>IF(ISERROR(VLOOKUP($A86,'SegEnds_NonXtal_BW#'!$A:$Z,17,FALSE)+VLOOKUP($A86,A:AL,25,FALSE)-50),"-",(VLOOKUP($A86,'SegEnds_NonXtal_BW#'!$A:$Z,17,FALSE)+VLOOKUP($A86,A:AL,25,FALSE)-50))</f>
        <v>183</v>
      </c>
      <c r="Y86" s="3">
        <v>183</v>
      </c>
      <c r="Z86" s="3">
        <f t="shared" si="38"/>
        <v>185</v>
      </c>
      <c r="AA86" s="3">
        <f>IF(ISERROR(VLOOKUP($A86,'SegEnds_NonXtal_BW#'!$A:$Z,19,FALSE)+VLOOKUP($A86,A:AL,28,FALSE)-50),"-",(VLOOKUP($A86,'SegEnds_NonXtal_BW#'!$A:$Z,19,FALSE)+VLOOKUP($A86,A:AL,28,FALSE)-50))</f>
        <v>190</v>
      </c>
      <c r="AB86" s="3">
        <v>210</v>
      </c>
      <c r="AC86" s="3">
        <f>IF(ISERROR((VLOOKUP($A86,'SegEnds_NonXtal_BW#'!$A:$Z,20,FALSE)+VLOOKUP($A86,A:AL,28,FALSE)-50)),"-",(VLOOKUP($A86,'SegEnds_NonXtal_BW#'!$A:$Z,20,FALSE)+VLOOKUP($A86,A:AL,28,FALSE)-50))</f>
        <v>228</v>
      </c>
      <c r="AD86" s="3">
        <f>IF(ISERROR(VLOOKUP($A86,'SegEnds_NonXtal_BW#'!$A:$Z,21,FALSE)+VLOOKUP($A86,A:AL,31,FALSE)-50),"-",(VLOOKUP($A86,'SegEnds_NonXtal_BW#'!$A:$Z,21,FALSE)+VLOOKUP($A86,A:AL,31,FALSE)-50))</f>
        <v>233</v>
      </c>
      <c r="AE86" s="3">
        <v>253</v>
      </c>
      <c r="AF86" s="3">
        <f>IF(ISERROR((VLOOKUP($A86,'SegEnds_NonXtal_BW#'!$A:$Z,22,FALSE)+VLOOKUP($A86,A:AL,31,FALSE)-50)),"-",(VLOOKUP($A86,'SegEnds_NonXtal_BW#'!$A:$Z,22,FALSE)+VLOOKUP($A86,A:AL,31,FALSE)-50))</f>
        <v>268</v>
      </c>
      <c r="AG86" s="3">
        <f>IF(ISERROR(VLOOKUP($A86,'SegEnds_NonXtal_BW#'!$A:$Z,23,FALSE)+VLOOKUP($A86,A:AL,34,FALSE)-50),"-",(VLOOKUP($A86,'SegEnds_NonXtal_BW#'!$A:$Z,23,FALSE)+VLOOKUP($A86,A:AL,34,FALSE)-50))</f>
        <v>271</v>
      </c>
      <c r="AH86" s="3">
        <v>297</v>
      </c>
      <c r="AI86" s="3">
        <f>IF(ISERROR((VLOOKUP($A86,'SegEnds_NonXtal_BW#'!$A:$Z,24,FALSE)+VLOOKUP($A86,A:AL,34,FALSE)-50)),"-",(VLOOKUP($A86,'SegEnds_NonXtal_BW#'!$A:$Z,24,FALSE)+VLOOKUP($A86,A:AL,34,FALSE)-50))</f>
        <v>303</v>
      </c>
      <c r="AJ86" s="3">
        <f>IF(ISERROR(VLOOKUP($A86,'SegEnds_NonXtal_BW#'!$A:$Z,25,FALSE)+VLOOKUP($A86,A:AL,37,FALSE)-50),"-",(VLOOKUP($A86,'SegEnds_NonXtal_BW#'!$A:$Z,25,FALSE)+VLOOKUP($A86,A:AL,37,FALSE)-50))</f>
        <v>304</v>
      </c>
      <c r="AK86" s="3">
        <v>307</v>
      </c>
      <c r="AL86" s="3">
        <f>IF(ISERROR((VLOOKUP($A86,'SegEnds_NonXtal_BW#'!$A:$Z,26,FALSE)+VLOOKUP($A86,A:AL,37,FALSE)-50)),"-",(VLOOKUP($A86,'SegEnds_NonXtal_BW#'!$A:$Z,26,FALSE)+VLOOKUP($A86,A:AL,37,FALSE)-50))</f>
        <v>316</v>
      </c>
      <c r="AM86" s="28" t="str">
        <f>VLOOKUP(A86,Classification!A:B,2,FALSE)</f>
        <v>A</v>
      </c>
      <c r="AN86" s="28" t="b">
        <f t="shared" si="55"/>
        <v>1</v>
      </c>
      <c r="AO86" s="3" t="str">
        <f>IF(ISERROR(MATCH(A86,'SegEnds_Xtal_Prot#'!B:B, 0)), "NoXtal", "Xtal")</f>
        <v>NoXtal</v>
      </c>
      <c r="AP86" s="3">
        <f t="shared" si="39"/>
        <v>1</v>
      </c>
      <c r="AQ86" s="3">
        <f t="shared" si="40"/>
        <v>1</v>
      </c>
      <c r="AR86" s="3">
        <f t="shared" si="41"/>
        <v>1</v>
      </c>
      <c r="AS86" s="3">
        <f t="shared" si="42"/>
        <v>1</v>
      </c>
      <c r="AT86" s="3">
        <f t="shared" si="43"/>
        <v>1</v>
      </c>
      <c r="AU86" s="3">
        <f t="shared" si="44"/>
        <v>1</v>
      </c>
      <c r="AV86" s="3">
        <f t="shared" si="45"/>
        <v>11</v>
      </c>
      <c r="AW86" s="3">
        <f t="shared" si="46"/>
        <v>5</v>
      </c>
      <c r="AX86" s="3">
        <f t="shared" si="47"/>
        <v>5</v>
      </c>
      <c r="AY86" s="3">
        <f t="shared" si="48"/>
        <v>3</v>
      </c>
      <c r="AZ86" s="3">
        <f t="shared" si="49"/>
        <v>1</v>
      </c>
      <c r="BA86" s="3">
        <f>IF(ISERROR(LEN(VLOOKUP(A86,Seqs!A:E,2,FALSE))-AL86),"-",LEN(VLOOKUP(A86,Seqs!A:E,2,FALSE))-AL86)</f>
        <v>39</v>
      </c>
      <c r="BB86" s="16">
        <f t="shared" si="50"/>
        <v>28</v>
      </c>
      <c r="BC86" s="9">
        <f t="shared" si="51"/>
        <v>20</v>
      </c>
      <c r="BD86" s="3">
        <f t="shared" si="52"/>
        <v>28</v>
      </c>
      <c r="BE86" s="3">
        <f t="shared" si="53"/>
        <v>43</v>
      </c>
    </row>
    <row r="87" spans="1:58" s="3" customFormat="1" x14ac:dyDescent="0.2">
      <c r="A87" s="3" t="s">
        <v>179</v>
      </c>
      <c r="B87" s="3" t="str">
        <f>LOWER(VLOOKUP(A87,Xtal_Templ!A:B,2,FALSE))</f>
        <v>p2ry1_human</v>
      </c>
      <c r="C87" s="3">
        <f>VLOOKUP($A87,'SegEnds_NonXtal_BW#'!$A:$Z,3,FALSE)+D87-50</f>
        <v>21</v>
      </c>
      <c r="D87" s="3">
        <v>41</v>
      </c>
      <c r="E87" s="3">
        <f>IF(ISERROR(VLOOKUP($A87,'SegEnds_NonXtal_BW#'!$A:$Z,4,FALSE)+VLOOKUP($A87,A:AL,4,FALSE)-50),"-",(VLOOKUP($A87,'SegEnds_NonXtal_BW#'!$A:$Z,4,FALSE)+VLOOKUP($A87,A:AL,4,FALSE)-50))</f>
        <v>51</v>
      </c>
      <c r="F87" s="3" t="str">
        <f>IF(ISERROR(VLOOKUP($A87,'SegEnds_NonXtal_BW#'!$A:$Z,5,FALSE)+VLOOKUP($A87,A:AL,7,FALSE)-50),"-",(VLOOKUP($A87,'SegEnds_NonXtal_BW#'!$A:$Z,5,FALSE)+VLOOKUP($A87,A:AL,7,FALSE)-50))</f>
        <v>-</v>
      </c>
      <c r="G87" s="3" t="s">
        <v>23</v>
      </c>
      <c r="H87" s="3" t="str">
        <f>IF(ISERROR(VLOOKUP($A87,'SegEnds_NonXtal_BW#'!$A:$Z,6,FALSE)+VLOOKUP($A87,A:AL,7,FALSE)-50),"-",(VLOOKUP($A87,'SegEnds_NonXtal_BW#'!$A:$Z,6,FALSE)+VLOOKUP($A87,A:AL,7,FALSE)-50))</f>
        <v>-</v>
      </c>
      <c r="I87" s="3">
        <f>VLOOKUP($A87,'SegEnds_NonXtal_BW#'!$A:$Z,7,FALSE)+J87-50</f>
        <v>56</v>
      </c>
      <c r="J87" s="3">
        <v>69</v>
      </c>
      <c r="K87" s="3">
        <f>VLOOKUP($A87,'SegEnds_NonXtal_BW#'!$A:$Z,8,FALSE)+VLOOKUP($A87,A:AL,10,FALSE)-50</f>
        <v>85</v>
      </c>
      <c r="L87" s="3">
        <f t="shared" si="56"/>
        <v>88</v>
      </c>
      <c r="M87" s="3">
        <v>89</v>
      </c>
      <c r="N87" s="3">
        <f t="shared" si="57"/>
        <v>91</v>
      </c>
      <c r="O87" s="3">
        <f t="shared" si="37"/>
        <v>92</v>
      </c>
      <c r="P87" s="3">
        <v>121</v>
      </c>
      <c r="Q87" s="3">
        <f>VLOOKUP($A87,'SegEnds_NonXtal_BW#'!$A:$Z,12,FALSE)+VLOOKUP($A87,A:AL,16,FALSE)-50</f>
        <v>127</v>
      </c>
      <c r="R87" s="3">
        <f>IF(ISERROR(VLOOKUP($A87,'SegEnds_NonXtal_BW#'!$A:$Z,13,FALSE)+VLOOKUP($A87,A:AL,19,FALSE)-50),"-",VLOOKUP($A87,'SegEnds_NonXtal_BW#'!$A:$Z,13,FALSE)+VLOOKUP($A87,A:AL,19,FALSE)-50)</f>
        <v>128</v>
      </c>
      <c r="S87" s="3">
        <v>128</v>
      </c>
      <c r="T87" s="100">
        <f>IF(ISERROR(VLOOKUP($A87,'SegEnds_NonXtal_BW#'!$A:$Z,14,FALSE)+VLOOKUP($A87,A:AL,19,FALSE)-50),"-",(VLOOKUP($A87,'SegEnds_NonXtal_BW#'!$A:$Z,14,FALSE)+VLOOKUP($A87,A:AL,19,FALSE)-50))</f>
        <v>135</v>
      </c>
      <c r="U87" s="9">
        <f>IF(ISERROR(VLOOKUP($A87,'SegEnds_NonXtal_BW#'!$A:$Z,15,FALSE)+VLOOKUP($A87,A:AL,22,FALSE)-50),"-",VLOOKUP($A87,'SegEnds_NonXtal_BW#'!$A:$Z,15,FALSE)+VLOOKUP($A87,A:AL,22,FALSE)-50)</f>
        <v>136</v>
      </c>
      <c r="V87" s="3">
        <v>148</v>
      </c>
      <c r="W87" s="3">
        <f>IF(ISERROR(VLOOKUP($A87,'SegEnds_NonXtal_BW#'!$A:$Z,16,FALSE)+VLOOKUP($A87,A:AL,22,FALSE)-50),"-",(VLOOKUP($A87,'SegEnds_NonXtal_BW#'!$A:$Z,16,FALSE)+VLOOKUP($A87,A:AL,22,FALSE)-50))</f>
        <v>162</v>
      </c>
      <c r="X87" s="3">
        <f>IF(ISERROR(VLOOKUP($A87,'SegEnds_NonXtal_BW#'!$A:$Z,17,FALSE)+VLOOKUP($A87,A:AL,25,FALSE)-50),"-",(VLOOKUP($A87,'SegEnds_NonXtal_BW#'!$A:$Z,17,FALSE)+VLOOKUP($A87,A:AL,25,FALSE)-50))</f>
        <v>173</v>
      </c>
      <c r="Y87" s="3">
        <v>173</v>
      </c>
      <c r="Z87" s="3">
        <f t="shared" si="38"/>
        <v>175</v>
      </c>
      <c r="AA87" s="3">
        <f>IF(ISERROR(VLOOKUP($A87,'SegEnds_NonXtal_BW#'!$A:$Z,19,FALSE)+VLOOKUP($A87,A:AL,28,FALSE)-50),"-",(VLOOKUP($A87,'SegEnds_NonXtal_BW#'!$A:$Z,19,FALSE)+VLOOKUP($A87,A:AL,28,FALSE)-50))</f>
        <v>183</v>
      </c>
      <c r="AB87" s="3">
        <v>201</v>
      </c>
      <c r="AC87" s="3">
        <f>IF(ISERROR((VLOOKUP($A87,'SegEnds_NonXtal_BW#'!$A:$Z,20,FALSE)+VLOOKUP($A87,A:AL,28,FALSE)-50)),"-",(VLOOKUP($A87,'SegEnds_NonXtal_BW#'!$A:$Z,20,FALSE)+VLOOKUP($A87,A:AL,28,FALSE)-50))</f>
        <v>218</v>
      </c>
      <c r="AD87" s="3">
        <f>IF(ISERROR(VLOOKUP($A87,'SegEnds_NonXtal_BW#'!$A:$Z,21,FALSE)+VLOOKUP($A87,A:AL,31,FALSE)-50),"-",(VLOOKUP($A87,'SegEnds_NonXtal_BW#'!$A:$Z,21,FALSE)+VLOOKUP($A87,A:AL,31,FALSE)-50))</f>
        <v>224</v>
      </c>
      <c r="AE87" s="3">
        <v>248</v>
      </c>
      <c r="AF87" s="3">
        <f>IF(ISERROR((VLOOKUP($A87,'SegEnds_NonXtal_BW#'!$A:$Z,22,FALSE)+VLOOKUP($A87,A:AL,31,FALSE)-50)),"-",(VLOOKUP($A87,'SegEnds_NonXtal_BW#'!$A:$Z,22,FALSE)+VLOOKUP($A87,A:AL,31,FALSE)-50))</f>
        <v>262</v>
      </c>
      <c r="AG87" s="3">
        <f>IF(ISERROR(VLOOKUP($A87,'SegEnds_NonXtal_BW#'!$A:$Z,23,FALSE)+VLOOKUP($A87,A:AL,34,FALSE)-50),"-",(VLOOKUP($A87,'SegEnds_NonXtal_BW#'!$A:$Z,23,FALSE)+VLOOKUP($A87,A:AL,34,FALSE)-50))</f>
        <v>266</v>
      </c>
      <c r="AH87" s="3">
        <v>292</v>
      </c>
      <c r="AI87" s="3">
        <f>IF(ISERROR((VLOOKUP($A87,'SegEnds_NonXtal_BW#'!$A:$Z,24,FALSE)+VLOOKUP($A87,A:AL,34,FALSE)-50)),"-",(VLOOKUP($A87,'SegEnds_NonXtal_BW#'!$A:$Z,24,FALSE)+VLOOKUP($A87,A:AL,34,FALSE)-50))</f>
        <v>298</v>
      </c>
      <c r="AJ87" s="3">
        <f>IF(ISERROR(VLOOKUP($A87,'SegEnds_NonXtal_BW#'!$A:$Z,25,FALSE)+VLOOKUP($A87,A:AL,37,FALSE)-50),"-",(VLOOKUP($A87,'SegEnds_NonXtal_BW#'!$A:$Z,25,FALSE)+VLOOKUP($A87,A:AL,37,FALSE)-50))</f>
        <v>299</v>
      </c>
      <c r="AK87" s="3">
        <v>302</v>
      </c>
      <c r="AL87" s="3">
        <f>IF(ISERROR((VLOOKUP($A87,'SegEnds_NonXtal_BW#'!$A:$Z,26,FALSE)+VLOOKUP($A87,A:AL,37,FALSE)-50)),"-",(VLOOKUP($A87,'SegEnds_NonXtal_BW#'!$A:$Z,26,FALSE)+VLOOKUP($A87,A:AL,37,FALSE)-50))</f>
        <v>311</v>
      </c>
      <c r="AM87" s="28" t="str">
        <f>VLOOKUP(A87,Classification!A:B,2,FALSE)</f>
        <v>A</v>
      </c>
      <c r="AN87" s="28" t="b">
        <f t="shared" si="55"/>
        <v>1</v>
      </c>
      <c r="AO87" s="3" t="str">
        <f>IF(ISERROR(MATCH(A87,'SegEnds_Xtal_Prot#'!B:B, 0)), "NoXtal", "Xtal")</f>
        <v>NoXtal</v>
      </c>
      <c r="AP87" s="3" t="str">
        <f t="shared" si="39"/>
        <v>-</v>
      </c>
      <c r="AQ87" s="3" t="str">
        <f t="shared" si="40"/>
        <v>-</v>
      </c>
      <c r="AR87" s="3">
        <f t="shared" si="41"/>
        <v>3</v>
      </c>
      <c r="AS87" s="3">
        <f t="shared" si="42"/>
        <v>1</v>
      </c>
      <c r="AT87" s="3">
        <f t="shared" si="43"/>
        <v>1</v>
      </c>
      <c r="AU87" s="3">
        <f t="shared" si="44"/>
        <v>1</v>
      </c>
      <c r="AV87" s="3">
        <f t="shared" si="45"/>
        <v>11</v>
      </c>
      <c r="AW87" s="3">
        <f t="shared" si="46"/>
        <v>8</v>
      </c>
      <c r="AX87" s="3">
        <f t="shared" si="47"/>
        <v>6</v>
      </c>
      <c r="AY87" s="3">
        <f t="shared" si="48"/>
        <v>4</v>
      </c>
      <c r="AZ87" s="3">
        <f t="shared" si="49"/>
        <v>1</v>
      </c>
      <c r="BA87" s="3">
        <f>IF(ISERROR(LEN(VLOOKUP(A87,Seqs!A:E,2,FALSE))-AL87),"-",LEN(VLOOKUP(A87,Seqs!A:E,2,FALSE))-AL87)</f>
        <v>26</v>
      </c>
      <c r="BB87" s="16">
        <f t="shared" si="50"/>
        <v>28</v>
      </c>
      <c r="BC87" s="9">
        <f t="shared" si="51"/>
        <v>20</v>
      </c>
      <c r="BD87" s="3">
        <f t="shared" si="52"/>
        <v>28</v>
      </c>
      <c r="BE87" s="3">
        <f t="shared" si="53"/>
        <v>47</v>
      </c>
      <c r="BF87" s="3">
        <f>AH87-AE87</f>
        <v>44</v>
      </c>
    </row>
    <row r="88" spans="1:58" s="3" customFormat="1" x14ac:dyDescent="0.2">
      <c r="A88" s="3" t="s">
        <v>180</v>
      </c>
      <c r="B88" s="3" t="str">
        <f>LOWER(VLOOKUP(A88,Xtal_Templ!A:B,2,FALSE))</f>
        <v>p2ry1_human</v>
      </c>
      <c r="C88" s="3">
        <f>VLOOKUP($A88,'SegEnds_NonXtal_BW#'!$A:$Z,3,FALSE)+D88-50</f>
        <v>36</v>
      </c>
      <c r="D88" s="3">
        <v>56</v>
      </c>
      <c r="E88" s="3">
        <f>IF(ISERROR(VLOOKUP($A88,'SegEnds_NonXtal_BW#'!$A:$Z,4,FALSE)+VLOOKUP($A88,A:AL,4,FALSE)-50),"-",(VLOOKUP($A88,'SegEnds_NonXtal_BW#'!$A:$Z,4,FALSE)+VLOOKUP($A88,A:AL,4,FALSE)-50))</f>
        <v>66</v>
      </c>
      <c r="F88" s="3" t="str">
        <f>IF(ISERROR(VLOOKUP($A88,'SegEnds_NonXtal_BW#'!$A:$Z,5,FALSE)+VLOOKUP($A88,A:AL,7,FALSE)-50),"-",(VLOOKUP($A88,'SegEnds_NonXtal_BW#'!$A:$Z,5,FALSE)+VLOOKUP($A88,A:AL,7,FALSE)-50))</f>
        <v>-</v>
      </c>
      <c r="G88" s="3" t="s">
        <v>23</v>
      </c>
      <c r="H88" s="3" t="str">
        <f>IF(ISERROR(VLOOKUP($A88,'SegEnds_NonXtal_BW#'!$A:$Z,6,FALSE)+VLOOKUP($A88,A:AL,7,FALSE)-50),"-",(VLOOKUP($A88,'SegEnds_NonXtal_BW#'!$A:$Z,6,FALSE)+VLOOKUP($A88,A:AL,7,FALSE)-50))</f>
        <v>-</v>
      </c>
      <c r="I88" s="3">
        <f>VLOOKUP($A88,'SegEnds_NonXtal_BW#'!$A:$Z,7,FALSE)+J88-50</f>
        <v>71</v>
      </c>
      <c r="J88" s="3">
        <v>84</v>
      </c>
      <c r="K88" s="3">
        <f>VLOOKUP($A88,'SegEnds_NonXtal_BW#'!$A:$Z,8,FALSE)+VLOOKUP($A88,A:AL,10,FALSE)-50</f>
        <v>100</v>
      </c>
      <c r="L88" s="3">
        <f t="shared" si="56"/>
        <v>103</v>
      </c>
      <c r="M88" s="3">
        <v>104</v>
      </c>
      <c r="N88" s="3">
        <f t="shared" si="57"/>
        <v>106</v>
      </c>
      <c r="O88" s="3">
        <f t="shared" si="37"/>
        <v>107</v>
      </c>
      <c r="P88" s="3">
        <v>136</v>
      </c>
      <c r="Q88" s="3">
        <f>VLOOKUP($A88,'SegEnds_NonXtal_BW#'!$A:$Z,12,FALSE)+VLOOKUP($A88,A:AL,16,FALSE)-50</f>
        <v>142</v>
      </c>
      <c r="R88" s="3">
        <f>IF(ISERROR(VLOOKUP($A88,'SegEnds_NonXtal_BW#'!$A:$Z,13,FALSE)+VLOOKUP($A88,A:AL,19,FALSE)-50),"-",VLOOKUP($A88,'SegEnds_NonXtal_BW#'!$A:$Z,13,FALSE)+VLOOKUP($A88,A:AL,19,FALSE)-50)</f>
        <v>143</v>
      </c>
      <c r="S88" s="3">
        <v>143</v>
      </c>
      <c r="T88" s="100">
        <f>IF(ISERROR(VLOOKUP($A88,'SegEnds_NonXtal_BW#'!$A:$Z,14,FALSE)+VLOOKUP($A88,A:AL,19,FALSE)-50),"-",(VLOOKUP($A88,'SegEnds_NonXtal_BW#'!$A:$Z,14,FALSE)+VLOOKUP($A88,A:AL,19,FALSE)-50))</f>
        <v>150</v>
      </c>
      <c r="U88" s="9">
        <f>IF(ISERROR(VLOOKUP($A88,'SegEnds_NonXtal_BW#'!$A:$Z,15,FALSE)+VLOOKUP($A88,A:AL,22,FALSE)-50),"-",VLOOKUP($A88,'SegEnds_NonXtal_BW#'!$A:$Z,15,FALSE)+VLOOKUP($A88,A:AL,22,FALSE)-50)</f>
        <v>151</v>
      </c>
      <c r="V88" s="3">
        <v>163</v>
      </c>
      <c r="W88" s="3">
        <f>IF(ISERROR(VLOOKUP($A88,'SegEnds_NonXtal_BW#'!$A:$Z,16,FALSE)+VLOOKUP($A88,A:AL,22,FALSE)-50),"-",(VLOOKUP($A88,'SegEnds_NonXtal_BW#'!$A:$Z,16,FALSE)+VLOOKUP($A88,A:AL,22,FALSE)-50))</f>
        <v>177</v>
      </c>
      <c r="X88" s="3">
        <f>IF(ISERROR(VLOOKUP($A88,'SegEnds_NonXtal_BW#'!$A:$Z,17,FALSE)+VLOOKUP($A88,A:AL,25,FALSE)-50),"-",(VLOOKUP($A88,'SegEnds_NonXtal_BW#'!$A:$Z,17,FALSE)+VLOOKUP($A88,A:AL,25,FALSE)-50))</f>
        <v>187</v>
      </c>
      <c r="Y88" s="3">
        <v>187</v>
      </c>
      <c r="Z88" s="3">
        <f t="shared" si="38"/>
        <v>189</v>
      </c>
      <c r="AA88" s="3">
        <f>IF(ISERROR(VLOOKUP($A88,'SegEnds_NonXtal_BW#'!$A:$Z,19,FALSE)+VLOOKUP($A88,A:AL,28,FALSE)-50),"-",(VLOOKUP($A88,'SegEnds_NonXtal_BW#'!$A:$Z,19,FALSE)+VLOOKUP($A88,A:AL,28,FALSE)-50))</f>
        <v>195</v>
      </c>
      <c r="AB88" s="3">
        <v>213</v>
      </c>
      <c r="AC88" s="3">
        <f>IF(ISERROR((VLOOKUP($A88,'SegEnds_NonXtal_BW#'!$A:$Z,20,FALSE)+VLOOKUP($A88,A:AL,28,FALSE)-50)),"-",(VLOOKUP($A88,'SegEnds_NonXtal_BW#'!$A:$Z,20,FALSE)+VLOOKUP($A88,A:AL,28,FALSE)-50))</f>
        <v>231</v>
      </c>
      <c r="AD88" s="3">
        <f>IF(ISERROR(VLOOKUP($A88,'SegEnds_NonXtal_BW#'!$A:$Z,21,FALSE)+VLOOKUP($A88,A:AL,31,FALSE)-50),"-",(VLOOKUP($A88,'SegEnds_NonXtal_BW#'!$A:$Z,21,FALSE)+VLOOKUP($A88,A:AL,31,FALSE)-50))</f>
        <v>236</v>
      </c>
      <c r="AE88" s="3">
        <v>262</v>
      </c>
      <c r="AF88" s="3">
        <f>IF(ISERROR((VLOOKUP($A88,'SegEnds_NonXtal_BW#'!$A:$Z,22,FALSE)+VLOOKUP($A88,A:AL,31,FALSE)-50)),"-",(VLOOKUP($A88,'SegEnds_NonXtal_BW#'!$A:$Z,22,FALSE)+VLOOKUP($A88,A:AL,31,FALSE)-50))</f>
        <v>273</v>
      </c>
      <c r="AG88" s="3">
        <f>IF(ISERROR(VLOOKUP($A88,'SegEnds_NonXtal_BW#'!$A:$Z,23,FALSE)+VLOOKUP($A88,A:AL,34,FALSE)-50),"-",(VLOOKUP($A88,'SegEnds_NonXtal_BW#'!$A:$Z,23,FALSE)+VLOOKUP($A88,A:AL,34,FALSE)-50))</f>
        <v>280</v>
      </c>
      <c r="AH88" s="3">
        <v>302</v>
      </c>
      <c r="AI88" s="3">
        <f>IF(ISERROR((VLOOKUP($A88,'SegEnds_NonXtal_BW#'!$A:$Z,24,FALSE)+VLOOKUP($A88,A:AL,34,FALSE)-50)),"-",(VLOOKUP($A88,'SegEnds_NonXtal_BW#'!$A:$Z,24,FALSE)+VLOOKUP($A88,A:AL,34,FALSE)-50))</f>
        <v>308</v>
      </c>
      <c r="AJ88" s="3">
        <f>IF(ISERROR(VLOOKUP($A88,'SegEnds_NonXtal_BW#'!$A:$Z,25,FALSE)+VLOOKUP($A88,A:AL,37,FALSE)-50),"-",(VLOOKUP($A88,'SegEnds_NonXtal_BW#'!$A:$Z,25,FALSE)+VLOOKUP($A88,A:AL,37,FALSE)-50))</f>
        <v>309</v>
      </c>
      <c r="AK88" s="3">
        <v>312</v>
      </c>
      <c r="AL88" s="3">
        <f>IF(ISERROR((VLOOKUP($A88,'SegEnds_NonXtal_BW#'!$A:$Z,26,FALSE)+VLOOKUP($A88,A:AL,37,FALSE)-50)),"-",(VLOOKUP($A88,'SegEnds_NonXtal_BW#'!$A:$Z,26,FALSE)+VLOOKUP($A88,A:AL,37,FALSE)-50))</f>
        <v>321</v>
      </c>
      <c r="AM88" s="28" t="str">
        <f>VLOOKUP(A88,Classification!A:B,2,FALSE)</f>
        <v>A</v>
      </c>
      <c r="AN88" s="28" t="b">
        <f t="shared" si="55"/>
        <v>1</v>
      </c>
      <c r="AO88" s="3" t="str">
        <f>IF(ISERROR(MATCH(A88,'SegEnds_Xtal_Prot#'!B:B, 0)), "NoXtal", "Xtal")</f>
        <v>NoXtal</v>
      </c>
      <c r="AP88" s="3" t="str">
        <f t="shared" si="39"/>
        <v>-</v>
      </c>
      <c r="AQ88" s="3" t="str">
        <f t="shared" si="40"/>
        <v>-</v>
      </c>
      <c r="AR88" s="3">
        <f t="shared" si="41"/>
        <v>3</v>
      </c>
      <c r="AS88" s="3">
        <f t="shared" si="42"/>
        <v>1</v>
      </c>
      <c r="AT88" s="3">
        <f t="shared" si="43"/>
        <v>1</v>
      </c>
      <c r="AU88" s="3">
        <f t="shared" si="44"/>
        <v>1</v>
      </c>
      <c r="AV88" s="3">
        <f t="shared" si="45"/>
        <v>10</v>
      </c>
      <c r="AW88" s="3">
        <f t="shared" si="46"/>
        <v>6</v>
      </c>
      <c r="AX88" s="3">
        <f t="shared" si="47"/>
        <v>5</v>
      </c>
      <c r="AY88" s="3">
        <f t="shared" si="48"/>
        <v>7</v>
      </c>
      <c r="AZ88" s="3">
        <f t="shared" si="49"/>
        <v>1</v>
      </c>
      <c r="BA88" s="3">
        <f>IF(ISERROR(LEN(VLOOKUP(A88,Seqs!A:E,2,FALSE))-AL88),"-",LEN(VLOOKUP(A88,Seqs!A:E,2,FALSE))-AL88)</f>
        <v>25</v>
      </c>
      <c r="BB88" s="16">
        <f t="shared" si="50"/>
        <v>28</v>
      </c>
      <c r="BC88" s="9">
        <f t="shared" si="51"/>
        <v>20</v>
      </c>
      <c r="BD88" s="3">
        <f t="shared" si="52"/>
        <v>28</v>
      </c>
      <c r="BE88" s="3">
        <f t="shared" si="53"/>
        <v>49</v>
      </c>
      <c r="BF88" s="3">
        <f>AH88-AE88</f>
        <v>40</v>
      </c>
    </row>
    <row r="89" spans="1:58" s="3" customFormat="1" x14ac:dyDescent="0.2">
      <c r="A89" s="3" t="s">
        <v>181</v>
      </c>
      <c r="B89" s="3" t="str">
        <f>LOWER(VLOOKUP(A89,Xtal_Templ!A:B,2,FALSE))</f>
        <v>agtr1_human</v>
      </c>
      <c r="C89" s="3">
        <f>VLOOKUP($A89,'SegEnds_NonXtal_BW#'!$A:$Z,3,FALSE)+D89-50</f>
        <v>36</v>
      </c>
      <c r="D89" s="3">
        <v>58</v>
      </c>
      <c r="E89" s="3">
        <f>IF(ISERROR(VLOOKUP($A89,'SegEnds_NonXtal_BW#'!$A:$Z,4,FALSE)+VLOOKUP($A89,A:AL,4,FALSE)-50),"-",(VLOOKUP($A89,'SegEnds_NonXtal_BW#'!$A:$Z,4,FALSE)+VLOOKUP($A89,A:AL,4,FALSE)-50))</f>
        <v>68</v>
      </c>
      <c r="F89" s="3" t="str">
        <f>IF(ISERROR(VLOOKUP($A89,'SegEnds_NonXtal_BW#'!$A:$Z,5,FALSE)+VLOOKUP($A89,A:AL,7,FALSE)-50),"-",(VLOOKUP($A89,'SegEnds_NonXtal_BW#'!$A:$Z,5,FALSE)+VLOOKUP($A89,A:AL,7,FALSE)-50))</f>
        <v>-</v>
      </c>
      <c r="G89" s="3" t="s">
        <v>23</v>
      </c>
      <c r="H89" s="3" t="str">
        <f>IF(ISERROR(VLOOKUP($A89,'SegEnds_NonXtal_BW#'!$A:$Z,6,FALSE)+VLOOKUP($A89,A:AL,7,FALSE)-50),"-",(VLOOKUP($A89,'SegEnds_NonXtal_BW#'!$A:$Z,6,FALSE)+VLOOKUP($A89,A:AL,7,FALSE)-50))</f>
        <v>-</v>
      </c>
      <c r="I89" s="3">
        <f>VLOOKUP($A89,'SegEnds_NonXtal_BW#'!$A:$Z,7,FALSE)+J89-50</f>
        <v>72</v>
      </c>
      <c r="J89" s="3">
        <v>85</v>
      </c>
      <c r="K89" s="3">
        <f>VLOOKUP($A89,'SegEnds_NonXtal_BW#'!$A:$Z,8,FALSE)+VLOOKUP($A89,A:AL,10,FALSE)-50</f>
        <v>101</v>
      </c>
      <c r="L89" s="3">
        <f t="shared" si="56"/>
        <v>104</v>
      </c>
      <c r="M89" s="3">
        <v>105</v>
      </c>
      <c r="N89" s="3">
        <f t="shared" si="57"/>
        <v>107</v>
      </c>
      <c r="O89" s="3">
        <f t="shared" si="37"/>
        <v>108</v>
      </c>
      <c r="P89" s="3">
        <v>137</v>
      </c>
      <c r="Q89" s="3">
        <f>VLOOKUP($A89,'SegEnds_NonXtal_BW#'!$A:$Z,12,FALSE)+VLOOKUP($A89,A:AL,16,FALSE)-50</f>
        <v>143</v>
      </c>
      <c r="R89" s="3">
        <f>IF(ISERROR(VLOOKUP($A89,'SegEnds_NonXtal_BW#'!$A:$Z,13,FALSE)+VLOOKUP($A89,A:AL,19,FALSE)-50),"-",VLOOKUP($A89,'SegEnds_NonXtal_BW#'!$A:$Z,13,FALSE)+VLOOKUP($A89,A:AL,19,FALSE)-50)</f>
        <v>144</v>
      </c>
      <c r="S89" s="3">
        <v>144</v>
      </c>
      <c r="T89" s="100">
        <f>IF(ISERROR(VLOOKUP($A89,'SegEnds_NonXtal_BW#'!$A:$Z,14,FALSE)+VLOOKUP($A89,A:AL,19,FALSE)-50),"-",(VLOOKUP($A89,'SegEnds_NonXtal_BW#'!$A:$Z,14,FALSE)+VLOOKUP($A89,A:AL,19,FALSE)-50))</f>
        <v>151</v>
      </c>
      <c r="U89" s="9">
        <f>IF(ISERROR(VLOOKUP($A89,'SegEnds_NonXtal_BW#'!$A:$Z,15,FALSE)+VLOOKUP($A89,A:AL,22,FALSE)-50),"-",VLOOKUP($A89,'SegEnds_NonXtal_BW#'!$A:$Z,15,FALSE)+VLOOKUP($A89,A:AL,22,FALSE)-50)</f>
        <v>152</v>
      </c>
      <c r="V89" s="3">
        <v>164</v>
      </c>
      <c r="W89" s="3">
        <f>IF(ISERROR(VLOOKUP($A89,'SegEnds_NonXtal_BW#'!$A:$Z,16,FALSE)+VLOOKUP($A89,A:AL,22,FALSE)-50),"-",(VLOOKUP($A89,'SegEnds_NonXtal_BW#'!$A:$Z,16,FALSE)+VLOOKUP($A89,A:AL,22,FALSE)-50))</f>
        <v>178</v>
      </c>
      <c r="X89" s="3">
        <f>IF(ISERROR(VLOOKUP($A89,'SegEnds_NonXtal_BW#'!$A:$Z,17,FALSE)+VLOOKUP($A89,A:AL,25,FALSE)-50),"-",(VLOOKUP($A89,'SegEnds_NonXtal_BW#'!$A:$Z,17,FALSE)+VLOOKUP($A89,A:AL,25,FALSE)-50))</f>
        <v>189</v>
      </c>
      <c r="Y89" s="3">
        <v>189</v>
      </c>
      <c r="Z89" s="3">
        <f t="shared" si="38"/>
        <v>191</v>
      </c>
      <c r="AA89" s="3">
        <f>IF(ISERROR(VLOOKUP($A89,'SegEnds_NonXtal_BW#'!$A:$Z,19,FALSE)+VLOOKUP($A89,A:AL,28,FALSE)-50),"-",(VLOOKUP($A89,'SegEnds_NonXtal_BW#'!$A:$Z,19,FALSE)+VLOOKUP($A89,A:AL,28,FALSE)-50))</f>
        <v>216</v>
      </c>
      <c r="AB89" s="3">
        <v>232</v>
      </c>
      <c r="AC89" s="3">
        <f>IF(ISERROR((VLOOKUP($A89,'SegEnds_NonXtal_BW#'!$A:$Z,20,FALSE)+VLOOKUP($A89,A:AL,28,FALSE)-50)),"-",(VLOOKUP($A89,'SegEnds_NonXtal_BW#'!$A:$Z,20,FALSE)+VLOOKUP($A89,A:AL,28,FALSE)-50))</f>
        <v>250</v>
      </c>
      <c r="AD89" s="3">
        <f>IF(ISERROR(VLOOKUP($A89,'SegEnds_NonXtal_BW#'!$A:$Z,21,FALSE)+VLOOKUP($A89,A:AL,31,FALSE)-50),"-",(VLOOKUP($A89,'SegEnds_NonXtal_BW#'!$A:$Z,21,FALSE)+VLOOKUP($A89,A:AL,31,FALSE)-50))</f>
        <v>255</v>
      </c>
      <c r="AE89" s="3">
        <v>275</v>
      </c>
      <c r="AF89" s="3">
        <f>IF(ISERROR((VLOOKUP($A89,'SegEnds_NonXtal_BW#'!$A:$Z,22,FALSE)+VLOOKUP($A89,A:AL,31,FALSE)-50)),"-",(VLOOKUP($A89,'SegEnds_NonXtal_BW#'!$A:$Z,22,FALSE)+VLOOKUP($A89,A:AL,31,FALSE)-50))</f>
        <v>286</v>
      </c>
      <c r="AG89" s="3">
        <f>IF(ISERROR(VLOOKUP($A89,'SegEnds_NonXtal_BW#'!$A:$Z,23,FALSE)+VLOOKUP($A89,A:AL,34,FALSE)-50),"-",(VLOOKUP($A89,'SegEnds_NonXtal_BW#'!$A:$Z,23,FALSE)+VLOOKUP($A89,A:AL,34,FALSE)-50))</f>
        <v>288</v>
      </c>
      <c r="AH89" s="3">
        <v>313</v>
      </c>
      <c r="AI89" s="3">
        <f>IF(ISERROR((VLOOKUP($A89,'SegEnds_NonXtal_BW#'!$A:$Z,24,FALSE)+VLOOKUP($A89,A:AL,34,FALSE)-50)),"-",(VLOOKUP($A89,'SegEnds_NonXtal_BW#'!$A:$Z,24,FALSE)+VLOOKUP($A89,A:AL,34,FALSE)-50))</f>
        <v>319</v>
      </c>
      <c r="AJ89" s="3">
        <f>IF(ISERROR(VLOOKUP($A89,'SegEnds_NonXtal_BW#'!$A:$Z,25,FALSE)+VLOOKUP($A89,A:AL,37,FALSE)-50),"-",(VLOOKUP($A89,'SegEnds_NonXtal_BW#'!$A:$Z,25,FALSE)+VLOOKUP($A89,A:AL,37,FALSE)-50))</f>
        <v>320</v>
      </c>
      <c r="AK89" s="3">
        <v>323</v>
      </c>
      <c r="AL89" s="3">
        <f>IF(ISERROR((VLOOKUP($A89,'SegEnds_NonXtal_BW#'!$A:$Z,26,FALSE)+VLOOKUP($A89,A:AL,37,FALSE)-50)),"-",(VLOOKUP($A89,'SegEnds_NonXtal_BW#'!$A:$Z,26,FALSE)+VLOOKUP($A89,A:AL,37,FALSE)-50))</f>
        <v>334</v>
      </c>
      <c r="AM89" s="28" t="str">
        <f>VLOOKUP(A89,Classification!A:B,2,FALSE)</f>
        <v>A</v>
      </c>
      <c r="AN89" s="28" t="b">
        <f t="shared" si="55"/>
        <v>1</v>
      </c>
      <c r="AO89" s="3" t="str">
        <f>IF(ISERROR(MATCH(A89,'SegEnds_Xtal_Prot#'!B:B, 0)), "NoXtal", "Xtal")</f>
        <v>NoXtal</v>
      </c>
      <c r="AP89" s="3" t="str">
        <f t="shared" si="39"/>
        <v>-</v>
      </c>
      <c r="AQ89" s="3" t="str">
        <f t="shared" si="40"/>
        <v>-</v>
      </c>
      <c r="AR89" s="3">
        <f t="shared" si="41"/>
        <v>3</v>
      </c>
      <c r="AS89" s="3">
        <f t="shared" si="42"/>
        <v>1</v>
      </c>
      <c r="AT89" s="3">
        <f t="shared" si="43"/>
        <v>1</v>
      </c>
      <c r="AU89" s="3">
        <f t="shared" si="44"/>
        <v>1</v>
      </c>
      <c r="AV89" s="3">
        <f t="shared" si="45"/>
        <v>11</v>
      </c>
      <c r="AW89" s="3">
        <f t="shared" si="46"/>
        <v>25</v>
      </c>
      <c r="AX89" s="3">
        <f t="shared" si="47"/>
        <v>5</v>
      </c>
      <c r="AY89" s="3">
        <f t="shared" si="48"/>
        <v>2</v>
      </c>
      <c r="AZ89" s="3">
        <f t="shared" si="49"/>
        <v>1</v>
      </c>
      <c r="BA89" s="3">
        <f>IF(ISERROR(LEN(VLOOKUP(A89,Seqs!A:E,2,FALSE))-AL89),"-",LEN(VLOOKUP(A89,Seqs!A:E,2,FALSE))-AL89)</f>
        <v>39</v>
      </c>
      <c r="BB89" s="16">
        <f t="shared" si="50"/>
        <v>27</v>
      </c>
      <c r="BC89" s="9">
        <f t="shared" si="51"/>
        <v>20</v>
      </c>
      <c r="BD89" s="3">
        <f t="shared" si="52"/>
        <v>27</v>
      </c>
      <c r="BE89" s="3">
        <f t="shared" si="53"/>
        <v>43</v>
      </c>
    </row>
    <row r="90" spans="1:58" s="3" customFormat="1" x14ac:dyDescent="0.2">
      <c r="A90" s="3" t="s">
        <v>182</v>
      </c>
      <c r="B90" s="3" t="str">
        <f>LOWER(VLOOKUP(A90,Xtal_Templ!A:B,2,FALSE))</f>
        <v>cnr1_human</v>
      </c>
      <c r="C90" s="3">
        <f>VLOOKUP($A90,'SegEnds_NonXtal_BW#'!$A:$Z,3,FALSE)+D90-50</f>
        <v>112</v>
      </c>
      <c r="D90" s="3">
        <v>134</v>
      </c>
      <c r="E90" s="3">
        <f>IF(ISERROR(VLOOKUP($A90,'SegEnds_NonXtal_BW#'!$A:$Z,4,FALSE)+VLOOKUP($A90,A:AL,4,FALSE)-50),"-",(VLOOKUP($A90,'SegEnds_NonXtal_BW#'!$A:$Z,4,FALSE)+VLOOKUP($A90,A:AL,4,FALSE)-50))</f>
        <v>144</v>
      </c>
      <c r="F90" s="3">
        <f t="shared" ref="F90:F101" si="61">G90-2</f>
        <v>145</v>
      </c>
      <c r="G90" s="3">
        <v>147</v>
      </c>
      <c r="H90" s="3">
        <f t="shared" ref="H90:H98" si="62">G90+1</f>
        <v>148</v>
      </c>
      <c r="I90" s="3">
        <f>VLOOKUP($A90,'SegEnds_NonXtal_BW#'!$A:$Z,7,FALSE)+J90-50</f>
        <v>150</v>
      </c>
      <c r="J90" s="3">
        <v>163</v>
      </c>
      <c r="K90" s="3">
        <f>VLOOKUP($A90,'SegEnds_NonXtal_BW#'!$A:$Z,8,FALSE)+VLOOKUP($A90,A:AL,10,FALSE)-50</f>
        <v>179</v>
      </c>
      <c r="L90" s="3" t="str">
        <f>IF(ISERROR(VLOOKUP($A90,'SegEnds_NonXtal_BW#'!$A:$Z,9,FALSE)+VLOOKUP($A90,A:AL,13,FALSE)-50),"-",(VLOOKUP($A90,'SegEnds_NonXtal_BW#'!$A:$Z,9,FALSE)+VLOOKUP($A90,A:AL,13,FALSE)-50))</f>
        <v>-</v>
      </c>
      <c r="M90" s="3" t="s">
        <v>23</v>
      </c>
      <c r="N90" s="3" t="str">
        <f>IF(ISERROR(VLOOKUP($A90,'SegEnds_NonXtal_BW#'!$A:$Z,10,FALSE)+VLOOKUP($A90,A:AL,13,FALSE)-50),"-",(VLOOKUP($A90,'SegEnds_NonXtal_BW#'!$A:$Z,10,FALSE)+VLOOKUP($A90,A:AL,13,FALSE)-50))</f>
        <v>-</v>
      </c>
      <c r="O90" s="3">
        <f>VLOOKUP($A90,'SegEnds_NonXtal_BW#'!$A:$Z,11,FALSE)+VLOOKUP($A90,A:AL,16,FALSE)-50</f>
        <v>185</v>
      </c>
      <c r="P90" s="3">
        <v>214</v>
      </c>
      <c r="Q90" s="3">
        <f>VLOOKUP($A90,'SegEnds_NonXtal_BW#'!$A:$Z,12,FALSE)+VLOOKUP($A90,A:AL,16,FALSE)-50</f>
        <v>220</v>
      </c>
      <c r="R90" s="3">
        <f>S90</f>
        <v>221</v>
      </c>
      <c r="S90" s="3">
        <v>221</v>
      </c>
      <c r="T90" s="100">
        <f>S90+7</f>
        <v>228</v>
      </c>
      <c r="U90" s="9">
        <f>IF(ISERROR(VLOOKUP($A90,'SegEnds_NonXtal_BW#'!$A:$Z,15,FALSE)+VLOOKUP($A90,A:AL,22,FALSE)-50),"-",VLOOKUP($A90,'SegEnds_NonXtal_BW#'!$A:$Z,15,FALSE)+VLOOKUP($A90,A:AL,22,FALSE)-50)</f>
        <v>229</v>
      </c>
      <c r="V90" s="3">
        <v>241</v>
      </c>
      <c r="W90" s="3">
        <f>IF(ISERROR(VLOOKUP($A90,'SegEnds_NonXtal_BW#'!$A:$Z,16,FALSE)+VLOOKUP($A90,A:AL,22,FALSE)-50),"-",(VLOOKUP($A90,'SegEnds_NonXtal_BW#'!$A:$Z,16,FALSE)+VLOOKUP($A90,A:AL,22,FALSE)-50))</f>
        <v>254</v>
      </c>
      <c r="X90" s="3" t="str">
        <f>IF(ISERROR(VLOOKUP($A90,'SegEnds_NonXtal_BW#'!$A:$Z,17,FALSE)+VLOOKUP($A90,A:AL,25,FALSE)-50),"-",(VLOOKUP($A90,'SegEnds_NonXtal_BW#'!$A:$Z,17,FALSE)+VLOOKUP($A90,A:AL,25,FALSE)-50))</f>
        <v>-</v>
      </c>
      <c r="Y90" s="3" t="s">
        <v>23</v>
      </c>
      <c r="Z90" s="3" t="str">
        <f>IF(ISERROR(VLOOKUP($A90,'SegEnds_NonXtal_BW#'!$A:$Z,18,FALSE)+VLOOKUP($A90,A:AL,25,FALSE)-50),"-",(VLOOKUP($A90,'SegEnds_NonXtal_BW#'!$A:$Z,18,FALSE)+VLOOKUP($A90,A:AL,25,FALSE)-50))</f>
        <v>-</v>
      </c>
      <c r="AA90" s="3">
        <f>IF(ISERROR(VLOOKUP($A90,'SegEnds_NonXtal_BW#'!$A:$Z,19,FALSE)+VLOOKUP($A90,A:AL,28,FALSE)-50),"-",(VLOOKUP($A90,'SegEnds_NonXtal_BW#'!$A:$Z,19,FALSE)+VLOOKUP($A90,A:AL,28,FALSE)-50))</f>
        <v>272</v>
      </c>
      <c r="AB90" s="3">
        <v>286</v>
      </c>
      <c r="AC90" s="3">
        <f>IF(ISERROR((VLOOKUP($A90,'SegEnds_NonXtal_BW#'!$A:$Z,20,FALSE)+VLOOKUP($A90,A:AL,28,FALSE)-50)),"-",(VLOOKUP($A90,'SegEnds_NonXtal_BW#'!$A:$Z,20,FALSE)+VLOOKUP($A90,A:AL,28,FALSE)-50))</f>
        <v>312</v>
      </c>
      <c r="AD90" s="3">
        <f>IF(ISERROR(VLOOKUP($A90,'SegEnds_NonXtal_BW#'!$A:$Z,21,FALSE)+VLOOKUP($A90,A:AL,31,FALSE)-50),"-",(VLOOKUP($A90,'SegEnds_NonXtal_BW#'!$A:$Z,21,FALSE)+VLOOKUP($A90,A:AL,31,FALSE)-50))</f>
        <v>332</v>
      </c>
      <c r="AE90" s="3">
        <v>358</v>
      </c>
      <c r="AF90" s="3">
        <f>IF(ISERROR((VLOOKUP($A90,'SegEnds_NonXtal_BW#'!$A:$Z,22,FALSE)+VLOOKUP($A90,A:AL,31,FALSE)-50)),"-",(VLOOKUP($A90,'SegEnds_NonXtal_BW#'!$A:$Z,22,FALSE)+VLOOKUP($A90,A:AL,31,FALSE)-50))</f>
        <v>369</v>
      </c>
      <c r="AG90" s="3">
        <f>IF(ISERROR(VLOOKUP($A90,'SegEnds_NonXtal_BW#'!$A:$Z,23,FALSE)+VLOOKUP($A90,A:AL,34,FALSE)-50),"-",(VLOOKUP($A90,'SegEnds_NonXtal_BW#'!$A:$Z,23,FALSE)+VLOOKUP($A90,A:AL,34,FALSE)-50))</f>
        <v>372</v>
      </c>
      <c r="AH90" s="3">
        <v>394</v>
      </c>
      <c r="AI90" s="3">
        <f>IF(ISERROR((VLOOKUP($A90,'SegEnds_NonXtal_BW#'!$A:$Z,24,FALSE)+VLOOKUP($A90,A:AL,34,FALSE)-50)),"-",(VLOOKUP($A90,'SegEnds_NonXtal_BW#'!$A:$Z,24,FALSE)+VLOOKUP($A90,A:AL,34,FALSE)-50))</f>
        <v>400</v>
      </c>
      <c r="AJ90" s="3">
        <f>IF(ISERROR(VLOOKUP($A90,'SegEnds_NonXtal_BW#'!$A:$Z,25,FALSE)+VLOOKUP($A90,A:AL,37,FALSE)-50),"-",(VLOOKUP($A90,'SegEnds_NonXtal_BW#'!$A:$Z,25,FALSE)+VLOOKUP($A90,A:AL,37,FALSE)-50))</f>
        <v>401</v>
      </c>
      <c r="AK90" s="3">
        <v>404</v>
      </c>
      <c r="AL90" s="3">
        <f>IF(ISERROR((VLOOKUP($A90,'SegEnds_NonXtal_BW#'!$A:$Z,26,FALSE)+VLOOKUP($A90,A:AL,37,FALSE)-50)),"-",(VLOOKUP($A90,'SegEnds_NonXtal_BW#'!$A:$Z,26,FALSE)+VLOOKUP($A90,A:AL,37,FALSE)-50))</f>
        <v>413</v>
      </c>
      <c r="AM90" s="28" t="str">
        <f>VLOOKUP(A90,Classification!A:B,2,FALSE)</f>
        <v>A</v>
      </c>
      <c r="AN90" s="28" t="b">
        <f t="shared" si="55"/>
        <v>1</v>
      </c>
      <c r="AO90" s="3" t="str">
        <f>IF(ISERROR(MATCH(A90,'SegEnds_Xtal_Prot#'!B:B, 0)), "NoXtal", "Xtal")</f>
        <v>Xtal</v>
      </c>
      <c r="AP90" s="3">
        <f t="shared" si="39"/>
        <v>1</v>
      </c>
      <c r="AQ90" s="3">
        <f t="shared" si="40"/>
        <v>2</v>
      </c>
      <c r="AR90" s="3" t="str">
        <f t="shared" si="41"/>
        <v>-</v>
      </c>
      <c r="AS90" s="3" t="str">
        <f t="shared" si="42"/>
        <v>-</v>
      </c>
      <c r="AT90" s="3">
        <f t="shared" si="43"/>
        <v>1</v>
      </c>
      <c r="AU90" s="3">
        <f t="shared" si="44"/>
        <v>1</v>
      </c>
      <c r="AV90" s="3" t="str">
        <f t="shared" si="45"/>
        <v>-</v>
      </c>
      <c r="AW90" s="3" t="str">
        <f t="shared" si="46"/>
        <v>-</v>
      </c>
      <c r="AX90" s="3">
        <f t="shared" si="47"/>
        <v>20</v>
      </c>
      <c r="AY90" s="3">
        <f t="shared" si="48"/>
        <v>3</v>
      </c>
      <c r="AZ90" s="3">
        <f t="shared" si="49"/>
        <v>1</v>
      </c>
      <c r="BA90" s="3">
        <f>IF(ISERROR(LEN(VLOOKUP(A90,Seqs!A:E,2,FALSE))-AL90),"-",LEN(VLOOKUP(A90,Seqs!A:E,2,FALSE))-AL90)</f>
        <v>59</v>
      </c>
      <c r="BB90" s="16">
        <f t="shared" si="50"/>
        <v>29</v>
      </c>
      <c r="BC90" s="9">
        <f t="shared" si="51"/>
        <v>20</v>
      </c>
      <c r="BD90" s="3">
        <f t="shared" si="52"/>
        <v>29</v>
      </c>
      <c r="BE90" s="3">
        <f t="shared" si="53"/>
        <v>72</v>
      </c>
    </row>
    <row r="91" spans="1:58" s="3" customFormat="1" x14ac:dyDescent="0.2">
      <c r="A91" s="3" t="s">
        <v>183</v>
      </c>
      <c r="B91" s="3" t="str">
        <f>LOWER(VLOOKUP(A91,Xtal_Templ!A:B,2,FALSE))</f>
        <v>cnr2_human</v>
      </c>
      <c r="C91" s="3">
        <f>VLOOKUP($A91,'SegEnds_NonXtal_BW#'!$A:$Z,3,FALSE)+D91-50</f>
        <v>29</v>
      </c>
      <c r="D91" s="3">
        <v>51</v>
      </c>
      <c r="E91" s="3">
        <f>IF(ISERROR(VLOOKUP($A91,'SegEnds_NonXtal_BW#'!$A:$Z,4,FALSE)+VLOOKUP($A91,A:AL,4,FALSE)-50),"-",(VLOOKUP($A91,'SegEnds_NonXtal_BW#'!$A:$Z,4,FALSE)+VLOOKUP($A91,A:AL,4,FALSE)-50))</f>
        <v>61</v>
      </c>
      <c r="F91" s="3">
        <f t="shared" si="61"/>
        <v>62</v>
      </c>
      <c r="G91" s="3">
        <v>64</v>
      </c>
      <c r="H91" s="3">
        <f t="shared" si="62"/>
        <v>65</v>
      </c>
      <c r="I91" s="105">
        <v>67</v>
      </c>
      <c r="J91" s="3">
        <v>80</v>
      </c>
      <c r="K91" s="3">
        <f>VLOOKUP($A91,'SegEnds_NonXtal_BW#'!$A:$Z,8,FALSE)+VLOOKUP($A91,A:AL,10,FALSE)-50</f>
        <v>96</v>
      </c>
      <c r="L91" s="3" t="str">
        <f>IF(ISERROR(VLOOKUP($A91,'SegEnds_NonXtal_BW#'!$A:$Z,9,FALSE)+VLOOKUP($A91,A:AL,13,FALSE)-50),"-",(VLOOKUP($A91,'SegEnds_NonXtal_BW#'!$A:$Z,9,FALSE)+VLOOKUP($A91,A:AL,13,FALSE)-50))</f>
        <v>-</v>
      </c>
      <c r="M91" s="3" t="s">
        <v>23</v>
      </c>
      <c r="N91" s="3" t="str">
        <f>IF(ISERROR(VLOOKUP($A91,'SegEnds_NonXtal_BW#'!$A:$Z,10,FALSE)+VLOOKUP($A91,A:AL,13,FALSE)-50),"-",(VLOOKUP($A91,'SegEnds_NonXtal_BW#'!$A:$Z,10,FALSE)+VLOOKUP($A91,A:AL,13,FALSE)-50))</f>
        <v>-</v>
      </c>
      <c r="O91" s="3">
        <f>VLOOKUP($A91,'SegEnds_NonXtal_BW#'!$A:$Z,11,FALSE)+VLOOKUP($A91,A:AL,16,FALSE)-50</f>
        <v>102</v>
      </c>
      <c r="P91" s="3">
        <v>131</v>
      </c>
      <c r="Q91" s="3">
        <f>VLOOKUP($A91,'SegEnds_NonXtal_BW#'!$A:$Z,12,FALSE)+VLOOKUP($A91,A:AL,16,FALSE)-50</f>
        <v>137</v>
      </c>
      <c r="R91" s="3">
        <f>S91</f>
        <v>138</v>
      </c>
      <c r="S91" s="3">
        <v>138</v>
      </c>
      <c r="T91" s="100">
        <f>S91+7</f>
        <v>145</v>
      </c>
      <c r="U91" s="9">
        <f>IF(ISERROR(VLOOKUP($A91,'SegEnds_NonXtal_BW#'!$A:$Z,15,FALSE)+VLOOKUP($A91,A:AL,22,FALSE)-50),"-",VLOOKUP($A91,'SegEnds_NonXtal_BW#'!$A:$Z,15,FALSE)+VLOOKUP($A91,A:AL,22,FALSE)-50)</f>
        <v>146</v>
      </c>
      <c r="V91" s="3">
        <v>158</v>
      </c>
      <c r="W91" s="3">
        <f>IF(ISERROR(VLOOKUP($A91,'SegEnds_NonXtal_BW#'!$A:$Z,16,FALSE)+VLOOKUP($A91,A:AL,22,FALSE)-50),"-",(VLOOKUP($A91,'SegEnds_NonXtal_BW#'!$A:$Z,16,FALSE)+VLOOKUP($A91,A:AL,22,FALSE)-50))</f>
        <v>171</v>
      </c>
      <c r="X91" s="3" t="str">
        <f>IF(ISERROR(VLOOKUP($A91,'SegEnds_NonXtal_BW#'!$A:$Z,17,FALSE)+VLOOKUP($A91,A:AL,25,FALSE)-50),"-",(VLOOKUP($A91,'SegEnds_NonXtal_BW#'!$A:$Z,17,FALSE)+VLOOKUP($A91,A:AL,25,FALSE)-50))</f>
        <v>-</v>
      </c>
      <c r="Y91" s="3" t="s">
        <v>23</v>
      </c>
      <c r="Z91" s="3" t="str">
        <f>IF(ISERROR(VLOOKUP($A91,'SegEnds_NonXtal_BW#'!$A:$Z,18,FALSE)+VLOOKUP($A91,A:AL,25,FALSE)-50),"-",(VLOOKUP($A91,'SegEnds_NonXtal_BW#'!$A:$Z,18,FALSE)+VLOOKUP($A91,A:AL,25,FALSE)-50))</f>
        <v>-</v>
      </c>
      <c r="AA91" s="3">
        <f>IF(ISERROR(VLOOKUP($A91,'SegEnds_NonXtal_BW#'!$A:$Z,19,FALSE)+VLOOKUP($A91,A:AL,28,FALSE)-50),"-",(VLOOKUP($A91,'SegEnds_NonXtal_BW#'!$A:$Z,19,FALSE)+VLOOKUP($A91,A:AL,28,FALSE)-50))</f>
        <v>187</v>
      </c>
      <c r="AB91" s="3">
        <v>201</v>
      </c>
      <c r="AC91" s="3">
        <f>IF(ISERROR((VLOOKUP($A91,'SegEnds_NonXtal_BW#'!$A:$Z,20,FALSE)+VLOOKUP($A91,A:AL,28,FALSE)-50)),"-",(VLOOKUP($A91,'SegEnds_NonXtal_BW#'!$A:$Z,20,FALSE)+VLOOKUP($A91,A:AL,28,FALSE)-50))</f>
        <v>225</v>
      </c>
      <c r="AD91" s="3">
        <f>IF(ISERROR(VLOOKUP($A91,'SegEnds_NonXtal_BW#'!$A:$Z,21,FALSE)+VLOOKUP($A91,A:AL,31,FALSE)-50),"-",(VLOOKUP($A91,'SegEnds_NonXtal_BW#'!$A:$Z,21,FALSE)+VLOOKUP($A91,A:AL,31,FALSE)-50))</f>
        <v>231</v>
      </c>
      <c r="AE91" s="3">
        <v>260</v>
      </c>
      <c r="AF91" s="3">
        <f>IF(ISERROR((VLOOKUP($A91,'SegEnds_NonXtal_BW#'!$A:$Z,22,FALSE)+VLOOKUP($A91,A:AL,31,FALSE)-50)),"-",(VLOOKUP($A91,'SegEnds_NonXtal_BW#'!$A:$Z,22,FALSE)+VLOOKUP($A91,A:AL,31,FALSE)-50))</f>
        <v>271</v>
      </c>
      <c r="AG91" s="3">
        <f>IF(ISERROR(VLOOKUP($A91,'SegEnds_NonXtal_BW#'!$A:$Z,23,FALSE)+VLOOKUP($A91,A:AL,34,FALSE)-50),"-",(VLOOKUP($A91,'SegEnds_NonXtal_BW#'!$A:$Z,23,FALSE)+VLOOKUP($A91,A:AL,34,FALSE)-50))</f>
        <v>274</v>
      </c>
      <c r="AH91" s="3">
        <v>296</v>
      </c>
      <c r="AI91" s="3">
        <f>IF(ISERROR((VLOOKUP($A91,'SegEnds_NonXtal_BW#'!$A:$Z,24,FALSE)+VLOOKUP($A91,A:AL,34,FALSE)-50)),"-",(VLOOKUP($A91,'SegEnds_NonXtal_BW#'!$A:$Z,24,FALSE)+VLOOKUP($A91,A:AL,34,FALSE)-50))</f>
        <v>302</v>
      </c>
      <c r="AJ91" s="3">
        <f>IF(ISERROR(VLOOKUP($A91,'SegEnds_NonXtal_BW#'!$A:$Z,25,FALSE)+VLOOKUP($A91,A:AL,37,FALSE)-50),"-",(VLOOKUP($A91,'SegEnds_NonXtal_BW#'!$A:$Z,25,FALSE)+VLOOKUP($A91,A:AL,37,FALSE)-50))</f>
        <v>303</v>
      </c>
      <c r="AK91" s="3">
        <v>306</v>
      </c>
      <c r="AL91" s="3">
        <f>IF(ISERROR((VLOOKUP($A91,'SegEnds_NonXtal_BW#'!$A:$Z,26,FALSE)+VLOOKUP($A91,A:AL,37,FALSE)-50)),"-",(VLOOKUP($A91,'SegEnds_NonXtal_BW#'!$A:$Z,26,FALSE)+VLOOKUP($A91,A:AL,37,FALSE)-50))</f>
        <v>319</v>
      </c>
      <c r="AM91" s="28" t="str">
        <f>VLOOKUP(A91,Classification!A:B,2,FALSE)</f>
        <v>A</v>
      </c>
      <c r="AN91" s="28" t="b">
        <f t="shared" si="55"/>
        <v>1</v>
      </c>
      <c r="AO91" s="3" t="str">
        <f>IF(ISERROR(MATCH(A91,'SegEnds_Xtal_Prot#'!B:B, 0)), "NoXtal", "Xtal")</f>
        <v>Xtal</v>
      </c>
      <c r="AP91" s="3">
        <f t="shared" si="39"/>
        <v>1</v>
      </c>
      <c r="AQ91" s="3">
        <f t="shared" si="40"/>
        <v>2</v>
      </c>
      <c r="AR91" s="3" t="str">
        <f t="shared" si="41"/>
        <v>-</v>
      </c>
      <c r="AS91" s="3" t="str">
        <f t="shared" si="42"/>
        <v>-</v>
      </c>
      <c r="AT91" s="3">
        <f t="shared" si="43"/>
        <v>1</v>
      </c>
      <c r="AU91" s="3">
        <f t="shared" si="44"/>
        <v>1</v>
      </c>
      <c r="AV91" s="3" t="str">
        <f t="shared" si="45"/>
        <v>-</v>
      </c>
      <c r="AW91" s="3" t="str">
        <f t="shared" si="46"/>
        <v>-</v>
      </c>
      <c r="AX91" s="3">
        <f t="shared" si="47"/>
        <v>6</v>
      </c>
      <c r="AY91" s="3">
        <f t="shared" si="48"/>
        <v>3</v>
      </c>
      <c r="AZ91" s="3">
        <f t="shared" si="49"/>
        <v>1</v>
      </c>
      <c r="BA91" s="3">
        <f>IF(ISERROR(LEN(VLOOKUP(A91,Seqs!A:E,2,FALSE))-AL91),"-",LEN(VLOOKUP(A91,Seqs!A:E,2,FALSE))-AL91)</f>
        <v>41</v>
      </c>
      <c r="BB91" s="16">
        <f t="shared" si="50"/>
        <v>29</v>
      </c>
      <c r="BC91" s="9">
        <f t="shared" si="51"/>
        <v>20</v>
      </c>
      <c r="BD91" s="3">
        <f t="shared" si="52"/>
        <v>29</v>
      </c>
      <c r="BE91" s="3">
        <f t="shared" si="53"/>
        <v>59</v>
      </c>
    </row>
    <row r="92" spans="1:58" s="3" customFormat="1" x14ac:dyDescent="0.2">
      <c r="A92" s="3" t="s">
        <v>184</v>
      </c>
      <c r="B92" s="3" t="str">
        <f>LOWER(VLOOKUP(A92,Xtal_Templ!A:B,2,FALSE))</f>
        <v>ccr5_human</v>
      </c>
      <c r="C92" s="3">
        <f>VLOOKUP($A92,'SegEnds_NonXtal_BW#'!$A:$Z,3,FALSE)+D92-50</f>
        <v>23</v>
      </c>
      <c r="D92" s="3">
        <v>49</v>
      </c>
      <c r="E92" s="3">
        <f>IF(ISERROR(VLOOKUP($A92,'SegEnds_NonXtal_BW#'!$A:$Z,4,FALSE)+VLOOKUP($A92,A:AL,4,FALSE)-50),"-",(VLOOKUP($A92,'SegEnds_NonXtal_BW#'!$A:$Z,4,FALSE)+VLOOKUP($A92,A:AL,4,FALSE)-50))</f>
        <v>59</v>
      </c>
      <c r="F92" s="3">
        <f t="shared" si="61"/>
        <v>60</v>
      </c>
      <c r="G92" s="3">
        <v>62</v>
      </c>
      <c r="H92" s="3">
        <f t="shared" si="62"/>
        <v>63</v>
      </c>
      <c r="I92" s="3">
        <f t="shared" ref="I92:I101" si="63">H92+1</f>
        <v>64</v>
      </c>
      <c r="J92" s="3">
        <v>77</v>
      </c>
      <c r="K92" s="3">
        <f>VLOOKUP($A92,'SegEnds_NonXtal_BW#'!$A:$Z,8,FALSE)+VLOOKUP($A92,A:AL,10,FALSE)-50</f>
        <v>93</v>
      </c>
      <c r="L92" s="3" t="str">
        <f>IF(ISERROR(VLOOKUP($A92,'SegEnds_NonXtal_BW#'!$A:$Z,9,FALSE)+VLOOKUP($A92,A:AL,13,FALSE)-50),"-",(VLOOKUP($A92,'SegEnds_NonXtal_BW#'!$A:$Z,9,FALSE)+VLOOKUP($A92,A:AL,13,FALSE)-50))</f>
        <v>-</v>
      </c>
      <c r="M92" s="3" t="s">
        <v>23</v>
      </c>
      <c r="N92" s="3" t="str">
        <f>IF(ISERROR(VLOOKUP($A92,'SegEnds_NonXtal_BW#'!$A:$Z,10,FALSE)+VLOOKUP($A92,A:AL,13,FALSE)-50),"-",(VLOOKUP($A92,'SegEnds_NonXtal_BW#'!$A:$Z,10,FALSE)+VLOOKUP($A92,A:AL,13,FALSE)-50))</f>
        <v>-</v>
      </c>
      <c r="O92" s="3">
        <f>VLOOKUP($A92,'SegEnds_NonXtal_BW#'!$A:$Z,11,FALSE)+VLOOKUP($A92,A:AL,16,FALSE)-50</f>
        <v>101</v>
      </c>
      <c r="P92" s="3">
        <v>127</v>
      </c>
      <c r="Q92" s="3">
        <f>VLOOKUP($A92,'SegEnds_NonXtal_BW#'!$A:$Z,12,FALSE)+VLOOKUP($A92,A:AL,16,FALSE)-50</f>
        <v>133</v>
      </c>
      <c r="R92" s="3">
        <f>IF(ISERROR(VLOOKUP($A92,'SegEnds_NonXtal_BW#'!$A:$Z,13,FALSE)+VLOOKUP($A92,A:AL,19,FALSE)-50),"-",VLOOKUP($A92,'SegEnds_NonXtal_BW#'!$A:$Z,13,FALSE)+VLOOKUP($A92,A:AL,19,FALSE)-50)</f>
        <v>134</v>
      </c>
      <c r="S92" s="3">
        <v>134</v>
      </c>
      <c r="T92" s="100">
        <f>IF(ISERROR(VLOOKUP($A92,'SegEnds_NonXtal_BW#'!$A:$Z,14,FALSE)+VLOOKUP($A92,A:AL,19,FALSE)-50),"-",(VLOOKUP($A92,'SegEnds_NonXtal_BW#'!$A:$Z,14,FALSE)+VLOOKUP($A92,A:AL,19,FALSE)-50))</f>
        <v>141</v>
      </c>
      <c r="U92" s="9">
        <f>IF(ISERROR(VLOOKUP($A92,'SegEnds_NonXtal_BW#'!$A:$Z,15,FALSE)+VLOOKUP($A92,A:AL,22,FALSE)-50),"-",VLOOKUP($A92,'SegEnds_NonXtal_BW#'!$A:$Z,15,FALSE)+VLOOKUP($A92,A:AL,22,FALSE)-50)</f>
        <v>142</v>
      </c>
      <c r="V92" s="3">
        <v>154</v>
      </c>
      <c r="W92" s="3">
        <f>IF(ISERROR(VLOOKUP($A92,'SegEnds_NonXtal_BW#'!$A:$Z,16,FALSE)+VLOOKUP($A92,A:AL,22,FALSE)-50),"-",(VLOOKUP($A92,'SegEnds_NonXtal_BW#'!$A:$Z,16,FALSE)+VLOOKUP($A92,A:AL,22,FALSE)-50))</f>
        <v>168</v>
      </c>
      <c r="X92" s="3">
        <f>IF(ISERROR(VLOOKUP($A92,'SegEnds_NonXtal_BW#'!$A:$Z,17,FALSE)+VLOOKUP($A92,A:AL,25,FALSE)-50),"-",(VLOOKUP($A92,'SegEnds_NonXtal_BW#'!$A:$Z,17,FALSE)+VLOOKUP($A92,A:AL,25,FALSE)-50))</f>
        <v>175</v>
      </c>
      <c r="Y92" s="3">
        <v>175</v>
      </c>
      <c r="Z92" s="3">
        <f t="shared" ref="Z92:Z117" si="64">Y92+2</f>
        <v>177</v>
      </c>
      <c r="AA92" s="3">
        <f>IF(ISERROR(VLOOKUP($A92,'SegEnds_NonXtal_BW#'!$A:$Z,19,FALSE)+VLOOKUP($A92,A:AL,28,FALSE)-50),"-",(VLOOKUP($A92,'SegEnds_NonXtal_BW#'!$A:$Z,19,FALSE)+VLOOKUP($A92,A:AL,28,FALSE)-50))</f>
        <v>183</v>
      </c>
      <c r="AB92" s="3">
        <v>203</v>
      </c>
      <c r="AC92" s="3">
        <f>IF(ISERROR((VLOOKUP($A92,'SegEnds_NonXtal_BW#'!$A:$Z,20,FALSE)+VLOOKUP($A92,A:AL,28,FALSE)-50)),"-",(VLOOKUP($A92,'SegEnds_NonXtal_BW#'!$A:$Z,20,FALSE)+VLOOKUP($A92,A:AL,28,FALSE)-50))</f>
        <v>221</v>
      </c>
      <c r="AD92" s="3">
        <f>IF(ISERROR(VLOOKUP($A92,'SegEnds_NonXtal_BW#'!$A:$Z,21,FALSE)+VLOOKUP($A92,A:AL,31,FALSE)-50),"-",(VLOOKUP($A92,'SegEnds_NonXtal_BW#'!$A:$Z,21,FALSE)+VLOOKUP($A92,A:AL,31,FALSE)-50))</f>
        <v>226</v>
      </c>
      <c r="AE92" s="3">
        <v>246</v>
      </c>
      <c r="AF92" s="3">
        <f>IF(ISERROR((VLOOKUP($A92,'SegEnds_NonXtal_BW#'!$A:$Z,22,FALSE)+VLOOKUP($A92,A:AL,31,FALSE)-50)),"-",(VLOOKUP($A92,'SegEnds_NonXtal_BW#'!$A:$Z,22,FALSE)+VLOOKUP($A92,A:AL,31,FALSE)-50))</f>
        <v>260</v>
      </c>
      <c r="AG92" s="3">
        <f>IF(ISERROR(VLOOKUP($A92,'SegEnds_NonXtal_BW#'!$A:$Z,23,FALSE)+VLOOKUP($A92,A:AL,34,FALSE)-50),"-",(VLOOKUP($A92,'SegEnds_NonXtal_BW#'!$A:$Z,23,FALSE)+VLOOKUP($A92,A:AL,34,FALSE)-50))</f>
        <v>264</v>
      </c>
      <c r="AH92" s="3">
        <v>290</v>
      </c>
      <c r="AI92" s="3">
        <f>IF(ISERROR((VLOOKUP($A92,'SegEnds_NonXtal_BW#'!$A:$Z,24,FALSE)+VLOOKUP($A92,A:AL,34,FALSE)-50)),"-",(VLOOKUP($A92,'SegEnds_NonXtal_BW#'!$A:$Z,24,FALSE)+VLOOKUP($A92,A:AL,34,FALSE)-50))</f>
        <v>296</v>
      </c>
      <c r="AJ92" s="3">
        <f>IF(ISERROR(VLOOKUP($A92,'SegEnds_NonXtal_BW#'!$A:$Z,25,FALSE)+VLOOKUP($A92,A:AL,37,FALSE)-50),"-",(VLOOKUP($A92,'SegEnds_NonXtal_BW#'!$A:$Z,25,FALSE)+VLOOKUP($A92,A:AL,37,FALSE)-50))</f>
        <v>297</v>
      </c>
      <c r="AK92" s="3">
        <v>300</v>
      </c>
      <c r="AL92" s="3">
        <f>IF(ISERROR((VLOOKUP($A92,'SegEnds_NonXtal_BW#'!$A:$Z,26,FALSE)+VLOOKUP($A92,A:AL,37,FALSE)-50)),"-",(VLOOKUP($A92,'SegEnds_NonXtal_BW#'!$A:$Z,26,FALSE)+VLOOKUP($A92,A:AL,37,FALSE)-50))</f>
        <v>309</v>
      </c>
      <c r="AM92" s="28" t="str">
        <f>VLOOKUP(A92,Classification!A:B,2,FALSE)</f>
        <v>A</v>
      </c>
      <c r="AN92" s="28" t="b">
        <f t="shared" si="55"/>
        <v>1</v>
      </c>
      <c r="AO92" s="3" t="str">
        <f>IF(ISERROR(MATCH(A92,'SegEnds_Xtal_Prot#'!B:B, 0)), "NoXtal", "Xtal")</f>
        <v>NoXtal</v>
      </c>
      <c r="AP92" s="3">
        <f t="shared" si="39"/>
        <v>1</v>
      </c>
      <c r="AQ92" s="3">
        <f t="shared" si="40"/>
        <v>1</v>
      </c>
      <c r="AR92" s="3" t="str">
        <f t="shared" si="41"/>
        <v>-</v>
      </c>
      <c r="AS92" s="3" t="str">
        <f t="shared" si="42"/>
        <v>-</v>
      </c>
      <c r="AT92" s="3">
        <f t="shared" si="43"/>
        <v>1</v>
      </c>
      <c r="AU92" s="3">
        <f t="shared" si="44"/>
        <v>1</v>
      </c>
      <c r="AV92" s="3">
        <f t="shared" si="45"/>
        <v>7</v>
      </c>
      <c r="AW92" s="3">
        <f t="shared" si="46"/>
        <v>6</v>
      </c>
      <c r="AX92" s="3">
        <f t="shared" si="47"/>
        <v>5</v>
      </c>
      <c r="AY92" s="3">
        <f t="shared" si="48"/>
        <v>4</v>
      </c>
      <c r="AZ92" s="3">
        <f t="shared" si="49"/>
        <v>1</v>
      </c>
      <c r="BA92" s="3">
        <f>IF(ISERROR(LEN(VLOOKUP(A92,Seqs!A:E,2,FALSE))-AL92),"-",LEN(VLOOKUP(A92,Seqs!A:E,2,FALSE))-AL92)</f>
        <v>46</v>
      </c>
      <c r="BB92" s="16">
        <f t="shared" si="50"/>
        <v>28</v>
      </c>
      <c r="BC92" s="9">
        <f t="shared" si="51"/>
        <v>20</v>
      </c>
      <c r="BD92" s="3">
        <f t="shared" si="52"/>
        <v>28</v>
      </c>
      <c r="BE92" s="3">
        <f t="shared" si="53"/>
        <v>43</v>
      </c>
    </row>
    <row r="93" spans="1:58" s="3" customFormat="1" x14ac:dyDescent="0.2">
      <c r="A93" s="3" t="s">
        <v>187</v>
      </c>
      <c r="B93" s="3" t="str">
        <f>LOWER(VLOOKUP(A93,Xtal_Templ!A:B,2,FALSE))</f>
        <v>cxcr4_human</v>
      </c>
      <c r="C93" s="3">
        <f>VLOOKUP($A93,'SegEnds_NonXtal_BW#'!$A:$Z,3,FALSE)+D93-50</f>
        <v>45</v>
      </c>
      <c r="D93" s="3">
        <v>71</v>
      </c>
      <c r="E93" s="3">
        <f>IF(ISERROR(VLOOKUP($A93,'SegEnds_NonXtal_BW#'!$A:$Z,4,FALSE)+VLOOKUP($A93,A:AL,4,FALSE)-50),"-",(VLOOKUP($A93,'SegEnds_NonXtal_BW#'!$A:$Z,4,FALSE)+VLOOKUP($A93,A:AL,4,FALSE)-50))</f>
        <v>81</v>
      </c>
      <c r="F93" s="3">
        <f t="shared" si="61"/>
        <v>82</v>
      </c>
      <c r="G93" s="3">
        <v>84</v>
      </c>
      <c r="H93" s="3">
        <f t="shared" si="62"/>
        <v>85</v>
      </c>
      <c r="I93" s="3">
        <f t="shared" si="63"/>
        <v>86</v>
      </c>
      <c r="J93" s="3">
        <v>99</v>
      </c>
      <c r="K93" s="3">
        <f>VLOOKUP($A93,'SegEnds_NonXtal_BW#'!$A:$Z,8,FALSE)+VLOOKUP($A93,A:AL,10,FALSE)-50</f>
        <v>115</v>
      </c>
      <c r="L93" s="3">
        <f t="shared" ref="L93:L100" si="65">M93-1</f>
        <v>116</v>
      </c>
      <c r="M93" s="3">
        <v>117</v>
      </c>
      <c r="N93" s="3">
        <f t="shared" ref="N93:N100" si="66">M93+2</f>
        <v>119</v>
      </c>
      <c r="O93" s="3">
        <f t="shared" ref="O93:O100" si="67">N93+1</f>
        <v>120</v>
      </c>
      <c r="P93" s="3">
        <v>149</v>
      </c>
      <c r="Q93" s="3">
        <f>VLOOKUP($A93,'SegEnds_NonXtal_BW#'!$A:$Z,12,FALSE)+VLOOKUP($A93,A:AL,16,FALSE)-50</f>
        <v>155</v>
      </c>
      <c r="R93" s="3">
        <f>IF(ISERROR(VLOOKUP($A93,'SegEnds_NonXtal_BW#'!$A:$Z,13,FALSE)+VLOOKUP($A93,A:AL,19,FALSE)-50),"-",VLOOKUP($A93,'SegEnds_NonXtal_BW#'!$A:$Z,13,FALSE)+VLOOKUP($A93,A:AL,19,FALSE)-50)</f>
        <v>156</v>
      </c>
      <c r="S93" s="3">
        <v>156</v>
      </c>
      <c r="T93" s="100">
        <f>IF(ISERROR(VLOOKUP($A93,'SegEnds_NonXtal_BW#'!$A:$Z,14,FALSE)+VLOOKUP($A93,A:AL,19,FALSE)-50),"-",(VLOOKUP($A93,'SegEnds_NonXtal_BW#'!$A:$Z,14,FALSE)+VLOOKUP($A93,A:AL,19,FALSE)-50))</f>
        <v>163</v>
      </c>
      <c r="U93" s="9">
        <f>IF(ISERROR(VLOOKUP($A93,'SegEnds_NonXtal_BW#'!$A:$Z,15,FALSE)+VLOOKUP($A93,A:AL,22,FALSE)-50),"-",VLOOKUP($A93,'SegEnds_NonXtal_BW#'!$A:$Z,15,FALSE)+VLOOKUP($A93,A:AL,22,FALSE)-50)</f>
        <v>164</v>
      </c>
      <c r="V93" s="3">
        <v>176</v>
      </c>
      <c r="W93" s="3">
        <f>IF(ISERROR(VLOOKUP($A93,'SegEnds_NonXtal_BW#'!$A:$Z,16,FALSE)+VLOOKUP($A93,A:AL,22,FALSE)-50),"-",(VLOOKUP($A93,'SegEnds_NonXtal_BW#'!$A:$Z,16,FALSE)+VLOOKUP($A93,A:AL,22,FALSE)-50))</f>
        <v>190</v>
      </c>
      <c r="X93" s="3">
        <f>IF(ISERROR(VLOOKUP($A93,'SegEnds_NonXtal_BW#'!$A:$Z,17,FALSE)+VLOOKUP($A93,A:AL,25,FALSE)-50),"-",(VLOOKUP($A93,'SegEnds_NonXtal_BW#'!$A:$Z,17,FALSE)+VLOOKUP($A93,A:AL,25,FALSE)-50))</f>
        <v>203</v>
      </c>
      <c r="Y93" s="3">
        <v>203</v>
      </c>
      <c r="Z93" s="3">
        <f t="shared" si="64"/>
        <v>205</v>
      </c>
      <c r="AA93" s="3">
        <f>IF(ISERROR(VLOOKUP($A93,'SegEnds_NonXtal_BW#'!$A:$Z,19,FALSE)+VLOOKUP($A93,A:AL,28,FALSE)-50),"-",(VLOOKUP($A93,'SegEnds_NonXtal_BW#'!$A:$Z,19,FALSE)+VLOOKUP($A93,A:AL,28,FALSE)-50))</f>
        <v>209</v>
      </c>
      <c r="AB93" s="3">
        <v>227</v>
      </c>
      <c r="AC93" s="3">
        <f>IF(ISERROR((VLOOKUP($A93,'SegEnds_NonXtal_BW#'!$A:$Z,20,FALSE)+VLOOKUP($A93,A:AL,28,FALSE)-50)),"-",(VLOOKUP($A93,'SegEnds_NonXtal_BW#'!$A:$Z,20,FALSE)+VLOOKUP($A93,A:AL,28,FALSE)-50))</f>
        <v>245</v>
      </c>
      <c r="AD93" s="3">
        <f>IF(ISERROR(VLOOKUP($A93,'SegEnds_NonXtal_BW#'!$A:$Z,21,FALSE)+VLOOKUP($A93,A:AL,31,FALSE)-50),"-",(VLOOKUP($A93,'SegEnds_NonXtal_BW#'!$A:$Z,21,FALSE)+VLOOKUP($A93,A:AL,31,FALSE)-50))</f>
        <v>250</v>
      </c>
      <c r="AE93" s="3">
        <v>270</v>
      </c>
      <c r="AF93" s="3">
        <f>IF(ISERROR((VLOOKUP($A93,'SegEnds_NonXtal_BW#'!$A:$Z,22,FALSE)+VLOOKUP($A93,A:AL,31,FALSE)-50)),"-",(VLOOKUP($A93,'SegEnds_NonXtal_BW#'!$A:$Z,22,FALSE)+VLOOKUP($A93,A:AL,31,FALSE)-50))</f>
        <v>284</v>
      </c>
      <c r="AG93" s="3">
        <f>IF(ISERROR(VLOOKUP($A93,'SegEnds_NonXtal_BW#'!$A:$Z,23,FALSE)+VLOOKUP($A93,A:AL,34,FALSE)-50),"-",(VLOOKUP($A93,'SegEnds_NonXtal_BW#'!$A:$Z,23,FALSE)+VLOOKUP($A93,A:AL,34,FALSE)-50))</f>
        <v>289</v>
      </c>
      <c r="AH93" s="3">
        <v>315</v>
      </c>
      <c r="AI93" s="3">
        <f>IF(ISERROR((VLOOKUP($A93,'SegEnds_NonXtal_BW#'!$A:$Z,24,FALSE)+VLOOKUP($A93,A:AL,34,FALSE)-50)),"-",(VLOOKUP($A93,'SegEnds_NonXtal_BW#'!$A:$Z,24,FALSE)+VLOOKUP($A93,A:AL,34,FALSE)-50))</f>
        <v>321</v>
      </c>
      <c r="AJ93" s="3">
        <f>IF(ISERROR(VLOOKUP($A93,'SegEnds_NonXtal_BW#'!$A:$Z,25,FALSE)+VLOOKUP($A93,A:AL,37,FALSE)-50),"-",(VLOOKUP($A93,'SegEnds_NonXtal_BW#'!$A:$Z,25,FALSE)+VLOOKUP($A93,A:AL,37,FALSE)-50))</f>
        <v>322</v>
      </c>
      <c r="AK93" s="3">
        <v>325</v>
      </c>
      <c r="AL93" s="3">
        <f>IF(ISERROR((VLOOKUP($A93,'SegEnds_NonXtal_BW#'!$A:$Z,26,FALSE)+VLOOKUP($A93,A:AL,37,FALSE)-50)),"-",(VLOOKUP($A93,'SegEnds_NonXtal_BW#'!$A:$Z,26,FALSE)+VLOOKUP($A93,A:AL,37,FALSE)-50))</f>
        <v>334</v>
      </c>
      <c r="AM93" s="28" t="str">
        <f>VLOOKUP(A93,Classification!A:B,2,FALSE)</f>
        <v>A</v>
      </c>
      <c r="AN93" s="28" t="b">
        <f t="shared" si="55"/>
        <v>1</v>
      </c>
      <c r="AO93" s="3" t="str">
        <f>IF(ISERROR(MATCH(A93,'SegEnds_Xtal_Prot#'!B:B, 0)), "NoXtal", "Xtal")</f>
        <v>NoXtal</v>
      </c>
      <c r="AP93" s="3">
        <f t="shared" si="39"/>
        <v>1</v>
      </c>
      <c r="AQ93" s="3">
        <f t="shared" si="40"/>
        <v>1</v>
      </c>
      <c r="AR93" s="3">
        <f t="shared" si="41"/>
        <v>1</v>
      </c>
      <c r="AS93" s="3">
        <f t="shared" si="42"/>
        <v>1</v>
      </c>
      <c r="AT93" s="3">
        <f t="shared" si="43"/>
        <v>1</v>
      </c>
      <c r="AU93" s="3">
        <f t="shared" si="44"/>
        <v>1</v>
      </c>
      <c r="AV93" s="3">
        <f t="shared" si="45"/>
        <v>13</v>
      </c>
      <c r="AW93" s="3">
        <f t="shared" si="46"/>
        <v>4</v>
      </c>
      <c r="AX93" s="3">
        <f t="shared" si="47"/>
        <v>5</v>
      </c>
      <c r="AY93" s="3">
        <f t="shared" si="48"/>
        <v>5</v>
      </c>
      <c r="AZ93" s="3">
        <f t="shared" si="49"/>
        <v>1</v>
      </c>
      <c r="BA93" s="3">
        <f>IF(ISERROR(LEN(VLOOKUP(A93,Seqs!A:E,2,FALSE))-AL93),"-",LEN(VLOOKUP(A93,Seqs!A:E,2,FALSE))-AL93)</f>
        <v>34</v>
      </c>
      <c r="BB93" s="16">
        <f t="shared" si="50"/>
        <v>28</v>
      </c>
      <c r="BC93" s="9">
        <f t="shared" si="51"/>
        <v>20</v>
      </c>
      <c r="BD93" s="3">
        <f t="shared" si="52"/>
        <v>28</v>
      </c>
      <c r="BE93" s="3">
        <f t="shared" si="53"/>
        <v>43</v>
      </c>
    </row>
    <row r="94" spans="1:58" s="3" customFormat="1" x14ac:dyDescent="0.2">
      <c r="A94" s="3" t="s">
        <v>1172</v>
      </c>
      <c r="B94" s="3" t="str">
        <f>LOWER(VLOOKUP(A94,Xtal_Templ!A:B,2,FALSE))</f>
        <v>cxcr4_human</v>
      </c>
      <c r="C94" s="3">
        <f>VLOOKUP($A94,'SegEnds_NonXtal_BW#'!$A:$Z,3,FALSE)+D94-50</f>
        <v>30</v>
      </c>
      <c r="D94" s="3">
        <v>56</v>
      </c>
      <c r="E94" s="3">
        <f>IF(ISERROR(VLOOKUP($A94,'SegEnds_NonXtal_BW#'!$A:$Z,4,FALSE)+VLOOKUP($A94,A:AL,4,FALSE)-50),"-",(VLOOKUP($A94,'SegEnds_NonXtal_BW#'!$A:$Z,4,FALSE)+VLOOKUP($A94,A:AL,4,FALSE)-50))</f>
        <v>66</v>
      </c>
      <c r="F94" s="3">
        <f t="shared" si="61"/>
        <v>67</v>
      </c>
      <c r="G94" s="3">
        <v>69</v>
      </c>
      <c r="H94" s="3">
        <f t="shared" si="62"/>
        <v>70</v>
      </c>
      <c r="I94" s="3">
        <f t="shared" si="63"/>
        <v>71</v>
      </c>
      <c r="J94" s="3">
        <v>84</v>
      </c>
      <c r="K94" s="3">
        <f>VLOOKUP($A94,'SegEnds_NonXtal_BW#'!$A:$Z,8,FALSE)+VLOOKUP($A94,A:AL,10,FALSE)-50</f>
        <v>100</v>
      </c>
      <c r="L94" s="3">
        <f t="shared" si="65"/>
        <v>101</v>
      </c>
      <c r="M94" s="3">
        <v>102</v>
      </c>
      <c r="N94" s="3">
        <f t="shared" si="66"/>
        <v>104</v>
      </c>
      <c r="O94" s="3">
        <f t="shared" si="67"/>
        <v>105</v>
      </c>
      <c r="P94" s="3">
        <v>134</v>
      </c>
      <c r="Q94" s="3">
        <f>VLOOKUP($A94,'SegEnds_NonXtal_BW#'!$A:$Z,12,FALSE)+VLOOKUP($A94,A:AL,16,FALSE)-50</f>
        <v>140</v>
      </c>
      <c r="R94" s="3">
        <f>IF(ISERROR(VLOOKUP($A94,'SegEnds_NonXtal_BW#'!$A:$Z,13,FALSE)+VLOOKUP($A94,A:AL,19,FALSE)-50),"-",VLOOKUP($A94,'SegEnds_NonXtal_BW#'!$A:$Z,13,FALSE)+VLOOKUP($A94,A:AL,19,FALSE)-50)</f>
        <v>141</v>
      </c>
      <c r="S94" s="3">
        <v>141</v>
      </c>
      <c r="T94" s="100">
        <f>IF(ISERROR(VLOOKUP($A94,'SegEnds_NonXtal_BW#'!$A:$Z,14,FALSE)+VLOOKUP($A94,A:AL,19,FALSE)-50),"-",(VLOOKUP($A94,'SegEnds_NonXtal_BW#'!$A:$Z,14,FALSE)+VLOOKUP($A94,A:AL,19,FALSE)-50))</f>
        <v>148</v>
      </c>
      <c r="U94" s="9">
        <f>IF(ISERROR(VLOOKUP($A94,'SegEnds_NonXtal_BW#'!$A:$Z,15,FALSE)+VLOOKUP($A94,A:AL,22,FALSE)-50),"-",VLOOKUP($A94,'SegEnds_NonXtal_BW#'!$A:$Z,15,FALSE)+VLOOKUP($A94,A:AL,22,FALSE)-50)</f>
        <v>149</v>
      </c>
      <c r="V94" s="3">
        <v>161</v>
      </c>
      <c r="W94" s="3">
        <f>IF(ISERROR(VLOOKUP($A94,'SegEnds_NonXtal_BW#'!$A:$Z,16,FALSE)+VLOOKUP($A94,A:AL,22,FALSE)-50),"-",(VLOOKUP($A94,'SegEnds_NonXtal_BW#'!$A:$Z,16,FALSE)+VLOOKUP($A94,A:AL,22,FALSE)-50))</f>
        <v>175</v>
      </c>
      <c r="X94" s="3">
        <f>IF(ISERROR(VLOOKUP($A94,'SegEnds_NonXtal_BW#'!$A:$Z,17,FALSE)+VLOOKUP($A94,A:AL,25,FALSE)-50),"-",(VLOOKUP($A94,'SegEnds_NonXtal_BW#'!$A:$Z,17,FALSE)+VLOOKUP($A94,A:AL,25,FALSE)-50))</f>
        <v>186</v>
      </c>
      <c r="Y94" s="3">
        <v>186</v>
      </c>
      <c r="Z94" s="3">
        <f t="shared" si="64"/>
        <v>188</v>
      </c>
      <c r="AA94" s="3">
        <f>IF(ISERROR(VLOOKUP($A94,'SegEnds_NonXtal_BW#'!$A:$Z,19,FALSE)+VLOOKUP($A94,A:AL,28,FALSE)-50),"-",(VLOOKUP($A94,'SegEnds_NonXtal_BW#'!$A:$Z,19,FALSE)+VLOOKUP($A94,A:AL,28,FALSE)-50))</f>
        <v>193</v>
      </c>
      <c r="AB94" s="3">
        <v>211</v>
      </c>
      <c r="AC94" s="3">
        <f>IF(ISERROR((VLOOKUP($A94,'SegEnds_NonXtal_BW#'!$A:$Z,20,FALSE)+VLOOKUP($A94,A:AL,28,FALSE)-50)),"-",(VLOOKUP($A94,'SegEnds_NonXtal_BW#'!$A:$Z,20,FALSE)+VLOOKUP($A94,A:AL,28,FALSE)-50))</f>
        <v>229</v>
      </c>
      <c r="AD94" s="3">
        <f>IF(ISERROR(VLOOKUP($A94,'SegEnds_NonXtal_BW#'!$A:$Z,21,FALSE)+VLOOKUP($A94,A:AL,31,FALSE)-50),"-",(VLOOKUP($A94,'SegEnds_NonXtal_BW#'!$A:$Z,21,FALSE)+VLOOKUP($A94,A:AL,31,FALSE)-50))</f>
        <v>234</v>
      </c>
      <c r="AE94" s="3">
        <v>254</v>
      </c>
      <c r="AF94" s="3">
        <f>IF(ISERROR((VLOOKUP($A94,'SegEnds_NonXtal_BW#'!$A:$Z,22,FALSE)+VLOOKUP($A94,A:AL,31,FALSE)-50)),"-",(VLOOKUP($A94,'SegEnds_NonXtal_BW#'!$A:$Z,22,FALSE)+VLOOKUP($A94,A:AL,31,FALSE)-50))</f>
        <v>268</v>
      </c>
      <c r="AG94" s="3">
        <f>IF(ISERROR(VLOOKUP($A94,'SegEnds_NonXtal_BW#'!$A:$Z,23,FALSE)+VLOOKUP($A94,A:AL,34,FALSE)-50),"-",(VLOOKUP($A94,'SegEnds_NonXtal_BW#'!$A:$Z,23,FALSE)+VLOOKUP($A94,A:AL,34,FALSE)-50))</f>
        <v>273</v>
      </c>
      <c r="AH94" s="3">
        <v>299</v>
      </c>
      <c r="AI94" s="3">
        <f>IF(ISERROR((VLOOKUP($A94,'SegEnds_NonXtal_BW#'!$A:$Z,24,FALSE)+VLOOKUP($A94,A:AL,34,FALSE)-50)),"-",(VLOOKUP($A94,'SegEnds_NonXtal_BW#'!$A:$Z,24,FALSE)+VLOOKUP($A94,A:AL,34,FALSE)-50))</f>
        <v>305</v>
      </c>
      <c r="AJ94" s="3">
        <f>IF(ISERROR(VLOOKUP($A94,'SegEnds_NonXtal_BW#'!$A:$Z,25,FALSE)+VLOOKUP($A94,A:AL,37,FALSE)-50),"-",(VLOOKUP($A94,'SegEnds_NonXtal_BW#'!$A:$Z,25,FALSE)+VLOOKUP($A94,A:AL,37,FALSE)-50))</f>
        <v>306</v>
      </c>
      <c r="AK94" s="3">
        <v>309</v>
      </c>
      <c r="AL94" s="3">
        <f>IF(ISERROR((VLOOKUP($A94,'SegEnds_NonXtal_BW#'!$A:$Z,26,FALSE)+VLOOKUP($A94,A:AL,37,FALSE)-50)),"-",(VLOOKUP($A94,'SegEnds_NonXtal_BW#'!$A:$Z,26,FALSE)+VLOOKUP($A94,A:AL,37,FALSE)-50))</f>
        <v>318</v>
      </c>
      <c r="AM94" s="28" t="str">
        <f>VLOOKUP(A94,Classification!A:B,2,FALSE)</f>
        <v>A</v>
      </c>
      <c r="AN94" s="28" t="b">
        <f t="shared" si="55"/>
        <v>1</v>
      </c>
      <c r="AO94" s="3" t="str">
        <f>IF(ISERROR(MATCH(A94,'SegEnds_Xtal_Prot#'!B:B, 0)), "NoXtal", "Xtal")</f>
        <v>Xtal</v>
      </c>
      <c r="AP94" s="3">
        <f t="shared" si="39"/>
        <v>1</v>
      </c>
      <c r="AQ94" s="3">
        <f t="shared" si="40"/>
        <v>1</v>
      </c>
      <c r="AR94" s="3">
        <f t="shared" si="41"/>
        <v>1</v>
      </c>
      <c r="AS94" s="3">
        <f t="shared" si="42"/>
        <v>1</v>
      </c>
      <c r="AT94" s="3">
        <f t="shared" si="43"/>
        <v>1</v>
      </c>
      <c r="AU94" s="3">
        <f t="shared" si="44"/>
        <v>1</v>
      </c>
      <c r="AV94" s="3">
        <f t="shared" si="45"/>
        <v>11</v>
      </c>
      <c r="AW94" s="3">
        <f t="shared" si="46"/>
        <v>5</v>
      </c>
      <c r="AX94" s="3">
        <f t="shared" si="47"/>
        <v>5</v>
      </c>
      <c r="AY94" s="3">
        <f t="shared" si="48"/>
        <v>5</v>
      </c>
      <c r="AZ94" s="3">
        <f t="shared" si="49"/>
        <v>1</v>
      </c>
      <c r="BA94" s="3">
        <f>IF(ISERROR(LEN(VLOOKUP(A94,Seqs!A:E,2,FALSE))-AL94),"-",LEN(VLOOKUP(A94,Seqs!A:E,2,FALSE))-AL94)</f>
        <v>34</v>
      </c>
      <c r="BB94" s="16">
        <f t="shared" si="50"/>
        <v>28</v>
      </c>
      <c r="BC94" s="9">
        <f t="shared" si="51"/>
        <v>20</v>
      </c>
      <c r="BD94" s="3">
        <f t="shared" si="52"/>
        <v>28</v>
      </c>
      <c r="BE94" s="3">
        <f t="shared" si="53"/>
        <v>43</v>
      </c>
    </row>
    <row r="95" spans="1:58" s="3" customFormat="1" x14ac:dyDescent="0.2">
      <c r="A95" s="3" t="s">
        <v>188</v>
      </c>
      <c r="B95" s="3" t="str">
        <f>LOWER(VLOOKUP(A95,Xtal_Templ!A:B,2,FALSE))</f>
        <v>cxcr4_human</v>
      </c>
      <c r="C95" s="3">
        <f>VLOOKUP($A95,'SegEnds_NonXtal_BW#'!$A:$Z,3,FALSE)+D95-50</f>
        <v>43</v>
      </c>
      <c r="D95" s="3">
        <v>69</v>
      </c>
      <c r="E95" s="3">
        <f>IF(ISERROR(VLOOKUP($A95,'SegEnds_NonXtal_BW#'!$A:$Z,4,FALSE)+VLOOKUP($A95,A:AL,4,FALSE)-50),"-",(VLOOKUP($A95,'SegEnds_NonXtal_BW#'!$A:$Z,4,FALSE)+VLOOKUP($A95,A:AL,4,FALSE)-50))</f>
        <v>79</v>
      </c>
      <c r="F95" s="3">
        <f t="shared" si="61"/>
        <v>80</v>
      </c>
      <c r="G95" s="3">
        <v>82</v>
      </c>
      <c r="H95" s="3">
        <f t="shared" si="62"/>
        <v>83</v>
      </c>
      <c r="I95" s="3">
        <f t="shared" si="63"/>
        <v>84</v>
      </c>
      <c r="J95" s="3">
        <v>97</v>
      </c>
      <c r="K95" s="3">
        <f>VLOOKUP($A95,'SegEnds_NonXtal_BW#'!$A:$Z,8,FALSE)+VLOOKUP($A95,A:AL,10,FALSE)-50</f>
        <v>113</v>
      </c>
      <c r="L95" s="3">
        <f t="shared" si="65"/>
        <v>114</v>
      </c>
      <c r="M95" s="3">
        <v>115</v>
      </c>
      <c r="N95" s="3">
        <f t="shared" si="66"/>
        <v>117</v>
      </c>
      <c r="O95" s="3">
        <f t="shared" si="67"/>
        <v>118</v>
      </c>
      <c r="P95" s="3">
        <v>147</v>
      </c>
      <c r="Q95" s="3">
        <f>VLOOKUP($A95,'SegEnds_NonXtal_BW#'!$A:$Z,12,FALSE)+VLOOKUP($A95,A:AL,16,FALSE)-50</f>
        <v>153</v>
      </c>
      <c r="R95" s="3">
        <f>IF(ISERROR(VLOOKUP($A95,'SegEnds_NonXtal_BW#'!$A:$Z,13,FALSE)+VLOOKUP($A95,A:AL,19,FALSE)-50),"-",VLOOKUP($A95,'SegEnds_NonXtal_BW#'!$A:$Z,13,FALSE)+VLOOKUP($A95,A:AL,19,FALSE)-50)</f>
        <v>154</v>
      </c>
      <c r="S95" s="3">
        <v>154</v>
      </c>
      <c r="T95" s="100">
        <f>IF(ISERROR(VLOOKUP($A95,'SegEnds_NonXtal_BW#'!$A:$Z,14,FALSE)+VLOOKUP($A95,A:AL,19,FALSE)-50),"-",(VLOOKUP($A95,'SegEnds_NonXtal_BW#'!$A:$Z,14,FALSE)+VLOOKUP($A95,A:AL,19,FALSE)-50))</f>
        <v>161</v>
      </c>
      <c r="U95" s="9">
        <f>IF(ISERROR(VLOOKUP($A95,'SegEnds_NonXtal_BW#'!$A:$Z,15,FALSE)+VLOOKUP($A95,A:AL,22,FALSE)-50),"-",VLOOKUP($A95,'SegEnds_NonXtal_BW#'!$A:$Z,15,FALSE)+VLOOKUP($A95,A:AL,22,FALSE)-50)</f>
        <v>162</v>
      </c>
      <c r="V95" s="3">
        <v>174</v>
      </c>
      <c r="W95" s="3">
        <f>IF(ISERROR(VLOOKUP($A95,'SegEnds_NonXtal_BW#'!$A:$Z,16,FALSE)+VLOOKUP($A95,A:AL,22,FALSE)-50),"-",(VLOOKUP($A95,'SegEnds_NonXtal_BW#'!$A:$Z,16,FALSE)+VLOOKUP($A95,A:AL,22,FALSE)-50))</f>
        <v>188</v>
      </c>
      <c r="X95" s="3">
        <f>IF(ISERROR(VLOOKUP($A95,'SegEnds_NonXtal_BW#'!$A:$Z,17,FALSE)+VLOOKUP($A95,A:AL,25,FALSE)-50),"-",(VLOOKUP($A95,'SegEnds_NonXtal_BW#'!$A:$Z,17,FALSE)+VLOOKUP($A95,A:AL,25,FALSE)-50))</f>
        <v>202</v>
      </c>
      <c r="Y95" s="3">
        <v>202</v>
      </c>
      <c r="Z95" s="3">
        <f t="shared" si="64"/>
        <v>204</v>
      </c>
      <c r="AA95" s="3">
        <f>IF(ISERROR(VLOOKUP($A95,'SegEnds_NonXtal_BW#'!$A:$Z,19,FALSE)+VLOOKUP($A95,A:AL,28,FALSE)-50),"-",(VLOOKUP($A95,'SegEnds_NonXtal_BW#'!$A:$Z,19,FALSE)+VLOOKUP($A95,A:AL,28,FALSE)-50))</f>
        <v>212</v>
      </c>
      <c r="AB95" s="3">
        <v>230</v>
      </c>
      <c r="AC95" s="3">
        <f>IF(ISERROR((VLOOKUP($A95,'SegEnds_NonXtal_BW#'!$A:$Z,20,FALSE)+VLOOKUP($A95,A:AL,28,FALSE)-50)),"-",(VLOOKUP($A95,'SegEnds_NonXtal_BW#'!$A:$Z,20,FALSE)+VLOOKUP($A95,A:AL,28,FALSE)-50))</f>
        <v>248</v>
      </c>
      <c r="AD95" s="3">
        <f>IF(ISERROR(VLOOKUP($A95,'SegEnds_NonXtal_BW#'!$A:$Z,21,FALSE)+VLOOKUP($A95,A:AL,31,FALSE)-50),"-",(VLOOKUP($A95,'SegEnds_NonXtal_BW#'!$A:$Z,21,FALSE)+VLOOKUP($A95,A:AL,31,FALSE)-50))</f>
        <v>252</v>
      </c>
      <c r="AE95" s="3">
        <v>274</v>
      </c>
      <c r="AF95" s="3">
        <f>IF(ISERROR((VLOOKUP($A95,'SegEnds_NonXtal_BW#'!$A:$Z,22,FALSE)+VLOOKUP($A95,A:AL,31,FALSE)-50)),"-",(VLOOKUP($A95,'SegEnds_NonXtal_BW#'!$A:$Z,22,FALSE)+VLOOKUP($A95,A:AL,31,FALSE)-50))</f>
        <v>288</v>
      </c>
      <c r="AG95" s="3">
        <f>IF(ISERROR(VLOOKUP($A95,'SegEnds_NonXtal_BW#'!$A:$Z,23,FALSE)+VLOOKUP($A95,A:AL,34,FALSE)-50),"-",(VLOOKUP($A95,'SegEnds_NonXtal_BW#'!$A:$Z,23,FALSE)+VLOOKUP($A95,A:AL,34,FALSE)-50))</f>
        <v>293</v>
      </c>
      <c r="AH95" s="3">
        <v>319</v>
      </c>
      <c r="AI95" s="3">
        <f>IF(ISERROR((VLOOKUP($A95,'SegEnds_NonXtal_BW#'!$A:$Z,24,FALSE)+VLOOKUP($A95,A:AL,34,FALSE)-50)),"-",(VLOOKUP($A95,'SegEnds_NonXtal_BW#'!$A:$Z,24,FALSE)+VLOOKUP($A95,A:AL,34,FALSE)-50))</f>
        <v>325</v>
      </c>
      <c r="AJ95" s="3">
        <f>IF(ISERROR(VLOOKUP($A95,'SegEnds_NonXtal_BW#'!$A:$Z,25,FALSE)+VLOOKUP($A95,A:AL,37,FALSE)-50),"-",(VLOOKUP($A95,'SegEnds_NonXtal_BW#'!$A:$Z,25,FALSE)+VLOOKUP($A95,A:AL,37,FALSE)-50))</f>
        <v>326</v>
      </c>
      <c r="AK95" s="3">
        <v>329</v>
      </c>
      <c r="AL95" s="3">
        <f>IF(ISERROR((VLOOKUP($A95,'SegEnds_NonXtal_BW#'!$A:$Z,26,FALSE)+VLOOKUP($A95,A:AL,37,FALSE)-50)),"-",(VLOOKUP($A95,'SegEnds_NonXtal_BW#'!$A:$Z,26,FALSE)+VLOOKUP($A95,A:AL,37,FALSE)-50))</f>
        <v>338</v>
      </c>
      <c r="AM95" s="28" t="str">
        <f>VLOOKUP(A95,Classification!A:B,2,FALSE)</f>
        <v>A</v>
      </c>
      <c r="AN95" s="28" t="b">
        <f t="shared" si="55"/>
        <v>1</v>
      </c>
      <c r="AO95" s="3" t="str">
        <f>IF(ISERROR(MATCH(A95,'SegEnds_Xtal_Prot#'!B:B, 0)), "NoXtal", "Xtal")</f>
        <v>NoXtal</v>
      </c>
      <c r="AP95" s="3">
        <f t="shared" si="39"/>
        <v>1</v>
      </c>
      <c r="AQ95" s="3">
        <f t="shared" si="40"/>
        <v>1</v>
      </c>
      <c r="AR95" s="3">
        <f t="shared" si="41"/>
        <v>1</v>
      </c>
      <c r="AS95" s="3">
        <f t="shared" si="42"/>
        <v>1</v>
      </c>
      <c r="AT95" s="3">
        <f t="shared" si="43"/>
        <v>1</v>
      </c>
      <c r="AU95" s="3">
        <f t="shared" si="44"/>
        <v>1</v>
      </c>
      <c r="AV95" s="3">
        <f t="shared" si="45"/>
        <v>14</v>
      </c>
      <c r="AW95" s="3">
        <f t="shared" si="46"/>
        <v>8</v>
      </c>
      <c r="AX95" s="3">
        <f t="shared" si="47"/>
        <v>4</v>
      </c>
      <c r="AY95" s="3">
        <f t="shared" si="48"/>
        <v>5</v>
      </c>
      <c r="AZ95" s="3">
        <f t="shared" si="49"/>
        <v>1</v>
      </c>
      <c r="BA95" s="3">
        <f>IF(ISERROR(LEN(VLOOKUP(A95,Seqs!A:E,2,FALSE))-AL95),"-",LEN(VLOOKUP(A95,Seqs!A:E,2,FALSE))-AL95)</f>
        <v>34</v>
      </c>
      <c r="BB95" s="16">
        <f t="shared" si="50"/>
        <v>28</v>
      </c>
      <c r="BC95" s="9">
        <f t="shared" si="51"/>
        <v>20</v>
      </c>
      <c r="BD95" s="3">
        <f t="shared" si="52"/>
        <v>28</v>
      </c>
      <c r="BE95" s="3">
        <f t="shared" si="53"/>
        <v>44</v>
      </c>
    </row>
    <row r="96" spans="1:58" s="3" customFormat="1" x14ac:dyDescent="0.2">
      <c r="A96" s="3" t="s">
        <v>190</v>
      </c>
      <c r="B96" s="3" t="str">
        <f>LOWER(VLOOKUP(A96,Xtal_Templ!A:B,2,FALSE))</f>
        <v>adrb2_human</v>
      </c>
      <c r="C96" s="3">
        <f>VLOOKUP($A96,'SegEnds_NonXtal_BW#'!$A:$Z,3,FALSE)+D96-50</f>
        <v>16</v>
      </c>
      <c r="D96" s="3">
        <v>41</v>
      </c>
      <c r="E96" s="3">
        <f>IF(ISERROR(VLOOKUP($A96,'SegEnds_NonXtal_BW#'!$A:$Z,4,FALSE)+VLOOKUP($A96,A:AL,4,FALSE)-50),"-",(VLOOKUP($A96,'SegEnds_NonXtal_BW#'!$A:$Z,4,FALSE)+VLOOKUP($A96,A:AL,4,FALSE)-50))</f>
        <v>51</v>
      </c>
      <c r="F96" s="3">
        <f t="shared" si="61"/>
        <v>52</v>
      </c>
      <c r="G96" s="3">
        <v>54</v>
      </c>
      <c r="H96" s="3">
        <f t="shared" si="62"/>
        <v>55</v>
      </c>
      <c r="I96" s="3">
        <f t="shared" si="63"/>
        <v>56</v>
      </c>
      <c r="J96" s="3">
        <v>70</v>
      </c>
      <c r="K96" s="3">
        <f>VLOOKUP($A96,'SegEnds_NonXtal_BW#'!$A:$Z,8,FALSE)+VLOOKUP($A96,A:AL,10,FALSE)-50</f>
        <v>86</v>
      </c>
      <c r="L96" s="3">
        <f t="shared" si="65"/>
        <v>89</v>
      </c>
      <c r="M96" s="3">
        <v>90</v>
      </c>
      <c r="N96" s="3">
        <f t="shared" si="66"/>
        <v>92</v>
      </c>
      <c r="O96" s="3">
        <f t="shared" si="67"/>
        <v>93</v>
      </c>
      <c r="P96" s="3">
        <v>121</v>
      </c>
      <c r="Q96" s="3">
        <f>VLOOKUP($A96,'SegEnds_NonXtal_BW#'!$A:$Z,12,FALSE)+VLOOKUP($A96,A:AL,16,FALSE)-50</f>
        <v>127</v>
      </c>
      <c r="R96" s="3">
        <f>IF(ISERROR(VLOOKUP($A96,'SegEnds_NonXtal_BW#'!$A:$Z,13,FALSE)+VLOOKUP($A96,A:AL,19,FALSE)-50),"-",VLOOKUP($A96,'SegEnds_NonXtal_BW#'!$A:$Z,13,FALSE)+VLOOKUP($A96,A:AL,19,FALSE)-50)</f>
        <v>128</v>
      </c>
      <c r="S96" s="3">
        <v>128</v>
      </c>
      <c r="T96" s="100">
        <f>IF(ISERROR(VLOOKUP($A96,'SegEnds_NonXtal_BW#'!$A:$Z,14,FALSE)+VLOOKUP($A96,A:AL,19,FALSE)-50),"-",(VLOOKUP($A96,'SegEnds_NonXtal_BW#'!$A:$Z,14,FALSE)+VLOOKUP($A96,A:AL,19,FALSE)-50))</f>
        <v>135</v>
      </c>
      <c r="U96" s="9">
        <f>IF(ISERROR(VLOOKUP($A96,'SegEnds_NonXtal_BW#'!$A:$Z,15,FALSE)+VLOOKUP($A96,A:AL,22,FALSE)-50),"-",VLOOKUP($A96,'SegEnds_NonXtal_BW#'!$A:$Z,15,FALSE)+VLOOKUP($A96,A:AL,22,FALSE)-50)</f>
        <v>136</v>
      </c>
      <c r="V96" s="3">
        <v>148</v>
      </c>
      <c r="W96" s="3">
        <f>IF(ISERROR(VLOOKUP($A96,'SegEnds_NonXtal_BW#'!$A:$Z,16,FALSE)+VLOOKUP($A96,A:AL,22,FALSE)-50),"-",(VLOOKUP($A96,'SegEnds_NonXtal_BW#'!$A:$Z,16,FALSE)+VLOOKUP($A96,A:AL,22,FALSE)-50))</f>
        <v>162</v>
      </c>
      <c r="X96" s="3">
        <f>IF(ISERROR(VLOOKUP($A96,'SegEnds_NonXtal_BW#'!$A:$Z,17,FALSE)+VLOOKUP($A96,A:AL,25,FALSE)-50),"-",(VLOOKUP($A96,'SegEnds_NonXtal_BW#'!$A:$Z,17,FALSE)+VLOOKUP($A96,A:AL,25,FALSE)-50))</f>
        <v>186</v>
      </c>
      <c r="Y96" s="3">
        <v>186</v>
      </c>
      <c r="Z96" s="3">
        <f t="shared" si="64"/>
        <v>188</v>
      </c>
      <c r="AA96" s="3">
        <f>IF(ISERROR(VLOOKUP($A96,'SegEnds_NonXtal_BW#'!$A:$Z,19,FALSE)+VLOOKUP($A96,A:AL,28,FALSE)-50),"-",(VLOOKUP($A96,'SegEnds_NonXtal_BW#'!$A:$Z,19,FALSE)+VLOOKUP($A96,A:AL,28,FALSE)-50))</f>
        <v>191</v>
      </c>
      <c r="AB96" s="3">
        <v>206</v>
      </c>
      <c r="AC96" s="3">
        <f>IF(ISERROR((VLOOKUP($A96,'SegEnds_NonXtal_BW#'!$A:$Z,20,FALSE)+VLOOKUP($A96,A:AL,28,FALSE)-50)),"-",(VLOOKUP($A96,'SegEnds_NonXtal_BW#'!$A:$Z,20,FALSE)+VLOOKUP($A96,A:AL,28,FALSE)-50))</f>
        <v>232</v>
      </c>
      <c r="AD96" s="3">
        <f>IF(ISERROR(VLOOKUP($A96,'SegEnds_NonXtal_BW#'!$A:$Z,21,FALSE)+VLOOKUP($A96,A:AL,31,FALSE)-50),"-",(VLOOKUP($A96,'SegEnds_NonXtal_BW#'!$A:$Z,21,FALSE)+VLOOKUP($A96,A:AL,31,FALSE)-50))</f>
        <v>261</v>
      </c>
      <c r="AE96" s="3">
        <v>287</v>
      </c>
      <c r="AF96" s="3">
        <f>IF(ISERROR((VLOOKUP($A96,'SegEnds_NonXtal_BW#'!$A:$Z,22,FALSE)+VLOOKUP($A96,A:AL,31,FALSE)-50)),"-",(VLOOKUP($A96,'SegEnds_NonXtal_BW#'!$A:$Z,22,FALSE)+VLOOKUP($A96,A:AL,31,FALSE)-50))</f>
        <v>298</v>
      </c>
      <c r="AG96" s="3">
        <f>IF(ISERROR(VLOOKUP($A96,'SegEnds_NonXtal_BW#'!$A:$Z,23,FALSE)+VLOOKUP($A96,A:AL,34,FALSE)-50),"-",(VLOOKUP($A96,'SegEnds_NonXtal_BW#'!$A:$Z,23,FALSE)+VLOOKUP($A96,A:AL,34,FALSE)-50))</f>
        <v>306</v>
      </c>
      <c r="AH96" s="3">
        <v>328</v>
      </c>
      <c r="AI96" s="3">
        <v>334</v>
      </c>
      <c r="AJ96" s="3">
        <f>IF(ISERROR(VLOOKUP($A96,'SegEnds_NonXtal_BW#'!$A:$Z,25,FALSE)+VLOOKUP($A96,A:AL,37,FALSE)-50),"-",(VLOOKUP($A96,'SegEnds_NonXtal_BW#'!$A:$Z,25,FALSE)+VLOOKUP($A96,A:AL,37,FALSE)-50))</f>
        <v>335</v>
      </c>
      <c r="AK96" s="3">
        <v>338</v>
      </c>
      <c r="AL96" s="3">
        <f>IF(ISERROR((VLOOKUP($A96,'SegEnds_NonXtal_BW#'!$A:$Z,26,FALSE)+VLOOKUP($A96,A:AL,37,FALSE)-50)),"-",(VLOOKUP($A96,'SegEnds_NonXtal_BW#'!$A:$Z,26,FALSE)+VLOOKUP($A96,A:AL,37,FALSE)-50))</f>
        <v>347</v>
      </c>
      <c r="AM96" s="28" t="str">
        <f>VLOOKUP(A96,Classification!A:B,2,FALSE)</f>
        <v>A</v>
      </c>
      <c r="AN96" s="28" t="b">
        <f t="shared" si="55"/>
        <v>1</v>
      </c>
      <c r="AO96" s="3" t="str">
        <f>IF(ISERROR(MATCH(A96,'SegEnds_Xtal_Prot#'!B:B, 0)), "NoXtal", "Xtal")</f>
        <v>NoXtal</v>
      </c>
      <c r="AP96" s="3">
        <f t="shared" si="39"/>
        <v>1</v>
      </c>
      <c r="AQ96" s="3">
        <f t="shared" si="40"/>
        <v>1</v>
      </c>
      <c r="AR96" s="3">
        <f t="shared" si="41"/>
        <v>3</v>
      </c>
      <c r="AS96" s="3">
        <f t="shared" si="42"/>
        <v>1</v>
      </c>
      <c r="AT96" s="3">
        <f t="shared" si="43"/>
        <v>1</v>
      </c>
      <c r="AU96" s="3">
        <f t="shared" si="44"/>
        <v>1</v>
      </c>
      <c r="AV96" s="3">
        <f t="shared" si="45"/>
        <v>24</v>
      </c>
      <c r="AW96" s="3">
        <f t="shared" si="46"/>
        <v>3</v>
      </c>
      <c r="AX96" s="3">
        <f t="shared" si="47"/>
        <v>29</v>
      </c>
      <c r="AY96" s="3">
        <f t="shared" si="48"/>
        <v>8</v>
      </c>
      <c r="AZ96" s="3">
        <f t="shared" si="49"/>
        <v>1</v>
      </c>
      <c r="BA96" s="3">
        <f>IF(ISERROR(LEN(VLOOKUP(A96,Seqs!A:E,2,FALSE))-AL96),"-",LEN(VLOOKUP(A96,Seqs!A:E,2,FALSE))-AL96)</f>
        <v>99</v>
      </c>
      <c r="BB96" s="16">
        <f t="shared" si="50"/>
        <v>29</v>
      </c>
      <c r="BC96" s="9">
        <f t="shared" si="51"/>
        <v>20</v>
      </c>
      <c r="BD96" s="3">
        <f t="shared" si="52"/>
        <v>29</v>
      </c>
      <c r="BE96" s="3">
        <f t="shared" si="53"/>
        <v>81</v>
      </c>
    </row>
    <row r="97" spans="1:58" s="3" customFormat="1" x14ac:dyDescent="0.2">
      <c r="A97" s="3" t="s">
        <v>193</v>
      </c>
      <c r="B97" s="3" t="str">
        <f>LOWER(VLOOKUP(A97,Xtal_Templ!A:B,2,FALSE))</f>
        <v>drd4_human</v>
      </c>
      <c r="C97" s="3">
        <f>VLOOKUP($A97,'SegEnds_NonXtal_BW#'!$A:$Z,3,FALSE)+D97-50</f>
        <v>31</v>
      </c>
      <c r="D97" s="3">
        <v>52</v>
      </c>
      <c r="E97" s="3">
        <f>IF(ISERROR(VLOOKUP($A97,'SegEnds_NonXtal_BW#'!$A:$Z,4,FALSE)+VLOOKUP($A97,A:AL,4,FALSE)-50),"-",(VLOOKUP($A97,'SegEnds_NonXtal_BW#'!$A:$Z,4,FALSE)+VLOOKUP($A97,A:AL,4,FALSE)-50))</f>
        <v>62</v>
      </c>
      <c r="F97" s="3">
        <f t="shared" si="61"/>
        <v>63</v>
      </c>
      <c r="G97" s="3">
        <v>65</v>
      </c>
      <c r="H97" s="3">
        <f t="shared" si="62"/>
        <v>66</v>
      </c>
      <c r="I97" s="3">
        <f t="shared" si="63"/>
        <v>67</v>
      </c>
      <c r="J97" s="3">
        <v>80</v>
      </c>
      <c r="K97" s="3">
        <f>VLOOKUP($A97,'SegEnds_NonXtal_BW#'!$A:$Z,8,FALSE)+VLOOKUP($A97,A:AL,10,FALSE)-50</f>
        <v>97</v>
      </c>
      <c r="L97" s="3">
        <f t="shared" si="65"/>
        <v>100</v>
      </c>
      <c r="M97" s="3">
        <v>101</v>
      </c>
      <c r="N97" s="3">
        <f t="shared" si="66"/>
        <v>103</v>
      </c>
      <c r="O97" s="3">
        <f t="shared" si="67"/>
        <v>104</v>
      </c>
      <c r="P97" s="3">
        <v>133</v>
      </c>
      <c r="Q97" s="3">
        <f>VLOOKUP($A97,'SegEnds_NonXtal_BW#'!$A:$Z,12,FALSE)+VLOOKUP($A97,A:AL,16,FALSE)-50</f>
        <v>139</v>
      </c>
      <c r="R97" s="3">
        <f>IF(ISERROR(VLOOKUP($A97,'SegEnds_NonXtal_BW#'!$A:$Z,13,FALSE)+VLOOKUP($A97,A:AL,19,FALSE)-50),"-",VLOOKUP($A97,'SegEnds_NonXtal_BW#'!$A:$Z,13,FALSE)+VLOOKUP($A97,A:AL,19,FALSE)-50)</f>
        <v>140</v>
      </c>
      <c r="S97" s="3">
        <v>140</v>
      </c>
      <c r="T97" s="100">
        <f>IF(ISERROR(VLOOKUP($A97,'SegEnds_NonXtal_BW#'!$A:$Z,14,FALSE)+VLOOKUP($A97,A:AL,19,FALSE)-50),"-",(VLOOKUP($A97,'SegEnds_NonXtal_BW#'!$A:$Z,14,FALSE)+VLOOKUP($A97,A:AL,19,FALSE)-50))</f>
        <v>147</v>
      </c>
      <c r="U97" s="9">
        <f>IF(ISERROR(VLOOKUP($A97,'SegEnds_NonXtal_BW#'!$A:$Z,15,FALSE)+VLOOKUP($A97,A:AL,22,FALSE)-50),"-",VLOOKUP($A97,'SegEnds_NonXtal_BW#'!$A:$Z,15,FALSE)+VLOOKUP($A97,A:AL,22,FALSE)-50)</f>
        <v>148</v>
      </c>
      <c r="V97" s="3">
        <v>160</v>
      </c>
      <c r="W97" s="3">
        <f>IF(ISERROR(VLOOKUP($A97,'SegEnds_NonXtal_BW#'!$A:$Z,16,FALSE)+VLOOKUP($A97,A:AL,22,FALSE)-50),"-",(VLOOKUP($A97,'SegEnds_NonXtal_BW#'!$A:$Z,16,FALSE)+VLOOKUP($A97,A:AL,22,FALSE)-50))</f>
        <v>173</v>
      </c>
      <c r="X97" s="3">
        <f>IF(ISERROR(VLOOKUP($A97,'SegEnds_NonXtal_BW#'!$A:$Z,17,FALSE)+VLOOKUP($A97,A:AL,25,FALSE)-50),"-",(VLOOKUP($A97,'SegEnds_NonXtal_BW#'!$A:$Z,17,FALSE)+VLOOKUP($A97,A:AL,25,FALSE)-50))</f>
        <v>185</v>
      </c>
      <c r="Y97" s="3">
        <v>185</v>
      </c>
      <c r="Z97" s="3">
        <f t="shared" si="64"/>
        <v>187</v>
      </c>
      <c r="AA97" s="3">
        <f>IF(ISERROR(VLOOKUP($A97,'SegEnds_NonXtal_BW#'!$A:$Z,19,FALSE)+VLOOKUP($A97,A:AL,28,FALSE)-50),"-",(VLOOKUP($A97,'SegEnds_NonXtal_BW#'!$A:$Z,19,FALSE)+VLOOKUP($A97,A:AL,28,FALSE)-50))</f>
        <v>189</v>
      </c>
      <c r="AB97" s="3">
        <v>204</v>
      </c>
      <c r="AC97" s="3">
        <f>IF(ISERROR((VLOOKUP($A97,'SegEnds_NonXtal_BW#'!$A:$Z,20,FALSE)+VLOOKUP($A97,A:AL,28,FALSE)-50)),"-",(VLOOKUP($A97,'SegEnds_NonXtal_BW#'!$A:$Z,20,FALSE)+VLOOKUP($A97,A:AL,28,FALSE)-50))</f>
        <v>229</v>
      </c>
      <c r="AD97" s="3">
        <f>IF(ISERROR(VLOOKUP($A97,'SegEnds_NonXtal_BW#'!$A:$Z,21,FALSE)+VLOOKUP($A97,A:AL,31,FALSE)-50),"-",(VLOOKUP($A97,'SegEnds_NonXtal_BW#'!$A:$Z,21,FALSE)+VLOOKUP($A97,A:AL,31,FALSE)-50))</f>
        <v>383</v>
      </c>
      <c r="AE97" s="3">
        <v>409</v>
      </c>
      <c r="AF97" s="3">
        <f>IF(ISERROR((VLOOKUP($A97,'SegEnds_NonXtal_BW#'!$A:$Z,22,FALSE)+VLOOKUP($A97,A:AL,31,FALSE)-50)),"-",(VLOOKUP($A97,'SegEnds_NonXtal_BW#'!$A:$Z,22,FALSE)+VLOOKUP($A97,A:AL,31,FALSE)-50))</f>
        <v>420</v>
      </c>
      <c r="AG97" s="3">
        <f>IF(ISERROR(VLOOKUP($A97,'SegEnds_NonXtal_BW#'!$A:$Z,23,FALSE)+VLOOKUP($A97,A:AL,34,FALSE)-50),"-",(VLOOKUP($A97,'SegEnds_NonXtal_BW#'!$A:$Z,23,FALSE)+VLOOKUP($A97,A:AL,34,FALSE)-50))</f>
        <v>426</v>
      </c>
      <c r="AH97" s="3">
        <v>445</v>
      </c>
      <c r="AI97" s="3">
        <f>IF(ISERROR((VLOOKUP($A97,'SegEnds_NonXtal_BW#'!$A:$Z,24,FALSE)+VLOOKUP($A97,A:AL,34,FALSE)-50)),"-",(VLOOKUP($A97,'SegEnds_NonXtal_BW#'!$A:$Z,24,FALSE)+VLOOKUP($A97,A:AL,34,FALSE)-50))</f>
        <v>451</v>
      </c>
      <c r="AJ97" s="3">
        <f>IF(ISERROR(VLOOKUP($A97,'SegEnds_NonXtal_BW#'!$A:$Z,25,FALSE)+VLOOKUP($A97,A:AL,37,FALSE)-50),"-",(VLOOKUP($A97,'SegEnds_NonXtal_BW#'!$A:$Z,25,FALSE)+VLOOKUP($A97,A:AL,37,FALSE)-50))</f>
        <v>452</v>
      </c>
      <c r="AK97" s="3">
        <v>455</v>
      </c>
      <c r="AL97" s="3">
        <f>IF(ISERROR((VLOOKUP($A97,'SegEnds_NonXtal_BW#'!$A:$Z,26,FALSE)+VLOOKUP($A97,A:AL,37,FALSE)-50)),"-",(VLOOKUP($A97,'SegEnds_NonXtal_BW#'!$A:$Z,26,FALSE)+VLOOKUP($A97,A:AL,37,FALSE)-50))</f>
        <v>464</v>
      </c>
      <c r="AM97" s="28" t="str">
        <f>VLOOKUP(A97,Classification!A:B,2,FALSE)</f>
        <v>A</v>
      </c>
      <c r="AN97" s="28" t="b">
        <f t="shared" si="55"/>
        <v>1</v>
      </c>
      <c r="AO97" s="3" t="str">
        <f>IF(ISERROR(MATCH(A97,'SegEnds_Xtal_Prot#'!B:B, 0)), "NoXtal", "Xtal")</f>
        <v>Xtal</v>
      </c>
      <c r="AP97" s="3">
        <f t="shared" si="39"/>
        <v>1</v>
      </c>
      <c r="AQ97" s="3">
        <f t="shared" si="40"/>
        <v>1</v>
      </c>
      <c r="AR97" s="3">
        <f t="shared" si="41"/>
        <v>3</v>
      </c>
      <c r="AS97" s="3">
        <f t="shared" si="42"/>
        <v>1</v>
      </c>
      <c r="AT97" s="3">
        <f t="shared" si="43"/>
        <v>1</v>
      </c>
      <c r="AU97" s="3">
        <f t="shared" si="44"/>
        <v>1</v>
      </c>
      <c r="AV97" s="3">
        <f t="shared" si="45"/>
        <v>12</v>
      </c>
      <c r="AW97" s="3">
        <f t="shared" si="46"/>
        <v>2</v>
      </c>
      <c r="AX97" s="3">
        <f t="shared" si="47"/>
        <v>154</v>
      </c>
      <c r="AY97" s="3">
        <f t="shared" si="48"/>
        <v>6</v>
      </c>
      <c r="AZ97" s="3">
        <f t="shared" si="49"/>
        <v>1</v>
      </c>
      <c r="BA97" s="3">
        <f>IF(ISERROR(LEN(VLOOKUP(A97,Seqs!A:E,2,FALSE))-AL97),"-",LEN(VLOOKUP(A97,Seqs!A:E,2,FALSE))-AL97)</f>
        <v>3</v>
      </c>
      <c r="BB97" s="16">
        <f t="shared" si="50"/>
        <v>28</v>
      </c>
      <c r="BC97" s="9">
        <f t="shared" si="51"/>
        <v>20</v>
      </c>
      <c r="BD97" s="3">
        <f t="shared" si="52"/>
        <v>28</v>
      </c>
      <c r="BE97" s="3">
        <f t="shared" si="53"/>
        <v>205</v>
      </c>
      <c r="BF97" s="3">
        <f>AH97-AE97</f>
        <v>36</v>
      </c>
    </row>
    <row r="98" spans="1:58" s="3" customFormat="1" x14ac:dyDescent="0.2">
      <c r="A98" s="3" t="s">
        <v>194</v>
      </c>
      <c r="B98" s="3" t="str">
        <f>LOWER(VLOOKUP(A98,Xtal_Templ!A:B,2,FALSE))</f>
        <v>adrb2_human</v>
      </c>
      <c r="C98" s="3">
        <f>VLOOKUP($A98,'SegEnds_NonXtal_BW#'!$A:$Z,3,FALSE)+D98-50</f>
        <v>33</v>
      </c>
      <c r="D98" s="3">
        <v>58</v>
      </c>
      <c r="E98" s="3">
        <f>IF(ISERROR(VLOOKUP($A98,'SegEnds_NonXtal_BW#'!$A:$Z,4,FALSE)+VLOOKUP($A98,A:AL,4,FALSE)-50),"-",(VLOOKUP($A98,'SegEnds_NonXtal_BW#'!$A:$Z,4,FALSE)+VLOOKUP($A98,A:AL,4,FALSE)-50))</f>
        <v>68</v>
      </c>
      <c r="F98" s="3">
        <f t="shared" si="61"/>
        <v>69</v>
      </c>
      <c r="G98" s="3">
        <v>71</v>
      </c>
      <c r="H98" s="3">
        <f t="shared" si="62"/>
        <v>72</v>
      </c>
      <c r="I98" s="3">
        <f t="shared" si="63"/>
        <v>73</v>
      </c>
      <c r="J98" s="3">
        <v>87</v>
      </c>
      <c r="K98" s="3">
        <f>VLOOKUP($A98,'SegEnds_NonXtal_BW#'!$A:$Z,8,FALSE)+VLOOKUP($A98,A:AL,10,FALSE)-50</f>
        <v>103</v>
      </c>
      <c r="L98" s="3">
        <f t="shared" si="65"/>
        <v>106</v>
      </c>
      <c r="M98" s="3">
        <v>107</v>
      </c>
      <c r="N98" s="3">
        <f t="shared" si="66"/>
        <v>109</v>
      </c>
      <c r="O98" s="3">
        <f t="shared" si="67"/>
        <v>110</v>
      </c>
      <c r="P98" s="3">
        <v>138</v>
      </c>
      <c r="Q98" s="3">
        <f>VLOOKUP($A98,'SegEnds_NonXtal_BW#'!$A:$Z,12,FALSE)+VLOOKUP($A98,A:AL,16,FALSE)-50</f>
        <v>144</v>
      </c>
      <c r="R98" s="3">
        <f>IF(ISERROR(VLOOKUP($A98,'SegEnds_NonXtal_BW#'!$A:$Z,13,FALSE)+VLOOKUP($A98,A:AL,19,FALSE)-50),"-",VLOOKUP($A98,'SegEnds_NonXtal_BW#'!$A:$Z,13,FALSE)+VLOOKUP($A98,A:AL,19,FALSE)-50)</f>
        <v>145</v>
      </c>
      <c r="S98" s="3">
        <v>145</v>
      </c>
      <c r="T98" s="100">
        <f>IF(ISERROR(VLOOKUP($A98,'SegEnds_NonXtal_BW#'!$A:$Z,14,FALSE)+VLOOKUP($A98,A:AL,19,FALSE)-50),"-",(VLOOKUP($A98,'SegEnds_NonXtal_BW#'!$A:$Z,14,FALSE)+VLOOKUP($A98,A:AL,19,FALSE)-50))</f>
        <v>152</v>
      </c>
      <c r="U98" s="9">
        <f>IF(ISERROR(VLOOKUP($A98,'SegEnds_NonXtal_BW#'!$A:$Z,15,FALSE)+VLOOKUP($A98,A:AL,22,FALSE)-50),"-",VLOOKUP($A98,'SegEnds_NonXtal_BW#'!$A:$Z,15,FALSE)+VLOOKUP($A98,A:AL,22,FALSE)-50)</f>
        <v>153</v>
      </c>
      <c r="V98" s="3">
        <v>165</v>
      </c>
      <c r="W98" s="3">
        <f>IF(ISERROR(VLOOKUP($A98,'SegEnds_NonXtal_BW#'!$A:$Z,16,FALSE)+VLOOKUP($A98,A:AL,22,FALSE)-50),"-",(VLOOKUP($A98,'SegEnds_NonXtal_BW#'!$A:$Z,16,FALSE)+VLOOKUP($A98,A:AL,22,FALSE)-50))</f>
        <v>179</v>
      </c>
      <c r="X98" s="3">
        <f>IF(ISERROR(VLOOKUP($A98,'SegEnds_NonXtal_BW#'!$A:$Z,17,FALSE)+VLOOKUP($A98,A:AL,25,FALSE)-50),"-",(VLOOKUP($A98,'SegEnds_NonXtal_BW#'!$A:$Z,17,FALSE)+VLOOKUP($A98,A:AL,25,FALSE)-50))</f>
        <v>217</v>
      </c>
      <c r="Y98" s="3">
        <v>217</v>
      </c>
      <c r="Z98" s="3">
        <f t="shared" si="64"/>
        <v>219</v>
      </c>
      <c r="AA98" s="3">
        <f>IF(ISERROR(VLOOKUP($A98,'SegEnds_NonXtal_BW#'!$A:$Z,19,FALSE)+VLOOKUP($A98,A:AL,28,FALSE)-50),"-",(VLOOKUP($A98,'SegEnds_NonXtal_BW#'!$A:$Z,19,FALSE)+VLOOKUP($A98,A:AL,28,FALSE)-50))</f>
        <v>222</v>
      </c>
      <c r="AB98" s="3">
        <v>237</v>
      </c>
      <c r="AC98" s="3">
        <f>IF(ISERROR((VLOOKUP($A98,'SegEnds_NonXtal_BW#'!$A:$Z,20,FALSE)+VLOOKUP($A98,A:AL,28,FALSE)-50)),"-",(VLOOKUP($A98,'SegEnds_NonXtal_BW#'!$A:$Z,20,FALSE)+VLOOKUP($A98,A:AL,28,FALSE)-50))</f>
        <v>263</v>
      </c>
      <c r="AD98" s="3">
        <f>IF(ISERROR(VLOOKUP($A98,'SegEnds_NonXtal_BW#'!$A:$Z,21,FALSE)+VLOOKUP($A98,A:AL,31,FALSE)-50),"-",(VLOOKUP($A98,'SegEnds_NonXtal_BW#'!$A:$Z,21,FALSE)+VLOOKUP($A98,A:AL,31,FALSE)-50))</f>
        <v>285</v>
      </c>
      <c r="AE98" s="3">
        <v>311</v>
      </c>
      <c r="AF98" s="3">
        <f>IF(ISERROR((VLOOKUP($A98,'SegEnds_NonXtal_BW#'!$A:$Z,22,FALSE)+VLOOKUP($A98,A:AL,31,FALSE)-50)),"-",(VLOOKUP($A98,'SegEnds_NonXtal_BW#'!$A:$Z,22,FALSE)+VLOOKUP($A98,A:AL,31,FALSE)-50))</f>
        <v>325</v>
      </c>
      <c r="AG98" s="3">
        <f>IF(ISERROR(VLOOKUP($A98,'SegEnds_NonXtal_BW#'!$A:$Z,23,FALSE)+VLOOKUP($A98,A:AL,34,FALSE)-50),"-",(VLOOKUP($A98,'SegEnds_NonXtal_BW#'!$A:$Z,23,FALSE)+VLOOKUP($A98,A:AL,34,FALSE)-50))</f>
        <v>330</v>
      </c>
      <c r="AH98" s="3">
        <v>356</v>
      </c>
      <c r="AI98" s="3">
        <v>362</v>
      </c>
      <c r="AJ98" s="3">
        <f>IF(ISERROR(VLOOKUP($A98,'SegEnds_NonXtal_BW#'!$A:$Z,25,FALSE)+VLOOKUP($A98,A:AL,37,FALSE)-50),"-",(VLOOKUP($A98,'SegEnds_NonXtal_BW#'!$A:$Z,25,FALSE)+VLOOKUP($A98,A:AL,37,FALSE)-50))</f>
        <v>363</v>
      </c>
      <c r="AK98" s="3">
        <v>366</v>
      </c>
      <c r="AL98" s="3">
        <f>IF(ISERROR((VLOOKUP($A98,'SegEnds_NonXtal_BW#'!$A:$Z,26,FALSE)+VLOOKUP($A98,A:AL,37,FALSE)-50)),"-",(VLOOKUP($A98,'SegEnds_NonXtal_BW#'!$A:$Z,26,FALSE)+VLOOKUP($A98,A:AL,37,FALSE)-50))</f>
        <v>375</v>
      </c>
      <c r="AM98" s="28" t="str">
        <f>VLOOKUP(A98,Classification!A:B,2,FALSE)</f>
        <v>A</v>
      </c>
      <c r="AN98" s="28" t="b">
        <f t="shared" si="55"/>
        <v>1</v>
      </c>
      <c r="AO98" s="3" t="str">
        <f>IF(ISERROR(MATCH(A98,'SegEnds_Xtal_Prot#'!B:B, 0)), "NoXtal", "Xtal")</f>
        <v>NoXtal</v>
      </c>
      <c r="AP98" s="3">
        <f t="shared" si="39"/>
        <v>1</v>
      </c>
      <c r="AQ98" s="3">
        <f t="shared" si="40"/>
        <v>1</v>
      </c>
      <c r="AR98" s="3">
        <f t="shared" si="41"/>
        <v>3</v>
      </c>
      <c r="AS98" s="3">
        <f t="shared" si="42"/>
        <v>1</v>
      </c>
      <c r="AT98" s="3">
        <f t="shared" si="43"/>
        <v>1</v>
      </c>
      <c r="AU98" s="3">
        <f t="shared" si="44"/>
        <v>1</v>
      </c>
      <c r="AV98" s="3">
        <f t="shared" si="45"/>
        <v>38</v>
      </c>
      <c r="AW98" s="3">
        <f t="shared" si="46"/>
        <v>3</v>
      </c>
      <c r="AX98" s="3">
        <f t="shared" si="47"/>
        <v>22</v>
      </c>
      <c r="AY98" s="3">
        <f t="shared" si="48"/>
        <v>5</v>
      </c>
      <c r="AZ98" s="3">
        <f t="shared" si="49"/>
        <v>1</v>
      </c>
      <c r="BA98" s="3">
        <f>IF(ISERROR(LEN(VLOOKUP(A98,Seqs!A:E,2,FALSE))-AL98),"-",LEN(VLOOKUP(A98,Seqs!A:E,2,FALSE))-AL98)</f>
        <v>102</v>
      </c>
      <c r="BB98" s="16">
        <f t="shared" si="50"/>
        <v>29</v>
      </c>
      <c r="BC98" s="9">
        <f t="shared" si="51"/>
        <v>20</v>
      </c>
      <c r="BD98" s="3">
        <f t="shared" si="52"/>
        <v>29</v>
      </c>
      <c r="BE98" s="3">
        <f t="shared" si="53"/>
        <v>74</v>
      </c>
    </row>
    <row r="99" spans="1:58" s="3" customFormat="1" x14ac:dyDescent="0.2">
      <c r="A99" s="3" t="s">
        <v>195</v>
      </c>
      <c r="B99" s="3" t="str">
        <f>LOWER(VLOOKUP(A99,Xtal_Templ!A:B,2,FALSE))</f>
        <v>ednrb_human</v>
      </c>
      <c r="C99" s="3">
        <f>VLOOKUP($A99,'SegEnds_NonXtal_BW#'!$A:$Z,3,FALSE)+D99-50</f>
        <v>70</v>
      </c>
      <c r="D99" s="3">
        <v>98</v>
      </c>
      <c r="E99" s="3">
        <f>IF(ISERROR(VLOOKUP($A99,'SegEnds_NonXtal_BW#'!$A:$Z,4,FALSE)+VLOOKUP($A99,A:AL,4,FALSE)-50),"-",(VLOOKUP($A99,'SegEnds_NonXtal_BW#'!$A:$Z,4,FALSE)+VLOOKUP($A99,A:AL,4,FALSE)-50))</f>
        <v>108</v>
      </c>
      <c r="F99" s="3">
        <f t="shared" si="61"/>
        <v>109</v>
      </c>
      <c r="G99" s="3">
        <v>111</v>
      </c>
      <c r="H99" s="3">
        <v>113</v>
      </c>
      <c r="I99" s="3">
        <f t="shared" si="63"/>
        <v>114</v>
      </c>
      <c r="J99" s="3">
        <v>126</v>
      </c>
      <c r="K99" s="3">
        <f>VLOOKUP($A99,'SegEnds_NonXtal_BW#'!$A:$Z,8,FALSE)+VLOOKUP($A99,A:AL,10,FALSE)-50</f>
        <v>143</v>
      </c>
      <c r="L99" s="3">
        <f t="shared" si="65"/>
        <v>145</v>
      </c>
      <c r="M99" s="3">
        <v>146</v>
      </c>
      <c r="N99" s="3">
        <f t="shared" si="66"/>
        <v>148</v>
      </c>
      <c r="O99" s="3">
        <f t="shared" si="67"/>
        <v>149</v>
      </c>
      <c r="P99" s="3">
        <v>183</v>
      </c>
      <c r="Q99" s="3">
        <f>VLOOKUP($A99,'SegEnds_NonXtal_BW#'!$A:$Z,12,FALSE)+VLOOKUP($A99,A:AL,16,FALSE)-50</f>
        <v>189</v>
      </c>
      <c r="R99" s="3">
        <f>IF(ISERROR(VLOOKUP($A99,'SegEnds_NonXtal_BW#'!$A:$Z,13,FALSE)+VLOOKUP($A99,A:AL,19,FALSE)-50),"-",VLOOKUP($A99,'SegEnds_NonXtal_BW#'!$A:$Z,13,FALSE)+VLOOKUP($A99,A:AL,19,FALSE)-50)</f>
        <v>190</v>
      </c>
      <c r="S99" s="3">
        <v>190</v>
      </c>
      <c r="T99" s="100">
        <f>IF(ISERROR(VLOOKUP($A99,'SegEnds_NonXtal_BW#'!$A:$Z,14,FALSE)+VLOOKUP($A99,A:AL,19,FALSE)-50),"-",(VLOOKUP($A99,'SegEnds_NonXtal_BW#'!$A:$Z,14,FALSE)+VLOOKUP($A99,A:AL,19,FALSE)-50))</f>
        <v>197</v>
      </c>
      <c r="U99" s="9">
        <f>IF(ISERROR(VLOOKUP($A99,'SegEnds_NonXtal_BW#'!$A:$Z,15,FALSE)+VLOOKUP($A99,A:AL,22,FALSE)-50),"-",VLOOKUP($A99,'SegEnds_NonXtal_BW#'!$A:$Z,15,FALSE)+VLOOKUP($A99,A:AL,22,FALSE)-50)</f>
        <v>198</v>
      </c>
      <c r="V99" s="3">
        <v>210</v>
      </c>
      <c r="W99" s="3">
        <f>IF(ISERROR(VLOOKUP($A99,'SegEnds_NonXtal_BW#'!$A:$Z,16,FALSE)+VLOOKUP($A99,A:AL,22,FALSE)-50),"-",(VLOOKUP($A99,'SegEnds_NonXtal_BW#'!$A:$Z,16,FALSE)+VLOOKUP($A99,A:AL,22,FALSE)-50))</f>
        <v>224</v>
      </c>
      <c r="X99" s="3">
        <f>IF(ISERROR(VLOOKUP($A99,'SegEnds_NonXtal_BW#'!$A:$Z,17,FALSE)+VLOOKUP($A99,A:AL,25,FALSE)-50),"-",(VLOOKUP($A99,'SegEnds_NonXtal_BW#'!$A:$Z,17,FALSE)+VLOOKUP($A99,A:AL,25,FALSE)-50))</f>
        <v>239</v>
      </c>
      <c r="Y99" s="3">
        <v>239</v>
      </c>
      <c r="Z99" s="3">
        <f t="shared" si="64"/>
        <v>241</v>
      </c>
      <c r="AA99" s="3">
        <f>IF(ISERROR(VLOOKUP($A99,'SegEnds_NonXtal_BW#'!$A:$Z,19,FALSE)+VLOOKUP($A99,A:AL,28,FALSE)-50),"-",(VLOOKUP($A99,'SegEnds_NonXtal_BW#'!$A:$Z,19,FALSE)+VLOOKUP($A99,A:AL,28,FALSE)-50))</f>
        <v>245</v>
      </c>
      <c r="AB99" s="3">
        <v>267</v>
      </c>
      <c r="AC99" s="3">
        <f>IF(ISERROR((VLOOKUP($A99,'SegEnds_NonXtal_BW#'!$A:$Z,20,FALSE)+VLOOKUP($A99,A:AL,28,FALSE)-50)),"-",(VLOOKUP($A99,'SegEnds_NonXtal_BW#'!$A:$Z,20,FALSE)+VLOOKUP($A99,A:AL,28,FALSE)-50))</f>
        <v>289</v>
      </c>
      <c r="AD99" s="3">
        <f>IF(ISERROR(VLOOKUP($A99,'SegEnds_NonXtal_BW#'!$A:$Z,21,FALSE)+VLOOKUP($A99,A:AL,31,FALSE)-50),"-",(VLOOKUP($A99,'SegEnds_NonXtal_BW#'!$A:$Z,21,FALSE)+VLOOKUP($A99,A:AL,31,FALSE)-50))</f>
        <v>295</v>
      </c>
      <c r="AE99" s="3">
        <v>321</v>
      </c>
      <c r="AF99" s="3">
        <f>IF(ISERROR((VLOOKUP($A99,'SegEnds_NonXtal_BW#'!$A:$Z,22,FALSE)+VLOOKUP($A99,A:AL,31,FALSE)-50)),"-",(VLOOKUP($A99,'SegEnds_NonXtal_BW#'!$A:$Z,22,FALSE)+VLOOKUP($A99,A:AL,31,FALSE)-50))</f>
        <v>333</v>
      </c>
      <c r="AG99" s="3">
        <f>IF(ISERROR(VLOOKUP($A99,'SegEnds_NonXtal_BW#'!$A:$Z,23,FALSE)+VLOOKUP($A99,A:AL,34,FALSE)-50),"-",(VLOOKUP($A99,'SegEnds_NonXtal_BW#'!$A:$Z,23,FALSE)+VLOOKUP($A99,A:AL,34,FALSE)-50))</f>
        <v>340</v>
      </c>
      <c r="AH99" s="3">
        <v>366</v>
      </c>
      <c r="AI99" s="3">
        <f>IF(ISERROR((VLOOKUP($A99,'SegEnds_NonXtal_BW#'!$A:$Z,24,FALSE)+VLOOKUP($A99,A:AL,34,FALSE)-50)),"-",(VLOOKUP($A99,'SegEnds_NonXtal_BW#'!$A:$Z,24,FALSE)+VLOOKUP($A99,A:AL,34,FALSE)-50))</f>
        <v>372</v>
      </c>
      <c r="AJ99" s="3">
        <f>IF(ISERROR(VLOOKUP($A99,'SegEnds_NonXtal_BW#'!$A:$Z,25,FALSE)+VLOOKUP($A99,A:AL,37,FALSE)-50),"-",(VLOOKUP($A99,'SegEnds_NonXtal_BW#'!$A:$Z,25,FALSE)+VLOOKUP($A99,A:AL,37,FALSE)-50))</f>
        <v>373</v>
      </c>
      <c r="AK99" s="3">
        <v>376</v>
      </c>
      <c r="AL99" s="3">
        <f>IF(ISERROR((VLOOKUP($A99,'SegEnds_NonXtal_BW#'!$A:$Z,26,FALSE)+VLOOKUP($A99,A:AL,37,FALSE)-50)),"-",(VLOOKUP($A99,'SegEnds_NonXtal_BW#'!$A:$Z,26,FALSE)+VLOOKUP($A99,A:AL,37,FALSE)-50))</f>
        <v>386</v>
      </c>
      <c r="AM99" s="28" t="str">
        <f>VLOOKUP(A99,Classification!A:B,2,FALSE)</f>
        <v>A</v>
      </c>
      <c r="AN99" s="28" t="b">
        <f t="shared" si="55"/>
        <v>1</v>
      </c>
      <c r="AO99" s="3" t="str">
        <f>IF(ISERROR(MATCH(A99,'SegEnds_Xtal_Prot#'!B:B, 0)), "NoXtal", "Xtal")</f>
        <v>NoXtal</v>
      </c>
      <c r="AP99" s="3">
        <f t="shared" si="39"/>
        <v>1</v>
      </c>
      <c r="AQ99" s="3">
        <f t="shared" si="40"/>
        <v>1</v>
      </c>
      <c r="AR99" s="3">
        <f t="shared" si="41"/>
        <v>2</v>
      </c>
      <c r="AS99" s="3">
        <f t="shared" si="42"/>
        <v>1</v>
      </c>
      <c r="AT99" s="3">
        <f t="shared" si="43"/>
        <v>1</v>
      </c>
      <c r="AU99" s="3">
        <f t="shared" si="44"/>
        <v>1</v>
      </c>
      <c r="AV99" s="3">
        <f t="shared" si="45"/>
        <v>15</v>
      </c>
      <c r="AW99" s="3">
        <f t="shared" si="46"/>
        <v>4</v>
      </c>
      <c r="AX99" s="3">
        <f t="shared" si="47"/>
        <v>6</v>
      </c>
      <c r="AY99" s="3">
        <f t="shared" si="48"/>
        <v>7</v>
      </c>
      <c r="AZ99" s="3">
        <f t="shared" si="49"/>
        <v>1</v>
      </c>
      <c r="BA99" s="3">
        <f>IF(ISERROR(LEN(VLOOKUP(A99,Seqs!A:E,2,FALSE))-AL99),"-",LEN(VLOOKUP(A99,Seqs!A:E,2,FALSE))-AL99)</f>
        <v>41</v>
      </c>
      <c r="BB99" s="16">
        <f t="shared" si="50"/>
        <v>28</v>
      </c>
      <c r="BC99" s="9">
        <f t="shared" si="51"/>
        <v>20</v>
      </c>
      <c r="BD99" s="3">
        <f t="shared" si="52"/>
        <v>28</v>
      </c>
      <c r="BE99" s="3">
        <f t="shared" si="53"/>
        <v>54</v>
      </c>
    </row>
    <row r="100" spans="1:58" s="3" customFormat="1" x14ac:dyDescent="0.2">
      <c r="A100" s="3" t="s">
        <v>196</v>
      </c>
      <c r="B100" s="3" t="str">
        <f>LOWER(VLOOKUP(A100,Xtal_Templ!A:B,2,FALSE))</f>
        <v>ednrb_human</v>
      </c>
      <c r="C100" s="3">
        <f>VLOOKUP($A100,'SegEnds_NonXtal_BW#'!$A:$Z,3,FALSE)+D100-50</f>
        <v>91</v>
      </c>
      <c r="D100" s="3">
        <v>119</v>
      </c>
      <c r="E100" s="3">
        <f>IF(ISERROR(VLOOKUP($A100,'SegEnds_NonXtal_BW#'!$A:$Z,4,FALSE)+VLOOKUP($A100,A:AL,4,FALSE)-50),"-",(VLOOKUP($A100,'SegEnds_NonXtal_BW#'!$A:$Z,4,FALSE)+VLOOKUP($A100,A:AL,4,FALSE)-50))</f>
        <v>129</v>
      </c>
      <c r="F100" s="3">
        <f t="shared" si="61"/>
        <v>130</v>
      </c>
      <c r="G100" s="3">
        <v>132</v>
      </c>
      <c r="H100" s="3">
        <v>134</v>
      </c>
      <c r="I100" s="3">
        <f t="shared" si="63"/>
        <v>135</v>
      </c>
      <c r="J100" s="3">
        <v>147</v>
      </c>
      <c r="K100" s="3">
        <f>VLOOKUP($A100,'SegEnds_NonXtal_BW#'!$A:$Z,8,FALSE)+VLOOKUP($A100,A:AL,10,FALSE)-50</f>
        <v>164</v>
      </c>
      <c r="L100" s="3">
        <f t="shared" si="65"/>
        <v>166</v>
      </c>
      <c r="M100" s="3">
        <v>167</v>
      </c>
      <c r="N100" s="3">
        <f t="shared" si="66"/>
        <v>169</v>
      </c>
      <c r="O100" s="3">
        <f t="shared" si="67"/>
        <v>170</v>
      </c>
      <c r="P100" s="3">
        <v>199</v>
      </c>
      <c r="Q100" s="3">
        <f>VLOOKUP($A100,'SegEnds_NonXtal_BW#'!$A:$Z,12,FALSE)+VLOOKUP($A100,A:AL,16,FALSE)-50</f>
        <v>205</v>
      </c>
      <c r="R100" s="3">
        <f>IF(ISERROR(VLOOKUP($A100,'SegEnds_NonXtal_BW#'!$A:$Z,13,FALSE)+VLOOKUP($A100,A:AL,19,FALSE)-50),"-",VLOOKUP($A100,'SegEnds_NonXtal_BW#'!$A:$Z,13,FALSE)+VLOOKUP($A100,A:AL,19,FALSE)-50)</f>
        <v>206</v>
      </c>
      <c r="S100" s="3">
        <v>206</v>
      </c>
      <c r="T100" s="100">
        <f>IF(ISERROR(VLOOKUP($A100,'SegEnds_NonXtal_BW#'!$A:$Z,14,FALSE)+VLOOKUP($A100,A:AL,19,FALSE)-50),"-",(VLOOKUP($A100,'SegEnds_NonXtal_BW#'!$A:$Z,14,FALSE)+VLOOKUP($A100,A:AL,19,FALSE)-50))</f>
        <v>213</v>
      </c>
      <c r="U100" s="9">
        <f>IF(ISERROR(VLOOKUP($A100,'SegEnds_NonXtal_BW#'!$A:$Z,15,FALSE)+VLOOKUP($A100,A:AL,22,FALSE)-50),"-",VLOOKUP($A100,'SegEnds_NonXtal_BW#'!$A:$Z,15,FALSE)+VLOOKUP($A100,A:AL,22,FALSE)-50)</f>
        <v>214</v>
      </c>
      <c r="V100" s="3">
        <v>226</v>
      </c>
      <c r="W100" s="3">
        <f>IF(ISERROR(VLOOKUP($A100,'SegEnds_NonXtal_BW#'!$A:$Z,16,FALSE)+VLOOKUP($A100,A:AL,22,FALSE)-50),"-",(VLOOKUP($A100,'SegEnds_NonXtal_BW#'!$A:$Z,16,FALSE)+VLOOKUP($A100,A:AL,22,FALSE)-50))</f>
        <v>240</v>
      </c>
      <c r="X100" s="3">
        <f>IF(ISERROR(VLOOKUP($A100,'SegEnds_NonXtal_BW#'!$A:$Z,17,FALSE)+VLOOKUP($A100,A:AL,25,FALSE)-50),"-",(VLOOKUP($A100,'SegEnds_NonXtal_BW#'!$A:$Z,17,FALSE)+VLOOKUP($A100,A:AL,25,FALSE)-50))</f>
        <v>255</v>
      </c>
      <c r="Y100" s="3">
        <v>255</v>
      </c>
      <c r="Z100" s="3">
        <f t="shared" si="64"/>
        <v>257</v>
      </c>
      <c r="AA100" s="3">
        <f>IF(ISERROR(VLOOKUP($A100,'SegEnds_NonXtal_BW#'!$A:$Z,19,FALSE)+VLOOKUP($A100,A:AL,28,FALSE)-50),"-",(VLOOKUP($A100,'SegEnds_NonXtal_BW#'!$A:$Z,19,FALSE)+VLOOKUP($A100,A:AL,28,FALSE)-50))</f>
        <v>263</v>
      </c>
      <c r="AB100" s="3">
        <v>285</v>
      </c>
      <c r="AC100" s="3">
        <f>IF(ISERROR((VLOOKUP($A100,'SegEnds_NonXtal_BW#'!$A:$Z,20,FALSE)+VLOOKUP($A100,A:AL,28,FALSE)-50)),"-",(VLOOKUP($A100,'SegEnds_NonXtal_BW#'!$A:$Z,20,FALSE)+VLOOKUP($A100,A:AL,28,FALSE)-50))</f>
        <v>307</v>
      </c>
      <c r="AD100" s="3">
        <f>IF(ISERROR(VLOOKUP($A100,'SegEnds_NonXtal_BW#'!$A:$Z,21,FALSE)+VLOOKUP($A100,A:AL,31,FALSE)-50),"-",(VLOOKUP($A100,'SegEnds_NonXtal_BW#'!$A:$Z,21,FALSE)+VLOOKUP($A100,A:AL,31,FALSE)-50))</f>
        <v>312</v>
      </c>
      <c r="AE100" s="3">
        <v>338</v>
      </c>
      <c r="AF100" s="3">
        <f>IF(ISERROR((VLOOKUP($A100,'SegEnds_NonXtal_BW#'!$A:$Z,22,FALSE)+VLOOKUP($A100,A:AL,31,FALSE)-50)),"-",(VLOOKUP($A100,'SegEnds_NonXtal_BW#'!$A:$Z,22,FALSE)+VLOOKUP($A100,A:AL,31,FALSE)-50))</f>
        <v>350</v>
      </c>
      <c r="AG100" s="3">
        <f>IF(ISERROR(VLOOKUP($A100,'SegEnds_NonXtal_BW#'!$A:$Z,23,FALSE)+VLOOKUP($A100,A:AL,34,FALSE)-50),"-",(VLOOKUP($A100,'SegEnds_NonXtal_BW#'!$A:$Z,23,FALSE)+VLOOKUP($A100,A:AL,34,FALSE)-50))</f>
        <v>357</v>
      </c>
      <c r="AH100" s="3">
        <v>383</v>
      </c>
      <c r="AI100" s="3">
        <f>IF(ISERROR((VLOOKUP($A100,'SegEnds_NonXtal_BW#'!$A:$Z,24,FALSE)+VLOOKUP($A100,A:AL,34,FALSE)-50)),"-",(VLOOKUP($A100,'SegEnds_NonXtal_BW#'!$A:$Z,24,FALSE)+VLOOKUP($A100,A:AL,34,FALSE)-50))</f>
        <v>389</v>
      </c>
      <c r="AJ100" s="3">
        <f>IF(ISERROR(VLOOKUP($A100,'SegEnds_NonXtal_BW#'!$A:$Z,25,FALSE)+VLOOKUP($A100,A:AL,37,FALSE)-50),"-",(VLOOKUP($A100,'SegEnds_NonXtal_BW#'!$A:$Z,25,FALSE)+VLOOKUP($A100,A:AL,37,FALSE)-50))</f>
        <v>390</v>
      </c>
      <c r="AK100" s="3">
        <v>393</v>
      </c>
      <c r="AL100" s="3">
        <f>IF(ISERROR((VLOOKUP($A100,'SegEnds_NonXtal_BW#'!$A:$Z,26,FALSE)+VLOOKUP($A100,A:AL,37,FALSE)-50)),"-",(VLOOKUP($A100,'SegEnds_NonXtal_BW#'!$A:$Z,26,FALSE)+VLOOKUP($A100,A:AL,37,FALSE)-50))</f>
        <v>403</v>
      </c>
      <c r="AM100" s="28" t="str">
        <f>VLOOKUP(A100,Classification!A:B,2,FALSE)</f>
        <v>A</v>
      </c>
      <c r="AN100" s="28" t="b">
        <f t="shared" si="55"/>
        <v>1</v>
      </c>
      <c r="AO100" s="3" t="str">
        <f>IF(ISERROR(MATCH(A100,'SegEnds_Xtal_Prot#'!B:B, 0)), "NoXtal", "Xtal")</f>
        <v>Xtal</v>
      </c>
      <c r="AP100" s="3">
        <f t="shared" si="39"/>
        <v>1</v>
      </c>
      <c r="AQ100" s="3">
        <f t="shared" si="40"/>
        <v>1</v>
      </c>
      <c r="AR100" s="3">
        <f t="shared" si="41"/>
        <v>2</v>
      </c>
      <c r="AS100" s="3">
        <f t="shared" si="42"/>
        <v>1</v>
      </c>
      <c r="AT100" s="3">
        <f t="shared" si="43"/>
        <v>1</v>
      </c>
      <c r="AU100" s="3">
        <f t="shared" si="44"/>
        <v>1</v>
      </c>
      <c r="AV100" s="3">
        <f t="shared" si="45"/>
        <v>15</v>
      </c>
      <c r="AW100" s="3">
        <f t="shared" si="46"/>
        <v>6</v>
      </c>
      <c r="AX100" s="3">
        <f t="shared" si="47"/>
        <v>5</v>
      </c>
      <c r="AY100" s="3">
        <f t="shared" si="48"/>
        <v>7</v>
      </c>
      <c r="AZ100" s="3">
        <f t="shared" si="49"/>
        <v>1</v>
      </c>
      <c r="BA100" s="3">
        <f>IF(ISERROR(LEN(VLOOKUP(A100,Seqs!A:E,2,FALSE))-AL100),"-",LEN(VLOOKUP(A100,Seqs!A:E,2,FALSE))-AL100)</f>
        <v>39</v>
      </c>
      <c r="BB100" s="16">
        <f t="shared" si="50"/>
        <v>28</v>
      </c>
      <c r="BC100" s="9">
        <f t="shared" si="51"/>
        <v>20</v>
      </c>
      <c r="BD100" s="3">
        <f t="shared" si="52"/>
        <v>28</v>
      </c>
      <c r="BE100" s="3">
        <f t="shared" si="53"/>
        <v>53</v>
      </c>
    </row>
    <row r="101" spans="1:58" s="3" customFormat="1" x14ac:dyDescent="0.2">
      <c r="A101" s="3" t="s">
        <v>197</v>
      </c>
      <c r="B101" s="3" t="str">
        <f>LOWER(VLOOKUP(A101,Xtal_Templ!A:B,2,FALSE))</f>
        <v>ednrb_human</v>
      </c>
      <c r="C101" s="3">
        <f>VLOOKUP($A101,'SegEnds_NonXtal_BW#'!$A:$Z,3,FALSE)+D101-50</f>
        <v>120</v>
      </c>
      <c r="D101" s="3">
        <v>148</v>
      </c>
      <c r="E101" s="3">
        <f>IF(ISERROR(VLOOKUP($A101,'SegEnds_NonXtal_BW#'!$A:$Z,4,FALSE)+VLOOKUP($A101,A:AL,4,FALSE)-50),"-",(VLOOKUP($A101,'SegEnds_NonXtal_BW#'!$A:$Z,4,FALSE)+VLOOKUP($A101,A:AL,4,FALSE)-50))</f>
        <v>158</v>
      </c>
      <c r="F101" s="3">
        <f t="shared" si="61"/>
        <v>159</v>
      </c>
      <c r="G101" s="3">
        <v>161</v>
      </c>
      <c r="H101" s="3">
        <f>G101+1</f>
        <v>162</v>
      </c>
      <c r="I101" s="3">
        <f t="shared" si="63"/>
        <v>163</v>
      </c>
      <c r="J101" s="3">
        <v>176</v>
      </c>
      <c r="K101" s="3">
        <f>VLOOKUP($A101,'SegEnds_NonXtal_BW#'!$A:$Z,8,FALSE)+VLOOKUP($A101,A:AL,10,FALSE)-50</f>
        <v>193</v>
      </c>
      <c r="L101" s="3" t="str">
        <f>IF(ISERROR(VLOOKUP($A101,'SegEnds_NonXtal_BW#'!$A:$Z,9,FALSE)+VLOOKUP($A101,A:AL,13,FALSE)-50),"-",(VLOOKUP($A101,'SegEnds_NonXtal_BW#'!$A:$Z,9,FALSE)+VLOOKUP($A101,A:AL,13,FALSE)-50))</f>
        <v>-</v>
      </c>
      <c r="M101" s="3" t="s">
        <v>23</v>
      </c>
      <c r="N101" s="3" t="str">
        <f>IF(ISERROR(VLOOKUP($A101,'SegEnds_NonXtal_BW#'!$A:$Z,10,FALSE)+VLOOKUP($A101,A:AL,13,FALSE)-50),"-",(VLOOKUP($A101,'SegEnds_NonXtal_BW#'!$A:$Z,10,FALSE)+VLOOKUP($A101,A:AL,13,FALSE)-50))</f>
        <v>-</v>
      </c>
      <c r="O101" s="3">
        <f>VLOOKUP($A101,'SegEnds_NonXtal_BW#'!$A:$Z,11,FALSE)+VLOOKUP($A101,A:AL,16,FALSE)-50</f>
        <v>199</v>
      </c>
      <c r="P101" s="3">
        <v>228</v>
      </c>
      <c r="Q101" s="3">
        <f>VLOOKUP($A101,'SegEnds_NonXtal_BW#'!$A:$Z,12,FALSE)+VLOOKUP($A101,A:AL,16,FALSE)-50</f>
        <v>234</v>
      </c>
      <c r="R101" s="3">
        <f>IF(ISERROR(VLOOKUP($A101,'SegEnds_NonXtal_BW#'!$A:$Z,13,FALSE)+VLOOKUP($A101,A:AL,19,FALSE)-50),"-",VLOOKUP($A101,'SegEnds_NonXtal_BW#'!$A:$Z,13,FALSE)+VLOOKUP($A101,A:AL,19,FALSE)-50)</f>
        <v>236</v>
      </c>
      <c r="S101" s="3">
        <v>236</v>
      </c>
      <c r="T101" s="100">
        <f>IF(ISERROR(VLOOKUP($A101,'SegEnds_NonXtal_BW#'!$A:$Z,14,FALSE)+VLOOKUP($A101,A:AL,19,FALSE)-50),"-",(VLOOKUP($A101,'SegEnds_NonXtal_BW#'!$A:$Z,14,FALSE)+VLOOKUP($A101,A:AL,19,FALSE)-50))</f>
        <v>243</v>
      </c>
      <c r="U101" s="9">
        <f>IF(ISERROR(VLOOKUP($A101,'SegEnds_NonXtal_BW#'!$A:$Z,15,FALSE)+VLOOKUP($A101,A:AL,22,FALSE)-50),"-",VLOOKUP($A101,'SegEnds_NonXtal_BW#'!$A:$Z,15,FALSE)+VLOOKUP($A101,A:AL,22,FALSE)-50)</f>
        <v>244</v>
      </c>
      <c r="V101" s="3">
        <v>256</v>
      </c>
      <c r="W101" s="3">
        <f>IF(ISERROR(VLOOKUP($A101,'SegEnds_NonXtal_BW#'!$A:$Z,16,FALSE)+VLOOKUP($A101,A:AL,22,FALSE)-50),"-",(VLOOKUP($A101,'SegEnds_NonXtal_BW#'!$A:$Z,16,FALSE)+VLOOKUP($A101,A:AL,22,FALSE)-50))</f>
        <v>270</v>
      </c>
      <c r="X101" s="3">
        <f>IF(ISERROR(VLOOKUP($A101,'SegEnds_NonXtal_BW#'!$A:$Z,17,FALSE)+VLOOKUP($A101,A:AL,25,FALSE)-50),"-",(VLOOKUP($A101,'SegEnds_NonXtal_BW#'!$A:$Z,17,FALSE)+VLOOKUP($A101,A:AL,25,FALSE)-50))</f>
        <v>286</v>
      </c>
      <c r="Y101" s="3">
        <v>286</v>
      </c>
      <c r="Z101" s="3">
        <f t="shared" si="64"/>
        <v>288</v>
      </c>
      <c r="AA101" s="3">
        <f>IF(ISERROR(VLOOKUP($A101,'SegEnds_NonXtal_BW#'!$A:$Z,19,FALSE)+VLOOKUP($A101,A:AL,28,FALSE)-50),"-",(VLOOKUP($A101,'SegEnds_NonXtal_BW#'!$A:$Z,19,FALSE)+VLOOKUP($A101,A:AL,28,FALSE)-50))</f>
        <v>299</v>
      </c>
      <c r="AB101" s="3">
        <v>321</v>
      </c>
      <c r="AC101" s="3">
        <f>IF(ISERROR((VLOOKUP($A101,'SegEnds_NonXtal_BW#'!$A:$Z,20,FALSE)+VLOOKUP($A101,A:AL,28,FALSE)-50)),"-",(VLOOKUP($A101,'SegEnds_NonXtal_BW#'!$A:$Z,20,FALSE)+VLOOKUP($A101,A:AL,28,FALSE)-50))</f>
        <v>343</v>
      </c>
      <c r="AD101" s="3">
        <f>IF(ISERROR(VLOOKUP($A101,'SegEnds_NonXtal_BW#'!$A:$Z,21,FALSE)+VLOOKUP($A101,A:AL,31,FALSE)-50),"-",(VLOOKUP($A101,'SegEnds_NonXtal_BW#'!$A:$Z,21,FALSE)+VLOOKUP($A101,A:AL,31,FALSE)-50))</f>
        <v>348</v>
      </c>
      <c r="AE101" s="3">
        <v>374</v>
      </c>
      <c r="AF101" s="3">
        <f>IF(ISERROR((VLOOKUP($A101,'SegEnds_NonXtal_BW#'!$A:$Z,22,FALSE)+VLOOKUP($A101,A:AL,31,FALSE)-50)),"-",(VLOOKUP($A101,'SegEnds_NonXtal_BW#'!$A:$Z,22,FALSE)+VLOOKUP($A101,A:AL,31,FALSE)-50))</f>
        <v>385</v>
      </c>
      <c r="AG101" s="3">
        <f>IF(ISERROR(VLOOKUP($A101,'SegEnds_NonXtal_BW#'!$A:$Z,23,FALSE)+VLOOKUP($A101,A:AL,34,FALSE)-50),"-",(VLOOKUP($A101,'SegEnds_NonXtal_BW#'!$A:$Z,23,FALSE)+VLOOKUP($A101,A:AL,34,FALSE)-50))</f>
        <v>387</v>
      </c>
      <c r="AH101" s="3">
        <v>413</v>
      </c>
      <c r="AI101" s="3">
        <f>IF(ISERROR((VLOOKUP($A101,'SegEnds_NonXtal_BW#'!$A:$Z,24,FALSE)+VLOOKUP($A101,A:AL,34,FALSE)-50)),"-",(VLOOKUP($A101,'SegEnds_NonXtal_BW#'!$A:$Z,24,FALSE)+VLOOKUP($A101,A:AL,34,FALSE)-50))</f>
        <v>419</v>
      </c>
      <c r="AJ101" s="3">
        <f>IF(ISERROR(VLOOKUP($A101,'SegEnds_NonXtal_BW#'!$A:$Z,25,FALSE)+VLOOKUP($A101,A:AL,37,FALSE)-50),"-",(VLOOKUP($A101,'SegEnds_NonXtal_BW#'!$A:$Z,25,FALSE)+VLOOKUP($A101,A:AL,37,FALSE)-50))</f>
        <v>420</v>
      </c>
      <c r="AK101" s="3">
        <v>423</v>
      </c>
      <c r="AL101" s="3">
        <f>IF(ISERROR((VLOOKUP($A101,'SegEnds_NonXtal_BW#'!$A:$Z,26,FALSE)+VLOOKUP($A101,A:AL,37,FALSE)-50)),"-",(VLOOKUP($A101,'SegEnds_NonXtal_BW#'!$A:$Z,26,FALSE)+VLOOKUP($A101,A:AL,37,FALSE)-50))</f>
        <v>433</v>
      </c>
      <c r="AM101" s="28" t="str">
        <f>VLOOKUP(A101,Classification!A:B,2,FALSE)</f>
        <v>A</v>
      </c>
      <c r="AN101" s="28" t="b">
        <f t="shared" si="55"/>
        <v>1</v>
      </c>
      <c r="AO101" s="3" t="str">
        <f>IF(ISERROR(MATCH(A101,'SegEnds_Xtal_Prot#'!B:B, 0)), "NoXtal", "Xtal")</f>
        <v>NoXtal</v>
      </c>
      <c r="AP101" s="3">
        <f t="shared" si="39"/>
        <v>1</v>
      </c>
      <c r="AQ101" s="3">
        <f t="shared" si="40"/>
        <v>1</v>
      </c>
      <c r="AR101" s="3" t="str">
        <f t="shared" si="41"/>
        <v>-</v>
      </c>
      <c r="AS101" s="3" t="str">
        <f t="shared" si="42"/>
        <v>-</v>
      </c>
      <c r="AT101" s="3">
        <f t="shared" si="43"/>
        <v>2</v>
      </c>
      <c r="AU101" s="3">
        <f t="shared" si="44"/>
        <v>1</v>
      </c>
      <c r="AV101" s="3">
        <f t="shared" si="45"/>
        <v>16</v>
      </c>
      <c r="AW101" s="3">
        <f t="shared" si="46"/>
        <v>11</v>
      </c>
      <c r="AX101" s="3">
        <f t="shared" si="47"/>
        <v>5</v>
      </c>
      <c r="AY101" s="3">
        <f t="shared" si="48"/>
        <v>2</v>
      </c>
      <c r="AZ101" s="3">
        <f t="shared" si="49"/>
        <v>1</v>
      </c>
      <c r="BA101" s="3">
        <f>IF(ISERROR(LEN(VLOOKUP(A101,Seqs!A:E,2,FALSE))-AL101),"-",LEN(VLOOKUP(A101,Seqs!A:E,2,FALSE))-AL101)</f>
        <v>48</v>
      </c>
      <c r="BB101" s="16">
        <f t="shared" si="50"/>
        <v>28</v>
      </c>
      <c r="BC101" s="9">
        <f t="shared" si="51"/>
        <v>20</v>
      </c>
      <c r="BD101" s="3">
        <f t="shared" si="52"/>
        <v>28</v>
      </c>
      <c r="BE101" s="3">
        <f t="shared" si="53"/>
        <v>53</v>
      </c>
    </row>
    <row r="102" spans="1:58" s="3" customFormat="1" x14ac:dyDescent="0.2">
      <c r="A102" s="3" t="s">
        <v>1173</v>
      </c>
      <c r="B102" s="3" t="str">
        <f>LOWER(VLOOKUP(A102,Xtal_Templ!A:B,2,FALSE))</f>
        <v>ffar1_human</v>
      </c>
      <c r="C102" s="3">
        <f>VLOOKUP($A102,'SegEnds_NonXtal_BW#'!$A:$Z,3,FALSE)+D102-50</f>
        <v>4</v>
      </c>
      <c r="D102" s="3">
        <v>23</v>
      </c>
      <c r="E102" s="3">
        <f>IF(ISERROR(VLOOKUP($A102,'SegEnds_NonXtal_BW#'!$A:$Z,4,FALSE)+VLOOKUP($A102,A:AL,4,FALSE)-50),"-",(VLOOKUP($A102,'SegEnds_NonXtal_BW#'!$A:$Z,4,FALSE)+VLOOKUP($A102,A:AL,4,FALSE)-50))</f>
        <v>37</v>
      </c>
      <c r="F102" s="3" t="str">
        <f>IF(ISERROR(VLOOKUP($A102,'SegEnds_NonXtal_BW#'!$A:$Z,5,FALSE)+VLOOKUP($A102,A:AL,7,FALSE)-50),"-",(VLOOKUP($A102,'SegEnds_NonXtal_BW#'!$A:$Z,5,FALSE)+VLOOKUP($A102,A:AL,7,FALSE)-50))</f>
        <v>-</v>
      </c>
      <c r="G102" s="3" t="s">
        <v>23</v>
      </c>
      <c r="H102" s="3" t="str">
        <f>IF(ISERROR(VLOOKUP($A102,'SegEnds_NonXtal_BW#'!$A:$Z,6,FALSE)+VLOOKUP($A102,A:AL,7,FALSE)-50),"-",(VLOOKUP($A102,'SegEnds_NonXtal_BW#'!$A:$Z,6,FALSE)+VLOOKUP($A102,A:AL,7,FALSE)-50))</f>
        <v>-</v>
      </c>
      <c r="I102" s="3">
        <f>VLOOKUP($A102,'SegEnds_NonXtal_BW#'!$A:$Z,7,FALSE)+J102-50</f>
        <v>39</v>
      </c>
      <c r="J102" s="3">
        <v>52</v>
      </c>
      <c r="K102" s="3">
        <f>VLOOKUP($A102,'SegEnds_NonXtal_BW#'!$A:$Z,8,FALSE)+VLOOKUP($A102,A:AL,10,FALSE)-50</f>
        <v>69</v>
      </c>
      <c r="L102" s="3">
        <f t="shared" ref="L102:L115" si="68">M102-1</f>
        <v>71</v>
      </c>
      <c r="M102" s="3">
        <v>72</v>
      </c>
      <c r="N102" s="3">
        <f t="shared" ref="N102:N115" si="69">M102+2</f>
        <v>74</v>
      </c>
      <c r="O102" s="3">
        <f t="shared" ref="O102:O115" si="70">N102+1</f>
        <v>75</v>
      </c>
      <c r="P102" s="3">
        <v>104</v>
      </c>
      <c r="Q102" s="3">
        <f>VLOOKUP($A102,'SegEnds_NonXtal_BW#'!$A:$Z,12,FALSE)+VLOOKUP($A102,A:AL,16,FALSE)-50</f>
        <v>110</v>
      </c>
      <c r="R102" s="3">
        <f>IF(ISERROR(VLOOKUP($A102,'SegEnds_NonXtal_BW#'!$A:$Z,13,FALSE)+VLOOKUP($A102,A:AL,19,FALSE)-50),"-",VLOOKUP($A102,'SegEnds_NonXtal_BW#'!$A:$Z,13,FALSE)+VLOOKUP($A102,A:AL,19,FALSE)-50)</f>
        <v>111</v>
      </c>
      <c r="S102" s="3">
        <v>111</v>
      </c>
      <c r="T102" s="100">
        <f>IF(ISERROR(VLOOKUP($A102,'SegEnds_NonXtal_BW#'!$A:$Z,14,FALSE)+VLOOKUP($A102,A:AL,19,FALSE)-50),"-",(VLOOKUP($A102,'SegEnds_NonXtal_BW#'!$A:$Z,14,FALSE)+VLOOKUP($A102,A:AL,19,FALSE)-50))</f>
        <v>118</v>
      </c>
      <c r="U102" s="9">
        <f>IF(ISERROR(VLOOKUP($A102,'SegEnds_NonXtal_BW#'!$A:$Z,15,FALSE)+VLOOKUP($A102,A:AL,22,FALSE)-50),"-",VLOOKUP($A102,'SegEnds_NonXtal_BW#'!$A:$Z,15,FALSE)+VLOOKUP($A102,A:AL,22,FALSE)-50)</f>
        <v>119</v>
      </c>
      <c r="V102" s="3">
        <v>131</v>
      </c>
      <c r="W102" s="3">
        <f>IF(ISERROR(VLOOKUP($A102,'SegEnds_NonXtal_BW#'!$A:$Z,16,FALSE)+VLOOKUP($A102,A:AL,22,FALSE)-50),"-",(VLOOKUP($A102,'SegEnds_NonXtal_BW#'!$A:$Z,16,FALSE)+VLOOKUP($A102,A:AL,22,FALSE)-50))</f>
        <v>146</v>
      </c>
      <c r="X102" s="3">
        <f>IF(ISERROR(VLOOKUP($A102,'SegEnds_NonXtal_BW#'!$A:$Z,17,FALSE)+VLOOKUP($A102,A:AL,25,FALSE)-50),"-",(VLOOKUP($A102,'SegEnds_NonXtal_BW#'!$A:$Z,17,FALSE)+VLOOKUP($A102,A:AL,25,FALSE)-50))</f>
        <v>170</v>
      </c>
      <c r="Y102" s="3">
        <v>170</v>
      </c>
      <c r="Z102" s="3">
        <f t="shared" si="64"/>
        <v>172</v>
      </c>
      <c r="AA102" s="3">
        <f>IF(ISERROR(VLOOKUP($A102,'SegEnds_NonXtal_BW#'!$A:$Z,19,FALSE)+VLOOKUP($A102,A:AL,28,FALSE)-50),"-",(VLOOKUP($A102,'SegEnds_NonXtal_BW#'!$A:$Z,19,FALSE)+VLOOKUP($A102,A:AL,28,FALSE)-50))</f>
        <v>175</v>
      </c>
      <c r="AB102" s="3">
        <v>194</v>
      </c>
      <c r="AC102" s="3">
        <f>IF(ISERROR((VLOOKUP($A102,'SegEnds_NonXtal_BW#'!$A:$Z,20,FALSE)+VLOOKUP($A102,A:AL,28,FALSE)-50)),"-",(VLOOKUP($A102,'SegEnds_NonXtal_BW#'!$A:$Z,20,FALSE)+VLOOKUP($A102,A:AL,28,FALSE)-50))</f>
        <v>211</v>
      </c>
      <c r="AD102" s="3">
        <f>IF(ISERROR(VLOOKUP($A102,'SegEnds_NonXtal_BW#'!$A:$Z,21,FALSE)+VLOOKUP($A102,A:AL,31,FALSE)-50),"-",(VLOOKUP($A102,'SegEnds_NonXtal_BW#'!$A:$Z,21,FALSE)+VLOOKUP($A102,A:AL,31,FALSE)-50))</f>
        <v>217</v>
      </c>
      <c r="AE102" s="3">
        <v>239</v>
      </c>
      <c r="AF102" s="3">
        <f>IF(ISERROR((VLOOKUP($A102,'SegEnds_NonXtal_BW#'!$A:$Z,22,FALSE)+VLOOKUP($A102,A:AL,31,FALSE)-50)),"-",(VLOOKUP($A102,'SegEnds_NonXtal_BW#'!$A:$Z,22,FALSE)+VLOOKUP($A102,A:AL,31,FALSE)-50))</f>
        <v>250</v>
      </c>
      <c r="AG102" s="3">
        <f>IF(ISERROR(VLOOKUP($A102,'SegEnds_NonXtal_BW#'!$A:$Z,23,FALSE)+VLOOKUP($A102,A:AL,34,FALSE)-50),"-",(VLOOKUP($A102,'SegEnds_NonXtal_BW#'!$A:$Z,23,FALSE)+VLOOKUP($A102,A:AL,34,FALSE)-50))</f>
        <v>255</v>
      </c>
      <c r="AH102" s="3">
        <v>273</v>
      </c>
      <c r="AI102" s="3">
        <f>IF(ISERROR((VLOOKUP($A102,'SegEnds_NonXtal_BW#'!$A:$Z,24,FALSE)+VLOOKUP($A102,A:AL,34,FALSE)-50)),"-",(VLOOKUP($A102,'SegEnds_NonXtal_BW#'!$A:$Z,24,FALSE)+VLOOKUP($A102,A:AL,34,FALSE)-50))</f>
        <v>279</v>
      </c>
      <c r="AJ102" s="3">
        <f>IF(ISERROR(VLOOKUP($A102,'SegEnds_NonXtal_BW#'!$A:$Z,25,FALSE)+VLOOKUP($A102,A:AL,37,FALSE)-50),"-",(VLOOKUP($A102,'SegEnds_NonXtal_BW#'!$A:$Z,25,FALSE)+VLOOKUP($A102,A:AL,37,FALSE)-50))</f>
        <v>280</v>
      </c>
      <c r="AK102" s="3">
        <v>283</v>
      </c>
      <c r="AL102" s="3">
        <f>IF(ISERROR((VLOOKUP($A102,'SegEnds_NonXtal_BW#'!$A:$Z,26,FALSE)+VLOOKUP($A102,A:AL,37,FALSE)-50)),"-",(VLOOKUP($A102,'SegEnds_NonXtal_BW#'!$A:$Z,26,FALSE)+VLOOKUP($A102,A:AL,37,FALSE)-50))</f>
        <v>294</v>
      </c>
      <c r="AM102" s="28" t="str">
        <f>VLOOKUP(A102,Classification!A:B,2,FALSE)</f>
        <v>A</v>
      </c>
      <c r="AN102" s="28" t="b">
        <f t="shared" si="55"/>
        <v>1</v>
      </c>
      <c r="AO102" s="3" t="str">
        <f>IF(ISERROR(MATCH(A102,'SegEnds_Xtal_Prot#'!B:B, 0)), "NoXtal", "Xtal")</f>
        <v>Xtal</v>
      </c>
      <c r="AP102" s="3" t="str">
        <f t="shared" si="39"/>
        <v>-</v>
      </c>
      <c r="AQ102" s="3" t="str">
        <f t="shared" si="40"/>
        <v>-</v>
      </c>
      <c r="AR102" s="3">
        <f t="shared" si="41"/>
        <v>2</v>
      </c>
      <c r="AS102" s="3">
        <f t="shared" si="42"/>
        <v>1</v>
      </c>
      <c r="AT102" s="3">
        <f t="shared" si="43"/>
        <v>1</v>
      </c>
      <c r="AU102" s="3">
        <f t="shared" si="44"/>
        <v>1</v>
      </c>
      <c r="AV102" s="3">
        <f t="shared" si="45"/>
        <v>24</v>
      </c>
      <c r="AW102" s="3">
        <f t="shared" si="46"/>
        <v>3</v>
      </c>
      <c r="AX102" s="3">
        <f t="shared" si="47"/>
        <v>6</v>
      </c>
      <c r="AY102" s="3">
        <f t="shared" si="48"/>
        <v>5</v>
      </c>
      <c r="AZ102" s="3">
        <f t="shared" si="49"/>
        <v>1</v>
      </c>
      <c r="BA102" s="3">
        <f>IF(ISERROR(LEN(VLOOKUP(A102,Seqs!A:E,2,FALSE))-AL102),"-",LEN(VLOOKUP(A102,Seqs!A:E,2,FALSE))-AL102)</f>
        <v>6</v>
      </c>
      <c r="BB102" s="16">
        <f t="shared" si="50"/>
        <v>29</v>
      </c>
      <c r="BC102" s="9">
        <f t="shared" si="51"/>
        <v>20</v>
      </c>
      <c r="BD102" s="3">
        <f t="shared" si="52"/>
        <v>29</v>
      </c>
      <c r="BE102" s="3">
        <f t="shared" si="53"/>
        <v>45</v>
      </c>
      <c r="BF102" s="3">
        <f>AH102-AE102</f>
        <v>34</v>
      </c>
    </row>
    <row r="103" spans="1:58" s="3" customFormat="1" x14ac:dyDescent="0.2">
      <c r="A103" s="3" t="s">
        <v>198</v>
      </c>
      <c r="B103" s="3" t="str">
        <f>LOWER(VLOOKUP(A103,Xtal_Templ!A:B,2,FALSE))</f>
        <v>par2_human</v>
      </c>
      <c r="C103" s="3">
        <f>VLOOKUP($A103,'SegEnds_NonXtal_BW#'!$A:$Z,3,FALSE)+D103-50</f>
        <v>3</v>
      </c>
      <c r="D103" s="3">
        <v>25</v>
      </c>
      <c r="E103" s="3">
        <f>IF(ISERROR(VLOOKUP($A103,'SegEnds_NonXtal_BW#'!$A:$Z,4,FALSE)+VLOOKUP($A103,A:AL,4,FALSE)-50),"-",(VLOOKUP($A103,'SegEnds_NonXtal_BW#'!$A:$Z,4,FALSE)+VLOOKUP($A103,A:AL,4,FALSE)-50))</f>
        <v>35</v>
      </c>
      <c r="F103" s="3" t="str">
        <f>IF(ISERROR(VLOOKUP($A103,'SegEnds_NonXtal_BW#'!$A:$Z,5,FALSE)+VLOOKUP($A103,A:AL,7,FALSE)-50),"-",(VLOOKUP($A103,'SegEnds_NonXtal_BW#'!$A:$Z,5,FALSE)+VLOOKUP($A103,A:AL,7,FALSE)-50))</f>
        <v>-</v>
      </c>
      <c r="G103" s="3" t="s">
        <v>23</v>
      </c>
      <c r="H103" s="3" t="str">
        <f>IF(ISERROR(VLOOKUP($A103,'SegEnds_NonXtal_BW#'!$A:$Z,6,FALSE)+VLOOKUP($A103,A:AL,7,FALSE)-50),"-",(VLOOKUP($A103,'SegEnds_NonXtal_BW#'!$A:$Z,6,FALSE)+VLOOKUP($A103,A:AL,7,FALSE)-50))</f>
        <v>-</v>
      </c>
      <c r="I103" s="3">
        <f>VLOOKUP($A103,'SegEnds_NonXtal_BW#'!$A:$Z,7,FALSE)+J103-50</f>
        <v>42</v>
      </c>
      <c r="J103" s="3">
        <v>55</v>
      </c>
      <c r="K103" s="3">
        <f>VLOOKUP($A103,'SegEnds_NonXtal_BW#'!$A:$Z,8,FALSE)+VLOOKUP($A103,A:AL,10,FALSE)-50</f>
        <v>71</v>
      </c>
      <c r="L103" s="3">
        <f t="shared" si="68"/>
        <v>74</v>
      </c>
      <c r="M103" s="3">
        <v>75</v>
      </c>
      <c r="N103" s="3">
        <f t="shared" si="69"/>
        <v>77</v>
      </c>
      <c r="O103" s="3">
        <f t="shared" si="70"/>
        <v>78</v>
      </c>
      <c r="P103" s="3">
        <v>107</v>
      </c>
      <c r="Q103" s="3">
        <f>VLOOKUP($A103,'SegEnds_NonXtal_BW#'!$A:$Z,12,FALSE)+VLOOKUP($A103,A:AL,16,FALSE)-50</f>
        <v>113</v>
      </c>
      <c r="R103" s="3">
        <f>IF(ISERROR(VLOOKUP($A103,'SegEnds_NonXtal_BW#'!$A:$Z,13,FALSE)+VLOOKUP($A103,A:AL,19,FALSE)-50),"-",VLOOKUP($A103,'SegEnds_NonXtal_BW#'!$A:$Z,13,FALSE)+VLOOKUP($A103,A:AL,19,FALSE)-50)</f>
        <v>114</v>
      </c>
      <c r="S103" s="3">
        <v>114</v>
      </c>
      <c r="T103" s="100">
        <f>IF(ISERROR(VLOOKUP($A103,'SegEnds_NonXtal_BW#'!$A:$Z,14,FALSE)+VLOOKUP($A103,A:AL,19,FALSE)-50),"-",(VLOOKUP($A103,'SegEnds_NonXtal_BW#'!$A:$Z,14,FALSE)+VLOOKUP($A103,A:AL,19,FALSE)-50))</f>
        <v>121</v>
      </c>
      <c r="U103" s="9">
        <f>IF(ISERROR(VLOOKUP($A103,'SegEnds_NonXtal_BW#'!$A:$Z,15,FALSE)+VLOOKUP($A103,A:AL,22,FALSE)-50),"-",VLOOKUP($A103,'SegEnds_NonXtal_BW#'!$A:$Z,15,FALSE)+VLOOKUP($A103,A:AL,22,FALSE)-50)</f>
        <v>122</v>
      </c>
      <c r="V103" s="3">
        <v>134</v>
      </c>
      <c r="W103" s="3">
        <f>IF(ISERROR(VLOOKUP($A103,'SegEnds_NonXtal_BW#'!$A:$Z,16,FALSE)+VLOOKUP($A103,A:AL,22,FALSE)-50),"-",(VLOOKUP($A103,'SegEnds_NonXtal_BW#'!$A:$Z,16,FALSE)+VLOOKUP($A103,A:AL,22,FALSE)-50))</f>
        <v>146</v>
      </c>
      <c r="X103" s="3">
        <f>IF(ISERROR(VLOOKUP($A103,'SegEnds_NonXtal_BW#'!$A:$Z,17,FALSE)+VLOOKUP($A103,A:AL,25,FALSE)-50),"-",(VLOOKUP($A103,'SegEnds_NonXtal_BW#'!$A:$Z,17,FALSE)+VLOOKUP($A103,A:AL,25,FALSE)-50))</f>
        <v>164</v>
      </c>
      <c r="Y103" s="3">
        <v>164</v>
      </c>
      <c r="Z103" s="3">
        <f t="shared" si="64"/>
        <v>166</v>
      </c>
      <c r="AA103" s="3">
        <f>IF(ISERROR(VLOOKUP($A103,'SegEnds_NonXtal_BW#'!$A:$Z,19,FALSE)+VLOOKUP($A103,A:AL,28,FALSE)-50),"-",(VLOOKUP($A103,'SegEnds_NonXtal_BW#'!$A:$Z,19,FALSE)+VLOOKUP($A103,A:AL,28,FALSE)-50))</f>
        <v>172</v>
      </c>
      <c r="AB103" s="3">
        <v>191</v>
      </c>
      <c r="AC103" s="3">
        <f>IF(ISERROR((VLOOKUP($A103,'SegEnds_NonXtal_BW#'!$A:$Z,20,FALSE)+VLOOKUP($A103,A:AL,28,FALSE)-50)),"-",(VLOOKUP($A103,'SegEnds_NonXtal_BW#'!$A:$Z,20,FALSE)+VLOOKUP($A103,A:AL,28,FALSE)-50))</f>
        <v>208</v>
      </c>
      <c r="AD103" s="3">
        <f>IF(ISERROR(VLOOKUP($A103,'SegEnds_NonXtal_BW#'!$A:$Z,21,FALSE)+VLOOKUP($A103,A:AL,31,FALSE)-50),"-",(VLOOKUP($A103,'SegEnds_NonXtal_BW#'!$A:$Z,21,FALSE)+VLOOKUP($A103,A:AL,31,FALSE)-50))</f>
        <v>213</v>
      </c>
      <c r="AE103" s="3">
        <v>237</v>
      </c>
      <c r="AF103" s="3">
        <f>IF(ISERROR((VLOOKUP($A103,'SegEnds_NonXtal_BW#'!$A:$Z,22,FALSE)+VLOOKUP($A103,A:AL,31,FALSE)-50)),"-",(VLOOKUP($A103,'SegEnds_NonXtal_BW#'!$A:$Z,22,FALSE)+VLOOKUP($A103,A:AL,31,FALSE)-50))</f>
        <v>248</v>
      </c>
      <c r="AG103" s="3">
        <f>IF(ISERROR(VLOOKUP($A103,'SegEnds_NonXtal_BW#'!$A:$Z,23,FALSE)+VLOOKUP($A103,A:AL,34,FALSE)-50),"-",(VLOOKUP($A103,'SegEnds_NonXtal_BW#'!$A:$Z,23,FALSE)+VLOOKUP($A103,A:AL,34,FALSE)-50))</f>
        <v>253</v>
      </c>
      <c r="AH103" s="3">
        <v>270</v>
      </c>
      <c r="AI103" s="3">
        <f>IF(ISERROR((VLOOKUP($A103,'SegEnds_NonXtal_BW#'!$A:$Z,24,FALSE)+VLOOKUP($A103,A:AL,34,FALSE)-50)),"-",(VLOOKUP($A103,'SegEnds_NonXtal_BW#'!$A:$Z,24,FALSE)+VLOOKUP($A103,A:AL,34,FALSE)-50))</f>
        <v>276</v>
      </c>
      <c r="AJ103" s="3">
        <f>IF(ISERROR(VLOOKUP($A103,'SegEnds_NonXtal_BW#'!$A:$Z,25,FALSE)+VLOOKUP($A103,A:AL,37,FALSE)-50),"-",(VLOOKUP($A103,'SegEnds_NonXtal_BW#'!$A:$Z,25,FALSE)+VLOOKUP($A103,A:AL,37,FALSE)-50))</f>
        <v>277</v>
      </c>
      <c r="AK103" s="3">
        <v>280</v>
      </c>
      <c r="AL103" s="3">
        <f>IF(ISERROR((VLOOKUP($A103,'SegEnds_NonXtal_BW#'!$A:$Z,26,FALSE)+VLOOKUP($A103,A:AL,37,FALSE)-50)),"-",(VLOOKUP($A103,'SegEnds_NonXtal_BW#'!$A:$Z,26,FALSE)+VLOOKUP($A103,A:AL,37,FALSE)-50))</f>
        <v>291</v>
      </c>
      <c r="AM103" s="28" t="str">
        <f>VLOOKUP(A103,Classification!A:B,2,FALSE)</f>
        <v>A</v>
      </c>
      <c r="AN103" s="28" t="b">
        <f t="shared" si="55"/>
        <v>1</v>
      </c>
      <c r="AO103" s="3" t="str">
        <f>IF(ISERROR(MATCH(A103,'SegEnds_Xtal_Prot#'!B:B, 0)), "NoXtal", "Xtal")</f>
        <v>NoXtal</v>
      </c>
      <c r="AP103" s="3" t="str">
        <f t="shared" si="39"/>
        <v>-</v>
      </c>
      <c r="AQ103" s="3" t="str">
        <f t="shared" si="40"/>
        <v>-</v>
      </c>
      <c r="AR103" s="3">
        <f t="shared" si="41"/>
        <v>3</v>
      </c>
      <c r="AS103" s="3">
        <f t="shared" si="42"/>
        <v>1</v>
      </c>
      <c r="AT103" s="3">
        <f t="shared" si="43"/>
        <v>1</v>
      </c>
      <c r="AU103" s="3">
        <f t="shared" si="44"/>
        <v>1</v>
      </c>
      <c r="AV103" s="3">
        <f t="shared" si="45"/>
        <v>18</v>
      </c>
      <c r="AW103" s="3">
        <f t="shared" si="46"/>
        <v>6</v>
      </c>
      <c r="AX103" s="3">
        <f t="shared" si="47"/>
        <v>5</v>
      </c>
      <c r="AY103" s="3">
        <f t="shared" si="48"/>
        <v>5</v>
      </c>
      <c r="AZ103" s="3">
        <f t="shared" si="49"/>
        <v>1</v>
      </c>
      <c r="BA103" s="3">
        <f>IF(ISERROR(LEN(VLOOKUP(A103,Seqs!A:E,2,FALSE))-AL103),"-",LEN(VLOOKUP(A103,Seqs!A:E,2,FALSE))-AL103)</f>
        <v>39</v>
      </c>
      <c r="BB103" s="16">
        <f t="shared" si="50"/>
        <v>30</v>
      </c>
      <c r="BC103" s="9">
        <f t="shared" si="51"/>
        <v>20</v>
      </c>
      <c r="BD103" s="3">
        <f t="shared" si="52"/>
        <v>30</v>
      </c>
      <c r="BE103" s="3">
        <f t="shared" si="53"/>
        <v>46</v>
      </c>
    </row>
    <row r="104" spans="1:58" s="3" customFormat="1" x14ac:dyDescent="0.2">
      <c r="A104" s="3" t="s">
        <v>199</v>
      </c>
      <c r="B104" s="3" t="str">
        <f>LOWER(VLOOKUP(A104,Xtal_Templ!A:B,2,FALSE))</f>
        <v>par1_human</v>
      </c>
      <c r="C104" s="3">
        <f>VLOOKUP($A104,'SegEnds_NonXtal_BW#'!$A:$Z,3,FALSE)+D104-50</f>
        <v>11</v>
      </c>
      <c r="D104" s="3">
        <v>32</v>
      </c>
      <c r="E104" s="3">
        <f>IF(ISERROR(VLOOKUP($A104,'SegEnds_NonXtal_BW#'!$A:$Z,4,FALSE)+VLOOKUP($A104,A:AL,4,FALSE)-50),"-",(VLOOKUP($A104,'SegEnds_NonXtal_BW#'!$A:$Z,4,FALSE)+VLOOKUP($A104,A:AL,4,FALSE)-50))</f>
        <v>42</v>
      </c>
      <c r="F104" s="3" t="str">
        <f>IF(ISERROR(VLOOKUP($A104,'SegEnds_NonXtal_BW#'!$A:$Z,5,FALSE)+VLOOKUP($A104,A:AL,7,FALSE)-50),"-",(VLOOKUP($A104,'SegEnds_NonXtal_BW#'!$A:$Z,5,FALSE)+VLOOKUP($A104,A:AL,7,FALSE)-50))</f>
        <v>-</v>
      </c>
      <c r="G104" s="3" t="s">
        <v>23</v>
      </c>
      <c r="H104" s="3" t="str">
        <f>IF(ISERROR(VLOOKUP($A104,'SegEnds_NonXtal_BW#'!$A:$Z,6,FALSE)+VLOOKUP($A104,A:AL,7,FALSE)-50),"-",(VLOOKUP($A104,'SegEnds_NonXtal_BW#'!$A:$Z,6,FALSE)+VLOOKUP($A104,A:AL,7,FALSE)-50))</f>
        <v>-</v>
      </c>
      <c r="I104" s="3">
        <f>VLOOKUP($A104,'SegEnds_NonXtal_BW#'!$A:$Z,7,FALSE)+J104-50</f>
        <v>48</v>
      </c>
      <c r="J104" s="3">
        <v>61</v>
      </c>
      <c r="K104" s="3">
        <f>VLOOKUP($A104,'SegEnds_NonXtal_BW#'!$A:$Z,8,FALSE)+VLOOKUP($A104,A:AL,10,FALSE)-50</f>
        <v>77</v>
      </c>
      <c r="L104" s="3">
        <f t="shared" si="68"/>
        <v>80</v>
      </c>
      <c r="M104" s="3">
        <v>81</v>
      </c>
      <c r="N104" s="3">
        <f t="shared" si="69"/>
        <v>83</v>
      </c>
      <c r="O104" s="3">
        <f t="shared" si="70"/>
        <v>84</v>
      </c>
      <c r="P104" s="3">
        <v>113</v>
      </c>
      <c r="Q104" s="3">
        <f>VLOOKUP($A104,'SegEnds_NonXtal_BW#'!$A:$Z,12,FALSE)+VLOOKUP($A104,A:AL,16,FALSE)-50</f>
        <v>119</v>
      </c>
      <c r="R104" s="3">
        <f>IF(ISERROR(VLOOKUP($A104,'SegEnds_NonXtal_BW#'!$A:$Z,13,FALSE)+VLOOKUP($A104,A:AL,19,FALSE)-50),"-",VLOOKUP($A104,'SegEnds_NonXtal_BW#'!$A:$Z,13,FALSE)+VLOOKUP($A104,A:AL,19,FALSE)-50)</f>
        <v>120</v>
      </c>
      <c r="S104" s="3">
        <v>120</v>
      </c>
      <c r="T104" s="100">
        <f>IF(ISERROR(VLOOKUP($A104,'SegEnds_NonXtal_BW#'!$A:$Z,14,FALSE)+VLOOKUP($A104,A:AL,19,FALSE)-50),"-",(VLOOKUP($A104,'SegEnds_NonXtal_BW#'!$A:$Z,14,FALSE)+VLOOKUP($A104,A:AL,19,FALSE)-50))</f>
        <v>127</v>
      </c>
      <c r="U104" s="9">
        <f>IF(ISERROR(VLOOKUP($A104,'SegEnds_NonXtal_BW#'!$A:$Z,15,FALSE)+VLOOKUP($A104,A:AL,22,FALSE)-50),"-",VLOOKUP($A104,'SegEnds_NonXtal_BW#'!$A:$Z,15,FALSE)+VLOOKUP($A104,A:AL,22,FALSE)-50)</f>
        <v>128</v>
      </c>
      <c r="V104" s="3">
        <v>140</v>
      </c>
      <c r="W104" s="3">
        <f>IF(ISERROR(VLOOKUP($A104,'SegEnds_NonXtal_BW#'!$A:$Z,16,FALSE)+VLOOKUP($A104,A:AL,22,FALSE)-50),"-",(VLOOKUP($A104,'SegEnds_NonXtal_BW#'!$A:$Z,16,FALSE)+VLOOKUP($A104,A:AL,22,FALSE)-50))</f>
        <v>153</v>
      </c>
      <c r="X104" s="3">
        <f>IF(ISERROR(VLOOKUP($A104,'SegEnds_NonXtal_BW#'!$A:$Z,17,FALSE)+VLOOKUP($A104,A:AL,25,FALSE)-50),"-",(VLOOKUP($A104,'SegEnds_NonXtal_BW#'!$A:$Z,17,FALSE)+VLOOKUP($A104,A:AL,25,FALSE)-50))</f>
        <v>169</v>
      </c>
      <c r="Y104" s="3">
        <v>169</v>
      </c>
      <c r="Z104" s="3">
        <f t="shared" si="64"/>
        <v>171</v>
      </c>
      <c r="AA104" s="3">
        <f>IF(ISERROR(VLOOKUP($A104,'SegEnds_NonXtal_BW#'!$A:$Z,19,FALSE)+VLOOKUP($A104,A:AL,28,FALSE)-50),"-",(VLOOKUP($A104,'SegEnds_NonXtal_BW#'!$A:$Z,19,FALSE)+VLOOKUP($A104,A:AL,28,FALSE)-50))</f>
        <v>178</v>
      </c>
      <c r="AB104" s="3">
        <v>196</v>
      </c>
      <c r="AC104" s="3">
        <f>IF(ISERROR((VLOOKUP($A104,'SegEnds_NonXtal_BW#'!$A:$Z,20,FALSE)+VLOOKUP($A104,A:AL,28,FALSE)-50)),"-",(VLOOKUP($A104,'SegEnds_NonXtal_BW#'!$A:$Z,20,FALSE)+VLOOKUP($A104,A:AL,28,FALSE)-50))</f>
        <v>214</v>
      </c>
      <c r="AD104" s="3">
        <f>IF(ISERROR(VLOOKUP($A104,'SegEnds_NonXtal_BW#'!$A:$Z,21,FALSE)+VLOOKUP($A104,A:AL,31,FALSE)-50),"-",(VLOOKUP($A104,'SegEnds_NonXtal_BW#'!$A:$Z,21,FALSE)+VLOOKUP($A104,A:AL,31,FALSE)-50))</f>
        <v>218</v>
      </c>
      <c r="AE104" s="3">
        <v>240</v>
      </c>
      <c r="AF104" s="3">
        <f>IF(ISERROR((VLOOKUP($A104,'SegEnds_NonXtal_BW#'!$A:$Z,22,FALSE)+VLOOKUP($A104,A:AL,31,FALSE)-50)),"-",(VLOOKUP($A104,'SegEnds_NonXtal_BW#'!$A:$Z,22,FALSE)+VLOOKUP($A104,A:AL,31,FALSE)-50))</f>
        <v>251</v>
      </c>
      <c r="AG104" s="3">
        <f>IF(ISERROR(VLOOKUP($A104,'SegEnds_NonXtal_BW#'!$A:$Z,23,FALSE)+VLOOKUP($A104,A:AL,34,FALSE)-50),"-",(VLOOKUP($A104,'SegEnds_NonXtal_BW#'!$A:$Z,23,FALSE)+VLOOKUP($A104,A:AL,34,FALSE)-50))</f>
        <v>256</v>
      </c>
      <c r="AH104" s="3">
        <v>273</v>
      </c>
      <c r="AI104" s="3">
        <f>IF(ISERROR((VLOOKUP($A104,'SegEnds_NonXtal_BW#'!$A:$Z,24,FALSE)+VLOOKUP($A104,A:AL,34,FALSE)-50)),"-",(VLOOKUP($A104,'SegEnds_NonXtal_BW#'!$A:$Z,24,FALSE)+VLOOKUP($A104,A:AL,34,FALSE)-50))</f>
        <v>279</v>
      </c>
      <c r="AJ104" s="3">
        <f>IF(ISERROR(VLOOKUP($A104,'SegEnds_NonXtal_BW#'!$A:$Z,25,FALSE)+VLOOKUP($A104,A:AL,37,FALSE)-50),"-",(VLOOKUP($A104,'SegEnds_NonXtal_BW#'!$A:$Z,25,FALSE)+VLOOKUP($A104,A:AL,37,FALSE)-50))</f>
        <v>280</v>
      </c>
      <c r="AK104" s="3">
        <v>283</v>
      </c>
      <c r="AL104" s="3">
        <f>IF(ISERROR((VLOOKUP($A104,'SegEnds_NonXtal_BW#'!$A:$Z,26,FALSE)+VLOOKUP($A104,A:AL,37,FALSE)-50)),"-",(VLOOKUP($A104,'SegEnds_NonXtal_BW#'!$A:$Z,26,FALSE)+VLOOKUP($A104,A:AL,37,FALSE)-50))</f>
        <v>294</v>
      </c>
      <c r="AM104" s="28" t="str">
        <f>VLOOKUP(A104,Classification!A:B,2,FALSE)</f>
        <v>A</v>
      </c>
      <c r="AN104" s="28" t="b">
        <f t="shared" si="55"/>
        <v>1</v>
      </c>
      <c r="AO104" s="3" t="str">
        <f>IF(ISERROR(MATCH(A104,'SegEnds_Xtal_Prot#'!B:B, 0)), "NoXtal", "Xtal")</f>
        <v>NoXtal</v>
      </c>
      <c r="AP104" s="3" t="str">
        <f t="shared" si="39"/>
        <v>-</v>
      </c>
      <c r="AQ104" s="3" t="str">
        <f t="shared" si="40"/>
        <v>-</v>
      </c>
      <c r="AR104" s="3">
        <f t="shared" si="41"/>
        <v>3</v>
      </c>
      <c r="AS104" s="3">
        <f t="shared" si="42"/>
        <v>1</v>
      </c>
      <c r="AT104" s="3">
        <f t="shared" si="43"/>
        <v>1</v>
      </c>
      <c r="AU104" s="3">
        <f t="shared" si="44"/>
        <v>1</v>
      </c>
      <c r="AV104" s="3">
        <f t="shared" si="45"/>
        <v>16</v>
      </c>
      <c r="AW104" s="3">
        <f t="shared" si="46"/>
        <v>7</v>
      </c>
      <c r="AX104" s="3">
        <f t="shared" si="47"/>
        <v>4</v>
      </c>
      <c r="AY104" s="3">
        <f t="shared" si="48"/>
        <v>5</v>
      </c>
      <c r="AZ104" s="3">
        <f t="shared" si="49"/>
        <v>1</v>
      </c>
      <c r="BA104" s="3">
        <f>IF(ISERROR(LEN(VLOOKUP(A104,Seqs!A:E,2,FALSE))-AL104),"-",LEN(VLOOKUP(A104,Seqs!A:E,2,FALSE))-AL104)</f>
        <v>52</v>
      </c>
      <c r="BB104" s="16">
        <f t="shared" si="50"/>
        <v>29</v>
      </c>
      <c r="BC104" s="9">
        <f t="shared" si="51"/>
        <v>20</v>
      </c>
      <c r="BD104" s="3">
        <f t="shared" si="52"/>
        <v>29</v>
      </c>
      <c r="BE104" s="3">
        <f t="shared" si="53"/>
        <v>44</v>
      </c>
    </row>
    <row r="105" spans="1:58" s="3" customFormat="1" x14ac:dyDescent="0.2">
      <c r="A105" s="3" t="s">
        <v>200</v>
      </c>
      <c r="B105" s="3" t="str">
        <f>LOWER(VLOOKUP(A105,Xtal_Templ!A:B,2,FALSE))</f>
        <v>ox2r_human</v>
      </c>
      <c r="C105" s="3">
        <f>VLOOKUP($A105,'SegEnds_NonXtal_BW#'!$A:$Z,3,FALSE)+D105-50</f>
        <v>39</v>
      </c>
      <c r="D105" s="3">
        <v>58</v>
      </c>
      <c r="E105" s="3">
        <f>IF(ISERROR(VLOOKUP($A105,'SegEnds_NonXtal_BW#'!$A:$Z,4,FALSE)+VLOOKUP($A105,A:AL,4,FALSE)-50),"-",(VLOOKUP($A105,'SegEnds_NonXtal_BW#'!$A:$Z,4,FALSE)+VLOOKUP($A105,A:AL,4,FALSE)-50))</f>
        <v>68</v>
      </c>
      <c r="F105" s="3" t="str">
        <f>IF(ISERROR(VLOOKUP($A105,'SegEnds_NonXtal_BW#'!$A:$Z,5,FALSE)+VLOOKUP($A105,A:AL,7,FALSE)-50),"-",(VLOOKUP($A105,'SegEnds_NonXtal_BW#'!$A:$Z,5,FALSE)+VLOOKUP($A105,A:AL,7,FALSE)-50))</f>
        <v>-</v>
      </c>
      <c r="G105" s="3" t="s">
        <v>23</v>
      </c>
      <c r="H105" s="3" t="str">
        <f>IF(ISERROR(VLOOKUP($A105,'SegEnds_NonXtal_BW#'!$A:$Z,6,FALSE)+VLOOKUP($A105,A:AL,7,FALSE)-50),"-",(VLOOKUP($A105,'SegEnds_NonXtal_BW#'!$A:$Z,6,FALSE)+VLOOKUP($A105,A:AL,7,FALSE)-50))</f>
        <v>-</v>
      </c>
      <c r="I105" s="3">
        <f>VLOOKUP($A105,'SegEnds_NonXtal_BW#'!$A:$Z,7,FALSE)+J105-50</f>
        <v>72</v>
      </c>
      <c r="J105" s="3">
        <v>85</v>
      </c>
      <c r="K105" s="3">
        <f>VLOOKUP($A105,'SegEnds_NonXtal_BW#'!$A:$Z,8,FALSE)+VLOOKUP($A105,A:AL,10,FALSE)-50</f>
        <v>101</v>
      </c>
      <c r="L105" s="3">
        <f t="shared" si="68"/>
        <v>103</v>
      </c>
      <c r="M105" s="3">
        <v>104</v>
      </c>
      <c r="N105" s="3">
        <f t="shared" si="69"/>
        <v>106</v>
      </c>
      <c r="O105" s="3">
        <f t="shared" si="70"/>
        <v>107</v>
      </c>
      <c r="P105" s="3">
        <v>136</v>
      </c>
      <c r="Q105" s="3">
        <f>VLOOKUP($A105,'SegEnds_NonXtal_BW#'!$A:$Z,12,FALSE)+VLOOKUP($A105,A:AL,16,FALSE)-50</f>
        <v>142</v>
      </c>
      <c r="R105" s="3">
        <f>IF(ISERROR(VLOOKUP($A105,'SegEnds_NonXtal_BW#'!$A:$Z,13,FALSE)+VLOOKUP($A105,A:AL,19,FALSE)-50),"-",VLOOKUP($A105,'SegEnds_NonXtal_BW#'!$A:$Z,13,FALSE)+VLOOKUP($A105,A:AL,19,FALSE)-50)</f>
        <v>143</v>
      </c>
      <c r="S105" s="3">
        <v>143</v>
      </c>
      <c r="T105" s="100">
        <f>IF(ISERROR(VLOOKUP($A105,'SegEnds_NonXtal_BW#'!$A:$Z,14,FALSE)+VLOOKUP($A105,A:AL,19,FALSE)-50),"-",(VLOOKUP($A105,'SegEnds_NonXtal_BW#'!$A:$Z,14,FALSE)+VLOOKUP($A105,A:AL,19,FALSE)-50))</f>
        <v>150</v>
      </c>
      <c r="U105" s="9">
        <f>IF(ISERROR(VLOOKUP($A105,'SegEnds_NonXtal_BW#'!$A:$Z,15,FALSE)+VLOOKUP($A105,A:AL,22,FALSE)-50),"-",VLOOKUP($A105,'SegEnds_NonXtal_BW#'!$A:$Z,15,FALSE)+VLOOKUP($A105,A:AL,22,FALSE)-50)</f>
        <v>151</v>
      </c>
      <c r="V105" s="3">
        <v>163</v>
      </c>
      <c r="W105" s="3">
        <f>IF(ISERROR(VLOOKUP($A105,'SegEnds_NonXtal_BW#'!$A:$Z,16,FALSE)+VLOOKUP($A105,A:AL,22,FALSE)-50),"-",(VLOOKUP($A105,'SegEnds_NonXtal_BW#'!$A:$Z,16,FALSE)+VLOOKUP($A105,A:AL,22,FALSE)-50))</f>
        <v>177</v>
      </c>
      <c r="X105" s="3">
        <f>IF(ISERROR(VLOOKUP($A105,'SegEnds_NonXtal_BW#'!$A:$Z,17,FALSE)+VLOOKUP($A105,A:AL,25,FALSE)-50),"-",(VLOOKUP($A105,'SegEnds_NonXtal_BW#'!$A:$Z,17,FALSE)+VLOOKUP($A105,A:AL,25,FALSE)-50))</f>
        <v>194</v>
      </c>
      <c r="Y105" s="3">
        <v>194</v>
      </c>
      <c r="Z105" s="3">
        <f t="shared" si="64"/>
        <v>196</v>
      </c>
      <c r="AA105" s="3">
        <f>IF(ISERROR(VLOOKUP($A105,'SegEnds_NonXtal_BW#'!$A:$Z,19,FALSE)+VLOOKUP($A105,A:AL,28,FALSE)-50),"-",(VLOOKUP($A105,'SegEnds_NonXtal_BW#'!$A:$Z,19,FALSE)+VLOOKUP($A105,A:AL,28,FALSE)-50))</f>
        <v>202</v>
      </c>
      <c r="AB105" s="3">
        <v>219</v>
      </c>
      <c r="AC105" s="3">
        <f>IF(ISERROR((VLOOKUP($A105,'SegEnds_NonXtal_BW#'!$A:$Z,20,FALSE)+VLOOKUP($A105,A:AL,28,FALSE)-50)),"-",(VLOOKUP($A105,'SegEnds_NonXtal_BW#'!$A:$Z,20,FALSE)+VLOOKUP($A105,A:AL,28,FALSE)-50))</f>
        <v>245</v>
      </c>
      <c r="AD105" s="3">
        <f>IF(ISERROR(VLOOKUP($A105,'SegEnds_NonXtal_BW#'!$A:$Z,21,FALSE)+VLOOKUP($A105,A:AL,31,FALSE)-50),"-",(VLOOKUP($A105,'SegEnds_NonXtal_BW#'!$A:$Z,21,FALSE)+VLOOKUP($A105,A:AL,31,FALSE)-50))</f>
        <v>269</v>
      </c>
      <c r="AE105" s="3">
        <v>295</v>
      </c>
      <c r="AF105" s="3">
        <f>IF(ISERROR((VLOOKUP($A105,'SegEnds_NonXtal_BW#'!$A:$Z,22,FALSE)+VLOOKUP($A105,A:AL,31,FALSE)-50)),"-",(VLOOKUP($A105,'SegEnds_NonXtal_BW#'!$A:$Z,22,FALSE)+VLOOKUP($A105,A:AL,31,FALSE)-50))</f>
        <v>306</v>
      </c>
      <c r="AG105" s="3">
        <f>IF(ISERROR(VLOOKUP($A105,'SegEnds_NonXtal_BW#'!$A:$Z,23,FALSE)+VLOOKUP($A105,A:AL,34,FALSE)-50),"-",(VLOOKUP($A105,'SegEnds_NonXtal_BW#'!$A:$Z,23,FALSE)+VLOOKUP($A105,A:AL,34,FALSE)-50))</f>
        <v>311</v>
      </c>
      <c r="AH105" s="3">
        <v>334</v>
      </c>
      <c r="AI105" s="3">
        <f>IF(ISERROR((VLOOKUP($A105,'SegEnds_NonXtal_BW#'!$A:$Z,24,FALSE)+VLOOKUP($A105,A:AL,34,FALSE)-50)),"-",(VLOOKUP($A105,'SegEnds_NonXtal_BW#'!$A:$Z,24,FALSE)+VLOOKUP($A105,A:AL,34,FALSE)-50))</f>
        <v>340</v>
      </c>
      <c r="AJ105" s="3">
        <f>IF(ISERROR(VLOOKUP($A105,'SegEnds_NonXtal_BW#'!$A:$Z,25,FALSE)+VLOOKUP($A105,A:AL,37,FALSE)-50),"-",(VLOOKUP($A105,'SegEnds_NonXtal_BW#'!$A:$Z,25,FALSE)+VLOOKUP($A105,A:AL,37,FALSE)-50))</f>
        <v>341</v>
      </c>
      <c r="AK105" s="3">
        <v>344</v>
      </c>
      <c r="AL105" s="3">
        <f>IF(ISERROR((VLOOKUP($A105,'SegEnds_NonXtal_BW#'!$A:$Z,26,FALSE)+VLOOKUP($A105,A:AL,37,FALSE)-50)),"-",(VLOOKUP($A105,'SegEnds_NonXtal_BW#'!$A:$Z,26,FALSE)+VLOOKUP($A105,A:AL,37,FALSE)-50))</f>
        <v>352</v>
      </c>
      <c r="AM105" s="28" t="str">
        <f>VLOOKUP(A105,Classification!A:B,2,FALSE)</f>
        <v>A</v>
      </c>
      <c r="AN105" s="28" t="b">
        <f t="shared" si="55"/>
        <v>1</v>
      </c>
      <c r="AO105" s="3" t="str">
        <f>IF(ISERROR(MATCH(A105,'SegEnds_Xtal_Prot#'!B:B, 0)), "NoXtal", "Xtal")</f>
        <v>NoXtal</v>
      </c>
      <c r="AP105" s="3" t="str">
        <f t="shared" si="39"/>
        <v>-</v>
      </c>
      <c r="AQ105" s="3" t="str">
        <f t="shared" si="40"/>
        <v>-</v>
      </c>
      <c r="AR105" s="3">
        <f t="shared" si="41"/>
        <v>2</v>
      </c>
      <c r="AS105" s="3">
        <f t="shared" si="42"/>
        <v>1</v>
      </c>
      <c r="AT105" s="3">
        <f t="shared" si="43"/>
        <v>1</v>
      </c>
      <c r="AU105" s="3">
        <f t="shared" si="44"/>
        <v>1</v>
      </c>
      <c r="AV105" s="3">
        <f t="shared" si="45"/>
        <v>17</v>
      </c>
      <c r="AW105" s="3">
        <f t="shared" si="46"/>
        <v>6</v>
      </c>
      <c r="AX105" s="3">
        <f t="shared" si="47"/>
        <v>24</v>
      </c>
      <c r="AY105" s="3">
        <f t="shared" si="48"/>
        <v>5</v>
      </c>
      <c r="AZ105" s="3">
        <f t="shared" si="49"/>
        <v>1</v>
      </c>
      <c r="BA105" s="3">
        <f>IF(ISERROR(LEN(VLOOKUP(A105,Seqs!A:E,2,FALSE))-AL105),"-",LEN(VLOOKUP(A105,Seqs!A:E,2,FALSE))-AL105)</f>
        <v>25</v>
      </c>
      <c r="BB105" s="16">
        <f t="shared" si="50"/>
        <v>27</v>
      </c>
      <c r="BC105" s="9">
        <f t="shared" si="51"/>
        <v>20</v>
      </c>
      <c r="BD105" s="3">
        <f t="shared" si="52"/>
        <v>27</v>
      </c>
      <c r="BE105" s="3">
        <f t="shared" si="53"/>
        <v>76</v>
      </c>
      <c r="BF105" s="3">
        <f>AH105-AE105</f>
        <v>39</v>
      </c>
    </row>
    <row r="106" spans="1:58" s="3" customFormat="1" x14ac:dyDescent="0.2">
      <c r="A106" s="3" t="s">
        <v>201</v>
      </c>
      <c r="B106" s="3" t="str">
        <f>LOWER(VLOOKUP(A106,Xtal_Templ!A:B,2,FALSE))</f>
        <v>pd2r2_human</v>
      </c>
      <c r="C106" s="3">
        <f>VLOOKUP($A106,'SegEnds_NonXtal_BW#'!$A:$Z,3,FALSE)+D106-50</f>
        <v>26</v>
      </c>
      <c r="D106" s="3">
        <v>44</v>
      </c>
      <c r="E106" s="3">
        <f>IF(ISERROR(VLOOKUP($A106,'SegEnds_NonXtal_BW#'!$A:$Z,4,FALSE)+VLOOKUP($A106,A:AL,4,FALSE)-50),"-",(VLOOKUP($A106,'SegEnds_NonXtal_BW#'!$A:$Z,4,FALSE)+VLOOKUP($A106,A:AL,4,FALSE)-50))</f>
        <v>54</v>
      </c>
      <c r="F106" s="3" t="str">
        <f>IF(ISERROR(VLOOKUP($A106,'SegEnds_NonXtal_BW#'!$A:$Z,5,FALSE)+VLOOKUP($A106,A:AL,7,FALSE)-50),"-",(VLOOKUP($A106,'SegEnds_NonXtal_BW#'!$A:$Z,5,FALSE)+VLOOKUP($A106,A:AL,7,FALSE)-50))</f>
        <v>-</v>
      </c>
      <c r="G106" s="3" t="s">
        <v>23</v>
      </c>
      <c r="H106" s="3" t="str">
        <f>IF(ISERROR(VLOOKUP($A106,'SegEnds_NonXtal_BW#'!$A:$Z,6,FALSE)+VLOOKUP($A106,A:AL,7,FALSE)-50),"-",(VLOOKUP($A106,'SegEnds_NonXtal_BW#'!$A:$Z,6,FALSE)+VLOOKUP($A106,A:AL,7,FALSE)-50))</f>
        <v>-</v>
      </c>
      <c r="I106" s="3">
        <f>VLOOKUP($A106,'SegEnds_NonXtal_BW#'!$A:$Z,7,FALSE)+J106-50</f>
        <v>58</v>
      </c>
      <c r="J106" s="3">
        <v>71</v>
      </c>
      <c r="K106" s="3">
        <f>VLOOKUP($A106,'SegEnds_NonXtal_BW#'!$A:$Z,8,FALSE)+VLOOKUP($A106,A:AL,10,FALSE)-50</f>
        <v>88</v>
      </c>
      <c r="L106" s="3">
        <f t="shared" si="68"/>
        <v>90</v>
      </c>
      <c r="M106" s="3">
        <v>91</v>
      </c>
      <c r="N106" s="3">
        <f t="shared" si="69"/>
        <v>93</v>
      </c>
      <c r="O106" s="3">
        <f t="shared" si="70"/>
        <v>94</v>
      </c>
      <c r="P106" s="3">
        <v>123</v>
      </c>
      <c r="Q106" s="3">
        <f>VLOOKUP($A106,'SegEnds_NonXtal_BW#'!$A:$Z,12,FALSE)+VLOOKUP($A106,A:AL,16,FALSE)-50</f>
        <v>129</v>
      </c>
      <c r="R106" s="3">
        <f>IF(ISERROR(VLOOKUP($A106,'SegEnds_NonXtal_BW#'!$A:$Z,13,FALSE)+VLOOKUP($A106,A:AL,19,FALSE)-50),"-",VLOOKUP($A106,'SegEnds_NonXtal_BW#'!$A:$Z,13,FALSE)+VLOOKUP($A106,A:AL,19,FALSE)-50)</f>
        <v>130</v>
      </c>
      <c r="S106" s="3">
        <v>130</v>
      </c>
      <c r="T106" s="100">
        <f>IF(ISERROR(VLOOKUP($A106,'SegEnds_NonXtal_BW#'!$A:$Z,14,FALSE)+VLOOKUP($A106,A:AL,19,FALSE)-50),"-",(VLOOKUP($A106,'SegEnds_NonXtal_BW#'!$A:$Z,14,FALSE)+VLOOKUP($A106,A:AL,19,FALSE)-50))</f>
        <v>137</v>
      </c>
      <c r="U106" s="9">
        <f>IF(ISERROR(VLOOKUP($A106,'SegEnds_NonXtal_BW#'!$A:$Z,15,FALSE)+VLOOKUP($A106,A:AL,22,FALSE)-50),"-",VLOOKUP($A106,'SegEnds_NonXtal_BW#'!$A:$Z,15,FALSE)+VLOOKUP($A106,A:AL,22,FALSE)-50)</f>
        <v>138</v>
      </c>
      <c r="V106" s="3">
        <v>150</v>
      </c>
      <c r="W106" s="3">
        <f>IF(ISERROR(VLOOKUP($A106,'SegEnds_NonXtal_BW#'!$A:$Z,16,FALSE)+VLOOKUP($A106,A:AL,22,FALSE)-50),"-",(VLOOKUP($A106,'SegEnds_NonXtal_BW#'!$A:$Z,16,FALSE)+VLOOKUP($A106,A:AL,22,FALSE)-50))</f>
        <v>164</v>
      </c>
      <c r="X106" s="3">
        <f>IF(ISERROR(VLOOKUP($A106,'SegEnds_NonXtal_BW#'!$A:$Z,17,FALSE)+VLOOKUP($A106,A:AL,25,FALSE)-50),"-",(VLOOKUP($A106,'SegEnds_NonXtal_BW#'!$A:$Z,17,FALSE)+VLOOKUP($A106,A:AL,25,FALSE)-50))</f>
        <v>176</v>
      </c>
      <c r="Y106" s="3">
        <v>176</v>
      </c>
      <c r="Z106" s="3">
        <f t="shared" si="64"/>
        <v>178</v>
      </c>
      <c r="AA106" s="3">
        <f>IF(ISERROR(VLOOKUP($A106,'SegEnds_NonXtal_BW#'!$A:$Z,19,FALSE)+VLOOKUP($A106,A:AL,28,FALSE)-50),"-",(VLOOKUP($A106,'SegEnds_NonXtal_BW#'!$A:$Z,19,FALSE)+VLOOKUP($A106,A:AL,28,FALSE)-50))</f>
        <v>189</v>
      </c>
      <c r="AB106" s="3">
        <v>213</v>
      </c>
      <c r="AC106" s="3">
        <f>IF(ISERROR((VLOOKUP($A106,'SegEnds_NonXtal_BW#'!$A:$Z,20,FALSE)+VLOOKUP($A106,A:AL,28,FALSE)-50)),"-",(VLOOKUP($A106,'SegEnds_NonXtal_BW#'!$A:$Z,20,FALSE)+VLOOKUP($A106,A:AL,28,FALSE)-50))</f>
        <v>231</v>
      </c>
      <c r="AD106" s="3">
        <f>IF(ISERROR(VLOOKUP($A106,'SegEnds_NonXtal_BW#'!$A:$Z,21,FALSE)+VLOOKUP($A106,A:AL,31,FALSE)-50),"-",(VLOOKUP($A106,'SegEnds_NonXtal_BW#'!$A:$Z,21,FALSE)+VLOOKUP($A106,A:AL,31,FALSE)-50))</f>
        <v>236</v>
      </c>
      <c r="AE106" s="3">
        <v>256</v>
      </c>
      <c r="AF106" s="3">
        <f>IF(ISERROR((VLOOKUP($A106,'SegEnds_NonXtal_BW#'!$A:$Z,22,FALSE)+VLOOKUP($A106,A:AL,31,FALSE)-50)),"-",(VLOOKUP($A106,'SegEnds_NonXtal_BW#'!$A:$Z,22,FALSE)+VLOOKUP($A106,A:AL,31,FALSE)-50))</f>
        <v>267</v>
      </c>
      <c r="AG106" s="3">
        <f>IF(ISERROR(VLOOKUP($A106,'SegEnds_NonXtal_BW#'!$A:$Z,23,FALSE)+VLOOKUP($A106,A:AL,34,FALSE)-50),"-",(VLOOKUP($A106,'SegEnds_NonXtal_BW#'!$A:$Z,23,FALSE)+VLOOKUP($A106,A:AL,34,FALSE)-50))</f>
        <v>276</v>
      </c>
      <c r="AH106" s="3">
        <v>298</v>
      </c>
      <c r="AI106" s="3">
        <f>IF(ISERROR((VLOOKUP($A106,'SegEnds_NonXtal_BW#'!$A:$Z,24,FALSE)+VLOOKUP($A106,A:AL,34,FALSE)-50)),"-",(VLOOKUP($A106,'SegEnds_NonXtal_BW#'!$A:$Z,24,FALSE)+VLOOKUP($A106,A:AL,34,FALSE)-50))</f>
        <v>304</v>
      </c>
      <c r="AJ106" s="3">
        <f>IF(ISERROR(VLOOKUP($A106,'SegEnds_NonXtal_BW#'!$A:$Z,25,FALSE)+VLOOKUP($A106,A:AL,37,FALSE)-50),"-",(VLOOKUP($A106,'SegEnds_NonXtal_BW#'!$A:$Z,25,FALSE)+VLOOKUP($A106,A:AL,37,FALSE)-50))</f>
        <v>305</v>
      </c>
      <c r="AK106" s="3">
        <v>308</v>
      </c>
      <c r="AL106" s="3">
        <f>IF(ISERROR((VLOOKUP($A106,'SegEnds_NonXtal_BW#'!$A:$Z,26,FALSE)+VLOOKUP($A106,A:AL,37,FALSE)-50)),"-",(VLOOKUP($A106,'SegEnds_NonXtal_BW#'!$A:$Z,26,FALSE)+VLOOKUP($A106,A:AL,37,FALSE)-50))</f>
        <v>322</v>
      </c>
      <c r="AM106" s="28" t="str">
        <f>VLOOKUP(A106,Classification!A:B,2,FALSE)</f>
        <v>A</v>
      </c>
      <c r="AN106" s="28" t="b">
        <f t="shared" si="55"/>
        <v>1</v>
      </c>
      <c r="AO106" s="3" t="str">
        <f>IF(ISERROR(MATCH(A106,'SegEnds_Xtal_Prot#'!B:B, 0)), "NoXtal", "Xtal")</f>
        <v>NoXtal</v>
      </c>
      <c r="AP106" s="3" t="str">
        <f t="shared" si="39"/>
        <v>-</v>
      </c>
      <c r="AQ106" s="3" t="str">
        <f t="shared" si="40"/>
        <v>-</v>
      </c>
      <c r="AR106" s="3">
        <f t="shared" si="41"/>
        <v>2</v>
      </c>
      <c r="AS106" s="3">
        <f t="shared" si="42"/>
        <v>1</v>
      </c>
      <c r="AT106" s="3">
        <f t="shared" si="43"/>
        <v>1</v>
      </c>
      <c r="AU106" s="3">
        <f t="shared" si="44"/>
        <v>1</v>
      </c>
      <c r="AV106" s="3">
        <f t="shared" si="45"/>
        <v>12</v>
      </c>
      <c r="AW106" s="3">
        <f t="shared" si="46"/>
        <v>11</v>
      </c>
      <c r="AX106" s="3">
        <f t="shared" si="47"/>
        <v>5</v>
      </c>
      <c r="AY106" s="3">
        <f t="shared" si="48"/>
        <v>9</v>
      </c>
      <c r="AZ106" s="3">
        <f t="shared" si="49"/>
        <v>1</v>
      </c>
      <c r="BA106" s="3">
        <f>IF(ISERROR(LEN(VLOOKUP(A106,Seqs!A:E,2,FALSE))-AL106),"-",LEN(VLOOKUP(A106,Seqs!A:E,2,FALSE))-AL106)</f>
        <v>28</v>
      </c>
      <c r="BB106" s="16">
        <f t="shared" si="50"/>
        <v>27</v>
      </c>
      <c r="BC106" s="9">
        <f t="shared" si="51"/>
        <v>20</v>
      </c>
      <c r="BD106" s="3">
        <f t="shared" si="52"/>
        <v>27</v>
      </c>
      <c r="BE106" s="3">
        <f t="shared" si="53"/>
        <v>43</v>
      </c>
    </row>
    <row r="107" spans="1:58" s="3" customFormat="1" x14ac:dyDescent="0.2">
      <c r="A107" s="3" t="s">
        <v>202</v>
      </c>
      <c r="B107" s="3" t="str">
        <f>LOWER(VLOOKUP(A107,Xtal_Templ!A:B,2,FALSE))</f>
        <v>pd2r2_human</v>
      </c>
      <c r="C107" s="3">
        <f>VLOOKUP($A107,'SegEnds_NonXtal_BW#'!$A:$Z,3,FALSE)+D107-50</f>
        <v>26</v>
      </c>
      <c r="D107" s="3">
        <v>44</v>
      </c>
      <c r="E107" s="3">
        <f>IF(ISERROR(VLOOKUP($A107,'SegEnds_NonXtal_BW#'!$A:$Z,4,FALSE)+VLOOKUP($A107,A:AL,4,FALSE)-50),"-",(VLOOKUP($A107,'SegEnds_NonXtal_BW#'!$A:$Z,4,FALSE)+VLOOKUP($A107,A:AL,4,FALSE)-50))</f>
        <v>54</v>
      </c>
      <c r="F107" s="3" t="str">
        <f>IF(ISERROR(VLOOKUP($A107,'SegEnds_NonXtal_BW#'!$A:$Z,5,FALSE)+VLOOKUP($A107,A:AL,7,FALSE)-50),"-",(VLOOKUP($A107,'SegEnds_NonXtal_BW#'!$A:$Z,5,FALSE)+VLOOKUP($A107,A:AL,7,FALSE)-50))</f>
        <v>-</v>
      </c>
      <c r="G107" s="3" t="s">
        <v>23</v>
      </c>
      <c r="H107" s="3" t="str">
        <f>IF(ISERROR(VLOOKUP($A107,'SegEnds_NonXtal_BW#'!$A:$Z,6,FALSE)+VLOOKUP($A107,A:AL,7,FALSE)-50),"-",(VLOOKUP($A107,'SegEnds_NonXtal_BW#'!$A:$Z,6,FALSE)+VLOOKUP($A107,A:AL,7,FALSE)-50))</f>
        <v>-</v>
      </c>
      <c r="I107" s="3">
        <f>VLOOKUP($A107,'SegEnds_NonXtal_BW#'!$A:$Z,7,FALSE)+J107-50</f>
        <v>58</v>
      </c>
      <c r="J107" s="3">
        <v>71</v>
      </c>
      <c r="K107" s="3">
        <f>VLOOKUP($A107,'SegEnds_NonXtal_BW#'!$A:$Z,8,FALSE)+VLOOKUP($A107,A:AL,10,FALSE)-50</f>
        <v>88</v>
      </c>
      <c r="L107" s="3">
        <f t="shared" si="68"/>
        <v>90</v>
      </c>
      <c r="M107" s="3">
        <v>91</v>
      </c>
      <c r="N107" s="3">
        <f t="shared" si="69"/>
        <v>93</v>
      </c>
      <c r="O107" s="3">
        <f t="shared" si="70"/>
        <v>94</v>
      </c>
      <c r="P107" s="3">
        <v>123</v>
      </c>
      <c r="Q107" s="3">
        <f>VLOOKUP($A107,'SegEnds_NonXtal_BW#'!$A:$Z,12,FALSE)+VLOOKUP($A107,A:AL,16,FALSE)-50</f>
        <v>129</v>
      </c>
      <c r="R107" s="3">
        <f>IF(ISERROR(VLOOKUP($A107,'SegEnds_NonXtal_BW#'!$A:$Z,13,FALSE)+VLOOKUP($A107,A:AL,19,FALSE)-50),"-",VLOOKUP($A107,'SegEnds_NonXtal_BW#'!$A:$Z,13,FALSE)+VLOOKUP($A107,A:AL,19,FALSE)-50)</f>
        <v>130</v>
      </c>
      <c r="S107" s="3">
        <v>130</v>
      </c>
      <c r="T107" s="100">
        <f>IF(ISERROR(VLOOKUP($A107,'SegEnds_NonXtal_BW#'!$A:$Z,14,FALSE)+VLOOKUP($A107,A:AL,19,FALSE)-50),"-",(VLOOKUP($A107,'SegEnds_NonXtal_BW#'!$A:$Z,14,FALSE)+VLOOKUP($A107,A:AL,19,FALSE)-50))</f>
        <v>137</v>
      </c>
      <c r="U107" s="9">
        <f>IF(ISERROR(VLOOKUP($A107,'SegEnds_NonXtal_BW#'!$A:$Z,15,FALSE)+VLOOKUP($A107,A:AL,22,FALSE)-50),"-",VLOOKUP($A107,'SegEnds_NonXtal_BW#'!$A:$Z,15,FALSE)+VLOOKUP($A107,A:AL,22,FALSE)-50)</f>
        <v>138</v>
      </c>
      <c r="V107" s="3">
        <v>150</v>
      </c>
      <c r="W107" s="3">
        <f>IF(ISERROR(VLOOKUP($A107,'SegEnds_NonXtal_BW#'!$A:$Z,16,FALSE)+VLOOKUP($A107,A:AL,22,FALSE)-50),"-",(VLOOKUP($A107,'SegEnds_NonXtal_BW#'!$A:$Z,16,FALSE)+VLOOKUP($A107,A:AL,22,FALSE)-50))</f>
        <v>164</v>
      </c>
      <c r="X107" s="3">
        <f>IF(ISERROR(VLOOKUP($A107,'SegEnds_NonXtal_BW#'!$A:$Z,17,FALSE)+VLOOKUP($A107,A:AL,25,FALSE)-50),"-",(VLOOKUP($A107,'SegEnds_NonXtal_BW#'!$A:$Z,17,FALSE)+VLOOKUP($A107,A:AL,25,FALSE)-50))</f>
        <v>176</v>
      </c>
      <c r="Y107" s="3">
        <v>176</v>
      </c>
      <c r="Z107" s="3">
        <f t="shared" si="64"/>
        <v>178</v>
      </c>
      <c r="AA107" s="3">
        <f>IF(ISERROR(VLOOKUP($A107,'SegEnds_NonXtal_BW#'!$A:$Z,19,FALSE)+VLOOKUP($A107,A:AL,28,FALSE)-50),"-",(VLOOKUP($A107,'SegEnds_NonXtal_BW#'!$A:$Z,19,FALSE)+VLOOKUP($A107,A:AL,28,FALSE)-50))</f>
        <v>189</v>
      </c>
      <c r="AB107" s="3">
        <v>213</v>
      </c>
      <c r="AC107" s="3">
        <f>IF(ISERROR((VLOOKUP($A107,'SegEnds_NonXtal_BW#'!$A:$Z,20,FALSE)+VLOOKUP($A107,A:AL,28,FALSE)-50)),"-",(VLOOKUP($A107,'SegEnds_NonXtal_BW#'!$A:$Z,20,FALSE)+VLOOKUP($A107,A:AL,28,FALSE)-50))</f>
        <v>231</v>
      </c>
      <c r="AD107" s="3">
        <f>IF(ISERROR(VLOOKUP($A107,'SegEnds_NonXtal_BW#'!$A:$Z,21,FALSE)+VLOOKUP($A107,A:AL,31,FALSE)-50),"-",(VLOOKUP($A107,'SegEnds_NonXtal_BW#'!$A:$Z,21,FALSE)+VLOOKUP($A107,A:AL,31,FALSE)-50))</f>
        <v>236</v>
      </c>
      <c r="AE107" s="3">
        <v>256</v>
      </c>
      <c r="AF107" s="3">
        <f>IF(ISERROR((VLOOKUP($A107,'SegEnds_NonXtal_BW#'!$A:$Z,22,FALSE)+VLOOKUP($A107,A:AL,31,FALSE)-50)),"-",(VLOOKUP($A107,'SegEnds_NonXtal_BW#'!$A:$Z,22,FALSE)+VLOOKUP($A107,A:AL,31,FALSE)-50))</f>
        <v>267</v>
      </c>
      <c r="AG107" s="3">
        <f>IF(ISERROR(VLOOKUP($A107,'SegEnds_NonXtal_BW#'!$A:$Z,23,FALSE)+VLOOKUP($A107,A:AL,34,FALSE)-50),"-",(VLOOKUP($A107,'SegEnds_NonXtal_BW#'!$A:$Z,23,FALSE)+VLOOKUP($A107,A:AL,34,FALSE)-50))</f>
        <v>273</v>
      </c>
      <c r="AH107" s="3">
        <v>299</v>
      </c>
      <c r="AI107" s="3">
        <f>IF(ISERROR((VLOOKUP($A107,'SegEnds_NonXtal_BW#'!$A:$Z,24,FALSE)+VLOOKUP($A107,A:AL,34,FALSE)-50)),"-",(VLOOKUP($A107,'SegEnds_NonXtal_BW#'!$A:$Z,24,FALSE)+VLOOKUP($A107,A:AL,34,FALSE)-50))</f>
        <v>305</v>
      </c>
      <c r="AJ107" s="3">
        <f>IF(ISERROR(VLOOKUP($A107,'SegEnds_NonXtal_BW#'!$A:$Z,25,FALSE)+VLOOKUP($A107,A:AL,37,FALSE)-50),"-",(VLOOKUP($A107,'SegEnds_NonXtal_BW#'!$A:$Z,25,FALSE)+VLOOKUP($A107,A:AL,37,FALSE)-50))</f>
        <v>306</v>
      </c>
      <c r="AK107" s="3">
        <v>309</v>
      </c>
      <c r="AL107" s="3">
        <f>IF(ISERROR((VLOOKUP($A107,'SegEnds_NonXtal_BW#'!$A:$Z,26,FALSE)+VLOOKUP($A107,A:AL,37,FALSE)-50)),"-",(VLOOKUP($A107,'SegEnds_NonXtal_BW#'!$A:$Z,26,FALSE)+VLOOKUP($A107,A:AL,37,FALSE)-50))</f>
        <v>323</v>
      </c>
      <c r="AM107" s="28" t="str">
        <f>VLOOKUP(A107,Classification!A:B,2,FALSE)</f>
        <v>A</v>
      </c>
      <c r="AN107" s="28" t="b">
        <f t="shared" si="55"/>
        <v>1</v>
      </c>
      <c r="AO107" s="3" t="str">
        <f>IF(ISERROR(MATCH(A107,'SegEnds_Xtal_Prot#'!B:B, 0)), "NoXtal", "Xtal")</f>
        <v>NoXtal</v>
      </c>
      <c r="AP107" s="3" t="str">
        <f t="shared" si="39"/>
        <v>-</v>
      </c>
      <c r="AQ107" s="3" t="str">
        <f t="shared" si="40"/>
        <v>-</v>
      </c>
      <c r="AR107" s="3">
        <f t="shared" si="41"/>
        <v>2</v>
      </c>
      <c r="AS107" s="3">
        <f t="shared" si="42"/>
        <v>1</v>
      </c>
      <c r="AT107" s="3">
        <f t="shared" si="43"/>
        <v>1</v>
      </c>
      <c r="AU107" s="3">
        <f t="shared" si="44"/>
        <v>1</v>
      </c>
      <c r="AV107" s="3">
        <f t="shared" si="45"/>
        <v>12</v>
      </c>
      <c r="AW107" s="3">
        <f t="shared" si="46"/>
        <v>11</v>
      </c>
      <c r="AX107" s="3">
        <f t="shared" si="47"/>
        <v>5</v>
      </c>
      <c r="AY107" s="3">
        <f t="shared" si="48"/>
        <v>6</v>
      </c>
      <c r="AZ107" s="3">
        <f t="shared" si="49"/>
        <v>1</v>
      </c>
      <c r="BA107" s="3">
        <f>IF(ISERROR(LEN(VLOOKUP(A107,Seqs!A:E,2,FALSE))-AL107),"-",LEN(VLOOKUP(A107,Seqs!A:E,2,FALSE))-AL107)</f>
        <v>28</v>
      </c>
      <c r="BB107" s="16">
        <f t="shared" si="50"/>
        <v>27</v>
      </c>
      <c r="BC107" s="9">
        <f t="shared" si="51"/>
        <v>20</v>
      </c>
      <c r="BD107" s="3">
        <f t="shared" si="52"/>
        <v>27</v>
      </c>
      <c r="BE107" s="3">
        <f t="shared" si="53"/>
        <v>43</v>
      </c>
    </row>
    <row r="108" spans="1:58" s="3" customFormat="1" x14ac:dyDescent="0.2">
      <c r="A108" s="3" t="s">
        <v>203</v>
      </c>
      <c r="B108" s="3" t="str">
        <f>LOWER(VLOOKUP(A108,Xtal_Templ!A:B,2,FALSE))</f>
        <v>pd2r2_human</v>
      </c>
      <c r="C108" s="3">
        <f>VLOOKUP($A108,'SegEnds_NonXtal_BW#'!$A:$Z,3,FALSE)+D108-50</f>
        <v>26</v>
      </c>
      <c r="D108" s="3">
        <v>44</v>
      </c>
      <c r="E108" s="3">
        <f>IF(ISERROR(VLOOKUP($A108,'SegEnds_NonXtal_BW#'!$A:$Z,4,FALSE)+VLOOKUP($A108,A:AL,4,FALSE)-50),"-",(VLOOKUP($A108,'SegEnds_NonXtal_BW#'!$A:$Z,4,FALSE)+VLOOKUP($A108,A:AL,4,FALSE)-50))</f>
        <v>54</v>
      </c>
      <c r="F108" s="3" t="str">
        <f>IF(ISERROR(VLOOKUP($A108,'SegEnds_NonXtal_BW#'!$A:$Z,5,FALSE)+VLOOKUP($A108,A:AL,7,FALSE)-50),"-",(VLOOKUP($A108,'SegEnds_NonXtal_BW#'!$A:$Z,5,FALSE)+VLOOKUP($A108,A:AL,7,FALSE)-50))</f>
        <v>-</v>
      </c>
      <c r="G108" s="3" t="s">
        <v>23</v>
      </c>
      <c r="H108" s="3" t="str">
        <f>IF(ISERROR(VLOOKUP($A108,'SegEnds_NonXtal_BW#'!$A:$Z,6,FALSE)+VLOOKUP($A108,A:AL,7,FALSE)-50),"-",(VLOOKUP($A108,'SegEnds_NonXtal_BW#'!$A:$Z,6,FALSE)+VLOOKUP($A108,A:AL,7,FALSE)-50))</f>
        <v>-</v>
      </c>
      <c r="I108" s="3">
        <f>VLOOKUP($A108,'SegEnds_NonXtal_BW#'!$A:$Z,7,FALSE)+J108-50</f>
        <v>58</v>
      </c>
      <c r="J108" s="3">
        <v>71</v>
      </c>
      <c r="K108" s="3">
        <f>VLOOKUP($A108,'SegEnds_NonXtal_BW#'!$A:$Z,8,FALSE)+VLOOKUP($A108,A:AL,10,FALSE)-50</f>
        <v>88</v>
      </c>
      <c r="L108" s="3">
        <f t="shared" si="68"/>
        <v>90</v>
      </c>
      <c r="M108" s="3">
        <v>91</v>
      </c>
      <c r="N108" s="3">
        <f t="shared" si="69"/>
        <v>93</v>
      </c>
      <c r="O108" s="3">
        <f t="shared" si="70"/>
        <v>94</v>
      </c>
      <c r="P108" s="3">
        <v>123</v>
      </c>
      <c r="Q108" s="3">
        <f>VLOOKUP($A108,'SegEnds_NonXtal_BW#'!$A:$Z,12,FALSE)+VLOOKUP($A108,A:AL,16,FALSE)-50</f>
        <v>129</v>
      </c>
      <c r="R108" s="3">
        <f>IF(ISERROR(VLOOKUP($A108,'SegEnds_NonXtal_BW#'!$A:$Z,13,FALSE)+VLOOKUP($A108,A:AL,19,FALSE)-50),"-",VLOOKUP($A108,'SegEnds_NonXtal_BW#'!$A:$Z,13,FALSE)+VLOOKUP($A108,A:AL,19,FALSE)-50)</f>
        <v>130</v>
      </c>
      <c r="S108" s="3">
        <v>130</v>
      </c>
      <c r="T108" s="100">
        <f>IF(ISERROR(VLOOKUP($A108,'SegEnds_NonXtal_BW#'!$A:$Z,14,FALSE)+VLOOKUP($A108,A:AL,19,FALSE)-50),"-",(VLOOKUP($A108,'SegEnds_NonXtal_BW#'!$A:$Z,14,FALSE)+VLOOKUP($A108,A:AL,19,FALSE)-50))</f>
        <v>137</v>
      </c>
      <c r="U108" s="9">
        <f>IF(ISERROR(VLOOKUP($A108,'SegEnds_NonXtal_BW#'!$A:$Z,15,FALSE)+VLOOKUP($A108,A:AL,22,FALSE)-50),"-",VLOOKUP($A108,'SegEnds_NonXtal_BW#'!$A:$Z,15,FALSE)+VLOOKUP($A108,A:AL,22,FALSE)-50)</f>
        <v>138</v>
      </c>
      <c r="V108" s="3">
        <v>150</v>
      </c>
      <c r="W108" s="3">
        <f>IF(ISERROR(VLOOKUP($A108,'SegEnds_NonXtal_BW#'!$A:$Z,16,FALSE)+VLOOKUP($A108,A:AL,22,FALSE)-50),"-",(VLOOKUP($A108,'SegEnds_NonXtal_BW#'!$A:$Z,16,FALSE)+VLOOKUP($A108,A:AL,22,FALSE)-50))</f>
        <v>164</v>
      </c>
      <c r="X108" s="3">
        <f>IF(ISERROR(VLOOKUP($A108,'SegEnds_NonXtal_BW#'!$A:$Z,17,FALSE)+VLOOKUP($A108,A:AL,25,FALSE)-50),"-",(VLOOKUP($A108,'SegEnds_NonXtal_BW#'!$A:$Z,17,FALSE)+VLOOKUP($A108,A:AL,25,FALSE)-50))</f>
        <v>176</v>
      </c>
      <c r="Y108" s="3">
        <v>176</v>
      </c>
      <c r="Z108" s="3">
        <f t="shared" si="64"/>
        <v>178</v>
      </c>
      <c r="AA108" s="3">
        <f>IF(ISERROR(VLOOKUP($A108,'SegEnds_NonXtal_BW#'!$A:$Z,19,FALSE)+VLOOKUP($A108,A:AL,28,FALSE)-50),"-",(VLOOKUP($A108,'SegEnds_NonXtal_BW#'!$A:$Z,19,FALSE)+VLOOKUP($A108,A:AL,28,FALSE)-50))</f>
        <v>189</v>
      </c>
      <c r="AB108" s="3">
        <v>213</v>
      </c>
      <c r="AC108" s="3">
        <f>IF(ISERROR((VLOOKUP($A108,'SegEnds_NonXtal_BW#'!$A:$Z,20,FALSE)+VLOOKUP($A108,A:AL,28,FALSE)-50)),"-",(VLOOKUP($A108,'SegEnds_NonXtal_BW#'!$A:$Z,20,FALSE)+VLOOKUP($A108,A:AL,28,FALSE)-50))</f>
        <v>231</v>
      </c>
      <c r="AD108" s="3">
        <f>IF(ISERROR(VLOOKUP($A108,'SegEnds_NonXtal_BW#'!$A:$Z,21,FALSE)+VLOOKUP($A108,A:AL,31,FALSE)-50),"-",(VLOOKUP($A108,'SegEnds_NonXtal_BW#'!$A:$Z,21,FALSE)+VLOOKUP($A108,A:AL,31,FALSE)-50))</f>
        <v>236</v>
      </c>
      <c r="AE108" s="3">
        <v>256</v>
      </c>
      <c r="AF108" s="3">
        <f>IF(ISERROR((VLOOKUP($A108,'SegEnds_NonXtal_BW#'!$A:$Z,22,FALSE)+VLOOKUP($A108,A:AL,31,FALSE)-50)),"-",(VLOOKUP($A108,'SegEnds_NonXtal_BW#'!$A:$Z,22,FALSE)+VLOOKUP($A108,A:AL,31,FALSE)-50))</f>
        <v>267</v>
      </c>
      <c r="AG108" s="3">
        <f>IF(ISERROR(VLOOKUP($A108,'SegEnds_NonXtal_BW#'!$A:$Z,23,FALSE)+VLOOKUP($A108,A:AL,34,FALSE)-50),"-",(VLOOKUP($A108,'SegEnds_NonXtal_BW#'!$A:$Z,23,FALSE)+VLOOKUP($A108,A:AL,34,FALSE)-50))</f>
        <v>273</v>
      </c>
      <c r="AH108" s="3">
        <v>299</v>
      </c>
      <c r="AI108" s="3">
        <f>IF(ISERROR((VLOOKUP($A108,'SegEnds_NonXtal_BW#'!$A:$Z,24,FALSE)+VLOOKUP($A108,A:AL,34,FALSE)-50)),"-",(VLOOKUP($A108,'SegEnds_NonXtal_BW#'!$A:$Z,24,FALSE)+VLOOKUP($A108,A:AL,34,FALSE)-50))</f>
        <v>305</v>
      </c>
      <c r="AJ108" s="3">
        <f>IF(ISERROR(VLOOKUP($A108,'SegEnds_NonXtal_BW#'!$A:$Z,25,FALSE)+VLOOKUP($A108,A:AL,37,FALSE)-50),"-",(VLOOKUP($A108,'SegEnds_NonXtal_BW#'!$A:$Z,25,FALSE)+VLOOKUP($A108,A:AL,37,FALSE)-50))</f>
        <v>306</v>
      </c>
      <c r="AK108" s="3">
        <v>309</v>
      </c>
      <c r="AL108" s="3">
        <f>IF(ISERROR((VLOOKUP($A108,'SegEnds_NonXtal_BW#'!$A:$Z,26,FALSE)+VLOOKUP($A108,A:AL,37,FALSE)-50)),"-",(VLOOKUP($A108,'SegEnds_NonXtal_BW#'!$A:$Z,26,FALSE)+VLOOKUP($A108,A:AL,37,FALSE)-50))</f>
        <v>323</v>
      </c>
      <c r="AM108" s="28" t="str">
        <f>VLOOKUP(A108,Classification!A:B,2,FALSE)</f>
        <v>A</v>
      </c>
      <c r="AN108" s="28" t="b">
        <f t="shared" si="55"/>
        <v>1</v>
      </c>
      <c r="AO108" s="3" t="str">
        <f>IF(ISERROR(MATCH(A108,'SegEnds_Xtal_Prot#'!B:B, 0)), "NoXtal", "Xtal")</f>
        <v>NoXtal</v>
      </c>
      <c r="AP108" s="3" t="str">
        <f t="shared" si="39"/>
        <v>-</v>
      </c>
      <c r="AQ108" s="3" t="str">
        <f t="shared" si="40"/>
        <v>-</v>
      </c>
      <c r="AR108" s="3">
        <f t="shared" si="41"/>
        <v>2</v>
      </c>
      <c r="AS108" s="3">
        <f t="shared" si="42"/>
        <v>1</v>
      </c>
      <c r="AT108" s="3">
        <f t="shared" si="43"/>
        <v>1</v>
      </c>
      <c r="AU108" s="3">
        <f t="shared" si="44"/>
        <v>1</v>
      </c>
      <c r="AV108" s="3">
        <f t="shared" si="45"/>
        <v>12</v>
      </c>
      <c r="AW108" s="3">
        <f t="shared" si="46"/>
        <v>11</v>
      </c>
      <c r="AX108" s="3">
        <f t="shared" si="47"/>
        <v>5</v>
      </c>
      <c r="AY108" s="3">
        <f t="shared" si="48"/>
        <v>6</v>
      </c>
      <c r="AZ108" s="3">
        <f t="shared" si="49"/>
        <v>1</v>
      </c>
      <c r="BA108" s="3">
        <f>IF(ISERROR(LEN(VLOOKUP(A108,Seqs!A:E,2,FALSE))-AL108),"-",LEN(VLOOKUP(A108,Seqs!A:E,2,FALSE))-AL108)</f>
        <v>30</v>
      </c>
      <c r="BB108" s="16">
        <f t="shared" si="50"/>
        <v>27</v>
      </c>
      <c r="BC108" s="9">
        <f t="shared" si="51"/>
        <v>20</v>
      </c>
      <c r="BD108" s="3">
        <f t="shared" si="52"/>
        <v>27</v>
      </c>
      <c r="BE108" s="3">
        <f t="shared" si="53"/>
        <v>43</v>
      </c>
    </row>
    <row r="109" spans="1:58" s="3" customFormat="1" x14ac:dyDescent="0.2">
      <c r="A109" s="3" t="s">
        <v>204</v>
      </c>
      <c r="B109" s="3" t="str">
        <f>LOWER(VLOOKUP(A109,Xtal_Templ!A:B,2,FALSE))</f>
        <v>aa2ar_human</v>
      </c>
      <c r="C109" s="3">
        <f>VLOOKUP($A109,'SegEnds_NonXtal_BW#'!$A:$Z,3,FALSE)+D109-50</f>
        <v>357</v>
      </c>
      <c r="D109" s="3">
        <v>380</v>
      </c>
      <c r="E109" s="3">
        <f>IF(ISERROR(VLOOKUP($A109,'SegEnds_NonXtal_BW#'!$A:$Z,4,FALSE)+VLOOKUP($A109,A:AL,4,FALSE)-50),"-",(VLOOKUP($A109,'SegEnds_NonXtal_BW#'!$A:$Z,4,FALSE)+VLOOKUP($A109,A:AL,4,FALSE)-50))</f>
        <v>390</v>
      </c>
      <c r="F109" s="3">
        <f>G109-2</f>
        <v>392</v>
      </c>
      <c r="G109" s="3">
        <v>394</v>
      </c>
      <c r="H109" s="3">
        <f>G109+1</f>
        <v>395</v>
      </c>
      <c r="I109" s="3">
        <f>H109+1</f>
        <v>396</v>
      </c>
      <c r="J109" s="3">
        <v>408</v>
      </c>
      <c r="K109" s="3">
        <f>VLOOKUP($A109,'SegEnds_NonXtal_BW#'!$A:$Z,8,FALSE)+VLOOKUP($A109,A:AL,10,FALSE)-50</f>
        <v>425</v>
      </c>
      <c r="L109" s="3">
        <f t="shared" si="68"/>
        <v>435</v>
      </c>
      <c r="M109" s="3">
        <v>436</v>
      </c>
      <c r="N109" s="3">
        <f t="shared" si="69"/>
        <v>438</v>
      </c>
      <c r="O109" s="3">
        <f t="shared" si="70"/>
        <v>439</v>
      </c>
      <c r="P109" s="3">
        <v>467</v>
      </c>
      <c r="Q109" s="3">
        <f>VLOOKUP($A109,'SegEnds_NonXtal_BW#'!$A:$Z,12,FALSE)+VLOOKUP($A109,A:AL,16,FALSE)-50</f>
        <v>473</v>
      </c>
      <c r="R109" s="3">
        <f>IF(ISERROR(VLOOKUP($A109,'SegEnds_NonXtal_BW#'!$A:$Z,13,FALSE)+VLOOKUP($A109,A:AL,19,FALSE)-50),"-",VLOOKUP($A109,'SegEnds_NonXtal_BW#'!$A:$Z,13,FALSE)+VLOOKUP($A109,A:AL,19,FALSE)-50)</f>
        <v>474</v>
      </c>
      <c r="S109" s="3">
        <v>474</v>
      </c>
      <c r="T109" s="100">
        <f>IF(ISERROR(VLOOKUP($A109,'SegEnds_NonXtal_BW#'!$A:$Z,14,FALSE)+VLOOKUP($A109,A:AL,19,FALSE)-50),"-",(VLOOKUP($A109,'SegEnds_NonXtal_BW#'!$A:$Z,14,FALSE)+VLOOKUP($A109,A:AL,19,FALSE)-50))</f>
        <v>481</v>
      </c>
      <c r="U109" s="9">
        <f>IF(ISERROR(VLOOKUP($A109,'SegEnds_NonXtal_BW#'!$A:$Z,15,FALSE)+VLOOKUP($A109,A:AL,22,FALSE)-50),"-",VLOOKUP($A109,'SegEnds_NonXtal_BW#'!$A:$Z,15,FALSE)+VLOOKUP($A109,A:AL,22,FALSE)-50)</f>
        <v>482</v>
      </c>
      <c r="V109" s="3">
        <v>494</v>
      </c>
      <c r="W109" s="3">
        <f>IF(ISERROR(VLOOKUP($A109,'SegEnds_NonXtal_BW#'!$A:$Z,16,FALSE)+VLOOKUP($A109,A:AL,22,FALSE)-50),"-",(VLOOKUP($A109,'SegEnds_NonXtal_BW#'!$A:$Z,16,FALSE)+VLOOKUP($A109,A:AL,22,FALSE)-50))</f>
        <v>507</v>
      </c>
      <c r="X109" s="3">
        <f>IF(ISERROR(VLOOKUP($A109,'SegEnds_NonXtal_BW#'!$A:$Z,17,FALSE)+VLOOKUP($A109,A:AL,25,FALSE)-50),"-",(VLOOKUP($A109,'SegEnds_NonXtal_BW#'!$A:$Z,17,FALSE)+VLOOKUP($A109,A:AL,25,FALSE)-50))</f>
        <v>517</v>
      </c>
      <c r="Y109" s="3">
        <v>517</v>
      </c>
      <c r="Z109" s="3">
        <f t="shared" si="64"/>
        <v>519</v>
      </c>
      <c r="AA109" s="3">
        <f>IF(ISERROR(VLOOKUP($A109,'SegEnds_NonXtal_BW#'!$A:$Z,19,FALSE)+VLOOKUP($A109,A:AL,28,FALSE)-50),"-",(VLOOKUP($A109,'SegEnds_NonXtal_BW#'!$A:$Z,19,FALSE)+VLOOKUP($A109,A:AL,28,FALSE)-50))</f>
        <v>525</v>
      </c>
      <c r="AB109" s="3">
        <v>541</v>
      </c>
      <c r="AC109" s="3">
        <f>IF(ISERROR((VLOOKUP($A109,'SegEnds_NonXtal_BW#'!$A:$Z,20,FALSE)+VLOOKUP($A109,A:AL,28,FALSE)-50)),"-",(VLOOKUP($A109,'SegEnds_NonXtal_BW#'!$A:$Z,20,FALSE)+VLOOKUP($A109,A:AL,28,FALSE)-50))</f>
        <v>558</v>
      </c>
      <c r="AD109" s="3">
        <f>IF(ISERROR(VLOOKUP($A109,'SegEnds_NonXtal_BW#'!$A:$Z,21,FALSE)+VLOOKUP($A109,A:AL,31,FALSE)-50),"-",(VLOOKUP($A109,'SegEnds_NonXtal_BW#'!$A:$Z,21,FALSE)+VLOOKUP($A109,A:AL,31,FALSE)-50))</f>
        <v>563</v>
      </c>
      <c r="AE109" s="3">
        <v>587</v>
      </c>
      <c r="AF109" s="3">
        <f>IF(ISERROR((VLOOKUP($A109,'SegEnds_NonXtal_BW#'!$A:$Z,22,FALSE)+VLOOKUP($A109,A:AL,31,FALSE)-50)),"-",(VLOOKUP($A109,'SegEnds_NonXtal_BW#'!$A:$Z,22,FALSE)+VLOOKUP($A109,A:AL,31,FALSE)-50))</f>
        <v>598</v>
      </c>
      <c r="AG109" s="3">
        <f>IF(ISERROR(VLOOKUP($A109,'SegEnds_NonXtal_BW#'!$A:$Z,23,FALSE)+VLOOKUP($A109,A:AL,34,FALSE)-50),"-",(VLOOKUP($A109,'SegEnds_NonXtal_BW#'!$A:$Z,23,FALSE)+VLOOKUP($A109,A:AL,34,FALSE)-50))</f>
        <v>604</v>
      </c>
      <c r="AH109" s="3">
        <v>623</v>
      </c>
      <c r="AI109" s="3">
        <f>IF(ISERROR((VLOOKUP($A109,'SegEnds_NonXtal_BW#'!$A:$Z,24,FALSE)+VLOOKUP($A109,A:AL,34,FALSE)-50)),"-",(VLOOKUP($A109,'SegEnds_NonXtal_BW#'!$A:$Z,24,FALSE)+VLOOKUP($A109,A:AL,34,FALSE)-50))</f>
        <v>629</v>
      </c>
      <c r="AJ109" s="3">
        <f>IF(ISERROR(VLOOKUP($A109,'SegEnds_NonXtal_BW#'!$A:$Z,25,FALSE)+VLOOKUP($A109,A:AL,37,FALSE)-50),"-",(VLOOKUP($A109,'SegEnds_NonXtal_BW#'!$A:$Z,25,FALSE)+VLOOKUP($A109,A:AL,37,FALSE)-50))</f>
        <v>630</v>
      </c>
      <c r="AK109" s="3">
        <v>633</v>
      </c>
      <c r="AL109" s="3">
        <f>IF(ISERROR((VLOOKUP($A109,'SegEnds_NonXtal_BW#'!$A:$Z,26,FALSE)+VLOOKUP($A109,A:AL,37,FALSE)-50)),"-",(VLOOKUP($A109,'SegEnds_NonXtal_BW#'!$A:$Z,26,FALSE)+VLOOKUP($A109,A:AL,37,FALSE)-50))</f>
        <v>652</v>
      </c>
      <c r="AM109" s="28" t="str">
        <f>VLOOKUP(A109,Classification!A:B,2,FALSE)</f>
        <v>A</v>
      </c>
      <c r="AN109" s="28" t="b">
        <f t="shared" si="55"/>
        <v>1</v>
      </c>
      <c r="AO109" s="3" t="str">
        <f>IF(ISERROR(MATCH(A109,'SegEnds_Xtal_Prot#'!B:B, 0)), "NoXtal", "Xtal")</f>
        <v>NoXtal</v>
      </c>
      <c r="AP109" s="3">
        <f t="shared" si="39"/>
        <v>2</v>
      </c>
      <c r="AQ109" s="3">
        <f t="shared" si="40"/>
        <v>1</v>
      </c>
      <c r="AR109" s="3">
        <f t="shared" si="41"/>
        <v>10</v>
      </c>
      <c r="AS109" s="3">
        <f t="shared" si="42"/>
        <v>1</v>
      </c>
      <c r="AT109" s="3">
        <f t="shared" si="43"/>
        <v>1</v>
      </c>
      <c r="AU109" s="3">
        <f t="shared" si="44"/>
        <v>1</v>
      </c>
      <c r="AV109" s="3">
        <f t="shared" si="45"/>
        <v>10</v>
      </c>
      <c r="AW109" s="3">
        <f t="shared" si="46"/>
        <v>6</v>
      </c>
      <c r="AX109" s="3">
        <f t="shared" si="47"/>
        <v>5</v>
      </c>
      <c r="AY109" s="3">
        <f t="shared" si="48"/>
        <v>6</v>
      </c>
      <c r="AZ109" s="3">
        <f t="shared" si="49"/>
        <v>1</v>
      </c>
      <c r="BA109" s="3">
        <f>IF(ISERROR(LEN(VLOOKUP(A109,Seqs!A:E,2,FALSE))-AL109),"-",LEN(VLOOKUP(A109,Seqs!A:E,2,FALSE))-AL109)</f>
        <v>43</v>
      </c>
      <c r="BB109" s="16">
        <f t="shared" si="50"/>
        <v>28</v>
      </c>
      <c r="BC109" s="9">
        <f t="shared" si="51"/>
        <v>20</v>
      </c>
      <c r="BD109" s="3">
        <f t="shared" si="52"/>
        <v>28</v>
      </c>
      <c r="BE109" s="3">
        <f t="shared" si="53"/>
        <v>46</v>
      </c>
    </row>
    <row r="110" spans="1:58" s="3" customFormat="1" x14ac:dyDescent="0.2">
      <c r="A110" s="3" t="s">
        <v>205</v>
      </c>
      <c r="B110" s="3" t="str">
        <f>LOWER(VLOOKUP(A110,Xtal_Templ!A:B,2,FALSE))</f>
        <v>oprk_human</v>
      </c>
      <c r="C110" s="3">
        <f>VLOOKUP($A110,'SegEnds_NonXtal_BW#'!$A:$Z,3,FALSE)+D110-50</f>
        <v>31</v>
      </c>
      <c r="D110" s="3">
        <v>51</v>
      </c>
      <c r="E110" s="3">
        <f>IF(ISERROR(VLOOKUP($A110,'SegEnds_NonXtal_BW#'!$A:$Z,4,FALSE)+VLOOKUP($A110,A:AL,4,FALSE)-50),"-",(VLOOKUP($A110,'SegEnds_NonXtal_BW#'!$A:$Z,4,FALSE)+VLOOKUP($A110,A:AL,4,FALSE)-50))</f>
        <v>61</v>
      </c>
      <c r="F110" s="3" t="str">
        <f>IF(ISERROR(VLOOKUP($A110,'SegEnds_NonXtal_BW#'!$A:$Z,5,FALSE)+VLOOKUP($A110,A:AL,7,FALSE)-50),"-",(VLOOKUP($A110,'SegEnds_NonXtal_BW#'!$A:$Z,5,FALSE)+VLOOKUP($A110,A:AL,7,FALSE)-50))</f>
        <v>-</v>
      </c>
      <c r="G110" s="3" t="s">
        <v>23</v>
      </c>
      <c r="H110" s="3" t="str">
        <f>IF(ISERROR(VLOOKUP($A110,'SegEnds_NonXtal_BW#'!$A:$Z,6,FALSE)+VLOOKUP($A110,A:AL,7,FALSE)-50),"-",(VLOOKUP($A110,'SegEnds_NonXtal_BW#'!$A:$Z,6,FALSE)+VLOOKUP($A110,A:AL,7,FALSE)-50))</f>
        <v>-</v>
      </c>
      <c r="I110" s="3">
        <f>VLOOKUP($A110,'SegEnds_NonXtal_BW#'!$A:$Z,7,FALSE)+J110-50</f>
        <v>68</v>
      </c>
      <c r="J110" s="3">
        <v>81</v>
      </c>
      <c r="K110" s="3">
        <f>VLOOKUP($A110,'SegEnds_NonXtal_BW#'!$A:$Z,8,FALSE)+VLOOKUP($A110,A:AL,10,FALSE)-50</f>
        <v>98</v>
      </c>
      <c r="L110" s="3">
        <f t="shared" si="68"/>
        <v>100</v>
      </c>
      <c r="M110" s="3">
        <v>101</v>
      </c>
      <c r="N110" s="3">
        <f t="shared" si="69"/>
        <v>103</v>
      </c>
      <c r="O110" s="3">
        <f t="shared" si="70"/>
        <v>104</v>
      </c>
      <c r="P110" s="3">
        <v>133</v>
      </c>
      <c r="Q110" s="3">
        <f>VLOOKUP($A110,'SegEnds_NonXtal_BW#'!$A:$Z,12,FALSE)+VLOOKUP($A110,A:AL,16,FALSE)-50</f>
        <v>139</v>
      </c>
      <c r="R110" s="3">
        <f>IF(ISERROR(VLOOKUP($A110,'SegEnds_NonXtal_BW#'!$A:$Z,13,FALSE)+VLOOKUP($A110,A:AL,19,FALSE)-50),"-",VLOOKUP($A110,'SegEnds_NonXtal_BW#'!$A:$Z,13,FALSE)+VLOOKUP($A110,A:AL,19,FALSE)-50)</f>
        <v>140</v>
      </c>
      <c r="S110" s="3">
        <v>140</v>
      </c>
      <c r="T110" s="100">
        <f>IF(ISERROR(VLOOKUP($A110,'SegEnds_NonXtal_BW#'!$A:$Z,14,FALSE)+VLOOKUP($A110,A:AL,19,FALSE)-50),"-",(VLOOKUP($A110,'SegEnds_NonXtal_BW#'!$A:$Z,14,FALSE)+VLOOKUP($A110,A:AL,19,FALSE)-50))</f>
        <v>147</v>
      </c>
      <c r="U110" s="9">
        <f>IF(ISERROR(VLOOKUP($A110,'SegEnds_NonXtal_BW#'!$A:$Z,15,FALSE)+VLOOKUP($A110,A:AL,22,FALSE)-50),"-",VLOOKUP($A110,'SegEnds_NonXtal_BW#'!$A:$Z,15,FALSE)+VLOOKUP($A110,A:AL,22,FALSE)-50)</f>
        <v>148</v>
      </c>
      <c r="V110" s="3">
        <v>160</v>
      </c>
      <c r="W110" s="3">
        <f>IF(ISERROR(VLOOKUP($A110,'SegEnds_NonXtal_BW#'!$A:$Z,16,FALSE)+VLOOKUP($A110,A:AL,22,FALSE)-50),"-",(VLOOKUP($A110,'SegEnds_NonXtal_BW#'!$A:$Z,16,FALSE)+VLOOKUP($A110,A:AL,22,FALSE)-50))</f>
        <v>174</v>
      </c>
      <c r="X110" s="3">
        <f>IF(ISERROR(VLOOKUP($A110,'SegEnds_NonXtal_BW#'!$A:$Z,17,FALSE)+VLOOKUP($A110,A:AL,25,FALSE)-50),"-",(VLOOKUP($A110,'SegEnds_NonXtal_BW#'!$A:$Z,17,FALSE)+VLOOKUP($A110,A:AL,25,FALSE)-50))</f>
        <v>187</v>
      </c>
      <c r="Y110" s="3">
        <v>187</v>
      </c>
      <c r="Z110" s="3">
        <f t="shared" si="64"/>
        <v>189</v>
      </c>
      <c r="AA110" s="3">
        <f>IF(ISERROR(VLOOKUP($A110,'SegEnds_NonXtal_BW#'!$A:$Z,19,FALSE)+VLOOKUP($A110,A:AL,28,FALSE)-50),"-",(VLOOKUP($A110,'SegEnds_NonXtal_BW#'!$A:$Z,19,FALSE)+VLOOKUP($A110,A:AL,28,FALSE)-50))</f>
        <v>192</v>
      </c>
      <c r="AB110" s="3">
        <v>212</v>
      </c>
      <c r="AC110" s="3">
        <f>IF(ISERROR((VLOOKUP($A110,'SegEnds_NonXtal_BW#'!$A:$Z,20,FALSE)+VLOOKUP($A110,A:AL,28,FALSE)-50)),"-",(VLOOKUP($A110,'SegEnds_NonXtal_BW#'!$A:$Z,20,FALSE)+VLOOKUP($A110,A:AL,28,FALSE)-50))</f>
        <v>234</v>
      </c>
      <c r="AD110" s="3">
        <f>IF(ISERROR(VLOOKUP($A110,'SegEnds_NonXtal_BW#'!$A:$Z,21,FALSE)+VLOOKUP($A110,A:AL,31,FALSE)-50),"-",(VLOOKUP($A110,'SegEnds_NonXtal_BW#'!$A:$Z,21,FALSE)+VLOOKUP($A110,A:AL,31,FALSE)-50))</f>
        <v>241</v>
      </c>
      <c r="AE110" s="3">
        <v>262</v>
      </c>
      <c r="AF110" s="3">
        <f>IF(ISERROR((VLOOKUP($A110,'SegEnds_NonXtal_BW#'!$A:$Z,22,FALSE)+VLOOKUP($A110,A:AL,31,FALSE)-50)),"-",(VLOOKUP($A110,'SegEnds_NonXtal_BW#'!$A:$Z,22,FALSE)+VLOOKUP($A110,A:AL,31,FALSE)-50))</f>
        <v>273</v>
      </c>
      <c r="AG110" s="3">
        <f>IF(ISERROR(VLOOKUP($A110,'SegEnds_NonXtal_BW#'!$A:$Z,23,FALSE)+VLOOKUP($A110,A:AL,34,FALSE)-50),"-",(VLOOKUP($A110,'SegEnds_NonXtal_BW#'!$A:$Z,23,FALSE)+VLOOKUP($A110,A:AL,34,FALSE)-50))</f>
        <v>278</v>
      </c>
      <c r="AH110" s="3">
        <v>300</v>
      </c>
      <c r="AI110" s="3">
        <f>IF(ISERROR((VLOOKUP($A110,'SegEnds_NonXtal_BW#'!$A:$Z,24,FALSE)+VLOOKUP($A110,A:AL,34,FALSE)-50)),"-",(VLOOKUP($A110,'SegEnds_NonXtal_BW#'!$A:$Z,24,FALSE)+VLOOKUP($A110,A:AL,34,FALSE)-50))</f>
        <v>306</v>
      </c>
      <c r="AJ110" s="3">
        <f>IF(ISERROR(VLOOKUP($A110,'SegEnds_NonXtal_BW#'!$A:$Z,25,FALSE)+VLOOKUP($A110,A:AL,37,FALSE)-50),"-",(VLOOKUP($A110,'SegEnds_NonXtal_BW#'!$A:$Z,25,FALSE)+VLOOKUP($A110,A:AL,37,FALSE)-50))</f>
        <v>307</v>
      </c>
      <c r="AK110" s="3">
        <v>310</v>
      </c>
      <c r="AL110" s="3">
        <f>IF(ISERROR((VLOOKUP($A110,'SegEnds_NonXtal_BW#'!$A:$Z,26,FALSE)+VLOOKUP($A110,A:AL,37,FALSE)-50)),"-",(VLOOKUP($A110,'SegEnds_NonXtal_BW#'!$A:$Z,26,FALSE)+VLOOKUP($A110,A:AL,37,FALSE)-50))</f>
        <v>319</v>
      </c>
      <c r="AM110" s="28" t="str">
        <f>VLOOKUP(A110,Classification!A:B,2,FALSE)</f>
        <v>A</v>
      </c>
      <c r="AN110" s="28" t="b">
        <f t="shared" si="55"/>
        <v>1</v>
      </c>
      <c r="AO110" s="3" t="str">
        <f>IF(ISERROR(MATCH(A110,'SegEnds_Xtal_Prot#'!B:B, 0)), "NoXtal", "Xtal")</f>
        <v>NoXtal</v>
      </c>
      <c r="AP110" s="3" t="str">
        <f t="shared" si="39"/>
        <v>-</v>
      </c>
      <c r="AQ110" s="3" t="str">
        <f t="shared" si="40"/>
        <v>-</v>
      </c>
      <c r="AR110" s="3">
        <f t="shared" si="41"/>
        <v>2</v>
      </c>
      <c r="AS110" s="3">
        <f t="shared" si="42"/>
        <v>1</v>
      </c>
      <c r="AT110" s="3">
        <f t="shared" si="43"/>
        <v>1</v>
      </c>
      <c r="AU110" s="3">
        <f t="shared" si="44"/>
        <v>1</v>
      </c>
      <c r="AV110" s="3">
        <f t="shared" si="45"/>
        <v>13</v>
      </c>
      <c r="AW110" s="3">
        <f t="shared" si="46"/>
        <v>3</v>
      </c>
      <c r="AX110" s="3">
        <f t="shared" si="47"/>
        <v>7</v>
      </c>
      <c r="AY110" s="3">
        <f t="shared" si="48"/>
        <v>5</v>
      </c>
      <c r="AZ110" s="3">
        <f t="shared" si="49"/>
        <v>1</v>
      </c>
      <c r="BA110" s="3">
        <f>IF(ISERROR(LEN(VLOOKUP(A110,Seqs!A:E,2,FALSE))-AL110),"-",LEN(VLOOKUP(A110,Seqs!A:E,2,FALSE))-AL110)</f>
        <v>30</v>
      </c>
      <c r="BB110" s="16">
        <f t="shared" si="50"/>
        <v>30</v>
      </c>
      <c r="BC110" s="9">
        <f t="shared" si="51"/>
        <v>20</v>
      </c>
      <c r="BD110" s="3">
        <f t="shared" si="52"/>
        <v>30</v>
      </c>
      <c r="BE110" s="3">
        <f t="shared" si="53"/>
        <v>50</v>
      </c>
    </row>
    <row r="111" spans="1:58" s="3" customFormat="1" x14ac:dyDescent="0.2">
      <c r="A111" s="3" t="s">
        <v>206</v>
      </c>
      <c r="B111" s="3" t="str">
        <f>LOWER(VLOOKUP(A111,Xtal_Templ!A:B,2,FALSE))</f>
        <v>oprk_human</v>
      </c>
      <c r="C111" s="3">
        <f>VLOOKUP($A111,'SegEnds_NonXtal_BW#'!$A:$Z,3,FALSE)+D111-50</f>
        <v>23</v>
      </c>
      <c r="D111" s="3">
        <v>43</v>
      </c>
      <c r="E111" s="3">
        <f>IF(ISERROR(VLOOKUP($A111,'SegEnds_NonXtal_BW#'!$A:$Z,4,FALSE)+VLOOKUP($A111,A:AL,4,FALSE)-50),"-",(VLOOKUP($A111,'SegEnds_NonXtal_BW#'!$A:$Z,4,FALSE)+VLOOKUP($A111,A:AL,4,FALSE)-50))</f>
        <v>53</v>
      </c>
      <c r="F111" s="3">
        <f>G111-2</f>
        <v>54</v>
      </c>
      <c r="G111" s="3">
        <v>56</v>
      </c>
      <c r="H111" s="3">
        <f t="shared" ref="H111:I115" si="71">G111+1</f>
        <v>57</v>
      </c>
      <c r="I111" s="3">
        <f t="shared" si="71"/>
        <v>58</v>
      </c>
      <c r="J111" s="3">
        <v>71</v>
      </c>
      <c r="K111" s="3">
        <f>VLOOKUP($A111,'SegEnds_NonXtal_BW#'!$A:$Z,8,FALSE)+VLOOKUP($A111,A:AL,10,FALSE)-50</f>
        <v>88</v>
      </c>
      <c r="L111" s="3">
        <f t="shared" si="68"/>
        <v>90</v>
      </c>
      <c r="M111" s="3">
        <v>91</v>
      </c>
      <c r="N111" s="3">
        <f t="shared" si="69"/>
        <v>93</v>
      </c>
      <c r="O111" s="3">
        <f t="shared" si="70"/>
        <v>94</v>
      </c>
      <c r="P111" s="3">
        <v>123</v>
      </c>
      <c r="Q111" s="3">
        <f>VLOOKUP($A111,'SegEnds_NonXtal_BW#'!$A:$Z,12,FALSE)+VLOOKUP($A111,A:AL,16,FALSE)-50</f>
        <v>129</v>
      </c>
      <c r="R111" s="3">
        <f>IF(ISERROR(VLOOKUP($A111,'SegEnds_NonXtal_BW#'!$A:$Z,13,FALSE)+VLOOKUP($A111,A:AL,19,FALSE)-50),"-",VLOOKUP($A111,'SegEnds_NonXtal_BW#'!$A:$Z,13,FALSE)+VLOOKUP($A111,A:AL,19,FALSE)-50)</f>
        <v>130</v>
      </c>
      <c r="S111" s="3">
        <v>130</v>
      </c>
      <c r="T111" s="100">
        <f>IF(ISERROR(VLOOKUP($A111,'SegEnds_NonXtal_BW#'!$A:$Z,14,FALSE)+VLOOKUP($A111,A:AL,19,FALSE)-50),"-",(VLOOKUP($A111,'SegEnds_NonXtal_BW#'!$A:$Z,14,FALSE)+VLOOKUP($A111,A:AL,19,FALSE)-50))</f>
        <v>137</v>
      </c>
      <c r="U111" s="9">
        <f>IF(ISERROR(VLOOKUP($A111,'SegEnds_NonXtal_BW#'!$A:$Z,15,FALSE)+VLOOKUP($A111,A:AL,22,FALSE)-50),"-",VLOOKUP($A111,'SegEnds_NonXtal_BW#'!$A:$Z,15,FALSE)+VLOOKUP($A111,A:AL,22,FALSE)-50)</f>
        <v>138</v>
      </c>
      <c r="V111" s="3">
        <v>150</v>
      </c>
      <c r="W111" s="3">
        <f>IF(ISERROR(VLOOKUP($A111,'SegEnds_NonXtal_BW#'!$A:$Z,16,FALSE)+VLOOKUP($A111,A:AL,22,FALSE)-50),"-",(VLOOKUP($A111,'SegEnds_NonXtal_BW#'!$A:$Z,16,FALSE)+VLOOKUP($A111,A:AL,22,FALSE)-50))</f>
        <v>164</v>
      </c>
      <c r="X111" s="3">
        <f>IF(ISERROR(VLOOKUP($A111,'SegEnds_NonXtal_BW#'!$A:$Z,17,FALSE)+VLOOKUP($A111,A:AL,25,FALSE)-50),"-",(VLOOKUP($A111,'SegEnds_NonXtal_BW#'!$A:$Z,17,FALSE)+VLOOKUP($A111,A:AL,25,FALSE)-50))</f>
        <v>175</v>
      </c>
      <c r="Y111" s="3">
        <v>175</v>
      </c>
      <c r="Z111" s="3">
        <f t="shared" si="64"/>
        <v>177</v>
      </c>
      <c r="AA111" s="3">
        <f>IF(ISERROR(VLOOKUP($A111,'SegEnds_NonXtal_BW#'!$A:$Z,19,FALSE)+VLOOKUP($A111,A:AL,28,FALSE)-50),"-",(VLOOKUP($A111,'SegEnds_NonXtal_BW#'!$A:$Z,19,FALSE)+VLOOKUP($A111,A:AL,28,FALSE)-50))</f>
        <v>179</v>
      </c>
      <c r="AB111" s="3">
        <v>199</v>
      </c>
      <c r="AC111" s="3">
        <f>IF(ISERROR((VLOOKUP($A111,'SegEnds_NonXtal_BW#'!$A:$Z,20,FALSE)+VLOOKUP($A111,A:AL,28,FALSE)-50)),"-",(VLOOKUP($A111,'SegEnds_NonXtal_BW#'!$A:$Z,20,FALSE)+VLOOKUP($A111,A:AL,28,FALSE)-50))</f>
        <v>221</v>
      </c>
      <c r="AD111" s="3">
        <f>IF(ISERROR(VLOOKUP($A111,'SegEnds_NonXtal_BW#'!$A:$Z,21,FALSE)+VLOOKUP($A111,A:AL,31,FALSE)-50),"-",(VLOOKUP($A111,'SegEnds_NonXtal_BW#'!$A:$Z,21,FALSE)+VLOOKUP($A111,A:AL,31,FALSE)-50))</f>
        <v>225</v>
      </c>
      <c r="AE111" s="3">
        <v>251</v>
      </c>
      <c r="AF111" s="3">
        <f>IF(ISERROR((VLOOKUP($A111,'SegEnds_NonXtal_BW#'!$A:$Z,22,FALSE)+VLOOKUP($A111,A:AL,31,FALSE)-50)),"-",(VLOOKUP($A111,'SegEnds_NonXtal_BW#'!$A:$Z,22,FALSE)+VLOOKUP($A111,A:AL,31,FALSE)-50))</f>
        <v>262</v>
      </c>
      <c r="AG111" s="3">
        <f>IF(ISERROR(VLOOKUP($A111,'SegEnds_NonXtal_BW#'!$A:$Z,23,FALSE)+VLOOKUP($A111,A:AL,34,FALSE)-50),"-",(VLOOKUP($A111,'SegEnds_NonXtal_BW#'!$A:$Z,23,FALSE)+VLOOKUP($A111,A:AL,34,FALSE)-50))</f>
        <v>267</v>
      </c>
      <c r="AH111" s="3">
        <v>289</v>
      </c>
      <c r="AI111" s="3">
        <f>IF(ISERROR((VLOOKUP($A111,'SegEnds_NonXtal_BW#'!$A:$Z,24,FALSE)+VLOOKUP($A111,A:AL,34,FALSE)-50)),"-",(VLOOKUP($A111,'SegEnds_NonXtal_BW#'!$A:$Z,24,FALSE)+VLOOKUP($A111,A:AL,34,FALSE)-50))</f>
        <v>295</v>
      </c>
      <c r="AJ111" s="3">
        <f>IF(ISERROR(VLOOKUP($A111,'SegEnds_NonXtal_BW#'!$A:$Z,25,FALSE)+VLOOKUP($A111,A:AL,37,FALSE)-50),"-",(VLOOKUP($A111,'SegEnds_NonXtal_BW#'!$A:$Z,25,FALSE)+VLOOKUP($A111,A:AL,37,FALSE)-50))</f>
        <v>296</v>
      </c>
      <c r="AK111" s="3">
        <v>299</v>
      </c>
      <c r="AL111" s="3">
        <f>IF(ISERROR((VLOOKUP($A111,'SegEnds_NonXtal_BW#'!$A:$Z,26,FALSE)+VLOOKUP($A111,A:AL,37,FALSE)-50)),"-",(VLOOKUP($A111,'SegEnds_NonXtal_BW#'!$A:$Z,26,FALSE)+VLOOKUP($A111,A:AL,37,FALSE)-50))</f>
        <v>308</v>
      </c>
      <c r="AM111" s="28" t="str">
        <f>VLOOKUP(A111,Classification!A:B,2,FALSE)</f>
        <v>A</v>
      </c>
      <c r="AN111" s="28" t="b">
        <f t="shared" si="55"/>
        <v>1</v>
      </c>
      <c r="AO111" s="3" t="str">
        <f>IF(ISERROR(MATCH(A111,'SegEnds_Xtal_Prot#'!B:B, 0)), "NoXtal", "Xtal")</f>
        <v>NoXtal</v>
      </c>
      <c r="AP111" s="3">
        <f t="shared" si="39"/>
        <v>1</v>
      </c>
      <c r="AQ111" s="3">
        <f t="shared" si="40"/>
        <v>1</v>
      </c>
      <c r="AR111" s="3">
        <f t="shared" si="41"/>
        <v>2</v>
      </c>
      <c r="AS111" s="3">
        <f t="shared" si="42"/>
        <v>1</v>
      </c>
      <c r="AT111" s="3">
        <f t="shared" si="43"/>
        <v>1</v>
      </c>
      <c r="AU111" s="3">
        <f t="shared" si="44"/>
        <v>1</v>
      </c>
      <c r="AV111" s="3">
        <f t="shared" si="45"/>
        <v>11</v>
      </c>
      <c r="AW111" s="3">
        <f t="shared" si="46"/>
        <v>2</v>
      </c>
      <c r="AX111" s="3">
        <f t="shared" si="47"/>
        <v>4</v>
      </c>
      <c r="AY111" s="3">
        <f t="shared" si="48"/>
        <v>5</v>
      </c>
      <c r="AZ111" s="3">
        <f t="shared" si="49"/>
        <v>1</v>
      </c>
      <c r="BA111" s="3">
        <f>IF(ISERROR(LEN(VLOOKUP(A111,Seqs!A:E,2,FALSE))-AL111),"-",LEN(VLOOKUP(A111,Seqs!A:E,2,FALSE))-AL111)</f>
        <v>79</v>
      </c>
      <c r="BB111" s="16">
        <f t="shared" si="50"/>
        <v>28</v>
      </c>
      <c r="BC111" s="9">
        <f t="shared" si="51"/>
        <v>20</v>
      </c>
      <c r="BD111" s="3">
        <f t="shared" si="52"/>
        <v>28</v>
      </c>
      <c r="BE111" s="3">
        <f t="shared" si="53"/>
        <v>52</v>
      </c>
    </row>
    <row r="112" spans="1:58" s="3" customFormat="1" x14ac:dyDescent="0.2">
      <c r="A112" s="3" t="s">
        <v>207</v>
      </c>
      <c r="B112" s="3" t="str">
        <f>LOWER(VLOOKUP(A112,Xtal_Templ!A:B,2,FALSE))</f>
        <v>oprk_human</v>
      </c>
      <c r="C112" s="3">
        <f>VLOOKUP($A112,'SegEnds_NonXtal_BW#'!$A:$Z,3,FALSE)+D112-50</f>
        <v>15</v>
      </c>
      <c r="D112" s="3">
        <v>35</v>
      </c>
      <c r="E112" s="3">
        <f>IF(ISERROR(VLOOKUP($A112,'SegEnds_NonXtal_BW#'!$A:$Z,4,FALSE)+VLOOKUP($A112,A:AL,4,FALSE)-50),"-",(VLOOKUP($A112,'SegEnds_NonXtal_BW#'!$A:$Z,4,FALSE)+VLOOKUP($A112,A:AL,4,FALSE)-50))</f>
        <v>45</v>
      </c>
      <c r="F112" s="3">
        <f>G112-2</f>
        <v>47</v>
      </c>
      <c r="G112" s="3">
        <v>49</v>
      </c>
      <c r="H112" s="3">
        <f t="shared" si="71"/>
        <v>50</v>
      </c>
      <c r="I112" s="3">
        <f t="shared" si="71"/>
        <v>51</v>
      </c>
      <c r="J112" s="3">
        <v>68</v>
      </c>
      <c r="K112" s="3">
        <f>VLOOKUP($A112,'SegEnds_NonXtal_BW#'!$A:$Z,8,FALSE)+VLOOKUP($A112,A:AL,10,FALSE)-50</f>
        <v>85</v>
      </c>
      <c r="L112" s="3">
        <f t="shared" si="68"/>
        <v>87</v>
      </c>
      <c r="M112" s="3">
        <v>88</v>
      </c>
      <c r="N112" s="3">
        <f t="shared" si="69"/>
        <v>90</v>
      </c>
      <c r="O112" s="3">
        <f t="shared" si="70"/>
        <v>91</v>
      </c>
      <c r="P112" s="3">
        <v>120</v>
      </c>
      <c r="Q112" s="3">
        <f>VLOOKUP($A112,'SegEnds_NonXtal_BW#'!$A:$Z,12,FALSE)+VLOOKUP($A112,A:AL,16,FALSE)-50</f>
        <v>126</v>
      </c>
      <c r="R112" s="3">
        <f>IF(ISERROR(VLOOKUP($A112,'SegEnds_NonXtal_BW#'!$A:$Z,13,FALSE)+VLOOKUP($A112,A:AL,19,FALSE)-50),"-",VLOOKUP($A112,'SegEnds_NonXtal_BW#'!$A:$Z,13,FALSE)+VLOOKUP($A112,A:AL,19,FALSE)-50)</f>
        <v>127</v>
      </c>
      <c r="S112" s="3">
        <v>127</v>
      </c>
      <c r="T112" s="100">
        <f>IF(ISERROR(VLOOKUP($A112,'SegEnds_NonXtal_BW#'!$A:$Z,14,FALSE)+VLOOKUP($A112,A:AL,19,FALSE)-50),"-",(VLOOKUP($A112,'SegEnds_NonXtal_BW#'!$A:$Z,14,FALSE)+VLOOKUP($A112,A:AL,19,FALSE)-50))</f>
        <v>134</v>
      </c>
      <c r="U112" s="9">
        <f>IF(ISERROR(VLOOKUP($A112,'SegEnds_NonXtal_BW#'!$A:$Z,15,FALSE)+VLOOKUP($A112,A:AL,22,FALSE)-50),"-",VLOOKUP($A112,'SegEnds_NonXtal_BW#'!$A:$Z,15,FALSE)+VLOOKUP($A112,A:AL,22,FALSE)-50)</f>
        <v>135</v>
      </c>
      <c r="V112" s="3">
        <v>147</v>
      </c>
      <c r="W112" s="3">
        <f>IF(ISERROR(VLOOKUP($A112,'SegEnds_NonXtal_BW#'!$A:$Z,16,FALSE)+VLOOKUP($A112,A:AL,22,FALSE)-50),"-",(VLOOKUP($A112,'SegEnds_NonXtal_BW#'!$A:$Z,16,FALSE)+VLOOKUP($A112,A:AL,22,FALSE)-50))</f>
        <v>161</v>
      </c>
      <c r="X112" s="3">
        <f>IF(ISERROR(VLOOKUP($A112,'SegEnds_NonXtal_BW#'!$A:$Z,17,FALSE)+VLOOKUP($A112,A:AL,25,FALSE)-50),"-",(VLOOKUP($A112,'SegEnds_NonXtal_BW#'!$A:$Z,17,FALSE)+VLOOKUP($A112,A:AL,25,FALSE)-50))</f>
        <v>172</v>
      </c>
      <c r="Y112" s="3">
        <v>172</v>
      </c>
      <c r="Z112" s="3">
        <f t="shared" si="64"/>
        <v>174</v>
      </c>
      <c r="AA112" s="3">
        <f>IF(ISERROR(VLOOKUP($A112,'SegEnds_NonXtal_BW#'!$A:$Z,19,FALSE)+VLOOKUP($A112,A:AL,28,FALSE)-50),"-",(VLOOKUP($A112,'SegEnds_NonXtal_BW#'!$A:$Z,19,FALSE)+VLOOKUP($A112,A:AL,28,FALSE)-50))</f>
        <v>176</v>
      </c>
      <c r="AB112" s="3">
        <v>196</v>
      </c>
      <c r="AC112" s="3">
        <f>IF(ISERROR((VLOOKUP($A112,'SegEnds_NonXtal_BW#'!$A:$Z,20,FALSE)+VLOOKUP($A112,A:AL,28,FALSE)-50)),"-",(VLOOKUP($A112,'SegEnds_NonXtal_BW#'!$A:$Z,20,FALSE)+VLOOKUP($A112,A:AL,28,FALSE)-50))</f>
        <v>218</v>
      </c>
      <c r="AD112" s="3">
        <f>IF(ISERROR(VLOOKUP($A112,'SegEnds_NonXtal_BW#'!$A:$Z,21,FALSE)+VLOOKUP($A112,A:AL,31,FALSE)-50),"-",(VLOOKUP($A112,'SegEnds_NonXtal_BW#'!$A:$Z,21,FALSE)+VLOOKUP($A112,A:AL,31,FALSE)-50))</f>
        <v>224</v>
      </c>
      <c r="AE112" s="3">
        <v>250</v>
      </c>
      <c r="AF112" s="3">
        <f>IF(ISERROR((VLOOKUP($A112,'SegEnds_NonXtal_BW#'!$A:$Z,22,FALSE)+VLOOKUP($A112,A:AL,31,FALSE)-50)),"-",(VLOOKUP($A112,'SegEnds_NonXtal_BW#'!$A:$Z,22,FALSE)+VLOOKUP($A112,A:AL,31,FALSE)-50))</f>
        <v>261</v>
      </c>
      <c r="AG112" s="3">
        <f>IF(ISERROR(VLOOKUP($A112,'SegEnds_NonXtal_BW#'!$A:$Z,23,FALSE)+VLOOKUP($A112,A:AL,34,FALSE)-50),"-",(VLOOKUP($A112,'SegEnds_NonXtal_BW#'!$A:$Z,23,FALSE)+VLOOKUP($A112,A:AL,34,FALSE)-50))</f>
        <v>266</v>
      </c>
      <c r="AH112" s="3">
        <v>288</v>
      </c>
      <c r="AI112" s="3">
        <f>IF(ISERROR((VLOOKUP($A112,'SegEnds_NonXtal_BW#'!$A:$Z,24,FALSE)+VLOOKUP($A112,A:AL,34,FALSE)-50)),"-",(VLOOKUP($A112,'SegEnds_NonXtal_BW#'!$A:$Z,24,FALSE)+VLOOKUP($A112,A:AL,34,FALSE)-50))</f>
        <v>294</v>
      </c>
      <c r="AJ112" s="3">
        <f>IF(ISERROR(VLOOKUP($A112,'SegEnds_NonXtal_BW#'!$A:$Z,25,FALSE)+VLOOKUP($A112,A:AL,37,FALSE)-50),"-",(VLOOKUP($A112,'SegEnds_NonXtal_BW#'!$A:$Z,25,FALSE)+VLOOKUP($A112,A:AL,37,FALSE)-50))</f>
        <v>295</v>
      </c>
      <c r="AK112" s="3">
        <v>298</v>
      </c>
      <c r="AL112" s="3">
        <f>IF(ISERROR((VLOOKUP($A112,'SegEnds_NonXtal_BW#'!$A:$Z,26,FALSE)+VLOOKUP($A112,A:AL,37,FALSE)-50)),"-",(VLOOKUP($A112,'SegEnds_NonXtal_BW#'!$A:$Z,26,FALSE)+VLOOKUP($A112,A:AL,37,FALSE)-50))</f>
        <v>307</v>
      </c>
      <c r="AM112" s="28" t="str">
        <f>VLOOKUP(A112,Classification!A:B,2,FALSE)</f>
        <v>A</v>
      </c>
      <c r="AN112" s="28" t="b">
        <f t="shared" si="55"/>
        <v>1</v>
      </c>
      <c r="AO112" s="3" t="str">
        <f>IF(ISERROR(MATCH(A112,'SegEnds_Xtal_Prot#'!B:B, 0)), "NoXtal", "Xtal")</f>
        <v>NoXtal</v>
      </c>
      <c r="AP112" s="3">
        <f t="shared" si="39"/>
        <v>2</v>
      </c>
      <c r="AQ112" s="3">
        <f t="shared" si="40"/>
        <v>1</v>
      </c>
      <c r="AR112" s="3">
        <f t="shared" si="41"/>
        <v>2</v>
      </c>
      <c r="AS112" s="3">
        <f t="shared" si="42"/>
        <v>1</v>
      </c>
      <c r="AT112" s="3">
        <f t="shared" si="43"/>
        <v>1</v>
      </c>
      <c r="AU112" s="3">
        <f t="shared" si="44"/>
        <v>1</v>
      </c>
      <c r="AV112" s="3">
        <f t="shared" si="45"/>
        <v>11</v>
      </c>
      <c r="AW112" s="3">
        <f t="shared" si="46"/>
        <v>2</v>
      </c>
      <c r="AX112" s="3">
        <f t="shared" si="47"/>
        <v>6</v>
      </c>
      <c r="AY112" s="3">
        <f t="shared" si="48"/>
        <v>5</v>
      </c>
      <c r="AZ112" s="3">
        <f t="shared" si="49"/>
        <v>1</v>
      </c>
      <c r="BA112" s="3">
        <f>IF(ISERROR(LEN(VLOOKUP(A112,Seqs!A:E,2,FALSE))-AL112),"-",LEN(VLOOKUP(A112,Seqs!A:E,2,FALSE))-AL112)</f>
        <v>61</v>
      </c>
      <c r="BB112" s="16">
        <f t="shared" si="50"/>
        <v>33</v>
      </c>
      <c r="BC112" s="9">
        <f t="shared" si="51"/>
        <v>20</v>
      </c>
      <c r="BD112" s="3">
        <f t="shared" si="52"/>
        <v>33</v>
      </c>
      <c r="BE112" s="3">
        <f t="shared" si="53"/>
        <v>54</v>
      </c>
    </row>
    <row r="113" spans="1:60" s="3" customFormat="1" x14ac:dyDescent="0.2">
      <c r="A113" s="3" t="s">
        <v>208</v>
      </c>
      <c r="B113" s="3" t="str">
        <f>LOWER(VLOOKUP(A113,Xtal_Templ!A:B,2,FALSE))</f>
        <v>ox2r_human</v>
      </c>
      <c r="C113" s="3">
        <f>VLOOKUP($A113,'SegEnds_NonXtal_BW#'!$A:$Z,3,FALSE)+D113-50</f>
        <v>53</v>
      </c>
      <c r="D113" s="3">
        <v>72</v>
      </c>
      <c r="E113" s="3">
        <f>IF(ISERROR(VLOOKUP($A113,'SegEnds_NonXtal_BW#'!$A:$Z,4,FALSE)+VLOOKUP($A113,A:AL,4,FALSE)-50),"-",(VLOOKUP($A113,'SegEnds_NonXtal_BW#'!$A:$Z,4,FALSE)+VLOOKUP($A113,A:AL,4,FALSE)-50))</f>
        <v>82</v>
      </c>
      <c r="F113" s="3">
        <f>G113-2</f>
        <v>83</v>
      </c>
      <c r="G113" s="3">
        <v>85</v>
      </c>
      <c r="H113" s="3">
        <f t="shared" si="71"/>
        <v>86</v>
      </c>
      <c r="I113" s="3">
        <f t="shared" si="71"/>
        <v>87</v>
      </c>
      <c r="J113" s="3">
        <v>100</v>
      </c>
      <c r="K113" s="3">
        <f>VLOOKUP($A113,'SegEnds_NonXtal_BW#'!$A:$Z,8,FALSE)+VLOOKUP($A113,A:AL,10,FALSE)-50</f>
        <v>118</v>
      </c>
      <c r="L113" s="3">
        <f t="shared" si="68"/>
        <v>119</v>
      </c>
      <c r="M113" s="3">
        <v>120</v>
      </c>
      <c r="N113" s="3">
        <f t="shared" si="69"/>
        <v>122</v>
      </c>
      <c r="O113" s="3">
        <f t="shared" si="70"/>
        <v>123</v>
      </c>
      <c r="P113" s="3">
        <v>152</v>
      </c>
      <c r="Q113" s="3">
        <f>VLOOKUP($A113,'SegEnds_NonXtal_BW#'!$A:$Z,12,FALSE)+VLOOKUP($A113,A:AL,16,FALSE)-50</f>
        <v>158</v>
      </c>
      <c r="R113" s="3">
        <f>IF(ISERROR(VLOOKUP($A113,'SegEnds_NonXtal_BW#'!$A:$Z,13,FALSE)+VLOOKUP($A113,A:AL,19,FALSE)-50),"-",VLOOKUP($A113,'SegEnds_NonXtal_BW#'!$A:$Z,13,FALSE)+VLOOKUP($A113,A:AL,19,FALSE)-50)</f>
        <v>159</v>
      </c>
      <c r="S113" s="3">
        <v>159</v>
      </c>
      <c r="T113" s="100">
        <f>IF(ISERROR(VLOOKUP($A113,'SegEnds_NonXtal_BW#'!$A:$Z,14,FALSE)+VLOOKUP($A113,A:AL,19,FALSE)-50),"-",(VLOOKUP($A113,'SegEnds_NonXtal_BW#'!$A:$Z,14,FALSE)+VLOOKUP($A113,A:AL,19,FALSE)-50))</f>
        <v>166</v>
      </c>
      <c r="U113" s="9">
        <f>IF(ISERROR(VLOOKUP($A113,'SegEnds_NonXtal_BW#'!$A:$Z,15,FALSE)+VLOOKUP($A113,A:AL,22,FALSE)-50),"-",VLOOKUP($A113,'SegEnds_NonXtal_BW#'!$A:$Z,15,FALSE)+VLOOKUP($A113,A:AL,22,FALSE)-50)</f>
        <v>167</v>
      </c>
      <c r="V113" s="3">
        <v>179</v>
      </c>
      <c r="W113" s="3">
        <f>IF(ISERROR(VLOOKUP($A113,'SegEnds_NonXtal_BW#'!$A:$Z,16,FALSE)+VLOOKUP($A113,A:AL,22,FALSE)-50),"-",(VLOOKUP($A113,'SegEnds_NonXtal_BW#'!$A:$Z,16,FALSE)+VLOOKUP($A113,A:AL,22,FALSE)-50))</f>
        <v>193</v>
      </c>
      <c r="X113" s="3">
        <f>IF(ISERROR(VLOOKUP($A113,'SegEnds_NonXtal_BW#'!$A:$Z,17,FALSE)+VLOOKUP($A113,A:AL,25,FALSE)-50),"-",(VLOOKUP($A113,'SegEnds_NonXtal_BW#'!$A:$Z,17,FALSE)+VLOOKUP($A113,A:AL,25,FALSE)-50))</f>
        <v>205</v>
      </c>
      <c r="Y113" s="3">
        <v>205</v>
      </c>
      <c r="Z113" s="3">
        <f t="shared" si="64"/>
        <v>207</v>
      </c>
      <c r="AA113" s="3">
        <f>IF(ISERROR(VLOOKUP($A113,'SegEnds_NonXtal_BW#'!$A:$Z,19,FALSE)+VLOOKUP($A113,A:AL,28,FALSE)-50),"-",(VLOOKUP($A113,'SegEnds_NonXtal_BW#'!$A:$Z,19,FALSE)+VLOOKUP($A113,A:AL,28,FALSE)-50))</f>
        <v>213</v>
      </c>
      <c r="AB113" s="3">
        <v>230</v>
      </c>
      <c r="AC113" s="3">
        <f>IF(ISERROR((VLOOKUP($A113,'SegEnds_NonXtal_BW#'!$A:$Z,20,FALSE)+VLOOKUP($A113,A:AL,28,FALSE)-50)),"-",(VLOOKUP($A113,'SegEnds_NonXtal_BW#'!$A:$Z,20,FALSE)+VLOOKUP($A113,A:AL,28,FALSE)-50))</f>
        <v>256</v>
      </c>
      <c r="AD113" s="3">
        <f>IF(ISERROR(VLOOKUP($A113,'SegEnds_NonXtal_BW#'!$A:$Z,21,FALSE)+VLOOKUP($A113,A:AL,31,FALSE)-50),"-",(VLOOKUP($A113,'SegEnds_NonXtal_BW#'!$A:$Z,21,FALSE)+VLOOKUP($A113,A:AL,31,FALSE)-50))</f>
        <v>322</v>
      </c>
      <c r="AE113" s="3">
        <v>348</v>
      </c>
      <c r="AF113" s="3">
        <f>IF(ISERROR((VLOOKUP($A113,'SegEnds_NonXtal_BW#'!$A:$Z,22,FALSE)+VLOOKUP($A113,A:AL,31,FALSE)-50)),"-",(VLOOKUP($A113,'SegEnds_NonXtal_BW#'!$A:$Z,22,FALSE)+VLOOKUP($A113,A:AL,31,FALSE)-50))</f>
        <v>359</v>
      </c>
      <c r="AG113" s="3">
        <f>IF(ISERROR(VLOOKUP($A113,'SegEnds_NonXtal_BW#'!$A:$Z,23,FALSE)+VLOOKUP($A113,A:AL,34,FALSE)-50),"-",(VLOOKUP($A113,'SegEnds_NonXtal_BW#'!$A:$Z,23,FALSE)+VLOOKUP($A113,A:AL,34,FALSE)-50))</f>
        <v>364</v>
      </c>
      <c r="AH113" s="3">
        <v>387</v>
      </c>
      <c r="AI113" s="3">
        <f>IF(ISERROR((VLOOKUP($A113,'SegEnds_NonXtal_BW#'!$A:$Z,24,FALSE)+VLOOKUP($A113,A:AL,34,FALSE)-50)),"-",(VLOOKUP($A113,'SegEnds_NonXtal_BW#'!$A:$Z,24,FALSE)+VLOOKUP($A113,A:AL,34,FALSE)-50))</f>
        <v>393</v>
      </c>
      <c r="AJ113" s="3">
        <f>IF(ISERROR(VLOOKUP($A113,'SegEnds_NonXtal_BW#'!$A:$Z,25,FALSE)+VLOOKUP($A113,A:AL,37,FALSE)-50),"-",(VLOOKUP($A113,'SegEnds_NonXtal_BW#'!$A:$Z,25,FALSE)+VLOOKUP($A113,A:AL,37,FALSE)-50))</f>
        <v>394</v>
      </c>
      <c r="AK113" s="3">
        <v>397</v>
      </c>
      <c r="AL113" s="3">
        <f>IF(ISERROR((VLOOKUP($A113,'SegEnds_NonXtal_BW#'!$A:$Z,26,FALSE)+VLOOKUP($A113,A:AL,37,FALSE)-50)),"-",(VLOOKUP($A113,'SegEnds_NonXtal_BW#'!$A:$Z,26,FALSE)+VLOOKUP($A113,A:AL,37,FALSE)-50))</f>
        <v>405</v>
      </c>
      <c r="AM113" s="28" t="str">
        <f>VLOOKUP(A113,Classification!A:B,2,FALSE)</f>
        <v>A</v>
      </c>
      <c r="AN113" s="28" t="b">
        <f t="shared" si="55"/>
        <v>1</v>
      </c>
      <c r="AO113" s="3" t="str">
        <f>IF(ISERROR(MATCH(A113,'SegEnds_Xtal_Prot#'!B:B, 0)), "NoXtal", "Xtal")</f>
        <v>NoXtal</v>
      </c>
      <c r="AP113" s="3">
        <f t="shared" si="39"/>
        <v>1</v>
      </c>
      <c r="AQ113" s="3">
        <f t="shared" si="40"/>
        <v>1</v>
      </c>
      <c r="AR113" s="3">
        <f t="shared" si="41"/>
        <v>1</v>
      </c>
      <c r="AS113" s="3">
        <f t="shared" si="42"/>
        <v>1</v>
      </c>
      <c r="AT113" s="3">
        <f t="shared" si="43"/>
        <v>1</v>
      </c>
      <c r="AU113" s="3">
        <f t="shared" si="44"/>
        <v>1</v>
      </c>
      <c r="AV113" s="3">
        <f t="shared" si="45"/>
        <v>12</v>
      </c>
      <c r="AW113" s="3">
        <f t="shared" si="46"/>
        <v>6</v>
      </c>
      <c r="AX113" s="3">
        <f t="shared" si="47"/>
        <v>66</v>
      </c>
      <c r="AY113" s="3">
        <f t="shared" si="48"/>
        <v>5</v>
      </c>
      <c r="AZ113" s="3">
        <f t="shared" si="49"/>
        <v>1</v>
      </c>
      <c r="BA113" s="3">
        <f>IF(ISERROR(LEN(VLOOKUP(A113,Seqs!A:E,2,FALSE))-AL113),"-",LEN(VLOOKUP(A113,Seqs!A:E,2,FALSE))-AL113)</f>
        <v>42</v>
      </c>
      <c r="BB113" s="16">
        <f t="shared" si="50"/>
        <v>28</v>
      </c>
      <c r="BC113" s="9">
        <f t="shared" si="51"/>
        <v>20</v>
      </c>
      <c r="BD113" s="3">
        <f t="shared" si="52"/>
        <v>28</v>
      </c>
      <c r="BE113" s="3">
        <f t="shared" si="53"/>
        <v>118</v>
      </c>
    </row>
    <row r="114" spans="1:60" s="3" customFormat="1" x14ac:dyDescent="0.2">
      <c r="A114" s="3" t="s">
        <v>209</v>
      </c>
      <c r="B114" s="3" t="str">
        <f>LOWER(VLOOKUP(A114,Xtal_Templ!A:B,2,FALSE))</f>
        <v>ntr1_rat</v>
      </c>
      <c r="C114" s="3">
        <f>VLOOKUP($A114,'SegEnds_NonXtal_BW#'!$A:$Z,3,FALSE)+D114-50</f>
        <v>40</v>
      </c>
      <c r="D114" s="3">
        <v>61</v>
      </c>
      <c r="E114" s="3">
        <f>IF(ISERROR(VLOOKUP($A114,'SegEnds_NonXtal_BW#'!$A:$Z,4,FALSE)+VLOOKUP($A114,A:AL,4,FALSE)-50),"-",(VLOOKUP($A114,'SegEnds_NonXtal_BW#'!$A:$Z,4,FALSE)+VLOOKUP($A114,A:AL,4,FALSE)-50))</f>
        <v>71</v>
      </c>
      <c r="F114" s="3">
        <f>G114-2</f>
        <v>72</v>
      </c>
      <c r="G114" s="3">
        <v>74</v>
      </c>
      <c r="H114" s="3">
        <f t="shared" si="71"/>
        <v>75</v>
      </c>
      <c r="I114" s="3">
        <f t="shared" si="71"/>
        <v>76</v>
      </c>
      <c r="J114" s="3">
        <v>89</v>
      </c>
      <c r="K114" s="3">
        <f>VLOOKUP($A114,'SegEnds_NonXtal_BW#'!$A:$Z,8,FALSE)+VLOOKUP($A114,A:AL,10,FALSE)-50</f>
        <v>106</v>
      </c>
      <c r="L114" s="3">
        <f t="shared" si="68"/>
        <v>108</v>
      </c>
      <c r="M114" s="3">
        <v>109</v>
      </c>
      <c r="N114" s="3">
        <f t="shared" si="69"/>
        <v>111</v>
      </c>
      <c r="O114" s="3">
        <f t="shared" si="70"/>
        <v>112</v>
      </c>
      <c r="P114" s="3">
        <v>141</v>
      </c>
      <c r="Q114" s="3">
        <f>VLOOKUP($A114,'SegEnds_NonXtal_BW#'!$A:$Z,12,FALSE)+VLOOKUP($A114,A:AL,16,FALSE)-50</f>
        <v>147</v>
      </c>
      <c r="R114" s="3">
        <f>IF(ISERROR(VLOOKUP($A114,'SegEnds_NonXtal_BW#'!$A:$Z,13,FALSE)+VLOOKUP($A114,A:AL,19,FALSE)-50),"-",VLOOKUP($A114,'SegEnds_NonXtal_BW#'!$A:$Z,13,FALSE)+VLOOKUP($A114,A:AL,19,FALSE)-50)</f>
        <v>148</v>
      </c>
      <c r="S114" s="3">
        <v>148</v>
      </c>
      <c r="T114" s="100">
        <f>IF(ISERROR(VLOOKUP($A114,'SegEnds_NonXtal_BW#'!$A:$Z,14,FALSE)+VLOOKUP($A114,A:AL,19,FALSE)-50),"-",(VLOOKUP($A114,'SegEnds_NonXtal_BW#'!$A:$Z,14,FALSE)+VLOOKUP($A114,A:AL,19,FALSE)-50))</f>
        <v>155</v>
      </c>
      <c r="U114" s="9">
        <f>IF(ISERROR(VLOOKUP($A114,'SegEnds_NonXtal_BW#'!$A:$Z,15,FALSE)+VLOOKUP($A114,A:AL,22,FALSE)-50),"-",VLOOKUP($A114,'SegEnds_NonXtal_BW#'!$A:$Z,15,FALSE)+VLOOKUP($A114,A:AL,22,FALSE)-50)</f>
        <v>156</v>
      </c>
      <c r="V114" s="3">
        <v>168</v>
      </c>
      <c r="W114" s="3">
        <f>IF(ISERROR(VLOOKUP($A114,'SegEnds_NonXtal_BW#'!$A:$Z,16,FALSE)+VLOOKUP($A114,A:AL,22,FALSE)-50),"-",(VLOOKUP($A114,'SegEnds_NonXtal_BW#'!$A:$Z,16,FALSE)+VLOOKUP($A114,A:AL,22,FALSE)-50))</f>
        <v>182</v>
      </c>
      <c r="X114" s="3">
        <f>IF(ISERROR(VLOOKUP($A114,'SegEnds_NonXtal_BW#'!$A:$Z,17,FALSE)+VLOOKUP($A114,A:AL,25,FALSE)-50),"-",(VLOOKUP($A114,'SegEnds_NonXtal_BW#'!$A:$Z,17,FALSE)+VLOOKUP($A114,A:AL,25,FALSE)-50))</f>
        <v>198</v>
      </c>
      <c r="Y114" s="3">
        <v>198</v>
      </c>
      <c r="Z114" s="3">
        <f t="shared" si="64"/>
        <v>200</v>
      </c>
      <c r="AA114" s="3">
        <f>IF(ISERROR(VLOOKUP($A114,'SegEnds_NonXtal_BW#'!$A:$Z,19,FALSE)+VLOOKUP($A114,A:AL,28,FALSE)-50),"-",(VLOOKUP($A114,'SegEnds_NonXtal_BW#'!$A:$Z,19,FALSE)+VLOOKUP($A114,A:AL,28,FALSE)-50))</f>
        <v>206</v>
      </c>
      <c r="AB114" s="3">
        <v>224</v>
      </c>
      <c r="AC114" s="3">
        <f>IF(ISERROR((VLOOKUP($A114,'SegEnds_NonXtal_BW#'!$A:$Z,20,FALSE)+VLOOKUP($A114,A:AL,28,FALSE)-50)),"-",(VLOOKUP($A114,'SegEnds_NonXtal_BW#'!$A:$Z,20,FALSE)+VLOOKUP($A114,A:AL,28,FALSE)-50))</f>
        <v>246</v>
      </c>
      <c r="AD114" s="3">
        <f>IF(ISERROR(VLOOKUP($A114,'SegEnds_NonXtal_BW#'!$A:$Z,21,FALSE)+VLOOKUP($A114,A:AL,31,FALSE)-50),"-",(VLOOKUP($A114,'SegEnds_NonXtal_BW#'!$A:$Z,21,FALSE)+VLOOKUP($A114,A:AL,31,FALSE)-50))</f>
        <v>252</v>
      </c>
      <c r="AE114" s="3">
        <v>278</v>
      </c>
      <c r="AF114" s="3">
        <f>IF(ISERROR((VLOOKUP($A114,'SegEnds_NonXtal_BW#'!$A:$Z,22,FALSE)+VLOOKUP($A114,A:AL,31,FALSE)-50)),"-",(VLOOKUP($A114,'SegEnds_NonXtal_BW#'!$A:$Z,22,FALSE)+VLOOKUP($A114,A:AL,31,FALSE)-50))</f>
        <v>289</v>
      </c>
      <c r="AG114" s="3">
        <f>IF(ISERROR(VLOOKUP($A114,'SegEnds_NonXtal_BW#'!$A:$Z,23,FALSE)+VLOOKUP($A114,A:AL,34,FALSE)-50),"-",(VLOOKUP($A114,'SegEnds_NonXtal_BW#'!$A:$Z,23,FALSE)+VLOOKUP($A114,A:AL,34,FALSE)-50))</f>
        <v>298</v>
      </c>
      <c r="AH114" s="3">
        <v>320</v>
      </c>
      <c r="AI114" s="3">
        <f>IF(ISERROR((VLOOKUP($A114,'SegEnds_NonXtal_BW#'!$A:$Z,24,FALSE)+VLOOKUP($A114,A:AL,34,FALSE)-50)),"-",(VLOOKUP($A114,'SegEnds_NonXtal_BW#'!$A:$Z,24,FALSE)+VLOOKUP($A114,A:AL,34,FALSE)-50))</f>
        <v>326</v>
      </c>
      <c r="AJ114" s="3">
        <f>IF(ISERROR(VLOOKUP($A114,'SegEnds_NonXtal_BW#'!$A:$Z,25,FALSE)+VLOOKUP($A114,A:AL,37,FALSE)-50),"-",(VLOOKUP($A114,'SegEnds_NonXtal_BW#'!$A:$Z,25,FALSE)+VLOOKUP($A114,A:AL,37,FALSE)-50))</f>
        <v>327</v>
      </c>
      <c r="AK114" s="3">
        <v>330</v>
      </c>
      <c r="AL114" s="3">
        <f>IF(ISERROR((VLOOKUP($A114,'SegEnds_NonXtal_BW#'!$A:$Z,26,FALSE)+VLOOKUP($A114,A:AL,37,FALSE)-50)),"-",(VLOOKUP($A114,'SegEnds_NonXtal_BW#'!$A:$Z,26,FALSE)+VLOOKUP($A114,A:AL,37,FALSE)-50))</f>
        <v>338</v>
      </c>
      <c r="AM114" s="28" t="str">
        <f>VLOOKUP(A114,Classification!A:B,2,FALSE)</f>
        <v>A</v>
      </c>
      <c r="AN114" s="28" t="b">
        <f t="shared" si="55"/>
        <v>1</v>
      </c>
      <c r="AO114" s="3" t="str">
        <f>IF(ISERROR(MATCH(A114,'SegEnds_Xtal_Prot#'!B:B, 0)), "NoXtal", "Xtal")</f>
        <v>NoXtal</v>
      </c>
      <c r="AP114" s="3">
        <f t="shared" si="39"/>
        <v>1</v>
      </c>
      <c r="AQ114" s="3">
        <f t="shared" si="40"/>
        <v>1</v>
      </c>
      <c r="AR114" s="3">
        <f t="shared" si="41"/>
        <v>2</v>
      </c>
      <c r="AS114" s="3">
        <f t="shared" si="42"/>
        <v>1</v>
      </c>
      <c r="AT114" s="3">
        <f t="shared" si="43"/>
        <v>1</v>
      </c>
      <c r="AU114" s="3">
        <f t="shared" si="44"/>
        <v>1</v>
      </c>
      <c r="AV114" s="3">
        <f t="shared" si="45"/>
        <v>16</v>
      </c>
      <c r="AW114" s="3">
        <f t="shared" si="46"/>
        <v>6</v>
      </c>
      <c r="AX114" s="3">
        <f t="shared" si="47"/>
        <v>6</v>
      </c>
      <c r="AY114" s="3">
        <f t="shared" si="48"/>
        <v>9</v>
      </c>
      <c r="AZ114" s="3">
        <f t="shared" si="49"/>
        <v>1</v>
      </c>
      <c r="BA114" s="3">
        <f>IF(ISERROR(LEN(VLOOKUP(A114,Seqs!A:E,2,FALSE))-AL114),"-",LEN(VLOOKUP(A114,Seqs!A:E,2,FALSE))-AL114)</f>
        <v>28</v>
      </c>
      <c r="BB114" s="16">
        <f t="shared" si="50"/>
        <v>28</v>
      </c>
      <c r="BC114" s="9">
        <f t="shared" si="51"/>
        <v>20</v>
      </c>
      <c r="BD114" s="3">
        <f t="shared" si="52"/>
        <v>28</v>
      </c>
      <c r="BE114" s="3">
        <f t="shared" si="53"/>
        <v>54</v>
      </c>
      <c r="BF114" s="3">
        <f>AH114-AE114</f>
        <v>42</v>
      </c>
    </row>
    <row r="115" spans="1:60" s="3" customFormat="1" x14ac:dyDescent="0.2">
      <c r="A115" s="3" t="s">
        <v>212</v>
      </c>
      <c r="B115" s="3" t="str">
        <f>LOWER(VLOOKUP(A115,Xtal_Templ!A:B,2,FALSE))</f>
        <v>5ht2c_human</v>
      </c>
      <c r="C115" s="3">
        <f>VLOOKUP($A115,'SegEnds_NonXtal_BW#'!$A:$Z,3,FALSE)+D115-50</f>
        <v>32</v>
      </c>
      <c r="D115" s="3">
        <v>49</v>
      </c>
      <c r="E115" s="3">
        <f>IF(ISERROR(VLOOKUP($A115,'SegEnds_NonXtal_BW#'!$A:$Z,4,FALSE)+VLOOKUP($A115,A:AL,4,FALSE)-50),"-",(VLOOKUP($A115,'SegEnds_NonXtal_BW#'!$A:$Z,4,FALSE)+VLOOKUP($A115,A:AL,4,FALSE)-50))</f>
        <v>59</v>
      </c>
      <c r="F115" s="3">
        <f>G115-2</f>
        <v>60</v>
      </c>
      <c r="G115" s="3">
        <v>62</v>
      </c>
      <c r="H115" s="3">
        <f t="shared" si="71"/>
        <v>63</v>
      </c>
      <c r="I115" s="3">
        <f t="shared" si="71"/>
        <v>64</v>
      </c>
      <c r="J115" s="3">
        <v>77</v>
      </c>
      <c r="K115" s="3">
        <f>VLOOKUP($A115,'SegEnds_NonXtal_BW#'!$A:$Z,8,FALSE)+VLOOKUP($A115,A:AL,10,FALSE)-50</f>
        <v>95</v>
      </c>
      <c r="L115" s="3">
        <f t="shared" si="68"/>
        <v>96</v>
      </c>
      <c r="M115" s="3">
        <v>97</v>
      </c>
      <c r="N115" s="3">
        <f t="shared" si="69"/>
        <v>99</v>
      </c>
      <c r="O115" s="3">
        <f t="shared" si="70"/>
        <v>100</v>
      </c>
      <c r="P115" s="3">
        <v>129</v>
      </c>
      <c r="Q115" s="3">
        <f>VLOOKUP($A115,'SegEnds_NonXtal_BW#'!$A:$Z,12,FALSE)+VLOOKUP($A115,A:AL,16,FALSE)-50</f>
        <v>135</v>
      </c>
      <c r="R115" s="3">
        <f>IF(ISERROR(VLOOKUP($A115,'SegEnds_NonXtal_BW#'!$A:$Z,13,FALSE)+VLOOKUP($A115,A:AL,19,FALSE)-50),"-",VLOOKUP($A115,'SegEnds_NonXtal_BW#'!$A:$Z,13,FALSE)+VLOOKUP($A115,A:AL,19,FALSE)-50)</f>
        <v>136</v>
      </c>
      <c r="S115" s="3">
        <v>136</v>
      </c>
      <c r="T115" s="100">
        <f>IF(ISERROR(VLOOKUP($A115,'SegEnds_NonXtal_BW#'!$A:$Z,14,FALSE)+VLOOKUP($A115,A:AL,19,FALSE)-50),"-",(VLOOKUP($A115,'SegEnds_NonXtal_BW#'!$A:$Z,14,FALSE)+VLOOKUP($A115,A:AL,19,FALSE)-50))</f>
        <v>143</v>
      </c>
      <c r="U115" s="9">
        <f>IF(ISERROR(VLOOKUP($A115,'SegEnds_NonXtal_BW#'!$A:$Z,15,FALSE)+VLOOKUP($A115,A:AL,22,FALSE)-50),"-",VLOOKUP($A115,'SegEnds_NonXtal_BW#'!$A:$Z,15,FALSE)+VLOOKUP($A115,A:AL,22,FALSE)-50)</f>
        <v>144</v>
      </c>
      <c r="V115" s="3">
        <v>156</v>
      </c>
      <c r="W115" s="3">
        <f>IF(ISERROR(VLOOKUP($A115,'SegEnds_NonXtal_BW#'!$A:$Z,16,FALSE)+VLOOKUP($A115,A:AL,22,FALSE)-50),"-",(VLOOKUP($A115,'SegEnds_NonXtal_BW#'!$A:$Z,16,FALSE)+VLOOKUP($A115,A:AL,22,FALSE)-50))</f>
        <v>173</v>
      </c>
      <c r="X115" s="3">
        <f>IF(ISERROR(VLOOKUP($A115,'SegEnds_NonXtal_BW#'!$A:$Z,17,FALSE)+VLOOKUP($A115,A:AL,25,FALSE)-50),"-",(VLOOKUP($A115,'SegEnds_NonXtal_BW#'!$A:$Z,17,FALSE)+VLOOKUP($A115,A:AL,25,FALSE)-50))</f>
        <v>182</v>
      </c>
      <c r="Y115" s="3">
        <v>182</v>
      </c>
      <c r="Z115" s="3">
        <f t="shared" si="64"/>
        <v>184</v>
      </c>
      <c r="AA115" s="3">
        <f>IF(ISERROR(VLOOKUP($A115,'SegEnds_NonXtal_BW#'!$A:$Z,19,FALSE)+VLOOKUP($A115,A:AL,28,FALSE)-50),"-",(VLOOKUP($A115,'SegEnds_NonXtal_BW#'!$A:$Z,19,FALSE)+VLOOKUP($A115,A:AL,28,FALSE)-50))</f>
        <v>189</v>
      </c>
      <c r="AB115" s="3">
        <v>204</v>
      </c>
      <c r="AC115" s="3">
        <f>IF(ISERROR((VLOOKUP($A115,'SegEnds_NonXtal_BW#'!$A:$Z,20,FALSE)+VLOOKUP($A115,A:AL,28,FALSE)-50)),"-",(VLOOKUP($A115,'SegEnds_NonXtal_BW#'!$A:$Z,20,FALSE)+VLOOKUP($A115,A:AL,28,FALSE)-50))</f>
        <v>229</v>
      </c>
      <c r="AD115" s="3">
        <f>IF(ISERROR(VLOOKUP($A115,'SegEnds_NonXtal_BW#'!$A:$Z,21,FALSE)+VLOOKUP($A115,A:AL,31,FALSE)-50),"-",(VLOOKUP($A115,'SegEnds_NonXtal_BW#'!$A:$Z,21,FALSE)+VLOOKUP($A115,A:AL,31,FALSE)-50))</f>
        <v>388</v>
      </c>
      <c r="AE115" s="3">
        <v>414</v>
      </c>
      <c r="AF115" s="3">
        <f>IF(ISERROR((VLOOKUP($A115,'SegEnds_NonXtal_BW#'!$A:$Z,22,FALSE)+VLOOKUP($A115,A:AL,31,FALSE)-50)),"-",(VLOOKUP($A115,'SegEnds_NonXtal_BW#'!$A:$Z,22,FALSE)+VLOOKUP($A115,A:AL,31,FALSE)-50))</f>
        <v>425</v>
      </c>
      <c r="AG115" s="3">
        <f>IF(ISERROR(VLOOKUP($A115,'SegEnds_NonXtal_BW#'!$A:$Z,23,FALSE)+VLOOKUP($A115,A:AL,34,FALSE)-50),"-",(VLOOKUP($A115,'SegEnds_NonXtal_BW#'!$A:$Z,23,FALSE)+VLOOKUP($A115,A:AL,34,FALSE)-50))</f>
        <v>432</v>
      </c>
      <c r="AH115" s="3">
        <v>451</v>
      </c>
      <c r="AI115" s="3">
        <f>IF(ISERROR((VLOOKUP($A115,'SegEnds_NonXtal_BW#'!$A:$Z,24,FALSE)+VLOOKUP($A115,A:AL,34,FALSE)-50)),"-",(VLOOKUP($A115,'SegEnds_NonXtal_BW#'!$A:$Z,24,FALSE)+VLOOKUP($A115,A:AL,34,FALSE)-50))</f>
        <v>457</v>
      </c>
      <c r="AJ115" s="3">
        <f>IF(ISERROR(VLOOKUP($A115,'SegEnds_NonXtal_BW#'!$A:$Z,25,FALSE)+VLOOKUP($A115,A:AL,37,FALSE)-50),"-",(VLOOKUP($A115,'SegEnds_NonXtal_BW#'!$A:$Z,25,FALSE)+VLOOKUP($A115,A:AL,37,FALSE)-50))</f>
        <v>458</v>
      </c>
      <c r="AK115" s="3">
        <v>461</v>
      </c>
      <c r="AL115" s="3">
        <f>IF(ISERROR((VLOOKUP($A115,'SegEnds_NonXtal_BW#'!$A:$Z,26,FALSE)+VLOOKUP($A115,A:AL,37,FALSE)-50)),"-",(VLOOKUP($A115,'SegEnds_NonXtal_BW#'!$A:$Z,26,FALSE)+VLOOKUP($A115,A:AL,37,FALSE)-50))</f>
        <v>471</v>
      </c>
      <c r="AM115" s="28" t="str">
        <f>VLOOKUP(A115,Classification!A:B,2,FALSE)</f>
        <v>A</v>
      </c>
      <c r="AN115" s="28" t="b">
        <f t="shared" si="55"/>
        <v>1</v>
      </c>
      <c r="AO115" s="3" t="str">
        <f>IF(ISERROR(MATCH(A115,'SegEnds_Xtal_Prot#'!B:B, 0)), "NoXtal", "Xtal")</f>
        <v>NoXtal</v>
      </c>
      <c r="AP115" s="3">
        <f t="shared" si="39"/>
        <v>1</v>
      </c>
      <c r="AQ115" s="3">
        <f t="shared" si="40"/>
        <v>1</v>
      </c>
      <c r="AR115" s="3">
        <f t="shared" si="41"/>
        <v>1</v>
      </c>
      <c r="AS115" s="3">
        <f t="shared" si="42"/>
        <v>1</v>
      </c>
      <c r="AT115" s="3">
        <f t="shared" si="43"/>
        <v>1</v>
      </c>
      <c r="AU115" s="3">
        <f t="shared" si="44"/>
        <v>1</v>
      </c>
      <c r="AV115" s="3">
        <f t="shared" si="45"/>
        <v>9</v>
      </c>
      <c r="AW115" s="3">
        <f t="shared" si="46"/>
        <v>5</v>
      </c>
      <c r="AX115" s="3">
        <f t="shared" si="47"/>
        <v>159</v>
      </c>
      <c r="AY115" s="3">
        <f t="shared" si="48"/>
        <v>7</v>
      </c>
      <c r="AZ115" s="3">
        <f t="shared" si="49"/>
        <v>1</v>
      </c>
      <c r="BA115" s="3">
        <f>IF(ISERROR(LEN(VLOOKUP(A115,Seqs!A:E,2,FALSE))-AL115),"-",LEN(VLOOKUP(A115,Seqs!A:E,2,FALSE))-AL115)</f>
        <v>37</v>
      </c>
      <c r="BB115" s="16">
        <f t="shared" si="50"/>
        <v>28</v>
      </c>
      <c r="BC115" s="9">
        <f t="shared" si="51"/>
        <v>20</v>
      </c>
      <c r="BD115" s="3">
        <f t="shared" si="52"/>
        <v>28</v>
      </c>
      <c r="BE115" s="3">
        <f t="shared" si="53"/>
        <v>210</v>
      </c>
    </row>
    <row r="116" spans="1:60" s="3" customFormat="1" x14ac:dyDescent="0.2">
      <c r="A116" s="3" t="s">
        <v>213</v>
      </c>
      <c r="B116" s="3" t="str">
        <f>LOWER(VLOOKUP(A116,Xtal_Templ!A:B,2,FALSE))</f>
        <v>acm1_human</v>
      </c>
      <c r="C116" s="3">
        <f>VLOOKUP($A116,'SegEnds_NonXtal_BW#'!$A:$Z,3,FALSE)+D116-50</f>
        <v>1</v>
      </c>
      <c r="D116" s="3">
        <v>22</v>
      </c>
      <c r="E116" s="3">
        <f>IF(ISERROR(VLOOKUP($A116,'SegEnds_NonXtal_BW#'!$A:$Z,4,FALSE)+VLOOKUP($A116,A:AL,4,FALSE)-50),"-",(VLOOKUP($A116,'SegEnds_NonXtal_BW#'!$A:$Z,4,FALSE)+VLOOKUP($A116,A:AL,4,FALSE)-50))</f>
        <v>32</v>
      </c>
      <c r="F116" s="3" t="str">
        <f>IF(ISERROR(VLOOKUP($A116,'SegEnds_NonXtal_BW#'!$A:$Z,5,FALSE)+VLOOKUP($A116,A:AL,7,FALSE)-50),"-",(VLOOKUP($A116,'SegEnds_NonXtal_BW#'!$A:$Z,5,FALSE)+VLOOKUP($A116,A:AL,7,FALSE)-50))</f>
        <v>-</v>
      </c>
      <c r="G116" s="3" t="s">
        <v>23</v>
      </c>
      <c r="H116" s="3" t="str">
        <f>IF(ISERROR(VLOOKUP($A116,'SegEnds_NonXtal_BW#'!$A:$Z,6,FALSE)+VLOOKUP($A116,A:AL,7,FALSE)-50),"-",(VLOOKUP($A116,'SegEnds_NonXtal_BW#'!$A:$Z,6,FALSE)+VLOOKUP($A116,A:AL,7,FALSE)-50))</f>
        <v>-</v>
      </c>
      <c r="I116" s="3">
        <f>VLOOKUP($A116,'SegEnds_NonXtal_BW#'!$A:$Z,7,FALSE)+J116-50</f>
        <v>38</v>
      </c>
      <c r="J116" s="3">
        <v>51</v>
      </c>
      <c r="K116" s="3">
        <f>VLOOKUP($A116,'SegEnds_NonXtal_BW#'!$A:$Z,8,FALSE)+VLOOKUP($A116,A:AL,10,FALSE)-50</f>
        <v>67</v>
      </c>
      <c r="L116" s="3" t="str">
        <f>IF(ISERROR(VLOOKUP($A116,'SegEnds_NonXtal_BW#'!$A:$Z,9,FALSE)+VLOOKUP($A116,A:AL,13,FALSE)-50),"-",(VLOOKUP($A116,'SegEnds_NonXtal_BW#'!$A:$Z,9,FALSE)+VLOOKUP($A116,A:AL,13,FALSE)-50))</f>
        <v>-</v>
      </c>
      <c r="M116" s="3" t="s">
        <v>23</v>
      </c>
      <c r="N116" s="3" t="str">
        <f>IF(ISERROR(VLOOKUP($A116,'SegEnds_NonXtal_BW#'!$A:$Z,10,FALSE)+VLOOKUP($A116,A:AL,13,FALSE)-50),"-",(VLOOKUP($A116,'SegEnds_NonXtal_BW#'!$A:$Z,10,FALSE)+VLOOKUP($A116,A:AL,13,FALSE)-50))</f>
        <v>-</v>
      </c>
      <c r="O116" s="3">
        <f>VLOOKUP($A116,'SegEnds_NonXtal_BW#'!$A:$Z,11,FALSE)+VLOOKUP($A116,A:AL,16,FALSE)-50</f>
        <v>71</v>
      </c>
      <c r="P116" s="3">
        <v>103</v>
      </c>
      <c r="Q116" s="3">
        <f>VLOOKUP($A116,'SegEnds_NonXtal_BW#'!$A:$Z,12,FALSE)+VLOOKUP($A116,A:AL,16,FALSE)-50</f>
        <v>109</v>
      </c>
      <c r="R116" s="3">
        <f>IF(ISERROR(VLOOKUP($A116,'SegEnds_NonXtal_BW#'!$A:$Z,13,FALSE)+VLOOKUP($A116,A:AL,19,FALSE)-50),"-",VLOOKUP($A116,'SegEnds_NonXtal_BW#'!$A:$Z,13,FALSE)+VLOOKUP($A116,A:AL,19,FALSE)-50)</f>
        <v>110</v>
      </c>
      <c r="S116" s="3">
        <v>110</v>
      </c>
      <c r="T116" s="100">
        <f>IF(ISERROR(VLOOKUP($A116,'SegEnds_NonXtal_BW#'!$A:$Z,14,FALSE)+VLOOKUP($A116,A:AL,19,FALSE)-50),"-",(VLOOKUP($A116,'SegEnds_NonXtal_BW#'!$A:$Z,14,FALSE)+VLOOKUP($A116,A:AL,19,FALSE)-50))</f>
        <v>117</v>
      </c>
      <c r="U116" s="9">
        <f>IF(ISERROR(VLOOKUP($A116,'SegEnds_NonXtal_BW#'!$A:$Z,15,FALSE)+VLOOKUP($A116,A:AL,22,FALSE)-50),"-",VLOOKUP($A116,'SegEnds_NonXtal_BW#'!$A:$Z,15,FALSE)+VLOOKUP($A116,A:AL,22,FALSE)-50)</f>
        <v>118</v>
      </c>
      <c r="V116" s="3">
        <v>130</v>
      </c>
      <c r="W116" s="3">
        <f>IF(ISERROR(VLOOKUP($A116,'SegEnds_NonXtal_BW#'!$A:$Z,16,FALSE)+VLOOKUP($A116,A:AL,22,FALSE)-50),"-",(VLOOKUP($A116,'SegEnds_NonXtal_BW#'!$A:$Z,16,FALSE)+VLOOKUP($A116,A:AL,22,FALSE)-50))</f>
        <v>149</v>
      </c>
      <c r="X116" s="3">
        <f>Y116</f>
        <v>155</v>
      </c>
      <c r="Y116" s="3">
        <v>155</v>
      </c>
      <c r="Z116" s="3">
        <f t="shared" si="64"/>
        <v>157</v>
      </c>
      <c r="AA116" s="3">
        <f>IF(ISERROR(VLOOKUP($A116,'SegEnds_NonXtal_BW#'!$A:$Z,19,FALSE)+VLOOKUP($A116,A:AL,28,FALSE)-50),"-",(VLOOKUP($A116,'SegEnds_NonXtal_BW#'!$A:$Z,19,FALSE)+VLOOKUP($A116,A:AL,28,FALSE)-50))</f>
        <v>161</v>
      </c>
      <c r="AB116" s="3">
        <v>176</v>
      </c>
      <c r="AC116" s="3">
        <f>IF(ISERROR((VLOOKUP($A116,'SegEnds_NonXtal_BW#'!$A:$Z,20,FALSE)+VLOOKUP($A116,A:AL,28,FALSE)-50)),"-",(VLOOKUP($A116,'SegEnds_NonXtal_BW#'!$A:$Z,20,FALSE)+VLOOKUP($A116,A:AL,28,FALSE)-50))</f>
        <v>200</v>
      </c>
      <c r="AD116" s="3">
        <f>IF(ISERROR(VLOOKUP($A116,'SegEnds_NonXtal_BW#'!$A:$Z,21,FALSE)+VLOOKUP($A116,A:AL,31,FALSE)-50),"-",(VLOOKUP($A116,'SegEnds_NonXtal_BW#'!$A:$Z,21,FALSE)+VLOOKUP($A116,A:AL,31,FALSE)-50))</f>
        <v>211</v>
      </c>
      <c r="AE116" s="3">
        <v>240</v>
      </c>
      <c r="AF116" s="3">
        <f>IF(ISERROR((VLOOKUP($A116,'SegEnds_NonXtal_BW#'!$A:$Z,22,FALSE)+VLOOKUP($A116,A:AL,31,FALSE)-50)),"-",(VLOOKUP($A116,'SegEnds_NonXtal_BW#'!$A:$Z,22,FALSE)+VLOOKUP($A116,A:AL,31,FALSE)-50))</f>
        <v>251</v>
      </c>
      <c r="AG116" s="3">
        <f>IF(ISERROR(VLOOKUP($A116,'SegEnds_NonXtal_BW#'!$A:$Z,23,FALSE)+VLOOKUP($A116,A:AL,34,FALSE)-50),"-",(VLOOKUP($A116,'SegEnds_NonXtal_BW#'!$A:$Z,23,FALSE)+VLOOKUP($A116,A:AL,34,FALSE)-50))</f>
        <v>257</v>
      </c>
      <c r="AH116" s="3">
        <v>276</v>
      </c>
      <c r="AI116" s="3">
        <v>282</v>
      </c>
      <c r="AJ116" s="3">
        <f>IF(ISERROR(VLOOKUP($A116,'SegEnds_NonXtal_BW#'!$A:$Z,25,FALSE)+VLOOKUP($A116,A:AL,37,FALSE)-50),"-",(VLOOKUP($A116,'SegEnds_NonXtal_BW#'!$A:$Z,25,FALSE)+VLOOKUP($A116,A:AL,37,FALSE)-50))</f>
        <v>283</v>
      </c>
      <c r="AK116" s="3">
        <v>286</v>
      </c>
      <c r="AL116" s="3">
        <f>IF(ISERROR((VLOOKUP($A116,'SegEnds_NonXtal_BW#'!$A:$Z,26,FALSE)+VLOOKUP($A116,A:AL,37,FALSE)-50)),"-",(VLOOKUP($A116,'SegEnds_NonXtal_BW#'!$A:$Z,26,FALSE)+VLOOKUP($A116,A:AL,37,FALSE)-50))</f>
        <v>295</v>
      </c>
      <c r="AM116" s="28" t="str">
        <f>VLOOKUP(A116,Classification!A:B,2,FALSE)</f>
        <v>A</v>
      </c>
      <c r="AN116" s="28" t="b">
        <f t="shared" si="55"/>
        <v>1</v>
      </c>
      <c r="AO116" s="3" t="str">
        <f>IF(ISERROR(MATCH(A116,'SegEnds_Xtal_Prot#'!B:B, 0)), "NoXtal", "Xtal")</f>
        <v>NoXtal</v>
      </c>
      <c r="AP116" s="3" t="str">
        <f t="shared" si="39"/>
        <v>-</v>
      </c>
      <c r="AQ116" s="3" t="str">
        <f t="shared" si="40"/>
        <v>-</v>
      </c>
      <c r="AR116" s="3" t="str">
        <f t="shared" si="41"/>
        <v>-</v>
      </c>
      <c r="AS116" s="3" t="str">
        <f t="shared" si="42"/>
        <v>-</v>
      </c>
      <c r="AT116" s="3">
        <f t="shared" si="43"/>
        <v>1</v>
      </c>
      <c r="AU116" s="3">
        <f t="shared" si="44"/>
        <v>1</v>
      </c>
      <c r="AV116" s="3">
        <f t="shared" si="45"/>
        <v>6</v>
      </c>
      <c r="AW116" s="3">
        <f t="shared" si="46"/>
        <v>4</v>
      </c>
      <c r="AX116" s="3">
        <f t="shared" si="47"/>
        <v>11</v>
      </c>
      <c r="AY116" s="3">
        <f t="shared" si="48"/>
        <v>6</v>
      </c>
      <c r="AZ116" s="3">
        <f t="shared" si="49"/>
        <v>1</v>
      </c>
      <c r="BA116" s="3">
        <f>IF(ISERROR(LEN(VLOOKUP(A116,Seqs!A:E,2,FALSE))-AL116),"-",LEN(VLOOKUP(A116,Seqs!A:E,2,FALSE))-AL116)</f>
        <v>40</v>
      </c>
      <c r="BB116" s="16">
        <f t="shared" si="50"/>
        <v>29</v>
      </c>
      <c r="BC116" s="9">
        <f t="shared" si="51"/>
        <v>20</v>
      </c>
      <c r="BD116" s="3">
        <f t="shared" si="52"/>
        <v>29</v>
      </c>
      <c r="BE116" s="3">
        <f t="shared" si="53"/>
        <v>64</v>
      </c>
    </row>
    <row r="117" spans="1:60" s="3" customFormat="1" x14ac:dyDescent="0.2">
      <c r="A117" s="3" t="s">
        <v>217</v>
      </c>
      <c r="B117" s="3" t="str">
        <f>LOWER(VLOOKUP(A117,Xtal_Templ!A:B,2,FALSE))</f>
        <v>hrh1_human</v>
      </c>
      <c r="C117" s="3">
        <f>VLOOKUP($A117,'SegEnds_NonXtal_BW#'!$A:$Z,3,FALSE)+D117-50</f>
        <v>18</v>
      </c>
      <c r="D117" s="3">
        <v>34</v>
      </c>
      <c r="E117" s="3">
        <f>IF(ISERROR(VLOOKUP($A117,'SegEnds_NonXtal_BW#'!$A:$Z,4,FALSE)+VLOOKUP($A117,A:AL,4,FALSE)-50),"-",(VLOOKUP($A117,'SegEnds_NonXtal_BW#'!$A:$Z,4,FALSE)+VLOOKUP($A117,A:AL,4,FALSE)-50))</f>
        <v>44</v>
      </c>
      <c r="F117" s="3">
        <f>G117-2</f>
        <v>45</v>
      </c>
      <c r="G117" s="3">
        <v>47</v>
      </c>
      <c r="H117" s="3">
        <f>G117+1</f>
        <v>48</v>
      </c>
      <c r="I117" s="3">
        <f>H117+1</f>
        <v>49</v>
      </c>
      <c r="J117" s="3">
        <v>62</v>
      </c>
      <c r="K117" s="3">
        <f>VLOOKUP($A117,'SegEnds_NonXtal_BW#'!$A:$Z,8,FALSE)+VLOOKUP($A117,A:AL,10,FALSE)-50</f>
        <v>78</v>
      </c>
      <c r="L117" s="3">
        <f t="shared" ref="L117:L122" si="72">M117-1</f>
        <v>80</v>
      </c>
      <c r="M117" s="3">
        <v>81</v>
      </c>
      <c r="N117" s="3">
        <f t="shared" ref="N117:N122" si="73">M117+2</f>
        <v>83</v>
      </c>
      <c r="O117" s="3">
        <f t="shared" ref="O117:O122" si="74">N117+1</f>
        <v>84</v>
      </c>
      <c r="P117" s="3">
        <v>113</v>
      </c>
      <c r="Q117" s="3">
        <f>VLOOKUP($A117,'SegEnds_NonXtal_BW#'!$A:$Z,12,FALSE)+VLOOKUP($A117,A:AL,16,FALSE)-50</f>
        <v>119</v>
      </c>
      <c r="R117" s="3">
        <f>IF(ISERROR(VLOOKUP($A117,'SegEnds_NonXtal_BW#'!$A:$Z,13,FALSE)+VLOOKUP($A117,A:AL,19,FALSE)-50),"-",VLOOKUP($A117,'SegEnds_NonXtal_BW#'!$A:$Z,13,FALSE)+VLOOKUP($A117,A:AL,19,FALSE)-50)</f>
        <v>120</v>
      </c>
      <c r="S117" s="3">
        <v>120</v>
      </c>
      <c r="T117" s="100">
        <f>IF(ISERROR(VLOOKUP($A117,'SegEnds_NonXtal_BW#'!$A:$Z,14,FALSE)+VLOOKUP($A117,A:AL,19,FALSE)-50),"-",(VLOOKUP($A117,'SegEnds_NonXtal_BW#'!$A:$Z,14,FALSE)+VLOOKUP($A117,A:AL,19,FALSE)-50))</f>
        <v>127</v>
      </c>
      <c r="U117" s="9">
        <f>IF(ISERROR(VLOOKUP($A117,'SegEnds_NonXtal_BW#'!$A:$Z,15,FALSE)+VLOOKUP($A117,A:AL,22,FALSE)-50),"-",VLOOKUP($A117,'SegEnds_NonXtal_BW#'!$A:$Z,15,FALSE)+VLOOKUP($A117,A:AL,22,FALSE)-50)</f>
        <v>128</v>
      </c>
      <c r="V117" s="3">
        <v>140</v>
      </c>
      <c r="W117" s="3">
        <f>IF(ISERROR(VLOOKUP($A117,'SegEnds_NonXtal_BW#'!$A:$Z,16,FALSE)+VLOOKUP($A117,A:AL,22,FALSE)-50),"-",(VLOOKUP($A117,'SegEnds_NonXtal_BW#'!$A:$Z,16,FALSE)+VLOOKUP($A117,A:AL,22,FALSE)-50))</f>
        <v>152</v>
      </c>
      <c r="X117" s="3">
        <f>IF(ISERROR(VLOOKUP($A117,'SegEnds_NonXtal_BW#'!$A:$Z,17,FALSE)+VLOOKUP($A117,A:AL,25,FALSE)-50),"-",(VLOOKUP($A117,'SegEnds_NonXtal_BW#'!$A:$Z,17,FALSE)+VLOOKUP($A117,A:AL,25,FALSE)-50))</f>
        <v>166</v>
      </c>
      <c r="Y117" s="3">
        <v>166</v>
      </c>
      <c r="Z117" s="3">
        <f t="shared" si="64"/>
        <v>168</v>
      </c>
      <c r="AA117" s="3">
        <f>IF(ISERROR(VLOOKUP($A117,'SegEnds_NonXtal_BW#'!$A:$Z,19,FALSE)+VLOOKUP($A117,A:AL,28,FALSE)-50),"-",(VLOOKUP($A117,'SegEnds_NonXtal_BW#'!$A:$Z,19,FALSE)+VLOOKUP($A117,A:AL,28,FALSE)-50))</f>
        <v>181</v>
      </c>
      <c r="AB117" s="3">
        <v>196</v>
      </c>
      <c r="AC117" s="3">
        <f>IF(ISERROR((VLOOKUP($A117,'SegEnds_NonXtal_BW#'!$A:$Z,20,FALSE)+VLOOKUP($A117,A:AL,28,FALSE)-50)),"-",(VLOOKUP($A117,'SegEnds_NonXtal_BW#'!$A:$Z,20,FALSE)+VLOOKUP($A117,A:AL,28,FALSE)-50))</f>
        <v>214</v>
      </c>
      <c r="AD117" s="3">
        <f>IF(ISERROR(VLOOKUP($A117,'SegEnds_NonXtal_BW#'!$A:$Z,21,FALSE)+VLOOKUP($A117,A:AL,31,FALSE)-50),"-",(VLOOKUP($A117,'SegEnds_NonXtal_BW#'!$A:$Z,21,FALSE)+VLOOKUP($A117,A:AL,31,FALSE)-50))</f>
        <v>218</v>
      </c>
      <c r="AE117" s="3">
        <v>240</v>
      </c>
      <c r="AF117" s="3">
        <f>IF(ISERROR((VLOOKUP($A117,'SegEnds_NonXtal_BW#'!$A:$Z,22,FALSE)+VLOOKUP($A117,A:AL,31,FALSE)-50)),"-",(VLOOKUP($A117,'SegEnds_NonXtal_BW#'!$A:$Z,22,FALSE)+VLOOKUP($A117,A:AL,31,FALSE)-50))</f>
        <v>251</v>
      </c>
      <c r="AG117" s="3">
        <f>IF(ISERROR(VLOOKUP($A117,'SegEnds_NonXtal_BW#'!$A:$Z,23,FALSE)+VLOOKUP($A117,A:AL,34,FALSE)-50),"-",(VLOOKUP($A117,'SegEnds_NonXtal_BW#'!$A:$Z,23,FALSE)+VLOOKUP($A117,A:AL,34,FALSE)-50))</f>
        <v>258</v>
      </c>
      <c r="AH117" s="3">
        <v>280</v>
      </c>
      <c r="AI117" s="3">
        <f>IF(ISERROR((VLOOKUP($A117,'SegEnds_NonXtal_BW#'!$A:$Z,24,FALSE)+VLOOKUP($A117,A:AL,34,FALSE)-50)),"-",(VLOOKUP($A117,'SegEnds_NonXtal_BW#'!$A:$Z,24,FALSE)+VLOOKUP($A117,A:AL,34,FALSE)-50))</f>
        <v>286</v>
      </c>
      <c r="AJ117" s="3">
        <v>288</v>
      </c>
      <c r="AK117" s="3">
        <v>291</v>
      </c>
      <c r="AL117" s="3">
        <v>300</v>
      </c>
      <c r="AM117" s="28" t="str">
        <f>VLOOKUP(A117,Classification!A:B,2,FALSE)</f>
        <v>A</v>
      </c>
      <c r="AN117" s="28" t="b">
        <f t="shared" si="55"/>
        <v>1</v>
      </c>
      <c r="AO117" s="3" t="str">
        <f>IF(ISERROR(MATCH(A117,'SegEnds_Xtal_Prot#'!B:B, 0)), "NoXtal", "Xtal")</f>
        <v>NoXtal</v>
      </c>
      <c r="AP117" s="3">
        <f t="shared" si="39"/>
        <v>1</v>
      </c>
      <c r="AQ117" s="3">
        <f t="shared" si="40"/>
        <v>1</v>
      </c>
      <c r="AR117" s="3">
        <f t="shared" si="41"/>
        <v>2</v>
      </c>
      <c r="AS117" s="3">
        <f t="shared" si="42"/>
        <v>1</v>
      </c>
      <c r="AT117" s="3">
        <f t="shared" si="43"/>
        <v>1</v>
      </c>
      <c r="AU117" s="3">
        <f t="shared" si="44"/>
        <v>1</v>
      </c>
      <c r="AV117" s="3">
        <f t="shared" si="45"/>
        <v>14</v>
      </c>
      <c r="AW117" s="3">
        <f t="shared" si="46"/>
        <v>13</v>
      </c>
      <c r="AX117" s="3">
        <f t="shared" si="47"/>
        <v>4</v>
      </c>
      <c r="AY117" s="3">
        <f t="shared" si="48"/>
        <v>7</v>
      </c>
      <c r="AZ117" s="3">
        <f t="shared" si="49"/>
        <v>2</v>
      </c>
      <c r="BA117" s="3">
        <f>IF(ISERROR(LEN(VLOOKUP(A117,Seqs!A:E,2,FALSE))-AL117),"-",LEN(VLOOKUP(A117,Seqs!A:E,2,FALSE))-AL117)</f>
        <v>5</v>
      </c>
      <c r="BB117" s="16">
        <f t="shared" si="50"/>
        <v>28</v>
      </c>
      <c r="BC117" s="9">
        <f t="shared" si="51"/>
        <v>20</v>
      </c>
      <c r="BD117" s="3">
        <f t="shared" si="52"/>
        <v>28</v>
      </c>
      <c r="BE117" s="3">
        <f t="shared" si="53"/>
        <v>44</v>
      </c>
      <c r="BF117" s="3">
        <f>AH117-AE117</f>
        <v>40</v>
      </c>
    </row>
    <row r="118" spans="1:60" s="3" customFormat="1" x14ac:dyDescent="0.2">
      <c r="A118" s="3" t="s">
        <v>220</v>
      </c>
      <c r="B118" s="3" t="str">
        <f>LOWER(VLOOKUP(A118,Xtal_Templ!A:B,2,FALSE))</f>
        <v>aa1r_human</v>
      </c>
      <c r="C118" s="3">
        <f>VLOOKUP($A118,'SegEnds_NonXtal_BW#'!$A:$Z,3,FALSE)+D118-50</f>
        <v>46</v>
      </c>
      <c r="D118" s="3">
        <v>67</v>
      </c>
      <c r="E118" s="3">
        <f>IF(ISERROR(VLOOKUP($A118,'SegEnds_NonXtal_BW#'!$A:$Z,4,FALSE)+VLOOKUP($A118,A:AL,4,FALSE)-50),"-",(VLOOKUP($A118,'SegEnds_NonXtal_BW#'!$A:$Z,4,FALSE)+VLOOKUP($A118,A:AL,4,FALSE)-50))</f>
        <v>77</v>
      </c>
      <c r="F118" s="3">
        <f>G118-2</f>
        <v>78</v>
      </c>
      <c r="G118" s="3">
        <v>80</v>
      </c>
      <c r="H118" s="3">
        <f>G118+1</f>
        <v>81</v>
      </c>
      <c r="I118" s="3">
        <f>H118+1</f>
        <v>82</v>
      </c>
      <c r="J118" s="3">
        <v>96</v>
      </c>
      <c r="K118" s="3">
        <f>VLOOKUP($A118,'SegEnds_NonXtal_BW#'!$A:$Z,8,FALSE)+VLOOKUP($A118,A:AL,10,FALSE)-50</f>
        <v>112</v>
      </c>
      <c r="L118" s="3">
        <f t="shared" si="72"/>
        <v>113</v>
      </c>
      <c r="M118" s="3">
        <v>114</v>
      </c>
      <c r="N118" s="3">
        <f t="shared" si="73"/>
        <v>116</v>
      </c>
      <c r="O118" s="3">
        <f t="shared" si="74"/>
        <v>117</v>
      </c>
      <c r="P118" s="3">
        <v>146</v>
      </c>
      <c r="Q118" s="3">
        <f>VLOOKUP($A118,'SegEnds_NonXtal_BW#'!$A:$Z,12,FALSE)+VLOOKUP($A118,A:AL,16,FALSE)-50</f>
        <v>152</v>
      </c>
      <c r="R118" s="3">
        <f>IF(ISERROR(VLOOKUP($A118,'SegEnds_NonXtal_BW#'!$A:$Z,13,FALSE)+VLOOKUP($A118,A:AL,19,FALSE)-50),"-",VLOOKUP($A118,'SegEnds_NonXtal_BW#'!$A:$Z,13,FALSE)+VLOOKUP($A118,A:AL,19,FALSE)-50)</f>
        <v>153</v>
      </c>
      <c r="S118" s="3">
        <v>153</v>
      </c>
      <c r="T118" s="100">
        <f>IF(ISERROR(VLOOKUP($A118,'SegEnds_NonXtal_BW#'!$A:$Z,14,FALSE)+VLOOKUP($A118,A:AL,19,FALSE)-50),"-",(VLOOKUP($A118,'SegEnds_NonXtal_BW#'!$A:$Z,14,FALSE)+VLOOKUP($A118,A:AL,19,FALSE)-50))</f>
        <v>160</v>
      </c>
      <c r="U118" s="9">
        <f>IF(ISERROR(VLOOKUP($A118,'SegEnds_NonXtal_BW#'!$A:$Z,15,FALSE)+VLOOKUP($A118,A:AL,22,FALSE)-50),"-",VLOOKUP($A118,'SegEnds_NonXtal_BW#'!$A:$Z,15,FALSE)+VLOOKUP($A118,A:AL,22,FALSE)-50)</f>
        <v>161</v>
      </c>
      <c r="V118" s="3">
        <v>173</v>
      </c>
      <c r="W118" s="3">
        <f>IF(ISERROR(VLOOKUP($A118,'SegEnds_NonXtal_BW#'!$A:$Z,16,FALSE)+VLOOKUP($A118,A:AL,22,FALSE)-50),"-",(VLOOKUP($A118,'SegEnds_NonXtal_BW#'!$A:$Z,16,FALSE)+VLOOKUP($A118,A:AL,22,FALSE)-50))</f>
        <v>186</v>
      </c>
      <c r="X118" s="3" t="str">
        <f>IF(ISERROR(VLOOKUP($A118,'SegEnds_NonXtal_BW#'!$A:$Z,17,FALSE)+VLOOKUP($A118,A:AL,25,FALSE)-50),"-",(VLOOKUP($A118,'SegEnds_NonXtal_BW#'!$A:$Z,17,FALSE)+VLOOKUP($A118,A:AL,25,FALSE)-50))</f>
        <v>-</v>
      </c>
      <c r="Y118" s="3" t="s">
        <v>23</v>
      </c>
      <c r="Z118" s="3" t="str">
        <f>IF(ISERROR(VLOOKUP($A118,'SegEnds_NonXtal_BW#'!$A:$Z,18,FALSE)+VLOOKUP($A118,A:AL,25,FALSE)-50),"-",(VLOOKUP($A118,'SegEnds_NonXtal_BW#'!$A:$Z,18,FALSE)+VLOOKUP($A118,A:AL,25,FALSE)-50))</f>
        <v>-</v>
      </c>
      <c r="AA118" s="3">
        <f>IF(ISERROR(VLOOKUP($A118,'SegEnds_NonXtal_BW#'!$A:$Z,19,FALSE)+VLOOKUP($A118,A:AL,28,FALSE)-50),"-",(VLOOKUP($A118,'SegEnds_NonXtal_BW#'!$A:$Z,19,FALSE)+VLOOKUP($A118,A:AL,28,FALSE)-50))</f>
        <v>196</v>
      </c>
      <c r="AB118" s="3">
        <v>211</v>
      </c>
      <c r="AC118" s="3">
        <f>IF(ISERROR((VLOOKUP($A118,'SegEnds_NonXtal_BW#'!$A:$Z,20,FALSE)+VLOOKUP($A118,A:AL,28,FALSE)-50)),"-",(VLOOKUP($A118,'SegEnds_NonXtal_BW#'!$A:$Z,20,FALSE)+VLOOKUP($A118,A:AL,28,FALSE)-50))</f>
        <v>237</v>
      </c>
      <c r="AD118" s="3">
        <f>IF(ISERROR(VLOOKUP($A118,'SegEnds_NonXtal_BW#'!$A:$Z,21,FALSE)+VLOOKUP($A118,A:AL,31,FALSE)-50),"-",(VLOOKUP($A118,'SegEnds_NonXtal_BW#'!$A:$Z,21,FALSE)+VLOOKUP($A118,A:AL,31,FALSE)-50))</f>
        <v>253</v>
      </c>
      <c r="AE118" s="3">
        <v>279</v>
      </c>
      <c r="AF118" s="3">
        <f>IF(ISERROR((VLOOKUP($A118,'SegEnds_NonXtal_BW#'!$A:$Z,22,FALSE)+VLOOKUP($A118,A:AL,31,FALSE)-50)),"-",(VLOOKUP($A118,'SegEnds_NonXtal_BW#'!$A:$Z,22,FALSE)+VLOOKUP($A118,A:AL,31,FALSE)-50))</f>
        <v>287</v>
      </c>
      <c r="AG118" s="3">
        <f>IF(ISERROR(VLOOKUP($A118,'SegEnds_NonXtal_BW#'!$A:$Z,23,FALSE)+VLOOKUP($A118,A:AL,34,FALSE)-50),"-",(VLOOKUP($A118,'SegEnds_NonXtal_BW#'!$A:$Z,23,FALSE)+VLOOKUP($A118,A:AL,34,FALSE)-50))</f>
        <v>295</v>
      </c>
      <c r="AH118" s="3">
        <v>309</v>
      </c>
      <c r="AI118" s="3">
        <v>316</v>
      </c>
      <c r="AJ118" s="3">
        <f>IF(ISERROR(VLOOKUP($A118,'SegEnds_NonXtal_BW#'!$A:$Z,25,FALSE)+VLOOKUP($A118,A:AL,37,FALSE)-50),"-",(VLOOKUP($A118,'SegEnds_NonXtal_BW#'!$A:$Z,25,FALSE)+VLOOKUP($A118,A:AL,37,FALSE)-50))</f>
        <v>317</v>
      </c>
      <c r="AK118" s="3">
        <v>320</v>
      </c>
      <c r="AL118" s="3">
        <f>IF(ISERROR((VLOOKUP($A118,'SegEnds_NonXtal_BW#'!$A:$Z,26,FALSE)+VLOOKUP($A118,A:AL,37,FALSE)-50)),"-",(VLOOKUP($A118,'SegEnds_NonXtal_BW#'!$A:$Z,26,FALSE)+VLOOKUP($A118,A:AL,37,FALSE)-50))</f>
        <v>339</v>
      </c>
      <c r="AM118" s="28" t="str">
        <f>VLOOKUP(A118,Classification!A:B,2,FALSE)</f>
        <v>A</v>
      </c>
      <c r="AN118" s="28" t="b">
        <f t="shared" si="55"/>
        <v>1</v>
      </c>
      <c r="AO118" s="3" t="str">
        <f>IF(ISERROR(MATCH(A118,'SegEnds_Xtal_Prot#'!B:B, 0)), "NoXtal", "Xtal")</f>
        <v>NoXtal</v>
      </c>
      <c r="AP118" s="3">
        <f t="shared" si="39"/>
        <v>1</v>
      </c>
      <c r="AQ118" s="3">
        <f t="shared" si="40"/>
        <v>1</v>
      </c>
      <c r="AR118" s="3">
        <f t="shared" si="41"/>
        <v>1</v>
      </c>
      <c r="AS118" s="3">
        <f t="shared" si="42"/>
        <v>1</v>
      </c>
      <c r="AT118" s="3">
        <f t="shared" si="43"/>
        <v>1</v>
      </c>
      <c r="AU118" s="3">
        <f t="shared" si="44"/>
        <v>1</v>
      </c>
      <c r="AV118" s="3" t="str">
        <f t="shared" si="45"/>
        <v>-</v>
      </c>
      <c r="AW118" s="3" t="str">
        <f t="shared" si="46"/>
        <v>-</v>
      </c>
      <c r="AX118" s="3">
        <f t="shared" si="47"/>
        <v>16</v>
      </c>
      <c r="AY118" s="3">
        <f t="shared" si="48"/>
        <v>8</v>
      </c>
      <c r="AZ118" s="3">
        <f t="shared" si="49"/>
        <v>1</v>
      </c>
      <c r="BA118" s="3">
        <f>IF(ISERROR(LEN(VLOOKUP(A118,Seqs!A:E,2,FALSE))-AL118),"-",LEN(VLOOKUP(A118,Seqs!A:E,2,FALSE))-AL118)</f>
        <v>8</v>
      </c>
      <c r="BB118" s="16">
        <f t="shared" si="50"/>
        <v>29</v>
      </c>
      <c r="BC118" s="9">
        <f t="shared" si="51"/>
        <v>20</v>
      </c>
      <c r="BD118" s="3">
        <f t="shared" si="52"/>
        <v>29</v>
      </c>
      <c r="BE118" s="3">
        <f t="shared" si="53"/>
        <v>68</v>
      </c>
      <c r="BF118" s="3">
        <f>AH118-AE118</f>
        <v>30</v>
      </c>
    </row>
    <row r="119" spans="1:60" s="3" customFormat="1" x14ac:dyDescent="0.2">
      <c r="A119" s="3" t="s">
        <v>224</v>
      </c>
      <c r="B119" s="3" t="str">
        <f>LOWER(VLOOKUP(A119,Xtal_Templ!A:B,2,FALSE))</f>
        <v>pd2r2_human</v>
      </c>
      <c r="C119" s="3">
        <f>VLOOKUP($A119,'SegEnds_NonXtal_BW#'!$A:$Z,3,FALSE)+D119-50</f>
        <v>29</v>
      </c>
      <c r="D119" s="3">
        <v>47</v>
      </c>
      <c r="E119" s="3">
        <f>IF(ISERROR(VLOOKUP($A119,'SegEnds_NonXtal_BW#'!$A:$Z,4,FALSE)+VLOOKUP($A119,A:AL,4,FALSE)-50),"-",(VLOOKUP($A119,'SegEnds_NonXtal_BW#'!$A:$Z,4,FALSE)+VLOOKUP($A119,A:AL,4,FALSE)-50))</f>
        <v>57</v>
      </c>
      <c r="F119" s="3" t="str">
        <f>IF(ISERROR(VLOOKUP($A119,'SegEnds_NonXtal_BW#'!$A:$Z,5,FALSE)+VLOOKUP($A119,A:AL,7,FALSE)-50),"-",(VLOOKUP($A119,'SegEnds_NonXtal_BW#'!$A:$Z,5,FALSE)+VLOOKUP($A119,A:AL,7,FALSE)-50))</f>
        <v>-</v>
      </c>
      <c r="G119" s="3" t="s">
        <v>23</v>
      </c>
      <c r="H119" s="3" t="str">
        <f>IF(ISERROR(VLOOKUP($A119,'SegEnds_NonXtal_BW#'!$A:$Z,6,FALSE)+VLOOKUP($A119,A:AL,7,FALSE)-50),"-",(VLOOKUP($A119,'SegEnds_NonXtal_BW#'!$A:$Z,6,FALSE)+VLOOKUP($A119,A:AL,7,FALSE)-50))</f>
        <v>-</v>
      </c>
      <c r="I119" s="3">
        <f>VLOOKUP($A119,'SegEnds_NonXtal_BW#'!$A:$Z,7,FALSE)+J119-50</f>
        <v>64</v>
      </c>
      <c r="J119" s="3">
        <v>77</v>
      </c>
      <c r="K119" s="3">
        <f>VLOOKUP($A119,'SegEnds_NonXtal_BW#'!$A:$Z,8,FALSE)+VLOOKUP($A119,A:AL,10,FALSE)-50</f>
        <v>94</v>
      </c>
      <c r="L119" s="3">
        <f t="shared" si="72"/>
        <v>96</v>
      </c>
      <c r="M119" s="3">
        <v>97</v>
      </c>
      <c r="N119" s="3">
        <f t="shared" si="73"/>
        <v>99</v>
      </c>
      <c r="O119" s="3">
        <f t="shared" si="74"/>
        <v>100</v>
      </c>
      <c r="P119" s="3">
        <v>129</v>
      </c>
      <c r="Q119" s="3">
        <f>VLOOKUP($A119,'SegEnds_NonXtal_BW#'!$A:$Z,12,FALSE)+VLOOKUP($A119,A:AL,16,FALSE)-50</f>
        <v>135</v>
      </c>
      <c r="R119" s="3">
        <f>IF(ISERROR(VLOOKUP($A119,'SegEnds_NonXtal_BW#'!$A:$Z,13,FALSE)+VLOOKUP($A119,A:AL,19,FALSE)-50),"-",VLOOKUP($A119,'SegEnds_NonXtal_BW#'!$A:$Z,13,FALSE)+VLOOKUP($A119,A:AL,19,FALSE)-50)</f>
        <v>136</v>
      </c>
      <c r="S119" s="3">
        <v>136</v>
      </c>
      <c r="T119" s="100">
        <f>IF(ISERROR(VLOOKUP($A119,'SegEnds_NonXtal_BW#'!$A:$Z,14,FALSE)+VLOOKUP($A119,A:AL,19,FALSE)-50),"-",(VLOOKUP($A119,'SegEnds_NonXtal_BW#'!$A:$Z,14,FALSE)+VLOOKUP($A119,A:AL,19,FALSE)-50))</f>
        <v>143</v>
      </c>
      <c r="U119" s="9">
        <f>IF(ISERROR(VLOOKUP($A119,'SegEnds_NonXtal_BW#'!$A:$Z,15,FALSE)+VLOOKUP($A119,A:AL,22,FALSE)-50),"-",VLOOKUP($A119,'SegEnds_NonXtal_BW#'!$A:$Z,15,FALSE)+VLOOKUP($A119,A:AL,22,FALSE)-50)</f>
        <v>144</v>
      </c>
      <c r="V119" s="3">
        <v>156</v>
      </c>
      <c r="W119" s="3">
        <f>IF(ISERROR(VLOOKUP($A119,'SegEnds_NonXtal_BW#'!$A:$Z,16,FALSE)+VLOOKUP($A119,A:AL,22,FALSE)-50),"-",(VLOOKUP($A119,'SegEnds_NonXtal_BW#'!$A:$Z,16,FALSE)+VLOOKUP($A119,A:AL,22,FALSE)-50))</f>
        <v>170</v>
      </c>
      <c r="X119" s="3">
        <f>IF(ISERROR(VLOOKUP($A119,'SegEnds_NonXtal_BW#'!$A:$Z,17,FALSE)+VLOOKUP($A119,A:AL,25,FALSE)-50),"-",(VLOOKUP($A119,'SegEnds_NonXtal_BW#'!$A:$Z,17,FALSE)+VLOOKUP($A119,A:AL,25,FALSE)-50))</f>
        <v>182</v>
      </c>
      <c r="Y119" s="3">
        <v>182</v>
      </c>
      <c r="Z119" s="3">
        <f t="shared" ref="Z119:Z128" si="75">Y119+2</f>
        <v>184</v>
      </c>
      <c r="AA119" s="3">
        <f>IF(ISERROR(VLOOKUP($A119,'SegEnds_NonXtal_BW#'!$A:$Z,19,FALSE)+VLOOKUP($A119,A:AL,28,FALSE)-50),"-",(VLOOKUP($A119,'SegEnds_NonXtal_BW#'!$A:$Z,19,FALSE)+VLOOKUP($A119,A:AL,28,FALSE)-50))</f>
        <v>189</v>
      </c>
      <c r="AB119" s="3">
        <v>204</v>
      </c>
      <c r="AC119" s="3">
        <f>IF(ISERROR((VLOOKUP($A119,'SegEnds_NonXtal_BW#'!$A:$Z,20,FALSE)+VLOOKUP($A119,A:AL,28,FALSE)-50)),"-",(VLOOKUP($A119,'SegEnds_NonXtal_BW#'!$A:$Z,20,FALSE)+VLOOKUP($A119,A:AL,28,FALSE)-50))</f>
        <v>222</v>
      </c>
      <c r="AD119" s="3">
        <f>IF(ISERROR(VLOOKUP($A119,'SegEnds_NonXtal_BW#'!$A:$Z,21,FALSE)+VLOOKUP($A119,A:AL,31,FALSE)-50),"-",(VLOOKUP($A119,'SegEnds_NonXtal_BW#'!$A:$Z,21,FALSE)+VLOOKUP($A119,A:AL,31,FALSE)-50))</f>
        <v>226</v>
      </c>
      <c r="AE119" s="3">
        <v>252</v>
      </c>
      <c r="AF119" s="3">
        <f>IF(ISERROR((VLOOKUP($A119,'SegEnds_NonXtal_BW#'!$A:$Z,22,FALSE)+VLOOKUP($A119,A:AL,31,FALSE)-50)),"-",(VLOOKUP($A119,'SegEnds_NonXtal_BW#'!$A:$Z,22,FALSE)+VLOOKUP($A119,A:AL,31,FALSE)-50))</f>
        <v>263</v>
      </c>
      <c r="AG119" s="3">
        <f>IF(ISERROR(VLOOKUP($A119,'SegEnds_NonXtal_BW#'!$A:$Z,23,FALSE)+VLOOKUP($A119,A:AL,34,FALSE)-50),"-",(VLOOKUP($A119,'SegEnds_NonXtal_BW#'!$A:$Z,23,FALSE)+VLOOKUP($A119,A:AL,34,FALSE)-50))</f>
        <v>270</v>
      </c>
      <c r="AH119" s="3">
        <v>292</v>
      </c>
      <c r="AI119" s="3">
        <f>IF(ISERROR((VLOOKUP($A119,'SegEnds_NonXtal_BW#'!$A:$Z,24,FALSE)+VLOOKUP($A119,A:AL,34,FALSE)-50)),"-",(VLOOKUP($A119,'SegEnds_NonXtal_BW#'!$A:$Z,24,FALSE)+VLOOKUP($A119,A:AL,34,FALSE)-50))</f>
        <v>298</v>
      </c>
      <c r="AJ119" s="3">
        <f>IF(ISERROR(VLOOKUP($A119,'SegEnds_NonXtal_BW#'!$A:$Z,25,FALSE)+VLOOKUP($A119,A:AL,37,FALSE)-50),"-",(VLOOKUP($A119,'SegEnds_NonXtal_BW#'!$A:$Z,25,FALSE)+VLOOKUP($A119,A:AL,37,FALSE)-50))</f>
        <v>299</v>
      </c>
      <c r="AK119" s="3">
        <v>302</v>
      </c>
      <c r="AL119" s="3">
        <f>IF(ISERROR((VLOOKUP($A119,'SegEnds_NonXtal_BW#'!$A:$Z,26,FALSE)+VLOOKUP($A119,A:AL,37,FALSE)-50)),"-",(VLOOKUP($A119,'SegEnds_NonXtal_BW#'!$A:$Z,26,FALSE)+VLOOKUP($A119,A:AL,37,FALSE)-50))</f>
        <v>316</v>
      </c>
      <c r="AM119" s="28" t="str">
        <f>VLOOKUP(A119,Classification!A:B,2,FALSE)</f>
        <v>A</v>
      </c>
      <c r="AN119" s="28" t="b">
        <f t="shared" si="55"/>
        <v>1</v>
      </c>
      <c r="AO119" s="3" t="str">
        <f>IF(ISERROR(MATCH(A119,'SegEnds_Xtal_Prot#'!B:B, 0)), "NoXtal", "Xtal")</f>
        <v>NoXtal</v>
      </c>
      <c r="AP119" s="3" t="str">
        <f t="shared" si="39"/>
        <v>-</v>
      </c>
      <c r="AQ119" s="3" t="str">
        <f t="shared" si="40"/>
        <v>-</v>
      </c>
      <c r="AR119" s="3">
        <f t="shared" si="41"/>
        <v>2</v>
      </c>
      <c r="AS119" s="3">
        <f t="shared" si="42"/>
        <v>1</v>
      </c>
      <c r="AT119" s="3">
        <f t="shared" si="43"/>
        <v>1</v>
      </c>
      <c r="AU119" s="3">
        <f t="shared" si="44"/>
        <v>1</v>
      </c>
      <c r="AV119" s="3">
        <f t="shared" si="45"/>
        <v>12</v>
      </c>
      <c r="AW119" s="3">
        <f t="shared" si="46"/>
        <v>5</v>
      </c>
      <c r="AX119" s="3">
        <f t="shared" si="47"/>
        <v>4</v>
      </c>
      <c r="AY119" s="3">
        <f t="shared" si="48"/>
        <v>7</v>
      </c>
      <c r="AZ119" s="3">
        <f t="shared" si="49"/>
        <v>1</v>
      </c>
      <c r="BA119" s="3">
        <f>IF(ISERROR(LEN(VLOOKUP(A119,Seqs!A:E,2,FALSE))-AL119),"-",LEN(VLOOKUP(A119,Seqs!A:E,2,FALSE))-AL119)</f>
        <v>154</v>
      </c>
      <c r="BB119" s="16">
        <f t="shared" si="50"/>
        <v>30</v>
      </c>
      <c r="BC119" s="9">
        <f t="shared" si="51"/>
        <v>20</v>
      </c>
      <c r="BD119" s="3">
        <f t="shared" si="52"/>
        <v>30</v>
      </c>
      <c r="BE119" s="3">
        <f t="shared" si="53"/>
        <v>48</v>
      </c>
    </row>
    <row r="120" spans="1:60" s="3" customFormat="1" x14ac:dyDescent="0.2">
      <c r="A120" s="3" t="s">
        <v>225</v>
      </c>
      <c r="B120" s="3" t="str">
        <f>LOWER(VLOOKUP(A120,Xtal_Templ!A:B,2,FALSE))</f>
        <v>5ht2a_human</v>
      </c>
      <c r="C120" s="3">
        <f>VLOOKUP($A120,'SegEnds_NonXtal_BW#'!$A:$Z,3,FALSE)+D120-50</f>
        <v>2</v>
      </c>
      <c r="D120" s="3">
        <v>25</v>
      </c>
      <c r="E120" s="3">
        <f>IF(ISERROR(VLOOKUP($A120,'SegEnds_NonXtal_BW#'!$A:$Z,4,FALSE)+VLOOKUP($A120,A:AL,4,FALSE)-50),"-",(VLOOKUP($A120,'SegEnds_NonXtal_BW#'!$A:$Z,4,FALSE)+VLOOKUP($A120,A:AL,4,FALSE)-50))</f>
        <v>35</v>
      </c>
      <c r="F120" s="3">
        <f>G120-2</f>
        <v>36</v>
      </c>
      <c r="G120" s="3">
        <v>38</v>
      </c>
      <c r="H120" s="3">
        <f t="shared" ref="H120:I122" si="76">G120+1</f>
        <v>39</v>
      </c>
      <c r="I120" s="3">
        <f t="shared" si="76"/>
        <v>40</v>
      </c>
      <c r="J120" s="105">
        <v>52</v>
      </c>
      <c r="K120" s="3">
        <f>VLOOKUP($A120,'SegEnds_NonXtal_BW#'!$A:$Z,8,FALSE)+VLOOKUP($A120,A:AL,10,FALSE)-50</f>
        <v>70</v>
      </c>
      <c r="L120" s="3">
        <f t="shared" si="72"/>
        <v>75</v>
      </c>
      <c r="M120" s="3">
        <v>76</v>
      </c>
      <c r="N120" s="3">
        <f t="shared" si="73"/>
        <v>78</v>
      </c>
      <c r="O120" s="3">
        <f t="shared" si="74"/>
        <v>79</v>
      </c>
      <c r="P120" s="3">
        <v>108</v>
      </c>
      <c r="Q120" s="3">
        <f>VLOOKUP($A120,'SegEnds_NonXtal_BW#'!$A:$Z,12,FALSE)+VLOOKUP($A120,A:AL,16,FALSE)-50</f>
        <v>114</v>
      </c>
      <c r="R120" s="3">
        <f>IF(ISERROR(VLOOKUP($A120,'SegEnds_NonXtal_BW#'!$A:$Z,13,FALSE)+VLOOKUP($A120,A:AL,19,FALSE)-50),"-",VLOOKUP($A120,'SegEnds_NonXtal_BW#'!$A:$Z,13,FALSE)+VLOOKUP($A120,A:AL,19,FALSE)-50)</f>
        <v>115</v>
      </c>
      <c r="S120" s="3">
        <v>115</v>
      </c>
      <c r="T120" s="100">
        <f>IF(ISERROR(VLOOKUP($A120,'SegEnds_NonXtal_BW#'!$A:$Z,14,FALSE)+VLOOKUP($A120,A:AL,19,FALSE)-50),"-",(VLOOKUP($A120,'SegEnds_NonXtal_BW#'!$A:$Z,14,FALSE)+VLOOKUP($A120,A:AL,19,FALSE)-50))</f>
        <v>122</v>
      </c>
      <c r="U120" s="9">
        <f>IF(ISERROR(VLOOKUP($A120,'SegEnds_NonXtal_BW#'!$A:$Z,15,FALSE)+VLOOKUP($A120,A:AL,22,FALSE)-50),"-",VLOOKUP($A120,'SegEnds_NonXtal_BW#'!$A:$Z,15,FALSE)+VLOOKUP($A120,A:AL,22,FALSE)-50)</f>
        <v>123</v>
      </c>
      <c r="V120" s="3">
        <v>135</v>
      </c>
      <c r="W120" s="3">
        <f>IF(ISERROR(VLOOKUP($A120,'SegEnds_NonXtal_BW#'!$A:$Z,16,FALSE)+VLOOKUP($A120,A:AL,22,FALSE)-50),"-",(VLOOKUP($A120,'SegEnds_NonXtal_BW#'!$A:$Z,16,FALSE)+VLOOKUP($A120,A:AL,22,FALSE)-50))</f>
        <v>148</v>
      </c>
      <c r="X120" s="3">
        <f>IF(ISERROR(VLOOKUP($A120,'SegEnds_NonXtal_BW#'!$A:$Z,17,FALSE)+VLOOKUP($A120,A:AL,25,FALSE)-50),"-",(VLOOKUP($A120,'SegEnds_NonXtal_BW#'!$A:$Z,17,FALSE)+VLOOKUP($A120,A:AL,25,FALSE)-50))</f>
        <v>161</v>
      </c>
      <c r="Y120" s="3">
        <v>161</v>
      </c>
      <c r="Z120" s="3">
        <f t="shared" si="75"/>
        <v>163</v>
      </c>
      <c r="AA120" s="3">
        <f>IF(ISERROR(VLOOKUP($A120,'SegEnds_NonXtal_BW#'!$A:$Z,19,FALSE)+VLOOKUP($A120,A:AL,28,FALSE)-50),"-",(VLOOKUP($A120,'SegEnds_NonXtal_BW#'!$A:$Z,19,FALSE)+VLOOKUP($A120,A:AL,28,FALSE)-50))</f>
        <v>169</v>
      </c>
      <c r="AB120" s="3">
        <v>184</v>
      </c>
      <c r="AC120" s="3">
        <f>IF(ISERROR((VLOOKUP($A120,'SegEnds_NonXtal_BW#'!$A:$Z,20,FALSE)+VLOOKUP($A120,A:AL,28,FALSE)-50)),"-",(VLOOKUP($A120,'SegEnds_NonXtal_BW#'!$A:$Z,20,FALSE)+VLOOKUP($A120,A:AL,28,FALSE)-50))</f>
        <v>210</v>
      </c>
      <c r="AD120" s="3">
        <f>IF(ISERROR(VLOOKUP($A120,'SegEnds_NonXtal_BW#'!$A:$Z,21,FALSE)+VLOOKUP($A120,A:AL,31,FALSE)-50),"-",(VLOOKUP($A120,'SegEnds_NonXtal_BW#'!$A:$Z,21,FALSE)+VLOOKUP($A120,A:AL,31,FALSE)-50))</f>
        <v>234</v>
      </c>
      <c r="AE120" s="3">
        <v>260</v>
      </c>
      <c r="AF120" s="3">
        <f>IF(ISERROR((VLOOKUP($A120,'SegEnds_NonXtal_BW#'!$A:$Z,22,FALSE)+VLOOKUP($A120,A:AL,31,FALSE)-50)),"-",(VLOOKUP($A120,'SegEnds_NonXtal_BW#'!$A:$Z,22,FALSE)+VLOOKUP($A120,A:AL,31,FALSE)-50))</f>
        <v>271</v>
      </c>
      <c r="AG120" s="3">
        <f>IF(ISERROR(VLOOKUP($A120,'SegEnds_NonXtal_BW#'!$A:$Z,23,FALSE)+VLOOKUP($A120,A:AL,34,FALSE)-50),"-",(VLOOKUP($A120,'SegEnds_NonXtal_BW#'!$A:$Z,23,FALSE)+VLOOKUP($A120,A:AL,34,FALSE)-50))</f>
        <v>276</v>
      </c>
      <c r="AH120" s="3">
        <v>294</v>
      </c>
      <c r="AI120" s="3">
        <v>299</v>
      </c>
      <c r="AJ120" s="3">
        <f>IF(ISERROR(VLOOKUP($A120,'SegEnds_NonXtal_BW#'!$A:$Z,25,FALSE)+VLOOKUP($A120,A:AL,37,FALSE)-50),"-",(VLOOKUP($A120,'SegEnds_NonXtal_BW#'!$A:$Z,25,FALSE)+VLOOKUP($A120,A:AL,37,FALSE)-50))</f>
        <v>300</v>
      </c>
      <c r="AK120" s="3">
        <v>303</v>
      </c>
      <c r="AL120" s="3">
        <f>IF(ISERROR((VLOOKUP($A120,'SegEnds_NonXtal_BW#'!$A:$Z,26,FALSE)+VLOOKUP($A120,A:AL,37,FALSE)-50)),"-",(VLOOKUP($A120,'SegEnds_NonXtal_BW#'!$A:$Z,26,FALSE)+VLOOKUP($A120,A:AL,37,FALSE)-50))</f>
        <v>313</v>
      </c>
      <c r="AM120" s="28" t="str">
        <f>VLOOKUP(A120,Classification!A:B,2,FALSE)</f>
        <v>A</v>
      </c>
      <c r="AN120" s="28" t="b">
        <f t="shared" si="55"/>
        <v>1</v>
      </c>
      <c r="AO120" s="3" t="str">
        <f>IF(ISERROR(MATCH(A120,'SegEnds_Xtal_Prot#'!B:B, 0)), "NoXtal", "Xtal")</f>
        <v>NoXtal</v>
      </c>
      <c r="AP120" s="3">
        <f t="shared" si="39"/>
        <v>1</v>
      </c>
      <c r="AQ120" s="3">
        <f t="shared" si="40"/>
        <v>1</v>
      </c>
      <c r="AR120" s="3">
        <f t="shared" si="41"/>
        <v>5</v>
      </c>
      <c r="AS120" s="3">
        <f t="shared" si="42"/>
        <v>1</v>
      </c>
      <c r="AT120" s="3">
        <f t="shared" si="43"/>
        <v>1</v>
      </c>
      <c r="AU120" s="3">
        <f t="shared" si="44"/>
        <v>1</v>
      </c>
      <c r="AV120" s="3">
        <f t="shared" si="45"/>
        <v>13</v>
      </c>
      <c r="AW120" s="3">
        <f t="shared" si="46"/>
        <v>6</v>
      </c>
      <c r="AX120" s="3">
        <f t="shared" si="47"/>
        <v>24</v>
      </c>
      <c r="AY120" s="3">
        <f t="shared" si="48"/>
        <v>5</v>
      </c>
      <c r="AZ120" s="3">
        <f t="shared" si="49"/>
        <v>1</v>
      </c>
      <c r="BA120" s="3">
        <f>IF(ISERROR(LEN(VLOOKUP(A120,Seqs!A:E,2,FALSE))-AL120),"-",LEN(VLOOKUP(A120,Seqs!A:E,2,FALSE))-AL120)</f>
        <v>296</v>
      </c>
      <c r="BB120" s="16">
        <f t="shared" si="50"/>
        <v>27</v>
      </c>
      <c r="BC120" s="9">
        <f t="shared" si="51"/>
        <v>20</v>
      </c>
      <c r="BD120" s="3">
        <f t="shared" si="52"/>
        <v>27</v>
      </c>
      <c r="BE120" s="3">
        <f t="shared" si="53"/>
        <v>76</v>
      </c>
    </row>
    <row r="121" spans="1:60" s="3" customFormat="1" x14ac:dyDescent="0.2">
      <c r="A121" s="3" t="s">
        <v>227</v>
      </c>
      <c r="B121" s="3" t="str">
        <f>LOWER(VLOOKUP(A121,Xtal_Templ!A:B,2,FALSE))</f>
        <v>5ht1b_human</v>
      </c>
      <c r="C121" s="3">
        <f>VLOOKUP($A121,'SegEnds_NonXtal_BW#'!$A:$Z,3,FALSE)+D121-50</f>
        <v>23</v>
      </c>
      <c r="D121" s="3">
        <v>45</v>
      </c>
      <c r="E121" s="3">
        <f>IF(ISERROR(VLOOKUP($A121,'SegEnds_NonXtal_BW#'!$A:$Z,4,FALSE)+VLOOKUP($A121,A:AL,4,FALSE)-50),"-",(VLOOKUP($A121,'SegEnds_NonXtal_BW#'!$A:$Z,4,FALSE)+VLOOKUP($A121,A:AL,4,FALSE)-50))</f>
        <v>55</v>
      </c>
      <c r="F121" s="3">
        <f>G121-2</f>
        <v>56</v>
      </c>
      <c r="G121" s="3">
        <v>58</v>
      </c>
      <c r="H121" s="3">
        <f t="shared" si="76"/>
        <v>59</v>
      </c>
      <c r="I121" s="3">
        <f t="shared" si="76"/>
        <v>60</v>
      </c>
      <c r="J121" s="3">
        <v>73</v>
      </c>
      <c r="K121" s="3">
        <f>VLOOKUP($A121,'SegEnds_NonXtal_BW#'!$A:$Z,8,FALSE)+VLOOKUP($A121,A:AL,10,FALSE)-50</f>
        <v>91</v>
      </c>
      <c r="L121" s="3">
        <f t="shared" si="72"/>
        <v>92</v>
      </c>
      <c r="M121" s="3">
        <v>93</v>
      </c>
      <c r="N121" s="3">
        <f t="shared" si="73"/>
        <v>95</v>
      </c>
      <c r="O121" s="3">
        <f t="shared" si="74"/>
        <v>96</v>
      </c>
      <c r="P121" s="3">
        <v>125</v>
      </c>
      <c r="Q121" s="3">
        <f>VLOOKUP($A121,'SegEnds_NonXtal_BW#'!$A:$Z,12,FALSE)+VLOOKUP($A121,A:AL,16,FALSE)-50</f>
        <v>131</v>
      </c>
      <c r="R121" s="3">
        <f>IF(ISERROR(VLOOKUP($A121,'SegEnds_NonXtal_BW#'!$A:$Z,13,FALSE)+VLOOKUP($A121,A:AL,19,FALSE)-50),"-",VLOOKUP($A121,'SegEnds_NonXtal_BW#'!$A:$Z,13,FALSE)+VLOOKUP($A121,A:AL,19,FALSE)-50)</f>
        <v>132</v>
      </c>
      <c r="S121" s="3">
        <v>132</v>
      </c>
      <c r="T121" s="100">
        <f>IF(ISERROR(VLOOKUP($A121,'SegEnds_NonXtal_BW#'!$A:$Z,14,FALSE)+VLOOKUP($A121,A:AL,19,FALSE)-50),"-",(VLOOKUP($A121,'SegEnds_NonXtal_BW#'!$A:$Z,14,FALSE)+VLOOKUP($A121,A:AL,19,FALSE)-50))</f>
        <v>139</v>
      </c>
      <c r="U121" s="9">
        <f>IF(ISERROR(VLOOKUP($A121,'SegEnds_NonXtal_BW#'!$A:$Z,15,FALSE)+VLOOKUP($A121,A:AL,22,FALSE)-50),"-",VLOOKUP($A121,'SegEnds_NonXtal_BW#'!$A:$Z,15,FALSE)+VLOOKUP($A121,A:AL,22,FALSE)-50)</f>
        <v>140</v>
      </c>
      <c r="V121" s="3">
        <v>152</v>
      </c>
      <c r="W121" s="3">
        <f>IF(ISERROR(VLOOKUP($A121,'SegEnds_NonXtal_BW#'!$A:$Z,16,FALSE)+VLOOKUP($A121,A:AL,22,FALSE)-50),"-",(VLOOKUP($A121,'SegEnds_NonXtal_BW#'!$A:$Z,16,FALSE)+VLOOKUP($A121,A:AL,22,FALSE)-50))</f>
        <v>165</v>
      </c>
      <c r="X121" s="3">
        <f>IF(ISERROR(VLOOKUP($A121,'SegEnds_NonXtal_BW#'!$A:$Z,17,FALSE)+VLOOKUP($A121,A:AL,25,FALSE)-50),"-",(VLOOKUP($A121,'SegEnds_NonXtal_BW#'!$A:$Z,17,FALSE)+VLOOKUP($A121,A:AL,25,FALSE)-50))</f>
        <v>178</v>
      </c>
      <c r="Y121" s="3">
        <v>178</v>
      </c>
      <c r="Z121" s="3">
        <f t="shared" si="75"/>
        <v>180</v>
      </c>
      <c r="AA121" s="3">
        <f>IF(ISERROR(VLOOKUP($A121,'SegEnds_NonXtal_BW#'!$A:$Z,19,FALSE)+VLOOKUP($A121,A:AL,28,FALSE)-50),"-",(VLOOKUP($A121,'SegEnds_NonXtal_BW#'!$A:$Z,19,FALSE)+VLOOKUP($A121,A:AL,28,FALSE)-50))</f>
        <v>185</v>
      </c>
      <c r="AB121" s="3">
        <v>200</v>
      </c>
      <c r="AC121" s="3">
        <f>IF(ISERROR((VLOOKUP($A121,'SegEnds_NonXtal_BW#'!$A:$Z,20,FALSE)+VLOOKUP($A121,A:AL,28,FALSE)-50)),"-",(VLOOKUP($A121,'SegEnds_NonXtal_BW#'!$A:$Z,20,FALSE)+VLOOKUP($A121,A:AL,28,FALSE)-50))</f>
        <v>226</v>
      </c>
      <c r="AD121" s="3">
        <f>IF(ISERROR(VLOOKUP($A121,'SegEnds_NonXtal_BW#'!$A:$Z,21,FALSE)+VLOOKUP($A121,A:AL,31,FALSE)-50),"-",(VLOOKUP($A121,'SegEnds_NonXtal_BW#'!$A:$Z,21,FALSE)+VLOOKUP($A121,A:AL,31,FALSE)-50))</f>
        <v>259</v>
      </c>
      <c r="AE121" s="3">
        <v>285</v>
      </c>
      <c r="AF121" s="3">
        <f>IF(ISERROR((VLOOKUP($A121,'SegEnds_NonXtal_BW#'!$A:$Z,22,FALSE)+VLOOKUP($A121,A:AL,31,FALSE)-50)),"-",(VLOOKUP($A121,'SegEnds_NonXtal_BW#'!$A:$Z,22,FALSE)+VLOOKUP($A121,A:AL,31,FALSE)-50))</f>
        <v>296</v>
      </c>
      <c r="AG121" s="3">
        <f>IF(ISERROR(VLOOKUP($A121,'SegEnds_NonXtal_BW#'!$A:$Z,23,FALSE)+VLOOKUP($A121,A:AL,34,FALSE)-50),"-",(VLOOKUP($A121,'SegEnds_NonXtal_BW#'!$A:$Z,23,FALSE)+VLOOKUP($A121,A:AL,34,FALSE)-50))</f>
        <v>302</v>
      </c>
      <c r="AH121" s="3">
        <v>321</v>
      </c>
      <c r="AI121" s="3">
        <f>IF(ISERROR((VLOOKUP($A121,'SegEnds_NonXtal_BW#'!$A:$Z,24,FALSE)+VLOOKUP($A121,A:AL,34,FALSE)-50)),"-",(VLOOKUP($A121,'SegEnds_NonXtal_BW#'!$A:$Z,24,FALSE)+VLOOKUP($A121,A:AL,34,FALSE)-50))</f>
        <v>327</v>
      </c>
      <c r="AJ121" s="3">
        <f>IF(ISERROR(VLOOKUP($A121,'SegEnds_NonXtal_BW#'!$A:$Z,25,FALSE)+VLOOKUP($A121,A:AL,37,FALSE)-50),"-",(VLOOKUP($A121,'SegEnds_NonXtal_BW#'!$A:$Z,25,FALSE)+VLOOKUP($A121,A:AL,37,FALSE)-50))</f>
        <v>328</v>
      </c>
      <c r="AK121" s="3">
        <v>331</v>
      </c>
      <c r="AL121" s="3">
        <f>IF(ISERROR((VLOOKUP($A121,'SegEnds_NonXtal_BW#'!$A:$Z,26,FALSE)+VLOOKUP($A121,A:AL,37,FALSE)-50)),"-",(VLOOKUP($A121,'SegEnds_NonXtal_BW#'!$A:$Z,26,FALSE)+VLOOKUP($A121,A:AL,37,FALSE)-50))</f>
        <v>339</v>
      </c>
      <c r="AM121" s="28" t="str">
        <f>VLOOKUP(A121,Classification!A:B,2,FALSE)</f>
        <v>A</v>
      </c>
      <c r="AN121" s="28" t="b">
        <f t="shared" si="55"/>
        <v>1</v>
      </c>
      <c r="AO121" s="3" t="str">
        <f>IF(ISERROR(MATCH(A121,'SegEnds_Xtal_Prot#'!B:B, 0)), "NoXtal", "Xtal")</f>
        <v>NoXtal</v>
      </c>
      <c r="AP121" s="3">
        <f t="shared" si="39"/>
        <v>1</v>
      </c>
      <c r="AQ121" s="3">
        <f t="shared" si="40"/>
        <v>1</v>
      </c>
      <c r="AR121" s="3">
        <f t="shared" si="41"/>
        <v>1</v>
      </c>
      <c r="AS121" s="3">
        <f t="shared" si="42"/>
        <v>1</v>
      </c>
      <c r="AT121" s="3">
        <f t="shared" si="43"/>
        <v>1</v>
      </c>
      <c r="AU121" s="3">
        <f t="shared" si="44"/>
        <v>1</v>
      </c>
      <c r="AV121" s="3">
        <f t="shared" si="45"/>
        <v>13</v>
      </c>
      <c r="AW121" s="3">
        <f t="shared" si="46"/>
        <v>5</v>
      </c>
      <c r="AX121" s="3">
        <f t="shared" si="47"/>
        <v>33</v>
      </c>
      <c r="AY121" s="3">
        <f t="shared" si="48"/>
        <v>6</v>
      </c>
      <c r="AZ121" s="3">
        <f t="shared" si="49"/>
        <v>1</v>
      </c>
      <c r="BA121" s="3">
        <f>IF(ISERROR(LEN(VLOOKUP(A121,Seqs!A:E,2,FALSE))-AL121),"-",LEN(VLOOKUP(A121,Seqs!A:E,2,FALSE))-AL121)</f>
        <v>190</v>
      </c>
      <c r="BB121" s="16">
        <f t="shared" si="50"/>
        <v>28</v>
      </c>
      <c r="BC121" s="9">
        <f t="shared" si="51"/>
        <v>20</v>
      </c>
      <c r="BD121" s="3">
        <f t="shared" si="52"/>
        <v>28</v>
      </c>
      <c r="BE121" s="3">
        <f t="shared" si="53"/>
        <v>85</v>
      </c>
    </row>
    <row r="122" spans="1:60" s="3" customFormat="1" x14ac:dyDescent="0.2">
      <c r="A122" s="3" t="s">
        <v>228</v>
      </c>
      <c r="B122" s="3" t="str">
        <f>LOWER(VLOOKUP(A122,Xtal_Templ!A:B,2,FALSE))</f>
        <v>npy1r_human</v>
      </c>
      <c r="C122" s="3">
        <f>VLOOKUP($A122,'SegEnds_NonXtal_BW#'!$A:$Z,3,FALSE)+D122-50</f>
        <v>9</v>
      </c>
      <c r="D122" s="3">
        <v>31</v>
      </c>
      <c r="E122" s="3">
        <f>IF(ISERROR(VLOOKUP($A122,'SegEnds_NonXtal_BW#'!$A:$Z,4,FALSE)+VLOOKUP($A122,A:AL,4,FALSE)-50),"-",(VLOOKUP($A122,'SegEnds_NonXtal_BW#'!$A:$Z,4,FALSE)+VLOOKUP($A122,A:AL,4,FALSE)-50))</f>
        <v>41</v>
      </c>
      <c r="F122" s="3">
        <f>G122-2</f>
        <v>42</v>
      </c>
      <c r="G122" s="3">
        <v>44</v>
      </c>
      <c r="H122" s="3">
        <f t="shared" si="76"/>
        <v>45</v>
      </c>
      <c r="I122" s="3">
        <f t="shared" si="76"/>
        <v>46</v>
      </c>
      <c r="J122" s="105">
        <v>58</v>
      </c>
      <c r="K122" s="3">
        <f>VLOOKUP($A122,'SegEnds_NonXtal_BW#'!$A:$Z,8,FALSE)+VLOOKUP($A122,A:AL,10,FALSE)-50</f>
        <v>76</v>
      </c>
      <c r="L122" s="3">
        <f t="shared" si="72"/>
        <v>82</v>
      </c>
      <c r="M122" s="3">
        <v>83</v>
      </c>
      <c r="N122" s="3">
        <f t="shared" si="73"/>
        <v>85</v>
      </c>
      <c r="O122" s="3">
        <f t="shared" si="74"/>
        <v>86</v>
      </c>
      <c r="P122" s="3">
        <v>115</v>
      </c>
      <c r="Q122" s="3">
        <f>VLOOKUP($A122,'SegEnds_NonXtal_BW#'!$A:$Z,12,FALSE)+VLOOKUP($A122,A:AL,16,FALSE)-50</f>
        <v>121</v>
      </c>
      <c r="R122" s="3">
        <f>IF(ISERROR(VLOOKUP($A122,'SegEnds_NonXtal_BW#'!$A:$Z,13,FALSE)+VLOOKUP($A122,A:AL,19,FALSE)-50),"-",VLOOKUP($A122,'SegEnds_NonXtal_BW#'!$A:$Z,13,FALSE)+VLOOKUP($A122,A:AL,19,FALSE)-50)</f>
        <v>122</v>
      </c>
      <c r="S122" s="3">
        <v>122</v>
      </c>
      <c r="T122" s="100">
        <f>IF(ISERROR(VLOOKUP($A122,'SegEnds_NonXtal_BW#'!$A:$Z,14,FALSE)+VLOOKUP($A122,A:AL,19,FALSE)-50),"-",(VLOOKUP($A122,'SegEnds_NonXtal_BW#'!$A:$Z,14,FALSE)+VLOOKUP($A122,A:AL,19,FALSE)-50))</f>
        <v>129</v>
      </c>
      <c r="U122" s="9">
        <f>IF(ISERROR(VLOOKUP($A122,'SegEnds_NonXtal_BW#'!$A:$Z,15,FALSE)+VLOOKUP($A122,A:AL,22,FALSE)-50),"-",VLOOKUP($A122,'SegEnds_NonXtal_BW#'!$A:$Z,15,FALSE)+VLOOKUP($A122,A:AL,22,FALSE)-50)</f>
        <v>130</v>
      </c>
      <c r="V122" s="3">
        <v>142</v>
      </c>
      <c r="W122" s="3">
        <f>IF(ISERROR(VLOOKUP($A122,'SegEnds_NonXtal_BW#'!$A:$Z,16,FALSE)+VLOOKUP($A122,A:AL,22,FALSE)-50),"-",(VLOOKUP($A122,'SegEnds_NonXtal_BW#'!$A:$Z,16,FALSE)+VLOOKUP($A122,A:AL,22,FALSE)-50))</f>
        <v>156</v>
      </c>
      <c r="X122" s="3">
        <f>IF(ISERROR(VLOOKUP($A122,'SegEnds_NonXtal_BW#'!$A:$Z,17,FALSE)+VLOOKUP($A122,A:AL,25,FALSE)-50),"-",(VLOOKUP($A122,'SegEnds_NonXtal_BW#'!$A:$Z,17,FALSE)+VLOOKUP($A122,A:AL,25,FALSE)-50))</f>
        <v>168</v>
      </c>
      <c r="Y122" s="3">
        <v>168</v>
      </c>
      <c r="Z122" s="3">
        <f t="shared" si="75"/>
        <v>170</v>
      </c>
      <c r="AA122" s="3">
        <f>IF(ISERROR(VLOOKUP($A122,'SegEnds_NonXtal_BW#'!$A:$Z,19,FALSE)+VLOOKUP($A122,A:AL,28,FALSE)-50),"-",(VLOOKUP($A122,'SegEnds_NonXtal_BW#'!$A:$Z,19,FALSE)+VLOOKUP($A122,A:AL,28,FALSE)-50))</f>
        <v>176</v>
      </c>
      <c r="AB122" s="3">
        <v>191</v>
      </c>
      <c r="AC122" s="3">
        <f>IF(ISERROR((VLOOKUP($A122,'SegEnds_NonXtal_BW#'!$A:$Z,20,FALSE)+VLOOKUP($A122,A:AL,28,FALSE)-50)),"-",(VLOOKUP($A122,'SegEnds_NonXtal_BW#'!$A:$Z,20,FALSE)+VLOOKUP($A122,A:AL,28,FALSE)-50))</f>
        <v>215</v>
      </c>
      <c r="AD122" s="3">
        <f>IF(ISERROR(VLOOKUP($A122,'SegEnds_NonXtal_BW#'!$A:$Z,21,FALSE)+VLOOKUP($A122,A:AL,31,FALSE)-50),"-",(VLOOKUP($A122,'SegEnds_NonXtal_BW#'!$A:$Z,21,FALSE)+VLOOKUP($A122,A:AL,31,FALSE)-50))</f>
        <v>261</v>
      </c>
      <c r="AE122" s="3">
        <v>287</v>
      </c>
      <c r="AF122" s="3">
        <f>IF(ISERROR((VLOOKUP($A122,'SegEnds_NonXtal_BW#'!$A:$Z,22,FALSE)+VLOOKUP($A122,A:AL,31,FALSE)-50)),"-",(VLOOKUP($A122,'SegEnds_NonXtal_BW#'!$A:$Z,22,FALSE)+VLOOKUP($A122,A:AL,31,FALSE)-50))</f>
        <v>298</v>
      </c>
      <c r="AG122" s="3">
        <f>IF(ISERROR(VLOOKUP($A122,'SegEnds_NonXtal_BW#'!$A:$Z,23,FALSE)+VLOOKUP($A122,A:AL,34,FALSE)-50),"-",(VLOOKUP($A122,'SegEnds_NonXtal_BW#'!$A:$Z,23,FALSE)+VLOOKUP($A122,A:AL,34,FALSE)-50))</f>
        <v>303</v>
      </c>
      <c r="AH122" s="3">
        <v>321</v>
      </c>
      <c r="AI122" s="3">
        <v>326</v>
      </c>
      <c r="AJ122" s="3">
        <f>IF(ISERROR(VLOOKUP($A122,'SegEnds_NonXtal_BW#'!$A:$Z,25,FALSE)+VLOOKUP($A122,A:AL,37,FALSE)-50),"-",(VLOOKUP($A122,'SegEnds_NonXtal_BW#'!$A:$Z,25,FALSE)+VLOOKUP($A122,A:AL,37,FALSE)-50))</f>
        <v>327</v>
      </c>
      <c r="AK122" s="3">
        <v>330</v>
      </c>
      <c r="AL122" s="3">
        <f>IF(ISERROR((VLOOKUP($A122,'SegEnds_NonXtal_BW#'!$A:$Z,26,FALSE)+VLOOKUP($A122,A:AL,37,FALSE)-50)),"-",(VLOOKUP($A122,'SegEnds_NonXtal_BW#'!$A:$Z,26,FALSE)+VLOOKUP($A122,A:AL,37,FALSE)-50))</f>
        <v>338</v>
      </c>
      <c r="AM122" s="28" t="str">
        <f>VLOOKUP(A122,Classification!A:B,2,FALSE)</f>
        <v>A</v>
      </c>
      <c r="AN122" s="28" t="b">
        <f t="shared" si="55"/>
        <v>1</v>
      </c>
      <c r="AO122" s="3" t="str">
        <f>IF(ISERROR(MATCH(A122,'SegEnds_Xtal_Prot#'!B:B, 0)), "NoXtal", "Xtal")</f>
        <v>NoXtal</v>
      </c>
      <c r="AP122" s="3">
        <f t="shared" si="39"/>
        <v>1</v>
      </c>
      <c r="AQ122" s="3">
        <f t="shared" si="40"/>
        <v>1</v>
      </c>
      <c r="AR122" s="3">
        <f t="shared" si="41"/>
        <v>6</v>
      </c>
      <c r="AS122" s="3">
        <f t="shared" si="42"/>
        <v>1</v>
      </c>
      <c r="AT122" s="3">
        <f t="shared" si="43"/>
        <v>1</v>
      </c>
      <c r="AU122" s="3">
        <f t="shared" si="44"/>
        <v>1</v>
      </c>
      <c r="AV122" s="3">
        <f t="shared" si="45"/>
        <v>12</v>
      </c>
      <c r="AW122" s="3">
        <f t="shared" si="46"/>
        <v>6</v>
      </c>
      <c r="AX122" s="3">
        <f t="shared" si="47"/>
        <v>46</v>
      </c>
      <c r="AY122" s="3">
        <f t="shared" si="48"/>
        <v>5</v>
      </c>
      <c r="AZ122" s="3">
        <f t="shared" si="49"/>
        <v>1</v>
      </c>
      <c r="BA122" s="3">
        <f>IF(ISERROR(LEN(VLOOKUP(A122,Seqs!A:E,2,FALSE))-AL122),"-",LEN(VLOOKUP(A122,Seqs!A:E,2,FALSE))-AL122)</f>
        <v>250</v>
      </c>
      <c r="BB122" s="16">
        <f t="shared" si="50"/>
        <v>27</v>
      </c>
      <c r="BC122" s="9">
        <f t="shared" si="51"/>
        <v>20</v>
      </c>
      <c r="BD122" s="3">
        <f t="shared" si="52"/>
        <v>27</v>
      </c>
      <c r="BE122" s="3">
        <f t="shared" si="53"/>
        <v>96</v>
      </c>
    </row>
    <row r="123" spans="1:60" s="9" customFormat="1" x14ac:dyDescent="0.2">
      <c r="A123" s="3" t="s">
        <v>229</v>
      </c>
      <c r="B123" s="3" t="str">
        <f>LOWER(VLOOKUP(A123,Xtal_Templ!A:B,2,FALSE))</f>
        <v>p2y12_human</v>
      </c>
      <c r="C123" s="3">
        <f>VLOOKUP($A123,'SegEnds_NonXtal_BW#'!$A:$Z,3,FALSE)+D123-50</f>
        <v>10</v>
      </c>
      <c r="D123" s="3">
        <v>32</v>
      </c>
      <c r="E123" s="3">
        <f>IF(ISERROR(VLOOKUP($A123,'SegEnds_NonXtal_BW#'!$A:$Z,4,FALSE)+VLOOKUP($A123,A:AL,4,FALSE)-50),"-",(VLOOKUP($A123,'SegEnds_NonXtal_BW#'!$A:$Z,4,FALSE)+VLOOKUP($A123,A:AL,4,FALSE)-50))</f>
        <v>42</v>
      </c>
      <c r="F123" s="3" t="str">
        <f>IF(ISERROR(VLOOKUP($A123,'SegEnds_NonXtal_BW#'!$A:$Z,5,FALSE)+VLOOKUP($A123,A:AL,7,FALSE)-50),"-",(VLOOKUP($A123,'SegEnds_NonXtal_BW#'!$A:$Z,5,FALSE)+VLOOKUP($A123,A:AL,7,FALSE)-50))</f>
        <v>-</v>
      </c>
      <c r="G123" s="3" t="s">
        <v>23</v>
      </c>
      <c r="H123" s="3" t="str">
        <f>IF(ISERROR(VLOOKUP($A123,'SegEnds_NonXtal_BW#'!$A:$Z,6,FALSE)+VLOOKUP($A123,A:AL,7,FALSE)-50),"-",(VLOOKUP($A123,'SegEnds_NonXtal_BW#'!$A:$Z,6,FALSE)+VLOOKUP($A123,A:AL,7,FALSE)-50))</f>
        <v>-</v>
      </c>
      <c r="I123" s="3">
        <f>VLOOKUP($A123,'SegEnds_NonXtal_BW#'!$A:$Z,7,FALSE)+J123-50</f>
        <v>47</v>
      </c>
      <c r="J123" s="3">
        <v>60</v>
      </c>
      <c r="K123" s="3">
        <f>VLOOKUP($A123,'SegEnds_NonXtal_BW#'!$A:$Z,8,FALSE)+VLOOKUP($A123,A:AL,10,FALSE)-50</f>
        <v>76</v>
      </c>
      <c r="L123" s="3" t="str">
        <f>IF(ISERROR(VLOOKUP($A123,'SegEnds_NonXtal_BW#'!$A:$Z,9,FALSE)+VLOOKUP($A123,A:AL,13,FALSE)-50),"-",(VLOOKUP($A123,'SegEnds_NonXtal_BW#'!$A:$Z,9,FALSE)+VLOOKUP($A123,A:AL,13,FALSE)-50))</f>
        <v>-</v>
      </c>
      <c r="M123" s="3" t="s">
        <v>23</v>
      </c>
      <c r="N123" s="3" t="str">
        <f>IF(ISERROR(VLOOKUP($A123,'SegEnds_NonXtal_BW#'!$A:$Z,10,FALSE)+VLOOKUP($A123,A:AL,13,FALSE)-50),"-",(VLOOKUP($A123,'SegEnds_NonXtal_BW#'!$A:$Z,10,FALSE)+VLOOKUP($A123,A:AL,13,FALSE)-50))</f>
        <v>-</v>
      </c>
      <c r="O123" s="3">
        <f>VLOOKUP($A123,'SegEnds_NonXtal_BW#'!$A:$Z,11,FALSE)+VLOOKUP($A123,A:AL,16,FALSE)-50</f>
        <v>80</v>
      </c>
      <c r="P123" s="3">
        <v>112</v>
      </c>
      <c r="Q123" s="3">
        <f>VLOOKUP($A123,'SegEnds_NonXtal_BW#'!$A:$Z,12,FALSE)+VLOOKUP($A123,A:AL,16,FALSE)-50</f>
        <v>118</v>
      </c>
      <c r="R123" s="3">
        <f>IF(ISERROR(VLOOKUP($A123,'SegEnds_NonXtal_BW#'!$A:$Z,13,FALSE)+VLOOKUP($A123,A:AL,19,FALSE)-50),"-",VLOOKUP($A123,'SegEnds_NonXtal_BW#'!$A:$Z,13,FALSE)+VLOOKUP($A123,A:AL,19,FALSE)-50)</f>
        <v>119</v>
      </c>
      <c r="S123" s="3">
        <v>119</v>
      </c>
      <c r="T123" s="100">
        <f>IF(ISERROR(VLOOKUP($A123,'SegEnds_NonXtal_BW#'!$A:$Z,14,FALSE)+VLOOKUP($A123,A:AL,19,FALSE)-50),"-",(VLOOKUP($A123,'SegEnds_NonXtal_BW#'!$A:$Z,14,FALSE)+VLOOKUP($A123,A:AL,19,FALSE)-50))</f>
        <v>126</v>
      </c>
      <c r="U123" s="9">
        <f>IF(ISERROR(VLOOKUP($A123,'SegEnds_NonXtal_BW#'!$A:$Z,15,FALSE)+VLOOKUP($A123,A:AL,22,FALSE)-50),"-",VLOOKUP($A123,'SegEnds_NonXtal_BW#'!$A:$Z,15,FALSE)+VLOOKUP($A123,A:AL,22,FALSE)-50)</f>
        <v>127</v>
      </c>
      <c r="V123" s="3">
        <v>139</v>
      </c>
      <c r="W123" s="3">
        <f>IF(ISERROR(VLOOKUP($A123,'SegEnds_NonXtal_BW#'!$A:$Z,16,FALSE)+VLOOKUP($A123,A:AL,22,FALSE)-50),"-",(VLOOKUP($A123,'SegEnds_NonXtal_BW#'!$A:$Z,16,FALSE)+VLOOKUP($A123,A:AL,22,FALSE)-50))</f>
        <v>153</v>
      </c>
      <c r="X123" s="3">
        <f>IF(ISERROR(VLOOKUP($A123,'SegEnds_NonXtal_BW#'!$A:$Z,17,FALSE)+VLOOKUP($A123,A:AL,25,FALSE)-50),"-",(VLOOKUP($A123,'SegEnds_NonXtal_BW#'!$A:$Z,17,FALSE)+VLOOKUP($A123,A:AL,25,FALSE)-50))</f>
        <v>165</v>
      </c>
      <c r="Y123" s="3">
        <v>165</v>
      </c>
      <c r="Z123" s="3">
        <f t="shared" si="75"/>
        <v>167</v>
      </c>
      <c r="AA123" s="3">
        <f>IF(ISERROR(VLOOKUP($A123,'SegEnds_NonXtal_BW#'!$A:$Z,19,FALSE)+VLOOKUP($A123,A:AL,28,FALSE)-50),"-",(VLOOKUP($A123,'SegEnds_NonXtal_BW#'!$A:$Z,19,FALSE)+VLOOKUP($A123,A:AL,28,FALSE)-50))</f>
        <v>171</v>
      </c>
      <c r="AB123" s="3">
        <v>191</v>
      </c>
      <c r="AC123" s="3">
        <f>IF(ISERROR((VLOOKUP($A123,'SegEnds_NonXtal_BW#'!$A:$Z,20,FALSE)+VLOOKUP($A123,A:AL,28,FALSE)-50)),"-",(VLOOKUP($A123,'SegEnds_NonXtal_BW#'!$A:$Z,20,FALSE)+VLOOKUP($A123,A:AL,28,FALSE)-50))</f>
        <v>208</v>
      </c>
      <c r="AD123" s="3">
        <f>IF(ISERROR(VLOOKUP($A123,'SegEnds_NonXtal_BW#'!$A:$Z,21,FALSE)+VLOOKUP($A123,A:AL,31,FALSE)-50),"-",(VLOOKUP($A123,'SegEnds_NonXtal_BW#'!$A:$Z,21,FALSE)+VLOOKUP($A123,A:AL,31,FALSE)-50))</f>
        <v>214</v>
      </c>
      <c r="AE123" s="3">
        <v>238</v>
      </c>
      <c r="AF123" s="3">
        <f>IF(ISERROR((VLOOKUP($A123,'SegEnds_NonXtal_BW#'!$A:$Z,22,FALSE)+VLOOKUP($A123,A:AL,31,FALSE)-50)),"-",(VLOOKUP($A123,'SegEnds_NonXtal_BW#'!$A:$Z,22,FALSE)+VLOOKUP($A123,A:AL,31,FALSE)-50))</f>
        <v>252</v>
      </c>
      <c r="AG123" s="3">
        <f>IF(ISERROR(VLOOKUP($A123,'SegEnds_NonXtal_BW#'!$A:$Z,23,FALSE)+VLOOKUP($A123,A:AL,34,FALSE)-50),"-",(VLOOKUP($A123,'SegEnds_NonXtal_BW#'!$A:$Z,23,FALSE)+VLOOKUP($A123,A:AL,34,FALSE)-50))</f>
        <v>256</v>
      </c>
      <c r="AH123" s="3">
        <v>282</v>
      </c>
      <c r="AI123" s="3">
        <f>IF(ISERROR((VLOOKUP($A123,'SegEnds_NonXtal_BW#'!$A:$Z,24,FALSE)+VLOOKUP($A123,A:AL,34,FALSE)-50)),"-",(VLOOKUP($A123,'SegEnds_NonXtal_BW#'!$A:$Z,24,FALSE)+VLOOKUP($A123,A:AL,34,FALSE)-50))</f>
        <v>288</v>
      </c>
      <c r="AJ123" s="3">
        <f>IF(ISERROR(VLOOKUP($A123,'SegEnds_NonXtal_BW#'!$A:$Z,25,FALSE)+VLOOKUP($A123,A:AL,37,FALSE)-50),"-",(VLOOKUP($A123,'SegEnds_NonXtal_BW#'!$A:$Z,25,FALSE)+VLOOKUP($A123,A:AL,37,FALSE)-50))</f>
        <v>289</v>
      </c>
      <c r="AK123" s="3">
        <v>292</v>
      </c>
      <c r="AL123" s="3">
        <f>IF(ISERROR((VLOOKUP($A123,'SegEnds_NonXtal_BW#'!$A:$Z,26,FALSE)+VLOOKUP($A123,A:AL,37,FALSE)-50)),"-",(VLOOKUP($A123,'SegEnds_NonXtal_BW#'!$A:$Z,26,FALSE)+VLOOKUP($A123,A:AL,37,FALSE)-50))</f>
        <v>299</v>
      </c>
      <c r="AM123" s="28" t="str">
        <f>VLOOKUP(A123,Classification!A:B,2,FALSE)</f>
        <v>A</v>
      </c>
      <c r="AN123" s="28" t="b">
        <f t="shared" si="55"/>
        <v>1</v>
      </c>
      <c r="AO123" s="3" t="str">
        <f>IF(ISERROR(MATCH(A123,'SegEnds_Xtal_Prot#'!B:B, 0)), "NoXtal", "Xtal")</f>
        <v>NoXtal</v>
      </c>
      <c r="AP123" s="3" t="str">
        <f t="shared" si="39"/>
        <v>-</v>
      </c>
      <c r="AQ123" s="3" t="str">
        <f t="shared" si="40"/>
        <v>-</v>
      </c>
      <c r="AR123" s="3" t="str">
        <f t="shared" si="41"/>
        <v>-</v>
      </c>
      <c r="AS123" s="3" t="str">
        <f t="shared" si="42"/>
        <v>-</v>
      </c>
      <c r="AT123" s="3">
        <f t="shared" si="43"/>
        <v>1</v>
      </c>
      <c r="AU123" s="3">
        <f t="shared" si="44"/>
        <v>1</v>
      </c>
      <c r="AV123" s="3">
        <f t="shared" si="45"/>
        <v>12</v>
      </c>
      <c r="AW123" s="3">
        <f t="shared" si="46"/>
        <v>4</v>
      </c>
      <c r="AX123" s="3">
        <f t="shared" si="47"/>
        <v>6</v>
      </c>
      <c r="AY123" s="3">
        <f t="shared" si="48"/>
        <v>4</v>
      </c>
      <c r="AZ123" s="3">
        <f t="shared" si="49"/>
        <v>1</v>
      </c>
      <c r="BA123" s="3">
        <f>IF(ISERROR(LEN(VLOOKUP(A123,Seqs!A:E,2,FALSE))-AL123),"-",LEN(VLOOKUP(A123,Seqs!A:E,2,FALSE))-AL123)</f>
        <v>20</v>
      </c>
      <c r="BB123" s="16">
        <f t="shared" si="50"/>
        <v>28</v>
      </c>
      <c r="BC123" s="9">
        <f t="shared" si="51"/>
        <v>20</v>
      </c>
      <c r="BD123" s="3">
        <f t="shared" si="52"/>
        <v>28</v>
      </c>
      <c r="BE123" s="3">
        <f t="shared" si="53"/>
        <v>47</v>
      </c>
      <c r="BF123" s="3">
        <f>AH123-AE123</f>
        <v>44</v>
      </c>
      <c r="BG123" s="3"/>
      <c r="BH123" s="3"/>
    </row>
    <row r="124" spans="1:60" s="3" customFormat="1" x14ac:dyDescent="0.2">
      <c r="A124" s="3" t="s">
        <v>230</v>
      </c>
      <c r="B124" s="3" t="str">
        <f>LOWER(VLOOKUP(A124,Xtal_Templ!A:B,2,FALSE))</f>
        <v>5ht2a_human</v>
      </c>
      <c r="C124" s="3">
        <f>VLOOKUP($A124,'SegEnds_NonXtal_BW#'!$A:$Z,3,FALSE)+D124-50</f>
        <v>17</v>
      </c>
      <c r="D124" s="3">
        <v>40</v>
      </c>
      <c r="E124" s="3">
        <f>IF(ISERROR(VLOOKUP($A124,'SegEnds_NonXtal_BW#'!$A:$Z,4,FALSE)+VLOOKUP($A124,A:AL,4,FALSE)-50),"-",(VLOOKUP($A124,'SegEnds_NonXtal_BW#'!$A:$Z,4,FALSE)+VLOOKUP($A124,A:AL,4,FALSE)-50))</f>
        <v>50</v>
      </c>
      <c r="F124" s="3">
        <f>G124-2</f>
        <v>51</v>
      </c>
      <c r="G124" s="3">
        <v>53</v>
      </c>
      <c r="H124" s="3">
        <f t="shared" ref="H124:I127" si="77">G124+1</f>
        <v>54</v>
      </c>
      <c r="I124" s="3">
        <f t="shared" si="77"/>
        <v>55</v>
      </c>
      <c r="J124" s="3">
        <v>68</v>
      </c>
      <c r="K124" s="3">
        <f>VLOOKUP($A124,'SegEnds_NonXtal_BW#'!$A:$Z,8,FALSE)+VLOOKUP($A124,A:AL,10,FALSE)-50</f>
        <v>86</v>
      </c>
      <c r="L124" s="3">
        <f t="shared" ref="L124:L132" si="78">M124-1</f>
        <v>88</v>
      </c>
      <c r="M124" s="3">
        <v>89</v>
      </c>
      <c r="N124" s="3">
        <f t="shared" ref="N124:N132" si="79">M124+2</f>
        <v>91</v>
      </c>
      <c r="O124" s="3">
        <f t="shared" ref="O124:O132" si="80">N124+1</f>
        <v>92</v>
      </c>
      <c r="P124" s="3">
        <v>121</v>
      </c>
      <c r="Q124" s="3">
        <f>VLOOKUP($A124,'SegEnds_NonXtal_BW#'!$A:$Z,12,FALSE)+VLOOKUP($A124,A:AL,16,FALSE)-50</f>
        <v>127</v>
      </c>
      <c r="R124" s="3">
        <f>IF(ISERROR(VLOOKUP($A124,'SegEnds_NonXtal_BW#'!$A:$Z,13,FALSE)+VLOOKUP($A124,A:AL,19,FALSE)-50),"-",VLOOKUP($A124,'SegEnds_NonXtal_BW#'!$A:$Z,13,FALSE)+VLOOKUP($A124,A:AL,19,FALSE)-50)</f>
        <v>128</v>
      </c>
      <c r="S124" s="3">
        <v>128</v>
      </c>
      <c r="T124" s="100">
        <f>IF(ISERROR(VLOOKUP($A124,'SegEnds_NonXtal_BW#'!$A:$Z,14,FALSE)+VLOOKUP($A124,A:AL,19,FALSE)-50),"-",(VLOOKUP($A124,'SegEnds_NonXtal_BW#'!$A:$Z,14,FALSE)+VLOOKUP($A124,A:AL,19,FALSE)-50))</f>
        <v>135</v>
      </c>
      <c r="U124" s="9">
        <f>IF(ISERROR(VLOOKUP($A124,'SegEnds_NonXtal_BW#'!$A:$Z,15,FALSE)+VLOOKUP($A124,A:AL,22,FALSE)-50),"-",VLOOKUP($A124,'SegEnds_NonXtal_BW#'!$A:$Z,15,FALSE)+VLOOKUP($A124,A:AL,22,FALSE)-50)</f>
        <v>136</v>
      </c>
      <c r="V124" s="3">
        <v>148</v>
      </c>
      <c r="W124" s="3">
        <f>IF(ISERROR(VLOOKUP($A124,'SegEnds_NonXtal_BW#'!$A:$Z,16,FALSE)+VLOOKUP($A124,A:AL,22,FALSE)-50),"-",(VLOOKUP($A124,'SegEnds_NonXtal_BW#'!$A:$Z,16,FALSE)+VLOOKUP($A124,A:AL,22,FALSE)-50))</f>
        <v>165</v>
      </c>
      <c r="X124" s="3">
        <f>IF(ISERROR(VLOOKUP($A124,'SegEnds_NonXtal_BW#'!$A:$Z,17,FALSE)+VLOOKUP($A124,A:AL,25,FALSE)-50),"-",(VLOOKUP($A124,'SegEnds_NonXtal_BW#'!$A:$Z,17,FALSE)+VLOOKUP($A124,A:AL,25,FALSE)-50))</f>
        <v>174</v>
      </c>
      <c r="Y124" s="3">
        <v>174</v>
      </c>
      <c r="Z124" s="3">
        <f t="shared" si="75"/>
        <v>176</v>
      </c>
      <c r="AA124" s="3">
        <f>IF(ISERROR(VLOOKUP($A124,'SegEnds_NonXtal_BW#'!$A:$Z,19,FALSE)+VLOOKUP($A124,A:AL,28,FALSE)-50),"-",(VLOOKUP($A124,'SegEnds_NonXtal_BW#'!$A:$Z,19,FALSE)+VLOOKUP($A124,A:AL,28,FALSE)-50))</f>
        <v>220</v>
      </c>
      <c r="AB124" s="3">
        <v>235</v>
      </c>
      <c r="AC124" s="3">
        <f>IF(ISERROR((VLOOKUP($A124,'SegEnds_NonXtal_BW#'!$A:$Z,20,FALSE)+VLOOKUP($A124,A:AL,28,FALSE)-50)),"-",(VLOOKUP($A124,'SegEnds_NonXtal_BW#'!$A:$Z,20,FALSE)+VLOOKUP($A124,A:AL,28,FALSE)-50))</f>
        <v>259</v>
      </c>
      <c r="AD124" s="3">
        <f>IF(ISERROR(VLOOKUP($A124,'SegEnds_NonXtal_BW#'!$A:$Z,21,FALSE)+VLOOKUP($A124,A:AL,31,FALSE)-50),"-",(VLOOKUP($A124,'SegEnds_NonXtal_BW#'!$A:$Z,21,FALSE)+VLOOKUP($A124,A:AL,31,FALSE)-50))</f>
        <v>272</v>
      </c>
      <c r="AE124" s="3">
        <v>301</v>
      </c>
      <c r="AF124" s="3">
        <f>IF(ISERROR((VLOOKUP($A124,'SegEnds_NonXtal_BW#'!$A:$Z,22,FALSE)+VLOOKUP($A124,A:AL,31,FALSE)-50)),"-",(VLOOKUP($A124,'SegEnds_NonXtal_BW#'!$A:$Z,22,FALSE)+VLOOKUP($A124,A:AL,31,FALSE)-50))</f>
        <v>312</v>
      </c>
      <c r="AG124" s="3">
        <f>IF(ISERROR(VLOOKUP($A124,'SegEnds_NonXtal_BW#'!$A:$Z,23,FALSE)+VLOOKUP($A124,A:AL,34,FALSE)-50),"-",(VLOOKUP($A124,'SegEnds_NonXtal_BW#'!$A:$Z,23,FALSE)+VLOOKUP($A124,A:AL,34,FALSE)-50))</f>
        <v>318</v>
      </c>
      <c r="AH124" s="3">
        <v>337</v>
      </c>
      <c r="AI124" s="3">
        <f>IF(ISERROR((VLOOKUP($A124,'SegEnds_NonXtal_BW#'!$A:$Z,24,FALSE)+VLOOKUP($A124,A:AL,34,FALSE)-50)),"-",(VLOOKUP($A124,'SegEnds_NonXtal_BW#'!$A:$Z,24,FALSE)+VLOOKUP($A124,A:AL,34,FALSE)-50))</f>
        <v>343</v>
      </c>
      <c r="AJ124" s="3">
        <f>IF(ISERROR(VLOOKUP($A124,'SegEnds_NonXtal_BW#'!$A:$Z,25,FALSE)+VLOOKUP($A124,A:AL,37,FALSE)-50),"-",(VLOOKUP($A124,'SegEnds_NonXtal_BW#'!$A:$Z,25,FALSE)+VLOOKUP($A124,A:AL,37,FALSE)-50))</f>
        <v>344</v>
      </c>
      <c r="AK124" s="3">
        <v>347</v>
      </c>
      <c r="AL124" s="3">
        <f>IF(ISERROR((VLOOKUP($A124,'SegEnds_NonXtal_BW#'!$A:$Z,26,FALSE)+VLOOKUP($A124,A:AL,37,FALSE)-50)),"-",(VLOOKUP($A124,'SegEnds_NonXtal_BW#'!$A:$Z,26,FALSE)+VLOOKUP($A124,A:AL,37,FALSE)-50))</f>
        <v>357</v>
      </c>
      <c r="AM124" s="28" t="str">
        <f>VLOOKUP(A124,Classification!A:B,2,FALSE)</f>
        <v>A</v>
      </c>
      <c r="AN124" s="28" t="b">
        <f t="shared" si="55"/>
        <v>1</v>
      </c>
      <c r="AO124" s="3" t="str">
        <f>IF(ISERROR(MATCH(A124,'SegEnds_Xtal_Prot#'!B:B, 0)), "NoXtal", "Xtal")</f>
        <v>NoXtal</v>
      </c>
      <c r="AP124" s="3">
        <f t="shared" si="39"/>
        <v>1</v>
      </c>
      <c r="AQ124" s="3">
        <f t="shared" si="40"/>
        <v>1</v>
      </c>
      <c r="AR124" s="3">
        <f t="shared" si="41"/>
        <v>2</v>
      </c>
      <c r="AS124" s="3">
        <f t="shared" si="42"/>
        <v>1</v>
      </c>
      <c r="AT124" s="3">
        <f t="shared" si="43"/>
        <v>1</v>
      </c>
      <c r="AU124" s="3">
        <f t="shared" si="44"/>
        <v>1</v>
      </c>
      <c r="AV124" s="3">
        <f t="shared" si="45"/>
        <v>9</v>
      </c>
      <c r="AW124" s="3">
        <f t="shared" si="46"/>
        <v>44</v>
      </c>
      <c r="AX124" s="3">
        <f t="shared" si="47"/>
        <v>13</v>
      </c>
      <c r="AY124" s="3">
        <f t="shared" si="48"/>
        <v>6</v>
      </c>
      <c r="AZ124" s="3">
        <f t="shared" si="49"/>
        <v>1</v>
      </c>
      <c r="BA124" s="3">
        <f>IF(ISERROR(LEN(VLOOKUP(A124,Seqs!A:E,2,FALSE))-AL124),"-",LEN(VLOOKUP(A124,Seqs!A:E,2,FALSE))-AL124)</f>
        <v>16</v>
      </c>
      <c r="BB124" s="16">
        <f t="shared" si="50"/>
        <v>28</v>
      </c>
      <c r="BC124" s="9">
        <f t="shared" si="51"/>
        <v>20</v>
      </c>
      <c r="BD124" s="3">
        <f t="shared" si="52"/>
        <v>28</v>
      </c>
      <c r="BE124" s="3">
        <f t="shared" si="53"/>
        <v>66</v>
      </c>
      <c r="BF124" s="3">
        <f>AH124-AE124</f>
        <v>36</v>
      </c>
    </row>
    <row r="125" spans="1:60" s="3" customFormat="1" x14ac:dyDescent="0.2">
      <c r="A125" s="3" t="s">
        <v>233</v>
      </c>
      <c r="B125" s="3" t="str">
        <f>LOWER(VLOOKUP(A125,Xtal_Templ!A:B,2,FALSE))</f>
        <v>apj_human</v>
      </c>
      <c r="C125" s="3">
        <f>VLOOKUP($A125,'SegEnds_NonXtal_BW#'!$A:$Z,3,FALSE)+D125-50</f>
        <v>54</v>
      </c>
      <c r="D125" s="3">
        <v>71</v>
      </c>
      <c r="E125" s="3">
        <f>IF(ISERROR(VLOOKUP($A125,'SegEnds_NonXtal_BW#'!$A:$Z,4,FALSE)+VLOOKUP($A125,A:AL,4,FALSE)-50),"-",(VLOOKUP($A125,'SegEnds_NonXtal_BW#'!$A:$Z,4,FALSE)+VLOOKUP($A125,A:AL,4,FALSE)-50))</f>
        <v>81</v>
      </c>
      <c r="F125" s="3">
        <f>G125-2</f>
        <v>82</v>
      </c>
      <c r="G125" s="3">
        <v>84</v>
      </c>
      <c r="H125" s="3">
        <f t="shared" si="77"/>
        <v>85</v>
      </c>
      <c r="I125" s="3">
        <f t="shared" si="77"/>
        <v>86</v>
      </c>
      <c r="J125" s="3">
        <v>99</v>
      </c>
      <c r="K125" s="3">
        <f>VLOOKUP($A125,'SegEnds_NonXtal_BW#'!$A:$Z,8,FALSE)+VLOOKUP($A125,A:AL,10,FALSE)-50</f>
        <v>116</v>
      </c>
      <c r="L125" s="3">
        <f t="shared" si="78"/>
        <v>118</v>
      </c>
      <c r="M125" s="3">
        <v>119</v>
      </c>
      <c r="N125" s="3">
        <f t="shared" si="79"/>
        <v>121</v>
      </c>
      <c r="O125" s="3">
        <f t="shared" si="80"/>
        <v>122</v>
      </c>
      <c r="P125" s="3">
        <v>151</v>
      </c>
      <c r="Q125" s="3">
        <f>VLOOKUP($A125,'SegEnds_NonXtal_BW#'!$A:$Z,12,FALSE)+VLOOKUP($A125,A:AL,16,FALSE)-50</f>
        <v>157</v>
      </c>
      <c r="R125" s="3">
        <f>IF(ISERROR(VLOOKUP($A125,'SegEnds_NonXtal_BW#'!$A:$Z,13,FALSE)+VLOOKUP($A125,A:AL,19,FALSE)-50),"-",VLOOKUP($A125,'SegEnds_NonXtal_BW#'!$A:$Z,13,FALSE)+VLOOKUP($A125,A:AL,19,FALSE)-50)</f>
        <v>158</v>
      </c>
      <c r="S125" s="3">
        <v>158</v>
      </c>
      <c r="T125" s="100">
        <f>IF(ISERROR(VLOOKUP($A125,'SegEnds_NonXtal_BW#'!$A:$Z,14,FALSE)+VLOOKUP($A125,A:AL,19,FALSE)-50),"-",(VLOOKUP($A125,'SegEnds_NonXtal_BW#'!$A:$Z,14,FALSE)+VLOOKUP($A125,A:AL,19,FALSE)-50))</f>
        <v>165</v>
      </c>
      <c r="U125" s="9">
        <f>IF(ISERROR(VLOOKUP($A125,'SegEnds_NonXtal_BW#'!$A:$Z,15,FALSE)+VLOOKUP($A125,A:AL,22,FALSE)-50),"-",VLOOKUP($A125,'SegEnds_NonXtal_BW#'!$A:$Z,15,FALSE)+VLOOKUP($A125,A:AL,22,FALSE)-50)</f>
        <v>166</v>
      </c>
      <c r="V125" s="3">
        <v>178</v>
      </c>
      <c r="W125" s="3">
        <f>IF(ISERROR(VLOOKUP($A125,'SegEnds_NonXtal_BW#'!$A:$Z,16,FALSE)+VLOOKUP($A125,A:AL,22,FALSE)-50),"-",(VLOOKUP($A125,'SegEnds_NonXtal_BW#'!$A:$Z,16,FALSE)+VLOOKUP($A125,A:AL,22,FALSE)-50))</f>
        <v>192</v>
      </c>
      <c r="X125" s="3">
        <f>IF(ISERROR(VLOOKUP($A125,'SegEnds_NonXtal_BW#'!$A:$Z,17,FALSE)+VLOOKUP($A125,A:AL,25,FALSE)-50),"-",(VLOOKUP($A125,'SegEnds_NonXtal_BW#'!$A:$Z,17,FALSE)+VLOOKUP($A125,A:AL,25,FALSE)-50))</f>
        <v>202</v>
      </c>
      <c r="Y125" s="3">
        <v>202</v>
      </c>
      <c r="Z125" s="3">
        <f t="shared" si="75"/>
        <v>204</v>
      </c>
      <c r="AA125" s="3">
        <f>IF(ISERROR(VLOOKUP($A125,'SegEnds_NonXtal_BW#'!$A:$Z,19,FALSE)+VLOOKUP($A125,A:AL,28,FALSE)-50),"-",(VLOOKUP($A125,'SegEnds_NonXtal_BW#'!$A:$Z,19,FALSE)+VLOOKUP($A125,A:AL,28,FALSE)-50))</f>
        <v>210</v>
      </c>
      <c r="AB125" s="3">
        <v>230</v>
      </c>
      <c r="AC125" s="3">
        <f>IF(ISERROR((VLOOKUP($A125,'SegEnds_NonXtal_BW#'!$A:$Z,20,FALSE)+VLOOKUP($A125,A:AL,28,FALSE)-50)),"-",(VLOOKUP($A125,'SegEnds_NonXtal_BW#'!$A:$Z,20,FALSE)+VLOOKUP($A125,A:AL,28,FALSE)-50))</f>
        <v>248</v>
      </c>
      <c r="AD125" s="3">
        <f>IF(ISERROR(VLOOKUP($A125,'SegEnds_NonXtal_BW#'!$A:$Z,21,FALSE)+VLOOKUP($A125,A:AL,31,FALSE)-50),"-",(VLOOKUP($A125,'SegEnds_NonXtal_BW#'!$A:$Z,21,FALSE)+VLOOKUP($A125,A:AL,31,FALSE)-50))</f>
        <v>253</v>
      </c>
      <c r="AE125" s="3">
        <v>273</v>
      </c>
      <c r="AF125" s="3">
        <f>IF(ISERROR((VLOOKUP($A125,'SegEnds_NonXtal_BW#'!$A:$Z,22,FALSE)+VLOOKUP($A125,A:AL,31,FALSE)-50)),"-",(VLOOKUP($A125,'SegEnds_NonXtal_BW#'!$A:$Z,22,FALSE)+VLOOKUP($A125,A:AL,31,FALSE)-50))</f>
        <v>287</v>
      </c>
      <c r="AG125" s="3">
        <f>IF(ISERROR(VLOOKUP($A125,'SegEnds_NonXtal_BW#'!$A:$Z,23,FALSE)+VLOOKUP($A125,A:AL,34,FALSE)-50),"-",(VLOOKUP($A125,'SegEnds_NonXtal_BW#'!$A:$Z,23,FALSE)+VLOOKUP($A125,A:AL,34,FALSE)-50))</f>
        <v>291</v>
      </c>
      <c r="AH125" s="3">
        <v>317</v>
      </c>
      <c r="AI125" s="3">
        <f>IF(ISERROR((VLOOKUP($A125,'SegEnds_NonXtal_BW#'!$A:$Z,24,FALSE)+VLOOKUP($A125,A:AL,34,FALSE)-50)),"-",(VLOOKUP($A125,'SegEnds_NonXtal_BW#'!$A:$Z,24,FALSE)+VLOOKUP($A125,A:AL,34,FALSE)-50))</f>
        <v>323</v>
      </c>
      <c r="AJ125" s="3">
        <f>IF(ISERROR(VLOOKUP($A125,'SegEnds_NonXtal_BW#'!$A:$Z,25,FALSE)+VLOOKUP($A125,A:AL,37,FALSE)-50),"-",(VLOOKUP($A125,'SegEnds_NonXtal_BW#'!$A:$Z,25,FALSE)+VLOOKUP($A125,A:AL,37,FALSE)-50))</f>
        <v>324</v>
      </c>
      <c r="AK125" s="3">
        <v>327</v>
      </c>
      <c r="AL125" s="3">
        <f>IF(ISERROR((VLOOKUP($A125,'SegEnds_NonXtal_BW#'!$A:$Z,26,FALSE)+VLOOKUP($A125,A:AL,37,FALSE)-50)),"-",(VLOOKUP($A125,'SegEnds_NonXtal_BW#'!$A:$Z,26,FALSE)+VLOOKUP($A125,A:AL,37,FALSE)-50))</f>
        <v>338</v>
      </c>
      <c r="AM125" s="28" t="str">
        <f>VLOOKUP(A125,Classification!A:B,2,FALSE)</f>
        <v>A</v>
      </c>
      <c r="AN125" s="28" t="b">
        <f t="shared" si="55"/>
        <v>1</v>
      </c>
      <c r="AO125" s="3" t="str">
        <f>IF(ISERROR(MATCH(A125,'SegEnds_Xtal_Prot#'!B:B, 0)), "NoXtal", "Xtal")</f>
        <v>NoXtal</v>
      </c>
      <c r="AP125" s="3">
        <f t="shared" si="39"/>
        <v>1</v>
      </c>
      <c r="AQ125" s="3">
        <f t="shared" si="40"/>
        <v>1</v>
      </c>
      <c r="AR125" s="3">
        <f t="shared" si="41"/>
        <v>2</v>
      </c>
      <c r="AS125" s="3">
        <f t="shared" si="42"/>
        <v>1</v>
      </c>
      <c r="AT125" s="3">
        <f t="shared" si="43"/>
        <v>1</v>
      </c>
      <c r="AU125" s="3">
        <f t="shared" si="44"/>
        <v>1</v>
      </c>
      <c r="AV125" s="3">
        <f t="shared" si="45"/>
        <v>10</v>
      </c>
      <c r="AW125" s="3">
        <f t="shared" si="46"/>
        <v>6</v>
      </c>
      <c r="AX125" s="3">
        <f t="shared" si="47"/>
        <v>5</v>
      </c>
      <c r="AY125" s="3">
        <f t="shared" si="48"/>
        <v>4</v>
      </c>
      <c r="AZ125" s="3">
        <f t="shared" si="49"/>
        <v>1</v>
      </c>
      <c r="BA125" s="3">
        <f>IF(ISERROR(LEN(VLOOKUP(A125,Seqs!A:E,2,FALSE))-AL125),"-",LEN(VLOOKUP(A125,Seqs!A:E,2,FALSE))-AL125)</f>
        <v>66</v>
      </c>
      <c r="BB125" s="16">
        <f t="shared" si="50"/>
        <v>28</v>
      </c>
      <c r="BC125" s="9">
        <f t="shared" si="51"/>
        <v>20</v>
      </c>
      <c r="BD125" s="3">
        <f t="shared" si="52"/>
        <v>28</v>
      </c>
      <c r="BE125" s="3">
        <f t="shared" si="53"/>
        <v>43</v>
      </c>
    </row>
    <row r="126" spans="1:60" s="3" customFormat="1" x14ac:dyDescent="0.2">
      <c r="A126" s="3" t="s">
        <v>234</v>
      </c>
      <c r="B126" s="3" t="str">
        <f>LOWER(VLOOKUP(A126,Xtal_Templ!A:B,2,FALSE))</f>
        <v>ccr5_human</v>
      </c>
      <c r="C126" s="3">
        <f>VLOOKUP($A126,'SegEnds_NonXtal_BW#'!$A:$Z,3,FALSE)+D126-50</f>
        <v>23</v>
      </c>
      <c r="D126" s="3">
        <v>49</v>
      </c>
      <c r="E126" s="3">
        <f>IF(ISERROR(VLOOKUP($A126,'SegEnds_NonXtal_BW#'!$A:$Z,4,FALSE)+VLOOKUP($A126,A:AL,4,FALSE)-50),"-",(VLOOKUP($A126,'SegEnds_NonXtal_BW#'!$A:$Z,4,FALSE)+VLOOKUP($A126,A:AL,4,FALSE)-50))</f>
        <v>59</v>
      </c>
      <c r="F126" s="3">
        <f>G126-2</f>
        <v>60</v>
      </c>
      <c r="G126" s="3">
        <v>62</v>
      </c>
      <c r="H126" s="3">
        <f t="shared" si="77"/>
        <v>63</v>
      </c>
      <c r="I126" s="3">
        <f t="shared" si="77"/>
        <v>64</v>
      </c>
      <c r="J126" s="3">
        <v>77</v>
      </c>
      <c r="K126" s="3">
        <f>VLOOKUP($A126,'SegEnds_NonXtal_BW#'!$A:$Z,8,FALSE)+VLOOKUP($A126,A:AL,10,FALSE)-50</f>
        <v>93</v>
      </c>
      <c r="L126" s="3">
        <f t="shared" si="78"/>
        <v>96</v>
      </c>
      <c r="M126" s="3">
        <v>97</v>
      </c>
      <c r="N126" s="3">
        <f t="shared" si="79"/>
        <v>99</v>
      </c>
      <c r="O126" s="3">
        <f t="shared" si="80"/>
        <v>100</v>
      </c>
      <c r="P126" s="3">
        <v>129</v>
      </c>
      <c r="Q126" s="3">
        <f>VLOOKUP($A126,'SegEnds_NonXtal_BW#'!$A:$Z,12,FALSE)+VLOOKUP($A126,A:AL,16,FALSE)-50</f>
        <v>135</v>
      </c>
      <c r="R126" s="3">
        <f>IF(ISERROR(VLOOKUP($A126,'SegEnds_NonXtal_BW#'!$A:$Z,13,FALSE)+VLOOKUP($A126,A:AL,19,FALSE)-50),"-",VLOOKUP($A126,'SegEnds_NonXtal_BW#'!$A:$Z,13,FALSE)+VLOOKUP($A126,A:AL,19,FALSE)-50)</f>
        <v>136</v>
      </c>
      <c r="S126" s="3">
        <v>136</v>
      </c>
      <c r="T126" s="100">
        <f>IF(ISERROR(VLOOKUP($A126,'SegEnds_NonXtal_BW#'!$A:$Z,14,FALSE)+VLOOKUP($A126,A:AL,19,FALSE)-50),"-",(VLOOKUP($A126,'SegEnds_NonXtal_BW#'!$A:$Z,14,FALSE)+VLOOKUP($A126,A:AL,19,FALSE)-50))</f>
        <v>143</v>
      </c>
      <c r="U126" s="9">
        <f>IF(ISERROR(VLOOKUP($A126,'SegEnds_NonXtal_BW#'!$A:$Z,15,FALSE)+VLOOKUP($A126,A:AL,22,FALSE)-50),"-",VLOOKUP($A126,'SegEnds_NonXtal_BW#'!$A:$Z,15,FALSE)+VLOOKUP($A126,A:AL,22,FALSE)-50)</f>
        <v>144</v>
      </c>
      <c r="V126" s="3">
        <v>156</v>
      </c>
      <c r="W126" s="3">
        <f>IF(ISERROR(VLOOKUP($A126,'SegEnds_NonXtal_BW#'!$A:$Z,16,FALSE)+VLOOKUP($A126,A:AL,22,FALSE)-50),"-",(VLOOKUP($A126,'SegEnds_NonXtal_BW#'!$A:$Z,16,FALSE)+VLOOKUP($A126,A:AL,22,FALSE)-50))</f>
        <v>170</v>
      </c>
      <c r="X126" s="3">
        <f>IF(ISERROR(VLOOKUP($A126,'SegEnds_NonXtal_BW#'!$A:$Z,17,FALSE)+VLOOKUP($A126,A:AL,25,FALSE)-50),"-",(VLOOKUP($A126,'SegEnds_NonXtal_BW#'!$A:$Z,17,FALSE)+VLOOKUP($A126,A:AL,25,FALSE)-50))</f>
        <v>181</v>
      </c>
      <c r="Y126" s="3">
        <v>181</v>
      </c>
      <c r="Z126" s="3">
        <f t="shared" si="75"/>
        <v>183</v>
      </c>
      <c r="AA126" s="3">
        <f>IF(ISERROR(VLOOKUP($A126,'SegEnds_NonXtal_BW#'!$A:$Z,19,FALSE)+VLOOKUP($A126,A:AL,28,FALSE)-50),"-",(VLOOKUP($A126,'SegEnds_NonXtal_BW#'!$A:$Z,19,FALSE)+VLOOKUP($A126,A:AL,28,FALSE)-50))</f>
        <v>188</v>
      </c>
      <c r="AB126" s="3">
        <v>208</v>
      </c>
      <c r="AC126" s="3">
        <f>IF(ISERROR((VLOOKUP($A126,'SegEnds_NonXtal_BW#'!$A:$Z,20,FALSE)+VLOOKUP($A126,A:AL,28,FALSE)-50)),"-",(VLOOKUP($A126,'SegEnds_NonXtal_BW#'!$A:$Z,20,FALSE)+VLOOKUP($A126,A:AL,28,FALSE)-50))</f>
        <v>226</v>
      </c>
      <c r="AD126" s="3">
        <f>IF(ISERROR(VLOOKUP($A126,'SegEnds_NonXtal_BW#'!$A:$Z,21,FALSE)+VLOOKUP($A126,A:AL,31,FALSE)-50),"-",(VLOOKUP($A126,'SegEnds_NonXtal_BW#'!$A:$Z,21,FALSE)+VLOOKUP($A126,A:AL,31,FALSE)-50))</f>
        <v>232</v>
      </c>
      <c r="AE126" s="3">
        <v>259</v>
      </c>
      <c r="AF126" s="3">
        <f>IF(ISERROR((VLOOKUP($A126,'SegEnds_NonXtal_BW#'!$A:$Z,22,FALSE)+VLOOKUP($A126,A:AL,31,FALSE)-50)),"-",(VLOOKUP($A126,'SegEnds_NonXtal_BW#'!$A:$Z,22,FALSE)+VLOOKUP($A126,A:AL,31,FALSE)-50))</f>
        <v>273</v>
      </c>
      <c r="AG126" s="3">
        <f>IF(ISERROR(VLOOKUP($A126,'SegEnds_NonXtal_BW#'!$A:$Z,23,FALSE)+VLOOKUP($A126,A:AL,34,FALSE)-50),"-",(VLOOKUP($A126,'SegEnds_NonXtal_BW#'!$A:$Z,23,FALSE)+VLOOKUP($A126,A:AL,34,FALSE)-50))</f>
        <v>279</v>
      </c>
      <c r="AH126" s="3">
        <v>305</v>
      </c>
      <c r="AI126" s="3">
        <f>IF(ISERROR((VLOOKUP($A126,'SegEnds_NonXtal_BW#'!$A:$Z,24,FALSE)+VLOOKUP($A126,A:AL,34,FALSE)-50)),"-",(VLOOKUP($A126,'SegEnds_NonXtal_BW#'!$A:$Z,24,FALSE)+VLOOKUP($A126,A:AL,34,FALSE)-50))</f>
        <v>311</v>
      </c>
      <c r="AJ126" s="3">
        <f>IF(ISERROR(VLOOKUP($A126,'SegEnds_NonXtal_BW#'!$A:$Z,25,FALSE)+VLOOKUP($A126,A:AL,37,FALSE)-50),"-",(VLOOKUP($A126,'SegEnds_NonXtal_BW#'!$A:$Z,25,FALSE)+VLOOKUP($A126,A:AL,37,FALSE)-50))</f>
        <v>312</v>
      </c>
      <c r="AK126" s="3">
        <v>315</v>
      </c>
      <c r="AL126" s="3">
        <f>IF(ISERROR((VLOOKUP($A126,'SegEnds_NonXtal_BW#'!$A:$Z,26,FALSE)+VLOOKUP($A126,A:AL,37,FALSE)-50)),"-",(VLOOKUP($A126,'SegEnds_NonXtal_BW#'!$A:$Z,26,FALSE)+VLOOKUP($A126,A:AL,37,FALSE)-50))</f>
        <v>324</v>
      </c>
      <c r="AM126" s="28" t="str">
        <f>VLOOKUP(A126,Classification!A:B,2,FALSE)</f>
        <v>A</v>
      </c>
      <c r="AN126" s="28" t="b">
        <f t="shared" si="55"/>
        <v>1</v>
      </c>
      <c r="AO126" s="3" t="str">
        <f>IF(ISERROR(MATCH(A126,'SegEnds_Xtal_Prot#'!B:B, 0)), "NoXtal", "Xtal")</f>
        <v>NoXtal</v>
      </c>
      <c r="AP126" s="3">
        <f t="shared" si="39"/>
        <v>1</v>
      </c>
      <c r="AQ126" s="3">
        <f t="shared" si="40"/>
        <v>1</v>
      </c>
      <c r="AR126" s="3">
        <f t="shared" si="41"/>
        <v>3</v>
      </c>
      <c r="AS126" s="3">
        <f t="shared" si="42"/>
        <v>1</v>
      </c>
      <c r="AT126" s="3">
        <f t="shared" si="43"/>
        <v>1</v>
      </c>
      <c r="AU126" s="3">
        <f t="shared" si="44"/>
        <v>1</v>
      </c>
      <c r="AV126" s="3">
        <f t="shared" si="45"/>
        <v>11</v>
      </c>
      <c r="AW126" s="3">
        <f t="shared" si="46"/>
        <v>5</v>
      </c>
      <c r="AX126" s="3">
        <f t="shared" si="47"/>
        <v>6</v>
      </c>
      <c r="AY126" s="3">
        <f t="shared" si="48"/>
        <v>6</v>
      </c>
      <c r="AZ126" s="3">
        <f t="shared" si="49"/>
        <v>1</v>
      </c>
      <c r="BA126" s="3">
        <f>IF(ISERROR(LEN(VLOOKUP(A126,Seqs!A:E,2,FALSE))-AL126),"-",LEN(VLOOKUP(A126,Seqs!A:E,2,FALSE))-AL126)</f>
        <v>37</v>
      </c>
      <c r="BB126" s="16">
        <f t="shared" si="50"/>
        <v>28</v>
      </c>
      <c r="BC126" s="9">
        <f t="shared" si="51"/>
        <v>20</v>
      </c>
      <c r="BD126" s="3">
        <f t="shared" si="52"/>
        <v>28</v>
      </c>
      <c r="BE126" s="3">
        <f t="shared" si="53"/>
        <v>51</v>
      </c>
    </row>
    <row r="127" spans="1:60" s="3" customFormat="1" x14ac:dyDescent="0.2">
      <c r="A127" s="3" t="s">
        <v>236</v>
      </c>
      <c r="B127" s="3" t="str">
        <f>LOWER(VLOOKUP(A127,Xtal_Templ!A:B,2,FALSE))</f>
        <v>ccr5_human</v>
      </c>
      <c r="C127" s="3">
        <f>VLOOKUP($A127,'SegEnds_NonXtal_BW#'!$A:$Z,3,FALSE)+D127-50</f>
        <v>51</v>
      </c>
      <c r="D127" s="3">
        <v>77</v>
      </c>
      <c r="E127" s="3">
        <f>IF(ISERROR(VLOOKUP($A127,'SegEnds_NonXtal_BW#'!$A:$Z,4,FALSE)+VLOOKUP($A127,A:AL,4,FALSE)-50),"-",(VLOOKUP($A127,'SegEnds_NonXtal_BW#'!$A:$Z,4,FALSE)+VLOOKUP($A127,A:AL,4,FALSE)-50))</f>
        <v>87</v>
      </c>
      <c r="F127" s="3">
        <f>G127-2</f>
        <v>88</v>
      </c>
      <c r="G127" s="3">
        <v>90</v>
      </c>
      <c r="H127" s="3">
        <f t="shared" si="77"/>
        <v>91</v>
      </c>
      <c r="I127" s="3">
        <f t="shared" si="77"/>
        <v>92</v>
      </c>
      <c r="J127" s="3">
        <v>105</v>
      </c>
      <c r="K127" s="3">
        <f>VLOOKUP($A127,'SegEnds_NonXtal_BW#'!$A:$Z,8,FALSE)+VLOOKUP($A127,A:AL,10,FALSE)-50</f>
        <v>121</v>
      </c>
      <c r="L127" s="3">
        <f t="shared" si="78"/>
        <v>123</v>
      </c>
      <c r="M127" s="3">
        <v>124</v>
      </c>
      <c r="N127" s="3">
        <f t="shared" si="79"/>
        <v>126</v>
      </c>
      <c r="O127" s="3">
        <f t="shared" si="80"/>
        <v>127</v>
      </c>
      <c r="P127" s="3">
        <v>155</v>
      </c>
      <c r="Q127" s="3">
        <f>VLOOKUP($A127,'SegEnds_NonXtal_BW#'!$A:$Z,12,FALSE)+VLOOKUP($A127,A:AL,16,FALSE)-50</f>
        <v>161</v>
      </c>
      <c r="R127" s="3">
        <f>IF(ISERROR(VLOOKUP($A127,'SegEnds_NonXtal_BW#'!$A:$Z,13,FALSE)+VLOOKUP($A127,A:AL,19,FALSE)-50),"-",VLOOKUP($A127,'SegEnds_NonXtal_BW#'!$A:$Z,13,FALSE)+VLOOKUP($A127,A:AL,19,FALSE)-50)</f>
        <v>162</v>
      </c>
      <c r="S127" s="3">
        <v>162</v>
      </c>
      <c r="T127" s="100">
        <f>IF(ISERROR(VLOOKUP($A127,'SegEnds_NonXtal_BW#'!$A:$Z,14,FALSE)+VLOOKUP($A127,A:AL,19,FALSE)-50),"-",(VLOOKUP($A127,'SegEnds_NonXtal_BW#'!$A:$Z,14,FALSE)+VLOOKUP($A127,A:AL,19,FALSE)-50))</f>
        <v>169</v>
      </c>
      <c r="U127" s="9">
        <f>IF(ISERROR(VLOOKUP($A127,'SegEnds_NonXtal_BW#'!$A:$Z,15,FALSE)+VLOOKUP($A127,A:AL,22,FALSE)-50),"-",VLOOKUP($A127,'SegEnds_NonXtal_BW#'!$A:$Z,15,FALSE)+VLOOKUP($A127,A:AL,22,FALSE)-50)</f>
        <v>170</v>
      </c>
      <c r="V127" s="3">
        <v>182</v>
      </c>
      <c r="W127" s="3">
        <f>IF(ISERROR(VLOOKUP($A127,'SegEnds_NonXtal_BW#'!$A:$Z,16,FALSE)+VLOOKUP($A127,A:AL,22,FALSE)-50),"-",(VLOOKUP($A127,'SegEnds_NonXtal_BW#'!$A:$Z,16,FALSE)+VLOOKUP($A127,A:AL,22,FALSE)-50))</f>
        <v>196</v>
      </c>
      <c r="X127" s="3">
        <f>IF(ISERROR(VLOOKUP($A127,'SegEnds_NonXtal_BW#'!$A:$Z,17,FALSE)+VLOOKUP($A127,A:AL,25,FALSE)-50),"-",(VLOOKUP($A127,'SegEnds_NonXtal_BW#'!$A:$Z,17,FALSE)+VLOOKUP($A127,A:AL,25,FALSE)-50))</f>
        <v>205</v>
      </c>
      <c r="Y127" s="3">
        <v>205</v>
      </c>
      <c r="Z127" s="3">
        <f t="shared" si="75"/>
        <v>207</v>
      </c>
      <c r="AA127" s="3">
        <f>IF(ISERROR(VLOOKUP($A127,'SegEnds_NonXtal_BW#'!$A:$Z,19,FALSE)+VLOOKUP($A127,A:AL,28,FALSE)-50),"-",(VLOOKUP($A127,'SegEnds_NonXtal_BW#'!$A:$Z,19,FALSE)+VLOOKUP($A127,A:AL,28,FALSE)-50))</f>
        <v>210</v>
      </c>
      <c r="AB127" s="3">
        <v>226</v>
      </c>
      <c r="AC127" s="3">
        <f>IF(ISERROR((VLOOKUP($A127,'SegEnds_NonXtal_BW#'!$A:$Z,20,FALSE)+VLOOKUP($A127,A:AL,28,FALSE)-50)),"-",(VLOOKUP($A127,'SegEnds_NonXtal_BW#'!$A:$Z,20,FALSE)+VLOOKUP($A127,A:AL,28,FALSE)-50))</f>
        <v>244</v>
      </c>
      <c r="AD127" s="3">
        <f>IF(ISERROR(VLOOKUP($A127,'SegEnds_NonXtal_BW#'!$A:$Z,21,FALSE)+VLOOKUP($A127,A:AL,31,FALSE)-50),"-",(VLOOKUP($A127,'SegEnds_NonXtal_BW#'!$A:$Z,21,FALSE)+VLOOKUP($A127,A:AL,31,FALSE)-50))</f>
        <v>248</v>
      </c>
      <c r="AE127" s="3">
        <v>274</v>
      </c>
      <c r="AF127" s="3">
        <f>IF(ISERROR((VLOOKUP($A127,'SegEnds_NonXtal_BW#'!$A:$Z,22,FALSE)+VLOOKUP($A127,A:AL,31,FALSE)-50)),"-",(VLOOKUP($A127,'SegEnds_NonXtal_BW#'!$A:$Z,22,FALSE)+VLOOKUP($A127,A:AL,31,FALSE)-50))</f>
        <v>288</v>
      </c>
      <c r="AG127" s="3">
        <f>IF(ISERROR(VLOOKUP($A127,'SegEnds_NonXtal_BW#'!$A:$Z,23,FALSE)+VLOOKUP($A127,A:AL,34,FALSE)-50),"-",(VLOOKUP($A127,'SegEnds_NonXtal_BW#'!$A:$Z,23,FALSE)+VLOOKUP($A127,A:AL,34,FALSE)-50))</f>
        <v>295</v>
      </c>
      <c r="AH127" s="3">
        <v>321</v>
      </c>
      <c r="AI127" s="3">
        <f>IF(ISERROR((VLOOKUP($A127,'SegEnds_NonXtal_BW#'!$A:$Z,24,FALSE)+VLOOKUP($A127,A:AL,34,FALSE)-50)),"-",(VLOOKUP($A127,'SegEnds_NonXtal_BW#'!$A:$Z,24,FALSE)+VLOOKUP($A127,A:AL,34,FALSE)-50))</f>
        <v>327</v>
      </c>
      <c r="AJ127" s="3">
        <f>IF(ISERROR(VLOOKUP($A127,'SegEnds_NonXtal_BW#'!$A:$Z,25,FALSE)+VLOOKUP($A127,A:AL,37,FALSE)-50),"-",(VLOOKUP($A127,'SegEnds_NonXtal_BW#'!$A:$Z,25,FALSE)+VLOOKUP($A127,A:AL,37,FALSE)-50))</f>
        <v>328</v>
      </c>
      <c r="AK127" s="3">
        <v>331</v>
      </c>
      <c r="AL127" s="3">
        <f>IF(ISERROR((VLOOKUP($A127,'SegEnds_NonXtal_BW#'!$A:$Z,26,FALSE)+VLOOKUP($A127,A:AL,37,FALSE)-50)),"-",(VLOOKUP($A127,'SegEnds_NonXtal_BW#'!$A:$Z,26,FALSE)+VLOOKUP($A127,A:AL,37,FALSE)-50))</f>
        <v>340</v>
      </c>
      <c r="AM127" s="28" t="str">
        <f>VLOOKUP(A127,Classification!A:B,2,FALSE)</f>
        <v>A</v>
      </c>
      <c r="AN127" s="28" t="b">
        <f t="shared" si="55"/>
        <v>1</v>
      </c>
      <c r="AO127" s="3" t="str">
        <f>IF(ISERROR(MATCH(A127,'SegEnds_Xtal_Prot#'!B:B, 0)), "NoXtal", "Xtal")</f>
        <v>NoXtal</v>
      </c>
      <c r="AP127" s="3">
        <f t="shared" si="39"/>
        <v>1</v>
      </c>
      <c r="AQ127" s="3">
        <f t="shared" si="40"/>
        <v>1</v>
      </c>
      <c r="AR127" s="3">
        <f t="shared" si="41"/>
        <v>2</v>
      </c>
      <c r="AS127" s="3">
        <f t="shared" si="42"/>
        <v>1</v>
      </c>
      <c r="AT127" s="3">
        <f t="shared" si="43"/>
        <v>1</v>
      </c>
      <c r="AU127" s="3">
        <f t="shared" si="44"/>
        <v>1</v>
      </c>
      <c r="AV127" s="3">
        <f t="shared" si="45"/>
        <v>9</v>
      </c>
      <c r="AW127" s="3">
        <f t="shared" si="46"/>
        <v>3</v>
      </c>
      <c r="AX127" s="3">
        <f t="shared" si="47"/>
        <v>4</v>
      </c>
      <c r="AY127" s="3">
        <f t="shared" si="48"/>
        <v>7</v>
      </c>
      <c r="AZ127" s="3">
        <f t="shared" si="49"/>
        <v>1</v>
      </c>
      <c r="BA127" s="3">
        <f>IF(ISERROR(LEN(VLOOKUP(A127,Seqs!A:E,2,FALSE))-AL127),"-",LEN(VLOOKUP(A127,Seqs!A:E,2,FALSE))-AL127)</f>
        <v>35</v>
      </c>
      <c r="BB127" s="16">
        <f t="shared" si="50"/>
        <v>28</v>
      </c>
      <c r="BC127" s="9">
        <f t="shared" si="51"/>
        <v>20</v>
      </c>
      <c r="BD127" s="3">
        <f t="shared" si="52"/>
        <v>28</v>
      </c>
      <c r="BE127" s="3">
        <f t="shared" si="53"/>
        <v>48</v>
      </c>
    </row>
    <row r="128" spans="1:60" s="3" customFormat="1" x14ac:dyDescent="0.2">
      <c r="A128" s="3" t="s">
        <v>237</v>
      </c>
      <c r="B128" s="3" t="str">
        <f>LOWER(VLOOKUP(A128,Xtal_Templ!A:B,2,FALSE))</f>
        <v>agtr1_human</v>
      </c>
      <c r="C128" s="3">
        <f>VLOOKUP($A128,'SegEnds_NonXtal_BW#'!$A:$Z,3,FALSE)+D128-50</f>
        <v>34</v>
      </c>
      <c r="D128" s="3">
        <v>56</v>
      </c>
      <c r="E128" s="3">
        <f>IF(ISERROR(VLOOKUP($A128,'SegEnds_NonXtal_BW#'!$A:$Z,4,FALSE)+VLOOKUP($A128,A:AL,4,FALSE)-50),"-",(VLOOKUP($A128,'SegEnds_NonXtal_BW#'!$A:$Z,4,FALSE)+VLOOKUP($A128,A:AL,4,FALSE)-50))</f>
        <v>66</v>
      </c>
      <c r="F128" s="3" t="str">
        <f>IF(ISERROR(VLOOKUP($A128,'SegEnds_NonXtal_BW#'!$A:$Z,5,FALSE)+VLOOKUP($A128,A:AL,7,FALSE)-50),"-",(VLOOKUP($A128,'SegEnds_NonXtal_BW#'!$A:$Z,5,FALSE)+VLOOKUP($A128,A:AL,7,FALSE)-50))</f>
        <v>-</v>
      </c>
      <c r="G128" s="3" t="s">
        <v>23</v>
      </c>
      <c r="H128" s="3" t="str">
        <f>IF(ISERROR(VLOOKUP($A128,'SegEnds_NonXtal_BW#'!$A:$Z,6,FALSE)+VLOOKUP($A128,A:AL,7,FALSE)-50),"-",(VLOOKUP($A128,'SegEnds_NonXtal_BW#'!$A:$Z,6,FALSE)+VLOOKUP($A128,A:AL,7,FALSE)-50))</f>
        <v>-</v>
      </c>
      <c r="I128" s="3">
        <f>VLOOKUP($A128,'SegEnds_NonXtal_BW#'!$A:$Z,7,FALSE)+J128-50</f>
        <v>70</v>
      </c>
      <c r="J128" s="3">
        <v>83</v>
      </c>
      <c r="K128" s="3">
        <f>VLOOKUP($A128,'SegEnds_NonXtal_BW#'!$A:$Z,8,FALSE)+VLOOKUP($A128,A:AL,10,FALSE)-50</f>
        <v>99</v>
      </c>
      <c r="L128" s="3">
        <f t="shared" si="78"/>
        <v>102</v>
      </c>
      <c r="M128" s="3">
        <v>103</v>
      </c>
      <c r="N128" s="3">
        <f t="shared" si="79"/>
        <v>105</v>
      </c>
      <c r="O128" s="3">
        <f t="shared" si="80"/>
        <v>106</v>
      </c>
      <c r="P128" s="3">
        <v>135</v>
      </c>
      <c r="Q128" s="3">
        <f>VLOOKUP($A128,'SegEnds_NonXtal_BW#'!$A:$Z,12,FALSE)+VLOOKUP($A128,A:AL,16,FALSE)-50</f>
        <v>141</v>
      </c>
      <c r="R128" s="3">
        <f>IF(ISERROR(VLOOKUP($A128,'SegEnds_NonXtal_BW#'!$A:$Z,13,FALSE)+VLOOKUP($A128,A:AL,19,FALSE)-50),"-",VLOOKUP($A128,'SegEnds_NonXtal_BW#'!$A:$Z,13,FALSE)+VLOOKUP($A128,A:AL,19,FALSE)-50)</f>
        <v>142</v>
      </c>
      <c r="S128" s="3">
        <v>142</v>
      </c>
      <c r="T128" s="100">
        <f>IF(ISERROR(VLOOKUP($A128,'SegEnds_NonXtal_BW#'!$A:$Z,14,FALSE)+VLOOKUP($A128,A:AL,19,FALSE)-50),"-",(VLOOKUP($A128,'SegEnds_NonXtal_BW#'!$A:$Z,14,FALSE)+VLOOKUP($A128,A:AL,19,FALSE)-50))</f>
        <v>149</v>
      </c>
      <c r="U128" s="9">
        <f>IF(ISERROR(VLOOKUP($A128,'SegEnds_NonXtal_BW#'!$A:$Z,15,FALSE)+VLOOKUP($A128,A:AL,22,FALSE)-50),"-",VLOOKUP($A128,'SegEnds_NonXtal_BW#'!$A:$Z,15,FALSE)+VLOOKUP($A128,A:AL,22,FALSE)-50)</f>
        <v>150</v>
      </c>
      <c r="V128" s="3">
        <v>162</v>
      </c>
      <c r="W128" s="3">
        <f>IF(ISERROR(VLOOKUP($A128,'SegEnds_NonXtal_BW#'!$A:$Z,16,FALSE)+VLOOKUP($A128,A:AL,22,FALSE)-50),"-",(VLOOKUP($A128,'SegEnds_NonXtal_BW#'!$A:$Z,16,FALSE)+VLOOKUP($A128,A:AL,22,FALSE)-50))</f>
        <v>176</v>
      </c>
      <c r="X128" s="3">
        <f>IF(ISERROR(VLOOKUP($A128,'SegEnds_NonXtal_BW#'!$A:$Z,17,FALSE)+VLOOKUP($A128,A:AL,25,FALSE)-50),"-",(VLOOKUP($A128,'SegEnds_NonXtal_BW#'!$A:$Z,17,FALSE)+VLOOKUP($A128,A:AL,25,FALSE)-50))</f>
        <v>187</v>
      </c>
      <c r="Y128" s="3">
        <v>187</v>
      </c>
      <c r="Z128" s="3">
        <f t="shared" si="75"/>
        <v>189</v>
      </c>
      <c r="AA128" s="3">
        <f>IF(ISERROR(VLOOKUP($A128,'SegEnds_NonXtal_BW#'!$A:$Z,19,FALSE)+VLOOKUP($A128,A:AL,28,FALSE)-50),"-",(VLOOKUP($A128,'SegEnds_NonXtal_BW#'!$A:$Z,19,FALSE)+VLOOKUP($A128,A:AL,28,FALSE)-50))</f>
        <v>202</v>
      </c>
      <c r="AB128" s="3">
        <v>218</v>
      </c>
      <c r="AC128" s="3">
        <f>IF(ISERROR((VLOOKUP($A128,'SegEnds_NonXtal_BW#'!$A:$Z,20,FALSE)+VLOOKUP($A128,A:AL,28,FALSE)-50)),"-",(VLOOKUP($A128,'SegEnds_NonXtal_BW#'!$A:$Z,20,FALSE)+VLOOKUP($A128,A:AL,28,FALSE)-50))</f>
        <v>236</v>
      </c>
      <c r="AD128" s="3">
        <f>IF(ISERROR(VLOOKUP($A128,'SegEnds_NonXtal_BW#'!$A:$Z,21,FALSE)+VLOOKUP($A128,A:AL,31,FALSE)-50),"-",(VLOOKUP($A128,'SegEnds_NonXtal_BW#'!$A:$Z,21,FALSE)+VLOOKUP($A128,A:AL,31,FALSE)-50))</f>
        <v>241</v>
      </c>
      <c r="AE128" s="3">
        <v>261</v>
      </c>
      <c r="AF128" s="3">
        <f>IF(ISERROR((VLOOKUP($A128,'SegEnds_NonXtal_BW#'!$A:$Z,22,FALSE)+VLOOKUP($A128,A:AL,31,FALSE)-50)),"-",(VLOOKUP($A128,'SegEnds_NonXtal_BW#'!$A:$Z,22,FALSE)+VLOOKUP($A128,A:AL,31,FALSE)-50))</f>
        <v>272</v>
      </c>
      <c r="AG128" s="3">
        <f>IF(ISERROR(VLOOKUP($A128,'SegEnds_NonXtal_BW#'!$A:$Z,23,FALSE)+VLOOKUP($A128,A:AL,34,FALSE)-50),"-",(VLOOKUP($A128,'SegEnds_NonXtal_BW#'!$A:$Z,23,FALSE)+VLOOKUP($A128,A:AL,34,FALSE)-50))</f>
        <v>279</v>
      </c>
      <c r="AH128" s="3">
        <v>301</v>
      </c>
      <c r="AI128" s="3">
        <f>IF(ISERROR((VLOOKUP($A128,'SegEnds_NonXtal_BW#'!$A:$Z,24,FALSE)+VLOOKUP($A128,A:AL,34,FALSE)-50)),"-",(VLOOKUP($A128,'SegEnds_NonXtal_BW#'!$A:$Z,24,FALSE)+VLOOKUP($A128,A:AL,34,FALSE)-50))</f>
        <v>307</v>
      </c>
      <c r="AJ128" s="3">
        <f>IF(ISERROR(VLOOKUP($A128,'SegEnds_NonXtal_BW#'!$A:$Z,25,FALSE)+VLOOKUP($A128,A:AL,37,FALSE)-50),"-",(VLOOKUP($A128,'SegEnds_NonXtal_BW#'!$A:$Z,25,FALSE)+VLOOKUP($A128,A:AL,37,FALSE)-50))</f>
        <v>308</v>
      </c>
      <c r="AK128" s="3">
        <v>311</v>
      </c>
      <c r="AL128" s="3">
        <f>IF(ISERROR((VLOOKUP($A128,'SegEnds_NonXtal_BW#'!$A:$Z,26,FALSE)+VLOOKUP($A128,A:AL,37,FALSE)-50)),"-",(VLOOKUP($A128,'SegEnds_NonXtal_BW#'!$A:$Z,26,FALSE)+VLOOKUP($A128,A:AL,37,FALSE)-50))</f>
        <v>322</v>
      </c>
      <c r="AM128" s="28" t="str">
        <f>VLOOKUP(A128,Classification!A:B,2,FALSE)</f>
        <v>A</v>
      </c>
      <c r="AN128" s="28" t="b">
        <f t="shared" si="55"/>
        <v>1</v>
      </c>
      <c r="AO128" s="3" t="str">
        <f>IF(ISERROR(MATCH(A128,'SegEnds_Xtal_Prot#'!B:B, 0)), "NoXtal", "Xtal")</f>
        <v>NoXtal</v>
      </c>
      <c r="AP128" s="3" t="str">
        <f t="shared" si="39"/>
        <v>-</v>
      </c>
      <c r="AQ128" s="3" t="str">
        <f t="shared" si="40"/>
        <v>-</v>
      </c>
      <c r="AR128" s="3">
        <f t="shared" si="41"/>
        <v>3</v>
      </c>
      <c r="AS128" s="3">
        <f t="shared" si="42"/>
        <v>1</v>
      </c>
      <c r="AT128" s="3">
        <f t="shared" si="43"/>
        <v>1</v>
      </c>
      <c r="AU128" s="3">
        <f t="shared" si="44"/>
        <v>1</v>
      </c>
      <c r="AV128" s="3">
        <f t="shared" si="45"/>
        <v>11</v>
      </c>
      <c r="AW128" s="3">
        <f t="shared" si="46"/>
        <v>13</v>
      </c>
      <c r="AX128" s="3">
        <f t="shared" si="47"/>
        <v>5</v>
      </c>
      <c r="AY128" s="3">
        <f t="shared" si="48"/>
        <v>7</v>
      </c>
      <c r="AZ128" s="3">
        <f t="shared" si="49"/>
        <v>1</v>
      </c>
      <c r="BA128" s="3">
        <f>IF(ISERROR(LEN(VLOOKUP(A128,Seqs!A:E,2,FALSE))-AL128),"-",LEN(VLOOKUP(A128,Seqs!A:E,2,FALSE))-AL128)</f>
        <v>33</v>
      </c>
      <c r="BB128" s="16">
        <f t="shared" si="50"/>
        <v>27</v>
      </c>
      <c r="BC128" s="9">
        <f t="shared" si="51"/>
        <v>20</v>
      </c>
      <c r="BD128" s="3">
        <f t="shared" si="52"/>
        <v>27</v>
      </c>
      <c r="BE128" s="3">
        <f t="shared" si="53"/>
        <v>43</v>
      </c>
    </row>
    <row r="129" spans="1:58" s="3" customFormat="1" x14ac:dyDescent="0.2">
      <c r="A129" s="3" t="s">
        <v>238</v>
      </c>
      <c r="B129" s="3" t="str">
        <f>LOWER(VLOOKUP(A129,Xtal_Templ!A:B,2,FALSE))</f>
        <v>lpar1_human</v>
      </c>
      <c r="C129" s="3">
        <f>VLOOKUP($A129,'SegEnds_NonXtal_BW#'!$A:$Z,3,FALSE)+D129-50</f>
        <v>42</v>
      </c>
      <c r="D129" s="3">
        <v>62</v>
      </c>
      <c r="E129" s="3">
        <f>IF(ISERROR(VLOOKUP($A129,'SegEnds_NonXtal_BW#'!$A:$Z,4,FALSE)+VLOOKUP($A129,A:AL,4,FALSE)-50),"-",(VLOOKUP($A129,'SegEnds_NonXtal_BW#'!$A:$Z,4,FALSE)+VLOOKUP($A129,A:AL,4,FALSE)-50))</f>
        <v>72</v>
      </c>
      <c r="F129" s="3" t="str">
        <f>IF(ISERROR(VLOOKUP($A129,'SegEnds_NonXtal_BW#'!$A:$Z,5,FALSE)+VLOOKUP($A129,A:AL,7,FALSE)-50),"-",(VLOOKUP($A129,'SegEnds_NonXtal_BW#'!$A:$Z,5,FALSE)+VLOOKUP($A129,A:AL,7,FALSE)-50))</f>
        <v>-</v>
      </c>
      <c r="G129" s="3" t="s">
        <v>23</v>
      </c>
      <c r="H129" s="3" t="str">
        <f>IF(ISERROR(VLOOKUP($A129,'SegEnds_NonXtal_BW#'!$A:$Z,6,FALSE)+VLOOKUP($A129,A:AL,7,FALSE)-50),"-",(VLOOKUP($A129,'SegEnds_NonXtal_BW#'!$A:$Z,6,FALSE)+VLOOKUP($A129,A:AL,7,FALSE)-50))</f>
        <v>-</v>
      </c>
      <c r="I129" s="3">
        <f>VLOOKUP($A129,'SegEnds_NonXtal_BW#'!$A:$Z,7,FALSE)+J129-50</f>
        <v>77</v>
      </c>
      <c r="J129" s="3">
        <v>90</v>
      </c>
      <c r="K129" s="3">
        <f>VLOOKUP($A129,'SegEnds_NonXtal_BW#'!$A:$Z,8,FALSE)+VLOOKUP($A129,A:AL,10,FALSE)-50</f>
        <v>102</v>
      </c>
      <c r="L129" s="3">
        <f t="shared" si="78"/>
        <v>104</v>
      </c>
      <c r="M129" s="3">
        <v>105</v>
      </c>
      <c r="N129" s="3">
        <f t="shared" si="79"/>
        <v>107</v>
      </c>
      <c r="O129" s="3">
        <f t="shared" si="80"/>
        <v>108</v>
      </c>
      <c r="P129" s="3">
        <v>138</v>
      </c>
      <c r="Q129" s="3">
        <f>VLOOKUP($A129,'SegEnds_NonXtal_BW#'!$A:$Z,12,FALSE)+VLOOKUP($A129,A:AL,16,FALSE)-50</f>
        <v>144</v>
      </c>
      <c r="R129" s="3">
        <f>S129</f>
        <v>145</v>
      </c>
      <c r="S129" s="3">
        <v>145</v>
      </c>
      <c r="T129" s="100">
        <f>S129+7</f>
        <v>152</v>
      </c>
      <c r="U129" s="9">
        <f>IF(ISERROR(VLOOKUP($A129,'SegEnds_NonXtal_BW#'!$A:$Z,15,FALSE)+VLOOKUP($A129,A:AL,22,FALSE)-50),"-",VLOOKUP($A129,'SegEnds_NonXtal_BW#'!$A:$Z,15,FALSE)+VLOOKUP($A129,A:AL,22,FALSE)-50)</f>
        <v>153</v>
      </c>
      <c r="V129" s="3">
        <v>165</v>
      </c>
      <c r="W129" s="3">
        <f>IF(ISERROR(VLOOKUP($A129,'SegEnds_NonXtal_BW#'!$A:$Z,16,FALSE)+VLOOKUP($A129,A:AL,22,FALSE)-50),"-",(VLOOKUP($A129,'SegEnds_NonXtal_BW#'!$A:$Z,16,FALSE)+VLOOKUP($A129,A:AL,22,FALSE)-50))</f>
        <v>178</v>
      </c>
      <c r="X129" s="3" t="str">
        <f>IF(ISERROR(VLOOKUP($A129,'SegEnds_NonXtal_BW#'!$A:$Z,17,FALSE)+VLOOKUP($A129,A:AL,25,FALSE)-50),"-",(VLOOKUP($A129,'SegEnds_NonXtal_BW#'!$A:$Z,17,FALSE)+VLOOKUP($A129,A:AL,25,FALSE)-50))</f>
        <v>-</v>
      </c>
      <c r="Y129" s="3" t="s">
        <v>23</v>
      </c>
      <c r="Z129" s="3" t="str">
        <f>IF(ISERROR(VLOOKUP($A129,'SegEnds_NonXtal_BW#'!$A:$Z,18,FALSE)+VLOOKUP($A129,A:AL,25,FALSE)-50),"-",(VLOOKUP($A129,'SegEnds_NonXtal_BW#'!$A:$Z,18,FALSE)+VLOOKUP($A129,A:AL,25,FALSE)-50))</f>
        <v>-</v>
      </c>
      <c r="AA129" s="3">
        <f>IF(ISERROR(VLOOKUP($A129,'SegEnds_NonXtal_BW#'!$A:$Z,19,FALSE)+VLOOKUP($A129,A:AL,28,FALSE)-50),"-",(VLOOKUP($A129,'SegEnds_NonXtal_BW#'!$A:$Z,19,FALSE)+VLOOKUP($A129,A:AL,28,FALSE)-50))</f>
        <v>195</v>
      </c>
      <c r="AB129" s="3">
        <v>209</v>
      </c>
      <c r="AC129" s="3">
        <f>IF(ISERROR((VLOOKUP($A129,'SegEnds_NonXtal_BW#'!$A:$Z,20,FALSE)+VLOOKUP($A129,A:AL,28,FALSE)-50)),"-",(VLOOKUP($A129,'SegEnds_NonXtal_BW#'!$A:$Z,20,FALSE)+VLOOKUP($A129,A:AL,28,FALSE)-50))</f>
        <v>232</v>
      </c>
      <c r="AD129" s="3">
        <f>IF(ISERROR(VLOOKUP($A129,'SegEnds_NonXtal_BW#'!$A:$Z,21,FALSE)+VLOOKUP($A129,A:AL,31,FALSE)-50),"-",(VLOOKUP($A129,'SegEnds_NonXtal_BW#'!$A:$Z,21,FALSE)+VLOOKUP($A129,A:AL,31,FALSE)-50))</f>
        <v>238</v>
      </c>
      <c r="AE129" s="3">
        <v>266</v>
      </c>
      <c r="AF129" s="3">
        <f>IF(ISERROR((VLOOKUP($A129,'SegEnds_NonXtal_BW#'!$A:$Z,22,FALSE)+VLOOKUP($A129,A:AL,31,FALSE)-50)),"-",(VLOOKUP($A129,'SegEnds_NonXtal_BW#'!$A:$Z,22,FALSE)+VLOOKUP($A129,A:AL,31,FALSE)-50))</f>
        <v>277</v>
      </c>
      <c r="AG129" s="3">
        <f>IF(ISERROR(VLOOKUP($A129,'SegEnds_NonXtal_BW#'!$A:$Z,23,FALSE)+VLOOKUP($A129,A:AL,34,FALSE)-50),"-",(VLOOKUP($A129,'SegEnds_NonXtal_BW#'!$A:$Z,23,FALSE)+VLOOKUP($A129,A:AL,34,FALSE)-50))</f>
        <v>282</v>
      </c>
      <c r="AH129" s="3">
        <v>298</v>
      </c>
      <c r="AI129" s="3">
        <f>IF(ISERROR((VLOOKUP($A129,'SegEnds_NonXtal_BW#'!$A:$Z,24,FALSE)+VLOOKUP($A129,A:AL,34,FALSE)-50)),"-",(VLOOKUP($A129,'SegEnds_NonXtal_BW#'!$A:$Z,24,FALSE)+VLOOKUP($A129,A:AL,34,FALSE)-50))</f>
        <v>304</v>
      </c>
      <c r="AJ129" s="3">
        <f>IF(ISERROR(VLOOKUP($A129,'SegEnds_NonXtal_BW#'!$A:$Z,25,FALSE)+VLOOKUP($A129,A:AL,37,FALSE)-50),"-",(VLOOKUP($A129,'SegEnds_NonXtal_BW#'!$A:$Z,25,FALSE)+VLOOKUP($A129,A:AL,37,FALSE)-50))</f>
        <v>305</v>
      </c>
      <c r="AK129" s="3">
        <v>308</v>
      </c>
      <c r="AL129" s="3">
        <f>IF(ISERROR((VLOOKUP($A129,'SegEnds_NonXtal_BW#'!$A:$Z,26,FALSE)+VLOOKUP($A129,A:AL,37,FALSE)-50)),"-",(VLOOKUP($A129,'SegEnds_NonXtal_BW#'!$A:$Z,26,FALSE)+VLOOKUP($A129,A:AL,37,FALSE)-50))</f>
        <v>317</v>
      </c>
      <c r="AM129" s="28" t="str">
        <f>VLOOKUP(A129,Classification!A:B,2,FALSE)</f>
        <v>A</v>
      </c>
      <c r="AN129" s="28" t="b">
        <f t="shared" si="55"/>
        <v>1</v>
      </c>
      <c r="AO129" s="3" t="str">
        <f>IF(ISERROR(MATCH(A129,'SegEnds_Xtal_Prot#'!B:B, 0)), "NoXtal", "Xtal")</f>
        <v>NoXtal</v>
      </c>
      <c r="AP129" s="3" t="str">
        <f t="shared" si="39"/>
        <v>-</v>
      </c>
      <c r="AQ129" s="3" t="str">
        <f t="shared" si="40"/>
        <v>-</v>
      </c>
      <c r="AR129" s="3">
        <f t="shared" si="41"/>
        <v>2</v>
      </c>
      <c r="AS129" s="3">
        <f t="shared" si="42"/>
        <v>1</v>
      </c>
      <c r="AT129" s="3">
        <f t="shared" si="43"/>
        <v>1</v>
      </c>
      <c r="AU129" s="3">
        <f t="shared" si="44"/>
        <v>1</v>
      </c>
      <c r="AV129" s="3" t="str">
        <f t="shared" si="45"/>
        <v>-</v>
      </c>
      <c r="AW129" s="3" t="str">
        <f t="shared" si="46"/>
        <v>-</v>
      </c>
      <c r="AX129" s="3">
        <f t="shared" si="47"/>
        <v>6</v>
      </c>
      <c r="AY129" s="3">
        <f t="shared" si="48"/>
        <v>5</v>
      </c>
      <c r="AZ129" s="3">
        <f t="shared" si="49"/>
        <v>1</v>
      </c>
      <c r="BA129" s="3">
        <f>IF(ISERROR(LEN(VLOOKUP(A129,Seqs!A:E,2,FALSE))-AL129),"-",LEN(VLOOKUP(A129,Seqs!A:E,2,FALSE))-AL129)</f>
        <v>17</v>
      </c>
      <c r="BB129" s="16">
        <f t="shared" si="50"/>
        <v>28</v>
      </c>
      <c r="BC129" s="9">
        <f t="shared" si="51"/>
        <v>20</v>
      </c>
      <c r="BD129" s="3">
        <f t="shared" si="52"/>
        <v>28</v>
      </c>
      <c r="BE129" s="3">
        <f t="shared" si="53"/>
        <v>57</v>
      </c>
      <c r="BF129" s="3">
        <f>AH129-AE129</f>
        <v>32</v>
      </c>
    </row>
    <row r="130" spans="1:58" s="3" customFormat="1" x14ac:dyDescent="0.2">
      <c r="A130" s="3" t="s">
        <v>239</v>
      </c>
      <c r="B130" s="3" t="str">
        <f>LOWER(VLOOKUP(A130,Xtal_Templ!A:B,2,FALSE))</f>
        <v>agtr1_human</v>
      </c>
      <c r="C130" s="3">
        <f>VLOOKUP($A130,'SegEnds_NonXtal_BW#'!$A:$Z,3,FALSE)+D130-50</f>
        <v>29</v>
      </c>
      <c r="D130" s="3">
        <v>51</v>
      </c>
      <c r="E130" s="3">
        <f>IF(ISERROR(VLOOKUP($A130,'SegEnds_NonXtal_BW#'!$A:$Z,4,FALSE)+VLOOKUP($A130,A:AL,4,FALSE)-50),"-",(VLOOKUP($A130,'SegEnds_NonXtal_BW#'!$A:$Z,4,FALSE)+VLOOKUP($A130,A:AL,4,FALSE)-50))</f>
        <v>61</v>
      </c>
      <c r="F130" s="3" t="str">
        <f>IF(ISERROR(VLOOKUP($A130,'SegEnds_NonXtal_BW#'!$A:$Z,5,FALSE)+VLOOKUP($A130,A:AL,7,FALSE)-50),"-",(VLOOKUP($A130,'SegEnds_NonXtal_BW#'!$A:$Z,5,FALSE)+VLOOKUP($A130,A:AL,7,FALSE)-50))</f>
        <v>-</v>
      </c>
      <c r="G130" s="3" t="s">
        <v>23</v>
      </c>
      <c r="H130" s="3" t="str">
        <f>IF(ISERROR(VLOOKUP($A130,'SegEnds_NonXtal_BW#'!$A:$Z,6,FALSE)+VLOOKUP($A130,A:AL,7,FALSE)-50),"-",(VLOOKUP($A130,'SegEnds_NonXtal_BW#'!$A:$Z,6,FALSE)+VLOOKUP($A130,A:AL,7,FALSE)-50))</f>
        <v>-</v>
      </c>
      <c r="I130" s="3">
        <f>VLOOKUP($A130,'SegEnds_NonXtal_BW#'!$A:$Z,7,FALSE)+J130-50</f>
        <v>66</v>
      </c>
      <c r="J130" s="3">
        <v>79</v>
      </c>
      <c r="K130" s="3">
        <f>VLOOKUP($A130,'SegEnds_NonXtal_BW#'!$A:$Z,8,FALSE)+VLOOKUP($A130,A:AL,10,FALSE)-50</f>
        <v>95</v>
      </c>
      <c r="L130" s="3">
        <f t="shared" si="78"/>
        <v>98</v>
      </c>
      <c r="M130" s="3">
        <v>99</v>
      </c>
      <c r="N130" s="3">
        <f t="shared" si="79"/>
        <v>101</v>
      </c>
      <c r="O130" s="3">
        <f t="shared" si="80"/>
        <v>102</v>
      </c>
      <c r="P130" s="3">
        <v>131</v>
      </c>
      <c r="Q130" s="3">
        <f>VLOOKUP($A130,'SegEnds_NonXtal_BW#'!$A:$Z,12,FALSE)+VLOOKUP($A130,A:AL,16,FALSE)-50</f>
        <v>137</v>
      </c>
      <c r="R130" s="3">
        <f>IF(ISERROR(VLOOKUP($A130,'SegEnds_NonXtal_BW#'!$A:$Z,13,FALSE)+VLOOKUP($A130,A:AL,19,FALSE)-50),"-",VLOOKUP($A130,'SegEnds_NonXtal_BW#'!$A:$Z,13,FALSE)+VLOOKUP($A130,A:AL,19,FALSE)-50)</f>
        <v>138</v>
      </c>
      <c r="S130" s="3">
        <v>138</v>
      </c>
      <c r="T130" s="100">
        <f>IF(ISERROR(VLOOKUP($A130,'SegEnds_NonXtal_BW#'!$A:$Z,14,FALSE)+VLOOKUP($A130,A:AL,19,FALSE)-50),"-",(VLOOKUP($A130,'SegEnds_NonXtal_BW#'!$A:$Z,14,FALSE)+VLOOKUP($A130,A:AL,19,FALSE)-50))</f>
        <v>145</v>
      </c>
      <c r="U130" s="9">
        <f>IF(ISERROR(VLOOKUP($A130,'SegEnds_NonXtal_BW#'!$A:$Z,15,FALSE)+VLOOKUP($A130,A:AL,22,FALSE)-50),"-",VLOOKUP($A130,'SegEnds_NonXtal_BW#'!$A:$Z,15,FALSE)+VLOOKUP($A130,A:AL,22,FALSE)-50)</f>
        <v>146</v>
      </c>
      <c r="V130" s="3">
        <v>158</v>
      </c>
      <c r="W130" s="3">
        <f>IF(ISERROR(VLOOKUP($A130,'SegEnds_NonXtal_BW#'!$A:$Z,16,FALSE)+VLOOKUP($A130,A:AL,22,FALSE)-50),"-",(VLOOKUP($A130,'SegEnds_NonXtal_BW#'!$A:$Z,16,FALSE)+VLOOKUP($A130,A:AL,22,FALSE)-50))</f>
        <v>172</v>
      </c>
      <c r="X130" s="3">
        <f>IF(ISERROR(VLOOKUP($A130,'SegEnds_NonXtal_BW#'!$A:$Z,17,FALSE)+VLOOKUP($A130,A:AL,25,FALSE)-50),"-",(VLOOKUP($A130,'SegEnds_NonXtal_BW#'!$A:$Z,17,FALSE)+VLOOKUP($A130,A:AL,25,FALSE)-50))</f>
        <v>183</v>
      </c>
      <c r="Y130" s="3">
        <v>183</v>
      </c>
      <c r="Z130" s="3">
        <f>Y130+2</f>
        <v>185</v>
      </c>
      <c r="AA130" s="3">
        <f>IF(ISERROR(VLOOKUP($A130,'SegEnds_NonXtal_BW#'!$A:$Z,19,FALSE)+VLOOKUP($A130,A:AL,28,FALSE)-50),"-",(VLOOKUP($A130,'SegEnds_NonXtal_BW#'!$A:$Z,19,FALSE)+VLOOKUP($A130,A:AL,28,FALSE)-50))</f>
        <v>191</v>
      </c>
      <c r="AB130" s="3">
        <v>207</v>
      </c>
      <c r="AC130" s="3">
        <f>IF(ISERROR((VLOOKUP($A130,'SegEnds_NonXtal_BW#'!$A:$Z,20,FALSE)+VLOOKUP($A130,A:AL,28,FALSE)-50)),"-",(VLOOKUP($A130,'SegEnds_NonXtal_BW#'!$A:$Z,20,FALSE)+VLOOKUP($A130,A:AL,28,FALSE)-50))</f>
        <v>225</v>
      </c>
      <c r="AD130" s="3">
        <f>IF(ISERROR(VLOOKUP($A130,'SegEnds_NonXtal_BW#'!$A:$Z,21,FALSE)+VLOOKUP($A130,A:AL,31,FALSE)-50),"-",(VLOOKUP($A130,'SegEnds_NonXtal_BW#'!$A:$Z,21,FALSE)+VLOOKUP($A130,A:AL,31,FALSE)-50))</f>
        <v>230</v>
      </c>
      <c r="AE130" s="3">
        <v>256</v>
      </c>
      <c r="AF130" s="3">
        <f>IF(ISERROR((VLOOKUP($A130,'SegEnds_NonXtal_BW#'!$A:$Z,22,FALSE)+VLOOKUP($A130,A:AL,31,FALSE)-50)),"-",(VLOOKUP($A130,'SegEnds_NonXtal_BW#'!$A:$Z,22,FALSE)+VLOOKUP($A130,A:AL,31,FALSE)-50))</f>
        <v>267</v>
      </c>
      <c r="AG130" s="3">
        <f>IF(ISERROR(VLOOKUP($A130,'SegEnds_NonXtal_BW#'!$A:$Z,23,FALSE)+VLOOKUP($A130,A:AL,34,FALSE)-50),"-",(VLOOKUP($A130,'SegEnds_NonXtal_BW#'!$A:$Z,23,FALSE)+VLOOKUP($A130,A:AL,34,FALSE)-50))</f>
        <v>273</v>
      </c>
      <c r="AH130" s="3">
        <v>299</v>
      </c>
      <c r="AI130" s="3">
        <f>IF(ISERROR((VLOOKUP($A130,'SegEnds_NonXtal_BW#'!$A:$Z,24,FALSE)+VLOOKUP($A130,A:AL,34,FALSE)-50)),"-",(VLOOKUP($A130,'SegEnds_NonXtal_BW#'!$A:$Z,24,FALSE)+VLOOKUP($A130,A:AL,34,FALSE)-50))</f>
        <v>305</v>
      </c>
      <c r="AJ130" s="3">
        <f>IF(ISERROR(VLOOKUP($A130,'SegEnds_NonXtal_BW#'!$A:$Z,25,FALSE)+VLOOKUP($A130,A:AL,37,FALSE)-50),"-",(VLOOKUP($A130,'SegEnds_NonXtal_BW#'!$A:$Z,25,FALSE)+VLOOKUP($A130,A:AL,37,FALSE)-50))</f>
        <v>306</v>
      </c>
      <c r="AK130" s="3">
        <v>309</v>
      </c>
      <c r="AL130" s="3">
        <f>IF(ISERROR((VLOOKUP($A130,'SegEnds_NonXtal_BW#'!$A:$Z,26,FALSE)+VLOOKUP($A130,A:AL,37,FALSE)-50)),"-",(VLOOKUP($A130,'SegEnds_NonXtal_BW#'!$A:$Z,26,FALSE)+VLOOKUP($A130,A:AL,37,FALSE)-50))</f>
        <v>320</v>
      </c>
      <c r="AM130" s="28" t="str">
        <f>VLOOKUP(A130,Classification!A:B,2,FALSE)</f>
        <v>A</v>
      </c>
      <c r="AN130" s="28" t="b">
        <f t="shared" si="55"/>
        <v>1</v>
      </c>
      <c r="AO130" s="3" t="str">
        <f>IF(ISERROR(MATCH(A130,'SegEnds_Xtal_Prot#'!B:B, 0)), "NoXtal", "Xtal")</f>
        <v>NoXtal</v>
      </c>
      <c r="AP130" s="3" t="str">
        <f t="shared" si="39"/>
        <v>-</v>
      </c>
      <c r="AQ130" s="3" t="str">
        <f t="shared" si="40"/>
        <v>-</v>
      </c>
      <c r="AR130" s="3">
        <f t="shared" si="41"/>
        <v>3</v>
      </c>
      <c r="AS130" s="3">
        <f t="shared" si="42"/>
        <v>1</v>
      </c>
      <c r="AT130" s="3">
        <f t="shared" si="43"/>
        <v>1</v>
      </c>
      <c r="AU130" s="3">
        <f t="shared" si="44"/>
        <v>1</v>
      </c>
      <c r="AV130" s="3">
        <f t="shared" si="45"/>
        <v>11</v>
      </c>
      <c r="AW130" s="3">
        <f t="shared" si="46"/>
        <v>6</v>
      </c>
      <c r="AX130" s="3">
        <f t="shared" si="47"/>
        <v>5</v>
      </c>
      <c r="AY130" s="3">
        <f t="shared" si="48"/>
        <v>6</v>
      </c>
      <c r="AZ130" s="3">
        <f t="shared" si="49"/>
        <v>1</v>
      </c>
      <c r="BA130" s="3">
        <f>IF(ISERROR(LEN(VLOOKUP(A130,Seqs!A:E,2,FALSE))-AL130),"-",LEN(VLOOKUP(A130,Seqs!A:E,2,FALSE))-AL130)</f>
        <v>40</v>
      </c>
      <c r="BB130" s="16">
        <f t="shared" si="50"/>
        <v>28</v>
      </c>
      <c r="BC130" s="9">
        <f t="shared" si="51"/>
        <v>20</v>
      </c>
      <c r="BD130" s="3">
        <f t="shared" si="52"/>
        <v>28</v>
      </c>
      <c r="BE130" s="3">
        <f t="shared" si="53"/>
        <v>49</v>
      </c>
    </row>
    <row r="131" spans="1:58" s="3" customFormat="1" x14ac:dyDescent="0.2">
      <c r="A131" s="3" t="s">
        <v>240</v>
      </c>
      <c r="B131" s="3" t="str">
        <f>LOWER(VLOOKUP(A131,Xtal_Templ!A:B,2,FALSE))</f>
        <v>apj_human</v>
      </c>
      <c r="C131" s="3">
        <f>VLOOKUP($A131,'SegEnds_NonXtal_BW#'!$A:$Z,3,FALSE)+D131-50</f>
        <v>60</v>
      </c>
      <c r="D131" s="3">
        <v>77</v>
      </c>
      <c r="E131" s="3">
        <f>IF(ISERROR(VLOOKUP($A131,'SegEnds_NonXtal_BW#'!$A:$Z,4,FALSE)+VLOOKUP($A131,A:AL,4,FALSE)-50),"-",(VLOOKUP($A131,'SegEnds_NonXtal_BW#'!$A:$Z,4,FALSE)+VLOOKUP($A131,A:AL,4,FALSE)-50))</f>
        <v>87</v>
      </c>
      <c r="F131" s="3" t="str">
        <f>IF(ISERROR(VLOOKUP($A131,'SegEnds_NonXtal_BW#'!$A:$Z,5,FALSE)+VLOOKUP($A131,A:AL,7,FALSE)-50),"-",(VLOOKUP($A131,'SegEnds_NonXtal_BW#'!$A:$Z,5,FALSE)+VLOOKUP($A131,A:AL,7,FALSE)-50))</f>
        <v>-</v>
      </c>
      <c r="G131" s="3" t="s">
        <v>23</v>
      </c>
      <c r="H131" s="3" t="str">
        <f>IF(ISERROR(VLOOKUP($A131,'SegEnds_NonXtal_BW#'!$A:$Z,6,FALSE)+VLOOKUP($A131,A:AL,7,FALSE)-50),"-",(VLOOKUP($A131,'SegEnds_NonXtal_BW#'!$A:$Z,6,FALSE)+VLOOKUP($A131,A:AL,7,FALSE)-50))</f>
        <v>-</v>
      </c>
      <c r="I131" s="3">
        <f>VLOOKUP($A131,'SegEnds_NonXtal_BW#'!$A:$Z,7,FALSE)+J131-50</f>
        <v>92</v>
      </c>
      <c r="J131" s="3">
        <v>105</v>
      </c>
      <c r="K131" s="3">
        <f>VLOOKUP($A131,'SegEnds_NonXtal_BW#'!$A:$Z,8,FALSE)+VLOOKUP($A131,A:AL,10,FALSE)-50</f>
        <v>122</v>
      </c>
      <c r="L131" s="3">
        <f t="shared" si="78"/>
        <v>124</v>
      </c>
      <c r="M131" s="3">
        <v>125</v>
      </c>
      <c r="N131" s="3">
        <f t="shared" si="79"/>
        <v>127</v>
      </c>
      <c r="O131" s="3">
        <f t="shared" si="80"/>
        <v>128</v>
      </c>
      <c r="P131" s="3">
        <v>157</v>
      </c>
      <c r="Q131" s="3">
        <f>VLOOKUP($A131,'SegEnds_NonXtal_BW#'!$A:$Z,12,FALSE)+VLOOKUP($A131,A:AL,16,FALSE)-50</f>
        <v>163</v>
      </c>
      <c r="R131" s="3">
        <f>IF(ISERROR(VLOOKUP($A131,'SegEnds_NonXtal_BW#'!$A:$Z,13,FALSE)+VLOOKUP($A131,A:AL,19,FALSE)-50),"-",VLOOKUP($A131,'SegEnds_NonXtal_BW#'!$A:$Z,13,FALSE)+VLOOKUP($A131,A:AL,19,FALSE)-50)</f>
        <v>164</v>
      </c>
      <c r="S131" s="3">
        <v>164</v>
      </c>
      <c r="T131" s="100">
        <f>IF(ISERROR(VLOOKUP($A131,'SegEnds_NonXtal_BW#'!$A:$Z,14,FALSE)+VLOOKUP($A131,A:AL,19,FALSE)-50),"-",(VLOOKUP($A131,'SegEnds_NonXtal_BW#'!$A:$Z,14,FALSE)+VLOOKUP($A131,A:AL,19,FALSE)-50))</f>
        <v>171</v>
      </c>
      <c r="U131" s="9">
        <f>IF(ISERROR(VLOOKUP($A131,'SegEnds_NonXtal_BW#'!$A:$Z,15,FALSE)+VLOOKUP($A131,A:AL,22,FALSE)-50),"-",VLOOKUP($A131,'SegEnds_NonXtal_BW#'!$A:$Z,15,FALSE)+VLOOKUP($A131,A:AL,22,FALSE)-50)</f>
        <v>172</v>
      </c>
      <c r="V131" s="3">
        <v>184</v>
      </c>
      <c r="W131" s="3">
        <f>IF(ISERROR(VLOOKUP($A131,'SegEnds_NonXtal_BW#'!$A:$Z,16,FALSE)+VLOOKUP($A131,A:AL,22,FALSE)-50),"-",(VLOOKUP($A131,'SegEnds_NonXtal_BW#'!$A:$Z,16,FALSE)+VLOOKUP($A131,A:AL,22,FALSE)-50))</f>
        <v>198</v>
      </c>
      <c r="X131" s="3">
        <f>IF(ISERROR(VLOOKUP($A131,'SegEnds_NonXtal_BW#'!$A:$Z,17,FALSE)+VLOOKUP($A131,A:AL,25,FALSE)-50),"-",(VLOOKUP($A131,'SegEnds_NonXtal_BW#'!$A:$Z,17,FALSE)+VLOOKUP($A131,A:AL,25,FALSE)-50))</f>
        <v>209</v>
      </c>
      <c r="Y131" s="3">
        <v>209</v>
      </c>
      <c r="Z131" s="3">
        <f>Y131+2</f>
        <v>211</v>
      </c>
      <c r="AA131" s="3">
        <f>IF(ISERROR(VLOOKUP($A131,'SegEnds_NonXtal_BW#'!$A:$Z,19,FALSE)+VLOOKUP($A131,A:AL,28,FALSE)-50),"-",(VLOOKUP($A131,'SegEnds_NonXtal_BW#'!$A:$Z,19,FALSE)+VLOOKUP($A131,A:AL,28,FALSE)-50))</f>
        <v>212</v>
      </c>
      <c r="AB131" s="3">
        <v>232</v>
      </c>
      <c r="AC131" s="3">
        <f>IF(ISERROR((VLOOKUP($A131,'SegEnds_NonXtal_BW#'!$A:$Z,20,FALSE)+VLOOKUP($A131,A:AL,28,FALSE)-50)),"-",(VLOOKUP($A131,'SegEnds_NonXtal_BW#'!$A:$Z,20,FALSE)+VLOOKUP($A131,A:AL,28,FALSE)-50))</f>
        <v>249</v>
      </c>
      <c r="AD131" s="3">
        <f>IF(ISERROR(VLOOKUP($A131,'SegEnds_NonXtal_BW#'!$A:$Z,21,FALSE)+VLOOKUP($A131,A:AL,31,FALSE)-50),"-",(VLOOKUP($A131,'SegEnds_NonXtal_BW#'!$A:$Z,21,FALSE)+VLOOKUP($A131,A:AL,31,FALSE)-50))</f>
        <v>254</v>
      </c>
      <c r="AE131" s="3">
        <v>278</v>
      </c>
      <c r="AF131" s="3">
        <f>IF(ISERROR((VLOOKUP($A131,'SegEnds_NonXtal_BW#'!$A:$Z,22,FALSE)+VLOOKUP($A131,A:AL,31,FALSE)-50)),"-",(VLOOKUP($A131,'SegEnds_NonXtal_BW#'!$A:$Z,22,FALSE)+VLOOKUP($A131,A:AL,31,FALSE)-50))</f>
        <v>292</v>
      </c>
      <c r="AG131" s="3">
        <f>IF(ISERROR(VLOOKUP($A131,'SegEnds_NonXtal_BW#'!$A:$Z,23,FALSE)+VLOOKUP($A131,A:AL,34,FALSE)-50),"-",(VLOOKUP($A131,'SegEnds_NonXtal_BW#'!$A:$Z,23,FALSE)+VLOOKUP($A131,A:AL,34,FALSE)-50))</f>
        <v>296</v>
      </c>
      <c r="AH131" s="3">
        <v>322</v>
      </c>
      <c r="AI131" s="3">
        <f>IF(ISERROR((VLOOKUP($A131,'SegEnds_NonXtal_BW#'!$A:$Z,24,FALSE)+VLOOKUP($A131,A:AL,34,FALSE)-50)),"-",(VLOOKUP($A131,'SegEnds_NonXtal_BW#'!$A:$Z,24,FALSE)+VLOOKUP($A131,A:AL,34,FALSE)-50))</f>
        <v>328</v>
      </c>
      <c r="AJ131" s="3">
        <f>IF(ISERROR(VLOOKUP($A131,'SegEnds_NonXtal_BW#'!$A:$Z,25,FALSE)+VLOOKUP($A131,A:AL,37,FALSE)-50),"-",(VLOOKUP($A131,'SegEnds_NonXtal_BW#'!$A:$Z,25,FALSE)+VLOOKUP($A131,A:AL,37,FALSE)-50))</f>
        <v>329</v>
      </c>
      <c r="AK131" s="3">
        <v>332</v>
      </c>
      <c r="AL131" s="3">
        <f>IF(ISERROR((VLOOKUP($A131,'SegEnds_NonXtal_BW#'!$A:$Z,26,FALSE)+VLOOKUP($A131,A:AL,37,FALSE)-50)),"-",(VLOOKUP($A131,'SegEnds_NonXtal_BW#'!$A:$Z,26,FALSE)+VLOOKUP($A131,A:AL,37,FALSE)-50))</f>
        <v>343</v>
      </c>
      <c r="AM131" s="28" t="str">
        <f>VLOOKUP(A131,Classification!A:B,2,FALSE)</f>
        <v>A</v>
      </c>
      <c r="AN131" s="28" t="b">
        <f t="shared" si="55"/>
        <v>1</v>
      </c>
      <c r="AO131" s="3" t="str">
        <f>IF(ISERROR(MATCH(A131,'SegEnds_Xtal_Prot#'!B:B, 0)), "NoXtal", "Xtal")</f>
        <v>NoXtal</v>
      </c>
      <c r="AP131" s="3" t="str">
        <f t="shared" si="39"/>
        <v>-</v>
      </c>
      <c r="AQ131" s="3" t="str">
        <f t="shared" si="40"/>
        <v>-</v>
      </c>
      <c r="AR131" s="3">
        <f t="shared" si="41"/>
        <v>2</v>
      </c>
      <c r="AS131" s="3">
        <f t="shared" si="42"/>
        <v>1</v>
      </c>
      <c r="AT131" s="3">
        <f t="shared" si="43"/>
        <v>1</v>
      </c>
      <c r="AU131" s="3">
        <f t="shared" si="44"/>
        <v>1</v>
      </c>
      <c r="AV131" s="3">
        <f t="shared" si="45"/>
        <v>11</v>
      </c>
      <c r="AW131" s="3">
        <f t="shared" si="46"/>
        <v>1</v>
      </c>
      <c r="AX131" s="3">
        <f t="shared" si="47"/>
        <v>5</v>
      </c>
      <c r="AY131" s="3">
        <f t="shared" si="48"/>
        <v>4</v>
      </c>
      <c r="AZ131" s="3">
        <f t="shared" si="49"/>
        <v>1</v>
      </c>
      <c r="BA131" s="3">
        <f>IF(ISERROR(LEN(VLOOKUP(A131,Seqs!A:E,2,FALSE))-AL131),"-",LEN(VLOOKUP(A131,Seqs!A:E,2,FALSE))-AL131)</f>
        <v>24</v>
      </c>
      <c r="BB131" s="16">
        <f t="shared" si="50"/>
        <v>28</v>
      </c>
      <c r="BC131" s="9">
        <f t="shared" si="51"/>
        <v>20</v>
      </c>
      <c r="BD131" s="3">
        <f t="shared" si="52"/>
        <v>28</v>
      </c>
      <c r="BE131" s="3">
        <f t="shared" si="53"/>
        <v>46</v>
      </c>
      <c r="BF131" s="3">
        <f>AH131-AE131</f>
        <v>44</v>
      </c>
    </row>
    <row r="132" spans="1:58" s="3" customFormat="1" x14ac:dyDescent="0.2">
      <c r="A132" s="3" t="s">
        <v>241</v>
      </c>
      <c r="B132" s="3" t="str">
        <f>LOWER(VLOOKUP(A132,Xtal_Templ!A:B,2,FALSE))</f>
        <v>oprk_human</v>
      </c>
      <c r="C132" s="3">
        <f>VLOOKUP($A132,'SegEnds_NonXtal_BW#'!$A:$Z,3,FALSE)+D132-50</f>
        <v>20</v>
      </c>
      <c r="D132" s="3">
        <v>40</v>
      </c>
      <c r="E132" s="3">
        <f>IF(ISERROR(VLOOKUP($A132,'SegEnds_NonXtal_BW#'!$A:$Z,4,FALSE)+VLOOKUP($A132,A:AL,4,FALSE)-50),"-",(VLOOKUP($A132,'SegEnds_NonXtal_BW#'!$A:$Z,4,FALSE)+VLOOKUP($A132,A:AL,4,FALSE)-50))</f>
        <v>50</v>
      </c>
      <c r="F132" s="3" t="str">
        <f>IF(ISERROR(VLOOKUP($A132,'SegEnds_NonXtal_BW#'!$A:$Z,5,FALSE)+VLOOKUP($A132,A:AL,7,FALSE)-50),"-",(VLOOKUP($A132,'SegEnds_NonXtal_BW#'!$A:$Z,5,FALSE)+VLOOKUP($A132,A:AL,7,FALSE)-50))</f>
        <v>-</v>
      </c>
      <c r="G132" s="3" t="s">
        <v>23</v>
      </c>
      <c r="H132" s="3" t="str">
        <f>IF(ISERROR(VLOOKUP($A132,'SegEnds_NonXtal_BW#'!$A:$Z,6,FALSE)+VLOOKUP($A132,A:AL,7,FALSE)-50),"-",(VLOOKUP($A132,'SegEnds_NonXtal_BW#'!$A:$Z,6,FALSE)+VLOOKUP($A132,A:AL,7,FALSE)-50))</f>
        <v>-</v>
      </c>
      <c r="I132" s="3">
        <f>VLOOKUP($A132,'SegEnds_NonXtal_BW#'!$A:$Z,7,FALSE)+J132-50</f>
        <v>55</v>
      </c>
      <c r="J132" s="3">
        <v>68</v>
      </c>
      <c r="K132" s="3">
        <f>VLOOKUP($A132,'SegEnds_NonXtal_BW#'!$A:$Z,8,FALSE)+VLOOKUP($A132,A:AL,10,FALSE)-50</f>
        <v>84</v>
      </c>
      <c r="L132" s="3">
        <f t="shared" si="78"/>
        <v>86</v>
      </c>
      <c r="M132" s="3">
        <v>87</v>
      </c>
      <c r="N132" s="3">
        <f t="shared" si="79"/>
        <v>89</v>
      </c>
      <c r="O132" s="3">
        <f t="shared" si="80"/>
        <v>90</v>
      </c>
      <c r="P132" s="3">
        <v>119</v>
      </c>
      <c r="Q132" s="3">
        <f>VLOOKUP($A132,'SegEnds_NonXtal_BW#'!$A:$Z,12,FALSE)+VLOOKUP($A132,A:AL,16,FALSE)-50</f>
        <v>125</v>
      </c>
      <c r="R132" s="3">
        <f>IF(ISERROR(VLOOKUP($A132,'SegEnds_NonXtal_BW#'!$A:$Z,13,FALSE)+VLOOKUP($A132,A:AL,19,FALSE)-50),"-",VLOOKUP($A132,'SegEnds_NonXtal_BW#'!$A:$Z,13,FALSE)+VLOOKUP($A132,A:AL,19,FALSE)-50)</f>
        <v>126</v>
      </c>
      <c r="S132" s="3">
        <v>126</v>
      </c>
      <c r="T132" s="100">
        <f>IF(ISERROR(VLOOKUP($A132,'SegEnds_NonXtal_BW#'!$A:$Z,14,FALSE)+VLOOKUP($A132,A:AL,19,FALSE)-50),"-",(VLOOKUP($A132,'SegEnds_NonXtal_BW#'!$A:$Z,14,FALSE)+VLOOKUP($A132,A:AL,19,FALSE)-50))</f>
        <v>133</v>
      </c>
      <c r="U132" s="9">
        <f>IF(ISERROR(VLOOKUP($A132,'SegEnds_NonXtal_BW#'!$A:$Z,15,FALSE)+VLOOKUP($A132,A:AL,22,FALSE)-50),"-",VLOOKUP($A132,'SegEnds_NonXtal_BW#'!$A:$Z,15,FALSE)+VLOOKUP($A132,A:AL,22,FALSE)-50)</f>
        <v>134</v>
      </c>
      <c r="V132" s="3">
        <v>146</v>
      </c>
      <c r="W132" s="3">
        <f>IF(ISERROR(VLOOKUP($A132,'SegEnds_NonXtal_BW#'!$A:$Z,16,FALSE)+VLOOKUP($A132,A:AL,22,FALSE)-50),"-",(VLOOKUP($A132,'SegEnds_NonXtal_BW#'!$A:$Z,16,FALSE)+VLOOKUP($A132,A:AL,22,FALSE)-50))</f>
        <v>160</v>
      </c>
      <c r="X132" s="3">
        <f>IF(ISERROR(VLOOKUP($A132,'SegEnds_NonXtal_BW#'!$A:$Z,17,FALSE)+VLOOKUP($A132,A:AL,25,FALSE)-50),"-",(VLOOKUP($A132,'SegEnds_NonXtal_BW#'!$A:$Z,17,FALSE)+VLOOKUP($A132,A:AL,25,FALSE)-50))</f>
        <v>172</v>
      </c>
      <c r="Y132" s="3">
        <v>172</v>
      </c>
      <c r="Z132" s="3">
        <f>Y132+2</f>
        <v>174</v>
      </c>
      <c r="AA132" s="3">
        <f>IF(ISERROR(VLOOKUP($A132,'SegEnds_NonXtal_BW#'!$A:$Z,19,FALSE)+VLOOKUP($A132,A:AL,28,FALSE)-50),"-",(VLOOKUP($A132,'SegEnds_NonXtal_BW#'!$A:$Z,19,FALSE)+VLOOKUP($A132,A:AL,28,FALSE)-50))</f>
        <v>179</v>
      </c>
      <c r="AB132" s="3">
        <v>199</v>
      </c>
      <c r="AC132" s="3">
        <f>IF(ISERROR((VLOOKUP($A132,'SegEnds_NonXtal_BW#'!$A:$Z,20,FALSE)+VLOOKUP($A132,A:AL,28,FALSE)-50)),"-",(VLOOKUP($A132,'SegEnds_NonXtal_BW#'!$A:$Z,20,FALSE)+VLOOKUP($A132,A:AL,28,FALSE)-50))</f>
        <v>217</v>
      </c>
      <c r="AD132" s="3">
        <f>IF(ISERROR(VLOOKUP($A132,'SegEnds_NonXtal_BW#'!$A:$Z,21,FALSE)+VLOOKUP($A132,A:AL,31,FALSE)-50),"-",(VLOOKUP($A132,'SegEnds_NonXtal_BW#'!$A:$Z,21,FALSE)+VLOOKUP($A132,A:AL,31,FALSE)-50))</f>
        <v>221</v>
      </c>
      <c r="AE132" s="3">
        <v>247</v>
      </c>
      <c r="AF132" s="3">
        <f>IF(ISERROR((VLOOKUP($A132,'SegEnds_NonXtal_BW#'!$A:$Z,22,FALSE)+VLOOKUP($A132,A:AL,31,FALSE)-50)),"-",(VLOOKUP($A132,'SegEnds_NonXtal_BW#'!$A:$Z,22,FALSE)+VLOOKUP($A132,A:AL,31,FALSE)-50))</f>
        <v>258</v>
      </c>
      <c r="AG132" s="3">
        <f>IF(ISERROR(VLOOKUP($A132,'SegEnds_NonXtal_BW#'!$A:$Z,23,FALSE)+VLOOKUP($A132,A:AL,34,FALSE)-50),"-",(VLOOKUP($A132,'SegEnds_NonXtal_BW#'!$A:$Z,23,FALSE)+VLOOKUP($A132,A:AL,34,FALSE)-50))</f>
        <v>264</v>
      </c>
      <c r="AH132" s="3">
        <v>283</v>
      </c>
      <c r="AI132" s="3">
        <f>IF(ISERROR((VLOOKUP($A132,'SegEnds_NonXtal_BW#'!$A:$Z,24,FALSE)+VLOOKUP($A132,A:AL,34,FALSE)-50)),"-",(VLOOKUP($A132,'SegEnds_NonXtal_BW#'!$A:$Z,24,FALSE)+VLOOKUP($A132,A:AL,34,FALSE)-50))</f>
        <v>289</v>
      </c>
      <c r="AJ132" s="3">
        <f>IF(ISERROR(VLOOKUP($A132,'SegEnds_NonXtal_BW#'!$A:$Z,25,FALSE)+VLOOKUP($A132,A:AL,37,FALSE)-50),"-",(VLOOKUP($A132,'SegEnds_NonXtal_BW#'!$A:$Z,25,FALSE)+VLOOKUP($A132,A:AL,37,FALSE)-50))</f>
        <v>290</v>
      </c>
      <c r="AK132" s="3">
        <v>293</v>
      </c>
      <c r="AL132" s="3">
        <f>IF(ISERROR((VLOOKUP($A132,'SegEnds_NonXtal_BW#'!$A:$Z,26,FALSE)+VLOOKUP($A132,A:AL,37,FALSE)-50)),"-",(VLOOKUP($A132,'SegEnds_NonXtal_BW#'!$A:$Z,26,FALSE)+VLOOKUP($A132,A:AL,37,FALSE)-50))</f>
        <v>302</v>
      </c>
      <c r="AM132" s="28" t="str">
        <f>VLOOKUP(A132,Classification!A:B,2,FALSE)</f>
        <v>A</v>
      </c>
      <c r="AN132" s="28" t="b">
        <f t="shared" si="55"/>
        <v>1</v>
      </c>
      <c r="AO132" s="3" t="str">
        <f>IF(ISERROR(MATCH(A132,'SegEnds_Xtal_Prot#'!B:B, 0)), "NoXtal", "Xtal")</f>
        <v>NoXtal</v>
      </c>
      <c r="AP132" s="3" t="str">
        <f t="shared" ref="AP132:AP195" si="81">IF(ISERROR(F132-E132),"-",F132-E132)</f>
        <v>-</v>
      </c>
      <c r="AQ132" s="3" t="str">
        <f t="shared" ref="AQ132:AQ195" si="82">IF(ISERROR(I132-H132),"-",I132-H132)</f>
        <v>-</v>
      </c>
      <c r="AR132" s="3">
        <f t="shared" ref="AR132:AR195" si="83">IF(ISERROR(L132-K132),"-",L132-K132)</f>
        <v>2</v>
      </c>
      <c r="AS132" s="3">
        <f t="shared" ref="AS132:AS195" si="84">IF(ISERROR(O132-N132),"-",O132-N132)</f>
        <v>1</v>
      </c>
      <c r="AT132" s="3">
        <f t="shared" ref="AT132:AT195" si="85">IF(ISERROR(R132-Q132),"-",R132-Q132)</f>
        <v>1</v>
      </c>
      <c r="AU132" s="3">
        <f t="shared" ref="AU132:AU195" si="86">IF(ISERROR(U132-T132),"-",U132-T132)</f>
        <v>1</v>
      </c>
      <c r="AV132" s="3">
        <f t="shared" ref="AV132:AV195" si="87">IF(ISERROR(X132-W132),"-",X132-W132)</f>
        <v>12</v>
      </c>
      <c r="AW132" s="3">
        <f t="shared" ref="AW132:AW195" si="88">IF(ISERROR(AA132-Z132),"-",AA132-Z132)</f>
        <v>5</v>
      </c>
      <c r="AX132" s="3">
        <f t="shared" ref="AX132:AX195" si="89">IF(ISERROR(AD132-AC132),"-",AD132-AC132)</f>
        <v>4</v>
      </c>
      <c r="AY132" s="3">
        <f t="shared" ref="AY132:AY195" si="90">IF(ISERROR(AG132-AF132),"-",AG132-AF132)</f>
        <v>6</v>
      </c>
      <c r="AZ132" s="3">
        <f t="shared" ref="AZ132:AZ195" si="91">IF(ISERROR(AJ132-AI132),"-",AJ132-AI132)</f>
        <v>1</v>
      </c>
      <c r="BA132" s="3">
        <f>IF(ISERROR(LEN(VLOOKUP(A132,Seqs!A:E,2,FALSE))-AL132),"-",LEN(VLOOKUP(A132,Seqs!A:E,2,FALSE))-AL132)</f>
        <v>29</v>
      </c>
      <c r="BB132" s="16">
        <f t="shared" ref="BB132:BB195" si="92">J132-D132</f>
        <v>28</v>
      </c>
      <c r="BC132" s="9">
        <f t="shared" ref="BC132:BC195" si="93">IF(ISERROR(V132-S132),"-",V132-S132)</f>
        <v>20</v>
      </c>
      <c r="BD132" s="3">
        <f t="shared" ref="BD132:BD195" si="94">J132-D132</f>
        <v>28</v>
      </c>
      <c r="BE132" s="3">
        <f t="shared" ref="BE132:BE195" si="95">AE132-AB132</f>
        <v>48</v>
      </c>
      <c r="BF132" s="3">
        <f>AH132-AE132</f>
        <v>36</v>
      </c>
    </row>
    <row r="133" spans="1:58" s="3" customFormat="1" x14ac:dyDescent="0.2">
      <c r="A133" s="3" t="s">
        <v>243</v>
      </c>
      <c r="B133" s="3" t="str">
        <f>LOWER(VLOOKUP(A133,Xtal_Templ!A:B,2,FALSE))</f>
        <v>oprk_human</v>
      </c>
      <c r="C133" s="3">
        <f>VLOOKUP($A133,'SegEnds_NonXtal_BW#'!$A:$Z,3,FALSE)+D133-50</f>
        <v>51</v>
      </c>
      <c r="D133" s="3">
        <v>71</v>
      </c>
      <c r="E133" s="3">
        <f>IF(ISERROR(VLOOKUP($A133,'SegEnds_NonXtal_BW#'!$A:$Z,4,FALSE)+VLOOKUP($A133,A:AL,4,FALSE)-50),"-",(VLOOKUP($A133,'SegEnds_NonXtal_BW#'!$A:$Z,4,FALSE)+VLOOKUP($A133,A:AL,4,FALSE)-50))</f>
        <v>81</v>
      </c>
      <c r="F133" s="3">
        <f t="shared" ref="F133:F138" si="96">G133-2</f>
        <v>82</v>
      </c>
      <c r="G133" s="3">
        <v>84</v>
      </c>
      <c r="H133" s="3">
        <f t="shared" ref="H133:I138" si="97">G133+1</f>
        <v>85</v>
      </c>
      <c r="I133" s="3">
        <f t="shared" si="97"/>
        <v>86</v>
      </c>
      <c r="J133" s="3">
        <v>99</v>
      </c>
      <c r="K133" s="3">
        <f>VLOOKUP($A133,'SegEnds_NonXtal_BW#'!$A:$Z,8,FALSE)+VLOOKUP($A133,A:AL,10,FALSE)-50</f>
        <v>115</v>
      </c>
      <c r="L133" s="3" t="str">
        <f>IF(ISERROR(VLOOKUP($A133,'SegEnds_NonXtal_BW#'!$A:$Z,9,FALSE)+VLOOKUP($A133,A:AL,13,FALSE)-50),"-",(VLOOKUP($A133,'SegEnds_NonXtal_BW#'!$A:$Z,9,FALSE)+VLOOKUP($A133,A:AL,13,FALSE)-50))</f>
        <v>-</v>
      </c>
      <c r="M133" s="3" t="s">
        <v>23</v>
      </c>
      <c r="N133" s="3" t="str">
        <f>IF(ISERROR(VLOOKUP($A133,'SegEnds_NonXtal_BW#'!$A:$Z,10,FALSE)+VLOOKUP($A133,A:AL,13,FALSE)-50),"-",(VLOOKUP($A133,'SegEnds_NonXtal_BW#'!$A:$Z,10,FALSE)+VLOOKUP($A133,A:AL,13,FALSE)-50))</f>
        <v>-</v>
      </c>
      <c r="O133" s="3">
        <f>VLOOKUP($A133,'SegEnds_NonXtal_BW#'!$A:$Z,11,FALSE)+VLOOKUP($A133,A:AL,16,FALSE)-50</f>
        <v>122</v>
      </c>
      <c r="P133" s="3">
        <v>148</v>
      </c>
      <c r="Q133" s="3">
        <f>VLOOKUP($A133,'SegEnds_NonXtal_BW#'!$A:$Z,12,FALSE)+VLOOKUP($A133,A:AL,16,FALSE)-50</f>
        <v>154</v>
      </c>
      <c r="R133" s="3">
        <f>IF(ISERROR(VLOOKUP($A133,'SegEnds_NonXtal_BW#'!$A:$Z,13,FALSE)+VLOOKUP($A133,A:AL,19,FALSE)-50),"-",VLOOKUP($A133,'SegEnds_NonXtal_BW#'!$A:$Z,13,FALSE)+VLOOKUP($A133,A:AL,19,FALSE)-50)</f>
        <v>155</v>
      </c>
      <c r="S133" s="3">
        <v>155</v>
      </c>
      <c r="T133" s="100">
        <f>IF(ISERROR(VLOOKUP($A133,'SegEnds_NonXtal_BW#'!$A:$Z,14,FALSE)+VLOOKUP($A133,A:AL,19,FALSE)-50),"-",(VLOOKUP($A133,'SegEnds_NonXtal_BW#'!$A:$Z,14,FALSE)+VLOOKUP($A133,A:AL,19,FALSE)-50))</f>
        <v>162</v>
      </c>
      <c r="U133" s="9">
        <f>IF(ISERROR(VLOOKUP($A133,'SegEnds_NonXtal_BW#'!$A:$Z,15,FALSE)+VLOOKUP($A133,A:AL,22,FALSE)-50),"-",VLOOKUP($A133,'SegEnds_NonXtal_BW#'!$A:$Z,15,FALSE)+VLOOKUP($A133,A:AL,22,FALSE)-50)</f>
        <v>163</v>
      </c>
      <c r="V133" s="3">
        <v>175</v>
      </c>
      <c r="W133" s="3">
        <f>IF(ISERROR(VLOOKUP($A133,'SegEnds_NonXtal_BW#'!$A:$Z,16,FALSE)+VLOOKUP($A133,A:AL,22,FALSE)-50),"-",(VLOOKUP($A133,'SegEnds_NonXtal_BW#'!$A:$Z,16,FALSE)+VLOOKUP($A133,A:AL,22,FALSE)-50))</f>
        <v>189</v>
      </c>
      <c r="X133" s="3" t="str">
        <f>IF(ISERROR(VLOOKUP($A133,'SegEnds_NonXtal_BW#'!$A:$Z,17,FALSE)+VLOOKUP($A133,A:AL,25,FALSE)-50),"-",(VLOOKUP($A133,'SegEnds_NonXtal_BW#'!$A:$Z,17,FALSE)+VLOOKUP($A133,A:AL,25,FALSE)-50))</f>
        <v>-</v>
      </c>
      <c r="Y133" s="3" t="s">
        <v>23</v>
      </c>
      <c r="Z133" s="3" t="str">
        <f>IF(ISERROR(VLOOKUP($A133,'SegEnds_NonXtal_BW#'!$A:$Z,18,FALSE)+VLOOKUP($A133,A:AL,25,FALSE)-50),"-",(VLOOKUP($A133,'SegEnds_NonXtal_BW#'!$A:$Z,18,FALSE)+VLOOKUP($A133,A:AL,25,FALSE)-50))</f>
        <v>-</v>
      </c>
      <c r="AA133" s="3">
        <f>IF(ISERROR(VLOOKUP($A133,'SegEnds_NonXtal_BW#'!$A:$Z,19,FALSE)+VLOOKUP($A133,A:AL,28,FALSE)-50),"-",(VLOOKUP($A133,'SegEnds_NonXtal_BW#'!$A:$Z,19,FALSE)+VLOOKUP($A133,A:AL,28,FALSE)-50))</f>
        <v>196</v>
      </c>
      <c r="AB133" s="3">
        <v>208</v>
      </c>
      <c r="AC133" s="3">
        <f>IF(ISERROR((VLOOKUP($A133,'SegEnds_NonXtal_BW#'!$A:$Z,20,FALSE)+VLOOKUP($A133,A:AL,28,FALSE)-50)),"-",(VLOOKUP($A133,'SegEnds_NonXtal_BW#'!$A:$Z,20,FALSE)+VLOOKUP($A133,A:AL,28,FALSE)-50))</f>
        <v>226</v>
      </c>
      <c r="AD133" s="3">
        <f>IF(ISERROR(VLOOKUP($A133,'SegEnds_NonXtal_BW#'!$A:$Z,21,FALSE)+VLOOKUP($A133,A:AL,31,FALSE)-50),"-",(VLOOKUP($A133,'SegEnds_NonXtal_BW#'!$A:$Z,21,FALSE)+VLOOKUP($A133,A:AL,31,FALSE)-50))</f>
        <v>230</v>
      </c>
      <c r="AE133" s="3">
        <v>256</v>
      </c>
      <c r="AF133" s="3">
        <f>IF(ISERROR((VLOOKUP($A133,'SegEnds_NonXtal_BW#'!$A:$Z,22,FALSE)+VLOOKUP($A133,A:AL,31,FALSE)-50)),"-",(VLOOKUP($A133,'SegEnds_NonXtal_BW#'!$A:$Z,22,FALSE)+VLOOKUP($A133,A:AL,31,FALSE)-50))</f>
        <v>267</v>
      </c>
      <c r="AG133" s="3">
        <f>IF(ISERROR(VLOOKUP($A133,'SegEnds_NonXtal_BW#'!$A:$Z,23,FALSE)+VLOOKUP($A133,A:AL,34,FALSE)-50),"-",(VLOOKUP($A133,'SegEnds_NonXtal_BW#'!$A:$Z,23,FALSE)+VLOOKUP($A133,A:AL,34,FALSE)-50))</f>
        <v>272</v>
      </c>
      <c r="AH133" s="3">
        <v>294</v>
      </c>
      <c r="AI133" s="3">
        <f>IF(ISERROR((VLOOKUP($A133,'SegEnds_NonXtal_BW#'!$A:$Z,24,FALSE)+VLOOKUP($A133,A:AL,34,FALSE)-50)),"-",(VLOOKUP($A133,'SegEnds_NonXtal_BW#'!$A:$Z,24,FALSE)+VLOOKUP($A133,A:AL,34,FALSE)-50))</f>
        <v>300</v>
      </c>
      <c r="AJ133" s="3">
        <f>IF(ISERROR(VLOOKUP($A133,'SegEnds_NonXtal_BW#'!$A:$Z,25,FALSE)+VLOOKUP($A133,A:AL,37,FALSE)-50),"-",(VLOOKUP($A133,'SegEnds_NonXtal_BW#'!$A:$Z,25,FALSE)+VLOOKUP($A133,A:AL,37,FALSE)-50))</f>
        <v>301</v>
      </c>
      <c r="AK133" s="3">
        <v>304</v>
      </c>
      <c r="AL133" s="3">
        <f>IF(ISERROR((VLOOKUP($A133,'SegEnds_NonXtal_BW#'!$A:$Z,26,FALSE)+VLOOKUP($A133,A:AL,37,FALSE)-50)),"-",(VLOOKUP($A133,'SegEnds_NonXtal_BW#'!$A:$Z,26,FALSE)+VLOOKUP($A133,A:AL,37,FALSE)-50))</f>
        <v>313</v>
      </c>
      <c r="AM133" s="28" t="str">
        <f>VLOOKUP(A133,Classification!A:B,2,FALSE)</f>
        <v>A</v>
      </c>
      <c r="AN133" s="28" t="b">
        <f t="shared" ref="AN133:AN196" si="98">AND(IF(Y133="-",IF(AA133-W133&gt;3,TRUE,FALSE),TRUE),IF(M133="-",IF(O133-K133&gt;3,TRUE,FALSE),TRUE),IF(AG133-AF133&gt;1,TRUE,FALSE),C133&lt;E133,OR(E133&lt;F133,F133="-"),OR(F133&lt;H133,F133="-"),OR(H133&lt;I133,H133="-"),I133&lt;K133,OR(K133&lt;L133,L133="-"),OR(L133&lt;N133,L133="-"),OR(N133&lt;O133,N133="-"),O133&lt;Q133,OR(Q133&lt;R133,R133="-"),OR(R133&lt;T133,R133="-"),OR(T133&lt;U133,T133="-"),U133&lt;W133,OR(W133&lt;X133,X133="-"),OR(X133&lt;Z133,X133="-"),OR(Z133&lt;AA133,Z133="-"),AA133&lt;AC133,AC133&lt;AD133,AD133&lt;AF133,AF133&lt;AG133,AG133&lt;AI133,OR(AI133&lt;AJ133,AJ133="-"),OR(AJ133&lt;AL133,AJ133="-"))</f>
        <v>1</v>
      </c>
      <c r="AO133" s="3" t="str">
        <f>IF(ISERROR(MATCH(A133,'SegEnds_Xtal_Prot#'!B:B, 0)), "NoXtal", "Xtal")</f>
        <v>NoXtal</v>
      </c>
      <c r="AP133" s="3">
        <f t="shared" si="81"/>
        <v>1</v>
      </c>
      <c r="AQ133" s="3">
        <f t="shared" si="82"/>
        <v>1</v>
      </c>
      <c r="AR133" s="3" t="str">
        <f t="shared" si="83"/>
        <v>-</v>
      </c>
      <c r="AS133" s="3" t="str">
        <f t="shared" si="84"/>
        <v>-</v>
      </c>
      <c r="AT133" s="3">
        <f t="shared" si="85"/>
        <v>1</v>
      </c>
      <c r="AU133" s="3">
        <f t="shared" si="86"/>
        <v>1</v>
      </c>
      <c r="AV133" s="3" t="str">
        <f t="shared" si="87"/>
        <v>-</v>
      </c>
      <c r="AW133" s="3" t="str">
        <f t="shared" si="88"/>
        <v>-</v>
      </c>
      <c r="AX133" s="3">
        <f t="shared" si="89"/>
        <v>4</v>
      </c>
      <c r="AY133" s="3">
        <f t="shared" si="90"/>
        <v>5</v>
      </c>
      <c r="AZ133" s="3">
        <f t="shared" si="91"/>
        <v>1</v>
      </c>
      <c r="BA133" s="3">
        <f>IF(ISERROR(LEN(VLOOKUP(A133,Seqs!A:E,2,FALSE))-AL133),"-",LEN(VLOOKUP(A133,Seqs!A:E,2,FALSE))-AL133)</f>
        <v>45</v>
      </c>
      <c r="BB133" s="16">
        <f t="shared" si="92"/>
        <v>28</v>
      </c>
      <c r="BC133" s="9">
        <f t="shared" si="93"/>
        <v>20</v>
      </c>
      <c r="BD133" s="3">
        <f t="shared" si="94"/>
        <v>28</v>
      </c>
      <c r="BE133" s="3">
        <f t="shared" si="95"/>
        <v>48</v>
      </c>
    </row>
    <row r="134" spans="1:58" s="3" customFormat="1" x14ac:dyDescent="0.2">
      <c r="A134" s="3" t="s">
        <v>244</v>
      </c>
      <c r="B134" s="3" t="str">
        <f>LOWER(VLOOKUP(A134,Xtal_Templ!A:B,2,FALSE))</f>
        <v>5ht2c_human</v>
      </c>
      <c r="C134" s="3">
        <f>VLOOKUP($A134,'SegEnds_NonXtal_BW#'!$A:$Z,3,FALSE)+D134-50</f>
        <v>29</v>
      </c>
      <c r="D134" s="3">
        <v>46</v>
      </c>
      <c r="E134" s="3">
        <f>IF(ISERROR(VLOOKUP($A134,'SegEnds_NonXtal_BW#'!$A:$Z,4,FALSE)+VLOOKUP($A134,A:AL,4,FALSE)-50),"-",(VLOOKUP($A134,'SegEnds_NonXtal_BW#'!$A:$Z,4,FALSE)+VLOOKUP($A134,A:AL,4,FALSE)-50))</f>
        <v>56</v>
      </c>
      <c r="F134" s="3">
        <f t="shared" si="96"/>
        <v>57</v>
      </c>
      <c r="G134" s="3">
        <v>59</v>
      </c>
      <c r="H134" s="3">
        <f t="shared" si="97"/>
        <v>60</v>
      </c>
      <c r="I134" s="3">
        <f t="shared" si="97"/>
        <v>61</v>
      </c>
      <c r="J134" s="3">
        <v>75</v>
      </c>
      <c r="K134" s="3">
        <f>VLOOKUP($A134,'SegEnds_NonXtal_BW#'!$A:$Z,8,FALSE)+VLOOKUP($A134,A:AL,10,FALSE)-50</f>
        <v>91</v>
      </c>
      <c r="L134" s="3" t="str">
        <f>IF(ISERROR(VLOOKUP($A134,'SegEnds_NonXtal_BW#'!$A:$Z,9,FALSE)+VLOOKUP($A134,A:AL,13,FALSE)-50),"-",(VLOOKUP($A134,'SegEnds_NonXtal_BW#'!$A:$Z,9,FALSE)+VLOOKUP($A134,A:AL,13,FALSE)-50))</f>
        <v>-</v>
      </c>
      <c r="M134" s="3" t="s">
        <v>23</v>
      </c>
      <c r="N134" s="3" t="str">
        <f>IF(ISERROR(VLOOKUP($A134,'SegEnds_NonXtal_BW#'!$A:$Z,10,FALSE)+VLOOKUP($A134,A:AL,13,FALSE)-50),"-",(VLOOKUP($A134,'SegEnds_NonXtal_BW#'!$A:$Z,10,FALSE)+VLOOKUP($A134,A:AL,13,FALSE)-50))</f>
        <v>-</v>
      </c>
      <c r="O134" s="3">
        <f>VLOOKUP($A134,'SegEnds_NonXtal_BW#'!$A:$Z,11,FALSE)+VLOOKUP($A134,A:AL,16,FALSE)-50</f>
        <v>95</v>
      </c>
      <c r="P134" s="3">
        <v>127</v>
      </c>
      <c r="Q134" s="3">
        <f>VLOOKUP($A134,'SegEnds_NonXtal_BW#'!$A:$Z,12,FALSE)+VLOOKUP($A134,A:AL,16,FALSE)-50</f>
        <v>133</v>
      </c>
      <c r="R134" s="3">
        <f>IF(ISERROR(VLOOKUP($A134,'SegEnds_NonXtal_BW#'!$A:$Z,13,FALSE)+VLOOKUP($A134,A:AL,19,FALSE)-50),"-",VLOOKUP($A134,'SegEnds_NonXtal_BW#'!$A:$Z,13,FALSE)+VLOOKUP($A134,A:AL,19,FALSE)-50)</f>
        <v>134</v>
      </c>
      <c r="S134" s="3">
        <v>134</v>
      </c>
      <c r="T134" s="100">
        <f>IF(ISERROR(VLOOKUP($A134,'SegEnds_NonXtal_BW#'!$A:$Z,14,FALSE)+VLOOKUP($A134,A:AL,19,FALSE)-50),"-",(VLOOKUP($A134,'SegEnds_NonXtal_BW#'!$A:$Z,14,FALSE)+VLOOKUP($A134,A:AL,19,FALSE)-50))</f>
        <v>141</v>
      </c>
      <c r="U134" s="9">
        <f>IF(ISERROR(VLOOKUP($A134,'SegEnds_NonXtal_BW#'!$A:$Z,15,FALSE)+VLOOKUP($A134,A:AL,22,FALSE)-50),"-",VLOOKUP($A134,'SegEnds_NonXtal_BW#'!$A:$Z,15,FALSE)+VLOOKUP($A134,A:AL,22,FALSE)-50)</f>
        <v>142</v>
      </c>
      <c r="V134" s="3">
        <v>154</v>
      </c>
      <c r="W134" s="3">
        <f>IF(ISERROR(VLOOKUP($A134,'SegEnds_NonXtal_BW#'!$A:$Z,16,FALSE)+VLOOKUP($A134,A:AL,22,FALSE)-50),"-",(VLOOKUP($A134,'SegEnds_NonXtal_BW#'!$A:$Z,16,FALSE)+VLOOKUP($A134,A:AL,22,FALSE)-50))</f>
        <v>171</v>
      </c>
      <c r="X134" s="3">
        <f>IF(ISERROR(VLOOKUP($A134,'SegEnds_NonXtal_BW#'!$A:$Z,17,FALSE)+VLOOKUP($A134,A:AL,25,FALSE)-50),"-",(VLOOKUP($A134,'SegEnds_NonXtal_BW#'!$A:$Z,17,FALSE)+VLOOKUP($A134,A:AL,25,FALSE)-50))</f>
        <v>181</v>
      </c>
      <c r="Y134" s="3">
        <v>181</v>
      </c>
      <c r="Z134" s="3">
        <f>Y134+2</f>
        <v>183</v>
      </c>
      <c r="AA134" s="3">
        <f>IF(ISERROR(VLOOKUP($A134,'SegEnds_NonXtal_BW#'!$A:$Z,19,FALSE)+VLOOKUP($A134,A:AL,28,FALSE)-50),"-",(VLOOKUP($A134,'SegEnds_NonXtal_BW#'!$A:$Z,19,FALSE)+VLOOKUP($A134,A:AL,28,FALSE)-50))</f>
        <v>187</v>
      </c>
      <c r="AB134" s="3">
        <v>202</v>
      </c>
      <c r="AC134" s="3">
        <f>IF(ISERROR((VLOOKUP($A134,'SegEnds_NonXtal_BW#'!$A:$Z,20,FALSE)+VLOOKUP($A134,A:AL,28,FALSE)-50)),"-",(VLOOKUP($A134,'SegEnds_NonXtal_BW#'!$A:$Z,20,FALSE)+VLOOKUP($A134,A:AL,28,FALSE)-50))</f>
        <v>226</v>
      </c>
      <c r="AD134" s="3">
        <f>IF(ISERROR(VLOOKUP($A134,'SegEnds_NonXtal_BW#'!$A:$Z,21,FALSE)+VLOOKUP($A134,A:AL,31,FALSE)-50),"-",(VLOOKUP($A134,'SegEnds_NonXtal_BW#'!$A:$Z,21,FALSE)+VLOOKUP($A134,A:AL,31,FALSE)-50))</f>
        <v>238</v>
      </c>
      <c r="AE134" s="3">
        <v>267</v>
      </c>
      <c r="AF134" s="3">
        <f>IF(ISERROR((VLOOKUP($A134,'SegEnds_NonXtal_BW#'!$A:$Z,22,FALSE)+VLOOKUP($A134,A:AL,31,FALSE)-50)),"-",(VLOOKUP($A134,'SegEnds_NonXtal_BW#'!$A:$Z,22,FALSE)+VLOOKUP($A134,A:AL,31,FALSE)-50))</f>
        <v>278</v>
      </c>
      <c r="AG134" s="3">
        <f>IF(ISERROR(VLOOKUP($A134,'SegEnds_NonXtal_BW#'!$A:$Z,23,FALSE)+VLOOKUP($A134,A:AL,34,FALSE)-50),"-",(VLOOKUP($A134,'SegEnds_NonXtal_BW#'!$A:$Z,23,FALSE)+VLOOKUP($A134,A:AL,34,FALSE)-50))</f>
        <v>283</v>
      </c>
      <c r="AH134" s="3">
        <v>301</v>
      </c>
      <c r="AI134" s="3">
        <f>IF(ISERROR((VLOOKUP($A134,'SegEnds_NonXtal_BW#'!$A:$Z,24,FALSE)+VLOOKUP($A134,A:AL,34,FALSE)-50)),"-",(VLOOKUP($A134,'SegEnds_NonXtal_BW#'!$A:$Z,24,FALSE)+VLOOKUP($A134,A:AL,34,FALSE)-50))</f>
        <v>307</v>
      </c>
      <c r="AJ134" s="3">
        <f>IF(ISERROR(VLOOKUP($A134,'SegEnds_NonXtal_BW#'!$A:$Z,25,FALSE)+VLOOKUP($A134,A:AL,37,FALSE)-50),"-",(VLOOKUP($A134,'SegEnds_NonXtal_BW#'!$A:$Z,25,FALSE)+VLOOKUP($A134,A:AL,37,FALSE)-50))</f>
        <v>308</v>
      </c>
      <c r="AK134" s="3">
        <v>311</v>
      </c>
      <c r="AL134" s="3">
        <f>IF(ISERROR((VLOOKUP($A134,'SegEnds_NonXtal_BW#'!$A:$Z,26,FALSE)+VLOOKUP($A134,A:AL,37,FALSE)-50)),"-",(VLOOKUP($A134,'SegEnds_NonXtal_BW#'!$A:$Z,26,FALSE)+VLOOKUP($A134,A:AL,37,FALSE)-50))</f>
        <v>321</v>
      </c>
      <c r="AM134" s="28" t="str">
        <f>VLOOKUP(A134,Classification!A:B,2,FALSE)</f>
        <v>A</v>
      </c>
      <c r="AN134" s="28" t="b">
        <f t="shared" si="98"/>
        <v>1</v>
      </c>
      <c r="AO134" s="3" t="str">
        <f>IF(ISERROR(MATCH(A134,'SegEnds_Xtal_Prot#'!B:B, 0)), "NoXtal", "Xtal")</f>
        <v>NoXtal</v>
      </c>
      <c r="AP134" s="3">
        <f t="shared" si="81"/>
        <v>1</v>
      </c>
      <c r="AQ134" s="3">
        <f t="shared" si="82"/>
        <v>1</v>
      </c>
      <c r="AR134" s="3" t="str">
        <f t="shared" si="83"/>
        <v>-</v>
      </c>
      <c r="AS134" s="3" t="str">
        <f t="shared" si="84"/>
        <v>-</v>
      </c>
      <c r="AT134" s="3">
        <f t="shared" si="85"/>
        <v>1</v>
      </c>
      <c r="AU134" s="3">
        <f t="shared" si="86"/>
        <v>1</v>
      </c>
      <c r="AV134" s="3">
        <f t="shared" si="87"/>
        <v>10</v>
      </c>
      <c r="AW134" s="3">
        <f t="shared" si="88"/>
        <v>4</v>
      </c>
      <c r="AX134" s="3">
        <f t="shared" si="89"/>
        <v>12</v>
      </c>
      <c r="AY134" s="3">
        <f t="shared" si="90"/>
        <v>5</v>
      </c>
      <c r="AZ134" s="3">
        <f t="shared" si="91"/>
        <v>1</v>
      </c>
      <c r="BA134" s="3">
        <f>IF(ISERROR(LEN(VLOOKUP(A134,Seqs!A:E,2,FALSE))-AL134),"-",LEN(VLOOKUP(A134,Seqs!A:E,2,FALSE))-AL134)</f>
        <v>28</v>
      </c>
      <c r="BB134" s="16">
        <f t="shared" si="92"/>
        <v>29</v>
      </c>
      <c r="BC134" s="9">
        <f t="shared" si="93"/>
        <v>20</v>
      </c>
      <c r="BD134" s="3">
        <f t="shared" si="94"/>
        <v>29</v>
      </c>
      <c r="BE134" s="3">
        <f t="shared" si="95"/>
        <v>65</v>
      </c>
    </row>
    <row r="135" spans="1:58" s="3" customFormat="1" x14ac:dyDescent="0.2">
      <c r="A135" s="3" t="s">
        <v>246</v>
      </c>
      <c r="B135" s="3" t="str">
        <f>LOWER(VLOOKUP(A135,Xtal_Templ!A:B,2,FALSE))</f>
        <v>agtr1_human</v>
      </c>
      <c r="C135" s="3">
        <f>VLOOKUP($A135,'SegEnds_NonXtal_BW#'!$A:$Z,3,FALSE)+D135-50</f>
        <v>35</v>
      </c>
      <c r="D135" s="3">
        <v>57</v>
      </c>
      <c r="E135" s="3">
        <f>IF(ISERROR(VLOOKUP($A135,'SegEnds_NonXtal_BW#'!$A:$Z,4,FALSE)+VLOOKUP($A135,A:AL,4,FALSE)-50),"-",(VLOOKUP($A135,'SegEnds_NonXtal_BW#'!$A:$Z,4,FALSE)+VLOOKUP($A135,A:AL,4,FALSE)-50))</f>
        <v>67</v>
      </c>
      <c r="F135" s="3">
        <f t="shared" si="96"/>
        <v>68</v>
      </c>
      <c r="G135" s="3">
        <v>70</v>
      </c>
      <c r="H135" s="3">
        <f t="shared" si="97"/>
        <v>71</v>
      </c>
      <c r="I135" s="3">
        <f t="shared" si="97"/>
        <v>72</v>
      </c>
      <c r="J135" s="3">
        <v>85</v>
      </c>
      <c r="K135" s="3">
        <f>VLOOKUP($A135,'SegEnds_NonXtal_BW#'!$A:$Z,8,FALSE)+VLOOKUP($A135,A:AL,10,FALSE)-50</f>
        <v>101</v>
      </c>
      <c r="L135" s="3">
        <f>M135-1</f>
        <v>104</v>
      </c>
      <c r="M135" s="3">
        <v>105</v>
      </c>
      <c r="N135" s="3">
        <f>M135+2</f>
        <v>107</v>
      </c>
      <c r="O135" s="3">
        <f>N135+1</f>
        <v>108</v>
      </c>
      <c r="P135" s="3">
        <v>137</v>
      </c>
      <c r="Q135" s="3">
        <f>VLOOKUP($A135,'SegEnds_NonXtal_BW#'!$A:$Z,12,FALSE)+VLOOKUP($A135,A:AL,16,FALSE)-50</f>
        <v>143</v>
      </c>
      <c r="R135" s="3">
        <f>IF(ISERROR(VLOOKUP($A135,'SegEnds_NonXtal_BW#'!$A:$Z,13,FALSE)+VLOOKUP($A135,A:AL,19,FALSE)-50),"-",VLOOKUP($A135,'SegEnds_NonXtal_BW#'!$A:$Z,13,FALSE)+VLOOKUP($A135,A:AL,19,FALSE)-50)</f>
        <v>144</v>
      </c>
      <c r="S135" s="3">
        <v>144</v>
      </c>
      <c r="T135" s="100">
        <f>IF(ISERROR(VLOOKUP($A135,'SegEnds_NonXtal_BW#'!$A:$Z,14,FALSE)+VLOOKUP($A135,A:AL,19,FALSE)-50),"-",(VLOOKUP($A135,'SegEnds_NonXtal_BW#'!$A:$Z,14,FALSE)+VLOOKUP($A135,A:AL,19,FALSE)-50))</f>
        <v>151</v>
      </c>
      <c r="U135" s="9">
        <f>IF(ISERROR(VLOOKUP($A135,'SegEnds_NonXtal_BW#'!$A:$Z,15,FALSE)+VLOOKUP($A135,A:AL,22,FALSE)-50),"-",VLOOKUP($A135,'SegEnds_NonXtal_BW#'!$A:$Z,15,FALSE)+VLOOKUP($A135,A:AL,22,FALSE)-50)</f>
        <v>152</v>
      </c>
      <c r="V135" s="3">
        <v>164</v>
      </c>
      <c r="W135" s="3">
        <f>IF(ISERROR(VLOOKUP($A135,'SegEnds_NonXtal_BW#'!$A:$Z,16,FALSE)+VLOOKUP($A135,A:AL,22,FALSE)-50),"-",(VLOOKUP($A135,'SegEnds_NonXtal_BW#'!$A:$Z,16,FALSE)+VLOOKUP($A135,A:AL,22,FALSE)-50))</f>
        <v>178</v>
      </c>
      <c r="X135" s="3">
        <f>IF(ISERROR(VLOOKUP($A135,'SegEnds_NonXtal_BW#'!$A:$Z,17,FALSE)+VLOOKUP($A135,A:AL,25,FALSE)-50),"-",(VLOOKUP($A135,'SegEnds_NonXtal_BW#'!$A:$Z,17,FALSE)+VLOOKUP($A135,A:AL,25,FALSE)-50))</f>
        <v>191</v>
      </c>
      <c r="Y135" s="3">
        <v>191</v>
      </c>
      <c r="Z135" s="3">
        <f>Y135+2</f>
        <v>193</v>
      </c>
      <c r="AA135" s="3">
        <f>IF(ISERROR(VLOOKUP($A135,'SegEnds_NonXtal_BW#'!$A:$Z,19,FALSE)+VLOOKUP($A135,A:AL,28,FALSE)-50),"-",(VLOOKUP($A135,'SegEnds_NonXtal_BW#'!$A:$Z,19,FALSE)+VLOOKUP($A135,A:AL,28,FALSE)-50))</f>
        <v>198</v>
      </c>
      <c r="AB135" s="3">
        <v>214</v>
      </c>
      <c r="AC135" s="3">
        <f>IF(ISERROR((VLOOKUP($A135,'SegEnds_NonXtal_BW#'!$A:$Z,20,FALSE)+VLOOKUP($A135,A:AL,28,FALSE)-50)),"-",(VLOOKUP($A135,'SegEnds_NonXtal_BW#'!$A:$Z,20,FALSE)+VLOOKUP($A135,A:AL,28,FALSE)-50))</f>
        <v>231</v>
      </c>
      <c r="AD135" s="3">
        <f>IF(ISERROR(VLOOKUP($A135,'SegEnds_NonXtal_BW#'!$A:$Z,21,FALSE)+VLOOKUP($A135,A:AL,31,FALSE)-50),"-",(VLOOKUP($A135,'SegEnds_NonXtal_BW#'!$A:$Z,21,FALSE)+VLOOKUP($A135,A:AL,31,FALSE)-50))</f>
        <v>237</v>
      </c>
      <c r="AE135" s="3">
        <v>259</v>
      </c>
      <c r="AF135" s="3">
        <f>IF(ISERROR((VLOOKUP($A135,'SegEnds_NonXtal_BW#'!$A:$Z,22,FALSE)+VLOOKUP($A135,A:AL,31,FALSE)-50)),"-",(VLOOKUP($A135,'SegEnds_NonXtal_BW#'!$A:$Z,22,FALSE)+VLOOKUP($A135,A:AL,31,FALSE)-50))</f>
        <v>273</v>
      </c>
      <c r="AG135" s="3">
        <f>IF(ISERROR(VLOOKUP($A135,'SegEnds_NonXtal_BW#'!$A:$Z,23,FALSE)+VLOOKUP($A135,A:AL,34,FALSE)-50),"-",(VLOOKUP($A135,'SegEnds_NonXtal_BW#'!$A:$Z,23,FALSE)+VLOOKUP($A135,A:AL,34,FALSE)-50))</f>
        <v>278</v>
      </c>
      <c r="AH135" s="3">
        <v>304</v>
      </c>
      <c r="AI135" s="3">
        <f>IF(ISERROR((VLOOKUP($A135,'SegEnds_NonXtal_BW#'!$A:$Z,24,FALSE)+VLOOKUP($A135,A:AL,34,FALSE)-50)),"-",(VLOOKUP($A135,'SegEnds_NonXtal_BW#'!$A:$Z,24,FALSE)+VLOOKUP($A135,A:AL,34,FALSE)-50))</f>
        <v>310</v>
      </c>
      <c r="AJ135" s="3">
        <f>IF(ISERROR(VLOOKUP($A135,'SegEnds_NonXtal_BW#'!$A:$Z,25,FALSE)+VLOOKUP($A135,A:AL,37,FALSE)-50),"-",(VLOOKUP($A135,'SegEnds_NonXtal_BW#'!$A:$Z,25,FALSE)+VLOOKUP($A135,A:AL,37,FALSE)-50))</f>
        <v>311</v>
      </c>
      <c r="AK135" s="3">
        <v>314</v>
      </c>
      <c r="AL135" s="3">
        <f>IF(ISERROR((VLOOKUP($A135,'SegEnds_NonXtal_BW#'!$A:$Z,26,FALSE)+VLOOKUP($A135,A:AL,37,FALSE)-50)),"-",(VLOOKUP($A135,'SegEnds_NonXtal_BW#'!$A:$Z,26,FALSE)+VLOOKUP($A135,A:AL,37,FALSE)-50))</f>
        <v>325</v>
      </c>
      <c r="AM135" s="28" t="str">
        <f>VLOOKUP(A135,Classification!A:B,2,FALSE)</f>
        <v>A</v>
      </c>
      <c r="AN135" s="28" t="b">
        <f t="shared" si="98"/>
        <v>1</v>
      </c>
      <c r="AO135" s="3" t="str">
        <f>IF(ISERROR(MATCH(A135,'SegEnds_Xtal_Prot#'!B:B, 0)), "NoXtal", "Xtal")</f>
        <v>NoXtal</v>
      </c>
      <c r="AP135" s="3">
        <f t="shared" si="81"/>
        <v>1</v>
      </c>
      <c r="AQ135" s="3">
        <f t="shared" si="82"/>
        <v>1</v>
      </c>
      <c r="AR135" s="3">
        <f t="shared" si="83"/>
        <v>3</v>
      </c>
      <c r="AS135" s="3">
        <f t="shared" si="84"/>
        <v>1</v>
      </c>
      <c r="AT135" s="3">
        <f t="shared" si="85"/>
        <v>1</v>
      </c>
      <c r="AU135" s="3">
        <f t="shared" si="86"/>
        <v>1</v>
      </c>
      <c r="AV135" s="3">
        <f t="shared" si="87"/>
        <v>13</v>
      </c>
      <c r="AW135" s="3">
        <f t="shared" si="88"/>
        <v>5</v>
      </c>
      <c r="AX135" s="3">
        <f t="shared" si="89"/>
        <v>6</v>
      </c>
      <c r="AY135" s="3">
        <f t="shared" si="90"/>
        <v>5</v>
      </c>
      <c r="AZ135" s="3">
        <f t="shared" si="91"/>
        <v>1</v>
      </c>
      <c r="BA135" s="3">
        <f>IF(ISERROR(LEN(VLOOKUP(A135,Seqs!A:E,2,FALSE))-AL135),"-",LEN(VLOOKUP(A135,Seqs!A:E,2,FALSE))-AL135)</f>
        <v>36</v>
      </c>
      <c r="BB135" s="16">
        <f t="shared" si="92"/>
        <v>28</v>
      </c>
      <c r="BC135" s="9">
        <f t="shared" si="93"/>
        <v>20</v>
      </c>
      <c r="BD135" s="3">
        <f t="shared" si="94"/>
        <v>28</v>
      </c>
      <c r="BE135" s="3">
        <f t="shared" si="95"/>
        <v>45</v>
      </c>
    </row>
    <row r="136" spans="1:58" s="3" customFormat="1" x14ac:dyDescent="0.2">
      <c r="A136" s="3" t="s">
        <v>247</v>
      </c>
      <c r="B136" s="3" t="str">
        <f>LOWER(VLOOKUP(A136,Xtal_Templ!A:B,2,FALSE))</f>
        <v>drd2_human</v>
      </c>
      <c r="C136" s="3">
        <f>VLOOKUP($A136,'SegEnds_NonXtal_BW#'!$A:$Z,3,FALSE)+D136-50</f>
        <v>2</v>
      </c>
      <c r="D136" s="3">
        <v>23</v>
      </c>
      <c r="E136" s="3">
        <f>IF(ISERROR(VLOOKUP($A136,'SegEnds_NonXtal_BW#'!$A:$Z,4,FALSE)+VLOOKUP($A136,A:AL,4,FALSE)-50),"-",(VLOOKUP($A136,'SegEnds_NonXtal_BW#'!$A:$Z,4,FALSE)+VLOOKUP($A136,A:AL,4,FALSE)-50))</f>
        <v>33</v>
      </c>
      <c r="F136" s="3">
        <f t="shared" si="96"/>
        <v>34</v>
      </c>
      <c r="G136" s="3">
        <v>36</v>
      </c>
      <c r="H136" s="3">
        <f t="shared" si="97"/>
        <v>37</v>
      </c>
      <c r="I136" s="3">
        <f t="shared" si="97"/>
        <v>38</v>
      </c>
      <c r="J136" s="3">
        <v>52</v>
      </c>
      <c r="K136" s="3">
        <f>VLOOKUP($A136,'SegEnds_NonXtal_BW#'!$A:$Z,8,FALSE)+VLOOKUP($A136,A:AL,10,FALSE)-50</f>
        <v>70</v>
      </c>
      <c r="L136" s="3" t="str">
        <f>IF(ISERROR(VLOOKUP($A136,'SegEnds_NonXtal_BW#'!$A:$Z,9,FALSE)+VLOOKUP($A136,A:AL,13,FALSE)-50),"-",(VLOOKUP($A136,'SegEnds_NonXtal_BW#'!$A:$Z,9,FALSE)+VLOOKUP($A136,A:AL,13,FALSE)-50))</f>
        <v>-</v>
      </c>
      <c r="M136" s="3" t="s">
        <v>23</v>
      </c>
      <c r="N136" s="3" t="str">
        <f>IF(ISERROR(VLOOKUP($A136,'SegEnds_NonXtal_BW#'!$A:$Z,10,FALSE)+VLOOKUP($A136,A:AL,13,FALSE)-50),"-",(VLOOKUP($A136,'SegEnds_NonXtal_BW#'!$A:$Z,10,FALSE)+VLOOKUP($A136,A:AL,13,FALSE)-50))</f>
        <v>-</v>
      </c>
      <c r="O136" s="3">
        <f>VLOOKUP($A136,'SegEnds_NonXtal_BW#'!$A:$Z,11,FALSE)+VLOOKUP($A136,A:AL,16,FALSE)-50</f>
        <v>75</v>
      </c>
      <c r="P136" s="3">
        <v>104</v>
      </c>
      <c r="Q136" s="3">
        <f>VLOOKUP($A136,'SegEnds_NonXtal_BW#'!$A:$Z,12,FALSE)+VLOOKUP($A136,A:AL,16,FALSE)-50</f>
        <v>110</v>
      </c>
      <c r="R136" s="3">
        <f>IF(ISERROR(VLOOKUP($A136,'SegEnds_NonXtal_BW#'!$A:$Z,13,FALSE)+VLOOKUP($A136,A:AL,19,FALSE)-50),"-",VLOOKUP($A136,'SegEnds_NonXtal_BW#'!$A:$Z,13,FALSE)+VLOOKUP($A136,A:AL,19,FALSE)-50)</f>
        <v>111</v>
      </c>
      <c r="S136" s="3">
        <v>111</v>
      </c>
      <c r="T136" s="100">
        <f>IF(ISERROR(VLOOKUP($A136,'SegEnds_NonXtal_BW#'!$A:$Z,14,FALSE)+VLOOKUP($A136,A:AL,19,FALSE)-50),"-",(VLOOKUP($A136,'SegEnds_NonXtal_BW#'!$A:$Z,14,FALSE)+VLOOKUP($A136,A:AL,19,FALSE)-50))</f>
        <v>118</v>
      </c>
      <c r="U136" s="9">
        <f>IF(ISERROR(VLOOKUP($A136,'SegEnds_NonXtal_BW#'!$A:$Z,15,FALSE)+VLOOKUP($A136,A:AL,22,FALSE)-50),"-",VLOOKUP($A136,'SegEnds_NonXtal_BW#'!$A:$Z,15,FALSE)+VLOOKUP($A136,A:AL,22,FALSE)-50)</f>
        <v>119</v>
      </c>
      <c r="V136" s="3">
        <v>131</v>
      </c>
      <c r="W136" s="3">
        <f>IF(ISERROR(VLOOKUP($A136,'SegEnds_NonXtal_BW#'!$A:$Z,16,FALSE)+VLOOKUP($A136,A:AL,22,FALSE)-50),"-",(VLOOKUP($A136,'SegEnds_NonXtal_BW#'!$A:$Z,16,FALSE)+VLOOKUP($A136,A:AL,22,FALSE)-50))</f>
        <v>143</v>
      </c>
      <c r="X136" s="3">
        <f>IF(ISERROR(VLOOKUP($A136,'SegEnds_NonXtal_BW#'!$A:$Z,17,FALSE)+VLOOKUP($A136,A:AL,25,FALSE)-50),"-",(VLOOKUP($A136,'SegEnds_NonXtal_BW#'!$A:$Z,17,FALSE)+VLOOKUP($A136,A:AL,25,FALSE)-50))</f>
        <v>159</v>
      </c>
      <c r="Y136" s="3">
        <v>159</v>
      </c>
      <c r="Z136" s="3">
        <f>Y136+2</f>
        <v>161</v>
      </c>
      <c r="AA136" s="3">
        <f>IF(ISERROR(VLOOKUP($A136,'SegEnds_NonXtal_BW#'!$A:$Z,19,FALSE)+VLOOKUP($A136,A:AL,28,FALSE)-50),"-",(VLOOKUP($A136,'SegEnds_NonXtal_BW#'!$A:$Z,19,FALSE)+VLOOKUP($A136,A:AL,28,FALSE)-50))</f>
        <v>169</v>
      </c>
      <c r="AB136" s="3">
        <v>184</v>
      </c>
      <c r="AC136" s="3">
        <f>IF(ISERROR((VLOOKUP($A136,'SegEnds_NonXtal_BW#'!$A:$Z,20,FALSE)+VLOOKUP($A136,A:AL,28,FALSE)-50)),"-",(VLOOKUP($A136,'SegEnds_NonXtal_BW#'!$A:$Z,20,FALSE)+VLOOKUP($A136,A:AL,28,FALSE)-50))</f>
        <v>210</v>
      </c>
      <c r="AD136" s="3">
        <f>IF(ISERROR(VLOOKUP($A136,'SegEnds_NonXtal_BW#'!$A:$Z,21,FALSE)+VLOOKUP($A136,A:AL,31,FALSE)-50),"-",(VLOOKUP($A136,'SegEnds_NonXtal_BW#'!$A:$Z,21,FALSE)+VLOOKUP($A136,A:AL,31,FALSE)-50))</f>
        <v>230</v>
      </c>
      <c r="AE136" s="3">
        <v>256</v>
      </c>
      <c r="AF136" s="3">
        <f>IF(ISERROR((VLOOKUP($A136,'SegEnds_NonXtal_BW#'!$A:$Z,22,FALSE)+VLOOKUP($A136,A:AL,31,FALSE)-50)),"-",(VLOOKUP($A136,'SegEnds_NonXtal_BW#'!$A:$Z,22,FALSE)+VLOOKUP($A136,A:AL,31,FALSE)-50))</f>
        <v>267</v>
      </c>
      <c r="AG136" s="3">
        <f>IF(ISERROR(VLOOKUP($A136,'SegEnds_NonXtal_BW#'!$A:$Z,23,FALSE)+VLOOKUP($A136,A:AL,34,FALSE)-50),"-",(VLOOKUP($A136,'SegEnds_NonXtal_BW#'!$A:$Z,23,FALSE)+VLOOKUP($A136,A:AL,34,FALSE)-50))</f>
        <v>272</v>
      </c>
      <c r="AH136" s="3">
        <v>291</v>
      </c>
      <c r="AI136" s="3">
        <f>IF(ISERROR((VLOOKUP($A136,'SegEnds_NonXtal_BW#'!$A:$Z,24,FALSE)+VLOOKUP($A136,A:AL,34,FALSE)-50)),"-",(VLOOKUP($A136,'SegEnds_NonXtal_BW#'!$A:$Z,24,FALSE)+VLOOKUP($A136,A:AL,34,FALSE)-50))</f>
        <v>297</v>
      </c>
      <c r="AJ136" s="3">
        <f>IF(ISERROR(VLOOKUP($A136,'SegEnds_NonXtal_BW#'!$A:$Z,25,FALSE)+VLOOKUP($A136,A:AL,37,FALSE)-50),"-",(VLOOKUP($A136,'SegEnds_NonXtal_BW#'!$A:$Z,25,FALSE)+VLOOKUP($A136,A:AL,37,FALSE)-50))</f>
        <v>298</v>
      </c>
      <c r="AK136" s="3">
        <v>301</v>
      </c>
      <c r="AL136" s="3">
        <f>IF(ISERROR((VLOOKUP($A136,'SegEnds_NonXtal_BW#'!$A:$Z,26,FALSE)+VLOOKUP($A136,A:AL,37,FALSE)-50)),"-",(VLOOKUP($A136,'SegEnds_NonXtal_BW#'!$A:$Z,26,FALSE)+VLOOKUP($A136,A:AL,37,FALSE)-50))</f>
        <v>310</v>
      </c>
      <c r="AM136" s="28" t="str">
        <f>VLOOKUP(A136,Classification!A:B,2,FALSE)</f>
        <v>A</v>
      </c>
      <c r="AN136" s="28" t="b">
        <f t="shared" si="98"/>
        <v>1</v>
      </c>
      <c r="AO136" s="3" t="str">
        <f>IF(ISERROR(MATCH(A136,'SegEnds_Xtal_Prot#'!B:B, 0)), "NoXtal", "Xtal")</f>
        <v>NoXtal</v>
      </c>
      <c r="AP136" s="3">
        <f t="shared" si="81"/>
        <v>1</v>
      </c>
      <c r="AQ136" s="3">
        <f t="shared" si="82"/>
        <v>1</v>
      </c>
      <c r="AR136" s="3" t="str">
        <f t="shared" si="83"/>
        <v>-</v>
      </c>
      <c r="AS136" s="3" t="str">
        <f t="shared" si="84"/>
        <v>-</v>
      </c>
      <c r="AT136" s="3">
        <f t="shared" si="85"/>
        <v>1</v>
      </c>
      <c r="AU136" s="3">
        <f t="shared" si="86"/>
        <v>1</v>
      </c>
      <c r="AV136" s="3">
        <f t="shared" si="87"/>
        <v>16</v>
      </c>
      <c r="AW136" s="3">
        <f t="shared" si="88"/>
        <v>8</v>
      </c>
      <c r="AX136" s="3">
        <f t="shared" si="89"/>
        <v>20</v>
      </c>
      <c r="AY136" s="3">
        <f t="shared" si="90"/>
        <v>5</v>
      </c>
      <c r="AZ136" s="3">
        <f t="shared" si="91"/>
        <v>1</v>
      </c>
      <c r="BA136" s="3">
        <f>IF(ISERROR(LEN(VLOOKUP(A136,Seqs!A:E,2,FALSE))-AL136),"-",LEN(VLOOKUP(A136,Seqs!A:E,2,FALSE))-AL136)</f>
        <v>27</v>
      </c>
      <c r="BB136" s="16">
        <f t="shared" si="92"/>
        <v>29</v>
      </c>
      <c r="BC136" s="9">
        <f t="shared" si="93"/>
        <v>20</v>
      </c>
      <c r="BD136" s="3">
        <f t="shared" si="94"/>
        <v>29</v>
      </c>
      <c r="BE136" s="3">
        <f t="shared" si="95"/>
        <v>72</v>
      </c>
      <c r="BF136" s="3">
        <f>AH136-AE136</f>
        <v>35</v>
      </c>
    </row>
    <row r="137" spans="1:58" s="3" customFormat="1" x14ac:dyDescent="0.2">
      <c r="A137" s="3" t="s">
        <v>249</v>
      </c>
      <c r="B137" s="3" t="str">
        <f>LOWER(VLOOKUP(A137,Xtal_Templ!A:B,2,FALSE))</f>
        <v>lpar1_human</v>
      </c>
      <c r="C137" s="3">
        <f>VLOOKUP($A137,'SegEnds_NonXtal_BW#'!$A:$Z,3,FALSE)+D137-50</f>
        <v>38</v>
      </c>
      <c r="D137" s="3">
        <v>58</v>
      </c>
      <c r="E137" s="3">
        <f>IF(ISERROR(VLOOKUP($A137,'SegEnds_NonXtal_BW#'!$A:$Z,4,FALSE)+VLOOKUP($A137,A:AL,4,FALSE)-50),"-",(VLOOKUP($A137,'SegEnds_NonXtal_BW#'!$A:$Z,4,FALSE)+VLOOKUP($A137,A:AL,4,FALSE)-50))</f>
        <v>68</v>
      </c>
      <c r="F137" s="3">
        <f t="shared" si="96"/>
        <v>69</v>
      </c>
      <c r="G137" s="3">
        <v>71</v>
      </c>
      <c r="H137" s="3">
        <f t="shared" si="97"/>
        <v>72</v>
      </c>
      <c r="I137" s="3">
        <f t="shared" si="97"/>
        <v>73</v>
      </c>
      <c r="J137" s="3">
        <v>86</v>
      </c>
      <c r="K137" s="3">
        <f>VLOOKUP($A137,'SegEnds_NonXtal_BW#'!$A:$Z,8,FALSE)+VLOOKUP($A137,A:AL,10,FALSE)-50</f>
        <v>98</v>
      </c>
      <c r="L137" s="3">
        <f>M137-1</f>
        <v>100</v>
      </c>
      <c r="M137" s="3">
        <v>101</v>
      </c>
      <c r="N137" s="3">
        <f>M137+2</f>
        <v>103</v>
      </c>
      <c r="O137" s="3">
        <f>N137+1</f>
        <v>104</v>
      </c>
      <c r="P137" s="3">
        <v>134</v>
      </c>
      <c r="Q137" s="3">
        <f>VLOOKUP($A137,'SegEnds_NonXtal_BW#'!$A:$Z,12,FALSE)+VLOOKUP($A137,A:AL,16,FALSE)-50</f>
        <v>140</v>
      </c>
      <c r="R137" s="3">
        <f>S137</f>
        <v>141</v>
      </c>
      <c r="S137" s="3">
        <v>141</v>
      </c>
      <c r="T137" s="100">
        <f>S137+7</f>
        <v>148</v>
      </c>
      <c r="U137" s="9">
        <f>IF(ISERROR(VLOOKUP($A137,'SegEnds_NonXtal_BW#'!$A:$Z,15,FALSE)+VLOOKUP($A137,A:AL,22,FALSE)-50),"-",VLOOKUP($A137,'SegEnds_NonXtal_BW#'!$A:$Z,15,FALSE)+VLOOKUP($A137,A:AL,22,FALSE)-50)</f>
        <v>149</v>
      </c>
      <c r="V137" s="3">
        <v>161</v>
      </c>
      <c r="W137" s="3">
        <f>IF(ISERROR(VLOOKUP($A137,'SegEnds_NonXtal_BW#'!$A:$Z,16,FALSE)+VLOOKUP($A137,A:AL,22,FALSE)-50),"-",(VLOOKUP($A137,'SegEnds_NonXtal_BW#'!$A:$Z,16,FALSE)+VLOOKUP($A137,A:AL,22,FALSE)-50))</f>
        <v>174</v>
      </c>
      <c r="X137" s="3" t="str">
        <f>IF(ISERROR(VLOOKUP($A137,'SegEnds_NonXtal_BW#'!$A:$Z,17,FALSE)+VLOOKUP($A137,A:AL,25,FALSE)-50),"-",(VLOOKUP($A137,'SegEnds_NonXtal_BW#'!$A:$Z,17,FALSE)+VLOOKUP($A137,A:AL,25,FALSE)-50))</f>
        <v>-</v>
      </c>
      <c r="Y137" s="3" t="s">
        <v>23</v>
      </c>
      <c r="Z137" s="3" t="str">
        <f>IF(ISERROR(VLOOKUP($A137,'SegEnds_NonXtal_BW#'!$A:$Z,18,FALSE)+VLOOKUP($A137,A:AL,25,FALSE)-50),"-",(VLOOKUP($A137,'SegEnds_NonXtal_BW#'!$A:$Z,18,FALSE)+VLOOKUP($A137,A:AL,25,FALSE)-50))</f>
        <v>-</v>
      </c>
      <c r="AA137" s="3">
        <f>IF(ISERROR(VLOOKUP($A137,'SegEnds_NonXtal_BW#'!$A:$Z,19,FALSE)+VLOOKUP($A137,A:AL,28,FALSE)-50),"-",(VLOOKUP($A137,'SegEnds_NonXtal_BW#'!$A:$Z,19,FALSE)+VLOOKUP($A137,A:AL,28,FALSE)-50))</f>
        <v>191</v>
      </c>
      <c r="AB137" s="3">
        <v>205</v>
      </c>
      <c r="AC137" s="3">
        <f>IF(ISERROR((VLOOKUP($A137,'SegEnds_NonXtal_BW#'!$A:$Z,20,FALSE)+VLOOKUP($A137,A:AL,28,FALSE)-50)),"-",(VLOOKUP($A137,'SegEnds_NonXtal_BW#'!$A:$Z,20,FALSE)+VLOOKUP($A137,A:AL,28,FALSE)-50))</f>
        <v>228</v>
      </c>
      <c r="AD137" s="3">
        <f>IF(ISERROR(VLOOKUP($A137,'SegEnds_NonXtal_BW#'!$A:$Z,21,FALSE)+VLOOKUP($A137,A:AL,31,FALSE)-50),"-",(VLOOKUP($A137,'SegEnds_NonXtal_BW#'!$A:$Z,21,FALSE)+VLOOKUP($A137,A:AL,31,FALSE)-50))</f>
        <v>234</v>
      </c>
      <c r="AE137" s="3">
        <v>262</v>
      </c>
      <c r="AF137" s="3">
        <f>IF(ISERROR((VLOOKUP($A137,'SegEnds_NonXtal_BW#'!$A:$Z,22,FALSE)+VLOOKUP($A137,A:AL,31,FALSE)-50)),"-",(VLOOKUP($A137,'SegEnds_NonXtal_BW#'!$A:$Z,22,FALSE)+VLOOKUP($A137,A:AL,31,FALSE)-50))</f>
        <v>273</v>
      </c>
      <c r="AG137" s="3">
        <f>IF(ISERROR(VLOOKUP($A137,'SegEnds_NonXtal_BW#'!$A:$Z,23,FALSE)+VLOOKUP($A137,A:AL,34,FALSE)-50),"-",(VLOOKUP($A137,'SegEnds_NonXtal_BW#'!$A:$Z,23,FALSE)+VLOOKUP($A137,A:AL,34,FALSE)-50))</f>
        <v>278</v>
      </c>
      <c r="AH137" s="3">
        <v>294</v>
      </c>
      <c r="AI137" s="3">
        <f>IF(ISERROR((VLOOKUP($A137,'SegEnds_NonXtal_BW#'!$A:$Z,24,FALSE)+VLOOKUP($A137,A:AL,34,FALSE)-50)),"-",(VLOOKUP($A137,'SegEnds_NonXtal_BW#'!$A:$Z,24,FALSE)+VLOOKUP($A137,A:AL,34,FALSE)-50))</f>
        <v>300</v>
      </c>
      <c r="AJ137" s="3">
        <f>IF(ISERROR(VLOOKUP($A137,'SegEnds_NonXtal_BW#'!$A:$Z,25,FALSE)+VLOOKUP($A137,A:AL,37,FALSE)-50),"-",(VLOOKUP($A137,'SegEnds_NonXtal_BW#'!$A:$Z,25,FALSE)+VLOOKUP($A137,A:AL,37,FALSE)-50))</f>
        <v>301</v>
      </c>
      <c r="AK137" s="3">
        <v>304</v>
      </c>
      <c r="AL137" s="3">
        <f>IF(ISERROR((VLOOKUP($A137,'SegEnds_NonXtal_BW#'!$A:$Z,26,FALSE)+VLOOKUP($A137,A:AL,37,FALSE)-50)),"-",(VLOOKUP($A137,'SegEnds_NonXtal_BW#'!$A:$Z,26,FALSE)+VLOOKUP($A137,A:AL,37,FALSE)-50))</f>
        <v>313</v>
      </c>
      <c r="AM137" s="28" t="str">
        <f>VLOOKUP(A137,Classification!A:B,2,FALSE)</f>
        <v>A</v>
      </c>
      <c r="AN137" s="28" t="b">
        <f t="shared" si="98"/>
        <v>1</v>
      </c>
      <c r="AO137" s="3" t="str">
        <f>IF(ISERROR(MATCH(A137,'SegEnds_Xtal_Prot#'!B:B, 0)), "NoXtal", "Xtal")</f>
        <v>NoXtal</v>
      </c>
      <c r="AP137" s="3">
        <f t="shared" si="81"/>
        <v>1</v>
      </c>
      <c r="AQ137" s="3">
        <f t="shared" si="82"/>
        <v>1</v>
      </c>
      <c r="AR137" s="3">
        <f t="shared" si="83"/>
        <v>2</v>
      </c>
      <c r="AS137" s="3">
        <f t="shared" si="84"/>
        <v>1</v>
      </c>
      <c r="AT137" s="3">
        <f t="shared" si="85"/>
        <v>1</v>
      </c>
      <c r="AU137" s="3">
        <f t="shared" si="86"/>
        <v>1</v>
      </c>
      <c r="AV137" s="3" t="str">
        <f t="shared" si="87"/>
        <v>-</v>
      </c>
      <c r="AW137" s="3" t="str">
        <f t="shared" si="88"/>
        <v>-</v>
      </c>
      <c r="AX137" s="3">
        <f t="shared" si="89"/>
        <v>6</v>
      </c>
      <c r="AY137" s="3">
        <f t="shared" si="90"/>
        <v>5</v>
      </c>
      <c r="AZ137" s="3">
        <f t="shared" si="91"/>
        <v>1</v>
      </c>
      <c r="BA137" s="3">
        <f>IF(ISERROR(LEN(VLOOKUP(A137,Seqs!A:E,2,FALSE))-AL137),"-",LEN(VLOOKUP(A137,Seqs!A:E,2,FALSE))-AL137)</f>
        <v>17</v>
      </c>
      <c r="BB137" s="16">
        <f t="shared" si="92"/>
        <v>28</v>
      </c>
      <c r="BC137" s="9">
        <f t="shared" si="93"/>
        <v>20</v>
      </c>
      <c r="BD137" s="3">
        <f t="shared" si="94"/>
        <v>28</v>
      </c>
      <c r="BE137" s="3">
        <f t="shared" si="95"/>
        <v>57</v>
      </c>
      <c r="BF137" s="3">
        <f>AH137-AE137</f>
        <v>32</v>
      </c>
    </row>
    <row r="138" spans="1:58" s="3" customFormat="1" x14ac:dyDescent="0.2">
      <c r="A138" s="3" t="s">
        <v>250</v>
      </c>
      <c r="B138" s="3" t="str">
        <f>LOWER(VLOOKUP(A138,Xtal_Templ!A:B,2,FALSE))</f>
        <v>oprd_human</v>
      </c>
      <c r="C138" s="3">
        <f>VLOOKUP($A138,'SegEnds_NonXtal_BW#'!$A:$Z,3,FALSE)+D138-50</f>
        <v>4</v>
      </c>
      <c r="D138" s="3">
        <v>32</v>
      </c>
      <c r="E138" s="3">
        <f>IF(ISERROR(VLOOKUP($A138,'SegEnds_NonXtal_BW#'!$A:$Z,4,FALSE)+VLOOKUP($A138,A:AL,4,FALSE)-50),"-",(VLOOKUP($A138,'SegEnds_NonXtal_BW#'!$A:$Z,4,FALSE)+VLOOKUP($A138,A:AL,4,FALSE)-50))</f>
        <v>42</v>
      </c>
      <c r="F138" s="3">
        <f t="shared" si="96"/>
        <v>43</v>
      </c>
      <c r="G138" s="3">
        <v>45</v>
      </c>
      <c r="H138" s="3">
        <f t="shared" si="97"/>
        <v>46</v>
      </c>
      <c r="I138" s="3">
        <f t="shared" si="97"/>
        <v>47</v>
      </c>
      <c r="J138" s="3">
        <v>60</v>
      </c>
      <c r="K138" s="3">
        <f>VLOOKUP($A138,'SegEnds_NonXtal_BW#'!$A:$Z,8,FALSE)+VLOOKUP($A138,A:AL,10,FALSE)-50</f>
        <v>76</v>
      </c>
      <c r="L138" s="3">
        <f>M138-1</f>
        <v>79</v>
      </c>
      <c r="M138" s="3">
        <v>80</v>
      </c>
      <c r="N138" s="3">
        <f>M138+2</f>
        <v>82</v>
      </c>
      <c r="O138" s="3">
        <f>N138+1</f>
        <v>83</v>
      </c>
      <c r="P138" s="3">
        <v>112</v>
      </c>
      <c r="Q138" s="3">
        <f>VLOOKUP($A138,'SegEnds_NonXtal_BW#'!$A:$Z,12,FALSE)+VLOOKUP($A138,A:AL,16,FALSE)-50</f>
        <v>118</v>
      </c>
      <c r="R138" s="3">
        <f>IF(ISERROR(VLOOKUP($A138,'SegEnds_NonXtal_BW#'!$A:$Z,13,FALSE)+VLOOKUP($A138,A:AL,19,FALSE)-50),"-",VLOOKUP($A138,'SegEnds_NonXtal_BW#'!$A:$Z,13,FALSE)+VLOOKUP($A138,A:AL,19,FALSE)-50)</f>
        <v>119</v>
      </c>
      <c r="S138" s="3">
        <v>119</v>
      </c>
      <c r="T138" s="100">
        <f>IF(ISERROR(VLOOKUP($A138,'SegEnds_NonXtal_BW#'!$A:$Z,14,FALSE)+VLOOKUP($A138,A:AL,19,FALSE)-50),"-",(VLOOKUP($A138,'SegEnds_NonXtal_BW#'!$A:$Z,14,FALSE)+VLOOKUP($A138,A:AL,19,FALSE)-50))</f>
        <v>126</v>
      </c>
      <c r="U138" s="9">
        <f>IF(ISERROR(VLOOKUP($A138,'SegEnds_NonXtal_BW#'!$A:$Z,15,FALSE)+VLOOKUP($A138,A:AL,22,FALSE)-50),"-",VLOOKUP($A138,'SegEnds_NonXtal_BW#'!$A:$Z,15,FALSE)+VLOOKUP($A138,A:AL,22,FALSE)-50)</f>
        <v>127</v>
      </c>
      <c r="V138" s="3">
        <v>139</v>
      </c>
      <c r="W138" s="3">
        <f>IF(ISERROR(VLOOKUP($A138,'SegEnds_NonXtal_BW#'!$A:$Z,16,FALSE)+VLOOKUP($A138,A:AL,22,FALSE)-50),"-",(VLOOKUP($A138,'SegEnds_NonXtal_BW#'!$A:$Z,16,FALSE)+VLOOKUP($A138,A:AL,22,FALSE)-50))</f>
        <v>153</v>
      </c>
      <c r="X138" s="3">
        <f>IF(ISERROR(VLOOKUP($A138,'SegEnds_NonXtal_BW#'!$A:$Z,17,FALSE)+VLOOKUP($A138,A:AL,25,FALSE)-50),"-",(VLOOKUP($A138,'SegEnds_NonXtal_BW#'!$A:$Z,17,FALSE)+VLOOKUP($A138,A:AL,25,FALSE)-50))</f>
        <v>162</v>
      </c>
      <c r="Y138" s="3">
        <v>162</v>
      </c>
      <c r="Z138" s="3">
        <f t="shared" ref="Z138:Z148" si="99">Y138+2</f>
        <v>164</v>
      </c>
      <c r="AA138" s="3">
        <f>IF(ISERROR(VLOOKUP($A138,'SegEnds_NonXtal_BW#'!$A:$Z,19,FALSE)+VLOOKUP($A138,A:AL,28,FALSE)-50),"-",(VLOOKUP($A138,'SegEnds_NonXtal_BW#'!$A:$Z,19,FALSE)+VLOOKUP($A138,A:AL,28,FALSE)-50))</f>
        <v>170</v>
      </c>
      <c r="AB138" s="3">
        <v>189</v>
      </c>
      <c r="AC138" s="3">
        <f>IF(ISERROR((VLOOKUP($A138,'SegEnds_NonXtal_BW#'!$A:$Z,20,FALSE)+VLOOKUP($A138,A:AL,28,FALSE)-50)),"-",(VLOOKUP($A138,'SegEnds_NonXtal_BW#'!$A:$Z,20,FALSE)+VLOOKUP($A138,A:AL,28,FALSE)-50))</f>
        <v>207</v>
      </c>
      <c r="AD138" s="3">
        <f>IF(ISERROR(VLOOKUP($A138,'SegEnds_NonXtal_BW#'!$A:$Z,21,FALSE)+VLOOKUP($A138,A:AL,31,FALSE)-50),"-",(VLOOKUP($A138,'SegEnds_NonXtal_BW#'!$A:$Z,21,FALSE)+VLOOKUP($A138,A:AL,31,FALSE)-50))</f>
        <v>211</v>
      </c>
      <c r="AE138" s="3">
        <v>237</v>
      </c>
      <c r="AF138" s="3">
        <f>IF(ISERROR((VLOOKUP($A138,'SegEnds_NonXtal_BW#'!$A:$Z,22,FALSE)+VLOOKUP($A138,A:AL,31,FALSE)-50)),"-",(VLOOKUP($A138,'SegEnds_NonXtal_BW#'!$A:$Z,22,FALSE)+VLOOKUP($A138,A:AL,31,FALSE)-50))</f>
        <v>248</v>
      </c>
      <c r="AG138" s="3">
        <f>IF(ISERROR(VLOOKUP($A138,'SegEnds_NonXtal_BW#'!$A:$Z,23,FALSE)+VLOOKUP($A138,A:AL,34,FALSE)-50),"-",(VLOOKUP($A138,'SegEnds_NonXtal_BW#'!$A:$Z,23,FALSE)+VLOOKUP($A138,A:AL,34,FALSE)-50))</f>
        <v>257</v>
      </c>
      <c r="AH138" s="3">
        <v>279</v>
      </c>
      <c r="AI138" s="3">
        <f>IF(ISERROR((VLOOKUP($A138,'SegEnds_NonXtal_BW#'!$A:$Z,24,FALSE)+VLOOKUP($A138,A:AL,34,FALSE)-50)),"-",(VLOOKUP($A138,'SegEnds_NonXtal_BW#'!$A:$Z,24,FALSE)+VLOOKUP($A138,A:AL,34,FALSE)-50))</f>
        <v>285</v>
      </c>
      <c r="AJ138" s="3">
        <f>IF(ISERROR(VLOOKUP($A138,'SegEnds_NonXtal_BW#'!$A:$Z,25,FALSE)+VLOOKUP($A138,A:AL,37,FALSE)-50),"-",(VLOOKUP($A138,'SegEnds_NonXtal_BW#'!$A:$Z,25,FALSE)+VLOOKUP($A138,A:AL,37,FALSE)-50))</f>
        <v>286</v>
      </c>
      <c r="AK138" s="3">
        <v>289</v>
      </c>
      <c r="AL138" s="3">
        <f>IF(ISERROR((VLOOKUP($A138,'SegEnds_NonXtal_BW#'!$A:$Z,26,FALSE)+VLOOKUP($A138,A:AL,37,FALSE)-50)),"-",(VLOOKUP($A138,'SegEnds_NonXtal_BW#'!$A:$Z,26,FALSE)+VLOOKUP($A138,A:AL,37,FALSE)-50))</f>
        <v>299</v>
      </c>
      <c r="AM138" s="28" t="str">
        <f>VLOOKUP(A138,Classification!A:B,2,FALSE)</f>
        <v>A</v>
      </c>
      <c r="AN138" s="28" t="b">
        <f t="shared" si="98"/>
        <v>1</v>
      </c>
      <c r="AO138" s="3" t="str">
        <f>IF(ISERROR(MATCH(A138,'SegEnds_Xtal_Prot#'!B:B, 0)), "NoXtal", "Xtal")</f>
        <v>NoXtal</v>
      </c>
      <c r="AP138" s="3">
        <f t="shared" si="81"/>
        <v>1</v>
      </c>
      <c r="AQ138" s="3">
        <f t="shared" si="82"/>
        <v>1</v>
      </c>
      <c r="AR138" s="3">
        <f t="shared" si="83"/>
        <v>3</v>
      </c>
      <c r="AS138" s="3">
        <f t="shared" si="84"/>
        <v>1</v>
      </c>
      <c r="AT138" s="3">
        <f t="shared" si="85"/>
        <v>1</v>
      </c>
      <c r="AU138" s="3">
        <f t="shared" si="86"/>
        <v>1</v>
      </c>
      <c r="AV138" s="3">
        <f t="shared" si="87"/>
        <v>9</v>
      </c>
      <c r="AW138" s="3">
        <f t="shared" si="88"/>
        <v>6</v>
      </c>
      <c r="AX138" s="3">
        <f t="shared" si="89"/>
        <v>4</v>
      </c>
      <c r="AY138" s="3">
        <f t="shared" si="90"/>
        <v>9</v>
      </c>
      <c r="AZ138" s="3">
        <f t="shared" si="91"/>
        <v>1</v>
      </c>
      <c r="BA138" s="3">
        <f>IF(ISERROR(LEN(VLOOKUP(A138,Seqs!A:E,2,FALSE))-AL138),"-",LEN(VLOOKUP(A138,Seqs!A:E,2,FALSE))-AL138)</f>
        <v>20</v>
      </c>
      <c r="BB138" s="16">
        <f t="shared" si="92"/>
        <v>28</v>
      </c>
      <c r="BC138" s="9">
        <f t="shared" si="93"/>
        <v>20</v>
      </c>
      <c r="BD138" s="3">
        <f t="shared" si="94"/>
        <v>28</v>
      </c>
      <c r="BE138" s="3">
        <f t="shared" si="95"/>
        <v>48</v>
      </c>
      <c r="BF138" s="3">
        <f>AH138-AE138</f>
        <v>42</v>
      </c>
    </row>
    <row r="139" spans="1:58" s="3" customFormat="1" x14ac:dyDescent="0.2">
      <c r="A139" s="3" t="s">
        <v>251</v>
      </c>
      <c r="B139" s="3" t="str">
        <f>LOWER(VLOOKUP(A139,Xtal_Templ!A:B,2,FALSE))</f>
        <v>oprd_human</v>
      </c>
      <c r="C139" s="3">
        <f>VLOOKUP($A139,'SegEnds_NonXtal_BW#'!$A:$Z,3,FALSE)+D139-50</f>
        <v>33</v>
      </c>
      <c r="D139" s="3">
        <v>61</v>
      </c>
      <c r="E139" s="3">
        <f>IF(ISERROR(VLOOKUP($A139,'SegEnds_NonXtal_BW#'!$A:$Z,4,FALSE)+VLOOKUP($A139,A:AL,4,FALSE)-50),"-",(VLOOKUP($A139,'SegEnds_NonXtal_BW#'!$A:$Z,4,FALSE)+VLOOKUP($A139,A:AL,4,FALSE)-50))</f>
        <v>71</v>
      </c>
      <c r="F139" s="3" t="str">
        <f>IF(ISERROR(VLOOKUP($A139,'SegEnds_NonXtal_BW#'!$A:$Z,5,FALSE)+VLOOKUP($A139,A:AL,7,FALSE)-50),"-",(VLOOKUP($A139,'SegEnds_NonXtal_BW#'!$A:$Z,5,FALSE)+VLOOKUP($A139,A:AL,7,FALSE)-50))</f>
        <v>-</v>
      </c>
      <c r="G139" s="3" t="s">
        <v>23</v>
      </c>
      <c r="H139" s="3" t="str">
        <f>IF(ISERROR(VLOOKUP($A139,'SegEnds_NonXtal_BW#'!$A:$Z,6,FALSE)+VLOOKUP($A139,A:AL,7,FALSE)-50),"-",(VLOOKUP($A139,'SegEnds_NonXtal_BW#'!$A:$Z,6,FALSE)+VLOOKUP($A139,A:AL,7,FALSE)-50))</f>
        <v>-</v>
      </c>
      <c r="I139" s="3">
        <f>VLOOKUP($A139,'SegEnds_NonXtal_BW#'!$A:$Z,7,FALSE)+J139-50</f>
        <v>75</v>
      </c>
      <c r="J139" s="3">
        <v>88</v>
      </c>
      <c r="K139" s="3">
        <f>VLOOKUP($A139,'SegEnds_NonXtal_BW#'!$A:$Z,8,FALSE)+VLOOKUP($A139,A:AL,10,FALSE)-50</f>
        <v>104</v>
      </c>
      <c r="L139" s="3">
        <f>M139-1</f>
        <v>106</v>
      </c>
      <c r="M139" s="3">
        <v>107</v>
      </c>
      <c r="N139" s="3">
        <f>M139+2</f>
        <v>109</v>
      </c>
      <c r="O139" s="3">
        <f>N139+1</f>
        <v>110</v>
      </c>
      <c r="P139" s="3">
        <v>139</v>
      </c>
      <c r="Q139" s="3">
        <f>VLOOKUP($A139,'SegEnds_NonXtal_BW#'!$A:$Z,12,FALSE)+VLOOKUP($A139,A:AL,16,FALSE)-50</f>
        <v>145</v>
      </c>
      <c r="R139" s="3">
        <f>IF(ISERROR(VLOOKUP($A139,'SegEnds_NonXtal_BW#'!$A:$Z,13,FALSE)+VLOOKUP($A139,A:AL,19,FALSE)-50),"-",VLOOKUP($A139,'SegEnds_NonXtal_BW#'!$A:$Z,13,FALSE)+VLOOKUP($A139,A:AL,19,FALSE)-50)</f>
        <v>146</v>
      </c>
      <c r="S139" s="3">
        <v>146</v>
      </c>
      <c r="T139" s="100">
        <f>IF(ISERROR(VLOOKUP($A139,'SegEnds_NonXtal_BW#'!$A:$Z,14,FALSE)+VLOOKUP($A139,A:AL,19,FALSE)-50),"-",(VLOOKUP($A139,'SegEnds_NonXtal_BW#'!$A:$Z,14,FALSE)+VLOOKUP($A139,A:AL,19,FALSE)-50))</f>
        <v>153</v>
      </c>
      <c r="U139" s="9">
        <f>IF(ISERROR(VLOOKUP($A139,'SegEnds_NonXtal_BW#'!$A:$Z,15,FALSE)+VLOOKUP($A139,A:AL,22,FALSE)-50),"-",VLOOKUP($A139,'SegEnds_NonXtal_BW#'!$A:$Z,15,FALSE)+VLOOKUP($A139,A:AL,22,FALSE)-50)</f>
        <v>154</v>
      </c>
      <c r="V139" s="3">
        <v>166</v>
      </c>
      <c r="W139" s="3">
        <f>IF(ISERROR(VLOOKUP($A139,'SegEnds_NonXtal_BW#'!$A:$Z,16,FALSE)+VLOOKUP($A139,A:AL,22,FALSE)-50),"-",(VLOOKUP($A139,'SegEnds_NonXtal_BW#'!$A:$Z,16,FALSE)+VLOOKUP($A139,A:AL,22,FALSE)-50))</f>
        <v>180</v>
      </c>
      <c r="X139" s="3">
        <f>IF(ISERROR(VLOOKUP($A139,'SegEnds_NonXtal_BW#'!$A:$Z,17,FALSE)+VLOOKUP($A139,A:AL,25,FALSE)-50),"-",(VLOOKUP($A139,'SegEnds_NonXtal_BW#'!$A:$Z,17,FALSE)+VLOOKUP($A139,A:AL,25,FALSE)-50))</f>
        <v>191</v>
      </c>
      <c r="Y139" s="3">
        <v>191</v>
      </c>
      <c r="Z139" s="3">
        <f t="shared" si="99"/>
        <v>193</v>
      </c>
      <c r="AA139" s="3">
        <f>IF(ISERROR(VLOOKUP($A139,'SegEnds_NonXtal_BW#'!$A:$Z,19,FALSE)+VLOOKUP($A139,A:AL,28,FALSE)-50),"-",(VLOOKUP($A139,'SegEnds_NonXtal_BW#'!$A:$Z,19,FALSE)+VLOOKUP($A139,A:AL,28,FALSE)-50))</f>
        <v>209</v>
      </c>
      <c r="AB139" s="3">
        <v>228</v>
      </c>
      <c r="AC139" s="3">
        <f>IF(ISERROR((VLOOKUP($A139,'SegEnds_NonXtal_BW#'!$A:$Z,20,FALSE)+VLOOKUP($A139,A:AL,28,FALSE)-50)),"-",(VLOOKUP($A139,'SegEnds_NonXtal_BW#'!$A:$Z,20,FALSE)+VLOOKUP($A139,A:AL,28,FALSE)-50))</f>
        <v>246</v>
      </c>
      <c r="AD139" s="3">
        <f>IF(ISERROR(VLOOKUP($A139,'SegEnds_NonXtal_BW#'!$A:$Z,21,FALSE)+VLOOKUP($A139,A:AL,31,FALSE)-50),"-",(VLOOKUP($A139,'SegEnds_NonXtal_BW#'!$A:$Z,21,FALSE)+VLOOKUP($A139,A:AL,31,FALSE)-50))</f>
        <v>251</v>
      </c>
      <c r="AE139" s="3">
        <v>271</v>
      </c>
      <c r="AF139" s="3">
        <f>IF(ISERROR((VLOOKUP($A139,'SegEnds_NonXtal_BW#'!$A:$Z,22,FALSE)+VLOOKUP($A139,A:AL,31,FALSE)-50)),"-",(VLOOKUP($A139,'SegEnds_NonXtal_BW#'!$A:$Z,22,FALSE)+VLOOKUP($A139,A:AL,31,FALSE)-50))</f>
        <v>282</v>
      </c>
      <c r="AG139" s="3">
        <f>IF(ISERROR(VLOOKUP($A139,'SegEnds_NonXtal_BW#'!$A:$Z,23,FALSE)+VLOOKUP($A139,A:AL,34,FALSE)-50),"-",(VLOOKUP($A139,'SegEnds_NonXtal_BW#'!$A:$Z,23,FALSE)+VLOOKUP($A139,A:AL,34,FALSE)-50))</f>
        <v>291</v>
      </c>
      <c r="AH139" s="3">
        <v>313</v>
      </c>
      <c r="AI139" s="3">
        <f>IF(ISERROR((VLOOKUP($A139,'SegEnds_NonXtal_BW#'!$A:$Z,24,FALSE)+VLOOKUP($A139,A:AL,34,FALSE)-50)),"-",(VLOOKUP($A139,'SegEnds_NonXtal_BW#'!$A:$Z,24,FALSE)+VLOOKUP($A139,A:AL,34,FALSE)-50))</f>
        <v>319</v>
      </c>
      <c r="AJ139" s="3">
        <f>IF(ISERROR(VLOOKUP($A139,'SegEnds_NonXtal_BW#'!$A:$Z,25,FALSE)+VLOOKUP($A139,A:AL,37,FALSE)-50),"-",(VLOOKUP($A139,'SegEnds_NonXtal_BW#'!$A:$Z,25,FALSE)+VLOOKUP($A139,A:AL,37,FALSE)-50))</f>
        <v>320</v>
      </c>
      <c r="AK139" s="3">
        <v>323</v>
      </c>
      <c r="AL139" s="3">
        <f>IF(ISERROR((VLOOKUP($A139,'SegEnds_NonXtal_BW#'!$A:$Z,26,FALSE)+VLOOKUP($A139,A:AL,37,FALSE)-50)),"-",(VLOOKUP($A139,'SegEnds_NonXtal_BW#'!$A:$Z,26,FALSE)+VLOOKUP($A139,A:AL,37,FALSE)-50))</f>
        <v>333</v>
      </c>
      <c r="AM139" s="28" t="str">
        <f>VLOOKUP(A139,Classification!A:B,2,FALSE)</f>
        <v>A</v>
      </c>
      <c r="AN139" s="28" t="b">
        <f t="shared" si="98"/>
        <v>1</v>
      </c>
      <c r="AO139" s="3" t="str">
        <f>IF(ISERROR(MATCH(A139,'SegEnds_Xtal_Prot#'!B:B, 0)), "NoXtal", "Xtal")</f>
        <v>NoXtal</v>
      </c>
      <c r="AP139" s="3" t="str">
        <f t="shared" si="81"/>
        <v>-</v>
      </c>
      <c r="AQ139" s="3" t="str">
        <f t="shared" si="82"/>
        <v>-</v>
      </c>
      <c r="AR139" s="3">
        <f t="shared" si="83"/>
        <v>2</v>
      </c>
      <c r="AS139" s="3">
        <f t="shared" si="84"/>
        <v>1</v>
      </c>
      <c r="AT139" s="3">
        <f t="shared" si="85"/>
        <v>1</v>
      </c>
      <c r="AU139" s="3">
        <f t="shared" si="86"/>
        <v>1</v>
      </c>
      <c r="AV139" s="3">
        <f t="shared" si="87"/>
        <v>11</v>
      </c>
      <c r="AW139" s="3">
        <f t="shared" si="88"/>
        <v>16</v>
      </c>
      <c r="AX139" s="3">
        <f t="shared" si="89"/>
        <v>5</v>
      </c>
      <c r="AY139" s="3">
        <f t="shared" si="90"/>
        <v>9</v>
      </c>
      <c r="AZ139" s="3">
        <f t="shared" si="91"/>
        <v>1</v>
      </c>
      <c r="BA139" s="3">
        <f>IF(ISERROR(LEN(VLOOKUP(A139,Seqs!A:E,2,FALSE))-AL139),"-",LEN(VLOOKUP(A139,Seqs!A:E,2,FALSE))-AL139)</f>
        <v>23</v>
      </c>
      <c r="BB139" s="16">
        <f t="shared" si="92"/>
        <v>27</v>
      </c>
      <c r="BC139" s="9">
        <f t="shared" si="93"/>
        <v>20</v>
      </c>
      <c r="BD139" s="3">
        <f t="shared" si="94"/>
        <v>27</v>
      </c>
      <c r="BE139" s="3">
        <f t="shared" si="95"/>
        <v>43</v>
      </c>
      <c r="BF139" s="3">
        <f>AH139-AE139</f>
        <v>42</v>
      </c>
    </row>
    <row r="140" spans="1:58" s="3" customFormat="1" x14ac:dyDescent="0.2">
      <c r="A140" s="3" t="s">
        <v>252</v>
      </c>
      <c r="B140" s="3" t="str">
        <f>LOWER(VLOOKUP(A140,Xtal_Templ!A:B,2,FALSE))</f>
        <v>agtr1_human</v>
      </c>
      <c r="C140" s="3">
        <f>VLOOKUP($A140,'SegEnds_NonXtal_BW#'!$A:$Z,3,FALSE)+D140-50</f>
        <v>25</v>
      </c>
      <c r="D140" s="3">
        <v>47</v>
      </c>
      <c r="E140" s="3">
        <f>IF(ISERROR(VLOOKUP($A140,'SegEnds_NonXtal_BW#'!$A:$Z,4,FALSE)+VLOOKUP($A140,A:AL,4,FALSE)-50),"-",(VLOOKUP($A140,'SegEnds_NonXtal_BW#'!$A:$Z,4,FALSE)+VLOOKUP($A140,A:AL,4,FALSE)-50))</f>
        <v>57</v>
      </c>
      <c r="F140" s="3" t="str">
        <f>IF(ISERROR(VLOOKUP($A140,'SegEnds_NonXtal_BW#'!$A:$Z,5,FALSE)+VLOOKUP($A140,A:AL,7,FALSE)-50),"-",(VLOOKUP($A140,'SegEnds_NonXtal_BW#'!$A:$Z,5,FALSE)+VLOOKUP($A140,A:AL,7,FALSE)-50))</f>
        <v>-</v>
      </c>
      <c r="G140" s="3" t="s">
        <v>23</v>
      </c>
      <c r="H140" s="3" t="str">
        <f>IF(ISERROR(VLOOKUP($A140,'SegEnds_NonXtal_BW#'!$A:$Z,6,FALSE)+VLOOKUP($A140,A:AL,7,FALSE)-50),"-",(VLOOKUP($A140,'SegEnds_NonXtal_BW#'!$A:$Z,6,FALSE)+VLOOKUP($A140,A:AL,7,FALSE)-50))</f>
        <v>-</v>
      </c>
      <c r="I140" s="3">
        <f>VLOOKUP($A140,'SegEnds_NonXtal_BW#'!$A:$Z,7,FALSE)+J140-50</f>
        <v>61</v>
      </c>
      <c r="J140" s="3">
        <v>74</v>
      </c>
      <c r="K140" s="3">
        <f>VLOOKUP($A140,'SegEnds_NonXtal_BW#'!$A:$Z,8,FALSE)+VLOOKUP($A140,A:AL,10,FALSE)-50</f>
        <v>90</v>
      </c>
      <c r="L140" s="3">
        <f>M140-1</f>
        <v>93</v>
      </c>
      <c r="M140" s="3">
        <v>94</v>
      </c>
      <c r="N140" s="3">
        <f>M140+2</f>
        <v>96</v>
      </c>
      <c r="O140" s="3">
        <f>N140+1</f>
        <v>97</v>
      </c>
      <c r="P140" s="3">
        <v>126</v>
      </c>
      <c r="Q140" s="3">
        <f>VLOOKUP($A140,'SegEnds_NonXtal_BW#'!$A:$Z,12,FALSE)+VLOOKUP($A140,A:AL,16,FALSE)-50</f>
        <v>132</v>
      </c>
      <c r="R140" s="3">
        <f>IF(ISERROR(VLOOKUP($A140,'SegEnds_NonXtal_BW#'!$A:$Z,13,FALSE)+VLOOKUP($A140,A:AL,19,FALSE)-50),"-",VLOOKUP($A140,'SegEnds_NonXtal_BW#'!$A:$Z,13,FALSE)+VLOOKUP($A140,A:AL,19,FALSE)-50)</f>
        <v>133</v>
      </c>
      <c r="S140" s="3">
        <v>133</v>
      </c>
      <c r="T140" s="100">
        <f>IF(ISERROR(VLOOKUP($A140,'SegEnds_NonXtal_BW#'!$A:$Z,14,FALSE)+VLOOKUP($A140,A:AL,19,FALSE)-50),"-",(VLOOKUP($A140,'SegEnds_NonXtal_BW#'!$A:$Z,14,FALSE)+VLOOKUP($A140,A:AL,19,FALSE)-50))</f>
        <v>140</v>
      </c>
      <c r="U140" s="9">
        <f>IF(ISERROR(VLOOKUP($A140,'SegEnds_NonXtal_BW#'!$A:$Z,15,FALSE)+VLOOKUP($A140,A:AL,22,FALSE)-50),"-",VLOOKUP($A140,'SegEnds_NonXtal_BW#'!$A:$Z,15,FALSE)+VLOOKUP($A140,A:AL,22,FALSE)-50)</f>
        <v>141</v>
      </c>
      <c r="V140" s="3">
        <v>153</v>
      </c>
      <c r="W140" s="3">
        <f>IF(ISERROR(VLOOKUP($A140,'SegEnds_NonXtal_BW#'!$A:$Z,16,FALSE)+VLOOKUP($A140,A:AL,22,FALSE)-50),"-",(VLOOKUP($A140,'SegEnds_NonXtal_BW#'!$A:$Z,16,FALSE)+VLOOKUP($A140,A:AL,22,FALSE)-50))</f>
        <v>167</v>
      </c>
      <c r="X140" s="3">
        <f>IF(ISERROR(VLOOKUP($A140,'SegEnds_NonXtal_BW#'!$A:$Z,17,FALSE)+VLOOKUP($A140,A:AL,25,FALSE)-50),"-",(VLOOKUP($A140,'SegEnds_NonXtal_BW#'!$A:$Z,17,FALSE)+VLOOKUP($A140,A:AL,25,FALSE)-50))</f>
        <v>179</v>
      </c>
      <c r="Y140" s="3">
        <v>179</v>
      </c>
      <c r="Z140" s="3">
        <f t="shared" si="99"/>
        <v>181</v>
      </c>
      <c r="AA140" s="3">
        <f>IF(ISERROR(VLOOKUP($A140,'SegEnds_NonXtal_BW#'!$A:$Z,19,FALSE)+VLOOKUP($A140,A:AL,28,FALSE)-50),"-",(VLOOKUP($A140,'SegEnds_NonXtal_BW#'!$A:$Z,19,FALSE)+VLOOKUP($A140,A:AL,28,FALSE)-50))</f>
        <v>201</v>
      </c>
      <c r="AB140" s="3">
        <v>217</v>
      </c>
      <c r="AC140" s="3">
        <f>IF(ISERROR((VLOOKUP($A140,'SegEnds_NonXtal_BW#'!$A:$Z,20,FALSE)+VLOOKUP($A140,A:AL,28,FALSE)-50)),"-",(VLOOKUP($A140,'SegEnds_NonXtal_BW#'!$A:$Z,20,FALSE)+VLOOKUP($A140,A:AL,28,FALSE)-50))</f>
        <v>235</v>
      </c>
      <c r="AD140" s="3">
        <f>IF(ISERROR(VLOOKUP($A140,'SegEnds_NonXtal_BW#'!$A:$Z,21,FALSE)+VLOOKUP($A140,A:AL,31,FALSE)-50),"-",(VLOOKUP($A140,'SegEnds_NonXtal_BW#'!$A:$Z,21,FALSE)+VLOOKUP($A140,A:AL,31,FALSE)-50))</f>
        <v>240</v>
      </c>
      <c r="AE140" s="3">
        <v>260</v>
      </c>
      <c r="AF140" s="3">
        <f>IF(ISERROR((VLOOKUP($A140,'SegEnds_NonXtal_BW#'!$A:$Z,22,FALSE)+VLOOKUP($A140,A:AL,31,FALSE)-50)),"-",(VLOOKUP($A140,'SegEnds_NonXtal_BW#'!$A:$Z,22,FALSE)+VLOOKUP($A140,A:AL,31,FALSE)-50))</f>
        <v>271</v>
      </c>
      <c r="AG140" s="3">
        <f>IF(ISERROR(VLOOKUP($A140,'SegEnds_NonXtal_BW#'!$A:$Z,23,FALSE)+VLOOKUP($A140,A:AL,34,FALSE)-50),"-",(VLOOKUP($A140,'SegEnds_NonXtal_BW#'!$A:$Z,23,FALSE)+VLOOKUP($A140,A:AL,34,FALSE)-50))</f>
        <v>277</v>
      </c>
      <c r="AH140" s="3">
        <v>296</v>
      </c>
      <c r="AI140" s="3">
        <f>IF(ISERROR((VLOOKUP($A140,'SegEnds_NonXtal_BW#'!$A:$Z,24,FALSE)+VLOOKUP($A140,A:AL,34,FALSE)-50)),"-",(VLOOKUP($A140,'SegEnds_NonXtal_BW#'!$A:$Z,24,FALSE)+VLOOKUP($A140,A:AL,34,FALSE)-50))</f>
        <v>302</v>
      </c>
      <c r="AJ140" s="3">
        <f>IF(ISERROR(VLOOKUP($A140,'SegEnds_NonXtal_BW#'!$A:$Z,25,FALSE)+VLOOKUP($A140,A:AL,37,FALSE)-50),"-",(VLOOKUP($A140,'SegEnds_NonXtal_BW#'!$A:$Z,25,FALSE)+VLOOKUP($A140,A:AL,37,FALSE)-50))</f>
        <v>303</v>
      </c>
      <c r="AK140" s="3">
        <v>306</v>
      </c>
      <c r="AL140" s="3">
        <f>IF(ISERROR((VLOOKUP($A140,'SegEnds_NonXtal_BW#'!$A:$Z,26,FALSE)+VLOOKUP($A140,A:AL,37,FALSE)-50)),"-",(VLOOKUP($A140,'SegEnds_NonXtal_BW#'!$A:$Z,26,FALSE)+VLOOKUP($A140,A:AL,37,FALSE)-50))</f>
        <v>317</v>
      </c>
      <c r="AM140" s="28" t="str">
        <f>VLOOKUP(A140,Classification!A:B,2,FALSE)</f>
        <v>A</v>
      </c>
      <c r="AN140" s="28" t="b">
        <f t="shared" si="98"/>
        <v>1</v>
      </c>
      <c r="AO140" s="3" t="str">
        <f>IF(ISERROR(MATCH(A140,'SegEnds_Xtal_Prot#'!B:B, 0)), "NoXtal", "Xtal")</f>
        <v>NoXtal</v>
      </c>
      <c r="AP140" s="3" t="str">
        <f t="shared" si="81"/>
        <v>-</v>
      </c>
      <c r="AQ140" s="3" t="str">
        <f t="shared" si="82"/>
        <v>-</v>
      </c>
      <c r="AR140" s="3">
        <f t="shared" si="83"/>
        <v>3</v>
      </c>
      <c r="AS140" s="3">
        <f t="shared" si="84"/>
        <v>1</v>
      </c>
      <c r="AT140" s="3">
        <f t="shared" si="85"/>
        <v>1</v>
      </c>
      <c r="AU140" s="3">
        <f t="shared" si="86"/>
        <v>1</v>
      </c>
      <c r="AV140" s="3">
        <f t="shared" si="87"/>
        <v>12</v>
      </c>
      <c r="AW140" s="3">
        <f t="shared" si="88"/>
        <v>20</v>
      </c>
      <c r="AX140" s="3">
        <f t="shared" si="89"/>
        <v>5</v>
      </c>
      <c r="AY140" s="3">
        <f t="shared" si="90"/>
        <v>6</v>
      </c>
      <c r="AZ140" s="3">
        <f t="shared" si="91"/>
        <v>1</v>
      </c>
      <c r="BA140" s="3">
        <f>IF(ISERROR(LEN(VLOOKUP(A140,Seqs!A:E,2,FALSE))-AL140),"-",LEN(VLOOKUP(A140,Seqs!A:E,2,FALSE))-AL140)</f>
        <v>16</v>
      </c>
      <c r="BB140" s="16">
        <f t="shared" si="92"/>
        <v>27</v>
      </c>
      <c r="BC140" s="9">
        <f t="shared" si="93"/>
        <v>20</v>
      </c>
      <c r="BD140" s="3">
        <f t="shared" si="94"/>
        <v>27</v>
      </c>
      <c r="BE140" s="3">
        <f t="shared" si="95"/>
        <v>43</v>
      </c>
      <c r="BF140" s="3">
        <f>AH140-AE140</f>
        <v>36</v>
      </c>
    </row>
    <row r="141" spans="1:58" s="3" customFormat="1" x14ac:dyDescent="0.2">
      <c r="A141" s="3" t="s">
        <v>253</v>
      </c>
      <c r="B141" s="3" t="str">
        <f>LOWER(VLOOKUP(A141,Xtal_Templ!A:B,2,FALSE))</f>
        <v>ptafr_human</v>
      </c>
      <c r="C141" s="3">
        <f>VLOOKUP($A141,'SegEnds_NonXtal_BW#'!$A:$Z,3,FALSE)+D141-50</f>
        <v>49</v>
      </c>
      <c r="D141" s="3">
        <v>72</v>
      </c>
      <c r="E141" s="3">
        <f>IF(ISERROR(VLOOKUP($A141,'SegEnds_NonXtal_BW#'!$A:$Z,4,FALSE)+VLOOKUP($A141,A:AL,4,FALSE)-50),"-",(VLOOKUP($A141,'SegEnds_NonXtal_BW#'!$A:$Z,4,FALSE)+VLOOKUP($A141,A:AL,4,FALSE)-50))</f>
        <v>83</v>
      </c>
      <c r="F141" s="3" t="str">
        <f>IF(ISERROR(VLOOKUP($A141,'SegEnds_NonXtal_BW#'!$A:$Z,5,FALSE)+VLOOKUP($A141,A:AL,7,FALSE)-50),"-",(VLOOKUP($A141,'SegEnds_NonXtal_BW#'!$A:$Z,5,FALSE)+VLOOKUP($A141,A:AL,7,FALSE)-50))</f>
        <v>-</v>
      </c>
      <c r="G141" s="3" t="s">
        <v>23</v>
      </c>
      <c r="H141" s="3" t="str">
        <f>IF(ISERROR(VLOOKUP($A141,'SegEnds_NonXtal_BW#'!$A:$Z,6,FALSE)+VLOOKUP($A141,A:AL,7,FALSE)-50),"-",(VLOOKUP($A141,'SegEnds_NonXtal_BW#'!$A:$Z,6,FALSE)+VLOOKUP($A141,A:AL,7,FALSE)-50))</f>
        <v>-</v>
      </c>
      <c r="I141" s="3">
        <f>VLOOKUP($A141,'SegEnds_NonXtal_BW#'!$A:$Z,7,FALSE)+J141-50</f>
        <v>87</v>
      </c>
      <c r="J141" s="3">
        <v>100</v>
      </c>
      <c r="K141" s="3">
        <f>VLOOKUP($A141,'SegEnds_NonXtal_BW#'!$A:$Z,8,FALSE)+VLOOKUP($A141,A:AL,10,FALSE)-50</f>
        <v>117</v>
      </c>
      <c r="L141" s="3">
        <f>M141-1</f>
        <v>119</v>
      </c>
      <c r="M141" s="3">
        <v>120</v>
      </c>
      <c r="N141" s="3">
        <f>M141+2</f>
        <v>122</v>
      </c>
      <c r="O141" s="3">
        <f>N141+1</f>
        <v>123</v>
      </c>
      <c r="P141" s="3">
        <v>152</v>
      </c>
      <c r="Q141" s="3">
        <f>VLOOKUP($A141,'SegEnds_NonXtal_BW#'!$A:$Z,12,FALSE)+VLOOKUP($A141,A:AL,16,FALSE)-50</f>
        <v>158</v>
      </c>
      <c r="R141" s="3">
        <f>IF(ISERROR(VLOOKUP($A141,'SegEnds_NonXtal_BW#'!$A:$Z,13,FALSE)+VLOOKUP($A141,A:AL,19,FALSE)-50),"-",VLOOKUP($A141,'SegEnds_NonXtal_BW#'!$A:$Z,13,FALSE)+VLOOKUP($A141,A:AL,19,FALSE)-50)</f>
        <v>159</v>
      </c>
      <c r="S141" s="3">
        <v>159</v>
      </c>
      <c r="T141" s="100">
        <f>IF(ISERROR(VLOOKUP($A141,'SegEnds_NonXtal_BW#'!$A:$Z,14,FALSE)+VLOOKUP($A141,A:AL,19,FALSE)-50),"-",(VLOOKUP($A141,'SegEnds_NonXtal_BW#'!$A:$Z,14,FALSE)+VLOOKUP($A141,A:AL,19,FALSE)-50))</f>
        <v>166</v>
      </c>
      <c r="U141" s="9">
        <f>IF(ISERROR(VLOOKUP($A141,'SegEnds_NonXtal_BW#'!$A:$Z,15,FALSE)+VLOOKUP($A141,A:AL,22,FALSE)-50),"-",VLOOKUP($A141,'SegEnds_NonXtal_BW#'!$A:$Z,15,FALSE)+VLOOKUP($A141,A:AL,22,FALSE)-50)</f>
        <v>167</v>
      </c>
      <c r="V141" s="3">
        <v>179</v>
      </c>
      <c r="W141" s="3">
        <f>IF(ISERROR(VLOOKUP($A141,'SegEnds_NonXtal_BW#'!$A:$Z,16,FALSE)+VLOOKUP($A141,A:AL,22,FALSE)-50),"-",(VLOOKUP($A141,'SegEnds_NonXtal_BW#'!$A:$Z,16,FALSE)+VLOOKUP($A141,A:AL,22,FALSE)-50))</f>
        <v>192</v>
      </c>
      <c r="X141" s="3">
        <f>IF(ISERROR(VLOOKUP($A141,'SegEnds_NonXtal_BW#'!$A:$Z,17,FALSE)+VLOOKUP($A141,A:AL,25,FALSE)-50),"-",(VLOOKUP($A141,'SegEnds_NonXtal_BW#'!$A:$Z,17,FALSE)+VLOOKUP($A141,A:AL,25,FALSE)-50))</f>
        <v>204</v>
      </c>
      <c r="Y141" s="3">
        <v>204</v>
      </c>
      <c r="Z141" s="3">
        <f t="shared" si="99"/>
        <v>206</v>
      </c>
      <c r="AA141" s="3">
        <f>IF(ISERROR(VLOOKUP($A141,'SegEnds_NonXtal_BW#'!$A:$Z,19,FALSE)+VLOOKUP($A141,A:AL,28,FALSE)-50),"-",(VLOOKUP($A141,'SegEnds_NonXtal_BW#'!$A:$Z,19,FALSE)+VLOOKUP($A141,A:AL,28,FALSE)-50))</f>
        <v>213</v>
      </c>
      <c r="AB141" s="3">
        <v>230</v>
      </c>
      <c r="AC141" s="3">
        <f>IF(ISERROR((VLOOKUP($A141,'SegEnds_NonXtal_BW#'!$A:$Z,20,FALSE)+VLOOKUP($A141,A:AL,28,FALSE)-50)),"-",(VLOOKUP($A141,'SegEnds_NonXtal_BW#'!$A:$Z,20,FALSE)+VLOOKUP($A141,A:AL,28,FALSE)-50))</f>
        <v>248</v>
      </c>
      <c r="AD141" s="3">
        <f>IF(ISERROR(VLOOKUP($A141,'SegEnds_NonXtal_BW#'!$A:$Z,21,FALSE)+VLOOKUP($A141,A:AL,31,FALSE)-50),"-",(VLOOKUP($A141,'SegEnds_NonXtal_BW#'!$A:$Z,21,FALSE)+VLOOKUP($A141,A:AL,31,FALSE)-50))</f>
        <v>254</v>
      </c>
      <c r="AE141" s="3">
        <v>281</v>
      </c>
      <c r="AF141" s="3">
        <f>IF(ISERROR((VLOOKUP($A141,'SegEnds_NonXtal_BW#'!$A:$Z,22,FALSE)+VLOOKUP($A141,A:AL,31,FALSE)-50)),"-",(VLOOKUP($A141,'SegEnds_NonXtal_BW#'!$A:$Z,22,FALSE)+VLOOKUP($A141,A:AL,31,FALSE)-50))</f>
        <v>292</v>
      </c>
      <c r="AG141" s="3">
        <f>IF(ISERROR(VLOOKUP($A141,'SegEnds_NonXtal_BW#'!$A:$Z,23,FALSE)+VLOOKUP($A141,A:AL,34,FALSE)-50),"-",(VLOOKUP($A141,'SegEnds_NonXtal_BW#'!$A:$Z,23,FALSE)+VLOOKUP($A141,A:AL,34,FALSE)-50))</f>
        <v>298</v>
      </c>
      <c r="AH141" s="3">
        <v>324</v>
      </c>
      <c r="AI141" s="3">
        <f>IF(ISERROR((VLOOKUP($A141,'SegEnds_NonXtal_BW#'!$A:$Z,24,FALSE)+VLOOKUP($A141,A:AL,34,FALSE)-50)),"-",(VLOOKUP($A141,'SegEnds_NonXtal_BW#'!$A:$Z,24,FALSE)+VLOOKUP($A141,A:AL,34,FALSE)-50))</f>
        <v>333</v>
      </c>
      <c r="AJ141" s="3">
        <f>IF(ISERROR(VLOOKUP($A141,'SegEnds_NonXtal_BW#'!$A:$Z,25,FALSE)+VLOOKUP($A141,A:AL,37,FALSE)-50),"-",(VLOOKUP($A141,'SegEnds_NonXtal_BW#'!$A:$Z,25,FALSE)+VLOOKUP($A141,A:AL,37,FALSE)-50))</f>
        <v>334</v>
      </c>
      <c r="AK141" s="3">
        <v>334</v>
      </c>
      <c r="AL141" s="3">
        <f>IF(ISERROR((VLOOKUP($A141,'SegEnds_NonXtal_BW#'!$A:$Z,26,FALSE)+VLOOKUP($A141,A:AL,37,FALSE)-50)),"-",(VLOOKUP($A141,'SegEnds_NonXtal_BW#'!$A:$Z,26,FALSE)+VLOOKUP($A141,A:AL,37,FALSE)-50))</f>
        <v>347</v>
      </c>
      <c r="AM141" s="28" t="str">
        <f>VLOOKUP(A141,Classification!A:B,2,FALSE)</f>
        <v>A</v>
      </c>
      <c r="AN141" s="28" t="b">
        <f t="shared" si="98"/>
        <v>1</v>
      </c>
      <c r="AO141" s="3" t="str">
        <f>IF(ISERROR(MATCH(A141,'SegEnds_Xtal_Prot#'!B:B, 0)), "NoXtal", "Xtal")</f>
        <v>NoXtal</v>
      </c>
      <c r="AP141" s="3" t="str">
        <f t="shared" si="81"/>
        <v>-</v>
      </c>
      <c r="AQ141" s="3" t="str">
        <f t="shared" si="82"/>
        <v>-</v>
      </c>
      <c r="AR141" s="3">
        <f t="shared" si="83"/>
        <v>2</v>
      </c>
      <c r="AS141" s="3">
        <f t="shared" si="84"/>
        <v>1</v>
      </c>
      <c r="AT141" s="3">
        <f t="shared" si="85"/>
        <v>1</v>
      </c>
      <c r="AU141" s="3">
        <f t="shared" si="86"/>
        <v>1</v>
      </c>
      <c r="AV141" s="3">
        <f t="shared" si="87"/>
        <v>12</v>
      </c>
      <c r="AW141" s="3">
        <f t="shared" si="88"/>
        <v>7</v>
      </c>
      <c r="AX141" s="3">
        <f t="shared" si="89"/>
        <v>6</v>
      </c>
      <c r="AY141" s="3">
        <f t="shared" si="90"/>
        <v>6</v>
      </c>
      <c r="AZ141" s="3">
        <f t="shared" si="91"/>
        <v>1</v>
      </c>
      <c r="BA141" s="3">
        <f>IF(ISERROR(LEN(VLOOKUP(A141,Seqs!A:E,2,FALSE))-AL141),"-",LEN(VLOOKUP(A141,Seqs!A:E,2,FALSE))-AL141)</f>
        <v>34</v>
      </c>
      <c r="BB141" s="16">
        <f t="shared" si="92"/>
        <v>28</v>
      </c>
      <c r="BC141" s="9">
        <f t="shared" si="93"/>
        <v>20</v>
      </c>
      <c r="BD141" s="3">
        <f t="shared" si="94"/>
        <v>28</v>
      </c>
      <c r="BE141" s="3">
        <f t="shared" si="95"/>
        <v>51</v>
      </c>
    </row>
    <row r="142" spans="1:58" s="3" customFormat="1" x14ac:dyDescent="0.2">
      <c r="A142" s="3" t="s">
        <v>254</v>
      </c>
      <c r="B142" s="3" t="str">
        <f>LOWER(VLOOKUP(A142,Xtal_Templ!A:B,2,FALSE))</f>
        <v>ccr2_human</v>
      </c>
      <c r="C142" s="3">
        <f>VLOOKUP($A142,'SegEnds_NonXtal_BW#'!$A:$Z,3,FALSE)+D142-50</f>
        <v>15</v>
      </c>
      <c r="D142" s="3">
        <v>38</v>
      </c>
      <c r="E142" s="3">
        <f>IF(ISERROR(VLOOKUP($A142,'SegEnds_NonXtal_BW#'!$A:$Z,4,FALSE)+VLOOKUP($A142,A:AL,4,FALSE)-50),"-",(VLOOKUP($A142,'SegEnds_NonXtal_BW#'!$A:$Z,4,FALSE)+VLOOKUP($A142,A:AL,4,FALSE)-50))</f>
        <v>48</v>
      </c>
      <c r="F142" s="3">
        <f>G142-2</f>
        <v>49</v>
      </c>
      <c r="G142" s="3">
        <v>51</v>
      </c>
      <c r="H142" s="3">
        <f>G142+1</f>
        <v>52</v>
      </c>
      <c r="I142" s="3">
        <f>H142+1</f>
        <v>53</v>
      </c>
      <c r="J142" s="3">
        <v>66</v>
      </c>
      <c r="K142" s="3">
        <f>VLOOKUP($A142,'SegEnds_NonXtal_BW#'!$A:$Z,8,FALSE)+VLOOKUP($A142,A:AL,10,FALSE)-50</f>
        <v>82</v>
      </c>
      <c r="L142" s="3" t="str">
        <f>IF(ISERROR(VLOOKUP($A142,'SegEnds_NonXtal_BW#'!$A:$Z,9,FALSE)+VLOOKUP($A142,A:AL,13,FALSE)-50),"-",(VLOOKUP($A142,'SegEnds_NonXtal_BW#'!$A:$Z,9,FALSE)+VLOOKUP($A142,A:AL,13,FALSE)-50))</f>
        <v>-</v>
      </c>
      <c r="M142" s="3" t="s">
        <v>23</v>
      </c>
      <c r="N142" s="3" t="str">
        <f>IF(ISERROR(VLOOKUP($A142,'SegEnds_NonXtal_BW#'!$A:$Z,10,FALSE)+VLOOKUP($A142,A:AL,13,FALSE)-50),"-",(VLOOKUP($A142,'SegEnds_NonXtal_BW#'!$A:$Z,10,FALSE)+VLOOKUP($A142,A:AL,13,FALSE)-50))</f>
        <v>-</v>
      </c>
      <c r="O142" s="3">
        <f>VLOOKUP($A142,'SegEnds_NonXtal_BW#'!$A:$Z,11,FALSE)+VLOOKUP($A142,A:AL,16,FALSE)-50</f>
        <v>88</v>
      </c>
      <c r="P142" s="3">
        <v>114</v>
      </c>
      <c r="Q142" s="3">
        <f>VLOOKUP($A142,'SegEnds_NonXtal_BW#'!$A:$Z,12,FALSE)+VLOOKUP($A142,A:AL,16,FALSE)-50</f>
        <v>120</v>
      </c>
      <c r="R142" s="3">
        <f>IF(ISERROR(VLOOKUP($A142,'SegEnds_NonXtal_BW#'!$A:$Z,13,FALSE)+VLOOKUP($A142,A:AL,19,FALSE)-50),"-",VLOOKUP($A142,'SegEnds_NonXtal_BW#'!$A:$Z,13,FALSE)+VLOOKUP($A142,A:AL,19,FALSE)-50)</f>
        <v>121</v>
      </c>
      <c r="S142" s="3">
        <v>121</v>
      </c>
      <c r="T142" s="100">
        <f>IF(ISERROR(VLOOKUP($A142,'SegEnds_NonXtal_BW#'!$A:$Z,14,FALSE)+VLOOKUP($A142,A:AL,19,FALSE)-50),"-",(VLOOKUP($A142,'SegEnds_NonXtal_BW#'!$A:$Z,14,FALSE)+VLOOKUP($A142,A:AL,19,FALSE)-50))</f>
        <v>128</v>
      </c>
      <c r="U142" s="9">
        <f>IF(ISERROR(VLOOKUP($A142,'SegEnds_NonXtal_BW#'!$A:$Z,15,FALSE)+VLOOKUP($A142,A:AL,22,FALSE)-50),"-",VLOOKUP($A142,'SegEnds_NonXtal_BW#'!$A:$Z,15,FALSE)+VLOOKUP($A142,A:AL,22,FALSE)-50)</f>
        <v>129</v>
      </c>
      <c r="V142" s="3">
        <v>141</v>
      </c>
      <c r="W142" s="3">
        <f>IF(ISERROR(VLOOKUP($A142,'SegEnds_NonXtal_BW#'!$A:$Z,16,FALSE)+VLOOKUP($A142,A:AL,22,FALSE)-50),"-",(VLOOKUP($A142,'SegEnds_NonXtal_BW#'!$A:$Z,16,FALSE)+VLOOKUP($A142,A:AL,22,FALSE)-50))</f>
        <v>155</v>
      </c>
      <c r="X142" s="3">
        <f>IF(ISERROR(VLOOKUP($A142,'SegEnds_NonXtal_BW#'!$A:$Z,17,FALSE)+VLOOKUP($A142,A:AL,25,FALSE)-50),"-",(VLOOKUP($A142,'SegEnds_NonXtal_BW#'!$A:$Z,17,FALSE)+VLOOKUP($A142,A:AL,25,FALSE)-50))</f>
        <v>162</v>
      </c>
      <c r="Y142" s="3">
        <v>162</v>
      </c>
      <c r="Z142" s="3">
        <f t="shared" si="99"/>
        <v>164</v>
      </c>
      <c r="AA142" s="3">
        <f>IF(ISERROR(VLOOKUP($A142,'SegEnds_NonXtal_BW#'!$A:$Z,19,FALSE)+VLOOKUP($A142,A:AL,28,FALSE)-50),"-",(VLOOKUP($A142,'SegEnds_NonXtal_BW#'!$A:$Z,19,FALSE)+VLOOKUP($A142,A:AL,28,FALSE)-50))</f>
        <v>168</v>
      </c>
      <c r="AB142" s="3">
        <v>183</v>
      </c>
      <c r="AC142" s="3">
        <f>IF(ISERROR((VLOOKUP($A142,'SegEnds_NonXtal_BW#'!$A:$Z,20,FALSE)+VLOOKUP($A142,A:AL,28,FALSE)-50)),"-",(VLOOKUP($A142,'SegEnds_NonXtal_BW#'!$A:$Z,20,FALSE)+VLOOKUP($A142,A:AL,28,FALSE)-50))</f>
        <v>201</v>
      </c>
      <c r="AD142" s="3">
        <f>IF(ISERROR(VLOOKUP($A142,'SegEnds_NonXtal_BW#'!$A:$Z,21,FALSE)+VLOOKUP($A142,A:AL,31,FALSE)-50),"-",(VLOOKUP($A142,'SegEnds_NonXtal_BW#'!$A:$Z,21,FALSE)+VLOOKUP($A142,A:AL,31,FALSE)-50))</f>
        <v>206</v>
      </c>
      <c r="AE142" s="3">
        <v>232</v>
      </c>
      <c r="AF142" s="3">
        <f>IF(ISERROR((VLOOKUP($A142,'SegEnds_NonXtal_BW#'!$A:$Z,22,FALSE)+VLOOKUP($A142,A:AL,31,FALSE)-50)),"-",(VLOOKUP($A142,'SegEnds_NonXtal_BW#'!$A:$Z,22,FALSE)+VLOOKUP($A142,A:AL,31,FALSE)-50))</f>
        <v>243</v>
      </c>
      <c r="AG142" s="3">
        <f>IF(ISERROR(VLOOKUP($A142,'SegEnds_NonXtal_BW#'!$A:$Z,23,FALSE)+VLOOKUP($A142,A:AL,34,FALSE)-50),"-",(VLOOKUP($A142,'SegEnds_NonXtal_BW#'!$A:$Z,23,FALSE)+VLOOKUP($A142,A:AL,34,FALSE)-50))</f>
        <v>251</v>
      </c>
      <c r="AH142" s="3">
        <v>273</v>
      </c>
      <c r="AI142" s="3">
        <f>IF(ISERROR((VLOOKUP($A142,'SegEnds_NonXtal_BW#'!$A:$Z,24,FALSE)+VLOOKUP($A142,A:AL,34,FALSE)-50)),"-",(VLOOKUP($A142,'SegEnds_NonXtal_BW#'!$A:$Z,24,FALSE)+VLOOKUP($A142,A:AL,34,FALSE)-50))</f>
        <v>279</v>
      </c>
      <c r="AJ142" s="3">
        <f>IF(ISERROR(VLOOKUP($A142,'SegEnds_NonXtal_BW#'!$A:$Z,25,FALSE)+VLOOKUP($A142,A:AL,37,FALSE)-50),"-",(VLOOKUP($A142,'SegEnds_NonXtal_BW#'!$A:$Z,25,FALSE)+VLOOKUP($A142,A:AL,37,FALSE)-50))</f>
        <v>280</v>
      </c>
      <c r="AK142" s="3">
        <v>283</v>
      </c>
      <c r="AL142" s="3">
        <f>IF(ISERROR((VLOOKUP($A142,'SegEnds_NonXtal_BW#'!$A:$Z,26,FALSE)+VLOOKUP($A142,A:AL,37,FALSE)-50)),"-",(VLOOKUP($A142,'SegEnds_NonXtal_BW#'!$A:$Z,26,FALSE)+VLOOKUP($A142,A:AL,37,FALSE)-50))</f>
        <v>291</v>
      </c>
      <c r="AM142" s="28" t="str">
        <f>VLOOKUP(A142,Classification!A:B,2,FALSE)</f>
        <v>A</v>
      </c>
      <c r="AN142" s="28" t="b">
        <f t="shared" si="98"/>
        <v>1</v>
      </c>
      <c r="AO142" s="3" t="str">
        <f>IF(ISERROR(MATCH(A142,'SegEnds_Xtal_Prot#'!B:B, 0)), "NoXtal", "Xtal")</f>
        <v>NoXtal</v>
      </c>
      <c r="AP142" s="3">
        <f t="shared" si="81"/>
        <v>1</v>
      </c>
      <c r="AQ142" s="3">
        <f t="shared" si="82"/>
        <v>1</v>
      </c>
      <c r="AR142" s="3" t="str">
        <f t="shared" si="83"/>
        <v>-</v>
      </c>
      <c r="AS142" s="3" t="str">
        <f t="shared" si="84"/>
        <v>-</v>
      </c>
      <c r="AT142" s="3">
        <f t="shared" si="85"/>
        <v>1</v>
      </c>
      <c r="AU142" s="3">
        <f t="shared" si="86"/>
        <v>1</v>
      </c>
      <c r="AV142" s="3">
        <f t="shared" si="87"/>
        <v>7</v>
      </c>
      <c r="AW142" s="3">
        <f t="shared" si="88"/>
        <v>4</v>
      </c>
      <c r="AX142" s="3">
        <f t="shared" si="89"/>
        <v>5</v>
      </c>
      <c r="AY142" s="3">
        <f t="shared" si="90"/>
        <v>8</v>
      </c>
      <c r="AZ142" s="3">
        <f t="shared" si="91"/>
        <v>1</v>
      </c>
      <c r="BA142" s="3">
        <f>IF(ISERROR(LEN(VLOOKUP(A142,Seqs!A:E,2,FALSE))-AL142),"-",LEN(VLOOKUP(A142,Seqs!A:E,2,FALSE))-AL142)</f>
        <v>18</v>
      </c>
      <c r="BB142" s="16">
        <f t="shared" si="92"/>
        <v>28</v>
      </c>
      <c r="BC142" s="9">
        <f t="shared" si="93"/>
        <v>20</v>
      </c>
      <c r="BD142" s="3">
        <f t="shared" si="94"/>
        <v>28</v>
      </c>
      <c r="BE142" s="3">
        <f t="shared" si="95"/>
        <v>49</v>
      </c>
      <c r="BF142" s="3">
        <f>AH142-AE142</f>
        <v>41</v>
      </c>
    </row>
    <row r="143" spans="1:58" s="3" customFormat="1" x14ac:dyDescent="0.2">
      <c r="A143" s="3" t="s">
        <v>255</v>
      </c>
      <c r="B143" s="3" t="str">
        <f>LOWER(VLOOKUP(A143,Xtal_Templ!A:B,2,FALSE))</f>
        <v>ednrb_human</v>
      </c>
      <c r="C143" s="3">
        <f>VLOOKUP($A143,'SegEnds_NonXtal_BW#'!$A:$Z,3,FALSE)+D143-50</f>
        <v>251</v>
      </c>
      <c r="D143" s="3">
        <v>279</v>
      </c>
      <c r="E143" s="3">
        <f>IF(ISERROR(VLOOKUP($A143,'SegEnds_NonXtal_BW#'!$A:$Z,4,FALSE)+VLOOKUP($A143,A:AL,4,FALSE)-50),"-",(VLOOKUP($A143,'SegEnds_NonXtal_BW#'!$A:$Z,4,FALSE)+VLOOKUP($A143,A:AL,4,FALSE)-50))</f>
        <v>289</v>
      </c>
      <c r="F143" s="3">
        <f>G143-2</f>
        <v>290</v>
      </c>
      <c r="G143" s="3">
        <v>292</v>
      </c>
      <c r="H143" s="3">
        <f>G143+1</f>
        <v>293</v>
      </c>
      <c r="I143" s="3">
        <f>H143+1</f>
        <v>294</v>
      </c>
      <c r="J143" s="3">
        <v>307</v>
      </c>
      <c r="K143" s="3">
        <f>VLOOKUP($A143,'SegEnds_NonXtal_BW#'!$A:$Z,8,FALSE)+VLOOKUP($A143,A:AL,10,FALSE)-50</f>
        <v>324</v>
      </c>
      <c r="L143" s="3">
        <f>M143-1</f>
        <v>326</v>
      </c>
      <c r="M143" s="3">
        <v>327</v>
      </c>
      <c r="N143" s="3">
        <f>M143+2</f>
        <v>329</v>
      </c>
      <c r="O143" s="3">
        <f>N143+1</f>
        <v>330</v>
      </c>
      <c r="P143" s="3">
        <v>359</v>
      </c>
      <c r="Q143" s="3">
        <f>VLOOKUP($A143,'SegEnds_NonXtal_BW#'!$A:$Z,12,FALSE)+VLOOKUP($A143,A:AL,16,FALSE)-50</f>
        <v>365</v>
      </c>
      <c r="R143" s="3">
        <f>IF(ISERROR(VLOOKUP($A143,'SegEnds_NonXtal_BW#'!$A:$Z,13,FALSE)+VLOOKUP($A143,A:AL,19,FALSE)-50),"-",VLOOKUP($A143,'SegEnds_NonXtal_BW#'!$A:$Z,13,FALSE)+VLOOKUP($A143,A:AL,19,FALSE)-50)</f>
        <v>367</v>
      </c>
      <c r="S143" s="3">
        <v>367</v>
      </c>
      <c r="T143" s="100">
        <f>IF(ISERROR(VLOOKUP($A143,'SegEnds_NonXtal_BW#'!$A:$Z,14,FALSE)+VLOOKUP($A143,A:AL,19,FALSE)-50),"-",(VLOOKUP($A143,'SegEnds_NonXtal_BW#'!$A:$Z,14,FALSE)+VLOOKUP($A143,A:AL,19,FALSE)-50))</f>
        <v>374</v>
      </c>
      <c r="U143" s="9">
        <f>IF(ISERROR(VLOOKUP($A143,'SegEnds_NonXtal_BW#'!$A:$Z,15,FALSE)+VLOOKUP($A143,A:AL,22,FALSE)-50),"-",VLOOKUP($A143,'SegEnds_NonXtal_BW#'!$A:$Z,15,FALSE)+VLOOKUP($A143,A:AL,22,FALSE)-50)</f>
        <v>375</v>
      </c>
      <c r="V143" s="3">
        <v>387</v>
      </c>
      <c r="W143" s="3">
        <f>IF(ISERROR(VLOOKUP($A143,'SegEnds_NonXtal_BW#'!$A:$Z,16,FALSE)+VLOOKUP($A143,A:AL,22,FALSE)-50),"-",(VLOOKUP($A143,'SegEnds_NonXtal_BW#'!$A:$Z,16,FALSE)+VLOOKUP($A143,A:AL,22,FALSE)-50))</f>
        <v>401</v>
      </c>
      <c r="X143" s="3">
        <f>IF(ISERROR(VLOOKUP($A143,'SegEnds_NonXtal_BW#'!$A:$Z,17,FALSE)+VLOOKUP($A143,A:AL,25,FALSE)-50),"-",(VLOOKUP($A143,'SegEnds_NonXtal_BW#'!$A:$Z,17,FALSE)+VLOOKUP($A143,A:AL,25,FALSE)-50))</f>
        <v>419</v>
      </c>
      <c r="Y143" s="3">
        <v>419</v>
      </c>
      <c r="Z143" s="3">
        <f t="shared" si="99"/>
        <v>421</v>
      </c>
      <c r="AA143" s="3">
        <f>IF(ISERROR(VLOOKUP($A143,'SegEnds_NonXtal_BW#'!$A:$Z,19,FALSE)+VLOOKUP($A143,A:AL,28,FALSE)-50),"-",(VLOOKUP($A143,'SegEnds_NonXtal_BW#'!$A:$Z,19,FALSE)+VLOOKUP($A143,A:AL,28,FALSE)-50))</f>
        <v>432</v>
      </c>
      <c r="AB143" s="3">
        <v>454</v>
      </c>
      <c r="AC143" s="3">
        <f>IF(ISERROR((VLOOKUP($A143,'SegEnds_NonXtal_BW#'!$A:$Z,20,FALSE)+VLOOKUP($A143,A:AL,28,FALSE)-50)),"-",(VLOOKUP($A143,'SegEnds_NonXtal_BW#'!$A:$Z,20,FALSE)+VLOOKUP($A143,A:AL,28,FALSE)-50))</f>
        <v>476</v>
      </c>
      <c r="AD143" s="3">
        <f>IF(ISERROR(VLOOKUP($A143,'SegEnds_NonXtal_BW#'!$A:$Z,21,FALSE)+VLOOKUP($A143,A:AL,31,FALSE)-50),"-",(VLOOKUP($A143,'SegEnds_NonXtal_BW#'!$A:$Z,21,FALSE)+VLOOKUP($A143,A:AL,31,FALSE)-50))</f>
        <v>481</v>
      </c>
      <c r="AE143" s="3">
        <v>507</v>
      </c>
      <c r="AF143" s="3">
        <f>IF(ISERROR((VLOOKUP($A143,'SegEnds_NonXtal_BW#'!$A:$Z,22,FALSE)+VLOOKUP($A143,A:AL,31,FALSE)-50)),"-",(VLOOKUP($A143,'SegEnds_NonXtal_BW#'!$A:$Z,22,FALSE)+VLOOKUP($A143,A:AL,31,FALSE)-50))</f>
        <v>518</v>
      </c>
      <c r="AG143" s="3">
        <f>IF(ISERROR(VLOOKUP($A143,'SegEnds_NonXtal_BW#'!$A:$Z,23,FALSE)+VLOOKUP($A143,A:AL,34,FALSE)-50),"-",(VLOOKUP($A143,'SegEnds_NonXtal_BW#'!$A:$Z,23,FALSE)+VLOOKUP($A143,A:AL,34,FALSE)-50))</f>
        <v>520</v>
      </c>
      <c r="AH143" s="3">
        <v>546</v>
      </c>
      <c r="AI143" s="3">
        <f>IF(ISERROR((VLOOKUP($A143,'SegEnds_NonXtal_BW#'!$A:$Z,24,FALSE)+VLOOKUP($A143,A:AL,34,FALSE)-50)),"-",(VLOOKUP($A143,'SegEnds_NonXtal_BW#'!$A:$Z,24,FALSE)+VLOOKUP($A143,A:AL,34,FALSE)-50))</f>
        <v>552</v>
      </c>
      <c r="AJ143" s="3">
        <f>IF(ISERROR(VLOOKUP($A143,'SegEnds_NonXtal_BW#'!$A:$Z,25,FALSE)+VLOOKUP($A143,A:AL,37,FALSE)-50),"-",(VLOOKUP($A143,'SegEnds_NonXtal_BW#'!$A:$Z,25,FALSE)+VLOOKUP($A143,A:AL,37,FALSE)-50))</f>
        <v>553</v>
      </c>
      <c r="AK143" s="3">
        <v>556</v>
      </c>
      <c r="AL143" s="3">
        <f>IF(ISERROR((VLOOKUP($A143,'SegEnds_NonXtal_BW#'!$A:$Z,26,FALSE)+VLOOKUP($A143,A:AL,37,FALSE)-50)),"-",(VLOOKUP($A143,'SegEnds_NonXtal_BW#'!$A:$Z,26,FALSE)+VLOOKUP($A143,A:AL,37,FALSE)-50))</f>
        <v>566</v>
      </c>
      <c r="AM143" s="28" t="str">
        <f>VLOOKUP(A143,Classification!A:B,2,FALSE)</f>
        <v>A</v>
      </c>
      <c r="AN143" s="28" t="b">
        <f t="shared" si="98"/>
        <v>1</v>
      </c>
      <c r="AO143" s="3" t="str">
        <f>IF(ISERROR(MATCH(A143,'SegEnds_Xtal_Prot#'!B:B, 0)), "NoXtal", "Xtal")</f>
        <v>NoXtal</v>
      </c>
      <c r="AP143" s="3">
        <f t="shared" si="81"/>
        <v>1</v>
      </c>
      <c r="AQ143" s="3">
        <f t="shared" si="82"/>
        <v>1</v>
      </c>
      <c r="AR143" s="3">
        <f t="shared" si="83"/>
        <v>2</v>
      </c>
      <c r="AS143" s="3">
        <f t="shared" si="84"/>
        <v>1</v>
      </c>
      <c r="AT143" s="3">
        <f t="shared" si="85"/>
        <v>2</v>
      </c>
      <c r="AU143" s="3">
        <f t="shared" si="86"/>
        <v>1</v>
      </c>
      <c r="AV143" s="3">
        <f t="shared" si="87"/>
        <v>18</v>
      </c>
      <c r="AW143" s="3">
        <f t="shared" si="88"/>
        <v>11</v>
      </c>
      <c r="AX143" s="3">
        <f t="shared" si="89"/>
        <v>5</v>
      </c>
      <c r="AY143" s="3">
        <f t="shared" si="90"/>
        <v>2</v>
      </c>
      <c r="AZ143" s="3">
        <f t="shared" si="91"/>
        <v>1</v>
      </c>
      <c r="BA143" s="3">
        <f>IF(ISERROR(LEN(VLOOKUP(A143,Seqs!A:E,2,FALSE))-AL143),"-",LEN(VLOOKUP(A143,Seqs!A:E,2,FALSE))-AL143)</f>
        <v>47</v>
      </c>
      <c r="BB143" s="16">
        <f t="shared" si="92"/>
        <v>28</v>
      </c>
      <c r="BC143" s="9">
        <f t="shared" si="93"/>
        <v>20</v>
      </c>
      <c r="BD143" s="3">
        <f t="shared" si="94"/>
        <v>28</v>
      </c>
      <c r="BE143" s="3">
        <f t="shared" si="95"/>
        <v>53</v>
      </c>
    </row>
    <row r="144" spans="1:58" s="3" customFormat="1" x14ac:dyDescent="0.2">
      <c r="A144" s="3" t="s">
        <v>256</v>
      </c>
      <c r="B144" s="3" t="str">
        <f>LOWER(VLOOKUP(A144,Xtal_Templ!A:B,2,FALSE))</f>
        <v>ntr1_rat</v>
      </c>
      <c r="C144" s="3">
        <f>VLOOKUP($A144,'SegEnds_NonXtal_BW#'!$A:$Z,3,FALSE)+D144-50</f>
        <v>27</v>
      </c>
      <c r="D144" s="3">
        <v>48</v>
      </c>
      <c r="E144" s="3">
        <f>IF(ISERROR(VLOOKUP($A144,'SegEnds_NonXtal_BW#'!$A:$Z,4,FALSE)+VLOOKUP($A144,A:AL,4,FALSE)-50),"-",(VLOOKUP($A144,'SegEnds_NonXtal_BW#'!$A:$Z,4,FALSE)+VLOOKUP($A144,A:AL,4,FALSE)-50))</f>
        <v>58</v>
      </c>
      <c r="F144" s="3" t="str">
        <f>IF(ISERROR(VLOOKUP($A144,'SegEnds_NonXtal_BW#'!$A:$Z,5,FALSE)+VLOOKUP($A144,A:AL,7,FALSE)-50),"-",(VLOOKUP($A144,'SegEnds_NonXtal_BW#'!$A:$Z,5,FALSE)+VLOOKUP($A144,A:AL,7,FALSE)-50))</f>
        <v>-</v>
      </c>
      <c r="G144" s="3" t="s">
        <v>23</v>
      </c>
      <c r="H144" s="3" t="str">
        <f>IF(ISERROR(VLOOKUP($A144,'SegEnds_NonXtal_BW#'!$A:$Z,6,FALSE)+VLOOKUP($A144,A:AL,7,FALSE)-50),"-",(VLOOKUP($A144,'SegEnds_NonXtal_BW#'!$A:$Z,6,FALSE)+VLOOKUP($A144,A:AL,7,FALSE)-50))</f>
        <v>-</v>
      </c>
      <c r="I144" s="3">
        <f>VLOOKUP($A144,'SegEnds_NonXtal_BW#'!$A:$Z,7,FALSE)+J144-50</f>
        <v>66</v>
      </c>
      <c r="J144" s="3">
        <v>79</v>
      </c>
      <c r="K144" s="3">
        <f>VLOOKUP($A144,'SegEnds_NonXtal_BW#'!$A:$Z,8,FALSE)+VLOOKUP($A144,A:AL,10,FALSE)-50</f>
        <v>97</v>
      </c>
      <c r="L144" s="3" t="str">
        <f>IF(ISERROR(VLOOKUP($A144,'SegEnds_NonXtal_BW#'!$A:$Z,9,FALSE)+VLOOKUP($A144,A:AL,13,FALSE)-50),"-",(VLOOKUP($A144,'SegEnds_NonXtal_BW#'!$A:$Z,9,FALSE)+VLOOKUP($A144,A:AL,13,FALSE)-50))</f>
        <v>-</v>
      </c>
      <c r="M144" s="3" t="s">
        <v>23</v>
      </c>
      <c r="N144" s="3" t="str">
        <f>IF(ISERROR(VLOOKUP($A144,'SegEnds_NonXtal_BW#'!$A:$Z,10,FALSE)+VLOOKUP($A144,A:AL,13,FALSE)-50),"-",(VLOOKUP($A144,'SegEnds_NonXtal_BW#'!$A:$Z,10,FALSE)+VLOOKUP($A144,A:AL,13,FALSE)-50))</f>
        <v>-</v>
      </c>
      <c r="O144" s="3">
        <f>VLOOKUP($A144,'SegEnds_NonXtal_BW#'!$A:$Z,11,FALSE)+VLOOKUP($A144,A:AL,16,FALSE)-50</f>
        <v>101</v>
      </c>
      <c r="P144" s="3">
        <v>133</v>
      </c>
      <c r="Q144" s="3">
        <f>VLOOKUP($A144,'SegEnds_NonXtal_BW#'!$A:$Z,12,FALSE)+VLOOKUP($A144,A:AL,16,FALSE)-50</f>
        <v>139</v>
      </c>
      <c r="R144" s="3">
        <f>IF(ISERROR(VLOOKUP($A144,'SegEnds_NonXtal_BW#'!$A:$Z,13,FALSE)+VLOOKUP($A144,A:AL,19,FALSE)-50),"-",VLOOKUP($A144,'SegEnds_NonXtal_BW#'!$A:$Z,13,FALSE)+VLOOKUP($A144,A:AL,19,FALSE)-50)</f>
        <v>140</v>
      </c>
      <c r="S144" s="3">
        <v>140</v>
      </c>
      <c r="T144" s="100">
        <f>IF(ISERROR(VLOOKUP($A144,'SegEnds_NonXtal_BW#'!$A:$Z,14,FALSE)+VLOOKUP($A144,A:AL,19,FALSE)-50),"-",(VLOOKUP($A144,'SegEnds_NonXtal_BW#'!$A:$Z,14,FALSE)+VLOOKUP($A144,A:AL,19,FALSE)-50))</f>
        <v>147</v>
      </c>
      <c r="U144" s="9">
        <f>IF(ISERROR(VLOOKUP($A144,'SegEnds_NonXtal_BW#'!$A:$Z,15,FALSE)+VLOOKUP($A144,A:AL,22,FALSE)-50),"-",VLOOKUP($A144,'SegEnds_NonXtal_BW#'!$A:$Z,15,FALSE)+VLOOKUP($A144,A:AL,22,FALSE)-50)</f>
        <v>148</v>
      </c>
      <c r="V144" s="3">
        <v>160</v>
      </c>
      <c r="W144" s="3">
        <f>IF(ISERROR(VLOOKUP($A144,'SegEnds_NonXtal_BW#'!$A:$Z,16,FALSE)+VLOOKUP($A144,A:AL,22,FALSE)-50),"-",(VLOOKUP($A144,'SegEnds_NonXtal_BW#'!$A:$Z,16,FALSE)+VLOOKUP($A144,A:AL,22,FALSE)-50))</f>
        <v>174</v>
      </c>
      <c r="X144" s="3">
        <f>IF(ISERROR(VLOOKUP($A144,'SegEnds_NonXtal_BW#'!$A:$Z,17,FALSE)+VLOOKUP($A144,A:AL,25,FALSE)-50),"-",(VLOOKUP($A144,'SegEnds_NonXtal_BW#'!$A:$Z,17,FALSE)+VLOOKUP($A144,A:AL,25,FALSE)-50))</f>
        <v>210</v>
      </c>
      <c r="Y144" s="3">
        <v>210</v>
      </c>
      <c r="Z144" s="3">
        <f t="shared" si="99"/>
        <v>212</v>
      </c>
      <c r="AA144" s="3">
        <f>IF(ISERROR(VLOOKUP($A144,'SegEnds_NonXtal_BW#'!$A:$Z,19,FALSE)+VLOOKUP($A144,A:AL,28,FALSE)-50),"-",(VLOOKUP($A144,'SegEnds_NonXtal_BW#'!$A:$Z,19,FALSE)+VLOOKUP($A144,A:AL,28,FALSE)-50))</f>
        <v>216</v>
      </c>
      <c r="AB144" s="3">
        <v>231</v>
      </c>
      <c r="AC144" s="3">
        <f>IF(ISERROR((VLOOKUP($A144,'SegEnds_NonXtal_BW#'!$A:$Z,20,FALSE)+VLOOKUP($A144,A:AL,28,FALSE)-50)),"-",(VLOOKUP($A144,'SegEnds_NonXtal_BW#'!$A:$Z,20,FALSE)+VLOOKUP($A144,A:AL,28,FALSE)-50))</f>
        <v>257</v>
      </c>
      <c r="AD144" s="3">
        <f>IF(ISERROR(VLOOKUP($A144,'SegEnds_NonXtal_BW#'!$A:$Z,21,FALSE)+VLOOKUP($A144,A:AL,31,FALSE)-50),"-",(VLOOKUP($A144,'SegEnds_NonXtal_BW#'!$A:$Z,21,FALSE)+VLOOKUP($A144,A:AL,31,FALSE)-50))</f>
        <v>272</v>
      </c>
      <c r="AE144" s="3">
        <v>298</v>
      </c>
      <c r="AF144" s="3">
        <f>IF(ISERROR((VLOOKUP($A144,'SegEnds_NonXtal_BW#'!$A:$Z,22,FALSE)+VLOOKUP($A144,A:AL,31,FALSE)-50)),"-",(VLOOKUP($A144,'SegEnds_NonXtal_BW#'!$A:$Z,22,FALSE)+VLOOKUP($A144,A:AL,31,FALSE)-50))</f>
        <v>309</v>
      </c>
      <c r="AG144" s="3">
        <f>IF(ISERROR(VLOOKUP($A144,'SegEnds_NonXtal_BW#'!$A:$Z,23,FALSE)+VLOOKUP($A144,A:AL,34,FALSE)-50),"-",(VLOOKUP($A144,'SegEnds_NonXtal_BW#'!$A:$Z,23,FALSE)+VLOOKUP($A144,A:AL,34,FALSE)-50))</f>
        <v>315</v>
      </c>
      <c r="AH144" s="3">
        <v>341</v>
      </c>
      <c r="AI144" s="3">
        <f>IF(ISERROR((VLOOKUP($A144,'SegEnds_NonXtal_BW#'!$A:$Z,24,FALSE)+VLOOKUP($A144,A:AL,34,FALSE)-50)),"-",(VLOOKUP($A144,'SegEnds_NonXtal_BW#'!$A:$Z,24,FALSE)+VLOOKUP($A144,A:AL,34,FALSE)-50))</f>
        <v>347</v>
      </c>
      <c r="AJ144" s="3">
        <f>IF(ISERROR(VLOOKUP($A144,'SegEnds_NonXtal_BW#'!$A:$Z,25,FALSE)+VLOOKUP($A144,A:AL,37,FALSE)-50),"-",(VLOOKUP($A144,'SegEnds_NonXtal_BW#'!$A:$Z,25,FALSE)+VLOOKUP($A144,A:AL,37,FALSE)-50))</f>
        <v>348</v>
      </c>
      <c r="AK144" s="3">
        <v>351</v>
      </c>
      <c r="AL144" s="3">
        <f>IF(ISERROR((VLOOKUP($A144,'SegEnds_NonXtal_BW#'!$A:$Z,26,FALSE)+VLOOKUP($A144,A:AL,37,FALSE)-50)),"-",(VLOOKUP($A144,'SegEnds_NonXtal_BW#'!$A:$Z,26,FALSE)+VLOOKUP($A144,A:AL,37,FALSE)-50))</f>
        <v>359</v>
      </c>
      <c r="AM144" s="28" t="str">
        <f>VLOOKUP(A144,Classification!A:B,2,FALSE)</f>
        <v>A</v>
      </c>
      <c r="AN144" s="28" t="b">
        <f t="shared" si="98"/>
        <v>1</v>
      </c>
      <c r="AO144" s="3" t="str">
        <f>IF(ISERROR(MATCH(A144,'SegEnds_Xtal_Prot#'!B:B, 0)), "NoXtal", "Xtal")</f>
        <v>NoXtal</v>
      </c>
      <c r="AP144" s="3" t="str">
        <f t="shared" si="81"/>
        <v>-</v>
      </c>
      <c r="AQ144" s="3" t="str">
        <f t="shared" si="82"/>
        <v>-</v>
      </c>
      <c r="AR144" s="3" t="str">
        <f t="shared" si="83"/>
        <v>-</v>
      </c>
      <c r="AS144" s="3" t="str">
        <f t="shared" si="84"/>
        <v>-</v>
      </c>
      <c r="AT144" s="3">
        <f t="shared" si="85"/>
        <v>1</v>
      </c>
      <c r="AU144" s="3">
        <f t="shared" si="86"/>
        <v>1</v>
      </c>
      <c r="AV144" s="3">
        <f t="shared" si="87"/>
        <v>36</v>
      </c>
      <c r="AW144" s="3">
        <f t="shared" si="88"/>
        <v>4</v>
      </c>
      <c r="AX144" s="3">
        <f t="shared" si="89"/>
        <v>15</v>
      </c>
      <c r="AY144" s="3">
        <f t="shared" si="90"/>
        <v>6</v>
      </c>
      <c r="AZ144" s="3">
        <f t="shared" si="91"/>
        <v>1</v>
      </c>
      <c r="BA144" s="3">
        <f>IF(ISERROR(LEN(VLOOKUP(A144,Seqs!A:E,2,FALSE))-AL144),"-",LEN(VLOOKUP(A144,Seqs!A:E,2,FALSE))-AL144)</f>
        <v>94</v>
      </c>
      <c r="BB144" s="16">
        <f t="shared" si="92"/>
        <v>31</v>
      </c>
      <c r="BC144" s="9">
        <f t="shared" si="93"/>
        <v>20</v>
      </c>
      <c r="BD144" s="3">
        <f t="shared" si="94"/>
        <v>31</v>
      </c>
      <c r="BE144" s="3">
        <f t="shared" si="95"/>
        <v>67</v>
      </c>
    </row>
    <row r="145" spans="1:58" s="3" customFormat="1" x14ac:dyDescent="0.2">
      <c r="A145" s="3" t="s">
        <v>257</v>
      </c>
      <c r="B145" s="3" t="str">
        <f>LOWER(VLOOKUP(A145,Xtal_Templ!A:B,2,FALSE))</f>
        <v>ptafr_human</v>
      </c>
      <c r="C145" s="3">
        <f>VLOOKUP($A145,'SegEnds_NonXtal_BW#'!$A:$Z,3,FALSE)+D145-50</f>
        <v>12</v>
      </c>
      <c r="D145" s="3">
        <v>35</v>
      </c>
      <c r="E145" s="3">
        <f>IF(ISERROR(VLOOKUP($A145,'SegEnds_NonXtal_BW#'!$A:$Z,4,FALSE)+VLOOKUP($A145,A:AL,4,FALSE)-50),"-",(VLOOKUP($A145,'SegEnds_NonXtal_BW#'!$A:$Z,4,FALSE)+VLOOKUP($A145,A:AL,4,FALSE)-50))</f>
        <v>46</v>
      </c>
      <c r="F145" s="3" t="str">
        <f>IF(ISERROR(VLOOKUP($A145,'SegEnds_NonXtal_BW#'!$A:$Z,5,FALSE)+VLOOKUP($A145,A:AL,7,FALSE)-50),"-",(VLOOKUP($A145,'SegEnds_NonXtal_BW#'!$A:$Z,5,FALSE)+VLOOKUP($A145,A:AL,7,FALSE)-50))</f>
        <v>-</v>
      </c>
      <c r="G145" s="3" t="s">
        <v>23</v>
      </c>
      <c r="H145" s="3" t="str">
        <f>IF(ISERROR(VLOOKUP($A145,'SegEnds_NonXtal_BW#'!$A:$Z,6,FALSE)+VLOOKUP($A145,A:AL,7,FALSE)-50),"-",(VLOOKUP($A145,'SegEnds_NonXtal_BW#'!$A:$Z,6,FALSE)+VLOOKUP($A145,A:AL,7,FALSE)-50))</f>
        <v>-</v>
      </c>
      <c r="I145" s="3">
        <f>VLOOKUP($A145,'SegEnds_NonXtal_BW#'!$A:$Z,7,FALSE)+J145-50</f>
        <v>50</v>
      </c>
      <c r="J145" s="3">
        <v>63</v>
      </c>
      <c r="K145" s="3">
        <f>VLOOKUP($A145,'SegEnds_NonXtal_BW#'!$A:$Z,8,FALSE)+VLOOKUP($A145,A:AL,10,FALSE)-50</f>
        <v>80</v>
      </c>
      <c r="L145" s="3">
        <f>M145-1</f>
        <v>82</v>
      </c>
      <c r="M145" s="3">
        <v>83</v>
      </c>
      <c r="N145" s="3">
        <f>M145+2</f>
        <v>85</v>
      </c>
      <c r="O145" s="3">
        <f>N145+1</f>
        <v>86</v>
      </c>
      <c r="P145" s="3">
        <v>115</v>
      </c>
      <c r="Q145" s="3">
        <f>VLOOKUP($A145,'SegEnds_NonXtal_BW#'!$A:$Z,12,FALSE)+VLOOKUP($A145,A:AL,16,FALSE)-50</f>
        <v>121</v>
      </c>
      <c r="R145" s="3">
        <f>IF(ISERROR(VLOOKUP($A145,'SegEnds_NonXtal_BW#'!$A:$Z,13,FALSE)+VLOOKUP($A145,A:AL,19,FALSE)-50),"-",VLOOKUP($A145,'SegEnds_NonXtal_BW#'!$A:$Z,13,FALSE)+VLOOKUP($A145,A:AL,19,FALSE)-50)</f>
        <v>122</v>
      </c>
      <c r="S145" s="3">
        <v>122</v>
      </c>
      <c r="T145" s="100">
        <f>IF(ISERROR(VLOOKUP($A145,'SegEnds_NonXtal_BW#'!$A:$Z,14,FALSE)+VLOOKUP($A145,A:AL,19,FALSE)-50),"-",(VLOOKUP($A145,'SegEnds_NonXtal_BW#'!$A:$Z,14,FALSE)+VLOOKUP($A145,A:AL,19,FALSE)-50))</f>
        <v>129</v>
      </c>
      <c r="U145" s="9">
        <f>IF(ISERROR(VLOOKUP($A145,'SegEnds_NonXtal_BW#'!$A:$Z,15,FALSE)+VLOOKUP($A145,A:AL,22,FALSE)-50),"-",VLOOKUP($A145,'SegEnds_NonXtal_BW#'!$A:$Z,15,FALSE)+VLOOKUP($A145,A:AL,22,FALSE)-50)</f>
        <v>130</v>
      </c>
      <c r="V145" s="3">
        <v>142</v>
      </c>
      <c r="W145" s="3">
        <f>IF(ISERROR(VLOOKUP($A145,'SegEnds_NonXtal_BW#'!$A:$Z,16,FALSE)+VLOOKUP($A145,A:AL,22,FALSE)-50),"-",(VLOOKUP($A145,'SegEnds_NonXtal_BW#'!$A:$Z,16,FALSE)+VLOOKUP($A145,A:AL,22,FALSE)-50))</f>
        <v>155</v>
      </c>
      <c r="X145" s="3">
        <f>IF(ISERROR(VLOOKUP($A145,'SegEnds_NonXtal_BW#'!$A:$Z,17,FALSE)+VLOOKUP($A145,A:AL,25,FALSE)-50),"-",(VLOOKUP($A145,'SegEnds_NonXtal_BW#'!$A:$Z,17,FALSE)+VLOOKUP($A145,A:AL,25,FALSE)-50))</f>
        <v>168</v>
      </c>
      <c r="Y145" s="3">
        <v>168</v>
      </c>
      <c r="Z145" s="3">
        <f t="shared" si="99"/>
        <v>170</v>
      </c>
      <c r="AA145" s="3">
        <f>IF(ISERROR(VLOOKUP($A145,'SegEnds_NonXtal_BW#'!$A:$Z,19,FALSE)+VLOOKUP($A145,A:AL,28,FALSE)-50),"-",(VLOOKUP($A145,'SegEnds_NonXtal_BW#'!$A:$Z,19,FALSE)+VLOOKUP($A145,A:AL,28,FALSE)-50))</f>
        <v>176</v>
      </c>
      <c r="AB145" s="3">
        <v>193</v>
      </c>
      <c r="AC145" s="3">
        <f>IF(ISERROR((VLOOKUP($A145,'SegEnds_NonXtal_BW#'!$A:$Z,20,FALSE)+VLOOKUP($A145,A:AL,28,FALSE)-50)),"-",(VLOOKUP($A145,'SegEnds_NonXtal_BW#'!$A:$Z,20,FALSE)+VLOOKUP($A145,A:AL,28,FALSE)-50))</f>
        <v>210</v>
      </c>
      <c r="AD145" s="3">
        <f>IF(ISERROR(VLOOKUP($A145,'SegEnds_NonXtal_BW#'!$A:$Z,21,FALSE)+VLOOKUP($A145,A:AL,31,FALSE)-50),"-",(VLOOKUP($A145,'SegEnds_NonXtal_BW#'!$A:$Z,21,FALSE)+VLOOKUP($A145,A:AL,31,FALSE)-50))</f>
        <v>215</v>
      </c>
      <c r="AE145" s="3">
        <v>239</v>
      </c>
      <c r="AF145" s="3">
        <f>IF(ISERROR((VLOOKUP($A145,'SegEnds_NonXtal_BW#'!$A:$Z,22,FALSE)+VLOOKUP($A145,A:AL,31,FALSE)-50)),"-",(VLOOKUP($A145,'SegEnds_NonXtal_BW#'!$A:$Z,22,FALSE)+VLOOKUP($A145,A:AL,31,FALSE)-50))</f>
        <v>253</v>
      </c>
      <c r="AG145" s="3">
        <f>IF(ISERROR(VLOOKUP($A145,'SegEnds_NonXtal_BW#'!$A:$Z,23,FALSE)+VLOOKUP($A145,A:AL,34,FALSE)-50),"-",(VLOOKUP($A145,'SegEnds_NonXtal_BW#'!$A:$Z,23,FALSE)+VLOOKUP($A145,A:AL,34,FALSE)-50))</f>
        <v>257</v>
      </c>
      <c r="AH145" s="3">
        <v>283</v>
      </c>
      <c r="AI145" s="3">
        <f>IF(ISERROR((VLOOKUP($A145,'SegEnds_NonXtal_BW#'!$A:$Z,24,FALSE)+VLOOKUP($A145,A:AL,34,FALSE)-50)),"-",(VLOOKUP($A145,'SegEnds_NonXtal_BW#'!$A:$Z,24,FALSE)+VLOOKUP($A145,A:AL,34,FALSE)-50))</f>
        <v>292</v>
      </c>
      <c r="AJ145" s="3">
        <f>IF(ISERROR(VLOOKUP($A145,'SegEnds_NonXtal_BW#'!$A:$Z,25,FALSE)+VLOOKUP($A145,A:AL,37,FALSE)-50),"-",(VLOOKUP($A145,'SegEnds_NonXtal_BW#'!$A:$Z,25,FALSE)+VLOOKUP($A145,A:AL,37,FALSE)-50))</f>
        <v>293</v>
      </c>
      <c r="AK145" s="3">
        <v>293</v>
      </c>
      <c r="AL145" s="3">
        <f>IF(ISERROR((VLOOKUP($A145,'SegEnds_NonXtal_BW#'!$A:$Z,26,FALSE)+VLOOKUP($A145,A:AL,37,FALSE)-50)),"-",(VLOOKUP($A145,'SegEnds_NonXtal_BW#'!$A:$Z,26,FALSE)+VLOOKUP($A145,A:AL,37,FALSE)-50))</f>
        <v>306</v>
      </c>
      <c r="AM145" s="28" t="str">
        <f>VLOOKUP(A145,Classification!A:B,2,FALSE)</f>
        <v>A</v>
      </c>
      <c r="AN145" s="28" t="b">
        <f t="shared" si="98"/>
        <v>1</v>
      </c>
      <c r="AO145" s="3" t="str">
        <f>IF(ISERROR(MATCH(A145,'SegEnds_Xtal_Prot#'!B:B, 0)), "NoXtal", "Xtal")</f>
        <v>NoXtal</v>
      </c>
      <c r="AP145" s="3" t="str">
        <f t="shared" si="81"/>
        <v>-</v>
      </c>
      <c r="AQ145" s="3" t="str">
        <f t="shared" si="82"/>
        <v>-</v>
      </c>
      <c r="AR145" s="3">
        <f t="shared" si="83"/>
        <v>2</v>
      </c>
      <c r="AS145" s="3">
        <f t="shared" si="84"/>
        <v>1</v>
      </c>
      <c r="AT145" s="3">
        <f t="shared" si="85"/>
        <v>1</v>
      </c>
      <c r="AU145" s="3">
        <f t="shared" si="86"/>
        <v>1</v>
      </c>
      <c r="AV145" s="3">
        <f t="shared" si="87"/>
        <v>13</v>
      </c>
      <c r="AW145" s="3">
        <f t="shared" si="88"/>
        <v>6</v>
      </c>
      <c r="AX145" s="3">
        <f t="shared" si="89"/>
        <v>5</v>
      </c>
      <c r="AY145" s="3">
        <f t="shared" si="90"/>
        <v>4</v>
      </c>
      <c r="AZ145" s="3">
        <f t="shared" si="91"/>
        <v>1</v>
      </c>
      <c r="BA145" s="3">
        <f>IF(ISERROR(LEN(VLOOKUP(A145,Seqs!A:E,2,FALSE))-AL145),"-",LEN(VLOOKUP(A145,Seqs!A:E,2,FALSE))-AL145)</f>
        <v>56</v>
      </c>
      <c r="BB145" s="16">
        <f t="shared" si="92"/>
        <v>28</v>
      </c>
      <c r="BC145" s="9">
        <f t="shared" si="93"/>
        <v>20</v>
      </c>
      <c r="BD145" s="3">
        <f t="shared" si="94"/>
        <v>28</v>
      </c>
      <c r="BE145" s="3">
        <f t="shared" si="95"/>
        <v>46</v>
      </c>
    </row>
    <row r="146" spans="1:58" s="3" customFormat="1" x14ac:dyDescent="0.2">
      <c r="A146" s="3" t="s">
        <v>258</v>
      </c>
      <c r="B146" s="3" t="str">
        <f>LOWER(VLOOKUP(A146,Xtal_Templ!A:B,2,FALSE))</f>
        <v>par1_human</v>
      </c>
      <c r="C146" s="3">
        <f>VLOOKUP($A146,'SegEnds_NonXtal_BW#'!$A:$Z,3,FALSE)+D146-50</f>
        <v>11</v>
      </c>
      <c r="D146" s="3">
        <v>32</v>
      </c>
      <c r="E146" s="3">
        <f>IF(ISERROR(VLOOKUP($A146,'SegEnds_NonXtal_BW#'!$A:$Z,4,FALSE)+VLOOKUP($A146,A:AL,4,FALSE)-50),"-",(VLOOKUP($A146,'SegEnds_NonXtal_BW#'!$A:$Z,4,FALSE)+VLOOKUP($A146,A:AL,4,FALSE)-50))</f>
        <v>42</v>
      </c>
      <c r="F146" s="3" t="str">
        <f>IF(ISERROR(VLOOKUP($A146,'SegEnds_NonXtal_BW#'!$A:$Z,5,FALSE)+VLOOKUP($A146,A:AL,7,FALSE)-50),"-",(VLOOKUP($A146,'SegEnds_NonXtal_BW#'!$A:$Z,5,FALSE)+VLOOKUP($A146,A:AL,7,FALSE)-50))</f>
        <v>-</v>
      </c>
      <c r="G146" s="3" t="s">
        <v>23</v>
      </c>
      <c r="H146" s="3" t="str">
        <f>IF(ISERROR(VLOOKUP($A146,'SegEnds_NonXtal_BW#'!$A:$Z,6,FALSE)+VLOOKUP($A146,A:AL,7,FALSE)-50),"-",(VLOOKUP($A146,'SegEnds_NonXtal_BW#'!$A:$Z,6,FALSE)+VLOOKUP($A146,A:AL,7,FALSE)-50))</f>
        <v>-</v>
      </c>
      <c r="I146" s="3">
        <f>VLOOKUP($A146,'SegEnds_NonXtal_BW#'!$A:$Z,7,FALSE)+J146-50</f>
        <v>48</v>
      </c>
      <c r="J146" s="3">
        <v>61</v>
      </c>
      <c r="K146" s="3">
        <f>VLOOKUP($A146,'SegEnds_NonXtal_BW#'!$A:$Z,8,FALSE)+VLOOKUP($A146,A:AL,10,FALSE)-50</f>
        <v>77</v>
      </c>
      <c r="L146" s="3">
        <f>M146-1</f>
        <v>80</v>
      </c>
      <c r="M146" s="3">
        <v>81</v>
      </c>
      <c r="N146" s="3">
        <f>M146+2</f>
        <v>83</v>
      </c>
      <c r="O146" s="3">
        <f>N146+1</f>
        <v>84</v>
      </c>
      <c r="P146" s="3">
        <v>113</v>
      </c>
      <c r="Q146" s="3">
        <f>VLOOKUP($A146,'SegEnds_NonXtal_BW#'!$A:$Z,12,FALSE)+VLOOKUP($A146,A:AL,16,FALSE)-50</f>
        <v>119</v>
      </c>
      <c r="R146" s="3">
        <f>IF(ISERROR(VLOOKUP($A146,'SegEnds_NonXtal_BW#'!$A:$Z,13,FALSE)+VLOOKUP($A146,A:AL,19,FALSE)-50),"-",VLOOKUP($A146,'SegEnds_NonXtal_BW#'!$A:$Z,13,FALSE)+VLOOKUP($A146,A:AL,19,FALSE)-50)</f>
        <v>120</v>
      </c>
      <c r="S146" s="3">
        <v>120</v>
      </c>
      <c r="T146" s="100">
        <f>IF(ISERROR(VLOOKUP($A146,'SegEnds_NonXtal_BW#'!$A:$Z,14,FALSE)+VLOOKUP($A146,A:AL,19,FALSE)-50),"-",(VLOOKUP($A146,'SegEnds_NonXtal_BW#'!$A:$Z,14,FALSE)+VLOOKUP($A146,A:AL,19,FALSE)-50))</f>
        <v>127</v>
      </c>
      <c r="U146" s="9">
        <f>IF(ISERROR(VLOOKUP($A146,'SegEnds_NonXtal_BW#'!$A:$Z,15,FALSE)+VLOOKUP($A146,A:AL,22,FALSE)-50),"-",VLOOKUP($A146,'SegEnds_NonXtal_BW#'!$A:$Z,15,FALSE)+VLOOKUP($A146,A:AL,22,FALSE)-50)</f>
        <v>128</v>
      </c>
      <c r="V146" s="3">
        <v>140</v>
      </c>
      <c r="W146" s="3">
        <f>IF(ISERROR(VLOOKUP($A146,'SegEnds_NonXtal_BW#'!$A:$Z,16,FALSE)+VLOOKUP($A146,A:AL,22,FALSE)-50),"-",(VLOOKUP($A146,'SegEnds_NonXtal_BW#'!$A:$Z,16,FALSE)+VLOOKUP($A146,A:AL,22,FALSE)-50))</f>
        <v>153</v>
      </c>
      <c r="X146" s="3">
        <f>IF(ISERROR(VLOOKUP($A146,'SegEnds_NonXtal_BW#'!$A:$Z,17,FALSE)+VLOOKUP($A146,A:AL,25,FALSE)-50),"-",(VLOOKUP($A146,'SegEnds_NonXtal_BW#'!$A:$Z,17,FALSE)+VLOOKUP($A146,A:AL,25,FALSE)-50))</f>
        <v>169</v>
      </c>
      <c r="Y146" s="3">
        <v>169</v>
      </c>
      <c r="Z146" s="3">
        <f t="shared" si="99"/>
        <v>171</v>
      </c>
      <c r="AA146" s="3">
        <f>IF(ISERROR(VLOOKUP($A146,'SegEnds_NonXtal_BW#'!$A:$Z,19,FALSE)+VLOOKUP($A146,A:AL,28,FALSE)-50),"-",(VLOOKUP($A146,'SegEnds_NonXtal_BW#'!$A:$Z,19,FALSE)+VLOOKUP($A146,A:AL,28,FALSE)-50))</f>
        <v>178</v>
      </c>
      <c r="AB146" s="3">
        <v>196</v>
      </c>
      <c r="AC146" s="3">
        <f>IF(ISERROR((VLOOKUP($A146,'SegEnds_NonXtal_BW#'!$A:$Z,20,FALSE)+VLOOKUP($A146,A:AL,28,FALSE)-50)),"-",(VLOOKUP($A146,'SegEnds_NonXtal_BW#'!$A:$Z,20,FALSE)+VLOOKUP($A146,A:AL,28,FALSE)-50))</f>
        <v>214</v>
      </c>
      <c r="AD146" s="3">
        <f>IF(ISERROR(VLOOKUP($A146,'SegEnds_NonXtal_BW#'!$A:$Z,21,FALSE)+VLOOKUP($A146,A:AL,31,FALSE)-50),"-",(VLOOKUP($A146,'SegEnds_NonXtal_BW#'!$A:$Z,21,FALSE)+VLOOKUP($A146,A:AL,31,FALSE)-50))</f>
        <v>218</v>
      </c>
      <c r="AE146" s="3">
        <v>240</v>
      </c>
      <c r="AF146" s="3">
        <f>IF(ISERROR((VLOOKUP($A146,'SegEnds_NonXtal_BW#'!$A:$Z,22,FALSE)+VLOOKUP($A146,A:AL,31,FALSE)-50)),"-",(VLOOKUP($A146,'SegEnds_NonXtal_BW#'!$A:$Z,22,FALSE)+VLOOKUP($A146,A:AL,31,FALSE)-50))</f>
        <v>251</v>
      </c>
      <c r="AG146" s="3">
        <f>IF(ISERROR(VLOOKUP($A146,'SegEnds_NonXtal_BW#'!$A:$Z,23,FALSE)+VLOOKUP($A146,A:AL,34,FALSE)-50),"-",(VLOOKUP($A146,'SegEnds_NonXtal_BW#'!$A:$Z,23,FALSE)+VLOOKUP($A146,A:AL,34,FALSE)-50))</f>
        <v>256</v>
      </c>
      <c r="AH146" s="3">
        <v>273</v>
      </c>
      <c r="AI146" s="3">
        <f>IF(ISERROR((VLOOKUP($A146,'SegEnds_NonXtal_BW#'!$A:$Z,24,FALSE)+VLOOKUP($A146,A:AL,34,FALSE)-50)),"-",(VLOOKUP($A146,'SegEnds_NonXtal_BW#'!$A:$Z,24,FALSE)+VLOOKUP($A146,A:AL,34,FALSE)-50))</f>
        <v>279</v>
      </c>
      <c r="AJ146" s="3">
        <f>IF(ISERROR(VLOOKUP($A146,'SegEnds_NonXtal_BW#'!$A:$Z,25,FALSE)+VLOOKUP($A146,A:AL,37,FALSE)-50),"-",(VLOOKUP($A146,'SegEnds_NonXtal_BW#'!$A:$Z,25,FALSE)+VLOOKUP($A146,A:AL,37,FALSE)-50))</f>
        <v>280</v>
      </c>
      <c r="AK146" s="3">
        <v>283</v>
      </c>
      <c r="AL146" s="3">
        <f>IF(ISERROR((VLOOKUP($A146,'SegEnds_NonXtal_BW#'!$A:$Z,26,FALSE)+VLOOKUP($A146,A:AL,37,FALSE)-50)),"-",(VLOOKUP($A146,'SegEnds_NonXtal_BW#'!$A:$Z,26,FALSE)+VLOOKUP($A146,A:AL,37,FALSE)-50))</f>
        <v>294</v>
      </c>
      <c r="AM146" s="28" t="str">
        <f>VLOOKUP(A146,Classification!A:B,2,FALSE)</f>
        <v>A</v>
      </c>
      <c r="AN146" s="28" t="b">
        <f t="shared" si="98"/>
        <v>1</v>
      </c>
      <c r="AO146" s="3" t="str">
        <f>IF(ISERROR(MATCH(A146,'SegEnds_Xtal_Prot#'!B:B, 0)), "NoXtal", "Xtal")</f>
        <v>NoXtal</v>
      </c>
      <c r="AP146" s="3" t="str">
        <f t="shared" si="81"/>
        <v>-</v>
      </c>
      <c r="AQ146" s="3" t="str">
        <f t="shared" si="82"/>
        <v>-</v>
      </c>
      <c r="AR146" s="3">
        <f t="shared" si="83"/>
        <v>3</v>
      </c>
      <c r="AS146" s="3">
        <f t="shared" si="84"/>
        <v>1</v>
      </c>
      <c r="AT146" s="3">
        <f t="shared" si="85"/>
        <v>1</v>
      </c>
      <c r="AU146" s="3">
        <f t="shared" si="86"/>
        <v>1</v>
      </c>
      <c r="AV146" s="3">
        <f t="shared" si="87"/>
        <v>16</v>
      </c>
      <c r="AW146" s="3">
        <f t="shared" si="88"/>
        <v>7</v>
      </c>
      <c r="AX146" s="3">
        <f t="shared" si="89"/>
        <v>4</v>
      </c>
      <c r="AY146" s="3">
        <f t="shared" si="90"/>
        <v>5</v>
      </c>
      <c r="AZ146" s="3">
        <f t="shared" si="91"/>
        <v>1</v>
      </c>
      <c r="BA146" s="3">
        <f>IF(ISERROR(LEN(VLOOKUP(A146,Seqs!A:E,2,FALSE))-AL146),"-",LEN(VLOOKUP(A146,Seqs!A:E,2,FALSE))-AL146)</f>
        <v>52</v>
      </c>
      <c r="BB146" s="16">
        <f t="shared" si="92"/>
        <v>29</v>
      </c>
      <c r="BC146" s="9">
        <f t="shared" si="93"/>
        <v>20</v>
      </c>
      <c r="BD146" s="3">
        <f t="shared" si="94"/>
        <v>29</v>
      </c>
      <c r="BE146" s="3">
        <f t="shared" si="95"/>
        <v>44</v>
      </c>
    </row>
    <row r="147" spans="1:58" s="3" customFormat="1" x14ac:dyDescent="0.2">
      <c r="A147" s="3" t="s">
        <v>260</v>
      </c>
      <c r="B147" s="3" t="str">
        <f>LOWER(VLOOKUP(A147,Xtal_Templ!A:B,2,FALSE))</f>
        <v>5ht2a_human</v>
      </c>
      <c r="C147" s="3">
        <f>VLOOKUP($A147,'SegEnds_NonXtal_BW#'!$A:$Z,3,FALSE)+D147-50</f>
        <v>35</v>
      </c>
      <c r="D147" s="3">
        <v>58</v>
      </c>
      <c r="E147" s="3">
        <f>IF(ISERROR(VLOOKUP($A147,'SegEnds_NonXtal_BW#'!$A:$Z,4,FALSE)+VLOOKUP($A147,A:AL,4,FALSE)-50),"-",(VLOOKUP($A147,'SegEnds_NonXtal_BW#'!$A:$Z,4,FALSE)+VLOOKUP($A147,A:AL,4,FALSE)-50))</f>
        <v>68</v>
      </c>
      <c r="F147" s="3">
        <f>G147-2</f>
        <v>69</v>
      </c>
      <c r="G147" s="3">
        <v>71</v>
      </c>
      <c r="H147" s="3">
        <f>G147+1</f>
        <v>72</v>
      </c>
      <c r="I147" s="3">
        <f>H147+1</f>
        <v>73</v>
      </c>
      <c r="J147" s="3">
        <v>87</v>
      </c>
      <c r="K147" s="3">
        <f>VLOOKUP($A147,'SegEnds_NonXtal_BW#'!$A:$Z,8,FALSE)+VLOOKUP($A147,A:AL,10,FALSE)-50</f>
        <v>103</v>
      </c>
      <c r="L147" s="3" t="str">
        <f>IF(ISERROR(VLOOKUP($A147,'SegEnds_NonXtal_BW#'!$A:$Z,9,FALSE)+VLOOKUP($A147,A:AL,13,FALSE)-50),"-",(VLOOKUP($A147,'SegEnds_NonXtal_BW#'!$A:$Z,9,FALSE)+VLOOKUP($A147,A:AL,13,FALSE)-50))</f>
        <v>-</v>
      </c>
      <c r="M147" s="3" t="s">
        <v>23</v>
      </c>
      <c r="N147" s="3" t="str">
        <f>IF(ISERROR(VLOOKUP($A147,'SegEnds_NonXtal_BW#'!$A:$Z,10,FALSE)+VLOOKUP($A147,A:AL,13,FALSE)-50),"-",(VLOOKUP($A147,'SegEnds_NonXtal_BW#'!$A:$Z,10,FALSE)+VLOOKUP($A147,A:AL,13,FALSE)-50))</f>
        <v>-</v>
      </c>
      <c r="O147" s="3">
        <f>VLOOKUP($A147,'SegEnds_NonXtal_BW#'!$A:$Z,11,FALSE)+VLOOKUP($A147,A:AL,16,FALSE)-50</f>
        <v>107</v>
      </c>
      <c r="P147" s="3">
        <v>139</v>
      </c>
      <c r="Q147" s="3">
        <f>VLOOKUP($A147,'SegEnds_NonXtal_BW#'!$A:$Z,12,FALSE)+VLOOKUP($A147,A:AL,16,FALSE)-50</f>
        <v>145</v>
      </c>
      <c r="R147" s="3">
        <f>IF(ISERROR(VLOOKUP($A147,'SegEnds_NonXtal_BW#'!$A:$Z,13,FALSE)+VLOOKUP($A147,A:AL,19,FALSE)-50),"-",VLOOKUP($A147,'SegEnds_NonXtal_BW#'!$A:$Z,13,FALSE)+VLOOKUP($A147,A:AL,19,FALSE)-50)</f>
        <v>146</v>
      </c>
      <c r="S147" s="3">
        <v>146</v>
      </c>
      <c r="T147" s="100">
        <f>IF(ISERROR(VLOOKUP($A147,'SegEnds_NonXtal_BW#'!$A:$Z,14,FALSE)+VLOOKUP($A147,A:AL,19,FALSE)-50),"-",(VLOOKUP($A147,'SegEnds_NonXtal_BW#'!$A:$Z,14,FALSE)+VLOOKUP($A147,A:AL,19,FALSE)-50))</f>
        <v>153</v>
      </c>
      <c r="U147" s="9">
        <f>IF(ISERROR(VLOOKUP($A147,'SegEnds_NonXtal_BW#'!$A:$Z,15,FALSE)+VLOOKUP($A147,A:AL,22,FALSE)-50),"-",VLOOKUP($A147,'SegEnds_NonXtal_BW#'!$A:$Z,15,FALSE)+VLOOKUP($A147,A:AL,22,FALSE)-50)</f>
        <v>154</v>
      </c>
      <c r="V147" s="3">
        <v>166</v>
      </c>
      <c r="W147" s="3">
        <f>IF(ISERROR(VLOOKUP($A147,'SegEnds_NonXtal_BW#'!$A:$Z,16,FALSE)+VLOOKUP($A147,A:AL,22,FALSE)-50),"-",(VLOOKUP($A147,'SegEnds_NonXtal_BW#'!$A:$Z,16,FALSE)+VLOOKUP($A147,A:AL,22,FALSE)-50))</f>
        <v>183</v>
      </c>
      <c r="X147" s="3">
        <f>IF(ISERROR(VLOOKUP($A147,'SegEnds_NonXtal_BW#'!$A:$Z,17,FALSE)+VLOOKUP($A147,A:AL,25,FALSE)-50),"-",(VLOOKUP($A147,'SegEnds_NonXtal_BW#'!$A:$Z,17,FALSE)+VLOOKUP($A147,A:AL,25,FALSE)-50))</f>
        <v>193</v>
      </c>
      <c r="Y147" s="3">
        <v>193</v>
      </c>
      <c r="Z147" s="3">
        <f t="shared" si="99"/>
        <v>195</v>
      </c>
      <c r="AA147" s="3">
        <f>IF(ISERROR(VLOOKUP($A147,'SegEnds_NonXtal_BW#'!$A:$Z,19,FALSE)+VLOOKUP($A147,A:AL,28,FALSE)-50),"-",(VLOOKUP($A147,'SegEnds_NonXtal_BW#'!$A:$Z,19,FALSE)+VLOOKUP($A147,A:AL,28,FALSE)-50))</f>
        <v>199</v>
      </c>
      <c r="AB147" s="3">
        <v>214</v>
      </c>
      <c r="AC147" s="3">
        <f>IF(ISERROR((VLOOKUP($A147,'SegEnds_NonXtal_BW#'!$A:$Z,20,FALSE)+VLOOKUP($A147,A:AL,28,FALSE)-50)),"-",(VLOOKUP($A147,'SegEnds_NonXtal_BW#'!$A:$Z,20,FALSE)+VLOOKUP($A147,A:AL,28,FALSE)-50))</f>
        <v>238</v>
      </c>
      <c r="AD147" s="3">
        <f>IF(ISERROR(VLOOKUP($A147,'SegEnds_NonXtal_BW#'!$A:$Z,21,FALSE)+VLOOKUP($A147,A:AL,31,FALSE)-50),"-",(VLOOKUP($A147,'SegEnds_NonXtal_BW#'!$A:$Z,21,FALSE)+VLOOKUP($A147,A:AL,31,FALSE)-50))</f>
        <v>251</v>
      </c>
      <c r="AE147" s="3">
        <v>280</v>
      </c>
      <c r="AF147" s="3">
        <f>IF(ISERROR((VLOOKUP($A147,'SegEnds_NonXtal_BW#'!$A:$Z,22,FALSE)+VLOOKUP($A147,A:AL,31,FALSE)-50)),"-",(VLOOKUP($A147,'SegEnds_NonXtal_BW#'!$A:$Z,22,FALSE)+VLOOKUP($A147,A:AL,31,FALSE)-50))</f>
        <v>291</v>
      </c>
      <c r="AG147" s="3">
        <f>IF(ISERROR(VLOOKUP($A147,'SegEnds_NonXtal_BW#'!$A:$Z,23,FALSE)+VLOOKUP($A147,A:AL,34,FALSE)-50),"-",(VLOOKUP($A147,'SegEnds_NonXtal_BW#'!$A:$Z,23,FALSE)+VLOOKUP($A147,A:AL,34,FALSE)-50))</f>
        <v>296</v>
      </c>
      <c r="AH147" s="3">
        <v>314</v>
      </c>
      <c r="AI147" s="3">
        <f>IF(ISERROR((VLOOKUP($A147,'SegEnds_NonXtal_BW#'!$A:$Z,24,FALSE)+VLOOKUP($A147,A:AL,34,FALSE)-50)),"-",(VLOOKUP($A147,'SegEnds_NonXtal_BW#'!$A:$Z,24,FALSE)+VLOOKUP($A147,A:AL,34,FALSE)-50))</f>
        <v>320</v>
      </c>
      <c r="AJ147" s="3">
        <f>IF(ISERROR(VLOOKUP($A147,'SegEnds_NonXtal_BW#'!$A:$Z,25,FALSE)+VLOOKUP($A147,A:AL,37,FALSE)-50),"-",(VLOOKUP($A147,'SegEnds_NonXtal_BW#'!$A:$Z,25,FALSE)+VLOOKUP($A147,A:AL,37,FALSE)-50))</f>
        <v>321</v>
      </c>
      <c r="AK147" s="3">
        <v>324</v>
      </c>
      <c r="AL147" s="3">
        <f>IF(ISERROR((VLOOKUP($A147,'SegEnds_NonXtal_BW#'!$A:$Z,26,FALSE)+VLOOKUP($A147,A:AL,37,FALSE)-50)),"-",(VLOOKUP($A147,'SegEnds_NonXtal_BW#'!$A:$Z,26,FALSE)+VLOOKUP($A147,A:AL,37,FALSE)-50))</f>
        <v>334</v>
      </c>
      <c r="AM147" s="28" t="str">
        <f>VLOOKUP(A147,Classification!A:B,2,FALSE)</f>
        <v>A</v>
      </c>
      <c r="AN147" s="28" t="b">
        <f t="shared" si="98"/>
        <v>1</v>
      </c>
      <c r="AO147" s="3" t="str">
        <f>IF(ISERROR(MATCH(A147,'SegEnds_Xtal_Prot#'!B:B, 0)), "NoXtal", "Xtal")</f>
        <v>NoXtal</v>
      </c>
      <c r="AP147" s="3">
        <f t="shared" si="81"/>
        <v>1</v>
      </c>
      <c r="AQ147" s="3">
        <f t="shared" si="82"/>
        <v>1</v>
      </c>
      <c r="AR147" s="3" t="str">
        <f t="shared" si="83"/>
        <v>-</v>
      </c>
      <c r="AS147" s="3" t="str">
        <f t="shared" si="84"/>
        <v>-</v>
      </c>
      <c r="AT147" s="3">
        <f t="shared" si="85"/>
        <v>1</v>
      </c>
      <c r="AU147" s="3">
        <f t="shared" si="86"/>
        <v>1</v>
      </c>
      <c r="AV147" s="3">
        <f t="shared" si="87"/>
        <v>10</v>
      </c>
      <c r="AW147" s="3">
        <f t="shared" si="88"/>
        <v>4</v>
      </c>
      <c r="AX147" s="3">
        <f t="shared" si="89"/>
        <v>13</v>
      </c>
      <c r="AY147" s="3">
        <f t="shared" si="90"/>
        <v>5</v>
      </c>
      <c r="AZ147" s="3">
        <f t="shared" si="91"/>
        <v>1</v>
      </c>
      <c r="BA147" s="3">
        <f>IF(ISERROR(LEN(VLOOKUP(A147,Seqs!A:E,2,FALSE))-AL147),"-",LEN(VLOOKUP(A147,Seqs!A:E,2,FALSE))-AL147)</f>
        <v>27</v>
      </c>
      <c r="BB147" s="16">
        <f t="shared" si="92"/>
        <v>29</v>
      </c>
      <c r="BC147" s="9">
        <f t="shared" si="93"/>
        <v>20</v>
      </c>
      <c r="BD147" s="3">
        <f t="shared" si="94"/>
        <v>29</v>
      </c>
      <c r="BE147" s="3">
        <f t="shared" si="95"/>
        <v>66</v>
      </c>
      <c r="BF147" s="3">
        <f>AH147-AE147</f>
        <v>34</v>
      </c>
    </row>
    <row r="148" spans="1:58" s="3" customFormat="1" x14ac:dyDescent="0.2">
      <c r="A148" s="3" t="s">
        <v>261</v>
      </c>
      <c r="B148" s="3" t="str">
        <f>LOWER(VLOOKUP(A148,Xtal_Templ!A:B,2,FALSE))</f>
        <v>oprk_human</v>
      </c>
      <c r="C148" s="3">
        <f>VLOOKUP($A148,'SegEnds_NonXtal_BW#'!$A:$Z,3,FALSE)+D148-50</f>
        <v>18</v>
      </c>
      <c r="D148" s="3">
        <v>38</v>
      </c>
      <c r="E148" s="3">
        <f>IF(ISERROR(VLOOKUP($A148,'SegEnds_NonXtal_BW#'!$A:$Z,4,FALSE)+VLOOKUP($A148,A:AL,4,FALSE)-50),"-",(VLOOKUP($A148,'SegEnds_NonXtal_BW#'!$A:$Z,4,FALSE)+VLOOKUP($A148,A:AL,4,FALSE)-50))</f>
        <v>48</v>
      </c>
      <c r="F148" s="3" t="str">
        <f>IF(ISERROR(VLOOKUP($A148,'SegEnds_NonXtal_BW#'!$A:$Z,5,FALSE)+VLOOKUP($A148,A:AL,7,FALSE)-50),"-",(VLOOKUP($A148,'SegEnds_NonXtal_BW#'!$A:$Z,5,FALSE)+VLOOKUP($A148,A:AL,7,FALSE)-50))</f>
        <v>-</v>
      </c>
      <c r="G148" s="3" t="s">
        <v>23</v>
      </c>
      <c r="H148" s="3" t="str">
        <f>IF(ISERROR(VLOOKUP($A148,'SegEnds_NonXtal_BW#'!$A:$Z,6,FALSE)+VLOOKUP($A148,A:AL,7,FALSE)-50),"-",(VLOOKUP($A148,'SegEnds_NonXtal_BW#'!$A:$Z,6,FALSE)+VLOOKUP($A148,A:AL,7,FALSE)-50))</f>
        <v>-</v>
      </c>
      <c r="I148" s="3">
        <f>VLOOKUP($A148,'SegEnds_NonXtal_BW#'!$A:$Z,7,FALSE)+J148-50</f>
        <v>57</v>
      </c>
      <c r="J148" s="3">
        <v>70</v>
      </c>
      <c r="K148" s="3">
        <f>VLOOKUP($A148,'SegEnds_NonXtal_BW#'!$A:$Z,8,FALSE)+VLOOKUP($A148,A:AL,10,FALSE)-50</f>
        <v>86</v>
      </c>
      <c r="L148" s="3" t="str">
        <f>IF(ISERROR(VLOOKUP($A148,'SegEnds_NonXtal_BW#'!$A:$Z,9,FALSE)+VLOOKUP($A148,A:AL,13,FALSE)-50),"-",(VLOOKUP($A148,'SegEnds_NonXtal_BW#'!$A:$Z,9,FALSE)+VLOOKUP($A148,A:AL,13,FALSE)-50))</f>
        <v>-</v>
      </c>
      <c r="M148" s="3" t="s">
        <v>23</v>
      </c>
      <c r="N148" s="3" t="str">
        <f>IF(ISERROR(VLOOKUP($A148,'SegEnds_NonXtal_BW#'!$A:$Z,10,FALSE)+VLOOKUP($A148,A:AL,13,FALSE)-50),"-",(VLOOKUP($A148,'SegEnds_NonXtal_BW#'!$A:$Z,10,FALSE)+VLOOKUP($A148,A:AL,13,FALSE)-50))</f>
        <v>-</v>
      </c>
      <c r="O148" s="3">
        <f>VLOOKUP($A148,'SegEnds_NonXtal_BW#'!$A:$Z,11,FALSE)+VLOOKUP($A148,A:AL,16,FALSE)-50</f>
        <v>93</v>
      </c>
      <c r="P148" s="3">
        <v>119</v>
      </c>
      <c r="Q148" s="3">
        <f>VLOOKUP($A148,'SegEnds_NonXtal_BW#'!$A:$Z,12,FALSE)+VLOOKUP($A148,A:AL,16,FALSE)-50</f>
        <v>125</v>
      </c>
      <c r="R148" s="3">
        <f>IF(ISERROR(VLOOKUP($A148,'SegEnds_NonXtal_BW#'!$A:$Z,13,FALSE)+VLOOKUP($A148,A:AL,19,FALSE)-50),"-",VLOOKUP($A148,'SegEnds_NonXtal_BW#'!$A:$Z,13,FALSE)+VLOOKUP($A148,A:AL,19,FALSE)-50)</f>
        <v>126</v>
      </c>
      <c r="S148" s="3">
        <v>126</v>
      </c>
      <c r="T148" s="100">
        <f>IF(ISERROR(VLOOKUP($A148,'SegEnds_NonXtal_BW#'!$A:$Z,14,FALSE)+VLOOKUP($A148,A:AL,19,FALSE)-50),"-",(VLOOKUP($A148,'SegEnds_NonXtal_BW#'!$A:$Z,14,FALSE)+VLOOKUP($A148,A:AL,19,FALSE)-50))</f>
        <v>133</v>
      </c>
      <c r="U148" s="9">
        <f>IF(ISERROR(VLOOKUP($A148,'SegEnds_NonXtal_BW#'!$A:$Z,15,FALSE)+VLOOKUP($A148,A:AL,22,FALSE)-50),"-",VLOOKUP($A148,'SegEnds_NonXtal_BW#'!$A:$Z,15,FALSE)+VLOOKUP($A148,A:AL,22,FALSE)-50)</f>
        <v>134</v>
      </c>
      <c r="V148" s="3">
        <v>146</v>
      </c>
      <c r="W148" s="3">
        <f>IF(ISERROR(VLOOKUP($A148,'SegEnds_NonXtal_BW#'!$A:$Z,16,FALSE)+VLOOKUP($A148,A:AL,22,FALSE)-50),"-",(VLOOKUP($A148,'SegEnds_NonXtal_BW#'!$A:$Z,16,FALSE)+VLOOKUP($A148,A:AL,22,FALSE)-50))</f>
        <v>160</v>
      </c>
      <c r="X148" s="3">
        <f>IF(ISERROR(VLOOKUP($A148,'SegEnds_NonXtal_BW#'!$A:$Z,17,FALSE)+VLOOKUP($A148,A:AL,25,FALSE)-50),"-",(VLOOKUP($A148,'SegEnds_NonXtal_BW#'!$A:$Z,17,FALSE)+VLOOKUP($A148,A:AL,25,FALSE)-50))</f>
        <v>168</v>
      </c>
      <c r="Y148" s="3">
        <v>168</v>
      </c>
      <c r="Z148" s="3">
        <f t="shared" si="99"/>
        <v>170</v>
      </c>
      <c r="AA148" s="3">
        <f>IF(ISERROR(VLOOKUP($A148,'SegEnds_NonXtal_BW#'!$A:$Z,19,FALSE)+VLOOKUP($A148,A:AL,28,FALSE)-50),"-",(VLOOKUP($A148,'SegEnds_NonXtal_BW#'!$A:$Z,19,FALSE)+VLOOKUP($A148,A:AL,28,FALSE)-50))</f>
        <v>173</v>
      </c>
      <c r="AB148" s="3">
        <v>193</v>
      </c>
      <c r="AC148" s="3">
        <f>IF(ISERROR((VLOOKUP($A148,'SegEnds_NonXtal_BW#'!$A:$Z,20,FALSE)+VLOOKUP($A148,A:AL,28,FALSE)-50)),"-",(VLOOKUP($A148,'SegEnds_NonXtal_BW#'!$A:$Z,20,FALSE)+VLOOKUP($A148,A:AL,28,FALSE)-50))</f>
        <v>211</v>
      </c>
      <c r="AD148" s="3">
        <f>IF(ISERROR(VLOOKUP($A148,'SegEnds_NonXtal_BW#'!$A:$Z,21,FALSE)+VLOOKUP($A148,A:AL,31,FALSE)-50),"-",(VLOOKUP($A148,'SegEnds_NonXtal_BW#'!$A:$Z,21,FALSE)+VLOOKUP($A148,A:AL,31,FALSE)-50))</f>
        <v>215</v>
      </c>
      <c r="AE148" s="3">
        <v>241</v>
      </c>
      <c r="AF148" s="3">
        <f>IF(ISERROR((VLOOKUP($A148,'SegEnds_NonXtal_BW#'!$A:$Z,22,FALSE)+VLOOKUP($A148,A:AL,31,FALSE)-50)),"-",(VLOOKUP($A148,'SegEnds_NonXtal_BW#'!$A:$Z,22,FALSE)+VLOOKUP($A148,A:AL,31,FALSE)-50))</f>
        <v>255</v>
      </c>
      <c r="AG148" s="3">
        <f>IF(ISERROR(VLOOKUP($A148,'SegEnds_NonXtal_BW#'!$A:$Z,23,FALSE)+VLOOKUP($A148,A:AL,34,FALSE)-50),"-",(VLOOKUP($A148,'SegEnds_NonXtal_BW#'!$A:$Z,23,FALSE)+VLOOKUP($A148,A:AL,34,FALSE)-50))</f>
        <v>259</v>
      </c>
      <c r="AH148" s="3">
        <v>285</v>
      </c>
      <c r="AI148" s="3">
        <f>IF(ISERROR((VLOOKUP($A148,'SegEnds_NonXtal_BW#'!$A:$Z,24,FALSE)+VLOOKUP($A148,A:AL,34,FALSE)-50)),"-",(VLOOKUP($A148,'SegEnds_NonXtal_BW#'!$A:$Z,24,FALSE)+VLOOKUP($A148,A:AL,34,FALSE)-50))</f>
        <v>291</v>
      </c>
      <c r="AJ148" s="3">
        <f>IF(ISERROR(VLOOKUP($A148,'SegEnds_NonXtal_BW#'!$A:$Z,25,FALSE)+VLOOKUP($A148,A:AL,37,FALSE)-50),"-",(VLOOKUP($A148,'SegEnds_NonXtal_BW#'!$A:$Z,25,FALSE)+VLOOKUP($A148,A:AL,37,FALSE)-50))</f>
        <v>292</v>
      </c>
      <c r="AK148" s="3">
        <v>295</v>
      </c>
      <c r="AL148" s="3">
        <f>IF(ISERROR((VLOOKUP($A148,'SegEnds_NonXtal_BW#'!$A:$Z,26,FALSE)+VLOOKUP($A148,A:AL,37,FALSE)-50)),"-",(VLOOKUP($A148,'SegEnds_NonXtal_BW#'!$A:$Z,26,FALSE)+VLOOKUP($A148,A:AL,37,FALSE)-50))</f>
        <v>304</v>
      </c>
      <c r="AM148" s="28" t="str">
        <f>VLOOKUP(A148,Classification!A:B,2,FALSE)</f>
        <v>A</v>
      </c>
      <c r="AN148" s="28" t="b">
        <f t="shared" si="98"/>
        <v>1</v>
      </c>
      <c r="AO148" s="3" t="str">
        <f>IF(ISERROR(MATCH(A148,'SegEnds_Xtal_Prot#'!B:B, 0)), "NoXtal", "Xtal")</f>
        <v>NoXtal</v>
      </c>
      <c r="AP148" s="3" t="str">
        <f t="shared" si="81"/>
        <v>-</v>
      </c>
      <c r="AQ148" s="3" t="str">
        <f t="shared" si="82"/>
        <v>-</v>
      </c>
      <c r="AR148" s="3" t="str">
        <f t="shared" si="83"/>
        <v>-</v>
      </c>
      <c r="AS148" s="3" t="str">
        <f t="shared" si="84"/>
        <v>-</v>
      </c>
      <c r="AT148" s="3">
        <f t="shared" si="85"/>
        <v>1</v>
      </c>
      <c r="AU148" s="3">
        <f t="shared" si="86"/>
        <v>1</v>
      </c>
      <c r="AV148" s="3">
        <f t="shared" si="87"/>
        <v>8</v>
      </c>
      <c r="AW148" s="3">
        <f t="shared" si="88"/>
        <v>3</v>
      </c>
      <c r="AX148" s="3">
        <f t="shared" si="89"/>
        <v>4</v>
      </c>
      <c r="AY148" s="3">
        <f t="shared" si="90"/>
        <v>4</v>
      </c>
      <c r="AZ148" s="3">
        <f t="shared" si="91"/>
        <v>1</v>
      </c>
      <c r="BA148" s="3">
        <f>IF(ISERROR(LEN(VLOOKUP(A148,Seqs!A:E,2,FALSE))-AL148),"-",LEN(VLOOKUP(A148,Seqs!A:E,2,FALSE))-AL148)</f>
        <v>15</v>
      </c>
      <c r="BB148" s="16">
        <f t="shared" si="92"/>
        <v>32</v>
      </c>
      <c r="BC148" s="9">
        <f t="shared" si="93"/>
        <v>20</v>
      </c>
      <c r="BD148" s="3">
        <f t="shared" si="94"/>
        <v>32</v>
      </c>
      <c r="BE148" s="3">
        <f t="shared" si="95"/>
        <v>48</v>
      </c>
      <c r="BF148" s="3">
        <f>AH148-AE148</f>
        <v>44</v>
      </c>
    </row>
    <row r="149" spans="1:58" s="3" customFormat="1" x14ac:dyDescent="0.2">
      <c r="A149" s="3" t="s">
        <v>262</v>
      </c>
      <c r="B149" s="3" t="str">
        <f>LOWER(VLOOKUP(A149,Xtal_Templ!A:B,2,FALSE))</f>
        <v>s1pr1_human</v>
      </c>
      <c r="C149" s="3">
        <f>VLOOKUP($A149,'SegEnds_NonXtal_BW#'!$A:$Z,3,FALSE)+D149-50</f>
        <v>69</v>
      </c>
      <c r="D149" s="3">
        <v>90</v>
      </c>
      <c r="E149" s="3">
        <f>IF(ISERROR(VLOOKUP($A149,'SegEnds_NonXtal_BW#'!$A:$Z,4,FALSE)+VLOOKUP($A149,A:AL,4,FALSE)-50),"-",(VLOOKUP($A149,'SegEnds_NonXtal_BW#'!$A:$Z,4,FALSE)+VLOOKUP($A149,A:AL,4,FALSE)-50))</f>
        <v>100</v>
      </c>
      <c r="F149" s="3">
        <f>G149-2</f>
        <v>101</v>
      </c>
      <c r="G149" s="3">
        <v>103</v>
      </c>
      <c r="H149" s="3">
        <f>G149+1</f>
        <v>104</v>
      </c>
      <c r="I149" s="3">
        <f>H149+1</f>
        <v>105</v>
      </c>
      <c r="J149" s="3">
        <v>118</v>
      </c>
      <c r="K149" s="3">
        <f>VLOOKUP($A149,'SegEnds_NonXtal_BW#'!$A:$Z,8,FALSE)+VLOOKUP($A149,A:AL,10,FALSE)-50</f>
        <v>130</v>
      </c>
      <c r="L149" s="3">
        <f>M149-1</f>
        <v>132</v>
      </c>
      <c r="M149" s="3">
        <v>133</v>
      </c>
      <c r="N149" s="3">
        <f>M149+2</f>
        <v>135</v>
      </c>
      <c r="O149" s="3">
        <f>N149+1</f>
        <v>136</v>
      </c>
      <c r="P149" s="3">
        <v>166</v>
      </c>
      <c r="Q149" s="3">
        <f>VLOOKUP($A149,'SegEnds_NonXtal_BW#'!$A:$Z,12,FALSE)+VLOOKUP($A149,A:AL,16,FALSE)-50</f>
        <v>172</v>
      </c>
      <c r="R149" s="3">
        <f>S149</f>
        <v>173</v>
      </c>
      <c r="S149" s="3">
        <v>173</v>
      </c>
      <c r="T149" s="100">
        <f>S149+7</f>
        <v>180</v>
      </c>
      <c r="U149" s="9">
        <f>IF(ISERROR(VLOOKUP($A149,'SegEnds_NonXtal_BW#'!$A:$Z,15,FALSE)+VLOOKUP($A149,A:AL,22,FALSE)-50),"-",VLOOKUP($A149,'SegEnds_NonXtal_BW#'!$A:$Z,15,FALSE)+VLOOKUP($A149,A:AL,22,FALSE)-50)</f>
        <v>181</v>
      </c>
      <c r="V149" s="3">
        <v>193</v>
      </c>
      <c r="W149" s="3">
        <f>IF(ISERROR(VLOOKUP($A149,'SegEnds_NonXtal_BW#'!$A:$Z,16,FALSE)+VLOOKUP($A149,A:AL,22,FALSE)-50),"-",(VLOOKUP($A149,'SegEnds_NonXtal_BW#'!$A:$Z,16,FALSE)+VLOOKUP($A149,A:AL,22,FALSE)-50))</f>
        <v>206</v>
      </c>
      <c r="X149" s="3" t="str">
        <f>IF(ISERROR(VLOOKUP($A149,'SegEnds_NonXtal_BW#'!$A:$Z,17,FALSE)+VLOOKUP($A149,A:AL,25,FALSE)-50),"-",(VLOOKUP($A149,'SegEnds_NonXtal_BW#'!$A:$Z,17,FALSE)+VLOOKUP($A149,A:AL,25,FALSE)-50))</f>
        <v>-</v>
      </c>
      <c r="Y149" s="3" t="s">
        <v>23</v>
      </c>
      <c r="Z149" s="3" t="str">
        <f>IF(ISERROR(VLOOKUP($A149,'SegEnds_NonXtal_BW#'!$A:$Z,18,FALSE)+VLOOKUP($A149,A:AL,25,FALSE)-50),"-",(VLOOKUP($A149,'SegEnds_NonXtal_BW#'!$A:$Z,18,FALSE)+VLOOKUP($A149,A:AL,25,FALSE)-50))</f>
        <v>-</v>
      </c>
      <c r="AA149" s="3">
        <f>IF(ISERROR(VLOOKUP($A149,'SegEnds_NonXtal_BW#'!$A:$Z,19,FALSE)+VLOOKUP($A149,A:AL,28,FALSE)-50),"-",(VLOOKUP($A149,'SegEnds_NonXtal_BW#'!$A:$Z,19,FALSE)+VLOOKUP($A149,A:AL,28,FALSE)-50))</f>
        <v>223</v>
      </c>
      <c r="AB149" s="3">
        <v>237</v>
      </c>
      <c r="AC149" s="3">
        <f>IF(ISERROR((VLOOKUP($A149,'SegEnds_NonXtal_BW#'!$A:$Z,20,FALSE)+VLOOKUP($A149,A:AL,28,FALSE)-50)),"-",(VLOOKUP($A149,'SegEnds_NonXtal_BW#'!$A:$Z,20,FALSE)+VLOOKUP($A149,A:AL,28,FALSE)-50))</f>
        <v>260</v>
      </c>
      <c r="AD149" s="3">
        <f>IF(ISERROR(VLOOKUP($A149,'SegEnds_NonXtal_BW#'!$A:$Z,21,FALSE)+VLOOKUP($A149,A:AL,31,FALSE)-50),"-",(VLOOKUP($A149,'SegEnds_NonXtal_BW#'!$A:$Z,21,FALSE)+VLOOKUP($A149,A:AL,31,FALSE)-50))</f>
        <v>266</v>
      </c>
      <c r="AE149" s="3">
        <v>294</v>
      </c>
      <c r="AF149" s="3">
        <f>IF(ISERROR((VLOOKUP($A149,'SegEnds_NonXtal_BW#'!$A:$Z,22,FALSE)+VLOOKUP($A149,A:AL,31,FALSE)-50)),"-",(VLOOKUP($A149,'SegEnds_NonXtal_BW#'!$A:$Z,22,FALSE)+VLOOKUP($A149,A:AL,31,FALSE)-50))</f>
        <v>305</v>
      </c>
      <c r="AG149" s="3">
        <f>IF(ISERROR(VLOOKUP($A149,'SegEnds_NonXtal_BW#'!$A:$Z,23,FALSE)+VLOOKUP($A149,A:AL,34,FALSE)-50),"-",(VLOOKUP($A149,'SegEnds_NonXtal_BW#'!$A:$Z,23,FALSE)+VLOOKUP($A149,A:AL,34,FALSE)-50))</f>
        <v>310</v>
      </c>
      <c r="AH149" s="3">
        <v>326</v>
      </c>
      <c r="AI149" s="3">
        <f>IF(ISERROR((VLOOKUP($A149,'SegEnds_NonXtal_BW#'!$A:$Z,24,FALSE)+VLOOKUP($A149,A:AL,34,FALSE)-50)),"-",(VLOOKUP($A149,'SegEnds_NonXtal_BW#'!$A:$Z,24,FALSE)+VLOOKUP($A149,A:AL,34,FALSE)-50))</f>
        <v>332</v>
      </c>
      <c r="AJ149" s="3">
        <f>IF(ISERROR(VLOOKUP($A149,'SegEnds_NonXtal_BW#'!$A:$Z,25,FALSE)+VLOOKUP($A149,A:AL,37,FALSE)-50),"-",(VLOOKUP($A149,'SegEnds_NonXtal_BW#'!$A:$Z,25,FALSE)+VLOOKUP($A149,A:AL,37,FALSE)-50))</f>
        <v>333</v>
      </c>
      <c r="AK149" s="3">
        <v>336</v>
      </c>
      <c r="AL149" s="3">
        <f>IF(ISERROR((VLOOKUP($A149,'SegEnds_NonXtal_BW#'!$A:$Z,26,FALSE)+VLOOKUP($A149,A:AL,37,FALSE)-50)),"-",(VLOOKUP($A149,'SegEnds_NonXtal_BW#'!$A:$Z,26,FALSE)+VLOOKUP($A149,A:AL,37,FALSE)-50))</f>
        <v>345</v>
      </c>
      <c r="AM149" s="28" t="str">
        <f>VLOOKUP(A149,Classification!A:B,2,FALSE)</f>
        <v>A</v>
      </c>
      <c r="AN149" s="28" t="b">
        <f t="shared" si="98"/>
        <v>1</v>
      </c>
      <c r="AO149" s="3" t="str">
        <f>IF(ISERROR(MATCH(A149,'SegEnds_Xtal_Prot#'!B:B, 0)), "NoXtal", "Xtal")</f>
        <v>NoXtal</v>
      </c>
      <c r="AP149" s="3">
        <f t="shared" si="81"/>
        <v>1</v>
      </c>
      <c r="AQ149" s="3">
        <f t="shared" si="82"/>
        <v>1</v>
      </c>
      <c r="AR149" s="3">
        <f t="shared" si="83"/>
        <v>2</v>
      </c>
      <c r="AS149" s="3">
        <f t="shared" si="84"/>
        <v>1</v>
      </c>
      <c r="AT149" s="3">
        <f t="shared" si="85"/>
        <v>1</v>
      </c>
      <c r="AU149" s="3">
        <f t="shared" si="86"/>
        <v>1</v>
      </c>
      <c r="AV149" s="3" t="str">
        <f t="shared" si="87"/>
        <v>-</v>
      </c>
      <c r="AW149" s="3" t="str">
        <f t="shared" si="88"/>
        <v>-</v>
      </c>
      <c r="AX149" s="3">
        <f t="shared" si="89"/>
        <v>6</v>
      </c>
      <c r="AY149" s="3">
        <f t="shared" si="90"/>
        <v>5</v>
      </c>
      <c r="AZ149" s="3">
        <f t="shared" si="91"/>
        <v>1</v>
      </c>
      <c r="BA149" s="3">
        <f>IF(ISERROR(LEN(VLOOKUP(A149,Seqs!A:E,2,FALSE))-AL149),"-",LEN(VLOOKUP(A149,Seqs!A:E,2,FALSE))-AL149)</f>
        <v>17</v>
      </c>
      <c r="BB149" s="16">
        <f t="shared" si="92"/>
        <v>28</v>
      </c>
      <c r="BC149" s="9">
        <f t="shared" si="93"/>
        <v>20</v>
      </c>
      <c r="BD149" s="3">
        <f t="shared" si="94"/>
        <v>28</v>
      </c>
      <c r="BE149" s="3">
        <f t="shared" si="95"/>
        <v>57</v>
      </c>
      <c r="BF149" s="3">
        <f>AH149-AE149</f>
        <v>32</v>
      </c>
    </row>
    <row r="150" spans="1:58" s="3" customFormat="1" x14ac:dyDescent="0.2">
      <c r="A150" s="3" t="s">
        <v>263</v>
      </c>
      <c r="B150" s="3" t="str">
        <f>LOWER(VLOOKUP(A150,Xtal_Templ!A:B,2,FALSE))</f>
        <v>ox2r_human</v>
      </c>
      <c r="C150" s="3">
        <f>VLOOKUP($A150,'SegEnds_NonXtal_BW#'!$A:$Z,3,FALSE)+D150-50</f>
        <v>41</v>
      </c>
      <c r="D150" s="3">
        <v>60</v>
      </c>
      <c r="E150" s="3">
        <f>IF(ISERROR(VLOOKUP($A150,'SegEnds_NonXtal_BW#'!$A:$Z,4,FALSE)+VLOOKUP($A150,A:AL,4,FALSE)-50),"-",(VLOOKUP($A150,'SegEnds_NonXtal_BW#'!$A:$Z,4,FALSE)+VLOOKUP($A150,A:AL,4,FALSE)-50))</f>
        <v>70</v>
      </c>
      <c r="F150" s="3" t="str">
        <f>IF(ISERROR(VLOOKUP($A150,'SegEnds_NonXtal_BW#'!$A:$Z,5,FALSE)+VLOOKUP($A150,A:AL,7,FALSE)-50),"-",(VLOOKUP($A150,'SegEnds_NonXtal_BW#'!$A:$Z,5,FALSE)+VLOOKUP($A150,A:AL,7,FALSE)-50))</f>
        <v>-</v>
      </c>
      <c r="G150" s="3" t="s">
        <v>23</v>
      </c>
      <c r="H150" s="3" t="str">
        <f>IF(ISERROR(VLOOKUP($A150,'SegEnds_NonXtal_BW#'!$A:$Z,6,FALSE)+VLOOKUP($A150,A:AL,7,FALSE)-50),"-",(VLOOKUP($A150,'SegEnds_NonXtal_BW#'!$A:$Z,6,FALSE)+VLOOKUP($A150,A:AL,7,FALSE)-50))</f>
        <v>-</v>
      </c>
      <c r="I150" s="3">
        <f>VLOOKUP($A150,'SegEnds_NonXtal_BW#'!$A:$Z,7,FALSE)+J150-50</f>
        <v>73</v>
      </c>
      <c r="J150" s="3">
        <v>86</v>
      </c>
      <c r="K150" s="3">
        <f>VLOOKUP($A150,'SegEnds_NonXtal_BW#'!$A:$Z,8,FALSE)+VLOOKUP($A150,A:AL,10,FALSE)-50</f>
        <v>104</v>
      </c>
      <c r="L150" s="3">
        <f>M150-1</f>
        <v>106</v>
      </c>
      <c r="M150" s="3">
        <v>107</v>
      </c>
      <c r="N150" s="3">
        <f>M150+2</f>
        <v>109</v>
      </c>
      <c r="O150" s="3">
        <f>N150+1</f>
        <v>110</v>
      </c>
      <c r="P150" s="3">
        <v>140</v>
      </c>
      <c r="Q150" s="3">
        <f>VLOOKUP($A150,'SegEnds_NonXtal_BW#'!$A:$Z,12,FALSE)+VLOOKUP($A150,A:AL,16,FALSE)-50</f>
        <v>146</v>
      </c>
      <c r="R150" s="3">
        <f>IF(ISERROR(VLOOKUP($A150,'SegEnds_NonXtal_BW#'!$A:$Z,13,FALSE)+VLOOKUP($A150,A:AL,19,FALSE)-50),"-",VLOOKUP($A150,'SegEnds_NonXtal_BW#'!$A:$Z,13,FALSE)+VLOOKUP($A150,A:AL,19,FALSE)-50)</f>
        <v>147</v>
      </c>
      <c r="S150" s="3">
        <v>147</v>
      </c>
      <c r="T150" s="100">
        <f>IF(ISERROR(VLOOKUP($A150,'SegEnds_NonXtal_BW#'!$A:$Z,14,FALSE)+VLOOKUP($A150,A:AL,19,FALSE)-50),"-",(VLOOKUP($A150,'SegEnds_NonXtal_BW#'!$A:$Z,14,FALSE)+VLOOKUP($A150,A:AL,19,FALSE)-50))</f>
        <v>154</v>
      </c>
      <c r="U150" s="9">
        <f>IF(ISERROR(VLOOKUP($A150,'SegEnds_NonXtal_BW#'!$A:$Z,15,FALSE)+VLOOKUP($A150,A:AL,22,FALSE)-50),"-",VLOOKUP($A150,'SegEnds_NonXtal_BW#'!$A:$Z,15,FALSE)+VLOOKUP($A150,A:AL,22,FALSE)-50)</f>
        <v>155</v>
      </c>
      <c r="V150" s="3">
        <v>167</v>
      </c>
      <c r="W150" s="3">
        <f>IF(ISERROR(VLOOKUP($A150,'SegEnds_NonXtal_BW#'!$A:$Z,16,FALSE)+VLOOKUP($A150,A:AL,22,FALSE)-50),"-",(VLOOKUP($A150,'SegEnds_NonXtal_BW#'!$A:$Z,16,FALSE)+VLOOKUP($A150,A:AL,22,FALSE)-50))</f>
        <v>181</v>
      </c>
      <c r="X150" s="3">
        <f>IF(ISERROR(VLOOKUP($A150,'SegEnds_NonXtal_BW#'!$A:$Z,17,FALSE)+VLOOKUP($A150,A:AL,25,FALSE)-50),"-",(VLOOKUP($A150,'SegEnds_NonXtal_BW#'!$A:$Z,17,FALSE)+VLOOKUP($A150,A:AL,25,FALSE)-50))</f>
        <v>195</v>
      </c>
      <c r="Y150" s="3">
        <v>195</v>
      </c>
      <c r="Z150" s="3">
        <f>Y150+2</f>
        <v>197</v>
      </c>
      <c r="AA150" s="3">
        <f>IF(ISERROR(VLOOKUP($A150,'SegEnds_NonXtal_BW#'!$A:$Z,19,FALSE)+VLOOKUP($A150,A:AL,28,FALSE)-50),"-",(VLOOKUP($A150,'SegEnds_NonXtal_BW#'!$A:$Z,19,FALSE)+VLOOKUP($A150,A:AL,28,FALSE)-50))</f>
        <v>205</v>
      </c>
      <c r="AB150" s="3">
        <v>220</v>
      </c>
      <c r="AC150" s="3">
        <f>IF(ISERROR((VLOOKUP($A150,'SegEnds_NonXtal_BW#'!$A:$Z,20,FALSE)+VLOOKUP($A150,A:AL,28,FALSE)-50)),"-",(VLOOKUP($A150,'SegEnds_NonXtal_BW#'!$A:$Z,20,FALSE)+VLOOKUP($A150,A:AL,28,FALSE)-50))</f>
        <v>246</v>
      </c>
      <c r="AD150" s="3">
        <f>IF(ISERROR(VLOOKUP($A150,'SegEnds_NonXtal_BW#'!$A:$Z,21,FALSE)+VLOOKUP($A150,A:AL,31,FALSE)-50),"-",(VLOOKUP($A150,'SegEnds_NonXtal_BW#'!$A:$Z,21,FALSE)+VLOOKUP($A150,A:AL,31,FALSE)-50))</f>
        <v>276</v>
      </c>
      <c r="AE150" s="3">
        <v>302</v>
      </c>
      <c r="AF150" s="3">
        <f>IF(ISERROR((VLOOKUP($A150,'SegEnds_NonXtal_BW#'!$A:$Z,22,FALSE)+VLOOKUP($A150,A:AL,31,FALSE)-50)),"-",(VLOOKUP($A150,'SegEnds_NonXtal_BW#'!$A:$Z,22,FALSE)+VLOOKUP($A150,A:AL,31,FALSE)-50))</f>
        <v>313</v>
      </c>
      <c r="AG150" s="3">
        <f>IF(ISERROR(VLOOKUP($A150,'SegEnds_NonXtal_BW#'!$A:$Z,23,FALSE)+VLOOKUP($A150,A:AL,34,FALSE)-50),"-",(VLOOKUP($A150,'SegEnds_NonXtal_BW#'!$A:$Z,23,FALSE)+VLOOKUP($A150,A:AL,34,FALSE)-50))</f>
        <v>319</v>
      </c>
      <c r="AH150" s="3">
        <v>338</v>
      </c>
      <c r="AI150" s="3">
        <f>IF(ISERROR((VLOOKUP($A150,'SegEnds_NonXtal_BW#'!$A:$Z,24,FALSE)+VLOOKUP($A150,A:AL,34,FALSE)-50)),"-",(VLOOKUP($A150,'SegEnds_NonXtal_BW#'!$A:$Z,24,FALSE)+VLOOKUP($A150,A:AL,34,FALSE)-50))</f>
        <v>344</v>
      </c>
      <c r="AJ150" s="3">
        <f>IF(ISERROR(VLOOKUP($A150,'SegEnds_NonXtal_BW#'!$A:$Z,25,FALSE)+VLOOKUP($A150,A:AL,37,FALSE)-50),"-",(VLOOKUP($A150,'SegEnds_NonXtal_BW#'!$A:$Z,25,FALSE)+VLOOKUP($A150,A:AL,37,FALSE)-50))</f>
        <v>345</v>
      </c>
      <c r="AK150" s="3">
        <v>348</v>
      </c>
      <c r="AL150" s="3">
        <f>IF(ISERROR((VLOOKUP($A150,'SegEnds_NonXtal_BW#'!$A:$Z,26,FALSE)+VLOOKUP($A150,A:AL,37,FALSE)-50)),"-",(VLOOKUP($A150,'SegEnds_NonXtal_BW#'!$A:$Z,26,FALSE)+VLOOKUP($A150,A:AL,37,FALSE)-50))</f>
        <v>356</v>
      </c>
      <c r="AM150" s="28" t="str">
        <f>VLOOKUP(A150,Classification!A:B,2,FALSE)</f>
        <v>A</v>
      </c>
      <c r="AN150" s="28" t="b">
        <f t="shared" si="98"/>
        <v>1</v>
      </c>
      <c r="AO150" s="3" t="str">
        <f>IF(ISERROR(MATCH(A150,'SegEnds_Xtal_Prot#'!B:B, 0)), "NoXtal", "Xtal")</f>
        <v>NoXtal</v>
      </c>
      <c r="AP150" s="3" t="str">
        <f t="shared" si="81"/>
        <v>-</v>
      </c>
      <c r="AQ150" s="3" t="str">
        <f t="shared" si="82"/>
        <v>-</v>
      </c>
      <c r="AR150" s="3">
        <f t="shared" si="83"/>
        <v>2</v>
      </c>
      <c r="AS150" s="3">
        <f t="shared" si="84"/>
        <v>1</v>
      </c>
      <c r="AT150" s="3">
        <f t="shared" si="85"/>
        <v>1</v>
      </c>
      <c r="AU150" s="3">
        <f t="shared" si="86"/>
        <v>1</v>
      </c>
      <c r="AV150" s="3">
        <f t="shared" si="87"/>
        <v>14</v>
      </c>
      <c r="AW150" s="3">
        <f t="shared" si="88"/>
        <v>8</v>
      </c>
      <c r="AX150" s="3">
        <f t="shared" si="89"/>
        <v>30</v>
      </c>
      <c r="AY150" s="3">
        <f t="shared" si="90"/>
        <v>6</v>
      </c>
      <c r="AZ150" s="3">
        <f t="shared" si="91"/>
        <v>1</v>
      </c>
      <c r="BA150" s="3">
        <f>IF(ISERROR(LEN(VLOOKUP(A150,Seqs!A:E,2,FALSE))-AL150),"-",LEN(VLOOKUP(A150,Seqs!A:E,2,FALSE))-AL150)</f>
        <v>95</v>
      </c>
      <c r="BB150" s="16">
        <f t="shared" si="92"/>
        <v>26</v>
      </c>
      <c r="BC150" s="9">
        <f t="shared" si="93"/>
        <v>20</v>
      </c>
      <c r="BD150" s="3">
        <f t="shared" si="94"/>
        <v>26</v>
      </c>
      <c r="BE150" s="3">
        <f t="shared" si="95"/>
        <v>82</v>
      </c>
    </row>
    <row r="151" spans="1:58" s="3" customFormat="1" x14ac:dyDescent="0.2">
      <c r="A151" s="3" t="s">
        <v>267</v>
      </c>
      <c r="B151" s="3" t="str">
        <f>LOWER(VLOOKUP(A151,Xtal_Templ!A:B,2,FALSE))</f>
        <v>drd2_human</v>
      </c>
      <c r="C151" s="3">
        <f>VLOOKUP($A151,'SegEnds_NonXtal_BW#'!$A:$Z,3,FALSE)+D151-50</f>
        <v>2</v>
      </c>
      <c r="D151" s="3">
        <v>23</v>
      </c>
      <c r="E151" s="3">
        <f>IF(ISERROR(VLOOKUP($A151,'SegEnds_NonXtal_BW#'!$A:$Z,4,FALSE)+VLOOKUP($A151,A:AL,4,FALSE)-50),"-",(VLOOKUP($A151,'SegEnds_NonXtal_BW#'!$A:$Z,4,FALSE)+VLOOKUP($A151,A:AL,4,FALSE)-50))</f>
        <v>33</v>
      </c>
      <c r="F151" s="3">
        <f>G151-2</f>
        <v>34</v>
      </c>
      <c r="G151" s="3">
        <v>36</v>
      </c>
      <c r="H151" s="3">
        <f>G151+1</f>
        <v>37</v>
      </c>
      <c r="I151" s="3">
        <f>H151+1</f>
        <v>38</v>
      </c>
      <c r="J151" s="3">
        <v>52</v>
      </c>
      <c r="K151" s="3">
        <f>VLOOKUP($A151,'SegEnds_NonXtal_BW#'!$A:$Z,8,FALSE)+VLOOKUP($A151,A:AL,10,FALSE)-50</f>
        <v>70</v>
      </c>
      <c r="L151" s="3" t="str">
        <f>IF(ISERROR(VLOOKUP($A151,'SegEnds_NonXtal_BW#'!$A:$Z,9,FALSE)+VLOOKUP($A151,A:AL,13,FALSE)-50),"-",(VLOOKUP($A151,'SegEnds_NonXtal_BW#'!$A:$Z,9,FALSE)+VLOOKUP($A151,A:AL,13,FALSE)-50))</f>
        <v>-</v>
      </c>
      <c r="M151" s="3" t="s">
        <v>23</v>
      </c>
      <c r="N151" s="3" t="str">
        <f>IF(ISERROR(VLOOKUP($A151,'SegEnds_NonXtal_BW#'!$A:$Z,10,FALSE)+VLOOKUP($A151,A:AL,13,FALSE)-50),"-",(VLOOKUP($A151,'SegEnds_NonXtal_BW#'!$A:$Z,10,FALSE)+VLOOKUP($A151,A:AL,13,FALSE)-50))</f>
        <v>-</v>
      </c>
      <c r="O151" s="3">
        <f>VLOOKUP($A151,'SegEnds_NonXtal_BW#'!$A:$Z,11,FALSE)+VLOOKUP($A151,A:AL,16,FALSE)-50</f>
        <v>75</v>
      </c>
      <c r="P151" s="3">
        <v>104</v>
      </c>
      <c r="Q151" s="3">
        <f>VLOOKUP($A151,'SegEnds_NonXtal_BW#'!$A:$Z,12,FALSE)+VLOOKUP($A151,A:AL,16,FALSE)-50</f>
        <v>110</v>
      </c>
      <c r="R151" s="3">
        <f>IF(ISERROR(VLOOKUP($A151,'SegEnds_NonXtal_BW#'!$A:$Z,13,FALSE)+VLOOKUP($A151,A:AL,19,FALSE)-50),"-",VLOOKUP($A151,'SegEnds_NonXtal_BW#'!$A:$Z,13,FALSE)+VLOOKUP($A151,A:AL,19,FALSE)-50)</f>
        <v>111</v>
      </c>
      <c r="S151" s="3">
        <v>111</v>
      </c>
      <c r="T151" s="100">
        <f>IF(ISERROR(VLOOKUP($A151,'SegEnds_NonXtal_BW#'!$A:$Z,14,FALSE)+VLOOKUP($A151,A:AL,19,FALSE)-50),"-",(VLOOKUP($A151,'SegEnds_NonXtal_BW#'!$A:$Z,14,FALSE)+VLOOKUP($A151,A:AL,19,FALSE)-50))</f>
        <v>118</v>
      </c>
      <c r="U151" s="9">
        <f>IF(ISERROR(VLOOKUP($A151,'SegEnds_NonXtal_BW#'!$A:$Z,15,FALSE)+VLOOKUP($A151,A:AL,22,FALSE)-50),"-",VLOOKUP($A151,'SegEnds_NonXtal_BW#'!$A:$Z,15,FALSE)+VLOOKUP($A151,A:AL,22,FALSE)-50)</f>
        <v>119</v>
      </c>
      <c r="V151" s="3">
        <v>131</v>
      </c>
      <c r="W151" s="3">
        <f>IF(ISERROR(VLOOKUP($A151,'SegEnds_NonXtal_BW#'!$A:$Z,16,FALSE)+VLOOKUP($A151,A:AL,22,FALSE)-50),"-",(VLOOKUP($A151,'SegEnds_NonXtal_BW#'!$A:$Z,16,FALSE)+VLOOKUP($A151,A:AL,22,FALSE)-50))</f>
        <v>143</v>
      </c>
      <c r="X151" s="3">
        <f>IF(ISERROR(VLOOKUP($A151,'SegEnds_NonXtal_BW#'!$A:$Z,17,FALSE)+VLOOKUP($A151,A:AL,25,FALSE)-50),"-",(VLOOKUP($A151,'SegEnds_NonXtal_BW#'!$A:$Z,17,FALSE)+VLOOKUP($A151,A:AL,25,FALSE)-50))</f>
        <v>156</v>
      </c>
      <c r="Y151" s="3">
        <v>156</v>
      </c>
      <c r="Z151" s="3">
        <f>Y151+2</f>
        <v>158</v>
      </c>
      <c r="AA151" s="3">
        <f>IF(ISERROR(VLOOKUP($A151,'SegEnds_NonXtal_BW#'!$A:$Z,19,FALSE)+VLOOKUP($A151,A:AL,28,FALSE)-50),"-",(VLOOKUP($A151,'SegEnds_NonXtal_BW#'!$A:$Z,19,FALSE)+VLOOKUP($A151,A:AL,28,FALSE)-50))</f>
        <v>169</v>
      </c>
      <c r="AB151" s="3">
        <v>184</v>
      </c>
      <c r="AC151" s="3">
        <f>IF(ISERROR((VLOOKUP($A151,'SegEnds_NonXtal_BW#'!$A:$Z,20,FALSE)+VLOOKUP($A151,A:AL,28,FALSE)-50)),"-",(VLOOKUP($A151,'SegEnds_NonXtal_BW#'!$A:$Z,20,FALSE)+VLOOKUP($A151,A:AL,28,FALSE)-50))</f>
        <v>210</v>
      </c>
      <c r="AD151" s="3">
        <f>IF(ISERROR(VLOOKUP($A151,'SegEnds_NonXtal_BW#'!$A:$Z,21,FALSE)+VLOOKUP($A151,A:AL,31,FALSE)-50),"-",(VLOOKUP($A151,'SegEnds_NonXtal_BW#'!$A:$Z,21,FALSE)+VLOOKUP($A151,A:AL,31,FALSE)-50))</f>
        <v>230</v>
      </c>
      <c r="AE151" s="3">
        <v>256</v>
      </c>
      <c r="AF151" s="3">
        <f>IF(ISERROR((VLOOKUP($A151,'SegEnds_NonXtal_BW#'!$A:$Z,22,FALSE)+VLOOKUP($A151,A:AL,31,FALSE)-50)),"-",(VLOOKUP($A151,'SegEnds_NonXtal_BW#'!$A:$Z,22,FALSE)+VLOOKUP($A151,A:AL,31,FALSE)-50))</f>
        <v>267</v>
      </c>
      <c r="AG151" s="3">
        <f>IF(ISERROR(VLOOKUP($A151,'SegEnds_NonXtal_BW#'!$A:$Z,23,FALSE)+VLOOKUP($A151,A:AL,34,FALSE)-50),"-",(VLOOKUP($A151,'SegEnds_NonXtal_BW#'!$A:$Z,23,FALSE)+VLOOKUP($A151,A:AL,34,FALSE)-50))</f>
        <v>272</v>
      </c>
      <c r="AH151" s="3">
        <v>291</v>
      </c>
      <c r="AI151" s="3">
        <f>IF(ISERROR((VLOOKUP($A151,'SegEnds_NonXtal_BW#'!$A:$Z,24,FALSE)+VLOOKUP($A151,A:AL,34,FALSE)-50)),"-",(VLOOKUP($A151,'SegEnds_NonXtal_BW#'!$A:$Z,24,FALSE)+VLOOKUP($A151,A:AL,34,FALSE)-50))</f>
        <v>297</v>
      </c>
      <c r="AJ151" s="3">
        <f>IF(ISERROR(VLOOKUP($A151,'SegEnds_NonXtal_BW#'!$A:$Z,25,FALSE)+VLOOKUP($A151,A:AL,37,FALSE)-50),"-",(VLOOKUP($A151,'SegEnds_NonXtal_BW#'!$A:$Z,25,FALSE)+VLOOKUP($A151,A:AL,37,FALSE)-50))</f>
        <v>298</v>
      </c>
      <c r="AK151" s="3">
        <v>301</v>
      </c>
      <c r="AL151" s="3">
        <f>IF(ISERROR((VLOOKUP($A151,'SegEnds_NonXtal_BW#'!$A:$Z,26,FALSE)+VLOOKUP($A151,A:AL,37,FALSE)-50)),"-",(VLOOKUP($A151,'SegEnds_NonXtal_BW#'!$A:$Z,26,FALSE)+VLOOKUP($A151,A:AL,37,FALSE)-50))</f>
        <v>310</v>
      </c>
      <c r="AM151" s="28" t="str">
        <f>VLOOKUP(A151,Classification!A:B,2,FALSE)</f>
        <v>A</v>
      </c>
      <c r="AN151" s="28" t="b">
        <f t="shared" si="98"/>
        <v>1</v>
      </c>
      <c r="AO151" s="3" t="str">
        <f>IF(ISERROR(MATCH(A151,'SegEnds_Xtal_Prot#'!B:B, 0)), "NoXtal", "Xtal")</f>
        <v>NoXtal</v>
      </c>
      <c r="AP151" s="3">
        <f t="shared" si="81"/>
        <v>1</v>
      </c>
      <c r="AQ151" s="3">
        <f t="shared" si="82"/>
        <v>1</v>
      </c>
      <c r="AR151" s="3" t="str">
        <f t="shared" si="83"/>
        <v>-</v>
      </c>
      <c r="AS151" s="3" t="str">
        <f t="shared" si="84"/>
        <v>-</v>
      </c>
      <c r="AT151" s="3">
        <f t="shared" si="85"/>
        <v>1</v>
      </c>
      <c r="AU151" s="3">
        <f t="shared" si="86"/>
        <v>1</v>
      </c>
      <c r="AV151" s="3">
        <f t="shared" si="87"/>
        <v>13</v>
      </c>
      <c r="AW151" s="3">
        <f t="shared" si="88"/>
        <v>11</v>
      </c>
      <c r="AX151" s="3">
        <f t="shared" si="89"/>
        <v>20</v>
      </c>
      <c r="AY151" s="3">
        <f t="shared" si="90"/>
        <v>5</v>
      </c>
      <c r="AZ151" s="3">
        <f t="shared" si="91"/>
        <v>1</v>
      </c>
      <c r="BA151" s="3">
        <f>IF(ISERROR(LEN(VLOOKUP(A151,Seqs!A:E,2,FALSE))-AL151),"-",LEN(VLOOKUP(A151,Seqs!A:E,2,FALSE))-AL151)</f>
        <v>53</v>
      </c>
      <c r="BB151" s="16">
        <f t="shared" si="92"/>
        <v>29</v>
      </c>
      <c r="BC151" s="9">
        <f t="shared" si="93"/>
        <v>20</v>
      </c>
      <c r="BD151" s="3">
        <f t="shared" si="94"/>
        <v>29</v>
      </c>
      <c r="BE151" s="3">
        <f t="shared" si="95"/>
        <v>72</v>
      </c>
    </row>
    <row r="152" spans="1:58" s="3" customFormat="1" x14ac:dyDescent="0.2">
      <c r="A152" s="3" t="s">
        <v>268</v>
      </c>
      <c r="B152" s="3" t="str">
        <f>LOWER(VLOOKUP(A152,Xtal_Templ!A:B,2,FALSE))</f>
        <v>oprm_mouse</v>
      </c>
      <c r="C152" s="3">
        <f>VLOOKUP($A152,'SegEnds_NonXtal_BW#'!$A:$Z,3,FALSE)+D152-50</f>
        <v>12</v>
      </c>
      <c r="D152" s="3">
        <v>33</v>
      </c>
      <c r="E152" s="3">
        <f>IF(ISERROR(VLOOKUP($A152,'SegEnds_NonXtal_BW#'!$A:$Z,4,FALSE)+VLOOKUP($A152,A:AL,4,FALSE)-50),"-",(VLOOKUP($A152,'SegEnds_NonXtal_BW#'!$A:$Z,4,FALSE)+VLOOKUP($A152,A:AL,4,FALSE)-50))</f>
        <v>43</v>
      </c>
      <c r="F152" s="3" t="str">
        <f>IF(ISERROR(VLOOKUP($A152,'SegEnds_NonXtal_BW#'!$A:$Z,5,FALSE)+VLOOKUP($A152,A:AL,7,FALSE)-50),"-",(VLOOKUP($A152,'SegEnds_NonXtal_BW#'!$A:$Z,5,FALSE)+VLOOKUP($A152,A:AL,7,FALSE)-50))</f>
        <v>-</v>
      </c>
      <c r="G152" s="3" t="s">
        <v>23</v>
      </c>
      <c r="H152" s="3" t="str">
        <f>IF(ISERROR(VLOOKUP($A152,'SegEnds_NonXtal_BW#'!$A:$Z,6,FALSE)+VLOOKUP($A152,A:AL,7,FALSE)-50),"-",(VLOOKUP($A152,'SegEnds_NonXtal_BW#'!$A:$Z,6,FALSE)+VLOOKUP($A152,A:AL,7,FALSE)-50))</f>
        <v>-</v>
      </c>
      <c r="I152" s="3">
        <f>VLOOKUP($A152,'SegEnds_NonXtal_BW#'!$A:$Z,7,FALSE)+J152-50</f>
        <v>48</v>
      </c>
      <c r="J152" s="3">
        <v>61</v>
      </c>
      <c r="K152" s="3">
        <f>VLOOKUP($A152,'SegEnds_NonXtal_BW#'!$A:$Z,8,FALSE)+VLOOKUP($A152,A:AL,10,FALSE)-50</f>
        <v>78</v>
      </c>
      <c r="L152" s="3">
        <f>M152-1</f>
        <v>80</v>
      </c>
      <c r="M152" s="3">
        <v>81</v>
      </c>
      <c r="N152" s="3">
        <f>M152+2</f>
        <v>83</v>
      </c>
      <c r="O152" s="3">
        <f>N152+1</f>
        <v>84</v>
      </c>
      <c r="P152" s="3">
        <v>117</v>
      </c>
      <c r="Q152" s="3">
        <f>VLOOKUP($A152,'SegEnds_NonXtal_BW#'!$A:$Z,12,FALSE)+VLOOKUP($A152,A:AL,16,FALSE)-50</f>
        <v>123</v>
      </c>
      <c r="R152" s="3">
        <f>IF(ISERROR(VLOOKUP($A152,'SegEnds_NonXtal_BW#'!$A:$Z,13,FALSE)+VLOOKUP($A152,A:AL,19,FALSE)-50),"-",VLOOKUP($A152,'SegEnds_NonXtal_BW#'!$A:$Z,13,FALSE)+VLOOKUP($A152,A:AL,19,FALSE)-50)</f>
        <v>140</v>
      </c>
      <c r="S152" s="3">
        <v>140</v>
      </c>
      <c r="T152" s="100">
        <f>IF(ISERROR(VLOOKUP($A152,'SegEnds_NonXtal_BW#'!$A:$Z,14,FALSE)+VLOOKUP($A152,A:AL,19,FALSE)-50),"-",(VLOOKUP($A152,'SegEnds_NonXtal_BW#'!$A:$Z,14,FALSE)+VLOOKUP($A152,A:AL,19,FALSE)-50))</f>
        <v>147</v>
      </c>
      <c r="U152" s="9">
        <f>IF(ISERROR(VLOOKUP($A152,'SegEnds_NonXtal_BW#'!$A:$Z,15,FALSE)+VLOOKUP($A152,A:AL,22,FALSE)-50),"-",VLOOKUP($A152,'SegEnds_NonXtal_BW#'!$A:$Z,15,FALSE)+VLOOKUP($A152,A:AL,22,FALSE)-50)</f>
        <v>148</v>
      </c>
      <c r="V152" s="3">
        <v>160</v>
      </c>
      <c r="W152" s="3">
        <f>IF(ISERROR(VLOOKUP($A152,'SegEnds_NonXtal_BW#'!$A:$Z,16,FALSE)+VLOOKUP($A152,A:AL,22,FALSE)-50),"-",(VLOOKUP($A152,'SegEnds_NonXtal_BW#'!$A:$Z,16,FALSE)+VLOOKUP($A152,A:AL,22,FALSE)-50))</f>
        <v>174</v>
      </c>
      <c r="X152" s="3" t="str">
        <f>IF(ISERROR(VLOOKUP($A152,'SegEnds_NonXtal_BW#'!$A:$Z,17,FALSE)+VLOOKUP($A152,A:AL,25,FALSE)-50),"-",(VLOOKUP($A152,'SegEnds_NonXtal_BW#'!$A:$Z,17,FALSE)+VLOOKUP($A152,A:AL,25,FALSE)-50))</f>
        <v>-</v>
      </c>
      <c r="Y152" s="3" t="s">
        <v>23</v>
      </c>
      <c r="Z152" s="3" t="str">
        <f>IF(ISERROR(VLOOKUP($A152,'SegEnds_NonXtal_BW#'!$A:$Z,18,FALSE)+VLOOKUP($A152,A:AL,25,FALSE)-50),"-",(VLOOKUP($A152,'SegEnds_NonXtal_BW#'!$A:$Z,18,FALSE)+VLOOKUP($A152,A:AL,25,FALSE)-50))</f>
        <v>-</v>
      </c>
      <c r="AA152" s="3">
        <f>IF(ISERROR(VLOOKUP($A152,'SegEnds_NonXtal_BW#'!$A:$Z,19,FALSE)+VLOOKUP($A152,A:AL,28,FALSE)-50),"-",(VLOOKUP($A152,'SegEnds_NonXtal_BW#'!$A:$Z,19,FALSE)+VLOOKUP($A152,A:AL,28,FALSE)-50))</f>
        <v>194</v>
      </c>
      <c r="AB152" s="3">
        <v>213</v>
      </c>
      <c r="AC152" s="3">
        <f>IF(ISERROR((VLOOKUP($A152,'SegEnds_NonXtal_BW#'!$A:$Z,20,FALSE)+VLOOKUP($A152,A:AL,28,FALSE)-50)),"-",(VLOOKUP($A152,'SegEnds_NonXtal_BW#'!$A:$Z,20,FALSE)+VLOOKUP($A152,A:AL,28,FALSE)-50))</f>
        <v>231</v>
      </c>
      <c r="AD152" s="3">
        <f>IF(ISERROR(VLOOKUP($A152,'SegEnds_NonXtal_BW#'!$A:$Z,21,FALSE)+VLOOKUP($A152,A:AL,31,FALSE)-50),"-",(VLOOKUP($A152,'SegEnds_NonXtal_BW#'!$A:$Z,21,FALSE)+VLOOKUP($A152,A:AL,31,FALSE)-50))</f>
        <v>237</v>
      </c>
      <c r="AE152" s="3">
        <v>264</v>
      </c>
      <c r="AF152" s="3">
        <f>IF(ISERROR((VLOOKUP($A152,'SegEnds_NonXtal_BW#'!$A:$Z,22,FALSE)+VLOOKUP($A152,A:AL,31,FALSE)-50)),"-",(VLOOKUP($A152,'SegEnds_NonXtal_BW#'!$A:$Z,22,FALSE)+VLOOKUP($A152,A:AL,31,FALSE)-50))</f>
        <v>275</v>
      </c>
      <c r="AG152" s="3">
        <f>IF(ISERROR(VLOOKUP($A152,'SegEnds_NonXtal_BW#'!$A:$Z,23,FALSE)+VLOOKUP($A152,A:AL,34,FALSE)-50),"-",(VLOOKUP($A152,'SegEnds_NonXtal_BW#'!$A:$Z,23,FALSE)+VLOOKUP($A152,A:AL,34,FALSE)-50))</f>
        <v>284</v>
      </c>
      <c r="AH152" s="3">
        <v>306</v>
      </c>
      <c r="AI152" s="3">
        <f>IF(ISERROR((VLOOKUP($A152,'SegEnds_NonXtal_BW#'!$A:$Z,24,FALSE)+VLOOKUP($A152,A:AL,34,FALSE)-50)),"-",(VLOOKUP($A152,'SegEnds_NonXtal_BW#'!$A:$Z,24,FALSE)+VLOOKUP($A152,A:AL,34,FALSE)-50))</f>
        <v>312</v>
      </c>
      <c r="AJ152" s="3">
        <f>IF(ISERROR(VLOOKUP($A152,'SegEnds_NonXtal_BW#'!$A:$Z,25,FALSE)+VLOOKUP($A152,A:AL,37,FALSE)-50),"-",(VLOOKUP($A152,'SegEnds_NonXtal_BW#'!$A:$Z,25,FALSE)+VLOOKUP($A152,A:AL,37,FALSE)-50))</f>
        <v>313</v>
      </c>
      <c r="AK152" s="3">
        <v>316</v>
      </c>
      <c r="AL152" s="3">
        <f>IF(ISERROR((VLOOKUP($A152,'SegEnds_NonXtal_BW#'!$A:$Z,26,FALSE)+VLOOKUP($A152,A:AL,37,FALSE)-50)),"-",(VLOOKUP($A152,'SegEnds_NonXtal_BW#'!$A:$Z,26,FALSE)+VLOOKUP($A152,A:AL,37,FALSE)-50))</f>
        <v>325</v>
      </c>
      <c r="AM152" s="28" t="str">
        <f>VLOOKUP(A152,Classification!A:B,2,FALSE)</f>
        <v>A</v>
      </c>
      <c r="AN152" s="28" t="b">
        <f t="shared" si="98"/>
        <v>1</v>
      </c>
      <c r="AO152" s="3" t="str">
        <f>IF(ISERROR(MATCH(A152,'SegEnds_Xtal_Prot#'!B:B, 0)), "NoXtal", "Xtal")</f>
        <v>NoXtal</v>
      </c>
      <c r="AP152" s="3" t="str">
        <f t="shared" si="81"/>
        <v>-</v>
      </c>
      <c r="AQ152" s="3" t="str">
        <f t="shared" si="82"/>
        <v>-</v>
      </c>
      <c r="AR152" s="3">
        <f t="shared" si="83"/>
        <v>2</v>
      </c>
      <c r="AS152" s="3">
        <f t="shared" si="84"/>
        <v>1</v>
      </c>
      <c r="AT152" s="3">
        <f t="shared" si="85"/>
        <v>17</v>
      </c>
      <c r="AU152" s="3">
        <f t="shared" si="86"/>
        <v>1</v>
      </c>
      <c r="AV152" s="3" t="str">
        <f t="shared" si="87"/>
        <v>-</v>
      </c>
      <c r="AW152" s="3" t="str">
        <f t="shared" si="88"/>
        <v>-</v>
      </c>
      <c r="AX152" s="3">
        <f t="shared" si="89"/>
        <v>6</v>
      </c>
      <c r="AY152" s="3">
        <f t="shared" si="90"/>
        <v>9</v>
      </c>
      <c r="AZ152" s="3">
        <f t="shared" si="91"/>
        <v>1</v>
      </c>
      <c r="BA152" s="3">
        <f>IF(ISERROR(LEN(VLOOKUP(A152,Seqs!A:E,2,FALSE))-AL152),"-",LEN(VLOOKUP(A152,Seqs!A:E,2,FALSE))-AL152)</f>
        <v>11</v>
      </c>
      <c r="BB152" s="16">
        <f t="shared" si="92"/>
        <v>28</v>
      </c>
      <c r="BC152" s="9">
        <f t="shared" si="93"/>
        <v>20</v>
      </c>
      <c r="BD152" s="3">
        <f t="shared" si="94"/>
        <v>28</v>
      </c>
      <c r="BE152" s="3">
        <f t="shared" si="95"/>
        <v>51</v>
      </c>
      <c r="BF152" s="3">
        <f>AH152-AE152</f>
        <v>42</v>
      </c>
    </row>
    <row r="153" spans="1:58" s="3" customFormat="1" x14ac:dyDescent="0.2">
      <c r="A153" s="3" t="s">
        <v>270</v>
      </c>
      <c r="B153" s="3" t="str">
        <f>LOWER(VLOOKUP(A153,Xtal_Templ!A:B,2,FALSE))</f>
        <v>5ht2a_human</v>
      </c>
      <c r="C153" s="3">
        <f>VLOOKUP($A153,'SegEnds_NonXtal_BW#'!$A:$Z,3,FALSE)+D153-50</f>
        <v>15</v>
      </c>
      <c r="D153" s="3">
        <v>38</v>
      </c>
      <c r="E153" s="3">
        <f>IF(ISERROR(VLOOKUP($A153,'SegEnds_NonXtal_BW#'!$A:$Z,4,FALSE)+VLOOKUP($A153,A:AL,4,FALSE)-50),"-",(VLOOKUP($A153,'SegEnds_NonXtal_BW#'!$A:$Z,4,FALSE)+VLOOKUP($A153,A:AL,4,FALSE)-50))</f>
        <v>48</v>
      </c>
      <c r="F153" s="3">
        <f>G153-2</f>
        <v>49</v>
      </c>
      <c r="G153" s="3">
        <v>51</v>
      </c>
      <c r="H153" s="3">
        <f>G153+1</f>
        <v>52</v>
      </c>
      <c r="I153" s="3">
        <f>H153+1</f>
        <v>53</v>
      </c>
      <c r="J153" s="3">
        <v>66</v>
      </c>
      <c r="K153" s="3">
        <f>VLOOKUP($A153,'SegEnds_NonXtal_BW#'!$A:$Z,8,FALSE)+VLOOKUP($A153,A:AL,10,FALSE)-50</f>
        <v>84</v>
      </c>
      <c r="L153" s="3" t="str">
        <f>IF(ISERROR(VLOOKUP($A153,'SegEnds_NonXtal_BW#'!$A:$Z,9,FALSE)+VLOOKUP($A153,A:AL,13,FALSE)-50),"-",(VLOOKUP($A153,'SegEnds_NonXtal_BW#'!$A:$Z,9,FALSE)+VLOOKUP($A153,A:AL,13,FALSE)-50))</f>
        <v>-</v>
      </c>
      <c r="M153" s="3" t="s">
        <v>23</v>
      </c>
      <c r="N153" s="3" t="str">
        <f>IF(ISERROR(VLOOKUP($A153,'SegEnds_NonXtal_BW#'!$A:$Z,10,FALSE)+VLOOKUP($A153,A:AL,13,FALSE)-50),"-",(VLOOKUP($A153,'SegEnds_NonXtal_BW#'!$A:$Z,10,FALSE)+VLOOKUP($A153,A:AL,13,FALSE)-50))</f>
        <v>-</v>
      </c>
      <c r="O153" s="3">
        <f>VLOOKUP($A153,'SegEnds_NonXtal_BW#'!$A:$Z,11,FALSE)+VLOOKUP($A153,A:AL,16,FALSE)-50</f>
        <v>89</v>
      </c>
      <c r="P153" s="3">
        <v>118</v>
      </c>
      <c r="Q153" s="3">
        <f>VLOOKUP($A153,'SegEnds_NonXtal_BW#'!$A:$Z,12,FALSE)+VLOOKUP($A153,A:AL,16,FALSE)-50</f>
        <v>124</v>
      </c>
      <c r="R153" s="3">
        <f>IF(ISERROR(VLOOKUP($A153,'SegEnds_NonXtal_BW#'!$A:$Z,13,FALSE)+VLOOKUP($A153,A:AL,19,FALSE)-50),"-",VLOOKUP($A153,'SegEnds_NonXtal_BW#'!$A:$Z,13,FALSE)+VLOOKUP($A153,A:AL,19,FALSE)-50)</f>
        <v>125</v>
      </c>
      <c r="S153" s="3">
        <v>125</v>
      </c>
      <c r="T153" s="100">
        <f>IF(ISERROR(VLOOKUP($A153,'SegEnds_NonXtal_BW#'!$A:$Z,14,FALSE)+VLOOKUP($A153,A:AL,19,FALSE)-50),"-",(VLOOKUP($A153,'SegEnds_NonXtal_BW#'!$A:$Z,14,FALSE)+VLOOKUP($A153,A:AL,19,FALSE)-50))</f>
        <v>132</v>
      </c>
      <c r="U153" s="9">
        <f>IF(ISERROR(VLOOKUP($A153,'SegEnds_NonXtal_BW#'!$A:$Z,15,FALSE)+VLOOKUP($A153,A:AL,22,FALSE)-50),"-",VLOOKUP($A153,'SegEnds_NonXtal_BW#'!$A:$Z,15,FALSE)+VLOOKUP($A153,A:AL,22,FALSE)-50)</f>
        <v>133</v>
      </c>
      <c r="V153" s="3">
        <v>145</v>
      </c>
      <c r="W153" s="3">
        <f>IF(ISERROR(VLOOKUP($A153,'SegEnds_NonXtal_BW#'!$A:$Z,16,FALSE)+VLOOKUP($A153,A:AL,22,FALSE)-50),"-",(VLOOKUP($A153,'SegEnds_NonXtal_BW#'!$A:$Z,16,FALSE)+VLOOKUP($A153,A:AL,22,FALSE)-50))</f>
        <v>162</v>
      </c>
      <c r="X153" s="3">
        <f>IF(ISERROR(VLOOKUP($A153,'SegEnds_NonXtal_BW#'!$A:$Z,17,FALSE)+VLOOKUP($A153,A:AL,25,FALSE)-50),"-",(VLOOKUP($A153,'SegEnds_NonXtal_BW#'!$A:$Z,17,FALSE)+VLOOKUP($A153,A:AL,25,FALSE)-50))</f>
        <v>168</v>
      </c>
      <c r="Y153" s="3">
        <v>168</v>
      </c>
      <c r="Z153" s="3">
        <f>Y153+2</f>
        <v>170</v>
      </c>
      <c r="AA153" s="3">
        <f>IF(ISERROR(VLOOKUP($A153,'SegEnds_NonXtal_BW#'!$A:$Z,19,FALSE)+VLOOKUP($A153,A:AL,28,FALSE)-50),"-",(VLOOKUP($A153,'SegEnds_NonXtal_BW#'!$A:$Z,19,FALSE)+VLOOKUP($A153,A:AL,28,FALSE)-50))</f>
        <v>220</v>
      </c>
      <c r="AB153" s="3">
        <v>235</v>
      </c>
      <c r="AC153" s="3">
        <f>IF(ISERROR((VLOOKUP($A153,'SegEnds_NonXtal_BW#'!$A:$Z,20,FALSE)+VLOOKUP($A153,A:AL,28,FALSE)-50)),"-",(VLOOKUP($A153,'SegEnds_NonXtal_BW#'!$A:$Z,20,FALSE)+VLOOKUP($A153,A:AL,28,FALSE)-50))</f>
        <v>259</v>
      </c>
      <c r="AD153" s="3">
        <f>IF(ISERROR(VLOOKUP($A153,'SegEnds_NonXtal_BW#'!$A:$Z,21,FALSE)+VLOOKUP($A153,A:AL,31,FALSE)-50),"-",(VLOOKUP($A153,'SegEnds_NonXtal_BW#'!$A:$Z,21,FALSE)+VLOOKUP($A153,A:AL,31,FALSE)-50))</f>
        <v>308</v>
      </c>
      <c r="AE153" s="3">
        <v>334</v>
      </c>
      <c r="AF153" s="3">
        <f>IF(ISERROR((VLOOKUP($A153,'SegEnds_NonXtal_BW#'!$A:$Z,22,FALSE)+VLOOKUP($A153,A:AL,31,FALSE)-50)),"-",(VLOOKUP($A153,'SegEnds_NonXtal_BW#'!$A:$Z,22,FALSE)+VLOOKUP($A153,A:AL,31,FALSE)-50))</f>
        <v>345</v>
      </c>
      <c r="AG153" s="3">
        <f>IF(ISERROR(VLOOKUP($A153,'SegEnds_NonXtal_BW#'!$A:$Z,23,FALSE)+VLOOKUP($A153,A:AL,34,FALSE)-50),"-",(VLOOKUP($A153,'SegEnds_NonXtal_BW#'!$A:$Z,23,FALSE)+VLOOKUP($A153,A:AL,34,FALSE)-50))</f>
        <v>350</v>
      </c>
      <c r="AH153" s="3">
        <v>367</v>
      </c>
      <c r="AI153" s="3">
        <f>IF(ISERROR((VLOOKUP($A153,'SegEnds_NonXtal_BW#'!$A:$Z,24,FALSE)+VLOOKUP($A153,A:AL,34,FALSE)-50)),"-",(VLOOKUP($A153,'SegEnds_NonXtal_BW#'!$A:$Z,24,FALSE)+VLOOKUP($A153,A:AL,34,FALSE)-50))</f>
        <v>373</v>
      </c>
      <c r="AJ153" s="3">
        <f>IF(ISERROR(VLOOKUP($A153,'SegEnds_NonXtal_BW#'!$A:$Z,25,FALSE)+VLOOKUP($A153,A:AL,37,FALSE)-50),"-",(VLOOKUP($A153,'SegEnds_NonXtal_BW#'!$A:$Z,25,FALSE)+VLOOKUP($A153,A:AL,37,FALSE)-50))</f>
        <v>374</v>
      </c>
      <c r="AK153" s="3">
        <v>377</v>
      </c>
      <c r="AL153" s="3">
        <f>IF(ISERROR((VLOOKUP($A153,'SegEnds_NonXtal_BW#'!$A:$Z,26,FALSE)+VLOOKUP($A153,A:AL,37,FALSE)-50)),"-",(VLOOKUP($A153,'SegEnds_NonXtal_BW#'!$A:$Z,26,FALSE)+VLOOKUP($A153,A:AL,37,FALSE)-50))</f>
        <v>387</v>
      </c>
      <c r="AM153" s="28" t="str">
        <f>VLOOKUP(A153,Classification!A:B,2,FALSE)</f>
        <v>A</v>
      </c>
      <c r="AN153" s="28" t="b">
        <f t="shared" si="98"/>
        <v>1</v>
      </c>
      <c r="AO153" s="3" t="str">
        <f>IF(ISERROR(MATCH(A153,'SegEnds_Xtal_Prot#'!B:B, 0)), "NoXtal", "Xtal")</f>
        <v>NoXtal</v>
      </c>
      <c r="AP153" s="3">
        <f t="shared" si="81"/>
        <v>1</v>
      </c>
      <c r="AQ153" s="3">
        <f t="shared" si="82"/>
        <v>1</v>
      </c>
      <c r="AR153" s="3" t="str">
        <f t="shared" si="83"/>
        <v>-</v>
      </c>
      <c r="AS153" s="3" t="str">
        <f t="shared" si="84"/>
        <v>-</v>
      </c>
      <c r="AT153" s="3">
        <f t="shared" si="85"/>
        <v>1</v>
      </c>
      <c r="AU153" s="3">
        <f t="shared" si="86"/>
        <v>1</v>
      </c>
      <c r="AV153" s="3">
        <f t="shared" si="87"/>
        <v>6</v>
      </c>
      <c r="AW153" s="3">
        <f t="shared" si="88"/>
        <v>50</v>
      </c>
      <c r="AX153" s="3">
        <f t="shared" si="89"/>
        <v>49</v>
      </c>
      <c r="AY153" s="3">
        <f t="shared" si="90"/>
        <v>5</v>
      </c>
      <c r="AZ153" s="3">
        <f t="shared" si="91"/>
        <v>1</v>
      </c>
      <c r="BA153" s="3">
        <f>IF(ISERROR(LEN(VLOOKUP(A153,Seqs!A:E,2,FALSE))-AL153),"-",LEN(VLOOKUP(A153,Seqs!A:E,2,FALSE))-AL153)</f>
        <v>9</v>
      </c>
      <c r="BB153" s="16">
        <f t="shared" si="92"/>
        <v>28</v>
      </c>
      <c r="BC153" s="9">
        <f t="shared" si="93"/>
        <v>20</v>
      </c>
      <c r="BD153" s="3">
        <f t="shared" si="94"/>
        <v>28</v>
      </c>
      <c r="BE153" s="3">
        <f t="shared" si="95"/>
        <v>99</v>
      </c>
      <c r="BF153" s="3">
        <f>AH153-AE153</f>
        <v>33</v>
      </c>
    </row>
    <row r="154" spans="1:58" s="3" customFormat="1" x14ac:dyDescent="0.2">
      <c r="A154" s="3" t="s">
        <v>271</v>
      </c>
      <c r="B154" s="3" t="str">
        <f>LOWER(VLOOKUP(A154,Xtal_Templ!A:B,2,FALSE))</f>
        <v>5ht2c_human</v>
      </c>
      <c r="C154" s="3">
        <f>VLOOKUP($A154,'SegEnds_NonXtal_BW#'!$A:$Z,3,FALSE)+D154-50</f>
        <v>21</v>
      </c>
      <c r="D154" s="3">
        <v>38</v>
      </c>
      <c r="E154" s="3">
        <f>IF(ISERROR(VLOOKUP($A154,'SegEnds_NonXtal_BW#'!$A:$Z,4,FALSE)+VLOOKUP($A154,A:AL,4,FALSE)-50),"-",(VLOOKUP($A154,'SegEnds_NonXtal_BW#'!$A:$Z,4,FALSE)+VLOOKUP($A154,A:AL,4,FALSE)-50))</f>
        <v>48</v>
      </c>
      <c r="F154" s="3">
        <f>G154-2</f>
        <v>49</v>
      </c>
      <c r="G154" s="3">
        <v>51</v>
      </c>
      <c r="H154" s="3">
        <f>G154+1</f>
        <v>52</v>
      </c>
      <c r="I154" s="3">
        <f>H154+1</f>
        <v>53</v>
      </c>
      <c r="J154" s="3">
        <v>66</v>
      </c>
      <c r="K154" s="3">
        <f>VLOOKUP($A154,'SegEnds_NonXtal_BW#'!$A:$Z,8,FALSE)+VLOOKUP($A154,A:AL,10,FALSE)-50</f>
        <v>84</v>
      </c>
      <c r="L154" s="3">
        <f>M154-1</f>
        <v>86</v>
      </c>
      <c r="M154" s="3">
        <v>87</v>
      </c>
      <c r="N154" s="3">
        <f>M154+2</f>
        <v>89</v>
      </c>
      <c r="O154" s="3">
        <f>N154+1</f>
        <v>90</v>
      </c>
      <c r="P154" s="3">
        <v>119</v>
      </c>
      <c r="Q154" s="3">
        <f>VLOOKUP($A154,'SegEnds_NonXtal_BW#'!$A:$Z,12,FALSE)+VLOOKUP($A154,A:AL,16,FALSE)-50</f>
        <v>125</v>
      </c>
      <c r="R154" s="3">
        <f>IF(ISERROR(VLOOKUP($A154,'SegEnds_NonXtal_BW#'!$A:$Z,13,FALSE)+VLOOKUP($A154,A:AL,19,FALSE)-50),"-",VLOOKUP($A154,'SegEnds_NonXtal_BW#'!$A:$Z,13,FALSE)+VLOOKUP($A154,A:AL,19,FALSE)-50)</f>
        <v>126</v>
      </c>
      <c r="S154" s="3">
        <v>126</v>
      </c>
      <c r="T154" s="100">
        <f>IF(ISERROR(VLOOKUP($A154,'SegEnds_NonXtal_BW#'!$A:$Z,14,FALSE)+VLOOKUP($A154,A:AL,19,FALSE)-50),"-",(VLOOKUP($A154,'SegEnds_NonXtal_BW#'!$A:$Z,14,FALSE)+VLOOKUP($A154,A:AL,19,FALSE)-50))</f>
        <v>133</v>
      </c>
      <c r="U154" s="9">
        <f>IF(ISERROR(VLOOKUP($A154,'SegEnds_NonXtal_BW#'!$A:$Z,15,FALSE)+VLOOKUP($A154,A:AL,22,FALSE)-50),"-",VLOOKUP($A154,'SegEnds_NonXtal_BW#'!$A:$Z,15,FALSE)+VLOOKUP($A154,A:AL,22,FALSE)-50)</f>
        <v>134</v>
      </c>
      <c r="V154" s="3">
        <v>146</v>
      </c>
      <c r="W154" s="3">
        <f>IF(ISERROR(VLOOKUP($A154,'SegEnds_NonXtal_BW#'!$A:$Z,16,FALSE)+VLOOKUP($A154,A:AL,22,FALSE)-50),"-",(VLOOKUP($A154,'SegEnds_NonXtal_BW#'!$A:$Z,16,FALSE)+VLOOKUP($A154,A:AL,22,FALSE)-50))</f>
        <v>163</v>
      </c>
      <c r="X154" s="3">
        <f>IF(ISERROR(VLOOKUP($A154,'SegEnds_NonXtal_BW#'!$A:$Z,17,FALSE)+VLOOKUP($A154,A:AL,25,FALSE)-50),"-",(VLOOKUP($A154,'SegEnds_NonXtal_BW#'!$A:$Z,17,FALSE)+VLOOKUP($A154,A:AL,25,FALSE)-50))</f>
        <v>172</v>
      </c>
      <c r="Y154" s="3">
        <v>172</v>
      </c>
      <c r="Z154" s="3">
        <f>Y154+2</f>
        <v>174</v>
      </c>
      <c r="AA154" s="3">
        <f>IF(ISERROR(VLOOKUP($A154,'SegEnds_NonXtal_BW#'!$A:$Z,19,FALSE)+VLOOKUP($A154,A:AL,28,FALSE)-50),"-",(VLOOKUP($A154,'SegEnds_NonXtal_BW#'!$A:$Z,19,FALSE)+VLOOKUP($A154,A:AL,28,FALSE)-50))</f>
        <v>218</v>
      </c>
      <c r="AB154" s="3">
        <v>233</v>
      </c>
      <c r="AC154" s="3">
        <f>IF(ISERROR((VLOOKUP($A154,'SegEnds_NonXtal_BW#'!$A:$Z,20,FALSE)+VLOOKUP($A154,A:AL,28,FALSE)-50)),"-",(VLOOKUP($A154,'SegEnds_NonXtal_BW#'!$A:$Z,20,FALSE)+VLOOKUP($A154,A:AL,28,FALSE)-50))</f>
        <v>259</v>
      </c>
      <c r="AD154" s="3">
        <f>IF(ISERROR(VLOOKUP($A154,'SegEnds_NonXtal_BW#'!$A:$Z,21,FALSE)+VLOOKUP($A154,A:AL,31,FALSE)-50),"-",(VLOOKUP($A154,'SegEnds_NonXtal_BW#'!$A:$Z,21,FALSE)+VLOOKUP($A154,A:AL,31,FALSE)-50))</f>
        <v>274</v>
      </c>
      <c r="AE154" s="3">
        <v>300</v>
      </c>
      <c r="AF154" s="3">
        <f>IF(ISERROR((VLOOKUP($A154,'SegEnds_NonXtal_BW#'!$A:$Z,22,FALSE)+VLOOKUP($A154,A:AL,31,FALSE)-50)),"-",(VLOOKUP($A154,'SegEnds_NonXtal_BW#'!$A:$Z,22,FALSE)+VLOOKUP($A154,A:AL,31,FALSE)-50))</f>
        <v>311</v>
      </c>
      <c r="AG154" s="3">
        <f>IF(ISERROR(VLOOKUP($A154,'SegEnds_NonXtal_BW#'!$A:$Z,23,FALSE)+VLOOKUP($A154,A:AL,34,FALSE)-50),"-",(VLOOKUP($A154,'SegEnds_NonXtal_BW#'!$A:$Z,23,FALSE)+VLOOKUP($A154,A:AL,34,FALSE)-50))</f>
        <v>317</v>
      </c>
      <c r="AH154" s="3">
        <v>336</v>
      </c>
      <c r="AI154" s="3">
        <f>IF(ISERROR((VLOOKUP($A154,'SegEnds_NonXtal_BW#'!$A:$Z,24,FALSE)+VLOOKUP($A154,A:AL,34,FALSE)-50)),"-",(VLOOKUP($A154,'SegEnds_NonXtal_BW#'!$A:$Z,24,FALSE)+VLOOKUP($A154,A:AL,34,FALSE)-50))</f>
        <v>342</v>
      </c>
      <c r="AJ154" s="3">
        <f>IF(ISERROR(VLOOKUP($A154,'SegEnds_NonXtal_BW#'!$A:$Z,25,FALSE)+VLOOKUP($A154,A:AL,37,FALSE)-50),"-",(VLOOKUP($A154,'SegEnds_NonXtal_BW#'!$A:$Z,25,FALSE)+VLOOKUP($A154,A:AL,37,FALSE)-50))</f>
        <v>343</v>
      </c>
      <c r="AK154" s="3">
        <v>346</v>
      </c>
      <c r="AL154" s="3">
        <f>IF(ISERROR((VLOOKUP($A154,'SegEnds_NonXtal_BW#'!$A:$Z,26,FALSE)+VLOOKUP($A154,A:AL,37,FALSE)-50)),"-",(VLOOKUP($A154,'SegEnds_NonXtal_BW#'!$A:$Z,26,FALSE)+VLOOKUP($A154,A:AL,37,FALSE)-50))</f>
        <v>356</v>
      </c>
      <c r="AM154" s="28" t="str">
        <f>VLOOKUP(A154,Classification!A:B,2,FALSE)</f>
        <v>A</v>
      </c>
      <c r="AN154" s="28" t="b">
        <f t="shared" si="98"/>
        <v>1</v>
      </c>
      <c r="AO154" s="3" t="str">
        <f>IF(ISERROR(MATCH(A154,'SegEnds_Xtal_Prot#'!B:B, 0)), "NoXtal", "Xtal")</f>
        <v>NoXtal</v>
      </c>
      <c r="AP154" s="3">
        <f t="shared" si="81"/>
        <v>1</v>
      </c>
      <c r="AQ154" s="3">
        <f t="shared" si="82"/>
        <v>1</v>
      </c>
      <c r="AR154" s="3">
        <f t="shared" si="83"/>
        <v>2</v>
      </c>
      <c r="AS154" s="3">
        <f t="shared" si="84"/>
        <v>1</v>
      </c>
      <c r="AT154" s="3">
        <f t="shared" si="85"/>
        <v>1</v>
      </c>
      <c r="AU154" s="3">
        <f t="shared" si="86"/>
        <v>1</v>
      </c>
      <c r="AV154" s="3">
        <f t="shared" si="87"/>
        <v>9</v>
      </c>
      <c r="AW154" s="3">
        <f t="shared" si="88"/>
        <v>44</v>
      </c>
      <c r="AX154" s="3">
        <f t="shared" si="89"/>
        <v>15</v>
      </c>
      <c r="AY154" s="3">
        <f t="shared" si="90"/>
        <v>6</v>
      </c>
      <c r="AZ154" s="3">
        <f t="shared" si="91"/>
        <v>1</v>
      </c>
      <c r="BA154" s="3">
        <f>IF(ISERROR(LEN(VLOOKUP(A154,Seqs!A:E,2,FALSE))-AL154),"-",LEN(VLOOKUP(A154,Seqs!A:E,2,FALSE))-AL154)</f>
        <v>14</v>
      </c>
      <c r="BB154" s="16">
        <f t="shared" si="92"/>
        <v>28</v>
      </c>
      <c r="BC154" s="9">
        <f t="shared" si="93"/>
        <v>20</v>
      </c>
      <c r="BD154" s="3">
        <f t="shared" si="94"/>
        <v>28</v>
      </c>
      <c r="BE154" s="3">
        <f t="shared" si="95"/>
        <v>67</v>
      </c>
      <c r="BF154" s="3">
        <f>AH154-AE154</f>
        <v>36</v>
      </c>
    </row>
    <row r="155" spans="1:58" s="3" customFormat="1" x14ac:dyDescent="0.2">
      <c r="A155" s="3" t="s">
        <v>272</v>
      </c>
      <c r="B155" s="3" t="str">
        <f>LOWER(VLOOKUP(A155,Xtal_Templ!A:B,2,FALSE))</f>
        <v>p2y12_human</v>
      </c>
      <c r="C155" s="3">
        <f>VLOOKUP($A155,'SegEnds_NonXtal_BW#'!$A:$Z,3,FALSE)+D155-50</f>
        <v>38</v>
      </c>
      <c r="D155" s="3">
        <v>60</v>
      </c>
      <c r="E155" s="3">
        <f>IF(ISERROR(VLOOKUP($A155,'SegEnds_NonXtal_BW#'!$A:$Z,4,FALSE)+VLOOKUP($A155,A:AL,4,FALSE)-50),"-",(VLOOKUP($A155,'SegEnds_NonXtal_BW#'!$A:$Z,4,FALSE)+VLOOKUP($A155,A:AL,4,FALSE)-50))</f>
        <v>70</v>
      </c>
      <c r="F155" s="3" t="str">
        <f>IF(ISERROR(VLOOKUP($A155,'SegEnds_NonXtal_BW#'!$A:$Z,5,FALSE)+VLOOKUP($A155,A:AL,7,FALSE)-50),"-",(VLOOKUP($A155,'SegEnds_NonXtal_BW#'!$A:$Z,5,FALSE)+VLOOKUP($A155,A:AL,7,FALSE)-50))</f>
        <v>-</v>
      </c>
      <c r="G155" s="3" t="s">
        <v>23</v>
      </c>
      <c r="H155" s="3" t="str">
        <f>IF(ISERROR(VLOOKUP($A155,'SegEnds_NonXtal_BW#'!$A:$Z,6,FALSE)+VLOOKUP($A155,A:AL,7,FALSE)-50),"-",(VLOOKUP($A155,'SegEnds_NonXtal_BW#'!$A:$Z,6,FALSE)+VLOOKUP($A155,A:AL,7,FALSE)-50))</f>
        <v>-</v>
      </c>
      <c r="I155" s="3">
        <f>VLOOKUP($A155,'SegEnds_NonXtal_BW#'!$A:$Z,7,FALSE)+J155-50</f>
        <v>74</v>
      </c>
      <c r="J155" s="3">
        <v>87</v>
      </c>
      <c r="K155" s="3">
        <f>VLOOKUP($A155,'SegEnds_NonXtal_BW#'!$A:$Z,8,FALSE)+VLOOKUP($A155,A:AL,10,FALSE)-50</f>
        <v>103</v>
      </c>
      <c r="L155" s="3">
        <f>M155-1</f>
        <v>106</v>
      </c>
      <c r="M155" s="3">
        <v>107</v>
      </c>
      <c r="N155" s="3">
        <f>M155+2</f>
        <v>109</v>
      </c>
      <c r="O155" s="3">
        <f>N155+1</f>
        <v>110</v>
      </c>
      <c r="P155" s="3">
        <v>139</v>
      </c>
      <c r="Q155" s="3">
        <f>VLOOKUP($A155,'SegEnds_NonXtal_BW#'!$A:$Z,12,FALSE)+VLOOKUP($A155,A:AL,16,FALSE)-50</f>
        <v>145</v>
      </c>
      <c r="R155" s="3">
        <f>IF(ISERROR(VLOOKUP($A155,'SegEnds_NonXtal_BW#'!$A:$Z,13,FALSE)+VLOOKUP($A155,A:AL,19,FALSE)-50),"-",VLOOKUP($A155,'SegEnds_NonXtal_BW#'!$A:$Z,13,FALSE)+VLOOKUP($A155,A:AL,19,FALSE)-50)</f>
        <v>146</v>
      </c>
      <c r="S155" s="3">
        <v>146</v>
      </c>
      <c r="T155" s="100">
        <f>IF(ISERROR(VLOOKUP($A155,'SegEnds_NonXtal_BW#'!$A:$Z,14,FALSE)+VLOOKUP($A155,A:AL,19,FALSE)-50),"-",(VLOOKUP($A155,'SegEnds_NonXtal_BW#'!$A:$Z,14,FALSE)+VLOOKUP($A155,A:AL,19,FALSE)-50))</f>
        <v>153</v>
      </c>
      <c r="U155" s="9">
        <f>IF(ISERROR(VLOOKUP($A155,'SegEnds_NonXtal_BW#'!$A:$Z,15,FALSE)+VLOOKUP($A155,A:AL,22,FALSE)-50),"-",VLOOKUP($A155,'SegEnds_NonXtal_BW#'!$A:$Z,15,FALSE)+VLOOKUP($A155,A:AL,22,FALSE)-50)</f>
        <v>154</v>
      </c>
      <c r="V155" s="3">
        <v>166</v>
      </c>
      <c r="W155" s="3">
        <f>IF(ISERROR(VLOOKUP($A155,'SegEnds_NonXtal_BW#'!$A:$Z,16,FALSE)+VLOOKUP($A155,A:AL,22,FALSE)-50),"-",(VLOOKUP($A155,'SegEnds_NonXtal_BW#'!$A:$Z,16,FALSE)+VLOOKUP($A155,A:AL,22,FALSE)-50))</f>
        <v>180</v>
      </c>
      <c r="X155" s="3">
        <f>IF(ISERROR(VLOOKUP($A155,'SegEnds_NonXtal_BW#'!$A:$Z,17,FALSE)+VLOOKUP($A155,A:AL,25,FALSE)-50),"-",(VLOOKUP($A155,'SegEnds_NonXtal_BW#'!$A:$Z,17,FALSE)+VLOOKUP($A155,A:AL,25,FALSE)-50))</f>
        <v>192</v>
      </c>
      <c r="Y155" s="3">
        <v>192</v>
      </c>
      <c r="Z155" s="3">
        <f>Y155+2</f>
        <v>194</v>
      </c>
      <c r="AA155" s="3">
        <f>IF(ISERROR(VLOOKUP($A155,'SegEnds_NonXtal_BW#'!$A:$Z,19,FALSE)+VLOOKUP($A155,A:AL,28,FALSE)-50),"-",(VLOOKUP($A155,'SegEnds_NonXtal_BW#'!$A:$Z,19,FALSE)+VLOOKUP($A155,A:AL,28,FALSE)-50))</f>
        <v>198</v>
      </c>
      <c r="AB155" s="3">
        <v>218</v>
      </c>
      <c r="AC155" s="3">
        <f>IF(ISERROR((VLOOKUP($A155,'SegEnds_NonXtal_BW#'!$A:$Z,20,FALSE)+VLOOKUP($A155,A:AL,28,FALSE)-50)),"-",(VLOOKUP($A155,'SegEnds_NonXtal_BW#'!$A:$Z,20,FALSE)+VLOOKUP($A155,A:AL,28,FALSE)-50))</f>
        <v>236</v>
      </c>
      <c r="AD155" s="3">
        <f>IF(ISERROR(VLOOKUP($A155,'SegEnds_NonXtal_BW#'!$A:$Z,21,FALSE)+VLOOKUP($A155,A:AL,31,FALSE)-50),"-",(VLOOKUP($A155,'SegEnds_NonXtal_BW#'!$A:$Z,21,FALSE)+VLOOKUP($A155,A:AL,31,FALSE)-50))</f>
        <v>241</v>
      </c>
      <c r="AE155" s="3">
        <v>267</v>
      </c>
      <c r="AF155" s="3">
        <f>IF(ISERROR((VLOOKUP($A155,'SegEnds_NonXtal_BW#'!$A:$Z,22,FALSE)+VLOOKUP($A155,A:AL,31,FALSE)-50)),"-",(VLOOKUP($A155,'SegEnds_NonXtal_BW#'!$A:$Z,22,FALSE)+VLOOKUP($A155,A:AL,31,FALSE)-50))</f>
        <v>281</v>
      </c>
      <c r="AG155" s="3">
        <f>IF(ISERROR(VLOOKUP($A155,'SegEnds_NonXtal_BW#'!$A:$Z,23,FALSE)+VLOOKUP($A155,A:AL,34,FALSE)-50),"-",(VLOOKUP($A155,'SegEnds_NonXtal_BW#'!$A:$Z,23,FALSE)+VLOOKUP($A155,A:AL,34,FALSE)-50))</f>
        <v>285</v>
      </c>
      <c r="AH155" s="3">
        <v>311</v>
      </c>
      <c r="AI155" s="3">
        <f>IF(ISERROR((VLOOKUP($A155,'SegEnds_NonXtal_BW#'!$A:$Z,24,FALSE)+VLOOKUP($A155,A:AL,34,FALSE)-50)),"-",(VLOOKUP($A155,'SegEnds_NonXtal_BW#'!$A:$Z,24,FALSE)+VLOOKUP($A155,A:AL,34,FALSE)-50))</f>
        <v>317</v>
      </c>
      <c r="AJ155" s="3">
        <f>IF(ISERROR(VLOOKUP($A155,'SegEnds_NonXtal_BW#'!$A:$Z,25,FALSE)+VLOOKUP($A155,A:AL,37,FALSE)-50),"-",(VLOOKUP($A155,'SegEnds_NonXtal_BW#'!$A:$Z,25,FALSE)+VLOOKUP($A155,A:AL,37,FALSE)-50))</f>
        <v>318</v>
      </c>
      <c r="AK155" s="3">
        <v>321</v>
      </c>
      <c r="AL155" s="3">
        <f>IF(ISERROR((VLOOKUP($A155,'SegEnds_NonXtal_BW#'!$A:$Z,26,FALSE)+VLOOKUP($A155,A:AL,37,FALSE)-50)),"-",(VLOOKUP($A155,'SegEnds_NonXtal_BW#'!$A:$Z,26,FALSE)+VLOOKUP($A155,A:AL,37,FALSE)-50))</f>
        <v>328</v>
      </c>
      <c r="AM155" s="28" t="str">
        <f>VLOOKUP(A155,Classification!A:B,2,FALSE)</f>
        <v>A</v>
      </c>
      <c r="AN155" s="28" t="b">
        <f t="shared" si="98"/>
        <v>1</v>
      </c>
      <c r="AO155" s="3" t="str">
        <f>IF(ISERROR(MATCH(A155,'SegEnds_Xtal_Prot#'!B:B, 0)), "NoXtal", "Xtal")</f>
        <v>NoXtal</v>
      </c>
      <c r="AP155" s="3" t="str">
        <f t="shared" si="81"/>
        <v>-</v>
      </c>
      <c r="AQ155" s="3" t="str">
        <f t="shared" si="82"/>
        <v>-</v>
      </c>
      <c r="AR155" s="3">
        <f t="shared" si="83"/>
        <v>3</v>
      </c>
      <c r="AS155" s="3">
        <f t="shared" si="84"/>
        <v>1</v>
      </c>
      <c r="AT155" s="3">
        <f t="shared" si="85"/>
        <v>1</v>
      </c>
      <c r="AU155" s="3">
        <f t="shared" si="86"/>
        <v>1</v>
      </c>
      <c r="AV155" s="3">
        <f t="shared" si="87"/>
        <v>12</v>
      </c>
      <c r="AW155" s="3">
        <f t="shared" si="88"/>
        <v>4</v>
      </c>
      <c r="AX155" s="3">
        <f t="shared" si="89"/>
        <v>5</v>
      </c>
      <c r="AY155" s="3">
        <f t="shared" si="90"/>
        <v>4</v>
      </c>
      <c r="AZ155" s="3">
        <f t="shared" si="91"/>
        <v>1</v>
      </c>
      <c r="BA155" s="3">
        <f>IF(ISERROR(LEN(VLOOKUP(A155,Seqs!A:E,2,FALSE))-AL155),"-",LEN(VLOOKUP(A155,Seqs!A:E,2,FALSE))-AL155)</f>
        <v>30</v>
      </c>
      <c r="BB155" s="16">
        <f t="shared" si="92"/>
        <v>27</v>
      </c>
      <c r="BC155" s="9">
        <f t="shared" si="93"/>
        <v>20</v>
      </c>
      <c r="BD155" s="3">
        <f t="shared" si="94"/>
        <v>27</v>
      </c>
      <c r="BE155" s="3">
        <f t="shared" si="95"/>
        <v>49</v>
      </c>
    </row>
    <row r="156" spans="1:58" s="3" customFormat="1" x14ac:dyDescent="0.2">
      <c r="A156" s="3" t="s">
        <v>273</v>
      </c>
      <c r="B156" s="3" t="str">
        <f>LOWER(VLOOKUP(A156,Xtal_Templ!A:B,2,FALSE))</f>
        <v>ox1r_human</v>
      </c>
      <c r="C156" s="3">
        <f>VLOOKUP($A156,'SegEnds_NonXtal_BW#'!$A:$Z,3,FALSE)+D156-50</f>
        <v>31</v>
      </c>
      <c r="D156" s="3">
        <v>49</v>
      </c>
      <c r="E156" s="3">
        <f>IF(ISERROR(VLOOKUP($A156,'SegEnds_NonXtal_BW#'!$A:$Z,4,FALSE)+VLOOKUP($A156,A:AL,4,FALSE)-50),"-",(VLOOKUP($A156,'SegEnds_NonXtal_BW#'!$A:$Z,4,FALSE)+VLOOKUP($A156,A:AL,4,FALSE)-50))</f>
        <v>59</v>
      </c>
      <c r="F156" s="3">
        <f>G156-2</f>
        <v>60</v>
      </c>
      <c r="G156" s="3">
        <v>62</v>
      </c>
      <c r="H156" s="3">
        <f>G156+1</f>
        <v>63</v>
      </c>
      <c r="I156" s="3">
        <f>H156+1</f>
        <v>64</v>
      </c>
      <c r="J156" s="3">
        <v>77</v>
      </c>
      <c r="K156" s="3">
        <f>VLOOKUP($A156,'SegEnds_NonXtal_BW#'!$A:$Z,8,FALSE)+VLOOKUP($A156,A:AL,10,FALSE)-50</f>
        <v>94</v>
      </c>
      <c r="L156" s="3" t="str">
        <f>IF(ISERROR(VLOOKUP($A156,'SegEnds_NonXtal_BW#'!$A:$Z,9,FALSE)+VLOOKUP($A156,A:AL,13,FALSE)-50),"-",(VLOOKUP($A156,'SegEnds_NonXtal_BW#'!$A:$Z,9,FALSE)+VLOOKUP($A156,A:AL,13,FALSE)-50))</f>
        <v>-</v>
      </c>
      <c r="M156" s="3" t="s">
        <v>23</v>
      </c>
      <c r="N156" s="3" t="str">
        <f>IF(ISERROR(VLOOKUP($A156,'SegEnds_NonXtal_BW#'!$A:$Z,10,FALSE)+VLOOKUP($A156,A:AL,13,FALSE)-50),"-",(VLOOKUP($A156,'SegEnds_NonXtal_BW#'!$A:$Z,10,FALSE)+VLOOKUP($A156,A:AL,13,FALSE)-50))</f>
        <v>-</v>
      </c>
      <c r="O156" s="3">
        <f>VLOOKUP($A156,'SegEnds_NonXtal_BW#'!$A:$Z,11,FALSE)+VLOOKUP($A156,A:AL,16,FALSE)-50</f>
        <v>106</v>
      </c>
      <c r="P156" s="3">
        <v>138</v>
      </c>
      <c r="Q156" s="3">
        <f>VLOOKUP($A156,'SegEnds_NonXtal_BW#'!$A:$Z,12,FALSE)+VLOOKUP($A156,A:AL,16,FALSE)-50</f>
        <v>144</v>
      </c>
      <c r="R156" s="3">
        <f>IF(ISERROR(VLOOKUP($A156,'SegEnds_NonXtal_BW#'!$A:$Z,13,FALSE)+VLOOKUP($A156,A:AL,19,FALSE)-50),"-",VLOOKUP($A156,'SegEnds_NonXtal_BW#'!$A:$Z,13,FALSE)+VLOOKUP($A156,A:AL,19,FALSE)-50)</f>
        <v>146</v>
      </c>
      <c r="S156" s="3">
        <v>146</v>
      </c>
      <c r="T156" s="100">
        <f>IF(ISERROR(VLOOKUP($A156,'SegEnds_NonXtal_BW#'!$A:$Z,14,FALSE)+VLOOKUP($A156,A:AL,19,FALSE)-50),"-",(VLOOKUP($A156,'SegEnds_NonXtal_BW#'!$A:$Z,14,FALSE)+VLOOKUP($A156,A:AL,19,FALSE)-50))</f>
        <v>153</v>
      </c>
      <c r="U156" s="9">
        <f>IF(ISERROR(VLOOKUP($A156,'SegEnds_NonXtal_BW#'!$A:$Z,15,FALSE)+VLOOKUP($A156,A:AL,22,FALSE)-50),"-",VLOOKUP($A156,'SegEnds_NonXtal_BW#'!$A:$Z,15,FALSE)+VLOOKUP($A156,A:AL,22,FALSE)-50)</f>
        <v>154</v>
      </c>
      <c r="V156" s="3">
        <v>166</v>
      </c>
      <c r="W156" s="3">
        <f>IF(ISERROR(VLOOKUP($A156,'SegEnds_NonXtal_BW#'!$A:$Z,16,FALSE)+VLOOKUP($A156,A:AL,22,FALSE)-50),"-",(VLOOKUP($A156,'SegEnds_NonXtal_BW#'!$A:$Z,16,FALSE)+VLOOKUP($A156,A:AL,22,FALSE)-50))</f>
        <v>180</v>
      </c>
      <c r="X156" s="3" t="str">
        <f>IF(ISERROR(VLOOKUP($A156,'SegEnds_NonXtal_BW#'!$A:$Z,17,FALSE)+VLOOKUP($A156,A:AL,25,FALSE)-50),"-",(VLOOKUP($A156,'SegEnds_NonXtal_BW#'!$A:$Z,17,FALSE)+VLOOKUP($A156,A:AL,25,FALSE)-50))</f>
        <v>-</v>
      </c>
      <c r="Y156" s="3" t="s">
        <v>23</v>
      </c>
      <c r="Z156" s="3" t="str">
        <f>IF(ISERROR(VLOOKUP($A156,'SegEnds_NonXtal_BW#'!$A:$Z,18,FALSE)+VLOOKUP($A156,A:AL,25,FALSE)-50),"-",(VLOOKUP($A156,'SegEnds_NonXtal_BW#'!$A:$Z,18,FALSE)+VLOOKUP($A156,A:AL,25,FALSE)-50))</f>
        <v>-</v>
      </c>
      <c r="AA156" s="3">
        <f>IF(ISERROR(VLOOKUP($A156,'SegEnds_NonXtal_BW#'!$A:$Z,19,FALSE)+VLOOKUP($A156,A:AL,28,FALSE)-50),"-",(VLOOKUP($A156,'SegEnds_NonXtal_BW#'!$A:$Z,19,FALSE)+VLOOKUP($A156,A:AL,28,FALSE)-50))</f>
        <v>223</v>
      </c>
      <c r="AB156" s="3">
        <v>238</v>
      </c>
      <c r="AC156" s="3">
        <f>IF(ISERROR((VLOOKUP($A156,'SegEnds_NonXtal_BW#'!$A:$Z,20,FALSE)+VLOOKUP($A156,A:AL,28,FALSE)-50)),"-",(VLOOKUP($A156,'SegEnds_NonXtal_BW#'!$A:$Z,20,FALSE)+VLOOKUP($A156,A:AL,28,FALSE)-50))</f>
        <v>262</v>
      </c>
      <c r="AD156" s="3">
        <f>IF(ISERROR(VLOOKUP($A156,'SegEnds_NonXtal_BW#'!$A:$Z,21,FALSE)+VLOOKUP($A156,A:AL,31,FALSE)-50),"-",(VLOOKUP($A156,'SegEnds_NonXtal_BW#'!$A:$Z,21,FALSE)+VLOOKUP($A156,A:AL,31,FALSE)-50))</f>
        <v>270</v>
      </c>
      <c r="AE156" s="3">
        <v>299</v>
      </c>
      <c r="AF156" s="3">
        <f>IF(ISERROR((VLOOKUP($A156,'SegEnds_NonXtal_BW#'!$A:$Z,22,FALSE)+VLOOKUP($A156,A:AL,31,FALSE)-50)),"-",(VLOOKUP($A156,'SegEnds_NonXtal_BW#'!$A:$Z,22,FALSE)+VLOOKUP($A156,A:AL,31,FALSE)-50))</f>
        <v>310</v>
      </c>
      <c r="AG156" s="3">
        <f>IF(ISERROR(VLOOKUP($A156,'SegEnds_NonXtal_BW#'!$A:$Z,23,FALSE)+VLOOKUP($A156,A:AL,34,FALSE)-50),"-",(VLOOKUP($A156,'SegEnds_NonXtal_BW#'!$A:$Z,23,FALSE)+VLOOKUP($A156,A:AL,34,FALSE)-50))</f>
        <v>315</v>
      </c>
      <c r="AH156" s="3">
        <v>333</v>
      </c>
      <c r="AI156" s="3">
        <f>IF(ISERROR((VLOOKUP($A156,'SegEnds_NonXtal_BW#'!$A:$Z,24,FALSE)+VLOOKUP($A156,A:AL,34,FALSE)-50)),"-",(VLOOKUP($A156,'SegEnds_NonXtal_BW#'!$A:$Z,24,FALSE)+VLOOKUP($A156,A:AL,34,FALSE)-50))</f>
        <v>339</v>
      </c>
      <c r="AJ156" s="3">
        <f>IF(ISERROR(VLOOKUP($A156,'SegEnds_NonXtal_BW#'!$A:$Z,25,FALSE)+VLOOKUP($A156,A:AL,37,FALSE)-50),"-",(VLOOKUP($A156,'SegEnds_NonXtal_BW#'!$A:$Z,25,FALSE)+VLOOKUP($A156,A:AL,37,FALSE)-50))</f>
        <v>340</v>
      </c>
      <c r="AK156" s="3">
        <v>343</v>
      </c>
      <c r="AL156" s="3">
        <f>IF(ISERROR((VLOOKUP($A156,'SegEnds_NonXtal_BW#'!$A:$Z,26,FALSE)+VLOOKUP($A156,A:AL,37,FALSE)-50)),"-",(VLOOKUP($A156,'SegEnds_NonXtal_BW#'!$A:$Z,26,FALSE)+VLOOKUP($A156,A:AL,37,FALSE)-50))</f>
        <v>351</v>
      </c>
      <c r="AM156" s="28" t="str">
        <f>VLOOKUP(A156,Classification!A:B,2,FALSE)</f>
        <v>A</v>
      </c>
      <c r="AN156" s="28" t="b">
        <f t="shared" si="98"/>
        <v>1</v>
      </c>
      <c r="AO156" s="3" t="str">
        <f>IF(ISERROR(MATCH(A156,'SegEnds_Xtal_Prot#'!B:B, 0)), "NoXtal", "Xtal")</f>
        <v>NoXtal</v>
      </c>
      <c r="AP156" s="3">
        <f t="shared" si="81"/>
        <v>1</v>
      </c>
      <c r="AQ156" s="3">
        <f t="shared" si="82"/>
        <v>1</v>
      </c>
      <c r="AR156" s="3" t="str">
        <f t="shared" si="83"/>
        <v>-</v>
      </c>
      <c r="AS156" s="3" t="str">
        <f t="shared" si="84"/>
        <v>-</v>
      </c>
      <c r="AT156" s="3">
        <f t="shared" si="85"/>
        <v>2</v>
      </c>
      <c r="AU156" s="3">
        <f t="shared" si="86"/>
        <v>1</v>
      </c>
      <c r="AV156" s="3" t="str">
        <f t="shared" si="87"/>
        <v>-</v>
      </c>
      <c r="AW156" s="3" t="str">
        <f t="shared" si="88"/>
        <v>-</v>
      </c>
      <c r="AX156" s="3">
        <f t="shared" si="89"/>
        <v>8</v>
      </c>
      <c r="AY156" s="3">
        <f t="shared" si="90"/>
        <v>5</v>
      </c>
      <c r="AZ156" s="3">
        <f t="shared" si="91"/>
        <v>1</v>
      </c>
      <c r="BA156" s="3">
        <f>IF(ISERROR(LEN(VLOOKUP(A156,Seqs!A:E,2,FALSE))-AL156),"-",LEN(VLOOKUP(A156,Seqs!A:E,2,FALSE))-AL156)</f>
        <v>33</v>
      </c>
      <c r="BB156" s="16">
        <f t="shared" si="92"/>
        <v>28</v>
      </c>
      <c r="BC156" s="9">
        <f t="shared" si="93"/>
        <v>20</v>
      </c>
      <c r="BD156" s="3">
        <f t="shared" si="94"/>
        <v>28</v>
      </c>
      <c r="BE156" s="3">
        <f t="shared" si="95"/>
        <v>61</v>
      </c>
    </row>
    <row r="157" spans="1:58" s="3" customFormat="1" x14ac:dyDescent="0.2">
      <c r="A157" s="3" t="s">
        <v>274</v>
      </c>
      <c r="B157" s="3" t="str">
        <f>LOWER(VLOOKUP(A157,Xtal_Templ!A:B,2,FALSE))</f>
        <v>ednrb_human</v>
      </c>
      <c r="C157" s="3">
        <f>VLOOKUP($A157,'SegEnds_NonXtal_BW#'!$A:$Z,3,FALSE)+D157-50</f>
        <v>30</v>
      </c>
      <c r="D157" s="3">
        <v>58</v>
      </c>
      <c r="E157" s="3">
        <f>IF(ISERROR(VLOOKUP($A157,'SegEnds_NonXtal_BW#'!$A:$Z,4,FALSE)+VLOOKUP($A157,A:AL,4,FALSE)-50),"-",(VLOOKUP($A157,'SegEnds_NonXtal_BW#'!$A:$Z,4,FALSE)+VLOOKUP($A157,A:AL,4,FALSE)-50))</f>
        <v>68</v>
      </c>
      <c r="F157" s="3">
        <f>G157-2</f>
        <v>69</v>
      </c>
      <c r="G157" s="3">
        <v>71</v>
      </c>
      <c r="H157" s="3">
        <f>G157+1</f>
        <v>72</v>
      </c>
      <c r="I157" s="3">
        <f>H157+1</f>
        <v>73</v>
      </c>
      <c r="J157" s="3">
        <v>86</v>
      </c>
      <c r="K157" s="3">
        <f>VLOOKUP($A157,'SegEnds_NonXtal_BW#'!$A:$Z,8,FALSE)+VLOOKUP($A157,A:AL,10,FALSE)-50</f>
        <v>103</v>
      </c>
      <c r="L157" s="3">
        <f t="shared" ref="L157:L163" si="100">M157-1</f>
        <v>105</v>
      </c>
      <c r="M157" s="3">
        <v>106</v>
      </c>
      <c r="N157" s="3">
        <f t="shared" ref="N157:N163" si="101">M157+2</f>
        <v>108</v>
      </c>
      <c r="O157" s="3">
        <f t="shared" ref="O157:O163" si="102">N157+1</f>
        <v>109</v>
      </c>
      <c r="P157" s="3">
        <v>138</v>
      </c>
      <c r="Q157" s="3">
        <f>VLOOKUP($A157,'SegEnds_NonXtal_BW#'!$A:$Z,12,FALSE)+VLOOKUP($A157,A:AL,16,FALSE)-50</f>
        <v>144</v>
      </c>
      <c r="R157" s="3">
        <f>IF(ISERROR(VLOOKUP($A157,'SegEnds_NonXtal_BW#'!$A:$Z,13,FALSE)+VLOOKUP($A157,A:AL,19,FALSE)-50),"-",VLOOKUP($A157,'SegEnds_NonXtal_BW#'!$A:$Z,13,FALSE)+VLOOKUP($A157,A:AL,19,FALSE)-50)</f>
        <v>145</v>
      </c>
      <c r="S157" s="3">
        <v>145</v>
      </c>
      <c r="T157" s="100">
        <f>IF(ISERROR(VLOOKUP($A157,'SegEnds_NonXtal_BW#'!$A:$Z,14,FALSE)+VLOOKUP($A157,A:AL,19,FALSE)-50),"-",(VLOOKUP($A157,'SegEnds_NonXtal_BW#'!$A:$Z,14,FALSE)+VLOOKUP($A157,A:AL,19,FALSE)-50))</f>
        <v>152</v>
      </c>
      <c r="U157" s="9">
        <f>IF(ISERROR(VLOOKUP($A157,'SegEnds_NonXtal_BW#'!$A:$Z,15,FALSE)+VLOOKUP($A157,A:AL,22,FALSE)-50),"-",VLOOKUP($A157,'SegEnds_NonXtal_BW#'!$A:$Z,15,FALSE)+VLOOKUP($A157,A:AL,22,FALSE)-50)</f>
        <v>153</v>
      </c>
      <c r="V157" s="3">
        <v>165</v>
      </c>
      <c r="W157" s="3">
        <f>IF(ISERROR(VLOOKUP($A157,'SegEnds_NonXtal_BW#'!$A:$Z,16,FALSE)+VLOOKUP($A157,A:AL,22,FALSE)-50),"-",(VLOOKUP($A157,'SegEnds_NonXtal_BW#'!$A:$Z,16,FALSE)+VLOOKUP($A157,A:AL,22,FALSE)-50))</f>
        <v>179</v>
      </c>
      <c r="X157" s="3">
        <f>IF(ISERROR(VLOOKUP($A157,'SegEnds_NonXtal_BW#'!$A:$Z,17,FALSE)+VLOOKUP($A157,A:AL,25,FALSE)-50),"-",(VLOOKUP($A157,'SegEnds_NonXtal_BW#'!$A:$Z,17,FALSE)+VLOOKUP($A157,A:AL,25,FALSE)-50))</f>
        <v>196</v>
      </c>
      <c r="Y157" s="3">
        <v>196</v>
      </c>
      <c r="Z157" s="3">
        <f t="shared" ref="Z157:Z172" si="103">Y157+2</f>
        <v>198</v>
      </c>
      <c r="AA157" s="3">
        <f>IF(ISERROR(VLOOKUP($A157,'SegEnds_NonXtal_BW#'!$A:$Z,19,FALSE)+VLOOKUP($A157,A:AL,28,FALSE)-50),"-",(VLOOKUP($A157,'SegEnds_NonXtal_BW#'!$A:$Z,19,FALSE)+VLOOKUP($A157,A:AL,28,FALSE)-50))</f>
        <v>200</v>
      </c>
      <c r="AB157" s="3">
        <v>222</v>
      </c>
      <c r="AC157" s="3">
        <f>IF(ISERROR((VLOOKUP($A157,'SegEnds_NonXtal_BW#'!$A:$Z,20,FALSE)+VLOOKUP($A157,A:AL,28,FALSE)-50)),"-",(VLOOKUP($A157,'SegEnds_NonXtal_BW#'!$A:$Z,20,FALSE)+VLOOKUP($A157,A:AL,28,FALSE)-50))</f>
        <v>245</v>
      </c>
      <c r="AD157" s="3">
        <f>IF(ISERROR(VLOOKUP($A157,'SegEnds_NonXtal_BW#'!$A:$Z,21,FALSE)+VLOOKUP($A157,A:AL,31,FALSE)-50),"-",(VLOOKUP($A157,'SegEnds_NonXtal_BW#'!$A:$Z,21,FALSE)+VLOOKUP($A157,A:AL,31,FALSE)-50))</f>
        <v>251</v>
      </c>
      <c r="AE157" s="3">
        <v>279</v>
      </c>
      <c r="AF157" s="3">
        <f>IF(ISERROR((VLOOKUP($A157,'SegEnds_NonXtal_BW#'!$A:$Z,22,FALSE)+VLOOKUP($A157,A:AL,31,FALSE)-50)),"-",(VLOOKUP($A157,'SegEnds_NonXtal_BW#'!$A:$Z,22,FALSE)+VLOOKUP($A157,A:AL,31,FALSE)-50))</f>
        <v>290</v>
      </c>
      <c r="AG157" s="3">
        <f>IF(ISERROR(VLOOKUP($A157,'SegEnds_NonXtal_BW#'!$A:$Z,23,FALSE)+VLOOKUP($A157,A:AL,34,FALSE)-50),"-",(VLOOKUP($A157,'SegEnds_NonXtal_BW#'!$A:$Z,23,FALSE)+VLOOKUP($A157,A:AL,34,FALSE)-50))</f>
        <v>297</v>
      </c>
      <c r="AH157" s="3">
        <v>319</v>
      </c>
      <c r="AI157" s="3">
        <f>IF(ISERROR((VLOOKUP($A157,'SegEnds_NonXtal_BW#'!$A:$Z,24,FALSE)+VLOOKUP($A157,A:AL,34,FALSE)-50)),"-",(VLOOKUP($A157,'SegEnds_NonXtal_BW#'!$A:$Z,24,FALSE)+VLOOKUP($A157,A:AL,34,FALSE)-50))</f>
        <v>325</v>
      </c>
      <c r="AJ157" s="3">
        <f>IF(ISERROR(VLOOKUP($A157,'SegEnds_NonXtal_BW#'!$A:$Z,25,FALSE)+VLOOKUP($A157,A:AL,37,FALSE)-50),"-",(VLOOKUP($A157,'SegEnds_NonXtal_BW#'!$A:$Z,25,FALSE)+VLOOKUP($A157,A:AL,37,FALSE)-50))</f>
        <v>326</v>
      </c>
      <c r="AK157" s="3">
        <v>329</v>
      </c>
      <c r="AL157" s="3">
        <f>IF(ISERROR((VLOOKUP($A157,'SegEnds_NonXtal_BW#'!$A:$Z,26,FALSE)+VLOOKUP($A157,A:AL,37,FALSE)-50)),"-",(VLOOKUP($A157,'SegEnds_NonXtal_BW#'!$A:$Z,26,FALSE)+VLOOKUP($A157,A:AL,37,FALSE)-50))</f>
        <v>339</v>
      </c>
      <c r="AM157" s="28" t="str">
        <f>VLOOKUP(A157,Classification!A:B,2,FALSE)</f>
        <v>A</v>
      </c>
      <c r="AN157" s="28" t="b">
        <f t="shared" si="98"/>
        <v>1</v>
      </c>
      <c r="AO157" s="3" t="str">
        <f>IF(ISERROR(MATCH(A157,'SegEnds_Xtal_Prot#'!B:B, 0)), "NoXtal", "Xtal")</f>
        <v>NoXtal</v>
      </c>
      <c r="AP157" s="3">
        <f t="shared" si="81"/>
        <v>1</v>
      </c>
      <c r="AQ157" s="3">
        <f t="shared" si="82"/>
        <v>1</v>
      </c>
      <c r="AR157" s="3">
        <f t="shared" si="83"/>
        <v>2</v>
      </c>
      <c r="AS157" s="3">
        <f t="shared" si="84"/>
        <v>1</v>
      </c>
      <c r="AT157" s="3">
        <f t="shared" si="85"/>
        <v>1</v>
      </c>
      <c r="AU157" s="3">
        <f t="shared" si="86"/>
        <v>1</v>
      </c>
      <c r="AV157" s="3">
        <f t="shared" si="87"/>
        <v>17</v>
      </c>
      <c r="AW157" s="3">
        <f t="shared" si="88"/>
        <v>2</v>
      </c>
      <c r="AX157" s="3">
        <f t="shared" si="89"/>
        <v>6</v>
      </c>
      <c r="AY157" s="3">
        <f t="shared" si="90"/>
        <v>7</v>
      </c>
      <c r="AZ157" s="3">
        <f t="shared" si="91"/>
        <v>1</v>
      </c>
      <c r="BA157" s="3">
        <f>IF(ISERROR(LEN(VLOOKUP(A157,Seqs!A:E,2,FALSE))-AL157),"-",LEN(VLOOKUP(A157,Seqs!A:E,2,FALSE))-AL157)</f>
        <v>45</v>
      </c>
      <c r="BB157" s="16">
        <f t="shared" si="92"/>
        <v>28</v>
      </c>
      <c r="BC157" s="9">
        <f t="shared" si="93"/>
        <v>20</v>
      </c>
      <c r="BD157" s="3">
        <f t="shared" si="94"/>
        <v>28</v>
      </c>
      <c r="BE157" s="3">
        <f t="shared" si="95"/>
        <v>57</v>
      </c>
    </row>
    <row r="158" spans="1:58" s="3" customFormat="1" x14ac:dyDescent="0.2">
      <c r="A158" s="3" t="s">
        <v>275</v>
      </c>
      <c r="B158" s="3" t="str">
        <f>LOWER(VLOOKUP(A158,Xtal_Templ!A:B,2,FALSE))</f>
        <v>p2ry1_human</v>
      </c>
      <c r="C158" s="3">
        <f>VLOOKUP($A158,'SegEnds_NonXtal_BW#'!$A:$Z,3,FALSE)+D158-50</f>
        <v>13</v>
      </c>
      <c r="D158" s="3">
        <v>33</v>
      </c>
      <c r="E158" s="3">
        <f>IF(ISERROR(VLOOKUP($A158,'SegEnds_NonXtal_BW#'!$A:$Z,4,FALSE)+VLOOKUP($A158,A:AL,4,FALSE)-50),"-",(VLOOKUP($A158,'SegEnds_NonXtal_BW#'!$A:$Z,4,FALSE)+VLOOKUP($A158,A:AL,4,FALSE)-50))</f>
        <v>43</v>
      </c>
      <c r="F158" s="3" t="str">
        <f>IF(ISERROR(VLOOKUP($A158,'SegEnds_NonXtal_BW#'!$A:$Z,5,FALSE)+VLOOKUP($A158,A:AL,7,FALSE)-50),"-",(VLOOKUP($A158,'SegEnds_NonXtal_BW#'!$A:$Z,5,FALSE)+VLOOKUP($A158,A:AL,7,FALSE)-50))</f>
        <v>-</v>
      </c>
      <c r="G158" s="3" t="s">
        <v>23</v>
      </c>
      <c r="H158" s="3" t="str">
        <f>IF(ISERROR(VLOOKUP($A158,'SegEnds_NonXtal_BW#'!$A:$Z,6,FALSE)+VLOOKUP($A158,A:AL,7,FALSE)-50),"-",(VLOOKUP($A158,'SegEnds_NonXtal_BW#'!$A:$Z,6,FALSE)+VLOOKUP($A158,A:AL,7,FALSE)-50))</f>
        <v>-</v>
      </c>
      <c r="I158" s="3">
        <f>VLOOKUP($A158,'SegEnds_NonXtal_BW#'!$A:$Z,7,FALSE)+J158-50</f>
        <v>48</v>
      </c>
      <c r="J158" s="3">
        <v>61</v>
      </c>
      <c r="K158" s="3">
        <f>VLOOKUP($A158,'SegEnds_NonXtal_BW#'!$A:$Z,8,FALSE)+VLOOKUP($A158,A:AL,10,FALSE)-50</f>
        <v>77</v>
      </c>
      <c r="L158" s="3">
        <f t="shared" si="100"/>
        <v>80</v>
      </c>
      <c r="M158" s="3">
        <v>81</v>
      </c>
      <c r="N158" s="3">
        <f t="shared" si="101"/>
        <v>83</v>
      </c>
      <c r="O158" s="3">
        <f t="shared" si="102"/>
        <v>84</v>
      </c>
      <c r="P158" s="3">
        <v>113</v>
      </c>
      <c r="Q158" s="3">
        <f>VLOOKUP($A158,'SegEnds_NonXtal_BW#'!$A:$Z,12,FALSE)+VLOOKUP($A158,A:AL,16,FALSE)-50</f>
        <v>119</v>
      </c>
      <c r="R158" s="3">
        <f>IF(ISERROR(VLOOKUP($A158,'SegEnds_NonXtal_BW#'!$A:$Z,13,FALSE)+VLOOKUP($A158,A:AL,19,FALSE)-50),"-",VLOOKUP($A158,'SegEnds_NonXtal_BW#'!$A:$Z,13,FALSE)+VLOOKUP($A158,A:AL,19,FALSE)-50)</f>
        <v>120</v>
      </c>
      <c r="S158" s="3">
        <v>120</v>
      </c>
      <c r="T158" s="100">
        <f>IF(ISERROR(VLOOKUP($A158,'SegEnds_NonXtal_BW#'!$A:$Z,14,FALSE)+VLOOKUP($A158,A:AL,19,FALSE)-50),"-",(VLOOKUP($A158,'SegEnds_NonXtal_BW#'!$A:$Z,14,FALSE)+VLOOKUP($A158,A:AL,19,FALSE)-50))</f>
        <v>127</v>
      </c>
      <c r="U158" s="9">
        <f>IF(ISERROR(VLOOKUP($A158,'SegEnds_NonXtal_BW#'!$A:$Z,15,FALSE)+VLOOKUP($A158,A:AL,22,FALSE)-50),"-",VLOOKUP($A158,'SegEnds_NonXtal_BW#'!$A:$Z,15,FALSE)+VLOOKUP($A158,A:AL,22,FALSE)-50)</f>
        <v>128</v>
      </c>
      <c r="V158" s="3">
        <v>140</v>
      </c>
      <c r="W158" s="3">
        <f>IF(ISERROR(VLOOKUP($A158,'SegEnds_NonXtal_BW#'!$A:$Z,16,FALSE)+VLOOKUP($A158,A:AL,22,FALSE)-50),"-",(VLOOKUP($A158,'SegEnds_NonXtal_BW#'!$A:$Z,16,FALSE)+VLOOKUP($A158,A:AL,22,FALSE)-50))</f>
        <v>154</v>
      </c>
      <c r="X158" s="3">
        <f>IF(ISERROR(VLOOKUP($A158,'SegEnds_NonXtal_BW#'!$A:$Z,17,FALSE)+VLOOKUP($A158,A:AL,25,FALSE)-50),"-",(VLOOKUP($A158,'SegEnds_NonXtal_BW#'!$A:$Z,17,FALSE)+VLOOKUP($A158,A:AL,25,FALSE)-50))</f>
        <v>165</v>
      </c>
      <c r="Y158" s="3">
        <v>165</v>
      </c>
      <c r="Z158" s="3">
        <f t="shared" si="103"/>
        <v>167</v>
      </c>
      <c r="AA158" s="3">
        <f>IF(ISERROR(VLOOKUP($A158,'SegEnds_NonXtal_BW#'!$A:$Z,19,FALSE)+VLOOKUP($A158,A:AL,28,FALSE)-50),"-",(VLOOKUP($A158,'SegEnds_NonXtal_BW#'!$A:$Z,19,FALSE)+VLOOKUP($A158,A:AL,28,FALSE)-50))</f>
        <v>170</v>
      </c>
      <c r="AB158" s="3">
        <v>188</v>
      </c>
      <c r="AC158" s="3">
        <f>IF(ISERROR((VLOOKUP($A158,'SegEnds_NonXtal_BW#'!$A:$Z,20,FALSE)+VLOOKUP($A158,A:AL,28,FALSE)-50)),"-",(VLOOKUP($A158,'SegEnds_NonXtal_BW#'!$A:$Z,20,FALSE)+VLOOKUP($A158,A:AL,28,FALSE)-50))</f>
        <v>205</v>
      </c>
      <c r="AD158" s="3">
        <f>IF(ISERROR(VLOOKUP($A158,'SegEnds_NonXtal_BW#'!$A:$Z,21,FALSE)+VLOOKUP($A158,A:AL,31,FALSE)-50),"-",(VLOOKUP($A158,'SegEnds_NonXtal_BW#'!$A:$Z,21,FALSE)+VLOOKUP($A158,A:AL,31,FALSE)-50))</f>
        <v>211</v>
      </c>
      <c r="AE158" s="3">
        <v>235</v>
      </c>
      <c r="AF158" s="3">
        <f>IF(ISERROR((VLOOKUP($A158,'SegEnds_NonXtal_BW#'!$A:$Z,22,FALSE)+VLOOKUP($A158,A:AL,31,FALSE)-50)),"-",(VLOOKUP($A158,'SegEnds_NonXtal_BW#'!$A:$Z,22,FALSE)+VLOOKUP($A158,A:AL,31,FALSE)-50))</f>
        <v>246</v>
      </c>
      <c r="AG158" s="3">
        <f>IF(ISERROR(VLOOKUP($A158,'SegEnds_NonXtal_BW#'!$A:$Z,23,FALSE)+VLOOKUP($A158,A:AL,34,FALSE)-50),"-",(VLOOKUP($A158,'SegEnds_NonXtal_BW#'!$A:$Z,23,FALSE)+VLOOKUP($A158,A:AL,34,FALSE)-50))</f>
        <v>253</v>
      </c>
      <c r="AH158" s="3">
        <v>275</v>
      </c>
      <c r="AI158" s="3">
        <f>IF(ISERROR((VLOOKUP($A158,'SegEnds_NonXtal_BW#'!$A:$Z,24,FALSE)+VLOOKUP($A158,A:AL,34,FALSE)-50)),"-",(VLOOKUP($A158,'SegEnds_NonXtal_BW#'!$A:$Z,24,FALSE)+VLOOKUP($A158,A:AL,34,FALSE)-50))</f>
        <v>281</v>
      </c>
      <c r="AJ158" s="3">
        <f>IF(ISERROR(VLOOKUP($A158,'SegEnds_NonXtal_BW#'!$A:$Z,25,FALSE)+VLOOKUP($A158,A:AL,37,FALSE)-50),"-",(VLOOKUP($A158,'SegEnds_NonXtal_BW#'!$A:$Z,25,FALSE)+VLOOKUP($A158,A:AL,37,FALSE)-50))</f>
        <v>282</v>
      </c>
      <c r="AK158" s="3">
        <v>285</v>
      </c>
      <c r="AL158" s="3">
        <f>IF(ISERROR((VLOOKUP($A158,'SegEnds_NonXtal_BW#'!$A:$Z,26,FALSE)+VLOOKUP($A158,A:AL,37,FALSE)-50)),"-",(VLOOKUP($A158,'SegEnds_NonXtal_BW#'!$A:$Z,26,FALSE)+VLOOKUP($A158,A:AL,37,FALSE)-50))</f>
        <v>294</v>
      </c>
      <c r="AM158" s="28" t="str">
        <f>VLOOKUP(A158,Classification!A:B,2,FALSE)</f>
        <v>A</v>
      </c>
      <c r="AN158" s="28" t="b">
        <f t="shared" si="98"/>
        <v>1</v>
      </c>
      <c r="AO158" s="3" t="str">
        <f>IF(ISERROR(MATCH(A158,'SegEnds_Xtal_Prot#'!B:B, 0)), "NoXtal", "Xtal")</f>
        <v>NoXtal</v>
      </c>
      <c r="AP158" s="3" t="str">
        <f t="shared" si="81"/>
        <v>-</v>
      </c>
      <c r="AQ158" s="3" t="str">
        <f t="shared" si="82"/>
        <v>-</v>
      </c>
      <c r="AR158" s="3">
        <f t="shared" si="83"/>
        <v>3</v>
      </c>
      <c r="AS158" s="3">
        <f t="shared" si="84"/>
        <v>1</v>
      </c>
      <c r="AT158" s="3">
        <f t="shared" si="85"/>
        <v>1</v>
      </c>
      <c r="AU158" s="3">
        <f t="shared" si="86"/>
        <v>1</v>
      </c>
      <c r="AV158" s="3">
        <f t="shared" si="87"/>
        <v>11</v>
      </c>
      <c r="AW158" s="3">
        <f t="shared" si="88"/>
        <v>3</v>
      </c>
      <c r="AX158" s="3">
        <f t="shared" si="89"/>
        <v>6</v>
      </c>
      <c r="AY158" s="3">
        <f t="shared" si="90"/>
        <v>7</v>
      </c>
      <c r="AZ158" s="3">
        <f t="shared" si="91"/>
        <v>1</v>
      </c>
      <c r="BA158" s="3">
        <f>IF(ISERROR(LEN(VLOOKUP(A158,Seqs!A:E,2,FALSE))-AL158),"-",LEN(VLOOKUP(A158,Seqs!A:E,2,FALSE))-AL158)</f>
        <v>52</v>
      </c>
      <c r="BB158" s="16">
        <f t="shared" si="92"/>
        <v>28</v>
      </c>
      <c r="BC158" s="9">
        <f t="shared" si="93"/>
        <v>20</v>
      </c>
      <c r="BD158" s="3">
        <f t="shared" si="94"/>
        <v>28</v>
      </c>
      <c r="BE158" s="3">
        <f t="shared" si="95"/>
        <v>47</v>
      </c>
    </row>
    <row r="159" spans="1:58" s="3" customFormat="1" x14ac:dyDescent="0.2">
      <c r="A159" s="3" t="s">
        <v>276</v>
      </c>
      <c r="B159" s="3" t="str">
        <f>LOWER(VLOOKUP(A159,Xtal_Templ!A:B,2,FALSE))</f>
        <v>oprk_human</v>
      </c>
      <c r="C159" s="3">
        <f>VLOOKUP($A159,'SegEnds_NonXtal_BW#'!$A:$Z,3,FALSE)+D159-50</f>
        <v>25</v>
      </c>
      <c r="D159" s="3">
        <v>45</v>
      </c>
      <c r="E159" s="3">
        <f>IF(ISERROR(VLOOKUP($A159,'SegEnds_NonXtal_BW#'!$A:$Z,4,FALSE)+VLOOKUP($A159,A:AL,4,FALSE)-50),"-",(VLOOKUP($A159,'SegEnds_NonXtal_BW#'!$A:$Z,4,FALSE)+VLOOKUP($A159,A:AL,4,FALSE)-50))</f>
        <v>55</v>
      </c>
      <c r="F159" s="3" t="str">
        <f>IF(ISERROR(VLOOKUP($A159,'SegEnds_NonXtal_BW#'!$A:$Z,5,FALSE)+VLOOKUP($A159,A:AL,7,FALSE)-50),"-",(VLOOKUP($A159,'SegEnds_NonXtal_BW#'!$A:$Z,5,FALSE)+VLOOKUP($A159,A:AL,7,FALSE)-50))</f>
        <v>-</v>
      </c>
      <c r="G159" s="3" t="s">
        <v>23</v>
      </c>
      <c r="H159" s="3" t="str">
        <f>IF(ISERROR(VLOOKUP($A159,'SegEnds_NonXtal_BW#'!$A:$Z,6,FALSE)+VLOOKUP($A159,A:AL,7,FALSE)-50),"-",(VLOOKUP($A159,'SegEnds_NonXtal_BW#'!$A:$Z,6,FALSE)+VLOOKUP($A159,A:AL,7,FALSE)-50))</f>
        <v>-</v>
      </c>
      <c r="I159" s="3">
        <f>VLOOKUP($A159,'SegEnds_NonXtal_BW#'!$A:$Z,7,FALSE)+J159-50</f>
        <v>60</v>
      </c>
      <c r="J159" s="3">
        <v>73</v>
      </c>
      <c r="K159" s="3">
        <f>VLOOKUP($A159,'SegEnds_NonXtal_BW#'!$A:$Z,8,FALSE)+VLOOKUP($A159,A:AL,10,FALSE)-50</f>
        <v>90</v>
      </c>
      <c r="L159" s="3">
        <f t="shared" si="100"/>
        <v>92</v>
      </c>
      <c r="M159" s="3">
        <v>93</v>
      </c>
      <c r="N159" s="3">
        <f t="shared" si="101"/>
        <v>95</v>
      </c>
      <c r="O159" s="3">
        <f t="shared" si="102"/>
        <v>96</v>
      </c>
      <c r="P159" s="3">
        <v>125</v>
      </c>
      <c r="Q159" s="3">
        <f>VLOOKUP($A159,'SegEnds_NonXtal_BW#'!$A:$Z,12,FALSE)+VLOOKUP($A159,A:AL,16,FALSE)-50</f>
        <v>131</v>
      </c>
      <c r="R159" s="3">
        <f>IF(ISERROR(VLOOKUP($A159,'SegEnds_NonXtal_BW#'!$A:$Z,13,FALSE)+VLOOKUP($A159,A:AL,19,FALSE)-50),"-",VLOOKUP($A159,'SegEnds_NonXtal_BW#'!$A:$Z,13,FALSE)+VLOOKUP($A159,A:AL,19,FALSE)-50)</f>
        <v>132</v>
      </c>
      <c r="S159" s="3">
        <v>132</v>
      </c>
      <c r="T159" s="100">
        <f>IF(ISERROR(VLOOKUP($A159,'SegEnds_NonXtal_BW#'!$A:$Z,14,FALSE)+VLOOKUP($A159,A:AL,19,FALSE)-50),"-",(VLOOKUP($A159,'SegEnds_NonXtal_BW#'!$A:$Z,14,FALSE)+VLOOKUP($A159,A:AL,19,FALSE)-50))</f>
        <v>139</v>
      </c>
      <c r="U159" s="9">
        <f>IF(ISERROR(VLOOKUP($A159,'SegEnds_NonXtal_BW#'!$A:$Z,15,FALSE)+VLOOKUP($A159,A:AL,22,FALSE)-50),"-",VLOOKUP($A159,'SegEnds_NonXtal_BW#'!$A:$Z,15,FALSE)+VLOOKUP($A159,A:AL,22,FALSE)-50)</f>
        <v>140</v>
      </c>
      <c r="V159" s="3">
        <v>152</v>
      </c>
      <c r="W159" s="3">
        <f>IF(ISERROR(VLOOKUP($A159,'SegEnds_NonXtal_BW#'!$A:$Z,16,FALSE)+VLOOKUP($A159,A:AL,22,FALSE)-50),"-",(VLOOKUP($A159,'SegEnds_NonXtal_BW#'!$A:$Z,16,FALSE)+VLOOKUP($A159,A:AL,22,FALSE)-50))</f>
        <v>166</v>
      </c>
      <c r="X159" s="3">
        <f>IF(ISERROR(VLOOKUP($A159,'SegEnds_NonXtal_BW#'!$A:$Z,17,FALSE)+VLOOKUP($A159,A:AL,25,FALSE)-50),"-",(VLOOKUP($A159,'SegEnds_NonXtal_BW#'!$A:$Z,17,FALSE)+VLOOKUP($A159,A:AL,25,FALSE)-50))</f>
        <v>177</v>
      </c>
      <c r="Y159" s="3">
        <v>177</v>
      </c>
      <c r="Z159" s="3">
        <f t="shared" si="103"/>
        <v>179</v>
      </c>
      <c r="AA159" s="3">
        <f>IF(ISERROR(VLOOKUP($A159,'SegEnds_NonXtal_BW#'!$A:$Z,19,FALSE)+VLOOKUP($A159,A:AL,28,FALSE)-50),"-",(VLOOKUP($A159,'SegEnds_NonXtal_BW#'!$A:$Z,19,FALSE)+VLOOKUP($A159,A:AL,28,FALSE)-50))</f>
        <v>180</v>
      </c>
      <c r="AB159" s="3">
        <v>200</v>
      </c>
      <c r="AC159" s="3">
        <f>IF(ISERROR((VLOOKUP($A159,'SegEnds_NonXtal_BW#'!$A:$Z,20,FALSE)+VLOOKUP($A159,A:AL,28,FALSE)-50)),"-",(VLOOKUP($A159,'SegEnds_NonXtal_BW#'!$A:$Z,20,FALSE)+VLOOKUP($A159,A:AL,28,FALSE)-50))</f>
        <v>217</v>
      </c>
      <c r="AD159" s="3">
        <f>IF(ISERROR(VLOOKUP($A159,'SegEnds_NonXtal_BW#'!$A:$Z,21,FALSE)+VLOOKUP($A159,A:AL,31,FALSE)-50),"-",(VLOOKUP($A159,'SegEnds_NonXtal_BW#'!$A:$Z,21,FALSE)+VLOOKUP($A159,A:AL,31,FALSE)-50))</f>
        <v>222</v>
      </c>
      <c r="AE159" s="3">
        <v>246</v>
      </c>
      <c r="AF159" s="3">
        <f>IF(ISERROR((VLOOKUP($A159,'SegEnds_NonXtal_BW#'!$A:$Z,22,FALSE)+VLOOKUP($A159,A:AL,31,FALSE)-50)),"-",(VLOOKUP($A159,'SegEnds_NonXtal_BW#'!$A:$Z,22,FALSE)+VLOOKUP($A159,A:AL,31,FALSE)-50))</f>
        <v>260</v>
      </c>
      <c r="AG159" s="3">
        <f>IF(ISERROR(VLOOKUP($A159,'SegEnds_NonXtal_BW#'!$A:$Z,23,FALSE)+VLOOKUP($A159,A:AL,34,FALSE)-50),"-",(VLOOKUP($A159,'SegEnds_NonXtal_BW#'!$A:$Z,23,FALSE)+VLOOKUP($A159,A:AL,34,FALSE)-50))</f>
        <v>265</v>
      </c>
      <c r="AH159" s="3">
        <v>291</v>
      </c>
      <c r="AI159" s="3">
        <f>IF(ISERROR((VLOOKUP($A159,'SegEnds_NonXtal_BW#'!$A:$Z,24,FALSE)+VLOOKUP($A159,A:AL,34,FALSE)-50)),"-",(VLOOKUP($A159,'SegEnds_NonXtal_BW#'!$A:$Z,24,FALSE)+VLOOKUP($A159,A:AL,34,FALSE)-50))</f>
        <v>297</v>
      </c>
      <c r="AJ159" s="3">
        <f>IF(ISERROR(VLOOKUP($A159,'SegEnds_NonXtal_BW#'!$A:$Z,25,FALSE)+VLOOKUP($A159,A:AL,37,FALSE)-50),"-",(VLOOKUP($A159,'SegEnds_NonXtal_BW#'!$A:$Z,25,FALSE)+VLOOKUP($A159,A:AL,37,FALSE)-50))</f>
        <v>298</v>
      </c>
      <c r="AK159" s="3">
        <v>301</v>
      </c>
      <c r="AL159" s="3">
        <f>IF(ISERROR((VLOOKUP($A159,'SegEnds_NonXtal_BW#'!$A:$Z,26,FALSE)+VLOOKUP($A159,A:AL,37,FALSE)-50)),"-",(VLOOKUP($A159,'SegEnds_NonXtal_BW#'!$A:$Z,26,FALSE)+VLOOKUP($A159,A:AL,37,FALSE)-50))</f>
        <v>310</v>
      </c>
      <c r="AM159" s="28" t="str">
        <f>VLOOKUP(A159,Classification!A:B,2,FALSE)</f>
        <v>A</v>
      </c>
      <c r="AN159" s="28" t="b">
        <f t="shared" si="98"/>
        <v>1</v>
      </c>
      <c r="AO159" s="3" t="str">
        <f>IF(ISERROR(MATCH(A159,'SegEnds_Xtal_Prot#'!B:B, 0)), "NoXtal", "Xtal")</f>
        <v>NoXtal</v>
      </c>
      <c r="AP159" s="3" t="str">
        <f t="shared" si="81"/>
        <v>-</v>
      </c>
      <c r="AQ159" s="3" t="str">
        <f t="shared" si="82"/>
        <v>-</v>
      </c>
      <c r="AR159" s="3">
        <f t="shared" si="83"/>
        <v>2</v>
      </c>
      <c r="AS159" s="3">
        <f t="shared" si="84"/>
        <v>1</v>
      </c>
      <c r="AT159" s="3">
        <f t="shared" si="85"/>
        <v>1</v>
      </c>
      <c r="AU159" s="3">
        <f t="shared" si="86"/>
        <v>1</v>
      </c>
      <c r="AV159" s="3">
        <f t="shared" si="87"/>
        <v>11</v>
      </c>
      <c r="AW159" s="3">
        <f t="shared" si="88"/>
        <v>1</v>
      </c>
      <c r="AX159" s="3">
        <f t="shared" si="89"/>
        <v>5</v>
      </c>
      <c r="AY159" s="3">
        <f t="shared" si="90"/>
        <v>5</v>
      </c>
      <c r="AZ159" s="3">
        <f t="shared" si="91"/>
        <v>1</v>
      </c>
      <c r="BA159" s="3">
        <f>IF(ISERROR(LEN(VLOOKUP(A159,Seqs!A:E,2,FALSE))-AL159),"-",LEN(VLOOKUP(A159,Seqs!A:E,2,FALSE))-AL159)</f>
        <v>53</v>
      </c>
      <c r="BB159" s="16">
        <f t="shared" si="92"/>
        <v>28</v>
      </c>
      <c r="BC159" s="9">
        <f t="shared" si="93"/>
        <v>20</v>
      </c>
      <c r="BD159" s="3">
        <f t="shared" si="94"/>
        <v>28</v>
      </c>
      <c r="BE159" s="3">
        <f t="shared" si="95"/>
        <v>46</v>
      </c>
    </row>
    <row r="160" spans="1:58" s="3" customFormat="1" x14ac:dyDescent="0.2">
      <c r="A160" s="3" t="s">
        <v>277</v>
      </c>
      <c r="B160" s="3" t="str">
        <f>LOWER(VLOOKUP(A160,Xtal_Templ!A:B,2,FALSE))</f>
        <v>p2ry1_human</v>
      </c>
      <c r="C160" s="3">
        <f>VLOOKUP($A160,'SegEnds_NonXtal_BW#'!$A:$Z,3,FALSE)+D160-50</f>
        <v>25</v>
      </c>
      <c r="D160" s="3">
        <v>45</v>
      </c>
      <c r="E160" s="3">
        <f>IF(ISERROR(VLOOKUP($A160,'SegEnds_NonXtal_BW#'!$A:$Z,4,FALSE)+VLOOKUP($A160,A:AL,4,FALSE)-50),"-",(VLOOKUP($A160,'SegEnds_NonXtal_BW#'!$A:$Z,4,FALSE)+VLOOKUP($A160,A:AL,4,FALSE)-50))</f>
        <v>55</v>
      </c>
      <c r="F160" s="3" t="str">
        <f>IF(ISERROR(VLOOKUP($A160,'SegEnds_NonXtal_BW#'!$A:$Z,5,FALSE)+VLOOKUP($A160,A:AL,7,FALSE)-50),"-",(VLOOKUP($A160,'SegEnds_NonXtal_BW#'!$A:$Z,5,FALSE)+VLOOKUP($A160,A:AL,7,FALSE)-50))</f>
        <v>-</v>
      </c>
      <c r="G160" s="3" t="s">
        <v>23</v>
      </c>
      <c r="H160" s="3" t="str">
        <f>IF(ISERROR(VLOOKUP($A160,'SegEnds_NonXtal_BW#'!$A:$Z,6,FALSE)+VLOOKUP($A160,A:AL,7,FALSE)-50),"-",(VLOOKUP($A160,'SegEnds_NonXtal_BW#'!$A:$Z,6,FALSE)+VLOOKUP($A160,A:AL,7,FALSE)-50))</f>
        <v>-</v>
      </c>
      <c r="I160" s="3">
        <f>VLOOKUP($A160,'SegEnds_NonXtal_BW#'!$A:$Z,7,FALSE)+J160-50</f>
        <v>60</v>
      </c>
      <c r="J160" s="3">
        <v>73</v>
      </c>
      <c r="K160" s="3">
        <f>VLOOKUP($A160,'SegEnds_NonXtal_BW#'!$A:$Z,8,FALSE)+VLOOKUP($A160,A:AL,10,FALSE)-50</f>
        <v>89</v>
      </c>
      <c r="L160" s="3">
        <f t="shared" si="100"/>
        <v>92</v>
      </c>
      <c r="M160" s="3">
        <v>93</v>
      </c>
      <c r="N160" s="3">
        <f t="shared" si="101"/>
        <v>95</v>
      </c>
      <c r="O160" s="3">
        <f t="shared" si="102"/>
        <v>96</v>
      </c>
      <c r="P160" s="3">
        <v>125</v>
      </c>
      <c r="Q160" s="3">
        <f>VLOOKUP($A160,'SegEnds_NonXtal_BW#'!$A:$Z,12,FALSE)+VLOOKUP($A160,A:AL,16,FALSE)-50</f>
        <v>131</v>
      </c>
      <c r="R160" s="3">
        <f>IF(ISERROR(VLOOKUP($A160,'SegEnds_NonXtal_BW#'!$A:$Z,13,FALSE)+VLOOKUP($A160,A:AL,19,FALSE)-50),"-",VLOOKUP($A160,'SegEnds_NonXtal_BW#'!$A:$Z,13,FALSE)+VLOOKUP($A160,A:AL,19,FALSE)-50)</f>
        <v>132</v>
      </c>
      <c r="S160" s="3">
        <v>132</v>
      </c>
      <c r="T160" s="100">
        <f>IF(ISERROR(VLOOKUP($A160,'SegEnds_NonXtal_BW#'!$A:$Z,14,FALSE)+VLOOKUP($A160,A:AL,19,FALSE)-50),"-",(VLOOKUP($A160,'SegEnds_NonXtal_BW#'!$A:$Z,14,FALSE)+VLOOKUP($A160,A:AL,19,FALSE)-50))</f>
        <v>139</v>
      </c>
      <c r="U160" s="9">
        <f>IF(ISERROR(VLOOKUP($A160,'SegEnds_NonXtal_BW#'!$A:$Z,15,FALSE)+VLOOKUP($A160,A:AL,22,FALSE)-50),"-",VLOOKUP($A160,'SegEnds_NonXtal_BW#'!$A:$Z,15,FALSE)+VLOOKUP($A160,A:AL,22,FALSE)-50)</f>
        <v>140</v>
      </c>
      <c r="V160" s="3">
        <v>152</v>
      </c>
      <c r="W160" s="3">
        <f>IF(ISERROR(VLOOKUP($A160,'SegEnds_NonXtal_BW#'!$A:$Z,16,FALSE)+VLOOKUP($A160,A:AL,22,FALSE)-50),"-",(VLOOKUP($A160,'SegEnds_NonXtal_BW#'!$A:$Z,16,FALSE)+VLOOKUP($A160,A:AL,22,FALSE)-50))</f>
        <v>166</v>
      </c>
      <c r="X160" s="3">
        <f>IF(ISERROR(VLOOKUP($A160,'SegEnds_NonXtal_BW#'!$A:$Z,17,FALSE)+VLOOKUP($A160,A:AL,25,FALSE)-50),"-",(VLOOKUP($A160,'SegEnds_NonXtal_BW#'!$A:$Z,17,FALSE)+VLOOKUP($A160,A:AL,25,FALSE)-50))</f>
        <v>177</v>
      </c>
      <c r="Y160" s="3">
        <v>177</v>
      </c>
      <c r="Z160" s="3">
        <f t="shared" si="103"/>
        <v>179</v>
      </c>
      <c r="AA160" s="3">
        <f>IF(ISERROR(VLOOKUP($A160,'SegEnds_NonXtal_BW#'!$A:$Z,19,FALSE)+VLOOKUP($A160,A:AL,28,FALSE)-50),"-",(VLOOKUP($A160,'SegEnds_NonXtal_BW#'!$A:$Z,19,FALSE)+VLOOKUP($A160,A:AL,28,FALSE)-50))</f>
        <v>182</v>
      </c>
      <c r="AB160" s="3">
        <v>200</v>
      </c>
      <c r="AC160" s="3">
        <f>IF(ISERROR((VLOOKUP($A160,'SegEnds_NonXtal_BW#'!$A:$Z,20,FALSE)+VLOOKUP($A160,A:AL,28,FALSE)-50)),"-",(VLOOKUP($A160,'SegEnds_NonXtal_BW#'!$A:$Z,20,FALSE)+VLOOKUP($A160,A:AL,28,FALSE)-50))</f>
        <v>217</v>
      </c>
      <c r="AD160" s="3">
        <f>IF(ISERROR(VLOOKUP($A160,'SegEnds_NonXtal_BW#'!$A:$Z,21,FALSE)+VLOOKUP($A160,A:AL,31,FALSE)-50),"-",(VLOOKUP($A160,'SegEnds_NonXtal_BW#'!$A:$Z,21,FALSE)+VLOOKUP($A160,A:AL,31,FALSE)-50))</f>
        <v>222</v>
      </c>
      <c r="AE160" s="3">
        <v>246</v>
      </c>
      <c r="AF160" s="3">
        <f>IF(ISERROR((VLOOKUP($A160,'SegEnds_NonXtal_BW#'!$A:$Z,22,FALSE)+VLOOKUP($A160,A:AL,31,FALSE)-50)),"-",(VLOOKUP($A160,'SegEnds_NonXtal_BW#'!$A:$Z,22,FALSE)+VLOOKUP($A160,A:AL,31,FALSE)-50))</f>
        <v>260</v>
      </c>
      <c r="AG160" s="3">
        <f>IF(ISERROR(VLOOKUP($A160,'SegEnds_NonXtal_BW#'!$A:$Z,23,FALSE)+VLOOKUP($A160,A:AL,34,FALSE)-50),"-",(VLOOKUP($A160,'SegEnds_NonXtal_BW#'!$A:$Z,23,FALSE)+VLOOKUP($A160,A:AL,34,FALSE)-50))</f>
        <v>265</v>
      </c>
      <c r="AH160" s="3">
        <v>291</v>
      </c>
      <c r="AI160" s="3">
        <f>IF(ISERROR((VLOOKUP($A160,'SegEnds_NonXtal_BW#'!$A:$Z,24,FALSE)+VLOOKUP($A160,A:AL,34,FALSE)-50)),"-",(VLOOKUP($A160,'SegEnds_NonXtal_BW#'!$A:$Z,24,FALSE)+VLOOKUP($A160,A:AL,34,FALSE)-50))</f>
        <v>297</v>
      </c>
      <c r="AJ160" s="3">
        <f>IF(ISERROR(VLOOKUP($A160,'SegEnds_NonXtal_BW#'!$A:$Z,25,FALSE)+VLOOKUP($A160,A:AL,37,FALSE)-50),"-",(VLOOKUP($A160,'SegEnds_NonXtal_BW#'!$A:$Z,25,FALSE)+VLOOKUP($A160,A:AL,37,FALSE)-50))</f>
        <v>298</v>
      </c>
      <c r="AK160" s="3">
        <v>301</v>
      </c>
      <c r="AL160" s="3">
        <f>IF(ISERROR((VLOOKUP($A160,'SegEnds_NonXtal_BW#'!$A:$Z,26,FALSE)+VLOOKUP($A160,A:AL,37,FALSE)-50)),"-",(VLOOKUP($A160,'SegEnds_NonXtal_BW#'!$A:$Z,26,FALSE)+VLOOKUP($A160,A:AL,37,FALSE)-50))</f>
        <v>310</v>
      </c>
      <c r="AM160" s="28" t="str">
        <f>VLOOKUP(A160,Classification!A:B,2,FALSE)</f>
        <v>A</v>
      </c>
      <c r="AN160" s="28" t="b">
        <f t="shared" si="98"/>
        <v>1</v>
      </c>
      <c r="AO160" s="3" t="str">
        <f>IF(ISERROR(MATCH(A160,'SegEnds_Xtal_Prot#'!B:B, 0)), "NoXtal", "Xtal")</f>
        <v>NoXtal</v>
      </c>
      <c r="AP160" s="3" t="str">
        <f t="shared" si="81"/>
        <v>-</v>
      </c>
      <c r="AQ160" s="3" t="str">
        <f t="shared" si="82"/>
        <v>-</v>
      </c>
      <c r="AR160" s="3">
        <f t="shared" si="83"/>
        <v>3</v>
      </c>
      <c r="AS160" s="3">
        <f t="shared" si="84"/>
        <v>1</v>
      </c>
      <c r="AT160" s="3">
        <f t="shared" si="85"/>
        <v>1</v>
      </c>
      <c r="AU160" s="3">
        <f t="shared" si="86"/>
        <v>1</v>
      </c>
      <c r="AV160" s="3">
        <f t="shared" si="87"/>
        <v>11</v>
      </c>
      <c r="AW160" s="3">
        <f t="shared" si="88"/>
        <v>3</v>
      </c>
      <c r="AX160" s="3">
        <f t="shared" si="89"/>
        <v>5</v>
      </c>
      <c r="AY160" s="3">
        <f t="shared" si="90"/>
        <v>5</v>
      </c>
      <c r="AZ160" s="3">
        <f t="shared" si="91"/>
        <v>1</v>
      </c>
      <c r="BA160" s="3">
        <f>IF(ISERROR(LEN(VLOOKUP(A160,Seqs!A:E,2,FALSE))-AL160),"-",LEN(VLOOKUP(A160,Seqs!A:E,2,FALSE))-AL160)</f>
        <v>77</v>
      </c>
      <c r="BB160" s="16">
        <f t="shared" si="92"/>
        <v>28</v>
      </c>
      <c r="BC160" s="9">
        <f t="shared" si="93"/>
        <v>20</v>
      </c>
      <c r="BD160" s="3">
        <f t="shared" si="94"/>
        <v>28</v>
      </c>
      <c r="BE160" s="3">
        <f t="shared" si="95"/>
        <v>46</v>
      </c>
    </row>
    <row r="161" spans="1:58" s="3" customFormat="1" x14ac:dyDescent="0.2">
      <c r="A161" s="3" t="s">
        <v>278</v>
      </c>
      <c r="B161" s="3" t="str">
        <f>LOWER(VLOOKUP(A161,Xtal_Templ!A:B,2,FALSE))</f>
        <v>hrh1_human</v>
      </c>
      <c r="C161" s="3">
        <f>VLOOKUP($A161,'SegEnds_NonXtal_BW#'!$A:$Z,3,FALSE)+D161-50</f>
        <v>29</v>
      </c>
      <c r="D161" s="3">
        <v>45</v>
      </c>
      <c r="E161" s="3">
        <f>IF(ISERROR(VLOOKUP($A161,'SegEnds_NonXtal_BW#'!$A:$Z,4,FALSE)+VLOOKUP($A161,A:AL,4,FALSE)-50),"-",(VLOOKUP($A161,'SegEnds_NonXtal_BW#'!$A:$Z,4,FALSE)+VLOOKUP($A161,A:AL,4,FALSE)-50))</f>
        <v>55</v>
      </c>
      <c r="F161" s="3">
        <f>G161-2</f>
        <v>56</v>
      </c>
      <c r="G161" s="3">
        <v>58</v>
      </c>
      <c r="H161" s="3">
        <f t="shared" ref="H161:I163" si="104">G161+1</f>
        <v>59</v>
      </c>
      <c r="I161" s="3">
        <f t="shared" si="104"/>
        <v>60</v>
      </c>
      <c r="J161" s="3">
        <v>73</v>
      </c>
      <c r="K161" s="3">
        <f>VLOOKUP($A161,'SegEnds_NonXtal_BW#'!$A:$Z,8,FALSE)+VLOOKUP($A161,A:AL,10,FALSE)-50</f>
        <v>90</v>
      </c>
      <c r="L161" s="3">
        <f t="shared" si="100"/>
        <v>92</v>
      </c>
      <c r="M161" s="3">
        <v>93</v>
      </c>
      <c r="N161" s="3">
        <f t="shared" si="101"/>
        <v>95</v>
      </c>
      <c r="O161" s="3">
        <f t="shared" si="102"/>
        <v>96</v>
      </c>
      <c r="P161" s="3">
        <v>125</v>
      </c>
      <c r="Q161" s="3">
        <f>VLOOKUP($A161,'SegEnds_NonXtal_BW#'!$A:$Z,12,FALSE)+VLOOKUP($A161,A:AL,16,FALSE)-50</f>
        <v>131</v>
      </c>
      <c r="R161" s="3">
        <f>IF(ISERROR(VLOOKUP($A161,'SegEnds_NonXtal_BW#'!$A:$Z,13,FALSE)+VLOOKUP($A161,A:AL,19,FALSE)-50),"-",VLOOKUP($A161,'SegEnds_NonXtal_BW#'!$A:$Z,13,FALSE)+VLOOKUP($A161,A:AL,19,FALSE)-50)</f>
        <v>132</v>
      </c>
      <c r="S161" s="3">
        <v>132</v>
      </c>
      <c r="T161" s="100">
        <f>IF(ISERROR(VLOOKUP($A161,'SegEnds_NonXtal_BW#'!$A:$Z,14,FALSE)+VLOOKUP($A161,A:AL,19,FALSE)-50),"-",(VLOOKUP($A161,'SegEnds_NonXtal_BW#'!$A:$Z,14,FALSE)+VLOOKUP($A161,A:AL,19,FALSE)-50))</f>
        <v>139</v>
      </c>
      <c r="U161" s="9">
        <f>IF(ISERROR(VLOOKUP($A161,'SegEnds_NonXtal_BW#'!$A:$Z,15,FALSE)+VLOOKUP($A161,A:AL,22,FALSE)-50),"-",VLOOKUP($A161,'SegEnds_NonXtal_BW#'!$A:$Z,15,FALSE)+VLOOKUP($A161,A:AL,22,FALSE)-50)</f>
        <v>140</v>
      </c>
      <c r="V161" s="3">
        <v>152</v>
      </c>
      <c r="W161" s="3">
        <f>IF(ISERROR(VLOOKUP($A161,'SegEnds_NonXtal_BW#'!$A:$Z,16,FALSE)+VLOOKUP($A161,A:AL,22,FALSE)-50),"-",(VLOOKUP($A161,'SegEnds_NonXtal_BW#'!$A:$Z,16,FALSE)+VLOOKUP($A161,A:AL,22,FALSE)-50))</f>
        <v>164</v>
      </c>
      <c r="X161" s="3">
        <f>IF(ISERROR(VLOOKUP($A161,'SegEnds_NonXtal_BW#'!$A:$Z,17,FALSE)+VLOOKUP($A161,A:AL,25,FALSE)-50),"-",(VLOOKUP($A161,'SegEnds_NonXtal_BW#'!$A:$Z,17,FALSE)+VLOOKUP($A161,A:AL,25,FALSE)-50))</f>
        <v>180</v>
      </c>
      <c r="Y161" s="3">
        <v>180</v>
      </c>
      <c r="Z161" s="3">
        <f t="shared" si="103"/>
        <v>182</v>
      </c>
      <c r="AA161" s="3">
        <f>IF(ISERROR(VLOOKUP($A161,'SegEnds_NonXtal_BW#'!$A:$Z,19,FALSE)+VLOOKUP($A161,A:AL,28,FALSE)-50),"-",(VLOOKUP($A161,'SegEnds_NonXtal_BW#'!$A:$Z,19,FALSE)+VLOOKUP($A161,A:AL,28,FALSE)-50))</f>
        <v>187</v>
      </c>
      <c r="AB161" s="3">
        <v>202</v>
      </c>
      <c r="AC161" s="3">
        <f>IF(ISERROR((VLOOKUP($A161,'SegEnds_NonXtal_BW#'!$A:$Z,20,FALSE)+VLOOKUP($A161,A:AL,28,FALSE)-50)),"-",(VLOOKUP($A161,'SegEnds_NonXtal_BW#'!$A:$Z,20,FALSE)+VLOOKUP($A161,A:AL,28,FALSE)-50))</f>
        <v>228</v>
      </c>
      <c r="AD161" s="3">
        <f>IF(ISERROR(VLOOKUP($A161,'SegEnds_NonXtal_BW#'!$A:$Z,21,FALSE)+VLOOKUP($A161,A:AL,31,FALSE)-50),"-",(VLOOKUP($A161,'SegEnds_NonXtal_BW#'!$A:$Z,21,FALSE)+VLOOKUP($A161,A:AL,31,FALSE)-50))</f>
        <v>404</v>
      </c>
      <c r="AE161" s="3">
        <v>430</v>
      </c>
      <c r="AF161" s="3">
        <f>IF(ISERROR((VLOOKUP($A161,'SegEnds_NonXtal_BW#'!$A:$Z,22,FALSE)+VLOOKUP($A161,A:AL,31,FALSE)-50)),"-",(VLOOKUP($A161,'SegEnds_NonXtal_BW#'!$A:$Z,22,FALSE)+VLOOKUP($A161,A:AL,31,FALSE)-50))</f>
        <v>441</v>
      </c>
      <c r="AG161" s="3">
        <f>IF(ISERROR(VLOOKUP($A161,'SegEnds_NonXtal_BW#'!$A:$Z,23,FALSE)+VLOOKUP($A161,A:AL,34,FALSE)-50),"-",(VLOOKUP($A161,'SegEnds_NonXtal_BW#'!$A:$Z,23,FALSE)+VLOOKUP($A161,A:AL,34,FALSE)-50))</f>
        <v>446</v>
      </c>
      <c r="AH161" s="3">
        <v>465</v>
      </c>
      <c r="AI161" s="3">
        <f>IF(ISERROR((VLOOKUP($A161,'SegEnds_NonXtal_BW#'!$A:$Z,24,FALSE)+VLOOKUP($A161,A:AL,34,FALSE)-50)),"-",(VLOOKUP($A161,'SegEnds_NonXtal_BW#'!$A:$Z,24,FALSE)+VLOOKUP($A161,A:AL,34,FALSE)-50))</f>
        <v>471</v>
      </c>
      <c r="AJ161" s="3">
        <f>IF(ISERROR(VLOOKUP($A161,'SegEnds_NonXtal_BW#'!$A:$Z,25,FALSE)+VLOOKUP($A161,A:AL,37,FALSE)-50),"-",(VLOOKUP($A161,'SegEnds_NonXtal_BW#'!$A:$Z,25,FALSE)+VLOOKUP($A161,A:AL,37,FALSE)-50))</f>
        <v>472</v>
      </c>
      <c r="AK161" s="3">
        <v>475</v>
      </c>
      <c r="AL161" s="3">
        <f>IF(ISERROR((VLOOKUP($A161,'SegEnds_NonXtal_BW#'!$A:$Z,26,FALSE)+VLOOKUP($A161,A:AL,37,FALSE)-50)),"-",(VLOOKUP($A161,'SegEnds_NonXtal_BW#'!$A:$Z,26,FALSE)+VLOOKUP($A161,A:AL,37,FALSE)-50))</f>
        <v>484</v>
      </c>
      <c r="AM161" s="28" t="str">
        <f>VLOOKUP(A161,Classification!A:B,2,FALSE)</f>
        <v>A</v>
      </c>
      <c r="AN161" s="28" t="b">
        <f t="shared" si="98"/>
        <v>1</v>
      </c>
      <c r="AO161" s="3" t="str">
        <f>IF(ISERROR(MATCH(A161,'SegEnds_Xtal_Prot#'!B:B, 0)), "NoXtal", "Xtal")</f>
        <v>Xtal</v>
      </c>
      <c r="AP161" s="3">
        <f t="shared" si="81"/>
        <v>1</v>
      </c>
      <c r="AQ161" s="3">
        <f t="shared" si="82"/>
        <v>1</v>
      </c>
      <c r="AR161" s="3">
        <f t="shared" si="83"/>
        <v>2</v>
      </c>
      <c r="AS161" s="3">
        <f t="shared" si="84"/>
        <v>1</v>
      </c>
      <c r="AT161" s="3">
        <f t="shared" si="85"/>
        <v>1</v>
      </c>
      <c r="AU161" s="3">
        <f t="shared" si="86"/>
        <v>1</v>
      </c>
      <c r="AV161" s="3">
        <f t="shared" si="87"/>
        <v>16</v>
      </c>
      <c r="AW161" s="3">
        <f t="shared" si="88"/>
        <v>5</v>
      </c>
      <c r="AX161" s="3">
        <f t="shared" si="89"/>
        <v>176</v>
      </c>
      <c r="AY161" s="3">
        <f t="shared" si="90"/>
        <v>5</v>
      </c>
      <c r="AZ161" s="3">
        <f t="shared" si="91"/>
        <v>1</v>
      </c>
      <c r="BA161" s="3">
        <f>IF(ISERROR(LEN(VLOOKUP(A161,Seqs!A:E,2,FALSE))-AL161),"-",LEN(VLOOKUP(A161,Seqs!A:E,2,FALSE))-AL161)</f>
        <v>3</v>
      </c>
      <c r="BB161" s="16">
        <f t="shared" si="92"/>
        <v>28</v>
      </c>
      <c r="BC161" s="9">
        <f t="shared" si="93"/>
        <v>20</v>
      </c>
      <c r="BD161" s="3">
        <f t="shared" si="94"/>
        <v>28</v>
      </c>
      <c r="BE161" s="3">
        <f t="shared" si="95"/>
        <v>228</v>
      </c>
      <c r="BF161" s="3">
        <f>AH161-AE161</f>
        <v>35</v>
      </c>
    </row>
    <row r="162" spans="1:58" s="3" customFormat="1" x14ac:dyDescent="0.2">
      <c r="A162" s="3" t="s">
        <v>279</v>
      </c>
      <c r="B162" s="3" t="str">
        <f>LOWER(VLOOKUP(A162,Xtal_Templ!A:B,2,FALSE))</f>
        <v>adrb2_human</v>
      </c>
      <c r="C162" s="3">
        <f>VLOOKUP($A162,'SegEnds_NonXtal_BW#'!$A:$Z,3,FALSE)+D162-50</f>
        <v>11</v>
      </c>
      <c r="D162" s="3">
        <v>36</v>
      </c>
      <c r="E162" s="3">
        <f>IF(ISERROR(VLOOKUP($A162,'SegEnds_NonXtal_BW#'!$A:$Z,4,FALSE)+VLOOKUP($A162,A:AL,4,FALSE)-50),"-",(VLOOKUP($A162,'SegEnds_NonXtal_BW#'!$A:$Z,4,FALSE)+VLOOKUP($A162,A:AL,4,FALSE)-50))</f>
        <v>46</v>
      </c>
      <c r="F162" s="3">
        <f>G162-2</f>
        <v>47</v>
      </c>
      <c r="G162" s="3">
        <v>49</v>
      </c>
      <c r="H162" s="3">
        <f t="shared" si="104"/>
        <v>50</v>
      </c>
      <c r="I162" s="3">
        <f t="shared" si="104"/>
        <v>51</v>
      </c>
      <c r="J162" s="3">
        <v>64</v>
      </c>
      <c r="K162" s="3">
        <f>VLOOKUP($A162,'SegEnds_NonXtal_BW#'!$A:$Z,8,FALSE)+VLOOKUP($A162,A:AL,10,FALSE)-50</f>
        <v>81</v>
      </c>
      <c r="L162" s="3">
        <f t="shared" si="100"/>
        <v>83</v>
      </c>
      <c r="M162" s="3">
        <v>84</v>
      </c>
      <c r="N162" s="3">
        <f t="shared" si="101"/>
        <v>86</v>
      </c>
      <c r="O162" s="3">
        <f t="shared" si="102"/>
        <v>87</v>
      </c>
      <c r="P162" s="3">
        <v>116</v>
      </c>
      <c r="Q162" s="3">
        <f>VLOOKUP($A162,'SegEnds_NonXtal_BW#'!$A:$Z,12,FALSE)+VLOOKUP($A162,A:AL,16,FALSE)-50</f>
        <v>122</v>
      </c>
      <c r="R162" s="3">
        <f>IF(ISERROR(VLOOKUP($A162,'SegEnds_NonXtal_BW#'!$A:$Z,13,FALSE)+VLOOKUP($A162,A:AL,19,FALSE)-50),"-",VLOOKUP($A162,'SegEnds_NonXtal_BW#'!$A:$Z,13,FALSE)+VLOOKUP($A162,A:AL,19,FALSE)-50)</f>
        <v>123</v>
      </c>
      <c r="S162" s="3">
        <v>123</v>
      </c>
      <c r="T162" s="100">
        <f>IF(ISERROR(VLOOKUP($A162,'SegEnds_NonXtal_BW#'!$A:$Z,14,FALSE)+VLOOKUP($A162,A:AL,19,FALSE)-50),"-",(VLOOKUP($A162,'SegEnds_NonXtal_BW#'!$A:$Z,14,FALSE)+VLOOKUP($A162,A:AL,19,FALSE)-50))</f>
        <v>130</v>
      </c>
      <c r="U162" s="9">
        <f>IF(ISERROR(VLOOKUP($A162,'SegEnds_NonXtal_BW#'!$A:$Z,15,FALSE)+VLOOKUP($A162,A:AL,22,FALSE)-50),"-",VLOOKUP($A162,'SegEnds_NonXtal_BW#'!$A:$Z,15,FALSE)+VLOOKUP($A162,A:AL,22,FALSE)-50)</f>
        <v>131</v>
      </c>
      <c r="V162" s="3">
        <v>143</v>
      </c>
      <c r="W162" s="3">
        <f>IF(ISERROR(VLOOKUP($A162,'SegEnds_NonXtal_BW#'!$A:$Z,16,FALSE)+VLOOKUP($A162,A:AL,22,FALSE)-50),"-",(VLOOKUP($A162,'SegEnds_NonXtal_BW#'!$A:$Z,16,FALSE)+VLOOKUP($A162,A:AL,22,FALSE)-50))</f>
        <v>157</v>
      </c>
      <c r="X162" s="3">
        <f>IF(ISERROR(VLOOKUP($A162,'SegEnds_NonXtal_BW#'!$A:$Z,17,FALSE)+VLOOKUP($A162,A:AL,25,FALSE)-50),"-",(VLOOKUP($A162,'SegEnds_NonXtal_BW#'!$A:$Z,17,FALSE)+VLOOKUP($A162,A:AL,25,FALSE)-50))</f>
        <v>174</v>
      </c>
      <c r="Y162" s="3">
        <v>174</v>
      </c>
      <c r="Z162" s="3">
        <f t="shared" si="103"/>
        <v>176</v>
      </c>
      <c r="AA162" s="3">
        <f>IF(ISERROR(VLOOKUP($A162,'SegEnds_NonXtal_BW#'!$A:$Z,19,FALSE)+VLOOKUP($A162,A:AL,28,FALSE)-50),"-",(VLOOKUP($A162,'SegEnds_NonXtal_BW#'!$A:$Z,19,FALSE)+VLOOKUP($A162,A:AL,28,FALSE)-50))</f>
        <v>179</v>
      </c>
      <c r="AB162" s="3">
        <v>194</v>
      </c>
      <c r="AC162" s="3">
        <f>IF(ISERROR((VLOOKUP($A162,'SegEnds_NonXtal_BW#'!$A:$Z,20,FALSE)+VLOOKUP($A162,A:AL,28,FALSE)-50)),"-",(VLOOKUP($A162,'SegEnds_NonXtal_BW#'!$A:$Z,20,FALSE)+VLOOKUP($A162,A:AL,28,FALSE)-50))</f>
        <v>217</v>
      </c>
      <c r="AD162" s="3">
        <f>IF(ISERROR(VLOOKUP($A162,'SegEnds_NonXtal_BW#'!$A:$Z,21,FALSE)+VLOOKUP($A162,A:AL,31,FALSE)-50),"-",(VLOOKUP($A162,'SegEnds_NonXtal_BW#'!$A:$Z,21,FALSE)+VLOOKUP($A162,A:AL,31,FALSE)-50))</f>
        <v>221</v>
      </c>
      <c r="AE162" s="3">
        <v>249</v>
      </c>
      <c r="AF162" s="3">
        <f>IF(ISERROR((VLOOKUP($A162,'SegEnds_NonXtal_BW#'!$A:$Z,22,FALSE)+VLOOKUP($A162,A:AL,31,FALSE)-50)),"-",(VLOOKUP($A162,'SegEnds_NonXtal_BW#'!$A:$Z,22,FALSE)+VLOOKUP($A162,A:AL,31,FALSE)-50))</f>
        <v>260</v>
      </c>
      <c r="AG162" s="3">
        <f>IF(ISERROR(VLOOKUP($A162,'SegEnds_NonXtal_BW#'!$A:$Z,23,FALSE)+VLOOKUP($A162,A:AL,34,FALSE)-50),"-",(VLOOKUP($A162,'SegEnds_NonXtal_BW#'!$A:$Z,23,FALSE)+VLOOKUP($A162,A:AL,34,FALSE)-50))</f>
        <v>266</v>
      </c>
      <c r="AH162" s="3">
        <v>285</v>
      </c>
      <c r="AI162" s="3">
        <v>291</v>
      </c>
      <c r="AJ162" s="3">
        <f>IF(ISERROR(VLOOKUP($A162,'SegEnds_NonXtal_BW#'!$A:$Z,25,FALSE)+VLOOKUP($A162,A:AL,37,FALSE)-50),"-",(VLOOKUP($A162,'SegEnds_NonXtal_BW#'!$A:$Z,25,FALSE)+VLOOKUP($A162,A:AL,37,FALSE)-50))</f>
        <v>292</v>
      </c>
      <c r="AK162" s="3">
        <v>295</v>
      </c>
      <c r="AL162" s="3">
        <f>IF(ISERROR((VLOOKUP($A162,'SegEnds_NonXtal_BW#'!$A:$Z,26,FALSE)+VLOOKUP($A162,A:AL,37,FALSE)-50)),"-",(VLOOKUP($A162,'SegEnds_NonXtal_BW#'!$A:$Z,26,FALSE)+VLOOKUP($A162,A:AL,37,FALSE)-50))</f>
        <v>304</v>
      </c>
      <c r="AM162" s="28" t="str">
        <f>VLOOKUP(A162,Classification!A:B,2,FALSE)</f>
        <v>A</v>
      </c>
      <c r="AN162" s="28" t="b">
        <f t="shared" si="98"/>
        <v>1</v>
      </c>
      <c r="AO162" s="3" t="str">
        <f>IF(ISERROR(MATCH(A162,'SegEnds_Xtal_Prot#'!B:B, 0)), "NoXtal", "Xtal")</f>
        <v>NoXtal</v>
      </c>
      <c r="AP162" s="3">
        <f t="shared" si="81"/>
        <v>1</v>
      </c>
      <c r="AQ162" s="3">
        <f t="shared" si="82"/>
        <v>1</v>
      </c>
      <c r="AR162" s="3">
        <f t="shared" si="83"/>
        <v>2</v>
      </c>
      <c r="AS162" s="3">
        <f t="shared" si="84"/>
        <v>1</v>
      </c>
      <c r="AT162" s="3">
        <f t="shared" si="85"/>
        <v>1</v>
      </c>
      <c r="AU162" s="3">
        <f t="shared" si="86"/>
        <v>1</v>
      </c>
      <c r="AV162" s="3">
        <f t="shared" si="87"/>
        <v>17</v>
      </c>
      <c r="AW162" s="3">
        <f t="shared" si="88"/>
        <v>3</v>
      </c>
      <c r="AX162" s="3">
        <f t="shared" si="89"/>
        <v>4</v>
      </c>
      <c r="AY162" s="3">
        <f t="shared" si="90"/>
        <v>6</v>
      </c>
      <c r="AZ162" s="3">
        <f t="shared" si="91"/>
        <v>1</v>
      </c>
      <c r="BA162" s="3">
        <f>IF(ISERROR(LEN(VLOOKUP(A162,Seqs!A:E,2,FALSE))-AL162),"-",LEN(VLOOKUP(A162,Seqs!A:E,2,FALSE))-AL162)</f>
        <v>55</v>
      </c>
      <c r="BB162" s="16">
        <f t="shared" si="92"/>
        <v>28</v>
      </c>
      <c r="BC162" s="9">
        <f t="shared" si="93"/>
        <v>20</v>
      </c>
      <c r="BD162" s="3">
        <f t="shared" si="94"/>
        <v>28</v>
      </c>
      <c r="BE162" s="3">
        <f t="shared" si="95"/>
        <v>55</v>
      </c>
    </row>
    <row r="163" spans="1:58" s="3" customFormat="1" x14ac:dyDescent="0.2">
      <c r="A163" s="3" t="s">
        <v>282</v>
      </c>
      <c r="B163" s="3" t="str">
        <f>LOWER(VLOOKUP(A163,Xtal_Templ!A:B,2,FALSE))</f>
        <v>oprk_human</v>
      </c>
      <c r="C163" s="3">
        <f>VLOOKUP($A163,'SegEnds_NonXtal_BW#'!$A:$Z,3,FALSE)+D163-50</f>
        <v>40</v>
      </c>
      <c r="D163" s="3">
        <v>60</v>
      </c>
      <c r="E163" s="3">
        <f>IF(ISERROR(VLOOKUP($A163,'SegEnds_NonXtal_BW#'!$A:$Z,4,FALSE)+VLOOKUP($A163,A:AL,4,FALSE)-50),"-",(VLOOKUP($A163,'SegEnds_NonXtal_BW#'!$A:$Z,4,FALSE)+VLOOKUP($A163,A:AL,4,FALSE)-50))</f>
        <v>70</v>
      </c>
      <c r="F163" s="3">
        <f>G163-2</f>
        <v>71</v>
      </c>
      <c r="G163" s="3">
        <v>73</v>
      </c>
      <c r="H163" s="3">
        <f t="shared" si="104"/>
        <v>74</v>
      </c>
      <c r="I163" s="3">
        <f t="shared" si="104"/>
        <v>75</v>
      </c>
      <c r="J163" s="3">
        <v>88</v>
      </c>
      <c r="K163" s="3">
        <f>VLOOKUP($A163,'SegEnds_NonXtal_BW#'!$A:$Z,8,FALSE)+VLOOKUP($A163,A:AL,10,FALSE)-50</f>
        <v>105</v>
      </c>
      <c r="L163" s="3">
        <f t="shared" si="100"/>
        <v>107</v>
      </c>
      <c r="M163" s="3">
        <v>108</v>
      </c>
      <c r="N163" s="3">
        <f t="shared" si="101"/>
        <v>110</v>
      </c>
      <c r="O163" s="3">
        <f t="shared" si="102"/>
        <v>111</v>
      </c>
      <c r="P163" s="3">
        <v>140</v>
      </c>
      <c r="Q163" s="3">
        <f>VLOOKUP($A163,'SegEnds_NonXtal_BW#'!$A:$Z,12,FALSE)+VLOOKUP($A163,A:AL,16,FALSE)-50</f>
        <v>146</v>
      </c>
      <c r="R163" s="3">
        <f>IF(ISERROR(VLOOKUP($A163,'SegEnds_NonXtal_BW#'!$A:$Z,13,FALSE)+VLOOKUP($A163,A:AL,19,FALSE)-50),"-",VLOOKUP($A163,'SegEnds_NonXtal_BW#'!$A:$Z,13,FALSE)+VLOOKUP($A163,A:AL,19,FALSE)-50)</f>
        <v>147</v>
      </c>
      <c r="S163" s="3">
        <v>147</v>
      </c>
      <c r="T163" s="100">
        <f>IF(ISERROR(VLOOKUP($A163,'SegEnds_NonXtal_BW#'!$A:$Z,14,FALSE)+VLOOKUP($A163,A:AL,19,FALSE)-50),"-",(VLOOKUP($A163,'SegEnds_NonXtal_BW#'!$A:$Z,14,FALSE)+VLOOKUP($A163,A:AL,19,FALSE)-50))</f>
        <v>154</v>
      </c>
      <c r="U163" s="9">
        <f>IF(ISERROR(VLOOKUP($A163,'SegEnds_NonXtal_BW#'!$A:$Z,15,FALSE)+VLOOKUP($A163,A:AL,22,FALSE)-50),"-",VLOOKUP($A163,'SegEnds_NonXtal_BW#'!$A:$Z,15,FALSE)+VLOOKUP($A163,A:AL,22,FALSE)-50)</f>
        <v>155</v>
      </c>
      <c r="V163" s="3">
        <v>167</v>
      </c>
      <c r="W163" s="3">
        <f>IF(ISERROR(VLOOKUP($A163,'SegEnds_NonXtal_BW#'!$A:$Z,16,FALSE)+VLOOKUP($A163,A:AL,22,FALSE)-50),"-",(VLOOKUP($A163,'SegEnds_NonXtal_BW#'!$A:$Z,16,FALSE)+VLOOKUP($A163,A:AL,22,FALSE)-50))</f>
        <v>181</v>
      </c>
      <c r="X163" s="3">
        <f>IF(ISERROR(VLOOKUP($A163,'SegEnds_NonXtal_BW#'!$A:$Z,17,FALSE)+VLOOKUP($A163,A:AL,25,FALSE)-50),"-",(VLOOKUP($A163,'SegEnds_NonXtal_BW#'!$A:$Z,17,FALSE)+VLOOKUP($A163,A:AL,25,FALSE)-50))</f>
        <v>191</v>
      </c>
      <c r="Y163" s="3">
        <v>191</v>
      </c>
      <c r="Z163" s="3">
        <f t="shared" si="103"/>
        <v>193</v>
      </c>
      <c r="AA163" s="3">
        <f>IF(ISERROR(VLOOKUP($A163,'SegEnds_NonXtal_BW#'!$A:$Z,19,FALSE)+VLOOKUP($A163,A:AL,28,FALSE)-50),"-",(VLOOKUP($A163,'SegEnds_NonXtal_BW#'!$A:$Z,19,FALSE)+VLOOKUP($A163,A:AL,28,FALSE)-50))</f>
        <v>196</v>
      </c>
      <c r="AB163" s="3">
        <v>216</v>
      </c>
      <c r="AC163" s="3">
        <f>IF(ISERROR((VLOOKUP($A163,'SegEnds_NonXtal_BW#'!$A:$Z,20,FALSE)+VLOOKUP($A163,A:AL,28,FALSE)-50)),"-",(VLOOKUP($A163,'SegEnds_NonXtal_BW#'!$A:$Z,20,FALSE)+VLOOKUP($A163,A:AL,28,FALSE)-50))</f>
        <v>240</v>
      </c>
      <c r="AD163" s="3">
        <f>IF(ISERROR(VLOOKUP($A163,'SegEnds_NonXtal_BW#'!$A:$Z,21,FALSE)+VLOOKUP($A163,A:AL,31,FALSE)-50),"-",(VLOOKUP($A163,'SegEnds_NonXtal_BW#'!$A:$Z,21,FALSE)+VLOOKUP($A163,A:AL,31,FALSE)-50))</f>
        <v>249</v>
      </c>
      <c r="AE163" s="3">
        <v>278</v>
      </c>
      <c r="AF163" s="3">
        <f>IF(ISERROR((VLOOKUP($A163,'SegEnds_NonXtal_BW#'!$A:$Z,22,FALSE)+VLOOKUP($A163,A:AL,31,FALSE)-50)),"-",(VLOOKUP($A163,'SegEnds_NonXtal_BW#'!$A:$Z,22,FALSE)+VLOOKUP($A163,A:AL,31,FALSE)-50))</f>
        <v>289</v>
      </c>
      <c r="AG163" s="3">
        <f>IF(ISERROR(VLOOKUP($A163,'SegEnds_NonXtal_BW#'!$A:$Z,23,FALSE)+VLOOKUP($A163,A:AL,34,FALSE)-50),"-",(VLOOKUP($A163,'SegEnds_NonXtal_BW#'!$A:$Z,23,FALSE)+VLOOKUP($A163,A:AL,34,FALSE)-50))</f>
        <v>298</v>
      </c>
      <c r="AH163" s="3">
        <v>320</v>
      </c>
      <c r="AI163" s="3">
        <f>IF(ISERROR((VLOOKUP($A163,'SegEnds_NonXtal_BW#'!$A:$Z,24,FALSE)+VLOOKUP($A163,A:AL,34,FALSE)-50)),"-",(VLOOKUP($A163,'SegEnds_NonXtal_BW#'!$A:$Z,24,FALSE)+VLOOKUP($A163,A:AL,34,FALSE)-50))</f>
        <v>326</v>
      </c>
      <c r="AJ163" s="3">
        <f>IF(ISERROR(VLOOKUP($A163,'SegEnds_NonXtal_BW#'!$A:$Z,25,FALSE)+VLOOKUP($A163,A:AL,37,FALSE)-50),"-",(VLOOKUP($A163,'SegEnds_NonXtal_BW#'!$A:$Z,25,FALSE)+VLOOKUP($A163,A:AL,37,FALSE)-50))</f>
        <v>327</v>
      </c>
      <c r="AK163" s="3">
        <v>330</v>
      </c>
      <c r="AL163" s="3">
        <f>IF(ISERROR((VLOOKUP($A163,'SegEnds_NonXtal_BW#'!$A:$Z,26,FALSE)+VLOOKUP($A163,A:AL,37,FALSE)-50)),"-",(VLOOKUP($A163,'SegEnds_NonXtal_BW#'!$A:$Z,26,FALSE)+VLOOKUP($A163,A:AL,37,FALSE)-50))</f>
        <v>339</v>
      </c>
      <c r="AM163" s="28" t="str">
        <f>VLOOKUP(A163,Classification!A:B,2,FALSE)</f>
        <v>A</v>
      </c>
      <c r="AN163" s="28" t="b">
        <f t="shared" si="98"/>
        <v>1</v>
      </c>
      <c r="AO163" s="3" t="str">
        <f>IF(ISERROR(MATCH(A163,'SegEnds_Xtal_Prot#'!B:B, 0)), "NoXtal", "Xtal")</f>
        <v>NoXtal</v>
      </c>
      <c r="AP163" s="3">
        <f t="shared" si="81"/>
        <v>1</v>
      </c>
      <c r="AQ163" s="3">
        <f t="shared" si="82"/>
        <v>1</v>
      </c>
      <c r="AR163" s="3">
        <f t="shared" si="83"/>
        <v>2</v>
      </c>
      <c r="AS163" s="3">
        <f t="shared" si="84"/>
        <v>1</v>
      </c>
      <c r="AT163" s="3">
        <f t="shared" si="85"/>
        <v>1</v>
      </c>
      <c r="AU163" s="3">
        <f t="shared" si="86"/>
        <v>1</v>
      </c>
      <c r="AV163" s="3">
        <f t="shared" si="87"/>
        <v>10</v>
      </c>
      <c r="AW163" s="3">
        <f t="shared" si="88"/>
        <v>3</v>
      </c>
      <c r="AX163" s="3">
        <f t="shared" si="89"/>
        <v>9</v>
      </c>
      <c r="AY163" s="3">
        <f t="shared" si="90"/>
        <v>9</v>
      </c>
      <c r="AZ163" s="3">
        <f t="shared" si="91"/>
        <v>1</v>
      </c>
      <c r="BA163" s="3">
        <f>IF(ISERROR(LEN(VLOOKUP(A163,Seqs!A:E,2,FALSE))-AL163),"-",LEN(VLOOKUP(A163,Seqs!A:E,2,FALSE))-AL163)</f>
        <v>59</v>
      </c>
      <c r="BB163" s="16">
        <f t="shared" si="92"/>
        <v>28</v>
      </c>
      <c r="BC163" s="9">
        <f t="shared" si="93"/>
        <v>20</v>
      </c>
      <c r="BD163" s="3">
        <f t="shared" si="94"/>
        <v>28</v>
      </c>
      <c r="BE163" s="3">
        <f t="shared" si="95"/>
        <v>62</v>
      </c>
    </row>
    <row r="164" spans="1:58" s="3" customFormat="1" x14ac:dyDescent="0.2">
      <c r="A164" s="3" t="s">
        <v>283</v>
      </c>
      <c r="B164" s="3" t="str">
        <f>LOWER(VLOOKUP(A164,Xtal_Templ!A:B,2,FALSE))</f>
        <v>agtr1_human</v>
      </c>
      <c r="C164" s="3">
        <f>VLOOKUP($A164,'SegEnds_NonXtal_BW#'!$A:$Z,3,FALSE)+D164-50</f>
        <v>534</v>
      </c>
      <c r="D164" s="3">
        <v>556</v>
      </c>
      <c r="E164" s="3">
        <f>IF(ISERROR(VLOOKUP($A164,'SegEnds_NonXtal_BW#'!$A:$Z,4,FALSE)+VLOOKUP($A164,A:AL,4,FALSE)-50),"-",(VLOOKUP($A164,'SegEnds_NonXtal_BW#'!$A:$Z,4,FALSE)+VLOOKUP($A164,A:AL,4,FALSE)-50))</f>
        <v>566</v>
      </c>
      <c r="F164" s="3" t="str">
        <f>IF(ISERROR(VLOOKUP($A164,'SegEnds_NonXtal_BW#'!$A:$Z,5,FALSE)+VLOOKUP($A164,A:AL,7,FALSE)-50),"-",(VLOOKUP($A164,'SegEnds_NonXtal_BW#'!$A:$Z,5,FALSE)+VLOOKUP($A164,A:AL,7,FALSE)-50))</f>
        <v>-</v>
      </c>
      <c r="G164" s="3" t="s">
        <v>23</v>
      </c>
      <c r="H164" s="3" t="str">
        <f>IF(ISERROR(VLOOKUP($A164,'SegEnds_NonXtal_BW#'!$A:$Z,6,FALSE)+VLOOKUP($A164,A:AL,7,FALSE)-50),"-",(VLOOKUP($A164,'SegEnds_NonXtal_BW#'!$A:$Z,6,FALSE)+VLOOKUP($A164,A:AL,7,FALSE)-50))</f>
        <v>-</v>
      </c>
      <c r="I164" s="3">
        <f>VLOOKUP($A164,'SegEnds_NonXtal_BW#'!$A:$Z,7,FALSE)+J164-50</f>
        <v>571</v>
      </c>
      <c r="J164" s="3">
        <v>584</v>
      </c>
      <c r="K164" s="3">
        <f>VLOOKUP($A164,'SegEnds_NonXtal_BW#'!$A:$Z,8,FALSE)+VLOOKUP($A164,A:AL,10,FALSE)-50</f>
        <v>601</v>
      </c>
      <c r="L164" s="3" t="str">
        <f>IF(ISERROR(VLOOKUP($A164,'SegEnds_NonXtal_BW#'!$A:$Z,9,FALSE)+VLOOKUP($A164,A:AL,13,FALSE)-50),"-",(VLOOKUP($A164,'SegEnds_NonXtal_BW#'!$A:$Z,9,FALSE)+VLOOKUP($A164,A:AL,13,FALSE)-50))</f>
        <v>-</v>
      </c>
      <c r="M164" s="3" t="s">
        <v>23</v>
      </c>
      <c r="N164" s="3" t="str">
        <f>IF(ISERROR(VLOOKUP($A164,'SegEnds_NonXtal_BW#'!$A:$Z,10,FALSE)+VLOOKUP($A164,A:AL,13,FALSE)-50),"-",(VLOOKUP($A164,'SegEnds_NonXtal_BW#'!$A:$Z,10,FALSE)+VLOOKUP($A164,A:AL,13,FALSE)-50))</f>
        <v>-</v>
      </c>
      <c r="O164" s="3">
        <f>VLOOKUP($A164,'SegEnds_NonXtal_BW#'!$A:$Z,11,FALSE)+VLOOKUP($A164,A:AL,16,FALSE)-50</f>
        <v>611</v>
      </c>
      <c r="P164" s="3">
        <v>643</v>
      </c>
      <c r="Q164" s="3">
        <f>VLOOKUP($A164,'SegEnds_NonXtal_BW#'!$A:$Z,12,FALSE)+VLOOKUP($A164,A:AL,16,FALSE)-50</f>
        <v>649</v>
      </c>
      <c r="R164" s="3">
        <f>IF(ISERROR(VLOOKUP($A164,'SegEnds_NonXtal_BW#'!$A:$Z,13,FALSE)+VLOOKUP($A164,A:AL,19,FALSE)-50),"-",VLOOKUP($A164,'SegEnds_NonXtal_BW#'!$A:$Z,13,FALSE)+VLOOKUP($A164,A:AL,19,FALSE)-50)</f>
        <v>650</v>
      </c>
      <c r="S164" s="3">
        <v>650</v>
      </c>
      <c r="T164" s="100">
        <f>IF(ISERROR(VLOOKUP($A164,'SegEnds_NonXtal_BW#'!$A:$Z,14,FALSE)+VLOOKUP($A164,A:AL,19,FALSE)-50),"-",(VLOOKUP($A164,'SegEnds_NonXtal_BW#'!$A:$Z,14,FALSE)+VLOOKUP($A164,A:AL,19,FALSE)-50))</f>
        <v>657</v>
      </c>
      <c r="U164" s="9">
        <f>IF(ISERROR(VLOOKUP($A164,'SegEnds_NonXtal_BW#'!$A:$Z,15,FALSE)+VLOOKUP($A164,A:AL,22,FALSE)-50),"-",VLOOKUP($A164,'SegEnds_NonXtal_BW#'!$A:$Z,15,FALSE)+VLOOKUP($A164,A:AL,22,FALSE)-50)</f>
        <v>658</v>
      </c>
      <c r="V164" s="3">
        <v>670</v>
      </c>
      <c r="W164" s="3">
        <f>IF(ISERROR(VLOOKUP($A164,'SegEnds_NonXtal_BW#'!$A:$Z,16,FALSE)+VLOOKUP($A164,A:AL,22,FALSE)-50),"-",(VLOOKUP($A164,'SegEnds_NonXtal_BW#'!$A:$Z,16,FALSE)+VLOOKUP($A164,A:AL,22,FALSE)-50))</f>
        <v>684</v>
      </c>
      <c r="X164" s="3">
        <f>IF(ISERROR(VLOOKUP($A164,'SegEnds_NonXtal_BW#'!$A:$Z,17,FALSE)+VLOOKUP($A164,A:AL,25,FALSE)-50),"-",(VLOOKUP($A164,'SegEnds_NonXtal_BW#'!$A:$Z,17,FALSE)+VLOOKUP($A164,A:AL,25,FALSE)-50))</f>
        <v>693</v>
      </c>
      <c r="Y164" s="3">
        <v>693</v>
      </c>
      <c r="Z164" s="3">
        <f t="shared" si="103"/>
        <v>695</v>
      </c>
      <c r="AA164" s="3">
        <f>IF(ISERROR(VLOOKUP($A164,'SegEnds_NonXtal_BW#'!$A:$Z,19,FALSE)+VLOOKUP($A164,A:AL,28,FALSE)-50),"-",(VLOOKUP($A164,'SegEnds_NonXtal_BW#'!$A:$Z,19,FALSE)+VLOOKUP($A164,A:AL,28,FALSE)-50))</f>
        <v>701</v>
      </c>
      <c r="AB164" s="3">
        <v>717</v>
      </c>
      <c r="AC164" s="3">
        <f>IF(ISERROR((VLOOKUP($A164,'SegEnds_NonXtal_BW#'!$A:$Z,20,FALSE)+VLOOKUP($A164,A:AL,28,FALSE)-50)),"-",(VLOOKUP($A164,'SegEnds_NonXtal_BW#'!$A:$Z,20,FALSE)+VLOOKUP($A164,A:AL,28,FALSE)-50))</f>
        <v>734</v>
      </c>
      <c r="AD164" s="3">
        <f>IF(ISERROR(VLOOKUP($A164,'SegEnds_NonXtal_BW#'!$A:$Z,21,FALSE)+VLOOKUP($A164,A:AL,31,FALSE)-50),"-",(VLOOKUP($A164,'SegEnds_NonXtal_BW#'!$A:$Z,21,FALSE)+VLOOKUP($A164,A:AL,31,FALSE)-50))</f>
        <v>740</v>
      </c>
      <c r="AE164" s="3">
        <v>762</v>
      </c>
      <c r="AF164" s="3">
        <f>IF(ISERROR((VLOOKUP($A164,'SegEnds_NonXtal_BW#'!$A:$Z,22,FALSE)+VLOOKUP($A164,A:AL,31,FALSE)-50)),"-",(VLOOKUP($A164,'SegEnds_NonXtal_BW#'!$A:$Z,22,FALSE)+VLOOKUP($A164,A:AL,31,FALSE)-50))</f>
        <v>773</v>
      </c>
      <c r="AG164" s="3">
        <f>IF(ISERROR(VLOOKUP($A164,'SegEnds_NonXtal_BW#'!$A:$Z,23,FALSE)+VLOOKUP($A164,A:AL,34,FALSE)-50),"-",(VLOOKUP($A164,'SegEnds_NonXtal_BW#'!$A:$Z,23,FALSE)+VLOOKUP($A164,A:AL,34,FALSE)-50))</f>
        <v>779</v>
      </c>
      <c r="AH164" s="3">
        <v>798</v>
      </c>
      <c r="AI164" s="3">
        <f>IF(ISERROR((VLOOKUP($A164,'SegEnds_NonXtal_BW#'!$A:$Z,24,FALSE)+VLOOKUP($A164,A:AL,34,FALSE)-50)),"-",(VLOOKUP($A164,'SegEnds_NonXtal_BW#'!$A:$Z,24,FALSE)+VLOOKUP($A164,A:AL,34,FALSE)-50))</f>
        <v>804</v>
      </c>
      <c r="AJ164" s="3">
        <f>IF(ISERROR(VLOOKUP($A164,'SegEnds_NonXtal_BW#'!$A:$Z,25,FALSE)+VLOOKUP($A164,A:AL,37,FALSE)-50),"-",(VLOOKUP($A164,'SegEnds_NonXtal_BW#'!$A:$Z,25,FALSE)+VLOOKUP($A164,A:AL,37,FALSE)-50))</f>
        <v>805</v>
      </c>
      <c r="AK164" s="3">
        <v>808</v>
      </c>
      <c r="AL164" s="3">
        <f>IF(ISERROR((VLOOKUP($A164,'SegEnds_NonXtal_BW#'!$A:$Z,26,FALSE)+VLOOKUP($A164,A:AL,37,FALSE)-50)),"-",(VLOOKUP($A164,'SegEnds_NonXtal_BW#'!$A:$Z,26,FALSE)+VLOOKUP($A164,A:AL,37,FALSE)-50))</f>
        <v>819</v>
      </c>
      <c r="AM164" s="28" t="str">
        <f>VLOOKUP(A164,Classification!A:B,2,FALSE)</f>
        <v>A</v>
      </c>
      <c r="AN164" s="28" t="b">
        <f t="shared" si="98"/>
        <v>1</v>
      </c>
      <c r="AO164" s="3" t="str">
        <f>IF(ISERROR(MATCH(A164,'SegEnds_Xtal_Prot#'!B:B, 0)), "NoXtal", "Xtal")</f>
        <v>NoXtal</v>
      </c>
      <c r="AP164" s="3" t="str">
        <f t="shared" si="81"/>
        <v>-</v>
      </c>
      <c r="AQ164" s="3" t="str">
        <f t="shared" si="82"/>
        <v>-</v>
      </c>
      <c r="AR164" s="3" t="str">
        <f t="shared" si="83"/>
        <v>-</v>
      </c>
      <c r="AS164" s="3" t="str">
        <f t="shared" si="84"/>
        <v>-</v>
      </c>
      <c r="AT164" s="3">
        <f t="shared" si="85"/>
        <v>1</v>
      </c>
      <c r="AU164" s="3">
        <f t="shared" si="86"/>
        <v>1</v>
      </c>
      <c r="AV164" s="3">
        <f t="shared" si="87"/>
        <v>9</v>
      </c>
      <c r="AW164" s="3">
        <f t="shared" si="88"/>
        <v>6</v>
      </c>
      <c r="AX164" s="3">
        <f t="shared" si="89"/>
        <v>6</v>
      </c>
      <c r="AY164" s="3">
        <f t="shared" si="90"/>
        <v>6</v>
      </c>
      <c r="AZ164" s="3">
        <f t="shared" si="91"/>
        <v>1</v>
      </c>
      <c r="BA164" s="3">
        <f>IF(ISERROR(LEN(VLOOKUP(A164,Seqs!A:E,2,FALSE))-AL164),"-",LEN(VLOOKUP(A164,Seqs!A:E,2,FALSE))-AL164)</f>
        <v>132</v>
      </c>
      <c r="BB164" s="16">
        <f t="shared" si="92"/>
        <v>28</v>
      </c>
      <c r="BC164" s="9">
        <f t="shared" si="93"/>
        <v>20</v>
      </c>
      <c r="BD164" s="3">
        <f t="shared" si="94"/>
        <v>28</v>
      </c>
      <c r="BE164" s="3">
        <f t="shared" si="95"/>
        <v>45</v>
      </c>
    </row>
    <row r="165" spans="1:58" s="3" customFormat="1" x14ac:dyDescent="0.2">
      <c r="A165" s="3" t="s">
        <v>284</v>
      </c>
      <c r="B165" s="3" t="str">
        <f>LOWER(VLOOKUP(A165,Xtal_Templ!A:B,2,FALSE))</f>
        <v>aa2ar_human</v>
      </c>
      <c r="C165" s="3">
        <f>VLOOKUP($A165,'SegEnds_NonXtal_BW#'!$A:$Z,3,FALSE)+D165-50</f>
        <v>552</v>
      </c>
      <c r="D165" s="3">
        <v>575</v>
      </c>
      <c r="E165" s="3">
        <f>IF(ISERROR(VLOOKUP($A165,'SegEnds_NonXtal_BW#'!$A:$Z,4,FALSE)+VLOOKUP($A165,A:AL,4,FALSE)-50),"-",(VLOOKUP($A165,'SegEnds_NonXtal_BW#'!$A:$Z,4,FALSE)+VLOOKUP($A165,A:AL,4,FALSE)-50))</f>
        <v>585</v>
      </c>
      <c r="F165" s="3" t="str">
        <f>IF(ISERROR(VLOOKUP($A165,'SegEnds_NonXtal_BW#'!$A:$Z,5,FALSE)+VLOOKUP($A165,A:AL,7,FALSE)-50),"-",(VLOOKUP($A165,'SegEnds_NonXtal_BW#'!$A:$Z,5,FALSE)+VLOOKUP($A165,A:AL,7,FALSE)-50))</f>
        <v>-</v>
      </c>
      <c r="G165" s="3" t="s">
        <v>23</v>
      </c>
      <c r="H165" s="3" t="str">
        <f>IF(ISERROR(VLOOKUP($A165,'SegEnds_NonXtal_BW#'!$A:$Z,6,FALSE)+VLOOKUP($A165,A:AL,7,FALSE)-50),"-",(VLOOKUP($A165,'SegEnds_NonXtal_BW#'!$A:$Z,6,FALSE)+VLOOKUP($A165,A:AL,7,FALSE)-50))</f>
        <v>-</v>
      </c>
      <c r="I165" s="3">
        <f>VLOOKUP($A165,'SegEnds_NonXtal_BW#'!$A:$Z,7,FALSE)+J165-50</f>
        <v>590</v>
      </c>
      <c r="J165" s="3">
        <v>603</v>
      </c>
      <c r="K165" s="3">
        <f>VLOOKUP($A165,'SegEnds_NonXtal_BW#'!$A:$Z,8,FALSE)+VLOOKUP($A165,A:AL,10,FALSE)-50</f>
        <v>620</v>
      </c>
      <c r="L165" s="3" t="str">
        <f>IF(ISERROR(VLOOKUP($A165,'SegEnds_NonXtal_BW#'!$A:$Z,9,FALSE)+VLOOKUP($A165,A:AL,13,FALSE)-50),"-",(VLOOKUP($A165,'SegEnds_NonXtal_BW#'!$A:$Z,9,FALSE)+VLOOKUP($A165,A:AL,13,FALSE)-50))</f>
        <v>-</v>
      </c>
      <c r="M165" s="3" t="s">
        <v>23</v>
      </c>
      <c r="N165" s="3" t="str">
        <f>IF(ISERROR(VLOOKUP($A165,'SegEnds_NonXtal_BW#'!$A:$Z,10,FALSE)+VLOOKUP($A165,A:AL,13,FALSE)-50),"-",(VLOOKUP($A165,'SegEnds_NonXtal_BW#'!$A:$Z,10,FALSE)+VLOOKUP($A165,A:AL,13,FALSE)-50))</f>
        <v>-</v>
      </c>
      <c r="O165" s="3">
        <f>VLOOKUP($A165,'SegEnds_NonXtal_BW#'!$A:$Z,11,FALSE)+VLOOKUP($A165,A:AL,16,FALSE)-50</f>
        <v>630</v>
      </c>
      <c r="P165" s="3">
        <v>662</v>
      </c>
      <c r="Q165" s="3">
        <f>VLOOKUP($A165,'SegEnds_NonXtal_BW#'!$A:$Z,12,FALSE)+VLOOKUP($A165,A:AL,16,FALSE)-50</f>
        <v>668</v>
      </c>
      <c r="R165" s="3">
        <f>IF(ISERROR(VLOOKUP($A165,'SegEnds_NonXtal_BW#'!$A:$Z,13,FALSE)+VLOOKUP($A165,A:AL,19,FALSE)-50),"-",VLOOKUP($A165,'SegEnds_NonXtal_BW#'!$A:$Z,13,FALSE)+VLOOKUP($A165,A:AL,19,FALSE)-50)</f>
        <v>669</v>
      </c>
      <c r="S165" s="3">
        <v>669</v>
      </c>
      <c r="T165" s="100">
        <f>IF(ISERROR(VLOOKUP($A165,'SegEnds_NonXtal_BW#'!$A:$Z,14,FALSE)+VLOOKUP($A165,A:AL,19,FALSE)-50),"-",(VLOOKUP($A165,'SegEnds_NonXtal_BW#'!$A:$Z,14,FALSE)+VLOOKUP($A165,A:AL,19,FALSE)-50))</f>
        <v>676</v>
      </c>
      <c r="U165" s="9">
        <f>IF(ISERROR(VLOOKUP($A165,'SegEnds_NonXtal_BW#'!$A:$Z,15,FALSE)+VLOOKUP($A165,A:AL,22,FALSE)-50),"-",VLOOKUP($A165,'SegEnds_NonXtal_BW#'!$A:$Z,15,FALSE)+VLOOKUP($A165,A:AL,22,FALSE)-50)</f>
        <v>677</v>
      </c>
      <c r="V165" s="3">
        <v>689</v>
      </c>
      <c r="W165" s="3">
        <f>IF(ISERROR(VLOOKUP($A165,'SegEnds_NonXtal_BW#'!$A:$Z,16,FALSE)+VLOOKUP($A165,A:AL,22,FALSE)-50),"-",(VLOOKUP($A165,'SegEnds_NonXtal_BW#'!$A:$Z,16,FALSE)+VLOOKUP($A165,A:AL,22,FALSE)-50))</f>
        <v>702</v>
      </c>
      <c r="X165" s="3">
        <f>IF(ISERROR(VLOOKUP($A165,'SegEnds_NonXtal_BW#'!$A:$Z,17,FALSE)+VLOOKUP($A165,A:AL,25,FALSE)-50),"-",(VLOOKUP($A165,'SegEnds_NonXtal_BW#'!$A:$Z,17,FALSE)+VLOOKUP($A165,A:AL,25,FALSE)-50))</f>
        <v>712</v>
      </c>
      <c r="Y165" s="3">
        <v>712</v>
      </c>
      <c r="Z165" s="3">
        <f t="shared" si="103"/>
        <v>714</v>
      </c>
      <c r="AA165" s="3">
        <f>IF(ISERROR(VLOOKUP($A165,'SegEnds_NonXtal_BW#'!$A:$Z,19,FALSE)+VLOOKUP($A165,A:AL,28,FALSE)-50),"-",(VLOOKUP($A165,'SegEnds_NonXtal_BW#'!$A:$Z,19,FALSE)+VLOOKUP($A165,A:AL,28,FALSE)-50))</f>
        <v>720</v>
      </c>
      <c r="AB165" s="3">
        <v>736</v>
      </c>
      <c r="AC165" s="3">
        <f>IF(ISERROR((VLOOKUP($A165,'SegEnds_NonXtal_BW#'!$A:$Z,20,FALSE)+VLOOKUP($A165,A:AL,28,FALSE)-50)),"-",(VLOOKUP($A165,'SegEnds_NonXtal_BW#'!$A:$Z,20,FALSE)+VLOOKUP($A165,A:AL,28,FALSE)-50))</f>
        <v>753</v>
      </c>
      <c r="AD165" s="3">
        <f>IF(ISERROR(VLOOKUP($A165,'SegEnds_NonXtal_BW#'!$A:$Z,21,FALSE)+VLOOKUP($A165,A:AL,31,FALSE)-50),"-",(VLOOKUP($A165,'SegEnds_NonXtal_BW#'!$A:$Z,21,FALSE)+VLOOKUP($A165,A:AL,31,FALSE)-50))</f>
        <v>759</v>
      </c>
      <c r="AE165" s="3">
        <v>781</v>
      </c>
      <c r="AF165" s="3">
        <f>IF(ISERROR((VLOOKUP($A165,'SegEnds_NonXtal_BW#'!$A:$Z,22,FALSE)+VLOOKUP($A165,A:AL,31,FALSE)-50)),"-",(VLOOKUP($A165,'SegEnds_NonXtal_BW#'!$A:$Z,22,FALSE)+VLOOKUP($A165,A:AL,31,FALSE)-50))</f>
        <v>792</v>
      </c>
      <c r="AG165" s="3">
        <f>IF(ISERROR(VLOOKUP($A165,'SegEnds_NonXtal_BW#'!$A:$Z,23,FALSE)+VLOOKUP($A165,A:AL,34,FALSE)-50),"-",(VLOOKUP($A165,'SegEnds_NonXtal_BW#'!$A:$Z,23,FALSE)+VLOOKUP($A165,A:AL,34,FALSE)-50))</f>
        <v>798</v>
      </c>
      <c r="AH165" s="3">
        <v>817</v>
      </c>
      <c r="AI165" s="3">
        <f>IF(ISERROR((VLOOKUP($A165,'SegEnds_NonXtal_BW#'!$A:$Z,24,FALSE)+VLOOKUP($A165,A:AL,34,FALSE)-50)),"-",(VLOOKUP($A165,'SegEnds_NonXtal_BW#'!$A:$Z,24,FALSE)+VLOOKUP($A165,A:AL,34,FALSE)-50))</f>
        <v>823</v>
      </c>
      <c r="AJ165" s="3">
        <f>IF(ISERROR(VLOOKUP($A165,'SegEnds_NonXtal_BW#'!$A:$Z,25,FALSE)+VLOOKUP($A165,A:AL,37,FALSE)-50),"-",(VLOOKUP($A165,'SegEnds_NonXtal_BW#'!$A:$Z,25,FALSE)+VLOOKUP($A165,A:AL,37,FALSE)-50))</f>
        <v>824</v>
      </c>
      <c r="AK165" s="3">
        <v>827</v>
      </c>
      <c r="AL165" s="3">
        <f>IF(ISERROR((VLOOKUP($A165,'SegEnds_NonXtal_BW#'!$A:$Z,26,FALSE)+VLOOKUP($A165,A:AL,37,FALSE)-50)),"-",(VLOOKUP($A165,'SegEnds_NonXtal_BW#'!$A:$Z,26,FALSE)+VLOOKUP($A165,A:AL,37,FALSE)-50))</f>
        <v>846</v>
      </c>
      <c r="AM165" s="28" t="str">
        <f>VLOOKUP(A165,Classification!A:B,2,FALSE)</f>
        <v>A</v>
      </c>
      <c r="AN165" s="28" t="b">
        <f t="shared" si="98"/>
        <v>1</v>
      </c>
      <c r="AO165" s="3" t="str">
        <f>IF(ISERROR(MATCH(A165,'SegEnds_Xtal_Prot#'!B:B, 0)), "NoXtal", "Xtal")</f>
        <v>NoXtal</v>
      </c>
      <c r="AP165" s="3" t="str">
        <f t="shared" si="81"/>
        <v>-</v>
      </c>
      <c r="AQ165" s="3" t="str">
        <f t="shared" si="82"/>
        <v>-</v>
      </c>
      <c r="AR165" s="3" t="str">
        <f t="shared" si="83"/>
        <v>-</v>
      </c>
      <c r="AS165" s="3" t="str">
        <f t="shared" si="84"/>
        <v>-</v>
      </c>
      <c r="AT165" s="3">
        <f t="shared" si="85"/>
        <v>1</v>
      </c>
      <c r="AU165" s="3">
        <f t="shared" si="86"/>
        <v>1</v>
      </c>
      <c r="AV165" s="3">
        <f t="shared" si="87"/>
        <v>10</v>
      </c>
      <c r="AW165" s="3">
        <f t="shared" si="88"/>
        <v>6</v>
      </c>
      <c r="AX165" s="3">
        <f t="shared" si="89"/>
        <v>6</v>
      </c>
      <c r="AY165" s="3">
        <f t="shared" si="90"/>
        <v>6</v>
      </c>
      <c r="AZ165" s="3">
        <f t="shared" si="91"/>
        <v>1</v>
      </c>
      <c r="BA165" s="3">
        <f>IF(ISERROR(LEN(VLOOKUP(A165,Seqs!A:E,2,FALSE))-AL165),"-",LEN(VLOOKUP(A165,Seqs!A:E,2,FALSE))-AL165)</f>
        <v>61</v>
      </c>
      <c r="BB165" s="16">
        <f t="shared" si="92"/>
        <v>28</v>
      </c>
      <c r="BC165" s="9">
        <f t="shared" si="93"/>
        <v>20</v>
      </c>
      <c r="BD165" s="3">
        <f t="shared" si="94"/>
        <v>28</v>
      </c>
      <c r="BE165" s="3">
        <f t="shared" si="95"/>
        <v>45</v>
      </c>
    </row>
    <row r="166" spans="1:58" s="3" customFormat="1" x14ac:dyDescent="0.2">
      <c r="A166" s="3" t="s">
        <v>285</v>
      </c>
      <c r="B166" s="3" t="str">
        <f>LOWER(VLOOKUP(A166,Xtal_Templ!A:B,2,FALSE))</f>
        <v>adrb2_human</v>
      </c>
      <c r="C166" s="3">
        <f>VLOOKUP($A166,'SegEnds_NonXtal_BW#'!$A:$Z,3,FALSE)+D166-50</f>
        <v>554</v>
      </c>
      <c r="D166" s="3">
        <v>579</v>
      </c>
      <c r="E166" s="3">
        <f>IF(ISERROR(VLOOKUP($A166,'SegEnds_NonXtal_BW#'!$A:$Z,4,FALSE)+VLOOKUP($A166,A:AL,4,FALSE)-50),"-",(VLOOKUP($A166,'SegEnds_NonXtal_BW#'!$A:$Z,4,FALSE)+VLOOKUP($A166,A:AL,4,FALSE)-50))</f>
        <v>589</v>
      </c>
      <c r="F166" s="3" t="str">
        <f>IF(ISERROR(VLOOKUP($A166,'SegEnds_NonXtal_BW#'!$A:$Z,5,FALSE)+VLOOKUP($A166,A:AL,7,FALSE)-50),"-",(VLOOKUP($A166,'SegEnds_NonXtal_BW#'!$A:$Z,5,FALSE)+VLOOKUP($A166,A:AL,7,FALSE)-50))</f>
        <v>-</v>
      </c>
      <c r="G166" s="3" t="s">
        <v>23</v>
      </c>
      <c r="H166" s="3" t="str">
        <f>IF(ISERROR(VLOOKUP($A166,'SegEnds_NonXtal_BW#'!$A:$Z,6,FALSE)+VLOOKUP($A166,A:AL,7,FALSE)-50),"-",(VLOOKUP($A166,'SegEnds_NonXtal_BW#'!$A:$Z,6,FALSE)+VLOOKUP($A166,A:AL,7,FALSE)-50))</f>
        <v>-</v>
      </c>
      <c r="I166" s="3">
        <f>VLOOKUP($A166,'SegEnds_NonXtal_BW#'!$A:$Z,7,FALSE)+J166-50</f>
        <v>595</v>
      </c>
      <c r="J166" s="3">
        <v>608</v>
      </c>
      <c r="K166" s="3">
        <f>VLOOKUP($A166,'SegEnds_NonXtal_BW#'!$A:$Z,8,FALSE)+VLOOKUP($A166,A:AL,10,FALSE)-50</f>
        <v>625</v>
      </c>
      <c r="L166" s="3" t="str">
        <f>IF(ISERROR(VLOOKUP($A166,'SegEnds_NonXtal_BW#'!$A:$Z,9,FALSE)+VLOOKUP($A166,A:AL,13,FALSE)-50),"-",(VLOOKUP($A166,'SegEnds_NonXtal_BW#'!$A:$Z,9,FALSE)+VLOOKUP($A166,A:AL,13,FALSE)-50))</f>
        <v>-</v>
      </c>
      <c r="M166" s="3" t="s">
        <v>23</v>
      </c>
      <c r="N166" s="3" t="str">
        <f>IF(ISERROR(VLOOKUP($A166,'SegEnds_NonXtal_BW#'!$A:$Z,10,FALSE)+VLOOKUP($A166,A:AL,13,FALSE)-50),"-",(VLOOKUP($A166,'SegEnds_NonXtal_BW#'!$A:$Z,10,FALSE)+VLOOKUP($A166,A:AL,13,FALSE)-50))</f>
        <v>-</v>
      </c>
      <c r="O166" s="3">
        <f>VLOOKUP($A166,'SegEnds_NonXtal_BW#'!$A:$Z,11,FALSE)+VLOOKUP($A166,A:AL,16,FALSE)-50</f>
        <v>635</v>
      </c>
      <c r="P166" s="3">
        <v>667</v>
      </c>
      <c r="Q166" s="3">
        <f>VLOOKUP($A166,'SegEnds_NonXtal_BW#'!$A:$Z,12,FALSE)+VLOOKUP($A166,A:AL,16,FALSE)-50</f>
        <v>673</v>
      </c>
      <c r="R166" s="3">
        <f>IF(ISERROR(VLOOKUP($A166,'SegEnds_NonXtal_BW#'!$A:$Z,13,FALSE)+VLOOKUP($A166,A:AL,19,FALSE)-50),"-",VLOOKUP($A166,'SegEnds_NonXtal_BW#'!$A:$Z,13,FALSE)+VLOOKUP($A166,A:AL,19,FALSE)-50)</f>
        <v>674</v>
      </c>
      <c r="S166" s="3">
        <v>674</v>
      </c>
      <c r="T166" s="100">
        <f>IF(ISERROR(VLOOKUP($A166,'SegEnds_NonXtal_BW#'!$A:$Z,14,FALSE)+VLOOKUP($A166,A:AL,19,FALSE)-50),"-",(VLOOKUP($A166,'SegEnds_NonXtal_BW#'!$A:$Z,14,FALSE)+VLOOKUP($A166,A:AL,19,FALSE)-50))</f>
        <v>681</v>
      </c>
      <c r="U166" s="9">
        <f>IF(ISERROR(VLOOKUP($A166,'SegEnds_NonXtal_BW#'!$A:$Z,15,FALSE)+VLOOKUP($A166,A:AL,22,FALSE)-50),"-",VLOOKUP($A166,'SegEnds_NonXtal_BW#'!$A:$Z,15,FALSE)+VLOOKUP($A166,A:AL,22,FALSE)-50)</f>
        <v>682</v>
      </c>
      <c r="V166" s="3">
        <v>694</v>
      </c>
      <c r="W166" s="3">
        <f>IF(ISERROR(VLOOKUP($A166,'SegEnds_NonXtal_BW#'!$A:$Z,16,FALSE)+VLOOKUP($A166,A:AL,22,FALSE)-50),"-",(VLOOKUP($A166,'SegEnds_NonXtal_BW#'!$A:$Z,16,FALSE)+VLOOKUP($A166,A:AL,22,FALSE)-50))</f>
        <v>708</v>
      </c>
      <c r="X166" s="3">
        <f>IF(ISERROR(VLOOKUP($A166,'SegEnds_NonXtal_BW#'!$A:$Z,17,FALSE)+VLOOKUP($A166,A:AL,25,FALSE)-50),"-",(VLOOKUP($A166,'SegEnds_NonXtal_BW#'!$A:$Z,17,FALSE)+VLOOKUP($A166,A:AL,25,FALSE)-50))</f>
        <v>717</v>
      </c>
      <c r="Y166" s="3">
        <v>717</v>
      </c>
      <c r="Z166" s="3">
        <f t="shared" si="103"/>
        <v>719</v>
      </c>
      <c r="AA166" s="3">
        <f>IF(ISERROR(VLOOKUP($A166,'SegEnds_NonXtal_BW#'!$A:$Z,19,FALSE)+VLOOKUP($A166,A:AL,28,FALSE)-50),"-",(VLOOKUP($A166,'SegEnds_NonXtal_BW#'!$A:$Z,19,FALSE)+VLOOKUP($A166,A:AL,28,FALSE)-50))</f>
        <v>728</v>
      </c>
      <c r="AB166" s="3">
        <v>743</v>
      </c>
      <c r="AC166" s="3">
        <f>IF(ISERROR((VLOOKUP($A166,'SegEnds_NonXtal_BW#'!$A:$Z,20,FALSE)+VLOOKUP($A166,A:AL,28,FALSE)-50)),"-",(VLOOKUP($A166,'SegEnds_NonXtal_BW#'!$A:$Z,20,FALSE)+VLOOKUP($A166,A:AL,28,FALSE)-50))</f>
        <v>760</v>
      </c>
      <c r="AD166" s="3">
        <f>IF(ISERROR(VLOOKUP($A166,'SegEnds_NonXtal_BW#'!$A:$Z,21,FALSE)+VLOOKUP($A166,A:AL,31,FALSE)-50),"-",(VLOOKUP($A166,'SegEnds_NonXtal_BW#'!$A:$Z,21,FALSE)+VLOOKUP($A166,A:AL,31,FALSE)-50))</f>
        <v>766</v>
      </c>
      <c r="AE166" s="3">
        <v>788</v>
      </c>
      <c r="AF166" s="3">
        <f>IF(ISERROR((VLOOKUP($A166,'SegEnds_NonXtal_BW#'!$A:$Z,22,FALSE)+VLOOKUP($A166,A:AL,31,FALSE)-50)),"-",(VLOOKUP($A166,'SegEnds_NonXtal_BW#'!$A:$Z,22,FALSE)+VLOOKUP($A166,A:AL,31,FALSE)-50))</f>
        <v>799</v>
      </c>
      <c r="AG166" s="3">
        <f>IF(ISERROR(VLOOKUP($A166,'SegEnds_NonXtal_BW#'!$A:$Z,23,FALSE)+VLOOKUP($A166,A:AL,34,FALSE)-50),"-",(VLOOKUP($A166,'SegEnds_NonXtal_BW#'!$A:$Z,23,FALSE)+VLOOKUP($A166,A:AL,34,FALSE)-50))</f>
        <v>805</v>
      </c>
      <c r="AH166" s="3">
        <v>824</v>
      </c>
      <c r="AI166" s="3">
        <f>IF(ISERROR((VLOOKUP($A166,'SegEnds_NonXtal_BW#'!$A:$Z,24,FALSE)+VLOOKUP($A166,A:AL,34,FALSE)-50)),"-",(VLOOKUP($A166,'SegEnds_NonXtal_BW#'!$A:$Z,24,FALSE)+VLOOKUP($A166,A:AL,34,FALSE)-50))</f>
        <v>830</v>
      </c>
      <c r="AJ166" s="3">
        <f>IF(ISERROR(VLOOKUP($A166,'SegEnds_NonXtal_BW#'!$A:$Z,25,FALSE)+VLOOKUP($A166,A:AL,37,FALSE)-50),"-",(VLOOKUP($A166,'SegEnds_NonXtal_BW#'!$A:$Z,25,FALSE)+VLOOKUP($A166,A:AL,37,FALSE)-50))</f>
        <v>831</v>
      </c>
      <c r="AK166" s="3">
        <v>834</v>
      </c>
      <c r="AL166" s="3">
        <f>IF(ISERROR((VLOOKUP($A166,'SegEnds_NonXtal_BW#'!$A:$Z,26,FALSE)+VLOOKUP($A166,A:AL,37,FALSE)-50)),"-",(VLOOKUP($A166,'SegEnds_NonXtal_BW#'!$A:$Z,26,FALSE)+VLOOKUP($A166,A:AL,37,FALSE)-50))</f>
        <v>843</v>
      </c>
      <c r="AM166" s="28" t="str">
        <f>VLOOKUP(A166,Classification!A:B,2,FALSE)</f>
        <v>A</v>
      </c>
      <c r="AN166" s="28" t="b">
        <f t="shared" si="98"/>
        <v>1</v>
      </c>
      <c r="AO166" s="3" t="str">
        <f>IF(ISERROR(MATCH(A166,'SegEnds_Xtal_Prot#'!B:B, 0)), "NoXtal", "Xtal")</f>
        <v>NoXtal</v>
      </c>
      <c r="AP166" s="3" t="str">
        <f t="shared" si="81"/>
        <v>-</v>
      </c>
      <c r="AQ166" s="3" t="str">
        <f t="shared" si="82"/>
        <v>-</v>
      </c>
      <c r="AR166" s="3" t="str">
        <f t="shared" si="83"/>
        <v>-</v>
      </c>
      <c r="AS166" s="3" t="str">
        <f t="shared" si="84"/>
        <v>-</v>
      </c>
      <c r="AT166" s="3">
        <f t="shared" si="85"/>
        <v>1</v>
      </c>
      <c r="AU166" s="3">
        <f t="shared" si="86"/>
        <v>1</v>
      </c>
      <c r="AV166" s="3">
        <f t="shared" si="87"/>
        <v>9</v>
      </c>
      <c r="AW166" s="3">
        <f t="shared" si="88"/>
        <v>9</v>
      </c>
      <c r="AX166" s="3">
        <f t="shared" si="89"/>
        <v>6</v>
      </c>
      <c r="AY166" s="3">
        <f t="shared" si="90"/>
        <v>6</v>
      </c>
      <c r="AZ166" s="3">
        <f t="shared" si="91"/>
        <v>1</v>
      </c>
      <c r="BA166" s="3">
        <f>IF(ISERROR(LEN(VLOOKUP(A166,Seqs!A:E,2,FALSE))-AL166),"-",LEN(VLOOKUP(A166,Seqs!A:E,2,FALSE))-AL166)</f>
        <v>124</v>
      </c>
      <c r="BB166" s="16">
        <f t="shared" si="92"/>
        <v>29</v>
      </c>
      <c r="BC166" s="9">
        <f t="shared" si="93"/>
        <v>20</v>
      </c>
      <c r="BD166" s="3">
        <f t="shared" si="94"/>
        <v>29</v>
      </c>
      <c r="BE166" s="3">
        <f t="shared" si="95"/>
        <v>45</v>
      </c>
    </row>
    <row r="167" spans="1:58" s="3" customFormat="1" x14ac:dyDescent="0.2">
      <c r="A167" s="3" t="s">
        <v>288</v>
      </c>
      <c r="B167" s="3" t="str">
        <f>LOWER(VLOOKUP(A167,Xtal_Templ!A:B,2,FALSE))</f>
        <v>oprk_human</v>
      </c>
      <c r="C167" s="3">
        <f>VLOOKUP($A167,'SegEnds_NonXtal_BW#'!$A:$Z,3,FALSE)+D167-50</f>
        <v>37</v>
      </c>
      <c r="D167" s="3">
        <v>57</v>
      </c>
      <c r="E167" s="3">
        <f>IF(ISERROR(VLOOKUP($A167,'SegEnds_NonXtal_BW#'!$A:$Z,4,FALSE)+VLOOKUP($A167,A:AL,4,FALSE)-50),"-",(VLOOKUP($A167,'SegEnds_NonXtal_BW#'!$A:$Z,4,FALSE)+VLOOKUP($A167,A:AL,4,FALSE)-50))</f>
        <v>67</v>
      </c>
      <c r="F167" s="3">
        <f t="shared" ref="F167:F172" si="105">G167-2</f>
        <v>68</v>
      </c>
      <c r="G167" s="3">
        <v>70</v>
      </c>
      <c r="H167" s="3">
        <f t="shared" ref="H167:I172" si="106">G167+1</f>
        <v>71</v>
      </c>
      <c r="I167" s="3">
        <f t="shared" si="106"/>
        <v>72</v>
      </c>
      <c r="J167" s="3">
        <v>85</v>
      </c>
      <c r="K167" s="3">
        <f>VLOOKUP($A167,'SegEnds_NonXtal_BW#'!$A:$Z,8,FALSE)+VLOOKUP($A167,A:AL,10,FALSE)-50</f>
        <v>101</v>
      </c>
      <c r="L167" s="3">
        <f t="shared" ref="L167:L172" si="107">M167-1</f>
        <v>103</v>
      </c>
      <c r="M167" s="3">
        <v>104</v>
      </c>
      <c r="N167" s="3">
        <f t="shared" ref="N167:N172" si="108">M167+2</f>
        <v>106</v>
      </c>
      <c r="O167" s="3">
        <f t="shared" ref="O167:O172" si="109">N167+1</f>
        <v>107</v>
      </c>
      <c r="P167" s="3">
        <v>136</v>
      </c>
      <c r="Q167" s="3">
        <f>VLOOKUP($A167,'SegEnds_NonXtal_BW#'!$A:$Z,12,FALSE)+VLOOKUP($A167,A:AL,16,FALSE)-50</f>
        <v>142</v>
      </c>
      <c r="R167" s="3">
        <f>IF(ISERROR(VLOOKUP($A167,'SegEnds_NonXtal_BW#'!$A:$Z,13,FALSE)+VLOOKUP($A167,A:AL,19,FALSE)-50),"-",VLOOKUP($A167,'SegEnds_NonXtal_BW#'!$A:$Z,13,FALSE)+VLOOKUP($A167,A:AL,19,FALSE)-50)</f>
        <v>143</v>
      </c>
      <c r="S167" s="3">
        <v>143</v>
      </c>
      <c r="T167" s="100">
        <f>IF(ISERROR(VLOOKUP($A167,'SegEnds_NonXtal_BW#'!$A:$Z,14,FALSE)+VLOOKUP($A167,A:AL,19,FALSE)-50),"-",(VLOOKUP($A167,'SegEnds_NonXtal_BW#'!$A:$Z,14,FALSE)+VLOOKUP($A167,A:AL,19,FALSE)-50))</f>
        <v>150</v>
      </c>
      <c r="U167" s="9">
        <f>IF(ISERROR(VLOOKUP($A167,'SegEnds_NonXtal_BW#'!$A:$Z,15,FALSE)+VLOOKUP($A167,A:AL,22,FALSE)-50),"-",VLOOKUP($A167,'SegEnds_NonXtal_BW#'!$A:$Z,15,FALSE)+VLOOKUP($A167,A:AL,22,FALSE)-50)</f>
        <v>151</v>
      </c>
      <c r="V167" s="3">
        <v>163</v>
      </c>
      <c r="W167" s="3">
        <f>IF(ISERROR(VLOOKUP($A167,'SegEnds_NonXtal_BW#'!$A:$Z,16,FALSE)+VLOOKUP($A167,A:AL,22,FALSE)-50),"-",(VLOOKUP($A167,'SegEnds_NonXtal_BW#'!$A:$Z,16,FALSE)+VLOOKUP($A167,A:AL,22,FALSE)-50))</f>
        <v>177</v>
      </c>
      <c r="X167" s="3">
        <f>IF(ISERROR(VLOOKUP($A167,'SegEnds_NonXtal_BW#'!$A:$Z,17,FALSE)+VLOOKUP($A167,A:AL,25,FALSE)-50),"-",(VLOOKUP($A167,'SegEnds_NonXtal_BW#'!$A:$Z,17,FALSE)+VLOOKUP($A167,A:AL,25,FALSE)-50))</f>
        <v>188</v>
      </c>
      <c r="Y167" s="3">
        <v>188</v>
      </c>
      <c r="Z167" s="3">
        <f t="shared" si="103"/>
        <v>190</v>
      </c>
      <c r="AA167" s="3">
        <f>IF(ISERROR(VLOOKUP($A167,'SegEnds_NonXtal_BW#'!$A:$Z,19,FALSE)+VLOOKUP($A167,A:AL,28,FALSE)-50),"-",(VLOOKUP($A167,'SegEnds_NonXtal_BW#'!$A:$Z,19,FALSE)+VLOOKUP($A167,A:AL,28,FALSE)-50))</f>
        <v>196</v>
      </c>
      <c r="AB167" s="3">
        <v>216</v>
      </c>
      <c r="AC167" s="3">
        <f>IF(ISERROR((VLOOKUP($A167,'SegEnds_NonXtal_BW#'!$A:$Z,20,FALSE)+VLOOKUP($A167,A:AL,28,FALSE)-50)),"-",(VLOOKUP($A167,'SegEnds_NonXtal_BW#'!$A:$Z,20,FALSE)+VLOOKUP($A167,A:AL,28,FALSE)-50))</f>
        <v>234</v>
      </c>
      <c r="AD167" s="3">
        <f>IF(ISERROR(VLOOKUP($A167,'SegEnds_NonXtal_BW#'!$A:$Z,21,FALSE)+VLOOKUP($A167,A:AL,31,FALSE)-50),"-",(VLOOKUP($A167,'SegEnds_NonXtal_BW#'!$A:$Z,21,FALSE)+VLOOKUP($A167,A:AL,31,FALSE)-50))</f>
        <v>238</v>
      </c>
      <c r="AE167" s="3">
        <v>264</v>
      </c>
      <c r="AF167" s="3">
        <f>IF(ISERROR((VLOOKUP($A167,'SegEnds_NonXtal_BW#'!$A:$Z,22,FALSE)+VLOOKUP($A167,A:AL,31,FALSE)-50)),"-",(VLOOKUP($A167,'SegEnds_NonXtal_BW#'!$A:$Z,22,FALSE)+VLOOKUP($A167,A:AL,31,FALSE)-50))</f>
        <v>278</v>
      </c>
      <c r="AG167" s="3">
        <f>IF(ISERROR(VLOOKUP($A167,'SegEnds_NonXtal_BW#'!$A:$Z,23,FALSE)+VLOOKUP($A167,A:AL,34,FALSE)-50),"-",(VLOOKUP($A167,'SegEnds_NonXtal_BW#'!$A:$Z,23,FALSE)+VLOOKUP($A167,A:AL,34,FALSE)-50))</f>
        <v>282</v>
      </c>
      <c r="AH167" s="3">
        <v>308</v>
      </c>
      <c r="AI167" s="3">
        <f>IF(ISERROR((VLOOKUP($A167,'SegEnds_NonXtal_BW#'!$A:$Z,24,FALSE)+VLOOKUP($A167,A:AL,34,FALSE)-50)),"-",(VLOOKUP($A167,'SegEnds_NonXtal_BW#'!$A:$Z,24,FALSE)+VLOOKUP($A167,A:AL,34,FALSE)-50))</f>
        <v>314</v>
      </c>
      <c r="AJ167" s="3">
        <f>IF(ISERROR(VLOOKUP($A167,'SegEnds_NonXtal_BW#'!$A:$Z,25,FALSE)+VLOOKUP($A167,A:AL,37,FALSE)-50),"-",(VLOOKUP($A167,'SegEnds_NonXtal_BW#'!$A:$Z,25,FALSE)+VLOOKUP($A167,A:AL,37,FALSE)-50))</f>
        <v>315</v>
      </c>
      <c r="AK167" s="3">
        <v>318</v>
      </c>
      <c r="AL167" s="3">
        <f>IF(ISERROR((VLOOKUP($A167,'SegEnds_NonXtal_BW#'!$A:$Z,26,FALSE)+VLOOKUP($A167,A:AL,37,FALSE)-50)),"-",(VLOOKUP($A167,'SegEnds_NonXtal_BW#'!$A:$Z,26,FALSE)+VLOOKUP($A167,A:AL,37,FALSE)-50))</f>
        <v>327</v>
      </c>
      <c r="AM167" s="28" t="str">
        <f>VLOOKUP(A167,Classification!A:B,2,FALSE)</f>
        <v>A</v>
      </c>
      <c r="AN167" s="28" t="b">
        <f t="shared" si="98"/>
        <v>1</v>
      </c>
      <c r="AO167" s="3" t="str">
        <f>IF(ISERROR(MATCH(A167,'SegEnds_Xtal_Prot#'!B:B, 0)), "NoXtal", "Xtal")</f>
        <v>NoXtal</v>
      </c>
      <c r="AP167" s="3">
        <f t="shared" si="81"/>
        <v>1</v>
      </c>
      <c r="AQ167" s="3">
        <f t="shared" si="82"/>
        <v>1</v>
      </c>
      <c r="AR167" s="3">
        <f t="shared" si="83"/>
        <v>2</v>
      </c>
      <c r="AS167" s="3">
        <f t="shared" si="84"/>
        <v>1</v>
      </c>
      <c r="AT167" s="3">
        <f t="shared" si="85"/>
        <v>1</v>
      </c>
      <c r="AU167" s="3">
        <f t="shared" si="86"/>
        <v>1</v>
      </c>
      <c r="AV167" s="3">
        <f t="shared" si="87"/>
        <v>11</v>
      </c>
      <c r="AW167" s="3">
        <f t="shared" si="88"/>
        <v>6</v>
      </c>
      <c r="AX167" s="3">
        <f t="shared" si="89"/>
        <v>4</v>
      </c>
      <c r="AY167" s="3">
        <f t="shared" si="90"/>
        <v>4</v>
      </c>
      <c r="AZ167" s="3">
        <f t="shared" si="91"/>
        <v>1</v>
      </c>
      <c r="BA167" s="3">
        <f>IF(ISERROR(LEN(VLOOKUP(A167,Seqs!A:E,2,FALSE))-AL167),"-",LEN(VLOOKUP(A167,Seqs!A:E,2,FALSE))-AL167)</f>
        <v>43</v>
      </c>
      <c r="BB167" s="16">
        <f t="shared" si="92"/>
        <v>28</v>
      </c>
      <c r="BC167" s="9">
        <f t="shared" si="93"/>
        <v>20</v>
      </c>
      <c r="BD167" s="3">
        <f t="shared" si="94"/>
        <v>28</v>
      </c>
      <c r="BE167" s="3">
        <f t="shared" si="95"/>
        <v>48</v>
      </c>
    </row>
    <row r="168" spans="1:58" s="3" customFormat="1" x14ac:dyDescent="0.2">
      <c r="A168" s="3" t="s">
        <v>289</v>
      </c>
      <c r="B168" s="3" t="str">
        <f>LOWER(VLOOKUP(A168,Xtal_Templ!A:B,2,FALSE))</f>
        <v>par2_human</v>
      </c>
      <c r="C168" s="3">
        <f>VLOOKUP($A168,'SegEnds_NonXtal_BW#'!$A:$Z,3,FALSE)+D168-50</f>
        <v>18</v>
      </c>
      <c r="D168" s="3">
        <v>40</v>
      </c>
      <c r="E168" s="3">
        <f>IF(ISERROR(VLOOKUP($A168,'SegEnds_NonXtal_BW#'!$A:$Z,4,FALSE)+VLOOKUP($A168,A:AL,4,FALSE)-50),"-",(VLOOKUP($A168,'SegEnds_NonXtal_BW#'!$A:$Z,4,FALSE)+VLOOKUP($A168,A:AL,4,FALSE)-50))</f>
        <v>50</v>
      </c>
      <c r="F168" s="3">
        <f t="shared" si="105"/>
        <v>51</v>
      </c>
      <c r="G168" s="3">
        <v>53</v>
      </c>
      <c r="H168" s="3">
        <f t="shared" si="106"/>
        <v>54</v>
      </c>
      <c r="I168" s="3">
        <f t="shared" si="106"/>
        <v>55</v>
      </c>
      <c r="J168" s="3">
        <v>68</v>
      </c>
      <c r="K168" s="3">
        <f>VLOOKUP($A168,'SegEnds_NonXtal_BW#'!$A:$Z,8,FALSE)+VLOOKUP($A168,A:AL,10,FALSE)-50</f>
        <v>84</v>
      </c>
      <c r="L168" s="3">
        <f t="shared" si="107"/>
        <v>86</v>
      </c>
      <c r="M168" s="3">
        <v>87</v>
      </c>
      <c r="N168" s="3">
        <f t="shared" si="108"/>
        <v>89</v>
      </c>
      <c r="O168" s="3">
        <f t="shared" si="109"/>
        <v>90</v>
      </c>
      <c r="P168" s="3">
        <v>119</v>
      </c>
      <c r="Q168" s="3">
        <f>VLOOKUP($A168,'SegEnds_NonXtal_BW#'!$A:$Z,12,FALSE)+VLOOKUP($A168,A:AL,16,FALSE)-50</f>
        <v>125</v>
      </c>
      <c r="R168" s="3">
        <f>IF(ISERROR(VLOOKUP($A168,'SegEnds_NonXtal_BW#'!$A:$Z,13,FALSE)+VLOOKUP($A168,A:AL,19,FALSE)-50),"-",VLOOKUP($A168,'SegEnds_NonXtal_BW#'!$A:$Z,13,FALSE)+VLOOKUP($A168,A:AL,19,FALSE)-50)</f>
        <v>126</v>
      </c>
      <c r="S168" s="3">
        <v>126</v>
      </c>
      <c r="T168" s="100">
        <f>IF(ISERROR(VLOOKUP($A168,'SegEnds_NonXtal_BW#'!$A:$Z,14,FALSE)+VLOOKUP($A168,A:AL,19,FALSE)-50),"-",(VLOOKUP($A168,'SegEnds_NonXtal_BW#'!$A:$Z,14,FALSE)+VLOOKUP($A168,A:AL,19,FALSE)-50))</f>
        <v>133</v>
      </c>
      <c r="U168" s="9">
        <f>IF(ISERROR(VLOOKUP($A168,'SegEnds_NonXtal_BW#'!$A:$Z,15,FALSE)+VLOOKUP($A168,A:AL,22,FALSE)-50),"-",VLOOKUP($A168,'SegEnds_NonXtal_BW#'!$A:$Z,15,FALSE)+VLOOKUP($A168,A:AL,22,FALSE)-50)</f>
        <v>134</v>
      </c>
      <c r="V168" s="3">
        <v>146</v>
      </c>
      <c r="W168" s="3">
        <f>IF(ISERROR(VLOOKUP($A168,'SegEnds_NonXtal_BW#'!$A:$Z,16,FALSE)+VLOOKUP($A168,A:AL,22,FALSE)-50),"-",(VLOOKUP($A168,'SegEnds_NonXtal_BW#'!$A:$Z,16,FALSE)+VLOOKUP($A168,A:AL,22,FALSE)-50))</f>
        <v>158</v>
      </c>
      <c r="X168" s="3">
        <f>IF(ISERROR(VLOOKUP($A168,'SegEnds_NonXtal_BW#'!$A:$Z,17,FALSE)+VLOOKUP($A168,A:AL,25,FALSE)-50),"-",(VLOOKUP($A168,'SegEnds_NonXtal_BW#'!$A:$Z,17,FALSE)+VLOOKUP($A168,A:AL,25,FALSE)-50))</f>
        <v>175</v>
      </c>
      <c r="Y168" s="3">
        <v>175</v>
      </c>
      <c r="Z168" s="3">
        <f t="shared" si="103"/>
        <v>177</v>
      </c>
      <c r="AA168" s="3">
        <f>IF(ISERROR(VLOOKUP($A168,'SegEnds_NonXtal_BW#'!$A:$Z,19,FALSE)+VLOOKUP($A168,A:AL,28,FALSE)-50),"-",(VLOOKUP($A168,'SegEnds_NonXtal_BW#'!$A:$Z,19,FALSE)+VLOOKUP($A168,A:AL,28,FALSE)-50))</f>
        <v>184</v>
      </c>
      <c r="AB168" s="3">
        <v>203</v>
      </c>
      <c r="AC168" s="3">
        <f>IF(ISERROR((VLOOKUP($A168,'SegEnds_NonXtal_BW#'!$A:$Z,20,FALSE)+VLOOKUP($A168,A:AL,28,FALSE)-50)),"-",(VLOOKUP($A168,'SegEnds_NonXtal_BW#'!$A:$Z,20,FALSE)+VLOOKUP($A168,A:AL,28,FALSE)-50))</f>
        <v>220</v>
      </c>
      <c r="AD168" s="3">
        <f>IF(ISERROR(VLOOKUP($A168,'SegEnds_NonXtal_BW#'!$A:$Z,21,FALSE)+VLOOKUP($A168,A:AL,31,FALSE)-50),"-",(VLOOKUP($A168,'SegEnds_NonXtal_BW#'!$A:$Z,21,FALSE)+VLOOKUP($A168,A:AL,31,FALSE)-50))</f>
        <v>225</v>
      </c>
      <c r="AE168" s="3">
        <v>249</v>
      </c>
      <c r="AF168" s="3">
        <f>IF(ISERROR((VLOOKUP($A168,'SegEnds_NonXtal_BW#'!$A:$Z,22,FALSE)+VLOOKUP($A168,A:AL,31,FALSE)-50)),"-",(VLOOKUP($A168,'SegEnds_NonXtal_BW#'!$A:$Z,22,FALSE)+VLOOKUP($A168,A:AL,31,FALSE)-50))</f>
        <v>263</v>
      </c>
      <c r="AG168" s="3">
        <f>IF(ISERROR(VLOOKUP($A168,'SegEnds_NonXtal_BW#'!$A:$Z,23,FALSE)+VLOOKUP($A168,A:AL,34,FALSE)-50),"-",(VLOOKUP($A168,'SegEnds_NonXtal_BW#'!$A:$Z,23,FALSE)+VLOOKUP($A168,A:AL,34,FALSE)-50))</f>
        <v>268</v>
      </c>
      <c r="AH168" s="3">
        <v>294</v>
      </c>
      <c r="AI168" s="3">
        <f>IF(ISERROR((VLOOKUP($A168,'SegEnds_NonXtal_BW#'!$A:$Z,24,FALSE)+VLOOKUP($A168,A:AL,34,FALSE)-50)),"-",(VLOOKUP($A168,'SegEnds_NonXtal_BW#'!$A:$Z,24,FALSE)+VLOOKUP($A168,A:AL,34,FALSE)-50))</f>
        <v>300</v>
      </c>
      <c r="AJ168" s="3">
        <f>IF(ISERROR(VLOOKUP($A168,'SegEnds_NonXtal_BW#'!$A:$Z,25,FALSE)+VLOOKUP($A168,A:AL,37,FALSE)-50),"-",(VLOOKUP($A168,'SegEnds_NonXtal_BW#'!$A:$Z,25,FALSE)+VLOOKUP($A168,A:AL,37,FALSE)-50))</f>
        <v>301</v>
      </c>
      <c r="AK168" s="3">
        <v>304</v>
      </c>
      <c r="AL168" s="3">
        <f>IF(ISERROR((VLOOKUP($A168,'SegEnds_NonXtal_BW#'!$A:$Z,26,FALSE)+VLOOKUP($A168,A:AL,37,FALSE)-50)),"-",(VLOOKUP($A168,'SegEnds_NonXtal_BW#'!$A:$Z,26,FALSE)+VLOOKUP($A168,A:AL,37,FALSE)-50))</f>
        <v>315</v>
      </c>
      <c r="AM168" s="28" t="str">
        <f>VLOOKUP(A168,Classification!A:B,2,FALSE)</f>
        <v>A</v>
      </c>
      <c r="AN168" s="28" t="b">
        <f t="shared" si="98"/>
        <v>1</v>
      </c>
      <c r="AO168" s="3" t="str">
        <f>IF(ISERROR(MATCH(A168,'SegEnds_Xtal_Prot#'!B:B, 0)), "NoXtal", "Xtal")</f>
        <v>NoXtal</v>
      </c>
      <c r="AP168" s="3">
        <f t="shared" si="81"/>
        <v>1</v>
      </c>
      <c r="AQ168" s="3">
        <f t="shared" si="82"/>
        <v>1</v>
      </c>
      <c r="AR168" s="3">
        <f t="shared" si="83"/>
        <v>2</v>
      </c>
      <c r="AS168" s="3">
        <f t="shared" si="84"/>
        <v>1</v>
      </c>
      <c r="AT168" s="3">
        <f t="shared" si="85"/>
        <v>1</v>
      </c>
      <c r="AU168" s="3">
        <f t="shared" si="86"/>
        <v>1</v>
      </c>
      <c r="AV168" s="3">
        <f t="shared" si="87"/>
        <v>17</v>
      </c>
      <c r="AW168" s="3">
        <f t="shared" si="88"/>
        <v>7</v>
      </c>
      <c r="AX168" s="3">
        <f t="shared" si="89"/>
        <v>5</v>
      </c>
      <c r="AY168" s="3">
        <f t="shared" si="90"/>
        <v>5</v>
      </c>
      <c r="AZ168" s="3">
        <f t="shared" si="91"/>
        <v>1</v>
      </c>
      <c r="BA168" s="3">
        <f>IF(ISERROR(LEN(VLOOKUP(A168,Seqs!A:E,2,FALSE))-AL168),"-",LEN(VLOOKUP(A168,Seqs!A:E,2,FALSE))-AL168)</f>
        <v>57</v>
      </c>
      <c r="BB168" s="16">
        <f t="shared" si="92"/>
        <v>28</v>
      </c>
      <c r="BC168" s="9">
        <f t="shared" si="93"/>
        <v>20</v>
      </c>
      <c r="BD168" s="3">
        <f t="shared" si="94"/>
        <v>28</v>
      </c>
      <c r="BE168" s="3">
        <f t="shared" si="95"/>
        <v>46</v>
      </c>
    </row>
    <row r="169" spans="1:58" s="3" customFormat="1" x14ac:dyDescent="0.2">
      <c r="A169" s="3" t="s">
        <v>290</v>
      </c>
      <c r="B169" s="3" t="str">
        <f>LOWER(VLOOKUP(A169,Xtal_Templ!A:B,2,FALSE))</f>
        <v>ptafr_human</v>
      </c>
      <c r="C169" s="3">
        <f>VLOOKUP($A169,'SegEnds_NonXtal_BW#'!$A:$Z,3,FALSE)+D169-50</f>
        <v>12</v>
      </c>
      <c r="D169" s="3">
        <v>35</v>
      </c>
      <c r="E169" s="3">
        <f>IF(ISERROR(VLOOKUP($A169,'SegEnds_NonXtal_BW#'!$A:$Z,4,FALSE)+VLOOKUP($A169,A:AL,4,FALSE)-50),"-",(VLOOKUP($A169,'SegEnds_NonXtal_BW#'!$A:$Z,4,FALSE)+VLOOKUP($A169,A:AL,4,FALSE)-50))</f>
        <v>45</v>
      </c>
      <c r="F169" s="3">
        <f t="shared" si="105"/>
        <v>46</v>
      </c>
      <c r="G169" s="3">
        <v>48</v>
      </c>
      <c r="H169" s="3">
        <f t="shared" si="106"/>
        <v>49</v>
      </c>
      <c r="I169" s="3">
        <f t="shared" si="106"/>
        <v>50</v>
      </c>
      <c r="J169" s="3">
        <v>63</v>
      </c>
      <c r="K169" s="3">
        <f>VLOOKUP($A169,'SegEnds_NonXtal_BW#'!$A:$Z,8,FALSE)+VLOOKUP($A169,A:AL,10,FALSE)-50</f>
        <v>79</v>
      </c>
      <c r="L169" s="3">
        <f t="shared" si="107"/>
        <v>81</v>
      </c>
      <c r="M169" s="3">
        <v>82</v>
      </c>
      <c r="N169" s="3">
        <f t="shared" si="108"/>
        <v>84</v>
      </c>
      <c r="O169" s="3">
        <f t="shared" si="109"/>
        <v>85</v>
      </c>
      <c r="P169" s="3">
        <v>114</v>
      </c>
      <c r="Q169" s="3">
        <f>VLOOKUP($A169,'SegEnds_NonXtal_BW#'!$A:$Z,12,FALSE)+VLOOKUP($A169,A:AL,16,FALSE)-50</f>
        <v>120</v>
      </c>
      <c r="R169" s="3">
        <f>IF(ISERROR(VLOOKUP($A169,'SegEnds_NonXtal_BW#'!$A:$Z,13,FALSE)+VLOOKUP($A169,A:AL,19,FALSE)-50),"-",VLOOKUP($A169,'SegEnds_NonXtal_BW#'!$A:$Z,13,FALSE)+VLOOKUP($A169,A:AL,19,FALSE)-50)</f>
        <v>121</v>
      </c>
      <c r="S169" s="3">
        <v>121</v>
      </c>
      <c r="T169" s="100">
        <f>IF(ISERROR(VLOOKUP($A169,'SegEnds_NonXtal_BW#'!$A:$Z,14,FALSE)+VLOOKUP($A169,A:AL,19,FALSE)-50),"-",(VLOOKUP($A169,'SegEnds_NonXtal_BW#'!$A:$Z,14,FALSE)+VLOOKUP($A169,A:AL,19,FALSE)-50))</f>
        <v>128</v>
      </c>
      <c r="U169" s="9">
        <f>IF(ISERROR(VLOOKUP($A169,'SegEnds_NonXtal_BW#'!$A:$Z,15,FALSE)+VLOOKUP($A169,A:AL,22,FALSE)-50),"-",VLOOKUP($A169,'SegEnds_NonXtal_BW#'!$A:$Z,15,FALSE)+VLOOKUP($A169,A:AL,22,FALSE)-50)</f>
        <v>129</v>
      </c>
      <c r="V169" s="3">
        <v>141</v>
      </c>
      <c r="W169" s="3">
        <f>IF(ISERROR(VLOOKUP($A169,'SegEnds_NonXtal_BW#'!$A:$Z,16,FALSE)+VLOOKUP($A169,A:AL,22,FALSE)-50),"-",(VLOOKUP($A169,'SegEnds_NonXtal_BW#'!$A:$Z,16,FALSE)+VLOOKUP($A169,A:AL,22,FALSE)-50))</f>
        <v>154</v>
      </c>
      <c r="X169" s="3">
        <f>IF(ISERROR(VLOOKUP($A169,'SegEnds_NonXtal_BW#'!$A:$Z,17,FALSE)+VLOOKUP($A169,A:AL,25,FALSE)-50),"-",(VLOOKUP($A169,'SegEnds_NonXtal_BW#'!$A:$Z,17,FALSE)+VLOOKUP($A169,A:AL,25,FALSE)-50))</f>
        <v>168</v>
      </c>
      <c r="Y169" s="3">
        <v>168</v>
      </c>
      <c r="Z169" s="3">
        <f t="shared" si="103"/>
        <v>170</v>
      </c>
      <c r="AA169" s="3">
        <f>IF(ISERROR(VLOOKUP($A169,'SegEnds_NonXtal_BW#'!$A:$Z,19,FALSE)+VLOOKUP($A169,A:AL,28,FALSE)-50),"-",(VLOOKUP($A169,'SegEnds_NonXtal_BW#'!$A:$Z,19,FALSE)+VLOOKUP($A169,A:AL,28,FALSE)-50))</f>
        <v>179</v>
      </c>
      <c r="AB169" s="3">
        <v>196</v>
      </c>
      <c r="AC169" s="3">
        <f>IF(ISERROR((VLOOKUP($A169,'SegEnds_NonXtal_BW#'!$A:$Z,20,FALSE)+VLOOKUP($A169,A:AL,28,FALSE)-50)),"-",(VLOOKUP($A169,'SegEnds_NonXtal_BW#'!$A:$Z,20,FALSE)+VLOOKUP($A169,A:AL,28,FALSE)-50))</f>
        <v>214</v>
      </c>
      <c r="AD169" s="3">
        <f>IF(ISERROR(VLOOKUP($A169,'SegEnds_NonXtal_BW#'!$A:$Z,21,FALSE)+VLOOKUP($A169,A:AL,31,FALSE)-50),"-",(VLOOKUP($A169,'SegEnds_NonXtal_BW#'!$A:$Z,21,FALSE)+VLOOKUP($A169,A:AL,31,FALSE)-50))</f>
        <v>218</v>
      </c>
      <c r="AE169" s="3">
        <v>244</v>
      </c>
      <c r="AF169" s="3">
        <f>IF(ISERROR((VLOOKUP($A169,'SegEnds_NonXtal_BW#'!$A:$Z,22,FALSE)+VLOOKUP($A169,A:AL,31,FALSE)-50)),"-",(VLOOKUP($A169,'SegEnds_NonXtal_BW#'!$A:$Z,22,FALSE)+VLOOKUP($A169,A:AL,31,FALSE)-50))</f>
        <v>258</v>
      </c>
      <c r="AG169" s="3">
        <f>IF(ISERROR(VLOOKUP($A169,'SegEnds_NonXtal_BW#'!$A:$Z,23,FALSE)+VLOOKUP($A169,A:AL,34,FALSE)-50),"-",(VLOOKUP($A169,'SegEnds_NonXtal_BW#'!$A:$Z,23,FALSE)+VLOOKUP($A169,A:AL,34,FALSE)-50))</f>
        <v>262</v>
      </c>
      <c r="AH169" s="3">
        <v>288</v>
      </c>
      <c r="AI169" s="3">
        <f>IF(ISERROR((VLOOKUP($A169,'SegEnds_NonXtal_BW#'!$A:$Z,24,FALSE)+VLOOKUP($A169,A:AL,34,FALSE)-50)),"-",(VLOOKUP($A169,'SegEnds_NonXtal_BW#'!$A:$Z,24,FALSE)+VLOOKUP($A169,A:AL,34,FALSE)-50))</f>
        <v>297</v>
      </c>
      <c r="AJ169" s="3">
        <f>IF(ISERROR(VLOOKUP($A169,'SegEnds_NonXtal_BW#'!$A:$Z,25,FALSE)+VLOOKUP($A169,A:AL,37,FALSE)-50),"-",(VLOOKUP($A169,'SegEnds_NonXtal_BW#'!$A:$Z,25,FALSE)+VLOOKUP($A169,A:AL,37,FALSE)-50))</f>
        <v>298</v>
      </c>
      <c r="AK169" s="3">
        <v>298</v>
      </c>
      <c r="AL169" s="3">
        <f>IF(ISERROR((VLOOKUP($A169,'SegEnds_NonXtal_BW#'!$A:$Z,26,FALSE)+VLOOKUP($A169,A:AL,37,FALSE)-50)),"-",(VLOOKUP($A169,'SegEnds_NonXtal_BW#'!$A:$Z,26,FALSE)+VLOOKUP($A169,A:AL,37,FALSE)-50))</f>
        <v>311</v>
      </c>
      <c r="AM169" s="28" t="str">
        <f>VLOOKUP(A169,Classification!A:B,2,FALSE)</f>
        <v>A</v>
      </c>
      <c r="AN169" s="28" t="b">
        <f t="shared" si="98"/>
        <v>1</v>
      </c>
      <c r="AO169" s="3" t="str">
        <f>IF(ISERROR(MATCH(A169,'SegEnds_Xtal_Prot#'!B:B, 0)), "NoXtal", "Xtal")</f>
        <v>NoXtal</v>
      </c>
      <c r="AP169" s="3">
        <f t="shared" si="81"/>
        <v>1</v>
      </c>
      <c r="AQ169" s="3">
        <f t="shared" si="82"/>
        <v>1</v>
      </c>
      <c r="AR169" s="3">
        <f t="shared" si="83"/>
        <v>2</v>
      </c>
      <c r="AS169" s="3">
        <f t="shared" si="84"/>
        <v>1</v>
      </c>
      <c r="AT169" s="3">
        <f t="shared" si="85"/>
        <v>1</v>
      </c>
      <c r="AU169" s="3">
        <f t="shared" si="86"/>
        <v>1</v>
      </c>
      <c r="AV169" s="3">
        <f t="shared" si="87"/>
        <v>14</v>
      </c>
      <c r="AW169" s="3">
        <f t="shared" si="88"/>
        <v>9</v>
      </c>
      <c r="AX169" s="3">
        <f t="shared" si="89"/>
        <v>4</v>
      </c>
      <c r="AY169" s="3">
        <f t="shared" si="90"/>
        <v>4</v>
      </c>
      <c r="AZ169" s="3">
        <f t="shared" si="91"/>
        <v>1</v>
      </c>
      <c r="BA169" s="3">
        <f>IF(ISERROR(LEN(VLOOKUP(A169,Seqs!A:E,2,FALSE))-AL169),"-",LEN(VLOOKUP(A169,Seqs!A:E,2,FALSE))-AL169)</f>
        <v>33</v>
      </c>
      <c r="BB169" s="16">
        <f t="shared" si="92"/>
        <v>28</v>
      </c>
      <c r="BC169" s="9">
        <f t="shared" si="93"/>
        <v>20</v>
      </c>
      <c r="BD169" s="3">
        <f t="shared" si="94"/>
        <v>28</v>
      </c>
      <c r="BE169" s="3">
        <f t="shared" si="95"/>
        <v>48</v>
      </c>
    </row>
    <row r="170" spans="1:58" s="3" customFormat="1" x14ac:dyDescent="0.2">
      <c r="A170" s="3" t="s">
        <v>291</v>
      </c>
      <c r="B170" s="3" t="str">
        <f>LOWER(VLOOKUP(A170,Xtal_Templ!A:B,2,FALSE))</f>
        <v>hrh1_human</v>
      </c>
      <c r="C170" s="3">
        <f>VLOOKUP($A170,'SegEnds_NonXtal_BW#'!$A:$Z,3,FALSE)+D170-50</f>
        <v>361</v>
      </c>
      <c r="D170" s="3">
        <v>377</v>
      </c>
      <c r="E170" s="3">
        <f>IF(ISERROR(VLOOKUP($A170,'SegEnds_NonXtal_BW#'!$A:$Z,4,FALSE)+VLOOKUP($A170,A:AL,4,FALSE)-50),"-",(VLOOKUP($A170,'SegEnds_NonXtal_BW#'!$A:$Z,4,FALSE)+VLOOKUP($A170,A:AL,4,FALSE)-50))</f>
        <v>387</v>
      </c>
      <c r="F170" s="3">
        <f t="shared" si="105"/>
        <v>389</v>
      </c>
      <c r="G170" s="3">
        <v>391</v>
      </c>
      <c r="H170" s="3">
        <f t="shared" si="106"/>
        <v>392</v>
      </c>
      <c r="I170" s="3">
        <f t="shared" si="106"/>
        <v>393</v>
      </c>
      <c r="J170" s="3">
        <v>405</v>
      </c>
      <c r="K170" s="3">
        <f>VLOOKUP($A170,'SegEnds_NonXtal_BW#'!$A:$Z,8,FALSE)+VLOOKUP($A170,A:AL,10,FALSE)-50</f>
        <v>422</v>
      </c>
      <c r="L170" s="3">
        <f t="shared" si="107"/>
        <v>432</v>
      </c>
      <c r="M170" s="3">
        <v>433</v>
      </c>
      <c r="N170" s="3">
        <f t="shared" si="108"/>
        <v>435</v>
      </c>
      <c r="O170" s="3">
        <f t="shared" si="109"/>
        <v>436</v>
      </c>
      <c r="P170" s="3">
        <v>464</v>
      </c>
      <c r="Q170" s="3">
        <f>VLOOKUP($A170,'SegEnds_NonXtal_BW#'!$A:$Z,12,FALSE)+VLOOKUP($A170,A:AL,16,FALSE)-50</f>
        <v>470</v>
      </c>
      <c r="R170" s="3">
        <f>IF(ISERROR(VLOOKUP($A170,'SegEnds_NonXtal_BW#'!$A:$Z,13,FALSE)+VLOOKUP($A170,A:AL,19,FALSE)-50),"-",VLOOKUP($A170,'SegEnds_NonXtal_BW#'!$A:$Z,13,FALSE)+VLOOKUP($A170,A:AL,19,FALSE)-50)</f>
        <v>471</v>
      </c>
      <c r="S170" s="3">
        <v>471</v>
      </c>
      <c r="T170" s="100">
        <f>IF(ISERROR(VLOOKUP($A170,'SegEnds_NonXtal_BW#'!$A:$Z,14,FALSE)+VLOOKUP($A170,A:AL,19,FALSE)-50),"-",(VLOOKUP($A170,'SegEnds_NonXtal_BW#'!$A:$Z,14,FALSE)+VLOOKUP($A170,A:AL,19,FALSE)-50))</f>
        <v>478</v>
      </c>
      <c r="U170" s="9">
        <f>IF(ISERROR(VLOOKUP($A170,'SegEnds_NonXtal_BW#'!$A:$Z,15,FALSE)+VLOOKUP($A170,A:AL,22,FALSE)-50),"-",VLOOKUP($A170,'SegEnds_NonXtal_BW#'!$A:$Z,15,FALSE)+VLOOKUP($A170,A:AL,22,FALSE)-50)</f>
        <v>479</v>
      </c>
      <c r="V170" s="3">
        <v>491</v>
      </c>
      <c r="W170" s="3">
        <f>IF(ISERROR(VLOOKUP($A170,'SegEnds_NonXtal_BW#'!$A:$Z,16,FALSE)+VLOOKUP($A170,A:AL,22,FALSE)-50),"-",(VLOOKUP($A170,'SegEnds_NonXtal_BW#'!$A:$Z,16,FALSE)+VLOOKUP($A170,A:AL,22,FALSE)-50))</f>
        <v>503</v>
      </c>
      <c r="X170" s="3">
        <f>IF(ISERROR(VLOOKUP($A170,'SegEnds_NonXtal_BW#'!$A:$Z,17,FALSE)+VLOOKUP($A170,A:AL,25,FALSE)-50),"-",(VLOOKUP($A170,'SegEnds_NonXtal_BW#'!$A:$Z,17,FALSE)+VLOOKUP($A170,A:AL,25,FALSE)-50))</f>
        <v>514</v>
      </c>
      <c r="Y170" s="3">
        <v>514</v>
      </c>
      <c r="Z170" s="3">
        <f t="shared" si="103"/>
        <v>516</v>
      </c>
      <c r="AA170" s="3">
        <f>IF(ISERROR(VLOOKUP($A170,'SegEnds_NonXtal_BW#'!$A:$Z,19,FALSE)+VLOOKUP($A170,A:AL,28,FALSE)-50),"-",(VLOOKUP($A170,'SegEnds_NonXtal_BW#'!$A:$Z,19,FALSE)+VLOOKUP($A170,A:AL,28,FALSE)-50))</f>
        <v>523</v>
      </c>
      <c r="AB170" s="3">
        <v>538</v>
      </c>
      <c r="AC170" s="3">
        <f>IF(ISERROR((VLOOKUP($A170,'SegEnds_NonXtal_BW#'!$A:$Z,20,FALSE)+VLOOKUP($A170,A:AL,28,FALSE)-50)),"-",(VLOOKUP($A170,'SegEnds_NonXtal_BW#'!$A:$Z,20,FALSE)+VLOOKUP($A170,A:AL,28,FALSE)-50))</f>
        <v>555</v>
      </c>
      <c r="AD170" s="3">
        <f>IF(ISERROR(VLOOKUP($A170,'SegEnds_NonXtal_BW#'!$A:$Z,21,FALSE)+VLOOKUP($A170,A:AL,31,FALSE)-50),"-",(VLOOKUP($A170,'SegEnds_NonXtal_BW#'!$A:$Z,21,FALSE)+VLOOKUP($A170,A:AL,31,FALSE)-50))</f>
        <v>560</v>
      </c>
      <c r="AE170" s="3">
        <v>584</v>
      </c>
      <c r="AF170" s="3">
        <f>IF(ISERROR((VLOOKUP($A170,'SegEnds_NonXtal_BW#'!$A:$Z,22,FALSE)+VLOOKUP($A170,A:AL,31,FALSE)-50)),"-",(VLOOKUP($A170,'SegEnds_NonXtal_BW#'!$A:$Z,22,FALSE)+VLOOKUP($A170,A:AL,31,FALSE)-50))</f>
        <v>595</v>
      </c>
      <c r="AG170" s="3">
        <f>IF(ISERROR(VLOOKUP($A170,'SegEnds_NonXtal_BW#'!$A:$Z,23,FALSE)+VLOOKUP($A170,A:AL,34,FALSE)-50),"-",(VLOOKUP($A170,'SegEnds_NonXtal_BW#'!$A:$Z,23,FALSE)+VLOOKUP($A170,A:AL,34,FALSE)-50))</f>
        <v>601</v>
      </c>
      <c r="AH170" s="3">
        <v>620</v>
      </c>
      <c r="AI170" s="3">
        <f>IF(ISERROR((VLOOKUP($A170,'SegEnds_NonXtal_BW#'!$A:$Z,24,FALSE)+VLOOKUP($A170,A:AL,34,FALSE)-50)),"-",(VLOOKUP($A170,'SegEnds_NonXtal_BW#'!$A:$Z,24,FALSE)+VLOOKUP($A170,A:AL,34,FALSE)-50))</f>
        <v>626</v>
      </c>
      <c r="AJ170" s="3">
        <f>IF(ISERROR(VLOOKUP($A170,'SegEnds_NonXtal_BW#'!$A:$Z,25,FALSE)+VLOOKUP($A170,A:AL,37,FALSE)-50),"-",(VLOOKUP($A170,'SegEnds_NonXtal_BW#'!$A:$Z,25,FALSE)+VLOOKUP($A170,A:AL,37,FALSE)-50))</f>
        <v>627</v>
      </c>
      <c r="AK170" s="3">
        <v>630</v>
      </c>
      <c r="AL170" s="3">
        <f>IF(ISERROR((VLOOKUP($A170,'SegEnds_NonXtal_BW#'!$A:$Z,26,FALSE)+VLOOKUP($A170,A:AL,37,FALSE)-50)),"-",(VLOOKUP($A170,'SegEnds_NonXtal_BW#'!$A:$Z,26,FALSE)+VLOOKUP($A170,A:AL,37,FALSE)-50))</f>
        <v>639</v>
      </c>
      <c r="AM170" s="28" t="str">
        <f>VLOOKUP(A170,Classification!A:B,2,FALSE)</f>
        <v>A</v>
      </c>
      <c r="AN170" s="28" t="b">
        <f t="shared" si="98"/>
        <v>1</v>
      </c>
      <c r="AO170" s="3" t="str">
        <f>IF(ISERROR(MATCH(A170,'SegEnds_Xtal_Prot#'!B:B, 0)), "NoXtal", "Xtal")</f>
        <v>NoXtal</v>
      </c>
      <c r="AP170" s="3">
        <f t="shared" si="81"/>
        <v>2</v>
      </c>
      <c r="AQ170" s="3">
        <f t="shared" si="82"/>
        <v>1</v>
      </c>
      <c r="AR170" s="3">
        <f t="shared" si="83"/>
        <v>10</v>
      </c>
      <c r="AS170" s="3">
        <f t="shared" si="84"/>
        <v>1</v>
      </c>
      <c r="AT170" s="3">
        <f t="shared" si="85"/>
        <v>1</v>
      </c>
      <c r="AU170" s="3">
        <f t="shared" si="86"/>
        <v>1</v>
      </c>
      <c r="AV170" s="3">
        <f t="shared" si="87"/>
        <v>11</v>
      </c>
      <c r="AW170" s="3">
        <f t="shared" si="88"/>
        <v>7</v>
      </c>
      <c r="AX170" s="3">
        <f t="shared" si="89"/>
        <v>5</v>
      </c>
      <c r="AY170" s="3">
        <f t="shared" si="90"/>
        <v>6</v>
      </c>
      <c r="AZ170" s="3">
        <f t="shared" si="91"/>
        <v>1</v>
      </c>
      <c r="BA170" s="3">
        <f>IF(ISERROR(LEN(VLOOKUP(A170,Seqs!A:E,2,FALSE))-AL170),"-",LEN(VLOOKUP(A170,Seqs!A:E,2,FALSE))-AL170)</f>
        <v>60</v>
      </c>
      <c r="BB170" s="16">
        <f t="shared" si="92"/>
        <v>28</v>
      </c>
      <c r="BC170" s="9">
        <f t="shared" si="93"/>
        <v>20</v>
      </c>
      <c r="BD170" s="3">
        <f t="shared" si="94"/>
        <v>28</v>
      </c>
      <c r="BE170" s="3">
        <f t="shared" si="95"/>
        <v>46</v>
      </c>
    </row>
    <row r="171" spans="1:58" s="3" customFormat="1" x14ac:dyDescent="0.2">
      <c r="A171" s="3" t="s">
        <v>292</v>
      </c>
      <c r="B171" s="3" t="str">
        <f>LOWER(VLOOKUP(A171,Xtal_Templ!A:B,2,FALSE))</f>
        <v>pd2r2_human</v>
      </c>
      <c r="C171" s="3">
        <f>VLOOKUP($A171,'SegEnds_NonXtal_BW#'!$A:$Z,3,FALSE)+D171-50</f>
        <v>18</v>
      </c>
      <c r="D171" s="3">
        <v>36</v>
      </c>
      <c r="E171" s="3">
        <f>IF(ISERROR(VLOOKUP($A171,'SegEnds_NonXtal_BW#'!$A:$Z,4,FALSE)+VLOOKUP($A171,A:AL,4,FALSE)-50),"-",(VLOOKUP($A171,'SegEnds_NonXtal_BW#'!$A:$Z,4,FALSE)+VLOOKUP($A171,A:AL,4,FALSE)-50))</f>
        <v>46</v>
      </c>
      <c r="F171" s="3">
        <f t="shared" si="105"/>
        <v>47</v>
      </c>
      <c r="G171" s="3">
        <v>49</v>
      </c>
      <c r="H171" s="3">
        <f t="shared" si="106"/>
        <v>50</v>
      </c>
      <c r="I171" s="3">
        <f t="shared" si="106"/>
        <v>51</v>
      </c>
      <c r="J171" s="3">
        <v>64</v>
      </c>
      <c r="K171" s="3">
        <f>VLOOKUP($A171,'SegEnds_NonXtal_BW#'!$A:$Z,8,FALSE)+VLOOKUP($A171,A:AL,10,FALSE)-50</f>
        <v>80</v>
      </c>
      <c r="L171" s="3">
        <f t="shared" si="107"/>
        <v>82</v>
      </c>
      <c r="M171" s="3">
        <v>83</v>
      </c>
      <c r="N171" s="3">
        <f t="shared" si="108"/>
        <v>85</v>
      </c>
      <c r="O171" s="3">
        <f t="shared" si="109"/>
        <v>86</v>
      </c>
      <c r="P171" s="3">
        <v>115</v>
      </c>
      <c r="Q171" s="3">
        <f>VLOOKUP($A171,'SegEnds_NonXtal_BW#'!$A:$Z,12,FALSE)+VLOOKUP($A171,A:AL,16,FALSE)-50</f>
        <v>121</v>
      </c>
      <c r="R171" s="3">
        <f>IF(ISERROR(VLOOKUP($A171,'SegEnds_NonXtal_BW#'!$A:$Z,13,FALSE)+VLOOKUP($A171,A:AL,19,FALSE)-50),"-",VLOOKUP($A171,'SegEnds_NonXtal_BW#'!$A:$Z,13,FALSE)+VLOOKUP($A171,A:AL,19,FALSE)-50)</f>
        <v>122</v>
      </c>
      <c r="S171" s="3">
        <v>122</v>
      </c>
      <c r="T171" s="100">
        <f>IF(ISERROR(VLOOKUP($A171,'SegEnds_NonXtal_BW#'!$A:$Z,14,FALSE)+VLOOKUP($A171,A:AL,19,FALSE)-50),"-",(VLOOKUP($A171,'SegEnds_NonXtal_BW#'!$A:$Z,14,FALSE)+VLOOKUP($A171,A:AL,19,FALSE)-50))</f>
        <v>129</v>
      </c>
      <c r="U171" s="9">
        <f>IF(ISERROR(VLOOKUP($A171,'SegEnds_NonXtal_BW#'!$A:$Z,15,FALSE)+VLOOKUP($A171,A:AL,22,FALSE)-50),"-",VLOOKUP($A171,'SegEnds_NonXtal_BW#'!$A:$Z,15,FALSE)+VLOOKUP($A171,A:AL,22,FALSE)-50)</f>
        <v>130</v>
      </c>
      <c r="V171" s="3">
        <v>142</v>
      </c>
      <c r="W171" s="3">
        <f>IF(ISERROR(VLOOKUP($A171,'SegEnds_NonXtal_BW#'!$A:$Z,16,FALSE)+VLOOKUP($A171,A:AL,22,FALSE)-50),"-",(VLOOKUP($A171,'SegEnds_NonXtal_BW#'!$A:$Z,16,FALSE)+VLOOKUP($A171,A:AL,22,FALSE)-50))</f>
        <v>156</v>
      </c>
      <c r="X171" s="3">
        <f>IF(ISERROR(VLOOKUP($A171,'SegEnds_NonXtal_BW#'!$A:$Z,17,FALSE)+VLOOKUP($A171,A:AL,25,FALSE)-50),"-",(VLOOKUP($A171,'SegEnds_NonXtal_BW#'!$A:$Z,17,FALSE)+VLOOKUP($A171,A:AL,25,FALSE)-50))</f>
        <v>168</v>
      </c>
      <c r="Y171" s="3">
        <v>168</v>
      </c>
      <c r="Z171" s="3">
        <f t="shared" si="103"/>
        <v>170</v>
      </c>
      <c r="AA171" s="3">
        <f>IF(ISERROR(VLOOKUP($A171,'SegEnds_NonXtal_BW#'!$A:$Z,19,FALSE)+VLOOKUP($A171,A:AL,28,FALSE)-50),"-",(VLOOKUP($A171,'SegEnds_NonXtal_BW#'!$A:$Z,19,FALSE)+VLOOKUP($A171,A:AL,28,FALSE)-50))</f>
        <v>172</v>
      </c>
      <c r="AB171" s="3">
        <v>193</v>
      </c>
      <c r="AC171" s="3">
        <f>IF(ISERROR((VLOOKUP($A171,'SegEnds_NonXtal_BW#'!$A:$Z,20,FALSE)+VLOOKUP($A171,A:AL,28,FALSE)-50)),"-",(VLOOKUP($A171,'SegEnds_NonXtal_BW#'!$A:$Z,20,FALSE)+VLOOKUP($A171,A:AL,28,FALSE)-50))</f>
        <v>211</v>
      </c>
      <c r="AD171" s="3">
        <f>IF(ISERROR(VLOOKUP($A171,'SegEnds_NonXtal_BW#'!$A:$Z,21,FALSE)+VLOOKUP($A171,A:AL,31,FALSE)-50),"-",(VLOOKUP($A171,'SegEnds_NonXtal_BW#'!$A:$Z,21,FALSE)+VLOOKUP($A171,A:AL,31,FALSE)-50))</f>
        <v>216</v>
      </c>
      <c r="AE171" s="3">
        <v>236</v>
      </c>
      <c r="AF171" s="3">
        <f>IF(ISERROR((VLOOKUP($A171,'SegEnds_NonXtal_BW#'!$A:$Z,22,FALSE)+VLOOKUP($A171,A:AL,31,FALSE)-50)),"-",(VLOOKUP($A171,'SegEnds_NonXtal_BW#'!$A:$Z,22,FALSE)+VLOOKUP($A171,A:AL,31,FALSE)-50))</f>
        <v>250</v>
      </c>
      <c r="AG171" s="3">
        <f>IF(ISERROR(VLOOKUP($A171,'SegEnds_NonXtal_BW#'!$A:$Z,23,FALSE)+VLOOKUP($A171,A:AL,34,FALSE)-50),"-",(VLOOKUP($A171,'SegEnds_NonXtal_BW#'!$A:$Z,23,FALSE)+VLOOKUP($A171,A:AL,34,FALSE)-50))</f>
        <v>256</v>
      </c>
      <c r="AH171" s="3">
        <v>282</v>
      </c>
      <c r="AI171" s="3">
        <f>IF(ISERROR((VLOOKUP($A171,'SegEnds_NonXtal_BW#'!$A:$Z,24,FALSE)+VLOOKUP($A171,A:AL,34,FALSE)-50)),"-",(VLOOKUP($A171,'SegEnds_NonXtal_BW#'!$A:$Z,24,FALSE)+VLOOKUP($A171,A:AL,34,FALSE)-50))</f>
        <v>288</v>
      </c>
      <c r="AJ171" s="3">
        <f>IF(ISERROR(VLOOKUP($A171,'SegEnds_NonXtal_BW#'!$A:$Z,25,FALSE)+VLOOKUP($A171,A:AL,37,FALSE)-50),"-",(VLOOKUP($A171,'SegEnds_NonXtal_BW#'!$A:$Z,25,FALSE)+VLOOKUP($A171,A:AL,37,FALSE)-50))</f>
        <v>289</v>
      </c>
      <c r="AK171" s="3">
        <v>292</v>
      </c>
      <c r="AL171" s="3">
        <f>IF(ISERROR((VLOOKUP($A171,'SegEnds_NonXtal_BW#'!$A:$Z,26,FALSE)+VLOOKUP($A171,A:AL,37,FALSE)-50)),"-",(VLOOKUP($A171,'SegEnds_NonXtal_BW#'!$A:$Z,26,FALSE)+VLOOKUP($A171,A:AL,37,FALSE)-50))</f>
        <v>306</v>
      </c>
      <c r="AM171" s="28" t="str">
        <f>VLOOKUP(A171,Classification!A:B,2,FALSE)</f>
        <v>A</v>
      </c>
      <c r="AN171" s="28" t="b">
        <f>AND(IF(Y171="-",IF(AA171-W171&gt;3,TRUE,FALSE),TRUE),IF(M171="-",IF(O171-K171&gt;3,TRUE,FALSE),TRUE),IF(AG171-AF171&gt;1,TRUE,FALSE),C171&lt;E171,OR(E171&lt;F171,F171="-"),OR(F171&lt;H171,F171="-"),OR(H171&lt;I171,H171="-"),I171&lt;K171,OR(K171&lt;L171,L171="-"),OR(L171&lt;N171,L171="-"),OR(N171&lt;O171,N171="-"),O171&lt;Q171,OR(Q171&lt;R171,R171="-"),OR(R171&lt;T171,R171="-"),OR(T171&lt;U171,T171="-"),U171&lt;W171,OR(W171&lt;X171,X171="-"),OR(X171&lt;Z171,X171="-"),OR(Z171&lt;AA171,Z171="-"),AA171&lt;AC171,AC171&lt;AD171,AD171&lt;AF171,AF171&lt;AG171,AG171&lt;AI171,OR(AI171&lt;AJ171,AJ171="-"),OR(AJ171&lt;AL171,AJ171="-"))</f>
        <v>1</v>
      </c>
      <c r="AO171" s="3" t="str">
        <f>IF(ISERROR(MATCH(A171,'SegEnds_Xtal_Prot#'!B:B, 0)), "NoXtal", "Xtal")</f>
        <v>NoXtal</v>
      </c>
      <c r="AP171" s="3">
        <f t="shared" si="81"/>
        <v>1</v>
      </c>
      <c r="AQ171" s="3">
        <f t="shared" si="82"/>
        <v>1</v>
      </c>
      <c r="AR171" s="3">
        <f t="shared" si="83"/>
        <v>2</v>
      </c>
      <c r="AS171" s="3">
        <f t="shared" si="84"/>
        <v>1</v>
      </c>
      <c r="AT171" s="3">
        <f t="shared" si="85"/>
        <v>1</v>
      </c>
      <c r="AU171" s="3">
        <f t="shared" si="86"/>
        <v>1</v>
      </c>
      <c r="AV171" s="3">
        <f t="shared" si="87"/>
        <v>12</v>
      </c>
      <c r="AW171" s="3">
        <f t="shared" si="88"/>
        <v>2</v>
      </c>
      <c r="AX171" s="3">
        <f t="shared" si="89"/>
        <v>5</v>
      </c>
      <c r="AY171" s="3">
        <f t="shared" si="90"/>
        <v>6</v>
      </c>
      <c r="AZ171" s="3">
        <f t="shared" si="91"/>
        <v>1</v>
      </c>
      <c r="BA171" s="3">
        <f>IF(ISERROR(LEN(VLOOKUP(A171,Seqs!A:E,2,FALSE))-AL171),"-",LEN(VLOOKUP(A171,Seqs!A:E,2,FALSE))-AL171)</f>
        <v>46</v>
      </c>
      <c r="BB171" s="16">
        <f t="shared" si="92"/>
        <v>28</v>
      </c>
      <c r="BC171" s="9">
        <f t="shared" si="93"/>
        <v>20</v>
      </c>
      <c r="BD171" s="3">
        <f t="shared" si="94"/>
        <v>28</v>
      </c>
      <c r="BE171" s="3">
        <f t="shared" si="95"/>
        <v>43</v>
      </c>
    </row>
    <row r="172" spans="1:58" s="3" customFormat="1" x14ac:dyDescent="0.2">
      <c r="A172" s="3" t="s">
        <v>293</v>
      </c>
      <c r="B172" s="3" t="str">
        <f>LOWER(VLOOKUP(A172,Xtal_Templ!A:B,2,FALSE))</f>
        <v>pd2r2_human</v>
      </c>
      <c r="C172" s="3">
        <f>VLOOKUP($A172,'SegEnds_NonXtal_BW#'!$A:$Z,3,FALSE)+D172-50</f>
        <v>51</v>
      </c>
      <c r="D172" s="3">
        <v>69</v>
      </c>
      <c r="E172" s="3">
        <f>IF(ISERROR(VLOOKUP($A172,'SegEnds_NonXtal_BW#'!$A:$Z,4,FALSE)+VLOOKUP($A172,A:AL,4,FALSE)-50),"-",(VLOOKUP($A172,'SegEnds_NonXtal_BW#'!$A:$Z,4,FALSE)+VLOOKUP($A172,A:AL,4,FALSE)-50))</f>
        <v>79</v>
      </c>
      <c r="F172" s="3">
        <f t="shared" si="105"/>
        <v>80</v>
      </c>
      <c r="G172" s="3">
        <v>82</v>
      </c>
      <c r="H172" s="3">
        <f t="shared" si="106"/>
        <v>83</v>
      </c>
      <c r="I172" s="3">
        <f t="shared" si="106"/>
        <v>84</v>
      </c>
      <c r="J172" s="3">
        <v>99</v>
      </c>
      <c r="K172" s="3">
        <f>VLOOKUP($A172,'SegEnds_NonXtal_BW#'!$A:$Z,8,FALSE)+VLOOKUP($A172,A:AL,10,FALSE)-50</f>
        <v>115</v>
      </c>
      <c r="L172" s="3">
        <f t="shared" si="107"/>
        <v>117</v>
      </c>
      <c r="M172" s="3">
        <v>118</v>
      </c>
      <c r="N172" s="3">
        <f t="shared" si="108"/>
        <v>120</v>
      </c>
      <c r="O172" s="3">
        <f t="shared" si="109"/>
        <v>121</v>
      </c>
      <c r="P172" s="3">
        <v>150</v>
      </c>
      <c r="Q172" s="3">
        <f>VLOOKUP($A172,'SegEnds_NonXtal_BW#'!$A:$Z,12,FALSE)+VLOOKUP($A172,A:AL,16,FALSE)-50</f>
        <v>156</v>
      </c>
      <c r="R172" s="3">
        <f>IF(ISERROR(VLOOKUP($A172,'SegEnds_NonXtal_BW#'!$A:$Z,13,FALSE)+VLOOKUP($A172,A:AL,19,FALSE)-50),"-",VLOOKUP($A172,'SegEnds_NonXtal_BW#'!$A:$Z,13,FALSE)+VLOOKUP($A172,A:AL,19,FALSE)-50)</f>
        <v>157</v>
      </c>
      <c r="S172" s="3">
        <v>157</v>
      </c>
      <c r="T172" s="100">
        <f>IF(ISERROR(VLOOKUP($A172,'SegEnds_NonXtal_BW#'!$A:$Z,14,FALSE)+VLOOKUP($A172,A:AL,19,FALSE)-50),"-",(VLOOKUP($A172,'SegEnds_NonXtal_BW#'!$A:$Z,14,FALSE)+VLOOKUP($A172,A:AL,19,FALSE)-50))</f>
        <v>164</v>
      </c>
      <c r="U172" s="9">
        <f>IF(ISERROR(VLOOKUP($A172,'SegEnds_NonXtal_BW#'!$A:$Z,15,FALSE)+VLOOKUP($A172,A:AL,22,FALSE)-50),"-",VLOOKUP($A172,'SegEnds_NonXtal_BW#'!$A:$Z,15,FALSE)+VLOOKUP($A172,A:AL,22,FALSE)-50)</f>
        <v>165</v>
      </c>
      <c r="V172" s="3">
        <v>177</v>
      </c>
      <c r="W172" s="3">
        <f>IF(ISERROR(VLOOKUP($A172,'SegEnds_NonXtal_BW#'!$A:$Z,16,FALSE)+VLOOKUP($A172,A:AL,22,FALSE)-50),"-",(VLOOKUP($A172,'SegEnds_NonXtal_BW#'!$A:$Z,16,FALSE)+VLOOKUP($A172,A:AL,22,FALSE)-50))</f>
        <v>191</v>
      </c>
      <c r="X172" s="3">
        <f>IF(ISERROR(VLOOKUP($A172,'SegEnds_NonXtal_BW#'!$A:$Z,17,FALSE)+VLOOKUP($A172,A:AL,25,FALSE)-50),"-",(VLOOKUP($A172,'SegEnds_NonXtal_BW#'!$A:$Z,17,FALSE)+VLOOKUP($A172,A:AL,25,FALSE)-50))</f>
        <v>202</v>
      </c>
      <c r="Y172" s="3">
        <v>202</v>
      </c>
      <c r="Z172" s="3">
        <f t="shared" si="103"/>
        <v>204</v>
      </c>
      <c r="AA172" s="3">
        <f>IF(ISERROR(VLOOKUP($A172,'SegEnds_NonXtal_BW#'!$A:$Z,19,FALSE)+VLOOKUP($A172,A:AL,28,FALSE)-50),"-",(VLOOKUP($A172,'SegEnds_NonXtal_BW#'!$A:$Z,19,FALSE)+VLOOKUP($A172,A:AL,28,FALSE)-50))</f>
        <v>209</v>
      </c>
      <c r="AB172" s="3">
        <v>224</v>
      </c>
      <c r="AC172" s="3">
        <f>IF(ISERROR((VLOOKUP($A172,'SegEnds_NonXtal_BW#'!$A:$Z,20,FALSE)+VLOOKUP($A172,A:AL,28,FALSE)-50)),"-",(VLOOKUP($A172,'SegEnds_NonXtal_BW#'!$A:$Z,20,FALSE)+VLOOKUP($A172,A:AL,28,FALSE)-50))</f>
        <v>241</v>
      </c>
      <c r="AD172" s="3">
        <f>IF(ISERROR(VLOOKUP($A172,'SegEnds_NonXtal_BW#'!$A:$Z,21,FALSE)+VLOOKUP($A172,A:AL,31,FALSE)-50),"-",(VLOOKUP($A172,'SegEnds_NonXtal_BW#'!$A:$Z,21,FALSE)+VLOOKUP($A172,A:AL,31,FALSE)-50))</f>
        <v>246</v>
      </c>
      <c r="AE172" s="3">
        <v>270</v>
      </c>
      <c r="AF172" s="3">
        <f>IF(ISERROR((VLOOKUP($A172,'SegEnds_NonXtal_BW#'!$A:$Z,22,FALSE)+VLOOKUP($A172,A:AL,31,FALSE)-50)),"-",(VLOOKUP($A172,'SegEnds_NonXtal_BW#'!$A:$Z,22,FALSE)+VLOOKUP($A172,A:AL,31,FALSE)-50))</f>
        <v>284</v>
      </c>
      <c r="AG172" s="3">
        <f>IF(ISERROR(VLOOKUP($A172,'SegEnds_NonXtal_BW#'!$A:$Z,23,FALSE)+VLOOKUP($A172,A:AL,34,FALSE)-50),"-",(VLOOKUP($A172,'SegEnds_NonXtal_BW#'!$A:$Z,23,FALSE)+VLOOKUP($A172,A:AL,34,FALSE)-50))</f>
        <v>290</v>
      </c>
      <c r="AH172" s="3">
        <v>316</v>
      </c>
      <c r="AI172" s="3">
        <f>IF(ISERROR((VLOOKUP($A172,'SegEnds_NonXtal_BW#'!$A:$Z,24,FALSE)+VLOOKUP($A172,A:AL,34,FALSE)-50)),"-",(VLOOKUP($A172,'SegEnds_NonXtal_BW#'!$A:$Z,24,FALSE)+VLOOKUP($A172,A:AL,34,FALSE)-50))</f>
        <v>322</v>
      </c>
      <c r="AJ172" s="3">
        <f>IF(ISERROR(VLOOKUP($A172,'SegEnds_NonXtal_BW#'!$A:$Z,25,FALSE)+VLOOKUP($A172,A:AL,37,FALSE)-50),"-",(VLOOKUP($A172,'SegEnds_NonXtal_BW#'!$A:$Z,25,FALSE)+VLOOKUP($A172,A:AL,37,FALSE)-50))</f>
        <v>323</v>
      </c>
      <c r="AK172" s="3">
        <v>326</v>
      </c>
      <c r="AL172" s="3">
        <f>IF(ISERROR((VLOOKUP($A172,'SegEnds_NonXtal_BW#'!$A:$Z,26,FALSE)+VLOOKUP($A172,A:AL,37,FALSE)-50)),"-",(VLOOKUP($A172,'SegEnds_NonXtal_BW#'!$A:$Z,26,FALSE)+VLOOKUP($A172,A:AL,37,FALSE)-50))</f>
        <v>340</v>
      </c>
      <c r="AM172" s="28" t="str">
        <f>VLOOKUP(A172,Classification!A:B,2,FALSE)</f>
        <v>A</v>
      </c>
      <c r="AN172" s="28" t="b">
        <f t="shared" si="98"/>
        <v>1</v>
      </c>
      <c r="AO172" s="3" t="str">
        <f>IF(ISERROR(MATCH(A172,'SegEnds_Xtal_Prot#'!B:B, 0)), "NoXtal", "Xtal")</f>
        <v>NoXtal</v>
      </c>
      <c r="AP172" s="3">
        <f t="shared" si="81"/>
        <v>1</v>
      </c>
      <c r="AQ172" s="3">
        <f t="shared" si="82"/>
        <v>1</v>
      </c>
      <c r="AR172" s="3">
        <f t="shared" si="83"/>
        <v>2</v>
      </c>
      <c r="AS172" s="3">
        <f t="shared" si="84"/>
        <v>1</v>
      </c>
      <c r="AT172" s="3">
        <f t="shared" si="85"/>
        <v>1</v>
      </c>
      <c r="AU172" s="3">
        <f t="shared" si="86"/>
        <v>1</v>
      </c>
      <c r="AV172" s="3">
        <f t="shared" si="87"/>
        <v>11</v>
      </c>
      <c r="AW172" s="3">
        <f t="shared" si="88"/>
        <v>5</v>
      </c>
      <c r="AX172" s="3">
        <f t="shared" si="89"/>
        <v>5</v>
      </c>
      <c r="AY172" s="3">
        <f t="shared" si="90"/>
        <v>6</v>
      </c>
      <c r="AZ172" s="3">
        <f t="shared" si="91"/>
        <v>1</v>
      </c>
      <c r="BA172" s="3">
        <f>IF(ISERROR(LEN(VLOOKUP(A172,Seqs!A:E,2,FALSE))-AL172),"-",LEN(VLOOKUP(A172,Seqs!A:E,2,FALSE))-AL172)</f>
        <v>49</v>
      </c>
      <c r="BB172" s="16">
        <f t="shared" si="92"/>
        <v>30</v>
      </c>
      <c r="BC172" s="9">
        <f t="shared" si="93"/>
        <v>20</v>
      </c>
      <c r="BD172" s="3">
        <f t="shared" si="94"/>
        <v>30</v>
      </c>
      <c r="BE172" s="3">
        <f t="shared" si="95"/>
        <v>46</v>
      </c>
    </row>
    <row r="173" spans="1:58" s="3" customFormat="1" x14ac:dyDescent="0.2">
      <c r="A173" s="3" t="s">
        <v>294</v>
      </c>
      <c r="B173" s="3" t="str">
        <f>LOWER(VLOOKUP(A173,Xtal_Templ!A:B,2,FALSE))</f>
        <v>agtr1_human</v>
      </c>
      <c r="C173" s="3">
        <f>VLOOKUP($A173,'SegEnds_NonXtal_BW#'!$A:$Z,3,FALSE)+D173-50</f>
        <v>28</v>
      </c>
      <c r="D173" s="3">
        <v>50</v>
      </c>
      <c r="E173" s="3">
        <f>IF(ISERROR(VLOOKUP($A173,'SegEnds_NonXtal_BW#'!$A:$Z,4,FALSE)+VLOOKUP($A173,A:AL,4,FALSE)-50),"-",(VLOOKUP($A173,'SegEnds_NonXtal_BW#'!$A:$Z,4,FALSE)+VLOOKUP($A173,A:AL,4,FALSE)-50))</f>
        <v>60</v>
      </c>
      <c r="F173" s="3" t="str">
        <f>IF(ISERROR(VLOOKUP($A173,'SegEnds_NonXtal_BW#'!$A:$Z,5,FALSE)+VLOOKUP($A173,A:AL,7,FALSE)-50),"-",(VLOOKUP($A173,'SegEnds_NonXtal_BW#'!$A:$Z,5,FALSE)+VLOOKUP($A173,A:AL,7,FALSE)-50))</f>
        <v>-</v>
      </c>
      <c r="G173" s="3" t="s">
        <v>23</v>
      </c>
      <c r="H173" s="3" t="str">
        <f>IF(ISERROR(VLOOKUP($A173,'SegEnds_NonXtal_BW#'!$A:$Z,6,FALSE)+VLOOKUP($A173,A:AL,7,FALSE)-50),"-",(VLOOKUP($A173,'SegEnds_NonXtal_BW#'!$A:$Z,6,FALSE)+VLOOKUP($A173,A:AL,7,FALSE)-50))</f>
        <v>-</v>
      </c>
      <c r="I173" s="3">
        <f>VLOOKUP($A173,'SegEnds_NonXtal_BW#'!$A:$Z,7,FALSE)+J173-50</f>
        <v>64</v>
      </c>
      <c r="J173" s="3">
        <v>77</v>
      </c>
      <c r="K173" s="3">
        <f>VLOOKUP($A173,'SegEnds_NonXtal_BW#'!$A:$Z,8,FALSE)+VLOOKUP($A173,A:AL,10,FALSE)-50</f>
        <v>94</v>
      </c>
      <c r="L173" s="3" t="s">
        <v>23</v>
      </c>
      <c r="M173" s="3" t="s">
        <v>23</v>
      </c>
      <c r="N173" s="3" t="s">
        <v>23</v>
      </c>
      <c r="O173" s="3">
        <f>VLOOKUP($A173,'SegEnds_NonXtal_BW#'!$A:$Z,11,FALSE)+VLOOKUP($A173,A:AL,16,FALSE)-50</f>
        <v>98</v>
      </c>
      <c r="P173" s="3">
        <v>130</v>
      </c>
      <c r="Q173" s="3">
        <f>VLOOKUP($A173,'SegEnds_NonXtal_BW#'!$A:$Z,12,FALSE)+VLOOKUP($A173,A:AL,16,FALSE)-50</f>
        <v>136</v>
      </c>
      <c r="R173" s="3">
        <f>IF(ISERROR(VLOOKUP($A173,'SegEnds_NonXtal_BW#'!$A:$Z,13,FALSE)+VLOOKUP($A173,A:AL,19,FALSE)-50),"-",VLOOKUP($A173,'SegEnds_NonXtal_BW#'!$A:$Z,13,FALSE)+VLOOKUP($A173,A:AL,19,FALSE)-50)</f>
        <v>137</v>
      </c>
      <c r="S173" s="3">
        <v>137</v>
      </c>
      <c r="T173" s="100">
        <f>IF(ISERROR(VLOOKUP($A173,'SegEnds_NonXtal_BW#'!$A:$Z,14,FALSE)+VLOOKUP($A173,A:AL,19,FALSE)-50),"-",(VLOOKUP($A173,'SegEnds_NonXtal_BW#'!$A:$Z,14,FALSE)+VLOOKUP($A173,A:AL,19,FALSE)-50))</f>
        <v>144</v>
      </c>
      <c r="U173" s="9">
        <f>IF(ISERROR(VLOOKUP($A173,'SegEnds_NonXtal_BW#'!$A:$Z,15,FALSE)+VLOOKUP($A173,A:AL,22,FALSE)-50),"-",VLOOKUP($A173,'SegEnds_NonXtal_BW#'!$A:$Z,15,FALSE)+VLOOKUP($A173,A:AL,22,FALSE)-50)</f>
        <v>145</v>
      </c>
      <c r="V173" s="3">
        <v>157</v>
      </c>
      <c r="W173" s="3">
        <f>IF(ISERROR(VLOOKUP($A173,'SegEnds_NonXtal_BW#'!$A:$Z,16,FALSE)+VLOOKUP($A173,A:AL,22,FALSE)-50),"-",(VLOOKUP($A173,'SegEnds_NonXtal_BW#'!$A:$Z,16,FALSE)+VLOOKUP($A173,A:AL,22,FALSE)-50))</f>
        <v>171</v>
      </c>
      <c r="X173" s="3" t="str">
        <f>IF(ISERROR(VLOOKUP($A173,'SegEnds_NonXtal_BW#'!$A:$Z,17,FALSE)+VLOOKUP($A173,A:AL,25,FALSE)-50),"-",(VLOOKUP($A173,'SegEnds_NonXtal_BW#'!$A:$Z,17,FALSE)+VLOOKUP($A173,A:AL,25,FALSE)-50))</f>
        <v>-</v>
      </c>
      <c r="Y173" s="3" t="s">
        <v>23</v>
      </c>
      <c r="Z173" s="3" t="str">
        <f>IF(ISERROR(VLOOKUP($A173,'SegEnds_NonXtal_BW#'!$A:$Z,18,FALSE)+VLOOKUP($A173,A:AL,25,FALSE)-50),"-",(VLOOKUP($A173,'SegEnds_NonXtal_BW#'!$A:$Z,18,FALSE)+VLOOKUP($A173,A:AL,25,FALSE)-50))</f>
        <v>-</v>
      </c>
      <c r="AA173" s="3">
        <f>IF(ISERROR(VLOOKUP($A173,'SegEnds_NonXtal_BW#'!$A:$Z,19,FALSE)+VLOOKUP($A173,A:AL,28,FALSE)-50),"-",(VLOOKUP($A173,'SegEnds_NonXtal_BW#'!$A:$Z,19,FALSE)+VLOOKUP($A173,A:AL,28,FALSE)-50))</f>
        <v>185</v>
      </c>
      <c r="AB173" s="3">
        <v>201</v>
      </c>
      <c r="AC173" s="3">
        <f>IF(ISERROR((VLOOKUP($A173,'SegEnds_NonXtal_BW#'!$A:$Z,20,FALSE)+VLOOKUP($A173,A:AL,28,FALSE)-50)),"-",(VLOOKUP($A173,'SegEnds_NonXtal_BW#'!$A:$Z,20,FALSE)+VLOOKUP($A173,A:AL,28,FALSE)-50))</f>
        <v>219</v>
      </c>
      <c r="AD173" s="3">
        <f>IF(ISERROR(VLOOKUP($A173,'SegEnds_NonXtal_BW#'!$A:$Z,21,FALSE)+VLOOKUP($A173,A:AL,31,FALSE)-50),"-",(VLOOKUP($A173,'SegEnds_NonXtal_BW#'!$A:$Z,21,FALSE)+VLOOKUP($A173,A:AL,31,FALSE)-50))</f>
        <v>223</v>
      </c>
      <c r="AE173" s="3">
        <v>243</v>
      </c>
      <c r="AF173" s="3">
        <f>IF(ISERROR((VLOOKUP($A173,'SegEnds_NonXtal_BW#'!$A:$Z,22,FALSE)+VLOOKUP($A173,A:AL,31,FALSE)-50)),"-",(VLOOKUP($A173,'SegEnds_NonXtal_BW#'!$A:$Z,22,FALSE)+VLOOKUP($A173,A:AL,31,FALSE)-50))</f>
        <v>254</v>
      </c>
      <c r="AG173" s="3">
        <f>IF(ISERROR(VLOOKUP($A173,'SegEnds_NonXtal_BW#'!$A:$Z,23,FALSE)+VLOOKUP($A173,A:AL,34,FALSE)-50),"-",(VLOOKUP($A173,'SegEnds_NonXtal_BW#'!$A:$Z,23,FALSE)+VLOOKUP($A173,A:AL,34,FALSE)-50))</f>
        <v>259</v>
      </c>
      <c r="AH173" s="3">
        <v>277</v>
      </c>
      <c r="AI173" s="3">
        <f>IF(ISERROR((VLOOKUP($A173,'SegEnds_NonXtal_BW#'!$A:$Z,24,FALSE)+VLOOKUP($A173,A:AL,34,FALSE)-50)),"-",(VLOOKUP($A173,'SegEnds_NonXtal_BW#'!$A:$Z,24,FALSE)+VLOOKUP($A173,A:AL,34,FALSE)-50))</f>
        <v>283</v>
      </c>
      <c r="AJ173" s="3">
        <f>IF(ISERROR(VLOOKUP($A173,'SegEnds_NonXtal_BW#'!$A:$Z,25,FALSE)+VLOOKUP($A173,A:AL,37,FALSE)-50),"-",(VLOOKUP($A173,'SegEnds_NonXtal_BW#'!$A:$Z,25,FALSE)+VLOOKUP($A173,A:AL,37,FALSE)-50))</f>
        <v>284</v>
      </c>
      <c r="AK173" s="3">
        <v>287</v>
      </c>
      <c r="AL173" s="3">
        <f>IF(ISERROR((VLOOKUP($A173,'SegEnds_NonXtal_BW#'!$A:$Z,26,FALSE)+VLOOKUP($A173,A:AL,37,FALSE)-50)),"-",(VLOOKUP($A173,'SegEnds_NonXtal_BW#'!$A:$Z,26,FALSE)+VLOOKUP($A173,A:AL,37,FALSE)-50))</f>
        <v>298</v>
      </c>
      <c r="AM173" s="28" t="str">
        <f>VLOOKUP(A173,Classification!A:B,2,FALSE)</f>
        <v>A</v>
      </c>
      <c r="AN173" s="28" t="b">
        <f t="shared" si="98"/>
        <v>1</v>
      </c>
      <c r="AO173" s="3" t="str">
        <f>IF(ISERROR(MATCH(A173,'SegEnds_Xtal_Prot#'!B:B, 0)), "NoXtal", "Xtal")</f>
        <v>NoXtal</v>
      </c>
      <c r="AP173" s="3" t="str">
        <f t="shared" si="81"/>
        <v>-</v>
      </c>
      <c r="AQ173" s="3" t="str">
        <f t="shared" si="82"/>
        <v>-</v>
      </c>
      <c r="AR173" s="3" t="str">
        <f t="shared" si="83"/>
        <v>-</v>
      </c>
      <c r="AS173" s="3" t="str">
        <f t="shared" si="84"/>
        <v>-</v>
      </c>
      <c r="AT173" s="3">
        <f t="shared" si="85"/>
        <v>1</v>
      </c>
      <c r="AU173" s="3">
        <f t="shared" si="86"/>
        <v>1</v>
      </c>
      <c r="AV173" s="3" t="str">
        <f t="shared" si="87"/>
        <v>-</v>
      </c>
      <c r="AW173" s="3" t="str">
        <f t="shared" si="88"/>
        <v>-</v>
      </c>
      <c r="AX173" s="3">
        <f t="shared" si="89"/>
        <v>4</v>
      </c>
      <c r="AY173" s="3">
        <f t="shared" si="90"/>
        <v>5</v>
      </c>
      <c r="AZ173" s="3">
        <f t="shared" si="91"/>
        <v>1</v>
      </c>
      <c r="BA173" s="3">
        <f>IF(ISERROR(LEN(VLOOKUP(A173,Seqs!A:E,2,FALSE))-AL173),"-",LEN(VLOOKUP(A173,Seqs!A:E,2,FALSE))-AL173)</f>
        <v>27</v>
      </c>
      <c r="BB173" s="16">
        <f t="shared" si="92"/>
        <v>27</v>
      </c>
      <c r="BC173" s="9">
        <f t="shared" si="93"/>
        <v>20</v>
      </c>
      <c r="BD173" s="3">
        <f t="shared" si="94"/>
        <v>27</v>
      </c>
      <c r="BE173" s="3">
        <f t="shared" si="95"/>
        <v>42</v>
      </c>
      <c r="BF173" s="3">
        <f>AH173-AE173</f>
        <v>34</v>
      </c>
    </row>
    <row r="174" spans="1:58" s="3" customFormat="1" x14ac:dyDescent="0.2">
      <c r="A174" s="3" t="s">
        <v>295</v>
      </c>
      <c r="B174" s="3" t="str">
        <f>LOWER(VLOOKUP(A174,Xtal_Templ!A:B,2,FALSE))</f>
        <v>ccr9_human</v>
      </c>
      <c r="C174" s="3">
        <f>VLOOKUP($A174,'SegEnds_NonXtal_BW#'!$A:$Z,3,FALSE)+D174-50</f>
        <v>70</v>
      </c>
      <c r="D174" s="3">
        <v>93</v>
      </c>
      <c r="E174" s="3">
        <f>IF(ISERROR(VLOOKUP($A174,'SegEnds_NonXtal_BW#'!$A:$Z,4,FALSE)+VLOOKUP($A174,A:AL,4,FALSE)-50),"-",(VLOOKUP($A174,'SegEnds_NonXtal_BW#'!$A:$Z,4,FALSE)+VLOOKUP($A174,A:AL,4,FALSE)-50))</f>
        <v>103</v>
      </c>
      <c r="F174" s="3" t="str">
        <f>IF(ISERROR(VLOOKUP($A174,'SegEnds_NonXtal_BW#'!$A:$Z,5,FALSE)+VLOOKUP($A174,A:AL,7,FALSE)-50),"-",(VLOOKUP($A174,'SegEnds_NonXtal_BW#'!$A:$Z,5,FALSE)+VLOOKUP($A174,A:AL,7,FALSE)-50))</f>
        <v>-</v>
      </c>
      <c r="G174" s="3" t="s">
        <v>23</v>
      </c>
      <c r="H174" s="3" t="str">
        <f>IF(ISERROR(VLOOKUP($A174,'SegEnds_NonXtal_BW#'!$A:$Z,6,FALSE)+VLOOKUP($A174,A:AL,7,FALSE)-50),"-",(VLOOKUP($A174,'SegEnds_NonXtal_BW#'!$A:$Z,6,FALSE)+VLOOKUP($A174,A:AL,7,FALSE)-50))</f>
        <v>-</v>
      </c>
      <c r="I174" s="3">
        <f>VLOOKUP($A174,'SegEnds_NonXtal_BW#'!$A:$Z,7,FALSE)+J174-50</f>
        <v>106</v>
      </c>
      <c r="J174" s="3">
        <v>119</v>
      </c>
      <c r="K174" s="3">
        <f>VLOOKUP($A174,'SegEnds_NonXtal_BW#'!$A:$Z,8,FALSE)+VLOOKUP($A174,A:AL,10,FALSE)-50</f>
        <v>135</v>
      </c>
      <c r="L174" s="3" t="str">
        <f>IF(ISERROR(VLOOKUP($A174,'SegEnds_NonXtal_BW#'!$A:$Z,9,FALSE)+VLOOKUP($A174,A:AL,13,FALSE)-50),"-",(VLOOKUP($A174,'SegEnds_NonXtal_BW#'!$A:$Z,9,FALSE)+VLOOKUP($A174,A:AL,13,FALSE)-50))</f>
        <v>-</v>
      </c>
      <c r="M174" s="3" t="s">
        <v>23</v>
      </c>
      <c r="N174" s="3" t="str">
        <f>IF(ISERROR(VLOOKUP($A174,'SegEnds_NonXtal_BW#'!$A:$Z,10,FALSE)+VLOOKUP($A174,A:AL,13,FALSE)-50),"-",(VLOOKUP($A174,'SegEnds_NonXtal_BW#'!$A:$Z,10,FALSE)+VLOOKUP($A174,A:AL,13,FALSE)-50))</f>
        <v>-</v>
      </c>
      <c r="O174" s="3">
        <f>VLOOKUP($A174,'SegEnds_NonXtal_BW#'!$A:$Z,11,FALSE)+VLOOKUP($A174,A:AL,16,FALSE)-50</f>
        <v>139</v>
      </c>
      <c r="P174" s="3">
        <v>171</v>
      </c>
      <c r="Q174" s="3">
        <f>VLOOKUP($A174,'SegEnds_NonXtal_BW#'!$A:$Z,12,FALSE)+VLOOKUP($A174,A:AL,16,FALSE)-50</f>
        <v>177</v>
      </c>
      <c r="R174" s="3">
        <f>IF(ISERROR(VLOOKUP($A174,'SegEnds_NonXtal_BW#'!$A:$Z,13,FALSE)+VLOOKUP($A174,A:AL,19,FALSE)-50),"-",VLOOKUP($A174,'SegEnds_NonXtal_BW#'!$A:$Z,13,FALSE)+VLOOKUP($A174,A:AL,19,FALSE)-50)</f>
        <v>178</v>
      </c>
      <c r="S174" s="3">
        <v>178</v>
      </c>
      <c r="T174" s="100">
        <f>IF(ISERROR(VLOOKUP($A174,'SegEnds_NonXtal_BW#'!$A:$Z,14,FALSE)+VLOOKUP($A174,A:AL,19,FALSE)-50),"-",(VLOOKUP($A174,'SegEnds_NonXtal_BW#'!$A:$Z,14,FALSE)+VLOOKUP($A174,A:AL,19,FALSE)-50))</f>
        <v>185</v>
      </c>
      <c r="U174" s="9">
        <f>IF(ISERROR(VLOOKUP($A174,'SegEnds_NonXtal_BW#'!$A:$Z,15,FALSE)+VLOOKUP($A174,A:AL,22,FALSE)-50),"-",VLOOKUP($A174,'SegEnds_NonXtal_BW#'!$A:$Z,15,FALSE)+VLOOKUP($A174,A:AL,22,FALSE)-50)</f>
        <v>186</v>
      </c>
      <c r="V174" s="3">
        <v>198</v>
      </c>
      <c r="W174" s="3">
        <f>IF(ISERROR(VLOOKUP($A174,'SegEnds_NonXtal_BW#'!$A:$Z,16,FALSE)+VLOOKUP($A174,A:AL,22,FALSE)-50),"-",(VLOOKUP($A174,'SegEnds_NonXtal_BW#'!$A:$Z,16,FALSE)+VLOOKUP($A174,A:AL,22,FALSE)-50))</f>
        <v>212</v>
      </c>
      <c r="X174" s="3" t="str">
        <f>IF(ISERROR(VLOOKUP($A174,'SegEnds_NonXtal_BW#'!$A:$Z,17,FALSE)+VLOOKUP($A174,A:AL,25,FALSE)-50),"-",(VLOOKUP($A174,'SegEnds_NonXtal_BW#'!$A:$Z,17,FALSE)+VLOOKUP($A174,A:AL,25,FALSE)-50))</f>
        <v>-</v>
      </c>
      <c r="Y174" s="3" t="s">
        <v>23</v>
      </c>
      <c r="Z174" s="3" t="str">
        <f>IF(ISERROR(VLOOKUP($A174,'SegEnds_NonXtal_BW#'!$A:$Z,18,FALSE)+VLOOKUP($A174,A:AL,25,FALSE)-50),"-",(VLOOKUP($A174,'SegEnds_NonXtal_BW#'!$A:$Z,18,FALSE)+VLOOKUP($A174,A:AL,25,FALSE)-50))</f>
        <v>-</v>
      </c>
      <c r="AA174" s="3">
        <f>IF(ISERROR(VLOOKUP($A174,'SegEnds_NonXtal_BW#'!$A:$Z,19,FALSE)+VLOOKUP($A174,A:AL,28,FALSE)-50),"-",(VLOOKUP($A174,'SegEnds_NonXtal_BW#'!$A:$Z,19,FALSE)+VLOOKUP($A174,A:AL,28,FALSE)-50))</f>
        <v>220</v>
      </c>
      <c r="AB174" s="3">
        <v>237</v>
      </c>
      <c r="AC174" s="3">
        <f>IF(ISERROR((VLOOKUP($A174,'SegEnds_NonXtal_BW#'!$A:$Z,20,FALSE)+VLOOKUP($A174,A:AL,28,FALSE)-50)),"-",(VLOOKUP($A174,'SegEnds_NonXtal_BW#'!$A:$Z,20,FALSE)+VLOOKUP($A174,A:AL,28,FALSE)-50))</f>
        <v>255</v>
      </c>
      <c r="AD174" s="3">
        <f>IF(ISERROR(VLOOKUP($A174,'SegEnds_NonXtal_BW#'!$A:$Z,21,FALSE)+VLOOKUP($A174,A:AL,31,FALSE)-50),"-",(VLOOKUP($A174,'SegEnds_NonXtal_BW#'!$A:$Z,21,FALSE)+VLOOKUP($A174,A:AL,31,FALSE)-50))</f>
        <v>259</v>
      </c>
      <c r="AE174" s="3">
        <v>279</v>
      </c>
      <c r="AF174" s="3">
        <f>IF(ISERROR((VLOOKUP($A174,'SegEnds_NonXtal_BW#'!$A:$Z,22,FALSE)+VLOOKUP($A174,A:AL,31,FALSE)-50)),"-",(VLOOKUP($A174,'SegEnds_NonXtal_BW#'!$A:$Z,22,FALSE)+VLOOKUP($A174,A:AL,31,FALSE)-50))</f>
        <v>290</v>
      </c>
      <c r="AG174" s="3">
        <f>IF(ISERROR(VLOOKUP($A174,'SegEnds_NonXtal_BW#'!$A:$Z,23,FALSE)+VLOOKUP($A174,A:AL,34,FALSE)-50),"-",(VLOOKUP($A174,'SegEnds_NonXtal_BW#'!$A:$Z,23,FALSE)+VLOOKUP($A174,A:AL,34,FALSE)-50))</f>
        <v>295</v>
      </c>
      <c r="AH174" s="3">
        <v>311</v>
      </c>
      <c r="AI174" s="3">
        <f>IF(ISERROR((VLOOKUP($A174,'SegEnds_NonXtal_BW#'!$A:$Z,24,FALSE)+VLOOKUP($A174,A:AL,34,FALSE)-50)),"-",(VLOOKUP($A174,'SegEnds_NonXtal_BW#'!$A:$Z,24,FALSE)+VLOOKUP($A174,A:AL,34,FALSE)-50))</f>
        <v>317</v>
      </c>
      <c r="AJ174" s="3">
        <f>IF(ISERROR(VLOOKUP($A174,'SegEnds_NonXtal_BW#'!$A:$Z,25,FALSE)+VLOOKUP($A174,A:AL,37,FALSE)-50),"-",(VLOOKUP($A174,'SegEnds_NonXtal_BW#'!$A:$Z,25,FALSE)+VLOOKUP($A174,A:AL,37,FALSE)-50))</f>
        <v>318</v>
      </c>
      <c r="AK174" s="3">
        <v>321</v>
      </c>
      <c r="AL174" s="3">
        <f>IF(ISERROR((VLOOKUP($A174,'SegEnds_NonXtal_BW#'!$A:$Z,26,FALSE)+VLOOKUP($A174,A:AL,37,FALSE)-50)),"-",(VLOOKUP($A174,'SegEnds_NonXtal_BW#'!$A:$Z,26,FALSE)+VLOOKUP($A174,A:AL,37,FALSE)-50))</f>
        <v>338</v>
      </c>
      <c r="AM174" s="28" t="str">
        <f>VLOOKUP(A174,Classification!A:B,2,FALSE)</f>
        <v>A</v>
      </c>
      <c r="AN174" s="28" t="b">
        <f t="shared" si="98"/>
        <v>1</v>
      </c>
      <c r="AO174" s="3" t="str">
        <f>IF(ISERROR(MATCH(A174,'SegEnds_Xtal_Prot#'!B:B, 0)), "NoXtal", "Xtal")</f>
        <v>NoXtal</v>
      </c>
      <c r="AP174" s="3" t="str">
        <f t="shared" si="81"/>
        <v>-</v>
      </c>
      <c r="AQ174" s="3" t="str">
        <f t="shared" si="82"/>
        <v>-</v>
      </c>
      <c r="AR174" s="3" t="str">
        <f t="shared" si="83"/>
        <v>-</v>
      </c>
      <c r="AS174" s="3" t="str">
        <f t="shared" si="84"/>
        <v>-</v>
      </c>
      <c r="AT174" s="3">
        <f t="shared" si="85"/>
        <v>1</v>
      </c>
      <c r="AU174" s="3">
        <f t="shared" si="86"/>
        <v>1</v>
      </c>
      <c r="AV174" s="3" t="str">
        <f t="shared" si="87"/>
        <v>-</v>
      </c>
      <c r="AW174" s="3" t="str">
        <f t="shared" si="88"/>
        <v>-</v>
      </c>
      <c r="AX174" s="3">
        <f t="shared" si="89"/>
        <v>4</v>
      </c>
      <c r="AY174" s="3">
        <f t="shared" si="90"/>
        <v>5</v>
      </c>
      <c r="AZ174" s="3">
        <f t="shared" si="91"/>
        <v>1</v>
      </c>
      <c r="BA174" s="3">
        <f>IF(ISERROR(LEN(VLOOKUP(A174,Seqs!A:E,2,FALSE))-AL174),"-",LEN(VLOOKUP(A174,Seqs!A:E,2,FALSE))-AL174)</f>
        <v>40</v>
      </c>
      <c r="BB174" s="16">
        <f t="shared" si="92"/>
        <v>26</v>
      </c>
      <c r="BC174" s="9">
        <f t="shared" si="93"/>
        <v>20</v>
      </c>
      <c r="BD174" s="3">
        <f t="shared" si="94"/>
        <v>26</v>
      </c>
      <c r="BE174" s="3">
        <f t="shared" si="95"/>
        <v>42</v>
      </c>
    </row>
    <row r="175" spans="1:58" s="3" customFormat="1" x14ac:dyDescent="0.2">
      <c r="A175" s="3" t="s">
        <v>296</v>
      </c>
      <c r="B175" s="3" t="str">
        <f>LOWER(VLOOKUP(A175,Xtal_Templ!A:B,2,FALSE))</f>
        <v>lpar1_human</v>
      </c>
      <c r="C175" s="3">
        <f>VLOOKUP($A175,'SegEnds_NonXtal_BW#'!$A:$Z,3,FALSE)+D175-50</f>
        <v>36</v>
      </c>
      <c r="D175" s="3">
        <v>56</v>
      </c>
      <c r="E175" s="3">
        <f>IF(ISERROR(VLOOKUP($A175,'SegEnds_NonXtal_BW#'!$A:$Z,4,FALSE)+VLOOKUP($A175,A:AL,4,FALSE)-50),"-",(VLOOKUP($A175,'SegEnds_NonXtal_BW#'!$A:$Z,4,FALSE)+VLOOKUP($A175,A:AL,4,FALSE)-50))</f>
        <v>66</v>
      </c>
      <c r="F175" s="3">
        <f>G175-2</f>
        <v>67</v>
      </c>
      <c r="G175" s="3">
        <v>69</v>
      </c>
      <c r="H175" s="3">
        <f t="shared" ref="H175:I178" si="110">G175+1</f>
        <v>70</v>
      </c>
      <c r="I175" s="3">
        <f t="shared" si="110"/>
        <v>71</v>
      </c>
      <c r="J175" s="3">
        <v>84</v>
      </c>
      <c r="K175" s="3">
        <f>VLOOKUP($A175,'SegEnds_NonXtal_BW#'!$A:$Z,8,FALSE)+VLOOKUP($A175,A:AL,10,FALSE)-50</f>
        <v>101</v>
      </c>
      <c r="L175" s="3" t="str">
        <f>IF(ISERROR(VLOOKUP($A175,'SegEnds_NonXtal_BW#'!$A:$Z,9,FALSE)+VLOOKUP($A175,A:AL,13,FALSE)-50),"-",(VLOOKUP($A175,'SegEnds_NonXtal_BW#'!$A:$Z,9,FALSE)+VLOOKUP($A175,A:AL,13,FALSE)-50))</f>
        <v>-</v>
      </c>
      <c r="M175" s="3" t="s">
        <v>23</v>
      </c>
      <c r="N175" s="3" t="str">
        <f>IF(ISERROR(VLOOKUP($A175,'SegEnds_NonXtal_BW#'!$A:$Z,10,FALSE)+VLOOKUP($A175,A:AL,13,FALSE)-50),"-",(VLOOKUP($A175,'SegEnds_NonXtal_BW#'!$A:$Z,10,FALSE)+VLOOKUP($A175,A:AL,13,FALSE)-50))</f>
        <v>-</v>
      </c>
      <c r="O175" s="3">
        <f>VLOOKUP($A175,'SegEnds_NonXtal_BW#'!$A:$Z,11,FALSE)+VLOOKUP($A175,A:AL,16,FALSE)-50</f>
        <v>110</v>
      </c>
      <c r="P175" s="3">
        <v>142</v>
      </c>
      <c r="Q175" s="3">
        <f>VLOOKUP($A175,'SegEnds_NonXtal_BW#'!$A:$Z,12,FALSE)+VLOOKUP($A175,A:AL,16,FALSE)-50</f>
        <v>148</v>
      </c>
      <c r="R175" s="3">
        <f>S175</f>
        <v>149</v>
      </c>
      <c r="S175" s="3">
        <v>149</v>
      </c>
      <c r="T175" s="100">
        <f>S175+7</f>
        <v>156</v>
      </c>
      <c r="U175" s="9">
        <f>IF(ISERROR(VLOOKUP($A175,'SegEnds_NonXtal_BW#'!$A:$Z,15,FALSE)+VLOOKUP($A175,A:AL,22,FALSE)-50),"-",VLOOKUP($A175,'SegEnds_NonXtal_BW#'!$A:$Z,15,FALSE)+VLOOKUP($A175,A:AL,22,FALSE)-50)</f>
        <v>157</v>
      </c>
      <c r="V175" s="3">
        <v>169</v>
      </c>
      <c r="W175" s="3">
        <f>IF(ISERROR(VLOOKUP($A175,'SegEnds_NonXtal_BW#'!$A:$Z,16,FALSE)+VLOOKUP($A175,A:AL,22,FALSE)-50),"-",(VLOOKUP($A175,'SegEnds_NonXtal_BW#'!$A:$Z,16,FALSE)+VLOOKUP($A175,A:AL,22,FALSE)-50))</f>
        <v>182</v>
      </c>
      <c r="X175" s="3" t="str">
        <f>IF(ISERROR(VLOOKUP($A175,'SegEnds_NonXtal_BW#'!$A:$Z,17,FALSE)+VLOOKUP($A175,A:AL,25,FALSE)-50),"-",(VLOOKUP($A175,'SegEnds_NonXtal_BW#'!$A:$Z,17,FALSE)+VLOOKUP($A175,A:AL,25,FALSE)-50))</f>
        <v>-</v>
      </c>
      <c r="Y175" s="3" t="s">
        <v>23</v>
      </c>
      <c r="Z175" s="3" t="str">
        <f>IF(ISERROR(VLOOKUP($A175,'SegEnds_NonXtal_BW#'!$A:$Z,18,FALSE)+VLOOKUP($A175,A:AL,25,FALSE)-50),"-",(VLOOKUP($A175,'SegEnds_NonXtal_BW#'!$A:$Z,18,FALSE)+VLOOKUP($A175,A:AL,25,FALSE)-50))</f>
        <v>-</v>
      </c>
      <c r="AA175" s="3">
        <f>IF(ISERROR(VLOOKUP($A175,'SegEnds_NonXtal_BW#'!$A:$Z,19,FALSE)+VLOOKUP($A175,A:AL,28,FALSE)-50),"-",(VLOOKUP($A175,'SegEnds_NonXtal_BW#'!$A:$Z,19,FALSE)+VLOOKUP($A175,A:AL,28,FALSE)-50))</f>
        <v>192</v>
      </c>
      <c r="AB175" s="9">
        <v>209</v>
      </c>
      <c r="AC175" s="3">
        <f>IF(ISERROR((VLOOKUP($A175,'SegEnds_NonXtal_BW#'!$A:$Z,20,FALSE)+VLOOKUP($A175,A:AL,28,FALSE)-50)),"-",(VLOOKUP($A175,'SegEnds_NonXtal_BW#'!$A:$Z,20,FALSE)+VLOOKUP($A175,A:AL,28,FALSE)-50))</f>
        <v>227</v>
      </c>
      <c r="AD175" s="3">
        <f>IF(ISERROR(VLOOKUP($A175,'SegEnds_NonXtal_BW#'!$A:$Z,21,FALSE)+VLOOKUP($A175,A:AL,31,FALSE)-50),"-",(VLOOKUP($A175,'SegEnds_NonXtal_BW#'!$A:$Z,21,FALSE)+VLOOKUP($A175,A:AL,31,FALSE)-50))</f>
        <v>234</v>
      </c>
      <c r="AE175" s="3">
        <v>257</v>
      </c>
      <c r="AF175" s="3">
        <f>IF(ISERROR((VLOOKUP($A175,'SegEnds_NonXtal_BW#'!$A:$Z,22,FALSE)+VLOOKUP($A175,A:AL,31,FALSE)-50)),"-",(VLOOKUP($A175,'SegEnds_NonXtal_BW#'!$A:$Z,22,FALSE)+VLOOKUP($A175,A:AL,31,FALSE)-50))</f>
        <v>268</v>
      </c>
      <c r="AG175" s="3">
        <f>IF(ISERROR(VLOOKUP($A175,'SegEnds_NonXtal_BW#'!$A:$Z,23,FALSE)+VLOOKUP($A175,A:AL,34,FALSE)-50),"-",(VLOOKUP($A175,'SegEnds_NonXtal_BW#'!$A:$Z,23,FALSE)+VLOOKUP($A175,A:AL,34,FALSE)-50))</f>
        <v>276</v>
      </c>
      <c r="AH175" s="3">
        <v>296</v>
      </c>
      <c r="AI175" s="3">
        <f>IF(ISERROR((VLOOKUP($A175,'SegEnds_NonXtal_BW#'!$A:$Z,24,FALSE)+VLOOKUP($A175,A:AL,34,FALSE)-50)),"-",(VLOOKUP($A175,'SegEnds_NonXtal_BW#'!$A:$Z,24,FALSE)+VLOOKUP($A175,A:AL,34,FALSE)-50))</f>
        <v>302</v>
      </c>
      <c r="AJ175" s="3">
        <f>IF(ISERROR(VLOOKUP($A175,'SegEnds_NonXtal_BW#'!$A:$Z,25,FALSE)+VLOOKUP($A175,A:AL,37,FALSE)-50),"-",(VLOOKUP($A175,'SegEnds_NonXtal_BW#'!$A:$Z,25,FALSE)+VLOOKUP($A175,A:AL,37,FALSE)-50))</f>
        <v>303</v>
      </c>
      <c r="AK175" s="3">
        <v>306</v>
      </c>
      <c r="AL175" s="3">
        <f>IF(ISERROR((VLOOKUP($A175,'SegEnds_NonXtal_BW#'!$A:$Z,26,FALSE)+VLOOKUP($A175,A:AL,37,FALSE)-50)),"-",(VLOOKUP($A175,'SegEnds_NonXtal_BW#'!$A:$Z,26,FALSE)+VLOOKUP($A175,A:AL,37,FALSE)-50))</f>
        <v>315</v>
      </c>
      <c r="AM175" s="28" t="str">
        <f>VLOOKUP(A175,Classification!A:B,2,FALSE)</f>
        <v>A</v>
      </c>
      <c r="AN175" s="28" t="b">
        <f t="shared" si="98"/>
        <v>1</v>
      </c>
      <c r="AO175" s="3" t="str">
        <f>IF(ISERROR(MATCH(A175,'SegEnds_Xtal_Prot#'!B:B, 0)), "NoXtal", "Xtal")</f>
        <v>NoXtal</v>
      </c>
      <c r="AP175" s="3">
        <f t="shared" si="81"/>
        <v>1</v>
      </c>
      <c r="AQ175" s="3">
        <f t="shared" si="82"/>
        <v>1</v>
      </c>
      <c r="AR175" s="3" t="str">
        <f t="shared" si="83"/>
        <v>-</v>
      </c>
      <c r="AS175" s="3" t="str">
        <f t="shared" si="84"/>
        <v>-</v>
      </c>
      <c r="AT175" s="3">
        <f t="shared" si="85"/>
        <v>1</v>
      </c>
      <c r="AU175" s="3">
        <f t="shared" si="86"/>
        <v>1</v>
      </c>
      <c r="AV175" s="3" t="str">
        <f t="shared" si="87"/>
        <v>-</v>
      </c>
      <c r="AW175" s="3" t="str">
        <f t="shared" si="88"/>
        <v>-</v>
      </c>
      <c r="AX175" s="3">
        <f t="shared" si="89"/>
        <v>7</v>
      </c>
      <c r="AY175" s="3">
        <f t="shared" si="90"/>
        <v>8</v>
      </c>
      <c r="AZ175" s="3">
        <f t="shared" si="91"/>
        <v>1</v>
      </c>
      <c r="BA175" s="3">
        <f>IF(ISERROR(LEN(VLOOKUP(A175,Seqs!A:E,2,FALSE))-AL175),"-",LEN(VLOOKUP(A175,Seqs!A:E,2,FALSE))-AL175)</f>
        <v>8</v>
      </c>
      <c r="BB175" s="16">
        <f t="shared" si="92"/>
        <v>28</v>
      </c>
      <c r="BC175" s="9">
        <f t="shared" si="93"/>
        <v>20</v>
      </c>
      <c r="BD175" s="3">
        <f t="shared" si="94"/>
        <v>28</v>
      </c>
      <c r="BE175" s="3">
        <f t="shared" si="95"/>
        <v>48</v>
      </c>
      <c r="BF175" s="3">
        <f t="shared" ref="BF175:BF181" si="111">AH175-AE175</f>
        <v>39</v>
      </c>
    </row>
    <row r="176" spans="1:58" s="3" customFormat="1" x14ac:dyDescent="0.2">
      <c r="A176" s="3" t="s">
        <v>297</v>
      </c>
      <c r="B176" s="3" t="str">
        <f>LOWER(VLOOKUP(A176,Xtal_Templ!A:B,2,FALSE))</f>
        <v>s1pr1_human</v>
      </c>
      <c r="C176" s="3">
        <f>VLOOKUP($A176,'SegEnds_NonXtal_BW#'!$A:$Z,3,FALSE)+D176-50</f>
        <v>41</v>
      </c>
      <c r="D176" s="3">
        <v>62</v>
      </c>
      <c r="E176" s="3">
        <f>IF(ISERROR(VLOOKUP($A176,'SegEnds_NonXtal_BW#'!$A:$Z,4,FALSE)+VLOOKUP($A176,A:AL,4,FALSE)-50),"-",(VLOOKUP($A176,'SegEnds_NonXtal_BW#'!$A:$Z,4,FALSE)+VLOOKUP($A176,A:AL,4,FALSE)-50))</f>
        <v>72</v>
      </c>
      <c r="F176" s="3">
        <f>G176-2</f>
        <v>73</v>
      </c>
      <c r="G176" s="3">
        <v>75</v>
      </c>
      <c r="H176" s="3">
        <f t="shared" si="110"/>
        <v>76</v>
      </c>
      <c r="I176" s="3">
        <f t="shared" si="110"/>
        <v>77</v>
      </c>
      <c r="J176" s="3">
        <v>90</v>
      </c>
      <c r="K176" s="3">
        <f>VLOOKUP($A176,'SegEnds_NonXtal_BW#'!$A:$Z,8,FALSE)+VLOOKUP($A176,A:AL,10,FALSE)-50</f>
        <v>107</v>
      </c>
      <c r="L176" s="3" t="str">
        <f>IF(ISERROR(VLOOKUP($A176,'SegEnds_NonXtal_BW#'!$A:$Z,9,FALSE)+VLOOKUP($A176,A:AL,13,FALSE)-50),"-",(VLOOKUP($A176,'SegEnds_NonXtal_BW#'!$A:$Z,9,FALSE)+VLOOKUP($A176,A:AL,13,FALSE)-50))</f>
        <v>-</v>
      </c>
      <c r="M176" s="3" t="s">
        <v>23</v>
      </c>
      <c r="N176" s="3" t="str">
        <f>IF(ISERROR(VLOOKUP($A176,'SegEnds_NonXtal_BW#'!$A:$Z,10,FALSE)+VLOOKUP($A176,A:AL,13,FALSE)-50),"-",(VLOOKUP($A176,'SegEnds_NonXtal_BW#'!$A:$Z,10,FALSE)+VLOOKUP($A176,A:AL,13,FALSE)-50))</f>
        <v>-</v>
      </c>
      <c r="O176" s="3">
        <f>VLOOKUP($A176,'SegEnds_NonXtal_BW#'!$A:$Z,11,FALSE)+VLOOKUP($A176,A:AL,16,FALSE)-50</f>
        <v>115</v>
      </c>
      <c r="P176" s="3">
        <v>147</v>
      </c>
      <c r="Q176" s="3">
        <f>VLOOKUP($A176,'SegEnds_NonXtal_BW#'!$A:$Z,12,FALSE)+VLOOKUP($A176,A:AL,16,FALSE)-50</f>
        <v>153</v>
      </c>
      <c r="R176" s="3">
        <f>S176</f>
        <v>154</v>
      </c>
      <c r="S176" s="3">
        <v>154</v>
      </c>
      <c r="T176" s="100">
        <f>S176+7</f>
        <v>161</v>
      </c>
      <c r="U176" s="9">
        <f>IF(ISERROR(VLOOKUP($A176,'SegEnds_NonXtal_BW#'!$A:$Z,15,FALSE)+VLOOKUP($A176,A:AL,22,FALSE)-50),"-",VLOOKUP($A176,'SegEnds_NonXtal_BW#'!$A:$Z,15,FALSE)+VLOOKUP($A176,A:AL,22,FALSE)-50)</f>
        <v>162</v>
      </c>
      <c r="V176" s="3">
        <v>174</v>
      </c>
      <c r="W176" s="3">
        <f>IF(ISERROR(VLOOKUP($A176,'SegEnds_NonXtal_BW#'!$A:$Z,16,FALSE)+VLOOKUP($A176,A:AL,22,FALSE)-50),"-",(VLOOKUP($A176,'SegEnds_NonXtal_BW#'!$A:$Z,16,FALSE)+VLOOKUP($A176,A:AL,22,FALSE)-50))</f>
        <v>187</v>
      </c>
      <c r="X176" s="3" t="str">
        <f>IF(ISERROR(VLOOKUP($A176,'SegEnds_NonXtal_BW#'!$A:$Z,17,FALSE)+VLOOKUP($A176,A:AL,25,FALSE)-50),"-",(VLOOKUP($A176,'SegEnds_NonXtal_BW#'!$A:$Z,17,FALSE)+VLOOKUP($A176,A:AL,25,FALSE)-50))</f>
        <v>-</v>
      </c>
      <c r="Y176" s="3" t="s">
        <v>23</v>
      </c>
      <c r="Z176" s="3" t="str">
        <f>IF(ISERROR(VLOOKUP($A176,'SegEnds_NonXtal_BW#'!$A:$Z,18,FALSE)+VLOOKUP($A176,A:AL,25,FALSE)-50),"-",(VLOOKUP($A176,'SegEnds_NonXtal_BW#'!$A:$Z,18,FALSE)+VLOOKUP($A176,A:AL,25,FALSE)-50))</f>
        <v>-</v>
      </c>
      <c r="AA176" s="3">
        <f>IF(ISERROR(VLOOKUP($A176,'SegEnds_NonXtal_BW#'!$A:$Z,19,FALSE)+VLOOKUP($A176,A:AL,28,FALSE)-50),"-",(VLOOKUP($A176,'SegEnds_NonXtal_BW#'!$A:$Z,19,FALSE)+VLOOKUP($A176,A:AL,28,FALSE)-50))</f>
        <v>197</v>
      </c>
      <c r="AB176" s="9">
        <v>214</v>
      </c>
      <c r="AC176" s="3">
        <f>IF(ISERROR((VLOOKUP($A176,'SegEnds_NonXtal_BW#'!$A:$Z,20,FALSE)+VLOOKUP($A176,A:AL,28,FALSE)-50)),"-",(VLOOKUP($A176,'SegEnds_NonXtal_BW#'!$A:$Z,20,FALSE)+VLOOKUP($A176,A:AL,28,FALSE)-50))</f>
        <v>231</v>
      </c>
      <c r="AD176" s="3">
        <f>IF(ISERROR(VLOOKUP($A176,'SegEnds_NonXtal_BW#'!$A:$Z,21,FALSE)+VLOOKUP($A176,A:AL,31,FALSE)-50),"-",(VLOOKUP($A176,'SegEnds_NonXtal_BW#'!$A:$Z,21,FALSE)+VLOOKUP($A176,A:AL,31,FALSE)-50))</f>
        <v>237</v>
      </c>
      <c r="AE176" s="3">
        <v>260</v>
      </c>
      <c r="AF176" s="3">
        <f>IF(ISERROR((VLOOKUP($A176,'SegEnds_NonXtal_BW#'!$A:$Z,22,FALSE)+VLOOKUP($A176,A:AL,31,FALSE)-50)),"-",(VLOOKUP($A176,'SegEnds_NonXtal_BW#'!$A:$Z,22,FALSE)+VLOOKUP($A176,A:AL,31,FALSE)-50))</f>
        <v>271</v>
      </c>
      <c r="AG176" s="3">
        <f>IF(ISERROR(VLOOKUP($A176,'SegEnds_NonXtal_BW#'!$A:$Z,23,FALSE)+VLOOKUP($A176,A:AL,34,FALSE)-50),"-",(VLOOKUP($A176,'SegEnds_NonXtal_BW#'!$A:$Z,23,FALSE)+VLOOKUP($A176,A:AL,34,FALSE)-50))</f>
        <v>279</v>
      </c>
      <c r="AH176" s="3">
        <v>299</v>
      </c>
      <c r="AI176" s="3">
        <f>IF(ISERROR((VLOOKUP($A176,'SegEnds_NonXtal_BW#'!$A:$Z,24,FALSE)+VLOOKUP($A176,A:AL,34,FALSE)-50)),"-",(VLOOKUP($A176,'SegEnds_NonXtal_BW#'!$A:$Z,24,FALSE)+VLOOKUP($A176,A:AL,34,FALSE)-50))</f>
        <v>305</v>
      </c>
      <c r="AJ176" s="3">
        <f>IF(ISERROR(VLOOKUP($A176,'SegEnds_NonXtal_BW#'!$A:$Z,25,FALSE)+VLOOKUP($A176,A:AL,37,FALSE)-50),"-",(VLOOKUP($A176,'SegEnds_NonXtal_BW#'!$A:$Z,25,FALSE)+VLOOKUP($A176,A:AL,37,FALSE)-50))</f>
        <v>306</v>
      </c>
      <c r="AK176" s="3">
        <v>309</v>
      </c>
      <c r="AL176" s="3">
        <f>IF(ISERROR((VLOOKUP($A176,'SegEnds_NonXtal_BW#'!$A:$Z,26,FALSE)+VLOOKUP($A176,A:AL,37,FALSE)-50)),"-",(VLOOKUP($A176,'SegEnds_NonXtal_BW#'!$A:$Z,26,FALSE)+VLOOKUP($A176,A:AL,37,FALSE)-50))</f>
        <v>318</v>
      </c>
      <c r="AM176" s="28" t="str">
        <f>VLOOKUP(A176,Classification!A:B,2,FALSE)</f>
        <v>A</v>
      </c>
      <c r="AN176" s="28" t="b">
        <f t="shared" si="98"/>
        <v>1</v>
      </c>
      <c r="AO176" s="3" t="str">
        <f>IF(ISERROR(MATCH(A176,'SegEnds_Xtal_Prot#'!B:B, 0)), "NoXtal", "Xtal")</f>
        <v>NoXtal</v>
      </c>
      <c r="AP176" s="3">
        <f t="shared" si="81"/>
        <v>1</v>
      </c>
      <c r="AQ176" s="3">
        <f t="shared" si="82"/>
        <v>1</v>
      </c>
      <c r="AR176" s="3" t="str">
        <f t="shared" si="83"/>
        <v>-</v>
      </c>
      <c r="AS176" s="3" t="str">
        <f t="shared" si="84"/>
        <v>-</v>
      </c>
      <c r="AT176" s="3">
        <f t="shared" si="85"/>
        <v>1</v>
      </c>
      <c r="AU176" s="3">
        <f t="shared" si="86"/>
        <v>1</v>
      </c>
      <c r="AV176" s="3" t="str">
        <f t="shared" si="87"/>
        <v>-</v>
      </c>
      <c r="AW176" s="3" t="str">
        <f t="shared" si="88"/>
        <v>-</v>
      </c>
      <c r="AX176" s="3">
        <f t="shared" si="89"/>
        <v>6</v>
      </c>
      <c r="AY176" s="3">
        <f t="shared" si="90"/>
        <v>8</v>
      </c>
      <c r="AZ176" s="3">
        <f t="shared" si="91"/>
        <v>1</v>
      </c>
      <c r="BA176" s="3">
        <f>IF(ISERROR(LEN(VLOOKUP(A176,Seqs!A:E,2,FALSE))-AL176),"-",LEN(VLOOKUP(A176,Seqs!A:E,2,FALSE))-AL176)</f>
        <v>14</v>
      </c>
      <c r="BB176" s="16">
        <f t="shared" si="92"/>
        <v>28</v>
      </c>
      <c r="BC176" s="9">
        <f t="shared" si="93"/>
        <v>20</v>
      </c>
      <c r="BD176" s="3">
        <f t="shared" si="94"/>
        <v>28</v>
      </c>
      <c r="BE176" s="3">
        <f t="shared" si="95"/>
        <v>46</v>
      </c>
      <c r="BF176" s="3">
        <f t="shared" si="111"/>
        <v>39</v>
      </c>
    </row>
    <row r="177" spans="1:58" s="3" customFormat="1" x14ac:dyDescent="0.2">
      <c r="A177" s="3" t="s">
        <v>298</v>
      </c>
      <c r="B177" s="3" t="str">
        <f>LOWER(VLOOKUP(A177,Xtal_Templ!A:B,2,FALSE))</f>
        <v>lpar1_human</v>
      </c>
      <c r="C177" s="3">
        <f>VLOOKUP($A177,'SegEnds_NonXtal_BW#'!$A:$Z,3,FALSE)+D177-50</f>
        <v>34</v>
      </c>
      <c r="D177" s="3">
        <v>54</v>
      </c>
      <c r="E177" s="3">
        <f>IF(ISERROR(VLOOKUP($A177,'SegEnds_NonXtal_BW#'!$A:$Z,4,FALSE)+VLOOKUP($A177,A:AL,4,FALSE)-50),"-",(VLOOKUP($A177,'SegEnds_NonXtal_BW#'!$A:$Z,4,FALSE)+VLOOKUP($A177,A:AL,4,FALSE)-50))</f>
        <v>64</v>
      </c>
      <c r="F177" s="3">
        <f>G177-2</f>
        <v>65</v>
      </c>
      <c r="G177" s="3">
        <v>67</v>
      </c>
      <c r="H177" s="3">
        <f t="shared" si="110"/>
        <v>68</v>
      </c>
      <c r="I177" s="3">
        <f t="shared" si="110"/>
        <v>69</v>
      </c>
      <c r="J177" s="3">
        <v>82</v>
      </c>
      <c r="K177" s="3">
        <f>VLOOKUP($A177,'SegEnds_NonXtal_BW#'!$A:$Z,8,FALSE)+VLOOKUP($A177,A:AL,10,FALSE)-50</f>
        <v>95</v>
      </c>
      <c r="L177" s="3" t="str">
        <f>IF(ISERROR(VLOOKUP($A177,'SegEnds_NonXtal_BW#'!$A:$Z,9,FALSE)+VLOOKUP($A177,A:AL,13,FALSE)-50),"-",(VLOOKUP($A177,'SegEnds_NonXtal_BW#'!$A:$Z,9,FALSE)+VLOOKUP($A177,A:AL,13,FALSE)-50))</f>
        <v>-</v>
      </c>
      <c r="M177" s="3" t="s">
        <v>23</v>
      </c>
      <c r="N177" s="3" t="str">
        <f>IF(ISERROR(VLOOKUP($A177,'SegEnds_NonXtal_BW#'!$A:$Z,10,FALSE)+VLOOKUP($A177,A:AL,13,FALSE)-50),"-",(VLOOKUP($A177,'SegEnds_NonXtal_BW#'!$A:$Z,10,FALSE)+VLOOKUP($A177,A:AL,13,FALSE)-50))</f>
        <v>-</v>
      </c>
      <c r="O177" s="3">
        <f>VLOOKUP($A177,'SegEnds_NonXtal_BW#'!$A:$Z,11,FALSE)+VLOOKUP($A177,A:AL,16,FALSE)-50</f>
        <v>108</v>
      </c>
      <c r="P177" s="3">
        <v>140</v>
      </c>
      <c r="Q177" s="3">
        <f>VLOOKUP($A177,'SegEnds_NonXtal_BW#'!$A:$Z,12,FALSE)+VLOOKUP($A177,A:AL,16,FALSE)-50</f>
        <v>146</v>
      </c>
      <c r="R177" s="3">
        <f>IF(ISERROR(VLOOKUP($A177,'SegEnds_NonXtal_BW#'!$A:$Z,13,FALSE)+VLOOKUP($A177,A:AL,19,FALSE)-50),"-",VLOOKUP($A177,'SegEnds_NonXtal_BW#'!$A:$Z,13,FALSE)+VLOOKUP($A177,A:AL,19,FALSE)-50)</f>
        <v>147</v>
      </c>
      <c r="S177" s="3">
        <v>147</v>
      </c>
      <c r="T177" s="100">
        <f>IF(ISERROR(VLOOKUP($A177,'SegEnds_NonXtal_BW#'!$A:$Z,14,FALSE)+VLOOKUP($A177,A:AL,19,FALSE)-50),"-",(VLOOKUP($A177,'SegEnds_NonXtal_BW#'!$A:$Z,14,FALSE)+VLOOKUP($A177,A:AL,19,FALSE)-50))</f>
        <v>154</v>
      </c>
      <c r="U177" s="9">
        <f>IF(ISERROR(VLOOKUP($A177,'SegEnds_NonXtal_BW#'!$A:$Z,15,FALSE)+VLOOKUP($A177,A:AL,22,FALSE)-50),"-",VLOOKUP($A177,'SegEnds_NonXtal_BW#'!$A:$Z,15,FALSE)+VLOOKUP($A177,A:AL,22,FALSE)-50)</f>
        <v>155</v>
      </c>
      <c r="V177" s="3">
        <v>167</v>
      </c>
      <c r="W177" s="3">
        <f>IF(ISERROR(VLOOKUP($A177,'SegEnds_NonXtal_BW#'!$A:$Z,16,FALSE)+VLOOKUP($A177,A:AL,22,FALSE)-50),"-",(VLOOKUP($A177,'SegEnds_NonXtal_BW#'!$A:$Z,16,FALSE)+VLOOKUP($A177,A:AL,22,FALSE)-50))</f>
        <v>180</v>
      </c>
      <c r="X177" s="3" t="str">
        <f>IF(ISERROR(VLOOKUP($A177,'SegEnds_NonXtal_BW#'!$A:$Z,17,FALSE)+VLOOKUP($A177,A:AL,25,FALSE)-50),"-",(VLOOKUP($A177,'SegEnds_NonXtal_BW#'!$A:$Z,17,FALSE)+VLOOKUP($A177,A:AL,25,FALSE)-50))</f>
        <v>-</v>
      </c>
      <c r="Y177" s="3" t="s">
        <v>23</v>
      </c>
      <c r="Z177" s="3" t="str">
        <f>IF(ISERROR(VLOOKUP($A177,'SegEnds_NonXtal_BW#'!$A:$Z,18,FALSE)+VLOOKUP($A177,A:AL,25,FALSE)-50),"-",(VLOOKUP($A177,'SegEnds_NonXtal_BW#'!$A:$Z,18,FALSE)+VLOOKUP($A177,A:AL,25,FALSE)-50))</f>
        <v>-</v>
      </c>
      <c r="AA177" s="3">
        <f>IF(ISERROR(VLOOKUP($A177,'SegEnds_NonXtal_BW#'!$A:$Z,19,FALSE)+VLOOKUP($A177,A:AL,28,FALSE)-50),"-",(VLOOKUP($A177,'SegEnds_NonXtal_BW#'!$A:$Z,19,FALSE)+VLOOKUP($A177,A:AL,28,FALSE)-50))</f>
        <v>190</v>
      </c>
      <c r="AB177" s="9">
        <v>207</v>
      </c>
      <c r="AC177" s="3">
        <f>IF(ISERROR((VLOOKUP($A177,'SegEnds_NonXtal_BW#'!$A:$Z,20,FALSE)+VLOOKUP($A177,A:AL,28,FALSE)-50)),"-",(VLOOKUP($A177,'SegEnds_NonXtal_BW#'!$A:$Z,20,FALSE)+VLOOKUP($A177,A:AL,28,FALSE)-50))</f>
        <v>224</v>
      </c>
      <c r="AD177" s="3">
        <f>IF(ISERROR(VLOOKUP($A177,'SegEnds_NonXtal_BW#'!$A:$Z,21,FALSE)+VLOOKUP($A177,A:AL,31,FALSE)-50),"-",(VLOOKUP($A177,'SegEnds_NonXtal_BW#'!$A:$Z,21,FALSE)+VLOOKUP($A177,A:AL,31,FALSE)-50))</f>
        <v>230</v>
      </c>
      <c r="AE177" s="3">
        <v>253</v>
      </c>
      <c r="AF177" s="3">
        <f>IF(ISERROR((VLOOKUP($A177,'SegEnds_NonXtal_BW#'!$A:$Z,22,FALSE)+VLOOKUP($A177,A:AL,31,FALSE)-50)),"-",(VLOOKUP($A177,'SegEnds_NonXtal_BW#'!$A:$Z,22,FALSE)+VLOOKUP($A177,A:AL,31,FALSE)-50))</f>
        <v>264</v>
      </c>
      <c r="AG177" s="3">
        <f>IF(ISERROR(VLOOKUP($A177,'SegEnds_NonXtal_BW#'!$A:$Z,23,FALSE)+VLOOKUP($A177,A:AL,34,FALSE)-50),"-",(VLOOKUP($A177,'SegEnds_NonXtal_BW#'!$A:$Z,23,FALSE)+VLOOKUP($A177,A:AL,34,FALSE)-50))</f>
        <v>272</v>
      </c>
      <c r="AH177" s="3">
        <v>292</v>
      </c>
      <c r="AI177" s="3">
        <f>IF(ISERROR((VLOOKUP($A177,'SegEnds_NonXtal_BW#'!$A:$Z,24,FALSE)+VLOOKUP($A177,A:AL,34,FALSE)-50)),"-",(VLOOKUP($A177,'SegEnds_NonXtal_BW#'!$A:$Z,24,FALSE)+VLOOKUP($A177,A:AL,34,FALSE)-50))</f>
        <v>298</v>
      </c>
      <c r="AJ177" s="3">
        <f>IF(ISERROR(VLOOKUP($A177,'SegEnds_NonXtal_BW#'!$A:$Z,25,FALSE)+VLOOKUP($A177,A:AL,37,FALSE)-50),"-",(VLOOKUP($A177,'SegEnds_NonXtal_BW#'!$A:$Z,25,FALSE)+VLOOKUP($A177,A:AL,37,FALSE)-50))</f>
        <v>299</v>
      </c>
      <c r="AK177" s="3">
        <v>302</v>
      </c>
      <c r="AL177" s="3">
        <f>IF(ISERROR((VLOOKUP($A177,'SegEnds_NonXtal_BW#'!$A:$Z,26,FALSE)+VLOOKUP($A177,A:AL,37,FALSE)-50)),"-",(VLOOKUP($A177,'SegEnds_NonXtal_BW#'!$A:$Z,26,FALSE)+VLOOKUP($A177,A:AL,37,FALSE)-50))</f>
        <v>311</v>
      </c>
      <c r="AM177" s="28" t="str">
        <f>VLOOKUP(A177,Classification!A:B,2,FALSE)</f>
        <v>A</v>
      </c>
      <c r="AN177" s="28" t="b">
        <f t="shared" si="98"/>
        <v>1</v>
      </c>
      <c r="AO177" s="3" t="str">
        <f>IF(ISERROR(MATCH(A177,'SegEnds_Xtal_Prot#'!B:B, 0)), "NoXtal", "Xtal")</f>
        <v>NoXtal</v>
      </c>
      <c r="AP177" s="3">
        <f t="shared" si="81"/>
        <v>1</v>
      </c>
      <c r="AQ177" s="3">
        <f t="shared" si="82"/>
        <v>1</v>
      </c>
      <c r="AR177" s="3" t="str">
        <f t="shared" si="83"/>
        <v>-</v>
      </c>
      <c r="AS177" s="3" t="str">
        <f t="shared" si="84"/>
        <v>-</v>
      </c>
      <c r="AT177" s="3">
        <f t="shared" si="85"/>
        <v>1</v>
      </c>
      <c r="AU177" s="3">
        <f t="shared" si="86"/>
        <v>1</v>
      </c>
      <c r="AV177" s="3" t="str">
        <f t="shared" si="87"/>
        <v>-</v>
      </c>
      <c r="AW177" s="3" t="str">
        <f t="shared" si="88"/>
        <v>-</v>
      </c>
      <c r="AX177" s="3">
        <f t="shared" si="89"/>
        <v>6</v>
      </c>
      <c r="AY177" s="3">
        <f t="shared" si="90"/>
        <v>8</v>
      </c>
      <c r="AZ177" s="3">
        <f t="shared" si="91"/>
        <v>1</v>
      </c>
      <c r="BA177" s="3">
        <f>IF(ISERROR(LEN(VLOOKUP(A177,Seqs!A:E,2,FALSE))-AL177),"-",LEN(VLOOKUP(A177,Seqs!A:E,2,FALSE))-AL177)</f>
        <v>14</v>
      </c>
      <c r="BB177" s="16">
        <f t="shared" si="92"/>
        <v>28</v>
      </c>
      <c r="BC177" s="9">
        <f t="shared" si="93"/>
        <v>20</v>
      </c>
      <c r="BD177" s="3">
        <f t="shared" si="94"/>
        <v>28</v>
      </c>
      <c r="BE177" s="3">
        <f t="shared" si="95"/>
        <v>46</v>
      </c>
      <c r="BF177" s="3">
        <f t="shared" si="111"/>
        <v>39</v>
      </c>
    </row>
    <row r="178" spans="1:58" s="3" customFormat="1" x14ac:dyDescent="0.2">
      <c r="A178" s="3" t="s">
        <v>299</v>
      </c>
      <c r="B178" s="3" t="str">
        <f>LOWER(VLOOKUP(A178,Xtal_Templ!A:B,2,FALSE))</f>
        <v>oprk_human</v>
      </c>
      <c r="C178" s="3">
        <f>VLOOKUP($A178,'SegEnds_NonXtal_BW#'!$A:$Z,3,FALSE)+D178-50</f>
        <v>107</v>
      </c>
      <c r="D178" s="3">
        <v>127</v>
      </c>
      <c r="E178" s="3">
        <f>IF(ISERROR(VLOOKUP($A178,'SegEnds_NonXtal_BW#'!$A:$Z,4,FALSE)+VLOOKUP($A178,A:AL,4,FALSE)-50),"-",(VLOOKUP($A178,'SegEnds_NonXtal_BW#'!$A:$Z,4,FALSE)+VLOOKUP($A178,A:AL,4,FALSE)-50))</f>
        <v>137</v>
      </c>
      <c r="F178" s="3">
        <f>G178-2</f>
        <v>138</v>
      </c>
      <c r="G178" s="3">
        <v>140</v>
      </c>
      <c r="H178" s="3">
        <f t="shared" si="110"/>
        <v>141</v>
      </c>
      <c r="I178" s="3">
        <f t="shared" si="110"/>
        <v>142</v>
      </c>
      <c r="J178" s="3">
        <v>158</v>
      </c>
      <c r="K178" s="3">
        <f>VLOOKUP($A178,'SegEnds_NonXtal_BW#'!$A:$Z,8,FALSE)+VLOOKUP($A178,A:AL,10,FALSE)-50</f>
        <v>175</v>
      </c>
      <c r="L178" s="3">
        <f>M178-1</f>
        <v>177</v>
      </c>
      <c r="M178" s="3">
        <v>178</v>
      </c>
      <c r="N178" s="3">
        <f>M178+2</f>
        <v>180</v>
      </c>
      <c r="O178" s="3">
        <f>N178+1</f>
        <v>181</v>
      </c>
      <c r="P178" s="3">
        <v>210</v>
      </c>
      <c r="Q178" s="3">
        <f>VLOOKUP($A178,'SegEnds_NonXtal_BW#'!$A:$Z,12,FALSE)+VLOOKUP($A178,A:AL,16,FALSE)-50</f>
        <v>216</v>
      </c>
      <c r="R178" s="3">
        <f>IF(ISERROR(VLOOKUP($A178,'SegEnds_NonXtal_BW#'!$A:$Z,13,FALSE)+VLOOKUP($A178,A:AL,19,FALSE)-50),"-",VLOOKUP($A178,'SegEnds_NonXtal_BW#'!$A:$Z,13,FALSE)+VLOOKUP($A178,A:AL,19,FALSE)-50)</f>
        <v>217</v>
      </c>
      <c r="S178" s="3">
        <v>217</v>
      </c>
      <c r="T178" s="100">
        <f>IF(ISERROR(VLOOKUP($A178,'SegEnds_NonXtal_BW#'!$A:$Z,14,FALSE)+VLOOKUP($A178,A:AL,19,FALSE)-50),"-",(VLOOKUP($A178,'SegEnds_NonXtal_BW#'!$A:$Z,14,FALSE)+VLOOKUP($A178,A:AL,19,FALSE)-50))</f>
        <v>224</v>
      </c>
      <c r="U178" s="9">
        <f>IF(ISERROR(VLOOKUP($A178,'SegEnds_NonXtal_BW#'!$A:$Z,15,FALSE)+VLOOKUP($A178,A:AL,22,FALSE)-50),"-",VLOOKUP($A178,'SegEnds_NonXtal_BW#'!$A:$Z,15,FALSE)+VLOOKUP($A178,A:AL,22,FALSE)-50)</f>
        <v>225</v>
      </c>
      <c r="V178" s="3">
        <v>237</v>
      </c>
      <c r="W178" s="3">
        <f>IF(ISERROR(VLOOKUP($A178,'SegEnds_NonXtal_BW#'!$A:$Z,16,FALSE)+VLOOKUP($A178,A:AL,22,FALSE)-50),"-",(VLOOKUP($A178,'SegEnds_NonXtal_BW#'!$A:$Z,16,FALSE)+VLOOKUP($A178,A:AL,22,FALSE)-50))</f>
        <v>251</v>
      </c>
      <c r="X178" s="3">
        <f>IF(ISERROR(VLOOKUP($A178,'SegEnds_NonXtal_BW#'!$A:$Z,17,FALSE)+VLOOKUP($A178,A:AL,25,FALSE)-50),"-",(VLOOKUP($A178,'SegEnds_NonXtal_BW#'!$A:$Z,17,FALSE)+VLOOKUP($A178,A:AL,25,FALSE)-50))</f>
        <v>263</v>
      </c>
      <c r="Y178" s="3">
        <v>263</v>
      </c>
      <c r="Z178" s="3">
        <f>Y178+2</f>
        <v>265</v>
      </c>
      <c r="AA178" s="3">
        <f>IF(ISERROR(VLOOKUP($A178,'SegEnds_NonXtal_BW#'!$A:$Z,19,FALSE)+VLOOKUP($A178,A:AL,28,FALSE)-50),"-",(VLOOKUP($A178,'SegEnds_NonXtal_BW#'!$A:$Z,19,FALSE)+VLOOKUP($A178,A:AL,28,FALSE)-50))</f>
        <v>269</v>
      </c>
      <c r="AB178" s="3">
        <v>289</v>
      </c>
      <c r="AC178" s="3">
        <f>IF(ISERROR((VLOOKUP($A178,'SegEnds_NonXtal_BW#'!$A:$Z,20,FALSE)+VLOOKUP($A178,A:AL,28,FALSE)-50)),"-",(VLOOKUP($A178,'SegEnds_NonXtal_BW#'!$A:$Z,20,FALSE)+VLOOKUP($A178,A:AL,28,FALSE)-50))</f>
        <v>307</v>
      </c>
      <c r="AD178" s="3">
        <f>IF(ISERROR(VLOOKUP($A178,'SegEnds_NonXtal_BW#'!$A:$Z,21,FALSE)+VLOOKUP($A178,A:AL,31,FALSE)-50),"-",(VLOOKUP($A178,'SegEnds_NonXtal_BW#'!$A:$Z,21,FALSE)+VLOOKUP($A178,A:AL,31,FALSE)-50))</f>
        <v>313</v>
      </c>
      <c r="AE178" s="3">
        <v>340</v>
      </c>
      <c r="AF178" s="3">
        <f>IF(ISERROR((VLOOKUP($A178,'SegEnds_NonXtal_BW#'!$A:$Z,22,FALSE)+VLOOKUP($A178,A:AL,31,FALSE)-50)),"-",(VLOOKUP($A178,'SegEnds_NonXtal_BW#'!$A:$Z,22,FALSE)+VLOOKUP($A178,A:AL,31,FALSE)-50))</f>
        <v>351</v>
      </c>
      <c r="AG178" s="3">
        <f>IF(ISERROR(VLOOKUP($A178,'SegEnds_NonXtal_BW#'!$A:$Z,23,FALSE)+VLOOKUP($A178,A:AL,34,FALSE)-50),"-",(VLOOKUP($A178,'SegEnds_NonXtal_BW#'!$A:$Z,23,FALSE)+VLOOKUP($A178,A:AL,34,FALSE)-50))</f>
        <v>358</v>
      </c>
      <c r="AH178" s="3">
        <v>377</v>
      </c>
      <c r="AI178" s="3">
        <f>IF(ISERROR((VLOOKUP($A178,'SegEnds_NonXtal_BW#'!$A:$Z,24,FALSE)+VLOOKUP($A178,A:AL,34,FALSE)-50)),"-",(VLOOKUP($A178,'SegEnds_NonXtal_BW#'!$A:$Z,24,FALSE)+VLOOKUP($A178,A:AL,34,FALSE)-50))</f>
        <v>383</v>
      </c>
      <c r="AJ178" s="3">
        <f>IF(ISERROR(VLOOKUP($A178,'SegEnds_NonXtal_BW#'!$A:$Z,25,FALSE)+VLOOKUP($A178,A:AL,37,FALSE)-50),"-",(VLOOKUP($A178,'SegEnds_NonXtal_BW#'!$A:$Z,25,FALSE)+VLOOKUP($A178,A:AL,37,FALSE)-50))</f>
        <v>384</v>
      </c>
      <c r="AK178" s="3">
        <v>387</v>
      </c>
      <c r="AL178" s="3">
        <f>IF(ISERROR((VLOOKUP($A178,'SegEnds_NonXtal_BW#'!$A:$Z,26,FALSE)+VLOOKUP($A178,A:AL,37,FALSE)-50)),"-",(VLOOKUP($A178,'SegEnds_NonXtal_BW#'!$A:$Z,26,FALSE)+VLOOKUP($A178,A:AL,37,FALSE)-50))</f>
        <v>396</v>
      </c>
      <c r="AM178" s="28" t="str">
        <f>VLOOKUP(A178,Classification!A:B,2,FALSE)</f>
        <v>A</v>
      </c>
      <c r="AN178" s="28" t="b">
        <f t="shared" si="98"/>
        <v>1</v>
      </c>
      <c r="AO178" s="3" t="str">
        <f>IF(ISERROR(MATCH(A178,'SegEnds_Xtal_Prot#'!B:B, 0)), "NoXtal", "Xtal")</f>
        <v>NoXtal</v>
      </c>
      <c r="AP178" s="3">
        <f t="shared" si="81"/>
        <v>1</v>
      </c>
      <c r="AQ178" s="3">
        <f t="shared" si="82"/>
        <v>1</v>
      </c>
      <c r="AR178" s="3">
        <f t="shared" si="83"/>
        <v>2</v>
      </c>
      <c r="AS178" s="3">
        <f t="shared" si="84"/>
        <v>1</v>
      </c>
      <c r="AT178" s="3">
        <f t="shared" si="85"/>
        <v>1</v>
      </c>
      <c r="AU178" s="3">
        <f t="shared" si="86"/>
        <v>1</v>
      </c>
      <c r="AV178" s="3">
        <f t="shared" si="87"/>
        <v>12</v>
      </c>
      <c r="AW178" s="3">
        <f t="shared" si="88"/>
        <v>4</v>
      </c>
      <c r="AX178" s="3">
        <f t="shared" si="89"/>
        <v>6</v>
      </c>
      <c r="AY178" s="3">
        <f t="shared" si="90"/>
        <v>7</v>
      </c>
      <c r="AZ178" s="3">
        <f t="shared" si="91"/>
        <v>1</v>
      </c>
      <c r="BA178" s="3">
        <f>IF(ISERROR(LEN(VLOOKUP(A178,Seqs!A:E,2,FALSE))-AL178),"-",LEN(VLOOKUP(A178,Seqs!A:E,2,FALSE))-AL178)</f>
        <v>26</v>
      </c>
      <c r="BB178" s="16">
        <f t="shared" si="92"/>
        <v>31</v>
      </c>
      <c r="BC178" s="9">
        <f t="shared" si="93"/>
        <v>20</v>
      </c>
      <c r="BD178" s="3">
        <f t="shared" si="94"/>
        <v>31</v>
      </c>
      <c r="BE178" s="3">
        <f t="shared" si="95"/>
        <v>51</v>
      </c>
      <c r="BF178" s="3">
        <f t="shared" si="111"/>
        <v>37</v>
      </c>
    </row>
    <row r="179" spans="1:58" s="3" customFormat="1" x14ac:dyDescent="0.2">
      <c r="A179" s="3" t="s">
        <v>300</v>
      </c>
      <c r="B179" s="3" t="str">
        <f>LOWER(VLOOKUP(A179,Xtal_Templ!A:B,2,FALSE))</f>
        <v>oprd_human</v>
      </c>
      <c r="C179" s="3">
        <f>VLOOKUP($A179,'SegEnds_NonXtal_BW#'!$A:$Z,3,FALSE)+D179-50</f>
        <v>24</v>
      </c>
      <c r="D179" s="3">
        <v>52</v>
      </c>
      <c r="E179" s="3">
        <f>IF(ISERROR(VLOOKUP($A179,'SegEnds_NonXtal_BW#'!$A:$Z,4,FALSE)+VLOOKUP($A179,A:AL,4,FALSE)-50),"-",(VLOOKUP($A179,'SegEnds_NonXtal_BW#'!$A:$Z,4,FALSE)+VLOOKUP($A179,A:AL,4,FALSE)-50))</f>
        <v>62</v>
      </c>
      <c r="F179" s="3" t="str">
        <f>IF(ISERROR(VLOOKUP($A179,'SegEnds_NonXtal_BW#'!$A:$Z,5,FALSE)+VLOOKUP($A179,A:AL,7,FALSE)-50),"-",(VLOOKUP($A179,'SegEnds_NonXtal_BW#'!$A:$Z,5,FALSE)+VLOOKUP($A179,A:AL,7,FALSE)-50))</f>
        <v>-</v>
      </c>
      <c r="G179" s="3" t="s">
        <v>23</v>
      </c>
      <c r="H179" s="3" t="str">
        <f>IF(ISERROR(VLOOKUP($A179,'SegEnds_NonXtal_BW#'!$A:$Z,6,FALSE)+VLOOKUP($A179,A:AL,7,FALSE)-50),"-",(VLOOKUP($A179,'SegEnds_NonXtal_BW#'!$A:$Z,6,FALSE)+VLOOKUP($A179,A:AL,7,FALSE)-50))</f>
        <v>-</v>
      </c>
      <c r="I179" s="3">
        <f>VLOOKUP($A179,'SegEnds_NonXtal_BW#'!$A:$Z,7,FALSE)+J179-50</f>
        <v>66</v>
      </c>
      <c r="J179" s="3">
        <v>79</v>
      </c>
      <c r="K179" s="3">
        <f>VLOOKUP($A179,'SegEnds_NonXtal_BW#'!$A:$Z,8,FALSE)+VLOOKUP($A179,A:AL,10,FALSE)-50</f>
        <v>95</v>
      </c>
      <c r="L179" s="3">
        <f>M179-1</f>
        <v>98</v>
      </c>
      <c r="M179" s="3">
        <v>99</v>
      </c>
      <c r="N179" s="3">
        <f>M179+2</f>
        <v>101</v>
      </c>
      <c r="O179" s="3">
        <f>N179+1</f>
        <v>102</v>
      </c>
      <c r="P179" s="3">
        <v>131</v>
      </c>
      <c r="Q179" s="3">
        <f>VLOOKUP($A179,'SegEnds_NonXtal_BW#'!$A:$Z,12,FALSE)+VLOOKUP($A179,A:AL,16,FALSE)-50</f>
        <v>137</v>
      </c>
      <c r="R179" s="3">
        <f>IF(ISERROR(VLOOKUP($A179,'SegEnds_NonXtal_BW#'!$A:$Z,13,FALSE)+VLOOKUP($A179,A:AL,19,FALSE)-50),"-",VLOOKUP($A179,'SegEnds_NonXtal_BW#'!$A:$Z,13,FALSE)+VLOOKUP($A179,A:AL,19,FALSE)-50)</f>
        <v>138</v>
      </c>
      <c r="S179" s="3">
        <v>138</v>
      </c>
      <c r="T179" s="100">
        <f>IF(ISERROR(VLOOKUP($A179,'SegEnds_NonXtal_BW#'!$A:$Z,14,FALSE)+VLOOKUP($A179,A:AL,19,FALSE)-50),"-",(VLOOKUP($A179,'SegEnds_NonXtal_BW#'!$A:$Z,14,FALSE)+VLOOKUP($A179,A:AL,19,FALSE)-50))</f>
        <v>145</v>
      </c>
      <c r="U179" s="9">
        <f>IF(ISERROR(VLOOKUP($A179,'SegEnds_NonXtal_BW#'!$A:$Z,15,FALSE)+VLOOKUP($A179,A:AL,22,FALSE)-50),"-",VLOOKUP($A179,'SegEnds_NonXtal_BW#'!$A:$Z,15,FALSE)+VLOOKUP($A179,A:AL,22,FALSE)-50)</f>
        <v>146</v>
      </c>
      <c r="V179" s="3">
        <v>158</v>
      </c>
      <c r="W179" s="3">
        <f>IF(ISERROR(VLOOKUP($A179,'SegEnds_NonXtal_BW#'!$A:$Z,16,FALSE)+VLOOKUP($A179,A:AL,22,FALSE)-50),"-",(VLOOKUP($A179,'SegEnds_NonXtal_BW#'!$A:$Z,16,FALSE)+VLOOKUP($A179,A:AL,22,FALSE)-50))</f>
        <v>172</v>
      </c>
      <c r="X179" s="3">
        <f>IF(ISERROR(VLOOKUP($A179,'SegEnds_NonXtal_BW#'!$A:$Z,17,FALSE)+VLOOKUP($A179,A:AL,25,FALSE)-50),"-",(VLOOKUP($A179,'SegEnds_NonXtal_BW#'!$A:$Z,17,FALSE)+VLOOKUP($A179,A:AL,25,FALSE)-50))</f>
        <v>184</v>
      </c>
      <c r="Y179" s="3">
        <v>184</v>
      </c>
      <c r="Z179" s="3">
        <f>Y179+2</f>
        <v>186</v>
      </c>
      <c r="AA179" s="3">
        <f>IF(ISERROR(VLOOKUP($A179,'SegEnds_NonXtal_BW#'!$A:$Z,19,FALSE)+VLOOKUP($A179,A:AL,28,FALSE)-50),"-",(VLOOKUP($A179,'SegEnds_NonXtal_BW#'!$A:$Z,19,FALSE)+VLOOKUP($A179,A:AL,28,FALSE)-50))</f>
        <v>190</v>
      </c>
      <c r="AB179" s="3">
        <v>209</v>
      </c>
      <c r="AC179" s="3">
        <f>IF(ISERROR((VLOOKUP($A179,'SegEnds_NonXtal_BW#'!$A:$Z,20,FALSE)+VLOOKUP($A179,A:AL,28,FALSE)-50)),"-",(VLOOKUP($A179,'SegEnds_NonXtal_BW#'!$A:$Z,20,FALSE)+VLOOKUP($A179,A:AL,28,FALSE)-50))</f>
        <v>232</v>
      </c>
      <c r="AD179" s="3">
        <f>IF(ISERROR(VLOOKUP($A179,'SegEnds_NonXtal_BW#'!$A:$Z,21,FALSE)+VLOOKUP($A179,A:AL,31,FALSE)-50),"-",(VLOOKUP($A179,'SegEnds_NonXtal_BW#'!$A:$Z,21,FALSE)+VLOOKUP($A179,A:AL,31,FALSE)-50))</f>
        <v>238</v>
      </c>
      <c r="AE179" s="3">
        <v>266</v>
      </c>
      <c r="AF179" s="3">
        <f>IF(ISERROR((VLOOKUP($A179,'SegEnds_NonXtal_BW#'!$A:$Z,22,FALSE)+VLOOKUP($A179,A:AL,31,FALSE)-50)),"-",(VLOOKUP($A179,'SegEnds_NonXtal_BW#'!$A:$Z,22,FALSE)+VLOOKUP($A179,A:AL,31,FALSE)-50))</f>
        <v>277</v>
      </c>
      <c r="AG179" s="3">
        <f>IF(ISERROR(VLOOKUP($A179,'SegEnds_NonXtal_BW#'!$A:$Z,23,FALSE)+VLOOKUP($A179,A:AL,34,FALSE)-50),"-",(VLOOKUP($A179,'SegEnds_NonXtal_BW#'!$A:$Z,23,FALSE)+VLOOKUP($A179,A:AL,34,FALSE)-50))</f>
        <v>284</v>
      </c>
      <c r="AH179" s="3">
        <v>303</v>
      </c>
      <c r="AI179" s="3">
        <f>IF(ISERROR((VLOOKUP($A179,'SegEnds_NonXtal_BW#'!$A:$Z,24,FALSE)+VLOOKUP($A179,A:AL,34,FALSE)-50)),"-",(VLOOKUP($A179,'SegEnds_NonXtal_BW#'!$A:$Z,24,FALSE)+VLOOKUP($A179,A:AL,34,FALSE)-50))</f>
        <v>309</v>
      </c>
      <c r="AJ179" s="3">
        <f>IF(ISERROR(VLOOKUP($A179,'SegEnds_NonXtal_BW#'!$A:$Z,25,FALSE)+VLOOKUP($A179,A:AL,37,FALSE)-50),"-",(VLOOKUP($A179,'SegEnds_NonXtal_BW#'!$A:$Z,25,FALSE)+VLOOKUP($A179,A:AL,37,FALSE)-50))</f>
        <v>310</v>
      </c>
      <c r="AK179" s="3">
        <v>313</v>
      </c>
      <c r="AL179" s="3">
        <f>IF(ISERROR((VLOOKUP($A179,'SegEnds_NonXtal_BW#'!$A:$Z,26,FALSE)+VLOOKUP($A179,A:AL,37,FALSE)-50)),"-",(VLOOKUP($A179,'SegEnds_NonXtal_BW#'!$A:$Z,26,FALSE)+VLOOKUP($A179,A:AL,37,FALSE)-50))</f>
        <v>323</v>
      </c>
      <c r="AM179" s="28" t="str">
        <f>VLOOKUP(A179,Classification!A:B,2,FALSE)</f>
        <v>A</v>
      </c>
      <c r="AN179" s="28" t="b">
        <f t="shared" si="98"/>
        <v>1</v>
      </c>
      <c r="AO179" s="3" t="str">
        <f>IF(ISERROR(MATCH(A179,'SegEnds_Xtal_Prot#'!B:B, 0)), "NoXtal", "Xtal")</f>
        <v>NoXtal</v>
      </c>
      <c r="AP179" s="3" t="str">
        <f t="shared" si="81"/>
        <v>-</v>
      </c>
      <c r="AQ179" s="3" t="str">
        <f t="shared" si="82"/>
        <v>-</v>
      </c>
      <c r="AR179" s="3">
        <f t="shared" si="83"/>
        <v>3</v>
      </c>
      <c r="AS179" s="3">
        <f t="shared" si="84"/>
        <v>1</v>
      </c>
      <c r="AT179" s="3">
        <f t="shared" si="85"/>
        <v>1</v>
      </c>
      <c r="AU179" s="3">
        <f t="shared" si="86"/>
        <v>1</v>
      </c>
      <c r="AV179" s="3">
        <f t="shared" si="87"/>
        <v>12</v>
      </c>
      <c r="AW179" s="3">
        <f t="shared" si="88"/>
        <v>4</v>
      </c>
      <c r="AX179" s="3">
        <f t="shared" si="89"/>
        <v>6</v>
      </c>
      <c r="AY179" s="3">
        <f t="shared" si="90"/>
        <v>7</v>
      </c>
      <c r="AZ179" s="3">
        <f t="shared" si="91"/>
        <v>1</v>
      </c>
      <c r="BA179" s="3">
        <f>IF(ISERROR(LEN(VLOOKUP(A179,Seqs!A:E,2,FALSE))-AL179),"-",LEN(VLOOKUP(A179,Seqs!A:E,2,FALSE))-AL179)</f>
        <v>17</v>
      </c>
      <c r="BB179" s="16">
        <f t="shared" si="92"/>
        <v>27</v>
      </c>
      <c r="BC179" s="9">
        <f t="shared" si="93"/>
        <v>20</v>
      </c>
      <c r="BD179" s="3">
        <f t="shared" si="94"/>
        <v>27</v>
      </c>
      <c r="BE179" s="3">
        <f t="shared" si="95"/>
        <v>57</v>
      </c>
      <c r="BF179" s="3">
        <f t="shared" si="111"/>
        <v>37</v>
      </c>
    </row>
    <row r="180" spans="1:58" s="3" customFormat="1" x14ac:dyDescent="0.2">
      <c r="A180" s="3" t="s">
        <v>301</v>
      </c>
      <c r="B180" s="3" t="str">
        <f>LOWER(VLOOKUP(A180,Xtal_Templ!A:B,2,FALSE))</f>
        <v>agtr1_human</v>
      </c>
      <c r="C180" s="3">
        <f>VLOOKUP($A180,'SegEnds_NonXtal_BW#'!$A:$Z,3,FALSE)+D180-50</f>
        <v>23</v>
      </c>
      <c r="D180" s="3">
        <v>45</v>
      </c>
      <c r="E180" s="3">
        <f>IF(ISERROR(VLOOKUP($A180,'SegEnds_NonXtal_BW#'!$A:$Z,4,FALSE)+VLOOKUP($A180,A:AL,4,FALSE)-50),"-",(VLOOKUP($A180,'SegEnds_NonXtal_BW#'!$A:$Z,4,FALSE)+VLOOKUP($A180,A:AL,4,FALSE)-50))</f>
        <v>55</v>
      </c>
      <c r="F180" s="3" t="str">
        <f>IF(ISERROR(VLOOKUP($A180,'SegEnds_NonXtal_BW#'!$A:$Z,5,FALSE)+VLOOKUP($A180,A:AL,7,FALSE)-50),"-",(VLOOKUP($A180,'SegEnds_NonXtal_BW#'!$A:$Z,5,FALSE)+VLOOKUP($A180,A:AL,7,FALSE)-50))</f>
        <v>-</v>
      </c>
      <c r="G180" s="3" t="s">
        <v>23</v>
      </c>
      <c r="H180" s="3" t="str">
        <f>IF(ISERROR(VLOOKUP($A180,'SegEnds_NonXtal_BW#'!$A:$Z,6,FALSE)+VLOOKUP($A180,A:AL,7,FALSE)-50),"-",(VLOOKUP($A180,'SegEnds_NonXtal_BW#'!$A:$Z,6,FALSE)+VLOOKUP($A180,A:AL,7,FALSE)-50))</f>
        <v>-</v>
      </c>
      <c r="I180" s="3">
        <f>VLOOKUP($A180,'SegEnds_NonXtal_BW#'!$A:$Z,7,FALSE)+J180-50</f>
        <v>59</v>
      </c>
      <c r="J180" s="3">
        <v>72</v>
      </c>
      <c r="K180" s="3">
        <f>VLOOKUP($A180,'SegEnds_NonXtal_BW#'!$A:$Z,8,FALSE)+VLOOKUP($A180,A:AL,10,FALSE)-50</f>
        <v>88</v>
      </c>
      <c r="L180" s="3" t="str">
        <f>IF(ISERROR(VLOOKUP($A180,'SegEnds_NonXtal_BW#'!$A:$Z,9,FALSE)+VLOOKUP($A180,A:AL,13,FALSE)-50),"-",(VLOOKUP($A180,'SegEnds_NonXtal_BW#'!$A:$Z,9,FALSE)+VLOOKUP($A180,A:AL,13,FALSE)-50))</f>
        <v>-</v>
      </c>
      <c r="M180" s="3" t="s">
        <v>23</v>
      </c>
      <c r="N180" s="3" t="str">
        <f>IF(ISERROR(VLOOKUP($A180,'SegEnds_NonXtal_BW#'!$A:$Z,10,FALSE)+VLOOKUP($A180,A:AL,13,FALSE)-50),"-",(VLOOKUP($A180,'SegEnds_NonXtal_BW#'!$A:$Z,10,FALSE)+VLOOKUP($A180,A:AL,13,FALSE)-50))</f>
        <v>-</v>
      </c>
      <c r="O180" s="3">
        <f>VLOOKUP($A180,'SegEnds_NonXtal_BW#'!$A:$Z,11,FALSE)+VLOOKUP($A180,A:AL,16,FALSE)-50</f>
        <v>94</v>
      </c>
      <c r="P180" s="3">
        <v>123</v>
      </c>
      <c r="Q180" s="3">
        <f>VLOOKUP($A180,'SegEnds_NonXtal_BW#'!$A:$Z,12,FALSE)+VLOOKUP($A180,A:AL,16,FALSE)-50</f>
        <v>129</v>
      </c>
      <c r="R180" s="3">
        <f>IF(ISERROR(VLOOKUP($A180,'SegEnds_NonXtal_BW#'!$A:$Z,13,FALSE)+VLOOKUP($A180,A:AL,19,FALSE)-50),"-",VLOOKUP($A180,'SegEnds_NonXtal_BW#'!$A:$Z,13,FALSE)+VLOOKUP($A180,A:AL,19,FALSE)-50)</f>
        <v>130</v>
      </c>
      <c r="S180" s="3">
        <v>130</v>
      </c>
      <c r="T180" s="100">
        <f>IF(ISERROR(VLOOKUP($A180,'SegEnds_NonXtal_BW#'!$A:$Z,14,FALSE)+VLOOKUP($A180,A:AL,19,FALSE)-50),"-",(VLOOKUP($A180,'SegEnds_NonXtal_BW#'!$A:$Z,14,FALSE)+VLOOKUP($A180,A:AL,19,FALSE)-50))</f>
        <v>137</v>
      </c>
      <c r="U180" s="9">
        <f>IF(ISERROR(VLOOKUP($A180,'SegEnds_NonXtal_BW#'!$A:$Z,15,FALSE)+VLOOKUP($A180,A:AL,22,FALSE)-50),"-",VLOOKUP($A180,'SegEnds_NonXtal_BW#'!$A:$Z,15,FALSE)+VLOOKUP($A180,A:AL,22,FALSE)-50)</f>
        <v>138</v>
      </c>
      <c r="V180" s="3">
        <v>150</v>
      </c>
      <c r="W180" s="3">
        <f>IF(ISERROR(VLOOKUP($A180,'SegEnds_NonXtal_BW#'!$A:$Z,16,FALSE)+VLOOKUP($A180,A:AL,22,FALSE)-50),"-",(VLOOKUP($A180,'SegEnds_NonXtal_BW#'!$A:$Z,16,FALSE)+VLOOKUP($A180,A:AL,22,FALSE)-50))</f>
        <v>164</v>
      </c>
      <c r="X180" s="3" t="str">
        <f>IF(ISERROR(VLOOKUP($A180,'SegEnds_NonXtal_BW#'!$A:$Z,17,FALSE)+VLOOKUP($A180,A:AL,25,FALSE)-50),"-",(VLOOKUP($A180,'SegEnds_NonXtal_BW#'!$A:$Z,17,FALSE)+VLOOKUP($A180,A:AL,25,FALSE)-50))</f>
        <v>-</v>
      </c>
      <c r="Y180" s="3" t="s">
        <v>23</v>
      </c>
      <c r="Z180" s="3" t="str">
        <f>IF(ISERROR(VLOOKUP($A180,'SegEnds_NonXtal_BW#'!$A:$Z,18,FALSE)+VLOOKUP($A180,A:AL,25,FALSE)-50),"-",(VLOOKUP($A180,'SegEnds_NonXtal_BW#'!$A:$Z,18,FALSE)+VLOOKUP($A180,A:AL,25,FALSE)-50))</f>
        <v>-</v>
      </c>
      <c r="AA180" s="3">
        <f>IF(ISERROR(VLOOKUP($A180,'SegEnds_NonXtal_BW#'!$A:$Z,19,FALSE)+VLOOKUP($A180,A:AL,28,FALSE)-50),"-",(VLOOKUP($A180,'SegEnds_NonXtal_BW#'!$A:$Z,19,FALSE)+VLOOKUP($A180,A:AL,28,FALSE)-50))</f>
        <v>176</v>
      </c>
      <c r="AB180" s="3">
        <v>192</v>
      </c>
      <c r="AC180" s="3">
        <f>IF(ISERROR((VLOOKUP($A180,'SegEnds_NonXtal_BW#'!$A:$Z,20,FALSE)+VLOOKUP($A180,A:AL,28,FALSE)-50)),"-",(VLOOKUP($A180,'SegEnds_NonXtal_BW#'!$A:$Z,20,FALSE)+VLOOKUP($A180,A:AL,28,FALSE)-50))</f>
        <v>210</v>
      </c>
      <c r="AD180" s="3">
        <f>IF(ISERROR(VLOOKUP($A180,'SegEnds_NonXtal_BW#'!$A:$Z,21,FALSE)+VLOOKUP($A180,A:AL,31,FALSE)-50),"-",(VLOOKUP($A180,'SegEnds_NonXtal_BW#'!$A:$Z,21,FALSE)+VLOOKUP($A180,A:AL,31,FALSE)-50))</f>
        <v>214</v>
      </c>
      <c r="AE180" s="3">
        <v>236</v>
      </c>
      <c r="AF180" s="3">
        <f>IF(ISERROR((VLOOKUP($A180,'SegEnds_NonXtal_BW#'!$A:$Z,22,FALSE)+VLOOKUP($A180,A:AL,31,FALSE)-50)),"-",(VLOOKUP($A180,'SegEnds_NonXtal_BW#'!$A:$Z,22,FALSE)+VLOOKUP($A180,A:AL,31,FALSE)-50))</f>
        <v>247</v>
      </c>
      <c r="AG180" s="3">
        <f>IF(ISERROR(VLOOKUP($A180,'SegEnds_NonXtal_BW#'!$A:$Z,23,FALSE)+VLOOKUP($A180,A:AL,34,FALSE)-50),"-",(VLOOKUP($A180,'SegEnds_NonXtal_BW#'!$A:$Z,23,FALSE)+VLOOKUP($A180,A:AL,34,FALSE)-50))</f>
        <v>254</v>
      </c>
      <c r="AH180" s="3">
        <v>273</v>
      </c>
      <c r="AI180" s="3">
        <f>IF(ISERROR((VLOOKUP($A180,'SegEnds_NonXtal_BW#'!$A:$Z,24,FALSE)+VLOOKUP($A180,A:AL,34,FALSE)-50)),"-",(VLOOKUP($A180,'SegEnds_NonXtal_BW#'!$A:$Z,24,FALSE)+VLOOKUP($A180,A:AL,34,FALSE)-50))</f>
        <v>279</v>
      </c>
      <c r="AJ180" s="3">
        <f>IF(ISERROR(VLOOKUP($A180,'SegEnds_NonXtal_BW#'!$A:$Z,25,FALSE)+VLOOKUP($A180,A:AL,37,FALSE)-50),"-",(VLOOKUP($A180,'SegEnds_NonXtal_BW#'!$A:$Z,25,FALSE)+VLOOKUP($A180,A:AL,37,FALSE)-50))</f>
        <v>280</v>
      </c>
      <c r="AK180" s="3">
        <v>283</v>
      </c>
      <c r="AL180" s="3">
        <f>IF(ISERROR((VLOOKUP($A180,'SegEnds_NonXtal_BW#'!$A:$Z,26,FALSE)+VLOOKUP($A180,A:AL,37,FALSE)-50)),"-",(VLOOKUP($A180,'SegEnds_NonXtal_BW#'!$A:$Z,26,FALSE)+VLOOKUP($A180,A:AL,37,FALSE)-50))</f>
        <v>294</v>
      </c>
      <c r="AM180" s="28" t="str">
        <f>VLOOKUP(A180,Classification!A:B,2,FALSE)</f>
        <v>A</v>
      </c>
      <c r="AN180" s="28" t="b">
        <f t="shared" si="98"/>
        <v>1</v>
      </c>
      <c r="AO180" s="3" t="str">
        <f>IF(ISERROR(MATCH(A180,'SegEnds_Xtal_Prot#'!B:B, 0)), "NoXtal", "Xtal")</f>
        <v>NoXtal</v>
      </c>
      <c r="AP180" s="3" t="str">
        <f t="shared" si="81"/>
        <v>-</v>
      </c>
      <c r="AQ180" s="3" t="str">
        <f t="shared" si="82"/>
        <v>-</v>
      </c>
      <c r="AR180" s="3" t="str">
        <f t="shared" si="83"/>
        <v>-</v>
      </c>
      <c r="AS180" s="3" t="str">
        <f t="shared" si="84"/>
        <v>-</v>
      </c>
      <c r="AT180" s="3">
        <f t="shared" si="85"/>
        <v>1</v>
      </c>
      <c r="AU180" s="3">
        <f t="shared" si="86"/>
        <v>1</v>
      </c>
      <c r="AV180" s="3" t="str">
        <f t="shared" si="87"/>
        <v>-</v>
      </c>
      <c r="AW180" s="3" t="str">
        <f t="shared" si="88"/>
        <v>-</v>
      </c>
      <c r="AX180" s="3">
        <f t="shared" si="89"/>
        <v>4</v>
      </c>
      <c r="AY180" s="3">
        <f t="shared" si="90"/>
        <v>7</v>
      </c>
      <c r="AZ180" s="3">
        <f t="shared" si="91"/>
        <v>1</v>
      </c>
      <c r="BA180" s="3">
        <f>IF(ISERROR(LEN(VLOOKUP(A180,Seqs!A:E,2,FALSE))-AL180),"-",LEN(VLOOKUP(A180,Seqs!A:E,2,FALSE))-AL180)</f>
        <v>27</v>
      </c>
      <c r="BB180" s="16">
        <f t="shared" si="92"/>
        <v>27</v>
      </c>
      <c r="BC180" s="9">
        <f t="shared" si="93"/>
        <v>20</v>
      </c>
      <c r="BD180" s="3">
        <f t="shared" si="94"/>
        <v>27</v>
      </c>
      <c r="BE180" s="3">
        <f t="shared" si="95"/>
        <v>44</v>
      </c>
      <c r="BF180" s="3">
        <f t="shared" si="111"/>
        <v>37</v>
      </c>
    </row>
    <row r="181" spans="1:58" s="3" customFormat="1" x14ac:dyDescent="0.2">
      <c r="A181" s="3" t="s">
        <v>302</v>
      </c>
      <c r="B181" s="3" t="str">
        <f>LOWER(VLOOKUP(A181,Xtal_Templ!A:B,2,FALSE))</f>
        <v>cxcr4_human</v>
      </c>
      <c r="C181" s="3">
        <f>VLOOKUP($A181,'SegEnds_NonXtal_BW#'!$A:$Z,3,FALSE)+D181-50</f>
        <v>16</v>
      </c>
      <c r="D181" s="3">
        <v>42</v>
      </c>
      <c r="E181" s="3">
        <f>IF(ISERROR(VLOOKUP($A181,'SegEnds_NonXtal_BW#'!$A:$Z,4,FALSE)+VLOOKUP($A181,A:AL,4,FALSE)-50),"-",(VLOOKUP($A181,'SegEnds_NonXtal_BW#'!$A:$Z,4,FALSE)+VLOOKUP($A181,A:AL,4,FALSE)-50))</f>
        <v>52</v>
      </c>
      <c r="F181" s="3" t="str">
        <f>IF(ISERROR(VLOOKUP($A181,'SegEnds_NonXtal_BW#'!$A:$Z,5,FALSE)+VLOOKUP($A181,A:AL,7,FALSE)-50),"-",(VLOOKUP($A181,'SegEnds_NonXtal_BW#'!$A:$Z,5,FALSE)+VLOOKUP($A181,A:AL,7,FALSE)-50))</f>
        <v>-</v>
      </c>
      <c r="G181" s="3" t="s">
        <v>23</v>
      </c>
      <c r="H181" s="3" t="str">
        <f>IF(ISERROR(VLOOKUP($A181,'SegEnds_NonXtal_BW#'!$A:$Z,6,FALSE)+VLOOKUP($A181,A:AL,7,FALSE)-50),"-",(VLOOKUP($A181,'SegEnds_NonXtal_BW#'!$A:$Z,6,FALSE)+VLOOKUP($A181,A:AL,7,FALSE)-50))</f>
        <v>-</v>
      </c>
      <c r="I181" s="3">
        <f>VLOOKUP($A181,'SegEnds_NonXtal_BW#'!$A:$Z,7,FALSE)+J181-50</f>
        <v>56</v>
      </c>
      <c r="J181" s="3">
        <v>69</v>
      </c>
      <c r="K181" s="3">
        <f>VLOOKUP($A181,'SegEnds_NonXtal_BW#'!$A:$Z,8,FALSE)+VLOOKUP($A181,A:AL,10,FALSE)-50</f>
        <v>85</v>
      </c>
      <c r="L181" s="3" t="str">
        <f>IF(ISERROR(VLOOKUP($A181,'SegEnds_NonXtal_BW#'!$A:$Z,9,FALSE)+VLOOKUP($A181,A:AL,13,FALSE)-50),"-",(VLOOKUP($A181,'SegEnds_NonXtal_BW#'!$A:$Z,9,FALSE)+VLOOKUP($A181,A:AL,13,FALSE)-50))</f>
        <v>-</v>
      </c>
      <c r="M181" s="3" t="s">
        <v>23</v>
      </c>
      <c r="N181" s="3" t="str">
        <f>IF(ISERROR(VLOOKUP($A181,'SegEnds_NonXtal_BW#'!$A:$Z,10,FALSE)+VLOOKUP($A181,A:AL,13,FALSE)-50),"-",(VLOOKUP($A181,'SegEnds_NonXtal_BW#'!$A:$Z,10,FALSE)+VLOOKUP($A181,A:AL,13,FALSE)-50))</f>
        <v>-</v>
      </c>
      <c r="O181" s="3">
        <f>VLOOKUP($A181,'SegEnds_NonXtal_BW#'!$A:$Z,11,FALSE)+VLOOKUP($A181,A:AL,16,FALSE)-50</f>
        <v>92</v>
      </c>
      <c r="P181" s="3">
        <v>121</v>
      </c>
      <c r="Q181" s="3">
        <f>VLOOKUP($A181,'SegEnds_NonXtal_BW#'!$A:$Z,12,FALSE)+VLOOKUP($A181,A:AL,16,FALSE)-50</f>
        <v>127</v>
      </c>
      <c r="R181" s="3">
        <f>IF(ISERROR(VLOOKUP($A181,'SegEnds_NonXtal_BW#'!$A:$Z,13,FALSE)+VLOOKUP($A181,A:AL,19,FALSE)-50),"-",VLOOKUP($A181,'SegEnds_NonXtal_BW#'!$A:$Z,13,FALSE)+VLOOKUP($A181,A:AL,19,FALSE)-50)</f>
        <v>128</v>
      </c>
      <c r="S181" s="3">
        <v>128</v>
      </c>
      <c r="T181" s="100">
        <f>IF(ISERROR(VLOOKUP($A181,'SegEnds_NonXtal_BW#'!$A:$Z,14,FALSE)+VLOOKUP($A181,A:AL,19,FALSE)-50),"-",(VLOOKUP($A181,'SegEnds_NonXtal_BW#'!$A:$Z,14,FALSE)+VLOOKUP($A181,A:AL,19,FALSE)-50))</f>
        <v>135</v>
      </c>
      <c r="U181" s="9">
        <f>IF(ISERROR(VLOOKUP($A181,'SegEnds_NonXtal_BW#'!$A:$Z,15,FALSE)+VLOOKUP($A181,A:AL,22,FALSE)-50),"-",VLOOKUP($A181,'SegEnds_NonXtal_BW#'!$A:$Z,15,FALSE)+VLOOKUP($A181,A:AL,22,FALSE)-50)</f>
        <v>136</v>
      </c>
      <c r="V181" s="3">
        <v>148</v>
      </c>
      <c r="W181" s="3">
        <f>IF(ISERROR(VLOOKUP($A181,'SegEnds_NonXtal_BW#'!$A:$Z,16,FALSE)+VLOOKUP($A181,A:AL,22,FALSE)-50),"-",(VLOOKUP($A181,'SegEnds_NonXtal_BW#'!$A:$Z,16,FALSE)+VLOOKUP($A181,A:AL,22,FALSE)-50))</f>
        <v>162</v>
      </c>
      <c r="X181" s="3" t="str">
        <f>IF(ISERROR(VLOOKUP($A181,'SegEnds_NonXtal_BW#'!$A:$Z,17,FALSE)+VLOOKUP($A181,A:AL,25,FALSE)-50),"-",(VLOOKUP($A181,'SegEnds_NonXtal_BW#'!$A:$Z,17,FALSE)+VLOOKUP($A181,A:AL,25,FALSE)-50))</f>
        <v>-</v>
      </c>
      <c r="Y181" s="3" t="s">
        <v>23</v>
      </c>
      <c r="Z181" s="3" t="str">
        <f>IF(ISERROR(VLOOKUP($A181,'SegEnds_NonXtal_BW#'!$A:$Z,18,FALSE)+VLOOKUP($A181,A:AL,25,FALSE)-50),"-",(VLOOKUP($A181,'SegEnds_NonXtal_BW#'!$A:$Z,18,FALSE)+VLOOKUP($A181,A:AL,25,FALSE)-50))</f>
        <v>-</v>
      </c>
      <c r="AA181" s="3">
        <f>IF(ISERROR(VLOOKUP($A181,'SegEnds_NonXtal_BW#'!$A:$Z,19,FALSE)+VLOOKUP($A181,A:AL,28,FALSE)-50),"-",(VLOOKUP($A181,'SegEnds_NonXtal_BW#'!$A:$Z,19,FALSE)+VLOOKUP($A181,A:AL,28,FALSE)-50))</f>
        <v>172</v>
      </c>
      <c r="AB181" s="3">
        <v>190</v>
      </c>
      <c r="AC181" s="3">
        <f>IF(ISERROR((VLOOKUP($A181,'SegEnds_NonXtal_BW#'!$A:$Z,20,FALSE)+VLOOKUP($A181,A:AL,28,FALSE)-50)),"-",(VLOOKUP($A181,'SegEnds_NonXtal_BW#'!$A:$Z,20,FALSE)+VLOOKUP($A181,A:AL,28,FALSE)-50))</f>
        <v>208</v>
      </c>
      <c r="AD181" s="3">
        <f>IF(ISERROR(VLOOKUP($A181,'SegEnds_NonXtal_BW#'!$A:$Z,21,FALSE)+VLOOKUP($A181,A:AL,31,FALSE)-50),"-",(VLOOKUP($A181,'SegEnds_NonXtal_BW#'!$A:$Z,21,FALSE)+VLOOKUP($A181,A:AL,31,FALSE)-50))</f>
        <v>212</v>
      </c>
      <c r="AE181" s="3">
        <v>232</v>
      </c>
      <c r="AF181" s="3">
        <f>IF(ISERROR((VLOOKUP($A181,'SegEnds_NonXtal_BW#'!$A:$Z,22,FALSE)+VLOOKUP($A181,A:AL,31,FALSE)-50)),"-",(VLOOKUP($A181,'SegEnds_NonXtal_BW#'!$A:$Z,22,FALSE)+VLOOKUP($A181,A:AL,31,FALSE)-50))</f>
        <v>243</v>
      </c>
      <c r="AG181" s="3">
        <f>IF(ISERROR(VLOOKUP($A181,'SegEnds_NonXtal_BW#'!$A:$Z,23,FALSE)+VLOOKUP($A181,A:AL,34,FALSE)-50),"-",(VLOOKUP($A181,'SegEnds_NonXtal_BW#'!$A:$Z,23,FALSE)+VLOOKUP($A181,A:AL,34,FALSE)-50))</f>
        <v>248</v>
      </c>
      <c r="AH181" s="3">
        <v>266</v>
      </c>
      <c r="AI181" s="3">
        <f>IF(ISERROR((VLOOKUP($A181,'SegEnds_NonXtal_BW#'!$A:$Z,24,FALSE)+VLOOKUP($A181,A:AL,34,FALSE)-50)),"-",(VLOOKUP($A181,'SegEnds_NonXtal_BW#'!$A:$Z,24,FALSE)+VLOOKUP($A181,A:AL,34,FALSE)-50))</f>
        <v>272</v>
      </c>
      <c r="AJ181" s="3">
        <f>IF(ISERROR(VLOOKUP($A181,'SegEnds_NonXtal_BW#'!$A:$Z,25,FALSE)+VLOOKUP($A181,A:AL,37,FALSE)-50),"-",(VLOOKUP($A181,'SegEnds_NonXtal_BW#'!$A:$Z,25,FALSE)+VLOOKUP($A181,A:AL,37,FALSE)-50))</f>
        <v>273</v>
      </c>
      <c r="AK181" s="3">
        <v>276</v>
      </c>
      <c r="AL181" s="3">
        <f>IF(ISERROR((VLOOKUP($A181,'SegEnds_NonXtal_BW#'!$A:$Z,26,FALSE)+VLOOKUP($A181,A:AL,37,FALSE)-50)),"-",(VLOOKUP($A181,'SegEnds_NonXtal_BW#'!$A:$Z,26,FALSE)+VLOOKUP($A181,A:AL,37,FALSE)-50))</f>
        <v>285</v>
      </c>
      <c r="AM181" s="28" t="str">
        <f>VLOOKUP(A181,Classification!A:B,2,FALSE)</f>
        <v>A</v>
      </c>
      <c r="AN181" s="28" t="b">
        <f t="shared" si="98"/>
        <v>1</v>
      </c>
      <c r="AO181" s="3" t="str">
        <f>IF(ISERROR(MATCH(A181,'SegEnds_Xtal_Prot#'!B:B, 0)), "NoXtal", "Xtal")</f>
        <v>NoXtal</v>
      </c>
      <c r="AP181" s="3" t="str">
        <f t="shared" si="81"/>
        <v>-</v>
      </c>
      <c r="AQ181" s="3" t="str">
        <f t="shared" si="82"/>
        <v>-</v>
      </c>
      <c r="AR181" s="3" t="str">
        <f t="shared" si="83"/>
        <v>-</v>
      </c>
      <c r="AS181" s="3" t="str">
        <f t="shared" si="84"/>
        <v>-</v>
      </c>
      <c r="AT181" s="3">
        <f t="shared" si="85"/>
        <v>1</v>
      </c>
      <c r="AU181" s="3">
        <f t="shared" si="86"/>
        <v>1</v>
      </c>
      <c r="AV181" s="3" t="str">
        <f t="shared" si="87"/>
        <v>-</v>
      </c>
      <c r="AW181" s="3" t="str">
        <f t="shared" si="88"/>
        <v>-</v>
      </c>
      <c r="AX181" s="3">
        <f t="shared" si="89"/>
        <v>4</v>
      </c>
      <c r="AY181" s="3">
        <f t="shared" si="90"/>
        <v>5</v>
      </c>
      <c r="AZ181" s="3">
        <f t="shared" si="91"/>
        <v>1</v>
      </c>
      <c r="BA181" s="3">
        <f>IF(ISERROR(LEN(VLOOKUP(A181,Seqs!A:E,2,FALSE))-AL181),"-",LEN(VLOOKUP(A181,Seqs!A:E,2,FALSE))-AL181)</f>
        <v>27</v>
      </c>
      <c r="BB181" s="16">
        <f t="shared" si="92"/>
        <v>27</v>
      </c>
      <c r="BC181" s="9">
        <f t="shared" si="93"/>
        <v>20</v>
      </c>
      <c r="BD181" s="3">
        <f t="shared" si="94"/>
        <v>27</v>
      </c>
      <c r="BE181" s="3">
        <f t="shared" si="95"/>
        <v>42</v>
      </c>
      <c r="BF181" s="3">
        <f t="shared" si="111"/>
        <v>34</v>
      </c>
    </row>
    <row r="182" spans="1:58" s="3" customFormat="1" x14ac:dyDescent="0.2">
      <c r="A182" s="3" t="s">
        <v>303</v>
      </c>
      <c r="B182" s="3" t="str">
        <f>LOWER(VLOOKUP(A182,Xtal_Templ!A:B,2,FALSE))</f>
        <v>c5ar1_human</v>
      </c>
      <c r="C182" s="3">
        <f>VLOOKUP($A182,'SegEnds_NonXtal_BW#'!$A:$Z,3,FALSE)+D182-50</f>
        <v>41</v>
      </c>
      <c r="D182" s="3">
        <v>62</v>
      </c>
      <c r="E182" s="3">
        <f>IF(ISERROR(VLOOKUP($A182,'SegEnds_NonXtal_BW#'!$A:$Z,4,FALSE)+VLOOKUP($A182,A:AL,4,FALSE)-50),"-",(VLOOKUP($A182,'SegEnds_NonXtal_BW#'!$A:$Z,4,FALSE)+VLOOKUP($A182,A:AL,4,FALSE)-50))</f>
        <v>72</v>
      </c>
      <c r="F182" s="3" t="str">
        <f>IF(ISERROR(VLOOKUP($A182,'SegEnds_NonXtal_BW#'!$A:$Z,5,FALSE)+VLOOKUP($A182,A:AL,7,FALSE)-50),"-",(VLOOKUP($A182,'SegEnds_NonXtal_BW#'!$A:$Z,5,FALSE)+VLOOKUP($A182,A:AL,7,FALSE)-50))</f>
        <v>-</v>
      </c>
      <c r="G182" s="3" t="s">
        <v>23</v>
      </c>
      <c r="H182" s="3" t="str">
        <f>IF(ISERROR(VLOOKUP($A182,'SegEnds_NonXtal_BW#'!$A:$Z,6,FALSE)+VLOOKUP($A182,A:AL,7,FALSE)-50),"-",(VLOOKUP($A182,'SegEnds_NonXtal_BW#'!$A:$Z,6,FALSE)+VLOOKUP($A182,A:AL,7,FALSE)-50))</f>
        <v>-</v>
      </c>
      <c r="I182" s="3">
        <f>VLOOKUP($A182,'SegEnds_NonXtal_BW#'!$A:$Z,7,FALSE)+J182-50</f>
        <v>76</v>
      </c>
      <c r="J182" s="3">
        <v>89</v>
      </c>
      <c r="K182" s="3">
        <f>VLOOKUP($A182,'SegEnds_NonXtal_BW#'!$A:$Z,8,FALSE)+VLOOKUP($A182,A:AL,10,FALSE)-50</f>
        <v>106</v>
      </c>
      <c r="L182" s="3" t="str">
        <f>IF(ISERROR(VLOOKUP($A182,'SegEnds_NonXtal_BW#'!$A:$Z,9,FALSE)+VLOOKUP($A182,A:AL,13,FALSE)-50),"-",(VLOOKUP($A182,'SegEnds_NonXtal_BW#'!$A:$Z,9,FALSE)+VLOOKUP($A182,A:AL,13,FALSE)-50))</f>
        <v>-</v>
      </c>
      <c r="M182" s="3" t="s">
        <v>23</v>
      </c>
      <c r="N182" s="3" t="str">
        <f>IF(ISERROR(VLOOKUP($A182,'SegEnds_NonXtal_BW#'!$A:$Z,10,FALSE)+VLOOKUP($A182,A:AL,13,FALSE)-50),"-",(VLOOKUP($A182,'SegEnds_NonXtal_BW#'!$A:$Z,10,FALSE)+VLOOKUP($A182,A:AL,13,FALSE)-50))</f>
        <v>-</v>
      </c>
      <c r="O182" s="3">
        <f>VLOOKUP($A182,'SegEnds_NonXtal_BW#'!$A:$Z,11,FALSE)+VLOOKUP($A182,A:AL,16,FALSE)-50</f>
        <v>112</v>
      </c>
      <c r="P182" s="3">
        <v>141</v>
      </c>
      <c r="Q182" s="3">
        <f>VLOOKUP($A182,'SegEnds_NonXtal_BW#'!$A:$Z,12,FALSE)+VLOOKUP($A182,A:AL,16,FALSE)-50</f>
        <v>147</v>
      </c>
      <c r="R182" s="3">
        <f>IF(ISERROR(VLOOKUP($A182,'SegEnds_NonXtal_BW#'!$A:$Z,13,FALSE)+VLOOKUP($A182,A:AL,19,FALSE)-50),"-",VLOOKUP($A182,'SegEnds_NonXtal_BW#'!$A:$Z,13,FALSE)+VLOOKUP($A182,A:AL,19,FALSE)-50)</f>
        <v>148</v>
      </c>
      <c r="S182" s="3">
        <v>148</v>
      </c>
      <c r="T182" s="100">
        <f>IF(ISERROR(VLOOKUP($A182,'SegEnds_NonXtal_BW#'!$A:$Z,14,FALSE)+VLOOKUP($A182,A:AL,19,FALSE)-50),"-",(VLOOKUP($A182,'SegEnds_NonXtal_BW#'!$A:$Z,14,FALSE)+VLOOKUP($A182,A:AL,19,FALSE)-50))</f>
        <v>155</v>
      </c>
      <c r="U182" s="9">
        <f>IF(ISERROR(VLOOKUP($A182,'SegEnds_NonXtal_BW#'!$A:$Z,15,FALSE)+VLOOKUP($A182,A:AL,22,FALSE)-50),"-",VLOOKUP($A182,'SegEnds_NonXtal_BW#'!$A:$Z,15,FALSE)+VLOOKUP($A182,A:AL,22,FALSE)-50)</f>
        <v>156</v>
      </c>
      <c r="V182" s="3">
        <v>168</v>
      </c>
      <c r="W182" s="3">
        <f>IF(ISERROR(VLOOKUP($A182,'SegEnds_NonXtal_BW#'!$A:$Z,16,FALSE)+VLOOKUP($A182,A:AL,22,FALSE)-50),"-",(VLOOKUP($A182,'SegEnds_NonXtal_BW#'!$A:$Z,16,FALSE)+VLOOKUP($A182,A:AL,22,FALSE)-50))</f>
        <v>182</v>
      </c>
      <c r="X182" s="3" t="str">
        <f>IF(ISERROR(VLOOKUP($A182,'SegEnds_NonXtal_BW#'!$A:$Z,17,FALSE)+VLOOKUP($A182,A:AL,25,FALSE)-50),"-",(VLOOKUP($A182,'SegEnds_NonXtal_BW#'!$A:$Z,17,FALSE)+VLOOKUP($A182,A:AL,25,FALSE)-50))</f>
        <v>-</v>
      </c>
      <c r="Y182" s="3" t="s">
        <v>23</v>
      </c>
      <c r="Z182" s="3" t="str">
        <f>IF(ISERROR(VLOOKUP($A182,'SegEnds_NonXtal_BW#'!$A:$Z,18,FALSE)+VLOOKUP($A182,A:AL,25,FALSE)-50),"-",(VLOOKUP($A182,'SegEnds_NonXtal_BW#'!$A:$Z,18,FALSE)+VLOOKUP($A182,A:AL,25,FALSE)-50))</f>
        <v>-</v>
      </c>
      <c r="AA182" s="3">
        <f>IF(ISERROR(VLOOKUP($A182,'SegEnds_NonXtal_BW#'!$A:$Z,19,FALSE)+VLOOKUP($A182,A:AL,28,FALSE)-50),"-",(VLOOKUP($A182,'SegEnds_NonXtal_BW#'!$A:$Z,19,FALSE)+VLOOKUP($A182,A:AL,28,FALSE)-50))</f>
        <v>192</v>
      </c>
      <c r="AB182" s="3">
        <v>211</v>
      </c>
      <c r="AC182" s="3">
        <f>IF(ISERROR((VLOOKUP($A182,'SegEnds_NonXtal_BW#'!$A:$Z,20,FALSE)+VLOOKUP($A182,A:AL,28,FALSE)-50)),"-",(VLOOKUP($A182,'SegEnds_NonXtal_BW#'!$A:$Z,20,FALSE)+VLOOKUP($A182,A:AL,28,FALSE)-50))</f>
        <v>229</v>
      </c>
      <c r="AD182" s="3">
        <f>IF(ISERROR(VLOOKUP($A182,'SegEnds_NonXtal_BW#'!$A:$Z,21,FALSE)+VLOOKUP($A182,A:AL,31,FALSE)-50),"-",(VLOOKUP($A182,'SegEnds_NonXtal_BW#'!$A:$Z,21,FALSE)+VLOOKUP($A182,A:AL,31,FALSE)-50))</f>
        <v>234</v>
      </c>
      <c r="AE182" s="3">
        <v>254</v>
      </c>
      <c r="AF182" s="3">
        <f>IF(ISERROR((VLOOKUP($A182,'SegEnds_NonXtal_BW#'!$A:$Z,22,FALSE)+VLOOKUP($A182,A:AL,31,FALSE)-50)),"-",(VLOOKUP($A182,'SegEnds_NonXtal_BW#'!$A:$Z,22,FALSE)+VLOOKUP($A182,A:AL,31,FALSE)-50))</f>
        <v>265</v>
      </c>
      <c r="AG182" s="3">
        <f>IF(ISERROR(VLOOKUP($A182,'SegEnds_NonXtal_BW#'!$A:$Z,23,FALSE)+VLOOKUP($A182,A:AL,34,FALSE)-50),"-",(VLOOKUP($A182,'SegEnds_NonXtal_BW#'!$A:$Z,23,FALSE)+VLOOKUP($A182,A:AL,34,FALSE)-50))</f>
        <v>270</v>
      </c>
      <c r="AH182" s="3">
        <v>288</v>
      </c>
      <c r="AI182" s="3">
        <f>IF(ISERROR((VLOOKUP($A182,'SegEnds_NonXtal_BW#'!$A:$Z,24,FALSE)+VLOOKUP($A182,A:AL,34,FALSE)-50)),"-",(VLOOKUP($A182,'SegEnds_NonXtal_BW#'!$A:$Z,24,FALSE)+VLOOKUP($A182,A:AL,34,FALSE)-50))</f>
        <v>294</v>
      </c>
      <c r="AJ182" s="3">
        <f>IF(ISERROR(VLOOKUP($A182,'SegEnds_NonXtal_BW#'!$A:$Z,25,FALSE)+VLOOKUP($A182,A:AL,37,FALSE)-50),"-",(VLOOKUP($A182,'SegEnds_NonXtal_BW#'!$A:$Z,25,FALSE)+VLOOKUP($A182,A:AL,37,FALSE)-50))</f>
        <v>295</v>
      </c>
      <c r="AK182" s="3">
        <v>298</v>
      </c>
      <c r="AL182" s="3">
        <f>IF(ISERROR((VLOOKUP($A182,'SegEnds_NonXtal_BW#'!$A:$Z,26,FALSE)+VLOOKUP($A182,A:AL,37,FALSE)-50)),"-",(VLOOKUP($A182,'SegEnds_NonXtal_BW#'!$A:$Z,26,FALSE)+VLOOKUP($A182,A:AL,37,FALSE)-50))</f>
        <v>304</v>
      </c>
      <c r="AM182" s="28" t="str">
        <f>VLOOKUP(A182,Classification!A:B,2,FALSE)</f>
        <v>A</v>
      </c>
      <c r="AN182" s="28" t="b">
        <f t="shared" si="98"/>
        <v>1</v>
      </c>
      <c r="AO182" s="3" t="str">
        <f>IF(ISERROR(MATCH(A182,'SegEnds_Xtal_Prot#'!B:B, 0)), "NoXtal", "Xtal")</f>
        <v>NoXtal</v>
      </c>
      <c r="AP182" s="3" t="str">
        <f t="shared" si="81"/>
        <v>-</v>
      </c>
      <c r="AQ182" s="3" t="str">
        <f t="shared" si="82"/>
        <v>-</v>
      </c>
      <c r="AR182" s="3" t="str">
        <f t="shared" si="83"/>
        <v>-</v>
      </c>
      <c r="AS182" s="3" t="str">
        <f t="shared" si="84"/>
        <v>-</v>
      </c>
      <c r="AT182" s="3">
        <f t="shared" si="85"/>
        <v>1</v>
      </c>
      <c r="AU182" s="3">
        <f t="shared" si="86"/>
        <v>1</v>
      </c>
      <c r="AV182" s="3" t="str">
        <f t="shared" si="87"/>
        <v>-</v>
      </c>
      <c r="AW182" s="3" t="str">
        <f t="shared" si="88"/>
        <v>-</v>
      </c>
      <c r="AX182" s="3">
        <f t="shared" si="89"/>
        <v>5</v>
      </c>
      <c r="AY182" s="3">
        <f t="shared" si="90"/>
        <v>5</v>
      </c>
      <c r="AZ182" s="3">
        <f t="shared" si="91"/>
        <v>1</v>
      </c>
      <c r="BA182" s="3">
        <f>IF(ISERROR(LEN(VLOOKUP(A182,Seqs!A:E,2,FALSE))-AL182),"-",LEN(VLOOKUP(A182,Seqs!A:E,2,FALSE))-AL182)</f>
        <v>39</v>
      </c>
      <c r="BB182" s="16">
        <f t="shared" si="92"/>
        <v>27</v>
      </c>
      <c r="BC182" s="9">
        <f t="shared" si="93"/>
        <v>20</v>
      </c>
      <c r="BD182" s="3">
        <f t="shared" si="94"/>
        <v>27</v>
      </c>
      <c r="BE182" s="3">
        <f t="shared" si="95"/>
        <v>43</v>
      </c>
    </row>
    <row r="183" spans="1:58" s="3" customFormat="1" x14ac:dyDescent="0.2">
      <c r="A183" s="3" t="s">
        <v>304</v>
      </c>
      <c r="B183" s="3" t="str">
        <f>LOWER(VLOOKUP(A183,Xtal_Templ!A:B,2,FALSE))</f>
        <v>pd2r2_human</v>
      </c>
      <c r="C183" s="3">
        <f>VLOOKUP($A183,'SegEnds_NonXtal_BW#'!$A:$Z,3,FALSE)+D183-50</f>
        <v>12</v>
      </c>
      <c r="D183" s="3">
        <v>30</v>
      </c>
      <c r="E183" s="3">
        <f>IF(ISERROR(VLOOKUP($A183,'SegEnds_NonXtal_BW#'!$A:$Z,4,FALSE)+VLOOKUP($A183,A:AL,4,FALSE)-50),"-",(VLOOKUP($A183,'SegEnds_NonXtal_BW#'!$A:$Z,4,FALSE)+VLOOKUP($A183,A:AL,4,FALSE)-50))</f>
        <v>40</v>
      </c>
      <c r="F183" s="3" t="str">
        <f>IF(ISERROR(VLOOKUP($A183,'SegEnds_NonXtal_BW#'!$A:$Z,5,FALSE)+VLOOKUP($A183,A:AL,7,FALSE)-50),"-",(VLOOKUP($A183,'SegEnds_NonXtal_BW#'!$A:$Z,5,FALSE)+VLOOKUP($A183,A:AL,7,FALSE)-50))</f>
        <v>-</v>
      </c>
      <c r="G183" s="3" t="s">
        <v>23</v>
      </c>
      <c r="H183" s="3" t="str">
        <f>IF(ISERROR(VLOOKUP($A183,'SegEnds_NonXtal_BW#'!$A:$Z,6,FALSE)+VLOOKUP($A183,A:AL,7,FALSE)-50),"-",(VLOOKUP($A183,'SegEnds_NonXtal_BW#'!$A:$Z,6,FALSE)+VLOOKUP($A183,A:AL,7,FALSE)-50))</f>
        <v>-</v>
      </c>
      <c r="I183" s="3">
        <f>VLOOKUP($A183,'SegEnds_NonXtal_BW#'!$A:$Z,7,FALSE)+J183-50</f>
        <v>44</v>
      </c>
      <c r="J183" s="3">
        <v>57</v>
      </c>
      <c r="K183" s="3">
        <f>VLOOKUP($A183,'SegEnds_NonXtal_BW#'!$A:$Z,8,FALSE)+VLOOKUP($A183,A:AL,10,FALSE)-50</f>
        <v>70</v>
      </c>
      <c r="L183" s="3" t="str">
        <f>IF(ISERROR(VLOOKUP($A183,'SegEnds_NonXtal_BW#'!$A:$Z,9,FALSE)+VLOOKUP($A183,A:AL,13,FALSE)-50),"-",(VLOOKUP($A183,'SegEnds_NonXtal_BW#'!$A:$Z,9,FALSE)+VLOOKUP($A183,A:AL,13,FALSE)-50))</f>
        <v>-</v>
      </c>
      <c r="M183" s="3" t="s">
        <v>23</v>
      </c>
      <c r="N183" s="3" t="str">
        <f>IF(ISERROR(VLOOKUP($A183,'SegEnds_NonXtal_BW#'!$A:$Z,10,FALSE)+VLOOKUP($A183,A:AL,13,FALSE)-50),"-",(VLOOKUP($A183,'SegEnds_NonXtal_BW#'!$A:$Z,10,FALSE)+VLOOKUP($A183,A:AL,13,FALSE)-50))</f>
        <v>-</v>
      </c>
      <c r="O183" s="3">
        <f>VLOOKUP($A183,'SegEnds_NonXtal_BW#'!$A:$Z,11,FALSE)+VLOOKUP($A183,A:AL,16,FALSE)-50</f>
        <v>77</v>
      </c>
      <c r="P183" s="3">
        <v>103</v>
      </c>
      <c r="Q183" s="3">
        <f>VLOOKUP($A183,'SegEnds_NonXtal_BW#'!$A:$Z,12,FALSE)+VLOOKUP($A183,A:AL,16,FALSE)-50</f>
        <v>109</v>
      </c>
      <c r="R183" s="3">
        <f>IF(ISERROR(VLOOKUP($A183,'SegEnds_NonXtal_BW#'!$A:$Z,13,FALSE)+VLOOKUP($A183,A:AL,19,FALSE)-50),"-",VLOOKUP($A183,'SegEnds_NonXtal_BW#'!$A:$Z,13,FALSE)+VLOOKUP($A183,A:AL,19,FALSE)-50)</f>
        <v>110</v>
      </c>
      <c r="S183" s="3">
        <v>110</v>
      </c>
      <c r="T183" s="100">
        <f>IF(ISERROR(VLOOKUP($A183,'SegEnds_NonXtal_BW#'!$A:$Z,14,FALSE)+VLOOKUP($A183,A:AL,19,FALSE)-50),"-",(VLOOKUP($A183,'SegEnds_NonXtal_BW#'!$A:$Z,14,FALSE)+VLOOKUP($A183,A:AL,19,FALSE)-50))</f>
        <v>117</v>
      </c>
      <c r="U183" s="9">
        <f>IF(ISERROR(VLOOKUP($A183,'SegEnds_NonXtal_BW#'!$A:$Z,15,FALSE)+VLOOKUP($A183,A:AL,22,FALSE)-50),"-",VLOOKUP($A183,'SegEnds_NonXtal_BW#'!$A:$Z,15,FALSE)+VLOOKUP($A183,A:AL,22,FALSE)-50)</f>
        <v>118</v>
      </c>
      <c r="V183" s="3">
        <v>130</v>
      </c>
      <c r="W183" s="3">
        <f>IF(ISERROR(VLOOKUP($A183,'SegEnds_NonXtal_BW#'!$A:$Z,16,FALSE)+VLOOKUP($A183,A:AL,22,FALSE)-50),"-",(VLOOKUP($A183,'SegEnds_NonXtal_BW#'!$A:$Z,16,FALSE)+VLOOKUP($A183,A:AL,22,FALSE)-50))</f>
        <v>144</v>
      </c>
      <c r="X183" s="3" t="str">
        <f>IF(ISERROR(VLOOKUP($A183,'SegEnds_NonXtal_BW#'!$A:$Z,17,FALSE)+VLOOKUP($A183,A:AL,25,FALSE)-50),"-",(VLOOKUP($A183,'SegEnds_NonXtal_BW#'!$A:$Z,17,FALSE)+VLOOKUP($A183,A:AL,25,FALSE)-50))</f>
        <v>-</v>
      </c>
      <c r="Y183" s="3" t="s">
        <v>23</v>
      </c>
      <c r="Z183" s="3" t="str">
        <f>IF(ISERROR(VLOOKUP($A183,'SegEnds_NonXtal_BW#'!$A:$Z,18,FALSE)+VLOOKUP($A183,A:AL,25,FALSE)-50),"-",(VLOOKUP($A183,'SegEnds_NonXtal_BW#'!$A:$Z,18,FALSE)+VLOOKUP($A183,A:AL,25,FALSE)-50))</f>
        <v>-</v>
      </c>
      <c r="AA183" s="3">
        <f>IF(ISERROR(VLOOKUP($A183,'SegEnds_NonXtal_BW#'!$A:$Z,19,FALSE)+VLOOKUP($A183,A:AL,28,FALSE)-50),"-",(VLOOKUP($A183,'SegEnds_NonXtal_BW#'!$A:$Z,19,FALSE)+VLOOKUP($A183,A:AL,28,FALSE)-50))</f>
        <v>148</v>
      </c>
      <c r="AB183" s="3">
        <v>172</v>
      </c>
      <c r="AC183" s="3">
        <f>IF(ISERROR((VLOOKUP($A183,'SegEnds_NonXtal_BW#'!$A:$Z,20,FALSE)+VLOOKUP($A183,A:AL,28,FALSE)-50)),"-",(VLOOKUP($A183,'SegEnds_NonXtal_BW#'!$A:$Z,20,FALSE)+VLOOKUP($A183,A:AL,28,FALSE)-50))</f>
        <v>189</v>
      </c>
      <c r="AD183" s="3">
        <f>IF(ISERROR(VLOOKUP($A183,'SegEnds_NonXtal_BW#'!$A:$Z,21,FALSE)+VLOOKUP($A183,A:AL,31,FALSE)-50),"-",(VLOOKUP($A183,'SegEnds_NonXtal_BW#'!$A:$Z,21,FALSE)+VLOOKUP($A183,A:AL,31,FALSE)-50))</f>
        <v>193</v>
      </c>
      <c r="AE183" s="3">
        <v>213</v>
      </c>
      <c r="AF183" s="3">
        <f>IF(ISERROR((VLOOKUP($A183,'SegEnds_NonXtal_BW#'!$A:$Z,22,FALSE)+VLOOKUP($A183,A:AL,31,FALSE)-50)),"-",(VLOOKUP($A183,'SegEnds_NonXtal_BW#'!$A:$Z,22,FALSE)+VLOOKUP($A183,A:AL,31,FALSE)-50))</f>
        <v>224</v>
      </c>
      <c r="AG183" s="3">
        <f>IF(ISERROR(VLOOKUP($A183,'SegEnds_NonXtal_BW#'!$A:$Z,23,FALSE)+VLOOKUP($A183,A:AL,34,FALSE)-50),"-",(VLOOKUP($A183,'SegEnds_NonXtal_BW#'!$A:$Z,23,FALSE)+VLOOKUP($A183,A:AL,34,FALSE)-50))</f>
        <v>229</v>
      </c>
      <c r="AH183" s="3">
        <v>247</v>
      </c>
      <c r="AI183" s="3">
        <f>IF(ISERROR((VLOOKUP($A183,'SegEnds_NonXtal_BW#'!$A:$Z,24,FALSE)+VLOOKUP($A183,A:AL,34,FALSE)-50)),"-",(VLOOKUP($A183,'SegEnds_NonXtal_BW#'!$A:$Z,24,FALSE)+VLOOKUP($A183,A:AL,34,FALSE)-50))</f>
        <v>253</v>
      </c>
      <c r="AJ183" s="3">
        <f>IF(ISERROR(VLOOKUP($A183,'SegEnds_NonXtal_BW#'!$A:$Z,25,FALSE)+VLOOKUP($A183,A:AL,37,FALSE)-50),"-",(VLOOKUP($A183,'SegEnds_NonXtal_BW#'!$A:$Z,25,FALSE)+VLOOKUP($A183,A:AL,37,FALSE)-50))</f>
        <v>254</v>
      </c>
      <c r="AK183" s="3">
        <v>257</v>
      </c>
      <c r="AL183" s="3">
        <f>IF(ISERROR((VLOOKUP($A183,'SegEnds_NonXtal_BW#'!$A:$Z,26,FALSE)+VLOOKUP($A183,A:AL,37,FALSE)-50)),"-",(VLOOKUP($A183,'SegEnds_NonXtal_BW#'!$A:$Z,26,FALSE)+VLOOKUP($A183,A:AL,37,FALSE)-50))</f>
        <v>271</v>
      </c>
      <c r="AM183" s="28" t="str">
        <f>VLOOKUP(A183,Classification!A:B,2,FALSE)</f>
        <v>A</v>
      </c>
      <c r="AN183" s="28" t="b">
        <f t="shared" si="98"/>
        <v>1</v>
      </c>
      <c r="AO183" s="3" t="str">
        <f>IF(ISERROR(MATCH(A183,'SegEnds_Xtal_Prot#'!B:B, 0)), "NoXtal", "Xtal")</f>
        <v>NoXtal</v>
      </c>
      <c r="AP183" s="3" t="str">
        <f t="shared" si="81"/>
        <v>-</v>
      </c>
      <c r="AQ183" s="3" t="str">
        <f t="shared" si="82"/>
        <v>-</v>
      </c>
      <c r="AR183" s="3" t="str">
        <f t="shared" si="83"/>
        <v>-</v>
      </c>
      <c r="AS183" s="3" t="str">
        <f t="shared" si="84"/>
        <v>-</v>
      </c>
      <c r="AT183" s="3">
        <f t="shared" si="85"/>
        <v>1</v>
      </c>
      <c r="AU183" s="3">
        <f t="shared" si="86"/>
        <v>1</v>
      </c>
      <c r="AV183" s="3" t="str">
        <f t="shared" si="87"/>
        <v>-</v>
      </c>
      <c r="AW183" s="3" t="str">
        <f t="shared" si="88"/>
        <v>-</v>
      </c>
      <c r="AX183" s="3">
        <f t="shared" si="89"/>
        <v>4</v>
      </c>
      <c r="AY183" s="3">
        <f t="shared" si="90"/>
        <v>5</v>
      </c>
      <c r="AZ183" s="3">
        <f t="shared" si="91"/>
        <v>1</v>
      </c>
      <c r="BA183" s="3">
        <f>IF(ISERROR(LEN(VLOOKUP(A183,Seqs!A:E,2,FALSE))-AL183),"-",LEN(VLOOKUP(A183,Seqs!A:E,2,FALSE))-AL183)</f>
        <v>18</v>
      </c>
      <c r="BB183" s="16">
        <f t="shared" si="92"/>
        <v>27</v>
      </c>
      <c r="BC183" s="9">
        <f t="shared" si="93"/>
        <v>20</v>
      </c>
      <c r="BD183" s="3">
        <f t="shared" si="94"/>
        <v>27</v>
      </c>
      <c r="BE183" s="3">
        <f t="shared" si="95"/>
        <v>41</v>
      </c>
      <c r="BF183" s="3">
        <f>AH183-AE183</f>
        <v>34</v>
      </c>
    </row>
    <row r="184" spans="1:58" s="3" customFormat="1" x14ac:dyDescent="0.2">
      <c r="A184" s="3" t="s">
        <v>305</v>
      </c>
      <c r="B184" s="3" t="str">
        <f>LOWER(VLOOKUP(A184,Xtal_Templ!A:B,2,FALSE))</f>
        <v>agtr1_human</v>
      </c>
      <c r="C184" s="3">
        <f>VLOOKUP($A184,'SegEnds_NonXtal_BW#'!$A:$Z,3,FALSE)+D184-50</f>
        <v>23</v>
      </c>
      <c r="D184" s="3">
        <v>45</v>
      </c>
      <c r="E184" s="3">
        <f>IF(ISERROR(VLOOKUP($A184,'SegEnds_NonXtal_BW#'!$A:$Z,4,FALSE)+VLOOKUP($A184,A:AL,4,FALSE)-50),"-",(VLOOKUP($A184,'SegEnds_NonXtal_BW#'!$A:$Z,4,FALSE)+VLOOKUP($A184,A:AL,4,FALSE)-50))</f>
        <v>55</v>
      </c>
      <c r="F184" s="3" t="str">
        <f>IF(ISERROR(VLOOKUP($A184,'SegEnds_NonXtal_BW#'!$A:$Z,5,FALSE)+VLOOKUP($A184,A:AL,7,FALSE)-50),"-",(VLOOKUP($A184,'SegEnds_NonXtal_BW#'!$A:$Z,5,FALSE)+VLOOKUP($A184,A:AL,7,FALSE)-50))</f>
        <v>-</v>
      </c>
      <c r="G184" s="3" t="s">
        <v>23</v>
      </c>
      <c r="H184" s="3" t="str">
        <f>IF(ISERROR(VLOOKUP($A184,'SegEnds_NonXtal_BW#'!$A:$Z,6,FALSE)+VLOOKUP($A184,A:AL,7,FALSE)-50),"-",(VLOOKUP($A184,'SegEnds_NonXtal_BW#'!$A:$Z,6,FALSE)+VLOOKUP($A184,A:AL,7,FALSE)-50))</f>
        <v>-</v>
      </c>
      <c r="I184" s="3">
        <f>VLOOKUP($A184,'SegEnds_NonXtal_BW#'!$A:$Z,7,FALSE)+J184-50</f>
        <v>59</v>
      </c>
      <c r="J184" s="3">
        <v>72</v>
      </c>
      <c r="K184" s="3">
        <f>VLOOKUP($A184,'SegEnds_NonXtal_BW#'!$A:$Z,8,FALSE)+VLOOKUP($A184,A:AL,10,FALSE)-50</f>
        <v>88</v>
      </c>
      <c r="L184" s="3" t="str">
        <f>IF(ISERROR(VLOOKUP($A184,'SegEnds_NonXtal_BW#'!$A:$Z,9,FALSE)+VLOOKUP($A184,A:AL,13,FALSE)-50),"-",(VLOOKUP($A184,'SegEnds_NonXtal_BW#'!$A:$Z,9,FALSE)+VLOOKUP($A184,A:AL,13,FALSE)-50))</f>
        <v>-</v>
      </c>
      <c r="M184" s="3" t="s">
        <v>23</v>
      </c>
      <c r="N184" s="3" t="str">
        <f>IF(ISERROR(VLOOKUP($A184,'SegEnds_NonXtal_BW#'!$A:$Z,10,FALSE)+VLOOKUP($A184,A:AL,13,FALSE)-50),"-",(VLOOKUP($A184,'SegEnds_NonXtal_BW#'!$A:$Z,10,FALSE)+VLOOKUP($A184,A:AL,13,FALSE)-50))</f>
        <v>-</v>
      </c>
      <c r="O184" s="3">
        <f>VLOOKUP($A184,'SegEnds_NonXtal_BW#'!$A:$Z,11,FALSE)+VLOOKUP($A184,A:AL,16,FALSE)-50</f>
        <v>94</v>
      </c>
      <c r="P184" s="3">
        <v>120</v>
      </c>
      <c r="Q184" s="3">
        <f>VLOOKUP($A184,'SegEnds_NonXtal_BW#'!$A:$Z,12,FALSE)+VLOOKUP($A184,A:AL,16,FALSE)-50</f>
        <v>126</v>
      </c>
      <c r="R184" s="3">
        <f>IF(ISERROR(VLOOKUP($A184,'SegEnds_NonXtal_BW#'!$A:$Z,13,FALSE)+VLOOKUP($A184,A:AL,19,FALSE)-50),"-",VLOOKUP($A184,'SegEnds_NonXtal_BW#'!$A:$Z,13,FALSE)+VLOOKUP($A184,A:AL,19,FALSE)-50)</f>
        <v>127</v>
      </c>
      <c r="S184" s="3">
        <v>127</v>
      </c>
      <c r="T184" s="100">
        <f>IF(ISERROR(VLOOKUP($A184,'SegEnds_NonXtal_BW#'!$A:$Z,14,FALSE)+VLOOKUP($A184,A:AL,19,FALSE)-50),"-",(VLOOKUP($A184,'SegEnds_NonXtal_BW#'!$A:$Z,14,FALSE)+VLOOKUP($A184,A:AL,19,FALSE)-50))</f>
        <v>134</v>
      </c>
      <c r="U184" s="9">
        <f>IF(ISERROR(VLOOKUP($A184,'SegEnds_NonXtal_BW#'!$A:$Z,15,FALSE)+VLOOKUP($A184,A:AL,22,FALSE)-50),"-",VLOOKUP($A184,'SegEnds_NonXtal_BW#'!$A:$Z,15,FALSE)+VLOOKUP($A184,A:AL,22,FALSE)-50)</f>
        <v>135</v>
      </c>
      <c r="V184" s="3">
        <v>147</v>
      </c>
      <c r="W184" s="3">
        <f>IF(ISERROR(VLOOKUP($A184,'SegEnds_NonXtal_BW#'!$A:$Z,16,FALSE)+VLOOKUP($A184,A:AL,22,FALSE)-50),"-",(VLOOKUP($A184,'SegEnds_NonXtal_BW#'!$A:$Z,16,FALSE)+VLOOKUP($A184,A:AL,22,FALSE)-50))</f>
        <v>161</v>
      </c>
      <c r="X184" s="3" t="str">
        <f>IF(ISERROR(VLOOKUP($A184,'SegEnds_NonXtal_BW#'!$A:$Z,17,FALSE)+VLOOKUP($A184,A:AL,25,FALSE)-50),"-",(VLOOKUP($A184,'SegEnds_NonXtal_BW#'!$A:$Z,17,FALSE)+VLOOKUP($A184,A:AL,25,FALSE)-50))</f>
        <v>-</v>
      </c>
      <c r="Y184" s="3" t="s">
        <v>23</v>
      </c>
      <c r="Z184" s="3" t="str">
        <f>IF(ISERROR(VLOOKUP($A184,'SegEnds_NonXtal_BW#'!$A:$Z,18,FALSE)+VLOOKUP($A184,A:AL,25,FALSE)-50),"-",(VLOOKUP($A184,'SegEnds_NonXtal_BW#'!$A:$Z,18,FALSE)+VLOOKUP($A184,A:AL,25,FALSE)-50))</f>
        <v>-</v>
      </c>
      <c r="AA184" s="3">
        <f>IF(ISERROR(VLOOKUP($A184,'SegEnds_NonXtal_BW#'!$A:$Z,19,FALSE)+VLOOKUP($A184,A:AL,28,FALSE)-50),"-",(VLOOKUP($A184,'SegEnds_NonXtal_BW#'!$A:$Z,19,FALSE)+VLOOKUP($A184,A:AL,28,FALSE)-50))</f>
        <v>173</v>
      </c>
      <c r="AB184" s="3">
        <v>189</v>
      </c>
      <c r="AC184" s="3">
        <f>IF(ISERROR((VLOOKUP($A184,'SegEnds_NonXtal_BW#'!$A:$Z,20,FALSE)+VLOOKUP($A184,A:AL,28,FALSE)-50)),"-",(VLOOKUP($A184,'SegEnds_NonXtal_BW#'!$A:$Z,20,FALSE)+VLOOKUP($A184,A:AL,28,FALSE)-50))</f>
        <v>207</v>
      </c>
      <c r="AD184" s="3">
        <f>IF(ISERROR(VLOOKUP($A184,'SegEnds_NonXtal_BW#'!$A:$Z,21,FALSE)+VLOOKUP($A184,A:AL,31,FALSE)-50),"-",(VLOOKUP($A184,'SegEnds_NonXtal_BW#'!$A:$Z,21,FALSE)+VLOOKUP($A184,A:AL,31,FALSE)-50))</f>
        <v>211</v>
      </c>
      <c r="AE184" s="3">
        <v>231</v>
      </c>
      <c r="AF184" s="3">
        <f>IF(ISERROR((VLOOKUP($A184,'SegEnds_NonXtal_BW#'!$A:$Z,22,FALSE)+VLOOKUP($A184,A:AL,31,FALSE)-50)),"-",(VLOOKUP($A184,'SegEnds_NonXtal_BW#'!$A:$Z,22,FALSE)+VLOOKUP($A184,A:AL,31,FALSE)-50))</f>
        <v>242</v>
      </c>
      <c r="AG184" s="3">
        <f>IF(ISERROR(VLOOKUP($A184,'SegEnds_NonXtal_BW#'!$A:$Z,23,FALSE)+VLOOKUP($A184,A:AL,34,FALSE)-50),"-",(VLOOKUP($A184,'SegEnds_NonXtal_BW#'!$A:$Z,23,FALSE)+VLOOKUP($A184,A:AL,34,FALSE)-50))</f>
        <v>244</v>
      </c>
      <c r="AH184" s="3">
        <v>269</v>
      </c>
      <c r="AI184" s="3">
        <f>IF(ISERROR((VLOOKUP($A184,'SegEnds_NonXtal_BW#'!$A:$Z,24,FALSE)+VLOOKUP($A184,A:AL,34,FALSE)-50)),"-",(VLOOKUP($A184,'SegEnds_NonXtal_BW#'!$A:$Z,24,FALSE)+VLOOKUP($A184,A:AL,34,FALSE)-50))</f>
        <v>275</v>
      </c>
      <c r="AJ184" s="3">
        <f>IF(ISERROR(VLOOKUP($A184,'SegEnds_NonXtal_BW#'!$A:$Z,25,FALSE)+VLOOKUP($A184,A:AL,37,FALSE)-50),"-",(VLOOKUP($A184,'SegEnds_NonXtal_BW#'!$A:$Z,25,FALSE)+VLOOKUP($A184,A:AL,37,FALSE)-50))</f>
        <v>276</v>
      </c>
      <c r="AK184" s="3">
        <v>279</v>
      </c>
      <c r="AL184" s="3">
        <f>IF(ISERROR((VLOOKUP($A184,'SegEnds_NonXtal_BW#'!$A:$Z,26,FALSE)+VLOOKUP($A184,A:AL,37,FALSE)-50)),"-",(VLOOKUP($A184,'SegEnds_NonXtal_BW#'!$A:$Z,26,FALSE)+VLOOKUP($A184,A:AL,37,FALSE)-50))</f>
        <v>290</v>
      </c>
      <c r="AM184" s="28" t="str">
        <f>VLOOKUP(A184,Classification!A:B,2,FALSE)</f>
        <v>A</v>
      </c>
      <c r="AN184" s="28" t="b">
        <f t="shared" si="98"/>
        <v>1</v>
      </c>
      <c r="AO184" s="3" t="str">
        <f>IF(ISERROR(MATCH(A184,'SegEnds_Xtal_Prot#'!B:B, 0)), "NoXtal", "Xtal")</f>
        <v>NoXtal</v>
      </c>
      <c r="AP184" s="3" t="str">
        <f t="shared" si="81"/>
        <v>-</v>
      </c>
      <c r="AQ184" s="3" t="str">
        <f t="shared" si="82"/>
        <v>-</v>
      </c>
      <c r="AR184" s="3" t="str">
        <f t="shared" si="83"/>
        <v>-</v>
      </c>
      <c r="AS184" s="3" t="str">
        <f t="shared" si="84"/>
        <v>-</v>
      </c>
      <c r="AT184" s="3">
        <f t="shared" si="85"/>
        <v>1</v>
      </c>
      <c r="AU184" s="3">
        <f t="shared" si="86"/>
        <v>1</v>
      </c>
      <c r="AV184" s="3" t="str">
        <f t="shared" si="87"/>
        <v>-</v>
      </c>
      <c r="AW184" s="3" t="str">
        <f t="shared" si="88"/>
        <v>-</v>
      </c>
      <c r="AX184" s="3">
        <f t="shared" si="89"/>
        <v>4</v>
      </c>
      <c r="AY184" s="3">
        <f t="shared" si="90"/>
        <v>2</v>
      </c>
      <c r="AZ184" s="3">
        <f t="shared" si="91"/>
        <v>1</v>
      </c>
      <c r="BA184" s="3">
        <f>IF(ISERROR(LEN(VLOOKUP(A184,Seqs!A:E,2,FALSE))-AL184),"-",LEN(VLOOKUP(A184,Seqs!A:E,2,FALSE))-AL184)</f>
        <v>32</v>
      </c>
      <c r="BB184" s="16">
        <f t="shared" si="92"/>
        <v>27</v>
      </c>
      <c r="BC184" s="9">
        <f t="shared" si="93"/>
        <v>20</v>
      </c>
      <c r="BD184" s="3">
        <f t="shared" si="94"/>
        <v>27</v>
      </c>
      <c r="BE184" s="3">
        <f t="shared" si="95"/>
        <v>42</v>
      </c>
    </row>
    <row r="185" spans="1:58" s="3" customFormat="1" x14ac:dyDescent="0.2">
      <c r="A185" s="3" t="s">
        <v>306</v>
      </c>
      <c r="B185" s="3" t="str">
        <f>LOWER(VLOOKUP(A185,Xtal_Templ!A:B,2,FALSE))</f>
        <v>c5ar1_human</v>
      </c>
      <c r="C185" s="3">
        <f>VLOOKUP($A185,'SegEnds_NonXtal_BW#'!$A:$Z,3,FALSE)+D185-50</f>
        <v>27</v>
      </c>
      <c r="D185" s="3">
        <v>48</v>
      </c>
      <c r="E185" s="3">
        <f>IF(ISERROR(VLOOKUP($A185,'SegEnds_NonXtal_BW#'!$A:$Z,4,FALSE)+VLOOKUP($A185,A:AL,4,FALSE)-50),"-",(VLOOKUP($A185,'SegEnds_NonXtal_BW#'!$A:$Z,4,FALSE)+VLOOKUP($A185,A:AL,4,FALSE)-50))</f>
        <v>58</v>
      </c>
      <c r="F185" s="3" t="str">
        <f>IF(ISERROR(VLOOKUP($A185,'SegEnds_NonXtal_BW#'!$A:$Z,5,FALSE)+VLOOKUP($A185,A:AL,7,FALSE)-50),"-",(VLOOKUP($A185,'SegEnds_NonXtal_BW#'!$A:$Z,5,FALSE)+VLOOKUP($A185,A:AL,7,FALSE)-50))</f>
        <v>-</v>
      </c>
      <c r="G185" s="3" t="s">
        <v>23</v>
      </c>
      <c r="H185" s="3" t="str">
        <f>IF(ISERROR(VLOOKUP($A185,'SegEnds_NonXtal_BW#'!$A:$Z,6,FALSE)+VLOOKUP($A185,A:AL,7,FALSE)-50),"-",(VLOOKUP($A185,'SegEnds_NonXtal_BW#'!$A:$Z,6,FALSE)+VLOOKUP($A185,A:AL,7,FALSE)-50))</f>
        <v>-</v>
      </c>
      <c r="I185" s="3">
        <f>VLOOKUP($A185,'SegEnds_NonXtal_BW#'!$A:$Z,7,FALSE)+J185-50</f>
        <v>62</v>
      </c>
      <c r="J185" s="3">
        <v>75</v>
      </c>
      <c r="K185" s="3">
        <f>VLOOKUP($A185,'SegEnds_NonXtal_BW#'!$A:$Z,8,FALSE)+VLOOKUP($A185,A:AL,10,FALSE)-50</f>
        <v>92</v>
      </c>
      <c r="L185" s="3" t="str">
        <f>IF(ISERROR(VLOOKUP($A185,'SegEnds_NonXtal_BW#'!$A:$Z,9,FALSE)+VLOOKUP($A185,A:AL,13,FALSE)-50),"-",(VLOOKUP($A185,'SegEnds_NonXtal_BW#'!$A:$Z,9,FALSE)+VLOOKUP($A185,A:AL,13,FALSE)-50))</f>
        <v>-</v>
      </c>
      <c r="M185" s="3" t="s">
        <v>23</v>
      </c>
      <c r="N185" s="3" t="str">
        <f>IF(ISERROR(VLOOKUP($A185,'SegEnds_NonXtal_BW#'!$A:$Z,10,FALSE)+VLOOKUP($A185,A:AL,13,FALSE)-50),"-",(VLOOKUP($A185,'SegEnds_NonXtal_BW#'!$A:$Z,10,FALSE)+VLOOKUP($A185,A:AL,13,FALSE)-50))</f>
        <v>-</v>
      </c>
      <c r="O185" s="3">
        <f>VLOOKUP($A185,'SegEnds_NonXtal_BW#'!$A:$Z,11,FALSE)+VLOOKUP($A185,A:AL,16,FALSE)-50</f>
        <v>98</v>
      </c>
      <c r="P185" s="3">
        <v>127</v>
      </c>
      <c r="Q185" s="3">
        <f>VLOOKUP($A185,'SegEnds_NonXtal_BW#'!$A:$Z,12,FALSE)+VLOOKUP($A185,A:AL,16,FALSE)-50</f>
        <v>133</v>
      </c>
      <c r="R185" s="3">
        <f>IF(ISERROR(VLOOKUP($A185,'SegEnds_NonXtal_BW#'!$A:$Z,13,FALSE)+VLOOKUP($A185,A:AL,19,FALSE)-50),"-",VLOOKUP($A185,'SegEnds_NonXtal_BW#'!$A:$Z,13,FALSE)+VLOOKUP($A185,A:AL,19,FALSE)-50)</f>
        <v>134</v>
      </c>
      <c r="S185" s="3">
        <v>134</v>
      </c>
      <c r="T185" s="100">
        <f>IF(ISERROR(VLOOKUP($A185,'SegEnds_NonXtal_BW#'!$A:$Z,14,FALSE)+VLOOKUP($A185,A:AL,19,FALSE)-50),"-",(VLOOKUP($A185,'SegEnds_NonXtal_BW#'!$A:$Z,14,FALSE)+VLOOKUP($A185,A:AL,19,FALSE)-50))</f>
        <v>141</v>
      </c>
      <c r="U185" s="9">
        <f>IF(ISERROR(VLOOKUP($A185,'SegEnds_NonXtal_BW#'!$A:$Z,15,FALSE)+VLOOKUP($A185,A:AL,22,FALSE)-50),"-",VLOOKUP($A185,'SegEnds_NonXtal_BW#'!$A:$Z,15,FALSE)+VLOOKUP($A185,A:AL,22,FALSE)-50)</f>
        <v>142</v>
      </c>
      <c r="V185" s="3">
        <v>154</v>
      </c>
      <c r="W185" s="3">
        <f>IF(ISERROR(VLOOKUP($A185,'SegEnds_NonXtal_BW#'!$A:$Z,16,FALSE)+VLOOKUP($A185,A:AL,22,FALSE)-50),"-",(VLOOKUP($A185,'SegEnds_NonXtal_BW#'!$A:$Z,16,FALSE)+VLOOKUP($A185,A:AL,22,FALSE)-50))</f>
        <v>168</v>
      </c>
      <c r="X185" s="3" t="str">
        <f>IF(ISERROR(VLOOKUP($A185,'SegEnds_NonXtal_BW#'!$A:$Z,17,FALSE)+VLOOKUP($A185,A:AL,25,FALSE)-50),"-",(VLOOKUP($A185,'SegEnds_NonXtal_BW#'!$A:$Z,17,FALSE)+VLOOKUP($A185,A:AL,25,FALSE)-50))</f>
        <v>-</v>
      </c>
      <c r="Y185" s="3" t="s">
        <v>23</v>
      </c>
      <c r="Z185" s="3" t="str">
        <f>IF(ISERROR(VLOOKUP($A185,'SegEnds_NonXtal_BW#'!$A:$Z,18,FALSE)+VLOOKUP($A185,A:AL,25,FALSE)-50),"-",(VLOOKUP($A185,'SegEnds_NonXtal_BW#'!$A:$Z,18,FALSE)+VLOOKUP($A185,A:AL,25,FALSE)-50))</f>
        <v>-</v>
      </c>
      <c r="AA185" s="3">
        <f>IF(ISERROR(VLOOKUP($A185,'SegEnds_NonXtal_BW#'!$A:$Z,19,FALSE)+VLOOKUP($A185,A:AL,28,FALSE)-50),"-",(VLOOKUP($A185,'SegEnds_NonXtal_BW#'!$A:$Z,19,FALSE)+VLOOKUP($A185,A:AL,28,FALSE)-50))</f>
        <v>177</v>
      </c>
      <c r="AB185" s="3">
        <v>196</v>
      </c>
      <c r="AC185" s="3">
        <f>IF(ISERROR((VLOOKUP($A185,'SegEnds_NonXtal_BW#'!$A:$Z,20,FALSE)+VLOOKUP($A185,A:AL,28,FALSE)-50)),"-",(VLOOKUP($A185,'SegEnds_NonXtal_BW#'!$A:$Z,20,FALSE)+VLOOKUP($A185,A:AL,28,FALSE)-50))</f>
        <v>214</v>
      </c>
      <c r="AD185" s="3">
        <f>IF(ISERROR(VLOOKUP($A185,'SegEnds_NonXtal_BW#'!$A:$Z,21,FALSE)+VLOOKUP($A185,A:AL,31,FALSE)-50),"-",(VLOOKUP($A185,'SegEnds_NonXtal_BW#'!$A:$Z,21,FALSE)+VLOOKUP($A185,A:AL,31,FALSE)-50))</f>
        <v>218</v>
      </c>
      <c r="AE185" s="3">
        <v>238</v>
      </c>
      <c r="AF185" s="3">
        <f>IF(ISERROR((VLOOKUP($A185,'SegEnds_NonXtal_BW#'!$A:$Z,22,FALSE)+VLOOKUP($A185,A:AL,31,FALSE)-50)),"-",(VLOOKUP($A185,'SegEnds_NonXtal_BW#'!$A:$Z,22,FALSE)+VLOOKUP($A185,A:AL,31,FALSE)-50))</f>
        <v>249</v>
      </c>
      <c r="AG185" s="3">
        <f>IF(ISERROR(VLOOKUP($A185,'SegEnds_NonXtal_BW#'!$A:$Z,23,FALSE)+VLOOKUP($A185,A:AL,34,FALSE)-50),"-",(VLOOKUP($A185,'SegEnds_NonXtal_BW#'!$A:$Z,23,FALSE)+VLOOKUP($A185,A:AL,34,FALSE)-50))</f>
        <v>251</v>
      </c>
      <c r="AH185" s="3">
        <v>276</v>
      </c>
      <c r="AI185" s="3">
        <f>IF(ISERROR((VLOOKUP($A185,'SegEnds_NonXtal_BW#'!$A:$Z,24,FALSE)+VLOOKUP($A185,A:AL,34,FALSE)-50)),"-",(VLOOKUP($A185,'SegEnds_NonXtal_BW#'!$A:$Z,24,FALSE)+VLOOKUP($A185,A:AL,34,FALSE)-50))</f>
        <v>282</v>
      </c>
      <c r="AJ185" s="3">
        <f>IF(ISERROR(VLOOKUP($A185,'SegEnds_NonXtal_BW#'!$A:$Z,25,FALSE)+VLOOKUP($A185,A:AL,37,FALSE)-50),"-",(VLOOKUP($A185,'SegEnds_NonXtal_BW#'!$A:$Z,25,FALSE)+VLOOKUP($A185,A:AL,37,FALSE)-50))</f>
        <v>283</v>
      </c>
      <c r="AK185" s="3">
        <v>286</v>
      </c>
      <c r="AL185" s="3">
        <f>IF(ISERROR((VLOOKUP($A185,'SegEnds_NonXtal_BW#'!$A:$Z,26,FALSE)+VLOOKUP($A185,A:AL,37,FALSE)-50)),"-",(VLOOKUP($A185,'SegEnds_NonXtal_BW#'!$A:$Z,26,FALSE)+VLOOKUP($A185,A:AL,37,FALSE)-50))</f>
        <v>292</v>
      </c>
      <c r="AM185" s="28" t="str">
        <f>VLOOKUP(A185,Classification!A:B,2,FALSE)</f>
        <v>A</v>
      </c>
      <c r="AN185" s="28" t="b">
        <f t="shared" si="98"/>
        <v>1</v>
      </c>
      <c r="AO185" s="3" t="str">
        <f>IF(ISERROR(MATCH(A185,'SegEnds_Xtal_Prot#'!B:B, 0)), "NoXtal", "Xtal")</f>
        <v>NoXtal</v>
      </c>
      <c r="AP185" s="3" t="str">
        <f t="shared" si="81"/>
        <v>-</v>
      </c>
      <c r="AQ185" s="3" t="str">
        <f t="shared" si="82"/>
        <v>-</v>
      </c>
      <c r="AR185" s="3" t="str">
        <f t="shared" si="83"/>
        <v>-</v>
      </c>
      <c r="AS185" s="3" t="str">
        <f t="shared" si="84"/>
        <v>-</v>
      </c>
      <c r="AT185" s="3">
        <f t="shared" si="85"/>
        <v>1</v>
      </c>
      <c r="AU185" s="3">
        <f t="shared" si="86"/>
        <v>1</v>
      </c>
      <c r="AV185" s="3" t="str">
        <f t="shared" si="87"/>
        <v>-</v>
      </c>
      <c r="AW185" s="3" t="str">
        <f t="shared" si="88"/>
        <v>-</v>
      </c>
      <c r="AX185" s="3">
        <f t="shared" si="89"/>
        <v>4</v>
      </c>
      <c r="AY185" s="3">
        <f t="shared" si="90"/>
        <v>2</v>
      </c>
      <c r="AZ185" s="3">
        <f t="shared" si="91"/>
        <v>1</v>
      </c>
      <c r="BA185" s="3">
        <f>IF(ISERROR(LEN(VLOOKUP(A185,Seqs!A:E,2,FALSE))-AL185),"-",LEN(VLOOKUP(A185,Seqs!A:E,2,FALSE))-AL185)</f>
        <v>38</v>
      </c>
      <c r="BB185" s="16">
        <f t="shared" si="92"/>
        <v>27</v>
      </c>
      <c r="BC185" s="9">
        <f t="shared" si="93"/>
        <v>20</v>
      </c>
      <c r="BD185" s="3">
        <f t="shared" si="94"/>
        <v>27</v>
      </c>
      <c r="BE185" s="3">
        <f t="shared" si="95"/>
        <v>42</v>
      </c>
    </row>
    <row r="186" spans="1:58" s="3" customFormat="1" x14ac:dyDescent="0.2">
      <c r="A186" s="3" t="s">
        <v>307</v>
      </c>
      <c r="B186" s="3" t="str">
        <f>LOWER(VLOOKUP(A186,Xtal_Templ!A:B,2,FALSE))</f>
        <v>pd2r2_human</v>
      </c>
      <c r="C186" s="3">
        <f>VLOOKUP($A186,'SegEnds_NonXtal_BW#'!$A:$Z,3,FALSE)+D186-50</f>
        <v>27</v>
      </c>
      <c r="D186" s="3">
        <v>45</v>
      </c>
      <c r="E186" s="3">
        <f>IF(ISERROR(VLOOKUP($A186,'SegEnds_NonXtal_BW#'!$A:$Z,4,FALSE)+VLOOKUP($A186,A:AL,4,FALSE)-50),"-",(VLOOKUP($A186,'SegEnds_NonXtal_BW#'!$A:$Z,4,FALSE)+VLOOKUP($A186,A:AL,4,FALSE)-50))</f>
        <v>55</v>
      </c>
      <c r="F186" s="3" t="str">
        <f>IF(ISERROR(VLOOKUP($A186,'SegEnds_NonXtal_BW#'!$A:$Z,5,FALSE)+VLOOKUP($A186,A:AL,7,FALSE)-50),"-",(VLOOKUP($A186,'SegEnds_NonXtal_BW#'!$A:$Z,5,FALSE)+VLOOKUP($A186,A:AL,7,FALSE)-50))</f>
        <v>-</v>
      </c>
      <c r="G186" s="3" t="s">
        <v>23</v>
      </c>
      <c r="H186" s="3" t="str">
        <f>IF(ISERROR(VLOOKUP($A186,'SegEnds_NonXtal_BW#'!$A:$Z,6,FALSE)+VLOOKUP($A186,A:AL,7,FALSE)-50),"-",(VLOOKUP($A186,'SegEnds_NonXtal_BW#'!$A:$Z,6,FALSE)+VLOOKUP($A186,A:AL,7,FALSE)-50))</f>
        <v>-</v>
      </c>
      <c r="I186" s="3">
        <f>VLOOKUP($A186,'SegEnds_NonXtal_BW#'!$A:$Z,7,FALSE)+J186-50</f>
        <v>59</v>
      </c>
      <c r="J186" s="3">
        <v>72</v>
      </c>
      <c r="K186" s="3">
        <f>VLOOKUP($A186,'SegEnds_NonXtal_BW#'!$A:$Z,8,FALSE)+VLOOKUP($A186,A:AL,10,FALSE)-50</f>
        <v>88</v>
      </c>
      <c r="L186" s="3" t="str">
        <f>IF(ISERROR(VLOOKUP($A186,'SegEnds_NonXtal_BW#'!$A:$Z,9,FALSE)+VLOOKUP($A186,A:AL,13,FALSE)-50),"-",(VLOOKUP($A186,'SegEnds_NonXtal_BW#'!$A:$Z,9,FALSE)+VLOOKUP($A186,A:AL,13,FALSE)-50))</f>
        <v>-</v>
      </c>
      <c r="M186" s="3" t="s">
        <v>23</v>
      </c>
      <c r="N186" s="3" t="str">
        <f>IF(ISERROR(VLOOKUP($A186,'SegEnds_NonXtal_BW#'!$A:$Z,10,FALSE)+VLOOKUP($A186,A:AL,13,FALSE)-50),"-",(VLOOKUP($A186,'SegEnds_NonXtal_BW#'!$A:$Z,10,FALSE)+VLOOKUP($A186,A:AL,13,FALSE)-50))</f>
        <v>-</v>
      </c>
      <c r="O186" s="3">
        <f>VLOOKUP($A186,'SegEnds_NonXtal_BW#'!$A:$Z,11,FALSE)+VLOOKUP($A186,A:AL,16,FALSE)-50</f>
        <v>94</v>
      </c>
      <c r="P186" s="3">
        <v>120</v>
      </c>
      <c r="Q186" s="3">
        <f>VLOOKUP($A186,'SegEnds_NonXtal_BW#'!$A:$Z,12,FALSE)+VLOOKUP($A186,A:AL,16,FALSE)-50</f>
        <v>126</v>
      </c>
      <c r="R186" s="3">
        <f>IF(ISERROR(VLOOKUP($A186,'SegEnds_NonXtal_BW#'!$A:$Z,13,FALSE)+VLOOKUP($A186,A:AL,19,FALSE)-50),"-",VLOOKUP($A186,'SegEnds_NonXtal_BW#'!$A:$Z,13,FALSE)+VLOOKUP($A186,A:AL,19,FALSE)-50)</f>
        <v>127</v>
      </c>
      <c r="S186" s="3">
        <v>127</v>
      </c>
      <c r="T186" s="100">
        <f>IF(ISERROR(VLOOKUP($A186,'SegEnds_NonXtal_BW#'!$A:$Z,14,FALSE)+VLOOKUP($A186,A:AL,19,FALSE)-50),"-",(VLOOKUP($A186,'SegEnds_NonXtal_BW#'!$A:$Z,14,FALSE)+VLOOKUP($A186,A:AL,19,FALSE)-50))</f>
        <v>134</v>
      </c>
      <c r="U186" s="9">
        <f>IF(ISERROR(VLOOKUP($A186,'SegEnds_NonXtal_BW#'!$A:$Z,15,FALSE)+VLOOKUP($A186,A:AL,22,FALSE)-50),"-",VLOOKUP($A186,'SegEnds_NonXtal_BW#'!$A:$Z,15,FALSE)+VLOOKUP($A186,A:AL,22,FALSE)-50)</f>
        <v>135</v>
      </c>
      <c r="V186" s="3">
        <v>147</v>
      </c>
      <c r="W186" s="3">
        <f>IF(ISERROR(VLOOKUP($A186,'SegEnds_NonXtal_BW#'!$A:$Z,16,FALSE)+VLOOKUP($A186,A:AL,22,FALSE)-50),"-",(VLOOKUP($A186,'SegEnds_NonXtal_BW#'!$A:$Z,16,FALSE)+VLOOKUP($A186,A:AL,22,FALSE)-50))</f>
        <v>161</v>
      </c>
      <c r="X186" s="3" t="str">
        <f>IF(ISERROR(VLOOKUP($A186,'SegEnds_NonXtal_BW#'!$A:$Z,17,FALSE)+VLOOKUP($A186,A:AL,25,FALSE)-50),"-",(VLOOKUP($A186,'SegEnds_NonXtal_BW#'!$A:$Z,17,FALSE)+VLOOKUP($A186,A:AL,25,FALSE)-50))</f>
        <v>-</v>
      </c>
      <c r="Y186" s="3" t="s">
        <v>23</v>
      </c>
      <c r="Z186" s="3" t="str">
        <f>IF(ISERROR(VLOOKUP($A186,'SegEnds_NonXtal_BW#'!$A:$Z,18,FALSE)+VLOOKUP($A186,A:AL,25,FALSE)-50),"-",(VLOOKUP($A186,'SegEnds_NonXtal_BW#'!$A:$Z,18,FALSE)+VLOOKUP($A186,A:AL,25,FALSE)-50))</f>
        <v>-</v>
      </c>
      <c r="AA186" s="3">
        <f>IF(ISERROR(VLOOKUP($A186,'SegEnds_NonXtal_BW#'!$A:$Z,19,FALSE)+VLOOKUP($A186,A:AL,28,FALSE)-50),"-",(VLOOKUP($A186,'SegEnds_NonXtal_BW#'!$A:$Z,19,FALSE)+VLOOKUP($A186,A:AL,28,FALSE)-50))</f>
        <v>165</v>
      </c>
      <c r="AB186" s="3">
        <v>189</v>
      </c>
      <c r="AC186" s="3">
        <f>IF(ISERROR((VLOOKUP($A186,'SegEnds_NonXtal_BW#'!$A:$Z,20,FALSE)+VLOOKUP($A186,A:AL,28,FALSE)-50)),"-",(VLOOKUP($A186,'SegEnds_NonXtal_BW#'!$A:$Z,20,FALSE)+VLOOKUP($A186,A:AL,28,FALSE)-50))</f>
        <v>207</v>
      </c>
      <c r="AD186" s="3">
        <f>IF(ISERROR(VLOOKUP($A186,'SegEnds_NonXtal_BW#'!$A:$Z,21,FALSE)+VLOOKUP($A186,A:AL,31,FALSE)-50),"-",(VLOOKUP($A186,'SegEnds_NonXtal_BW#'!$A:$Z,21,FALSE)+VLOOKUP($A186,A:AL,31,FALSE)-50))</f>
        <v>211</v>
      </c>
      <c r="AE186" s="3">
        <v>231</v>
      </c>
      <c r="AF186" s="3">
        <f>IF(ISERROR((VLOOKUP($A186,'SegEnds_NonXtal_BW#'!$A:$Z,22,FALSE)+VLOOKUP($A186,A:AL,31,FALSE)-50)),"-",(VLOOKUP($A186,'SegEnds_NonXtal_BW#'!$A:$Z,22,FALSE)+VLOOKUP($A186,A:AL,31,FALSE)-50))</f>
        <v>242</v>
      </c>
      <c r="AG186" s="3">
        <f>IF(ISERROR(VLOOKUP($A186,'SegEnds_NonXtal_BW#'!$A:$Z,23,FALSE)+VLOOKUP($A186,A:AL,34,FALSE)-50),"-",(VLOOKUP($A186,'SegEnds_NonXtal_BW#'!$A:$Z,23,FALSE)+VLOOKUP($A186,A:AL,34,FALSE)-50))</f>
        <v>246</v>
      </c>
      <c r="AH186" s="3">
        <v>269</v>
      </c>
      <c r="AI186" s="3">
        <f>IF(ISERROR((VLOOKUP($A186,'SegEnds_NonXtal_BW#'!$A:$Z,24,FALSE)+VLOOKUP($A186,A:AL,34,FALSE)-50)),"-",(VLOOKUP($A186,'SegEnds_NonXtal_BW#'!$A:$Z,24,FALSE)+VLOOKUP($A186,A:AL,34,FALSE)-50))</f>
        <v>275</v>
      </c>
      <c r="AJ186" s="3">
        <f>IF(ISERROR(VLOOKUP($A186,'SegEnds_NonXtal_BW#'!$A:$Z,25,FALSE)+VLOOKUP($A186,A:AL,37,FALSE)-50),"-",(VLOOKUP($A186,'SegEnds_NonXtal_BW#'!$A:$Z,25,FALSE)+VLOOKUP($A186,A:AL,37,FALSE)-50))</f>
        <v>276</v>
      </c>
      <c r="AK186" s="3">
        <v>279</v>
      </c>
      <c r="AL186" s="3">
        <f>IF(ISERROR((VLOOKUP($A186,'SegEnds_NonXtal_BW#'!$A:$Z,26,FALSE)+VLOOKUP($A186,A:AL,37,FALSE)-50)),"-",(VLOOKUP($A186,'SegEnds_NonXtal_BW#'!$A:$Z,26,FALSE)+VLOOKUP($A186,A:AL,37,FALSE)-50))</f>
        <v>293</v>
      </c>
      <c r="AM186" s="28" t="str">
        <f>VLOOKUP(A186,Classification!A:B,2,FALSE)</f>
        <v>A</v>
      </c>
      <c r="AN186" s="28" t="b">
        <f t="shared" si="98"/>
        <v>1</v>
      </c>
      <c r="AO186" s="3" t="str">
        <f>IF(ISERROR(MATCH(A186,'SegEnds_Xtal_Prot#'!B:B, 0)), "NoXtal", "Xtal")</f>
        <v>NoXtal</v>
      </c>
      <c r="AP186" s="3" t="str">
        <f t="shared" si="81"/>
        <v>-</v>
      </c>
      <c r="AQ186" s="3" t="str">
        <f t="shared" si="82"/>
        <v>-</v>
      </c>
      <c r="AR186" s="3" t="str">
        <f t="shared" si="83"/>
        <v>-</v>
      </c>
      <c r="AS186" s="3" t="str">
        <f t="shared" si="84"/>
        <v>-</v>
      </c>
      <c r="AT186" s="3">
        <f t="shared" si="85"/>
        <v>1</v>
      </c>
      <c r="AU186" s="3">
        <f t="shared" si="86"/>
        <v>1</v>
      </c>
      <c r="AV186" s="3" t="str">
        <f t="shared" si="87"/>
        <v>-</v>
      </c>
      <c r="AW186" s="3" t="str">
        <f t="shared" si="88"/>
        <v>-</v>
      </c>
      <c r="AX186" s="3">
        <f t="shared" si="89"/>
        <v>4</v>
      </c>
      <c r="AY186" s="3">
        <f t="shared" si="90"/>
        <v>4</v>
      </c>
      <c r="AZ186" s="3">
        <f t="shared" si="91"/>
        <v>1</v>
      </c>
      <c r="BA186" s="3">
        <f>IF(ISERROR(LEN(VLOOKUP(A186,Seqs!A:E,2,FALSE))-AL186),"-",LEN(VLOOKUP(A186,Seqs!A:E,2,FALSE))-AL186)</f>
        <v>29</v>
      </c>
      <c r="BB186" s="16">
        <f t="shared" si="92"/>
        <v>27</v>
      </c>
      <c r="BC186" s="9">
        <f t="shared" si="93"/>
        <v>20</v>
      </c>
      <c r="BD186" s="3">
        <f t="shared" si="94"/>
        <v>27</v>
      </c>
      <c r="BE186" s="3">
        <f t="shared" si="95"/>
        <v>42</v>
      </c>
    </row>
    <row r="187" spans="1:58" s="3" customFormat="1" x14ac:dyDescent="0.2">
      <c r="A187" s="3" t="s">
        <v>308</v>
      </c>
      <c r="B187" s="3" t="str">
        <f>LOWER(VLOOKUP(A187,Xtal_Templ!A:B,2,FALSE))</f>
        <v>c5ar1_human</v>
      </c>
      <c r="C187" s="3">
        <f>VLOOKUP($A187,'SegEnds_NonXtal_BW#'!$A:$Z,3,FALSE)+D187-50</f>
        <v>24</v>
      </c>
      <c r="D187" s="3">
        <v>45</v>
      </c>
      <c r="E187" s="3">
        <f>IF(ISERROR(VLOOKUP($A187,'SegEnds_NonXtal_BW#'!$A:$Z,4,FALSE)+VLOOKUP($A187,A:AL,4,FALSE)-50),"-",(VLOOKUP($A187,'SegEnds_NonXtal_BW#'!$A:$Z,4,FALSE)+VLOOKUP($A187,A:AL,4,FALSE)-50))</f>
        <v>55</v>
      </c>
      <c r="F187" s="3" t="str">
        <f>IF(ISERROR(VLOOKUP($A187,'SegEnds_NonXtal_BW#'!$A:$Z,5,FALSE)+VLOOKUP($A187,A:AL,7,FALSE)-50),"-",(VLOOKUP($A187,'SegEnds_NonXtal_BW#'!$A:$Z,5,FALSE)+VLOOKUP($A187,A:AL,7,FALSE)-50))</f>
        <v>-</v>
      </c>
      <c r="G187" s="3" t="s">
        <v>23</v>
      </c>
      <c r="H187" s="3" t="str">
        <f>IF(ISERROR(VLOOKUP($A187,'SegEnds_NonXtal_BW#'!$A:$Z,6,FALSE)+VLOOKUP($A187,A:AL,7,FALSE)-50),"-",(VLOOKUP($A187,'SegEnds_NonXtal_BW#'!$A:$Z,6,FALSE)+VLOOKUP($A187,A:AL,7,FALSE)-50))</f>
        <v>-</v>
      </c>
      <c r="I187" s="3">
        <f>VLOOKUP($A187,'SegEnds_NonXtal_BW#'!$A:$Z,7,FALSE)+J187-50</f>
        <v>59</v>
      </c>
      <c r="J187" s="3">
        <v>72</v>
      </c>
      <c r="K187" s="3">
        <f>VLOOKUP($A187,'SegEnds_NonXtal_BW#'!$A:$Z,8,FALSE)+VLOOKUP($A187,A:AL,10,FALSE)-50</f>
        <v>88</v>
      </c>
      <c r="L187" s="3" t="str">
        <f>IF(ISERROR(VLOOKUP($A187,'SegEnds_NonXtal_BW#'!$A:$Z,9,FALSE)+VLOOKUP($A187,A:AL,13,FALSE)-50),"-",(VLOOKUP($A187,'SegEnds_NonXtal_BW#'!$A:$Z,9,FALSE)+VLOOKUP($A187,A:AL,13,FALSE)-50))</f>
        <v>-</v>
      </c>
      <c r="M187" s="3" t="s">
        <v>23</v>
      </c>
      <c r="N187" s="3" t="str">
        <f>IF(ISERROR(VLOOKUP($A187,'SegEnds_NonXtal_BW#'!$A:$Z,10,FALSE)+VLOOKUP($A187,A:AL,13,FALSE)-50),"-",(VLOOKUP($A187,'SegEnds_NonXtal_BW#'!$A:$Z,10,FALSE)+VLOOKUP($A187,A:AL,13,FALSE)-50))</f>
        <v>-</v>
      </c>
      <c r="O187" s="3">
        <f>VLOOKUP($A187,'SegEnds_NonXtal_BW#'!$A:$Z,11,FALSE)+VLOOKUP($A187,A:AL,16,FALSE)-50</f>
        <v>94</v>
      </c>
      <c r="P187" s="3">
        <v>120</v>
      </c>
      <c r="Q187" s="3">
        <f>VLOOKUP($A187,'SegEnds_NonXtal_BW#'!$A:$Z,12,FALSE)+VLOOKUP($A187,A:AL,16,FALSE)-50</f>
        <v>126</v>
      </c>
      <c r="R187" s="3">
        <f>IF(ISERROR(VLOOKUP($A187,'SegEnds_NonXtal_BW#'!$A:$Z,13,FALSE)+VLOOKUP($A187,A:AL,19,FALSE)-50),"-",VLOOKUP($A187,'SegEnds_NonXtal_BW#'!$A:$Z,13,FALSE)+VLOOKUP($A187,A:AL,19,FALSE)-50)</f>
        <v>127</v>
      </c>
      <c r="S187" s="3">
        <v>127</v>
      </c>
      <c r="T187" s="100">
        <f>IF(ISERROR(VLOOKUP($A187,'SegEnds_NonXtal_BW#'!$A:$Z,14,FALSE)+VLOOKUP($A187,A:AL,19,FALSE)-50),"-",(VLOOKUP($A187,'SegEnds_NonXtal_BW#'!$A:$Z,14,FALSE)+VLOOKUP($A187,A:AL,19,FALSE)-50))</f>
        <v>134</v>
      </c>
      <c r="U187" s="9">
        <f>IF(ISERROR(VLOOKUP($A187,'SegEnds_NonXtal_BW#'!$A:$Z,15,FALSE)+VLOOKUP($A187,A:AL,22,FALSE)-50),"-",VLOOKUP($A187,'SegEnds_NonXtal_BW#'!$A:$Z,15,FALSE)+VLOOKUP($A187,A:AL,22,FALSE)-50)</f>
        <v>135</v>
      </c>
      <c r="V187" s="3">
        <v>147</v>
      </c>
      <c r="W187" s="3">
        <f>IF(ISERROR(VLOOKUP($A187,'SegEnds_NonXtal_BW#'!$A:$Z,16,FALSE)+VLOOKUP($A187,A:AL,22,FALSE)-50),"-",(VLOOKUP($A187,'SegEnds_NonXtal_BW#'!$A:$Z,16,FALSE)+VLOOKUP($A187,A:AL,22,FALSE)-50))</f>
        <v>161</v>
      </c>
      <c r="X187" s="3" t="str">
        <f>IF(ISERROR(VLOOKUP($A187,'SegEnds_NonXtal_BW#'!$A:$Z,17,FALSE)+VLOOKUP($A187,A:AL,25,FALSE)-50),"-",(VLOOKUP($A187,'SegEnds_NonXtal_BW#'!$A:$Z,17,FALSE)+VLOOKUP($A187,A:AL,25,FALSE)-50))</f>
        <v>-</v>
      </c>
      <c r="Y187" s="3" t="s">
        <v>23</v>
      </c>
      <c r="Z187" s="3" t="str">
        <f>IF(ISERROR(VLOOKUP($A187,'SegEnds_NonXtal_BW#'!$A:$Z,18,FALSE)+VLOOKUP($A187,A:AL,25,FALSE)-50),"-",(VLOOKUP($A187,'SegEnds_NonXtal_BW#'!$A:$Z,18,FALSE)+VLOOKUP($A187,A:AL,25,FALSE)-50))</f>
        <v>-</v>
      </c>
      <c r="AA187" s="3">
        <f>IF(ISERROR(VLOOKUP($A187,'SegEnds_NonXtal_BW#'!$A:$Z,19,FALSE)+VLOOKUP($A187,A:AL,28,FALSE)-50),"-",(VLOOKUP($A187,'SegEnds_NonXtal_BW#'!$A:$Z,19,FALSE)+VLOOKUP($A187,A:AL,28,FALSE)-50))</f>
        <v>170</v>
      </c>
      <c r="AB187" s="3">
        <v>189</v>
      </c>
      <c r="AC187" s="3">
        <f>IF(ISERROR((VLOOKUP($A187,'SegEnds_NonXtal_BW#'!$A:$Z,20,FALSE)+VLOOKUP($A187,A:AL,28,FALSE)-50)),"-",(VLOOKUP($A187,'SegEnds_NonXtal_BW#'!$A:$Z,20,FALSE)+VLOOKUP($A187,A:AL,28,FALSE)-50))</f>
        <v>207</v>
      </c>
      <c r="AD187" s="3">
        <f>IF(ISERROR(VLOOKUP($A187,'SegEnds_NonXtal_BW#'!$A:$Z,21,FALSE)+VLOOKUP($A187,A:AL,31,FALSE)-50),"-",(VLOOKUP($A187,'SegEnds_NonXtal_BW#'!$A:$Z,21,FALSE)+VLOOKUP($A187,A:AL,31,FALSE)-50))</f>
        <v>211</v>
      </c>
      <c r="AE187" s="3">
        <v>231</v>
      </c>
      <c r="AF187" s="3">
        <f>IF(ISERROR((VLOOKUP($A187,'SegEnds_NonXtal_BW#'!$A:$Z,22,FALSE)+VLOOKUP($A187,A:AL,31,FALSE)-50)),"-",(VLOOKUP($A187,'SegEnds_NonXtal_BW#'!$A:$Z,22,FALSE)+VLOOKUP($A187,A:AL,31,FALSE)-50))</f>
        <v>242</v>
      </c>
      <c r="AG187" s="3">
        <f>IF(ISERROR(VLOOKUP($A187,'SegEnds_NonXtal_BW#'!$A:$Z,23,FALSE)+VLOOKUP($A187,A:AL,34,FALSE)-50),"-",(VLOOKUP($A187,'SegEnds_NonXtal_BW#'!$A:$Z,23,FALSE)+VLOOKUP($A187,A:AL,34,FALSE)-50))</f>
        <v>244</v>
      </c>
      <c r="AH187" s="3">
        <v>269</v>
      </c>
      <c r="AI187" s="3">
        <f>IF(ISERROR((VLOOKUP($A187,'SegEnds_NonXtal_BW#'!$A:$Z,24,FALSE)+VLOOKUP($A187,A:AL,34,FALSE)-50)),"-",(VLOOKUP($A187,'SegEnds_NonXtal_BW#'!$A:$Z,24,FALSE)+VLOOKUP($A187,A:AL,34,FALSE)-50))</f>
        <v>275</v>
      </c>
      <c r="AJ187" s="3">
        <f>IF(ISERROR(VLOOKUP($A187,'SegEnds_NonXtal_BW#'!$A:$Z,25,FALSE)+VLOOKUP($A187,A:AL,37,FALSE)-50),"-",(VLOOKUP($A187,'SegEnds_NonXtal_BW#'!$A:$Z,25,FALSE)+VLOOKUP($A187,A:AL,37,FALSE)-50))</f>
        <v>276</v>
      </c>
      <c r="AK187" s="3">
        <v>279</v>
      </c>
      <c r="AL187" s="3">
        <f>IF(ISERROR((VLOOKUP($A187,'SegEnds_NonXtal_BW#'!$A:$Z,26,FALSE)+VLOOKUP($A187,A:AL,37,FALSE)-50)),"-",(VLOOKUP($A187,'SegEnds_NonXtal_BW#'!$A:$Z,26,FALSE)+VLOOKUP($A187,A:AL,37,FALSE)-50))</f>
        <v>285</v>
      </c>
      <c r="AM187" s="28" t="str">
        <f>VLOOKUP(A187,Classification!A:B,2,FALSE)</f>
        <v>A</v>
      </c>
      <c r="AN187" s="28" t="b">
        <f t="shared" si="98"/>
        <v>1</v>
      </c>
      <c r="AO187" s="3" t="str">
        <f>IF(ISERROR(MATCH(A187,'SegEnds_Xtal_Prot#'!B:B, 0)), "NoXtal", "Xtal")</f>
        <v>NoXtal</v>
      </c>
      <c r="AP187" s="3" t="str">
        <f t="shared" si="81"/>
        <v>-</v>
      </c>
      <c r="AQ187" s="3" t="str">
        <f t="shared" si="82"/>
        <v>-</v>
      </c>
      <c r="AR187" s="3" t="str">
        <f t="shared" si="83"/>
        <v>-</v>
      </c>
      <c r="AS187" s="3" t="str">
        <f t="shared" si="84"/>
        <v>-</v>
      </c>
      <c r="AT187" s="3">
        <f t="shared" si="85"/>
        <v>1</v>
      </c>
      <c r="AU187" s="3">
        <f t="shared" si="86"/>
        <v>1</v>
      </c>
      <c r="AV187" s="3" t="str">
        <f t="shared" si="87"/>
        <v>-</v>
      </c>
      <c r="AW187" s="3" t="str">
        <f t="shared" si="88"/>
        <v>-</v>
      </c>
      <c r="AX187" s="3">
        <f t="shared" si="89"/>
        <v>4</v>
      </c>
      <c r="AY187" s="3">
        <f t="shared" si="90"/>
        <v>2</v>
      </c>
      <c r="AZ187" s="3">
        <f t="shared" si="91"/>
        <v>1</v>
      </c>
      <c r="BA187" s="3">
        <f>IF(ISERROR(LEN(VLOOKUP(A187,Seqs!A:E,2,FALSE))-AL187),"-",LEN(VLOOKUP(A187,Seqs!A:E,2,FALSE))-AL187)</f>
        <v>37</v>
      </c>
      <c r="BB187" s="16">
        <f t="shared" si="92"/>
        <v>27</v>
      </c>
      <c r="BC187" s="9">
        <f t="shared" si="93"/>
        <v>20</v>
      </c>
      <c r="BD187" s="3">
        <f t="shared" si="94"/>
        <v>27</v>
      </c>
      <c r="BE187" s="3">
        <f t="shared" si="95"/>
        <v>42</v>
      </c>
    </row>
    <row r="188" spans="1:58" s="3" customFormat="1" x14ac:dyDescent="0.2">
      <c r="A188" s="3" t="s">
        <v>309</v>
      </c>
      <c r="B188" s="3" t="str">
        <f>LOWER(VLOOKUP(A188,Xtal_Templ!A:B,2,FALSE))</f>
        <v>s1pr1_human</v>
      </c>
      <c r="C188" s="3">
        <f>VLOOKUP($A188,'SegEnds_NonXtal_BW#'!$A:$Z,3,FALSE)+D188-50</f>
        <v>35</v>
      </c>
      <c r="D188" s="3">
        <v>56</v>
      </c>
      <c r="E188" s="3">
        <f>IF(ISERROR(VLOOKUP($A188,'SegEnds_NonXtal_BW#'!$A:$Z,4,FALSE)+VLOOKUP($A188,A:AL,4,FALSE)-50),"-",(VLOOKUP($A188,'SegEnds_NonXtal_BW#'!$A:$Z,4,FALSE)+VLOOKUP($A188,A:AL,4,FALSE)-50))</f>
        <v>66</v>
      </c>
      <c r="F188" s="3">
        <f t="shared" ref="F188:F197" si="112">G188-2</f>
        <v>67</v>
      </c>
      <c r="G188" s="3">
        <v>69</v>
      </c>
      <c r="H188" s="3">
        <f t="shared" ref="H188:I197" si="113">G188+1</f>
        <v>70</v>
      </c>
      <c r="I188" s="3">
        <f t="shared" si="113"/>
        <v>71</v>
      </c>
      <c r="J188" s="3">
        <v>84</v>
      </c>
      <c r="K188" s="3">
        <f>VLOOKUP($A188,'SegEnds_NonXtal_BW#'!$A:$Z,8,FALSE)+VLOOKUP($A188,A:AL,10,FALSE)-50</f>
        <v>101</v>
      </c>
      <c r="L188" s="3" t="str">
        <f>IF(ISERROR(VLOOKUP($A188,'SegEnds_NonXtal_BW#'!$A:$Z,9,FALSE)+VLOOKUP($A188,A:AL,13,FALSE)-50),"-",(VLOOKUP($A188,'SegEnds_NonXtal_BW#'!$A:$Z,9,FALSE)+VLOOKUP($A188,A:AL,13,FALSE)-50))</f>
        <v>-</v>
      </c>
      <c r="M188" s="3" t="s">
        <v>23</v>
      </c>
      <c r="N188" s="3" t="str">
        <f>IF(ISERROR(VLOOKUP($A188,'SegEnds_NonXtal_BW#'!$A:$Z,10,FALSE)+VLOOKUP($A188,A:AL,13,FALSE)-50),"-",(VLOOKUP($A188,'SegEnds_NonXtal_BW#'!$A:$Z,10,FALSE)+VLOOKUP($A188,A:AL,13,FALSE)-50))</f>
        <v>-</v>
      </c>
      <c r="O188" s="3">
        <f>VLOOKUP($A188,'SegEnds_NonXtal_BW#'!$A:$Z,11,FALSE)+VLOOKUP($A188,A:AL,16,FALSE)-50</f>
        <v>110</v>
      </c>
      <c r="P188" s="3">
        <v>142</v>
      </c>
      <c r="Q188" s="3">
        <f>VLOOKUP($A188,'SegEnds_NonXtal_BW#'!$A:$Z,12,FALSE)+VLOOKUP($A188,A:AL,16,FALSE)-50</f>
        <v>148</v>
      </c>
      <c r="R188" s="3">
        <f>S188</f>
        <v>149</v>
      </c>
      <c r="S188" s="3">
        <v>149</v>
      </c>
      <c r="T188" s="100">
        <f>S188+7</f>
        <v>156</v>
      </c>
      <c r="U188" s="9">
        <f>IF(ISERROR(VLOOKUP($A188,'SegEnds_NonXtal_BW#'!$A:$Z,15,FALSE)+VLOOKUP($A188,A:AL,22,FALSE)-50),"-",VLOOKUP($A188,'SegEnds_NonXtal_BW#'!$A:$Z,15,FALSE)+VLOOKUP($A188,A:AL,22,FALSE)-50)</f>
        <v>157</v>
      </c>
      <c r="V188" s="3">
        <v>169</v>
      </c>
      <c r="W188" s="3">
        <f>IF(ISERROR(VLOOKUP($A188,'SegEnds_NonXtal_BW#'!$A:$Z,16,FALSE)+VLOOKUP($A188,A:AL,22,FALSE)-50),"-",(VLOOKUP($A188,'SegEnds_NonXtal_BW#'!$A:$Z,16,FALSE)+VLOOKUP($A188,A:AL,22,FALSE)-50))</f>
        <v>182</v>
      </c>
      <c r="X188" s="3" t="str">
        <f>IF(ISERROR(VLOOKUP($A188,'SegEnds_NonXtal_BW#'!$A:$Z,17,FALSE)+VLOOKUP($A188,A:AL,25,FALSE)-50),"-",(VLOOKUP($A188,'SegEnds_NonXtal_BW#'!$A:$Z,17,FALSE)+VLOOKUP($A188,A:AL,25,FALSE)-50))</f>
        <v>-</v>
      </c>
      <c r="Y188" s="3" t="s">
        <v>23</v>
      </c>
      <c r="Z188" s="3" t="str">
        <f>IF(ISERROR(VLOOKUP($A188,'SegEnds_NonXtal_BW#'!$A:$Z,18,FALSE)+VLOOKUP($A188,A:AL,25,FALSE)-50),"-",(VLOOKUP($A188,'SegEnds_NonXtal_BW#'!$A:$Z,18,FALSE)+VLOOKUP($A188,A:AL,25,FALSE)-50))</f>
        <v>-</v>
      </c>
      <c r="AA188" s="3">
        <f>IF(ISERROR(VLOOKUP($A188,'SegEnds_NonXtal_BW#'!$A:$Z,19,FALSE)+VLOOKUP($A188,A:AL,28,FALSE)-50),"-",(VLOOKUP($A188,'SegEnds_NonXtal_BW#'!$A:$Z,19,FALSE)+VLOOKUP($A188,A:AL,28,FALSE)-50))</f>
        <v>192</v>
      </c>
      <c r="AB188" s="9">
        <v>209</v>
      </c>
      <c r="AC188" s="3">
        <f>IF(ISERROR((VLOOKUP($A188,'SegEnds_NonXtal_BW#'!$A:$Z,20,FALSE)+VLOOKUP($A188,A:AL,28,FALSE)-50)),"-",(VLOOKUP($A188,'SegEnds_NonXtal_BW#'!$A:$Z,20,FALSE)+VLOOKUP($A188,A:AL,28,FALSE)-50))</f>
        <v>226</v>
      </c>
      <c r="AD188" s="3">
        <f>IF(ISERROR(VLOOKUP($A188,'SegEnds_NonXtal_BW#'!$A:$Z,21,FALSE)+VLOOKUP($A188,A:AL,31,FALSE)-50),"-",(VLOOKUP($A188,'SegEnds_NonXtal_BW#'!$A:$Z,21,FALSE)+VLOOKUP($A188,A:AL,31,FALSE)-50))</f>
        <v>233</v>
      </c>
      <c r="AE188" s="3">
        <v>256</v>
      </c>
      <c r="AF188" s="3">
        <f>IF(ISERROR((VLOOKUP($A188,'SegEnds_NonXtal_BW#'!$A:$Z,22,FALSE)+VLOOKUP($A188,A:AL,31,FALSE)-50)),"-",(VLOOKUP($A188,'SegEnds_NonXtal_BW#'!$A:$Z,22,FALSE)+VLOOKUP($A188,A:AL,31,FALSE)-50))</f>
        <v>267</v>
      </c>
      <c r="AG188" s="3">
        <f>IF(ISERROR(VLOOKUP($A188,'SegEnds_NonXtal_BW#'!$A:$Z,23,FALSE)+VLOOKUP($A188,A:AL,34,FALSE)-50),"-",(VLOOKUP($A188,'SegEnds_NonXtal_BW#'!$A:$Z,23,FALSE)+VLOOKUP($A188,A:AL,34,FALSE)-50))</f>
        <v>275</v>
      </c>
      <c r="AH188" s="3">
        <v>295</v>
      </c>
      <c r="AI188" s="3">
        <f>IF(ISERROR((VLOOKUP($A188,'SegEnds_NonXtal_BW#'!$A:$Z,24,FALSE)+VLOOKUP($A188,A:AL,34,FALSE)-50)),"-",(VLOOKUP($A188,'SegEnds_NonXtal_BW#'!$A:$Z,24,FALSE)+VLOOKUP($A188,A:AL,34,FALSE)-50))</f>
        <v>301</v>
      </c>
      <c r="AJ188" s="3">
        <f>IF(ISERROR(VLOOKUP($A188,'SegEnds_NonXtal_BW#'!$A:$Z,25,FALSE)+VLOOKUP($A188,A:AL,37,FALSE)-50),"-",(VLOOKUP($A188,'SegEnds_NonXtal_BW#'!$A:$Z,25,FALSE)+VLOOKUP($A188,A:AL,37,FALSE)-50))</f>
        <v>302</v>
      </c>
      <c r="AK188" s="3">
        <v>305</v>
      </c>
      <c r="AL188" s="3">
        <f>IF(ISERROR((VLOOKUP($A188,'SegEnds_NonXtal_BW#'!$A:$Z,26,FALSE)+VLOOKUP($A188,A:AL,37,FALSE)-50)),"-",(VLOOKUP($A188,'SegEnds_NonXtal_BW#'!$A:$Z,26,FALSE)+VLOOKUP($A188,A:AL,37,FALSE)-50))</f>
        <v>314</v>
      </c>
      <c r="AM188" s="28" t="str">
        <f>VLOOKUP(A188,Classification!A:B,2,FALSE)</f>
        <v>A</v>
      </c>
      <c r="AN188" s="28" t="b">
        <f t="shared" si="98"/>
        <v>1</v>
      </c>
      <c r="AO188" s="3" t="str">
        <f>IF(ISERROR(MATCH(A188,'SegEnds_Xtal_Prot#'!B:B, 0)), "NoXtal", "Xtal")</f>
        <v>NoXtal</v>
      </c>
      <c r="AP188" s="3">
        <f t="shared" si="81"/>
        <v>1</v>
      </c>
      <c r="AQ188" s="3">
        <f t="shared" si="82"/>
        <v>1</v>
      </c>
      <c r="AR188" s="3" t="str">
        <f t="shared" si="83"/>
        <v>-</v>
      </c>
      <c r="AS188" s="3" t="str">
        <f t="shared" si="84"/>
        <v>-</v>
      </c>
      <c r="AT188" s="3">
        <f t="shared" si="85"/>
        <v>1</v>
      </c>
      <c r="AU188" s="3">
        <f t="shared" si="86"/>
        <v>1</v>
      </c>
      <c r="AV188" s="3" t="str">
        <f t="shared" si="87"/>
        <v>-</v>
      </c>
      <c r="AW188" s="3" t="str">
        <f t="shared" si="88"/>
        <v>-</v>
      </c>
      <c r="AX188" s="3">
        <f t="shared" si="89"/>
        <v>7</v>
      </c>
      <c r="AY188" s="3">
        <f t="shared" si="90"/>
        <v>8</v>
      </c>
      <c r="AZ188" s="3">
        <f t="shared" si="91"/>
        <v>1</v>
      </c>
      <c r="BA188" s="3">
        <f>IF(ISERROR(LEN(VLOOKUP(A188,Seqs!A:E,2,FALSE))-AL188),"-",LEN(VLOOKUP(A188,Seqs!A:E,2,FALSE))-AL188)</f>
        <v>3</v>
      </c>
      <c r="BB188" s="16">
        <f t="shared" si="92"/>
        <v>28</v>
      </c>
      <c r="BC188" s="9">
        <f t="shared" si="93"/>
        <v>20</v>
      </c>
      <c r="BD188" s="3">
        <f t="shared" si="94"/>
        <v>28</v>
      </c>
      <c r="BE188" s="3">
        <f t="shared" si="95"/>
        <v>47</v>
      </c>
      <c r="BF188" s="3">
        <f>AH188-AE188</f>
        <v>39</v>
      </c>
    </row>
    <row r="189" spans="1:58" s="3" customFormat="1" x14ac:dyDescent="0.2">
      <c r="A189" s="3" t="s">
        <v>310</v>
      </c>
      <c r="B189" s="3" t="str">
        <f>LOWER(VLOOKUP(A189,Xtal_Templ!A:B,2,FALSE))</f>
        <v>ntr1_rat</v>
      </c>
      <c r="C189" s="3">
        <f>VLOOKUP($A189,'SegEnds_NonXtal_BW#'!$A:$Z,3,FALSE)+D189-50</f>
        <v>35</v>
      </c>
      <c r="D189" s="3">
        <v>56</v>
      </c>
      <c r="E189" s="3">
        <f>IF(ISERROR(VLOOKUP($A189,'SegEnds_NonXtal_BW#'!$A:$Z,4,FALSE)+VLOOKUP($A189,A:AL,4,FALSE)-50),"-",(VLOOKUP($A189,'SegEnds_NonXtal_BW#'!$A:$Z,4,FALSE)+VLOOKUP($A189,A:AL,4,FALSE)-50))</f>
        <v>66</v>
      </c>
      <c r="F189" s="3">
        <f t="shared" si="112"/>
        <v>67</v>
      </c>
      <c r="G189" s="3">
        <v>69</v>
      </c>
      <c r="H189" s="3">
        <f t="shared" si="113"/>
        <v>70</v>
      </c>
      <c r="I189" s="3">
        <f t="shared" si="113"/>
        <v>71</v>
      </c>
      <c r="J189" s="3">
        <v>84</v>
      </c>
      <c r="K189" s="3">
        <f>VLOOKUP($A189,'SegEnds_NonXtal_BW#'!$A:$Z,8,FALSE)+VLOOKUP($A189,A:AL,10,FALSE)-50</f>
        <v>101</v>
      </c>
      <c r="L189" s="3">
        <f t="shared" ref="L189:L196" si="114">M189-1</f>
        <v>103</v>
      </c>
      <c r="M189" s="3">
        <v>104</v>
      </c>
      <c r="N189" s="3">
        <f t="shared" ref="N189:N196" si="115">M189+2</f>
        <v>106</v>
      </c>
      <c r="O189" s="3">
        <f t="shared" ref="O189:O214" si="116">N189+1</f>
        <v>107</v>
      </c>
      <c r="P189" s="3">
        <v>136</v>
      </c>
      <c r="Q189" s="3">
        <f>VLOOKUP($A189,'SegEnds_NonXtal_BW#'!$A:$Z,12,FALSE)+VLOOKUP($A189,A:AL,16,FALSE)-50</f>
        <v>142</v>
      </c>
      <c r="R189" s="3">
        <f>IF(ISERROR(VLOOKUP($A189,'SegEnds_NonXtal_BW#'!$A:$Z,13,FALSE)+VLOOKUP($A189,A:AL,19,FALSE)-50),"-",VLOOKUP($A189,'SegEnds_NonXtal_BW#'!$A:$Z,13,FALSE)+VLOOKUP($A189,A:AL,19,FALSE)-50)</f>
        <v>143</v>
      </c>
      <c r="S189" s="3">
        <v>143</v>
      </c>
      <c r="T189" s="100">
        <f>IF(ISERROR(VLOOKUP($A189,'SegEnds_NonXtal_BW#'!$A:$Z,14,FALSE)+VLOOKUP($A189,A:AL,19,FALSE)-50),"-",(VLOOKUP($A189,'SegEnds_NonXtal_BW#'!$A:$Z,14,FALSE)+VLOOKUP($A189,A:AL,19,FALSE)-50))</f>
        <v>150</v>
      </c>
      <c r="U189" s="9">
        <f>IF(ISERROR(VLOOKUP($A189,'SegEnds_NonXtal_BW#'!$A:$Z,15,FALSE)+VLOOKUP($A189,A:AL,22,FALSE)-50),"-",VLOOKUP($A189,'SegEnds_NonXtal_BW#'!$A:$Z,15,FALSE)+VLOOKUP($A189,A:AL,22,FALSE)-50)</f>
        <v>151</v>
      </c>
      <c r="V189" s="3">
        <v>163</v>
      </c>
      <c r="W189" s="3">
        <f>IF(ISERROR(VLOOKUP($A189,'SegEnds_NonXtal_BW#'!$A:$Z,16,FALSE)+VLOOKUP($A189,A:AL,22,FALSE)-50),"-",(VLOOKUP($A189,'SegEnds_NonXtal_BW#'!$A:$Z,16,FALSE)+VLOOKUP($A189,A:AL,22,FALSE)-50))</f>
        <v>177</v>
      </c>
      <c r="X189" s="3">
        <f>IF(ISERROR(VLOOKUP($A189,'SegEnds_NonXtal_BW#'!$A:$Z,17,FALSE)+VLOOKUP($A189,A:AL,25,FALSE)-50),"-",(VLOOKUP($A189,'SegEnds_NonXtal_BW#'!$A:$Z,17,FALSE)+VLOOKUP($A189,A:AL,25,FALSE)-50))</f>
        <v>235</v>
      </c>
      <c r="Y189" s="3">
        <v>235</v>
      </c>
      <c r="Z189" s="3">
        <f t="shared" ref="Z189:Z225" si="117">Y189+2</f>
        <v>237</v>
      </c>
      <c r="AA189" s="3">
        <f>IF(ISERROR(VLOOKUP($A189,'SegEnds_NonXtal_BW#'!$A:$Z,19,FALSE)+VLOOKUP($A189,A:AL,28,FALSE)-50),"-",(VLOOKUP($A189,'SegEnds_NonXtal_BW#'!$A:$Z,19,FALSE)+VLOOKUP($A189,A:AL,28,FALSE)-50))</f>
        <v>241</v>
      </c>
      <c r="AB189" s="3">
        <v>259</v>
      </c>
      <c r="AC189" s="3">
        <f>IF(ISERROR((VLOOKUP($A189,'SegEnds_NonXtal_BW#'!$A:$Z,20,FALSE)+VLOOKUP($A189,A:AL,28,FALSE)-50)),"-",(VLOOKUP($A189,'SegEnds_NonXtal_BW#'!$A:$Z,20,FALSE)+VLOOKUP($A189,A:AL,28,FALSE)-50))</f>
        <v>281</v>
      </c>
      <c r="AD189" s="3">
        <f>IF(ISERROR(VLOOKUP($A189,'SegEnds_NonXtal_BW#'!$A:$Z,21,FALSE)+VLOOKUP($A189,A:AL,31,FALSE)-50),"-",(VLOOKUP($A189,'SegEnds_NonXtal_BW#'!$A:$Z,21,FALSE)+VLOOKUP($A189,A:AL,31,FALSE)-50))</f>
        <v>287</v>
      </c>
      <c r="AE189" s="3">
        <v>313</v>
      </c>
      <c r="AF189" s="3">
        <f>IF(ISERROR((VLOOKUP($A189,'SegEnds_NonXtal_BW#'!$A:$Z,22,FALSE)+VLOOKUP($A189,A:AL,31,FALSE)-50)),"-",(VLOOKUP($A189,'SegEnds_NonXtal_BW#'!$A:$Z,22,FALSE)+VLOOKUP($A189,A:AL,31,FALSE)-50))</f>
        <v>324</v>
      </c>
      <c r="AG189" s="3">
        <f>IF(ISERROR(VLOOKUP($A189,'SegEnds_NonXtal_BW#'!$A:$Z,23,FALSE)+VLOOKUP($A189,A:AL,34,FALSE)-50),"-",(VLOOKUP($A189,'SegEnds_NonXtal_BW#'!$A:$Z,23,FALSE)+VLOOKUP($A189,A:AL,34,FALSE)-50))</f>
        <v>326</v>
      </c>
      <c r="AH189" s="3">
        <v>352</v>
      </c>
      <c r="AI189" s="3">
        <f>IF(ISERROR((VLOOKUP($A189,'SegEnds_NonXtal_BW#'!$A:$Z,24,FALSE)+VLOOKUP($A189,A:AL,34,FALSE)-50)),"-",(VLOOKUP($A189,'SegEnds_NonXtal_BW#'!$A:$Z,24,FALSE)+VLOOKUP($A189,A:AL,34,FALSE)-50))</f>
        <v>358</v>
      </c>
      <c r="AJ189" s="3">
        <f>IF(ISERROR(VLOOKUP($A189,'SegEnds_NonXtal_BW#'!$A:$Z,25,FALSE)+VLOOKUP($A189,A:AL,37,FALSE)-50),"-",(VLOOKUP($A189,'SegEnds_NonXtal_BW#'!$A:$Z,25,FALSE)+VLOOKUP($A189,A:AL,37,FALSE)-50))</f>
        <v>359</v>
      </c>
      <c r="AK189" s="3">
        <v>362</v>
      </c>
      <c r="AL189" s="3">
        <f>IF(ISERROR((VLOOKUP($A189,'SegEnds_NonXtal_BW#'!$A:$Z,26,FALSE)+VLOOKUP($A189,A:AL,37,FALSE)-50)),"-",(VLOOKUP($A189,'SegEnds_NonXtal_BW#'!$A:$Z,26,FALSE)+VLOOKUP($A189,A:AL,37,FALSE)-50))</f>
        <v>370</v>
      </c>
      <c r="AM189" s="28" t="str">
        <f>VLOOKUP(A189,Classification!A:B,2,FALSE)</f>
        <v>A</v>
      </c>
      <c r="AN189" s="28" t="b">
        <f t="shared" si="98"/>
        <v>1</v>
      </c>
      <c r="AO189" s="3" t="str">
        <f>IF(ISERROR(MATCH(A189,'SegEnds_Xtal_Prot#'!B:B, 0)), "NoXtal", "Xtal")</f>
        <v>NoXtal</v>
      </c>
      <c r="AP189" s="3">
        <f t="shared" si="81"/>
        <v>1</v>
      </c>
      <c r="AQ189" s="3">
        <f t="shared" si="82"/>
        <v>1</v>
      </c>
      <c r="AR189" s="3">
        <f t="shared" si="83"/>
        <v>2</v>
      </c>
      <c r="AS189" s="3">
        <f t="shared" si="84"/>
        <v>1</v>
      </c>
      <c r="AT189" s="3">
        <f t="shared" si="85"/>
        <v>1</v>
      </c>
      <c r="AU189" s="3">
        <f t="shared" si="86"/>
        <v>1</v>
      </c>
      <c r="AV189" s="3">
        <f t="shared" si="87"/>
        <v>58</v>
      </c>
      <c r="AW189" s="3">
        <f t="shared" si="88"/>
        <v>4</v>
      </c>
      <c r="AX189" s="3">
        <f t="shared" si="89"/>
        <v>6</v>
      </c>
      <c r="AY189" s="3">
        <f t="shared" si="90"/>
        <v>2</v>
      </c>
      <c r="AZ189" s="3">
        <f t="shared" si="91"/>
        <v>1</v>
      </c>
      <c r="BA189" s="3">
        <f>IF(ISERROR(LEN(VLOOKUP(A189,Seqs!A:E,2,FALSE))-AL189),"-",LEN(VLOOKUP(A189,Seqs!A:E,2,FALSE))-AL189)</f>
        <v>42</v>
      </c>
      <c r="BB189" s="16">
        <f t="shared" si="92"/>
        <v>28</v>
      </c>
      <c r="BC189" s="9">
        <f t="shared" si="93"/>
        <v>20</v>
      </c>
      <c r="BD189" s="3">
        <f t="shared" si="94"/>
        <v>28</v>
      </c>
      <c r="BE189" s="3">
        <f t="shared" si="95"/>
        <v>54</v>
      </c>
    </row>
    <row r="190" spans="1:58" s="3" customFormat="1" x14ac:dyDescent="0.2">
      <c r="A190" s="3" t="s">
        <v>311</v>
      </c>
      <c r="B190" s="3" t="str">
        <f>LOWER(VLOOKUP(A190,Xtal_Templ!A:B,2,FALSE))</f>
        <v>npy1r_human</v>
      </c>
      <c r="C190" s="3">
        <f>VLOOKUP($A190,'SegEnds_NonXtal_BW#'!$A:$Z,3,FALSE)+D190-50</f>
        <v>23</v>
      </c>
      <c r="D190" s="3">
        <v>45</v>
      </c>
      <c r="E190" s="3">
        <f>IF(ISERROR(VLOOKUP($A190,'SegEnds_NonXtal_BW#'!$A:$Z,4,FALSE)+VLOOKUP($A190,A:AL,4,FALSE)-50),"-",(VLOOKUP($A190,'SegEnds_NonXtal_BW#'!$A:$Z,4,FALSE)+VLOOKUP($A190,A:AL,4,FALSE)-50))</f>
        <v>55</v>
      </c>
      <c r="F190" s="3">
        <f t="shared" si="112"/>
        <v>56</v>
      </c>
      <c r="G190" s="3">
        <v>58</v>
      </c>
      <c r="H190" s="3">
        <f t="shared" si="113"/>
        <v>59</v>
      </c>
      <c r="I190" s="3">
        <f t="shared" si="113"/>
        <v>60</v>
      </c>
      <c r="J190" s="3">
        <v>73</v>
      </c>
      <c r="K190" s="3">
        <f>VLOOKUP($A190,'SegEnds_NonXtal_BW#'!$A:$Z,8,FALSE)+VLOOKUP($A190,A:AL,10,FALSE)-50</f>
        <v>91</v>
      </c>
      <c r="L190" s="3">
        <f t="shared" si="114"/>
        <v>92</v>
      </c>
      <c r="M190" s="3">
        <v>93</v>
      </c>
      <c r="N190" s="3">
        <f t="shared" si="115"/>
        <v>95</v>
      </c>
      <c r="O190" s="3">
        <f t="shared" si="116"/>
        <v>96</v>
      </c>
      <c r="P190" s="3">
        <v>125</v>
      </c>
      <c r="Q190" s="3">
        <f>VLOOKUP($A190,'SegEnds_NonXtal_BW#'!$A:$Z,12,FALSE)+VLOOKUP($A190,A:AL,16,FALSE)-50</f>
        <v>131</v>
      </c>
      <c r="R190" s="3">
        <f>IF(ISERROR(VLOOKUP($A190,'SegEnds_NonXtal_BW#'!$A:$Z,13,FALSE)+VLOOKUP($A190,A:AL,19,FALSE)-50),"-",VLOOKUP($A190,'SegEnds_NonXtal_BW#'!$A:$Z,13,FALSE)+VLOOKUP($A190,A:AL,19,FALSE)-50)</f>
        <v>132</v>
      </c>
      <c r="S190" s="3">
        <v>132</v>
      </c>
      <c r="T190" s="100">
        <f>IF(ISERROR(VLOOKUP($A190,'SegEnds_NonXtal_BW#'!$A:$Z,14,FALSE)+VLOOKUP($A190,A:AL,19,FALSE)-50),"-",(VLOOKUP($A190,'SegEnds_NonXtal_BW#'!$A:$Z,14,FALSE)+VLOOKUP($A190,A:AL,19,FALSE)-50))</f>
        <v>139</v>
      </c>
      <c r="U190" s="9">
        <f>IF(ISERROR(VLOOKUP($A190,'SegEnds_NonXtal_BW#'!$A:$Z,15,FALSE)+VLOOKUP($A190,A:AL,22,FALSE)-50),"-",VLOOKUP($A190,'SegEnds_NonXtal_BW#'!$A:$Z,15,FALSE)+VLOOKUP($A190,A:AL,22,FALSE)-50)</f>
        <v>140</v>
      </c>
      <c r="V190" s="3">
        <v>152</v>
      </c>
      <c r="W190" s="3">
        <f>IF(ISERROR(VLOOKUP($A190,'SegEnds_NonXtal_BW#'!$A:$Z,16,FALSE)+VLOOKUP($A190,A:AL,22,FALSE)-50),"-",(VLOOKUP($A190,'SegEnds_NonXtal_BW#'!$A:$Z,16,FALSE)+VLOOKUP($A190,A:AL,22,FALSE)-50))</f>
        <v>166</v>
      </c>
      <c r="X190" s="3">
        <f>IF(ISERROR(VLOOKUP($A190,'SegEnds_NonXtal_BW#'!$A:$Z,17,FALSE)+VLOOKUP($A190,A:AL,25,FALSE)-50),"-",(VLOOKUP($A190,'SegEnds_NonXtal_BW#'!$A:$Z,17,FALSE)+VLOOKUP($A190,A:AL,25,FALSE)-50))</f>
        <v>177</v>
      </c>
      <c r="Y190" s="3">
        <v>177</v>
      </c>
      <c r="Z190" s="3">
        <f t="shared" si="117"/>
        <v>179</v>
      </c>
      <c r="AA190" s="3">
        <f>IF(ISERROR(VLOOKUP($A190,'SegEnds_NonXtal_BW#'!$A:$Z,19,FALSE)+VLOOKUP($A190,A:AL,28,FALSE)-50),"-",(VLOOKUP($A190,'SegEnds_NonXtal_BW#'!$A:$Z,19,FALSE)+VLOOKUP($A190,A:AL,28,FALSE)-50))</f>
        <v>184</v>
      </c>
      <c r="AB190" s="3">
        <v>199</v>
      </c>
      <c r="AC190" s="3">
        <f>IF(ISERROR((VLOOKUP($A190,'SegEnds_NonXtal_BW#'!$A:$Z,20,FALSE)+VLOOKUP($A190,A:AL,28,FALSE)-50)),"-",(VLOOKUP($A190,'SegEnds_NonXtal_BW#'!$A:$Z,20,FALSE)+VLOOKUP($A190,A:AL,28,FALSE)-50))</f>
        <v>221</v>
      </c>
      <c r="AD190" s="3">
        <f>IF(ISERROR(VLOOKUP($A190,'SegEnds_NonXtal_BW#'!$A:$Z,21,FALSE)+VLOOKUP($A190,A:AL,31,FALSE)-50),"-",(VLOOKUP($A190,'SegEnds_NonXtal_BW#'!$A:$Z,21,FALSE)+VLOOKUP($A190,A:AL,31,FALSE)-50))</f>
        <v>227</v>
      </c>
      <c r="AE190" s="3">
        <v>253</v>
      </c>
      <c r="AF190" s="3">
        <f>IF(ISERROR((VLOOKUP($A190,'SegEnds_NonXtal_BW#'!$A:$Z,22,FALSE)+VLOOKUP($A190,A:AL,31,FALSE)-50)),"-",(VLOOKUP($A190,'SegEnds_NonXtal_BW#'!$A:$Z,22,FALSE)+VLOOKUP($A190,A:AL,31,FALSE)-50))</f>
        <v>264</v>
      </c>
      <c r="AG190" s="3">
        <f>IF(ISERROR(VLOOKUP($A190,'SegEnds_NonXtal_BW#'!$A:$Z,23,FALSE)+VLOOKUP($A190,A:AL,34,FALSE)-50),"-",(VLOOKUP($A190,'SegEnds_NonXtal_BW#'!$A:$Z,23,FALSE)+VLOOKUP($A190,A:AL,34,FALSE)-50))</f>
        <v>270</v>
      </c>
      <c r="AH190" s="3">
        <v>292</v>
      </c>
      <c r="AI190" s="3">
        <f>IF(ISERROR((VLOOKUP($A190,'SegEnds_NonXtal_BW#'!$A:$Z,24,FALSE)+VLOOKUP($A190,A:AL,34,FALSE)-50)),"-",(VLOOKUP($A190,'SegEnds_NonXtal_BW#'!$A:$Z,24,FALSE)+VLOOKUP($A190,A:AL,34,FALSE)-50))</f>
        <v>298</v>
      </c>
      <c r="AJ190" s="3">
        <f>IF(ISERROR(VLOOKUP($A190,'SegEnds_NonXtal_BW#'!$A:$Z,25,FALSE)+VLOOKUP($A190,A:AL,37,FALSE)-50),"-",(VLOOKUP($A190,'SegEnds_NonXtal_BW#'!$A:$Z,25,FALSE)+VLOOKUP($A190,A:AL,37,FALSE)-50))</f>
        <v>299</v>
      </c>
      <c r="AK190" s="3">
        <v>302</v>
      </c>
      <c r="AL190" s="3">
        <f>IF(ISERROR((VLOOKUP($A190,'SegEnds_NonXtal_BW#'!$A:$Z,26,FALSE)+VLOOKUP($A190,A:AL,37,FALSE)-50)),"-",(VLOOKUP($A190,'SegEnds_NonXtal_BW#'!$A:$Z,26,FALSE)+VLOOKUP($A190,A:AL,37,FALSE)-50))</f>
        <v>310</v>
      </c>
      <c r="AM190" s="28" t="str">
        <f>VLOOKUP(A190,Classification!A:B,2,FALSE)</f>
        <v>A</v>
      </c>
      <c r="AN190" s="28" t="b">
        <f t="shared" si="98"/>
        <v>1</v>
      </c>
      <c r="AO190" s="3" t="str">
        <f>IF(ISERROR(MATCH(A190,'SegEnds_Xtal_Prot#'!B:B, 0)), "NoXtal", "Xtal")</f>
        <v>NoXtal</v>
      </c>
      <c r="AP190" s="3">
        <f t="shared" si="81"/>
        <v>1</v>
      </c>
      <c r="AQ190" s="3">
        <f t="shared" si="82"/>
        <v>1</v>
      </c>
      <c r="AR190" s="3">
        <f t="shared" si="83"/>
        <v>1</v>
      </c>
      <c r="AS190" s="3">
        <f t="shared" si="84"/>
        <v>1</v>
      </c>
      <c r="AT190" s="3">
        <f t="shared" si="85"/>
        <v>1</v>
      </c>
      <c r="AU190" s="3">
        <f t="shared" si="86"/>
        <v>1</v>
      </c>
      <c r="AV190" s="3">
        <f t="shared" si="87"/>
        <v>11</v>
      </c>
      <c r="AW190" s="3">
        <f t="shared" si="88"/>
        <v>5</v>
      </c>
      <c r="AX190" s="3">
        <f t="shared" si="89"/>
        <v>6</v>
      </c>
      <c r="AY190" s="3">
        <f t="shared" si="90"/>
        <v>6</v>
      </c>
      <c r="AZ190" s="3">
        <f t="shared" si="91"/>
        <v>1</v>
      </c>
      <c r="BA190" s="3">
        <f>IF(ISERROR(LEN(VLOOKUP(A190,Seqs!A:E,2,FALSE))-AL190),"-",LEN(VLOOKUP(A190,Seqs!A:E,2,FALSE))-AL190)</f>
        <v>40</v>
      </c>
      <c r="BB190" s="16">
        <f t="shared" si="92"/>
        <v>28</v>
      </c>
      <c r="BC190" s="9">
        <f t="shared" si="93"/>
        <v>20</v>
      </c>
      <c r="BD190" s="3">
        <f t="shared" si="94"/>
        <v>28</v>
      </c>
      <c r="BE190" s="3">
        <f t="shared" si="95"/>
        <v>54</v>
      </c>
    </row>
    <row r="191" spans="1:58" s="3" customFormat="1" x14ac:dyDescent="0.2">
      <c r="A191" s="3" t="s">
        <v>312</v>
      </c>
      <c r="B191" s="3" t="str">
        <f>LOWER(VLOOKUP(A191,Xtal_Templ!A:B,2,FALSE))</f>
        <v>ox2r_human</v>
      </c>
      <c r="C191" s="3">
        <f>VLOOKUP($A191,'SegEnds_NonXtal_BW#'!$A:$Z,3,FALSE)+D191-50</f>
        <v>39</v>
      </c>
      <c r="D191" s="3">
        <v>58</v>
      </c>
      <c r="E191" s="3">
        <f>IF(ISERROR(VLOOKUP($A191,'SegEnds_NonXtal_BW#'!$A:$Z,4,FALSE)+VLOOKUP($A191,A:AL,4,FALSE)-50),"-",(VLOOKUP($A191,'SegEnds_NonXtal_BW#'!$A:$Z,4,FALSE)+VLOOKUP($A191,A:AL,4,FALSE)-50))</f>
        <v>68</v>
      </c>
      <c r="F191" s="3">
        <f t="shared" si="112"/>
        <v>69</v>
      </c>
      <c r="G191" s="3">
        <v>71</v>
      </c>
      <c r="H191" s="3">
        <f t="shared" si="113"/>
        <v>72</v>
      </c>
      <c r="I191" s="3">
        <f t="shared" si="113"/>
        <v>73</v>
      </c>
      <c r="J191" s="3">
        <v>86</v>
      </c>
      <c r="K191" s="3">
        <f>VLOOKUP($A191,'SegEnds_NonXtal_BW#'!$A:$Z,8,FALSE)+VLOOKUP($A191,A:AL,10,FALSE)-50</f>
        <v>104</v>
      </c>
      <c r="L191" s="3">
        <f t="shared" si="114"/>
        <v>105</v>
      </c>
      <c r="M191" s="3">
        <v>106</v>
      </c>
      <c r="N191" s="3">
        <f t="shared" si="115"/>
        <v>108</v>
      </c>
      <c r="O191" s="3">
        <f t="shared" si="116"/>
        <v>109</v>
      </c>
      <c r="P191" s="3">
        <v>138</v>
      </c>
      <c r="Q191" s="3">
        <f>VLOOKUP($A191,'SegEnds_NonXtal_BW#'!$A:$Z,12,FALSE)+VLOOKUP($A191,A:AL,16,FALSE)-50</f>
        <v>144</v>
      </c>
      <c r="R191" s="3">
        <f>IF(ISERROR(VLOOKUP($A191,'SegEnds_NonXtal_BW#'!$A:$Z,13,FALSE)+VLOOKUP($A191,A:AL,19,FALSE)-50),"-",VLOOKUP($A191,'SegEnds_NonXtal_BW#'!$A:$Z,13,FALSE)+VLOOKUP($A191,A:AL,19,FALSE)-50)</f>
        <v>145</v>
      </c>
      <c r="S191" s="3">
        <v>145</v>
      </c>
      <c r="T191" s="100">
        <f>IF(ISERROR(VLOOKUP($A191,'SegEnds_NonXtal_BW#'!$A:$Z,14,FALSE)+VLOOKUP($A191,A:AL,19,FALSE)-50),"-",(VLOOKUP($A191,'SegEnds_NonXtal_BW#'!$A:$Z,14,FALSE)+VLOOKUP($A191,A:AL,19,FALSE)-50))</f>
        <v>152</v>
      </c>
      <c r="U191" s="9">
        <f>IF(ISERROR(VLOOKUP($A191,'SegEnds_NonXtal_BW#'!$A:$Z,15,FALSE)+VLOOKUP($A191,A:AL,22,FALSE)-50),"-",VLOOKUP($A191,'SegEnds_NonXtal_BW#'!$A:$Z,15,FALSE)+VLOOKUP($A191,A:AL,22,FALSE)-50)</f>
        <v>153</v>
      </c>
      <c r="V191" s="3">
        <v>165</v>
      </c>
      <c r="W191" s="3">
        <f>IF(ISERROR(VLOOKUP($A191,'SegEnds_NonXtal_BW#'!$A:$Z,16,FALSE)+VLOOKUP($A191,A:AL,22,FALSE)-50),"-",(VLOOKUP($A191,'SegEnds_NonXtal_BW#'!$A:$Z,16,FALSE)+VLOOKUP($A191,A:AL,22,FALSE)-50))</f>
        <v>179</v>
      </c>
      <c r="X191" s="3">
        <f>IF(ISERROR(VLOOKUP($A191,'SegEnds_NonXtal_BW#'!$A:$Z,17,FALSE)+VLOOKUP($A191,A:AL,25,FALSE)-50),"-",(VLOOKUP($A191,'SegEnds_NonXtal_BW#'!$A:$Z,17,FALSE)+VLOOKUP($A191,A:AL,25,FALSE)-50))</f>
        <v>190</v>
      </c>
      <c r="Y191" s="3">
        <v>190</v>
      </c>
      <c r="Z191" s="3">
        <f t="shared" si="117"/>
        <v>192</v>
      </c>
      <c r="AA191" s="3">
        <f>IF(ISERROR(VLOOKUP($A191,'SegEnds_NonXtal_BW#'!$A:$Z,19,FALSE)+VLOOKUP($A191,A:AL,28,FALSE)-50),"-",(VLOOKUP($A191,'SegEnds_NonXtal_BW#'!$A:$Z,19,FALSE)+VLOOKUP($A191,A:AL,28,FALSE)-50))</f>
        <v>197</v>
      </c>
      <c r="AB191" s="3">
        <v>212</v>
      </c>
      <c r="AC191" s="3">
        <f>IF(ISERROR((VLOOKUP($A191,'SegEnds_NonXtal_BW#'!$A:$Z,20,FALSE)+VLOOKUP($A191,A:AL,28,FALSE)-50)),"-",(VLOOKUP($A191,'SegEnds_NonXtal_BW#'!$A:$Z,20,FALSE)+VLOOKUP($A191,A:AL,28,FALSE)-50))</f>
        <v>234</v>
      </c>
      <c r="AD191" s="3">
        <f>IF(ISERROR(VLOOKUP($A191,'SegEnds_NonXtal_BW#'!$A:$Z,21,FALSE)+VLOOKUP($A191,A:AL,31,FALSE)-50),"-",(VLOOKUP($A191,'SegEnds_NonXtal_BW#'!$A:$Z,21,FALSE)+VLOOKUP($A191,A:AL,31,FALSE)-50))</f>
        <v>240</v>
      </c>
      <c r="AE191" s="3">
        <v>266</v>
      </c>
      <c r="AF191" s="3">
        <f>IF(ISERROR((VLOOKUP($A191,'SegEnds_NonXtal_BW#'!$A:$Z,22,FALSE)+VLOOKUP($A191,A:AL,31,FALSE)-50)),"-",(VLOOKUP($A191,'SegEnds_NonXtal_BW#'!$A:$Z,22,FALSE)+VLOOKUP($A191,A:AL,31,FALSE)-50))</f>
        <v>277</v>
      </c>
      <c r="AG191" s="3">
        <f>IF(ISERROR(VLOOKUP($A191,'SegEnds_NonXtal_BW#'!$A:$Z,23,FALSE)+VLOOKUP($A191,A:AL,34,FALSE)-50),"-",(VLOOKUP($A191,'SegEnds_NonXtal_BW#'!$A:$Z,23,FALSE)+VLOOKUP($A191,A:AL,34,FALSE)-50))</f>
        <v>282</v>
      </c>
      <c r="AH191" s="3">
        <v>305</v>
      </c>
      <c r="AI191" s="3">
        <f>IF(ISERROR((VLOOKUP($A191,'SegEnds_NonXtal_BW#'!$A:$Z,24,FALSE)+VLOOKUP($A191,A:AL,34,FALSE)-50)),"-",(VLOOKUP($A191,'SegEnds_NonXtal_BW#'!$A:$Z,24,FALSE)+VLOOKUP($A191,A:AL,34,FALSE)-50))</f>
        <v>311</v>
      </c>
      <c r="AJ191" s="3">
        <f>IF(ISERROR(VLOOKUP($A191,'SegEnds_NonXtal_BW#'!$A:$Z,25,FALSE)+VLOOKUP($A191,A:AL,37,FALSE)-50),"-",(VLOOKUP($A191,'SegEnds_NonXtal_BW#'!$A:$Z,25,FALSE)+VLOOKUP($A191,A:AL,37,FALSE)-50))</f>
        <v>312</v>
      </c>
      <c r="AK191" s="3">
        <v>315</v>
      </c>
      <c r="AL191" s="3">
        <f>IF(ISERROR((VLOOKUP($A191,'SegEnds_NonXtal_BW#'!$A:$Z,26,FALSE)+VLOOKUP($A191,A:AL,37,FALSE)-50)),"-",(VLOOKUP($A191,'SegEnds_NonXtal_BW#'!$A:$Z,26,FALSE)+VLOOKUP($A191,A:AL,37,FALSE)-50))</f>
        <v>323</v>
      </c>
      <c r="AM191" s="28" t="str">
        <f>VLOOKUP(A191,Classification!A:B,2,FALSE)</f>
        <v>A</v>
      </c>
      <c r="AN191" s="28" t="b">
        <f t="shared" si="98"/>
        <v>1</v>
      </c>
      <c r="AO191" s="3" t="str">
        <f>IF(ISERROR(MATCH(A191,'SegEnds_Xtal_Prot#'!B:B, 0)), "NoXtal", "Xtal")</f>
        <v>NoXtal</v>
      </c>
      <c r="AP191" s="3">
        <f t="shared" si="81"/>
        <v>1</v>
      </c>
      <c r="AQ191" s="3">
        <f t="shared" si="82"/>
        <v>1</v>
      </c>
      <c r="AR191" s="3">
        <f t="shared" si="83"/>
        <v>1</v>
      </c>
      <c r="AS191" s="3">
        <f t="shared" si="84"/>
        <v>1</v>
      </c>
      <c r="AT191" s="3">
        <f t="shared" si="85"/>
        <v>1</v>
      </c>
      <c r="AU191" s="3">
        <f t="shared" si="86"/>
        <v>1</v>
      </c>
      <c r="AV191" s="3">
        <f t="shared" si="87"/>
        <v>11</v>
      </c>
      <c r="AW191" s="3">
        <f t="shared" si="88"/>
        <v>5</v>
      </c>
      <c r="AX191" s="3">
        <f t="shared" si="89"/>
        <v>6</v>
      </c>
      <c r="AY191" s="3">
        <f t="shared" si="90"/>
        <v>5</v>
      </c>
      <c r="AZ191" s="3">
        <f t="shared" si="91"/>
        <v>1</v>
      </c>
      <c r="BA191" s="3">
        <f>IF(ISERROR(LEN(VLOOKUP(A191,Seqs!A:E,2,FALSE))-AL191),"-",LEN(VLOOKUP(A191,Seqs!A:E,2,FALSE))-AL191)</f>
        <v>39</v>
      </c>
      <c r="BB191" s="16">
        <f t="shared" si="92"/>
        <v>28</v>
      </c>
      <c r="BC191" s="9">
        <f t="shared" si="93"/>
        <v>20</v>
      </c>
      <c r="BD191" s="3">
        <f t="shared" si="94"/>
        <v>28</v>
      </c>
      <c r="BE191" s="3">
        <f t="shared" si="95"/>
        <v>54</v>
      </c>
    </row>
    <row r="192" spans="1:58" s="3" customFormat="1" x14ac:dyDescent="0.2">
      <c r="A192" s="3" t="s">
        <v>313</v>
      </c>
      <c r="B192" s="3" t="str">
        <f>LOWER(VLOOKUP(A192,Xtal_Templ!A:B,2,FALSE))</f>
        <v>ox2r_human</v>
      </c>
      <c r="C192" s="3">
        <f>VLOOKUP($A192,'SegEnds_NonXtal_BW#'!$A:$Z,3,FALSE)+D192-50</f>
        <v>27</v>
      </c>
      <c r="D192" s="3">
        <v>46</v>
      </c>
      <c r="E192" s="3">
        <f>IF(ISERROR(VLOOKUP($A192,'SegEnds_NonXtal_BW#'!$A:$Z,4,FALSE)+VLOOKUP($A192,A:AL,4,FALSE)-50),"-",(VLOOKUP($A192,'SegEnds_NonXtal_BW#'!$A:$Z,4,FALSE)+VLOOKUP($A192,A:AL,4,FALSE)-50))</f>
        <v>56</v>
      </c>
      <c r="F192" s="3">
        <f t="shared" si="112"/>
        <v>57</v>
      </c>
      <c r="G192" s="3">
        <v>59</v>
      </c>
      <c r="H192" s="3">
        <f t="shared" si="113"/>
        <v>60</v>
      </c>
      <c r="I192" s="3">
        <f t="shared" si="113"/>
        <v>61</v>
      </c>
      <c r="J192" s="3">
        <v>74</v>
      </c>
      <c r="K192" s="3">
        <f>VLOOKUP($A192,'SegEnds_NonXtal_BW#'!$A:$Z,8,FALSE)+VLOOKUP($A192,A:AL,10,FALSE)-50</f>
        <v>92</v>
      </c>
      <c r="L192" s="3">
        <f t="shared" si="114"/>
        <v>93</v>
      </c>
      <c r="M192" s="3">
        <v>94</v>
      </c>
      <c r="N192" s="3">
        <f t="shared" si="115"/>
        <v>96</v>
      </c>
      <c r="O192" s="3">
        <f t="shared" si="116"/>
        <v>97</v>
      </c>
      <c r="P192" s="3">
        <v>126</v>
      </c>
      <c r="Q192" s="3">
        <f>VLOOKUP($A192,'SegEnds_NonXtal_BW#'!$A:$Z,12,FALSE)+VLOOKUP($A192,A:AL,16,FALSE)-50</f>
        <v>132</v>
      </c>
      <c r="R192" s="3">
        <f>IF(ISERROR(VLOOKUP($A192,'SegEnds_NonXtal_BW#'!$A:$Z,13,FALSE)+VLOOKUP($A192,A:AL,19,FALSE)-50),"-",VLOOKUP($A192,'SegEnds_NonXtal_BW#'!$A:$Z,13,FALSE)+VLOOKUP($A192,A:AL,19,FALSE)-50)</f>
        <v>133</v>
      </c>
      <c r="S192" s="3">
        <v>133</v>
      </c>
      <c r="T192" s="100">
        <f>IF(ISERROR(VLOOKUP($A192,'SegEnds_NonXtal_BW#'!$A:$Z,14,FALSE)+VLOOKUP($A192,A:AL,19,FALSE)-50),"-",(VLOOKUP($A192,'SegEnds_NonXtal_BW#'!$A:$Z,14,FALSE)+VLOOKUP($A192,A:AL,19,FALSE)-50))</f>
        <v>140</v>
      </c>
      <c r="U192" s="9">
        <f>IF(ISERROR(VLOOKUP($A192,'SegEnds_NonXtal_BW#'!$A:$Z,15,FALSE)+VLOOKUP($A192,A:AL,22,FALSE)-50),"-",VLOOKUP($A192,'SegEnds_NonXtal_BW#'!$A:$Z,15,FALSE)+VLOOKUP($A192,A:AL,22,FALSE)-50)</f>
        <v>141</v>
      </c>
      <c r="V192" s="3">
        <v>153</v>
      </c>
      <c r="W192" s="3">
        <f>IF(ISERROR(VLOOKUP($A192,'SegEnds_NonXtal_BW#'!$A:$Z,16,FALSE)+VLOOKUP($A192,A:AL,22,FALSE)-50),"-",(VLOOKUP($A192,'SegEnds_NonXtal_BW#'!$A:$Z,16,FALSE)+VLOOKUP($A192,A:AL,22,FALSE)-50))</f>
        <v>167</v>
      </c>
      <c r="X192" s="3">
        <f>IF(ISERROR(VLOOKUP($A192,'SegEnds_NonXtal_BW#'!$A:$Z,17,FALSE)+VLOOKUP($A192,A:AL,25,FALSE)-50),"-",(VLOOKUP($A192,'SegEnds_NonXtal_BW#'!$A:$Z,17,FALSE)+VLOOKUP($A192,A:AL,25,FALSE)-50))</f>
        <v>178</v>
      </c>
      <c r="Y192" s="3">
        <v>178</v>
      </c>
      <c r="Z192" s="3">
        <f t="shared" si="117"/>
        <v>180</v>
      </c>
      <c r="AA192" s="3">
        <f>IF(ISERROR(VLOOKUP($A192,'SegEnds_NonXtal_BW#'!$A:$Z,19,FALSE)+VLOOKUP($A192,A:AL,28,FALSE)-50),"-",(VLOOKUP($A192,'SegEnds_NonXtal_BW#'!$A:$Z,19,FALSE)+VLOOKUP($A192,A:AL,28,FALSE)-50))</f>
        <v>185</v>
      </c>
      <c r="AB192" s="3">
        <v>200</v>
      </c>
      <c r="AC192" s="3">
        <f>IF(ISERROR((VLOOKUP($A192,'SegEnds_NonXtal_BW#'!$A:$Z,20,FALSE)+VLOOKUP($A192,A:AL,28,FALSE)-50)),"-",(VLOOKUP($A192,'SegEnds_NonXtal_BW#'!$A:$Z,20,FALSE)+VLOOKUP($A192,A:AL,28,FALSE)-50))</f>
        <v>222</v>
      </c>
      <c r="AD192" s="3">
        <f>IF(ISERROR(VLOOKUP($A192,'SegEnds_NonXtal_BW#'!$A:$Z,21,FALSE)+VLOOKUP($A192,A:AL,31,FALSE)-50),"-",(VLOOKUP($A192,'SegEnds_NonXtal_BW#'!$A:$Z,21,FALSE)+VLOOKUP($A192,A:AL,31,FALSE)-50))</f>
        <v>226</v>
      </c>
      <c r="AE192" s="3">
        <v>252</v>
      </c>
      <c r="AF192" s="3">
        <f>IF(ISERROR((VLOOKUP($A192,'SegEnds_NonXtal_BW#'!$A:$Z,22,FALSE)+VLOOKUP($A192,A:AL,31,FALSE)-50)),"-",(VLOOKUP($A192,'SegEnds_NonXtal_BW#'!$A:$Z,22,FALSE)+VLOOKUP($A192,A:AL,31,FALSE)-50))</f>
        <v>263</v>
      </c>
      <c r="AG192" s="3">
        <f>IF(ISERROR(VLOOKUP($A192,'SegEnds_NonXtal_BW#'!$A:$Z,23,FALSE)+VLOOKUP($A192,A:AL,34,FALSE)-50),"-",(VLOOKUP($A192,'SegEnds_NonXtal_BW#'!$A:$Z,23,FALSE)+VLOOKUP($A192,A:AL,34,FALSE)-50))</f>
        <v>268</v>
      </c>
      <c r="AH192" s="3">
        <v>291</v>
      </c>
      <c r="AI192" s="3">
        <f>IF(ISERROR((VLOOKUP($A192,'SegEnds_NonXtal_BW#'!$A:$Z,24,FALSE)+VLOOKUP($A192,A:AL,34,FALSE)-50)),"-",(VLOOKUP($A192,'SegEnds_NonXtal_BW#'!$A:$Z,24,FALSE)+VLOOKUP($A192,A:AL,34,FALSE)-50))</f>
        <v>297</v>
      </c>
      <c r="AJ192" s="3">
        <f>IF(ISERROR(VLOOKUP($A192,'SegEnds_NonXtal_BW#'!$A:$Z,25,FALSE)+VLOOKUP($A192,A:AL,37,FALSE)-50),"-",(VLOOKUP($A192,'SegEnds_NonXtal_BW#'!$A:$Z,25,FALSE)+VLOOKUP($A192,A:AL,37,FALSE)-50))</f>
        <v>298</v>
      </c>
      <c r="AK192" s="3">
        <v>301</v>
      </c>
      <c r="AL192" s="3">
        <f>IF(ISERROR((VLOOKUP($A192,'SegEnds_NonXtal_BW#'!$A:$Z,26,FALSE)+VLOOKUP($A192,A:AL,37,FALSE)-50)),"-",(VLOOKUP($A192,'SegEnds_NonXtal_BW#'!$A:$Z,26,FALSE)+VLOOKUP($A192,A:AL,37,FALSE)-50))</f>
        <v>309</v>
      </c>
      <c r="AM192" s="28" t="str">
        <f>VLOOKUP(A192,Classification!A:B,2,FALSE)</f>
        <v>A</v>
      </c>
      <c r="AN192" s="28" t="b">
        <f t="shared" si="98"/>
        <v>1</v>
      </c>
      <c r="AO192" s="3" t="str">
        <f>IF(ISERROR(MATCH(A192,'SegEnds_Xtal_Prot#'!B:B, 0)), "NoXtal", "Xtal")</f>
        <v>NoXtal</v>
      </c>
      <c r="AP192" s="3">
        <f t="shared" si="81"/>
        <v>1</v>
      </c>
      <c r="AQ192" s="3">
        <f t="shared" si="82"/>
        <v>1</v>
      </c>
      <c r="AR192" s="3">
        <f t="shared" si="83"/>
        <v>1</v>
      </c>
      <c r="AS192" s="3">
        <f t="shared" si="84"/>
        <v>1</v>
      </c>
      <c r="AT192" s="3">
        <f t="shared" si="85"/>
        <v>1</v>
      </c>
      <c r="AU192" s="3">
        <f t="shared" si="86"/>
        <v>1</v>
      </c>
      <c r="AV192" s="3">
        <f t="shared" si="87"/>
        <v>11</v>
      </c>
      <c r="AW192" s="3">
        <f t="shared" si="88"/>
        <v>5</v>
      </c>
      <c r="AX192" s="3">
        <f t="shared" si="89"/>
        <v>4</v>
      </c>
      <c r="AY192" s="3">
        <f t="shared" si="90"/>
        <v>5</v>
      </c>
      <c r="AZ192" s="3">
        <f t="shared" si="91"/>
        <v>1</v>
      </c>
      <c r="BA192" s="3">
        <f>IF(ISERROR(LEN(VLOOKUP(A192,Seqs!A:E,2,FALSE))-AL192),"-",LEN(VLOOKUP(A192,Seqs!A:E,2,FALSE))-AL192)</f>
        <v>308</v>
      </c>
      <c r="BB192" s="16">
        <f t="shared" si="92"/>
        <v>28</v>
      </c>
      <c r="BC192" s="9">
        <f t="shared" si="93"/>
        <v>20</v>
      </c>
      <c r="BD192" s="3">
        <f t="shared" si="94"/>
        <v>28</v>
      </c>
      <c r="BE192" s="3">
        <f t="shared" si="95"/>
        <v>52</v>
      </c>
    </row>
    <row r="193" spans="1:57" s="3" customFormat="1" x14ac:dyDescent="0.2">
      <c r="A193" s="3" t="s">
        <v>317</v>
      </c>
      <c r="B193" s="3" t="str">
        <f>LOWER(VLOOKUP(A193,Xtal_Templ!A:B,2,FALSE))</f>
        <v>ednrb_human</v>
      </c>
      <c r="C193" s="3">
        <f>VLOOKUP($A193,'SegEnds_NonXtal_BW#'!$A:$Z,3,FALSE)+D193-50</f>
        <v>33</v>
      </c>
      <c r="D193" s="3">
        <v>61</v>
      </c>
      <c r="E193" s="3">
        <f>IF(ISERROR(VLOOKUP($A193,'SegEnds_NonXtal_BW#'!$A:$Z,4,FALSE)+VLOOKUP($A193,A:AL,4,FALSE)-50),"-",(VLOOKUP($A193,'SegEnds_NonXtal_BW#'!$A:$Z,4,FALSE)+VLOOKUP($A193,A:AL,4,FALSE)-50))</f>
        <v>71</v>
      </c>
      <c r="F193" s="3">
        <f t="shared" si="112"/>
        <v>72</v>
      </c>
      <c r="G193" s="3">
        <v>74</v>
      </c>
      <c r="H193" s="3">
        <f t="shared" si="113"/>
        <v>75</v>
      </c>
      <c r="I193" s="3">
        <f t="shared" si="113"/>
        <v>76</v>
      </c>
      <c r="J193" s="3">
        <v>89</v>
      </c>
      <c r="K193" s="3">
        <f>VLOOKUP($A193,'SegEnds_NonXtal_BW#'!$A:$Z,8,FALSE)+VLOOKUP($A193,A:AL,10,FALSE)-50</f>
        <v>106</v>
      </c>
      <c r="L193" s="3">
        <f t="shared" si="114"/>
        <v>108</v>
      </c>
      <c r="M193" s="3">
        <v>109</v>
      </c>
      <c r="N193" s="3">
        <f t="shared" si="115"/>
        <v>111</v>
      </c>
      <c r="O193" s="3">
        <f t="shared" si="116"/>
        <v>112</v>
      </c>
      <c r="P193" s="3">
        <v>141</v>
      </c>
      <c r="Q193" s="3">
        <f>VLOOKUP($A193,'SegEnds_NonXtal_BW#'!$A:$Z,12,FALSE)+VLOOKUP($A193,A:AL,16,FALSE)-50</f>
        <v>147</v>
      </c>
      <c r="R193" s="3">
        <f>IF(ISERROR(VLOOKUP($A193,'SegEnds_NonXtal_BW#'!$A:$Z,13,FALSE)+VLOOKUP($A193,A:AL,19,FALSE)-50),"-",VLOOKUP($A193,'SegEnds_NonXtal_BW#'!$A:$Z,13,FALSE)+VLOOKUP($A193,A:AL,19,FALSE)-50)</f>
        <v>148</v>
      </c>
      <c r="S193" s="3">
        <v>148</v>
      </c>
      <c r="T193" s="100">
        <f>IF(ISERROR(VLOOKUP($A193,'SegEnds_NonXtal_BW#'!$A:$Z,14,FALSE)+VLOOKUP($A193,A:AL,19,FALSE)-50),"-",(VLOOKUP($A193,'SegEnds_NonXtal_BW#'!$A:$Z,14,FALSE)+VLOOKUP($A193,A:AL,19,FALSE)-50))</f>
        <v>155</v>
      </c>
      <c r="U193" s="9">
        <f>IF(ISERROR(VLOOKUP($A193,'SegEnds_NonXtal_BW#'!$A:$Z,15,FALSE)+VLOOKUP($A193,A:AL,22,FALSE)-50),"-",VLOOKUP($A193,'SegEnds_NonXtal_BW#'!$A:$Z,15,FALSE)+VLOOKUP($A193,A:AL,22,FALSE)-50)</f>
        <v>156</v>
      </c>
      <c r="V193" s="3">
        <v>168</v>
      </c>
      <c r="W193" s="3">
        <f>IF(ISERROR(VLOOKUP($A193,'SegEnds_NonXtal_BW#'!$A:$Z,16,FALSE)+VLOOKUP($A193,A:AL,22,FALSE)-50),"-",(VLOOKUP($A193,'SegEnds_NonXtal_BW#'!$A:$Z,16,FALSE)+VLOOKUP($A193,A:AL,22,FALSE)-50))</f>
        <v>182</v>
      </c>
      <c r="X193" s="3">
        <f>IF(ISERROR(VLOOKUP($A193,'SegEnds_NonXtal_BW#'!$A:$Z,17,FALSE)+VLOOKUP($A193,A:AL,25,FALSE)-50),"-",(VLOOKUP($A193,'SegEnds_NonXtal_BW#'!$A:$Z,17,FALSE)+VLOOKUP($A193,A:AL,25,FALSE)-50))</f>
        <v>198</v>
      </c>
      <c r="Y193" s="3">
        <v>198</v>
      </c>
      <c r="Z193" s="3">
        <f t="shared" si="117"/>
        <v>200</v>
      </c>
      <c r="AA193" s="3">
        <f>IF(ISERROR(VLOOKUP($A193,'SegEnds_NonXtal_BW#'!$A:$Z,19,FALSE)+VLOOKUP($A193,A:AL,28,FALSE)-50),"-",(VLOOKUP($A193,'SegEnds_NonXtal_BW#'!$A:$Z,19,FALSE)+VLOOKUP($A193,A:AL,28,FALSE)-50))</f>
        <v>202</v>
      </c>
      <c r="AB193" s="3">
        <v>224</v>
      </c>
      <c r="AC193" s="3">
        <f>IF(ISERROR((VLOOKUP($A193,'SegEnds_NonXtal_BW#'!$A:$Z,20,FALSE)+VLOOKUP($A193,A:AL,28,FALSE)-50)),"-",(VLOOKUP($A193,'SegEnds_NonXtal_BW#'!$A:$Z,20,FALSE)+VLOOKUP($A193,A:AL,28,FALSE)-50))</f>
        <v>247</v>
      </c>
      <c r="AD193" s="3">
        <f>IF(ISERROR(VLOOKUP($A193,'SegEnds_NonXtal_BW#'!$A:$Z,21,FALSE)+VLOOKUP($A193,A:AL,31,FALSE)-50),"-",(VLOOKUP($A193,'SegEnds_NonXtal_BW#'!$A:$Z,21,FALSE)+VLOOKUP($A193,A:AL,31,FALSE)-50))</f>
        <v>253</v>
      </c>
      <c r="AE193" s="3">
        <v>281</v>
      </c>
      <c r="AF193" s="3">
        <f>IF(ISERROR((VLOOKUP($A193,'SegEnds_NonXtal_BW#'!$A:$Z,22,FALSE)+VLOOKUP($A193,A:AL,31,FALSE)-50)),"-",(VLOOKUP($A193,'SegEnds_NonXtal_BW#'!$A:$Z,22,FALSE)+VLOOKUP($A193,A:AL,31,FALSE)-50))</f>
        <v>292</v>
      </c>
      <c r="AG193" s="3">
        <f>IF(ISERROR(VLOOKUP($A193,'SegEnds_NonXtal_BW#'!$A:$Z,23,FALSE)+VLOOKUP($A193,A:AL,34,FALSE)-50),"-",(VLOOKUP($A193,'SegEnds_NonXtal_BW#'!$A:$Z,23,FALSE)+VLOOKUP($A193,A:AL,34,FALSE)-50))</f>
        <v>299</v>
      </c>
      <c r="AH193" s="3">
        <v>321</v>
      </c>
      <c r="AI193" s="3">
        <f>IF(ISERROR((VLOOKUP($A193,'SegEnds_NonXtal_BW#'!$A:$Z,24,FALSE)+VLOOKUP($A193,A:AL,34,FALSE)-50)),"-",(VLOOKUP($A193,'SegEnds_NonXtal_BW#'!$A:$Z,24,FALSE)+VLOOKUP($A193,A:AL,34,FALSE)-50))</f>
        <v>327</v>
      </c>
      <c r="AJ193" s="3">
        <f>IF(ISERROR(VLOOKUP($A193,'SegEnds_NonXtal_BW#'!$A:$Z,25,FALSE)+VLOOKUP($A193,A:AL,37,FALSE)-50),"-",(VLOOKUP($A193,'SegEnds_NonXtal_BW#'!$A:$Z,25,FALSE)+VLOOKUP($A193,A:AL,37,FALSE)-50))</f>
        <v>328</v>
      </c>
      <c r="AK193" s="3">
        <v>331</v>
      </c>
      <c r="AL193" s="3">
        <f>IF(ISERROR((VLOOKUP($A193,'SegEnds_NonXtal_BW#'!$A:$Z,26,FALSE)+VLOOKUP($A193,A:AL,37,FALSE)-50)),"-",(VLOOKUP($A193,'SegEnds_NonXtal_BW#'!$A:$Z,26,FALSE)+VLOOKUP($A193,A:AL,37,FALSE)-50))</f>
        <v>341</v>
      </c>
      <c r="AM193" s="28" t="str">
        <f>VLOOKUP(A193,Classification!A:B,2,FALSE)</f>
        <v>A</v>
      </c>
      <c r="AN193" s="28" t="b">
        <f t="shared" si="98"/>
        <v>1</v>
      </c>
      <c r="AO193" s="3" t="str">
        <f>IF(ISERROR(MATCH(A193,'SegEnds_Xtal_Prot#'!B:B, 0)), "NoXtal", "Xtal")</f>
        <v>NoXtal</v>
      </c>
      <c r="AP193" s="3">
        <f t="shared" si="81"/>
        <v>1</v>
      </c>
      <c r="AQ193" s="3">
        <f t="shared" si="82"/>
        <v>1</v>
      </c>
      <c r="AR193" s="3">
        <f t="shared" si="83"/>
        <v>2</v>
      </c>
      <c r="AS193" s="3">
        <f t="shared" si="84"/>
        <v>1</v>
      </c>
      <c r="AT193" s="3">
        <f t="shared" si="85"/>
        <v>1</v>
      </c>
      <c r="AU193" s="3">
        <f t="shared" si="86"/>
        <v>1</v>
      </c>
      <c r="AV193" s="3">
        <f t="shared" si="87"/>
        <v>16</v>
      </c>
      <c r="AW193" s="3">
        <f t="shared" si="88"/>
        <v>2</v>
      </c>
      <c r="AX193" s="3">
        <f t="shared" si="89"/>
        <v>6</v>
      </c>
      <c r="AY193" s="3">
        <f t="shared" si="90"/>
        <v>7</v>
      </c>
      <c r="AZ193" s="3">
        <f t="shared" si="91"/>
        <v>1</v>
      </c>
      <c r="BA193" s="3">
        <f>IF(ISERROR(LEN(VLOOKUP(A193,Seqs!A:E,2,FALSE))-AL193),"-",LEN(VLOOKUP(A193,Seqs!A:E,2,FALSE))-AL193)</f>
        <v>49</v>
      </c>
      <c r="BB193" s="16">
        <f t="shared" si="92"/>
        <v>28</v>
      </c>
      <c r="BC193" s="9">
        <f t="shared" si="93"/>
        <v>20</v>
      </c>
      <c r="BD193" s="3">
        <f t="shared" si="94"/>
        <v>28</v>
      </c>
      <c r="BE193" s="3">
        <f t="shared" si="95"/>
        <v>57</v>
      </c>
    </row>
    <row r="194" spans="1:57" s="3" customFormat="1" x14ac:dyDescent="0.2">
      <c r="A194" s="3" t="s">
        <v>318</v>
      </c>
      <c r="B194" s="3" t="str">
        <f>LOWER(VLOOKUP(A194,Xtal_Templ!A:B,2,FALSE))</f>
        <v>ntr1_rat</v>
      </c>
      <c r="C194" s="3">
        <f>VLOOKUP($A194,'SegEnds_NonXtal_BW#'!$A:$Z,3,FALSE)+D194-50</f>
        <v>57</v>
      </c>
      <c r="D194" s="3">
        <v>78</v>
      </c>
      <c r="E194" s="3">
        <f>IF(ISERROR(VLOOKUP($A194,'SegEnds_NonXtal_BW#'!$A:$Z,4,FALSE)+VLOOKUP($A194,A:AL,4,FALSE)-50),"-",(VLOOKUP($A194,'SegEnds_NonXtal_BW#'!$A:$Z,4,FALSE)+VLOOKUP($A194,A:AL,4,FALSE)-50))</f>
        <v>88</v>
      </c>
      <c r="F194" s="3">
        <f t="shared" si="112"/>
        <v>89</v>
      </c>
      <c r="G194" s="3">
        <v>91</v>
      </c>
      <c r="H194" s="3">
        <f t="shared" si="113"/>
        <v>92</v>
      </c>
      <c r="I194" s="3">
        <f t="shared" si="113"/>
        <v>93</v>
      </c>
      <c r="J194" s="3">
        <v>106</v>
      </c>
      <c r="K194" s="3">
        <f>VLOOKUP($A194,'SegEnds_NonXtal_BW#'!$A:$Z,8,FALSE)+VLOOKUP($A194,A:AL,10,FALSE)-50</f>
        <v>122</v>
      </c>
      <c r="L194" s="3">
        <f t="shared" si="114"/>
        <v>124</v>
      </c>
      <c r="M194" s="3">
        <v>125</v>
      </c>
      <c r="N194" s="3">
        <f t="shared" si="115"/>
        <v>127</v>
      </c>
      <c r="O194" s="3">
        <f t="shared" si="116"/>
        <v>128</v>
      </c>
      <c r="P194" s="3">
        <v>159</v>
      </c>
      <c r="Q194" s="3">
        <f>VLOOKUP($A194,'SegEnds_NonXtal_BW#'!$A:$Z,12,FALSE)+VLOOKUP($A194,A:AL,16,FALSE)-50</f>
        <v>165</v>
      </c>
      <c r="R194" s="3">
        <f>IF(ISERROR(VLOOKUP($A194,'SegEnds_NonXtal_BW#'!$A:$Z,13,FALSE)+VLOOKUP($A194,A:AL,19,FALSE)-50),"-",VLOOKUP($A194,'SegEnds_NonXtal_BW#'!$A:$Z,13,FALSE)+VLOOKUP($A194,A:AL,19,FALSE)-50)</f>
        <v>166</v>
      </c>
      <c r="S194" s="3">
        <v>166</v>
      </c>
      <c r="T194" s="100">
        <f>IF(ISERROR(VLOOKUP($A194,'SegEnds_NonXtal_BW#'!$A:$Z,14,FALSE)+VLOOKUP($A194,A:AL,19,FALSE)-50),"-",(VLOOKUP($A194,'SegEnds_NonXtal_BW#'!$A:$Z,14,FALSE)+VLOOKUP($A194,A:AL,19,FALSE)-50))</f>
        <v>173</v>
      </c>
      <c r="U194" s="9">
        <f>IF(ISERROR(VLOOKUP($A194,'SegEnds_NonXtal_BW#'!$A:$Z,15,FALSE)+VLOOKUP($A194,A:AL,22,FALSE)-50),"-",VLOOKUP($A194,'SegEnds_NonXtal_BW#'!$A:$Z,15,FALSE)+VLOOKUP($A194,A:AL,22,FALSE)-50)</f>
        <v>174</v>
      </c>
      <c r="V194" s="3">
        <v>186</v>
      </c>
      <c r="W194" s="3">
        <f>IF(ISERROR(VLOOKUP($A194,'SegEnds_NonXtal_BW#'!$A:$Z,16,FALSE)+VLOOKUP($A194,A:AL,22,FALSE)-50),"-",(VLOOKUP($A194,'SegEnds_NonXtal_BW#'!$A:$Z,16,FALSE)+VLOOKUP($A194,A:AL,22,FALSE)-50))</f>
        <v>200</v>
      </c>
      <c r="X194" s="3">
        <f>IF(ISERROR(VLOOKUP($A194,'SegEnds_NonXtal_BW#'!$A:$Z,17,FALSE)+VLOOKUP($A194,A:AL,25,FALSE)-50),"-",(VLOOKUP($A194,'SegEnds_NonXtal_BW#'!$A:$Z,17,FALSE)+VLOOKUP($A194,A:AL,25,FALSE)-50))</f>
        <v>219</v>
      </c>
      <c r="Y194" s="3">
        <v>219</v>
      </c>
      <c r="Z194" s="3">
        <f t="shared" si="117"/>
        <v>221</v>
      </c>
      <c r="AA194" s="3">
        <f>IF(ISERROR(VLOOKUP($A194,'SegEnds_NonXtal_BW#'!$A:$Z,19,FALSE)+VLOOKUP($A194,A:AL,28,FALSE)-50),"-",(VLOOKUP($A194,'SegEnds_NonXtal_BW#'!$A:$Z,19,FALSE)+VLOOKUP($A194,A:AL,28,FALSE)-50))</f>
        <v>225</v>
      </c>
      <c r="AB194" s="3">
        <v>243</v>
      </c>
      <c r="AC194" s="3">
        <f>IF(ISERROR((VLOOKUP($A194,'SegEnds_NonXtal_BW#'!$A:$Z,20,FALSE)+VLOOKUP($A194,A:AL,28,FALSE)-50)),"-",(VLOOKUP($A194,'SegEnds_NonXtal_BW#'!$A:$Z,20,FALSE)+VLOOKUP($A194,A:AL,28,FALSE)-50))</f>
        <v>269</v>
      </c>
      <c r="AD194" s="3">
        <f>IF(ISERROR(VLOOKUP($A194,'SegEnds_NonXtal_BW#'!$A:$Z,21,FALSE)+VLOOKUP($A194,A:AL,31,FALSE)-50),"-",(VLOOKUP($A194,'SegEnds_NonXtal_BW#'!$A:$Z,21,FALSE)+VLOOKUP($A194,A:AL,31,FALSE)-50))</f>
        <v>286</v>
      </c>
      <c r="AE194" s="3">
        <v>312</v>
      </c>
      <c r="AF194" s="3">
        <f>IF(ISERROR((VLOOKUP($A194,'SegEnds_NonXtal_BW#'!$A:$Z,22,FALSE)+VLOOKUP($A194,A:AL,31,FALSE)-50)),"-",(VLOOKUP($A194,'SegEnds_NonXtal_BW#'!$A:$Z,22,FALSE)+VLOOKUP($A194,A:AL,31,FALSE)-50))</f>
        <v>323</v>
      </c>
      <c r="AG194" s="3">
        <f>IF(ISERROR(VLOOKUP($A194,'SegEnds_NonXtal_BW#'!$A:$Z,23,FALSE)+VLOOKUP($A194,A:AL,34,FALSE)-50),"-",(VLOOKUP($A194,'SegEnds_NonXtal_BW#'!$A:$Z,23,FALSE)+VLOOKUP($A194,A:AL,34,FALSE)-50))</f>
        <v>331</v>
      </c>
      <c r="AH194" s="3">
        <v>353</v>
      </c>
      <c r="AI194" s="3">
        <f>IF(ISERROR((VLOOKUP($A194,'SegEnds_NonXtal_BW#'!$A:$Z,24,FALSE)+VLOOKUP($A194,A:AL,34,FALSE)-50)),"-",(VLOOKUP($A194,'SegEnds_NonXtal_BW#'!$A:$Z,24,FALSE)+VLOOKUP($A194,A:AL,34,FALSE)-50))</f>
        <v>359</v>
      </c>
      <c r="AJ194" s="3">
        <f>IF(ISERROR(VLOOKUP($A194,'SegEnds_NonXtal_BW#'!$A:$Z,25,FALSE)+VLOOKUP($A194,A:AL,37,FALSE)-50),"-",(VLOOKUP($A194,'SegEnds_NonXtal_BW#'!$A:$Z,25,FALSE)+VLOOKUP($A194,A:AL,37,FALSE)-50))</f>
        <v>360</v>
      </c>
      <c r="AK194" s="3">
        <v>363</v>
      </c>
      <c r="AL194" s="3">
        <f>IF(ISERROR((VLOOKUP($A194,'SegEnds_NonXtal_BW#'!$A:$Z,26,FALSE)+VLOOKUP($A194,A:AL,37,FALSE)-50)),"-",(VLOOKUP($A194,'SegEnds_NonXtal_BW#'!$A:$Z,26,FALSE)+VLOOKUP($A194,A:AL,37,FALSE)-50))</f>
        <v>371</v>
      </c>
      <c r="AM194" s="28" t="str">
        <f>VLOOKUP(A194,Classification!A:B,2,FALSE)</f>
        <v>A</v>
      </c>
      <c r="AN194" s="28" t="b">
        <f t="shared" si="98"/>
        <v>1</v>
      </c>
      <c r="AO194" s="3" t="str">
        <f>IF(ISERROR(MATCH(A194,'SegEnds_Xtal_Prot#'!B:B, 0)), "NoXtal", "Xtal")</f>
        <v>NoXtal</v>
      </c>
      <c r="AP194" s="3">
        <f t="shared" si="81"/>
        <v>1</v>
      </c>
      <c r="AQ194" s="3">
        <f t="shared" si="82"/>
        <v>1</v>
      </c>
      <c r="AR194" s="3">
        <f t="shared" si="83"/>
        <v>2</v>
      </c>
      <c r="AS194" s="3">
        <f t="shared" si="84"/>
        <v>1</v>
      </c>
      <c r="AT194" s="3">
        <f t="shared" si="85"/>
        <v>1</v>
      </c>
      <c r="AU194" s="3">
        <f t="shared" si="86"/>
        <v>1</v>
      </c>
      <c r="AV194" s="3">
        <f t="shared" si="87"/>
        <v>19</v>
      </c>
      <c r="AW194" s="3">
        <f t="shared" si="88"/>
        <v>4</v>
      </c>
      <c r="AX194" s="3">
        <f t="shared" si="89"/>
        <v>17</v>
      </c>
      <c r="AY194" s="3">
        <f t="shared" si="90"/>
        <v>8</v>
      </c>
      <c r="AZ194" s="3">
        <f t="shared" si="91"/>
        <v>1</v>
      </c>
      <c r="BA194" s="3">
        <f>IF(ISERROR(LEN(VLOOKUP(A194,Seqs!A:E,2,FALSE))-AL194),"-",LEN(VLOOKUP(A194,Seqs!A:E,2,FALSE))-AL194)</f>
        <v>55</v>
      </c>
      <c r="BB194" s="16">
        <f t="shared" si="92"/>
        <v>28</v>
      </c>
      <c r="BC194" s="9">
        <f t="shared" si="93"/>
        <v>20</v>
      </c>
      <c r="BD194" s="3">
        <f t="shared" si="94"/>
        <v>28</v>
      </c>
      <c r="BE194" s="3">
        <f t="shared" si="95"/>
        <v>69</v>
      </c>
    </row>
    <row r="195" spans="1:57" s="3" customFormat="1" x14ac:dyDescent="0.2">
      <c r="A195" s="3" t="s">
        <v>319</v>
      </c>
      <c r="B195" s="3" t="str">
        <f>LOWER(VLOOKUP(A195,Xtal_Templ!A:B,2,FALSE))</f>
        <v>ntr1_rat</v>
      </c>
      <c r="C195" s="3">
        <f>VLOOKUP($A195,'SegEnds_NonXtal_BW#'!$A:$Z,3,FALSE)+D195-50</f>
        <v>42</v>
      </c>
      <c r="D195" s="3">
        <v>63</v>
      </c>
      <c r="E195" s="3">
        <f>IF(ISERROR(VLOOKUP($A195,'SegEnds_NonXtal_BW#'!$A:$Z,4,FALSE)+VLOOKUP($A195,A:AL,4,FALSE)-50),"-",(VLOOKUP($A195,'SegEnds_NonXtal_BW#'!$A:$Z,4,FALSE)+VLOOKUP($A195,A:AL,4,FALSE)-50))</f>
        <v>73</v>
      </c>
      <c r="F195" s="3">
        <f t="shared" si="112"/>
        <v>74</v>
      </c>
      <c r="G195" s="3">
        <v>76</v>
      </c>
      <c r="H195" s="3">
        <f t="shared" si="113"/>
        <v>77</v>
      </c>
      <c r="I195" s="3">
        <f t="shared" si="113"/>
        <v>78</v>
      </c>
      <c r="J195" s="3">
        <v>91</v>
      </c>
      <c r="K195" s="3">
        <f>VLOOKUP($A195,'SegEnds_NonXtal_BW#'!$A:$Z,8,FALSE)+VLOOKUP($A195,A:AL,10,FALSE)-50</f>
        <v>107</v>
      </c>
      <c r="L195" s="3">
        <f t="shared" si="114"/>
        <v>109</v>
      </c>
      <c r="M195" s="3">
        <v>110</v>
      </c>
      <c r="N195" s="3">
        <f t="shared" si="115"/>
        <v>112</v>
      </c>
      <c r="O195" s="3">
        <f t="shared" si="116"/>
        <v>113</v>
      </c>
      <c r="P195" s="3">
        <v>144</v>
      </c>
      <c r="Q195" s="3">
        <f>VLOOKUP($A195,'SegEnds_NonXtal_BW#'!$A:$Z,12,FALSE)+VLOOKUP($A195,A:AL,16,FALSE)-50</f>
        <v>150</v>
      </c>
      <c r="R195" s="3">
        <f>IF(ISERROR(VLOOKUP($A195,'SegEnds_NonXtal_BW#'!$A:$Z,13,FALSE)+VLOOKUP($A195,A:AL,19,FALSE)-50),"-",VLOOKUP($A195,'SegEnds_NonXtal_BW#'!$A:$Z,13,FALSE)+VLOOKUP($A195,A:AL,19,FALSE)-50)</f>
        <v>151</v>
      </c>
      <c r="S195" s="3">
        <v>151</v>
      </c>
      <c r="T195" s="100">
        <f>IF(ISERROR(VLOOKUP($A195,'SegEnds_NonXtal_BW#'!$A:$Z,14,FALSE)+VLOOKUP($A195,A:AL,19,FALSE)-50),"-",(VLOOKUP($A195,'SegEnds_NonXtal_BW#'!$A:$Z,14,FALSE)+VLOOKUP($A195,A:AL,19,FALSE)-50))</f>
        <v>158</v>
      </c>
      <c r="U195" s="9">
        <f>IF(ISERROR(VLOOKUP($A195,'SegEnds_NonXtal_BW#'!$A:$Z,15,FALSE)+VLOOKUP($A195,A:AL,22,FALSE)-50),"-",VLOOKUP($A195,'SegEnds_NonXtal_BW#'!$A:$Z,15,FALSE)+VLOOKUP($A195,A:AL,22,FALSE)-50)</f>
        <v>159</v>
      </c>
      <c r="V195" s="3">
        <v>171</v>
      </c>
      <c r="W195" s="3">
        <f>IF(ISERROR(VLOOKUP($A195,'SegEnds_NonXtal_BW#'!$A:$Z,16,FALSE)+VLOOKUP($A195,A:AL,22,FALSE)-50),"-",(VLOOKUP($A195,'SegEnds_NonXtal_BW#'!$A:$Z,16,FALSE)+VLOOKUP($A195,A:AL,22,FALSE)-50))</f>
        <v>185</v>
      </c>
      <c r="X195" s="3">
        <f>IF(ISERROR(VLOOKUP($A195,'SegEnds_NonXtal_BW#'!$A:$Z,17,FALSE)+VLOOKUP($A195,A:AL,25,FALSE)-50),"-",(VLOOKUP($A195,'SegEnds_NonXtal_BW#'!$A:$Z,17,FALSE)+VLOOKUP($A195,A:AL,25,FALSE)-50))</f>
        <v>204</v>
      </c>
      <c r="Y195" s="3">
        <v>204</v>
      </c>
      <c r="Z195" s="3">
        <f t="shared" si="117"/>
        <v>206</v>
      </c>
      <c r="AA195" s="3">
        <f>IF(ISERROR(VLOOKUP($A195,'SegEnds_NonXtal_BW#'!$A:$Z,19,FALSE)+VLOOKUP($A195,A:AL,28,FALSE)-50),"-",(VLOOKUP($A195,'SegEnds_NonXtal_BW#'!$A:$Z,19,FALSE)+VLOOKUP($A195,A:AL,28,FALSE)-50))</f>
        <v>210</v>
      </c>
      <c r="AB195" s="3">
        <v>228</v>
      </c>
      <c r="AC195" s="3">
        <f>IF(ISERROR((VLOOKUP($A195,'SegEnds_NonXtal_BW#'!$A:$Z,20,FALSE)+VLOOKUP($A195,A:AL,28,FALSE)-50)),"-",(VLOOKUP($A195,'SegEnds_NonXtal_BW#'!$A:$Z,20,FALSE)+VLOOKUP($A195,A:AL,28,FALSE)-50))</f>
        <v>251</v>
      </c>
      <c r="AD195" s="3">
        <f>IF(ISERROR(VLOOKUP($A195,'SegEnds_NonXtal_BW#'!$A:$Z,21,FALSE)+VLOOKUP($A195,A:AL,31,FALSE)-50),"-",(VLOOKUP($A195,'SegEnds_NonXtal_BW#'!$A:$Z,21,FALSE)+VLOOKUP($A195,A:AL,31,FALSE)-50))</f>
        <v>255</v>
      </c>
      <c r="AE195" s="3">
        <v>283</v>
      </c>
      <c r="AF195" s="3">
        <f>IF(ISERROR((VLOOKUP($A195,'SegEnds_NonXtal_BW#'!$A:$Z,22,FALSE)+VLOOKUP($A195,A:AL,31,FALSE)-50)),"-",(VLOOKUP($A195,'SegEnds_NonXtal_BW#'!$A:$Z,22,FALSE)+VLOOKUP($A195,A:AL,31,FALSE)-50))</f>
        <v>294</v>
      </c>
      <c r="AG195" s="3">
        <f>IF(ISERROR(VLOOKUP($A195,'SegEnds_NonXtal_BW#'!$A:$Z,23,FALSE)+VLOOKUP($A195,A:AL,34,FALSE)-50),"-",(VLOOKUP($A195,'SegEnds_NonXtal_BW#'!$A:$Z,23,FALSE)+VLOOKUP($A195,A:AL,34,FALSE)-50))</f>
        <v>302</v>
      </c>
      <c r="AH195" s="3">
        <v>324</v>
      </c>
      <c r="AI195" s="3">
        <f>IF(ISERROR((VLOOKUP($A195,'SegEnds_NonXtal_BW#'!$A:$Z,24,FALSE)+VLOOKUP($A195,A:AL,34,FALSE)-50)),"-",(VLOOKUP($A195,'SegEnds_NonXtal_BW#'!$A:$Z,24,FALSE)+VLOOKUP($A195,A:AL,34,FALSE)-50))</f>
        <v>330</v>
      </c>
      <c r="AJ195" s="3">
        <f>IF(ISERROR(VLOOKUP($A195,'SegEnds_NonXtal_BW#'!$A:$Z,25,FALSE)+VLOOKUP($A195,A:AL,37,FALSE)-50),"-",(VLOOKUP($A195,'SegEnds_NonXtal_BW#'!$A:$Z,25,FALSE)+VLOOKUP($A195,A:AL,37,FALSE)-50))</f>
        <v>331</v>
      </c>
      <c r="AK195" s="3">
        <v>334</v>
      </c>
      <c r="AL195" s="3">
        <f>IF(ISERROR((VLOOKUP($A195,'SegEnds_NonXtal_BW#'!$A:$Z,26,FALSE)+VLOOKUP($A195,A:AL,37,FALSE)-50)),"-",(VLOOKUP($A195,'SegEnds_NonXtal_BW#'!$A:$Z,26,FALSE)+VLOOKUP($A195,A:AL,37,FALSE)-50))</f>
        <v>342</v>
      </c>
      <c r="AM195" s="28" t="str">
        <f>VLOOKUP(A195,Classification!A:B,2,FALSE)</f>
        <v>A</v>
      </c>
      <c r="AN195" s="28" t="b">
        <f t="shared" si="98"/>
        <v>1</v>
      </c>
      <c r="AO195" s="3" t="str">
        <f>IF(ISERROR(MATCH(A195,'SegEnds_Xtal_Prot#'!B:B, 0)), "NoXtal", "Xtal")</f>
        <v>NoXtal</v>
      </c>
      <c r="AP195" s="3">
        <f t="shared" si="81"/>
        <v>1</v>
      </c>
      <c r="AQ195" s="3">
        <f t="shared" si="82"/>
        <v>1</v>
      </c>
      <c r="AR195" s="3">
        <f t="shared" si="83"/>
        <v>2</v>
      </c>
      <c r="AS195" s="3">
        <f t="shared" si="84"/>
        <v>1</v>
      </c>
      <c r="AT195" s="3">
        <f t="shared" si="85"/>
        <v>1</v>
      </c>
      <c r="AU195" s="3">
        <f t="shared" si="86"/>
        <v>1</v>
      </c>
      <c r="AV195" s="3">
        <f t="shared" si="87"/>
        <v>19</v>
      </c>
      <c r="AW195" s="3">
        <f t="shared" si="88"/>
        <v>4</v>
      </c>
      <c r="AX195" s="3">
        <f t="shared" si="89"/>
        <v>4</v>
      </c>
      <c r="AY195" s="3">
        <f t="shared" si="90"/>
        <v>8</v>
      </c>
      <c r="AZ195" s="3">
        <f t="shared" si="91"/>
        <v>1</v>
      </c>
      <c r="BA195" s="3">
        <f>IF(ISERROR(LEN(VLOOKUP(A195,Seqs!A:E,2,FALSE))-AL195),"-",LEN(VLOOKUP(A195,Seqs!A:E,2,FALSE))-AL195)</f>
        <v>73</v>
      </c>
      <c r="BB195" s="16">
        <f t="shared" si="92"/>
        <v>28</v>
      </c>
      <c r="BC195" s="9">
        <f t="shared" si="93"/>
        <v>20</v>
      </c>
      <c r="BD195" s="3">
        <f t="shared" si="94"/>
        <v>28</v>
      </c>
      <c r="BE195" s="3">
        <f t="shared" si="95"/>
        <v>55</v>
      </c>
    </row>
    <row r="196" spans="1:57" s="3" customFormat="1" x14ac:dyDescent="0.2">
      <c r="A196" s="3" t="s">
        <v>127</v>
      </c>
      <c r="B196" s="3" t="str">
        <f>LOWER(VLOOKUP(A196,Xtal_Templ!A:B,2,FALSE))</f>
        <v>ntr1_rat</v>
      </c>
      <c r="C196" s="3">
        <f>VLOOKUP($A196,'SegEnds_NonXtal_BW#'!$A:$Z,3,FALSE)+D196-50</f>
        <v>60</v>
      </c>
      <c r="D196" s="3">
        <v>81</v>
      </c>
      <c r="E196" s="3">
        <f>IF(ISERROR(VLOOKUP($A196,'SegEnds_NonXtal_BW#'!$A:$Z,4,FALSE)+VLOOKUP($A196,A:AL,4,FALSE)-50),"-",(VLOOKUP($A196,'SegEnds_NonXtal_BW#'!$A:$Z,4,FALSE)+VLOOKUP($A196,A:AL,4,FALSE)-50))</f>
        <v>91</v>
      </c>
      <c r="F196" s="3">
        <f t="shared" si="112"/>
        <v>92</v>
      </c>
      <c r="G196" s="3">
        <v>94</v>
      </c>
      <c r="H196" s="3">
        <f t="shared" si="113"/>
        <v>95</v>
      </c>
      <c r="I196" s="3">
        <f t="shared" si="113"/>
        <v>96</v>
      </c>
      <c r="J196" s="3">
        <v>112</v>
      </c>
      <c r="K196" s="3">
        <f>VLOOKUP($A196,'SegEnds_NonXtal_BW#'!$A:$Z,8,FALSE)+VLOOKUP($A196,A:AL,10,FALSE)-50</f>
        <v>130</v>
      </c>
      <c r="L196" s="3">
        <f t="shared" si="114"/>
        <v>133</v>
      </c>
      <c r="M196" s="3">
        <v>134</v>
      </c>
      <c r="N196" s="3">
        <f t="shared" si="115"/>
        <v>136</v>
      </c>
      <c r="O196" s="3">
        <f t="shared" si="116"/>
        <v>137</v>
      </c>
      <c r="P196" s="3">
        <v>166</v>
      </c>
      <c r="Q196" s="3">
        <f>VLOOKUP($A196,'SegEnds_NonXtal_BW#'!$A:$Z,12,FALSE)+VLOOKUP($A196,A:AL,16,FALSE)-50</f>
        <v>172</v>
      </c>
      <c r="R196" s="3">
        <f>IF(ISERROR(VLOOKUP($A196,'SegEnds_NonXtal_BW#'!$A:$Z,13,FALSE)+VLOOKUP($A196,A:AL,19,FALSE)-50),"-",VLOOKUP($A196,'SegEnds_NonXtal_BW#'!$A:$Z,13,FALSE)+VLOOKUP($A196,A:AL,19,FALSE)-50)</f>
        <v>173</v>
      </c>
      <c r="S196" s="3">
        <v>173</v>
      </c>
      <c r="T196" s="100">
        <f>IF(ISERROR(VLOOKUP($A196,'SegEnds_NonXtal_BW#'!$A:$Z,14,FALSE)+VLOOKUP($A196,A:AL,19,FALSE)-50),"-",(VLOOKUP($A196,'SegEnds_NonXtal_BW#'!$A:$Z,14,FALSE)+VLOOKUP($A196,A:AL,19,FALSE)-50))</f>
        <v>180</v>
      </c>
      <c r="U196" s="9">
        <f>IF(ISERROR(VLOOKUP($A196,'SegEnds_NonXtal_BW#'!$A:$Z,15,FALSE)+VLOOKUP($A196,A:AL,22,FALSE)-50),"-",VLOOKUP($A196,'SegEnds_NonXtal_BW#'!$A:$Z,15,FALSE)+VLOOKUP($A196,A:AL,22,FALSE)-50)</f>
        <v>181</v>
      </c>
      <c r="V196" s="3">
        <v>193</v>
      </c>
      <c r="W196" s="3">
        <f>IF(ISERROR(VLOOKUP($A196,'SegEnds_NonXtal_BW#'!$A:$Z,16,FALSE)+VLOOKUP($A196,A:AL,22,FALSE)-50),"-",(VLOOKUP($A196,'SegEnds_NonXtal_BW#'!$A:$Z,16,FALSE)+VLOOKUP($A196,A:AL,22,FALSE)-50))</f>
        <v>207</v>
      </c>
      <c r="X196" s="3">
        <f>IF(ISERROR(VLOOKUP($A196,'SegEnds_NonXtal_BW#'!$A:$Z,17,FALSE)+VLOOKUP($A196,A:AL,25,FALSE)-50),"-",(VLOOKUP($A196,'SegEnds_NonXtal_BW#'!$A:$Z,17,FALSE)+VLOOKUP($A196,A:AL,25,FALSE)-50))</f>
        <v>224</v>
      </c>
      <c r="Y196" s="3">
        <v>224</v>
      </c>
      <c r="Z196" s="3">
        <f t="shared" si="117"/>
        <v>226</v>
      </c>
      <c r="AA196" s="3">
        <f>IF(ISERROR(VLOOKUP($A196,'SegEnds_NonXtal_BW#'!$A:$Z,19,FALSE)+VLOOKUP($A196,A:AL,28,FALSE)-50),"-",(VLOOKUP($A196,'SegEnds_NonXtal_BW#'!$A:$Z,19,FALSE)+VLOOKUP($A196,A:AL,28,FALSE)-50))</f>
        <v>230</v>
      </c>
      <c r="AB196" s="3">
        <v>248</v>
      </c>
      <c r="AC196" s="3">
        <f>IF(ISERROR((VLOOKUP($A196,'SegEnds_NonXtal_BW#'!$A:$Z,20,FALSE)+VLOOKUP($A196,A:AL,28,FALSE)-50)),"-",(VLOOKUP($A196,'SegEnds_NonXtal_BW#'!$A:$Z,20,FALSE)+VLOOKUP($A196,A:AL,28,FALSE)-50))</f>
        <v>274</v>
      </c>
      <c r="AD196" s="3">
        <f>IF(ISERROR(VLOOKUP($A196,'SegEnds_NonXtal_BW#'!$A:$Z,21,FALSE)+VLOOKUP($A196,A:AL,31,FALSE)-50),"-",(VLOOKUP($A196,'SegEnds_NonXtal_BW#'!$A:$Z,21,FALSE)+VLOOKUP($A196,A:AL,31,FALSE)-50))</f>
        <v>292</v>
      </c>
      <c r="AE196" s="3">
        <v>318</v>
      </c>
      <c r="AF196" s="3">
        <f>IF(ISERROR((VLOOKUP($A196,'SegEnds_NonXtal_BW#'!$A:$Z,22,FALSE)+VLOOKUP($A196,A:AL,31,FALSE)-50)),"-",(VLOOKUP($A196,'SegEnds_NonXtal_BW#'!$A:$Z,22,FALSE)+VLOOKUP($A196,A:AL,31,FALSE)-50))</f>
        <v>329</v>
      </c>
      <c r="AG196" s="3">
        <f>IF(ISERROR(VLOOKUP($A196,'SegEnds_NonXtal_BW#'!$A:$Z,23,FALSE)+VLOOKUP($A196,A:AL,34,FALSE)-50),"-",(VLOOKUP($A196,'SegEnds_NonXtal_BW#'!$A:$Z,23,FALSE)+VLOOKUP($A196,A:AL,34,FALSE)-50))</f>
        <v>335</v>
      </c>
      <c r="AH196" s="3">
        <v>361</v>
      </c>
      <c r="AI196" s="3">
        <f>IF(ISERROR((VLOOKUP($A196,'SegEnds_NonXtal_BW#'!$A:$Z,24,FALSE)+VLOOKUP($A196,A:AL,34,FALSE)-50)),"-",(VLOOKUP($A196,'SegEnds_NonXtal_BW#'!$A:$Z,24,FALSE)+VLOOKUP($A196,A:AL,34,FALSE)-50))</f>
        <v>367</v>
      </c>
      <c r="AJ196" s="3">
        <f>IF(ISERROR(VLOOKUP($A196,'SegEnds_NonXtal_BW#'!$A:$Z,25,FALSE)+VLOOKUP($A196,A:AL,37,FALSE)-50),"-",(VLOOKUP($A196,'SegEnds_NonXtal_BW#'!$A:$Z,25,FALSE)+VLOOKUP($A196,A:AL,37,FALSE)-50))</f>
        <v>368</v>
      </c>
      <c r="AK196" s="3">
        <v>371</v>
      </c>
      <c r="AL196" s="3">
        <f>IF(ISERROR((VLOOKUP($A196,'SegEnds_NonXtal_BW#'!$A:$Z,26,FALSE)+VLOOKUP($A196,A:AL,37,FALSE)-50)),"-",(VLOOKUP($A196,'SegEnds_NonXtal_BW#'!$A:$Z,26,FALSE)+VLOOKUP($A196,A:AL,37,FALSE)-50))</f>
        <v>379</v>
      </c>
      <c r="AM196" s="28" t="str">
        <f>VLOOKUP(A196,Classification!A:B,2,FALSE)</f>
        <v>A</v>
      </c>
      <c r="AN196" s="28" t="b">
        <f t="shared" si="98"/>
        <v>1</v>
      </c>
      <c r="AO196" s="3" t="str">
        <f>IF(ISERROR(MATCH(A196,'SegEnds_Xtal_Prot#'!B:B, 0)), "NoXtal", "Xtal")</f>
        <v>NoXtal</v>
      </c>
      <c r="AP196" s="3">
        <f t="shared" ref="AP196:AP259" si="118">IF(ISERROR(F196-E196),"-",F196-E196)</f>
        <v>1</v>
      </c>
      <c r="AQ196" s="3">
        <f t="shared" ref="AQ196:AQ259" si="119">IF(ISERROR(I196-H196),"-",I196-H196)</f>
        <v>1</v>
      </c>
      <c r="AR196" s="3">
        <f t="shared" ref="AR196:AR259" si="120">IF(ISERROR(L196-K196),"-",L196-K196)</f>
        <v>3</v>
      </c>
      <c r="AS196" s="3">
        <f t="shared" ref="AS196:AS259" si="121">IF(ISERROR(O196-N196),"-",O196-N196)</f>
        <v>1</v>
      </c>
      <c r="AT196" s="3">
        <f t="shared" ref="AT196:AT259" si="122">IF(ISERROR(R196-Q196),"-",R196-Q196)</f>
        <v>1</v>
      </c>
      <c r="AU196" s="3">
        <f t="shared" ref="AU196:AU259" si="123">IF(ISERROR(U196-T196),"-",U196-T196)</f>
        <v>1</v>
      </c>
      <c r="AV196" s="3">
        <f t="shared" ref="AV196:AV259" si="124">IF(ISERROR(X196-W196),"-",X196-W196)</f>
        <v>17</v>
      </c>
      <c r="AW196" s="3">
        <f t="shared" ref="AW196:AW259" si="125">IF(ISERROR(AA196-Z196),"-",AA196-Z196)</f>
        <v>4</v>
      </c>
      <c r="AX196" s="3">
        <f t="shared" ref="AX196:AX259" si="126">IF(ISERROR(AD196-AC196),"-",AD196-AC196)</f>
        <v>18</v>
      </c>
      <c r="AY196" s="3">
        <f t="shared" ref="AY196:AY259" si="127">IF(ISERROR(AG196-AF196),"-",AG196-AF196)</f>
        <v>6</v>
      </c>
      <c r="AZ196" s="3">
        <f t="shared" ref="AZ196:AZ259" si="128">IF(ISERROR(AJ196-AI196),"-",AJ196-AI196)</f>
        <v>1</v>
      </c>
      <c r="BA196" s="3">
        <f>IF(ISERROR(LEN(VLOOKUP(A196,Seqs!A:E,2,FALSE))-AL196),"-",LEN(VLOOKUP(A196,Seqs!A:E,2,FALSE))-AL196)</f>
        <v>39</v>
      </c>
      <c r="BB196" s="16">
        <f t="shared" ref="BB196:BB259" si="129">J196-D196</f>
        <v>31</v>
      </c>
      <c r="BC196" s="9">
        <f t="shared" ref="BC196:BC259" si="130">IF(ISERROR(V196-S196),"-",V196-S196)</f>
        <v>20</v>
      </c>
      <c r="BD196" s="3">
        <f t="shared" ref="BD196:BD259" si="131">J196-D196</f>
        <v>31</v>
      </c>
      <c r="BE196" s="3">
        <f t="shared" ref="BE196:BE259" si="132">AE196-AB196</f>
        <v>70</v>
      </c>
    </row>
    <row r="197" spans="1:57" s="3" customFormat="1" x14ac:dyDescent="0.2">
      <c r="A197" s="3" t="s">
        <v>914</v>
      </c>
      <c r="B197" s="3" t="str">
        <f>LOWER(VLOOKUP(A197,Xtal_Templ!A:B,2,FALSE))</f>
        <v>ntr1_rat</v>
      </c>
      <c r="C197" s="3">
        <f>VLOOKUP($A197,'SegEnds_NonXtal_BW#'!$A:$Z,3,FALSE)+D197-50</f>
        <v>61</v>
      </c>
      <c r="D197" s="3">
        <v>82</v>
      </c>
      <c r="E197" s="3">
        <f>IF(ISERROR(VLOOKUP($A197,'SegEnds_NonXtal_BW#'!$A:$Z,4,FALSE)+VLOOKUP($A197,A:AL,4,FALSE)-50),"-",(VLOOKUP($A197,'SegEnds_NonXtal_BW#'!$A:$Z,4,FALSE)+VLOOKUP($A197,A:AL,4,FALSE)-50))</f>
        <v>92</v>
      </c>
      <c r="F197" s="3">
        <f t="shared" si="112"/>
        <v>93</v>
      </c>
      <c r="G197" s="3">
        <v>95</v>
      </c>
      <c r="H197" s="3">
        <f t="shared" si="113"/>
        <v>96</v>
      </c>
      <c r="I197" s="3">
        <f t="shared" si="113"/>
        <v>97</v>
      </c>
      <c r="J197" s="3">
        <v>113</v>
      </c>
      <c r="K197" s="3">
        <f>VLOOKUP($A197,'SegEnds_NonXtal_BW#'!$A:$Z,8,FALSE)+VLOOKUP($A197,A:AL,10,FALSE)-50</f>
        <v>131</v>
      </c>
      <c r="L197" s="3">
        <f>IF(ISERROR(VLOOKUP($A197,'SegEnds_NonXtal_BW#'!$A:$Z,9,FALSE)+VLOOKUP($A197,A:AL,13,FALSE)-50),"-",(VLOOKUP($A197,'SegEnds_NonXtal_BW#'!$A:$Z,9,FALSE)+VLOOKUP($A197,A:AL,13,FALSE)-50))</f>
        <v>134</v>
      </c>
      <c r="M197" s="3">
        <v>135</v>
      </c>
      <c r="N197" s="3">
        <f>IF(ISERROR(VLOOKUP($A197,'SegEnds_NonXtal_BW#'!$A:$Z,10,FALSE)+VLOOKUP($A197,A:AL,13,FALSE)-50),"-",(VLOOKUP($A197,'SegEnds_NonXtal_BW#'!$A:$Z,10,FALSE)+VLOOKUP($A197,A:AL,13,FALSE)-50))</f>
        <v>137</v>
      </c>
      <c r="O197" s="3">
        <f t="shared" si="116"/>
        <v>138</v>
      </c>
      <c r="P197" s="3">
        <v>167</v>
      </c>
      <c r="Q197" s="3">
        <f>VLOOKUP($A197,'SegEnds_NonXtal_BW#'!$A:$Z,12,FALSE)+VLOOKUP($A197,A:AL,16,FALSE)-50</f>
        <v>173</v>
      </c>
      <c r="R197" s="3">
        <f>IF(ISERROR(VLOOKUP($A197,'SegEnds_NonXtal_BW#'!$A:$Z,13,FALSE)+VLOOKUP($A197,A:AL,19,FALSE)-50),"-",VLOOKUP($A197,'SegEnds_NonXtal_BW#'!$A:$Z,13,FALSE)+VLOOKUP($A197,A:AL,19,FALSE)-50)</f>
        <v>174</v>
      </c>
      <c r="S197" s="3">
        <v>174</v>
      </c>
      <c r="T197" s="100">
        <f>IF(ISERROR(VLOOKUP($A197,'SegEnds_NonXtal_BW#'!$A:$Z,14,FALSE)+VLOOKUP($A197,A:AL,19,FALSE)-50),"-",(VLOOKUP($A197,'SegEnds_NonXtal_BW#'!$A:$Z,14,FALSE)+VLOOKUP($A197,A:AL,19,FALSE)-50))</f>
        <v>181</v>
      </c>
      <c r="U197" s="9">
        <f>IF(ISERROR(VLOOKUP($A197,'SegEnds_NonXtal_BW#'!$A:$Z,15,FALSE)+VLOOKUP($A197,A:AL,22,FALSE)-50),"-",VLOOKUP($A197,'SegEnds_NonXtal_BW#'!$A:$Z,15,FALSE)+VLOOKUP($A197,A:AL,22,FALSE)-50)</f>
        <v>182</v>
      </c>
      <c r="V197" s="3">
        <v>194</v>
      </c>
      <c r="W197" s="3">
        <f>IF(ISERROR(VLOOKUP($A197,'SegEnds_NonXtal_BW#'!$A:$Z,16,FALSE)+VLOOKUP($A197,A:AL,22,FALSE)-50),"-",(VLOOKUP($A197,'SegEnds_NonXtal_BW#'!$A:$Z,16,FALSE)+VLOOKUP($A197,A:AL,22,FALSE)-50))</f>
        <v>208</v>
      </c>
      <c r="X197" s="3">
        <f>IF(ISERROR(VLOOKUP($A197,'SegEnds_NonXtal_BW#'!$A:$Z,17,FALSE)+VLOOKUP($A197,A:AL,25,FALSE)-50),"-",(VLOOKUP($A197,'SegEnds_NonXtal_BW#'!$A:$Z,17,FALSE)+VLOOKUP($A197,A:AL,25,FALSE)-50))</f>
        <v>225</v>
      </c>
      <c r="Y197" s="3">
        <v>225</v>
      </c>
      <c r="Z197" s="3">
        <f t="shared" si="117"/>
        <v>227</v>
      </c>
      <c r="AA197" s="3">
        <f>IF(ISERROR(VLOOKUP($A197,'SegEnds_NonXtal_BW#'!$A:$Z,19,FALSE)+VLOOKUP($A197,A:AL,28,FALSE)-50),"-",(VLOOKUP($A197,'SegEnds_NonXtal_BW#'!$A:$Z,19,FALSE)+VLOOKUP($A197,A:AL,28,FALSE)-50))</f>
        <v>231</v>
      </c>
      <c r="AB197" s="3">
        <v>249</v>
      </c>
      <c r="AC197" s="3">
        <f>IF(ISERROR((VLOOKUP($A197,'SegEnds_NonXtal_BW#'!$A:$Z,20,FALSE)+VLOOKUP($A197,A:AL,28,FALSE)-50)),"-",(VLOOKUP($A197,'SegEnds_NonXtal_BW#'!$A:$Z,20,FALSE)+VLOOKUP($A197,A:AL,28,FALSE)-50))</f>
        <v>275</v>
      </c>
      <c r="AD197" s="3">
        <f>IF(ISERROR(VLOOKUP($A197,'SegEnds_NonXtal_BW#'!$A:$Z,21,FALSE)+VLOOKUP($A197,A:AL,31,FALSE)-50),"-",(VLOOKUP($A197,'SegEnds_NonXtal_BW#'!$A:$Z,21,FALSE)+VLOOKUP($A197,A:AL,31,FALSE)-50))</f>
        <v>297</v>
      </c>
      <c r="AE197" s="3">
        <v>323</v>
      </c>
      <c r="AF197" s="3">
        <f>IF(ISERROR((VLOOKUP($A197,'SegEnds_NonXtal_BW#'!$A:$Z,22,FALSE)+VLOOKUP($A197,A:AL,31,FALSE)-50)),"-",(VLOOKUP($A197,'SegEnds_NonXtal_BW#'!$A:$Z,22,FALSE)+VLOOKUP($A197,A:AL,31,FALSE)-50))</f>
        <v>334</v>
      </c>
      <c r="AG197" s="3">
        <f>IF(ISERROR(VLOOKUP($A197,'SegEnds_NonXtal_BW#'!$A:$Z,23,FALSE)+VLOOKUP($A197,A:AL,34,FALSE)-50),"-",(VLOOKUP($A197,'SegEnds_NonXtal_BW#'!$A:$Z,23,FALSE)+VLOOKUP($A197,A:AL,34,FALSE)-50))</f>
        <v>340</v>
      </c>
      <c r="AH197" s="3">
        <v>366</v>
      </c>
      <c r="AI197" s="3">
        <f>IF(ISERROR((VLOOKUP($A197,'SegEnds_NonXtal_BW#'!$A:$Z,24,FALSE)+VLOOKUP($A197,A:AL,34,FALSE)-50)),"-",(VLOOKUP($A197,'SegEnds_NonXtal_BW#'!$A:$Z,24,FALSE)+VLOOKUP($A197,A:AL,34,FALSE)-50))</f>
        <v>372</v>
      </c>
      <c r="AJ197" s="3">
        <f>IF(ISERROR(VLOOKUP($A197,'SegEnds_NonXtal_BW#'!$A:$Z,25,FALSE)+VLOOKUP($A197,A:AL,37,FALSE)-50),"-",(VLOOKUP($A197,'SegEnds_NonXtal_BW#'!$A:$Z,25,FALSE)+VLOOKUP($A197,A:AL,37,FALSE)-50))</f>
        <v>373</v>
      </c>
      <c r="AK197" s="3">
        <v>376</v>
      </c>
      <c r="AL197" s="3">
        <f>IF(ISERROR((VLOOKUP($A197,'SegEnds_NonXtal_BW#'!$A:$Z,26,FALSE)+VLOOKUP($A197,A:AL,37,FALSE)-50)),"-",(VLOOKUP($A197,'SegEnds_NonXtal_BW#'!$A:$Z,26,FALSE)+VLOOKUP($A197,A:AL,37,FALSE)-50))</f>
        <v>384</v>
      </c>
      <c r="AM197" s="28" t="str">
        <f>VLOOKUP(A197,Classification!A:B,2,FALSE)</f>
        <v>A</v>
      </c>
      <c r="AN197" s="28" t="b">
        <f t="shared" ref="AN197:AN260" si="133">AND(IF(Y197="-",IF(AA197-W197&gt;3,TRUE,FALSE),TRUE),IF(M197="-",IF(O197-K197&gt;3,TRUE,FALSE),TRUE),IF(AG197-AF197&gt;1,TRUE,FALSE),C197&lt;E197,OR(E197&lt;F197,F197="-"),OR(F197&lt;H197,F197="-"),OR(H197&lt;I197,H197="-"),I197&lt;K197,OR(K197&lt;L197,L197="-"),OR(L197&lt;N197,L197="-"),OR(N197&lt;O197,N197="-"),O197&lt;Q197,OR(Q197&lt;R197,R197="-"),OR(R197&lt;T197,R197="-"),OR(T197&lt;U197,T197="-"),U197&lt;W197,OR(W197&lt;X197,X197="-"),OR(X197&lt;Z197,X197="-"),OR(Z197&lt;AA197,Z197="-"),AA197&lt;AC197,AC197&lt;AD197,AD197&lt;AF197,AF197&lt;AG197,AG197&lt;AI197,OR(AI197&lt;AJ197,AJ197="-"),OR(AJ197&lt;AL197,AJ197="-"))</f>
        <v>1</v>
      </c>
      <c r="AO197" s="3" t="str">
        <f>IF(ISERROR(MATCH(A197,'SegEnds_Xtal_Prot#'!B:B, 0)), "NoXtal", "Xtal")</f>
        <v>Xtal</v>
      </c>
      <c r="AP197" s="3">
        <f t="shared" si="118"/>
        <v>1</v>
      </c>
      <c r="AQ197" s="3">
        <f t="shared" si="119"/>
        <v>1</v>
      </c>
      <c r="AR197" s="3">
        <f t="shared" si="120"/>
        <v>3</v>
      </c>
      <c r="AS197" s="3">
        <f t="shared" si="121"/>
        <v>1</v>
      </c>
      <c r="AT197" s="3">
        <f t="shared" si="122"/>
        <v>1</v>
      </c>
      <c r="AU197" s="3">
        <f t="shared" si="123"/>
        <v>1</v>
      </c>
      <c r="AV197" s="3">
        <f t="shared" si="124"/>
        <v>17</v>
      </c>
      <c r="AW197" s="3">
        <f t="shared" si="125"/>
        <v>4</v>
      </c>
      <c r="AX197" s="3">
        <f t="shared" si="126"/>
        <v>22</v>
      </c>
      <c r="AY197" s="3">
        <f t="shared" si="127"/>
        <v>6</v>
      </c>
      <c r="AZ197" s="3">
        <f t="shared" si="128"/>
        <v>1</v>
      </c>
      <c r="BA197" s="3">
        <f>IF(ISERROR(LEN(VLOOKUP(A197,Seqs!A:E,2,FALSE))-AL197),"-",LEN(VLOOKUP(A197,Seqs!A:E,2,FALSE))-AL197)</f>
        <v>40</v>
      </c>
      <c r="BB197" s="16">
        <f t="shared" si="129"/>
        <v>31</v>
      </c>
      <c r="BC197" s="9">
        <f t="shared" si="130"/>
        <v>20</v>
      </c>
      <c r="BD197" s="3">
        <f t="shared" si="131"/>
        <v>31</v>
      </c>
      <c r="BE197" s="3">
        <f t="shared" si="132"/>
        <v>74</v>
      </c>
    </row>
    <row r="198" spans="1:57" s="3" customFormat="1" x14ac:dyDescent="0.2">
      <c r="A198" s="3" t="s">
        <v>330</v>
      </c>
      <c r="B198" s="3" t="str">
        <f>LOWER(VLOOKUP(A198,Xtal_Templ!A:B,2,FALSE))</f>
        <v>ntr1_rat</v>
      </c>
      <c r="C198" s="3">
        <f>VLOOKUP($A198,'SegEnds_NonXtal_BW#'!$A:$Z,3,FALSE)+D198-50</f>
        <v>29</v>
      </c>
      <c r="D198" s="3">
        <v>50</v>
      </c>
      <c r="E198" s="3">
        <f>IF(ISERROR(VLOOKUP($A198,'SegEnds_NonXtal_BW#'!$A:$Z,4,FALSE)+VLOOKUP($A198,A:AL,4,FALSE)-50),"-",(VLOOKUP($A198,'SegEnds_NonXtal_BW#'!$A:$Z,4,FALSE)+VLOOKUP($A198,A:AL,4,FALSE)-50))</f>
        <v>60</v>
      </c>
      <c r="F198" s="3" t="str">
        <f>IF(ISERROR(VLOOKUP($A198,'SegEnds_NonXtal_BW#'!$A:$Z,5,FALSE)+VLOOKUP($A198,A:AL,7,FALSE)-50),"-",(VLOOKUP($A198,'SegEnds_NonXtal_BW#'!$A:$Z,5,FALSE)+VLOOKUP($A198,A:AL,7,FALSE)-50))</f>
        <v>-</v>
      </c>
      <c r="G198" s="3" t="s">
        <v>23</v>
      </c>
      <c r="H198" s="3" t="str">
        <f>IF(ISERROR(VLOOKUP($A198,'SegEnds_NonXtal_BW#'!$A:$Z,6,FALSE)+VLOOKUP($A198,A:AL,7,FALSE)-50),"-",(VLOOKUP($A198,'SegEnds_NonXtal_BW#'!$A:$Z,6,FALSE)+VLOOKUP($A198,A:AL,7,FALSE)-50))</f>
        <v>-</v>
      </c>
      <c r="I198" s="3">
        <f>VLOOKUP($A198,'SegEnds_NonXtal_BW#'!$A:$Z,7,FALSE)+J198-50</f>
        <v>66</v>
      </c>
      <c r="J198" s="3">
        <v>79</v>
      </c>
      <c r="K198" s="3">
        <f>VLOOKUP($A198,'SegEnds_NonXtal_BW#'!$A:$Z,8,FALSE)+VLOOKUP($A198,A:AL,10,FALSE)-50</f>
        <v>97</v>
      </c>
      <c r="L198" s="3">
        <f>M198-1</f>
        <v>100</v>
      </c>
      <c r="M198" s="3">
        <v>101</v>
      </c>
      <c r="N198" s="3">
        <f>M198+2</f>
        <v>103</v>
      </c>
      <c r="O198" s="3">
        <f t="shared" si="116"/>
        <v>104</v>
      </c>
      <c r="P198" s="3">
        <v>133</v>
      </c>
      <c r="Q198" s="3">
        <f>VLOOKUP($A198,'SegEnds_NonXtal_BW#'!$A:$Z,12,FALSE)+VLOOKUP($A198,A:AL,16,FALSE)-50</f>
        <v>139</v>
      </c>
      <c r="R198" s="3">
        <f>IF(ISERROR(VLOOKUP($A198,'SegEnds_NonXtal_BW#'!$A:$Z,13,FALSE)+VLOOKUP($A198,A:AL,19,FALSE)-50),"-",VLOOKUP($A198,'SegEnds_NonXtal_BW#'!$A:$Z,13,FALSE)+VLOOKUP($A198,A:AL,19,FALSE)-50)</f>
        <v>140</v>
      </c>
      <c r="S198" s="3">
        <v>140</v>
      </c>
      <c r="T198" s="100">
        <f>IF(ISERROR(VLOOKUP($A198,'SegEnds_NonXtal_BW#'!$A:$Z,14,FALSE)+VLOOKUP($A198,A:AL,19,FALSE)-50),"-",(VLOOKUP($A198,'SegEnds_NonXtal_BW#'!$A:$Z,14,FALSE)+VLOOKUP($A198,A:AL,19,FALSE)-50))</f>
        <v>147</v>
      </c>
      <c r="U198" s="9">
        <f>IF(ISERROR(VLOOKUP($A198,'SegEnds_NonXtal_BW#'!$A:$Z,15,FALSE)+VLOOKUP($A198,A:AL,22,FALSE)-50),"-",VLOOKUP($A198,'SegEnds_NonXtal_BW#'!$A:$Z,15,FALSE)+VLOOKUP($A198,A:AL,22,FALSE)-50)</f>
        <v>148</v>
      </c>
      <c r="V198" s="3">
        <v>160</v>
      </c>
      <c r="W198" s="3">
        <f>IF(ISERROR(VLOOKUP($A198,'SegEnds_NonXtal_BW#'!$A:$Z,16,FALSE)+VLOOKUP($A198,A:AL,22,FALSE)-50),"-",(VLOOKUP($A198,'SegEnds_NonXtal_BW#'!$A:$Z,16,FALSE)+VLOOKUP($A198,A:AL,22,FALSE)-50))</f>
        <v>174</v>
      </c>
      <c r="X198" s="3">
        <f>IF(ISERROR(VLOOKUP($A198,'SegEnds_NonXtal_BW#'!$A:$Z,17,FALSE)+VLOOKUP($A198,A:AL,25,FALSE)-50),"-",(VLOOKUP($A198,'SegEnds_NonXtal_BW#'!$A:$Z,17,FALSE)+VLOOKUP($A198,A:AL,25,FALSE)-50))</f>
        <v>194</v>
      </c>
      <c r="Y198" s="3">
        <v>194</v>
      </c>
      <c r="Z198" s="3">
        <f t="shared" si="117"/>
        <v>196</v>
      </c>
      <c r="AA198" s="3">
        <f>IF(ISERROR(VLOOKUP($A198,'SegEnds_NonXtal_BW#'!$A:$Z,19,FALSE)+VLOOKUP($A198,A:AL,28,FALSE)-50),"-",(VLOOKUP($A198,'SegEnds_NonXtal_BW#'!$A:$Z,19,FALSE)+VLOOKUP($A198,A:AL,28,FALSE)-50))</f>
        <v>200</v>
      </c>
      <c r="AB198" s="3">
        <v>218</v>
      </c>
      <c r="AC198" s="3">
        <f>IF(ISERROR((VLOOKUP($A198,'SegEnds_NonXtal_BW#'!$A:$Z,20,FALSE)+VLOOKUP($A198,A:AL,28,FALSE)-50)),"-",(VLOOKUP($A198,'SegEnds_NonXtal_BW#'!$A:$Z,20,FALSE)+VLOOKUP($A198,A:AL,28,FALSE)-50))</f>
        <v>242</v>
      </c>
      <c r="AD198" s="3">
        <f>IF(ISERROR(VLOOKUP($A198,'SegEnds_NonXtal_BW#'!$A:$Z,21,FALSE)+VLOOKUP($A198,A:AL,31,FALSE)-50),"-",(VLOOKUP($A198,'SegEnds_NonXtal_BW#'!$A:$Z,21,FALSE)+VLOOKUP($A198,A:AL,31,FALSE)-50))</f>
        <v>286</v>
      </c>
      <c r="AE198" s="3">
        <v>312</v>
      </c>
      <c r="AF198" s="3">
        <f>IF(ISERROR((VLOOKUP($A198,'SegEnds_NonXtal_BW#'!$A:$Z,22,FALSE)+VLOOKUP($A198,A:AL,31,FALSE)-50)),"-",(VLOOKUP($A198,'SegEnds_NonXtal_BW#'!$A:$Z,22,FALSE)+VLOOKUP($A198,A:AL,31,FALSE)-50))</f>
        <v>323</v>
      </c>
      <c r="AG198" s="3">
        <f>IF(ISERROR(VLOOKUP($A198,'SegEnds_NonXtal_BW#'!$A:$Z,23,FALSE)+VLOOKUP($A198,A:AL,34,FALSE)-50),"-",(VLOOKUP($A198,'SegEnds_NonXtal_BW#'!$A:$Z,23,FALSE)+VLOOKUP($A198,A:AL,34,FALSE)-50))</f>
        <v>329</v>
      </c>
      <c r="AH198" s="3">
        <v>355</v>
      </c>
      <c r="AI198" s="3">
        <f>IF(ISERROR((VLOOKUP($A198,'SegEnds_NonXtal_BW#'!$A:$Z,24,FALSE)+VLOOKUP($A198,A:AL,34,FALSE)-50)),"-",(VLOOKUP($A198,'SegEnds_NonXtal_BW#'!$A:$Z,24,FALSE)+VLOOKUP($A198,A:AL,34,FALSE)-50))</f>
        <v>361</v>
      </c>
      <c r="AJ198" s="3">
        <f>IF(ISERROR(VLOOKUP($A198,'SegEnds_NonXtal_BW#'!$A:$Z,25,FALSE)+VLOOKUP($A198,A:AL,37,FALSE)-50),"-",(VLOOKUP($A198,'SegEnds_NonXtal_BW#'!$A:$Z,25,FALSE)+VLOOKUP($A198,A:AL,37,FALSE)-50))</f>
        <v>362</v>
      </c>
      <c r="AK198" s="3">
        <v>365</v>
      </c>
      <c r="AL198" s="3">
        <f>IF(ISERROR((VLOOKUP($A198,'SegEnds_NonXtal_BW#'!$A:$Z,26,FALSE)+VLOOKUP($A198,A:AL,37,FALSE)-50)),"-",(VLOOKUP($A198,'SegEnds_NonXtal_BW#'!$A:$Z,26,FALSE)+VLOOKUP($A198,A:AL,37,FALSE)-50))</f>
        <v>373</v>
      </c>
      <c r="AM198" s="28" t="str">
        <f>VLOOKUP(A198,Classification!A:B,2,FALSE)</f>
        <v>A</v>
      </c>
      <c r="AN198" s="28" t="b">
        <f t="shared" si="133"/>
        <v>1</v>
      </c>
      <c r="AO198" s="3" t="str">
        <f>IF(ISERROR(MATCH(A198,'SegEnds_Xtal_Prot#'!B:B, 0)), "NoXtal", "Xtal")</f>
        <v>NoXtal</v>
      </c>
      <c r="AP198" s="3" t="str">
        <f t="shared" si="118"/>
        <v>-</v>
      </c>
      <c r="AQ198" s="3" t="str">
        <f t="shared" si="119"/>
        <v>-</v>
      </c>
      <c r="AR198" s="3">
        <f t="shared" si="120"/>
        <v>3</v>
      </c>
      <c r="AS198" s="3">
        <f t="shared" si="121"/>
        <v>1</v>
      </c>
      <c r="AT198" s="3">
        <f t="shared" si="122"/>
        <v>1</v>
      </c>
      <c r="AU198" s="3">
        <f t="shared" si="123"/>
        <v>1</v>
      </c>
      <c r="AV198" s="3">
        <f t="shared" si="124"/>
        <v>20</v>
      </c>
      <c r="AW198" s="3">
        <f t="shared" si="125"/>
        <v>4</v>
      </c>
      <c r="AX198" s="3">
        <f t="shared" si="126"/>
        <v>44</v>
      </c>
      <c r="AY198" s="3">
        <f t="shared" si="127"/>
        <v>6</v>
      </c>
      <c r="AZ198" s="3">
        <f t="shared" si="128"/>
        <v>1</v>
      </c>
      <c r="BA198" s="3">
        <f>IF(ISERROR(LEN(VLOOKUP(A198,Seqs!A:E,2,FALSE))-AL198),"-",LEN(VLOOKUP(A198,Seqs!A:E,2,FALSE))-AL198)</f>
        <v>37</v>
      </c>
      <c r="BB198" s="16">
        <f t="shared" si="129"/>
        <v>29</v>
      </c>
      <c r="BC198" s="9">
        <f t="shared" si="130"/>
        <v>20</v>
      </c>
      <c r="BD198" s="3">
        <f t="shared" si="131"/>
        <v>29</v>
      </c>
      <c r="BE198" s="3">
        <f t="shared" si="132"/>
        <v>94</v>
      </c>
    </row>
    <row r="199" spans="1:57" s="3" customFormat="1" x14ac:dyDescent="0.2">
      <c r="A199" s="3" t="s">
        <v>331</v>
      </c>
      <c r="B199" s="3" t="str">
        <f>LOWER(VLOOKUP(A199,Xtal_Templ!A:B,2,FALSE))</f>
        <v>agtr2_human</v>
      </c>
      <c r="C199" s="3">
        <f>VLOOKUP($A199,'SegEnds_NonXtal_BW#'!$A:$Z,3,FALSE)+D199-50</f>
        <v>22</v>
      </c>
      <c r="D199" s="3">
        <v>39</v>
      </c>
      <c r="E199" s="3">
        <f>IF(ISERROR(VLOOKUP($A199,'SegEnds_NonXtal_BW#'!$A:$Z,4,FALSE)+VLOOKUP($A199,A:AL,4,FALSE)-50),"-",(VLOOKUP($A199,'SegEnds_NonXtal_BW#'!$A:$Z,4,FALSE)+VLOOKUP($A199,A:AL,4,FALSE)-50))</f>
        <v>49</v>
      </c>
      <c r="F199" s="3">
        <f>IF(ISERROR(VLOOKUP($A199,'SegEnds_NonXtal_BW#'!$A:$Z,5,FALSE)+VLOOKUP($A199,A:AL,7,FALSE)-50),"-",(VLOOKUP($A199,'SegEnds_NonXtal_BW#'!$A:$Z,5,FALSE)+VLOOKUP($A199,A:AL,7,FALSE)-50))</f>
        <v>50</v>
      </c>
      <c r="G199" s="3">
        <v>52</v>
      </c>
      <c r="H199" s="3">
        <f>IF(ISERROR(VLOOKUP($A199,'SegEnds_NonXtal_BW#'!$A:$Z,6,FALSE)+VLOOKUP($A199,A:AL,7,FALSE)-50),"-",(VLOOKUP($A199,'SegEnds_NonXtal_BW#'!$A:$Z,6,FALSE)+VLOOKUP($A199,A:AL,7,FALSE)-50))</f>
        <v>53</v>
      </c>
      <c r="I199" s="3">
        <f>VLOOKUP($A199,'SegEnds_NonXtal_BW#'!$A:$Z,7,FALSE)+J199-50</f>
        <v>54</v>
      </c>
      <c r="J199" s="3">
        <v>67</v>
      </c>
      <c r="K199" s="3">
        <f>VLOOKUP($A199,'SegEnds_NonXtal_BW#'!$A:$Z,8,FALSE)+VLOOKUP($A199,A:AL,10,FALSE)-50</f>
        <v>83</v>
      </c>
      <c r="L199" s="3">
        <f>M199-1</f>
        <v>86</v>
      </c>
      <c r="M199" s="3">
        <v>87</v>
      </c>
      <c r="N199" s="3">
        <f>M199+2</f>
        <v>89</v>
      </c>
      <c r="O199" s="3">
        <f t="shared" si="116"/>
        <v>90</v>
      </c>
      <c r="P199" s="3">
        <v>119</v>
      </c>
      <c r="Q199" s="3">
        <f>VLOOKUP($A199,'SegEnds_NonXtal_BW#'!$A:$Z,12,FALSE)+VLOOKUP($A199,A:AL,16,FALSE)-50</f>
        <v>125</v>
      </c>
      <c r="R199" s="3">
        <f>IF(ISERROR(VLOOKUP($A199,'SegEnds_NonXtal_BW#'!$A:$Z,13,FALSE)+VLOOKUP($A199,A:AL,19,FALSE)-50),"-",VLOOKUP($A199,'SegEnds_NonXtal_BW#'!$A:$Z,13,FALSE)+VLOOKUP($A199,A:AL,19,FALSE)-50)</f>
        <v>126</v>
      </c>
      <c r="S199" s="3">
        <v>126</v>
      </c>
      <c r="T199" s="100">
        <f>IF(ISERROR(VLOOKUP($A199,'SegEnds_NonXtal_BW#'!$A:$Z,14,FALSE)+VLOOKUP($A199,A:AL,19,FALSE)-50),"-",(VLOOKUP($A199,'SegEnds_NonXtal_BW#'!$A:$Z,14,FALSE)+VLOOKUP($A199,A:AL,19,FALSE)-50))</f>
        <v>133</v>
      </c>
      <c r="U199" s="9">
        <f>IF(ISERROR(VLOOKUP($A199,'SegEnds_NonXtal_BW#'!$A:$Z,15,FALSE)+VLOOKUP($A199,A:AL,22,FALSE)-50),"-",VLOOKUP($A199,'SegEnds_NonXtal_BW#'!$A:$Z,15,FALSE)+VLOOKUP($A199,A:AL,22,FALSE)-50)</f>
        <v>134</v>
      </c>
      <c r="V199" s="3">
        <v>146</v>
      </c>
      <c r="W199" s="3">
        <f>IF(ISERROR(VLOOKUP($A199,'SegEnds_NonXtal_BW#'!$A:$Z,16,FALSE)+VLOOKUP($A199,A:AL,22,FALSE)-50),"-",(VLOOKUP($A199,'SegEnds_NonXtal_BW#'!$A:$Z,16,FALSE)+VLOOKUP($A199,A:AL,22,FALSE)-50))</f>
        <v>160</v>
      </c>
      <c r="X199" s="3">
        <f>IF(ISERROR(VLOOKUP($A199,'SegEnds_NonXtal_BW#'!$A:$Z,17,FALSE)+VLOOKUP($A199,A:AL,25,FALSE)-50),"-",(VLOOKUP($A199,'SegEnds_NonXtal_BW#'!$A:$Z,17,FALSE)+VLOOKUP($A199,A:AL,25,FALSE)-50))</f>
        <v>172</v>
      </c>
      <c r="Y199" s="3">
        <v>172</v>
      </c>
      <c r="Z199" s="3">
        <f t="shared" si="117"/>
        <v>174</v>
      </c>
      <c r="AA199" s="3">
        <f>IF(ISERROR(VLOOKUP($A199,'SegEnds_NonXtal_BW#'!$A:$Z,19,FALSE)+VLOOKUP($A199,A:AL,28,FALSE)-50),"-",(VLOOKUP($A199,'SegEnds_NonXtal_BW#'!$A:$Z,19,FALSE)+VLOOKUP($A199,A:AL,28,FALSE)-50))</f>
        <v>177</v>
      </c>
      <c r="AB199" s="3">
        <v>197</v>
      </c>
      <c r="AC199" s="3">
        <f>IF(ISERROR((VLOOKUP($A199,'SegEnds_NonXtal_BW#'!$A:$Z,20,FALSE)+VLOOKUP($A199,A:AL,28,FALSE)-50)),"-",(VLOOKUP($A199,'SegEnds_NonXtal_BW#'!$A:$Z,20,FALSE)+VLOOKUP($A199,A:AL,28,FALSE)-50))</f>
        <v>214</v>
      </c>
      <c r="AD199" s="3">
        <f>IF(ISERROR(VLOOKUP($A199,'SegEnds_NonXtal_BW#'!$A:$Z,21,FALSE)+VLOOKUP($A199,A:AL,31,FALSE)-50),"-",(VLOOKUP($A199,'SegEnds_NonXtal_BW#'!$A:$Z,21,FALSE)+VLOOKUP($A199,A:AL,31,FALSE)-50))</f>
        <v>219</v>
      </c>
      <c r="AE199" s="3">
        <v>243</v>
      </c>
      <c r="AF199" s="3">
        <f>IF(ISERROR((VLOOKUP($A199,'SegEnds_NonXtal_BW#'!$A:$Z,22,FALSE)+VLOOKUP($A199,A:AL,31,FALSE)-50)),"-",(VLOOKUP($A199,'SegEnds_NonXtal_BW#'!$A:$Z,22,FALSE)+VLOOKUP($A199,A:AL,31,FALSE)-50))</f>
        <v>254</v>
      </c>
      <c r="AG199" s="3">
        <f>IF(ISERROR(VLOOKUP($A199,'SegEnds_NonXtal_BW#'!$A:$Z,23,FALSE)+VLOOKUP($A199,A:AL,34,FALSE)-50),"-",(VLOOKUP($A199,'SegEnds_NonXtal_BW#'!$A:$Z,23,FALSE)+VLOOKUP($A199,A:AL,34,FALSE)-50))</f>
        <v>261</v>
      </c>
      <c r="AH199" s="3">
        <v>283</v>
      </c>
      <c r="AI199" s="3">
        <f>IF(ISERROR((VLOOKUP($A199,'SegEnds_NonXtal_BW#'!$A:$Z,24,FALSE)+VLOOKUP($A199,A:AL,34,FALSE)-50)),"-",(VLOOKUP($A199,'SegEnds_NonXtal_BW#'!$A:$Z,24,FALSE)+VLOOKUP($A199,A:AL,34,FALSE)-50))</f>
        <v>289</v>
      </c>
      <c r="AJ199" s="3">
        <f>IF(ISERROR(VLOOKUP($A199,'SegEnds_NonXtal_BW#'!$A:$Z,25,FALSE)+VLOOKUP($A199,A:AL,37,FALSE)-50),"-",(VLOOKUP($A199,'SegEnds_NonXtal_BW#'!$A:$Z,25,FALSE)+VLOOKUP($A199,A:AL,37,FALSE)-50))</f>
        <v>290</v>
      </c>
      <c r="AK199" s="3">
        <v>293</v>
      </c>
      <c r="AL199" s="3">
        <f>IF(ISERROR((VLOOKUP($A199,'SegEnds_NonXtal_BW#'!$A:$Z,26,FALSE)+VLOOKUP($A199,A:AL,37,FALSE)-50)),"-",(VLOOKUP($A199,'SegEnds_NonXtal_BW#'!$A:$Z,26,FALSE)+VLOOKUP($A199,A:AL,37,FALSE)-50))</f>
        <v>304</v>
      </c>
      <c r="AM199" s="28" t="str">
        <f>VLOOKUP(A199,Classification!A:B,2,FALSE)</f>
        <v>A</v>
      </c>
      <c r="AN199" s="28" t="b">
        <f t="shared" si="133"/>
        <v>1</v>
      </c>
      <c r="AO199" s="3" t="str">
        <f>IF(ISERROR(MATCH(A199,'SegEnds_Xtal_Prot#'!B:B, 0)), "NoXtal", "Xtal")</f>
        <v>NoXtal</v>
      </c>
      <c r="AP199" s="3">
        <f t="shared" si="118"/>
        <v>1</v>
      </c>
      <c r="AQ199" s="3">
        <f t="shared" si="119"/>
        <v>1</v>
      </c>
      <c r="AR199" s="3">
        <f t="shared" si="120"/>
        <v>3</v>
      </c>
      <c r="AS199" s="3">
        <f t="shared" si="121"/>
        <v>1</v>
      </c>
      <c r="AT199" s="3">
        <f t="shared" si="122"/>
        <v>1</v>
      </c>
      <c r="AU199" s="3">
        <f t="shared" si="123"/>
        <v>1</v>
      </c>
      <c r="AV199" s="3">
        <f t="shared" si="124"/>
        <v>12</v>
      </c>
      <c r="AW199" s="3">
        <f t="shared" si="125"/>
        <v>3</v>
      </c>
      <c r="AX199" s="3">
        <f t="shared" si="126"/>
        <v>5</v>
      </c>
      <c r="AY199" s="3">
        <f t="shared" si="127"/>
        <v>7</v>
      </c>
      <c r="AZ199" s="3">
        <f t="shared" si="128"/>
        <v>1</v>
      </c>
      <c r="BA199" s="3">
        <f>IF(ISERROR(LEN(VLOOKUP(A199,Seqs!A:E,2,FALSE))-AL199),"-",LEN(VLOOKUP(A199,Seqs!A:E,2,FALSE))-AL199)</f>
        <v>61</v>
      </c>
      <c r="BB199" s="16">
        <f t="shared" si="129"/>
        <v>28</v>
      </c>
      <c r="BC199" s="9">
        <f t="shared" si="130"/>
        <v>20</v>
      </c>
      <c r="BD199" s="3">
        <f t="shared" si="131"/>
        <v>28</v>
      </c>
      <c r="BE199" s="3">
        <f t="shared" si="132"/>
        <v>46</v>
      </c>
    </row>
    <row r="200" spans="1:57" s="3" customFormat="1" x14ac:dyDescent="0.2">
      <c r="A200" s="3" t="s">
        <v>333</v>
      </c>
      <c r="B200" s="3" t="s">
        <v>920</v>
      </c>
      <c r="C200" s="3">
        <f>VLOOKUP($A200,'SegEnds_NonXtal_BW#'!$A:$Z,3,FALSE)+D200-50</f>
        <v>67</v>
      </c>
      <c r="D200" s="3">
        <v>88</v>
      </c>
      <c r="E200" s="3">
        <f>IF(ISERROR(VLOOKUP($A200,'SegEnds_NonXtal_BW#'!$A:$Z,4,FALSE)+VLOOKUP($A200,A:AL,4,FALSE)-50),"-",(VLOOKUP($A200,'SegEnds_NonXtal_BW#'!$A:$Z,4,FALSE)+VLOOKUP($A200,A:AL,4,FALSE)-50))</f>
        <v>98</v>
      </c>
      <c r="F200" s="3">
        <f t="shared" ref="F200:F208" si="134">G200-2</f>
        <v>99</v>
      </c>
      <c r="G200" s="3">
        <v>101</v>
      </c>
      <c r="H200" s="3">
        <f t="shared" ref="H200:I208" si="135">G200+1</f>
        <v>102</v>
      </c>
      <c r="I200" s="3">
        <f t="shared" si="135"/>
        <v>103</v>
      </c>
      <c r="J200" s="3">
        <v>116</v>
      </c>
      <c r="K200" s="3">
        <v>134</v>
      </c>
      <c r="L200" s="3">
        <f>M200-1</f>
        <v>135</v>
      </c>
      <c r="M200" s="3">
        <v>136</v>
      </c>
      <c r="N200" s="3">
        <f>M200+2</f>
        <v>138</v>
      </c>
      <c r="O200" s="3">
        <f t="shared" si="116"/>
        <v>139</v>
      </c>
      <c r="P200" s="3">
        <v>168</v>
      </c>
      <c r="Q200" s="3">
        <f>VLOOKUP($A200,'SegEnds_NonXtal_BW#'!$A:$Z,12,FALSE)+VLOOKUP($A200,A:AL,16,FALSE)-50</f>
        <v>174</v>
      </c>
      <c r="R200" s="3">
        <f>IF(ISERROR(VLOOKUP($A200,'SegEnds_NonXtal_BW#'!$A:$Z,13,FALSE)+VLOOKUP($A200,A:AL,19,FALSE)-50),"-",VLOOKUP($A200,'SegEnds_NonXtal_BW#'!$A:$Z,13,FALSE)+VLOOKUP($A200,A:AL,19,FALSE)-50)</f>
        <v>175</v>
      </c>
      <c r="S200" s="3">
        <v>175</v>
      </c>
      <c r="T200" s="100">
        <f>IF(ISERROR(VLOOKUP($A200,'SegEnds_NonXtal_BW#'!$A:$Z,14,FALSE)+VLOOKUP($A200,A:AL,19,FALSE)-50),"-",(VLOOKUP($A200,'SegEnds_NonXtal_BW#'!$A:$Z,14,FALSE)+VLOOKUP($A200,A:AL,19,FALSE)-50))</f>
        <v>182</v>
      </c>
      <c r="U200" s="9">
        <f>IF(ISERROR(VLOOKUP($A200,'SegEnds_NonXtal_BW#'!$A:$Z,15,FALSE)+VLOOKUP($A200,A:AL,22,FALSE)-50),"-",VLOOKUP($A200,'SegEnds_NonXtal_BW#'!$A:$Z,15,FALSE)+VLOOKUP($A200,A:AL,22,FALSE)-50)</f>
        <v>183</v>
      </c>
      <c r="V200" s="3">
        <v>195</v>
      </c>
      <c r="W200" s="3">
        <f>IF(ISERROR(VLOOKUP($A200,'SegEnds_NonXtal_BW#'!$A:$Z,16,FALSE)+VLOOKUP($A200,A:AL,22,FALSE)-50),"-",(VLOOKUP($A200,'SegEnds_NonXtal_BW#'!$A:$Z,16,FALSE)+VLOOKUP($A200,A:AL,22,FALSE)-50))</f>
        <v>207</v>
      </c>
      <c r="X200" s="3">
        <f>IF(ISERROR(VLOOKUP($A200,'SegEnds_NonXtal_BW#'!$A:$Z,17,FALSE)+VLOOKUP($A200,A:AL,25,FALSE)-50),"-",(VLOOKUP($A200,'SegEnds_NonXtal_BW#'!$A:$Z,17,FALSE)+VLOOKUP($A200,A:AL,25,FALSE)-50))</f>
        <v>221</v>
      </c>
      <c r="Y200" s="3">
        <v>221</v>
      </c>
      <c r="Z200" s="3">
        <f t="shared" si="117"/>
        <v>223</v>
      </c>
      <c r="AA200" s="3">
        <f>IF(ISERROR(VLOOKUP($A200,'SegEnds_NonXtal_BW#'!$A:$Z,19,FALSE)+VLOOKUP($A200,A:AL,28,FALSE)-50),"-",(VLOOKUP($A200,'SegEnds_NonXtal_BW#'!$A:$Z,19,FALSE)+VLOOKUP($A200,A:AL,28,FALSE)-50))</f>
        <v>231</v>
      </c>
      <c r="AB200" s="3">
        <v>247</v>
      </c>
      <c r="AC200" s="3">
        <f>IF(ISERROR((VLOOKUP($A200,'SegEnds_NonXtal_BW#'!$A:$Z,20,FALSE)+VLOOKUP($A200,A:AL,28,FALSE)-50)),"-",(VLOOKUP($A200,'SegEnds_NonXtal_BW#'!$A:$Z,20,FALSE)+VLOOKUP($A200,A:AL,28,FALSE)-50))</f>
        <v>271</v>
      </c>
      <c r="AD200" s="3">
        <f>IF(ISERROR(VLOOKUP($A200,'SegEnds_NonXtal_BW#'!$A:$Z,21,FALSE)+VLOOKUP($A200,A:AL,31,FALSE)-50),"-",(VLOOKUP($A200,'SegEnds_NonXtal_BW#'!$A:$Z,21,FALSE)+VLOOKUP($A200,A:AL,31,FALSE)-50))</f>
        <v>282</v>
      </c>
      <c r="AE200" s="3">
        <v>311</v>
      </c>
      <c r="AF200" s="3">
        <f>IF(ISERROR((VLOOKUP($A200,'SegEnds_NonXtal_BW#'!$A:$Z,22,FALSE)+VLOOKUP($A200,A:AL,31,FALSE)-50)),"-",(VLOOKUP($A200,'SegEnds_NonXtal_BW#'!$A:$Z,22,FALSE)+VLOOKUP($A200,A:AL,31,FALSE)-50))</f>
        <v>322</v>
      </c>
      <c r="AG200" s="3">
        <f>IF(ISERROR(VLOOKUP($A200,'SegEnds_NonXtal_BW#'!$A:$Z,23,FALSE)+VLOOKUP($A200,A:AL,34,FALSE)-50),"-",(VLOOKUP($A200,'SegEnds_NonXtal_BW#'!$A:$Z,23,FALSE)+VLOOKUP($A200,A:AL,34,FALSE)-50))</f>
        <v>328</v>
      </c>
      <c r="AH200" s="3">
        <v>347</v>
      </c>
      <c r="AI200" s="3">
        <f>IF(ISERROR((VLOOKUP($A200,'SegEnds_NonXtal_BW#'!$A:$Z,24,FALSE)+VLOOKUP($A200,A:AL,34,FALSE)-50)),"-",(VLOOKUP($A200,'SegEnds_NonXtal_BW#'!$A:$Z,24,FALSE)+VLOOKUP($A200,A:AL,34,FALSE)-50))</f>
        <v>353</v>
      </c>
      <c r="AJ200" s="3">
        <f>IF(ISERROR(VLOOKUP($A200,'SegEnds_NonXtal_BW#'!$A:$Z,25,FALSE)+VLOOKUP($A200,A:AL,37,FALSE)-50),"-",(VLOOKUP($A200,'SegEnds_NonXtal_BW#'!$A:$Z,25,FALSE)+VLOOKUP($A200,A:AL,37,FALSE)-50))</f>
        <v>354</v>
      </c>
      <c r="AK200" s="3">
        <v>357</v>
      </c>
      <c r="AL200" s="3">
        <f>IF(ISERROR((VLOOKUP($A200,'SegEnds_NonXtal_BW#'!$A:$Z,26,FALSE)+VLOOKUP($A200,A:AL,37,FALSE)-50)),"-",(VLOOKUP($A200,'SegEnds_NonXtal_BW#'!$A:$Z,26,FALSE)+VLOOKUP($A200,A:AL,37,FALSE)-50))</f>
        <v>366</v>
      </c>
      <c r="AM200" s="28" t="str">
        <f>VLOOKUP(A200,Classification!A:B,2,FALSE)</f>
        <v>A</v>
      </c>
      <c r="AN200" s="28" t="b">
        <f t="shared" si="133"/>
        <v>1</v>
      </c>
      <c r="AO200" s="3" t="str">
        <f>IF(ISERROR(MATCH(A200,'SegEnds_Xtal_Prot#'!B:B, 0)), "NoXtal", "Xtal")</f>
        <v>NoXtal</v>
      </c>
      <c r="AP200" s="3">
        <f t="shared" si="118"/>
        <v>1</v>
      </c>
      <c r="AQ200" s="3">
        <f t="shared" si="119"/>
        <v>1</v>
      </c>
      <c r="AR200" s="3">
        <f t="shared" si="120"/>
        <v>1</v>
      </c>
      <c r="AS200" s="3">
        <f t="shared" si="121"/>
        <v>1</v>
      </c>
      <c r="AT200" s="3">
        <f t="shared" si="122"/>
        <v>1</v>
      </c>
      <c r="AU200" s="3">
        <f t="shared" si="123"/>
        <v>1</v>
      </c>
      <c r="AV200" s="3">
        <f t="shared" si="124"/>
        <v>14</v>
      </c>
      <c r="AW200" s="3">
        <f t="shared" si="125"/>
        <v>8</v>
      </c>
      <c r="AX200" s="3">
        <f t="shared" si="126"/>
        <v>11</v>
      </c>
      <c r="AY200" s="3">
        <f t="shared" si="127"/>
        <v>6</v>
      </c>
      <c r="AZ200" s="3">
        <f t="shared" si="128"/>
        <v>1</v>
      </c>
      <c r="BA200" s="3">
        <f>IF(ISERROR(LEN(VLOOKUP(A200,Seqs!A:E,2,FALSE))-AL200),"-",LEN(VLOOKUP(A200,Seqs!A:E,2,FALSE))-AL200)</f>
        <v>112</v>
      </c>
      <c r="BB200" s="16">
        <f t="shared" si="129"/>
        <v>28</v>
      </c>
      <c r="BC200" s="9">
        <f t="shared" si="130"/>
        <v>20</v>
      </c>
      <c r="BD200" s="3">
        <f t="shared" si="131"/>
        <v>28</v>
      </c>
      <c r="BE200" s="3">
        <f t="shared" si="132"/>
        <v>64</v>
      </c>
    </row>
    <row r="201" spans="1:57" s="3" customFormat="1" x14ac:dyDescent="0.2">
      <c r="A201" s="3" t="s">
        <v>335</v>
      </c>
      <c r="B201" s="3" t="str">
        <f>LOWER(VLOOKUP(A201,Xtal_Templ!A:B,2,FALSE))</f>
        <v>oprd_human</v>
      </c>
      <c r="C201" s="3">
        <f>VLOOKUP($A201,'SegEnds_NonXtal_BW#'!$A:$Z,3,FALSE)+D201-50</f>
        <v>39</v>
      </c>
      <c r="D201" s="3">
        <v>67</v>
      </c>
      <c r="E201" s="3">
        <f>IF(ISERROR(VLOOKUP($A201,'SegEnds_NonXtal_BW#'!$A:$Z,4,FALSE)+VLOOKUP($A201,A:AL,4,FALSE)-50),"-",(VLOOKUP($A201,'SegEnds_NonXtal_BW#'!$A:$Z,4,FALSE)+VLOOKUP($A201,A:AL,4,FALSE)-50))</f>
        <v>77</v>
      </c>
      <c r="F201" s="3">
        <f t="shared" si="134"/>
        <v>78</v>
      </c>
      <c r="G201" s="3">
        <v>80</v>
      </c>
      <c r="H201" s="3">
        <f t="shared" si="135"/>
        <v>81</v>
      </c>
      <c r="I201" s="3">
        <f t="shared" si="135"/>
        <v>82</v>
      </c>
      <c r="J201" s="3">
        <v>95</v>
      </c>
      <c r="K201" s="3">
        <f>VLOOKUP($A201,'SegEnds_NonXtal_BW#'!$A:$Z,8,FALSE)+VLOOKUP($A201,A:AL,10,FALSE)-50</f>
        <v>111</v>
      </c>
      <c r="L201" s="3">
        <f>M201-1</f>
        <v>113</v>
      </c>
      <c r="M201" s="3">
        <v>114</v>
      </c>
      <c r="N201" s="3">
        <f>M201+2</f>
        <v>116</v>
      </c>
      <c r="O201" s="3">
        <f t="shared" si="116"/>
        <v>117</v>
      </c>
      <c r="P201" s="3">
        <v>146</v>
      </c>
      <c r="Q201" s="3">
        <f>VLOOKUP($A201,'SegEnds_NonXtal_BW#'!$A:$Z,12,FALSE)+VLOOKUP($A201,A:AL,16,FALSE)-50</f>
        <v>152</v>
      </c>
      <c r="R201" s="3">
        <f>IF(ISERROR(VLOOKUP($A201,'SegEnds_NonXtal_BW#'!$A:$Z,13,FALSE)+VLOOKUP($A201,A:AL,19,FALSE)-50),"-",VLOOKUP($A201,'SegEnds_NonXtal_BW#'!$A:$Z,13,FALSE)+VLOOKUP($A201,A:AL,19,FALSE)-50)</f>
        <v>153</v>
      </c>
      <c r="S201" s="3">
        <v>153</v>
      </c>
      <c r="T201" s="100">
        <f>IF(ISERROR(VLOOKUP($A201,'SegEnds_NonXtal_BW#'!$A:$Z,14,FALSE)+VLOOKUP($A201,A:AL,19,FALSE)-50),"-",(VLOOKUP($A201,'SegEnds_NonXtal_BW#'!$A:$Z,14,FALSE)+VLOOKUP($A201,A:AL,19,FALSE)-50))</f>
        <v>160</v>
      </c>
      <c r="U201" s="9">
        <f>IF(ISERROR(VLOOKUP($A201,'SegEnds_NonXtal_BW#'!$A:$Z,15,FALSE)+VLOOKUP($A201,A:AL,22,FALSE)-50),"-",VLOOKUP($A201,'SegEnds_NonXtal_BW#'!$A:$Z,15,FALSE)+VLOOKUP($A201,A:AL,22,FALSE)-50)</f>
        <v>161</v>
      </c>
      <c r="V201" s="3">
        <v>173</v>
      </c>
      <c r="W201" s="3">
        <f>IF(ISERROR(VLOOKUP($A201,'SegEnds_NonXtal_BW#'!$A:$Z,16,FALSE)+VLOOKUP($A201,A:AL,22,FALSE)-50),"-",(VLOOKUP($A201,'SegEnds_NonXtal_BW#'!$A:$Z,16,FALSE)+VLOOKUP($A201,A:AL,22,FALSE)-50))</f>
        <v>187</v>
      </c>
      <c r="X201" s="3">
        <f>IF(ISERROR(VLOOKUP($A201,'SegEnds_NonXtal_BW#'!$A:$Z,17,FALSE)+VLOOKUP($A201,A:AL,25,FALSE)-50),"-",(VLOOKUP($A201,'SegEnds_NonXtal_BW#'!$A:$Z,17,FALSE)+VLOOKUP($A201,A:AL,25,FALSE)-50))</f>
        <v>198</v>
      </c>
      <c r="Y201" s="3">
        <v>198</v>
      </c>
      <c r="Z201" s="3">
        <f t="shared" si="117"/>
        <v>200</v>
      </c>
      <c r="AA201" s="3">
        <f>IF(ISERROR(VLOOKUP($A201,'SegEnds_NonXtal_BW#'!$A:$Z,19,FALSE)+VLOOKUP($A201,A:AL,28,FALSE)-50),"-",(VLOOKUP($A201,'SegEnds_NonXtal_BW#'!$A:$Z,19,FALSE)+VLOOKUP($A201,A:AL,28,FALSE)-50))</f>
        <v>206</v>
      </c>
      <c r="AB201" s="3">
        <v>225</v>
      </c>
      <c r="AC201" s="3">
        <f>IF(ISERROR((VLOOKUP($A201,'SegEnds_NonXtal_BW#'!$A:$Z,20,FALSE)+VLOOKUP($A201,A:AL,28,FALSE)-50)),"-",(VLOOKUP($A201,'SegEnds_NonXtal_BW#'!$A:$Z,20,FALSE)+VLOOKUP($A201,A:AL,28,FALSE)-50))</f>
        <v>243</v>
      </c>
      <c r="AD201" s="3">
        <f>IF(ISERROR(VLOOKUP($A201,'SegEnds_NonXtal_BW#'!$A:$Z,21,FALSE)+VLOOKUP($A201,A:AL,31,FALSE)-50),"-",(VLOOKUP($A201,'SegEnds_NonXtal_BW#'!$A:$Z,21,FALSE)+VLOOKUP($A201,A:AL,31,FALSE)-50))</f>
        <v>249</v>
      </c>
      <c r="AE201" s="3">
        <v>276</v>
      </c>
      <c r="AF201" s="3">
        <f>IF(ISERROR((VLOOKUP($A201,'SegEnds_NonXtal_BW#'!$A:$Z,22,FALSE)+VLOOKUP($A201,A:AL,31,FALSE)-50)),"-",(VLOOKUP($A201,'SegEnds_NonXtal_BW#'!$A:$Z,22,FALSE)+VLOOKUP($A201,A:AL,31,FALSE)-50))</f>
        <v>287</v>
      </c>
      <c r="AG201" s="3">
        <f>IF(ISERROR(VLOOKUP($A201,'SegEnds_NonXtal_BW#'!$A:$Z,23,FALSE)+VLOOKUP($A201,A:AL,34,FALSE)-50),"-",(VLOOKUP($A201,'SegEnds_NonXtal_BW#'!$A:$Z,23,FALSE)+VLOOKUP($A201,A:AL,34,FALSE)-50))</f>
        <v>293</v>
      </c>
      <c r="AH201" s="3">
        <v>315</v>
      </c>
      <c r="AI201" s="3">
        <f>IF(ISERROR((VLOOKUP($A201,'SegEnds_NonXtal_BW#'!$A:$Z,24,FALSE)+VLOOKUP($A201,A:AL,34,FALSE)-50)),"-",(VLOOKUP($A201,'SegEnds_NonXtal_BW#'!$A:$Z,24,FALSE)+VLOOKUP($A201,A:AL,34,FALSE)-50))</f>
        <v>321</v>
      </c>
      <c r="AJ201" s="3">
        <f>IF(ISERROR(VLOOKUP($A201,'SegEnds_NonXtal_BW#'!$A:$Z,25,FALSE)+VLOOKUP($A201,A:AL,37,FALSE)-50),"-",(VLOOKUP($A201,'SegEnds_NonXtal_BW#'!$A:$Z,25,FALSE)+VLOOKUP($A201,A:AL,37,FALSE)-50))</f>
        <v>322</v>
      </c>
      <c r="AK201" s="3">
        <v>325</v>
      </c>
      <c r="AL201" s="3">
        <f>IF(ISERROR((VLOOKUP($A201,'SegEnds_NonXtal_BW#'!$A:$Z,26,FALSE)+VLOOKUP($A201,A:AL,37,FALSE)-50)),"-",(VLOOKUP($A201,'SegEnds_NonXtal_BW#'!$A:$Z,26,FALSE)+VLOOKUP($A201,A:AL,37,FALSE)-50))</f>
        <v>335</v>
      </c>
      <c r="AM201" s="28" t="str">
        <f>VLOOKUP(A201,Classification!A:B,2,FALSE)</f>
        <v>A</v>
      </c>
      <c r="AN201" s="28" t="b">
        <f t="shared" si="133"/>
        <v>1</v>
      </c>
      <c r="AO201" s="3" t="str">
        <f>IF(ISERROR(MATCH(A201,'SegEnds_Xtal_Prot#'!B:B, 0)), "NoXtal", "Xtal")</f>
        <v>Xtal</v>
      </c>
      <c r="AP201" s="3">
        <f t="shared" si="118"/>
        <v>1</v>
      </c>
      <c r="AQ201" s="3">
        <f t="shared" si="119"/>
        <v>1</v>
      </c>
      <c r="AR201" s="3">
        <f t="shared" si="120"/>
        <v>2</v>
      </c>
      <c r="AS201" s="3">
        <f t="shared" si="121"/>
        <v>1</v>
      </c>
      <c r="AT201" s="3">
        <f t="shared" si="122"/>
        <v>1</v>
      </c>
      <c r="AU201" s="3">
        <f t="shared" si="123"/>
        <v>1</v>
      </c>
      <c r="AV201" s="3">
        <f t="shared" si="124"/>
        <v>11</v>
      </c>
      <c r="AW201" s="3">
        <f t="shared" si="125"/>
        <v>6</v>
      </c>
      <c r="AX201" s="3">
        <f t="shared" si="126"/>
        <v>6</v>
      </c>
      <c r="AY201" s="3">
        <f t="shared" si="127"/>
        <v>6</v>
      </c>
      <c r="AZ201" s="3">
        <f t="shared" si="128"/>
        <v>1</v>
      </c>
      <c r="BA201" s="3">
        <f>IF(ISERROR(LEN(VLOOKUP(A201,Seqs!A:E,2,FALSE))-AL201),"-",LEN(VLOOKUP(A201,Seqs!A:E,2,FALSE))-AL201)</f>
        <v>37</v>
      </c>
      <c r="BB201" s="16">
        <f t="shared" si="129"/>
        <v>28</v>
      </c>
      <c r="BC201" s="9">
        <f t="shared" si="130"/>
        <v>20</v>
      </c>
      <c r="BD201" s="3">
        <f t="shared" si="131"/>
        <v>28</v>
      </c>
      <c r="BE201" s="3">
        <f t="shared" si="132"/>
        <v>51</v>
      </c>
    </row>
    <row r="202" spans="1:57" s="3" customFormat="1" x14ac:dyDescent="0.2">
      <c r="A202" s="3" t="s">
        <v>916</v>
      </c>
      <c r="B202" s="3" t="str">
        <f>LOWER(VLOOKUP(A202,Xtal_Templ!A:B,2,FALSE))</f>
        <v>oprd_mouse</v>
      </c>
      <c r="C202" s="3">
        <f>VLOOKUP($A202,'SegEnds_NonXtal_BW#'!$A:$Z,3,FALSE)+D202-50</f>
        <v>41</v>
      </c>
      <c r="D202" s="3">
        <v>67</v>
      </c>
      <c r="E202" s="3">
        <f>IF(ISERROR(VLOOKUP($A202,'SegEnds_NonXtal_BW#'!$A:$Z,4,FALSE)+VLOOKUP($A202,A:AL,4,FALSE)-50),"-",(VLOOKUP($A202,'SegEnds_NonXtal_BW#'!$A:$Z,4,FALSE)+VLOOKUP($A202,A:AL,4,FALSE)-50))</f>
        <v>77</v>
      </c>
      <c r="F202" s="3">
        <f t="shared" si="134"/>
        <v>78</v>
      </c>
      <c r="G202" s="3">
        <v>80</v>
      </c>
      <c r="H202" s="3">
        <f t="shared" si="135"/>
        <v>81</v>
      </c>
      <c r="I202" s="3">
        <f t="shared" si="135"/>
        <v>82</v>
      </c>
      <c r="J202" s="3">
        <v>95</v>
      </c>
      <c r="K202" s="3">
        <f>VLOOKUP($A202,'SegEnds_NonXtal_BW#'!$A:$Z,8,FALSE)+VLOOKUP($A202,A:AL,10,FALSE)-50</f>
        <v>111</v>
      </c>
      <c r="L202" s="3">
        <f>IF(ISERROR(VLOOKUP($A202,'SegEnds_NonXtal_BW#'!$A:$Z,9,FALSE)+VLOOKUP($A202,A:AL,13,FALSE)-50),"-",(VLOOKUP($A202,'SegEnds_NonXtal_BW#'!$A:$Z,9,FALSE)+VLOOKUP($A202,A:AL,13,FALSE)-50))</f>
        <v>113</v>
      </c>
      <c r="M202" s="3">
        <v>114</v>
      </c>
      <c r="N202" s="3">
        <f>IF(ISERROR(VLOOKUP($A202,'SegEnds_NonXtal_BW#'!$A:$Z,10,FALSE)+VLOOKUP($A202,A:AL,13,FALSE)-50),"-",(VLOOKUP($A202,'SegEnds_NonXtal_BW#'!$A:$Z,10,FALSE)+VLOOKUP($A202,A:AL,13,FALSE)-50))</f>
        <v>116</v>
      </c>
      <c r="O202" s="3">
        <f t="shared" si="116"/>
        <v>117</v>
      </c>
      <c r="P202" s="3">
        <v>146</v>
      </c>
      <c r="Q202" s="3">
        <f>VLOOKUP($A202,'SegEnds_NonXtal_BW#'!$A:$Z,12,FALSE)+VLOOKUP($A202,A:AL,16,FALSE)-50</f>
        <v>152</v>
      </c>
      <c r="R202" s="3">
        <f>IF(ISERROR(VLOOKUP($A202,'SegEnds_NonXtal_BW#'!$A:$Z,13,FALSE)+VLOOKUP($A202,A:AL,19,FALSE)-50),"-",VLOOKUP($A202,'SegEnds_NonXtal_BW#'!$A:$Z,13,FALSE)+VLOOKUP($A202,A:AL,19,FALSE)-50)</f>
        <v>153</v>
      </c>
      <c r="S202" s="3">
        <v>153</v>
      </c>
      <c r="T202" s="100">
        <f>IF(ISERROR(VLOOKUP($A202,'SegEnds_NonXtal_BW#'!$A:$Z,14,FALSE)+VLOOKUP($A202,A:AL,19,FALSE)-50),"-",(VLOOKUP($A202,'SegEnds_NonXtal_BW#'!$A:$Z,14,FALSE)+VLOOKUP($A202,A:AL,19,FALSE)-50))</f>
        <v>160</v>
      </c>
      <c r="U202" s="9">
        <f>IF(ISERROR(VLOOKUP($A202,'SegEnds_NonXtal_BW#'!$A:$Z,15,FALSE)+VLOOKUP($A202,A:AL,22,FALSE)-50),"-",VLOOKUP($A202,'SegEnds_NonXtal_BW#'!$A:$Z,15,FALSE)+VLOOKUP($A202,A:AL,22,FALSE)-50)</f>
        <v>161</v>
      </c>
      <c r="V202" s="3">
        <v>173</v>
      </c>
      <c r="W202" s="3">
        <f>IF(ISERROR(VLOOKUP($A202,'SegEnds_NonXtal_BW#'!$A:$Z,16,FALSE)+VLOOKUP($A202,A:AL,22,FALSE)-50),"-",(VLOOKUP($A202,'SegEnds_NonXtal_BW#'!$A:$Z,16,FALSE)+VLOOKUP($A202,A:AL,22,FALSE)-50))</f>
        <v>187</v>
      </c>
      <c r="X202" s="3">
        <f>IF(ISERROR(VLOOKUP($A202,'SegEnds_NonXtal_BW#'!$A:$Z,17,FALSE)+VLOOKUP($A202,A:AL,25,FALSE)-50),"-",(VLOOKUP($A202,'SegEnds_NonXtal_BW#'!$A:$Z,17,FALSE)+VLOOKUP($A202,A:AL,25,FALSE)-50))</f>
        <v>198</v>
      </c>
      <c r="Y202" s="3">
        <v>198</v>
      </c>
      <c r="Z202" s="3">
        <f t="shared" si="117"/>
        <v>200</v>
      </c>
      <c r="AA202" s="3">
        <f>IF(ISERROR(VLOOKUP($A202,'SegEnds_NonXtal_BW#'!$A:$Z,19,FALSE)+VLOOKUP($A202,A:AL,28,FALSE)-50),"-",(VLOOKUP($A202,'SegEnds_NonXtal_BW#'!$A:$Z,19,FALSE)+VLOOKUP($A202,A:AL,28,FALSE)-50))</f>
        <v>206</v>
      </c>
      <c r="AB202" s="3">
        <v>225</v>
      </c>
      <c r="AC202" s="3">
        <f>IF(ISERROR((VLOOKUP($A202,'SegEnds_NonXtal_BW#'!$A:$Z,20,FALSE)+VLOOKUP($A202,A:AL,28,FALSE)-50)),"-",(VLOOKUP($A202,'SegEnds_NonXtal_BW#'!$A:$Z,20,FALSE)+VLOOKUP($A202,A:AL,28,FALSE)-50))</f>
        <v>243</v>
      </c>
      <c r="AD202" s="3">
        <f>IF(ISERROR(VLOOKUP($A202,'SegEnds_NonXtal_BW#'!$A:$Z,21,FALSE)+VLOOKUP($A202,A:AL,31,FALSE)-50),"-",(VLOOKUP($A202,'SegEnds_NonXtal_BW#'!$A:$Z,21,FALSE)+VLOOKUP($A202,A:AL,31,FALSE)-50))</f>
        <v>249</v>
      </c>
      <c r="AE202" s="3">
        <v>276</v>
      </c>
      <c r="AF202" s="3">
        <f>IF(ISERROR((VLOOKUP($A202,'SegEnds_NonXtal_BW#'!$A:$Z,22,FALSE)+VLOOKUP($A202,A:AL,31,FALSE)-50)),"-",(VLOOKUP($A202,'SegEnds_NonXtal_BW#'!$A:$Z,22,FALSE)+VLOOKUP($A202,A:AL,31,FALSE)-50))</f>
        <v>287</v>
      </c>
      <c r="AG202" s="3">
        <f>IF(ISERROR(VLOOKUP($A202,'SegEnds_NonXtal_BW#'!$A:$Z,23,FALSE)+VLOOKUP($A202,A:AL,34,FALSE)-50),"-",(VLOOKUP($A202,'SegEnds_NonXtal_BW#'!$A:$Z,23,FALSE)+VLOOKUP($A202,A:AL,34,FALSE)-50))</f>
        <v>293</v>
      </c>
      <c r="AH202" s="3">
        <v>315</v>
      </c>
      <c r="AI202" s="3">
        <f>IF(ISERROR((VLOOKUP($A202,'SegEnds_NonXtal_BW#'!$A:$Z,24,FALSE)+VLOOKUP($A202,A:AL,34,FALSE)-50)),"-",(VLOOKUP($A202,'SegEnds_NonXtal_BW#'!$A:$Z,24,FALSE)+VLOOKUP($A202,A:AL,34,FALSE)-50))</f>
        <v>321</v>
      </c>
      <c r="AJ202" s="3">
        <f>IF(ISERROR(VLOOKUP($A202,'SegEnds_NonXtal_BW#'!$A:$Z,25,FALSE)+VLOOKUP($A202,A:AL,37,FALSE)-50),"-",(VLOOKUP($A202,'SegEnds_NonXtal_BW#'!$A:$Z,25,FALSE)+VLOOKUP($A202,A:AL,37,FALSE)-50))</f>
        <v>322</v>
      </c>
      <c r="AK202" s="3">
        <v>325</v>
      </c>
      <c r="AL202" s="3">
        <f>IF(ISERROR((VLOOKUP($A202,'SegEnds_NonXtal_BW#'!$A:$Z,26,FALSE)+VLOOKUP($A202,A:AL,37,FALSE)-50)),"-",(VLOOKUP($A202,'SegEnds_NonXtal_BW#'!$A:$Z,26,FALSE)+VLOOKUP($A202,A:AL,37,FALSE)-50))</f>
        <v>335</v>
      </c>
      <c r="AM202" s="28" t="str">
        <f>VLOOKUP(A202,Classification!A:B,2,FALSE)</f>
        <v>A</v>
      </c>
      <c r="AN202" s="28" t="b">
        <f t="shared" si="133"/>
        <v>1</v>
      </c>
      <c r="AO202" s="3" t="str">
        <f>IF(ISERROR(MATCH(A202,'SegEnds_Xtal_Prot#'!B:B, 0)), "NoXtal", "Xtal")</f>
        <v>Xtal</v>
      </c>
      <c r="AP202" s="3">
        <f t="shared" si="118"/>
        <v>1</v>
      </c>
      <c r="AQ202" s="3">
        <f t="shared" si="119"/>
        <v>1</v>
      </c>
      <c r="AR202" s="3">
        <f t="shared" si="120"/>
        <v>2</v>
      </c>
      <c r="AS202" s="3">
        <f t="shared" si="121"/>
        <v>1</v>
      </c>
      <c r="AT202" s="3">
        <f t="shared" si="122"/>
        <v>1</v>
      </c>
      <c r="AU202" s="3">
        <f t="shared" si="123"/>
        <v>1</v>
      </c>
      <c r="AV202" s="3">
        <f t="shared" si="124"/>
        <v>11</v>
      </c>
      <c r="AW202" s="3">
        <f t="shared" si="125"/>
        <v>6</v>
      </c>
      <c r="AX202" s="3">
        <f t="shared" si="126"/>
        <v>6</v>
      </c>
      <c r="AY202" s="3">
        <f t="shared" si="127"/>
        <v>6</v>
      </c>
      <c r="AZ202" s="3">
        <f t="shared" si="128"/>
        <v>1</v>
      </c>
      <c r="BA202" s="3">
        <f>IF(ISERROR(LEN(VLOOKUP(A202,Seqs!A:E,2,FALSE))-AL202),"-",LEN(VLOOKUP(A202,Seqs!A:E,2,FALSE))-AL202)</f>
        <v>37</v>
      </c>
      <c r="BB202" s="16">
        <f t="shared" si="129"/>
        <v>28</v>
      </c>
      <c r="BC202" s="9">
        <f t="shared" si="130"/>
        <v>20</v>
      </c>
      <c r="BD202" s="3">
        <f t="shared" si="131"/>
        <v>28</v>
      </c>
      <c r="BE202" s="3">
        <f t="shared" si="132"/>
        <v>51</v>
      </c>
    </row>
    <row r="203" spans="1:57" s="3" customFormat="1" x14ac:dyDescent="0.2">
      <c r="A203" s="3" t="s">
        <v>336</v>
      </c>
      <c r="B203" s="3" t="str">
        <f>LOWER(VLOOKUP(A203,Xtal_Templ!A:B,2,FALSE))</f>
        <v>oprk_human</v>
      </c>
      <c r="C203" s="3">
        <f>VLOOKUP($A203,'SegEnds_NonXtal_BW#'!$A:$Z,3,FALSE)+D203-50</f>
        <v>57</v>
      </c>
      <c r="D203" s="3">
        <v>77</v>
      </c>
      <c r="E203" s="3">
        <f>IF(ISERROR(VLOOKUP($A203,'SegEnds_NonXtal_BW#'!$A:$Z,4,FALSE)+VLOOKUP($A203,A:AL,4,FALSE)-50),"-",(VLOOKUP($A203,'SegEnds_NonXtal_BW#'!$A:$Z,4,FALSE)+VLOOKUP($A203,A:AL,4,FALSE)-50))</f>
        <v>87</v>
      </c>
      <c r="F203" s="3">
        <f t="shared" si="134"/>
        <v>88</v>
      </c>
      <c r="G203" s="3">
        <v>90</v>
      </c>
      <c r="H203" s="3">
        <f t="shared" si="135"/>
        <v>91</v>
      </c>
      <c r="I203" s="3">
        <f t="shared" si="135"/>
        <v>92</v>
      </c>
      <c r="J203" s="3">
        <v>105</v>
      </c>
      <c r="K203" s="3">
        <f>VLOOKUP($A203,'SegEnds_NonXtal_BW#'!$A:$Z,8,FALSE)+VLOOKUP($A203,A:AL,10,FALSE)-50</f>
        <v>121</v>
      </c>
      <c r="L203" s="3">
        <f>M203-1</f>
        <v>123</v>
      </c>
      <c r="M203" s="3">
        <v>124</v>
      </c>
      <c r="N203" s="3">
        <f>M203+2</f>
        <v>126</v>
      </c>
      <c r="O203" s="3">
        <f t="shared" si="116"/>
        <v>127</v>
      </c>
      <c r="P203" s="3">
        <v>156</v>
      </c>
      <c r="Q203" s="3">
        <f>VLOOKUP($A203,'SegEnds_NonXtal_BW#'!$A:$Z,12,FALSE)+VLOOKUP($A203,A:AL,16,FALSE)-50</f>
        <v>162</v>
      </c>
      <c r="R203" s="3">
        <f>IF(ISERROR(VLOOKUP($A203,'SegEnds_NonXtal_BW#'!$A:$Z,13,FALSE)+VLOOKUP($A203,A:AL,19,FALSE)-50),"-",VLOOKUP($A203,'SegEnds_NonXtal_BW#'!$A:$Z,13,FALSE)+VLOOKUP($A203,A:AL,19,FALSE)-50)</f>
        <v>163</v>
      </c>
      <c r="S203" s="3">
        <v>163</v>
      </c>
      <c r="T203" s="100">
        <f>IF(ISERROR(VLOOKUP($A203,'SegEnds_NonXtal_BW#'!$A:$Z,14,FALSE)+VLOOKUP($A203,A:AL,19,FALSE)-50),"-",(VLOOKUP($A203,'SegEnds_NonXtal_BW#'!$A:$Z,14,FALSE)+VLOOKUP($A203,A:AL,19,FALSE)-50))</f>
        <v>170</v>
      </c>
      <c r="U203" s="9">
        <f>IF(ISERROR(VLOOKUP($A203,'SegEnds_NonXtal_BW#'!$A:$Z,15,FALSE)+VLOOKUP($A203,A:AL,22,FALSE)-50),"-",VLOOKUP($A203,'SegEnds_NonXtal_BW#'!$A:$Z,15,FALSE)+VLOOKUP($A203,A:AL,22,FALSE)-50)</f>
        <v>171</v>
      </c>
      <c r="V203" s="3">
        <v>183</v>
      </c>
      <c r="W203" s="3">
        <f>IF(ISERROR(VLOOKUP($A203,'SegEnds_NonXtal_BW#'!$A:$Z,16,FALSE)+VLOOKUP($A203,A:AL,22,FALSE)-50),"-",(VLOOKUP($A203,'SegEnds_NonXtal_BW#'!$A:$Z,16,FALSE)+VLOOKUP($A203,A:AL,22,FALSE)-50))</f>
        <v>197</v>
      </c>
      <c r="X203" s="3">
        <f>IF(ISERROR(VLOOKUP($A203,'SegEnds_NonXtal_BW#'!$A:$Z,17,FALSE)+VLOOKUP($A203,A:AL,25,FALSE)-50),"-",(VLOOKUP($A203,'SegEnds_NonXtal_BW#'!$A:$Z,17,FALSE)+VLOOKUP($A203,A:AL,25,FALSE)-50))</f>
        <v>210</v>
      </c>
      <c r="Y203" s="3">
        <v>210</v>
      </c>
      <c r="Z203" s="3">
        <f t="shared" si="117"/>
        <v>212</v>
      </c>
      <c r="AA203" s="3">
        <f>IF(ISERROR(VLOOKUP($A203,'SegEnds_NonXtal_BW#'!$A:$Z,19,FALSE)+VLOOKUP($A203,A:AL,28,FALSE)-50),"-",(VLOOKUP($A203,'SegEnds_NonXtal_BW#'!$A:$Z,19,FALSE)+VLOOKUP($A203,A:AL,28,FALSE)-50))</f>
        <v>218</v>
      </c>
      <c r="AB203" s="3">
        <v>238</v>
      </c>
      <c r="AC203" s="3">
        <f>IF(ISERROR((VLOOKUP($A203,'SegEnds_NonXtal_BW#'!$A:$Z,20,FALSE)+VLOOKUP($A203,A:AL,28,FALSE)-50)),"-",(VLOOKUP($A203,'SegEnds_NonXtal_BW#'!$A:$Z,20,FALSE)+VLOOKUP($A203,A:AL,28,FALSE)-50))</f>
        <v>256</v>
      </c>
      <c r="AD203" s="3">
        <f>IF(ISERROR(VLOOKUP($A203,'SegEnds_NonXtal_BW#'!$A:$Z,21,FALSE)+VLOOKUP($A203,A:AL,31,FALSE)-50),"-",(VLOOKUP($A203,'SegEnds_NonXtal_BW#'!$A:$Z,21,FALSE)+VLOOKUP($A203,A:AL,31,FALSE)-50))</f>
        <v>262</v>
      </c>
      <c r="AE203" s="3">
        <v>289</v>
      </c>
      <c r="AF203" s="3">
        <f>IF(ISERROR((VLOOKUP($A203,'SegEnds_NonXtal_BW#'!$A:$Z,22,FALSE)+VLOOKUP($A203,A:AL,31,FALSE)-50)),"-",(VLOOKUP($A203,'SegEnds_NonXtal_BW#'!$A:$Z,22,FALSE)+VLOOKUP($A203,A:AL,31,FALSE)-50))</f>
        <v>300</v>
      </c>
      <c r="AG203" s="3">
        <f>IF(ISERROR(VLOOKUP($A203,'SegEnds_NonXtal_BW#'!$A:$Z,23,FALSE)+VLOOKUP($A203,A:AL,34,FALSE)-50),"-",(VLOOKUP($A203,'SegEnds_NonXtal_BW#'!$A:$Z,23,FALSE)+VLOOKUP($A203,A:AL,34,FALSE)-50))</f>
        <v>305</v>
      </c>
      <c r="AH203" s="3">
        <v>327</v>
      </c>
      <c r="AI203" s="3">
        <f>IF(ISERROR((VLOOKUP($A203,'SegEnds_NonXtal_BW#'!$A:$Z,24,FALSE)+VLOOKUP($A203,A:AL,34,FALSE)-50)),"-",(VLOOKUP($A203,'SegEnds_NonXtal_BW#'!$A:$Z,24,FALSE)+VLOOKUP($A203,A:AL,34,FALSE)-50))</f>
        <v>333</v>
      </c>
      <c r="AJ203" s="3">
        <f>IF(ISERROR(VLOOKUP($A203,'SegEnds_NonXtal_BW#'!$A:$Z,25,FALSE)+VLOOKUP($A203,A:AL,37,FALSE)-50),"-",(VLOOKUP($A203,'SegEnds_NonXtal_BW#'!$A:$Z,25,FALSE)+VLOOKUP($A203,A:AL,37,FALSE)-50))</f>
        <v>334</v>
      </c>
      <c r="AK203" s="3">
        <v>337</v>
      </c>
      <c r="AL203" s="3">
        <f>IF(ISERROR((VLOOKUP($A203,'SegEnds_NonXtal_BW#'!$A:$Z,26,FALSE)+VLOOKUP($A203,A:AL,37,FALSE)-50)),"-",(VLOOKUP($A203,'SegEnds_NonXtal_BW#'!$A:$Z,26,FALSE)+VLOOKUP($A203,A:AL,37,FALSE)-50))</f>
        <v>346</v>
      </c>
      <c r="AM203" s="28" t="str">
        <f>VLOOKUP(A203,Classification!A:B,2,FALSE)</f>
        <v>A</v>
      </c>
      <c r="AN203" s="28" t="b">
        <f t="shared" si="133"/>
        <v>1</v>
      </c>
      <c r="AO203" s="3" t="str">
        <f>IF(ISERROR(MATCH(A203,'SegEnds_Xtal_Prot#'!B:B, 0)), "NoXtal", "Xtal")</f>
        <v>Xtal</v>
      </c>
      <c r="AP203" s="3">
        <f t="shared" si="118"/>
        <v>1</v>
      </c>
      <c r="AQ203" s="3">
        <f t="shared" si="119"/>
        <v>1</v>
      </c>
      <c r="AR203" s="3">
        <f t="shared" si="120"/>
        <v>2</v>
      </c>
      <c r="AS203" s="3">
        <f t="shared" si="121"/>
        <v>1</v>
      </c>
      <c r="AT203" s="3">
        <f t="shared" si="122"/>
        <v>1</v>
      </c>
      <c r="AU203" s="3">
        <f t="shared" si="123"/>
        <v>1</v>
      </c>
      <c r="AV203" s="3">
        <f t="shared" si="124"/>
        <v>13</v>
      </c>
      <c r="AW203" s="3">
        <f t="shared" si="125"/>
        <v>6</v>
      </c>
      <c r="AX203" s="3">
        <f t="shared" si="126"/>
        <v>6</v>
      </c>
      <c r="AY203" s="3">
        <f t="shared" si="127"/>
        <v>5</v>
      </c>
      <c r="AZ203" s="3">
        <f t="shared" si="128"/>
        <v>1</v>
      </c>
      <c r="BA203" s="3">
        <f>IF(ISERROR(LEN(VLOOKUP(A203,Seqs!A:E,2,FALSE))-AL203),"-",LEN(VLOOKUP(A203,Seqs!A:E,2,FALSE))-AL203)</f>
        <v>34</v>
      </c>
      <c r="BB203" s="16">
        <f t="shared" si="129"/>
        <v>28</v>
      </c>
      <c r="BC203" s="9">
        <f t="shared" si="130"/>
        <v>20</v>
      </c>
      <c r="BD203" s="3">
        <f t="shared" si="131"/>
        <v>28</v>
      </c>
      <c r="BE203" s="3">
        <f t="shared" si="132"/>
        <v>51</v>
      </c>
    </row>
    <row r="204" spans="1:57" s="3" customFormat="1" x14ac:dyDescent="0.2">
      <c r="A204" s="3" t="s">
        <v>337</v>
      </c>
      <c r="B204" s="3" t="str">
        <f>LOWER(VLOOKUP(A204,Xtal_Templ!A:B,2,FALSE))</f>
        <v>oprm_mouse</v>
      </c>
      <c r="C204" s="3">
        <f>VLOOKUP($A204,'SegEnds_NonXtal_BW#'!$A:$Z,3,FALSE)+D204-50</f>
        <v>67</v>
      </c>
      <c r="D204" s="3">
        <v>88</v>
      </c>
      <c r="E204" s="3">
        <f>IF(ISERROR(VLOOKUP($A204,'SegEnds_NonXtal_BW#'!$A:$Z,4,FALSE)+VLOOKUP($A204,A:AL,4,FALSE)-50),"-",(VLOOKUP($A204,'SegEnds_NonXtal_BW#'!$A:$Z,4,FALSE)+VLOOKUP($A204,A:AL,4,FALSE)-50))</f>
        <v>98</v>
      </c>
      <c r="F204" s="3">
        <f t="shared" si="134"/>
        <v>99</v>
      </c>
      <c r="G204" s="3">
        <v>101</v>
      </c>
      <c r="H204" s="3">
        <f t="shared" si="135"/>
        <v>102</v>
      </c>
      <c r="I204" s="3">
        <f t="shared" si="135"/>
        <v>103</v>
      </c>
      <c r="J204" s="3">
        <v>116</v>
      </c>
      <c r="K204" s="3">
        <f>VLOOKUP($A204,'SegEnds_NonXtal_BW#'!$A:$Z,8,FALSE)+VLOOKUP($A204,A:AL,10,FALSE)-50</f>
        <v>132</v>
      </c>
      <c r="L204" s="3">
        <f>M204-1</f>
        <v>134</v>
      </c>
      <c r="M204" s="3">
        <v>135</v>
      </c>
      <c r="N204" s="3">
        <f>M204+2</f>
        <v>137</v>
      </c>
      <c r="O204" s="3">
        <f t="shared" si="116"/>
        <v>138</v>
      </c>
      <c r="P204" s="3">
        <v>167</v>
      </c>
      <c r="Q204" s="3">
        <f>VLOOKUP($A204,'SegEnds_NonXtal_BW#'!$A:$Z,12,FALSE)+VLOOKUP($A204,A:AL,16,FALSE)-50</f>
        <v>173</v>
      </c>
      <c r="R204" s="3">
        <f>IF(ISERROR(VLOOKUP($A204,'SegEnds_NonXtal_BW#'!$A:$Z,13,FALSE)+VLOOKUP($A204,A:AL,19,FALSE)-50),"-",VLOOKUP($A204,'SegEnds_NonXtal_BW#'!$A:$Z,13,FALSE)+VLOOKUP($A204,A:AL,19,FALSE)-50)</f>
        <v>174</v>
      </c>
      <c r="S204" s="3">
        <v>174</v>
      </c>
      <c r="T204" s="100">
        <f>IF(ISERROR(VLOOKUP($A204,'SegEnds_NonXtal_BW#'!$A:$Z,14,FALSE)+VLOOKUP($A204,A:AL,19,FALSE)-50),"-",(VLOOKUP($A204,'SegEnds_NonXtal_BW#'!$A:$Z,14,FALSE)+VLOOKUP($A204,A:AL,19,FALSE)-50))</f>
        <v>181</v>
      </c>
      <c r="U204" s="9">
        <f>IF(ISERROR(VLOOKUP($A204,'SegEnds_NonXtal_BW#'!$A:$Z,15,FALSE)+VLOOKUP($A204,A:AL,22,FALSE)-50),"-",VLOOKUP($A204,'SegEnds_NonXtal_BW#'!$A:$Z,15,FALSE)+VLOOKUP($A204,A:AL,22,FALSE)-50)</f>
        <v>182</v>
      </c>
      <c r="V204" s="3">
        <v>194</v>
      </c>
      <c r="W204" s="3">
        <f>IF(ISERROR(VLOOKUP($A204,'SegEnds_NonXtal_BW#'!$A:$Z,16,FALSE)+VLOOKUP($A204,A:AL,22,FALSE)-50),"-",(VLOOKUP($A204,'SegEnds_NonXtal_BW#'!$A:$Z,16,FALSE)+VLOOKUP($A204,A:AL,22,FALSE)-50))</f>
        <v>208</v>
      </c>
      <c r="X204" s="3">
        <f>IF(ISERROR(VLOOKUP($A204,'SegEnds_NonXtal_BW#'!$A:$Z,17,FALSE)+VLOOKUP($A204,A:AL,25,FALSE)-50),"-",(VLOOKUP($A204,'SegEnds_NonXtal_BW#'!$A:$Z,17,FALSE)+VLOOKUP($A204,A:AL,25,FALSE)-50))</f>
        <v>219</v>
      </c>
      <c r="Y204" s="3">
        <v>219</v>
      </c>
      <c r="Z204" s="3">
        <f t="shared" si="117"/>
        <v>221</v>
      </c>
      <c r="AA204" s="3">
        <f>IF(ISERROR(VLOOKUP($A204,'SegEnds_NonXtal_BW#'!$A:$Z,19,FALSE)+VLOOKUP($A204,A:AL,28,FALSE)-50),"-",(VLOOKUP($A204,'SegEnds_NonXtal_BW#'!$A:$Z,19,FALSE)+VLOOKUP($A204,A:AL,28,FALSE)-50))</f>
        <v>227</v>
      </c>
      <c r="AB204" s="3">
        <v>246</v>
      </c>
      <c r="AC204" s="3">
        <f>IF(ISERROR((VLOOKUP($A204,'SegEnds_NonXtal_BW#'!$A:$Z,20,FALSE)+VLOOKUP($A204,A:AL,28,FALSE)-50)),"-",(VLOOKUP($A204,'SegEnds_NonXtal_BW#'!$A:$Z,20,FALSE)+VLOOKUP($A204,A:AL,28,FALSE)-50))</f>
        <v>264</v>
      </c>
      <c r="AD204" s="3">
        <f>IF(ISERROR(VLOOKUP($A204,'SegEnds_NonXtal_BW#'!$A:$Z,21,FALSE)+VLOOKUP($A204,A:AL,31,FALSE)-50),"-",(VLOOKUP($A204,'SegEnds_NonXtal_BW#'!$A:$Z,21,FALSE)+VLOOKUP($A204,A:AL,31,FALSE)-50))</f>
        <v>270</v>
      </c>
      <c r="AE204" s="3">
        <v>297</v>
      </c>
      <c r="AF204" s="3">
        <f>IF(ISERROR((VLOOKUP($A204,'SegEnds_NonXtal_BW#'!$A:$Z,22,FALSE)+VLOOKUP($A204,A:AL,31,FALSE)-50)),"-",(VLOOKUP($A204,'SegEnds_NonXtal_BW#'!$A:$Z,22,FALSE)+VLOOKUP($A204,A:AL,31,FALSE)-50))</f>
        <v>308</v>
      </c>
      <c r="AG204" s="3">
        <f>IF(ISERROR(VLOOKUP($A204,'SegEnds_NonXtal_BW#'!$A:$Z,23,FALSE)+VLOOKUP($A204,A:AL,34,FALSE)-50),"-",(VLOOKUP($A204,'SegEnds_NonXtal_BW#'!$A:$Z,23,FALSE)+VLOOKUP($A204,A:AL,34,FALSE)-50))</f>
        <v>313</v>
      </c>
      <c r="AH204" s="3">
        <v>335</v>
      </c>
      <c r="AI204" s="3">
        <f>IF(ISERROR((VLOOKUP($A204,'SegEnds_NonXtal_BW#'!$A:$Z,24,FALSE)+VLOOKUP($A204,A:AL,34,FALSE)-50)),"-",(VLOOKUP($A204,'SegEnds_NonXtal_BW#'!$A:$Z,24,FALSE)+VLOOKUP($A204,A:AL,34,FALSE)-50))</f>
        <v>341</v>
      </c>
      <c r="AJ204" s="3">
        <f>IF(ISERROR(VLOOKUP($A204,'SegEnds_NonXtal_BW#'!$A:$Z,25,FALSE)+VLOOKUP($A204,A:AL,37,FALSE)-50),"-",(VLOOKUP($A204,'SegEnds_NonXtal_BW#'!$A:$Z,25,FALSE)+VLOOKUP($A204,A:AL,37,FALSE)-50))</f>
        <v>342</v>
      </c>
      <c r="AK204" s="3">
        <v>345</v>
      </c>
      <c r="AL204" s="3">
        <f>IF(ISERROR((VLOOKUP($A204,'SegEnds_NonXtal_BW#'!$A:$Z,26,FALSE)+VLOOKUP($A204,A:AL,37,FALSE)-50)),"-",(VLOOKUP($A204,'SegEnds_NonXtal_BW#'!$A:$Z,26,FALSE)+VLOOKUP($A204,A:AL,37,FALSE)-50))</f>
        <v>354</v>
      </c>
      <c r="AM204" s="28" t="str">
        <f>VLOOKUP(A204,Classification!A:B,2,FALSE)</f>
        <v>A</v>
      </c>
      <c r="AN204" s="28" t="b">
        <f t="shared" si="133"/>
        <v>1</v>
      </c>
      <c r="AO204" s="3" t="str">
        <f>IF(ISERROR(MATCH(A204,'SegEnds_Xtal_Prot#'!B:B, 0)), "NoXtal", "Xtal")</f>
        <v>NoXtal</v>
      </c>
      <c r="AP204" s="3">
        <f t="shared" si="118"/>
        <v>1</v>
      </c>
      <c r="AQ204" s="3">
        <f t="shared" si="119"/>
        <v>1</v>
      </c>
      <c r="AR204" s="3">
        <f t="shared" si="120"/>
        <v>2</v>
      </c>
      <c r="AS204" s="3">
        <f t="shared" si="121"/>
        <v>1</v>
      </c>
      <c r="AT204" s="3">
        <f t="shared" si="122"/>
        <v>1</v>
      </c>
      <c r="AU204" s="3">
        <f t="shared" si="123"/>
        <v>1</v>
      </c>
      <c r="AV204" s="3">
        <f t="shared" si="124"/>
        <v>11</v>
      </c>
      <c r="AW204" s="3">
        <f t="shared" si="125"/>
        <v>6</v>
      </c>
      <c r="AX204" s="3">
        <f t="shared" si="126"/>
        <v>6</v>
      </c>
      <c r="AY204" s="3">
        <f t="shared" si="127"/>
        <v>5</v>
      </c>
      <c r="AZ204" s="3">
        <f t="shared" si="128"/>
        <v>1</v>
      </c>
      <c r="BA204" s="3">
        <f>IF(ISERROR(LEN(VLOOKUP(A204,Seqs!A:E,2,FALSE))-AL204),"-",LEN(VLOOKUP(A204,Seqs!A:E,2,FALSE))-AL204)</f>
        <v>46</v>
      </c>
      <c r="BB204" s="16">
        <f t="shared" si="129"/>
        <v>28</v>
      </c>
      <c r="BC204" s="9">
        <f t="shared" si="130"/>
        <v>20</v>
      </c>
      <c r="BD204" s="3">
        <f t="shared" si="131"/>
        <v>28</v>
      </c>
      <c r="BE204" s="3">
        <f t="shared" si="132"/>
        <v>51</v>
      </c>
    </row>
    <row r="205" spans="1:57" s="3" customFormat="1" x14ac:dyDescent="0.2">
      <c r="A205" s="3" t="s">
        <v>918</v>
      </c>
      <c r="B205" s="3" t="str">
        <f>LOWER(VLOOKUP(A205,Xtal_Templ!A:B,2,FALSE))</f>
        <v>oprm_mouse</v>
      </c>
      <c r="C205" s="3">
        <f>VLOOKUP($A205,'SegEnds_NonXtal_BW#'!$A:$Z,3,FALSE)+D205-50</f>
        <v>65</v>
      </c>
      <c r="D205" s="3">
        <v>86</v>
      </c>
      <c r="E205" s="3">
        <f>IF(ISERROR(VLOOKUP($A205,'SegEnds_NonXtal_BW#'!$A:$Z,4,FALSE)+VLOOKUP($A205,A:AL,4,FALSE)-50),"-",(VLOOKUP($A205,'SegEnds_NonXtal_BW#'!$A:$Z,4,FALSE)+VLOOKUP($A205,A:AL,4,FALSE)-50))</f>
        <v>96</v>
      </c>
      <c r="F205" s="3">
        <f t="shared" si="134"/>
        <v>97</v>
      </c>
      <c r="G205" s="3">
        <v>99</v>
      </c>
      <c r="H205" s="3">
        <f t="shared" si="135"/>
        <v>100</v>
      </c>
      <c r="I205" s="3">
        <f t="shared" si="135"/>
        <v>101</v>
      </c>
      <c r="J205" s="3">
        <v>114</v>
      </c>
      <c r="K205" s="3">
        <f>VLOOKUP($A205,'SegEnds_NonXtal_BW#'!$A:$Z,8,FALSE)+VLOOKUP($A205,A:AL,10,FALSE)-50</f>
        <v>130</v>
      </c>
      <c r="L205" s="3">
        <f>IF(ISERROR(VLOOKUP($A205,'SegEnds_NonXtal_BW#'!$A:$Z,9,FALSE)+VLOOKUP($A205,A:AL,13,FALSE)-50),"-",(VLOOKUP($A205,'SegEnds_NonXtal_BW#'!$A:$Z,9,FALSE)+VLOOKUP($A205,A:AL,13,FALSE)-50))</f>
        <v>132</v>
      </c>
      <c r="M205" s="3">
        <v>133</v>
      </c>
      <c r="N205" s="3">
        <f>IF(ISERROR(VLOOKUP($A205,'SegEnds_NonXtal_BW#'!$A:$Z,10,FALSE)+VLOOKUP($A205,A:AL,13,FALSE)-50),"-",(VLOOKUP($A205,'SegEnds_NonXtal_BW#'!$A:$Z,10,FALSE)+VLOOKUP($A205,A:AL,13,FALSE)-50))</f>
        <v>135</v>
      </c>
      <c r="O205" s="3">
        <f t="shared" si="116"/>
        <v>136</v>
      </c>
      <c r="P205" s="3">
        <v>165</v>
      </c>
      <c r="Q205" s="3">
        <f>VLOOKUP($A205,'SegEnds_NonXtal_BW#'!$A:$Z,12,FALSE)+VLOOKUP($A205,A:AL,16,FALSE)-50</f>
        <v>171</v>
      </c>
      <c r="R205" s="3">
        <f>IF(ISERROR(VLOOKUP($A205,'SegEnds_NonXtal_BW#'!$A:$Z,13,FALSE)+VLOOKUP($A205,A:AL,19,FALSE)-50),"-",VLOOKUP($A205,'SegEnds_NonXtal_BW#'!$A:$Z,13,FALSE)+VLOOKUP($A205,A:AL,19,FALSE)-50)</f>
        <v>172</v>
      </c>
      <c r="S205" s="3">
        <v>172</v>
      </c>
      <c r="T205" s="100">
        <f>IF(ISERROR(VLOOKUP($A205,'SegEnds_NonXtal_BW#'!$A:$Z,14,FALSE)+VLOOKUP($A205,A:AL,19,FALSE)-50),"-",(VLOOKUP($A205,'SegEnds_NonXtal_BW#'!$A:$Z,14,FALSE)+VLOOKUP($A205,A:AL,19,FALSE)-50))</f>
        <v>179</v>
      </c>
      <c r="U205" s="9">
        <f>IF(ISERROR(VLOOKUP($A205,'SegEnds_NonXtal_BW#'!$A:$Z,15,FALSE)+VLOOKUP($A205,A:AL,22,FALSE)-50),"-",VLOOKUP($A205,'SegEnds_NonXtal_BW#'!$A:$Z,15,FALSE)+VLOOKUP($A205,A:AL,22,FALSE)-50)</f>
        <v>180</v>
      </c>
      <c r="V205" s="3">
        <v>192</v>
      </c>
      <c r="W205" s="3">
        <f>IF(ISERROR(VLOOKUP($A205,'SegEnds_NonXtal_BW#'!$A:$Z,16,FALSE)+VLOOKUP($A205,A:AL,22,FALSE)-50),"-",(VLOOKUP($A205,'SegEnds_NonXtal_BW#'!$A:$Z,16,FALSE)+VLOOKUP($A205,A:AL,22,FALSE)-50))</f>
        <v>206</v>
      </c>
      <c r="X205" s="3">
        <f>IF(ISERROR(VLOOKUP($A205,'SegEnds_NonXtal_BW#'!$A:$Z,17,FALSE)+VLOOKUP($A205,A:AL,25,FALSE)-50),"-",(VLOOKUP($A205,'SegEnds_NonXtal_BW#'!$A:$Z,17,FALSE)+VLOOKUP($A205,A:AL,25,FALSE)-50))</f>
        <v>217</v>
      </c>
      <c r="Y205" s="3">
        <v>217</v>
      </c>
      <c r="Z205" s="3">
        <f t="shared" si="117"/>
        <v>219</v>
      </c>
      <c r="AA205" s="3">
        <f>IF(ISERROR(VLOOKUP($A205,'SegEnds_NonXtal_BW#'!$A:$Z,19,FALSE)+VLOOKUP($A205,A:AL,28,FALSE)-50),"-",(VLOOKUP($A205,'SegEnds_NonXtal_BW#'!$A:$Z,19,FALSE)+VLOOKUP($A205,A:AL,28,FALSE)-50))</f>
        <v>225</v>
      </c>
      <c r="AB205" s="3">
        <v>244</v>
      </c>
      <c r="AC205" s="3">
        <f>IF(ISERROR((VLOOKUP($A205,'SegEnds_NonXtal_BW#'!$A:$Z,20,FALSE)+VLOOKUP($A205,A:AL,28,FALSE)-50)),"-",(VLOOKUP($A205,'SegEnds_NonXtal_BW#'!$A:$Z,20,FALSE)+VLOOKUP($A205,A:AL,28,FALSE)-50))</f>
        <v>262</v>
      </c>
      <c r="AD205" s="3">
        <f>IF(ISERROR(VLOOKUP($A205,'SegEnds_NonXtal_BW#'!$A:$Z,21,FALSE)+VLOOKUP($A205,A:AL,31,FALSE)-50),"-",(VLOOKUP($A205,'SegEnds_NonXtal_BW#'!$A:$Z,21,FALSE)+VLOOKUP($A205,A:AL,31,FALSE)-50))</f>
        <v>268</v>
      </c>
      <c r="AE205" s="3">
        <v>295</v>
      </c>
      <c r="AF205" s="3">
        <f>IF(ISERROR((VLOOKUP($A205,'SegEnds_NonXtal_BW#'!$A:$Z,22,FALSE)+VLOOKUP($A205,A:AL,31,FALSE)-50)),"-",(VLOOKUP($A205,'SegEnds_NonXtal_BW#'!$A:$Z,22,FALSE)+VLOOKUP($A205,A:AL,31,FALSE)-50))</f>
        <v>306</v>
      </c>
      <c r="AG205" s="3">
        <f>IF(ISERROR(VLOOKUP($A205,'SegEnds_NonXtal_BW#'!$A:$Z,23,FALSE)+VLOOKUP($A205,A:AL,34,FALSE)-50),"-",(VLOOKUP($A205,'SegEnds_NonXtal_BW#'!$A:$Z,23,FALSE)+VLOOKUP($A205,A:AL,34,FALSE)-50))</f>
        <v>311</v>
      </c>
      <c r="AH205" s="3">
        <v>333</v>
      </c>
      <c r="AI205" s="3">
        <f>IF(ISERROR((VLOOKUP($A205,'SegEnds_NonXtal_BW#'!$A:$Z,24,FALSE)+VLOOKUP($A205,A:AL,34,FALSE)-50)),"-",(VLOOKUP($A205,'SegEnds_NonXtal_BW#'!$A:$Z,24,FALSE)+VLOOKUP($A205,A:AL,34,FALSE)-50))</f>
        <v>339</v>
      </c>
      <c r="AJ205" s="3">
        <f>IF(ISERROR(VLOOKUP($A205,'SegEnds_NonXtal_BW#'!$A:$Z,25,FALSE)+VLOOKUP($A205,A:AL,37,FALSE)-50),"-",(VLOOKUP($A205,'SegEnds_NonXtal_BW#'!$A:$Z,25,FALSE)+VLOOKUP($A205,A:AL,37,FALSE)-50))</f>
        <v>340</v>
      </c>
      <c r="AK205" s="3">
        <v>343</v>
      </c>
      <c r="AL205" s="3">
        <f>IF(ISERROR((VLOOKUP($A205,'SegEnds_NonXtal_BW#'!$A:$Z,26,FALSE)+VLOOKUP($A205,A:AL,37,FALSE)-50)),"-",(VLOOKUP($A205,'SegEnds_NonXtal_BW#'!$A:$Z,26,FALSE)+VLOOKUP($A205,A:AL,37,FALSE)-50))</f>
        <v>352</v>
      </c>
      <c r="AM205" s="28" t="str">
        <f>VLOOKUP(A205,Classification!A:B,2,FALSE)</f>
        <v>A</v>
      </c>
      <c r="AN205" s="28" t="b">
        <f t="shared" si="133"/>
        <v>1</v>
      </c>
      <c r="AO205" s="3" t="str">
        <f>IF(ISERROR(MATCH(A205,'SegEnds_Xtal_Prot#'!B:B, 0)), "NoXtal", "Xtal")</f>
        <v>Xtal</v>
      </c>
      <c r="AP205" s="3">
        <f t="shared" si="118"/>
        <v>1</v>
      </c>
      <c r="AQ205" s="3">
        <f t="shared" si="119"/>
        <v>1</v>
      </c>
      <c r="AR205" s="3">
        <f t="shared" si="120"/>
        <v>2</v>
      </c>
      <c r="AS205" s="3">
        <f t="shared" si="121"/>
        <v>1</v>
      </c>
      <c r="AT205" s="3">
        <f t="shared" si="122"/>
        <v>1</v>
      </c>
      <c r="AU205" s="3">
        <f t="shared" si="123"/>
        <v>1</v>
      </c>
      <c r="AV205" s="3">
        <f t="shared" si="124"/>
        <v>11</v>
      </c>
      <c r="AW205" s="3">
        <f t="shared" si="125"/>
        <v>6</v>
      </c>
      <c r="AX205" s="3">
        <f t="shared" si="126"/>
        <v>6</v>
      </c>
      <c r="AY205" s="3">
        <f t="shared" si="127"/>
        <v>5</v>
      </c>
      <c r="AZ205" s="3">
        <f t="shared" si="128"/>
        <v>1</v>
      </c>
      <c r="BA205" s="3">
        <f>IF(ISERROR(LEN(VLOOKUP(A205,Seqs!A:E,2,FALSE))-AL205),"-",LEN(VLOOKUP(A205,Seqs!A:E,2,FALSE))-AL205)</f>
        <v>46</v>
      </c>
      <c r="BB205" s="16">
        <f t="shared" si="129"/>
        <v>28</v>
      </c>
      <c r="BC205" s="9">
        <f t="shared" si="130"/>
        <v>20</v>
      </c>
      <c r="BD205" s="3">
        <f t="shared" si="131"/>
        <v>28</v>
      </c>
      <c r="BE205" s="3">
        <f t="shared" si="132"/>
        <v>51</v>
      </c>
    </row>
    <row r="206" spans="1:57" s="3" customFormat="1" x14ac:dyDescent="0.2">
      <c r="A206" s="3" t="s">
        <v>1174</v>
      </c>
      <c r="B206" s="3" t="str">
        <f>LOWER(VLOOKUP(A206,Xtal_Templ!A:B,2,FALSE))</f>
        <v>oprx_human</v>
      </c>
      <c r="C206" s="3">
        <f>VLOOKUP($A206,'SegEnds_NonXtal_BW#'!$A:$Z,3,FALSE)+D206-50</f>
        <v>48</v>
      </c>
      <c r="D206" s="3">
        <v>69</v>
      </c>
      <c r="E206" s="3">
        <f>IF(ISERROR(VLOOKUP($A206,'SegEnds_NonXtal_BW#'!$A:$Z,4,FALSE)+VLOOKUP($A206,A:AL,4,FALSE)-50),"-",(VLOOKUP($A206,'SegEnds_NonXtal_BW#'!$A:$Z,4,FALSE)+VLOOKUP($A206,A:AL,4,FALSE)-50))</f>
        <v>79</v>
      </c>
      <c r="F206" s="3">
        <f t="shared" si="134"/>
        <v>80</v>
      </c>
      <c r="G206" s="3">
        <v>82</v>
      </c>
      <c r="H206" s="3">
        <f t="shared" si="135"/>
        <v>83</v>
      </c>
      <c r="I206" s="3">
        <f t="shared" si="135"/>
        <v>84</v>
      </c>
      <c r="J206" s="3">
        <v>97</v>
      </c>
      <c r="K206" s="3">
        <f>VLOOKUP($A206,'SegEnds_NonXtal_BW#'!$A:$Z,8,FALSE)+VLOOKUP($A206,A:AL,10,FALSE)-50</f>
        <v>113</v>
      </c>
      <c r="L206" s="3">
        <f>M206-1</f>
        <v>115</v>
      </c>
      <c r="M206" s="3">
        <v>116</v>
      </c>
      <c r="N206" s="3">
        <f>M206+2</f>
        <v>118</v>
      </c>
      <c r="O206" s="3">
        <f t="shared" si="116"/>
        <v>119</v>
      </c>
      <c r="P206" s="3">
        <v>148</v>
      </c>
      <c r="Q206" s="3">
        <f>VLOOKUP($A206,'SegEnds_NonXtal_BW#'!$A:$Z,12,FALSE)+VLOOKUP($A206,A:AL,16,FALSE)-50</f>
        <v>154</v>
      </c>
      <c r="R206" s="3">
        <f>IF(ISERROR(VLOOKUP($A206,'SegEnds_NonXtal_BW#'!$A:$Z,13,FALSE)+VLOOKUP($A206,A:AL,19,FALSE)-50),"-",VLOOKUP($A206,'SegEnds_NonXtal_BW#'!$A:$Z,13,FALSE)+VLOOKUP($A206,A:AL,19,FALSE)-50)</f>
        <v>155</v>
      </c>
      <c r="S206" s="3">
        <v>155</v>
      </c>
      <c r="T206" s="100">
        <f>IF(ISERROR(VLOOKUP($A206,'SegEnds_NonXtal_BW#'!$A:$Z,14,FALSE)+VLOOKUP($A206,A:AL,19,FALSE)-50),"-",(VLOOKUP($A206,'SegEnds_NonXtal_BW#'!$A:$Z,14,FALSE)+VLOOKUP($A206,A:AL,19,FALSE)-50))</f>
        <v>162</v>
      </c>
      <c r="U206" s="9">
        <f>IF(ISERROR(VLOOKUP($A206,'SegEnds_NonXtal_BW#'!$A:$Z,15,FALSE)+VLOOKUP($A206,A:AL,22,FALSE)-50),"-",VLOOKUP($A206,'SegEnds_NonXtal_BW#'!$A:$Z,15,FALSE)+VLOOKUP($A206,A:AL,22,FALSE)-50)</f>
        <v>163</v>
      </c>
      <c r="V206" s="3">
        <v>175</v>
      </c>
      <c r="W206" s="3">
        <f>IF(ISERROR(VLOOKUP($A206,'SegEnds_NonXtal_BW#'!$A:$Z,16,FALSE)+VLOOKUP($A206,A:AL,22,FALSE)-50),"-",(VLOOKUP($A206,'SegEnds_NonXtal_BW#'!$A:$Z,16,FALSE)+VLOOKUP($A206,A:AL,22,FALSE)-50))</f>
        <v>189</v>
      </c>
      <c r="X206" s="3">
        <f>IF(ISERROR(VLOOKUP($A206,'SegEnds_NonXtal_BW#'!$A:$Z,17,FALSE)+VLOOKUP($A206,A:AL,25,FALSE)-50),"-",(VLOOKUP($A206,'SegEnds_NonXtal_BW#'!$A:$Z,17,FALSE)+VLOOKUP($A206,A:AL,25,FALSE)-50))</f>
        <v>200</v>
      </c>
      <c r="Y206" s="3">
        <v>200</v>
      </c>
      <c r="Z206" s="3">
        <f t="shared" si="117"/>
        <v>202</v>
      </c>
      <c r="AA206" s="3">
        <f>IF(ISERROR(VLOOKUP($A206,'SegEnds_NonXtal_BW#'!$A:$Z,19,FALSE)+VLOOKUP($A206,A:AL,28,FALSE)-50),"-",(VLOOKUP($A206,'SegEnds_NonXtal_BW#'!$A:$Z,19,FALSE)+VLOOKUP($A206,A:AL,28,FALSE)-50))</f>
        <v>208</v>
      </c>
      <c r="AB206" s="3">
        <v>227</v>
      </c>
      <c r="AC206" s="3">
        <f>IF(ISERROR((VLOOKUP($A206,'SegEnds_NonXtal_BW#'!$A:$Z,20,FALSE)+VLOOKUP($A206,A:AL,28,FALSE)-50)),"-",(VLOOKUP($A206,'SegEnds_NonXtal_BW#'!$A:$Z,20,FALSE)+VLOOKUP($A206,A:AL,28,FALSE)-50))</f>
        <v>245</v>
      </c>
      <c r="AD206" s="3">
        <f>IF(ISERROR(VLOOKUP($A206,'SegEnds_NonXtal_BW#'!$A:$Z,21,FALSE)+VLOOKUP($A206,A:AL,31,FALSE)-50),"-",(VLOOKUP($A206,'SegEnds_NonXtal_BW#'!$A:$Z,21,FALSE)+VLOOKUP($A206,A:AL,31,FALSE)-50))</f>
        <v>251</v>
      </c>
      <c r="AE206" s="3">
        <v>278</v>
      </c>
      <c r="AF206" s="3">
        <f>IF(ISERROR((VLOOKUP($A206,'SegEnds_NonXtal_BW#'!$A:$Z,22,FALSE)+VLOOKUP($A206,A:AL,31,FALSE)-50)),"-",(VLOOKUP($A206,'SegEnds_NonXtal_BW#'!$A:$Z,22,FALSE)+VLOOKUP($A206,A:AL,31,FALSE)-50))</f>
        <v>289</v>
      </c>
      <c r="AG206" s="3">
        <f>IF(ISERROR(VLOOKUP($A206,'SegEnds_NonXtal_BW#'!$A:$Z,23,FALSE)+VLOOKUP($A206,A:AL,34,FALSE)-50),"-",(VLOOKUP($A206,'SegEnds_NonXtal_BW#'!$A:$Z,23,FALSE)+VLOOKUP($A206,A:AL,34,FALSE)-50))</f>
        <v>294</v>
      </c>
      <c r="AH206" s="3">
        <v>316</v>
      </c>
      <c r="AI206" s="3">
        <f>IF(ISERROR((VLOOKUP($A206,'SegEnds_NonXtal_BW#'!$A:$Z,24,FALSE)+VLOOKUP($A206,A:AL,34,FALSE)-50)),"-",(VLOOKUP($A206,'SegEnds_NonXtal_BW#'!$A:$Z,24,FALSE)+VLOOKUP($A206,A:AL,34,FALSE)-50))</f>
        <v>322</v>
      </c>
      <c r="AJ206" s="3">
        <f>IF(ISERROR(VLOOKUP($A206,'SegEnds_NonXtal_BW#'!$A:$Z,25,FALSE)+VLOOKUP($A206,A:AL,37,FALSE)-50),"-",(VLOOKUP($A206,'SegEnds_NonXtal_BW#'!$A:$Z,25,FALSE)+VLOOKUP($A206,A:AL,37,FALSE)-50))</f>
        <v>323</v>
      </c>
      <c r="AK206" s="3">
        <v>326</v>
      </c>
      <c r="AL206" s="3">
        <f>IF(ISERROR((VLOOKUP($A206,'SegEnds_NonXtal_BW#'!$A:$Z,26,FALSE)+VLOOKUP($A206,A:AL,37,FALSE)-50)),"-",(VLOOKUP($A206,'SegEnds_NonXtal_BW#'!$A:$Z,26,FALSE)+VLOOKUP($A206,A:AL,37,FALSE)-50))</f>
        <v>335</v>
      </c>
      <c r="AM206" s="28" t="str">
        <f>VLOOKUP(A206,Classification!A:B,2,FALSE)</f>
        <v>A</v>
      </c>
      <c r="AN206" s="28" t="b">
        <f t="shared" si="133"/>
        <v>1</v>
      </c>
      <c r="AO206" s="3" t="str">
        <f>IF(ISERROR(MATCH(A206,'SegEnds_Xtal_Prot#'!B:B, 0)), "NoXtal", "Xtal")</f>
        <v>Xtal</v>
      </c>
      <c r="AP206" s="3">
        <f t="shared" si="118"/>
        <v>1</v>
      </c>
      <c r="AQ206" s="3">
        <f t="shared" si="119"/>
        <v>1</v>
      </c>
      <c r="AR206" s="3">
        <f t="shared" si="120"/>
        <v>2</v>
      </c>
      <c r="AS206" s="3">
        <f t="shared" si="121"/>
        <v>1</v>
      </c>
      <c r="AT206" s="3">
        <f t="shared" si="122"/>
        <v>1</v>
      </c>
      <c r="AU206" s="3">
        <f t="shared" si="123"/>
        <v>1</v>
      </c>
      <c r="AV206" s="3">
        <f t="shared" si="124"/>
        <v>11</v>
      </c>
      <c r="AW206" s="3">
        <f t="shared" si="125"/>
        <v>6</v>
      </c>
      <c r="AX206" s="3">
        <f t="shared" si="126"/>
        <v>6</v>
      </c>
      <c r="AY206" s="3">
        <f t="shared" si="127"/>
        <v>5</v>
      </c>
      <c r="AZ206" s="3">
        <f t="shared" si="128"/>
        <v>1</v>
      </c>
      <c r="BA206" s="3">
        <f>IF(ISERROR(LEN(VLOOKUP(A206,Seqs!A:E,2,FALSE))-AL206),"-",LEN(VLOOKUP(A206,Seqs!A:E,2,FALSE))-AL206)</f>
        <v>35</v>
      </c>
      <c r="BB206" s="16">
        <f t="shared" si="129"/>
        <v>28</v>
      </c>
      <c r="BC206" s="9">
        <f t="shared" si="130"/>
        <v>20</v>
      </c>
      <c r="BD206" s="3">
        <f t="shared" si="131"/>
        <v>28</v>
      </c>
      <c r="BE206" s="3">
        <f t="shared" si="132"/>
        <v>51</v>
      </c>
    </row>
    <row r="207" spans="1:57" s="3" customFormat="1" x14ac:dyDescent="0.2">
      <c r="A207" s="3" t="s">
        <v>922</v>
      </c>
      <c r="B207" s="3" t="str">
        <f>LOWER(VLOOKUP(A207,Xtal_Templ!A:B,2,FALSE))</f>
        <v>opsd_todpa</v>
      </c>
      <c r="C207" s="3">
        <f>VLOOKUP($A207,'SegEnds_NonXtal_BW#'!$A:$Z,3,FALSE)+D207-50</f>
        <v>31</v>
      </c>
      <c r="D207" s="3">
        <v>52</v>
      </c>
      <c r="E207" s="3">
        <f>IF(ISERROR(VLOOKUP($A207,'SegEnds_NonXtal_BW#'!$A:$Z,4,FALSE)+VLOOKUP($A207,A:AL,4,FALSE)-50),"-",(VLOOKUP($A207,'SegEnds_NonXtal_BW#'!$A:$Z,4,FALSE)+VLOOKUP($A207,A:AL,4,FALSE)-50))</f>
        <v>62</v>
      </c>
      <c r="F207" s="3">
        <f t="shared" si="134"/>
        <v>63</v>
      </c>
      <c r="G207" s="3">
        <v>65</v>
      </c>
      <c r="H207" s="3">
        <f t="shared" si="135"/>
        <v>66</v>
      </c>
      <c r="I207" s="3">
        <f t="shared" si="135"/>
        <v>67</v>
      </c>
      <c r="J207" s="3">
        <v>80</v>
      </c>
      <c r="K207" s="3">
        <f>VLOOKUP($A207,'SegEnds_NonXtal_BW#'!$A:$Z,8,FALSE)+VLOOKUP($A207,A:AL,10,FALSE)-50</f>
        <v>99</v>
      </c>
      <c r="L207" s="3">
        <f>IF(ISERROR(VLOOKUP($A207,'SegEnds_NonXtal_BW#'!$A:$Z,9,FALSE)+VLOOKUP($A207,A:AL,13,FALSE)-50),"-",(VLOOKUP($A207,'SegEnds_NonXtal_BW#'!$A:$Z,9,FALSE)+VLOOKUP($A207,A:AL,13,FALSE)-50))</f>
        <v>100</v>
      </c>
      <c r="M207" s="3">
        <v>101</v>
      </c>
      <c r="N207" s="3">
        <f>IF(ISERROR(VLOOKUP($A207,'SegEnds_NonXtal_BW#'!$A:$Z,10,FALSE)+VLOOKUP($A207,A:AL,13,FALSE)-50),"-",(VLOOKUP($A207,'SegEnds_NonXtal_BW#'!$A:$Z,10,FALSE)+VLOOKUP($A207,A:AL,13,FALSE)-50))</f>
        <v>103</v>
      </c>
      <c r="O207" s="3">
        <f t="shared" si="116"/>
        <v>104</v>
      </c>
      <c r="P207" s="3">
        <v>133</v>
      </c>
      <c r="Q207" s="3">
        <f>VLOOKUP($A207,'SegEnds_NonXtal_BW#'!$A:$Z,12,FALSE)+VLOOKUP($A207,A:AL,16,FALSE)-50</f>
        <v>139</v>
      </c>
      <c r="R207" s="3">
        <f>IF(ISERROR(VLOOKUP($A207,'SegEnds_NonXtal_BW#'!$A:$Z,13,FALSE)+VLOOKUP($A207,A:AL,19,FALSE)-50),"-",VLOOKUP($A207,'SegEnds_NonXtal_BW#'!$A:$Z,13,FALSE)+VLOOKUP($A207,A:AL,19,FALSE)-50)</f>
        <v>140</v>
      </c>
      <c r="S207" s="3">
        <v>140</v>
      </c>
      <c r="T207" s="100">
        <f>IF(ISERROR(VLOOKUP($A207,'SegEnds_NonXtal_BW#'!$A:$Z,14,FALSE)+VLOOKUP($A207,A:AL,19,FALSE)-50),"-",(VLOOKUP($A207,'SegEnds_NonXtal_BW#'!$A:$Z,14,FALSE)+VLOOKUP($A207,A:AL,19,FALSE)-50))</f>
        <v>147</v>
      </c>
      <c r="U207" s="9">
        <f>IF(ISERROR(VLOOKUP($A207,'SegEnds_NonXtal_BW#'!$A:$Z,15,FALSE)+VLOOKUP($A207,A:AL,22,FALSE)-50),"-",VLOOKUP($A207,'SegEnds_NonXtal_BW#'!$A:$Z,15,FALSE)+VLOOKUP($A207,A:AL,22,FALSE)-50)</f>
        <v>148</v>
      </c>
      <c r="V207" s="3">
        <v>160</v>
      </c>
      <c r="W207" s="3">
        <f>IF(ISERROR(VLOOKUP($A207,'SegEnds_NonXtal_BW#'!$A:$Z,16,FALSE)+VLOOKUP($A207,A:AL,22,FALSE)-50),"-",(VLOOKUP($A207,'SegEnds_NonXtal_BW#'!$A:$Z,16,FALSE)+VLOOKUP($A207,A:AL,22,FALSE)-50))</f>
        <v>172</v>
      </c>
      <c r="X207" s="3">
        <f>IF(ISERROR(VLOOKUP($A207,'SegEnds_NonXtal_BW#'!$A:$Z,17,FALSE)+VLOOKUP($A207,A:AL,25,FALSE)-50),"-",(VLOOKUP($A207,'SegEnds_NonXtal_BW#'!$A:$Z,17,FALSE)+VLOOKUP($A207,A:AL,25,FALSE)-50))</f>
        <v>186</v>
      </c>
      <c r="Y207" s="3">
        <v>186</v>
      </c>
      <c r="Z207" s="3">
        <f t="shared" si="117"/>
        <v>188</v>
      </c>
      <c r="AA207" s="3">
        <f>IF(ISERROR(VLOOKUP($A207,'SegEnds_NonXtal_BW#'!$A:$Z,19,FALSE)+VLOOKUP($A207,A:AL,28,FALSE)-50),"-",(VLOOKUP($A207,'SegEnds_NonXtal_BW#'!$A:$Z,19,FALSE)+VLOOKUP($A207,A:AL,28,FALSE)-50))</f>
        <v>194</v>
      </c>
      <c r="AB207" s="3">
        <v>212</v>
      </c>
      <c r="AC207" s="3">
        <v>239</v>
      </c>
      <c r="AD207" s="3">
        <v>244</v>
      </c>
      <c r="AE207" s="3">
        <v>276</v>
      </c>
      <c r="AF207" s="3">
        <f>IF(ISERROR((VLOOKUP($A207,'SegEnds_NonXtal_BW#'!$A:$Z,22,FALSE)+VLOOKUP($A207,A:AL,31,FALSE)-50)),"-",(VLOOKUP($A207,'SegEnds_NonXtal_BW#'!$A:$Z,22,FALSE)+VLOOKUP($A207,A:AL,31,FALSE)-50))</f>
        <v>287</v>
      </c>
      <c r="AG207" s="3">
        <f>IF(ISERROR(VLOOKUP($A207,'SegEnds_NonXtal_BW#'!$A:$Z,23,FALSE)+VLOOKUP($A207,A:AL,34,FALSE)-50),"-",(VLOOKUP($A207,'SegEnds_NonXtal_BW#'!$A:$Z,23,FALSE)+VLOOKUP($A207,A:AL,34,FALSE)-50))</f>
        <v>293</v>
      </c>
      <c r="AH207" s="3">
        <v>312</v>
      </c>
      <c r="AI207" s="3">
        <f>IF(ISERROR((VLOOKUP($A207,'SegEnds_NonXtal_BW#'!$A:$Z,24,FALSE)+VLOOKUP($A207,A:AL,34,FALSE)-50)),"-",(VLOOKUP($A207,'SegEnds_NonXtal_BW#'!$A:$Z,24,FALSE)+VLOOKUP($A207,A:AL,34,FALSE)-50))</f>
        <v>318</v>
      </c>
      <c r="AJ207" s="3">
        <f>IF(ISERROR(VLOOKUP($A207,'SegEnds_NonXtal_BW#'!$A:$Z,25,FALSE)+VLOOKUP($A207,A:AL,37,FALSE)-50),"-",(VLOOKUP($A207,'SegEnds_NonXtal_BW#'!$A:$Z,25,FALSE)+VLOOKUP($A207,A:AL,37,FALSE)-50))</f>
        <v>319</v>
      </c>
      <c r="AK207" s="3">
        <v>322</v>
      </c>
      <c r="AL207" s="3">
        <f>IF(ISERROR((VLOOKUP($A207,'SegEnds_NonXtal_BW#'!$A:$Z,26,FALSE)+VLOOKUP($A207,A:AL,37,FALSE)-50)),"-",(VLOOKUP($A207,'SegEnds_NonXtal_BW#'!$A:$Z,26,FALSE)+VLOOKUP($A207,A:AL,37,FALSE)-50))</f>
        <v>330</v>
      </c>
      <c r="AM207" s="28" t="str">
        <f>VLOOKUP(A207,Classification!A:B,2,FALSE)</f>
        <v>A</v>
      </c>
      <c r="AN207" s="28" t="b">
        <f t="shared" si="133"/>
        <v>1</v>
      </c>
      <c r="AO207" s="3" t="str">
        <f>IF(ISERROR(MATCH(A207,'SegEnds_Xtal_Prot#'!B:B, 0)), "NoXtal", "Xtal")</f>
        <v>Xtal</v>
      </c>
      <c r="AP207" s="3">
        <f t="shared" si="118"/>
        <v>1</v>
      </c>
      <c r="AQ207" s="3">
        <f t="shared" si="119"/>
        <v>1</v>
      </c>
      <c r="AR207" s="3">
        <f t="shared" si="120"/>
        <v>1</v>
      </c>
      <c r="AS207" s="3">
        <f t="shared" si="121"/>
        <v>1</v>
      </c>
      <c r="AT207" s="3">
        <f t="shared" si="122"/>
        <v>1</v>
      </c>
      <c r="AU207" s="3">
        <f t="shared" si="123"/>
        <v>1</v>
      </c>
      <c r="AV207" s="3">
        <f t="shared" si="124"/>
        <v>14</v>
      </c>
      <c r="AW207" s="3">
        <f t="shared" si="125"/>
        <v>6</v>
      </c>
      <c r="AX207" s="3">
        <f t="shared" si="126"/>
        <v>5</v>
      </c>
      <c r="AY207" s="3">
        <f t="shared" si="127"/>
        <v>6</v>
      </c>
      <c r="AZ207" s="3">
        <f t="shared" si="128"/>
        <v>1</v>
      </c>
      <c r="BA207" s="3">
        <f>IF(ISERROR(LEN(VLOOKUP(A207,Seqs!A:E,2,FALSE))-AL207),"-",LEN(VLOOKUP(A207,Seqs!A:E,2,FALSE))-AL207)</f>
        <v>118</v>
      </c>
      <c r="BB207" s="16">
        <f t="shared" si="129"/>
        <v>28</v>
      </c>
      <c r="BC207" s="9">
        <f t="shared" si="130"/>
        <v>20</v>
      </c>
      <c r="BD207" s="3">
        <f t="shared" si="131"/>
        <v>28</v>
      </c>
      <c r="BE207" s="3">
        <f t="shared" si="132"/>
        <v>64</v>
      </c>
    </row>
    <row r="208" spans="1:57" s="3" customFormat="1" x14ac:dyDescent="0.2">
      <c r="A208" s="3" t="s">
        <v>342</v>
      </c>
      <c r="B208" s="3" t="str">
        <f>LOWER(VLOOKUP(A208,Xtal_Templ!A:B,2,FALSE))</f>
        <v>pd2r2_human</v>
      </c>
      <c r="C208" s="3">
        <f>VLOOKUP($A208,'SegEnds_NonXtal_BW#'!$A:$Z,3,FALSE)+D208-50</f>
        <v>92</v>
      </c>
      <c r="D208" s="3">
        <v>110</v>
      </c>
      <c r="E208" s="3">
        <f>IF(ISERROR(VLOOKUP($A208,'SegEnds_NonXtal_BW#'!$A:$Z,4,FALSE)+VLOOKUP($A208,A:AL,4,FALSE)-50),"-",(VLOOKUP($A208,'SegEnds_NonXtal_BW#'!$A:$Z,4,FALSE)+VLOOKUP($A208,A:AL,4,FALSE)-50))</f>
        <v>120</v>
      </c>
      <c r="F208" s="3">
        <f t="shared" si="134"/>
        <v>121</v>
      </c>
      <c r="G208" s="3">
        <v>123</v>
      </c>
      <c r="H208" s="3">
        <f t="shared" si="135"/>
        <v>124</v>
      </c>
      <c r="I208" s="3">
        <f t="shared" si="135"/>
        <v>125</v>
      </c>
      <c r="J208" s="3">
        <v>138</v>
      </c>
      <c r="K208" s="3">
        <f>VLOOKUP($A208,'SegEnds_NonXtal_BW#'!$A:$Z,8,FALSE)+VLOOKUP($A208,A:AL,10,FALSE)-50</f>
        <v>155</v>
      </c>
      <c r="L208" s="3">
        <f t="shared" ref="L208:L214" si="136">M208-1</f>
        <v>157</v>
      </c>
      <c r="M208" s="3">
        <v>158</v>
      </c>
      <c r="N208" s="3">
        <f t="shared" ref="N208:N214" si="137">M208+2</f>
        <v>160</v>
      </c>
      <c r="O208" s="3">
        <f t="shared" si="116"/>
        <v>161</v>
      </c>
      <c r="P208" s="3">
        <v>190</v>
      </c>
      <c r="Q208" s="3">
        <f>VLOOKUP($A208,'SegEnds_NonXtal_BW#'!$A:$Z,12,FALSE)+VLOOKUP($A208,A:AL,16,FALSE)-50</f>
        <v>196</v>
      </c>
      <c r="R208" s="3">
        <f>IF(ISERROR(VLOOKUP($A208,'SegEnds_NonXtal_BW#'!$A:$Z,13,FALSE)+VLOOKUP($A208,A:AL,19,FALSE)-50),"-",VLOOKUP($A208,'SegEnds_NonXtal_BW#'!$A:$Z,13,FALSE)+VLOOKUP($A208,A:AL,19,FALSE)-50)</f>
        <v>197</v>
      </c>
      <c r="S208" s="3">
        <v>197</v>
      </c>
      <c r="T208" s="100">
        <f>IF(ISERROR(VLOOKUP($A208,'SegEnds_NonXtal_BW#'!$A:$Z,14,FALSE)+VLOOKUP($A208,A:AL,19,FALSE)-50),"-",(VLOOKUP($A208,'SegEnds_NonXtal_BW#'!$A:$Z,14,FALSE)+VLOOKUP($A208,A:AL,19,FALSE)-50))</f>
        <v>204</v>
      </c>
      <c r="U208" s="9">
        <f>IF(ISERROR(VLOOKUP($A208,'SegEnds_NonXtal_BW#'!$A:$Z,15,FALSE)+VLOOKUP($A208,A:AL,22,FALSE)-50),"-",VLOOKUP($A208,'SegEnds_NonXtal_BW#'!$A:$Z,15,FALSE)+VLOOKUP($A208,A:AL,22,FALSE)-50)</f>
        <v>205</v>
      </c>
      <c r="V208" s="3">
        <v>217</v>
      </c>
      <c r="W208" s="3">
        <f>IF(ISERROR(VLOOKUP($A208,'SegEnds_NonXtal_BW#'!$A:$Z,16,FALSE)+VLOOKUP($A208,A:AL,22,FALSE)-50),"-",(VLOOKUP($A208,'SegEnds_NonXtal_BW#'!$A:$Z,16,FALSE)+VLOOKUP($A208,A:AL,22,FALSE)-50))</f>
        <v>231</v>
      </c>
      <c r="X208" s="3">
        <f>IF(ISERROR(VLOOKUP($A208,'SegEnds_NonXtal_BW#'!$A:$Z,17,FALSE)+VLOOKUP($A208,A:AL,25,FALSE)-50),"-",(VLOOKUP($A208,'SegEnds_NonXtal_BW#'!$A:$Z,17,FALSE)+VLOOKUP($A208,A:AL,25,FALSE)-50))</f>
        <v>237</v>
      </c>
      <c r="Y208" s="3">
        <v>237</v>
      </c>
      <c r="Z208" s="3">
        <f t="shared" si="117"/>
        <v>239</v>
      </c>
      <c r="AA208" s="3">
        <f>IF(ISERROR(VLOOKUP($A208,'SegEnds_NonXtal_BW#'!$A:$Z,19,FALSE)+VLOOKUP($A208,A:AL,28,FALSE)-50),"-",(VLOOKUP($A208,'SegEnds_NonXtal_BW#'!$A:$Z,19,FALSE)+VLOOKUP($A208,A:AL,28,FALSE)-50))</f>
        <v>240</v>
      </c>
      <c r="AB208" s="3">
        <v>264</v>
      </c>
      <c r="AC208" s="3">
        <f>IF(ISERROR((VLOOKUP($A208,'SegEnds_NonXtal_BW#'!$A:$Z,20,FALSE)+VLOOKUP($A208,A:AL,28,FALSE)-50)),"-",(VLOOKUP($A208,'SegEnds_NonXtal_BW#'!$A:$Z,20,FALSE)+VLOOKUP($A208,A:AL,28,FALSE)-50))</f>
        <v>281</v>
      </c>
      <c r="AD208" s="3">
        <f>IF(ISERROR(VLOOKUP($A208,'SegEnds_NonXtal_BW#'!$A:$Z,21,FALSE)+VLOOKUP($A208,A:AL,31,FALSE)-50),"-",(VLOOKUP($A208,'SegEnds_NonXtal_BW#'!$A:$Z,21,FALSE)+VLOOKUP($A208,A:AL,31,FALSE)-50))</f>
        <v>286</v>
      </c>
      <c r="AE208" s="3">
        <v>310</v>
      </c>
      <c r="AF208" s="3">
        <f>IF(ISERROR((VLOOKUP($A208,'SegEnds_NonXtal_BW#'!$A:$Z,22,FALSE)+VLOOKUP($A208,A:AL,31,FALSE)-50)),"-",(VLOOKUP($A208,'SegEnds_NonXtal_BW#'!$A:$Z,22,FALSE)+VLOOKUP($A208,A:AL,31,FALSE)-50))</f>
        <v>321</v>
      </c>
      <c r="AG208" s="3">
        <f>IF(ISERROR(VLOOKUP($A208,'SegEnds_NonXtal_BW#'!$A:$Z,23,FALSE)+VLOOKUP($A208,A:AL,34,FALSE)-50),"-",(VLOOKUP($A208,'SegEnds_NonXtal_BW#'!$A:$Z,23,FALSE)+VLOOKUP($A208,A:AL,34,FALSE)-50))</f>
        <v>330</v>
      </c>
      <c r="AH208" s="3">
        <v>352</v>
      </c>
      <c r="AI208" s="3">
        <f>IF(ISERROR((VLOOKUP($A208,'SegEnds_NonXtal_BW#'!$A:$Z,24,FALSE)+VLOOKUP($A208,A:AL,34,FALSE)-50)),"-",(VLOOKUP($A208,'SegEnds_NonXtal_BW#'!$A:$Z,24,FALSE)+VLOOKUP($A208,A:AL,34,FALSE)-50))</f>
        <v>358</v>
      </c>
      <c r="AJ208" s="3">
        <f>IF(ISERROR(VLOOKUP($A208,'SegEnds_NonXtal_BW#'!$A:$Z,25,FALSE)+VLOOKUP($A208,A:AL,37,FALSE)-50),"-",(VLOOKUP($A208,'SegEnds_NonXtal_BW#'!$A:$Z,25,FALSE)+VLOOKUP($A208,A:AL,37,FALSE)-50))</f>
        <v>359</v>
      </c>
      <c r="AK208" s="3">
        <v>362</v>
      </c>
      <c r="AL208" s="3">
        <f>IF(ISERROR((VLOOKUP($A208,'SegEnds_NonXtal_BW#'!$A:$Z,26,FALSE)+VLOOKUP($A208,A:AL,37,FALSE)-50)),"-",(VLOOKUP($A208,'SegEnds_NonXtal_BW#'!$A:$Z,26,FALSE)+VLOOKUP($A208,A:AL,37,FALSE)-50))</f>
        <v>376</v>
      </c>
      <c r="AM208" s="28" t="str">
        <f>VLOOKUP(A208,Classification!A:B,2,FALSE)</f>
        <v>A</v>
      </c>
      <c r="AN208" s="28" t="b">
        <f t="shared" si="133"/>
        <v>1</v>
      </c>
      <c r="AO208" s="3" t="str">
        <f>IF(ISERROR(MATCH(A208,'SegEnds_Xtal_Prot#'!B:B, 0)), "NoXtal", "Xtal")</f>
        <v>NoXtal</v>
      </c>
      <c r="AP208" s="3">
        <f t="shared" si="118"/>
        <v>1</v>
      </c>
      <c r="AQ208" s="3">
        <f t="shared" si="119"/>
        <v>1</v>
      </c>
      <c r="AR208" s="3">
        <f t="shared" si="120"/>
        <v>2</v>
      </c>
      <c r="AS208" s="3">
        <f t="shared" si="121"/>
        <v>1</v>
      </c>
      <c r="AT208" s="3">
        <f t="shared" si="122"/>
        <v>1</v>
      </c>
      <c r="AU208" s="3">
        <f t="shared" si="123"/>
        <v>1</v>
      </c>
      <c r="AV208" s="3">
        <f t="shared" si="124"/>
        <v>6</v>
      </c>
      <c r="AW208" s="3">
        <f t="shared" si="125"/>
        <v>1</v>
      </c>
      <c r="AX208" s="3">
        <f t="shared" si="126"/>
        <v>5</v>
      </c>
      <c r="AY208" s="3">
        <f t="shared" si="127"/>
        <v>9</v>
      </c>
      <c r="AZ208" s="3">
        <f t="shared" si="128"/>
        <v>1</v>
      </c>
      <c r="BA208" s="3">
        <f>IF(ISERROR(LEN(VLOOKUP(A208,Seqs!A:E,2,FALSE))-AL208),"-",LEN(VLOOKUP(A208,Seqs!A:E,2,FALSE))-AL208)</f>
        <v>47</v>
      </c>
      <c r="BB208" s="16">
        <f t="shared" si="129"/>
        <v>28</v>
      </c>
      <c r="BC208" s="9">
        <f t="shared" si="130"/>
        <v>20</v>
      </c>
      <c r="BD208" s="3">
        <f t="shared" si="131"/>
        <v>28</v>
      </c>
      <c r="BE208" s="3">
        <f t="shared" si="132"/>
        <v>46</v>
      </c>
    </row>
    <row r="209" spans="1:59" s="3" customFormat="1" x14ac:dyDescent="0.2">
      <c r="A209" s="3" t="s">
        <v>343</v>
      </c>
      <c r="B209" s="3" t="str">
        <f>LOWER(VLOOKUP(A209,Xtal_Templ!A:B,2,FALSE))</f>
        <v>p2ry1_human</v>
      </c>
      <c r="C209" s="3">
        <f>VLOOKUP($A209,'SegEnds_NonXtal_BW#'!$A:$Z,3,FALSE)+D209-50</f>
        <v>31</v>
      </c>
      <c r="D209" s="3">
        <v>51</v>
      </c>
      <c r="E209" s="3">
        <f>IF(ISERROR(VLOOKUP($A209,'SegEnds_NonXtal_BW#'!$A:$Z,4,FALSE)+VLOOKUP($A209,A:AL,4,FALSE)-50),"-",(VLOOKUP($A209,'SegEnds_NonXtal_BW#'!$A:$Z,4,FALSE)+VLOOKUP($A209,A:AL,4,FALSE)-50))</f>
        <v>61</v>
      </c>
      <c r="F209" s="3" t="str">
        <f>IF(ISERROR(VLOOKUP($A209,'SegEnds_NonXtal_BW#'!$A:$Z,5,FALSE)+VLOOKUP($A209,A:AL,7,FALSE)-50),"-",(VLOOKUP($A209,'SegEnds_NonXtal_BW#'!$A:$Z,5,FALSE)+VLOOKUP($A209,A:AL,7,FALSE)-50))</f>
        <v>-</v>
      </c>
      <c r="G209" s="3" t="s">
        <v>23</v>
      </c>
      <c r="H209" s="3" t="str">
        <f>IF(ISERROR(VLOOKUP($A209,'SegEnds_NonXtal_BW#'!$A:$Z,6,FALSE)+VLOOKUP($A209,A:AL,7,FALSE)-50),"-",(VLOOKUP($A209,'SegEnds_NonXtal_BW#'!$A:$Z,6,FALSE)+VLOOKUP($A209,A:AL,7,FALSE)-50))</f>
        <v>-</v>
      </c>
      <c r="I209" s="3">
        <f>VLOOKUP($A209,'SegEnds_NonXtal_BW#'!$A:$Z,7,FALSE)+J209-50</f>
        <v>66</v>
      </c>
      <c r="J209" s="3">
        <v>79</v>
      </c>
      <c r="K209" s="3">
        <f>VLOOKUP($A209,'SegEnds_NonXtal_BW#'!$A:$Z,8,FALSE)+VLOOKUP($A209,A:AL,10,FALSE)-50</f>
        <v>95</v>
      </c>
      <c r="L209" s="3">
        <f t="shared" si="136"/>
        <v>98</v>
      </c>
      <c r="M209" s="3">
        <v>99</v>
      </c>
      <c r="N209" s="3">
        <f t="shared" si="137"/>
        <v>101</v>
      </c>
      <c r="O209" s="3">
        <f t="shared" si="116"/>
        <v>102</v>
      </c>
      <c r="P209" s="3">
        <v>131</v>
      </c>
      <c r="Q209" s="3">
        <f>VLOOKUP($A209,'SegEnds_NonXtal_BW#'!$A:$Z,12,FALSE)+VLOOKUP($A209,A:AL,16,FALSE)-50</f>
        <v>137</v>
      </c>
      <c r="R209" s="3">
        <f>IF(ISERROR(VLOOKUP($A209,'SegEnds_NonXtal_BW#'!$A:$Z,13,FALSE)+VLOOKUP($A209,A:AL,19,FALSE)-50),"-",VLOOKUP($A209,'SegEnds_NonXtal_BW#'!$A:$Z,13,FALSE)+VLOOKUP($A209,A:AL,19,FALSE)-50)</f>
        <v>138</v>
      </c>
      <c r="S209" s="3">
        <v>138</v>
      </c>
      <c r="T209" s="100">
        <f>IF(ISERROR(VLOOKUP($A209,'SegEnds_NonXtal_BW#'!$A:$Z,14,FALSE)+VLOOKUP($A209,A:AL,19,FALSE)-50),"-",(VLOOKUP($A209,'SegEnds_NonXtal_BW#'!$A:$Z,14,FALSE)+VLOOKUP($A209,A:AL,19,FALSE)-50))</f>
        <v>145</v>
      </c>
      <c r="U209" s="9">
        <f>IF(ISERROR(VLOOKUP($A209,'SegEnds_NonXtal_BW#'!$A:$Z,15,FALSE)+VLOOKUP($A209,A:AL,22,FALSE)-50),"-",VLOOKUP($A209,'SegEnds_NonXtal_BW#'!$A:$Z,15,FALSE)+VLOOKUP($A209,A:AL,22,FALSE)-50)</f>
        <v>146</v>
      </c>
      <c r="V209" s="3">
        <v>158</v>
      </c>
      <c r="W209" s="3">
        <f>IF(ISERROR(VLOOKUP($A209,'SegEnds_NonXtal_BW#'!$A:$Z,16,FALSE)+VLOOKUP($A209,A:AL,22,FALSE)-50),"-",(VLOOKUP($A209,'SegEnds_NonXtal_BW#'!$A:$Z,16,FALSE)+VLOOKUP($A209,A:AL,22,FALSE)-50))</f>
        <v>172</v>
      </c>
      <c r="X209" s="3">
        <f>IF(ISERROR(VLOOKUP($A209,'SegEnds_NonXtal_BW#'!$A:$Z,17,FALSE)+VLOOKUP($A209,A:AL,25,FALSE)-50),"-",(VLOOKUP($A209,'SegEnds_NonXtal_BW#'!$A:$Z,17,FALSE)+VLOOKUP($A209,A:AL,25,FALSE)-50))</f>
        <v>183</v>
      </c>
      <c r="Y209" s="3">
        <v>183</v>
      </c>
      <c r="Z209" s="3">
        <f t="shared" si="117"/>
        <v>185</v>
      </c>
      <c r="AA209" s="3">
        <f>IF(ISERROR(VLOOKUP($A209,'SegEnds_NonXtal_BW#'!$A:$Z,19,FALSE)+VLOOKUP($A209,A:AL,28,FALSE)-50),"-",(VLOOKUP($A209,'SegEnds_NonXtal_BW#'!$A:$Z,19,FALSE)+VLOOKUP($A209,A:AL,28,FALSE)-50))</f>
        <v>192</v>
      </c>
      <c r="AB209" s="3">
        <v>210</v>
      </c>
      <c r="AC209" s="3">
        <f>IF(ISERROR((VLOOKUP($A209,'SegEnds_NonXtal_BW#'!$A:$Z,20,FALSE)+VLOOKUP($A209,A:AL,28,FALSE)-50)),"-",(VLOOKUP($A209,'SegEnds_NonXtal_BW#'!$A:$Z,20,FALSE)+VLOOKUP($A209,A:AL,28,FALSE)-50))</f>
        <v>227</v>
      </c>
      <c r="AD209" s="3">
        <f>IF(ISERROR(VLOOKUP($A209,'SegEnds_NonXtal_BW#'!$A:$Z,21,FALSE)+VLOOKUP($A209,A:AL,31,FALSE)-50),"-",(VLOOKUP($A209,'SegEnds_NonXtal_BW#'!$A:$Z,21,FALSE)+VLOOKUP($A209,A:AL,31,FALSE)-50))</f>
        <v>232</v>
      </c>
      <c r="AE209" s="3">
        <v>256</v>
      </c>
      <c r="AF209" s="3">
        <f>IF(ISERROR((VLOOKUP($A209,'SegEnds_NonXtal_BW#'!$A:$Z,22,FALSE)+VLOOKUP($A209,A:AL,31,FALSE)-50)),"-",(VLOOKUP($A209,'SegEnds_NonXtal_BW#'!$A:$Z,22,FALSE)+VLOOKUP($A209,A:AL,31,FALSE)-50))</f>
        <v>267</v>
      </c>
      <c r="AG209" s="3">
        <f>IF(ISERROR(VLOOKUP($A209,'SegEnds_NonXtal_BW#'!$A:$Z,23,FALSE)+VLOOKUP($A209,A:AL,34,FALSE)-50),"-",(VLOOKUP($A209,'SegEnds_NonXtal_BW#'!$A:$Z,23,FALSE)+VLOOKUP($A209,A:AL,34,FALSE)-50))</f>
        <v>273</v>
      </c>
      <c r="AH209" s="3">
        <v>299</v>
      </c>
      <c r="AI209" s="3">
        <f>IF(ISERROR((VLOOKUP($A209,'SegEnds_NonXtal_BW#'!$A:$Z,24,FALSE)+VLOOKUP($A209,A:AL,34,FALSE)-50)),"-",(VLOOKUP($A209,'SegEnds_NonXtal_BW#'!$A:$Z,24,FALSE)+VLOOKUP($A209,A:AL,34,FALSE)-50))</f>
        <v>305</v>
      </c>
      <c r="AJ209" s="3">
        <f>IF(ISERROR(VLOOKUP($A209,'SegEnds_NonXtal_BW#'!$A:$Z,25,FALSE)+VLOOKUP($A209,A:AL,37,FALSE)-50),"-",(VLOOKUP($A209,'SegEnds_NonXtal_BW#'!$A:$Z,25,FALSE)+VLOOKUP($A209,A:AL,37,FALSE)-50))</f>
        <v>306</v>
      </c>
      <c r="AK209" s="3">
        <v>309</v>
      </c>
      <c r="AL209" s="3">
        <f>IF(ISERROR((VLOOKUP($A209,'SegEnds_NonXtal_BW#'!$A:$Z,26,FALSE)+VLOOKUP($A209,A:AL,37,FALSE)-50)),"-",(VLOOKUP($A209,'SegEnds_NonXtal_BW#'!$A:$Z,26,FALSE)+VLOOKUP($A209,A:AL,37,FALSE)-50))</f>
        <v>318</v>
      </c>
      <c r="AM209" s="28" t="str">
        <f>VLOOKUP(A209,Classification!A:B,2,FALSE)</f>
        <v>A</v>
      </c>
      <c r="AN209" s="28" t="b">
        <f t="shared" si="133"/>
        <v>1</v>
      </c>
      <c r="AO209" s="3" t="str">
        <f>IF(ISERROR(MATCH(A209,'SegEnds_Xtal_Prot#'!B:B, 0)), "NoXtal", "Xtal")</f>
        <v>NoXtal</v>
      </c>
      <c r="AP209" s="3" t="str">
        <f t="shared" si="118"/>
        <v>-</v>
      </c>
      <c r="AQ209" s="3" t="str">
        <f t="shared" si="119"/>
        <v>-</v>
      </c>
      <c r="AR209" s="3">
        <f t="shared" si="120"/>
        <v>3</v>
      </c>
      <c r="AS209" s="3">
        <f t="shared" si="121"/>
        <v>1</v>
      </c>
      <c r="AT209" s="3">
        <f t="shared" si="122"/>
        <v>1</v>
      </c>
      <c r="AU209" s="3">
        <f t="shared" si="123"/>
        <v>1</v>
      </c>
      <c r="AV209" s="3">
        <f t="shared" si="124"/>
        <v>11</v>
      </c>
      <c r="AW209" s="3">
        <f t="shared" si="125"/>
        <v>7</v>
      </c>
      <c r="AX209" s="3">
        <f t="shared" si="126"/>
        <v>5</v>
      </c>
      <c r="AY209" s="3">
        <f t="shared" si="127"/>
        <v>6</v>
      </c>
      <c r="AZ209" s="3">
        <f t="shared" si="128"/>
        <v>1</v>
      </c>
      <c r="BA209" s="3">
        <f>IF(ISERROR(LEN(VLOOKUP(A209,Seqs!A:E,2,FALSE))-AL209),"-",LEN(VLOOKUP(A209,Seqs!A:E,2,FALSE))-AL209)</f>
        <v>19</v>
      </c>
      <c r="BB209" s="16">
        <f t="shared" si="129"/>
        <v>28</v>
      </c>
      <c r="BC209" s="9">
        <f t="shared" si="130"/>
        <v>20</v>
      </c>
      <c r="BD209" s="3">
        <f t="shared" si="131"/>
        <v>28</v>
      </c>
      <c r="BE209" s="3">
        <f t="shared" si="132"/>
        <v>46</v>
      </c>
      <c r="BF209" s="3">
        <f>AH209-AE209</f>
        <v>43</v>
      </c>
    </row>
    <row r="210" spans="1:59" s="3" customFormat="1" x14ac:dyDescent="0.2">
      <c r="A210" s="3" t="s">
        <v>345</v>
      </c>
      <c r="B210" s="3" t="str">
        <f>LOWER(VLOOKUP(A210,Xtal_Templ!A:B,2,FALSE))</f>
        <v>p2ry1_human</v>
      </c>
      <c r="C210" s="3">
        <f>VLOOKUP($A210,'SegEnds_NonXtal_BW#'!$A:$Z,3,FALSE)+D210-50</f>
        <v>49</v>
      </c>
      <c r="D210" s="3">
        <v>69</v>
      </c>
      <c r="E210" s="3">
        <f>IF(ISERROR(VLOOKUP($A210,'SegEnds_NonXtal_BW#'!$A:$Z,4,FALSE)+VLOOKUP($A210,A:AL,4,FALSE)-50),"-",(VLOOKUP($A210,'SegEnds_NonXtal_BW#'!$A:$Z,4,FALSE)+VLOOKUP($A210,A:AL,4,FALSE)-50))</f>
        <v>79</v>
      </c>
      <c r="F210" s="3" t="str">
        <f>IF(ISERROR(VLOOKUP($A210,'SegEnds_NonXtal_BW#'!$A:$Z,5,FALSE)+VLOOKUP($A210,A:AL,7,FALSE)-50),"-",(VLOOKUP($A210,'SegEnds_NonXtal_BW#'!$A:$Z,5,FALSE)+VLOOKUP($A210,A:AL,7,FALSE)-50))</f>
        <v>-</v>
      </c>
      <c r="G210" s="3" t="s">
        <v>23</v>
      </c>
      <c r="H210" s="3" t="str">
        <f>IF(ISERROR(VLOOKUP($A210,'SegEnds_NonXtal_BW#'!$A:$Z,6,FALSE)+VLOOKUP($A210,A:AL,7,FALSE)-50),"-",(VLOOKUP($A210,'SegEnds_NonXtal_BW#'!$A:$Z,6,FALSE)+VLOOKUP($A210,A:AL,7,FALSE)-50))</f>
        <v>-</v>
      </c>
      <c r="I210" s="3">
        <f>VLOOKUP($A210,'SegEnds_NonXtal_BW#'!$A:$Z,7,FALSE)+J210-50</f>
        <v>84</v>
      </c>
      <c r="J210" s="3">
        <v>97</v>
      </c>
      <c r="K210" s="3">
        <f>VLOOKUP($A210,'SegEnds_NonXtal_BW#'!$A:$Z,8,FALSE)+VLOOKUP($A210,A:AL,10,FALSE)-50</f>
        <v>113</v>
      </c>
      <c r="L210" s="3">
        <f t="shared" si="136"/>
        <v>116</v>
      </c>
      <c r="M210" s="3">
        <v>117</v>
      </c>
      <c r="N210" s="3">
        <f t="shared" si="137"/>
        <v>119</v>
      </c>
      <c r="O210" s="3">
        <f t="shared" si="116"/>
        <v>120</v>
      </c>
      <c r="P210" s="3">
        <v>149</v>
      </c>
      <c r="Q210" s="3">
        <f>VLOOKUP($A210,'SegEnds_NonXtal_BW#'!$A:$Z,12,FALSE)+VLOOKUP($A210,A:AL,16,FALSE)-50</f>
        <v>155</v>
      </c>
      <c r="R210" s="3">
        <f>IF(ISERROR(VLOOKUP($A210,'SegEnds_NonXtal_BW#'!$A:$Z,13,FALSE)+VLOOKUP($A210,A:AL,19,FALSE)-50),"-",VLOOKUP($A210,'SegEnds_NonXtal_BW#'!$A:$Z,13,FALSE)+VLOOKUP($A210,A:AL,19,FALSE)-50)</f>
        <v>156</v>
      </c>
      <c r="S210" s="3">
        <v>156</v>
      </c>
      <c r="T210" s="100">
        <f>IF(ISERROR(VLOOKUP($A210,'SegEnds_NonXtal_BW#'!$A:$Z,14,FALSE)+VLOOKUP($A210,A:AL,19,FALSE)-50),"-",(VLOOKUP($A210,'SegEnds_NonXtal_BW#'!$A:$Z,14,FALSE)+VLOOKUP($A210,A:AL,19,FALSE)-50))</f>
        <v>163</v>
      </c>
      <c r="U210" s="9">
        <f>IF(ISERROR(VLOOKUP($A210,'SegEnds_NonXtal_BW#'!$A:$Z,15,FALSE)+VLOOKUP($A210,A:AL,22,FALSE)-50),"-",VLOOKUP($A210,'SegEnds_NonXtal_BW#'!$A:$Z,15,FALSE)+VLOOKUP($A210,A:AL,22,FALSE)-50)</f>
        <v>164</v>
      </c>
      <c r="V210" s="3">
        <v>176</v>
      </c>
      <c r="W210" s="3">
        <f>IF(ISERROR(VLOOKUP($A210,'SegEnds_NonXtal_BW#'!$A:$Z,16,FALSE)+VLOOKUP($A210,A:AL,22,FALSE)-50),"-",(VLOOKUP($A210,'SegEnds_NonXtal_BW#'!$A:$Z,16,FALSE)+VLOOKUP($A210,A:AL,22,FALSE)-50))</f>
        <v>190</v>
      </c>
      <c r="X210" s="3">
        <f>IF(ISERROR(VLOOKUP($A210,'SegEnds_NonXtal_BW#'!$A:$Z,17,FALSE)+VLOOKUP($A210,A:AL,25,FALSE)-50),"-",(VLOOKUP($A210,'SegEnds_NonXtal_BW#'!$A:$Z,17,FALSE)+VLOOKUP($A210,A:AL,25,FALSE)-50))</f>
        <v>202</v>
      </c>
      <c r="Y210" s="3">
        <v>202</v>
      </c>
      <c r="Z210" s="3">
        <f t="shared" si="117"/>
        <v>204</v>
      </c>
      <c r="AA210" s="3">
        <f>IF(ISERROR(VLOOKUP($A210,'SegEnds_NonXtal_BW#'!$A:$Z,19,FALSE)+VLOOKUP($A210,A:AL,28,FALSE)-50),"-",(VLOOKUP($A210,'SegEnds_NonXtal_BW#'!$A:$Z,19,FALSE)+VLOOKUP($A210,A:AL,28,FALSE)-50))</f>
        <v>211</v>
      </c>
      <c r="AB210" s="3">
        <v>229</v>
      </c>
      <c r="AC210" s="3">
        <f>IF(ISERROR((VLOOKUP($A210,'SegEnds_NonXtal_BW#'!$A:$Z,20,FALSE)+VLOOKUP($A210,A:AL,28,FALSE)-50)),"-",(VLOOKUP($A210,'SegEnds_NonXtal_BW#'!$A:$Z,20,FALSE)+VLOOKUP($A210,A:AL,28,FALSE)-50))</f>
        <v>247</v>
      </c>
      <c r="AD210" s="3">
        <f>IF(ISERROR(VLOOKUP($A210,'SegEnds_NonXtal_BW#'!$A:$Z,21,FALSE)+VLOOKUP($A210,A:AL,31,FALSE)-50),"-",(VLOOKUP($A210,'SegEnds_NonXtal_BW#'!$A:$Z,21,FALSE)+VLOOKUP($A210,A:AL,31,FALSE)-50))</f>
        <v>253</v>
      </c>
      <c r="AE210" s="3">
        <v>275</v>
      </c>
      <c r="AF210" s="3">
        <f>IF(ISERROR((VLOOKUP($A210,'SegEnds_NonXtal_BW#'!$A:$Z,22,FALSE)+VLOOKUP($A210,A:AL,31,FALSE)-50)),"-",(VLOOKUP($A210,'SegEnds_NonXtal_BW#'!$A:$Z,22,FALSE)+VLOOKUP($A210,A:AL,31,FALSE)-50))</f>
        <v>289</v>
      </c>
      <c r="AG210" s="3">
        <f>IF(ISERROR(VLOOKUP($A210,'SegEnds_NonXtal_BW#'!$A:$Z,23,FALSE)+VLOOKUP($A210,A:AL,34,FALSE)-50),"-",(VLOOKUP($A210,'SegEnds_NonXtal_BW#'!$A:$Z,23,FALSE)+VLOOKUP($A210,A:AL,34,FALSE)-50))</f>
        <v>295</v>
      </c>
      <c r="AH210" s="3">
        <v>321</v>
      </c>
      <c r="AI210" s="3">
        <f>IF(ISERROR((VLOOKUP($A210,'SegEnds_NonXtal_BW#'!$A:$Z,24,FALSE)+VLOOKUP($A210,A:AL,34,FALSE)-50)),"-",(VLOOKUP($A210,'SegEnds_NonXtal_BW#'!$A:$Z,24,FALSE)+VLOOKUP($A210,A:AL,34,FALSE)-50))</f>
        <v>327</v>
      </c>
      <c r="AJ210" s="3">
        <f>IF(ISERROR(VLOOKUP($A210,'SegEnds_NonXtal_BW#'!$A:$Z,25,FALSE)+VLOOKUP($A210,A:AL,37,FALSE)-50),"-",(VLOOKUP($A210,'SegEnds_NonXtal_BW#'!$A:$Z,25,FALSE)+VLOOKUP($A210,A:AL,37,FALSE)-50))</f>
        <v>328</v>
      </c>
      <c r="AK210" s="3">
        <v>331</v>
      </c>
      <c r="AL210" s="3">
        <f>IF(ISERROR((VLOOKUP($A210,'SegEnds_NonXtal_BW#'!$A:$Z,26,FALSE)+VLOOKUP($A210,A:AL,37,FALSE)-50)),"-",(VLOOKUP($A210,'SegEnds_NonXtal_BW#'!$A:$Z,26,FALSE)+VLOOKUP($A210,A:AL,37,FALSE)-50))</f>
        <v>340</v>
      </c>
      <c r="AM210" s="28" t="str">
        <f>VLOOKUP(A210,Classification!A:B,2,FALSE)</f>
        <v>A</v>
      </c>
      <c r="AN210" s="28" t="b">
        <f t="shared" si="133"/>
        <v>1</v>
      </c>
      <c r="AO210" s="3" t="str">
        <f>IF(ISERROR(MATCH(A210,'SegEnds_Xtal_Prot#'!B:B, 0)), "NoXtal", "Xtal")</f>
        <v>Xtal</v>
      </c>
      <c r="AP210" s="3" t="str">
        <f t="shared" si="118"/>
        <v>-</v>
      </c>
      <c r="AQ210" s="3" t="str">
        <f t="shared" si="119"/>
        <v>-</v>
      </c>
      <c r="AR210" s="3">
        <f t="shared" si="120"/>
        <v>3</v>
      </c>
      <c r="AS210" s="3">
        <f t="shared" si="121"/>
        <v>1</v>
      </c>
      <c r="AT210" s="3">
        <f t="shared" si="122"/>
        <v>1</v>
      </c>
      <c r="AU210" s="3">
        <f t="shared" si="123"/>
        <v>1</v>
      </c>
      <c r="AV210" s="3">
        <f t="shared" si="124"/>
        <v>12</v>
      </c>
      <c r="AW210" s="3">
        <f t="shared" si="125"/>
        <v>7</v>
      </c>
      <c r="AX210" s="3">
        <f t="shared" si="126"/>
        <v>6</v>
      </c>
      <c r="AY210" s="3">
        <f t="shared" si="127"/>
        <v>6</v>
      </c>
      <c r="AZ210" s="3">
        <f t="shared" si="128"/>
        <v>1</v>
      </c>
      <c r="BA210" s="3">
        <f>IF(ISERROR(LEN(VLOOKUP(A210,Seqs!A:E,2,FALSE))-AL210),"-",LEN(VLOOKUP(A210,Seqs!A:E,2,FALSE))-AL210)</f>
        <v>33</v>
      </c>
      <c r="BB210" s="16">
        <f t="shared" si="129"/>
        <v>28</v>
      </c>
      <c r="BC210" s="9">
        <f t="shared" si="130"/>
        <v>20</v>
      </c>
      <c r="BD210" s="3">
        <f t="shared" si="131"/>
        <v>28</v>
      </c>
      <c r="BE210" s="3">
        <f t="shared" si="132"/>
        <v>46</v>
      </c>
    </row>
    <row r="211" spans="1:59" s="3" customFormat="1" x14ac:dyDescent="0.2">
      <c r="A211" s="3" t="s">
        <v>346</v>
      </c>
      <c r="B211" s="3" t="str">
        <f>LOWER(VLOOKUP(A211,Xtal_Templ!A:B,2,FALSE))</f>
        <v>p2ry1_human</v>
      </c>
      <c r="C211" s="3">
        <f>VLOOKUP($A211,'SegEnds_NonXtal_BW#'!$A:$Z,3,FALSE)+D211-50</f>
        <v>31</v>
      </c>
      <c r="D211" s="3">
        <v>51</v>
      </c>
      <c r="E211" s="3">
        <f>IF(ISERROR(VLOOKUP($A211,'SegEnds_NonXtal_BW#'!$A:$Z,4,FALSE)+VLOOKUP($A211,A:AL,4,FALSE)-50),"-",(VLOOKUP($A211,'SegEnds_NonXtal_BW#'!$A:$Z,4,FALSE)+VLOOKUP($A211,A:AL,4,FALSE)-50))</f>
        <v>61</v>
      </c>
      <c r="F211" s="3" t="str">
        <f>IF(ISERROR(VLOOKUP($A211,'SegEnds_NonXtal_BW#'!$A:$Z,5,FALSE)+VLOOKUP($A211,A:AL,7,FALSE)-50),"-",(VLOOKUP($A211,'SegEnds_NonXtal_BW#'!$A:$Z,5,FALSE)+VLOOKUP($A211,A:AL,7,FALSE)-50))</f>
        <v>-</v>
      </c>
      <c r="G211" s="3" t="s">
        <v>23</v>
      </c>
      <c r="H211" s="3" t="str">
        <f>IF(ISERROR(VLOOKUP($A211,'SegEnds_NonXtal_BW#'!$A:$Z,6,FALSE)+VLOOKUP($A211,A:AL,7,FALSE)-50),"-",(VLOOKUP($A211,'SegEnds_NonXtal_BW#'!$A:$Z,6,FALSE)+VLOOKUP($A211,A:AL,7,FALSE)-50))</f>
        <v>-</v>
      </c>
      <c r="I211" s="3">
        <f>VLOOKUP($A211,'SegEnds_NonXtal_BW#'!$A:$Z,7,FALSE)+J211-50</f>
        <v>66</v>
      </c>
      <c r="J211" s="3">
        <v>79</v>
      </c>
      <c r="K211" s="3">
        <f>VLOOKUP($A211,'SegEnds_NonXtal_BW#'!$A:$Z,8,FALSE)+VLOOKUP($A211,A:AL,10,FALSE)-50</f>
        <v>95</v>
      </c>
      <c r="L211" s="3">
        <f t="shared" si="136"/>
        <v>98</v>
      </c>
      <c r="M211" s="3">
        <v>99</v>
      </c>
      <c r="N211" s="3">
        <f t="shared" si="137"/>
        <v>101</v>
      </c>
      <c r="O211" s="3">
        <f t="shared" si="116"/>
        <v>102</v>
      </c>
      <c r="P211" s="3">
        <v>131</v>
      </c>
      <c r="Q211" s="3">
        <f>VLOOKUP($A211,'SegEnds_NonXtal_BW#'!$A:$Z,12,FALSE)+VLOOKUP($A211,A:AL,16,FALSE)-50</f>
        <v>137</v>
      </c>
      <c r="R211" s="3">
        <f>IF(ISERROR(VLOOKUP($A211,'SegEnds_NonXtal_BW#'!$A:$Z,13,FALSE)+VLOOKUP($A211,A:AL,19,FALSE)-50),"-",VLOOKUP($A211,'SegEnds_NonXtal_BW#'!$A:$Z,13,FALSE)+VLOOKUP($A211,A:AL,19,FALSE)-50)</f>
        <v>138</v>
      </c>
      <c r="S211" s="3">
        <v>138</v>
      </c>
      <c r="T211" s="100">
        <f>IF(ISERROR(VLOOKUP($A211,'SegEnds_NonXtal_BW#'!$A:$Z,14,FALSE)+VLOOKUP($A211,A:AL,19,FALSE)-50),"-",(VLOOKUP($A211,'SegEnds_NonXtal_BW#'!$A:$Z,14,FALSE)+VLOOKUP($A211,A:AL,19,FALSE)-50))</f>
        <v>145</v>
      </c>
      <c r="U211" s="9">
        <f>IF(ISERROR(VLOOKUP($A211,'SegEnds_NonXtal_BW#'!$A:$Z,15,FALSE)+VLOOKUP($A211,A:AL,22,FALSE)-50),"-",VLOOKUP($A211,'SegEnds_NonXtal_BW#'!$A:$Z,15,FALSE)+VLOOKUP($A211,A:AL,22,FALSE)-50)</f>
        <v>146</v>
      </c>
      <c r="V211" s="3">
        <v>158</v>
      </c>
      <c r="W211" s="3">
        <f>IF(ISERROR(VLOOKUP($A211,'SegEnds_NonXtal_BW#'!$A:$Z,16,FALSE)+VLOOKUP($A211,A:AL,22,FALSE)-50),"-",(VLOOKUP($A211,'SegEnds_NonXtal_BW#'!$A:$Z,16,FALSE)+VLOOKUP($A211,A:AL,22,FALSE)-50))</f>
        <v>172</v>
      </c>
      <c r="X211" s="3">
        <f>IF(ISERROR(VLOOKUP($A211,'SegEnds_NonXtal_BW#'!$A:$Z,17,FALSE)+VLOOKUP($A211,A:AL,25,FALSE)-50),"-",(VLOOKUP($A211,'SegEnds_NonXtal_BW#'!$A:$Z,17,FALSE)+VLOOKUP($A211,A:AL,25,FALSE)-50))</f>
        <v>183</v>
      </c>
      <c r="Y211" s="3">
        <v>183</v>
      </c>
      <c r="Z211" s="3">
        <f t="shared" si="117"/>
        <v>185</v>
      </c>
      <c r="AA211" s="3">
        <f>IF(ISERROR(VLOOKUP($A211,'SegEnds_NonXtal_BW#'!$A:$Z,19,FALSE)+VLOOKUP($A211,A:AL,28,FALSE)-50),"-",(VLOOKUP($A211,'SegEnds_NonXtal_BW#'!$A:$Z,19,FALSE)+VLOOKUP($A211,A:AL,28,FALSE)-50))</f>
        <v>192</v>
      </c>
      <c r="AB211" s="3">
        <v>210</v>
      </c>
      <c r="AC211" s="3">
        <f>IF(ISERROR((VLOOKUP($A211,'SegEnds_NonXtal_BW#'!$A:$Z,20,FALSE)+VLOOKUP($A211,A:AL,28,FALSE)-50)),"-",(VLOOKUP($A211,'SegEnds_NonXtal_BW#'!$A:$Z,20,FALSE)+VLOOKUP($A211,A:AL,28,FALSE)-50))</f>
        <v>232</v>
      </c>
      <c r="AD211" s="3">
        <f>IF(ISERROR(VLOOKUP($A211,'SegEnds_NonXtal_BW#'!$A:$Z,21,FALSE)+VLOOKUP($A211,A:AL,31,FALSE)-50),"-",(VLOOKUP($A211,'SegEnds_NonXtal_BW#'!$A:$Z,21,FALSE)+VLOOKUP($A211,A:AL,31,FALSE)-50))</f>
        <v>239</v>
      </c>
      <c r="AE211" s="3">
        <v>260</v>
      </c>
      <c r="AF211" s="3">
        <f>IF(ISERROR((VLOOKUP($A211,'SegEnds_NonXtal_BW#'!$A:$Z,22,FALSE)+VLOOKUP($A211,A:AL,31,FALSE)-50)),"-",(VLOOKUP($A211,'SegEnds_NonXtal_BW#'!$A:$Z,22,FALSE)+VLOOKUP($A211,A:AL,31,FALSE)-50))</f>
        <v>271</v>
      </c>
      <c r="AG211" s="3">
        <f>IF(ISERROR(VLOOKUP($A211,'SegEnds_NonXtal_BW#'!$A:$Z,23,FALSE)+VLOOKUP($A211,A:AL,34,FALSE)-50),"-",(VLOOKUP($A211,'SegEnds_NonXtal_BW#'!$A:$Z,23,FALSE)+VLOOKUP($A211,A:AL,34,FALSE)-50))</f>
        <v>277</v>
      </c>
      <c r="AH211" s="3">
        <v>303</v>
      </c>
      <c r="AI211" s="3">
        <f>IF(ISERROR((VLOOKUP($A211,'SegEnds_NonXtal_BW#'!$A:$Z,24,FALSE)+VLOOKUP($A211,A:AL,34,FALSE)-50)),"-",(VLOOKUP($A211,'SegEnds_NonXtal_BW#'!$A:$Z,24,FALSE)+VLOOKUP($A211,A:AL,34,FALSE)-50))</f>
        <v>309</v>
      </c>
      <c r="AJ211" s="3">
        <f>IF(ISERROR(VLOOKUP($A211,'SegEnds_NonXtal_BW#'!$A:$Z,25,FALSE)+VLOOKUP($A211,A:AL,37,FALSE)-50),"-",(VLOOKUP($A211,'SegEnds_NonXtal_BW#'!$A:$Z,25,FALSE)+VLOOKUP($A211,A:AL,37,FALSE)-50))</f>
        <v>310</v>
      </c>
      <c r="AK211" s="3">
        <v>313</v>
      </c>
      <c r="AL211" s="3">
        <f>IF(ISERROR((VLOOKUP($A211,'SegEnds_NonXtal_BW#'!$A:$Z,26,FALSE)+VLOOKUP($A211,A:AL,37,FALSE)-50)),"-",(VLOOKUP($A211,'SegEnds_NonXtal_BW#'!$A:$Z,26,FALSE)+VLOOKUP($A211,A:AL,37,FALSE)-50))</f>
        <v>322</v>
      </c>
      <c r="AM211" s="28" t="str">
        <f>VLOOKUP(A211,Classification!A:B,2,FALSE)</f>
        <v>A</v>
      </c>
      <c r="AN211" s="28" t="b">
        <f t="shared" si="133"/>
        <v>1</v>
      </c>
      <c r="AO211" s="3" t="str">
        <f>IF(ISERROR(MATCH(A211,'SegEnds_Xtal_Prot#'!B:B, 0)), "NoXtal", "Xtal")</f>
        <v>NoXtal</v>
      </c>
      <c r="AP211" s="3" t="str">
        <f t="shared" si="118"/>
        <v>-</v>
      </c>
      <c r="AQ211" s="3" t="str">
        <f t="shared" si="119"/>
        <v>-</v>
      </c>
      <c r="AR211" s="3">
        <f t="shared" si="120"/>
        <v>3</v>
      </c>
      <c r="AS211" s="3">
        <f t="shared" si="121"/>
        <v>1</v>
      </c>
      <c r="AT211" s="3">
        <f t="shared" si="122"/>
        <v>1</v>
      </c>
      <c r="AU211" s="3">
        <f t="shared" si="123"/>
        <v>1</v>
      </c>
      <c r="AV211" s="3">
        <f t="shared" si="124"/>
        <v>11</v>
      </c>
      <c r="AW211" s="3">
        <f t="shared" si="125"/>
        <v>7</v>
      </c>
      <c r="AX211" s="3">
        <f t="shared" si="126"/>
        <v>7</v>
      </c>
      <c r="AY211" s="3">
        <f t="shared" si="127"/>
        <v>6</v>
      </c>
      <c r="AZ211" s="3">
        <f t="shared" si="128"/>
        <v>1</v>
      </c>
      <c r="BA211" s="3">
        <f>IF(ISERROR(LEN(VLOOKUP(A211,Seqs!A:E,2,FALSE))-AL211),"-",LEN(VLOOKUP(A211,Seqs!A:E,2,FALSE))-AL211)</f>
        <v>55</v>
      </c>
      <c r="BB211" s="16">
        <f t="shared" si="129"/>
        <v>28</v>
      </c>
      <c r="BC211" s="9">
        <f t="shared" si="130"/>
        <v>20</v>
      </c>
      <c r="BD211" s="3">
        <f t="shared" si="131"/>
        <v>28</v>
      </c>
      <c r="BE211" s="3">
        <f t="shared" si="132"/>
        <v>50</v>
      </c>
    </row>
    <row r="212" spans="1:59" s="3" customFormat="1" x14ac:dyDescent="0.2">
      <c r="A212" s="3" t="s">
        <v>347</v>
      </c>
      <c r="B212" s="3" t="str">
        <f>LOWER(VLOOKUP(A212,Xtal_Templ!A:B,2,FALSE))</f>
        <v>p2ry1_human</v>
      </c>
      <c r="C212" s="3">
        <f>VLOOKUP($A212,'SegEnds_NonXtal_BW#'!$A:$Z,3,FALSE)+D212-50</f>
        <v>33</v>
      </c>
      <c r="D212" s="3">
        <v>53</v>
      </c>
      <c r="E212" s="3">
        <f>IF(ISERROR(VLOOKUP($A212,'SegEnds_NonXtal_BW#'!$A:$Z,4,FALSE)+VLOOKUP($A212,A:AL,4,FALSE)-50),"-",(VLOOKUP($A212,'SegEnds_NonXtal_BW#'!$A:$Z,4,FALSE)+VLOOKUP($A212,A:AL,4,FALSE)-50))</f>
        <v>63</v>
      </c>
      <c r="F212" s="3" t="str">
        <f>IF(ISERROR(VLOOKUP($A212,'SegEnds_NonXtal_BW#'!$A:$Z,5,FALSE)+VLOOKUP($A212,A:AL,7,FALSE)-50),"-",(VLOOKUP($A212,'SegEnds_NonXtal_BW#'!$A:$Z,5,FALSE)+VLOOKUP($A212,A:AL,7,FALSE)-50))</f>
        <v>-</v>
      </c>
      <c r="G212" s="3" t="s">
        <v>23</v>
      </c>
      <c r="H212" s="3" t="str">
        <f>IF(ISERROR(VLOOKUP($A212,'SegEnds_NonXtal_BW#'!$A:$Z,6,FALSE)+VLOOKUP($A212,A:AL,7,FALSE)-50),"-",(VLOOKUP($A212,'SegEnds_NonXtal_BW#'!$A:$Z,6,FALSE)+VLOOKUP($A212,A:AL,7,FALSE)-50))</f>
        <v>-</v>
      </c>
      <c r="I212" s="3">
        <f>VLOOKUP($A212,'SegEnds_NonXtal_BW#'!$A:$Z,7,FALSE)+J212-50</f>
        <v>68</v>
      </c>
      <c r="J212" s="3">
        <v>81</v>
      </c>
      <c r="K212" s="3">
        <f>VLOOKUP($A212,'SegEnds_NonXtal_BW#'!$A:$Z,8,FALSE)+VLOOKUP($A212,A:AL,10,FALSE)-50</f>
        <v>97</v>
      </c>
      <c r="L212" s="3">
        <f t="shared" si="136"/>
        <v>100</v>
      </c>
      <c r="M212" s="3">
        <v>101</v>
      </c>
      <c r="N212" s="3">
        <f t="shared" si="137"/>
        <v>103</v>
      </c>
      <c r="O212" s="3">
        <f t="shared" si="116"/>
        <v>104</v>
      </c>
      <c r="P212" s="3">
        <v>133</v>
      </c>
      <c r="Q212" s="3">
        <f>VLOOKUP($A212,'SegEnds_NonXtal_BW#'!$A:$Z,12,FALSE)+VLOOKUP($A212,A:AL,16,FALSE)-50</f>
        <v>139</v>
      </c>
      <c r="R212" s="3">
        <f>IF(ISERROR(VLOOKUP($A212,'SegEnds_NonXtal_BW#'!$A:$Z,13,FALSE)+VLOOKUP($A212,A:AL,19,FALSE)-50),"-",VLOOKUP($A212,'SegEnds_NonXtal_BW#'!$A:$Z,13,FALSE)+VLOOKUP($A212,A:AL,19,FALSE)-50)</f>
        <v>140</v>
      </c>
      <c r="S212" s="3">
        <v>140</v>
      </c>
      <c r="T212" s="100">
        <f>IF(ISERROR(VLOOKUP($A212,'SegEnds_NonXtal_BW#'!$A:$Z,14,FALSE)+VLOOKUP($A212,A:AL,19,FALSE)-50),"-",(VLOOKUP($A212,'SegEnds_NonXtal_BW#'!$A:$Z,14,FALSE)+VLOOKUP($A212,A:AL,19,FALSE)-50))</f>
        <v>147</v>
      </c>
      <c r="U212" s="9">
        <f>IF(ISERROR(VLOOKUP($A212,'SegEnds_NonXtal_BW#'!$A:$Z,15,FALSE)+VLOOKUP($A212,A:AL,22,FALSE)-50),"-",VLOOKUP($A212,'SegEnds_NonXtal_BW#'!$A:$Z,15,FALSE)+VLOOKUP($A212,A:AL,22,FALSE)-50)</f>
        <v>148</v>
      </c>
      <c r="V212" s="3">
        <v>160</v>
      </c>
      <c r="W212" s="3">
        <f>IF(ISERROR(VLOOKUP($A212,'SegEnds_NonXtal_BW#'!$A:$Z,16,FALSE)+VLOOKUP($A212,A:AL,22,FALSE)-50),"-",(VLOOKUP($A212,'SegEnds_NonXtal_BW#'!$A:$Z,16,FALSE)+VLOOKUP($A212,A:AL,22,FALSE)-50))</f>
        <v>174</v>
      </c>
      <c r="X212" s="3">
        <f>IF(ISERROR(VLOOKUP($A212,'SegEnds_NonXtal_BW#'!$A:$Z,17,FALSE)+VLOOKUP($A212,A:AL,25,FALSE)-50),"-",(VLOOKUP($A212,'SegEnds_NonXtal_BW#'!$A:$Z,17,FALSE)+VLOOKUP($A212,A:AL,25,FALSE)-50))</f>
        <v>185</v>
      </c>
      <c r="Y212" s="3">
        <v>185</v>
      </c>
      <c r="Z212" s="3">
        <f t="shared" si="117"/>
        <v>187</v>
      </c>
      <c r="AA212" s="3">
        <f>IF(ISERROR(VLOOKUP($A212,'SegEnds_NonXtal_BW#'!$A:$Z,19,FALSE)+VLOOKUP($A212,A:AL,28,FALSE)-50),"-",(VLOOKUP($A212,'SegEnds_NonXtal_BW#'!$A:$Z,19,FALSE)+VLOOKUP($A212,A:AL,28,FALSE)-50))</f>
        <v>194</v>
      </c>
      <c r="AB212" s="3">
        <v>212</v>
      </c>
      <c r="AC212" s="3">
        <f>IF(ISERROR((VLOOKUP($A212,'SegEnds_NonXtal_BW#'!$A:$Z,20,FALSE)+VLOOKUP($A212,A:AL,28,FALSE)-50)),"-",(VLOOKUP($A212,'SegEnds_NonXtal_BW#'!$A:$Z,20,FALSE)+VLOOKUP($A212,A:AL,28,FALSE)-50))</f>
        <v>230</v>
      </c>
      <c r="AD212" s="3">
        <f>IF(ISERROR(VLOOKUP($A212,'SegEnds_NonXtal_BW#'!$A:$Z,21,FALSE)+VLOOKUP($A212,A:AL,31,FALSE)-50),"-",(VLOOKUP($A212,'SegEnds_NonXtal_BW#'!$A:$Z,21,FALSE)+VLOOKUP($A212,A:AL,31,FALSE)-50))</f>
        <v>234</v>
      </c>
      <c r="AE212" s="3">
        <v>260</v>
      </c>
      <c r="AF212" s="3">
        <f>IF(ISERROR((VLOOKUP($A212,'SegEnds_NonXtal_BW#'!$A:$Z,22,FALSE)+VLOOKUP($A212,A:AL,31,FALSE)-50)),"-",(VLOOKUP($A212,'SegEnds_NonXtal_BW#'!$A:$Z,22,FALSE)+VLOOKUP($A212,A:AL,31,FALSE)-50))</f>
        <v>271</v>
      </c>
      <c r="AG212" s="3">
        <f>IF(ISERROR(VLOOKUP($A212,'SegEnds_NonXtal_BW#'!$A:$Z,23,FALSE)+VLOOKUP($A212,A:AL,34,FALSE)-50),"-",(VLOOKUP($A212,'SegEnds_NonXtal_BW#'!$A:$Z,23,FALSE)+VLOOKUP($A212,A:AL,34,FALSE)-50))</f>
        <v>277</v>
      </c>
      <c r="AH212" s="3">
        <v>303</v>
      </c>
      <c r="AI212" s="3">
        <f>IF(ISERROR((VLOOKUP($A212,'SegEnds_NonXtal_BW#'!$A:$Z,24,FALSE)+VLOOKUP($A212,A:AL,34,FALSE)-50)),"-",(VLOOKUP($A212,'SegEnds_NonXtal_BW#'!$A:$Z,24,FALSE)+VLOOKUP($A212,A:AL,34,FALSE)-50))</f>
        <v>309</v>
      </c>
      <c r="AJ212" s="3">
        <f>IF(ISERROR(VLOOKUP($A212,'SegEnds_NonXtal_BW#'!$A:$Z,25,FALSE)+VLOOKUP($A212,A:AL,37,FALSE)-50),"-",(VLOOKUP($A212,'SegEnds_NonXtal_BW#'!$A:$Z,25,FALSE)+VLOOKUP($A212,A:AL,37,FALSE)-50))</f>
        <v>310</v>
      </c>
      <c r="AK212" s="3">
        <v>313</v>
      </c>
      <c r="AL212" s="3">
        <f>IF(ISERROR((VLOOKUP($A212,'SegEnds_NonXtal_BW#'!$A:$Z,26,FALSE)+VLOOKUP($A212,A:AL,37,FALSE)-50)),"-",(VLOOKUP($A212,'SegEnds_NonXtal_BW#'!$A:$Z,26,FALSE)+VLOOKUP($A212,A:AL,37,FALSE)-50))</f>
        <v>322</v>
      </c>
      <c r="AM212" s="28" t="str">
        <f>VLOOKUP(A212,Classification!A:B,2,FALSE)</f>
        <v>A</v>
      </c>
      <c r="AN212" s="28" t="b">
        <f t="shared" si="133"/>
        <v>1</v>
      </c>
      <c r="AO212" s="3" t="str">
        <f>IF(ISERROR(MATCH(A212,'SegEnds_Xtal_Prot#'!B:B, 0)), "NoXtal", "Xtal")</f>
        <v>NoXtal</v>
      </c>
      <c r="AP212" s="3" t="str">
        <f t="shared" si="118"/>
        <v>-</v>
      </c>
      <c r="AQ212" s="3" t="str">
        <f t="shared" si="119"/>
        <v>-</v>
      </c>
      <c r="AR212" s="3">
        <f t="shared" si="120"/>
        <v>3</v>
      </c>
      <c r="AS212" s="3">
        <f t="shared" si="121"/>
        <v>1</v>
      </c>
      <c r="AT212" s="3">
        <f t="shared" si="122"/>
        <v>1</v>
      </c>
      <c r="AU212" s="3">
        <f t="shared" si="123"/>
        <v>1</v>
      </c>
      <c r="AV212" s="3">
        <f t="shared" si="124"/>
        <v>11</v>
      </c>
      <c r="AW212" s="3">
        <f t="shared" si="125"/>
        <v>7</v>
      </c>
      <c r="AX212" s="3">
        <f t="shared" si="126"/>
        <v>4</v>
      </c>
      <c r="AY212" s="3">
        <f t="shared" si="127"/>
        <v>6</v>
      </c>
      <c r="AZ212" s="3">
        <f t="shared" si="128"/>
        <v>1</v>
      </c>
      <c r="BA212" s="3">
        <f>IF(ISERROR(LEN(VLOOKUP(A212,Seqs!A:E,2,FALSE))-AL212),"-",LEN(VLOOKUP(A212,Seqs!A:E,2,FALSE))-AL212)</f>
        <v>43</v>
      </c>
      <c r="BB212" s="16">
        <f t="shared" si="129"/>
        <v>28</v>
      </c>
      <c r="BC212" s="9">
        <f t="shared" si="130"/>
        <v>20</v>
      </c>
      <c r="BD212" s="3">
        <f t="shared" si="131"/>
        <v>28</v>
      </c>
      <c r="BE212" s="3">
        <f t="shared" si="132"/>
        <v>48</v>
      </c>
    </row>
    <row r="213" spans="1:59" s="3" customFormat="1" x14ac:dyDescent="0.2">
      <c r="A213" s="3" t="s">
        <v>349</v>
      </c>
      <c r="B213" s="3" t="str">
        <f>LOWER(VLOOKUP(A213,Xtal_Templ!A:B,2,FALSE))</f>
        <v>par2_human</v>
      </c>
      <c r="C213" s="3">
        <f>VLOOKUP($A213,'SegEnds_NonXtal_BW#'!$A:$Z,3,FALSE)+D213-50</f>
        <v>19</v>
      </c>
      <c r="D213" s="3">
        <v>41</v>
      </c>
      <c r="E213" s="3">
        <f>IF(ISERROR(VLOOKUP($A213,'SegEnds_NonXtal_BW#'!$A:$Z,4,FALSE)+VLOOKUP($A213,A:AL,4,FALSE)-50),"-",(VLOOKUP($A213,'SegEnds_NonXtal_BW#'!$A:$Z,4,FALSE)+VLOOKUP($A213,A:AL,4,FALSE)-50))</f>
        <v>51</v>
      </c>
      <c r="F213" s="3" t="str">
        <f>IF(ISERROR(VLOOKUP($A213,'SegEnds_NonXtal_BW#'!$A:$Z,5,FALSE)+VLOOKUP($A213,A:AL,7,FALSE)-50),"-",(VLOOKUP($A213,'SegEnds_NonXtal_BW#'!$A:$Z,5,FALSE)+VLOOKUP($A213,A:AL,7,FALSE)-50))</f>
        <v>-</v>
      </c>
      <c r="G213" s="3" t="s">
        <v>23</v>
      </c>
      <c r="H213" s="3" t="str">
        <f>IF(ISERROR(VLOOKUP($A213,'SegEnds_NonXtal_BW#'!$A:$Z,6,FALSE)+VLOOKUP($A213,A:AL,7,FALSE)-50),"-",(VLOOKUP($A213,'SegEnds_NonXtal_BW#'!$A:$Z,6,FALSE)+VLOOKUP($A213,A:AL,7,FALSE)-50))</f>
        <v>-</v>
      </c>
      <c r="I213" s="3">
        <f>VLOOKUP($A213,'SegEnds_NonXtal_BW#'!$A:$Z,7,FALSE)+J213-50</f>
        <v>56</v>
      </c>
      <c r="J213" s="3">
        <v>69</v>
      </c>
      <c r="K213" s="3">
        <f>VLOOKUP($A213,'SegEnds_NonXtal_BW#'!$A:$Z,8,FALSE)+VLOOKUP($A213,A:AL,10,FALSE)-50</f>
        <v>85</v>
      </c>
      <c r="L213" s="3">
        <f t="shared" si="136"/>
        <v>88</v>
      </c>
      <c r="M213" s="3">
        <v>89</v>
      </c>
      <c r="N213" s="3">
        <f t="shared" si="137"/>
        <v>91</v>
      </c>
      <c r="O213" s="3">
        <f t="shared" si="116"/>
        <v>92</v>
      </c>
      <c r="P213" s="3">
        <v>121</v>
      </c>
      <c r="Q213" s="3">
        <f>VLOOKUP($A213,'SegEnds_NonXtal_BW#'!$A:$Z,12,FALSE)+VLOOKUP($A213,A:AL,16,FALSE)-50</f>
        <v>127</v>
      </c>
      <c r="R213" s="3">
        <f>IF(ISERROR(VLOOKUP($A213,'SegEnds_NonXtal_BW#'!$A:$Z,13,FALSE)+VLOOKUP($A213,A:AL,19,FALSE)-50),"-",VLOOKUP($A213,'SegEnds_NonXtal_BW#'!$A:$Z,13,FALSE)+VLOOKUP($A213,A:AL,19,FALSE)-50)</f>
        <v>128</v>
      </c>
      <c r="S213" s="3">
        <v>128</v>
      </c>
      <c r="T213" s="100">
        <f>IF(ISERROR(VLOOKUP($A213,'SegEnds_NonXtal_BW#'!$A:$Z,14,FALSE)+VLOOKUP($A213,A:AL,19,FALSE)-50),"-",(VLOOKUP($A213,'SegEnds_NonXtal_BW#'!$A:$Z,14,FALSE)+VLOOKUP($A213,A:AL,19,FALSE)-50))</f>
        <v>135</v>
      </c>
      <c r="U213" s="9">
        <f>IF(ISERROR(VLOOKUP($A213,'SegEnds_NonXtal_BW#'!$A:$Z,15,FALSE)+VLOOKUP($A213,A:AL,22,FALSE)-50),"-",VLOOKUP($A213,'SegEnds_NonXtal_BW#'!$A:$Z,15,FALSE)+VLOOKUP($A213,A:AL,22,FALSE)-50)</f>
        <v>136</v>
      </c>
      <c r="V213" s="3">
        <v>148</v>
      </c>
      <c r="W213" s="3">
        <f>IF(ISERROR(VLOOKUP($A213,'SegEnds_NonXtal_BW#'!$A:$Z,16,FALSE)+VLOOKUP($A213,A:AL,22,FALSE)-50),"-",(VLOOKUP($A213,'SegEnds_NonXtal_BW#'!$A:$Z,16,FALSE)+VLOOKUP($A213,A:AL,22,FALSE)-50))</f>
        <v>160</v>
      </c>
      <c r="X213" s="3">
        <f>IF(ISERROR(VLOOKUP($A213,'SegEnds_NonXtal_BW#'!$A:$Z,17,FALSE)+VLOOKUP($A213,A:AL,25,FALSE)-50),"-",(VLOOKUP($A213,'SegEnds_NonXtal_BW#'!$A:$Z,17,FALSE)+VLOOKUP($A213,A:AL,25,FALSE)-50))</f>
        <v>175</v>
      </c>
      <c r="Y213" s="3">
        <v>175</v>
      </c>
      <c r="Z213" s="3">
        <f t="shared" si="117"/>
        <v>177</v>
      </c>
      <c r="AA213" s="3">
        <f>IF(ISERROR(VLOOKUP($A213,'SegEnds_NonXtal_BW#'!$A:$Z,19,FALSE)+VLOOKUP($A213,A:AL,28,FALSE)-50),"-",(VLOOKUP($A213,'SegEnds_NonXtal_BW#'!$A:$Z,19,FALSE)+VLOOKUP($A213,A:AL,28,FALSE)-50))</f>
        <v>186</v>
      </c>
      <c r="AB213" s="3">
        <v>205</v>
      </c>
      <c r="AC213" s="3">
        <f>IF(ISERROR((VLOOKUP($A213,'SegEnds_NonXtal_BW#'!$A:$Z,20,FALSE)+VLOOKUP($A213,A:AL,28,FALSE)-50)),"-",(VLOOKUP($A213,'SegEnds_NonXtal_BW#'!$A:$Z,20,FALSE)+VLOOKUP($A213,A:AL,28,FALSE)-50))</f>
        <v>222</v>
      </c>
      <c r="AD213" s="3">
        <f>IF(ISERROR(VLOOKUP($A213,'SegEnds_NonXtal_BW#'!$A:$Z,21,FALSE)+VLOOKUP($A213,A:AL,31,FALSE)-50),"-",(VLOOKUP($A213,'SegEnds_NonXtal_BW#'!$A:$Z,21,FALSE)+VLOOKUP($A213,A:AL,31,FALSE)-50))</f>
        <v>228</v>
      </c>
      <c r="AE213" s="3">
        <v>252</v>
      </c>
      <c r="AF213" s="3">
        <f>IF(ISERROR((VLOOKUP($A213,'SegEnds_NonXtal_BW#'!$A:$Z,22,FALSE)+VLOOKUP($A213,A:AL,31,FALSE)-50)),"-",(VLOOKUP($A213,'SegEnds_NonXtal_BW#'!$A:$Z,22,FALSE)+VLOOKUP($A213,A:AL,31,FALSE)-50))</f>
        <v>263</v>
      </c>
      <c r="AG213" s="3">
        <f>IF(ISERROR(VLOOKUP($A213,'SegEnds_NonXtal_BW#'!$A:$Z,23,FALSE)+VLOOKUP($A213,A:AL,34,FALSE)-50),"-",(VLOOKUP($A213,'SegEnds_NonXtal_BW#'!$A:$Z,23,FALSE)+VLOOKUP($A213,A:AL,34,FALSE)-50))</f>
        <v>271</v>
      </c>
      <c r="AH213" s="3">
        <v>290</v>
      </c>
      <c r="AI213" s="3">
        <f>IF(ISERROR((VLOOKUP($A213,'SegEnds_NonXtal_BW#'!$A:$Z,24,FALSE)+VLOOKUP($A213,A:AL,34,FALSE)-50)),"-",(VLOOKUP($A213,'SegEnds_NonXtal_BW#'!$A:$Z,24,FALSE)+VLOOKUP($A213,A:AL,34,FALSE)-50))</f>
        <v>296</v>
      </c>
      <c r="AJ213" s="3">
        <f>IF(ISERROR(VLOOKUP($A213,'SegEnds_NonXtal_BW#'!$A:$Z,25,FALSE)+VLOOKUP($A213,A:AL,37,FALSE)-50),"-",(VLOOKUP($A213,'SegEnds_NonXtal_BW#'!$A:$Z,25,FALSE)+VLOOKUP($A213,A:AL,37,FALSE)-50))</f>
        <v>297</v>
      </c>
      <c r="AK213" s="3">
        <v>300</v>
      </c>
      <c r="AL213" s="3">
        <f>IF(ISERROR((VLOOKUP($A213,'SegEnds_NonXtal_BW#'!$A:$Z,26,FALSE)+VLOOKUP($A213,A:AL,37,FALSE)-50)),"-",(VLOOKUP($A213,'SegEnds_NonXtal_BW#'!$A:$Z,26,FALSE)+VLOOKUP($A213,A:AL,37,FALSE)-50))</f>
        <v>311</v>
      </c>
      <c r="AM213" s="28" t="str">
        <f>VLOOKUP(A213,Classification!A:B,2,FALSE)</f>
        <v>A</v>
      </c>
      <c r="AN213" s="28" t="b">
        <f t="shared" si="133"/>
        <v>1</v>
      </c>
      <c r="AO213" s="3" t="str">
        <f>IF(ISERROR(MATCH(A213,'SegEnds_Xtal_Prot#'!B:B, 0)), "NoXtal", "Xtal")</f>
        <v>NoXtal</v>
      </c>
      <c r="AP213" s="3" t="str">
        <f t="shared" si="118"/>
        <v>-</v>
      </c>
      <c r="AQ213" s="3" t="str">
        <f t="shared" si="119"/>
        <v>-</v>
      </c>
      <c r="AR213" s="3">
        <f t="shared" si="120"/>
        <v>3</v>
      </c>
      <c r="AS213" s="3">
        <f t="shared" si="121"/>
        <v>1</v>
      </c>
      <c r="AT213" s="3">
        <f t="shared" si="122"/>
        <v>1</v>
      </c>
      <c r="AU213" s="3">
        <f t="shared" si="123"/>
        <v>1</v>
      </c>
      <c r="AV213" s="3">
        <f t="shared" si="124"/>
        <v>15</v>
      </c>
      <c r="AW213" s="3">
        <f t="shared" si="125"/>
        <v>9</v>
      </c>
      <c r="AX213" s="3">
        <f t="shared" si="126"/>
        <v>6</v>
      </c>
      <c r="AY213" s="3">
        <f t="shared" si="127"/>
        <v>8</v>
      </c>
      <c r="AZ213" s="3">
        <f t="shared" si="128"/>
        <v>1</v>
      </c>
      <c r="BA213" s="3">
        <f>IF(ISERROR(LEN(VLOOKUP(A213,Seqs!A:E,2,FALSE))-AL213),"-",LEN(VLOOKUP(A213,Seqs!A:E,2,FALSE))-AL213)</f>
        <v>48</v>
      </c>
      <c r="BB213" s="16">
        <f t="shared" si="129"/>
        <v>28</v>
      </c>
      <c r="BC213" s="9">
        <f t="shared" si="130"/>
        <v>20</v>
      </c>
      <c r="BD213" s="3">
        <f t="shared" si="131"/>
        <v>28</v>
      </c>
      <c r="BE213" s="3">
        <f t="shared" si="132"/>
        <v>47</v>
      </c>
    </row>
    <row r="214" spans="1:59" s="3" customFormat="1" x14ac:dyDescent="0.2">
      <c r="A214" s="3" t="s">
        <v>351</v>
      </c>
      <c r="B214" s="3" t="str">
        <f>LOWER(VLOOKUP(A214,Xtal_Templ!A:B,2,FALSE))</f>
        <v>p2ry1_human</v>
      </c>
      <c r="C214" s="3">
        <f>VLOOKUP($A214,'SegEnds_NonXtal_BW#'!$A:$Z,3,FALSE)+D214-50</f>
        <v>26</v>
      </c>
      <c r="D214" s="3">
        <v>46</v>
      </c>
      <c r="E214" s="3">
        <f>IF(ISERROR(VLOOKUP($A214,'SegEnds_NonXtal_BW#'!$A:$Z,4,FALSE)+VLOOKUP($A214,A:AL,4,FALSE)-50),"-",(VLOOKUP($A214,'SegEnds_NonXtal_BW#'!$A:$Z,4,FALSE)+VLOOKUP($A214,A:AL,4,FALSE)-50))</f>
        <v>56</v>
      </c>
      <c r="F214" s="3" t="str">
        <f>IF(ISERROR(VLOOKUP($A214,'SegEnds_NonXtal_BW#'!$A:$Z,5,FALSE)+VLOOKUP($A214,A:AL,7,FALSE)-50),"-",(VLOOKUP($A214,'SegEnds_NonXtal_BW#'!$A:$Z,5,FALSE)+VLOOKUP($A214,A:AL,7,FALSE)-50))</f>
        <v>-</v>
      </c>
      <c r="G214" s="3" t="s">
        <v>23</v>
      </c>
      <c r="H214" s="3" t="str">
        <f>IF(ISERROR(VLOOKUP($A214,'SegEnds_NonXtal_BW#'!$A:$Z,6,FALSE)+VLOOKUP($A214,A:AL,7,FALSE)-50),"-",(VLOOKUP($A214,'SegEnds_NonXtal_BW#'!$A:$Z,6,FALSE)+VLOOKUP($A214,A:AL,7,FALSE)-50))</f>
        <v>-</v>
      </c>
      <c r="I214" s="3">
        <f>VLOOKUP($A214,'SegEnds_NonXtal_BW#'!$A:$Z,7,FALSE)+J214-50</f>
        <v>62</v>
      </c>
      <c r="J214" s="3">
        <v>75</v>
      </c>
      <c r="K214" s="3">
        <f>VLOOKUP($A214,'SegEnds_NonXtal_BW#'!$A:$Z,8,FALSE)+VLOOKUP($A214,A:AL,10,FALSE)-50</f>
        <v>91</v>
      </c>
      <c r="L214" s="3">
        <f t="shared" si="136"/>
        <v>94</v>
      </c>
      <c r="M214" s="3">
        <v>95</v>
      </c>
      <c r="N214" s="3">
        <f t="shared" si="137"/>
        <v>97</v>
      </c>
      <c r="O214" s="3">
        <f t="shared" si="116"/>
        <v>98</v>
      </c>
      <c r="P214" s="3">
        <v>127</v>
      </c>
      <c r="Q214" s="3">
        <f>VLOOKUP($A214,'SegEnds_NonXtal_BW#'!$A:$Z,12,FALSE)+VLOOKUP($A214,A:AL,16,FALSE)-50</f>
        <v>133</v>
      </c>
      <c r="R214" s="3">
        <f>IF(ISERROR(VLOOKUP($A214,'SegEnds_NonXtal_BW#'!$A:$Z,13,FALSE)+VLOOKUP($A214,A:AL,19,FALSE)-50),"-",VLOOKUP($A214,'SegEnds_NonXtal_BW#'!$A:$Z,13,FALSE)+VLOOKUP($A214,A:AL,19,FALSE)-50)</f>
        <v>134</v>
      </c>
      <c r="S214" s="3">
        <v>134</v>
      </c>
      <c r="T214" s="100">
        <f>IF(ISERROR(VLOOKUP($A214,'SegEnds_NonXtal_BW#'!$A:$Z,14,FALSE)+VLOOKUP($A214,A:AL,19,FALSE)-50),"-",(VLOOKUP($A214,'SegEnds_NonXtal_BW#'!$A:$Z,14,FALSE)+VLOOKUP($A214,A:AL,19,FALSE)-50))</f>
        <v>141</v>
      </c>
      <c r="U214" s="9">
        <f>IF(ISERROR(VLOOKUP($A214,'SegEnds_NonXtal_BW#'!$A:$Z,15,FALSE)+VLOOKUP($A214,A:AL,22,FALSE)-50),"-",VLOOKUP($A214,'SegEnds_NonXtal_BW#'!$A:$Z,15,FALSE)+VLOOKUP($A214,A:AL,22,FALSE)-50)</f>
        <v>142</v>
      </c>
      <c r="V214" s="3">
        <v>154</v>
      </c>
      <c r="W214" s="3">
        <f>IF(ISERROR(VLOOKUP($A214,'SegEnds_NonXtal_BW#'!$A:$Z,16,FALSE)+VLOOKUP($A214,A:AL,22,FALSE)-50),"-",(VLOOKUP($A214,'SegEnds_NonXtal_BW#'!$A:$Z,16,FALSE)+VLOOKUP($A214,A:AL,22,FALSE)-50))</f>
        <v>168</v>
      </c>
      <c r="X214" s="3">
        <f>IF(ISERROR(VLOOKUP($A214,'SegEnds_NonXtal_BW#'!$A:$Z,17,FALSE)+VLOOKUP($A214,A:AL,25,FALSE)-50),"-",(VLOOKUP($A214,'SegEnds_NonXtal_BW#'!$A:$Z,17,FALSE)+VLOOKUP($A214,A:AL,25,FALSE)-50))</f>
        <v>191</v>
      </c>
      <c r="Y214" s="3">
        <v>191</v>
      </c>
      <c r="Z214" s="3">
        <f t="shared" si="117"/>
        <v>193</v>
      </c>
      <c r="AA214" s="3">
        <f>IF(ISERROR(VLOOKUP($A214,'SegEnds_NonXtal_BW#'!$A:$Z,19,FALSE)+VLOOKUP($A214,A:AL,28,FALSE)-50),"-",(VLOOKUP($A214,'SegEnds_NonXtal_BW#'!$A:$Z,19,FALSE)+VLOOKUP($A214,A:AL,28,FALSE)-50))</f>
        <v>199</v>
      </c>
      <c r="AB214" s="3">
        <v>217</v>
      </c>
      <c r="AC214" s="3">
        <f>IF(ISERROR((VLOOKUP($A214,'SegEnds_NonXtal_BW#'!$A:$Z,20,FALSE)+VLOOKUP($A214,A:AL,28,FALSE)-50)),"-",(VLOOKUP($A214,'SegEnds_NonXtal_BW#'!$A:$Z,20,FALSE)+VLOOKUP($A214,A:AL,28,FALSE)-50))</f>
        <v>234</v>
      </c>
      <c r="AD214" s="3">
        <f>IF(ISERROR(VLOOKUP($A214,'SegEnds_NonXtal_BW#'!$A:$Z,21,FALSE)+VLOOKUP($A214,A:AL,31,FALSE)-50),"-",(VLOOKUP($A214,'SegEnds_NonXtal_BW#'!$A:$Z,21,FALSE)+VLOOKUP($A214,A:AL,31,FALSE)-50))</f>
        <v>239</v>
      </c>
      <c r="AE214" s="3">
        <v>263</v>
      </c>
      <c r="AF214" s="3">
        <f>IF(ISERROR((VLOOKUP($A214,'SegEnds_NonXtal_BW#'!$A:$Z,22,FALSE)+VLOOKUP($A214,A:AL,31,FALSE)-50)),"-",(VLOOKUP($A214,'SegEnds_NonXtal_BW#'!$A:$Z,22,FALSE)+VLOOKUP($A214,A:AL,31,FALSE)-50))</f>
        <v>277</v>
      </c>
      <c r="AG214" s="3">
        <f>IF(ISERROR(VLOOKUP($A214,'SegEnds_NonXtal_BW#'!$A:$Z,23,FALSE)+VLOOKUP($A214,A:AL,34,FALSE)-50),"-",(VLOOKUP($A214,'SegEnds_NonXtal_BW#'!$A:$Z,23,FALSE)+VLOOKUP($A214,A:AL,34,FALSE)-50))</f>
        <v>292</v>
      </c>
      <c r="AH214" s="3">
        <v>318</v>
      </c>
      <c r="AI214" s="3">
        <f>IF(ISERROR((VLOOKUP($A214,'SegEnds_NonXtal_BW#'!$A:$Z,24,FALSE)+VLOOKUP($A214,A:AL,34,FALSE)-50)),"-",(VLOOKUP($A214,'SegEnds_NonXtal_BW#'!$A:$Z,24,FALSE)+VLOOKUP($A214,A:AL,34,FALSE)-50))</f>
        <v>324</v>
      </c>
      <c r="AJ214" s="3">
        <f>IF(ISERROR(VLOOKUP($A214,'SegEnds_NonXtal_BW#'!$A:$Z,25,FALSE)+VLOOKUP($A214,A:AL,37,FALSE)-50),"-",(VLOOKUP($A214,'SegEnds_NonXtal_BW#'!$A:$Z,25,FALSE)+VLOOKUP($A214,A:AL,37,FALSE)-50))</f>
        <v>325</v>
      </c>
      <c r="AK214" s="3">
        <v>328</v>
      </c>
      <c r="AL214" s="3">
        <f>IF(ISERROR((VLOOKUP($A214,'SegEnds_NonXtal_BW#'!$A:$Z,26,FALSE)+VLOOKUP($A214,A:AL,37,FALSE)-50)),"-",(VLOOKUP($A214,'SegEnds_NonXtal_BW#'!$A:$Z,26,FALSE)+VLOOKUP($A214,A:AL,37,FALSE)-50))</f>
        <v>337</v>
      </c>
      <c r="AM214" s="28" t="str">
        <f>VLOOKUP(A214,Classification!A:B,2,FALSE)</f>
        <v>A</v>
      </c>
      <c r="AN214" s="28" t="b">
        <f t="shared" si="133"/>
        <v>1</v>
      </c>
      <c r="AO214" s="3" t="str">
        <f>IF(ISERROR(MATCH(A214,'SegEnds_Xtal_Prot#'!B:B, 0)), "NoXtal", "Xtal")</f>
        <v>NoXtal</v>
      </c>
      <c r="AP214" s="3" t="str">
        <f t="shared" si="118"/>
        <v>-</v>
      </c>
      <c r="AQ214" s="3" t="str">
        <f t="shared" si="119"/>
        <v>-</v>
      </c>
      <c r="AR214" s="3">
        <f t="shared" si="120"/>
        <v>3</v>
      </c>
      <c r="AS214" s="3">
        <f t="shared" si="121"/>
        <v>1</v>
      </c>
      <c r="AT214" s="3">
        <f t="shared" si="122"/>
        <v>1</v>
      </c>
      <c r="AU214" s="3">
        <f t="shared" si="123"/>
        <v>1</v>
      </c>
      <c r="AV214" s="3">
        <f t="shared" si="124"/>
        <v>23</v>
      </c>
      <c r="AW214" s="3">
        <f t="shared" si="125"/>
        <v>6</v>
      </c>
      <c r="AX214" s="3">
        <f t="shared" si="126"/>
        <v>5</v>
      </c>
      <c r="AY214" s="3">
        <f t="shared" si="127"/>
        <v>15</v>
      </c>
      <c r="AZ214" s="3">
        <f t="shared" si="128"/>
        <v>1</v>
      </c>
      <c r="BA214" s="3">
        <f>IF(ISERROR(LEN(VLOOKUP(A214,Seqs!A:E,2,FALSE))-AL214),"-",LEN(VLOOKUP(A214,Seqs!A:E,2,FALSE))-AL214)</f>
        <v>37</v>
      </c>
      <c r="BB214" s="16">
        <f t="shared" si="129"/>
        <v>29</v>
      </c>
      <c r="BC214" s="9">
        <f t="shared" si="130"/>
        <v>20</v>
      </c>
      <c r="BD214" s="3">
        <f t="shared" si="131"/>
        <v>29</v>
      </c>
      <c r="BE214" s="3">
        <f t="shared" si="132"/>
        <v>46</v>
      </c>
    </row>
    <row r="215" spans="1:59" s="3" customFormat="1" x14ac:dyDescent="0.2">
      <c r="A215" s="3" t="s">
        <v>352</v>
      </c>
      <c r="B215" s="3" t="str">
        <f>LOWER(VLOOKUP(A215,Xtal_Templ!A:B,2,FALSE))</f>
        <v>p2y12_human</v>
      </c>
      <c r="C215" s="3">
        <f>VLOOKUP($A215,'SegEnds_NonXtal_BW#'!$A:$Z,3,FALSE)+D215-50</f>
        <v>21</v>
      </c>
      <c r="D215" s="3">
        <v>43</v>
      </c>
      <c r="E215" s="3">
        <f>IF(ISERROR(VLOOKUP($A215,'SegEnds_NonXtal_BW#'!$A:$Z,4,FALSE)+VLOOKUP($A215,A:AL,4,FALSE)-50),"-",(VLOOKUP($A215,'SegEnds_NonXtal_BW#'!$A:$Z,4,FALSE)+VLOOKUP($A215,A:AL,4,FALSE)-50))</f>
        <v>53</v>
      </c>
      <c r="F215" s="3" t="str">
        <f>IF(ISERROR(VLOOKUP($A215,'SegEnds_NonXtal_BW#'!$A:$Z,5,FALSE)+VLOOKUP($A215,A:AL,7,FALSE)-50),"-",(VLOOKUP($A215,'SegEnds_NonXtal_BW#'!$A:$Z,5,FALSE)+VLOOKUP($A215,A:AL,7,FALSE)-50))</f>
        <v>-</v>
      </c>
      <c r="G215" s="3" t="s">
        <v>23</v>
      </c>
      <c r="H215" s="3" t="str">
        <f>IF(ISERROR(VLOOKUP($A215,'SegEnds_NonXtal_BW#'!$A:$Z,6,FALSE)+VLOOKUP($A215,A:AL,7,FALSE)-50),"-",(VLOOKUP($A215,'SegEnds_NonXtal_BW#'!$A:$Z,6,FALSE)+VLOOKUP($A215,A:AL,7,FALSE)-50))</f>
        <v>-</v>
      </c>
      <c r="I215" s="3">
        <f>VLOOKUP($A215,'SegEnds_NonXtal_BW#'!$A:$Z,7,FALSE)+J215-50</f>
        <v>57</v>
      </c>
      <c r="J215" s="3">
        <v>70</v>
      </c>
      <c r="K215" s="3">
        <f>VLOOKUP($A215,'SegEnds_NonXtal_BW#'!$A:$Z,8,FALSE)+VLOOKUP($A215,A:AL,10,FALSE)-50</f>
        <v>86</v>
      </c>
      <c r="L215" s="3" t="str">
        <f>IF(ISERROR(VLOOKUP($A215,'SegEnds_NonXtal_BW#'!$A:$Z,9,FALSE)+VLOOKUP($A215,A:AL,13,FALSE)-50),"-",(VLOOKUP($A215,'SegEnds_NonXtal_BW#'!$A:$Z,9,FALSE)+VLOOKUP($A215,A:AL,13,FALSE)-50))</f>
        <v>-</v>
      </c>
      <c r="M215" s="3" t="s">
        <v>23</v>
      </c>
      <c r="N215" s="3" t="str">
        <f>IF(ISERROR(VLOOKUP($A215,'SegEnds_NonXtal_BW#'!$A:$Z,10,FALSE)+VLOOKUP($A215,A:AL,13,FALSE)-50),"-",(VLOOKUP($A215,'SegEnds_NonXtal_BW#'!$A:$Z,10,FALSE)+VLOOKUP($A215,A:AL,13,FALSE)-50))</f>
        <v>-</v>
      </c>
      <c r="O215" s="3">
        <f>VLOOKUP($A215,'SegEnds_NonXtal_BW#'!$A:$Z,11,FALSE)+VLOOKUP($A215,A:AL,16,FALSE)-50</f>
        <v>90</v>
      </c>
      <c r="P215" s="3">
        <v>122</v>
      </c>
      <c r="Q215" s="3">
        <f>VLOOKUP($A215,'SegEnds_NonXtal_BW#'!$A:$Z,12,FALSE)+VLOOKUP($A215,A:AL,16,FALSE)-50</f>
        <v>128</v>
      </c>
      <c r="R215" s="3">
        <f>IF(ISERROR(VLOOKUP($A215,'SegEnds_NonXtal_BW#'!$A:$Z,13,FALSE)+VLOOKUP($A215,A:AL,19,FALSE)-50),"-",VLOOKUP($A215,'SegEnds_NonXtal_BW#'!$A:$Z,13,FALSE)+VLOOKUP($A215,A:AL,19,FALSE)-50)</f>
        <v>129</v>
      </c>
      <c r="S215" s="3">
        <v>129</v>
      </c>
      <c r="T215" s="100">
        <f>IF(ISERROR(VLOOKUP($A215,'SegEnds_NonXtal_BW#'!$A:$Z,14,FALSE)+VLOOKUP($A215,A:AL,19,FALSE)-50),"-",(VLOOKUP($A215,'SegEnds_NonXtal_BW#'!$A:$Z,14,FALSE)+VLOOKUP($A215,A:AL,19,FALSE)-50))</f>
        <v>136</v>
      </c>
      <c r="U215" s="9">
        <f>IF(ISERROR(VLOOKUP($A215,'SegEnds_NonXtal_BW#'!$A:$Z,15,FALSE)+VLOOKUP($A215,A:AL,22,FALSE)-50),"-",VLOOKUP($A215,'SegEnds_NonXtal_BW#'!$A:$Z,15,FALSE)+VLOOKUP($A215,A:AL,22,FALSE)-50)</f>
        <v>137</v>
      </c>
      <c r="V215" s="3">
        <v>149</v>
      </c>
      <c r="W215" s="3">
        <f>IF(ISERROR(VLOOKUP($A215,'SegEnds_NonXtal_BW#'!$A:$Z,16,FALSE)+VLOOKUP($A215,A:AL,22,FALSE)-50),"-",(VLOOKUP($A215,'SegEnds_NonXtal_BW#'!$A:$Z,16,FALSE)+VLOOKUP($A215,A:AL,22,FALSE)-50))</f>
        <v>163</v>
      </c>
      <c r="X215" s="3">
        <f>IF(ISERROR(VLOOKUP($A215,'SegEnds_NonXtal_BW#'!$A:$Z,17,FALSE)+VLOOKUP($A215,A:AL,25,FALSE)-50),"-",(VLOOKUP($A215,'SegEnds_NonXtal_BW#'!$A:$Z,17,FALSE)+VLOOKUP($A215,A:AL,25,FALSE)-50))</f>
        <v>175</v>
      </c>
      <c r="Y215" s="3">
        <v>175</v>
      </c>
      <c r="Z215" s="3">
        <f t="shared" si="117"/>
        <v>177</v>
      </c>
      <c r="AA215" s="3">
        <f>IF(ISERROR(VLOOKUP($A215,'SegEnds_NonXtal_BW#'!$A:$Z,19,FALSE)+VLOOKUP($A215,A:AL,28,FALSE)-50),"-",(VLOOKUP($A215,'SegEnds_NonXtal_BW#'!$A:$Z,19,FALSE)+VLOOKUP($A215,A:AL,28,FALSE)-50))</f>
        <v>181</v>
      </c>
      <c r="AB215" s="3">
        <v>201</v>
      </c>
      <c r="AC215" s="3">
        <f>IF(ISERROR((VLOOKUP($A215,'SegEnds_NonXtal_BW#'!$A:$Z,20,FALSE)+VLOOKUP($A215,A:AL,28,FALSE)-50)),"-",(VLOOKUP($A215,'SegEnds_NonXtal_BW#'!$A:$Z,20,FALSE)+VLOOKUP($A215,A:AL,28,FALSE)-50))</f>
        <v>223</v>
      </c>
      <c r="AD215" s="3">
        <f>IF(ISERROR(VLOOKUP($A215,'SegEnds_NonXtal_BW#'!$A:$Z,21,FALSE)+VLOOKUP($A215,A:AL,31,FALSE)-50),"-",(VLOOKUP($A215,'SegEnds_NonXtal_BW#'!$A:$Z,21,FALSE)+VLOOKUP($A215,A:AL,31,FALSE)-50))</f>
        <v>230</v>
      </c>
      <c r="AE215" s="3">
        <v>251</v>
      </c>
      <c r="AF215" s="3">
        <f>IF(ISERROR((VLOOKUP($A215,'SegEnds_NonXtal_BW#'!$A:$Z,22,FALSE)+VLOOKUP($A215,A:AL,31,FALSE)-50)),"-",(VLOOKUP($A215,'SegEnds_NonXtal_BW#'!$A:$Z,22,FALSE)+VLOOKUP($A215,A:AL,31,FALSE)-50))</f>
        <v>265</v>
      </c>
      <c r="AG215" s="3">
        <f>IF(ISERROR(VLOOKUP($A215,'SegEnds_NonXtal_BW#'!$A:$Z,23,FALSE)+VLOOKUP($A215,A:AL,34,FALSE)-50),"-",(VLOOKUP($A215,'SegEnds_NonXtal_BW#'!$A:$Z,23,FALSE)+VLOOKUP($A215,A:AL,34,FALSE)-50))</f>
        <v>269</v>
      </c>
      <c r="AH215" s="3">
        <v>295</v>
      </c>
      <c r="AI215" s="3">
        <f>IF(ISERROR((VLOOKUP($A215,'SegEnds_NonXtal_BW#'!$A:$Z,24,FALSE)+VLOOKUP($A215,A:AL,34,FALSE)-50)),"-",(VLOOKUP($A215,'SegEnds_NonXtal_BW#'!$A:$Z,24,FALSE)+VLOOKUP($A215,A:AL,34,FALSE)-50))</f>
        <v>301</v>
      </c>
      <c r="AJ215" s="3">
        <f>IF(ISERROR(VLOOKUP($A215,'SegEnds_NonXtal_BW#'!$A:$Z,25,FALSE)+VLOOKUP($A215,A:AL,37,FALSE)-50),"-",(VLOOKUP($A215,'SegEnds_NonXtal_BW#'!$A:$Z,25,FALSE)+VLOOKUP($A215,A:AL,37,FALSE)-50))</f>
        <v>302</v>
      </c>
      <c r="AK215" s="3">
        <v>305</v>
      </c>
      <c r="AL215" s="3">
        <f>IF(ISERROR((VLOOKUP($A215,'SegEnds_NonXtal_BW#'!$A:$Z,26,FALSE)+VLOOKUP($A215,A:AL,37,FALSE)-50)),"-",(VLOOKUP($A215,'SegEnds_NonXtal_BW#'!$A:$Z,26,FALSE)+VLOOKUP($A215,A:AL,37,FALSE)-50))</f>
        <v>312</v>
      </c>
      <c r="AM215" s="28" t="str">
        <f>VLOOKUP(A215,Classification!A:B,2,FALSE)</f>
        <v>A</v>
      </c>
      <c r="AN215" s="28" t="b">
        <f t="shared" si="133"/>
        <v>1</v>
      </c>
      <c r="AO215" s="3" t="str">
        <f>IF(ISERROR(MATCH(A215,'SegEnds_Xtal_Prot#'!B:B, 0)), "NoXtal", "Xtal")</f>
        <v>Xtal</v>
      </c>
      <c r="AP215" s="3" t="str">
        <f t="shared" si="118"/>
        <v>-</v>
      </c>
      <c r="AQ215" s="3" t="str">
        <f t="shared" si="119"/>
        <v>-</v>
      </c>
      <c r="AR215" s="3" t="str">
        <f t="shared" si="120"/>
        <v>-</v>
      </c>
      <c r="AS215" s="3" t="str">
        <f t="shared" si="121"/>
        <v>-</v>
      </c>
      <c r="AT215" s="3">
        <f t="shared" si="122"/>
        <v>1</v>
      </c>
      <c r="AU215" s="3">
        <f t="shared" si="123"/>
        <v>1</v>
      </c>
      <c r="AV215" s="3">
        <f t="shared" si="124"/>
        <v>12</v>
      </c>
      <c r="AW215" s="3">
        <f t="shared" si="125"/>
        <v>4</v>
      </c>
      <c r="AX215" s="3">
        <f t="shared" si="126"/>
        <v>7</v>
      </c>
      <c r="AY215" s="3">
        <f t="shared" si="127"/>
        <v>4</v>
      </c>
      <c r="AZ215" s="3">
        <f t="shared" si="128"/>
        <v>1</v>
      </c>
      <c r="BA215" s="3">
        <f>IF(ISERROR(LEN(VLOOKUP(A215,Seqs!A:E,2,FALSE))-AL215),"-",LEN(VLOOKUP(A215,Seqs!A:E,2,FALSE))-AL215)</f>
        <v>30</v>
      </c>
      <c r="BB215" s="16">
        <f t="shared" si="129"/>
        <v>27</v>
      </c>
      <c r="BC215" s="9">
        <f t="shared" si="130"/>
        <v>20</v>
      </c>
      <c r="BD215" s="3">
        <f t="shared" si="131"/>
        <v>27</v>
      </c>
      <c r="BE215" s="3">
        <f t="shared" si="132"/>
        <v>50</v>
      </c>
    </row>
    <row r="216" spans="1:59" s="3" customFormat="1" x14ac:dyDescent="0.2">
      <c r="A216" s="3" t="s">
        <v>353</v>
      </c>
      <c r="B216" s="3" t="str">
        <f>LOWER(VLOOKUP(A216,Xtal_Templ!A:B,2,FALSE))</f>
        <v>p2y12_human</v>
      </c>
      <c r="C216" s="3">
        <f>VLOOKUP($A216,'SegEnds_NonXtal_BW#'!$A:$Z,3,FALSE)+D216-50</f>
        <v>40</v>
      </c>
      <c r="D216" s="3">
        <v>62</v>
      </c>
      <c r="E216" s="3">
        <f>IF(ISERROR(VLOOKUP($A216,'SegEnds_NonXtal_BW#'!$A:$Z,4,FALSE)+VLOOKUP($A216,A:AL,4,FALSE)-50),"-",(VLOOKUP($A216,'SegEnds_NonXtal_BW#'!$A:$Z,4,FALSE)+VLOOKUP($A216,A:AL,4,FALSE)-50))</f>
        <v>72</v>
      </c>
      <c r="F216" s="3" t="str">
        <f>IF(ISERROR(VLOOKUP($A216,'SegEnds_NonXtal_BW#'!$A:$Z,5,FALSE)+VLOOKUP($A216,A:AL,7,FALSE)-50),"-",(VLOOKUP($A216,'SegEnds_NonXtal_BW#'!$A:$Z,5,FALSE)+VLOOKUP($A216,A:AL,7,FALSE)-50))</f>
        <v>-</v>
      </c>
      <c r="G216" s="3" t="s">
        <v>23</v>
      </c>
      <c r="H216" s="3" t="str">
        <f>IF(ISERROR(VLOOKUP($A216,'SegEnds_NonXtal_BW#'!$A:$Z,6,FALSE)+VLOOKUP($A216,A:AL,7,FALSE)-50),"-",(VLOOKUP($A216,'SegEnds_NonXtal_BW#'!$A:$Z,6,FALSE)+VLOOKUP($A216,A:AL,7,FALSE)-50))</f>
        <v>-</v>
      </c>
      <c r="I216" s="3">
        <f>VLOOKUP($A216,'SegEnds_NonXtal_BW#'!$A:$Z,7,FALSE)+J216-50</f>
        <v>76</v>
      </c>
      <c r="J216" s="3">
        <v>89</v>
      </c>
      <c r="K216" s="3">
        <f>VLOOKUP($A216,'SegEnds_NonXtal_BW#'!$A:$Z,8,FALSE)+VLOOKUP($A216,A:AL,10,FALSE)-50</f>
        <v>105</v>
      </c>
      <c r="L216" s="3" t="s">
        <v>23</v>
      </c>
      <c r="M216" s="3" t="s">
        <v>23</v>
      </c>
      <c r="N216" s="3" t="s">
        <v>23</v>
      </c>
      <c r="O216" s="3">
        <f>VLOOKUP($A216,'SegEnds_NonXtal_BW#'!$A:$Z,11,FALSE)+VLOOKUP($A216,A:AL,16,FALSE)-50</f>
        <v>109</v>
      </c>
      <c r="P216" s="3">
        <v>141</v>
      </c>
      <c r="Q216" s="3">
        <f>VLOOKUP($A216,'SegEnds_NonXtal_BW#'!$A:$Z,12,FALSE)+VLOOKUP($A216,A:AL,16,FALSE)-50</f>
        <v>147</v>
      </c>
      <c r="R216" s="3">
        <f>IF(ISERROR(VLOOKUP($A216,'SegEnds_NonXtal_BW#'!$A:$Z,13,FALSE)+VLOOKUP($A216,A:AL,19,FALSE)-50),"-",VLOOKUP($A216,'SegEnds_NonXtal_BW#'!$A:$Z,13,FALSE)+VLOOKUP($A216,A:AL,19,FALSE)-50)</f>
        <v>148</v>
      </c>
      <c r="S216" s="3">
        <v>148</v>
      </c>
      <c r="T216" s="100">
        <f>IF(ISERROR(VLOOKUP($A216,'SegEnds_NonXtal_BW#'!$A:$Z,14,FALSE)+VLOOKUP($A216,A:AL,19,FALSE)-50),"-",(VLOOKUP($A216,'SegEnds_NonXtal_BW#'!$A:$Z,14,FALSE)+VLOOKUP($A216,A:AL,19,FALSE)-50))</f>
        <v>155</v>
      </c>
      <c r="U216" s="9">
        <f>IF(ISERROR(VLOOKUP($A216,'SegEnds_NonXtal_BW#'!$A:$Z,15,FALSE)+VLOOKUP($A216,A:AL,22,FALSE)-50),"-",VLOOKUP($A216,'SegEnds_NonXtal_BW#'!$A:$Z,15,FALSE)+VLOOKUP($A216,A:AL,22,FALSE)-50)</f>
        <v>156</v>
      </c>
      <c r="V216" s="3">
        <v>168</v>
      </c>
      <c r="W216" s="3">
        <f>IF(ISERROR(VLOOKUP($A216,'SegEnds_NonXtal_BW#'!$A:$Z,16,FALSE)+VLOOKUP($A216,A:AL,22,FALSE)-50),"-",(VLOOKUP($A216,'SegEnds_NonXtal_BW#'!$A:$Z,16,FALSE)+VLOOKUP($A216,A:AL,22,FALSE)-50))</f>
        <v>182</v>
      </c>
      <c r="X216" s="3">
        <f>IF(ISERROR(VLOOKUP($A216,'SegEnds_NonXtal_BW#'!$A:$Z,17,FALSE)+VLOOKUP($A216,A:AL,25,FALSE)-50),"-",(VLOOKUP($A216,'SegEnds_NonXtal_BW#'!$A:$Z,17,FALSE)+VLOOKUP($A216,A:AL,25,FALSE)-50))</f>
        <v>194</v>
      </c>
      <c r="Y216" s="3">
        <v>194</v>
      </c>
      <c r="Z216" s="3">
        <f t="shared" si="117"/>
        <v>196</v>
      </c>
      <c r="AA216" s="3">
        <f>IF(ISERROR(VLOOKUP($A216,'SegEnds_NonXtal_BW#'!$A:$Z,19,FALSE)+VLOOKUP($A216,A:AL,28,FALSE)-50),"-",(VLOOKUP($A216,'SegEnds_NonXtal_BW#'!$A:$Z,19,FALSE)+VLOOKUP($A216,A:AL,28,FALSE)-50))</f>
        <v>200</v>
      </c>
      <c r="AB216" s="3">
        <v>220</v>
      </c>
      <c r="AC216" s="3">
        <f>IF(ISERROR((VLOOKUP($A216,'SegEnds_NonXtal_BW#'!$A:$Z,20,FALSE)+VLOOKUP($A216,A:AL,28,FALSE)-50)),"-",(VLOOKUP($A216,'SegEnds_NonXtal_BW#'!$A:$Z,20,FALSE)+VLOOKUP($A216,A:AL,28,FALSE)-50))</f>
        <v>242</v>
      </c>
      <c r="AD216" s="3">
        <f>IF(ISERROR(VLOOKUP($A216,'SegEnds_NonXtal_BW#'!$A:$Z,21,FALSE)+VLOOKUP($A216,A:AL,31,FALSE)-50),"-",(VLOOKUP($A216,'SegEnds_NonXtal_BW#'!$A:$Z,21,FALSE)+VLOOKUP($A216,A:AL,31,FALSE)-50))</f>
        <v>249</v>
      </c>
      <c r="AE216" s="3">
        <v>270</v>
      </c>
      <c r="AF216" s="3">
        <f>IF(ISERROR((VLOOKUP($A216,'SegEnds_NonXtal_BW#'!$A:$Z,22,FALSE)+VLOOKUP($A216,A:AL,31,FALSE)-50)),"-",(VLOOKUP($A216,'SegEnds_NonXtal_BW#'!$A:$Z,22,FALSE)+VLOOKUP($A216,A:AL,31,FALSE)-50))</f>
        <v>284</v>
      </c>
      <c r="AG216" s="3">
        <f>IF(ISERROR(VLOOKUP($A216,'SegEnds_NonXtal_BW#'!$A:$Z,23,FALSE)+VLOOKUP($A216,A:AL,34,FALSE)-50),"-",(VLOOKUP($A216,'SegEnds_NonXtal_BW#'!$A:$Z,23,FALSE)+VLOOKUP($A216,A:AL,34,FALSE)-50))</f>
        <v>288</v>
      </c>
      <c r="AH216" s="3">
        <v>314</v>
      </c>
      <c r="AI216" s="3">
        <f>IF(ISERROR((VLOOKUP($A216,'SegEnds_NonXtal_BW#'!$A:$Z,24,FALSE)+VLOOKUP($A216,A:AL,34,FALSE)-50)),"-",(VLOOKUP($A216,'SegEnds_NonXtal_BW#'!$A:$Z,24,FALSE)+VLOOKUP($A216,A:AL,34,FALSE)-50))</f>
        <v>320</v>
      </c>
      <c r="AJ216" s="3">
        <f>IF(ISERROR(VLOOKUP($A216,'SegEnds_NonXtal_BW#'!$A:$Z,25,FALSE)+VLOOKUP($A216,A:AL,37,FALSE)-50),"-",(VLOOKUP($A216,'SegEnds_NonXtal_BW#'!$A:$Z,25,FALSE)+VLOOKUP($A216,A:AL,37,FALSE)-50))</f>
        <v>321</v>
      </c>
      <c r="AK216" s="3">
        <v>324</v>
      </c>
      <c r="AL216" s="3">
        <f>IF(ISERROR((VLOOKUP($A216,'SegEnds_NonXtal_BW#'!$A:$Z,26,FALSE)+VLOOKUP($A216,A:AL,37,FALSE)-50)),"-",(VLOOKUP($A216,'SegEnds_NonXtal_BW#'!$A:$Z,26,FALSE)+VLOOKUP($A216,A:AL,37,FALSE)-50))</f>
        <v>331</v>
      </c>
      <c r="AM216" s="28" t="str">
        <f>VLOOKUP(A216,Classification!A:B,2,FALSE)</f>
        <v>A</v>
      </c>
      <c r="AN216" s="28" t="b">
        <f t="shared" si="133"/>
        <v>1</v>
      </c>
      <c r="AO216" s="3" t="str">
        <f>IF(ISERROR(MATCH(A216,'SegEnds_Xtal_Prot#'!B:B, 0)), "NoXtal", "Xtal")</f>
        <v>NoXtal</v>
      </c>
      <c r="AP216" s="3" t="str">
        <f t="shared" si="118"/>
        <v>-</v>
      </c>
      <c r="AQ216" s="3" t="str">
        <f t="shared" si="119"/>
        <v>-</v>
      </c>
      <c r="AR216" s="3" t="str">
        <f t="shared" si="120"/>
        <v>-</v>
      </c>
      <c r="AS216" s="3" t="str">
        <f t="shared" si="121"/>
        <v>-</v>
      </c>
      <c r="AT216" s="3">
        <f t="shared" si="122"/>
        <v>1</v>
      </c>
      <c r="AU216" s="3">
        <f t="shared" si="123"/>
        <v>1</v>
      </c>
      <c r="AV216" s="3">
        <f t="shared" si="124"/>
        <v>12</v>
      </c>
      <c r="AW216" s="3">
        <f t="shared" si="125"/>
        <v>4</v>
      </c>
      <c r="AX216" s="3">
        <f t="shared" si="126"/>
        <v>7</v>
      </c>
      <c r="AY216" s="3">
        <f t="shared" si="127"/>
        <v>4</v>
      </c>
      <c r="AZ216" s="3">
        <f t="shared" si="128"/>
        <v>1</v>
      </c>
      <c r="BA216" s="3">
        <f>IF(ISERROR(LEN(VLOOKUP(A216,Seqs!A:E,2,FALSE))-AL216),"-",LEN(VLOOKUP(A216,Seqs!A:E,2,FALSE))-AL216)</f>
        <v>23</v>
      </c>
      <c r="BB216" s="16">
        <f t="shared" si="129"/>
        <v>27</v>
      </c>
      <c r="BC216" s="9">
        <f t="shared" si="130"/>
        <v>20</v>
      </c>
      <c r="BD216" s="3">
        <f t="shared" si="131"/>
        <v>27</v>
      </c>
      <c r="BE216" s="3">
        <f t="shared" si="132"/>
        <v>50</v>
      </c>
      <c r="BF216" s="3">
        <f>AH216-AE216</f>
        <v>44</v>
      </c>
    </row>
    <row r="217" spans="1:59" s="3" customFormat="1" x14ac:dyDescent="0.2">
      <c r="A217" s="3" t="s">
        <v>354</v>
      </c>
      <c r="B217" s="3" t="str">
        <f>LOWER(VLOOKUP(A217,Xtal_Templ!A:B,2,FALSE))</f>
        <v>p2y12_human</v>
      </c>
      <c r="C217" s="3">
        <f>VLOOKUP($A217,'SegEnds_NonXtal_BW#'!$A:$Z,3,FALSE)+D217-50</f>
        <v>18</v>
      </c>
      <c r="D217" s="3">
        <v>40</v>
      </c>
      <c r="E217" s="3">
        <f>IF(ISERROR(VLOOKUP($A217,'SegEnds_NonXtal_BW#'!$A:$Z,4,FALSE)+VLOOKUP($A217,A:AL,4,FALSE)-50),"-",(VLOOKUP($A217,'SegEnds_NonXtal_BW#'!$A:$Z,4,FALSE)+VLOOKUP($A217,A:AL,4,FALSE)-50))</f>
        <v>50</v>
      </c>
      <c r="F217" s="3" t="str">
        <f>IF(ISERROR(VLOOKUP($A217,'SegEnds_NonXtal_BW#'!$A:$Z,5,FALSE)+VLOOKUP($A217,A:AL,7,FALSE)-50),"-",(VLOOKUP($A217,'SegEnds_NonXtal_BW#'!$A:$Z,5,FALSE)+VLOOKUP($A217,A:AL,7,FALSE)-50))</f>
        <v>-</v>
      </c>
      <c r="G217" s="3" t="s">
        <v>23</v>
      </c>
      <c r="H217" s="3" t="str">
        <f>IF(ISERROR(VLOOKUP($A217,'SegEnds_NonXtal_BW#'!$A:$Z,6,FALSE)+VLOOKUP($A217,A:AL,7,FALSE)-50),"-",(VLOOKUP($A217,'SegEnds_NonXtal_BW#'!$A:$Z,6,FALSE)+VLOOKUP($A217,A:AL,7,FALSE)-50))</f>
        <v>-</v>
      </c>
      <c r="I217" s="3">
        <f>VLOOKUP($A217,'SegEnds_NonXtal_BW#'!$A:$Z,7,FALSE)+J217-50</f>
        <v>54</v>
      </c>
      <c r="J217" s="3">
        <v>67</v>
      </c>
      <c r="K217" s="3">
        <f>VLOOKUP($A217,'SegEnds_NonXtal_BW#'!$A:$Z,8,FALSE)+VLOOKUP($A217,A:AL,10,FALSE)-50</f>
        <v>83</v>
      </c>
      <c r="L217" s="3" t="str">
        <f>IF(ISERROR(VLOOKUP($A217,'SegEnds_NonXtal_BW#'!$A:$Z,9,FALSE)+VLOOKUP($A217,A:AL,13,FALSE)-50),"-",(VLOOKUP($A217,'SegEnds_NonXtal_BW#'!$A:$Z,9,FALSE)+VLOOKUP($A217,A:AL,13,FALSE)-50))</f>
        <v>-</v>
      </c>
      <c r="M217" s="3" t="s">
        <v>23</v>
      </c>
      <c r="N217" s="3" t="str">
        <f>IF(ISERROR(VLOOKUP($A217,'SegEnds_NonXtal_BW#'!$A:$Z,10,FALSE)+VLOOKUP($A217,A:AL,13,FALSE)-50),"-",(VLOOKUP($A217,'SegEnds_NonXtal_BW#'!$A:$Z,10,FALSE)+VLOOKUP($A217,A:AL,13,FALSE)-50))</f>
        <v>-</v>
      </c>
      <c r="O217" s="3">
        <f>VLOOKUP($A217,'SegEnds_NonXtal_BW#'!$A:$Z,11,FALSE)+VLOOKUP($A217,A:AL,16,FALSE)-50</f>
        <v>87</v>
      </c>
      <c r="P217" s="3">
        <v>119</v>
      </c>
      <c r="Q217" s="3">
        <f>VLOOKUP($A217,'SegEnds_NonXtal_BW#'!$A:$Z,12,FALSE)+VLOOKUP($A217,A:AL,16,FALSE)-50</f>
        <v>125</v>
      </c>
      <c r="R217" s="3">
        <f>IF(ISERROR(VLOOKUP($A217,'SegEnds_NonXtal_BW#'!$A:$Z,13,FALSE)+VLOOKUP($A217,A:AL,19,FALSE)-50),"-",VLOOKUP($A217,'SegEnds_NonXtal_BW#'!$A:$Z,13,FALSE)+VLOOKUP($A217,A:AL,19,FALSE)-50)</f>
        <v>126</v>
      </c>
      <c r="S217" s="3">
        <v>126</v>
      </c>
      <c r="T217" s="100">
        <f>IF(ISERROR(VLOOKUP($A217,'SegEnds_NonXtal_BW#'!$A:$Z,14,FALSE)+VLOOKUP($A217,A:AL,19,FALSE)-50),"-",(VLOOKUP($A217,'SegEnds_NonXtal_BW#'!$A:$Z,14,FALSE)+VLOOKUP($A217,A:AL,19,FALSE)-50))</f>
        <v>133</v>
      </c>
      <c r="U217" s="9">
        <f>IF(ISERROR(VLOOKUP($A217,'SegEnds_NonXtal_BW#'!$A:$Z,15,FALSE)+VLOOKUP($A217,A:AL,22,FALSE)-50),"-",VLOOKUP($A217,'SegEnds_NonXtal_BW#'!$A:$Z,15,FALSE)+VLOOKUP($A217,A:AL,22,FALSE)-50)</f>
        <v>134</v>
      </c>
      <c r="V217" s="3">
        <v>146</v>
      </c>
      <c r="W217" s="3">
        <f>IF(ISERROR(VLOOKUP($A217,'SegEnds_NonXtal_BW#'!$A:$Z,16,FALSE)+VLOOKUP($A217,A:AL,22,FALSE)-50),"-",(VLOOKUP($A217,'SegEnds_NonXtal_BW#'!$A:$Z,16,FALSE)+VLOOKUP($A217,A:AL,22,FALSE)-50))</f>
        <v>160</v>
      </c>
      <c r="X217" s="3">
        <f>IF(ISERROR(VLOOKUP($A217,'SegEnds_NonXtal_BW#'!$A:$Z,17,FALSE)+VLOOKUP($A217,A:AL,25,FALSE)-50),"-",(VLOOKUP($A217,'SegEnds_NonXtal_BW#'!$A:$Z,17,FALSE)+VLOOKUP($A217,A:AL,25,FALSE)-50))</f>
        <v>172</v>
      </c>
      <c r="Y217" s="3">
        <v>172</v>
      </c>
      <c r="Z217" s="3">
        <f t="shared" si="117"/>
        <v>174</v>
      </c>
      <c r="AA217" s="3">
        <f>IF(ISERROR(VLOOKUP($A217,'SegEnds_NonXtal_BW#'!$A:$Z,19,FALSE)+VLOOKUP($A217,A:AL,28,FALSE)-50),"-",(VLOOKUP($A217,'SegEnds_NonXtal_BW#'!$A:$Z,19,FALSE)+VLOOKUP($A217,A:AL,28,FALSE)-50))</f>
        <v>178</v>
      </c>
      <c r="AB217" s="3">
        <v>198</v>
      </c>
      <c r="AC217" s="3">
        <f>IF(ISERROR((VLOOKUP($A217,'SegEnds_NonXtal_BW#'!$A:$Z,20,FALSE)+VLOOKUP($A217,A:AL,28,FALSE)-50)),"-",(VLOOKUP($A217,'SegEnds_NonXtal_BW#'!$A:$Z,20,FALSE)+VLOOKUP($A217,A:AL,28,FALSE)-50))</f>
        <v>220</v>
      </c>
      <c r="AD217" s="3">
        <f>IF(ISERROR(VLOOKUP($A217,'SegEnds_NonXtal_BW#'!$A:$Z,21,FALSE)+VLOOKUP($A217,A:AL,31,FALSE)-50),"-",(VLOOKUP($A217,'SegEnds_NonXtal_BW#'!$A:$Z,21,FALSE)+VLOOKUP($A217,A:AL,31,FALSE)-50))</f>
        <v>227</v>
      </c>
      <c r="AE217" s="3">
        <v>248</v>
      </c>
      <c r="AF217" s="3">
        <f>IF(ISERROR((VLOOKUP($A217,'SegEnds_NonXtal_BW#'!$A:$Z,22,FALSE)+VLOOKUP($A217,A:AL,31,FALSE)-50)),"-",(VLOOKUP($A217,'SegEnds_NonXtal_BW#'!$A:$Z,22,FALSE)+VLOOKUP($A217,A:AL,31,FALSE)-50))</f>
        <v>262</v>
      </c>
      <c r="AG217" s="3">
        <f>IF(ISERROR(VLOOKUP($A217,'SegEnds_NonXtal_BW#'!$A:$Z,23,FALSE)+VLOOKUP($A217,A:AL,34,FALSE)-50),"-",(VLOOKUP($A217,'SegEnds_NonXtal_BW#'!$A:$Z,23,FALSE)+VLOOKUP($A217,A:AL,34,FALSE)-50))</f>
        <v>266</v>
      </c>
      <c r="AH217" s="3">
        <v>292</v>
      </c>
      <c r="AI217" s="3">
        <f>IF(ISERROR((VLOOKUP($A217,'SegEnds_NonXtal_BW#'!$A:$Z,24,FALSE)+VLOOKUP($A217,A:AL,34,FALSE)-50)),"-",(VLOOKUP($A217,'SegEnds_NonXtal_BW#'!$A:$Z,24,FALSE)+VLOOKUP($A217,A:AL,34,FALSE)-50))</f>
        <v>298</v>
      </c>
      <c r="AJ217" s="3">
        <f>IF(ISERROR(VLOOKUP($A217,'SegEnds_NonXtal_BW#'!$A:$Z,25,FALSE)+VLOOKUP($A217,A:AL,37,FALSE)-50),"-",(VLOOKUP($A217,'SegEnds_NonXtal_BW#'!$A:$Z,25,FALSE)+VLOOKUP($A217,A:AL,37,FALSE)-50))</f>
        <v>299</v>
      </c>
      <c r="AK217" s="3">
        <v>302</v>
      </c>
      <c r="AL217" s="3">
        <f>IF(ISERROR((VLOOKUP($A217,'SegEnds_NonXtal_BW#'!$A:$Z,26,FALSE)+VLOOKUP($A217,A:AL,37,FALSE)-50)),"-",(VLOOKUP($A217,'SegEnds_NonXtal_BW#'!$A:$Z,26,FALSE)+VLOOKUP($A217,A:AL,37,FALSE)-50))</f>
        <v>309</v>
      </c>
      <c r="AM217" s="28" t="str">
        <f>VLOOKUP(A217,Classification!A:B,2,FALSE)</f>
        <v>A</v>
      </c>
      <c r="AN217" s="28" t="b">
        <f t="shared" si="133"/>
        <v>1</v>
      </c>
      <c r="AO217" s="3" t="str">
        <f>IF(ISERROR(MATCH(A217,'SegEnds_Xtal_Prot#'!B:B, 0)), "NoXtal", "Xtal")</f>
        <v>NoXtal</v>
      </c>
      <c r="AP217" s="3" t="str">
        <f t="shared" si="118"/>
        <v>-</v>
      </c>
      <c r="AQ217" s="3" t="str">
        <f t="shared" si="119"/>
        <v>-</v>
      </c>
      <c r="AR217" s="3" t="str">
        <f t="shared" si="120"/>
        <v>-</v>
      </c>
      <c r="AS217" s="3" t="str">
        <f t="shared" si="121"/>
        <v>-</v>
      </c>
      <c r="AT217" s="3">
        <f t="shared" si="122"/>
        <v>1</v>
      </c>
      <c r="AU217" s="3">
        <f t="shared" si="123"/>
        <v>1</v>
      </c>
      <c r="AV217" s="3">
        <f t="shared" si="124"/>
        <v>12</v>
      </c>
      <c r="AW217" s="3">
        <f t="shared" si="125"/>
        <v>4</v>
      </c>
      <c r="AX217" s="3">
        <f t="shared" si="126"/>
        <v>7</v>
      </c>
      <c r="AY217" s="3">
        <f t="shared" si="127"/>
        <v>4</v>
      </c>
      <c r="AZ217" s="3">
        <f t="shared" si="128"/>
        <v>1</v>
      </c>
      <c r="BA217" s="3">
        <f>IF(ISERROR(LEN(VLOOKUP(A217,Seqs!A:E,2,FALSE))-AL217),"-",LEN(VLOOKUP(A217,Seqs!A:E,2,FALSE))-AL217)</f>
        <v>29</v>
      </c>
      <c r="BB217" s="16">
        <f t="shared" si="129"/>
        <v>27</v>
      </c>
      <c r="BC217" s="9">
        <f t="shared" si="130"/>
        <v>20</v>
      </c>
      <c r="BD217" s="3">
        <f t="shared" si="131"/>
        <v>27</v>
      </c>
      <c r="BE217" s="3">
        <f t="shared" si="132"/>
        <v>50</v>
      </c>
      <c r="BF217" s="3">
        <f>AH217-AE217</f>
        <v>44</v>
      </c>
    </row>
    <row r="218" spans="1:59" s="3" customFormat="1" x14ac:dyDescent="0.2">
      <c r="A218" s="3" t="s">
        <v>355</v>
      </c>
      <c r="B218" s="3" t="str">
        <f>LOWER(VLOOKUP(A218,Xtal_Templ!A:B,2,FALSE))</f>
        <v>par1_human</v>
      </c>
      <c r="C218" s="3">
        <f>VLOOKUP($A218,'SegEnds_NonXtal_BW#'!$A:$Z,3,FALSE)+D218-50</f>
        <v>99</v>
      </c>
      <c r="D218" s="3">
        <v>120</v>
      </c>
      <c r="E218" s="3">
        <f>IF(ISERROR(VLOOKUP($A218,'SegEnds_NonXtal_BW#'!$A:$Z,4,FALSE)+VLOOKUP($A218,A:AL,4,FALSE)-50),"-",(VLOOKUP($A218,'SegEnds_NonXtal_BW#'!$A:$Z,4,FALSE)+VLOOKUP($A218,A:AL,4,FALSE)-50))</f>
        <v>130</v>
      </c>
      <c r="F218" s="3">
        <f>G218-2</f>
        <v>131</v>
      </c>
      <c r="G218" s="3">
        <v>133</v>
      </c>
      <c r="H218" s="3">
        <f>G218+1</f>
        <v>134</v>
      </c>
      <c r="I218" s="3">
        <f>H218+1</f>
        <v>135</v>
      </c>
      <c r="J218" s="3">
        <v>148</v>
      </c>
      <c r="K218" s="3">
        <f>VLOOKUP($A218,'SegEnds_NonXtal_BW#'!$A:$Z,8,FALSE)+VLOOKUP($A218,A:AL,10,FALSE)-50</f>
        <v>164</v>
      </c>
      <c r="L218" s="3">
        <f>M218-1</f>
        <v>167</v>
      </c>
      <c r="M218" s="3">
        <v>168</v>
      </c>
      <c r="N218" s="3">
        <f>M218+2</f>
        <v>170</v>
      </c>
      <c r="O218" s="3">
        <f>N218+1</f>
        <v>171</v>
      </c>
      <c r="P218" s="3">
        <v>200</v>
      </c>
      <c r="Q218" s="3">
        <f>VLOOKUP($A218,'SegEnds_NonXtal_BW#'!$A:$Z,12,FALSE)+VLOOKUP($A218,A:AL,16,FALSE)-50</f>
        <v>206</v>
      </c>
      <c r="R218" s="3">
        <f>IF(ISERROR(VLOOKUP($A218,'SegEnds_NonXtal_BW#'!$A:$Z,13,FALSE)+VLOOKUP($A218,A:AL,19,FALSE)-50),"-",VLOOKUP($A218,'SegEnds_NonXtal_BW#'!$A:$Z,13,FALSE)+VLOOKUP($A218,A:AL,19,FALSE)-50)</f>
        <v>207</v>
      </c>
      <c r="S218" s="3">
        <v>207</v>
      </c>
      <c r="T218" s="100">
        <f>IF(ISERROR(VLOOKUP($A218,'SegEnds_NonXtal_BW#'!$A:$Z,14,FALSE)+VLOOKUP($A218,A:AL,19,FALSE)-50),"-",(VLOOKUP($A218,'SegEnds_NonXtal_BW#'!$A:$Z,14,FALSE)+VLOOKUP($A218,A:AL,19,FALSE)-50))</f>
        <v>214</v>
      </c>
      <c r="U218" s="9">
        <f>IF(ISERROR(VLOOKUP($A218,'SegEnds_NonXtal_BW#'!$A:$Z,15,FALSE)+VLOOKUP($A218,A:AL,22,FALSE)-50),"-",VLOOKUP($A218,'SegEnds_NonXtal_BW#'!$A:$Z,15,FALSE)+VLOOKUP($A218,A:AL,22,FALSE)-50)</f>
        <v>215</v>
      </c>
      <c r="V218" s="3">
        <v>227</v>
      </c>
      <c r="W218" s="3">
        <f>IF(ISERROR(VLOOKUP($A218,'SegEnds_NonXtal_BW#'!$A:$Z,16,FALSE)+VLOOKUP($A218,A:AL,22,FALSE)-50),"-",(VLOOKUP($A218,'SegEnds_NonXtal_BW#'!$A:$Z,16,FALSE)+VLOOKUP($A218,A:AL,22,FALSE)-50))</f>
        <v>240</v>
      </c>
      <c r="X218" s="3">
        <f>IF(ISERROR(VLOOKUP($A218,'SegEnds_NonXtal_BW#'!$A:$Z,17,FALSE)+VLOOKUP($A218,A:AL,25,FALSE)-50),"-",(VLOOKUP($A218,'SegEnds_NonXtal_BW#'!$A:$Z,17,FALSE)+VLOOKUP($A218,A:AL,25,FALSE)-50))</f>
        <v>254</v>
      </c>
      <c r="Y218" s="3">
        <v>254</v>
      </c>
      <c r="Z218" s="3">
        <f t="shared" si="117"/>
        <v>256</v>
      </c>
      <c r="AA218" s="3">
        <f>IF(ISERROR(VLOOKUP($A218,'SegEnds_NonXtal_BW#'!$A:$Z,19,FALSE)+VLOOKUP($A218,A:AL,28,FALSE)-50),"-",(VLOOKUP($A218,'SegEnds_NonXtal_BW#'!$A:$Z,19,FALSE)+VLOOKUP($A218,A:AL,28,FALSE)-50))</f>
        <v>264</v>
      </c>
      <c r="AB218" s="3">
        <v>282</v>
      </c>
      <c r="AC218" s="3">
        <f>IF(ISERROR((VLOOKUP($A218,'SegEnds_NonXtal_BW#'!$A:$Z,20,FALSE)+VLOOKUP($A218,A:AL,28,FALSE)-50)),"-",(VLOOKUP($A218,'SegEnds_NonXtal_BW#'!$A:$Z,20,FALSE)+VLOOKUP($A218,A:AL,28,FALSE)-50))</f>
        <v>299</v>
      </c>
      <c r="AD218" s="3">
        <f>IF(ISERROR(VLOOKUP($A218,'SegEnds_NonXtal_BW#'!$A:$Z,21,FALSE)+VLOOKUP($A218,A:AL,31,FALSE)-50),"-",(VLOOKUP($A218,'SegEnds_NonXtal_BW#'!$A:$Z,21,FALSE)+VLOOKUP($A218,A:AL,31,FALSE)-50))</f>
        <v>304</v>
      </c>
      <c r="AE218" s="3">
        <v>328</v>
      </c>
      <c r="AF218" s="3">
        <f>IF(ISERROR((VLOOKUP($A218,'SegEnds_NonXtal_BW#'!$A:$Z,22,FALSE)+VLOOKUP($A218,A:AL,31,FALSE)-50)),"-",(VLOOKUP($A218,'SegEnds_NonXtal_BW#'!$A:$Z,22,FALSE)+VLOOKUP($A218,A:AL,31,FALSE)-50))</f>
        <v>340</v>
      </c>
      <c r="AG218" s="3">
        <f>IF(ISERROR(VLOOKUP($A218,'SegEnds_NonXtal_BW#'!$A:$Z,23,FALSE)+VLOOKUP($A218,A:AL,34,FALSE)-50),"-",(VLOOKUP($A218,'SegEnds_NonXtal_BW#'!$A:$Z,23,FALSE)+VLOOKUP($A218,A:AL,34,FALSE)-50))</f>
        <v>346</v>
      </c>
      <c r="AH218" s="3">
        <v>368</v>
      </c>
      <c r="AI218" s="3">
        <f>IF(ISERROR((VLOOKUP($A218,'SegEnds_NonXtal_BW#'!$A:$Z,24,FALSE)+VLOOKUP($A218,A:AL,34,FALSE)-50)),"-",(VLOOKUP($A218,'SegEnds_NonXtal_BW#'!$A:$Z,24,FALSE)+VLOOKUP($A218,A:AL,34,FALSE)-50))</f>
        <v>374</v>
      </c>
      <c r="AJ218" s="3">
        <f>IF(ISERROR(VLOOKUP($A218,'SegEnds_NonXtal_BW#'!$A:$Z,25,FALSE)+VLOOKUP($A218,A:AL,37,FALSE)-50),"-",(VLOOKUP($A218,'SegEnds_NonXtal_BW#'!$A:$Z,25,FALSE)+VLOOKUP($A218,A:AL,37,FALSE)-50))</f>
        <v>375</v>
      </c>
      <c r="AK218" s="3">
        <v>378</v>
      </c>
      <c r="AL218" s="3">
        <f>IF(ISERROR((VLOOKUP($A218,'SegEnds_NonXtal_BW#'!$A:$Z,26,FALSE)+VLOOKUP($A218,A:AL,37,FALSE)-50)),"-",(VLOOKUP($A218,'SegEnds_NonXtal_BW#'!$A:$Z,26,FALSE)+VLOOKUP($A218,A:AL,37,FALSE)-50))</f>
        <v>389</v>
      </c>
      <c r="AM218" s="28" t="str">
        <f>VLOOKUP(A218,Classification!A:B,2,FALSE)</f>
        <v>A</v>
      </c>
      <c r="AN218" s="28" t="b">
        <f t="shared" si="133"/>
        <v>1</v>
      </c>
      <c r="AO218" s="3" t="str">
        <f>IF(ISERROR(MATCH(A218,'SegEnds_Xtal_Prot#'!B:B, 0)), "NoXtal", "Xtal")</f>
        <v>Xtal</v>
      </c>
      <c r="AP218" s="3">
        <f t="shared" si="118"/>
        <v>1</v>
      </c>
      <c r="AQ218" s="3">
        <f t="shared" si="119"/>
        <v>1</v>
      </c>
      <c r="AR218" s="3">
        <f t="shared" si="120"/>
        <v>3</v>
      </c>
      <c r="AS218" s="3">
        <f t="shared" si="121"/>
        <v>1</v>
      </c>
      <c r="AT218" s="3">
        <f t="shared" si="122"/>
        <v>1</v>
      </c>
      <c r="AU218" s="3">
        <f t="shared" si="123"/>
        <v>1</v>
      </c>
      <c r="AV218" s="3">
        <f t="shared" si="124"/>
        <v>14</v>
      </c>
      <c r="AW218" s="3">
        <f t="shared" si="125"/>
        <v>8</v>
      </c>
      <c r="AX218" s="3">
        <f t="shared" si="126"/>
        <v>5</v>
      </c>
      <c r="AY218" s="3">
        <f t="shared" si="127"/>
        <v>6</v>
      </c>
      <c r="AZ218" s="3">
        <f t="shared" si="128"/>
        <v>1</v>
      </c>
      <c r="BA218" s="3">
        <f>IF(ISERROR(LEN(VLOOKUP(A218,Seqs!A:E,2,FALSE))-AL218),"-",LEN(VLOOKUP(A218,Seqs!A:E,2,FALSE))-AL218)</f>
        <v>36</v>
      </c>
      <c r="BB218" s="16">
        <f t="shared" si="129"/>
        <v>28</v>
      </c>
      <c r="BC218" s="9">
        <f t="shared" si="130"/>
        <v>20</v>
      </c>
      <c r="BD218" s="3">
        <f t="shared" si="131"/>
        <v>28</v>
      </c>
      <c r="BE218" s="3">
        <f t="shared" si="132"/>
        <v>46</v>
      </c>
    </row>
    <row r="219" spans="1:59" s="3" customFormat="1" x14ac:dyDescent="0.2">
      <c r="A219" s="3" t="s">
        <v>357</v>
      </c>
      <c r="B219" s="3" t="str">
        <f>LOWER(VLOOKUP(A219,Xtal_Templ!A:B,2,FALSE))</f>
        <v>par2_human</v>
      </c>
      <c r="C219" s="3">
        <f>VLOOKUP($A219,'SegEnds_NonXtal_BW#'!$A:$Z,3,FALSE)+D219-50</f>
        <v>90</v>
      </c>
      <c r="D219" s="3">
        <v>112</v>
      </c>
      <c r="E219" s="3">
        <f>IF(ISERROR(VLOOKUP($A219,'SegEnds_NonXtal_BW#'!$A:$Z,4,FALSE)+VLOOKUP($A219,A:AL,4,FALSE)-50),"-",(VLOOKUP($A219,'SegEnds_NonXtal_BW#'!$A:$Z,4,FALSE)+VLOOKUP($A219,A:AL,4,FALSE)-50))</f>
        <v>122</v>
      </c>
      <c r="F219" s="3" t="str">
        <f>IF(ISERROR(VLOOKUP($A219,'SegEnds_NonXtal_BW#'!$A:$Z,5,FALSE)+VLOOKUP($A219,A:AL,7,FALSE)-50),"-",(VLOOKUP($A219,'SegEnds_NonXtal_BW#'!$A:$Z,5,FALSE)+VLOOKUP($A219,A:AL,7,FALSE)-50))</f>
        <v>-</v>
      </c>
      <c r="G219" s="3" t="s">
        <v>23</v>
      </c>
      <c r="H219" s="3" t="str">
        <f>IF(ISERROR(VLOOKUP($A219,'SegEnds_NonXtal_BW#'!$A:$Z,6,FALSE)+VLOOKUP($A219,A:AL,7,FALSE)-50),"-",(VLOOKUP($A219,'SegEnds_NonXtal_BW#'!$A:$Z,6,FALSE)+VLOOKUP($A219,A:AL,7,FALSE)-50))</f>
        <v>-</v>
      </c>
      <c r="I219" s="3">
        <f>VLOOKUP($A219,'SegEnds_NonXtal_BW#'!$A:$Z,7,FALSE)+J219-50</f>
        <v>126</v>
      </c>
      <c r="J219" s="3">
        <v>139</v>
      </c>
      <c r="K219" s="3">
        <f>VLOOKUP($A219,'SegEnds_NonXtal_BW#'!$A:$Z,8,FALSE)+VLOOKUP($A219,A:AL,10,FALSE)-50</f>
        <v>155</v>
      </c>
      <c r="L219" s="3">
        <f>M219-1</f>
        <v>158</v>
      </c>
      <c r="M219" s="3">
        <v>159</v>
      </c>
      <c r="N219" s="3">
        <f>M219+2</f>
        <v>161</v>
      </c>
      <c r="O219" s="3">
        <f>N219+1</f>
        <v>162</v>
      </c>
      <c r="P219" s="3">
        <v>191</v>
      </c>
      <c r="Q219" s="3">
        <f>VLOOKUP($A219,'SegEnds_NonXtal_BW#'!$A:$Z,12,FALSE)+VLOOKUP($A219,A:AL,16,FALSE)-50</f>
        <v>197</v>
      </c>
      <c r="R219" s="3">
        <f>IF(ISERROR(VLOOKUP($A219,'SegEnds_NonXtal_BW#'!$A:$Z,13,FALSE)+VLOOKUP($A219,A:AL,19,FALSE)-50),"-",VLOOKUP($A219,'SegEnds_NonXtal_BW#'!$A:$Z,13,FALSE)+VLOOKUP($A219,A:AL,19,FALSE)-50)</f>
        <v>198</v>
      </c>
      <c r="S219" s="3">
        <v>198</v>
      </c>
      <c r="T219" s="100">
        <f>IF(ISERROR(VLOOKUP($A219,'SegEnds_NonXtal_BW#'!$A:$Z,14,FALSE)+VLOOKUP($A219,A:AL,19,FALSE)-50),"-",(VLOOKUP($A219,'SegEnds_NonXtal_BW#'!$A:$Z,14,FALSE)+VLOOKUP($A219,A:AL,19,FALSE)-50))</f>
        <v>205</v>
      </c>
      <c r="U219" s="9">
        <f>IF(ISERROR(VLOOKUP($A219,'SegEnds_NonXtal_BW#'!$A:$Z,15,FALSE)+VLOOKUP($A219,A:AL,22,FALSE)-50),"-",VLOOKUP($A219,'SegEnds_NonXtal_BW#'!$A:$Z,15,FALSE)+VLOOKUP($A219,A:AL,22,FALSE)-50)</f>
        <v>206</v>
      </c>
      <c r="V219" s="3">
        <v>218</v>
      </c>
      <c r="W219" s="3">
        <f>IF(ISERROR(VLOOKUP($A219,'SegEnds_NonXtal_BW#'!$A:$Z,16,FALSE)+VLOOKUP($A219,A:AL,22,FALSE)-50),"-",(VLOOKUP($A219,'SegEnds_NonXtal_BW#'!$A:$Z,16,FALSE)+VLOOKUP($A219,A:AL,22,FALSE)-50))</f>
        <v>230</v>
      </c>
      <c r="X219" s="3">
        <f>IF(ISERROR(VLOOKUP($A219,'SegEnds_NonXtal_BW#'!$A:$Z,17,FALSE)+VLOOKUP($A219,A:AL,25,FALSE)-50),"-",(VLOOKUP($A219,'SegEnds_NonXtal_BW#'!$A:$Z,17,FALSE)+VLOOKUP($A219,A:AL,25,FALSE)-50))</f>
        <v>252</v>
      </c>
      <c r="Y219" s="3">
        <v>252</v>
      </c>
      <c r="Z219" s="3">
        <f t="shared" si="117"/>
        <v>254</v>
      </c>
      <c r="AA219" s="3">
        <f>IF(ISERROR(VLOOKUP($A219,'SegEnds_NonXtal_BW#'!$A:$Z,19,FALSE)+VLOOKUP($A219,A:AL,28,FALSE)-50),"-",(VLOOKUP($A219,'SegEnds_NonXtal_BW#'!$A:$Z,19,FALSE)+VLOOKUP($A219,A:AL,28,FALSE)-50))</f>
        <v>259</v>
      </c>
      <c r="AB219" s="3">
        <v>274</v>
      </c>
      <c r="AC219" s="3">
        <f>IF(ISERROR((VLOOKUP($A219,'SegEnds_NonXtal_BW#'!$A:$Z,20,FALSE)+VLOOKUP($A219,A:AL,28,FALSE)-50)),"-",(VLOOKUP($A219,'SegEnds_NonXtal_BW#'!$A:$Z,20,FALSE)+VLOOKUP($A219,A:AL,28,FALSE)-50))</f>
        <v>292</v>
      </c>
      <c r="AD219" s="3">
        <f>IF(ISERROR(VLOOKUP($A219,'SegEnds_NonXtal_BW#'!$A:$Z,21,FALSE)+VLOOKUP($A219,A:AL,31,FALSE)-50),"-",(VLOOKUP($A219,'SegEnds_NonXtal_BW#'!$A:$Z,21,FALSE)+VLOOKUP($A219,A:AL,31,FALSE)-50))</f>
        <v>296</v>
      </c>
      <c r="AE219" s="3">
        <v>316</v>
      </c>
      <c r="AF219" s="3">
        <f>IF(ISERROR((VLOOKUP($A219,'SegEnds_NonXtal_BW#'!$A:$Z,22,FALSE)+VLOOKUP($A219,A:AL,31,FALSE)-50)),"-",(VLOOKUP($A219,'SegEnds_NonXtal_BW#'!$A:$Z,22,FALSE)+VLOOKUP($A219,A:AL,31,FALSE)-50))</f>
        <v>328</v>
      </c>
      <c r="AG219" s="3">
        <f>IF(ISERROR(VLOOKUP($A219,'SegEnds_NonXtal_BW#'!$A:$Z,23,FALSE)+VLOOKUP($A219,A:AL,34,FALSE)-50),"-",(VLOOKUP($A219,'SegEnds_NonXtal_BW#'!$A:$Z,23,FALSE)+VLOOKUP($A219,A:AL,34,FALSE)-50))</f>
        <v>336</v>
      </c>
      <c r="AH219" s="3">
        <v>355</v>
      </c>
      <c r="AI219" s="3">
        <f>IF(ISERROR((VLOOKUP($A219,'SegEnds_NonXtal_BW#'!$A:$Z,24,FALSE)+VLOOKUP($A219,A:AL,34,FALSE)-50)),"-",(VLOOKUP($A219,'SegEnds_NonXtal_BW#'!$A:$Z,24,FALSE)+VLOOKUP($A219,A:AL,34,FALSE)-50))</f>
        <v>361</v>
      </c>
      <c r="AJ219" s="3" t="s">
        <v>23</v>
      </c>
      <c r="AK219" s="3" t="s">
        <v>23</v>
      </c>
      <c r="AL219" s="3" t="s">
        <v>23</v>
      </c>
      <c r="AM219" s="28" t="str">
        <f>VLOOKUP(A219,Classification!A:B,2,FALSE)</f>
        <v>A</v>
      </c>
      <c r="AN219" s="28" t="b">
        <f t="shared" si="133"/>
        <v>1</v>
      </c>
      <c r="AO219" s="3" t="str">
        <f>IF(ISERROR(MATCH(A219,'SegEnds_Xtal_Prot#'!B:B, 0)), "NoXtal", "Xtal")</f>
        <v>NoXtal</v>
      </c>
      <c r="AP219" s="3" t="str">
        <f t="shared" si="118"/>
        <v>-</v>
      </c>
      <c r="AQ219" s="3" t="str">
        <f t="shared" si="119"/>
        <v>-</v>
      </c>
      <c r="AR219" s="3">
        <f t="shared" si="120"/>
        <v>3</v>
      </c>
      <c r="AS219" s="3">
        <f t="shared" si="121"/>
        <v>1</v>
      </c>
      <c r="AT219" s="3">
        <f t="shared" si="122"/>
        <v>1</v>
      </c>
      <c r="AU219" s="3">
        <f t="shared" si="123"/>
        <v>1</v>
      </c>
      <c r="AV219" s="3">
        <f t="shared" si="124"/>
        <v>22</v>
      </c>
      <c r="AW219" s="3">
        <f t="shared" si="125"/>
        <v>5</v>
      </c>
      <c r="AX219" s="3">
        <f t="shared" si="126"/>
        <v>4</v>
      </c>
      <c r="AY219" s="3">
        <f t="shared" si="127"/>
        <v>8</v>
      </c>
      <c r="AZ219" s="3" t="str">
        <f t="shared" si="128"/>
        <v>-</v>
      </c>
      <c r="BA219" s="3" t="str">
        <f>IF(ISERROR(LEN(VLOOKUP(A219,Seqs!A:E,2,FALSE))-AL219),"-",LEN(VLOOKUP(A219,Seqs!A:E,2,FALSE))-AL219)</f>
        <v>-</v>
      </c>
      <c r="BB219" s="16">
        <f t="shared" si="129"/>
        <v>27</v>
      </c>
      <c r="BC219" s="9">
        <f t="shared" si="130"/>
        <v>20</v>
      </c>
      <c r="BD219" s="3">
        <f t="shared" si="131"/>
        <v>27</v>
      </c>
      <c r="BE219" s="3">
        <f t="shared" si="132"/>
        <v>42</v>
      </c>
      <c r="BF219" s="3">
        <f>AH219-AE219</f>
        <v>39</v>
      </c>
      <c r="BG219" s="3" t="s">
        <v>1313</v>
      </c>
    </row>
    <row r="220" spans="1:59" s="3" customFormat="1" x14ac:dyDescent="0.2">
      <c r="A220" s="3" t="s">
        <v>358</v>
      </c>
      <c r="B220" s="3" t="str">
        <f>LOWER(VLOOKUP(A220,Xtal_Templ!A:B,2,FALSE))</f>
        <v>par2_human</v>
      </c>
      <c r="C220" s="3">
        <f>VLOOKUP($A220,'SegEnds_NonXtal_BW#'!$A:$Z,3,FALSE)+D220-50</f>
        <v>73</v>
      </c>
      <c r="D220" s="3">
        <v>95</v>
      </c>
      <c r="E220" s="3">
        <f>IF(ISERROR(VLOOKUP($A220,'SegEnds_NonXtal_BW#'!$A:$Z,4,FALSE)+VLOOKUP($A220,A:AL,4,FALSE)-50),"-",(VLOOKUP($A220,'SegEnds_NonXtal_BW#'!$A:$Z,4,FALSE)+VLOOKUP($A220,A:AL,4,FALSE)-50))</f>
        <v>105</v>
      </c>
      <c r="F220" s="3" t="str">
        <f>IF(ISERROR(VLOOKUP($A220,'SegEnds_NonXtal_BW#'!$A:$Z,5,FALSE)+VLOOKUP($A220,A:AL,7,FALSE)-50),"-",(VLOOKUP($A220,'SegEnds_NonXtal_BW#'!$A:$Z,5,FALSE)+VLOOKUP($A220,A:AL,7,FALSE)-50))</f>
        <v>-</v>
      </c>
      <c r="G220" s="3" t="s">
        <v>23</v>
      </c>
      <c r="H220" s="3" t="str">
        <f>IF(ISERROR(VLOOKUP($A220,'SegEnds_NonXtal_BW#'!$A:$Z,6,FALSE)+VLOOKUP($A220,A:AL,7,FALSE)-50),"-",(VLOOKUP($A220,'SegEnds_NonXtal_BW#'!$A:$Z,6,FALSE)+VLOOKUP($A220,A:AL,7,FALSE)-50))</f>
        <v>-</v>
      </c>
      <c r="I220" s="3">
        <f>VLOOKUP($A220,'SegEnds_NonXtal_BW#'!$A:$Z,7,FALSE)+J220-50</f>
        <v>109</v>
      </c>
      <c r="J220" s="3">
        <v>122</v>
      </c>
      <c r="K220" s="3">
        <f>VLOOKUP($A220,'SegEnds_NonXtal_BW#'!$A:$Z,8,FALSE)+VLOOKUP($A220,A:AL,10,FALSE)-50</f>
        <v>138</v>
      </c>
      <c r="L220" s="3">
        <f>M220-1</f>
        <v>141</v>
      </c>
      <c r="M220" s="3">
        <v>142</v>
      </c>
      <c r="N220" s="3">
        <f>M220+2</f>
        <v>144</v>
      </c>
      <c r="O220" s="3">
        <f>N220+1</f>
        <v>145</v>
      </c>
      <c r="P220" s="3">
        <v>174</v>
      </c>
      <c r="Q220" s="3">
        <f>VLOOKUP($A220,'SegEnds_NonXtal_BW#'!$A:$Z,12,FALSE)+VLOOKUP($A220,A:AL,16,FALSE)-50</f>
        <v>180</v>
      </c>
      <c r="R220" s="3">
        <f>IF(ISERROR(VLOOKUP($A220,'SegEnds_NonXtal_BW#'!$A:$Z,13,FALSE)+VLOOKUP($A220,A:AL,19,FALSE)-50),"-",VLOOKUP($A220,'SegEnds_NonXtal_BW#'!$A:$Z,13,FALSE)+VLOOKUP($A220,A:AL,19,FALSE)-50)</f>
        <v>181</v>
      </c>
      <c r="S220" s="3">
        <v>181</v>
      </c>
      <c r="T220" s="100">
        <f>IF(ISERROR(VLOOKUP($A220,'SegEnds_NonXtal_BW#'!$A:$Z,14,FALSE)+VLOOKUP($A220,A:AL,19,FALSE)-50),"-",(VLOOKUP($A220,'SegEnds_NonXtal_BW#'!$A:$Z,14,FALSE)+VLOOKUP($A220,A:AL,19,FALSE)-50))</f>
        <v>188</v>
      </c>
      <c r="U220" s="9">
        <f>IF(ISERROR(VLOOKUP($A220,'SegEnds_NonXtal_BW#'!$A:$Z,15,FALSE)+VLOOKUP($A220,A:AL,22,FALSE)-50),"-",VLOOKUP($A220,'SegEnds_NonXtal_BW#'!$A:$Z,15,FALSE)+VLOOKUP($A220,A:AL,22,FALSE)-50)</f>
        <v>189</v>
      </c>
      <c r="V220" s="3">
        <v>201</v>
      </c>
      <c r="W220" s="3">
        <f>IF(ISERROR(VLOOKUP($A220,'SegEnds_NonXtal_BW#'!$A:$Z,16,FALSE)+VLOOKUP($A220,A:AL,22,FALSE)-50),"-",(VLOOKUP($A220,'SegEnds_NonXtal_BW#'!$A:$Z,16,FALSE)+VLOOKUP($A220,A:AL,22,FALSE)-50))</f>
        <v>213</v>
      </c>
      <c r="X220" s="3">
        <f>IF(ISERROR(VLOOKUP($A220,'SegEnds_NonXtal_BW#'!$A:$Z,17,FALSE)+VLOOKUP($A220,A:AL,25,FALSE)-50),"-",(VLOOKUP($A220,'SegEnds_NonXtal_BW#'!$A:$Z,17,FALSE)+VLOOKUP($A220,A:AL,25,FALSE)-50))</f>
        <v>228</v>
      </c>
      <c r="Y220" s="3">
        <v>228</v>
      </c>
      <c r="Z220" s="3">
        <f t="shared" si="117"/>
        <v>230</v>
      </c>
      <c r="AA220" s="3">
        <f>IF(ISERROR(VLOOKUP($A220,'SegEnds_NonXtal_BW#'!$A:$Z,19,FALSE)+VLOOKUP($A220,A:AL,28,FALSE)-50),"-",(VLOOKUP($A220,'SegEnds_NonXtal_BW#'!$A:$Z,19,FALSE)+VLOOKUP($A220,A:AL,28,FALSE)-50))</f>
        <v>237</v>
      </c>
      <c r="AB220" s="3">
        <v>256</v>
      </c>
      <c r="AC220" s="3">
        <f>IF(ISERROR((VLOOKUP($A220,'SegEnds_NonXtal_BW#'!$A:$Z,20,FALSE)+VLOOKUP($A220,A:AL,28,FALSE)-50)),"-",(VLOOKUP($A220,'SegEnds_NonXtal_BW#'!$A:$Z,20,FALSE)+VLOOKUP($A220,A:AL,28,FALSE)-50))</f>
        <v>274</v>
      </c>
      <c r="AD220" s="3">
        <f>IF(ISERROR(VLOOKUP($A220,'SegEnds_NonXtal_BW#'!$A:$Z,21,FALSE)+VLOOKUP($A220,A:AL,31,FALSE)-50),"-",(VLOOKUP($A220,'SegEnds_NonXtal_BW#'!$A:$Z,21,FALSE)+VLOOKUP($A220,A:AL,31,FALSE)-50))</f>
        <v>278</v>
      </c>
      <c r="AE220" s="3">
        <v>298</v>
      </c>
      <c r="AF220" s="3">
        <f>IF(ISERROR((VLOOKUP($A220,'SegEnds_NonXtal_BW#'!$A:$Z,22,FALSE)+VLOOKUP($A220,A:AL,31,FALSE)-50)),"-",(VLOOKUP($A220,'SegEnds_NonXtal_BW#'!$A:$Z,22,FALSE)+VLOOKUP($A220,A:AL,31,FALSE)-50))</f>
        <v>310</v>
      </c>
      <c r="AG220" s="3">
        <f>IF(ISERROR(VLOOKUP($A220,'SegEnds_NonXtal_BW#'!$A:$Z,23,FALSE)+VLOOKUP($A220,A:AL,34,FALSE)-50),"-",(VLOOKUP($A220,'SegEnds_NonXtal_BW#'!$A:$Z,23,FALSE)+VLOOKUP($A220,A:AL,34,FALSE)-50))</f>
        <v>318</v>
      </c>
      <c r="AH220" s="3">
        <v>337</v>
      </c>
      <c r="AI220" s="3">
        <f>IF(ISERROR((VLOOKUP($A220,'SegEnds_NonXtal_BW#'!$A:$Z,24,FALSE)+VLOOKUP($A220,A:AL,34,FALSE)-50)),"-",(VLOOKUP($A220,'SegEnds_NonXtal_BW#'!$A:$Z,24,FALSE)+VLOOKUP($A220,A:AL,34,FALSE)-50))</f>
        <v>343</v>
      </c>
      <c r="AJ220" s="3">
        <f>IF(ISERROR(VLOOKUP($A220,'SegEnds_NonXtal_BW#'!$A:$Z,25,FALSE)+VLOOKUP($A220,A:AL,37,FALSE)-50),"-",(VLOOKUP($A220,'SegEnds_NonXtal_BW#'!$A:$Z,25,FALSE)+VLOOKUP($A220,A:AL,37,FALSE)-50))</f>
        <v>344</v>
      </c>
      <c r="AK220" s="3">
        <v>347</v>
      </c>
      <c r="AL220" s="3">
        <f>IF(ISERROR((VLOOKUP($A220,'SegEnds_NonXtal_BW#'!$A:$Z,26,FALSE)+VLOOKUP($A220,A:AL,37,FALSE)-50)),"-",(VLOOKUP($A220,'SegEnds_NonXtal_BW#'!$A:$Z,26,FALSE)+VLOOKUP($A220,A:AL,37,FALSE)-50))</f>
        <v>358</v>
      </c>
      <c r="AM220" s="28" t="str">
        <f>VLOOKUP(A220,Classification!A:B,2,FALSE)</f>
        <v>A</v>
      </c>
      <c r="AN220" s="28" t="b">
        <f t="shared" si="133"/>
        <v>1</v>
      </c>
      <c r="AO220" s="3" t="str">
        <f>IF(ISERROR(MATCH(A220,'SegEnds_Xtal_Prot#'!B:B, 0)), "NoXtal", "Xtal")</f>
        <v>NoXtal</v>
      </c>
      <c r="AP220" s="3" t="str">
        <f t="shared" si="118"/>
        <v>-</v>
      </c>
      <c r="AQ220" s="3" t="str">
        <f t="shared" si="119"/>
        <v>-</v>
      </c>
      <c r="AR220" s="3">
        <f t="shared" si="120"/>
        <v>3</v>
      </c>
      <c r="AS220" s="3">
        <f t="shared" si="121"/>
        <v>1</v>
      </c>
      <c r="AT220" s="3">
        <f t="shared" si="122"/>
        <v>1</v>
      </c>
      <c r="AU220" s="3">
        <f t="shared" si="123"/>
        <v>1</v>
      </c>
      <c r="AV220" s="3">
        <f t="shared" si="124"/>
        <v>15</v>
      </c>
      <c r="AW220" s="3">
        <f t="shared" si="125"/>
        <v>7</v>
      </c>
      <c r="AX220" s="3">
        <f t="shared" si="126"/>
        <v>4</v>
      </c>
      <c r="AY220" s="3">
        <f t="shared" si="127"/>
        <v>8</v>
      </c>
      <c r="AZ220" s="3">
        <f t="shared" si="128"/>
        <v>1</v>
      </c>
      <c r="BA220" s="3">
        <f>IF(ISERROR(LEN(VLOOKUP(A220,Seqs!A:E,2,FALSE))-AL220),"-",LEN(VLOOKUP(A220,Seqs!A:E,2,FALSE))-AL220)</f>
        <v>27</v>
      </c>
      <c r="BB220" s="16">
        <f t="shared" si="129"/>
        <v>27</v>
      </c>
      <c r="BC220" s="9">
        <f t="shared" si="130"/>
        <v>20</v>
      </c>
      <c r="BD220" s="3">
        <f t="shared" si="131"/>
        <v>27</v>
      </c>
      <c r="BE220" s="3">
        <f t="shared" si="132"/>
        <v>42</v>
      </c>
      <c r="BF220" s="3">
        <f>AH220-AE220</f>
        <v>39</v>
      </c>
    </row>
    <row r="221" spans="1:59" s="3" customFormat="1" x14ac:dyDescent="0.2">
      <c r="A221" s="3" t="s">
        <v>359</v>
      </c>
      <c r="B221" s="3" t="str">
        <f>LOWER(VLOOKUP(A221,Xtal_Templ!A:B,2,FALSE))</f>
        <v>pe2r4_human</v>
      </c>
      <c r="C221" s="3">
        <f>VLOOKUP($A221,'SegEnds_NonXtal_BW#'!$A:$Z,3,FALSE)+D221-50</f>
        <v>17</v>
      </c>
      <c r="D221" s="3">
        <v>34</v>
      </c>
      <c r="E221" s="3">
        <f>IF(ISERROR(VLOOKUP($A221,'SegEnds_NonXtal_BW#'!$A:$Z,4,FALSE)+VLOOKUP($A221,A:AL,4,FALSE)-50),"-",(VLOOKUP($A221,'SegEnds_NonXtal_BW#'!$A:$Z,4,FALSE)+VLOOKUP($A221,A:AL,4,FALSE)-50))</f>
        <v>42</v>
      </c>
      <c r="F221" s="3" t="str">
        <f>IF(ISERROR(VLOOKUP($A221,'SegEnds_NonXtal_BW#'!$A:$Z,5,FALSE)+VLOOKUP($A221,A:AL,7,FALSE)-50),"-",(VLOOKUP($A221,'SegEnds_NonXtal_BW#'!$A:$Z,5,FALSE)+VLOOKUP($A221,A:AL,7,FALSE)-50))</f>
        <v>-</v>
      </c>
      <c r="G221" s="3" t="s">
        <v>23</v>
      </c>
      <c r="H221" s="3" t="str">
        <f>IF(ISERROR(VLOOKUP($A221,'SegEnds_NonXtal_BW#'!$A:$Z,6,FALSE)+VLOOKUP($A221,A:AL,7,FALSE)-50),"-",(VLOOKUP($A221,'SegEnds_NonXtal_BW#'!$A:$Z,6,FALSE)+VLOOKUP($A221,A:AL,7,FALSE)-50))</f>
        <v>-</v>
      </c>
      <c r="I221" s="3">
        <f>VLOOKUP($A221,'SegEnds_NonXtal_BW#'!$A:$Z,7,FALSE)+J221-50</f>
        <v>59</v>
      </c>
      <c r="J221" s="3">
        <v>72</v>
      </c>
      <c r="K221" s="3">
        <f>VLOOKUP($A221,'SegEnds_NonXtal_BW#'!$A:$Z,8,FALSE)+VLOOKUP($A221,A:AL,10,FALSE)-50</f>
        <v>89</v>
      </c>
      <c r="L221" s="3" t="str">
        <f>IF(ISERROR(VLOOKUP($A221,'SegEnds_NonXtal_BW#'!$A:$Z,9,FALSE)+VLOOKUP($A221,A:AL,13,FALSE)-50),"-",(VLOOKUP($A221,'SegEnds_NonXtal_BW#'!$A:$Z,9,FALSE)+VLOOKUP($A221,A:AL,13,FALSE)-50))</f>
        <v>-</v>
      </c>
      <c r="M221" s="3" t="s">
        <v>23</v>
      </c>
      <c r="N221" s="3" t="str">
        <f>IF(ISERROR(VLOOKUP($A221,'SegEnds_NonXtal_BW#'!$A:$Z,10,FALSE)+VLOOKUP($A221,A:AL,13,FALSE)-50),"-",(VLOOKUP($A221,'SegEnds_NonXtal_BW#'!$A:$Z,10,FALSE)+VLOOKUP($A221,A:AL,13,FALSE)-50))</f>
        <v>-</v>
      </c>
      <c r="O221" s="3">
        <f>VLOOKUP($A221,'SegEnds_NonXtal_BW#'!$A:$Z,11,FALSE)+VLOOKUP($A221,A:AL,16,FALSE)-50</f>
        <v>98</v>
      </c>
      <c r="P221" s="3">
        <v>130</v>
      </c>
      <c r="Q221" s="3">
        <f>VLOOKUP($A221,'SegEnds_NonXtal_BW#'!$A:$Z,12,FALSE)+VLOOKUP($A221,A:AL,16,FALSE)-50</f>
        <v>136</v>
      </c>
      <c r="R221" s="3">
        <f>IF(ISERROR(VLOOKUP($A221,'SegEnds_NonXtal_BW#'!$A:$Z,13,FALSE)+VLOOKUP($A221,A:AL,19,FALSE)-50),"-",VLOOKUP($A221,'SegEnds_NonXtal_BW#'!$A:$Z,13,FALSE)+VLOOKUP($A221,A:AL,19,FALSE)-50)</f>
        <v>137</v>
      </c>
      <c r="S221" s="3">
        <v>137</v>
      </c>
      <c r="T221" s="100">
        <f>IF(ISERROR(VLOOKUP($A221,'SegEnds_NonXtal_BW#'!$A:$Z,14,FALSE)+VLOOKUP($A221,A:AL,19,FALSE)-50),"-",(VLOOKUP($A221,'SegEnds_NonXtal_BW#'!$A:$Z,14,FALSE)+VLOOKUP($A221,A:AL,19,FALSE)-50))</f>
        <v>144</v>
      </c>
      <c r="U221" s="9">
        <f>IF(ISERROR(VLOOKUP($A221,'SegEnds_NonXtal_BW#'!$A:$Z,15,FALSE)+VLOOKUP($A221,A:AL,22,FALSE)-50),"-",VLOOKUP($A221,'SegEnds_NonXtal_BW#'!$A:$Z,15,FALSE)+VLOOKUP($A221,A:AL,22,FALSE)-50)</f>
        <v>145</v>
      </c>
      <c r="V221" s="3">
        <v>157</v>
      </c>
      <c r="W221" s="3">
        <f>IF(ISERROR(VLOOKUP($A221,'SegEnds_NonXtal_BW#'!$A:$Z,16,FALSE)+VLOOKUP($A221,A:AL,22,FALSE)-50),"-",(VLOOKUP($A221,'SegEnds_NonXtal_BW#'!$A:$Z,16,FALSE)+VLOOKUP($A221,A:AL,22,FALSE)-50))</f>
        <v>170</v>
      </c>
      <c r="X221" s="3">
        <f>IF(ISERROR(VLOOKUP($A221,'SegEnds_NonXtal_BW#'!$A:$Z,17,FALSE)+VLOOKUP($A221,A:AL,25,FALSE)-50),"-",(VLOOKUP($A221,'SegEnds_NonXtal_BW#'!$A:$Z,17,FALSE)+VLOOKUP($A221,A:AL,25,FALSE)-50))</f>
        <v>183</v>
      </c>
      <c r="Y221" s="3">
        <v>183</v>
      </c>
      <c r="Z221" s="3">
        <f t="shared" si="117"/>
        <v>185</v>
      </c>
      <c r="AA221" s="3">
        <f>IF(ISERROR(VLOOKUP($A221,'SegEnds_NonXtal_BW#'!$A:$Z,19,FALSE)+VLOOKUP($A221,A:AL,28,FALSE)-50),"-",(VLOOKUP($A221,'SegEnds_NonXtal_BW#'!$A:$Z,19,FALSE)+VLOOKUP($A221,A:AL,28,FALSE)-50))</f>
        <v>195</v>
      </c>
      <c r="AB221" s="3">
        <v>212</v>
      </c>
      <c r="AC221" s="3">
        <f>IF(ISERROR((VLOOKUP($A221,'SegEnds_NonXtal_BW#'!$A:$Z,20,FALSE)+VLOOKUP($A221,A:AL,28,FALSE)-50)),"-",(VLOOKUP($A221,'SegEnds_NonXtal_BW#'!$A:$Z,20,FALSE)+VLOOKUP($A221,A:AL,28,FALSE)-50))</f>
        <v>238</v>
      </c>
      <c r="AD221" s="3">
        <f>IF(ISERROR(VLOOKUP($A221,'SegEnds_NonXtal_BW#'!$A:$Z,21,FALSE)+VLOOKUP($A221,A:AL,31,FALSE)-50),"-",(VLOOKUP($A221,'SegEnds_NonXtal_BW#'!$A:$Z,21,FALSE)+VLOOKUP($A221,A:AL,31,FALSE)-50))</f>
        <v>254</v>
      </c>
      <c r="AE221" s="3">
        <v>280</v>
      </c>
      <c r="AF221" s="3">
        <f>IF(ISERROR((VLOOKUP($A221,'SegEnds_NonXtal_BW#'!$A:$Z,22,FALSE)+VLOOKUP($A221,A:AL,31,FALSE)-50)),"-",(VLOOKUP($A221,'SegEnds_NonXtal_BW#'!$A:$Z,22,FALSE)+VLOOKUP($A221,A:AL,31,FALSE)-50))</f>
        <v>291</v>
      </c>
      <c r="AG221" s="3">
        <f>IF(ISERROR(VLOOKUP($A221,'SegEnds_NonXtal_BW#'!$A:$Z,23,FALSE)+VLOOKUP($A221,A:AL,34,FALSE)-50),"-",(VLOOKUP($A221,'SegEnds_NonXtal_BW#'!$A:$Z,23,FALSE)+VLOOKUP($A221,A:AL,34,FALSE)-50))</f>
        <v>298</v>
      </c>
      <c r="AH221" s="3">
        <v>320</v>
      </c>
      <c r="AI221" s="3">
        <f>IF(ISERROR((VLOOKUP($A221,'SegEnds_NonXtal_BW#'!$A:$Z,24,FALSE)+VLOOKUP($A221,A:AL,34,FALSE)-50)),"-",(VLOOKUP($A221,'SegEnds_NonXtal_BW#'!$A:$Z,24,FALSE)+VLOOKUP($A221,A:AL,34,FALSE)-50))</f>
        <v>326</v>
      </c>
      <c r="AJ221" s="3">
        <f>IF(ISERROR(VLOOKUP($A221,'SegEnds_NonXtal_BW#'!$A:$Z,25,FALSE)+VLOOKUP($A221,A:AL,37,FALSE)-50),"-",(VLOOKUP($A221,'SegEnds_NonXtal_BW#'!$A:$Z,25,FALSE)+VLOOKUP($A221,A:AL,37,FALSE)-50))</f>
        <v>327</v>
      </c>
      <c r="AK221" s="3">
        <v>330</v>
      </c>
      <c r="AL221" s="3">
        <f>IF(ISERROR((VLOOKUP($A221,'SegEnds_NonXtal_BW#'!$A:$Z,26,FALSE)+VLOOKUP($A221,A:AL,37,FALSE)-50)),"-",(VLOOKUP($A221,'SegEnds_NonXtal_BW#'!$A:$Z,26,FALSE)+VLOOKUP($A221,A:AL,37,FALSE)-50))</f>
        <v>340</v>
      </c>
      <c r="AM221" s="28" t="str">
        <f>VLOOKUP(A221,Classification!A:B,2,FALSE)</f>
        <v>A</v>
      </c>
      <c r="AN221" s="28" t="b">
        <f t="shared" si="133"/>
        <v>1</v>
      </c>
      <c r="AO221" s="3" t="str">
        <f>IF(ISERROR(MATCH(A221,'SegEnds_Xtal_Prot#'!B:B, 0)), "NoXtal", "Xtal")</f>
        <v>NoXtal</v>
      </c>
      <c r="AP221" s="3" t="str">
        <f t="shared" si="118"/>
        <v>-</v>
      </c>
      <c r="AQ221" s="3" t="str">
        <f t="shared" si="119"/>
        <v>-</v>
      </c>
      <c r="AR221" s="3" t="str">
        <f t="shared" si="120"/>
        <v>-</v>
      </c>
      <c r="AS221" s="3" t="str">
        <f t="shared" si="121"/>
        <v>-</v>
      </c>
      <c r="AT221" s="3">
        <f t="shared" si="122"/>
        <v>1</v>
      </c>
      <c r="AU221" s="3">
        <f t="shared" si="123"/>
        <v>1</v>
      </c>
      <c r="AV221" s="3">
        <f t="shared" si="124"/>
        <v>13</v>
      </c>
      <c r="AW221" s="3">
        <f t="shared" si="125"/>
        <v>10</v>
      </c>
      <c r="AX221" s="3">
        <f t="shared" si="126"/>
        <v>16</v>
      </c>
      <c r="AY221" s="3">
        <f t="shared" si="127"/>
        <v>7</v>
      </c>
      <c r="AZ221" s="3">
        <f t="shared" si="128"/>
        <v>1</v>
      </c>
      <c r="BA221" s="3">
        <f>IF(ISERROR(LEN(VLOOKUP(A221,Seqs!A:E,2,FALSE))-AL221),"-",LEN(VLOOKUP(A221,Seqs!A:E,2,FALSE))-AL221)</f>
        <v>19</v>
      </c>
      <c r="BB221" s="16">
        <f t="shared" si="129"/>
        <v>38</v>
      </c>
      <c r="BC221" s="9">
        <f t="shared" si="130"/>
        <v>20</v>
      </c>
      <c r="BD221" s="3">
        <f t="shared" si="131"/>
        <v>38</v>
      </c>
      <c r="BE221" s="3">
        <f t="shared" si="132"/>
        <v>68</v>
      </c>
      <c r="BF221" s="3">
        <f>AH221-AE221</f>
        <v>40</v>
      </c>
    </row>
    <row r="222" spans="1:59" s="3" customFormat="1" x14ac:dyDescent="0.2">
      <c r="A222" s="3" t="s">
        <v>360</v>
      </c>
      <c r="B222" s="3" t="str">
        <f>LOWER(VLOOKUP(A222,Xtal_Templ!A:B,2,FALSE))</f>
        <v>pd2r2_human</v>
      </c>
      <c r="C222" s="3">
        <f>VLOOKUP($A222,'SegEnds_NonXtal_BW#'!$A:$Z,3,FALSE)+D222-50</f>
        <v>32</v>
      </c>
      <c r="D222" s="3">
        <v>50</v>
      </c>
      <c r="E222" s="3">
        <f>IF(ISERROR(VLOOKUP($A222,'SegEnds_NonXtal_BW#'!$A:$Z,4,FALSE)+VLOOKUP($A222,A:AL,4,FALSE)-50),"-",(VLOOKUP($A222,'SegEnds_NonXtal_BW#'!$A:$Z,4,FALSE)+VLOOKUP($A222,A:AL,4,FALSE)-50))</f>
        <v>60</v>
      </c>
      <c r="F222" s="3" t="str">
        <f>IF(ISERROR(VLOOKUP($A222,'SegEnds_NonXtal_BW#'!$A:$Z,5,FALSE)+VLOOKUP($A222,A:AL,7,FALSE)-50),"-",(VLOOKUP($A222,'SegEnds_NonXtal_BW#'!$A:$Z,5,FALSE)+VLOOKUP($A222,A:AL,7,FALSE)-50))</f>
        <v>-</v>
      </c>
      <c r="G222" s="3" t="s">
        <v>23</v>
      </c>
      <c r="H222" s="3" t="str">
        <f>IF(ISERROR(VLOOKUP($A222,'SegEnds_NonXtal_BW#'!$A:$Z,6,FALSE)+VLOOKUP($A222,A:AL,7,FALSE)-50),"-",(VLOOKUP($A222,'SegEnds_NonXtal_BW#'!$A:$Z,6,FALSE)+VLOOKUP($A222,A:AL,7,FALSE)-50))</f>
        <v>-</v>
      </c>
      <c r="I222" s="3">
        <f>VLOOKUP($A222,'SegEnds_NonXtal_BW#'!$A:$Z,7,FALSE)+J222-50</f>
        <v>64</v>
      </c>
      <c r="J222" s="3">
        <v>77</v>
      </c>
      <c r="K222" s="3">
        <f>VLOOKUP($A222,'SegEnds_NonXtal_BW#'!$A:$Z,8,FALSE)+VLOOKUP($A222,A:AL,10,FALSE)-50</f>
        <v>94</v>
      </c>
      <c r="L222" s="3">
        <f>M222-1</f>
        <v>96</v>
      </c>
      <c r="M222" s="3">
        <v>97</v>
      </c>
      <c r="N222" s="3">
        <f>M222+2</f>
        <v>99</v>
      </c>
      <c r="O222" s="3">
        <f>N222+1</f>
        <v>100</v>
      </c>
      <c r="P222" s="3">
        <v>129</v>
      </c>
      <c r="Q222" s="3">
        <f>VLOOKUP($A222,'SegEnds_NonXtal_BW#'!$A:$Z,12,FALSE)+VLOOKUP($A222,A:AL,16,FALSE)-50</f>
        <v>135</v>
      </c>
      <c r="R222" s="3">
        <f>IF(ISERROR(VLOOKUP($A222,'SegEnds_NonXtal_BW#'!$A:$Z,13,FALSE)+VLOOKUP($A222,A:AL,19,FALSE)-50),"-",VLOOKUP($A222,'SegEnds_NonXtal_BW#'!$A:$Z,13,FALSE)+VLOOKUP($A222,A:AL,19,FALSE)-50)</f>
        <v>136</v>
      </c>
      <c r="S222" s="3">
        <v>136</v>
      </c>
      <c r="T222" s="100">
        <f>IF(ISERROR(VLOOKUP($A222,'SegEnds_NonXtal_BW#'!$A:$Z,14,FALSE)+VLOOKUP($A222,A:AL,19,FALSE)-50),"-",(VLOOKUP($A222,'SegEnds_NonXtal_BW#'!$A:$Z,14,FALSE)+VLOOKUP($A222,A:AL,19,FALSE)-50))</f>
        <v>143</v>
      </c>
      <c r="U222" s="9">
        <f>IF(ISERROR(VLOOKUP($A222,'SegEnds_NonXtal_BW#'!$A:$Z,15,FALSE)+VLOOKUP($A222,A:AL,22,FALSE)-50),"-",VLOOKUP($A222,'SegEnds_NonXtal_BW#'!$A:$Z,15,FALSE)+VLOOKUP($A222,A:AL,22,FALSE)-50)</f>
        <v>144</v>
      </c>
      <c r="V222" s="3">
        <v>156</v>
      </c>
      <c r="W222" s="3">
        <f>IF(ISERROR(VLOOKUP($A222,'SegEnds_NonXtal_BW#'!$A:$Z,16,FALSE)+VLOOKUP($A222,A:AL,22,FALSE)-50),"-",(VLOOKUP($A222,'SegEnds_NonXtal_BW#'!$A:$Z,16,FALSE)+VLOOKUP($A222,A:AL,22,FALSE)-50))</f>
        <v>170</v>
      </c>
      <c r="X222" s="3">
        <f>IF(ISERROR(VLOOKUP($A222,'SegEnds_NonXtal_BW#'!$A:$Z,17,FALSE)+VLOOKUP($A222,A:AL,25,FALSE)-50),"-",(VLOOKUP($A222,'SegEnds_NonXtal_BW#'!$A:$Z,17,FALSE)+VLOOKUP($A222,A:AL,25,FALSE)-50))</f>
        <v>182</v>
      </c>
      <c r="Y222" s="3">
        <v>182</v>
      </c>
      <c r="Z222" s="3">
        <f t="shared" si="117"/>
        <v>184</v>
      </c>
      <c r="AA222" s="3">
        <f>IF(ISERROR(VLOOKUP($A222,'SegEnds_NonXtal_BW#'!$A:$Z,19,FALSE)+VLOOKUP($A222,A:AL,28,FALSE)-50),"-",(VLOOKUP($A222,'SegEnds_NonXtal_BW#'!$A:$Z,19,FALSE)+VLOOKUP($A222,A:AL,28,FALSE)-50))</f>
        <v>194</v>
      </c>
      <c r="AB222" s="3">
        <v>218</v>
      </c>
      <c r="AC222" s="3">
        <f>IF(ISERROR((VLOOKUP($A222,'SegEnds_NonXtal_BW#'!$A:$Z,20,FALSE)+VLOOKUP($A222,A:AL,28,FALSE)-50)),"-",(VLOOKUP($A222,'SegEnds_NonXtal_BW#'!$A:$Z,20,FALSE)+VLOOKUP($A222,A:AL,28,FALSE)-50))</f>
        <v>236</v>
      </c>
      <c r="AD222" s="3">
        <f>IF(ISERROR(VLOOKUP($A222,'SegEnds_NonXtal_BW#'!$A:$Z,21,FALSE)+VLOOKUP($A222,A:AL,31,FALSE)-50),"-",(VLOOKUP($A222,'SegEnds_NonXtal_BW#'!$A:$Z,21,FALSE)+VLOOKUP($A222,A:AL,31,FALSE)-50))</f>
        <v>241</v>
      </c>
      <c r="AE222" s="3">
        <v>261</v>
      </c>
      <c r="AF222" s="3">
        <f>IF(ISERROR((VLOOKUP($A222,'SegEnds_NonXtal_BW#'!$A:$Z,22,FALSE)+VLOOKUP($A222,A:AL,31,FALSE)-50)),"-",(VLOOKUP($A222,'SegEnds_NonXtal_BW#'!$A:$Z,22,FALSE)+VLOOKUP($A222,A:AL,31,FALSE)-50))</f>
        <v>272</v>
      </c>
      <c r="AG222" s="3">
        <f>IF(ISERROR(VLOOKUP($A222,'SegEnds_NonXtal_BW#'!$A:$Z,23,FALSE)+VLOOKUP($A222,A:AL,34,FALSE)-50),"-",(VLOOKUP($A222,'SegEnds_NonXtal_BW#'!$A:$Z,23,FALSE)+VLOOKUP($A222,A:AL,34,FALSE)-50))</f>
        <v>278</v>
      </c>
      <c r="AH222" s="3">
        <v>301</v>
      </c>
      <c r="AI222" s="3">
        <f>IF(ISERROR((VLOOKUP($A222,'SegEnds_NonXtal_BW#'!$A:$Z,24,FALSE)+VLOOKUP($A222,A:AL,34,FALSE)-50)),"-",(VLOOKUP($A222,'SegEnds_NonXtal_BW#'!$A:$Z,24,FALSE)+VLOOKUP($A222,A:AL,34,FALSE)-50))</f>
        <v>307</v>
      </c>
      <c r="AJ222" s="3">
        <f>IF(ISERROR(VLOOKUP($A222,'SegEnds_NonXtal_BW#'!$A:$Z,25,FALSE)+VLOOKUP($A222,A:AL,37,FALSE)-50),"-",(VLOOKUP($A222,'SegEnds_NonXtal_BW#'!$A:$Z,25,FALSE)+VLOOKUP($A222,A:AL,37,FALSE)-50))</f>
        <v>308</v>
      </c>
      <c r="AK222" s="3">
        <v>311</v>
      </c>
      <c r="AL222" s="3">
        <f>IF(ISERROR((VLOOKUP($A222,'SegEnds_NonXtal_BW#'!$A:$Z,26,FALSE)+VLOOKUP($A222,A:AL,37,FALSE)-50)),"-",(VLOOKUP($A222,'SegEnds_NonXtal_BW#'!$A:$Z,26,FALSE)+VLOOKUP($A222,A:AL,37,FALSE)-50))</f>
        <v>325</v>
      </c>
      <c r="AM222" s="28" t="str">
        <f>VLOOKUP(A222,Classification!A:B,2,FALSE)</f>
        <v>A</v>
      </c>
      <c r="AN222" s="28" t="b">
        <f t="shared" si="133"/>
        <v>1</v>
      </c>
      <c r="AO222" s="3" t="str">
        <f>IF(ISERROR(MATCH(A222,'SegEnds_Xtal_Prot#'!B:B, 0)), "NoXtal", "Xtal")</f>
        <v>Xtal</v>
      </c>
      <c r="AP222" s="3" t="str">
        <f t="shared" si="118"/>
        <v>-</v>
      </c>
      <c r="AQ222" s="3" t="str">
        <f t="shared" si="119"/>
        <v>-</v>
      </c>
      <c r="AR222" s="3">
        <f t="shared" si="120"/>
        <v>2</v>
      </c>
      <c r="AS222" s="3">
        <f t="shared" si="121"/>
        <v>1</v>
      </c>
      <c r="AT222" s="3">
        <f t="shared" si="122"/>
        <v>1</v>
      </c>
      <c r="AU222" s="3">
        <f t="shared" si="123"/>
        <v>1</v>
      </c>
      <c r="AV222" s="3">
        <f t="shared" si="124"/>
        <v>12</v>
      </c>
      <c r="AW222" s="3">
        <f t="shared" si="125"/>
        <v>10</v>
      </c>
      <c r="AX222" s="3">
        <f t="shared" si="126"/>
        <v>5</v>
      </c>
      <c r="AY222" s="3">
        <f t="shared" si="127"/>
        <v>6</v>
      </c>
      <c r="AZ222" s="3">
        <f t="shared" si="128"/>
        <v>1</v>
      </c>
      <c r="BA222" s="3">
        <f>IF(ISERROR(LEN(VLOOKUP(A222,Seqs!A:E,2,FALSE))-AL222),"-",LEN(VLOOKUP(A222,Seqs!A:E,2,FALSE))-AL222)</f>
        <v>70</v>
      </c>
      <c r="BB222" s="16">
        <f t="shared" si="129"/>
        <v>27</v>
      </c>
      <c r="BC222" s="9">
        <f t="shared" si="130"/>
        <v>20</v>
      </c>
      <c r="BD222" s="3">
        <f t="shared" si="131"/>
        <v>27</v>
      </c>
      <c r="BE222" s="3">
        <f t="shared" si="132"/>
        <v>43</v>
      </c>
    </row>
    <row r="223" spans="1:59" s="3" customFormat="1" x14ac:dyDescent="0.2">
      <c r="A223" s="3" t="s">
        <v>361</v>
      </c>
      <c r="B223" s="3" t="str">
        <f>LOWER(VLOOKUP(A223,Xtal_Templ!A:B,2,FALSE))</f>
        <v>ta2r_human</v>
      </c>
      <c r="C223" s="3">
        <f>VLOOKUP($A223,'SegEnds_NonXtal_BW#'!$A:$Z,3,FALSE)+D223-50</f>
        <v>35</v>
      </c>
      <c r="D223" s="3">
        <v>50</v>
      </c>
      <c r="E223" s="3">
        <f>IF(ISERROR(VLOOKUP($A223,'SegEnds_NonXtal_BW#'!$A:$Z,4,FALSE)+VLOOKUP($A223,A:AL,4,FALSE)-50),"-",(VLOOKUP($A223,'SegEnds_NonXtal_BW#'!$A:$Z,4,FALSE)+VLOOKUP($A223,A:AL,4,FALSE)-50))</f>
        <v>61</v>
      </c>
      <c r="F223" s="3">
        <f>G223-2</f>
        <v>62</v>
      </c>
      <c r="G223" s="3">
        <v>64</v>
      </c>
      <c r="H223" s="3">
        <f>G223+1</f>
        <v>65</v>
      </c>
      <c r="I223" s="3">
        <f>H223+1</f>
        <v>66</v>
      </c>
      <c r="J223" s="3">
        <v>84</v>
      </c>
      <c r="K223" s="3">
        <f>VLOOKUP($A223,'SegEnds_NonXtal_BW#'!$A:$Z,8,FALSE)+VLOOKUP($A223,A:AL,10,FALSE)-50</f>
        <v>100</v>
      </c>
      <c r="L223" s="3">
        <f>M223-1</f>
        <v>103</v>
      </c>
      <c r="M223" s="3">
        <v>104</v>
      </c>
      <c r="N223" s="3">
        <f>M223+2</f>
        <v>106</v>
      </c>
      <c r="O223" s="3">
        <f>N223+1</f>
        <v>107</v>
      </c>
      <c r="P223" s="3">
        <v>135</v>
      </c>
      <c r="Q223" s="3">
        <f>VLOOKUP($A223,'SegEnds_NonXtal_BW#'!$A:$Z,12,FALSE)+VLOOKUP($A223,A:AL,16,FALSE)-50</f>
        <v>141</v>
      </c>
      <c r="R223" s="3">
        <f>IF(ISERROR(VLOOKUP($A223,'SegEnds_NonXtal_BW#'!$A:$Z,13,FALSE)+VLOOKUP($A223,A:AL,19,FALSE)-50),"-",VLOOKUP($A223,'SegEnds_NonXtal_BW#'!$A:$Z,13,FALSE)+VLOOKUP($A223,A:AL,19,FALSE)-50)</f>
        <v>142</v>
      </c>
      <c r="S223" s="3">
        <v>142</v>
      </c>
      <c r="T223" s="100">
        <f>IF(ISERROR(VLOOKUP($A223,'SegEnds_NonXtal_BW#'!$A:$Z,14,FALSE)+VLOOKUP($A223,A:AL,19,FALSE)-50),"-",(VLOOKUP($A223,'SegEnds_NonXtal_BW#'!$A:$Z,14,FALSE)+VLOOKUP($A223,A:AL,19,FALSE)-50))</f>
        <v>149</v>
      </c>
      <c r="U223" s="9">
        <f>IF(ISERROR(VLOOKUP($A223,'SegEnds_NonXtal_BW#'!$A:$Z,15,FALSE)+VLOOKUP($A223,A:AL,22,FALSE)-50),"-",VLOOKUP($A223,'SegEnds_NonXtal_BW#'!$A:$Z,15,FALSE)+VLOOKUP($A223,A:AL,22,FALSE)-50)</f>
        <v>150</v>
      </c>
      <c r="V223" s="3">
        <v>162</v>
      </c>
      <c r="W223" s="3">
        <f>IF(ISERROR(VLOOKUP($A223,'SegEnds_NonXtal_BW#'!$A:$Z,16,FALSE)+VLOOKUP($A223,A:AL,22,FALSE)-50),"-",(VLOOKUP($A223,'SegEnds_NonXtal_BW#'!$A:$Z,16,FALSE)+VLOOKUP($A223,A:AL,22,FALSE)-50))</f>
        <v>175</v>
      </c>
      <c r="X223" s="3">
        <f>IF(ISERROR(VLOOKUP($A223,'SegEnds_NonXtal_BW#'!$A:$Z,17,FALSE)+VLOOKUP($A223,A:AL,25,FALSE)-50),"-",(VLOOKUP($A223,'SegEnds_NonXtal_BW#'!$A:$Z,17,FALSE)+VLOOKUP($A223,A:AL,25,FALSE)-50))</f>
        <v>188</v>
      </c>
      <c r="Y223" s="3">
        <v>188</v>
      </c>
      <c r="Z223" s="3">
        <f t="shared" si="117"/>
        <v>190</v>
      </c>
      <c r="AA223" s="3">
        <f>IF(ISERROR(VLOOKUP($A223,'SegEnds_NonXtal_BW#'!$A:$Z,19,FALSE)+VLOOKUP($A223,A:AL,28,FALSE)-50),"-",(VLOOKUP($A223,'SegEnds_NonXtal_BW#'!$A:$Z,19,FALSE)+VLOOKUP($A223,A:AL,28,FALSE)-50))</f>
        <v>197</v>
      </c>
      <c r="AB223" s="3">
        <v>216</v>
      </c>
      <c r="AC223" s="3">
        <f>IF(ISERROR((VLOOKUP($A223,'SegEnds_NonXtal_BW#'!$A:$Z,20,FALSE)+VLOOKUP($A223,A:AL,28,FALSE)-50)),"-",(VLOOKUP($A223,'SegEnds_NonXtal_BW#'!$A:$Z,20,FALSE)+VLOOKUP($A223,A:AL,28,FALSE)-50))</f>
        <v>240</v>
      </c>
      <c r="AD223" s="3">
        <f>IF(ISERROR(VLOOKUP($A223,'SegEnds_NonXtal_BW#'!$A:$Z,21,FALSE)+VLOOKUP($A223,A:AL,31,FALSE)-50),"-",(VLOOKUP($A223,'SegEnds_NonXtal_BW#'!$A:$Z,21,FALSE)+VLOOKUP($A223,A:AL,31,FALSE)-50))</f>
        <v>286</v>
      </c>
      <c r="AE223" s="3">
        <v>312</v>
      </c>
      <c r="AF223" s="3">
        <f>IF(ISERROR((VLOOKUP($A223,'SegEnds_NonXtal_BW#'!$A:$Z,22,FALSE)+VLOOKUP($A223,A:AL,31,FALSE)-50)),"-",(VLOOKUP($A223,'SegEnds_NonXtal_BW#'!$A:$Z,22,FALSE)+VLOOKUP($A223,A:AL,31,FALSE)-50))</f>
        <v>323</v>
      </c>
      <c r="AG223" s="3">
        <f>IF(ISERROR(VLOOKUP($A223,'SegEnds_NonXtal_BW#'!$A:$Z,23,FALSE)+VLOOKUP($A223,A:AL,34,FALSE)-50),"-",(VLOOKUP($A223,'SegEnds_NonXtal_BW#'!$A:$Z,23,FALSE)+VLOOKUP($A223,A:AL,34,FALSE)-50))</f>
        <v>329</v>
      </c>
      <c r="AH223" s="3">
        <v>348</v>
      </c>
      <c r="AI223" s="3">
        <f>IF(ISERROR((VLOOKUP($A223,'SegEnds_NonXtal_BW#'!$A:$Z,24,FALSE)+VLOOKUP($A223,A:AL,34,FALSE)-50)),"-",(VLOOKUP($A223,'SegEnds_NonXtal_BW#'!$A:$Z,24,FALSE)+VLOOKUP($A223,A:AL,34,FALSE)-50))</f>
        <v>354</v>
      </c>
      <c r="AJ223" s="3">
        <f>IF(ISERROR(VLOOKUP($A223,'SegEnds_NonXtal_BW#'!$A:$Z,25,FALSE)+VLOOKUP($A223,A:AL,37,FALSE)-50),"-",(VLOOKUP($A223,'SegEnds_NonXtal_BW#'!$A:$Z,25,FALSE)+VLOOKUP($A223,A:AL,37,FALSE)-50))</f>
        <v>355</v>
      </c>
      <c r="AK223" s="3">
        <v>358</v>
      </c>
      <c r="AL223" s="3">
        <f>IF(ISERROR((VLOOKUP($A223,'SegEnds_NonXtal_BW#'!$A:$Z,26,FALSE)+VLOOKUP($A223,A:AL,37,FALSE)-50)),"-",(VLOOKUP($A223,'SegEnds_NonXtal_BW#'!$A:$Z,26,FALSE)+VLOOKUP($A223,A:AL,37,FALSE)-50))</f>
        <v>374</v>
      </c>
      <c r="AM223" s="28" t="str">
        <f>VLOOKUP(A223,Classification!A:B,2,FALSE)</f>
        <v>A</v>
      </c>
      <c r="AN223" s="28" t="b">
        <f t="shared" si="133"/>
        <v>1</v>
      </c>
      <c r="AO223" s="3" t="str">
        <f>IF(ISERROR(MATCH(A223,'SegEnds_Xtal_Prot#'!B:B, 0)), "NoXtal", "Xtal")</f>
        <v>NoXtal</v>
      </c>
      <c r="AP223" s="3">
        <f t="shared" si="118"/>
        <v>1</v>
      </c>
      <c r="AQ223" s="3">
        <f t="shared" si="119"/>
        <v>1</v>
      </c>
      <c r="AR223" s="3">
        <f t="shared" si="120"/>
        <v>3</v>
      </c>
      <c r="AS223" s="3">
        <f t="shared" si="121"/>
        <v>1</v>
      </c>
      <c r="AT223" s="3">
        <f t="shared" si="122"/>
        <v>1</v>
      </c>
      <c r="AU223" s="3">
        <f t="shared" si="123"/>
        <v>1</v>
      </c>
      <c r="AV223" s="3">
        <f t="shared" si="124"/>
        <v>13</v>
      </c>
      <c r="AW223" s="3">
        <f t="shared" si="125"/>
        <v>7</v>
      </c>
      <c r="AX223" s="3">
        <f t="shared" si="126"/>
        <v>46</v>
      </c>
      <c r="AY223" s="3">
        <f t="shared" si="127"/>
        <v>6</v>
      </c>
      <c r="AZ223" s="3">
        <f t="shared" si="128"/>
        <v>1</v>
      </c>
      <c r="BA223" s="3">
        <f>IF(ISERROR(LEN(VLOOKUP(A223,Seqs!A:E,2,FALSE))-AL223),"-",LEN(VLOOKUP(A223,Seqs!A:E,2,FALSE))-AL223)</f>
        <v>28</v>
      </c>
      <c r="BB223" s="16">
        <f t="shared" si="129"/>
        <v>34</v>
      </c>
      <c r="BC223" s="9">
        <f t="shared" si="130"/>
        <v>20</v>
      </c>
      <c r="BD223" s="3">
        <f t="shared" si="131"/>
        <v>34</v>
      </c>
      <c r="BE223" s="3">
        <f t="shared" si="132"/>
        <v>96</v>
      </c>
    </row>
    <row r="224" spans="1:59" s="3" customFormat="1" x14ac:dyDescent="0.2">
      <c r="A224" s="3" t="s">
        <v>362</v>
      </c>
      <c r="B224" s="3" t="str">
        <f>LOWER(VLOOKUP(A224,Xtal_Templ!A:B,2,FALSE))</f>
        <v>pe2r4_human</v>
      </c>
      <c r="C224" s="3">
        <f>VLOOKUP($A224,'SegEnds_NonXtal_BW#'!$A:$Z,3,FALSE)+D224-50</f>
        <v>22</v>
      </c>
      <c r="D224" s="3">
        <v>39</v>
      </c>
      <c r="E224" s="3">
        <f>IF(ISERROR(VLOOKUP($A224,'SegEnds_NonXtal_BW#'!$A:$Z,4,FALSE)+VLOOKUP($A224,A:AL,4,FALSE)-50),"-",(VLOOKUP($A224,'SegEnds_NonXtal_BW#'!$A:$Z,4,FALSE)+VLOOKUP($A224,A:AL,4,FALSE)-50))</f>
        <v>47</v>
      </c>
      <c r="F224" s="3">
        <f>G224-2</f>
        <v>56</v>
      </c>
      <c r="G224" s="3">
        <v>58</v>
      </c>
      <c r="H224" s="3">
        <f>G224+1</f>
        <v>59</v>
      </c>
      <c r="I224" s="3">
        <f>H224+1</f>
        <v>60</v>
      </c>
      <c r="J224" s="3">
        <v>78</v>
      </c>
      <c r="K224" s="3">
        <f>VLOOKUP($A224,'SegEnds_NonXtal_BW#'!$A:$Z,8,FALSE)+VLOOKUP($A224,A:AL,10,FALSE)-50</f>
        <v>95</v>
      </c>
      <c r="L224" s="3" t="str">
        <f>IF(ISERROR(VLOOKUP($A224,'SegEnds_NonXtal_BW#'!$A:$Z,9,FALSE)+VLOOKUP($A224,A:AL,13,FALSE)-50),"-",(VLOOKUP($A224,'SegEnds_NonXtal_BW#'!$A:$Z,9,FALSE)+VLOOKUP($A224,A:AL,13,FALSE)-50))</f>
        <v>-</v>
      </c>
      <c r="M224" s="3" t="s">
        <v>23</v>
      </c>
      <c r="N224" s="3" t="str">
        <f>IF(ISERROR(VLOOKUP($A224,'SegEnds_NonXtal_BW#'!$A:$Z,10,FALSE)+VLOOKUP($A224,A:AL,13,FALSE)-50),"-",(VLOOKUP($A224,'SegEnds_NonXtal_BW#'!$A:$Z,10,FALSE)+VLOOKUP($A224,A:AL,13,FALSE)-50))</f>
        <v>-</v>
      </c>
      <c r="O224" s="3">
        <f>VLOOKUP($A224,'SegEnds_NonXtal_BW#'!$A:$Z,11,FALSE)+VLOOKUP($A224,A:AL,16,FALSE)-50</f>
        <v>102</v>
      </c>
      <c r="P224" s="3">
        <v>134</v>
      </c>
      <c r="Q224" s="3">
        <f>VLOOKUP($A224,'SegEnds_NonXtal_BW#'!$A:$Z,12,FALSE)+VLOOKUP($A224,A:AL,16,FALSE)-50</f>
        <v>140</v>
      </c>
      <c r="R224" s="3">
        <f>IF(ISERROR(VLOOKUP($A224,'SegEnds_NonXtal_BW#'!$A:$Z,13,FALSE)+VLOOKUP($A224,A:AL,19,FALSE)-50),"-",VLOOKUP($A224,'SegEnds_NonXtal_BW#'!$A:$Z,13,FALSE)+VLOOKUP($A224,A:AL,19,FALSE)-50)</f>
        <v>141</v>
      </c>
      <c r="S224" s="3">
        <v>141</v>
      </c>
      <c r="T224" s="100">
        <f>IF(ISERROR(VLOOKUP($A224,'SegEnds_NonXtal_BW#'!$A:$Z,14,FALSE)+VLOOKUP($A224,A:AL,19,FALSE)-50),"-",(VLOOKUP($A224,'SegEnds_NonXtal_BW#'!$A:$Z,14,FALSE)+VLOOKUP($A224,A:AL,19,FALSE)-50))</f>
        <v>148</v>
      </c>
      <c r="U224" s="9">
        <f>IF(ISERROR(VLOOKUP($A224,'SegEnds_NonXtal_BW#'!$A:$Z,15,FALSE)+VLOOKUP($A224,A:AL,22,FALSE)-50),"-",VLOOKUP($A224,'SegEnds_NonXtal_BW#'!$A:$Z,15,FALSE)+VLOOKUP($A224,A:AL,22,FALSE)-50)</f>
        <v>149</v>
      </c>
      <c r="V224" s="3">
        <v>161</v>
      </c>
      <c r="W224" s="3">
        <f>IF(ISERROR(VLOOKUP($A224,'SegEnds_NonXtal_BW#'!$A:$Z,16,FALSE)+VLOOKUP($A224,A:AL,22,FALSE)-50),"-",(VLOOKUP($A224,'SegEnds_NonXtal_BW#'!$A:$Z,16,FALSE)+VLOOKUP($A224,A:AL,22,FALSE)-50))</f>
        <v>174</v>
      </c>
      <c r="X224" s="3">
        <f>IF(ISERROR(VLOOKUP($A224,'SegEnds_NonXtal_BW#'!$A:$Z,17,FALSE)+VLOOKUP($A224,A:AL,25,FALSE)-50),"-",(VLOOKUP($A224,'SegEnds_NonXtal_BW#'!$A:$Z,17,FALSE)+VLOOKUP($A224,A:AL,25,FALSE)-50))</f>
        <v>187</v>
      </c>
      <c r="Y224" s="3">
        <v>187</v>
      </c>
      <c r="Z224" s="3">
        <f t="shared" si="117"/>
        <v>189</v>
      </c>
      <c r="AA224" s="3">
        <f>IF(ISERROR(VLOOKUP($A224,'SegEnds_NonXtal_BW#'!$A:$Z,19,FALSE)+VLOOKUP($A224,A:AL,28,FALSE)-50),"-",(VLOOKUP($A224,'SegEnds_NonXtal_BW#'!$A:$Z,19,FALSE)+VLOOKUP($A224,A:AL,28,FALSE)-50))</f>
        <v>194</v>
      </c>
      <c r="AB224" s="3">
        <v>209</v>
      </c>
      <c r="AC224" s="3">
        <f>IF(ISERROR((VLOOKUP($A224,'SegEnds_NonXtal_BW#'!$A:$Z,20,FALSE)+VLOOKUP($A224,A:AL,28,FALSE)-50)),"-",(VLOOKUP($A224,'SegEnds_NonXtal_BW#'!$A:$Z,20,FALSE)+VLOOKUP($A224,A:AL,28,FALSE)-50))</f>
        <v>235</v>
      </c>
      <c r="AD224" s="3">
        <f>IF(ISERROR(VLOOKUP($A224,'SegEnds_NonXtal_BW#'!$A:$Z,21,FALSE)+VLOOKUP($A224,A:AL,31,FALSE)-50),"-",(VLOOKUP($A224,'SegEnds_NonXtal_BW#'!$A:$Z,21,FALSE)+VLOOKUP($A224,A:AL,31,FALSE)-50))</f>
        <v>253</v>
      </c>
      <c r="AE224" s="3">
        <v>279</v>
      </c>
      <c r="AF224" s="3">
        <f>IF(ISERROR((VLOOKUP($A224,'SegEnds_NonXtal_BW#'!$A:$Z,22,FALSE)+VLOOKUP($A224,A:AL,31,FALSE)-50)),"-",(VLOOKUP($A224,'SegEnds_NonXtal_BW#'!$A:$Z,22,FALSE)+VLOOKUP($A224,A:AL,31,FALSE)-50))</f>
        <v>290</v>
      </c>
      <c r="AG224" s="3">
        <f>IF(ISERROR(VLOOKUP($A224,'SegEnds_NonXtal_BW#'!$A:$Z,23,FALSE)+VLOOKUP($A224,A:AL,34,FALSE)-50),"-",(VLOOKUP($A224,'SegEnds_NonXtal_BW#'!$A:$Z,23,FALSE)+VLOOKUP($A224,A:AL,34,FALSE)-50))</f>
        <v>295</v>
      </c>
      <c r="AH224" s="3">
        <v>312</v>
      </c>
      <c r="AI224" s="3">
        <f>IF(ISERROR((VLOOKUP($A224,'SegEnds_NonXtal_BW#'!$A:$Z,24,FALSE)+VLOOKUP($A224,A:AL,34,FALSE)-50)),"-",(VLOOKUP($A224,'SegEnds_NonXtal_BW#'!$A:$Z,24,FALSE)+VLOOKUP($A224,A:AL,34,FALSE)-50))</f>
        <v>318</v>
      </c>
      <c r="AJ224" s="3">
        <f>IF(ISERROR(VLOOKUP($A224,'SegEnds_NonXtal_BW#'!$A:$Z,25,FALSE)+VLOOKUP($A224,A:AL,37,FALSE)-50),"-",(VLOOKUP($A224,'SegEnds_NonXtal_BW#'!$A:$Z,25,FALSE)+VLOOKUP($A224,A:AL,37,FALSE)-50))</f>
        <v>319</v>
      </c>
      <c r="AK224" s="3">
        <v>322</v>
      </c>
      <c r="AL224" s="3">
        <f>IF(ISERROR((VLOOKUP($A224,'SegEnds_NonXtal_BW#'!$A:$Z,26,FALSE)+VLOOKUP($A224,A:AL,37,FALSE)-50)),"-",(VLOOKUP($A224,'SegEnds_NonXtal_BW#'!$A:$Z,26,FALSE)+VLOOKUP($A224,A:AL,37,FALSE)-50))</f>
        <v>332</v>
      </c>
      <c r="AM224" s="28" t="str">
        <f>VLOOKUP(A224,Classification!A:B,2,FALSE)</f>
        <v>A</v>
      </c>
      <c r="AN224" s="28" t="b">
        <f t="shared" si="133"/>
        <v>1</v>
      </c>
      <c r="AO224" s="3" t="str">
        <f>IF(ISERROR(MATCH(A224,'SegEnds_Xtal_Prot#'!B:B, 0)), "NoXtal", "Xtal")</f>
        <v>NoXtal</v>
      </c>
      <c r="AP224" s="3">
        <f t="shared" si="118"/>
        <v>9</v>
      </c>
      <c r="AQ224" s="3">
        <f t="shared" si="119"/>
        <v>1</v>
      </c>
      <c r="AR224" s="3" t="str">
        <f t="shared" si="120"/>
        <v>-</v>
      </c>
      <c r="AS224" s="3" t="str">
        <f t="shared" si="121"/>
        <v>-</v>
      </c>
      <c r="AT224" s="3">
        <f t="shared" si="122"/>
        <v>1</v>
      </c>
      <c r="AU224" s="3">
        <f t="shared" si="123"/>
        <v>1</v>
      </c>
      <c r="AV224" s="3">
        <f t="shared" si="124"/>
        <v>13</v>
      </c>
      <c r="AW224" s="3">
        <f t="shared" si="125"/>
        <v>5</v>
      </c>
      <c r="AX224" s="3">
        <f t="shared" si="126"/>
        <v>18</v>
      </c>
      <c r="AY224" s="3">
        <f t="shared" si="127"/>
        <v>5</v>
      </c>
      <c r="AZ224" s="3">
        <f t="shared" si="128"/>
        <v>1</v>
      </c>
      <c r="BA224" s="3">
        <f>IF(ISERROR(LEN(VLOOKUP(A224,Seqs!A:E,2,FALSE))-AL224),"-",LEN(VLOOKUP(A224,Seqs!A:E,2,FALSE))-AL224)</f>
        <v>26</v>
      </c>
      <c r="BB224" s="16">
        <f t="shared" si="129"/>
        <v>39</v>
      </c>
      <c r="BC224" s="9">
        <f t="shared" si="130"/>
        <v>20</v>
      </c>
      <c r="BD224" s="3">
        <f t="shared" si="131"/>
        <v>39</v>
      </c>
      <c r="BE224" s="3">
        <f t="shared" si="132"/>
        <v>70</v>
      </c>
      <c r="BF224" s="3">
        <f>AH224-AE224</f>
        <v>33</v>
      </c>
    </row>
    <row r="225" spans="1:58" s="3" customFormat="1" x14ac:dyDescent="0.2">
      <c r="A225" s="3" t="s">
        <v>363</v>
      </c>
      <c r="B225" s="3" t="str">
        <f>LOWER(VLOOKUP(A225,Xtal_Templ!A:B,2,FALSE))</f>
        <v>pe2r3_human</v>
      </c>
      <c r="C225" s="3">
        <f>VLOOKUP($A225,'SegEnds_NonXtal_BW#'!$A:$Z,3,FALSE)+D225-50</f>
        <v>52</v>
      </c>
      <c r="D225" s="3">
        <v>66</v>
      </c>
      <c r="E225" s="3">
        <f>IF(ISERROR(VLOOKUP($A225,'SegEnds_NonXtal_BW#'!$A:$Z,4,FALSE)+VLOOKUP($A225,A:AL,4,FALSE)-50),"-",(VLOOKUP($A225,'SegEnds_NonXtal_BW#'!$A:$Z,4,FALSE)+VLOOKUP($A225,A:AL,4,FALSE)-50))</f>
        <v>78</v>
      </c>
      <c r="F225" s="3" t="str">
        <f>IF(ISERROR(VLOOKUP($A225,'SegEnds_NonXtal_BW#'!$A:$Z,5,FALSE)+VLOOKUP($A225,A:AL,7,FALSE)-50),"-",(VLOOKUP($A225,'SegEnds_NonXtal_BW#'!$A:$Z,5,FALSE)+VLOOKUP($A225,A:AL,7,FALSE)-50))</f>
        <v>-</v>
      </c>
      <c r="G225" s="3" t="s">
        <v>23</v>
      </c>
      <c r="H225" s="3" t="str">
        <f>IF(ISERROR(VLOOKUP($A225,'SegEnds_NonXtal_BW#'!$A:$Z,6,FALSE)+VLOOKUP($A225,A:AL,7,FALSE)-50),"-",(VLOOKUP($A225,'SegEnds_NonXtal_BW#'!$A:$Z,6,FALSE)+VLOOKUP($A225,A:AL,7,FALSE)-50))</f>
        <v>-</v>
      </c>
      <c r="I225" s="3">
        <f>VLOOKUP($A225,'SegEnds_NonXtal_BW#'!$A:$Z,7,FALSE)+J225-50</f>
        <v>86</v>
      </c>
      <c r="J225" s="3">
        <v>99</v>
      </c>
      <c r="K225" s="3">
        <f>VLOOKUP($A225,'SegEnds_NonXtal_BW#'!$A:$Z,8,FALSE)+VLOOKUP($A225,A:AL,10,FALSE)-50</f>
        <v>117</v>
      </c>
      <c r="L225" s="3">
        <f>M225-1</f>
        <v>119</v>
      </c>
      <c r="M225" s="3">
        <v>120</v>
      </c>
      <c r="N225" s="3">
        <f>M225+2</f>
        <v>122</v>
      </c>
      <c r="O225" s="3">
        <f>N225+1</f>
        <v>123</v>
      </c>
      <c r="P225" s="3">
        <v>155</v>
      </c>
      <c r="Q225" s="3">
        <f>VLOOKUP($A225,'SegEnds_NonXtal_BW#'!$A:$Z,12,FALSE)+VLOOKUP($A225,A:AL,16,FALSE)-50</f>
        <v>161</v>
      </c>
      <c r="R225" s="3">
        <f>IF(ISERROR(VLOOKUP($A225,'SegEnds_NonXtal_BW#'!$A:$Z,13,FALSE)+VLOOKUP($A225,A:AL,19,FALSE)-50),"-",VLOOKUP($A225,'SegEnds_NonXtal_BW#'!$A:$Z,13,FALSE)+VLOOKUP($A225,A:AL,19,FALSE)-50)</f>
        <v>162</v>
      </c>
      <c r="S225" s="3">
        <v>162</v>
      </c>
      <c r="T225" s="100">
        <f>IF(ISERROR(VLOOKUP($A225,'SegEnds_NonXtal_BW#'!$A:$Z,14,FALSE)+VLOOKUP($A225,A:AL,19,FALSE)-50),"-",(VLOOKUP($A225,'SegEnds_NonXtal_BW#'!$A:$Z,14,FALSE)+VLOOKUP($A225,A:AL,19,FALSE)-50))</f>
        <v>169</v>
      </c>
      <c r="U225" s="9">
        <f>IF(ISERROR(VLOOKUP($A225,'SegEnds_NonXtal_BW#'!$A:$Z,15,FALSE)+VLOOKUP($A225,A:AL,22,FALSE)-50),"-",VLOOKUP($A225,'SegEnds_NonXtal_BW#'!$A:$Z,15,FALSE)+VLOOKUP($A225,A:AL,22,FALSE)-50)</f>
        <v>170</v>
      </c>
      <c r="V225" s="3">
        <v>182</v>
      </c>
      <c r="W225" s="3">
        <f>IF(ISERROR(VLOOKUP($A225,'SegEnds_NonXtal_BW#'!$A:$Z,16,FALSE)+VLOOKUP($A225,A:AL,22,FALSE)-50),"-",(VLOOKUP($A225,'SegEnds_NonXtal_BW#'!$A:$Z,16,FALSE)+VLOOKUP($A225,A:AL,22,FALSE)-50))</f>
        <v>195</v>
      </c>
      <c r="X225" s="3">
        <f>Y225</f>
        <v>208</v>
      </c>
      <c r="Y225" s="3">
        <v>208</v>
      </c>
      <c r="Z225" s="3">
        <f t="shared" si="117"/>
        <v>210</v>
      </c>
      <c r="AA225" s="3">
        <f>IF(ISERROR(VLOOKUP($A225,'SegEnds_NonXtal_BW#'!$A:$Z,19,FALSE)+VLOOKUP($A225,A:AL,28,FALSE)-50),"-",(VLOOKUP($A225,'SegEnds_NonXtal_BW#'!$A:$Z,19,FALSE)+VLOOKUP($A225,A:AL,28,FALSE)-50))</f>
        <v>225</v>
      </c>
      <c r="AB225" s="3">
        <v>241</v>
      </c>
      <c r="AC225" s="3">
        <f>IF(ISERROR((VLOOKUP($A225,'SegEnds_NonXtal_BW#'!$A:$Z,20,FALSE)+VLOOKUP($A225,A:AL,28,FALSE)-50)),"-",(VLOOKUP($A225,'SegEnds_NonXtal_BW#'!$A:$Z,20,FALSE)+VLOOKUP($A225,A:AL,28,FALSE)-50))</f>
        <v>264</v>
      </c>
      <c r="AD225" s="3">
        <f>IF(ISERROR(VLOOKUP($A225,'SegEnds_NonXtal_BW#'!$A:$Z,21,FALSE)+VLOOKUP($A225,A:AL,31,FALSE)-50),"-",(VLOOKUP($A225,'SegEnds_NonXtal_BW#'!$A:$Z,21,FALSE)+VLOOKUP($A225,A:AL,31,FALSE)-50))</f>
        <v>269</v>
      </c>
      <c r="AE225" s="3">
        <v>297</v>
      </c>
      <c r="AF225" s="3">
        <f>IF(ISERROR((VLOOKUP($A225,'SegEnds_NonXtal_BW#'!$A:$Z,22,FALSE)+VLOOKUP($A225,A:AL,31,FALSE)-50)),"-",(VLOOKUP($A225,'SegEnds_NonXtal_BW#'!$A:$Z,22,FALSE)+VLOOKUP($A225,A:AL,31,FALSE)-50))</f>
        <v>311</v>
      </c>
      <c r="AG225" s="3">
        <f>IF(ISERROR(VLOOKUP($A225,'SegEnds_NonXtal_BW#'!$A:$Z,23,FALSE)+VLOOKUP($A225,A:AL,34,FALSE)-50),"-",(VLOOKUP($A225,'SegEnds_NonXtal_BW#'!$A:$Z,23,FALSE)+VLOOKUP($A225,A:AL,34,FALSE)-50))</f>
        <v>317</v>
      </c>
      <c r="AH225" s="3">
        <v>343</v>
      </c>
      <c r="AI225" s="3">
        <f>IF(ISERROR((VLOOKUP($A225,'SegEnds_NonXtal_BW#'!$A:$Z,24,FALSE)+VLOOKUP($A225,A:AL,34,FALSE)-50)),"-",(VLOOKUP($A225,'SegEnds_NonXtal_BW#'!$A:$Z,24,FALSE)+VLOOKUP($A225,A:AL,34,FALSE)-50))</f>
        <v>346</v>
      </c>
      <c r="AJ225" s="3">
        <f>IF(ISERROR(VLOOKUP($A225,'SegEnds_NonXtal_BW#'!$A:$Z,25,FALSE)+VLOOKUP($A225,A:AL,37,FALSE)-50),"-",(VLOOKUP($A225,'SegEnds_NonXtal_BW#'!$A:$Z,25,FALSE)+VLOOKUP($A225,A:AL,37,FALSE)-50))</f>
        <v>347</v>
      </c>
      <c r="AK225" s="3">
        <v>353</v>
      </c>
      <c r="AL225" s="3">
        <f>IF(ISERROR((VLOOKUP($A225,'SegEnds_NonXtal_BW#'!$A:$Z,26,FALSE)+VLOOKUP($A225,A:AL,37,FALSE)-50)),"-",(VLOOKUP($A225,'SegEnds_NonXtal_BW#'!$A:$Z,26,FALSE)+VLOOKUP($A225,A:AL,37,FALSE)-50))</f>
        <v>369</v>
      </c>
      <c r="AM225" s="28" t="str">
        <f>VLOOKUP(A225,Classification!A:B,2,FALSE)</f>
        <v>A</v>
      </c>
      <c r="AN225" s="28" t="b">
        <f t="shared" si="133"/>
        <v>1</v>
      </c>
      <c r="AO225" s="3" t="str">
        <f>IF(ISERROR(MATCH(A225,'SegEnds_Xtal_Prot#'!B:B, 0)), "NoXtal", "Xtal")</f>
        <v>Xtal</v>
      </c>
      <c r="AP225" s="3" t="str">
        <f t="shared" si="118"/>
        <v>-</v>
      </c>
      <c r="AQ225" s="3" t="str">
        <f t="shared" si="119"/>
        <v>-</v>
      </c>
      <c r="AR225" s="3">
        <f t="shared" si="120"/>
        <v>2</v>
      </c>
      <c r="AS225" s="3">
        <f t="shared" si="121"/>
        <v>1</v>
      </c>
      <c r="AT225" s="3">
        <f t="shared" si="122"/>
        <v>1</v>
      </c>
      <c r="AU225" s="3">
        <f t="shared" si="123"/>
        <v>1</v>
      </c>
      <c r="AV225" s="3">
        <f t="shared" si="124"/>
        <v>13</v>
      </c>
      <c r="AW225" s="3">
        <f t="shared" si="125"/>
        <v>15</v>
      </c>
      <c r="AX225" s="3">
        <f t="shared" si="126"/>
        <v>5</v>
      </c>
      <c r="AY225" s="3">
        <f t="shared" si="127"/>
        <v>6</v>
      </c>
      <c r="AZ225" s="3">
        <f t="shared" si="128"/>
        <v>1</v>
      </c>
      <c r="BA225" s="3">
        <f>IF(ISERROR(LEN(VLOOKUP(A225,Seqs!A:E,2,FALSE))-AL225),"-",LEN(VLOOKUP(A225,Seqs!A:E,2,FALSE))-AL225)</f>
        <v>21</v>
      </c>
      <c r="BB225" s="16">
        <f t="shared" si="129"/>
        <v>33</v>
      </c>
      <c r="BC225" s="9">
        <f t="shared" si="130"/>
        <v>20</v>
      </c>
      <c r="BD225" s="3">
        <f t="shared" si="131"/>
        <v>33</v>
      </c>
      <c r="BE225" s="3">
        <f t="shared" si="132"/>
        <v>56</v>
      </c>
      <c r="BF225" s="3">
        <f>AH225-AE225</f>
        <v>46</v>
      </c>
    </row>
    <row r="226" spans="1:58" s="3" customFormat="1" x14ac:dyDescent="0.2">
      <c r="A226" s="3" t="s">
        <v>364</v>
      </c>
      <c r="B226" s="3" t="str">
        <f>LOWER(VLOOKUP(A226,Xtal_Templ!A:B,2,FALSE))</f>
        <v>pe2r4_human</v>
      </c>
      <c r="C226" s="3">
        <f>VLOOKUP($A226,'SegEnds_NonXtal_BW#'!$A:$Z,3,FALSE)+D226-50</f>
        <v>18</v>
      </c>
      <c r="D226" s="3">
        <v>35</v>
      </c>
      <c r="E226" s="3">
        <f>IF(ISERROR(VLOOKUP($A226,'SegEnds_NonXtal_BW#'!$A:$Z,4,FALSE)+VLOOKUP($A226,A:AL,4,FALSE)-50),"-",(VLOOKUP($A226,'SegEnds_NonXtal_BW#'!$A:$Z,4,FALSE)+VLOOKUP($A226,A:AL,4,FALSE)-50))</f>
        <v>43</v>
      </c>
      <c r="F226" s="3" t="str">
        <f>IF(ISERROR(VLOOKUP($A226,'SegEnds_NonXtal_BW#'!$A:$Z,5,FALSE)+VLOOKUP($A226,A:AL,7,FALSE)-50),"-",(VLOOKUP($A226,'SegEnds_NonXtal_BW#'!$A:$Z,5,FALSE)+VLOOKUP($A226,A:AL,7,FALSE)-50))</f>
        <v>-</v>
      </c>
      <c r="G226" s="3" t="s">
        <v>23</v>
      </c>
      <c r="H226" s="3" t="str">
        <f>IF(ISERROR(VLOOKUP($A226,'SegEnds_NonXtal_BW#'!$A:$Z,6,FALSE)+VLOOKUP($A226,A:AL,7,FALSE)-50),"-",(VLOOKUP($A226,'SegEnds_NonXtal_BW#'!$A:$Z,6,FALSE)+VLOOKUP($A226,A:AL,7,FALSE)-50))</f>
        <v>-</v>
      </c>
      <c r="I226" s="3">
        <f>VLOOKUP($A226,'SegEnds_NonXtal_BW#'!$A:$Z,7,FALSE)+J226-50</f>
        <v>52</v>
      </c>
      <c r="J226" s="3">
        <v>65</v>
      </c>
      <c r="K226" s="3">
        <f>VLOOKUP($A226,'SegEnds_NonXtal_BW#'!$A:$Z,8,FALSE)+VLOOKUP($A226,A:AL,10,FALSE)-50</f>
        <v>82</v>
      </c>
      <c r="L226" s="3">
        <f>M226-1</f>
        <v>84</v>
      </c>
      <c r="M226" s="3">
        <v>85</v>
      </c>
      <c r="N226" s="3">
        <f>M226+2</f>
        <v>87</v>
      </c>
      <c r="O226" s="3">
        <f>VLOOKUP($A226,'SegEnds_NonXtal_BW#'!$A:$Z,11,FALSE)+VLOOKUP($A226,A:AL,16,FALSE)-50</f>
        <v>88</v>
      </c>
      <c r="P226" s="3">
        <v>117</v>
      </c>
      <c r="Q226" s="3">
        <f>VLOOKUP($A226,'SegEnds_NonXtal_BW#'!$A:$Z,12,FALSE)+VLOOKUP($A226,A:AL,16,FALSE)-50</f>
        <v>123</v>
      </c>
      <c r="R226" s="3">
        <f>IF(ISERROR(VLOOKUP($A226,'SegEnds_NonXtal_BW#'!$A:$Z,13,FALSE)+VLOOKUP($A226,A:AL,19,FALSE)-50),"-",VLOOKUP($A226,'SegEnds_NonXtal_BW#'!$A:$Z,13,FALSE)+VLOOKUP($A226,A:AL,19,FALSE)-50)</f>
        <v>124</v>
      </c>
      <c r="S226" s="3">
        <v>124</v>
      </c>
      <c r="T226" s="100">
        <f>IF(ISERROR(VLOOKUP($A226,'SegEnds_NonXtal_BW#'!$A:$Z,14,FALSE)+VLOOKUP($A226,A:AL,19,FALSE)-50),"-",(VLOOKUP($A226,'SegEnds_NonXtal_BW#'!$A:$Z,14,FALSE)+VLOOKUP($A226,A:AL,19,FALSE)-50))</f>
        <v>131</v>
      </c>
      <c r="U226" s="9">
        <f>IF(ISERROR(VLOOKUP($A226,'SegEnds_NonXtal_BW#'!$A:$Z,15,FALSE)+VLOOKUP($A226,A:AL,22,FALSE)-50),"-",VLOOKUP($A226,'SegEnds_NonXtal_BW#'!$A:$Z,15,FALSE)+VLOOKUP($A226,A:AL,22,FALSE)-50)</f>
        <v>132</v>
      </c>
      <c r="V226" s="3">
        <v>144</v>
      </c>
      <c r="W226" s="3">
        <f>IF(ISERROR(VLOOKUP($A226,'SegEnds_NonXtal_BW#'!$A:$Z,16,FALSE)+VLOOKUP($A226,A:AL,22,FALSE)-50),"-",(VLOOKUP($A226,'SegEnds_NonXtal_BW#'!$A:$Z,16,FALSE)+VLOOKUP($A226,A:AL,22,FALSE)-50))</f>
        <v>157</v>
      </c>
      <c r="X226" s="3">
        <f>IF(ISERROR(VLOOKUP($A226,'SegEnds_NonXtal_BW#'!$A:$Z,17,FALSE)+VLOOKUP($A226,A:AL,25,FALSE)-50),"-",(VLOOKUP($A226,'SegEnds_NonXtal_BW#'!$A:$Z,17,FALSE)+VLOOKUP($A226,A:AL,25,FALSE)-50))</f>
        <v>170</v>
      </c>
      <c r="Y226" s="3">
        <v>170</v>
      </c>
      <c r="Z226" s="3">
        <f>IF(ISERROR(VLOOKUP($A226,'SegEnds_NonXtal_BW#'!$A:$Z,18,FALSE)+VLOOKUP($A226,A:AL,25,FALSE)-50),"-",(VLOOKUP($A226,'SegEnds_NonXtal_BW#'!$A:$Z,18,FALSE)+VLOOKUP($A226,A:AL,25,FALSE)-50))</f>
        <v>172</v>
      </c>
      <c r="AA226" s="3">
        <f>IF(ISERROR(VLOOKUP($A226,'SegEnds_NonXtal_BW#'!$A:$Z,19,FALSE)+VLOOKUP($A226,A:AL,28,FALSE)-50),"-",(VLOOKUP($A226,'SegEnds_NonXtal_BW#'!$A:$Z,19,FALSE)+VLOOKUP($A226,A:AL,28,FALSE)-50))</f>
        <v>178</v>
      </c>
      <c r="AB226" s="3">
        <v>195</v>
      </c>
      <c r="AC226" s="3">
        <f>IF(ISERROR((VLOOKUP($A226,'SegEnds_NonXtal_BW#'!$A:$Z,20,FALSE)+VLOOKUP($A226,A:AL,28,FALSE)-50)),"-",(VLOOKUP($A226,'SegEnds_NonXtal_BW#'!$A:$Z,20,FALSE)+VLOOKUP($A226,A:AL,28,FALSE)-50))</f>
        <v>221</v>
      </c>
      <c r="AD226" s="3">
        <f>IF(ISERROR(VLOOKUP($A226,'SegEnds_NonXtal_BW#'!$A:$Z,21,FALSE)+VLOOKUP($A226,A:AL,31,FALSE)-50),"-",(VLOOKUP($A226,'SegEnds_NonXtal_BW#'!$A:$Z,21,FALSE)+VLOOKUP($A226,A:AL,31,FALSE)-50))</f>
        <v>261</v>
      </c>
      <c r="AE226" s="3">
        <v>287</v>
      </c>
      <c r="AF226" s="3">
        <f>IF(ISERROR((VLOOKUP($A226,'SegEnds_NonXtal_BW#'!$A:$Z,22,FALSE)+VLOOKUP($A226,A:AL,31,FALSE)-50)),"-",(VLOOKUP($A226,'SegEnds_NonXtal_BW#'!$A:$Z,22,FALSE)+VLOOKUP($A226,A:AL,31,FALSE)-50))</f>
        <v>298</v>
      </c>
      <c r="AG226" s="3">
        <f>IF(ISERROR(VLOOKUP($A226,'SegEnds_NonXtal_BW#'!$A:$Z,23,FALSE)+VLOOKUP($A226,A:AL,34,FALSE)-50),"-",(VLOOKUP($A226,'SegEnds_NonXtal_BW#'!$A:$Z,23,FALSE)+VLOOKUP($A226,A:AL,34,FALSE)-50))</f>
        <v>309</v>
      </c>
      <c r="AH226" s="3">
        <v>326</v>
      </c>
      <c r="AI226" s="3">
        <f>IF(ISERROR((VLOOKUP($A226,'SegEnds_NonXtal_BW#'!$A:$Z,24,FALSE)+VLOOKUP($A226,A:AL,34,FALSE)-50)),"-",(VLOOKUP($A226,'SegEnds_NonXtal_BW#'!$A:$Z,24,FALSE)+VLOOKUP($A226,A:AL,34,FALSE)-50))</f>
        <v>332</v>
      </c>
      <c r="AJ226" s="3">
        <f>IF(ISERROR(VLOOKUP($A226,'SegEnds_NonXtal_BW#'!$A:$Z,25,FALSE)+VLOOKUP($A226,A:AL,37,FALSE)-50),"-",(VLOOKUP($A226,'SegEnds_NonXtal_BW#'!$A:$Z,25,FALSE)+VLOOKUP($A226,A:AL,37,FALSE)-50))</f>
        <v>333</v>
      </c>
      <c r="AK226" s="3">
        <v>336</v>
      </c>
      <c r="AL226" s="3">
        <f>IF(ISERROR((VLOOKUP($A226,'SegEnds_NonXtal_BW#'!$A:$Z,26,FALSE)+VLOOKUP($A226,A:AL,37,FALSE)-50)),"-",(VLOOKUP($A226,'SegEnds_NonXtal_BW#'!$A:$Z,26,FALSE)+VLOOKUP($A226,A:AL,37,FALSE)-50))</f>
        <v>346</v>
      </c>
      <c r="AM226" s="28" t="str">
        <f>VLOOKUP(A226,Classification!A:B,2,FALSE)</f>
        <v>A</v>
      </c>
      <c r="AN226" s="28" t="b">
        <f t="shared" si="133"/>
        <v>1</v>
      </c>
      <c r="AO226" s="3" t="str">
        <f>IF(ISERROR(MATCH(A226,'SegEnds_Xtal_Prot#'!B:B, 0)), "NoXtal", "Xtal")</f>
        <v>Xtal</v>
      </c>
      <c r="AP226" s="3" t="str">
        <f t="shared" si="118"/>
        <v>-</v>
      </c>
      <c r="AQ226" s="3" t="str">
        <f t="shared" si="119"/>
        <v>-</v>
      </c>
      <c r="AR226" s="3">
        <f t="shared" si="120"/>
        <v>2</v>
      </c>
      <c r="AS226" s="3">
        <f t="shared" si="121"/>
        <v>1</v>
      </c>
      <c r="AT226" s="3">
        <f t="shared" si="122"/>
        <v>1</v>
      </c>
      <c r="AU226" s="3">
        <f t="shared" si="123"/>
        <v>1</v>
      </c>
      <c r="AV226" s="3">
        <f t="shared" si="124"/>
        <v>13</v>
      </c>
      <c r="AW226" s="3">
        <f t="shared" si="125"/>
        <v>6</v>
      </c>
      <c r="AX226" s="3">
        <f t="shared" si="126"/>
        <v>40</v>
      </c>
      <c r="AY226" s="3">
        <f t="shared" si="127"/>
        <v>11</v>
      </c>
      <c r="AZ226" s="3">
        <f t="shared" si="128"/>
        <v>1</v>
      </c>
      <c r="BA226" s="3">
        <f>IF(ISERROR(LEN(VLOOKUP(A226,Seqs!A:E,2,FALSE))-AL226),"-",LEN(VLOOKUP(A226,Seqs!A:E,2,FALSE))-AL226)</f>
        <v>142</v>
      </c>
      <c r="BB226" s="16">
        <f t="shared" si="129"/>
        <v>30</v>
      </c>
      <c r="BC226" s="9">
        <f t="shared" si="130"/>
        <v>20</v>
      </c>
      <c r="BD226" s="3">
        <f t="shared" si="131"/>
        <v>30</v>
      </c>
      <c r="BE226" s="3">
        <f t="shared" si="132"/>
        <v>92</v>
      </c>
    </row>
    <row r="227" spans="1:58" s="3" customFormat="1" x14ac:dyDescent="0.2">
      <c r="A227" s="3" t="s">
        <v>365</v>
      </c>
      <c r="B227" s="3" t="str">
        <f>LOWER(VLOOKUP(A227,Xtal_Templ!A:B,2,FALSE))</f>
        <v>ta2r_human</v>
      </c>
      <c r="C227" s="3">
        <f>VLOOKUP($A227,'SegEnds_NonXtal_BW#'!$A:$Z,3,FALSE)+D227-50</f>
        <v>29</v>
      </c>
      <c r="D227" s="3">
        <v>44</v>
      </c>
      <c r="E227" s="3">
        <f>IF(ISERROR(VLOOKUP($A227,'SegEnds_NonXtal_BW#'!$A:$Z,4,FALSE)+VLOOKUP($A227,A:AL,4,FALSE)-50),"-",(VLOOKUP($A227,'SegEnds_NonXtal_BW#'!$A:$Z,4,FALSE)+VLOOKUP($A227,A:AL,4,FALSE)-50))</f>
        <v>55</v>
      </c>
      <c r="F227" s="3">
        <f>G227-2</f>
        <v>56</v>
      </c>
      <c r="G227" s="3">
        <v>58</v>
      </c>
      <c r="H227" s="3">
        <f>G227+1</f>
        <v>59</v>
      </c>
      <c r="I227" s="3">
        <f>H227+1</f>
        <v>60</v>
      </c>
      <c r="J227" s="3">
        <v>77</v>
      </c>
      <c r="K227" s="3">
        <f>VLOOKUP($A227,'SegEnds_NonXtal_BW#'!$A:$Z,8,FALSE)+VLOOKUP($A227,A:AL,10,FALSE)-50</f>
        <v>94</v>
      </c>
      <c r="L227" s="3">
        <f>M227-1</f>
        <v>97</v>
      </c>
      <c r="M227" s="3">
        <v>98</v>
      </c>
      <c r="N227" s="3">
        <f>M227+2</f>
        <v>100</v>
      </c>
      <c r="O227" s="3">
        <f>N227+1</f>
        <v>101</v>
      </c>
      <c r="P227" s="3">
        <v>133</v>
      </c>
      <c r="Q227" s="3">
        <f>VLOOKUP($A227,'SegEnds_NonXtal_BW#'!$A:$Z,12,FALSE)+VLOOKUP($A227,A:AL,16,FALSE)-50</f>
        <v>139</v>
      </c>
      <c r="R227" s="3">
        <f>IF(ISERROR(VLOOKUP($A227,'SegEnds_NonXtal_BW#'!$A:$Z,13,FALSE)+VLOOKUP($A227,A:AL,19,FALSE)-50),"-",VLOOKUP($A227,'SegEnds_NonXtal_BW#'!$A:$Z,13,FALSE)+VLOOKUP($A227,A:AL,19,FALSE)-50)</f>
        <v>140</v>
      </c>
      <c r="S227" s="3">
        <v>140</v>
      </c>
      <c r="T227" s="100">
        <f>IF(ISERROR(VLOOKUP($A227,'SegEnds_NonXtal_BW#'!$A:$Z,14,FALSE)+VLOOKUP($A227,A:AL,19,FALSE)-50),"-",(VLOOKUP($A227,'SegEnds_NonXtal_BW#'!$A:$Z,14,FALSE)+VLOOKUP($A227,A:AL,19,FALSE)-50))</f>
        <v>147</v>
      </c>
      <c r="U227" s="9">
        <f>IF(ISERROR(VLOOKUP($A227,'SegEnds_NonXtal_BW#'!$A:$Z,15,FALSE)+VLOOKUP($A227,A:AL,22,FALSE)-50),"-",VLOOKUP($A227,'SegEnds_NonXtal_BW#'!$A:$Z,15,FALSE)+VLOOKUP($A227,A:AL,22,FALSE)-50)</f>
        <v>148</v>
      </c>
      <c r="V227" s="3">
        <v>160</v>
      </c>
      <c r="W227" s="3">
        <f>IF(ISERROR(VLOOKUP($A227,'SegEnds_NonXtal_BW#'!$A:$Z,16,FALSE)+VLOOKUP($A227,A:AL,22,FALSE)-50),"-",(VLOOKUP($A227,'SegEnds_NonXtal_BW#'!$A:$Z,16,FALSE)+VLOOKUP($A227,A:AL,22,FALSE)-50))</f>
        <v>173</v>
      </c>
      <c r="X227" s="3">
        <f>IF(ISERROR(VLOOKUP($A227,'SegEnds_NonXtal_BW#'!$A:$Z,17,FALSE)+VLOOKUP($A227,A:AL,25,FALSE)-50),"-",(VLOOKUP($A227,'SegEnds_NonXtal_BW#'!$A:$Z,17,FALSE)+VLOOKUP($A227,A:AL,25,FALSE)-50))</f>
        <v>186</v>
      </c>
      <c r="Y227" s="3">
        <v>186</v>
      </c>
      <c r="Z227" s="3">
        <f t="shared" ref="Z227:Z232" si="138">Y227+2</f>
        <v>188</v>
      </c>
      <c r="AA227" s="3">
        <f>IF(ISERROR(VLOOKUP($A227,'SegEnds_NonXtal_BW#'!$A:$Z,19,FALSE)+VLOOKUP($A227,A:AL,28,FALSE)-50),"-",(VLOOKUP($A227,'SegEnds_NonXtal_BW#'!$A:$Z,19,FALSE)+VLOOKUP($A227,A:AL,28,FALSE)-50))</f>
        <v>199</v>
      </c>
      <c r="AB227" s="3">
        <v>214</v>
      </c>
      <c r="AC227" s="3">
        <f>IF(ISERROR((VLOOKUP($A227,'SegEnds_NonXtal_BW#'!$A:$Z,20,FALSE)+VLOOKUP($A227,A:AL,28,FALSE)-50)),"-",(VLOOKUP($A227,'SegEnds_NonXtal_BW#'!$A:$Z,20,FALSE)+VLOOKUP($A227,A:AL,28,FALSE)-50))</f>
        <v>236</v>
      </c>
      <c r="AD227" s="3">
        <f>IF(ISERROR(VLOOKUP($A227,'SegEnds_NonXtal_BW#'!$A:$Z,21,FALSE)+VLOOKUP($A227,A:AL,31,FALSE)-50),"-",(VLOOKUP($A227,'SegEnds_NonXtal_BW#'!$A:$Z,21,FALSE)+VLOOKUP($A227,A:AL,31,FALSE)-50))</f>
        <v>243</v>
      </c>
      <c r="AE227" s="3">
        <v>264</v>
      </c>
      <c r="AF227" s="3">
        <f>IF(ISERROR((VLOOKUP($A227,'SegEnds_NonXtal_BW#'!$A:$Z,22,FALSE)+VLOOKUP($A227,A:AL,31,FALSE)-50)),"-",(VLOOKUP($A227,'SegEnds_NonXtal_BW#'!$A:$Z,22,FALSE)+VLOOKUP($A227,A:AL,31,FALSE)-50))</f>
        <v>275</v>
      </c>
      <c r="AG227" s="3">
        <f>IF(ISERROR(VLOOKUP($A227,'SegEnds_NonXtal_BW#'!$A:$Z,23,FALSE)+VLOOKUP($A227,A:AL,34,FALSE)-50),"-",(VLOOKUP($A227,'SegEnds_NonXtal_BW#'!$A:$Z,23,FALSE)+VLOOKUP($A227,A:AL,34,FALSE)-50))</f>
        <v>282</v>
      </c>
      <c r="AH227" s="3">
        <v>301</v>
      </c>
      <c r="AI227" s="3">
        <f>IF(ISERROR((VLOOKUP($A227,'SegEnds_NonXtal_BW#'!$A:$Z,24,FALSE)+VLOOKUP($A227,A:AL,34,FALSE)-50)),"-",(VLOOKUP($A227,'SegEnds_NonXtal_BW#'!$A:$Z,24,FALSE)+VLOOKUP($A227,A:AL,34,FALSE)-50))</f>
        <v>307</v>
      </c>
      <c r="AJ227" s="3">
        <f>IF(ISERROR(VLOOKUP($A227,'SegEnds_NonXtal_BW#'!$A:$Z,25,FALSE)+VLOOKUP($A227,A:AL,37,FALSE)-50),"-",(VLOOKUP($A227,'SegEnds_NonXtal_BW#'!$A:$Z,25,FALSE)+VLOOKUP($A227,A:AL,37,FALSE)-50))</f>
        <v>308</v>
      </c>
      <c r="AK227" s="3">
        <v>311</v>
      </c>
      <c r="AL227" s="3">
        <f>IF(ISERROR((VLOOKUP($A227,'SegEnds_NonXtal_BW#'!$A:$Z,26,FALSE)+VLOOKUP($A227,A:AL,37,FALSE)-50)),"-",(VLOOKUP($A227,'SegEnds_NonXtal_BW#'!$A:$Z,26,FALSE)+VLOOKUP($A227,A:AL,37,FALSE)-50))</f>
        <v>327</v>
      </c>
      <c r="AM227" s="28" t="str">
        <f>VLOOKUP(A227,Classification!A:B,2,FALSE)</f>
        <v>A</v>
      </c>
      <c r="AN227" s="28" t="b">
        <f t="shared" si="133"/>
        <v>1</v>
      </c>
      <c r="AO227" s="3" t="str">
        <f>IF(ISERROR(MATCH(A227,'SegEnds_Xtal_Prot#'!B:B, 0)), "NoXtal", "Xtal")</f>
        <v>NoXtal</v>
      </c>
      <c r="AP227" s="3">
        <f t="shared" si="118"/>
        <v>1</v>
      </c>
      <c r="AQ227" s="3">
        <f t="shared" si="119"/>
        <v>1</v>
      </c>
      <c r="AR227" s="3">
        <f t="shared" si="120"/>
        <v>3</v>
      </c>
      <c r="AS227" s="3">
        <f t="shared" si="121"/>
        <v>1</v>
      </c>
      <c r="AT227" s="3">
        <f t="shared" si="122"/>
        <v>1</v>
      </c>
      <c r="AU227" s="3">
        <f t="shared" si="123"/>
        <v>1</v>
      </c>
      <c r="AV227" s="3">
        <f t="shared" si="124"/>
        <v>13</v>
      </c>
      <c r="AW227" s="3">
        <f t="shared" si="125"/>
        <v>11</v>
      </c>
      <c r="AX227" s="3">
        <f t="shared" si="126"/>
        <v>7</v>
      </c>
      <c r="AY227" s="3">
        <f t="shared" si="127"/>
        <v>7</v>
      </c>
      <c r="AZ227" s="3">
        <f t="shared" si="128"/>
        <v>1</v>
      </c>
      <c r="BA227" s="3">
        <f>IF(ISERROR(LEN(VLOOKUP(A227,Seqs!A:E,2,FALSE))-AL227),"-",LEN(VLOOKUP(A227,Seqs!A:E,2,FALSE))-AL227)</f>
        <v>32</v>
      </c>
      <c r="BB227" s="16">
        <f t="shared" si="129"/>
        <v>33</v>
      </c>
      <c r="BC227" s="9">
        <f t="shared" si="130"/>
        <v>20</v>
      </c>
      <c r="BD227" s="3">
        <f t="shared" si="131"/>
        <v>33</v>
      </c>
      <c r="BE227" s="3">
        <f t="shared" si="132"/>
        <v>50</v>
      </c>
    </row>
    <row r="228" spans="1:58" s="3" customFormat="1" x14ac:dyDescent="0.2">
      <c r="A228" s="3" t="s">
        <v>366</v>
      </c>
      <c r="B228" s="3" t="str">
        <f>LOWER(VLOOKUP(A228,Xtal_Templ!A:B,2,FALSE))</f>
        <v>pe2r4_human</v>
      </c>
      <c r="C228" s="3">
        <f>VLOOKUP($A228,'SegEnds_NonXtal_BW#'!$A:$Z,3,FALSE)+D228-50</f>
        <v>14</v>
      </c>
      <c r="D228" s="3">
        <v>31</v>
      </c>
      <c r="E228" s="3">
        <f>IF(ISERROR(VLOOKUP($A228,'SegEnds_NonXtal_BW#'!$A:$Z,4,FALSE)+VLOOKUP($A228,A:AL,4,FALSE)-50),"-",(VLOOKUP($A228,'SegEnds_NonXtal_BW#'!$A:$Z,4,FALSE)+VLOOKUP($A228,A:AL,4,FALSE)-50))</f>
        <v>39</v>
      </c>
      <c r="F228" s="3" t="str">
        <f>IF(ISERROR(VLOOKUP($A228,'SegEnds_NonXtal_BW#'!$A:$Z,5,FALSE)+VLOOKUP($A228,A:AL,7,FALSE)-50),"-",(VLOOKUP($A228,'SegEnds_NonXtal_BW#'!$A:$Z,5,FALSE)+VLOOKUP($A228,A:AL,7,FALSE)-50))</f>
        <v>-</v>
      </c>
      <c r="G228" s="3" t="s">
        <v>23</v>
      </c>
      <c r="H228" s="3" t="str">
        <f>IF(ISERROR(VLOOKUP($A228,'SegEnds_NonXtal_BW#'!$A:$Z,6,FALSE)+VLOOKUP($A228,A:AL,7,FALSE)-50),"-",(VLOOKUP($A228,'SegEnds_NonXtal_BW#'!$A:$Z,6,FALSE)+VLOOKUP($A228,A:AL,7,FALSE)-50))</f>
        <v>-</v>
      </c>
      <c r="I228" s="3">
        <f>VLOOKUP($A228,'SegEnds_NonXtal_BW#'!$A:$Z,7,FALSE)+J228-50</f>
        <v>47</v>
      </c>
      <c r="J228" s="3">
        <v>60</v>
      </c>
      <c r="K228" s="3">
        <f>VLOOKUP($A228,'SegEnds_NonXtal_BW#'!$A:$Z,8,FALSE)+VLOOKUP($A228,A:AL,10,FALSE)-50</f>
        <v>77</v>
      </c>
      <c r="L228" s="3" t="str">
        <f>IF(ISERROR(VLOOKUP($A228,'SegEnds_NonXtal_BW#'!$A:$Z,9,FALSE)+VLOOKUP($A228,A:AL,13,FALSE)-50),"-",(VLOOKUP($A228,'SegEnds_NonXtal_BW#'!$A:$Z,9,FALSE)+VLOOKUP($A228,A:AL,13,FALSE)-50))</f>
        <v>-</v>
      </c>
      <c r="M228" s="3" t="s">
        <v>23</v>
      </c>
      <c r="N228" s="3" t="str">
        <f>IF(ISERROR(VLOOKUP($A228,'SegEnds_NonXtal_BW#'!$A:$Z,10,FALSE)+VLOOKUP($A228,A:AL,13,FALSE)-50),"-",(VLOOKUP($A228,'SegEnds_NonXtal_BW#'!$A:$Z,10,FALSE)+VLOOKUP($A228,A:AL,13,FALSE)-50))</f>
        <v>-</v>
      </c>
      <c r="O228" s="3">
        <f>VLOOKUP($A228,'SegEnds_NonXtal_BW#'!$A:$Z,11,FALSE)+VLOOKUP($A228,A:AL,16,FALSE)-50</f>
        <v>85</v>
      </c>
      <c r="P228" s="3">
        <v>117</v>
      </c>
      <c r="Q228" s="3">
        <f>VLOOKUP($A228,'SegEnds_NonXtal_BW#'!$A:$Z,12,FALSE)+VLOOKUP($A228,A:AL,16,FALSE)-50</f>
        <v>123</v>
      </c>
      <c r="R228" s="3">
        <f>IF(ISERROR(VLOOKUP($A228,'SegEnds_NonXtal_BW#'!$A:$Z,13,FALSE)+VLOOKUP($A228,A:AL,19,FALSE)-50),"-",VLOOKUP($A228,'SegEnds_NonXtal_BW#'!$A:$Z,13,FALSE)+VLOOKUP($A228,A:AL,19,FALSE)-50)</f>
        <v>124</v>
      </c>
      <c r="S228" s="3">
        <v>124</v>
      </c>
      <c r="T228" s="100">
        <f>IF(ISERROR(VLOOKUP($A228,'SegEnds_NonXtal_BW#'!$A:$Z,14,FALSE)+VLOOKUP($A228,A:AL,19,FALSE)-50),"-",(VLOOKUP($A228,'SegEnds_NonXtal_BW#'!$A:$Z,14,FALSE)+VLOOKUP($A228,A:AL,19,FALSE)-50))</f>
        <v>131</v>
      </c>
      <c r="U228" s="9">
        <f>IF(ISERROR(VLOOKUP($A228,'SegEnds_NonXtal_BW#'!$A:$Z,15,FALSE)+VLOOKUP($A228,A:AL,22,FALSE)-50),"-",VLOOKUP($A228,'SegEnds_NonXtal_BW#'!$A:$Z,15,FALSE)+VLOOKUP($A228,A:AL,22,FALSE)-50)</f>
        <v>132</v>
      </c>
      <c r="V228" s="3">
        <v>144</v>
      </c>
      <c r="W228" s="3">
        <f>IF(ISERROR(VLOOKUP($A228,'SegEnds_NonXtal_BW#'!$A:$Z,16,FALSE)+VLOOKUP($A228,A:AL,22,FALSE)-50),"-",(VLOOKUP($A228,'SegEnds_NonXtal_BW#'!$A:$Z,16,FALSE)+VLOOKUP($A228,A:AL,22,FALSE)-50))</f>
        <v>157</v>
      </c>
      <c r="X228" s="3">
        <f>IF(ISERROR(VLOOKUP($A228,'SegEnds_NonXtal_BW#'!$A:$Z,17,FALSE)+VLOOKUP($A228,A:AL,25,FALSE)-50),"-",(VLOOKUP($A228,'SegEnds_NonXtal_BW#'!$A:$Z,17,FALSE)+VLOOKUP($A228,A:AL,25,FALSE)-50))</f>
        <v>170</v>
      </c>
      <c r="Y228" s="3">
        <v>170</v>
      </c>
      <c r="Z228" s="3">
        <f t="shared" si="138"/>
        <v>172</v>
      </c>
      <c r="AA228" s="3">
        <f>IF(ISERROR(VLOOKUP($A228,'SegEnds_NonXtal_BW#'!$A:$Z,19,FALSE)+VLOOKUP($A228,A:AL,28,FALSE)-50),"-",(VLOOKUP($A228,'SegEnds_NonXtal_BW#'!$A:$Z,19,FALSE)+VLOOKUP($A228,A:AL,28,FALSE)-50))</f>
        <v>180</v>
      </c>
      <c r="AB228" s="3">
        <v>197</v>
      </c>
      <c r="AC228" s="3">
        <f>IF(ISERROR((VLOOKUP($A228,'SegEnds_NonXtal_BW#'!$A:$Z,20,FALSE)+VLOOKUP($A228,A:AL,28,FALSE)-50)),"-",(VLOOKUP($A228,'SegEnds_NonXtal_BW#'!$A:$Z,20,FALSE)+VLOOKUP($A228,A:AL,28,FALSE)-50))</f>
        <v>220</v>
      </c>
      <c r="AD228" s="3">
        <f>IF(ISERROR(VLOOKUP($A228,'SegEnds_NonXtal_BW#'!$A:$Z,21,FALSE)+VLOOKUP($A228,A:AL,31,FALSE)-50),"-",(VLOOKUP($A228,'SegEnds_NonXtal_BW#'!$A:$Z,21,FALSE)+VLOOKUP($A228,A:AL,31,FALSE)-50))</f>
        <v>226</v>
      </c>
      <c r="AE228" s="3">
        <v>254</v>
      </c>
      <c r="AF228" s="3">
        <f>IF(ISERROR((VLOOKUP($A228,'SegEnds_NonXtal_BW#'!$A:$Z,22,FALSE)+VLOOKUP($A228,A:AL,31,FALSE)-50)),"-",(VLOOKUP($A228,'SegEnds_NonXtal_BW#'!$A:$Z,22,FALSE)+VLOOKUP($A228,A:AL,31,FALSE)-50))</f>
        <v>265</v>
      </c>
      <c r="AG228" s="3">
        <f>IF(ISERROR(VLOOKUP($A228,'SegEnds_NonXtal_BW#'!$A:$Z,23,FALSE)+VLOOKUP($A228,A:AL,34,FALSE)-50),"-",(VLOOKUP($A228,'SegEnds_NonXtal_BW#'!$A:$Z,23,FALSE)+VLOOKUP($A228,A:AL,34,FALSE)-50))</f>
        <v>270</v>
      </c>
      <c r="AH228" s="3">
        <v>289</v>
      </c>
      <c r="AI228" s="3">
        <f>IF(ISERROR((VLOOKUP($A228,'SegEnds_NonXtal_BW#'!$A:$Z,24,FALSE)+VLOOKUP($A228,A:AL,34,FALSE)-50)),"-",(VLOOKUP($A228,'SegEnds_NonXtal_BW#'!$A:$Z,24,FALSE)+VLOOKUP($A228,A:AL,34,FALSE)-50))</f>
        <v>295</v>
      </c>
      <c r="AJ228" s="3">
        <f>IF(ISERROR(VLOOKUP($A228,'SegEnds_NonXtal_BW#'!$A:$Z,25,FALSE)+VLOOKUP($A228,A:AL,37,FALSE)-50),"-",(VLOOKUP($A228,'SegEnds_NonXtal_BW#'!$A:$Z,25,FALSE)+VLOOKUP($A228,A:AL,37,FALSE)-50))</f>
        <v>296</v>
      </c>
      <c r="AK228" s="3">
        <v>299</v>
      </c>
      <c r="AL228" s="3">
        <f>IF(ISERROR((VLOOKUP($A228,'SegEnds_NonXtal_BW#'!$A:$Z,26,FALSE)+VLOOKUP($A228,A:AL,37,FALSE)-50)),"-",(VLOOKUP($A228,'SegEnds_NonXtal_BW#'!$A:$Z,26,FALSE)+VLOOKUP($A228,A:AL,37,FALSE)-50))</f>
        <v>309</v>
      </c>
      <c r="AM228" s="28" t="str">
        <f>VLOOKUP(A228,Classification!A:B,2,FALSE)</f>
        <v>A</v>
      </c>
      <c r="AN228" s="28" t="b">
        <f t="shared" si="133"/>
        <v>1</v>
      </c>
      <c r="AO228" s="3" t="str">
        <f>IF(ISERROR(MATCH(A228,'SegEnds_Xtal_Prot#'!B:B, 0)), "NoXtal", "Xtal")</f>
        <v>NoXtal</v>
      </c>
      <c r="AP228" s="3" t="str">
        <f t="shared" si="118"/>
        <v>-</v>
      </c>
      <c r="AQ228" s="3" t="str">
        <f t="shared" si="119"/>
        <v>-</v>
      </c>
      <c r="AR228" s="3" t="str">
        <f t="shared" si="120"/>
        <v>-</v>
      </c>
      <c r="AS228" s="3" t="str">
        <f t="shared" si="121"/>
        <v>-</v>
      </c>
      <c r="AT228" s="3">
        <f t="shared" si="122"/>
        <v>1</v>
      </c>
      <c r="AU228" s="3">
        <f t="shared" si="123"/>
        <v>1</v>
      </c>
      <c r="AV228" s="3">
        <f t="shared" si="124"/>
        <v>13</v>
      </c>
      <c r="AW228" s="3">
        <f t="shared" si="125"/>
        <v>8</v>
      </c>
      <c r="AX228" s="3">
        <f t="shared" si="126"/>
        <v>6</v>
      </c>
      <c r="AY228" s="3">
        <f t="shared" si="127"/>
        <v>5</v>
      </c>
      <c r="AZ228" s="3">
        <f t="shared" si="128"/>
        <v>1</v>
      </c>
      <c r="BA228" s="3">
        <f>IF(ISERROR(LEN(VLOOKUP(A228,Seqs!A:E,2,FALSE))-AL228),"-",LEN(VLOOKUP(A228,Seqs!A:E,2,FALSE))-AL228)</f>
        <v>77</v>
      </c>
      <c r="BB228" s="16">
        <f t="shared" si="129"/>
        <v>29</v>
      </c>
      <c r="BC228" s="9">
        <f t="shared" si="130"/>
        <v>20</v>
      </c>
      <c r="BD228" s="3">
        <f t="shared" si="131"/>
        <v>29</v>
      </c>
      <c r="BE228" s="3">
        <f t="shared" si="132"/>
        <v>57</v>
      </c>
    </row>
    <row r="229" spans="1:58" s="3" customFormat="1" x14ac:dyDescent="0.2">
      <c r="A229" s="3" t="s">
        <v>370</v>
      </c>
      <c r="B229" s="3" t="str">
        <f>LOWER(VLOOKUP(A229,Xtal_Templ!A:B,2,FALSE))</f>
        <v>p2ry1_human</v>
      </c>
      <c r="C229" s="3">
        <f>VLOOKUP($A229,'SegEnds_NonXtal_BW#'!$A:$Z,3,FALSE)+D229-50</f>
        <v>12</v>
      </c>
      <c r="D229" s="3">
        <v>32</v>
      </c>
      <c r="E229" s="3">
        <f>IF(ISERROR(VLOOKUP($A229,'SegEnds_NonXtal_BW#'!$A:$Z,4,FALSE)+VLOOKUP($A229,A:AL,4,FALSE)-50),"-",(VLOOKUP($A229,'SegEnds_NonXtal_BW#'!$A:$Z,4,FALSE)+VLOOKUP($A229,A:AL,4,FALSE)-50))</f>
        <v>42</v>
      </c>
      <c r="F229" s="3" t="str">
        <f>IF(ISERROR(VLOOKUP($A229,'SegEnds_NonXtal_BW#'!$A:$Z,5,FALSE)+VLOOKUP($A229,A:AL,7,FALSE)-50),"-",(VLOOKUP($A229,'SegEnds_NonXtal_BW#'!$A:$Z,5,FALSE)+VLOOKUP($A229,A:AL,7,FALSE)-50))</f>
        <v>-</v>
      </c>
      <c r="G229" s="3" t="s">
        <v>23</v>
      </c>
      <c r="H229" s="3" t="str">
        <f>IF(ISERROR(VLOOKUP($A229,'SegEnds_NonXtal_BW#'!$A:$Z,6,FALSE)+VLOOKUP($A229,A:AL,7,FALSE)-50),"-",(VLOOKUP($A229,'SegEnds_NonXtal_BW#'!$A:$Z,6,FALSE)+VLOOKUP($A229,A:AL,7,FALSE)-50))</f>
        <v>-</v>
      </c>
      <c r="I229" s="3">
        <f>VLOOKUP($A229,'SegEnds_NonXtal_BW#'!$A:$Z,7,FALSE)+J229-50</f>
        <v>47</v>
      </c>
      <c r="J229" s="3">
        <v>60</v>
      </c>
      <c r="K229" s="3">
        <f>VLOOKUP($A229,'SegEnds_NonXtal_BW#'!$A:$Z,8,FALSE)+VLOOKUP($A229,A:AL,10,FALSE)-50</f>
        <v>76</v>
      </c>
      <c r="L229" s="3">
        <f>M229-1</f>
        <v>79</v>
      </c>
      <c r="M229" s="3">
        <v>80</v>
      </c>
      <c r="N229" s="3">
        <f>M229+2</f>
        <v>82</v>
      </c>
      <c r="O229" s="3">
        <f t="shared" ref="O229:O251" si="139">N229+1</f>
        <v>83</v>
      </c>
      <c r="P229" s="3">
        <v>112</v>
      </c>
      <c r="Q229" s="3">
        <f>VLOOKUP($A229,'SegEnds_NonXtal_BW#'!$A:$Z,12,FALSE)+VLOOKUP($A229,A:AL,16,FALSE)-50</f>
        <v>118</v>
      </c>
      <c r="R229" s="3">
        <f>IF(ISERROR(VLOOKUP($A229,'SegEnds_NonXtal_BW#'!$A:$Z,13,FALSE)+VLOOKUP($A229,A:AL,19,FALSE)-50),"-",VLOOKUP($A229,'SegEnds_NonXtal_BW#'!$A:$Z,13,FALSE)+VLOOKUP($A229,A:AL,19,FALSE)-50)</f>
        <v>119</v>
      </c>
      <c r="S229" s="3">
        <v>119</v>
      </c>
      <c r="T229" s="100">
        <f>IF(ISERROR(VLOOKUP($A229,'SegEnds_NonXtal_BW#'!$A:$Z,14,FALSE)+VLOOKUP($A229,A:AL,19,FALSE)-50),"-",(VLOOKUP($A229,'SegEnds_NonXtal_BW#'!$A:$Z,14,FALSE)+VLOOKUP($A229,A:AL,19,FALSE)-50))</f>
        <v>126</v>
      </c>
      <c r="U229" s="9">
        <f>IF(ISERROR(VLOOKUP($A229,'SegEnds_NonXtal_BW#'!$A:$Z,15,FALSE)+VLOOKUP($A229,A:AL,22,FALSE)-50),"-",VLOOKUP($A229,'SegEnds_NonXtal_BW#'!$A:$Z,15,FALSE)+VLOOKUP($A229,A:AL,22,FALSE)-50)</f>
        <v>127</v>
      </c>
      <c r="V229" s="3">
        <v>139</v>
      </c>
      <c r="W229" s="3">
        <f>IF(ISERROR(VLOOKUP($A229,'SegEnds_NonXtal_BW#'!$A:$Z,16,FALSE)+VLOOKUP($A229,A:AL,22,FALSE)-50),"-",(VLOOKUP($A229,'SegEnds_NonXtal_BW#'!$A:$Z,16,FALSE)+VLOOKUP($A229,A:AL,22,FALSE)-50))</f>
        <v>153</v>
      </c>
      <c r="X229" s="3">
        <f>IF(ISERROR(VLOOKUP($A229,'SegEnds_NonXtal_BW#'!$A:$Z,17,FALSE)+VLOOKUP($A229,A:AL,25,FALSE)-50),"-",(VLOOKUP($A229,'SegEnds_NonXtal_BW#'!$A:$Z,17,FALSE)+VLOOKUP($A229,A:AL,25,FALSE)-50))</f>
        <v>170</v>
      </c>
      <c r="Y229" s="3">
        <v>170</v>
      </c>
      <c r="Z229" s="3">
        <f t="shared" si="138"/>
        <v>172</v>
      </c>
      <c r="AA229" s="3">
        <f>IF(ISERROR(VLOOKUP($A229,'SegEnds_NonXtal_BW#'!$A:$Z,19,FALSE)+VLOOKUP($A229,A:AL,28,FALSE)-50),"-",(VLOOKUP($A229,'SegEnds_NonXtal_BW#'!$A:$Z,19,FALSE)+VLOOKUP($A229,A:AL,28,FALSE)-50))</f>
        <v>177</v>
      </c>
      <c r="AB229" s="3">
        <v>195</v>
      </c>
      <c r="AC229" s="3">
        <f>IF(ISERROR((VLOOKUP($A229,'SegEnds_NonXtal_BW#'!$A:$Z,20,FALSE)+VLOOKUP($A229,A:AL,28,FALSE)-50)),"-",(VLOOKUP($A229,'SegEnds_NonXtal_BW#'!$A:$Z,20,FALSE)+VLOOKUP($A229,A:AL,28,FALSE)-50))</f>
        <v>212</v>
      </c>
      <c r="AD229" s="3">
        <f>IF(ISERROR(VLOOKUP($A229,'SegEnds_NonXtal_BW#'!$A:$Z,21,FALSE)+VLOOKUP($A229,A:AL,31,FALSE)-50),"-",(VLOOKUP($A229,'SegEnds_NonXtal_BW#'!$A:$Z,21,FALSE)+VLOOKUP($A229,A:AL,31,FALSE)-50))</f>
        <v>217</v>
      </c>
      <c r="AE229" s="3">
        <v>241</v>
      </c>
      <c r="AF229" s="3">
        <f>IF(ISERROR((VLOOKUP($A229,'SegEnds_NonXtal_BW#'!$A:$Z,22,FALSE)+VLOOKUP($A229,A:AL,31,FALSE)-50)),"-",(VLOOKUP($A229,'SegEnds_NonXtal_BW#'!$A:$Z,22,FALSE)+VLOOKUP($A229,A:AL,31,FALSE)-50))</f>
        <v>255</v>
      </c>
      <c r="AG229" s="3">
        <f>IF(ISERROR(VLOOKUP($A229,'SegEnds_NonXtal_BW#'!$A:$Z,23,FALSE)+VLOOKUP($A229,A:AL,34,FALSE)-50),"-",(VLOOKUP($A229,'SegEnds_NonXtal_BW#'!$A:$Z,23,FALSE)+VLOOKUP($A229,A:AL,34,FALSE)-50))</f>
        <v>261</v>
      </c>
      <c r="AH229" s="3">
        <v>287</v>
      </c>
      <c r="AI229" s="3">
        <f>IF(ISERROR((VLOOKUP($A229,'SegEnds_NonXtal_BW#'!$A:$Z,24,FALSE)+VLOOKUP($A229,A:AL,34,FALSE)-50)),"-",(VLOOKUP($A229,'SegEnds_NonXtal_BW#'!$A:$Z,24,FALSE)+VLOOKUP($A229,A:AL,34,FALSE)-50))</f>
        <v>293</v>
      </c>
      <c r="AJ229" s="3">
        <f>IF(ISERROR(VLOOKUP($A229,'SegEnds_NonXtal_BW#'!$A:$Z,25,FALSE)+VLOOKUP($A229,A:AL,37,FALSE)-50),"-",(VLOOKUP($A229,'SegEnds_NonXtal_BW#'!$A:$Z,25,FALSE)+VLOOKUP($A229,A:AL,37,FALSE)-50))</f>
        <v>294</v>
      </c>
      <c r="AK229" s="3">
        <v>297</v>
      </c>
      <c r="AL229" s="3">
        <f>IF(ISERROR((VLOOKUP($A229,'SegEnds_NonXtal_BW#'!$A:$Z,26,FALSE)+VLOOKUP($A229,A:AL,37,FALSE)-50)),"-",(VLOOKUP($A229,'SegEnds_NonXtal_BW#'!$A:$Z,26,FALSE)+VLOOKUP($A229,A:AL,37,FALSE)-50))</f>
        <v>306</v>
      </c>
      <c r="AM229" s="28" t="str">
        <f>VLOOKUP(A229,Classification!A:B,2,FALSE)</f>
        <v>A</v>
      </c>
      <c r="AN229" s="28" t="b">
        <f t="shared" si="133"/>
        <v>1</v>
      </c>
      <c r="AO229" s="3" t="str">
        <f>IF(ISERROR(MATCH(A229,'SegEnds_Xtal_Prot#'!B:B, 0)), "NoXtal", "Xtal")</f>
        <v>NoXtal</v>
      </c>
      <c r="AP229" s="3" t="str">
        <f t="shared" si="118"/>
        <v>-</v>
      </c>
      <c r="AQ229" s="3" t="str">
        <f t="shared" si="119"/>
        <v>-</v>
      </c>
      <c r="AR229" s="3">
        <f t="shared" si="120"/>
        <v>3</v>
      </c>
      <c r="AS229" s="3">
        <f t="shared" si="121"/>
        <v>1</v>
      </c>
      <c r="AT229" s="3">
        <f t="shared" si="122"/>
        <v>1</v>
      </c>
      <c r="AU229" s="3">
        <f t="shared" si="123"/>
        <v>1</v>
      </c>
      <c r="AV229" s="3">
        <f t="shared" si="124"/>
        <v>17</v>
      </c>
      <c r="AW229" s="3">
        <f t="shared" si="125"/>
        <v>5</v>
      </c>
      <c r="AX229" s="3">
        <f t="shared" si="126"/>
        <v>5</v>
      </c>
      <c r="AY229" s="3">
        <f t="shared" si="127"/>
        <v>6</v>
      </c>
      <c r="AZ229" s="3">
        <f t="shared" si="128"/>
        <v>1</v>
      </c>
      <c r="BA229" s="3">
        <f>IF(ISERROR(LEN(VLOOKUP(A229,Seqs!A:E,2,FALSE))-AL229),"-",LEN(VLOOKUP(A229,Seqs!A:E,2,FALSE))-AL229)</f>
        <v>31</v>
      </c>
      <c r="BB229" s="16">
        <f t="shared" si="129"/>
        <v>28</v>
      </c>
      <c r="BC229" s="9">
        <f t="shared" si="130"/>
        <v>20</v>
      </c>
      <c r="BD229" s="3">
        <f t="shared" si="131"/>
        <v>28</v>
      </c>
      <c r="BE229" s="3">
        <f t="shared" si="132"/>
        <v>46</v>
      </c>
    </row>
    <row r="230" spans="1:58" s="3" customFormat="1" x14ac:dyDescent="0.2">
      <c r="A230" s="3" t="s">
        <v>371</v>
      </c>
      <c r="B230" s="3" t="str">
        <f>LOWER(VLOOKUP(A230,Xtal_Templ!A:B,2,FALSE))</f>
        <v>ptafr_human</v>
      </c>
      <c r="C230" s="3">
        <f>VLOOKUP($A230,'SegEnds_NonXtal_BW#'!$A:$Z,3,FALSE)+D230-50</f>
        <v>10</v>
      </c>
      <c r="D230" s="3">
        <v>33</v>
      </c>
      <c r="E230" s="3">
        <f>IF(ISERROR(VLOOKUP($A230,'SegEnds_NonXtal_BW#'!$A:$Z,4,FALSE)+VLOOKUP($A230,A:AL,4,FALSE)-50),"-",(VLOOKUP($A230,'SegEnds_NonXtal_BW#'!$A:$Z,4,FALSE)+VLOOKUP($A230,A:AL,4,FALSE)-50))</f>
        <v>44</v>
      </c>
      <c r="F230" s="3" t="str">
        <f>IF(ISERROR(VLOOKUP($A230,'SegEnds_NonXtal_BW#'!$A:$Z,5,FALSE)+VLOOKUP($A230,A:AL,7,FALSE)-50),"-",(VLOOKUP($A230,'SegEnds_NonXtal_BW#'!$A:$Z,5,FALSE)+VLOOKUP($A230,A:AL,7,FALSE)-50))</f>
        <v>-</v>
      </c>
      <c r="G230" s="3" t="s">
        <v>23</v>
      </c>
      <c r="H230" s="3" t="str">
        <f>IF(ISERROR(VLOOKUP($A230,'SegEnds_NonXtal_BW#'!$A:$Z,6,FALSE)+VLOOKUP($A230,A:AL,7,FALSE)-50),"-",(VLOOKUP($A230,'SegEnds_NonXtal_BW#'!$A:$Z,6,FALSE)+VLOOKUP($A230,A:AL,7,FALSE)-50))</f>
        <v>-</v>
      </c>
      <c r="I230" s="3">
        <f>VLOOKUP($A230,'SegEnds_NonXtal_BW#'!$A:$Z,7,FALSE)+J230-50</f>
        <v>49</v>
      </c>
      <c r="J230" s="3">
        <v>63</v>
      </c>
      <c r="K230" s="3">
        <f>VLOOKUP($A230,'SegEnds_NonXtal_BW#'!$A:$Z,8,FALSE)+VLOOKUP($A230,A:AL,10,FALSE)-50</f>
        <v>80</v>
      </c>
      <c r="L230" s="3">
        <f>M230-1</f>
        <v>82</v>
      </c>
      <c r="M230" s="3">
        <v>83</v>
      </c>
      <c r="N230" s="3">
        <f>M230+2</f>
        <v>85</v>
      </c>
      <c r="O230" s="3">
        <f t="shared" si="139"/>
        <v>86</v>
      </c>
      <c r="P230" s="3">
        <v>115</v>
      </c>
      <c r="Q230" s="3">
        <f>VLOOKUP($A230,'SegEnds_NonXtal_BW#'!$A:$Z,12,FALSE)+VLOOKUP($A230,A:AL,16,FALSE)-50</f>
        <v>121</v>
      </c>
      <c r="R230" s="3">
        <f>IF(ISERROR(VLOOKUP($A230,'SegEnds_NonXtal_BW#'!$A:$Z,13,FALSE)+VLOOKUP($A230,A:AL,19,FALSE)-50),"-",VLOOKUP($A230,'SegEnds_NonXtal_BW#'!$A:$Z,13,FALSE)+VLOOKUP($A230,A:AL,19,FALSE)-50)</f>
        <v>122</v>
      </c>
      <c r="S230" s="3">
        <v>122</v>
      </c>
      <c r="T230" s="100">
        <f>IF(ISERROR(VLOOKUP($A230,'SegEnds_NonXtal_BW#'!$A:$Z,14,FALSE)+VLOOKUP($A230,A:AL,19,FALSE)-50),"-",(VLOOKUP($A230,'SegEnds_NonXtal_BW#'!$A:$Z,14,FALSE)+VLOOKUP($A230,A:AL,19,FALSE)-50))</f>
        <v>129</v>
      </c>
      <c r="U230" s="9">
        <f>IF(ISERROR(VLOOKUP($A230,'SegEnds_NonXtal_BW#'!$A:$Z,15,FALSE)+VLOOKUP($A230,A:AL,22,FALSE)-50),"-",VLOOKUP($A230,'SegEnds_NonXtal_BW#'!$A:$Z,15,FALSE)+VLOOKUP($A230,A:AL,22,FALSE)-50)</f>
        <v>130</v>
      </c>
      <c r="V230" s="3">
        <v>142</v>
      </c>
      <c r="W230" s="3">
        <f>IF(ISERROR(VLOOKUP($A230,'SegEnds_NonXtal_BW#'!$A:$Z,16,FALSE)+VLOOKUP($A230,A:AL,22,FALSE)-50),"-",(VLOOKUP($A230,'SegEnds_NonXtal_BW#'!$A:$Z,16,FALSE)+VLOOKUP($A230,A:AL,22,FALSE)-50))</f>
        <v>155</v>
      </c>
      <c r="X230" s="3">
        <f>IF(ISERROR(VLOOKUP($A230,'SegEnds_NonXtal_BW#'!$A:$Z,17,FALSE)+VLOOKUP($A230,A:AL,25,FALSE)-50),"-",(VLOOKUP($A230,'SegEnds_NonXtal_BW#'!$A:$Z,17,FALSE)+VLOOKUP($A230,A:AL,25,FALSE)-50))</f>
        <v>173</v>
      </c>
      <c r="Y230" s="3">
        <v>173</v>
      </c>
      <c r="Z230" s="3">
        <f t="shared" si="138"/>
        <v>175</v>
      </c>
      <c r="AA230" s="3">
        <f>IF(ISERROR(VLOOKUP($A230,'SegEnds_NonXtal_BW#'!$A:$Z,19,FALSE)+VLOOKUP($A230,A:AL,28,FALSE)-50),"-",(VLOOKUP($A230,'SegEnds_NonXtal_BW#'!$A:$Z,19,FALSE)+VLOOKUP($A230,A:AL,28,FALSE)-50))</f>
        <v>181</v>
      </c>
      <c r="AB230" s="3">
        <v>198</v>
      </c>
      <c r="AC230" s="3">
        <f>IF(ISERROR((VLOOKUP($A230,'SegEnds_NonXtal_BW#'!$A:$Z,20,FALSE)+VLOOKUP($A230,A:AL,28,FALSE)-50)),"-",(VLOOKUP($A230,'SegEnds_NonXtal_BW#'!$A:$Z,20,FALSE)+VLOOKUP($A230,A:AL,28,FALSE)-50))</f>
        <v>216</v>
      </c>
      <c r="AD230" s="3">
        <f>IF(ISERROR(VLOOKUP($A230,'SegEnds_NonXtal_BW#'!$A:$Z,21,FALSE)+VLOOKUP($A230,A:AL,31,FALSE)-50),"-",(VLOOKUP($A230,'SegEnds_NonXtal_BW#'!$A:$Z,21,FALSE)+VLOOKUP($A230,A:AL,31,FALSE)-50))</f>
        <v>221</v>
      </c>
      <c r="AE230" s="3">
        <v>247</v>
      </c>
      <c r="AF230" s="3">
        <f>IF(ISERROR((VLOOKUP($A230,'SegEnds_NonXtal_BW#'!$A:$Z,22,FALSE)+VLOOKUP($A230,A:AL,31,FALSE)-50)),"-",(VLOOKUP($A230,'SegEnds_NonXtal_BW#'!$A:$Z,22,FALSE)+VLOOKUP($A230,A:AL,31,FALSE)-50))</f>
        <v>261</v>
      </c>
      <c r="AG230" s="3">
        <f>IF(ISERROR(VLOOKUP($A230,'SegEnds_NonXtal_BW#'!$A:$Z,23,FALSE)+VLOOKUP($A230,A:AL,34,FALSE)-50),"-",(VLOOKUP($A230,'SegEnds_NonXtal_BW#'!$A:$Z,23,FALSE)+VLOOKUP($A230,A:AL,34,FALSE)-50))</f>
        <v>264</v>
      </c>
      <c r="AH230" s="3">
        <v>290</v>
      </c>
      <c r="AI230" s="3">
        <f>IF(ISERROR((VLOOKUP($A230,'SegEnds_NonXtal_BW#'!$A:$Z,24,FALSE)+VLOOKUP($A230,A:AL,34,FALSE)-50)),"-",(VLOOKUP($A230,'SegEnds_NonXtal_BW#'!$A:$Z,24,FALSE)+VLOOKUP($A230,A:AL,34,FALSE)-50))</f>
        <v>299</v>
      </c>
      <c r="AJ230" s="3">
        <f>IF(ISERROR(VLOOKUP($A230,'SegEnds_NonXtal_BW#'!$A:$Z,25,FALSE)+VLOOKUP($A230,A:AL,37,FALSE)-50),"-",(VLOOKUP($A230,'SegEnds_NonXtal_BW#'!$A:$Z,25,FALSE)+VLOOKUP($A230,A:AL,37,FALSE)-50))</f>
        <v>300</v>
      </c>
      <c r="AK230" s="3">
        <v>300</v>
      </c>
      <c r="AL230" s="3">
        <f>IF(ISERROR((VLOOKUP($A230,'SegEnds_NonXtal_BW#'!$A:$Z,26,FALSE)+VLOOKUP($A230,A:AL,37,FALSE)-50)),"-",(VLOOKUP($A230,'SegEnds_NonXtal_BW#'!$A:$Z,26,FALSE)+VLOOKUP($A230,A:AL,37,FALSE)-50))</f>
        <v>313</v>
      </c>
      <c r="AM230" s="28" t="str">
        <f>VLOOKUP(A230,Classification!A:B,2,FALSE)</f>
        <v>A</v>
      </c>
      <c r="AN230" s="28" t="b">
        <f t="shared" si="133"/>
        <v>1</v>
      </c>
      <c r="AO230" s="3" t="str">
        <f>IF(ISERROR(MATCH(A230,'SegEnds_Xtal_Prot#'!B:B, 0)), "NoXtal", "Xtal")</f>
        <v>Xtal</v>
      </c>
      <c r="AP230" s="3" t="str">
        <f t="shared" si="118"/>
        <v>-</v>
      </c>
      <c r="AQ230" s="3" t="str">
        <f t="shared" si="119"/>
        <v>-</v>
      </c>
      <c r="AR230" s="3">
        <f t="shared" si="120"/>
        <v>2</v>
      </c>
      <c r="AS230" s="3">
        <f t="shared" si="121"/>
        <v>1</v>
      </c>
      <c r="AT230" s="3">
        <f t="shared" si="122"/>
        <v>1</v>
      </c>
      <c r="AU230" s="3">
        <f t="shared" si="123"/>
        <v>1</v>
      </c>
      <c r="AV230" s="3">
        <f t="shared" si="124"/>
        <v>18</v>
      </c>
      <c r="AW230" s="3">
        <f t="shared" si="125"/>
        <v>6</v>
      </c>
      <c r="AX230" s="3">
        <f t="shared" si="126"/>
        <v>5</v>
      </c>
      <c r="AY230" s="3">
        <f t="shared" si="127"/>
        <v>3</v>
      </c>
      <c r="AZ230" s="3">
        <f t="shared" si="128"/>
        <v>1</v>
      </c>
      <c r="BA230" s="3">
        <f>IF(ISERROR(LEN(VLOOKUP(A230,Seqs!A:E,2,FALSE))-AL230),"-",LEN(VLOOKUP(A230,Seqs!A:E,2,FALSE))-AL230)</f>
        <v>29</v>
      </c>
      <c r="BB230" s="16">
        <f t="shared" si="129"/>
        <v>30</v>
      </c>
      <c r="BC230" s="9">
        <f t="shared" si="130"/>
        <v>20</v>
      </c>
      <c r="BD230" s="3">
        <f t="shared" si="131"/>
        <v>30</v>
      </c>
      <c r="BE230" s="3">
        <f t="shared" si="132"/>
        <v>49</v>
      </c>
    </row>
    <row r="231" spans="1:58" s="3" customFormat="1" x14ac:dyDescent="0.2">
      <c r="A231" s="3" t="s">
        <v>372</v>
      </c>
      <c r="B231" s="3" t="str">
        <f>LOWER(VLOOKUP(A231,Xtal_Templ!A:B,2,FALSE))</f>
        <v>ox2r_human</v>
      </c>
      <c r="C231" s="3">
        <f>VLOOKUP($A231,'SegEnds_NonXtal_BW#'!$A:$Z,3,FALSE)+D231-50</f>
        <v>44</v>
      </c>
      <c r="D231" s="3">
        <v>63</v>
      </c>
      <c r="E231" s="3">
        <f>IF(ISERROR(VLOOKUP($A231,'SegEnds_NonXtal_BW#'!$A:$Z,4,FALSE)+VLOOKUP($A231,A:AL,4,FALSE)-50),"-",(VLOOKUP($A231,'SegEnds_NonXtal_BW#'!$A:$Z,4,FALSE)+VLOOKUP($A231,A:AL,4,FALSE)-50))</f>
        <v>73</v>
      </c>
      <c r="F231" s="3">
        <f t="shared" ref="F231:F238" si="140">G231-2</f>
        <v>74</v>
      </c>
      <c r="G231" s="3">
        <v>76</v>
      </c>
      <c r="H231" s="3">
        <f t="shared" ref="H231:I238" si="141">G231+1</f>
        <v>77</v>
      </c>
      <c r="I231" s="3">
        <f t="shared" si="141"/>
        <v>78</v>
      </c>
      <c r="J231" s="3">
        <v>91</v>
      </c>
      <c r="K231" s="3">
        <f>VLOOKUP($A231,'SegEnds_NonXtal_BW#'!$A:$Z,8,FALSE)+VLOOKUP($A231,A:AL,10,FALSE)-50</f>
        <v>109</v>
      </c>
      <c r="L231" s="3">
        <f>M231-1</f>
        <v>110</v>
      </c>
      <c r="M231" s="3">
        <v>111</v>
      </c>
      <c r="N231" s="3">
        <f>M231+2</f>
        <v>113</v>
      </c>
      <c r="O231" s="3">
        <f t="shared" si="139"/>
        <v>114</v>
      </c>
      <c r="P231" s="3">
        <v>143</v>
      </c>
      <c r="Q231" s="3">
        <f>VLOOKUP($A231,'SegEnds_NonXtal_BW#'!$A:$Z,12,FALSE)+VLOOKUP($A231,A:AL,16,FALSE)-50</f>
        <v>149</v>
      </c>
      <c r="R231" s="3">
        <f>IF(ISERROR(VLOOKUP($A231,'SegEnds_NonXtal_BW#'!$A:$Z,13,FALSE)+VLOOKUP($A231,A:AL,19,FALSE)-50),"-",VLOOKUP($A231,'SegEnds_NonXtal_BW#'!$A:$Z,13,FALSE)+VLOOKUP($A231,A:AL,19,FALSE)-50)</f>
        <v>150</v>
      </c>
      <c r="S231" s="3">
        <v>150</v>
      </c>
      <c r="T231" s="100">
        <f>IF(ISERROR(VLOOKUP($A231,'SegEnds_NonXtal_BW#'!$A:$Z,14,FALSE)+VLOOKUP($A231,A:AL,19,FALSE)-50),"-",(VLOOKUP($A231,'SegEnds_NonXtal_BW#'!$A:$Z,14,FALSE)+VLOOKUP($A231,A:AL,19,FALSE)-50))</f>
        <v>157</v>
      </c>
      <c r="U231" s="9">
        <f>IF(ISERROR(VLOOKUP($A231,'SegEnds_NonXtal_BW#'!$A:$Z,15,FALSE)+VLOOKUP($A231,A:AL,22,FALSE)-50),"-",VLOOKUP($A231,'SegEnds_NonXtal_BW#'!$A:$Z,15,FALSE)+VLOOKUP($A231,A:AL,22,FALSE)-50)</f>
        <v>158</v>
      </c>
      <c r="V231" s="3">
        <v>170</v>
      </c>
      <c r="W231" s="3">
        <f>IF(ISERROR(VLOOKUP($A231,'SegEnds_NonXtal_BW#'!$A:$Z,16,FALSE)+VLOOKUP($A231,A:AL,22,FALSE)-50),"-",(VLOOKUP($A231,'SegEnds_NonXtal_BW#'!$A:$Z,16,FALSE)+VLOOKUP($A231,A:AL,22,FALSE)-50))</f>
        <v>184</v>
      </c>
      <c r="X231" s="3">
        <f>IF(ISERROR(VLOOKUP($A231,'SegEnds_NonXtal_BW#'!$A:$Z,17,FALSE)+VLOOKUP($A231,A:AL,25,FALSE)-50),"-",(VLOOKUP($A231,'SegEnds_NonXtal_BW#'!$A:$Z,17,FALSE)+VLOOKUP($A231,A:AL,25,FALSE)-50))</f>
        <v>201</v>
      </c>
      <c r="Y231" s="3">
        <v>201</v>
      </c>
      <c r="Z231" s="3">
        <f t="shared" si="138"/>
        <v>203</v>
      </c>
      <c r="AA231" s="3">
        <f>IF(ISERROR(VLOOKUP($A231,'SegEnds_NonXtal_BW#'!$A:$Z,19,FALSE)+VLOOKUP($A231,A:AL,28,FALSE)-50),"-",(VLOOKUP($A231,'SegEnds_NonXtal_BW#'!$A:$Z,19,FALSE)+VLOOKUP($A231,A:AL,28,FALSE)-50))</f>
        <v>209</v>
      </c>
      <c r="AB231" s="3">
        <v>226</v>
      </c>
      <c r="AC231" s="3">
        <f>IF(ISERROR((VLOOKUP($A231,'SegEnds_NonXtal_BW#'!$A:$Z,20,FALSE)+VLOOKUP($A231,A:AL,28,FALSE)-50)),"-",(VLOOKUP($A231,'SegEnds_NonXtal_BW#'!$A:$Z,20,FALSE)+VLOOKUP($A231,A:AL,28,FALSE)-50))</f>
        <v>250</v>
      </c>
      <c r="AD231" s="3">
        <f>IF(ISERROR(VLOOKUP($A231,'SegEnds_NonXtal_BW#'!$A:$Z,21,FALSE)+VLOOKUP($A231,A:AL,31,FALSE)-50),"-",(VLOOKUP($A231,'SegEnds_NonXtal_BW#'!$A:$Z,21,FALSE)+VLOOKUP($A231,A:AL,31,FALSE)-50))</f>
        <v>259</v>
      </c>
      <c r="AE231" s="3">
        <v>288</v>
      </c>
      <c r="AF231" s="3">
        <f>IF(ISERROR((VLOOKUP($A231,'SegEnds_NonXtal_BW#'!$A:$Z,22,FALSE)+VLOOKUP($A231,A:AL,31,FALSE)-50)),"-",(VLOOKUP($A231,'SegEnds_NonXtal_BW#'!$A:$Z,22,FALSE)+VLOOKUP($A231,A:AL,31,FALSE)-50))</f>
        <v>299</v>
      </c>
      <c r="AG231" s="3">
        <f>IF(ISERROR(VLOOKUP($A231,'SegEnds_NonXtal_BW#'!$A:$Z,23,FALSE)+VLOOKUP($A231,A:AL,34,FALSE)-50),"-",(VLOOKUP($A231,'SegEnds_NonXtal_BW#'!$A:$Z,23,FALSE)+VLOOKUP($A231,A:AL,34,FALSE)-50))</f>
        <v>307</v>
      </c>
      <c r="AH231" s="3">
        <v>329</v>
      </c>
      <c r="AI231" s="3">
        <f>IF(ISERROR((VLOOKUP($A231,'SegEnds_NonXtal_BW#'!$A:$Z,24,FALSE)+VLOOKUP($A231,A:AL,34,FALSE)-50)),"-",(VLOOKUP($A231,'SegEnds_NonXtal_BW#'!$A:$Z,24,FALSE)+VLOOKUP($A231,A:AL,34,FALSE)-50))</f>
        <v>335</v>
      </c>
      <c r="AJ231" s="3">
        <f>IF(ISERROR(VLOOKUP($A231,'SegEnds_NonXtal_BW#'!$A:$Z,25,FALSE)+VLOOKUP($A231,A:AL,37,FALSE)-50),"-",(VLOOKUP($A231,'SegEnds_NonXtal_BW#'!$A:$Z,25,FALSE)+VLOOKUP($A231,A:AL,37,FALSE)-50))</f>
        <v>336</v>
      </c>
      <c r="AK231" s="3">
        <v>339</v>
      </c>
      <c r="AL231" s="3">
        <f>IF(ISERROR((VLOOKUP($A231,'SegEnds_NonXtal_BW#'!$A:$Z,26,FALSE)+VLOOKUP($A231,A:AL,37,FALSE)-50)),"-",(VLOOKUP($A231,'SegEnds_NonXtal_BW#'!$A:$Z,26,FALSE)+VLOOKUP($A231,A:AL,37,FALSE)-50))</f>
        <v>347</v>
      </c>
      <c r="AM231" s="28" t="str">
        <f>VLOOKUP(A231,Classification!A:B,2,FALSE)</f>
        <v>A</v>
      </c>
      <c r="AN231" s="28" t="b">
        <f t="shared" si="133"/>
        <v>1</v>
      </c>
      <c r="AO231" s="3" t="str">
        <f>IF(ISERROR(MATCH(A231,'SegEnds_Xtal_Prot#'!B:B, 0)), "NoXtal", "Xtal")</f>
        <v>NoXtal</v>
      </c>
      <c r="AP231" s="3">
        <f t="shared" si="118"/>
        <v>1</v>
      </c>
      <c r="AQ231" s="3">
        <f t="shared" si="119"/>
        <v>1</v>
      </c>
      <c r="AR231" s="3">
        <f t="shared" si="120"/>
        <v>1</v>
      </c>
      <c r="AS231" s="3">
        <f t="shared" si="121"/>
        <v>1</v>
      </c>
      <c r="AT231" s="3">
        <f t="shared" si="122"/>
        <v>1</v>
      </c>
      <c r="AU231" s="3">
        <f t="shared" si="123"/>
        <v>1</v>
      </c>
      <c r="AV231" s="3">
        <f t="shared" si="124"/>
        <v>17</v>
      </c>
      <c r="AW231" s="3">
        <f t="shared" si="125"/>
        <v>6</v>
      </c>
      <c r="AX231" s="3">
        <f t="shared" si="126"/>
        <v>9</v>
      </c>
      <c r="AY231" s="3">
        <f t="shared" si="127"/>
        <v>8</v>
      </c>
      <c r="AZ231" s="3">
        <f t="shared" si="128"/>
        <v>1</v>
      </c>
      <c r="BA231" s="3">
        <f>IF(ISERROR(LEN(VLOOKUP(A231,Seqs!A:E,2,FALSE))-AL231),"-",LEN(VLOOKUP(A231,Seqs!A:E,2,FALSE))-AL231)</f>
        <v>84</v>
      </c>
      <c r="BB231" s="16">
        <f t="shared" si="129"/>
        <v>28</v>
      </c>
      <c r="BC231" s="9">
        <f t="shared" si="130"/>
        <v>20</v>
      </c>
      <c r="BD231" s="3">
        <f t="shared" si="131"/>
        <v>28</v>
      </c>
      <c r="BE231" s="3">
        <f t="shared" si="132"/>
        <v>62</v>
      </c>
    </row>
    <row r="232" spans="1:58" s="3" customFormat="1" x14ac:dyDescent="0.2">
      <c r="A232" s="3" t="s">
        <v>374</v>
      </c>
      <c r="B232" s="3" t="str">
        <f>LOWER(VLOOKUP(A232,Xtal_Templ!A:B,2,FALSE))</f>
        <v>oprk_human</v>
      </c>
      <c r="C232" s="3">
        <f>VLOOKUP($A232,'SegEnds_NonXtal_BW#'!$A:$Z,3,FALSE)+D232-50</f>
        <v>37</v>
      </c>
      <c r="D232" s="3">
        <v>57</v>
      </c>
      <c r="E232" s="3">
        <f>IF(ISERROR(VLOOKUP($A232,'SegEnds_NonXtal_BW#'!$A:$Z,4,FALSE)+VLOOKUP($A232,A:AL,4,FALSE)-50),"-",(VLOOKUP($A232,'SegEnds_NonXtal_BW#'!$A:$Z,4,FALSE)+VLOOKUP($A232,A:AL,4,FALSE)-50))</f>
        <v>67</v>
      </c>
      <c r="F232" s="3">
        <f t="shared" si="140"/>
        <v>69</v>
      </c>
      <c r="G232" s="3">
        <v>71</v>
      </c>
      <c r="H232" s="3">
        <f t="shared" si="141"/>
        <v>72</v>
      </c>
      <c r="I232" s="3">
        <f t="shared" si="141"/>
        <v>73</v>
      </c>
      <c r="J232" s="3">
        <v>87</v>
      </c>
      <c r="K232" s="3">
        <f>VLOOKUP($A232,'SegEnds_NonXtal_BW#'!$A:$Z,8,FALSE)+VLOOKUP($A232,A:AL,10,FALSE)-50</f>
        <v>104</v>
      </c>
      <c r="L232" s="3">
        <f>M232-1</f>
        <v>106</v>
      </c>
      <c r="M232" s="3">
        <v>107</v>
      </c>
      <c r="N232" s="3">
        <f>M232+2</f>
        <v>109</v>
      </c>
      <c r="O232" s="3">
        <f t="shared" si="139"/>
        <v>110</v>
      </c>
      <c r="P232" s="3">
        <v>139</v>
      </c>
      <c r="Q232" s="3">
        <f>VLOOKUP($A232,'SegEnds_NonXtal_BW#'!$A:$Z,12,FALSE)+VLOOKUP($A232,A:AL,16,FALSE)-50</f>
        <v>145</v>
      </c>
      <c r="R232" s="3">
        <f>IF(ISERROR(VLOOKUP($A232,'SegEnds_NonXtal_BW#'!$A:$Z,13,FALSE)+VLOOKUP($A232,A:AL,19,FALSE)-50),"-",VLOOKUP($A232,'SegEnds_NonXtal_BW#'!$A:$Z,13,FALSE)+VLOOKUP($A232,A:AL,19,FALSE)-50)</f>
        <v>146</v>
      </c>
      <c r="S232" s="3">
        <v>146</v>
      </c>
      <c r="T232" s="100">
        <f>IF(ISERROR(VLOOKUP($A232,'SegEnds_NonXtal_BW#'!$A:$Z,14,FALSE)+VLOOKUP($A232,A:AL,19,FALSE)-50),"-",(VLOOKUP($A232,'SegEnds_NonXtal_BW#'!$A:$Z,14,FALSE)+VLOOKUP($A232,A:AL,19,FALSE)-50))</f>
        <v>153</v>
      </c>
      <c r="U232" s="9">
        <f>IF(ISERROR(VLOOKUP($A232,'SegEnds_NonXtal_BW#'!$A:$Z,15,FALSE)+VLOOKUP($A232,A:AL,22,FALSE)-50),"-",VLOOKUP($A232,'SegEnds_NonXtal_BW#'!$A:$Z,15,FALSE)+VLOOKUP($A232,A:AL,22,FALSE)-50)</f>
        <v>154</v>
      </c>
      <c r="V232" s="3">
        <v>166</v>
      </c>
      <c r="W232" s="3">
        <f>IF(ISERROR(VLOOKUP($A232,'SegEnds_NonXtal_BW#'!$A:$Z,16,FALSE)+VLOOKUP($A232,A:AL,22,FALSE)-50),"-",(VLOOKUP($A232,'SegEnds_NonXtal_BW#'!$A:$Z,16,FALSE)+VLOOKUP($A232,A:AL,22,FALSE)-50))</f>
        <v>180</v>
      </c>
      <c r="X232" s="3">
        <f>IF(ISERROR(VLOOKUP($A232,'SegEnds_NonXtal_BW#'!$A:$Z,17,FALSE)+VLOOKUP($A232,A:AL,25,FALSE)-50),"-",(VLOOKUP($A232,'SegEnds_NonXtal_BW#'!$A:$Z,17,FALSE)+VLOOKUP($A232,A:AL,25,FALSE)-50))</f>
        <v>191</v>
      </c>
      <c r="Y232" s="3">
        <v>191</v>
      </c>
      <c r="Z232" s="3">
        <f t="shared" si="138"/>
        <v>193</v>
      </c>
      <c r="AA232" s="3">
        <f>IF(ISERROR(VLOOKUP($A232,'SegEnds_NonXtal_BW#'!$A:$Z,19,FALSE)+VLOOKUP($A232,A:AL,28,FALSE)-50),"-",(VLOOKUP($A232,'SegEnds_NonXtal_BW#'!$A:$Z,19,FALSE)+VLOOKUP($A232,A:AL,28,FALSE)-50))</f>
        <v>196</v>
      </c>
      <c r="AB232" s="3">
        <v>216</v>
      </c>
      <c r="AC232" s="3">
        <f>IF(ISERROR((VLOOKUP($A232,'SegEnds_NonXtal_BW#'!$A:$Z,20,FALSE)+VLOOKUP($A232,A:AL,28,FALSE)-50)),"-",(VLOOKUP($A232,'SegEnds_NonXtal_BW#'!$A:$Z,20,FALSE)+VLOOKUP($A232,A:AL,28,FALSE)-50))</f>
        <v>233</v>
      </c>
      <c r="AD232" s="3">
        <f>IF(ISERROR(VLOOKUP($A232,'SegEnds_NonXtal_BW#'!$A:$Z,21,FALSE)+VLOOKUP($A232,A:AL,31,FALSE)-50),"-",(VLOOKUP($A232,'SegEnds_NonXtal_BW#'!$A:$Z,21,FALSE)+VLOOKUP($A232,A:AL,31,FALSE)-50))</f>
        <v>239</v>
      </c>
      <c r="AE232" s="3">
        <v>261</v>
      </c>
      <c r="AF232" s="3">
        <f>IF(ISERROR((VLOOKUP($A232,'SegEnds_NonXtal_BW#'!$A:$Z,22,FALSE)+VLOOKUP($A232,A:AL,31,FALSE)-50)),"-",(VLOOKUP($A232,'SegEnds_NonXtal_BW#'!$A:$Z,22,FALSE)+VLOOKUP($A232,A:AL,31,FALSE)-50))</f>
        <v>275</v>
      </c>
      <c r="AG232" s="3">
        <f>IF(ISERROR(VLOOKUP($A232,'SegEnds_NonXtal_BW#'!$A:$Z,23,FALSE)+VLOOKUP($A232,A:AL,34,FALSE)-50),"-",(VLOOKUP($A232,'SegEnds_NonXtal_BW#'!$A:$Z,23,FALSE)+VLOOKUP($A232,A:AL,34,FALSE)-50))</f>
        <v>280</v>
      </c>
      <c r="AH232" s="3">
        <v>306</v>
      </c>
      <c r="AI232" s="3">
        <f>IF(ISERROR((VLOOKUP($A232,'SegEnds_NonXtal_BW#'!$A:$Z,24,FALSE)+VLOOKUP($A232,A:AL,34,FALSE)-50)),"-",(VLOOKUP($A232,'SegEnds_NonXtal_BW#'!$A:$Z,24,FALSE)+VLOOKUP($A232,A:AL,34,FALSE)-50))</f>
        <v>312</v>
      </c>
      <c r="AJ232" s="3">
        <f>IF(ISERROR(VLOOKUP($A232,'SegEnds_NonXtal_BW#'!$A:$Z,25,FALSE)+VLOOKUP($A232,A:AL,37,FALSE)-50),"-",(VLOOKUP($A232,'SegEnds_NonXtal_BW#'!$A:$Z,25,FALSE)+VLOOKUP($A232,A:AL,37,FALSE)-50))</f>
        <v>313</v>
      </c>
      <c r="AK232" s="3">
        <v>316</v>
      </c>
      <c r="AL232" s="3">
        <f>IF(ISERROR((VLOOKUP($A232,'SegEnds_NonXtal_BW#'!$A:$Z,26,FALSE)+VLOOKUP($A232,A:AL,37,FALSE)-50)),"-",(VLOOKUP($A232,'SegEnds_NonXtal_BW#'!$A:$Z,26,FALSE)+VLOOKUP($A232,A:AL,37,FALSE)-50))</f>
        <v>325</v>
      </c>
      <c r="AM232" s="28" t="str">
        <f>VLOOKUP(A232,Classification!A:B,2,FALSE)</f>
        <v>A</v>
      </c>
      <c r="AN232" s="28" t="b">
        <f t="shared" si="133"/>
        <v>1</v>
      </c>
      <c r="AO232" s="3" t="str">
        <f>IF(ISERROR(MATCH(A232,'SegEnds_Xtal_Prot#'!B:B, 0)), "NoXtal", "Xtal")</f>
        <v>NoXtal</v>
      </c>
      <c r="AP232" s="3">
        <f t="shared" si="118"/>
        <v>2</v>
      </c>
      <c r="AQ232" s="3">
        <f t="shared" si="119"/>
        <v>1</v>
      </c>
      <c r="AR232" s="3">
        <f t="shared" si="120"/>
        <v>2</v>
      </c>
      <c r="AS232" s="3">
        <f t="shared" si="121"/>
        <v>1</v>
      </c>
      <c r="AT232" s="3">
        <f t="shared" si="122"/>
        <v>1</v>
      </c>
      <c r="AU232" s="3">
        <f t="shared" si="123"/>
        <v>1</v>
      </c>
      <c r="AV232" s="3">
        <f t="shared" si="124"/>
        <v>11</v>
      </c>
      <c r="AW232" s="3">
        <f t="shared" si="125"/>
        <v>3</v>
      </c>
      <c r="AX232" s="3">
        <f t="shared" si="126"/>
        <v>6</v>
      </c>
      <c r="AY232" s="3">
        <f t="shared" si="127"/>
        <v>5</v>
      </c>
      <c r="AZ232" s="3">
        <f t="shared" si="128"/>
        <v>1</v>
      </c>
      <c r="BA232" s="3">
        <f>IF(ISERROR(LEN(VLOOKUP(A232,Seqs!A:E,2,FALSE))-AL232),"-",LEN(VLOOKUP(A232,Seqs!A:E,2,FALSE))-AL232)</f>
        <v>49</v>
      </c>
      <c r="BB232" s="16">
        <f t="shared" si="129"/>
        <v>30</v>
      </c>
      <c r="BC232" s="9">
        <f t="shared" si="130"/>
        <v>20</v>
      </c>
      <c r="BD232" s="3">
        <f t="shared" si="131"/>
        <v>30</v>
      </c>
      <c r="BE232" s="3">
        <f t="shared" si="132"/>
        <v>45</v>
      </c>
    </row>
    <row r="233" spans="1:58" s="3" customFormat="1" x14ac:dyDescent="0.2">
      <c r="A233" s="3" t="s">
        <v>379</v>
      </c>
      <c r="B233" s="3" t="str">
        <f>LOWER(VLOOKUP(A233,Xtal_Templ!A:B,2,FALSE))</f>
        <v>s1pr1_human</v>
      </c>
      <c r="C233" s="3">
        <f>VLOOKUP($A233,'SegEnds_NonXtal_BW#'!$A:$Z,3,FALSE)+D233-50</f>
        <v>43</v>
      </c>
      <c r="D233" s="3">
        <v>64</v>
      </c>
      <c r="E233" s="3">
        <f>IF(ISERROR(VLOOKUP($A233,'SegEnds_NonXtal_BW#'!$A:$Z,4,FALSE)+VLOOKUP($A233,A:AL,4,FALSE)-50),"-",(VLOOKUP($A233,'SegEnds_NonXtal_BW#'!$A:$Z,4,FALSE)+VLOOKUP($A233,A:AL,4,FALSE)-50))</f>
        <v>74</v>
      </c>
      <c r="F233" s="3">
        <f t="shared" si="140"/>
        <v>75</v>
      </c>
      <c r="G233" s="3">
        <v>77</v>
      </c>
      <c r="H233" s="3">
        <f t="shared" si="141"/>
        <v>78</v>
      </c>
      <c r="I233" s="3">
        <f t="shared" si="141"/>
        <v>79</v>
      </c>
      <c r="J233" s="3">
        <v>92</v>
      </c>
      <c r="K233" s="3">
        <f>VLOOKUP($A233,'SegEnds_NonXtal_BW#'!$A:$Z,8,FALSE)+VLOOKUP($A233,A:AL,10,FALSE)-50</f>
        <v>105</v>
      </c>
      <c r="L233" s="3">
        <f>M233-3</f>
        <v>107</v>
      </c>
      <c r="M233" s="3">
        <v>110</v>
      </c>
      <c r="N233" s="3">
        <f>M233+3</f>
        <v>113</v>
      </c>
      <c r="O233" s="3">
        <f t="shared" si="139"/>
        <v>114</v>
      </c>
      <c r="P233" s="3">
        <v>143</v>
      </c>
      <c r="Q233" s="3">
        <f>VLOOKUP($A233,'SegEnds_NonXtal_BW#'!$A:$Z,12,FALSE)+VLOOKUP($A233,A:AL,16,FALSE)-50</f>
        <v>149</v>
      </c>
      <c r="R233" s="3">
        <f>IF(ISERROR(VLOOKUP($A233,'SegEnds_NonXtal_BW#'!$A:$Z,13,FALSE)+VLOOKUP($A233,A:AL,19,FALSE)-50),"-",VLOOKUP($A233,'SegEnds_NonXtal_BW#'!$A:$Z,13,FALSE)+VLOOKUP($A233,A:AL,19,FALSE)-50)</f>
        <v>150</v>
      </c>
      <c r="S233" s="3">
        <v>150</v>
      </c>
      <c r="T233" s="100">
        <f>IF(ISERROR(VLOOKUP($A233,'SegEnds_NonXtal_BW#'!$A:$Z,14,FALSE)+VLOOKUP($A233,A:AL,19,FALSE)-50),"-",(VLOOKUP($A233,'SegEnds_NonXtal_BW#'!$A:$Z,14,FALSE)+VLOOKUP($A233,A:AL,19,FALSE)-50))</f>
        <v>157</v>
      </c>
      <c r="U233" s="9">
        <f>IF(ISERROR(VLOOKUP($A233,'SegEnds_NonXtal_BW#'!$A:$Z,15,FALSE)+VLOOKUP($A233,A:AL,22,FALSE)-50),"-",VLOOKUP($A233,'SegEnds_NonXtal_BW#'!$A:$Z,15,FALSE)+VLOOKUP($A233,A:AL,22,FALSE)-50)</f>
        <v>158</v>
      </c>
      <c r="V233" s="3">
        <v>170</v>
      </c>
      <c r="W233" s="3">
        <f>IF(ISERROR(VLOOKUP($A233,'SegEnds_NonXtal_BW#'!$A:$Z,16,FALSE)+VLOOKUP($A233,A:AL,22,FALSE)-50),"-",(VLOOKUP($A233,'SegEnds_NonXtal_BW#'!$A:$Z,16,FALSE)+VLOOKUP($A233,A:AL,22,FALSE)-50))</f>
        <v>183</v>
      </c>
      <c r="X233" s="3" t="str">
        <f>IF(ISERROR(VLOOKUP($A233,'SegEnds_NonXtal_BW#'!$A:$Z,17,FALSE)+VLOOKUP($A233,A:AL,25,FALSE)-50),"-",(VLOOKUP($A233,'SegEnds_NonXtal_BW#'!$A:$Z,17,FALSE)+VLOOKUP($A233,A:AL,25,FALSE)-50))</f>
        <v>-</v>
      </c>
      <c r="Y233" s="3" t="s">
        <v>23</v>
      </c>
      <c r="Z233" s="3" t="str">
        <f>IF(ISERROR(VLOOKUP($A233,'SegEnds_NonXtal_BW#'!$A:$Z,18,FALSE)+VLOOKUP($A233,A:AL,25,FALSE)-50),"-",(VLOOKUP($A233,'SegEnds_NonXtal_BW#'!$A:$Z,18,FALSE)+VLOOKUP($A233,A:AL,25,FALSE)-50))</f>
        <v>-</v>
      </c>
      <c r="AA233" s="3">
        <f>IF(ISERROR(VLOOKUP($A233,'SegEnds_NonXtal_BW#'!$A:$Z,19,FALSE)+VLOOKUP($A233,A:AL,28,FALSE)-50),"-",(VLOOKUP($A233,'SegEnds_NonXtal_BW#'!$A:$Z,19,FALSE)+VLOOKUP($A233,A:AL,28,FALSE)-50))</f>
        <v>201</v>
      </c>
      <c r="AB233" s="3">
        <v>215</v>
      </c>
      <c r="AC233" s="3">
        <f>IF(ISERROR((VLOOKUP($A233,'SegEnds_NonXtal_BW#'!$A:$Z,20,FALSE)+VLOOKUP($A233,A:AL,28,FALSE)-50)),"-",(VLOOKUP($A233,'SegEnds_NonXtal_BW#'!$A:$Z,20,FALSE)+VLOOKUP($A233,A:AL,28,FALSE)-50))</f>
        <v>233</v>
      </c>
      <c r="AD233" s="3">
        <f>IF(ISERROR(VLOOKUP($A233,'SegEnds_NonXtal_BW#'!$A:$Z,21,FALSE)+VLOOKUP($A233,A:AL,31,FALSE)-50),"-",(VLOOKUP($A233,'SegEnds_NonXtal_BW#'!$A:$Z,21,FALSE)+VLOOKUP($A233,A:AL,31,FALSE)-50))</f>
        <v>239</v>
      </c>
      <c r="AE233" s="3">
        <v>266</v>
      </c>
      <c r="AF233" s="3">
        <f>IF(ISERROR((VLOOKUP($A233,'SegEnds_NonXtal_BW#'!$A:$Z,22,FALSE)+VLOOKUP($A233,A:AL,31,FALSE)-50)),"-",(VLOOKUP($A233,'SegEnds_NonXtal_BW#'!$A:$Z,22,FALSE)+VLOOKUP($A233,A:AL,31,FALSE)-50))</f>
        <v>277</v>
      </c>
      <c r="AG233" s="3">
        <f>IF(ISERROR(VLOOKUP($A233,'SegEnds_NonXtal_BW#'!$A:$Z,23,FALSE)+VLOOKUP($A233,A:AL,34,FALSE)-50),"-",(VLOOKUP($A233,'SegEnds_NonXtal_BW#'!$A:$Z,23,FALSE)+VLOOKUP($A233,A:AL,34,FALSE)-50))</f>
        <v>284</v>
      </c>
      <c r="AH233" s="3">
        <v>304</v>
      </c>
      <c r="AI233" s="3">
        <f>IF(ISERROR((VLOOKUP($A233,'SegEnds_NonXtal_BW#'!$A:$Z,24,FALSE)+VLOOKUP($A233,A:AL,34,FALSE)-50)),"-",(VLOOKUP($A233,'SegEnds_NonXtal_BW#'!$A:$Z,24,FALSE)+VLOOKUP($A233,A:AL,34,FALSE)-50))</f>
        <v>310</v>
      </c>
      <c r="AJ233" s="3">
        <f>IF(ISERROR(VLOOKUP($A233,'SegEnds_NonXtal_BW#'!$A:$Z,25,FALSE)+VLOOKUP($A233,A:AL,37,FALSE)-50),"-",(VLOOKUP($A233,'SegEnds_NonXtal_BW#'!$A:$Z,25,FALSE)+VLOOKUP($A233,A:AL,37,FALSE)-50))</f>
        <v>311</v>
      </c>
      <c r="AK233" s="3">
        <v>314</v>
      </c>
      <c r="AL233" s="3">
        <f>IF(ISERROR((VLOOKUP($A233,'SegEnds_NonXtal_BW#'!$A:$Z,26,FALSE)+VLOOKUP($A233,A:AL,37,FALSE)-50)),"-",(VLOOKUP($A233,'SegEnds_NonXtal_BW#'!$A:$Z,26,FALSE)+VLOOKUP($A233,A:AL,37,FALSE)-50))</f>
        <v>323</v>
      </c>
      <c r="AM233" s="28" t="str">
        <f>VLOOKUP(A233,Classification!A:B,2,FALSE)</f>
        <v>A</v>
      </c>
      <c r="AN233" s="28" t="b">
        <f t="shared" si="133"/>
        <v>1</v>
      </c>
      <c r="AO233" s="3" t="str">
        <f>IF(ISERROR(MATCH(A233,'SegEnds_Xtal_Prot#'!B:B, 0)), "NoXtal", "Xtal")</f>
        <v>NoXtal</v>
      </c>
      <c r="AP233" s="3">
        <f t="shared" si="118"/>
        <v>1</v>
      </c>
      <c r="AQ233" s="3">
        <f t="shared" si="119"/>
        <v>1</v>
      </c>
      <c r="AR233" s="3">
        <f t="shared" si="120"/>
        <v>2</v>
      </c>
      <c r="AS233" s="3">
        <f t="shared" si="121"/>
        <v>1</v>
      </c>
      <c r="AT233" s="3">
        <f t="shared" si="122"/>
        <v>1</v>
      </c>
      <c r="AU233" s="3">
        <f t="shared" si="123"/>
        <v>1</v>
      </c>
      <c r="AV233" s="3" t="str">
        <f t="shared" si="124"/>
        <v>-</v>
      </c>
      <c r="AW233" s="3" t="str">
        <f t="shared" si="125"/>
        <v>-</v>
      </c>
      <c r="AX233" s="3">
        <f t="shared" si="126"/>
        <v>6</v>
      </c>
      <c r="AY233" s="3">
        <f t="shared" si="127"/>
        <v>7</v>
      </c>
      <c r="AZ233" s="3">
        <f t="shared" si="128"/>
        <v>1</v>
      </c>
      <c r="BA233" s="3">
        <f>IF(ISERROR(LEN(VLOOKUP(A233,Seqs!A:E,2,FALSE))-AL233),"-",LEN(VLOOKUP(A233,Seqs!A:E,2,FALSE))-AL233)</f>
        <v>61</v>
      </c>
      <c r="BB233" s="16">
        <f t="shared" si="129"/>
        <v>28</v>
      </c>
      <c r="BC233" s="9">
        <f t="shared" si="130"/>
        <v>20</v>
      </c>
      <c r="BD233" s="3">
        <f t="shared" si="131"/>
        <v>28</v>
      </c>
      <c r="BE233" s="3">
        <f t="shared" si="132"/>
        <v>51</v>
      </c>
    </row>
    <row r="234" spans="1:58" s="3" customFormat="1" x14ac:dyDescent="0.2">
      <c r="A234" s="3" t="s">
        <v>381</v>
      </c>
      <c r="B234" s="3" t="str">
        <f>LOWER(VLOOKUP(A234,Xtal_Templ!A:B,2,FALSE))</f>
        <v>oprk_human</v>
      </c>
      <c r="C234" s="3">
        <f>VLOOKUP($A234,'SegEnds_NonXtal_BW#'!$A:$Z,3,FALSE)+D234-50</f>
        <v>56</v>
      </c>
      <c r="D234" s="3">
        <v>76</v>
      </c>
      <c r="E234" s="3">
        <f>IF(ISERROR(VLOOKUP($A234,'SegEnds_NonXtal_BW#'!$A:$Z,4,FALSE)+VLOOKUP($A234,A:AL,4,FALSE)-50),"-",(VLOOKUP($A234,'SegEnds_NonXtal_BW#'!$A:$Z,4,FALSE)+VLOOKUP($A234,A:AL,4,FALSE)-50))</f>
        <v>86</v>
      </c>
      <c r="F234" s="3">
        <f t="shared" si="140"/>
        <v>87</v>
      </c>
      <c r="G234" s="3">
        <v>89</v>
      </c>
      <c r="H234" s="3">
        <f t="shared" si="141"/>
        <v>90</v>
      </c>
      <c r="I234" s="3">
        <f t="shared" si="141"/>
        <v>91</v>
      </c>
      <c r="J234" s="3">
        <v>104</v>
      </c>
      <c r="K234" s="3">
        <f>VLOOKUP($A234,'SegEnds_NonXtal_BW#'!$A:$Z,8,FALSE)+VLOOKUP($A234,A:AL,10,FALSE)-50</f>
        <v>120</v>
      </c>
      <c r="L234" s="3">
        <f t="shared" ref="L234:L251" si="142">M234-1</f>
        <v>122</v>
      </c>
      <c r="M234" s="3">
        <v>123</v>
      </c>
      <c r="N234" s="3">
        <f t="shared" ref="N234:N251" si="143">M234+2</f>
        <v>125</v>
      </c>
      <c r="O234" s="3">
        <f t="shared" si="139"/>
        <v>126</v>
      </c>
      <c r="P234" s="3">
        <v>155</v>
      </c>
      <c r="Q234" s="3">
        <f>VLOOKUP($A234,'SegEnds_NonXtal_BW#'!$A:$Z,12,FALSE)+VLOOKUP($A234,A:AL,16,FALSE)-50</f>
        <v>161</v>
      </c>
      <c r="R234" s="3">
        <f>IF(ISERROR(VLOOKUP($A234,'SegEnds_NonXtal_BW#'!$A:$Z,13,FALSE)+VLOOKUP($A234,A:AL,19,FALSE)-50),"-",VLOOKUP($A234,'SegEnds_NonXtal_BW#'!$A:$Z,13,FALSE)+VLOOKUP($A234,A:AL,19,FALSE)-50)</f>
        <v>162</v>
      </c>
      <c r="S234" s="3">
        <v>162</v>
      </c>
      <c r="T234" s="100">
        <f>IF(ISERROR(VLOOKUP($A234,'SegEnds_NonXtal_BW#'!$A:$Z,14,FALSE)+VLOOKUP($A234,A:AL,19,FALSE)-50),"-",(VLOOKUP($A234,'SegEnds_NonXtal_BW#'!$A:$Z,14,FALSE)+VLOOKUP($A234,A:AL,19,FALSE)-50))</f>
        <v>169</v>
      </c>
      <c r="U234" s="9">
        <f>IF(ISERROR(VLOOKUP($A234,'SegEnds_NonXtal_BW#'!$A:$Z,15,FALSE)+VLOOKUP($A234,A:AL,22,FALSE)-50),"-",VLOOKUP($A234,'SegEnds_NonXtal_BW#'!$A:$Z,15,FALSE)+VLOOKUP($A234,A:AL,22,FALSE)-50)</f>
        <v>170</v>
      </c>
      <c r="V234" s="3">
        <v>182</v>
      </c>
      <c r="W234" s="3">
        <f>IF(ISERROR(VLOOKUP($A234,'SegEnds_NonXtal_BW#'!$A:$Z,16,FALSE)+VLOOKUP($A234,A:AL,22,FALSE)-50),"-",(VLOOKUP($A234,'SegEnds_NonXtal_BW#'!$A:$Z,16,FALSE)+VLOOKUP($A234,A:AL,22,FALSE)-50))</f>
        <v>196</v>
      </c>
      <c r="X234" s="3">
        <f>IF(ISERROR(VLOOKUP($A234,'SegEnds_NonXtal_BW#'!$A:$Z,17,FALSE)+VLOOKUP($A234,A:AL,25,FALSE)-50),"-",(VLOOKUP($A234,'SegEnds_NonXtal_BW#'!$A:$Z,17,FALSE)+VLOOKUP($A234,A:AL,25,FALSE)-50))</f>
        <v>208</v>
      </c>
      <c r="Y234" s="3">
        <v>208</v>
      </c>
      <c r="Z234" s="3">
        <f t="shared" ref="Z234:Z268" si="144">Y234+2</f>
        <v>210</v>
      </c>
      <c r="AA234" s="3">
        <f>IF(ISERROR(VLOOKUP($A234,'SegEnds_NonXtal_BW#'!$A:$Z,19,FALSE)+VLOOKUP($A234,A:AL,28,FALSE)-50),"-",(VLOOKUP($A234,'SegEnds_NonXtal_BW#'!$A:$Z,19,FALSE)+VLOOKUP($A234,A:AL,28,FALSE)-50))</f>
        <v>215</v>
      </c>
      <c r="AB234" s="3">
        <v>235</v>
      </c>
      <c r="AC234" s="3">
        <f>IF(ISERROR((VLOOKUP($A234,'SegEnds_NonXtal_BW#'!$A:$Z,20,FALSE)+VLOOKUP($A234,A:AL,28,FALSE)-50)),"-",(VLOOKUP($A234,'SegEnds_NonXtal_BW#'!$A:$Z,20,FALSE)+VLOOKUP($A234,A:AL,28,FALSE)-50))</f>
        <v>253</v>
      </c>
      <c r="AD234" s="3">
        <f>IF(ISERROR(VLOOKUP($A234,'SegEnds_NonXtal_BW#'!$A:$Z,21,FALSE)+VLOOKUP($A234,A:AL,31,FALSE)-50),"-",(VLOOKUP($A234,'SegEnds_NonXtal_BW#'!$A:$Z,21,FALSE)+VLOOKUP($A234,A:AL,31,FALSE)-50))</f>
        <v>259</v>
      </c>
      <c r="AE234" s="3">
        <v>286</v>
      </c>
      <c r="AF234" s="3">
        <f>IF(ISERROR((VLOOKUP($A234,'SegEnds_NonXtal_BW#'!$A:$Z,22,FALSE)+VLOOKUP($A234,A:AL,31,FALSE)-50)),"-",(VLOOKUP($A234,'SegEnds_NonXtal_BW#'!$A:$Z,22,FALSE)+VLOOKUP($A234,A:AL,31,FALSE)-50))</f>
        <v>297</v>
      </c>
      <c r="AG234" s="3">
        <f>IF(ISERROR(VLOOKUP($A234,'SegEnds_NonXtal_BW#'!$A:$Z,23,FALSE)+VLOOKUP($A234,A:AL,34,FALSE)-50),"-",(VLOOKUP($A234,'SegEnds_NonXtal_BW#'!$A:$Z,23,FALSE)+VLOOKUP($A234,A:AL,34,FALSE)-50))</f>
        <v>302</v>
      </c>
      <c r="AH234" s="3">
        <v>320</v>
      </c>
      <c r="AI234" s="3">
        <f>IF(ISERROR((VLOOKUP($A234,'SegEnds_NonXtal_BW#'!$A:$Z,24,FALSE)+VLOOKUP($A234,A:AL,34,FALSE)-50)),"-",(VLOOKUP($A234,'SegEnds_NonXtal_BW#'!$A:$Z,24,FALSE)+VLOOKUP($A234,A:AL,34,FALSE)-50))</f>
        <v>326</v>
      </c>
      <c r="AJ234" s="3">
        <f>IF(ISERROR(VLOOKUP($A234,'SegEnds_NonXtal_BW#'!$A:$Z,25,FALSE)+VLOOKUP($A234,A:AL,37,FALSE)-50),"-",(VLOOKUP($A234,'SegEnds_NonXtal_BW#'!$A:$Z,25,FALSE)+VLOOKUP($A234,A:AL,37,FALSE)-50))</f>
        <v>327</v>
      </c>
      <c r="AK234" s="3">
        <v>330</v>
      </c>
      <c r="AL234" s="3">
        <f>IF(ISERROR((VLOOKUP($A234,'SegEnds_NonXtal_BW#'!$A:$Z,26,FALSE)+VLOOKUP($A234,A:AL,37,FALSE)-50)),"-",(VLOOKUP($A234,'SegEnds_NonXtal_BW#'!$A:$Z,26,FALSE)+VLOOKUP($A234,A:AL,37,FALSE)-50))</f>
        <v>339</v>
      </c>
      <c r="AM234" s="28" t="str">
        <f>VLOOKUP(A234,Classification!A:B,2,FALSE)</f>
        <v>A</v>
      </c>
      <c r="AN234" s="28" t="b">
        <f t="shared" si="133"/>
        <v>1</v>
      </c>
      <c r="AO234" s="3" t="str">
        <f>IF(ISERROR(MATCH(A234,'SegEnds_Xtal_Prot#'!B:B, 0)), "NoXtal", "Xtal")</f>
        <v>NoXtal</v>
      </c>
      <c r="AP234" s="3">
        <f t="shared" si="118"/>
        <v>1</v>
      </c>
      <c r="AQ234" s="3">
        <f t="shared" si="119"/>
        <v>1</v>
      </c>
      <c r="AR234" s="3">
        <f t="shared" si="120"/>
        <v>2</v>
      </c>
      <c r="AS234" s="3">
        <f t="shared" si="121"/>
        <v>1</v>
      </c>
      <c r="AT234" s="3">
        <f t="shared" si="122"/>
        <v>1</v>
      </c>
      <c r="AU234" s="3">
        <f t="shared" si="123"/>
        <v>1</v>
      </c>
      <c r="AV234" s="3">
        <f t="shared" si="124"/>
        <v>12</v>
      </c>
      <c r="AW234" s="3">
        <f t="shared" si="125"/>
        <v>5</v>
      </c>
      <c r="AX234" s="3">
        <f t="shared" si="126"/>
        <v>6</v>
      </c>
      <c r="AY234" s="3">
        <f t="shared" si="127"/>
        <v>5</v>
      </c>
      <c r="AZ234" s="3">
        <f t="shared" si="128"/>
        <v>1</v>
      </c>
      <c r="BA234" s="3">
        <f>IF(ISERROR(LEN(VLOOKUP(A234,Seqs!A:E,2,FALSE))-AL234),"-",LEN(VLOOKUP(A234,Seqs!A:E,2,FALSE))-AL234)</f>
        <v>52</v>
      </c>
      <c r="BB234" s="16">
        <f t="shared" si="129"/>
        <v>28</v>
      </c>
      <c r="BC234" s="9">
        <f t="shared" si="130"/>
        <v>20</v>
      </c>
      <c r="BD234" s="3">
        <f t="shared" si="131"/>
        <v>28</v>
      </c>
      <c r="BE234" s="3">
        <f t="shared" si="132"/>
        <v>51</v>
      </c>
    </row>
    <row r="235" spans="1:58" s="3" customFormat="1" x14ac:dyDescent="0.2">
      <c r="A235" s="3" t="s">
        <v>382</v>
      </c>
      <c r="B235" s="3" t="str">
        <f>LOWER(VLOOKUP(A235,Xtal_Templ!A:B,2,FALSE))</f>
        <v>oprk_human</v>
      </c>
      <c r="C235" s="3">
        <f>VLOOKUP($A235,'SegEnds_NonXtal_BW#'!$A:$Z,3,FALSE)+D235-50</f>
        <v>41</v>
      </c>
      <c r="D235" s="3">
        <v>61</v>
      </c>
      <c r="E235" s="3">
        <f>IF(ISERROR(VLOOKUP($A235,'SegEnds_NonXtal_BW#'!$A:$Z,4,FALSE)+VLOOKUP($A235,A:AL,4,FALSE)-50),"-",(VLOOKUP($A235,'SegEnds_NonXtal_BW#'!$A:$Z,4,FALSE)+VLOOKUP($A235,A:AL,4,FALSE)-50))</f>
        <v>71</v>
      </c>
      <c r="F235" s="3">
        <f t="shared" si="140"/>
        <v>72</v>
      </c>
      <c r="G235" s="3">
        <v>74</v>
      </c>
      <c r="H235" s="3">
        <f t="shared" si="141"/>
        <v>75</v>
      </c>
      <c r="I235" s="3">
        <f t="shared" si="141"/>
        <v>76</v>
      </c>
      <c r="J235" s="3">
        <v>89</v>
      </c>
      <c r="K235" s="3">
        <f>VLOOKUP($A235,'SegEnds_NonXtal_BW#'!$A:$Z,8,FALSE)+VLOOKUP($A235,A:AL,10,FALSE)-50</f>
        <v>105</v>
      </c>
      <c r="L235" s="3">
        <f t="shared" si="142"/>
        <v>107</v>
      </c>
      <c r="M235" s="3">
        <v>108</v>
      </c>
      <c r="N235" s="3">
        <f t="shared" si="143"/>
        <v>110</v>
      </c>
      <c r="O235" s="3">
        <f t="shared" si="139"/>
        <v>111</v>
      </c>
      <c r="P235" s="3">
        <v>140</v>
      </c>
      <c r="Q235" s="3">
        <f>VLOOKUP($A235,'SegEnds_NonXtal_BW#'!$A:$Z,12,FALSE)+VLOOKUP($A235,A:AL,16,FALSE)-50</f>
        <v>146</v>
      </c>
      <c r="R235" s="3">
        <f>IF(ISERROR(VLOOKUP($A235,'SegEnds_NonXtal_BW#'!$A:$Z,13,FALSE)+VLOOKUP($A235,A:AL,19,FALSE)-50),"-",VLOOKUP($A235,'SegEnds_NonXtal_BW#'!$A:$Z,13,FALSE)+VLOOKUP($A235,A:AL,19,FALSE)-50)</f>
        <v>147</v>
      </c>
      <c r="S235" s="3">
        <v>147</v>
      </c>
      <c r="T235" s="100">
        <f>IF(ISERROR(VLOOKUP($A235,'SegEnds_NonXtal_BW#'!$A:$Z,14,FALSE)+VLOOKUP($A235,A:AL,19,FALSE)-50),"-",(VLOOKUP($A235,'SegEnds_NonXtal_BW#'!$A:$Z,14,FALSE)+VLOOKUP($A235,A:AL,19,FALSE)-50))</f>
        <v>154</v>
      </c>
      <c r="U235" s="9">
        <f>IF(ISERROR(VLOOKUP($A235,'SegEnds_NonXtal_BW#'!$A:$Z,15,FALSE)+VLOOKUP($A235,A:AL,22,FALSE)-50),"-",VLOOKUP($A235,'SegEnds_NonXtal_BW#'!$A:$Z,15,FALSE)+VLOOKUP($A235,A:AL,22,FALSE)-50)</f>
        <v>155</v>
      </c>
      <c r="V235" s="3">
        <v>167</v>
      </c>
      <c r="W235" s="3">
        <f>IF(ISERROR(VLOOKUP($A235,'SegEnds_NonXtal_BW#'!$A:$Z,16,FALSE)+VLOOKUP($A235,A:AL,22,FALSE)-50),"-",(VLOOKUP($A235,'SegEnds_NonXtal_BW#'!$A:$Z,16,FALSE)+VLOOKUP($A235,A:AL,22,FALSE)-50))</f>
        <v>181</v>
      </c>
      <c r="X235" s="3">
        <f>IF(ISERROR(VLOOKUP($A235,'SegEnds_NonXtal_BW#'!$A:$Z,17,FALSE)+VLOOKUP($A235,A:AL,25,FALSE)-50),"-",(VLOOKUP($A235,'SegEnds_NonXtal_BW#'!$A:$Z,17,FALSE)+VLOOKUP($A235,A:AL,25,FALSE)-50))</f>
        <v>193</v>
      </c>
      <c r="Y235" s="3">
        <v>193</v>
      </c>
      <c r="Z235" s="3">
        <f t="shared" si="144"/>
        <v>195</v>
      </c>
      <c r="AA235" s="3">
        <f>IF(ISERROR(VLOOKUP($A235,'SegEnds_NonXtal_BW#'!$A:$Z,19,FALSE)+VLOOKUP($A235,A:AL,28,FALSE)-50),"-",(VLOOKUP($A235,'SegEnds_NonXtal_BW#'!$A:$Z,19,FALSE)+VLOOKUP($A235,A:AL,28,FALSE)-50))</f>
        <v>200</v>
      </c>
      <c r="AB235" s="3">
        <v>220</v>
      </c>
      <c r="AC235" s="3">
        <f>IF(ISERROR((VLOOKUP($A235,'SegEnds_NonXtal_BW#'!$A:$Z,20,FALSE)+VLOOKUP($A235,A:AL,28,FALSE)-50)),"-",(VLOOKUP($A235,'SegEnds_NonXtal_BW#'!$A:$Z,20,FALSE)+VLOOKUP($A235,A:AL,28,FALSE)-50))</f>
        <v>238</v>
      </c>
      <c r="AD235" s="3">
        <f>IF(ISERROR(VLOOKUP($A235,'SegEnds_NonXtal_BW#'!$A:$Z,21,FALSE)+VLOOKUP($A235,A:AL,31,FALSE)-50),"-",(VLOOKUP($A235,'SegEnds_NonXtal_BW#'!$A:$Z,21,FALSE)+VLOOKUP($A235,A:AL,31,FALSE)-50))</f>
        <v>244</v>
      </c>
      <c r="AE235" s="3">
        <v>271</v>
      </c>
      <c r="AF235" s="3">
        <f>IF(ISERROR((VLOOKUP($A235,'SegEnds_NonXtal_BW#'!$A:$Z,22,FALSE)+VLOOKUP($A235,A:AL,31,FALSE)-50)),"-",(VLOOKUP($A235,'SegEnds_NonXtal_BW#'!$A:$Z,22,FALSE)+VLOOKUP($A235,A:AL,31,FALSE)-50))</f>
        <v>282</v>
      </c>
      <c r="AG235" s="3">
        <f>IF(ISERROR(VLOOKUP($A235,'SegEnds_NonXtal_BW#'!$A:$Z,23,FALSE)+VLOOKUP($A235,A:AL,34,FALSE)-50),"-",(VLOOKUP($A235,'SegEnds_NonXtal_BW#'!$A:$Z,23,FALSE)+VLOOKUP($A235,A:AL,34,FALSE)-50))</f>
        <v>287</v>
      </c>
      <c r="AH235" s="3">
        <v>309</v>
      </c>
      <c r="AI235" s="3">
        <f>IF(ISERROR((VLOOKUP($A235,'SegEnds_NonXtal_BW#'!$A:$Z,24,FALSE)+VLOOKUP($A235,A:AL,34,FALSE)-50)),"-",(VLOOKUP($A235,'SegEnds_NonXtal_BW#'!$A:$Z,24,FALSE)+VLOOKUP($A235,A:AL,34,FALSE)-50))</f>
        <v>315</v>
      </c>
      <c r="AJ235" s="3">
        <f>IF(ISERROR(VLOOKUP($A235,'SegEnds_NonXtal_BW#'!$A:$Z,25,FALSE)+VLOOKUP($A235,A:AL,37,FALSE)-50),"-",(VLOOKUP($A235,'SegEnds_NonXtal_BW#'!$A:$Z,25,FALSE)+VLOOKUP($A235,A:AL,37,FALSE)-50))</f>
        <v>316</v>
      </c>
      <c r="AK235" s="3">
        <v>319</v>
      </c>
      <c r="AL235" s="3">
        <f>IF(ISERROR((VLOOKUP($A235,'SegEnds_NonXtal_BW#'!$A:$Z,26,FALSE)+VLOOKUP($A235,A:AL,37,FALSE)-50)),"-",(VLOOKUP($A235,'SegEnds_NonXtal_BW#'!$A:$Z,26,FALSE)+VLOOKUP($A235,A:AL,37,FALSE)-50))</f>
        <v>328</v>
      </c>
      <c r="AM235" s="28" t="str">
        <f>VLOOKUP(A235,Classification!A:B,2,FALSE)</f>
        <v>A</v>
      </c>
      <c r="AN235" s="28" t="b">
        <f t="shared" si="133"/>
        <v>1</v>
      </c>
      <c r="AO235" s="3" t="str">
        <f>IF(ISERROR(MATCH(A235,'SegEnds_Xtal_Prot#'!B:B, 0)), "NoXtal", "Xtal")</f>
        <v>NoXtal</v>
      </c>
      <c r="AP235" s="3">
        <f t="shared" si="118"/>
        <v>1</v>
      </c>
      <c r="AQ235" s="3">
        <f t="shared" si="119"/>
        <v>1</v>
      </c>
      <c r="AR235" s="3">
        <f t="shared" si="120"/>
        <v>2</v>
      </c>
      <c r="AS235" s="3">
        <f t="shared" si="121"/>
        <v>1</v>
      </c>
      <c r="AT235" s="3">
        <f t="shared" si="122"/>
        <v>1</v>
      </c>
      <c r="AU235" s="3">
        <f t="shared" si="123"/>
        <v>1</v>
      </c>
      <c r="AV235" s="3">
        <f t="shared" si="124"/>
        <v>12</v>
      </c>
      <c r="AW235" s="3">
        <f t="shared" si="125"/>
        <v>5</v>
      </c>
      <c r="AX235" s="3">
        <f t="shared" si="126"/>
        <v>6</v>
      </c>
      <c r="AY235" s="3">
        <f t="shared" si="127"/>
        <v>5</v>
      </c>
      <c r="AZ235" s="3">
        <f t="shared" si="128"/>
        <v>1</v>
      </c>
      <c r="BA235" s="3">
        <f>IF(ISERROR(LEN(VLOOKUP(A235,Seqs!A:E,2,FALSE))-AL235),"-",LEN(VLOOKUP(A235,Seqs!A:E,2,FALSE))-AL235)</f>
        <v>41</v>
      </c>
      <c r="BB235" s="16">
        <f t="shared" si="129"/>
        <v>28</v>
      </c>
      <c r="BC235" s="9">
        <f t="shared" si="130"/>
        <v>20</v>
      </c>
      <c r="BD235" s="3">
        <f t="shared" si="131"/>
        <v>28</v>
      </c>
      <c r="BE235" s="3">
        <f t="shared" si="132"/>
        <v>51</v>
      </c>
    </row>
    <row r="236" spans="1:58" s="3" customFormat="1" x14ac:dyDescent="0.2">
      <c r="A236" s="3" t="s">
        <v>383</v>
      </c>
      <c r="B236" s="3" t="str">
        <f>LOWER(VLOOKUP(A236,Xtal_Templ!A:B,2,FALSE))</f>
        <v>oprk_human</v>
      </c>
      <c r="C236" s="3">
        <f>VLOOKUP($A236,'SegEnds_NonXtal_BW#'!$A:$Z,3,FALSE)+D236-50</f>
        <v>42</v>
      </c>
      <c r="D236" s="3">
        <v>62</v>
      </c>
      <c r="E236" s="3">
        <f>IF(ISERROR(VLOOKUP($A236,'SegEnds_NonXtal_BW#'!$A:$Z,4,FALSE)+VLOOKUP($A236,A:AL,4,FALSE)-50),"-",(VLOOKUP($A236,'SegEnds_NonXtal_BW#'!$A:$Z,4,FALSE)+VLOOKUP($A236,A:AL,4,FALSE)-50))</f>
        <v>72</v>
      </c>
      <c r="F236" s="3">
        <f t="shared" si="140"/>
        <v>73</v>
      </c>
      <c r="G236" s="3">
        <v>75</v>
      </c>
      <c r="H236" s="3">
        <f t="shared" si="141"/>
        <v>76</v>
      </c>
      <c r="I236" s="3">
        <f t="shared" si="141"/>
        <v>77</v>
      </c>
      <c r="J236" s="3">
        <v>90</v>
      </c>
      <c r="K236" s="3">
        <f>VLOOKUP($A236,'SegEnds_NonXtal_BW#'!$A:$Z,8,FALSE)+VLOOKUP($A236,A:AL,10,FALSE)-50</f>
        <v>106</v>
      </c>
      <c r="L236" s="3">
        <f t="shared" si="142"/>
        <v>108</v>
      </c>
      <c r="M236" s="3">
        <v>109</v>
      </c>
      <c r="N236" s="3">
        <f t="shared" si="143"/>
        <v>111</v>
      </c>
      <c r="O236" s="3">
        <f t="shared" si="139"/>
        <v>112</v>
      </c>
      <c r="P236" s="3">
        <v>141</v>
      </c>
      <c r="Q236" s="3">
        <f>VLOOKUP($A236,'SegEnds_NonXtal_BW#'!$A:$Z,12,FALSE)+VLOOKUP($A236,A:AL,16,FALSE)-50</f>
        <v>147</v>
      </c>
      <c r="R236" s="3">
        <f>IF(ISERROR(VLOOKUP($A236,'SegEnds_NonXtal_BW#'!$A:$Z,13,FALSE)+VLOOKUP($A236,A:AL,19,FALSE)-50),"-",VLOOKUP($A236,'SegEnds_NonXtal_BW#'!$A:$Z,13,FALSE)+VLOOKUP($A236,A:AL,19,FALSE)-50)</f>
        <v>148</v>
      </c>
      <c r="S236" s="3">
        <v>148</v>
      </c>
      <c r="T236" s="100">
        <f>IF(ISERROR(VLOOKUP($A236,'SegEnds_NonXtal_BW#'!$A:$Z,14,FALSE)+VLOOKUP($A236,A:AL,19,FALSE)-50),"-",(VLOOKUP($A236,'SegEnds_NonXtal_BW#'!$A:$Z,14,FALSE)+VLOOKUP($A236,A:AL,19,FALSE)-50))</f>
        <v>155</v>
      </c>
      <c r="U236" s="9">
        <f>IF(ISERROR(VLOOKUP($A236,'SegEnds_NonXtal_BW#'!$A:$Z,15,FALSE)+VLOOKUP($A236,A:AL,22,FALSE)-50),"-",VLOOKUP($A236,'SegEnds_NonXtal_BW#'!$A:$Z,15,FALSE)+VLOOKUP($A236,A:AL,22,FALSE)-50)</f>
        <v>156</v>
      </c>
      <c r="V236" s="3">
        <v>168</v>
      </c>
      <c r="W236" s="3">
        <f>IF(ISERROR(VLOOKUP($A236,'SegEnds_NonXtal_BW#'!$A:$Z,16,FALSE)+VLOOKUP($A236,A:AL,22,FALSE)-50),"-",(VLOOKUP($A236,'SegEnds_NonXtal_BW#'!$A:$Z,16,FALSE)+VLOOKUP($A236,A:AL,22,FALSE)-50))</f>
        <v>182</v>
      </c>
      <c r="X236" s="3">
        <f>IF(ISERROR(VLOOKUP($A236,'SegEnds_NonXtal_BW#'!$A:$Z,17,FALSE)+VLOOKUP($A236,A:AL,25,FALSE)-50),"-",(VLOOKUP($A236,'SegEnds_NonXtal_BW#'!$A:$Z,17,FALSE)+VLOOKUP($A236,A:AL,25,FALSE)-50))</f>
        <v>191</v>
      </c>
      <c r="Y236" s="3">
        <v>191</v>
      </c>
      <c r="Z236" s="3">
        <f t="shared" si="144"/>
        <v>193</v>
      </c>
      <c r="AA236" s="3">
        <f>IF(ISERROR(VLOOKUP($A236,'SegEnds_NonXtal_BW#'!$A:$Z,19,FALSE)+VLOOKUP($A236,A:AL,28,FALSE)-50),"-",(VLOOKUP($A236,'SegEnds_NonXtal_BW#'!$A:$Z,19,FALSE)+VLOOKUP($A236,A:AL,28,FALSE)-50))</f>
        <v>198</v>
      </c>
      <c r="AB236" s="3">
        <v>218</v>
      </c>
      <c r="AC236" s="3">
        <f>IF(ISERROR((VLOOKUP($A236,'SegEnds_NonXtal_BW#'!$A:$Z,20,FALSE)+VLOOKUP($A236,A:AL,28,FALSE)-50)),"-",(VLOOKUP($A236,'SegEnds_NonXtal_BW#'!$A:$Z,20,FALSE)+VLOOKUP($A236,A:AL,28,FALSE)-50))</f>
        <v>240</v>
      </c>
      <c r="AD236" s="3">
        <f>IF(ISERROR(VLOOKUP($A236,'SegEnds_NonXtal_BW#'!$A:$Z,21,FALSE)+VLOOKUP($A236,A:AL,31,FALSE)-50),"-",(VLOOKUP($A236,'SegEnds_NonXtal_BW#'!$A:$Z,21,FALSE)+VLOOKUP($A236,A:AL,31,FALSE)-50))</f>
        <v>246</v>
      </c>
      <c r="AE236" s="3">
        <v>272</v>
      </c>
      <c r="AF236" s="3">
        <f>IF(ISERROR((VLOOKUP($A236,'SegEnds_NonXtal_BW#'!$A:$Z,22,FALSE)+VLOOKUP($A236,A:AL,31,FALSE)-50)),"-",(VLOOKUP($A236,'SegEnds_NonXtal_BW#'!$A:$Z,22,FALSE)+VLOOKUP($A236,A:AL,31,FALSE)-50))</f>
        <v>283</v>
      </c>
      <c r="AG236" s="3">
        <f>IF(ISERROR(VLOOKUP($A236,'SegEnds_NonXtal_BW#'!$A:$Z,23,FALSE)+VLOOKUP($A236,A:AL,34,FALSE)-50),"-",(VLOOKUP($A236,'SegEnds_NonXtal_BW#'!$A:$Z,23,FALSE)+VLOOKUP($A236,A:AL,34,FALSE)-50))</f>
        <v>288</v>
      </c>
      <c r="AH236" s="3">
        <v>310</v>
      </c>
      <c r="AI236" s="3">
        <f>IF(ISERROR((VLOOKUP($A236,'SegEnds_NonXtal_BW#'!$A:$Z,24,FALSE)+VLOOKUP($A236,A:AL,34,FALSE)-50)),"-",(VLOOKUP($A236,'SegEnds_NonXtal_BW#'!$A:$Z,24,FALSE)+VLOOKUP($A236,A:AL,34,FALSE)-50))</f>
        <v>316</v>
      </c>
      <c r="AJ236" s="3">
        <f>IF(ISERROR(VLOOKUP($A236,'SegEnds_NonXtal_BW#'!$A:$Z,25,FALSE)+VLOOKUP($A236,A:AL,37,FALSE)-50),"-",(VLOOKUP($A236,'SegEnds_NonXtal_BW#'!$A:$Z,25,FALSE)+VLOOKUP($A236,A:AL,37,FALSE)-50))</f>
        <v>317</v>
      </c>
      <c r="AK236" s="3">
        <v>320</v>
      </c>
      <c r="AL236" s="3">
        <f>IF(ISERROR((VLOOKUP($A236,'SegEnds_NonXtal_BW#'!$A:$Z,26,FALSE)+VLOOKUP($A236,A:AL,37,FALSE)-50)),"-",(VLOOKUP($A236,'SegEnds_NonXtal_BW#'!$A:$Z,26,FALSE)+VLOOKUP($A236,A:AL,37,FALSE)-50))</f>
        <v>329</v>
      </c>
      <c r="AM236" s="28" t="str">
        <f>VLOOKUP(A236,Classification!A:B,2,FALSE)</f>
        <v>A</v>
      </c>
      <c r="AN236" s="28" t="b">
        <f t="shared" si="133"/>
        <v>1</v>
      </c>
      <c r="AO236" s="3" t="str">
        <f>IF(ISERROR(MATCH(A236,'SegEnds_Xtal_Prot#'!B:B, 0)), "NoXtal", "Xtal")</f>
        <v>NoXtal</v>
      </c>
      <c r="AP236" s="3">
        <f t="shared" si="118"/>
        <v>1</v>
      </c>
      <c r="AQ236" s="3">
        <f t="shared" si="119"/>
        <v>1</v>
      </c>
      <c r="AR236" s="3">
        <f t="shared" si="120"/>
        <v>2</v>
      </c>
      <c r="AS236" s="3">
        <f t="shared" si="121"/>
        <v>1</v>
      </c>
      <c r="AT236" s="3">
        <f t="shared" si="122"/>
        <v>1</v>
      </c>
      <c r="AU236" s="3">
        <f t="shared" si="123"/>
        <v>1</v>
      </c>
      <c r="AV236" s="3">
        <f t="shared" si="124"/>
        <v>9</v>
      </c>
      <c r="AW236" s="3">
        <f t="shared" si="125"/>
        <v>5</v>
      </c>
      <c r="AX236" s="3">
        <f t="shared" si="126"/>
        <v>6</v>
      </c>
      <c r="AY236" s="3">
        <f t="shared" si="127"/>
        <v>5</v>
      </c>
      <c r="AZ236" s="3">
        <f t="shared" si="128"/>
        <v>1</v>
      </c>
      <c r="BA236" s="3">
        <f>IF(ISERROR(LEN(VLOOKUP(A236,Seqs!A:E,2,FALSE))-AL236),"-",LEN(VLOOKUP(A236,Seqs!A:E,2,FALSE))-AL236)</f>
        <v>89</v>
      </c>
      <c r="BB236" s="16">
        <f t="shared" si="129"/>
        <v>28</v>
      </c>
      <c r="BC236" s="9">
        <f t="shared" si="130"/>
        <v>20</v>
      </c>
      <c r="BD236" s="3">
        <f t="shared" si="131"/>
        <v>28</v>
      </c>
      <c r="BE236" s="3">
        <f t="shared" si="132"/>
        <v>54</v>
      </c>
    </row>
    <row r="237" spans="1:58" s="3" customFormat="1" x14ac:dyDescent="0.2">
      <c r="A237" s="3" t="s">
        <v>384</v>
      </c>
      <c r="B237" s="3" t="str">
        <f>LOWER(VLOOKUP(A237,Xtal_Templ!A:B,2,FALSE))</f>
        <v>oprd_human</v>
      </c>
      <c r="C237" s="3">
        <f>VLOOKUP($A237,'SegEnds_NonXtal_BW#'!$A:$Z,3,FALSE)+D237-50</f>
        <v>37</v>
      </c>
      <c r="D237" s="3">
        <v>65</v>
      </c>
      <c r="E237" s="3">
        <f>IF(ISERROR(VLOOKUP($A237,'SegEnds_NonXtal_BW#'!$A:$Z,4,FALSE)+VLOOKUP($A237,A:AL,4,FALSE)-50),"-",(VLOOKUP($A237,'SegEnds_NonXtal_BW#'!$A:$Z,4,FALSE)+VLOOKUP($A237,A:AL,4,FALSE)-50))</f>
        <v>75</v>
      </c>
      <c r="F237" s="3">
        <f t="shared" si="140"/>
        <v>76</v>
      </c>
      <c r="G237" s="3">
        <v>78</v>
      </c>
      <c r="H237" s="3">
        <f t="shared" si="141"/>
        <v>79</v>
      </c>
      <c r="I237" s="3">
        <f t="shared" si="141"/>
        <v>80</v>
      </c>
      <c r="J237" s="3">
        <v>93</v>
      </c>
      <c r="K237" s="3">
        <f>VLOOKUP($A237,'SegEnds_NonXtal_BW#'!$A:$Z,8,FALSE)+VLOOKUP($A237,A:AL,10,FALSE)-50</f>
        <v>109</v>
      </c>
      <c r="L237" s="3">
        <f t="shared" si="142"/>
        <v>111</v>
      </c>
      <c r="M237" s="3">
        <v>112</v>
      </c>
      <c r="N237" s="3">
        <f t="shared" si="143"/>
        <v>114</v>
      </c>
      <c r="O237" s="3">
        <f t="shared" si="139"/>
        <v>115</v>
      </c>
      <c r="P237" s="3">
        <v>144</v>
      </c>
      <c r="Q237" s="3">
        <f>VLOOKUP($A237,'SegEnds_NonXtal_BW#'!$A:$Z,12,FALSE)+VLOOKUP($A237,A:AL,16,FALSE)-50</f>
        <v>150</v>
      </c>
      <c r="R237" s="3">
        <f>IF(ISERROR(VLOOKUP($A237,'SegEnds_NonXtal_BW#'!$A:$Z,13,FALSE)+VLOOKUP($A237,A:AL,19,FALSE)-50),"-",VLOOKUP($A237,'SegEnds_NonXtal_BW#'!$A:$Z,13,FALSE)+VLOOKUP($A237,A:AL,19,FALSE)-50)</f>
        <v>151</v>
      </c>
      <c r="S237" s="3">
        <v>151</v>
      </c>
      <c r="T237" s="100">
        <f>IF(ISERROR(VLOOKUP($A237,'SegEnds_NonXtal_BW#'!$A:$Z,14,FALSE)+VLOOKUP($A237,A:AL,19,FALSE)-50),"-",(VLOOKUP($A237,'SegEnds_NonXtal_BW#'!$A:$Z,14,FALSE)+VLOOKUP($A237,A:AL,19,FALSE)-50))</f>
        <v>158</v>
      </c>
      <c r="U237" s="9">
        <f>IF(ISERROR(VLOOKUP($A237,'SegEnds_NonXtal_BW#'!$A:$Z,15,FALSE)+VLOOKUP($A237,A:AL,22,FALSE)-50),"-",VLOOKUP($A237,'SegEnds_NonXtal_BW#'!$A:$Z,15,FALSE)+VLOOKUP($A237,A:AL,22,FALSE)-50)</f>
        <v>159</v>
      </c>
      <c r="V237" s="3">
        <v>171</v>
      </c>
      <c r="W237" s="3">
        <f>IF(ISERROR(VLOOKUP($A237,'SegEnds_NonXtal_BW#'!$A:$Z,16,FALSE)+VLOOKUP($A237,A:AL,22,FALSE)-50),"-",(VLOOKUP($A237,'SegEnds_NonXtal_BW#'!$A:$Z,16,FALSE)+VLOOKUP($A237,A:AL,22,FALSE)-50))</f>
        <v>185</v>
      </c>
      <c r="X237" s="3">
        <f>IF(ISERROR(VLOOKUP($A237,'SegEnds_NonXtal_BW#'!$A:$Z,17,FALSE)+VLOOKUP($A237,A:AL,25,FALSE)-50),"-",(VLOOKUP($A237,'SegEnds_NonXtal_BW#'!$A:$Z,17,FALSE)+VLOOKUP($A237,A:AL,25,FALSE)-50))</f>
        <v>198</v>
      </c>
      <c r="Y237" s="3">
        <v>198</v>
      </c>
      <c r="Z237" s="3">
        <f t="shared" si="144"/>
        <v>200</v>
      </c>
      <c r="AA237" s="3">
        <f>IF(ISERROR(VLOOKUP($A237,'SegEnds_NonXtal_BW#'!$A:$Z,19,FALSE)+VLOOKUP($A237,A:AL,28,FALSE)-50),"-",(VLOOKUP($A237,'SegEnds_NonXtal_BW#'!$A:$Z,19,FALSE)+VLOOKUP($A237,A:AL,28,FALSE)-50))</f>
        <v>204</v>
      </c>
      <c r="AB237" s="3">
        <v>223</v>
      </c>
      <c r="AC237" s="3">
        <f>IF(ISERROR((VLOOKUP($A237,'SegEnds_NonXtal_BW#'!$A:$Z,20,FALSE)+VLOOKUP($A237,A:AL,28,FALSE)-50)),"-",(VLOOKUP($A237,'SegEnds_NonXtal_BW#'!$A:$Z,20,FALSE)+VLOOKUP($A237,A:AL,28,FALSE)-50))</f>
        <v>241</v>
      </c>
      <c r="AD237" s="3">
        <f>IF(ISERROR(VLOOKUP($A237,'SegEnds_NonXtal_BW#'!$A:$Z,21,FALSE)+VLOOKUP($A237,A:AL,31,FALSE)-50),"-",(VLOOKUP($A237,'SegEnds_NonXtal_BW#'!$A:$Z,21,FALSE)+VLOOKUP($A237,A:AL,31,FALSE)-50))</f>
        <v>247</v>
      </c>
      <c r="AE237" s="3">
        <v>274</v>
      </c>
      <c r="AF237" s="3">
        <f>IF(ISERROR((VLOOKUP($A237,'SegEnds_NonXtal_BW#'!$A:$Z,22,FALSE)+VLOOKUP($A237,A:AL,31,FALSE)-50)),"-",(VLOOKUP($A237,'SegEnds_NonXtal_BW#'!$A:$Z,22,FALSE)+VLOOKUP($A237,A:AL,31,FALSE)-50))</f>
        <v>285</v>
      </c>
      <c r="AG237" s="3">
        <f>IF(ISERROR(VLOOKUP($A237,'SegEnds_NonXtal_BW#'!$A:$Z,23,FALSE)+VLOOKUP($A237,A:AL,34,FALSE)-50),"-",(VLOOKUP($A237,'SegEnds_NonXtal_BW#'!$A:$Z,23,FALSE)+VLOOKUP($A237,A:AL,34,FALSE)-50))</f>
        <v>290</v>
      </c>
      <c r="AH237" s="3">
        <v>308</v>
      </c>
      <c r="AI237" s="3">
        <f>IF(ISERROR((VLOOKUP($A237,'SegEnds_NonXtal_BW#'!$A:$Z,24,FALSE)+VLOOKUP($A237,A:AL,34,FALSE)-50)),"-",(VLOOKUP($A237,'SegEnds_NonXtal_BW#'!$A:$Z,24,FALSE)+VLOOKUP($A237,A:AL,34,FALSE)-50))</f>
        <v>314</v>
      </c>
      <c r="AJ237" s="3">
        <f>IF(ISERROR(VLOOKUP($A237,'SegEnds_NonXtal_BW#'!$A:$Z,25,FALSE)+VLOOKUP($A237,A:AL,37,FALSE)-50),"-",(VLOOKUP($A237,'SegEnds_NonXtal_BW#'!$A:$Z,25,FALSE)+VLOOKUP($A237,A:AL,37,FALSE)-50))</f>
        <v>315</v>
      </c>
      <c r="AK237" s="3">
        <v>318</v>
      </c>
      <c r="AL237" s="3">
        <f>IF(ISERROR((VLOOKUP($A237,'SegEnds_NonXtal_BW#'!$A:$Z,26,FALSE)+VLOOKUP($A237,A:AL,37,FALSE)-50)),"-",(VLOOKUP($A237,'SegEnds_NonXtal_BW#'!$A:$Z,26,FALSE)+VLOOKUP($A237,A:AL,37,FALSE)-50))</f>
        <v>328</v>
      </c>
      <c r="AM237" s="28" t="str">
        <f>VLOOKUP(A237,Classification!A:B,2,FALSE)</f>
        <v>A</v>
      </c>
      <c r="AN237" s="28" t="b">
        <f t="shared" si="133"/>
        <v>1</v>
      </c>
      <c r="AO237" s="3" t="str">
        <f>IF(ISERROR(MATCH(A237,'SegEnds_Xtal_Prot#'!B:B, 0)), "NoXtal", "Xtal")</f>
        <v>NoXtal</v>
      </c>
      <c r="AP237" s="3">
        <f t="shared" si="118"/>
        <v>1</v>
      </c>
      <c r="AQ237" s="3">
        <f t="shared" si="119"/>
        <v>1</v>
      </c>
      <c r="AR237" s="3">
        <f t="shared" si="120"/>
        <v>2</v>
      </c>
      <c r="AS237" s="3">
        <f t="shared" si="121"/>
        <v>1</v>
      </c>
      <c r="AT237" s="3">
        <f t="shared" si="122"/>
        <v>1</v>
      </c>
      <c r="AU237" s="3">
        <f t="shared" si="123"/>
        <v>1</v>
      </c>
      <c r="AV237" s="3">
        <f t="shared" si="124"/>
        <v>13</v>
      </c>
      <c r="AW237" s="3">
        <f t="shared" si="125"/>
        <v>4</v>
      </c>
      <c r="AX237" s="3">
        <f t="shared" si="126"/>
        <v>6</v>
      </c>
      <c r="AY237" s="3">
        <f t="shared" si="127"/>
        <v>5</v>
      </c>
      <c r="AZ237" s="3">
        <f t="shared" si="128"/>
        <v>1</v>
      </c>
      <c r="BA237" s="3">
        <f>IF(ISERROR(LEN(VLOOKUP(A237,Seqs!A:E,2,FALSE))-AL237),"-",LEN(VLOOKUP(A237,Seqs!A:E,2,FALSE))-AL237)</f>
        <v>60</v>
      </c>
      <c r="BB237" s="16">
        <f t="shared" si="129"/>
        <v>28</v>
      </c>
      <c r="BC237" s="9">
        <f t="shared" si="130"/>
        <v>20</v>
      </c>
      <c r="BD237" s="3">
        <f t="shared" si="131"/>
        <v>28</v>
      </c>
      <c r="BE237" s="3">
        <f t="shared" si="132"/>
        <v>51</v>
      </c>
    </row>
    <row r="238" spans="1:58" s="3" customFormat="1" x14ac:dyDescent="0.2">
      <c r="A238" s="3" t="s">
        <v>385</v>
      </c>
      <c r="B238" s="3" t="str">
        <f>LOWER(VLOOKUP(A238,Xtal_Templ!A:B,2,FALSE))</f>
        <v>oprk_human</v>
      </c>
      <c r="C238" s="3">
        <f>VLOOKUP($A238,'SegEnds_NonXtal_BW#'!$A:$Z,3,FALSE)+D238-50</f>
        <v>38</v>
      </c>
      <c r="D238" s="3">
        <v>58</v>
      </c>
      <c r="E238" s="3">
        <f>IF(ISERROR(VLOOKUP($A238,'SegEnds_NonXtal_BW#'!$A:$Z,4,FALSE)+VLOOKUP($A238,A:AL,4,FALSE)-50),"-",(VLOOKUP($A238,'SegEnds_NonXtal_BW#'!$A:$Z,4,FALSE)+VLOOKUP($A238,A:AL,4,FALSE)-50))</f>
        <v>68</v>
      </c>
      <c r="F238" s="3">
        <f t="shared" si="140"/>
        <v>69</v>
      </c>
      <c r="G238" s="3">
        <v>71</v>
      </c>
      <c r="H238" s="3">
        <f t="shared" si="141"/>
        <v>72</v>
      </c>
      <c r="I238" s="3">
        <f t="shared" si="141"/>
        <v>73</v>
      </c>
      <c r="J238" s="3">
        <v>86</v>
      </c>
      <c r="K238" s="3">
        <f>VLOOKUP($A238,'SegEnds_NonXtal_BW#'!$A:$Z,8,FALSE)+VLOOKUP($A238,A:AL,10,FALSE)-50</f>
        <v>102</v>
      </c>
      <c r="L238" s="3">
        <f t="shared" si="142"/>
        <v>104</v>
      </c>
      <c r="M238" s="3">
        <v>105</v>
      </c>
      <c r="N238" s="3">
        <f t="shared" si="143"/>
        <v>107</v>
      </c>
      <c r="O238" s="3">
        <f t="shared" si="139"/>
        <v>108</v>
      </c>
      <c r="P238" s="3">
        <v>137</v>
      </c>
      <c r="Q238" s="3">
        <f>VLOOKUP($A238,'SegEnds_NonXtal_BW#'!$A:$Z,12,FALSE)+VLOOKUP($A238,A:AL,16,FALSE)-50</f>
        <v>143</v>
      </c>
      <c r="R238" s="3">
        <f>IF(ISERROR(VLOOKUP($A238,'SegEnds_NonXtal_BW#'!$A:$Z,13,FALSE)+VLOOKUP($A238,A:AL,19,FALSE)-50),"-",VLOOKUP($A238,'SegEnds_NonXtal_BW#'!$A:$Z,13,FALSE)+VLOOKUP($A238,A:AL,19,FALSE)-50)</f>
        <v>144</v>
      </c>
      <c r="S238" s="3">
        <v>144</v>
      </c>
      <c r="T238" s="100">
        <f>IF(ISERROR(VLOOKUP($A238,'SegEnds_NonXtal_BW#'!$A:$Z,14,FALSE)+VLOOKUP($A238,A:AL,19,FALSE)-50),"-",(VLOOKUP($A238,'SegEnds_NonXtal_BW#'!$A:$Z,14,FALSE)+VLOOKUP($A238,A:AL,19,FALSE)-50))</f>
        <v>151</v>
      </c>
      <c r="U238" s="9">
        <f>IF(ISERROR(VLOOKUP($A238,'SegEnds_NonXtal_BW#'!$A:$Z,15,FALSE)+VLOOKUP($A238,A:AL,22,FALSE)-50),"-",VLOOKUP($A238,'SegEnds_NonXtal_BW#'!$A:$Z,15,FALSE)+VLOOKUP($A238,A:AL,22,FALSE)-50)</f>
        <v>152</v>
      </c>
      <c r="V238" s="3">
        <v>164</v>
      </c>
      <c r="W238" s="3">
        <f>IF(ISERROR(VLOOKUP($A238,'SegEnds_NonXtal_BW#'!$A:$Z,16,FALSE)+VLOOKUP($A238,A:AL,22,FALSE)-50),"-",(VLOOKUP($A238,'SegEnds_NonXtal_BW#'!$A:$Z,16,FALSE)+VLOOKUP($A238,A:AL,22,FALSE)-50))</f>
        <v>178</v>
      </c>
      <c r="X238" s="3">
        <f>IF(ISERROR(VLOOKUP($A238,'SegEnds_NonXtal_BW#'!$A:$Z,17,FALSE)+VLOOKUP($A238,A:AL,25,FALSE)-50),"-",(VLOOKUP($A238,'SegEnds_NonXtal_BW#'!$A:$Z,17,FALSE)+VLOOKUP($A238,A:AL,25,FALSE)-50))</f>
        <v>186</v>
      </c>
      <c r="Y238" s="3">
        <v>186</v>
      </c>
      <c r="Z238" s="3">
        <f t="shared" si="144"/>
        <v>188</v>
      </c>
      <c r="AA238" s="3">
        <f>IF(ISERROR(VLOOKUP($A238,'SegEnds_NonXtal_BW#'!$A:$Z,19,FALSE)+VLOOKUP($A238,A:AL,28,FALSE)-50),"-",(VLOOKUP($A238,'SegEnds_NonXtal_BW#'!$A:$Z,19,FALSE)+VLOOKUP($A238,A:AL,28,FALSE)-50))</f>
        <v>193</v>
      </c>
      <c r="AB238" s="3">
        <v>213</v>
      </c>
      <c r="AC238" s="3">
        <f>IF(ISERROR((VLOOKUP($A238,'SegEnds_NonXtal_BW#'!$A:$Z,20,FALSE)+VLOOKUP($A238,A:AL,28,FALSE)-50)),"-",(VLOOKUP($A238,'SegEnds_NonXtal_BW#'!$A:$Z,20,FALSE)+VLOOKUP($A238,A:AL,28,FALSE)-50))</f>
        <v>235</v>
      </c>
      <c r="AD238" s="3">
        <f>IF(ISERROR(VLOOKUP($A238,'SegEnds_NonXtal_BW#'!$A:$Z,21,FALSE)+VLOOKUP($A238,A:AL,31,FALSE)-50),"-",(VLOOKUP($A238,'SegEnds_NonXtal_BW#'!$A:$Z,21,FALSE)+VLOOKUP($A238,A:AL,31,FALSE)-50))</f>
        <v>242</v>
      </c>
      <c r="AE238" s="3">
        <v>263</v>
      </c>
      <c r="AF238" s="3">
        <f>IF(ISERROR((VLOOKUP($A238,'SegEnds_NonXtal_BW#'!$A:$Z,22,FALSE)+VLOOKUP($A238,A:AL,31,FALSE)-50)),"-",(VLOOKUP($A238,'SegEnds_NonXtal_BW#'!$A:$Z,22,FALSE)+VLOOKUP($A238,A:AL,31,FALSE)-50))</f>
        <v>274</v>
      </c>
      <c r="AG238" s="3">
        <f>IF(ISERROR(VLOOKUP($A238,'SegEnds_NonXtal_BW#'!$A:$Z,23,FALSE)+VLOOKUP($A238,A:AL,34,FALSE)-50),"-",(VLOOKUP($A238,'SegEnds_NonXtal_BW#'!$A:$Z,23,FALSE)+VLOOKUP($A238,A:AL,34,FALSE)-50))</f>
        <v>279</v>
      </c>
      <c r="AH238" s="3">
        <v>301</v>
      </c>
      <c r="AI238" s="3">
        <f>IF(ISERROR((VLOOKUP($A238,'SegEnds_NonXtal_BW#'!$A:$Z,24,FALSE)+VLOOKUP($A238,A:AL,34,FALSE)-50)),"-",(VLOOKUP($A238,'SegEnds_NonXtal_BW#'!$A:$Z,24,FALSE)+VLOOKUP($A238,A:AL,34,FALSE)-50))</f>
        <v>307</v>
      </c>
      <c r="AJ238" s="3">
        <f>IF(ISERROR(VLOOKUP($A238,'SegEnds_NonXtal_BW#'!$A:$Z,25,FALSE)+VLOOKUP($A238,A:AL,37,FALSE)-50),"-",(VLOOKUP($A238,'SegEnds_NonXtal_BW#'!$A:$Z,25,FALSE)+VLOOKUP($A238,A:AL,37,FALSE)-50))</f>
        <v>308</v>
      </c>
      <c r="AK238" s="3">
        <v>311</v>
      </c>
      <c r="AL238" s="3">
        <f>IF(ISERROR((VLOOKUP($A238,'SegEnds_NonXtal_BW#'!$A:$Z,26,FALSE)+VLOOKUP($A238,A:AL,37,FALSE)-50)),"-",(VLOOKUP($A238,'SegEnds_NonXtal_BW#'!$A:$Z,26,FALSE)+VLOOKUP($A238,A:AL,37,FALSE)-50))</f>
        <v>320</v>
      </c>
      <c r="AM238" s="28" t="str">
        <f>VLOOKUP(A238,Classification!A:B,2,FALSE)</f>
        <v>A</v>
      </c>
      <c r="AN238" s="28" t="b">
        <f t="shared" si="133"/>
        <v>1</v>
      </c>
      <c r="AO238" s="3" t="str">
        <f>IF(ISERROR(MATCH(A238,'SegEnds_Xtal_Prot#'!B:B, 0)), "NoXtal", "Xtal")</f>
        <v>NoXtal</v>
      </c>
      <c r="AP238" s="3">
        <f t="shared" si="118"/>
        <v>1</v>
      </c>
      <c r="AQ238" s="3">
        <f t="shared" si="119"/>
        <v>1</v>
      </c>
      <c r="AR238" s="3">
        <f t="shared" si="120"/>
        <v>2</v>
      </c>
      <c r="AS238" s="3">
        <f t="shared" si="121"/>
        <v>1</v>
      </c>
      <c r="AT238" s="3">
        <f t="shared" si="122"/>
        <v>1</v>
      </c>
      <c r="AU238" s="3">
        <f t="shared" si="123"/>
        <v>1</v>
      </c>
      <c r="AV238" s="3">
        <f t="shared" si="124"/>
        <v>8</v>
      </c>
      <c r="AW238" s="3">
        <f t="shared" si="125"/>
        <v>5</v>
      </c>
      <c r="AX238" s="3">
        <f t="shared" si="126"/>
        <v>7</v>
      </c>
      <c r="AY238" s="3">
        <f t="shared" si="127"/>
        <v>5</v>
      </c>
      <c r="AZ238" s="3">
        <f t="shared" si="128"/>
        <v>1</v>
      </c>
      <c r="BA238" s="3">
        <f>IF(ISERROR(LEN(VLOOKUP(A238,Seqs!A:E,2,FALSE))-AL238),"-",LEN(VLOOKUP(A238,Seqs!A:E,2,FALSE))-AL238)</f>
        <v>44</v>
      </c>
      <c r="BB238" s="16">
        <f t="shared" si="129"/>
        <v>28</v>
      </c>
      <c r="BC238" s="9">
        <f t="shared" si="130"/>
        <v>20</v>
      </c>
      <c r="BD238" s="3">
        <f t="shared" si="131"/>
        <v>28</v>
      </c>
      <c r="BE238" s="3">
        <f t="shared" si="132"/>
        <v>50</v>
      </c>
    </row>
    <row r="239" spans="1:58" s="3" customFormat="1" x14ac:dyDescent="0.2">
      <c r="A239" s="3" t="s">
        <v>386</v>
      </c>
      <c r="B239" s="3" t="str">
        <f>LOWER(VLOOKUP(A239,Xtal_Templ!A:B,2,FALSE))</f>
        <v>p2ry1_human</v>
      </c>
      <c r="C239" s="3">
        <f>VLOOKUP($A239,'SegEnds_NonXtal_BW#'!$A:$Z,3,FALSE)+D239-50</f>
        <v>21</v>
      </c>
      <c r="D239" s="3">
        <v>41</v>
      </c>
      <c r="E239" s="3">
        <f>IF(ISERROR(VLOOKUP($A239,'SegEnds_NonXtal_BW#'!$A:$Z,4,FALSE)+VLOOKUP($A239,A:AL,4,FALSE)-50),"-",(VLOOKUP($A239,'SegEnds_NonXtal_BW#'!$A:$Z,4,FALSE)+VLOOKUP($A239,A:AL,4,FALSE)-50))</f>
        <v>51</v>
      </c>
      <c r="F239" s="3" t="str">
        <f>IF(ISERROR(VLOOKUP($A239,'SegEnds_NonXtal_BW#'!$A:$Z,5,FALSE)+VLOOKUP($A239,A:AL,7,FALSE)-50),"-",(VLOOKUP($A239,'SegEnds_NonXtal_BW#'!$A:$Z,5,FALSE)+VLOOKUP($A239,A:AL,7,FALSE)-50))</f>
        <v>-</v>
      </c>
      <c r="G239" s="3" t="s">
        <v>23</v>
      </c>
      <c r="H239" s="3" t="str">
        <f>IF(ISERROR(VLOOKUP($A239,'SegEnds_NonXtal_BW#'!$A:$Z,6,FALSE)+VLOOKUP($A239,A:AL,7,FALSE)-50),"-",(VLOOKUP($A239,'SegEnds_NonXtal_BW#'!$A:$Z,6,FALSE)+VLOOKUP($A239,A:AL,7,FALSE)-50))</f>
        <v>-</v>
      </c>
      <c r="I239" s="3">
        <f>VLOOKUP($A239,'SegEnds_NonXtal_BW#'!$A:$Z,7,FALSE)+J239-50</f>
        <v>56</v>
      </c>
      <c r="J239" s="3">
        <v>69</v>
      </c>
      <c r="K239" s="3">
        <f>VLOOKUP($A239,'SegEnds_NonXtal_BW#'!$A:$Z,8,FALSE)+VLOOKUP($A239,A:AL,10,FALSE)-50</f>
        <v>85</v>
      </c>
      <c r="L239" s="3">
        <f t="shared" si="142"/>
        <v>87</v>
      </c>
      <c r="M239" s="3">
        <v>88</v>
      </c>
      <c r="N239" s="3">
        <f t="shared" si="143"/>
        <v>90</v>
      </c>
      <c r="O239" s="3">
        <f t="shared" si="139"/>
        <v>91</v>
      </c>
      <c r="P239" s="3">
        <v>120</v>
      </c>
      <c r="Q239" s="3">
        <f>VLOOKUP($A239,'SegEnds_NonXtal_BW#'!$A:$Z,12,FALSE)+VLOOKUP($A239,A:AL,16,FALSE)-50</f>
        <v>126</v>
      </c>
      <c r="R239" s="3">
        <f>IF(ISERROR(VLOOKUP($A239,'SegEnds_NonXtal_BW#'!$A:$Z,13,FALSE)+VLOOKUP($A239,A:AL,19,FALSE)-50),"-",VLOOKUP($A239,'SegEnds_NonXtal_BW#'!$A:$Z,13,FALSE)+VLOOKUP($A239,A:AL,19,FALSE)-50)</f>
        <v>127</v>
      </c>
      <c r="S239" s="3">
        <v>127</v>
      </c>
      <c r="T239" s="100">
        <f>IF(ISERROR(VLOOKUP($A239,'SegEnds_NonXtal_BW#'!$A:$Z,14,FALSE)+VLOOKUP($A239,A:AL,19,FALSE)-50),"-",(VLOOKUP($A239,'SegEnds_NonXtal_BW#'!$A:$Z,14,FALSE)+VLOOKUP($A239,A:AL,19,FALSE)-50))</f>
        <v>134</v>
      </c>
      <c r="U239" s="9">
        <f>IF(ISERROR(VLOOKUP($A239,'SegEnds_NonXtal_BW#'!$A:$Z,15,FALSE)+VLOOKUP($A239,A:AL,22,FALSE)-50),"-",VLOOKUP($A239,'SegEnds_NonXtal_BW#'!$A:$Z,15,FALSE)+VLOOKUP($A239,A:AL,22,FALSE)-50)</f>
        <v>135</v>
      </c>
      <c r="V239" s="3">
        <v>147</v>
      </c>
      <c r="W239" s="3">
        <f>IF(ISERROR(VLOOKUP($A239,'SegEnds_NonXtal_BW#'!$A:$Z,16,FALSE)+VLOOKUP($A239,A:AL,22,FALSE)-50),"-",(VLOOKUP($A239,'SegEnds_NonXtal_BW#'!$A:$Z,16,FALSE)+VLOOKUP($A239,A:AL,22,FALSE)-50))</f>
        <v>161</v>
      </c>
      <c r="X239" s="3">
        <f>IF(ISERROR(VLOOKUP($A239,'SegEnds_NonXtal_BW#'!$A:$Z,17,FALSE)+VLOOKUP($A239,A:AL,25,FALSE)-50),"-",(VLOOKUP($A239,'SegEnds_NonXtal_BW#'!$A:$Z,17,FALSE)+VLOOKUP($A239,A:AL,25,FALSE)-50))</f>
        <v>172</v>
      </c>
      <c r="Y239" s="3">
        <v>172</v>
      </c>
      <c r="Z239" s="3">
        <f t="shared" si="144"/>
        <v>174</v>
      </c>
      <c r="AA239" s="3">
        <f>IF(ISERROR(VLOOKUP($A239,'SegEnds_NonXtal_BW#'!$A:$Z,19,FALSE)+VLOOKUP($A239,A:AL,28,FALSE)-50),"-",(VLOOKUP($A239,'SegEnds_NonXtal_BW#'!$A:$Z,19,FALSE)+VLOOKUP($A239,A:AL,28,FALSE)-50))</f>
        <v>181</v>
      </c>
      <c r="AB239" s="3">
        <v>199</v>
      </c>
      <c r="AC239" s="3">
        <f>IF(ISERROR((VLOOKUP($A239,'SegEnds_NonXtal_BW#'!$A:$Z,20,FALSE)+VLOOKUP($A239,A:AL,28,FALSE)-50)),"-",(VLOOKUP($A239,'SegEnds_NonXtal_BW#'!$A:$Z,20,FALSE)+VLOOKUP($A239,A:AL,28,FALSE)-50))</f>
        <v>217</v>
      </c>
      <c r="AD239" s="3">
        <f>IF(ISERROR(VLOOKUP($A239,'SegEnds_NonXtal_BW#'!$A:$Z,21,FALSE)+VLOOKUP($A239,A:AL,31,FALSE)-50),"-",(VLOOKUP($A239,'SegEnds_NonXtal_BW#'!$A:$Z,21,FALSE)+VLOOKUP($A239,A:AL,31,FALSE)-50))</f>
        <v>221</v>
      </c>
      <c r="AE239" s="3">
        <v>247</v>
      </c>
      <c r="AF239" s="3">
        <f>IF(ISERROR((VLOOKUP($A239,'SegEnds_NonXtal_BW#'!$A:$Z,22,FALSE)+VLOOKUP($A239,A:AL,31,FALSE)-50)),"-",(VLOOKUP($A239,'SegEnds_NonXtal_BW#'!$A:$Z,22,FALSE)+VLOOKUP($A239,A:AL,31,FALSE)-50))</f>
        <v>261</v>
      </c>
      <c r="AG239" s="3">
        <f>IF(ISERROR(VLOOKUP($A239,'SegEnds_NonXtal_BW#'!$A:$Z,23,FALSE)+VLOOKUP($A239,A:AL,34,FALSE)-50),"-",(VLOOKUP($A239,'SegEnds_NonXtal_BW#'!$A:$Z,23,FALSE)+VLOOKUP($A239,A:AL,34,FALSE)-50))</f>
        <v>266</v>
      </c>
      <c r="AH239" s="3">
        <v>292</v>
      </c>
      <c r="AI239" s="3">
        <f>IF(ISERROR((VLOOKUP($A239,'SegEnds_NonXtal_BW#'!$A:$Z,24,FALSE)+VLOOKUP($A239,A:AL,34,FALSE)-50)),"-",(VLOOKUP($A239,'SegEnds_NonXtal_BW#'!$A:$Z,24,FALSE)+VLOOKUP($A239,A:AL,34,FALSE)-50))</f>
        <v>298</v>
      </c>
      <c r="AJ239" s="3">
        <f>IF(ISERROR(VLOOKUP($A239,'SegEnds_NonXtal_BW#'!$A:$Z,25,FALSE)+VLOOKUP($A239,A:AL,37,FALSE)-50),"-",(VLOOKUP($A239,'SegEnds_NonXtal_BW#'!$A:$Z,25,FALSE)+VLOOKUP($A239,A:AL,37,FALSE)-50))</f>
        <v>299</v>
      </c>
      <c r="AK239" s="3">
        <v>302</v>
      </c>
      <c r="AL239" s="3">
        <f>IF(ISERROR((VLOOKUP($A239,'SegEnds_NonXtal_BW#'!$A:$Z,26,FALSE)+VLOOKUP($A239,A:AL,37,FALSE)-50)),"-",(VLOOKUP($A239,'SegEnds_NonXtal_BW#'!$A:$Z,26,FALSE)+VLOOKUP($A239,A:AL,37,FALSE)-50))</f>
        <v>311</v>
      </c>
      <c r="AM239" s="28" t="str">
        <f>VLOOKUP(A239,Classification!A:B,2,FALSE)</f>
        <v>A</v>
      </c>
      <c r="AN239" s="28" t="b">
        <f t="shared" si="133"/>
        <v>1</v>
      </c>
      <c r="AO239" s="3" t="str">
        <f>IF(ISERROR(MATCH(A239,'SegEnds_Xtal_Prot#'!B:B, 0)), "NoXtal", "Xtal")</f>
        <v>NoXtal</v>
      </c>
      <c r="AP239" s="3" t="str">
        <f t="shared" si="118"/>
        <v>-</v>
      </c>
      <c r="AQ239" s="3" t="str">
        <f t="shared" si="119"/>
        <v>-</v>
      </c>
      <c r="AR239" s="3">
        <f t="shared" si="120"/>
        <v>2</v>
      </c>
      <c r="AS239" s="3">
        <f t="shared" si="121"/>
        <v>1</v>
      </c>
      <c r="AT239" s="3">
        <f t="shared" si="122"/>
        <v>1</v>
      </c>
      <c r="AU239" s="3">
        <f t="shared" si="123"/>
        <v>1</v>
      </c>
      <c r="AV239" s="3">
        <f t="shared" si="124"/>
        <v>11</v>
      </c>
      <c r="AW239" s="3">
        <f t="shared" si="125"/>
        <v>7</v>
      </c>
      <c r="AX239" s="3">
        <f t="shared" si="126"/>
        <v>4</v>
      </c>
      <c r="AY239" s="3">
        <f t="shared" si="127"/>
        <v>5</v>
      </c>
      <c r="AZ239" s="3">
        <f t="shared" si="128"/>
        <v>1</v>
      </c>
      <c r="BA239" s="3">
        <f>IF(ISERROR(LEN(VLOOKUP(A239,Seqs!A:E,2,FALSE))-AL239),"-",LEN(VLOOKUP(A239,Seqs!A:E,2,FALSE))-AL239)</f>
        <v>23</v>
      </c>
      <c r="BB239" s="16">
        <f t="shared" si="129"/>
        <v>28</v>
      </c>
      <c r="BC239" s="9">
        <f t="shared" si="130"/>
        <v>20</v>
      </c>
      <c r="BD239" s="3">
        <f t="shared" si="131"/>
        <v>28</v>
      </c>
      <c r="BE239" s="3">
        <f t="shared" si="132"/>
        <v>48</v>
      </c>
      <c r="BF239" s="3">
        <f t="shared" ref="BF239:BF247" si="145">AH239-AE239</f>
        <v>45</v>
      </c>
    </row>
    <row r="240" spans="1:58" s="3" customFormat="1" x14ac:dyDescent="0.2">
      <c r="A240" s="3" t="s">
        <v>473</v>
      </c>
      <c r="B240" s="3" t="str">
        <f>LOWER(VLOOKUP(A240,Xtal_Templ!A:B,2,FALSE))</f>
        <v>ta2r_human</v>
      </c>
      <c r="C240" s="3">
        <f>VLOOKUP($A240,'SegEnds_NonXtal_BW#'!$A:$Z,3,FALSE)+D240-50</f>
        <v>27</v>
      </c>
      <c r="D240" s="3">
        <v>42</v>
      </c>
      <c r="E240" s="3">
        <f>IF(ISERROR(VLOOKUP($A240,'SegEnds_NonXtal_BW#'!$A:$Z,4,FALSE)+VLOOKUP($A240,A:AL,4,FALSE)-50),"-",(VLOOKUP($A240,'SegEnds_NonXtal_BW#'!$A:$Z,4,FALSE)+VLOOKUP($A240,A:AL,4,FALSE)-50))</f>
        <v>54</v>
      </c>
      <c r="F240" s="3" t="str">
        <f>IF(ISERROR(VLOOKUP($A240,'SegEnds_NonXtal_BW#'!$A:$Z,5,FALSE)+VLOOKUP($A240,A:AL,7,FALSE)-50),"-",(VLOOKUP($A240,'SegEnds_NonXtal_BW#'!$A:$Z,5,FALSE)+VLOOKUP($A240,A:AL,7,FALSE)-50))</f>
        <v>-</v>
      </c>
      <c r="G240" s="3" t="s">
        <v>23</v>
      </c>
      <c r="H240" s="3" t="str">
        <f>IF(ISERROR(VLOOKUP($A240,'SegEnds_NonXtal_BW#'!$A:$Z,6,FALSE)+VLOOKUP($A240,A:AL,7,FALSE)-50),"-",(VLOOKUP($A240,'SegEnds_NonXtal_BW#'!$A:$Z,6,FALSE)+VLOOKUP($A240,A:AL,7,FALSE)-50))</f>
        <v>-</v>
      </c>
      <c r="I240" s="3">
        <f>VLOOKUP($A240,'SegEnds_NonXtal_BW#'!$A:$Z,7,FALSE)+J240-50</f>
        <v>61</v>
      </c>
      <c r="J240" s="3">
        <v>74</v>
      </c>
      <c r="K240" s="3">
        <f>VLOOKUP($A240,'SegEnds_NonXtal_BW#'!$A:$Z,8,FALSE)+VLOOKUP($A240,A:AL,10,FALSE)-50</f>
        <v>91</v>
      </c>
      <c r="L240" s="3">
        <f t="shared" si="142"/>
        <v>94</v>
      </c>
      <c r="M240" s="3">
        <v>95</v>
      </c>
      <c r="N240" s="105">
        <v>98</v>
      </c>
      <c r="O240" s="105">
        <v>102</v>
      </c>
      <c r="P240" s="3">
        <v>130</v>
      </c>
      <c r="Q240" s="3">
        <f>VLOOKUP($A240,'SegEnds_NonXtal_BW#'!$A:$Z,12,FALSE)+VLOOKUP($A240,A:AL,16,FALSE)-50</f>
        <v>136</v>
      </c>
      <c r="R240" s="3">
        <f>IF(ISERROR(VLOOKUP($A240,'SegEnds_NonXtal_BW#'!$A:$Z,13,FALSE)+VLOOKUP($A240,A:AL,19,FALSE)-50),"-",VLOOKUP($A240,'SegEnds_NonXtal_BW#'!$A:$Z,13,FALSE)+VLOOKUP($A240,A:AL,19,FALSE)-50)</f>
        <v>137</v>
      </c>
      <c r="S240" s="3">
        <v>137</v>
      </c>
      <c r="T240" s="100">
        <f>IF(ISERROR(VLOOKUP($A240,'SegEnds_NonXtal_BW#'!$A:$Z,14,FALSE)+VLOOKUP($A240,A:AL,19,FALSE)-50),"-",(VLOOKUP($A240,'SegEnds_NonXtal_BW#'!$A:$Z,14,FALSE)+VLOOKUP($A240,A:AL,19,FALSE)-50))</f>
        <v>144</v>
      </c>
      <c r="U240" s="9">
        <f>IF(ISERROR(VLOOKUP($A240,'SegEnds_NonXtal_BW#'!$A:$Z,15,FALSE)+VLOOKUP($A240,A:AL,22,FALSE)-50),"-",VLOOKUP($A240,'SegEnds_NonXtal_BW#'!$A:$Z,15,FALSE)+VLOOKUP($A240,A:AL,22,FALSE)-50)</f>
        <v>145</v>
      </c>
      <c r="V240" s="3">
        <v>157</v>
      </c>
      <c r="W240" s="3">
        <f>IF(ISERROR(VLOOKUP($A240,'SegEnds_NonXtal_BW#'!$A:$Z,16,FALSE)+VLOOKUP($A240,A:AL,22,FALSE)-50),"-",(VLOOKUP($A240,'SegEnds_NonXtal_BW#'!$A:$Z,16,FALSE)+VLOOKUP($A240,A:AL,22,FALSE)-50))</f>
        <v>170</v>
      </c>
      <c r="X240" s="3">
        <f>Y240</f>
        <v>183</v>
      </c>
      <c r="Y240" s="3">
        <v>183</v>
      </c>
      <c r="Z240" s="3">
        <f t="shared" si="144"/>
        <v>185</v>
      </c>
      <c r="AA240" s="3">
        <f>IF(ISERROR(VLOOKUP($A240,'SegEnds_NonXtal_BW#'!$A:$Z,19,FALSE)+VLOOKUP($A240,A:AL,28,FALSE)-50),"-",(VLOOKUP($A240,'SegEnds_NonXtal_BW#'!$A:$Z,19,FALSE)+VLOOKUP($A240,A:AL,28,FALSE)-50))</f>
        <v>190</v>
      </c>
      <c r="AB240" s="3">
        <v>207</v>
      </c>
      <c r="AC240" s="3">
        <f>IF(ISERROR((VLOOKUP($A240,'SegEnds_NonXtal_BW#'!$A:$Z,20,FALSE)+VLOOKUP($A240,A:AL,28,FALSE)-50)),"-",(VLOOKUP($A240,'SegEnds_NonXtal_BW#'!$A:$Z,20,FALSE)+VLOOKUP($A240,A:AL,28,FALSE)-50))</f>
        <v>229</v>
      </c>
      <c r="AD240" s="3">
        <f>IF(ISERROR(VLOOKUP($A240,'SegEnds_NonXtal_BW#'!$A:$Z,21,FALSE)+VLOOKUP($A240,A:AL,31,FALSE)-50),"-",(VLOOKUP($A240,'SegEnds_NonXtal_BW#'!$A:$Z,21,FALSE)+VLOOKUP($A240,A:AL,31,FALSE)-50))</f>
        <v>234</v>
      </c>
      <c r="AE240" s="3">
        <v>260</v>
      </c>
      <c r="AF240" s="3">
        <f>IF(ISERROR((VLOOKUP($A240,'SegEnds_NonXtal_BW#'!$A:$Z,22,FALSE)+VLOOKUP($A240,A:AL,31,FALSE)-50)),"-",(VLOOKUP($A240,'SegEnds_NonXtal_BW#'!$A:$Z,22,FALSE)+VLOOKUP($A240,A:AL,31,FALSE)-50))</f>
        <v>271</v>
      </c>
      <c r="AG240" s="3">
        <f>IF(ISERROR(VLOOKUP($A240,'SegEnds_NonXtal_BW#'!$A:$Z,23,FALSE)+VLOOKUP($A240,A:AL,34,FALSE)-50),"-",(VLOOKUP($A240,'SegEnds_NonXtal_BW#'!$A:$Z,23,FALSE)+VLOOKUP($A240,A:AL,34,FALSE)-50))</f>
        <v>283</v>
      </c>
      <c r="AH240" s="3">
        <v>305</v>
      </c>
      <c r="AI240" s="3">
        <f>IF(ISERROR((VLOOKUP($A240,'SegEnds_NonXtal_BW#'!$A:$Z,24,FALSE)+VLOOKUP($A240,A:AL,34,FALSE)-50)),"-",(VLOOKUP($A240,'SegEnds_NonXtal_BW#'!$A:$Z,24,FALSE)+VLOOKUP($A240,A:AL,34,FALSE)-50))</f>
        <v>311</v>
      </c>
      <c r="AJ240" s="3">
        <f>IF(ISERROR(VLOOKUP($A240,'SegEnds_NonXtal_BW#'!$A:$Z,25,FALSE)+VLOOKUP($A240,A:AL,37,FALSE)-50),"-",(VLOOKUP($A240,'SegEnds_NonXtal_BW#'!$A:$Z,25,FALSE)+VLOOKUP($A240,A:AL,37,FALSE)-50))</f>
        <v>312</v>
      </c>
      <c r="AK240" s="3">
        <v>315</v>
      </c>
      <c r="AL240" s="3">
        <f>IF(ISERROR((VLOOKUP($A240,'SegEnds_NonXtal_BW#'!$A:$Z,26,FALSE)+VLOOKUP($A240,A:AL,37,FALSE)-50)),"-",(VLOOKUP($A240,'SegEnds_NonXtal_BW#'!$A:$Z,26,FALSE)+VLOOKUP($A240,A:AL,37,FALSE)-50))</f>
        <v>331</v>
      </c>
      <c r="AM240" s="28" t="str">
        <f>VLOOKUP(A240,Classification!A:B,2,FALSE)</f>
        <v>A</v>
      </c>
      <c r="AN240" s="28" t="b">
        <f t="shared" si="133"/>
        <v>1</v>
      </c>
      <c r="AO240" s="3" t="str">
        <f>IF(ISERROR(MATCH(A240,'SegEnds_Xtal_Prot#'!B:B, 0)), "NoXtal", "Xtal")</f>
        <v>Xtal</v>
      </c>
      <c r="AP240" s="3" t="str">
        <f t="shared" si="118"/>
        <v>-</v>
      </c>
      <c r="AQ240" s="3" t="str">
        <f t="shared" si="119"/>
        <v>-</v>
      </c>
      <c r="AR240" s="3">
        <f t="shared" si="120"/>
        <v>3</v>
      </c>
      <c r="AS240" s="3">
        <f t="shared" si="121"/>
        <v>4</v>
      </c>
      <c r="AT240" s="3">
        <f t="shared" si="122"/>
        <v>1</v>
      </c>
      <c r="AU240" s="3">
        <f t="shared" si="123"/>
        <v>1</v>
      </c>
      <c r="AV240" s="3">
        <f t="shared" si="124"/>
        <v>13</v>
      </c>
      <c r="AW240" s="3">
        <f t="shared" si="125"/>
        <v>5</v>
      </c>
      <c r="AX240" s="3">
        <f t="shared" si="126"/>
        <v>5</v>
      </c>
      <c r="AY240" s="3">
        <f t="shared" si="127"/>
        <v>12</v>
      </c>
      <c r="AZ240" s="3">
        <f t="shared" si="128"/>
        <v>1</v>
      </c>
      <c r="BA240" s="3">
        <f>IF(ISERROR(LEN(VLOOKUP(A240,Seqs!A:E,2,FALSE))-AL240),"-",LEN(VLOOKUP(A240,Seqs!A:E,2,FALSE))-AL240)</f>
        <v>12</v>
      </c>
      <c r="BB240" s="16">
        <f t="shared" si="129"/>
        <v>32</v>
      </c>
      <c r="BC240" s="9">
        <f t="shared" si="130"/>
        <v>20</v>
      </c>
      <c r="BD240" s="3">
        <f t="shared" si="131"/>
        <v>32</v>
      </c>
      <c r="BE240" s="3">
        <f t="shared" si="132"/>
        <v>53</v>
      </c>
      <c r="BF240" s="3">
        <f t="shared" si="145"/>
        <v>45</v>
      </c>
    </row>
    <row r="241" spans="1:58" s="3" customFormat="1" x14ac:dyDescent="0.2">
      <c r="A241" s="3" t="s">
        <v>387</v>
      </c>
      <c r="B241" s="3" t="str">
        <f>LOWER(VLOOKUP(A241,Xtal_Templ!A:B,2,FALSE))</f>
        <v>drd2_human</v>
      </c>
      <c r="C241" s="3">
        <f>VLOOKUP($A241,'SegEnds_NonXtal_BW#'!$A:$Z,3,FALSE)+D241-50</f>
        <v>20</v>
      </c>
      <c r="D241" s="3">
        <v>41</v>
      </c>
      <c r="E241" s="3">
        <f>IF(ISERROR(VLOOKUP($A241,'SegEnds_NonXtal_BW#'!$A:$Z,4,FALSE)+VLOOKUP($A241,A:AL,4,FALSE)-50),"-",(VLOOKUP($A241,'SegEnds_NonXtal_BW#'!$A:$Z,4,FALSE)+VLOOKUP($A241,A:AL,4,FALSE)-50))</f>
        <v>51</v>
      </c>
      <c r="F241" s="3">
        <f t="shared" ref="F241:F262" si="146">G241-2</f>
        <v>52</v>
      </c>
      <c r="G241" s="3">
        <v>54</v>
      </c>
      <c r="H241" s="3">
        <f t="shared" ref="H241:I262" si="147">G241+1</f>
        <v>55</v>
      </c>
      <c r="I241" s="3">
        <f t="shared" si="147"/>
        <v>56</v>
      </c>
      <c r="J241" s="3">
        <v>69</v>
      </c>
      <c r="K241" s="3">
        <f>VLOOKUP($A241,'SegEnds_NonXtal_BW#'!$A:$Z,8,FALSE)+VLOOKUP($A241,A:AL,10,FALSE)-50</f>
        <v>87</v>
      </c>
      <c r="L241" s="3">
        <f t="shared" si="142"/>
        <v>88</v>
      </c>
      <c r="M241" s="3">
        <v>89</v>
      </c>
      <c r="N241" s="3">
        <f t="shared" si="143"/>
        <v>91</v>
      </c>
      <c r="O241" s="3">
        <f t="shared" si="139"/>
        <v>92</v>
      </c>
      <c r="P241" s="3">
        <v>121</v>
      </c>
      <c r="Q241" s="3">
        <f>VLOOKUP($A241,'SegEnds_NonXtal_BW#'!$A:$Z,12,FALSE)+VLOOKUP($A241,A:AL,16,FALSE)-50</f>
        <v>127</v>
      </c>
      <c r="R241" s="3">
        <f>IF(ISERROR(VLOOKUP($A241,'SegEnds_NonXtal_BW#'!$A:$Z,13,FALSE)+VLOOKUP($A241,A:AL,19,FALSE)-50),"-",VLOOKUP($A241,'SegEnds_NonXtal_BW#'!$A:$Z,13,FALSE)+VLOOKUP($A241,A:AL,19,FALSE)-50)</f>
        <v>128</v>
      </c>
      <c r="S241" s="3">
        <v>128</v>
      </c>
      <c r="T241" s="100">
        <f>IF(ISERROR(VLOOKUP($A241,'SegEnds_NonXtal_BW#'!$A:$Z,14,FALSE)+VLOOKUP($A241,A:AL,19,FALSE)-50),"-",(VLOOKUP($A241,'SegEnds_NonXtal_BW#'!$A:$Z,14,FALSE)+VLOOKUP($A241,A:AL,19,FALSE)-50))</f>
        <v>135</v>
      </c>
      <c r="U241" s="9">
        <f>IF(ISERROR(VLOOKUP($A241,'SegEnds_NonXtal_BW#'!$A:$Z,15,FALSE)+VLOOKUP($A241,A:AL,22,FALSE)-50),"-",VLOOKUP($A241,'SegEnds_NonXtal_BW#'!$A:$Z,15,FALSE)+VLOOKUP($A241,A:AL,22,FALSE)-50)</f>
        <v>136</v>
      </c>
      <c r="V241" s="3">
        <v>148</v>
      </c>
      <c r="W241" s="3">
        <f>IF(ISERROR(VLOOKUP($A241,'SegEnds_NonXtal_BW#'!$A:$Z,16,FALSE)+VLOOKUP($A241,A:AL,22,FALSE)-50),"-",(VLOOKUP($A241,'SegEnds_NonXtal_BW#'!$A:$Z,16,FALSE)+VLOOKUP($A241,A:AL,22,FALSE)-50))</f>
        <v>160</v>
      </c>
      <c r="X241" s="3">
        <f>IF(ISERROR(VLOOKUP($A241,'SegEnds_NonXtal_BW#'!$A:$Z,17,FALSE)+VLOOKUP($A241,A:AL,25,FALSE)-50),"-",(VLOOKUP($A241,'SegEnds_NonXtal_BW#'!$A:$Z,17,FALSE)+VLOOKUP($A241,A:AL,25,FALSE)-50))</f>
        <v>182</v>
      </c>
      <c r="Y241" s="3">
        <v>182</v>
      </c>
      <c r="Z241" s="3">
        <f t="shared" si="144"/>
        <v>184</v>
      </c>
      <c r="AA241" s="3">
        <f>IF(ISERROR(VLOOKUP($A241,'SegEnds_NonXtal_BW#'!$A:$Z,19,FALSE)+VLOOKUP($A241,A:AL,28,FALSE)-50),"-",(VLOOKUP($A241,'SegEnds_NonXtal_BW#'!$A:$Z,19,FALSE)+VLOOKUP($A241,A:AL,28,FALSE)-50))</f>
        <v>187</v>
      </c>
      <c r="AB241" s="3">
        <v>202</v>
      </c>
      <c r="AC241" s="3">
        <f>IF(ISERROR((VLOOKUP($A241,'SegEnds_NonXtal_BW#'!$A:$Z,20,FALSE)+VLOOKUP($A241,A:AL,28,FALSE)-50)),"-",(VLOOKUP($A241,'SegEnds_NonXtal_BW#'!$A:$Z,20,FALSE)+VLOOKUP($A241,A:AL,28,FALSE)-50))</f>
        <v>226</v>
      </c>
      <c r="AD241" s="3">
        <f>IF(ISERROR(VLOOKUP($A241,'SegEnds_NonXtal_BW#'!$A:$Z,21,FALSE)+VLOOKUP($A241,A:AL,31,FALSE)-50),"-",(VLOOKUP($A241,'SegEnds_NonXtal_BW#'!$A:$Z,21,FALSE)+VLOOKUP($A241,A:AL,31,FALSE)-50))</f>
        <v>237</v>
      </c>
      <c r="AE241" s="3">
        <v>266</v>
      </c>
      <c r="AF241" s="3">
        <f>IF(ISERROR((VLOOKUP($A241,'SegEnds_NonXtal_BW#'!$A:$Z,22,FALSE)+VLOOKUP($A241,A:AL,31,FALSE)-50)),"-",(VLOOKUP($A241,'SegEnds_NonXtal_BW#'!$A:$Z,22,FALSE)+VLOOKUP($A241,A:AL,31,FALSE)-50))</f>
        <v>277</v>
      </c>
      <c r="AG241" s="3">
        <f>IF(ISERROR(VLOOKUP($A241,'SegEnds_NonXtal_BW#'!$A:$Z,23,FALSE)+VLOOKUP($A241,A:AL,34,FALSE)-50),"-",(VLOOKUP($A241,'SegEnds_NonXtal_BW#'!$A:$Z,23,FALSE)+VLOOKUP($A241,A:AL,34,FALSE)-50))</f>
        <v>282</v>
      </c>
      <c r="AH241" s="3">
        <v>301</v>
      </c>
      <c r="AI241" s="3">
        <v>307</v>
      </c>
      <c r="AJ241" s="3">
        <f>IF(ISERROR(VLOOKUP($A241,'SegEnds_NonXtal_BW#'!$A:$Z,25,FALSE)+VLOOKUP($A241,A:AL,37,FALSE)-50),"-",(VLOOKUP($A241,'SegEnds_NonXtal_BW#'!$A:$Z,25,FALSE)+VLOOKUP($A241,A:AL,37,FALSE)-50))</f>
        <v>308</v>
      </c>
      <c r="AK241" s="3">
        <v>311</v>
      </c>
      <c r="AL241" s="3">
        <f>IF(ISERROR((VLOOKUP($A241,'SegEnds_NonXtal_BW#'!$A:$Z,26,FALSE)+VLOOKUP($A241,A:AL,37,FALSE)-50)),"-",(VLOOKUP($A241,'SegEnds_NonXtal_BW#'!$A:$Z,26,FALSE)+VLOOKUP($A241,A:AL,37,FALSE)-50))</f>
        <v>320</v>
      </c>
      <c r="AM241" s="28" t="str">
        <f>VLOOKUP(A241,Classification!A:B,2,FALSE)</f>
        <v>A</v>
      </c>
      <c r="AN241" s="28" t="b">
        <f t="shared" si="133"/>
        <v>1</v>
      </c>
      <c r="AO241" s="3" t="str">
        <f>IF(ISERROR(MATCH(A241,'SegEnds_Xtal_Prot#'!B:B, 0)), "NoXtal", "Xtal")</f>
        <v>NoXtal</v>
      </c>
      <c r="AP241" s="3">
        <f t="shared" si="118"/>
        <v>1</v>
      </c>
      <c r="AQ241" s="3">
        <f t="shared" si="119"/>
        <v>1</v>
      </c>
      <c r="AR241" s="3">
        <f t="shared" si="120"/>
        <v>1</v>
      </c>
      <c r="AS241" s="3">
        <f t="shared" si="121"/>
        <v>1</v>
      </c>
      <c r="AT241" s="3">
        <f t="shared" si="122"/>
        <v>1</v>
      </c>
      <c r="AU241" s="3">
        <f t="shared" si="123"/>
        <v>1</v>
      </c>
      <c r="AV241" s="3">
        <f t="shared" si="124"/>
        <v>22</v>
      </c>
      <c r="AW241" s="3">
        <f t="shared" si="125"/>
        <v>3</v>
      </c>
      <c r="AX241" s="3">
        <f t="shared" si="126"/>
        <v>11</v>
      </c>
      <c r="AY241" s="3">
        <f t="shared" si="127"/>
        <v>5</v>
      </c>
      <c r="AZ241" s="3">
        <f t="shared" si="128"/>
        <v>1</v>
      </c>
      <c r="BA241" s="3">
        <f>IF(ISERROR(LEN(VLOOKUP(A241,Seqs!A:E,2,FALSE))-AL241),"-",LEN(VLOOKUP(A241,Seqs!A:E,2,FALSE))-AL241)</f>
        <v>19</v>
      </c>
      <c r="BB241" s="16">
        <f t="shared" si="129"/>
        <v>28</v>
      </c>
      <c r="BC241" s="9">
        <f t="shared" si="130"/>
        <v>20</v>
      </c>
      <c r="BD241" s="3">
        <f t="shared" si="131"/>
        <v>28</v>
      </c>
      <c r="BE241" s="3">
        <f t="shared" si="132"/>
        <v>64</v>
      </c>
      <c r="BF241" s="3">
        <f t="shared" si="145"/>
        <v>35</v>
      </c>
    </row>
    <row r="242" spans="1:58" s="3" customFormat="1" x14ac:dyDescent="0.2">
      <c r="A242" s="3" t="s">
        <v>388</v>
      </c>
      <c r="B242" s="3" t="str">
        <f>LOWER(VLOOKUP(A242,Xtal_Templ!A:B,2,FALSE))</f>
        <v>drd2_human</v>
      </c>
      <c r="C242" s="3">
        <f>VLOOKUP($A242,'SegEnds_NonXtal_BW#'!$A:$Z,3,FALSE)+D242-50</f>
        <v>40</v>
      </c>
      <c r="D242" s="3">
        <v>61</v>
      </c>
      <c r="E242" s="3">
        <f>IF(ISERROR(VLOOKUP($A242,'SegEnds_NonXtal_BW#'!$A:$Z,4,FALSE)+VLOOKUP($A242,A:AL,4,FALSE)-50),"-",(VLOOKUP($A242,'SegEnds_NonXtal_BW#'!$A:$Z,4,FALSE)+VLOOKUP($A242,A:AL,4,FALSE)-50))</f>
        <v>71</v>
      </c>
      <c r="F242" s="3">
        <f t="shared" si="146"/>
        <v>72</v>
      </c>
      <c r="G242" s="3">
        <v>74</v>
      </c>
      <c r="H242" s="3">
        <f t="shared" si="147"/>
        <v>75</v>
      </c>
      <c r="I242" s="3">
        <f t="shared" si="147"/>
        <v>76</v>
      </c>
      <c r="J242" s="3">
        <v>89</v>
      </c>
      <c r="K242" s="3">
        <f>VLOOKUP($A242,'SegEnds_NonXtal_BW#'!$A:$Z,8,FALSE)+VLOOKUP($A242,A:AL,10,FALSE)-50</f>
        <v>107</v>
      </c>
      <c r="L242" s="3">
        <f t="shared" si="142"/>
        <v>108</v>
      </c>
      <c r="M242" s="3">
        <v>109</v>
      </c>
      <c r="N242" s="3">
        <f t="shared" si="143"/>
        <v>111</v>
      </c>
      <c r="O242" s="3">
        <f t="shared" si="139"/>
        <v>112</v>
      </c>
      <c r="P242" s="3">
        <v>141</v>
      </c>
      <c r="Q242" s="3">
        <f>VLOOKUP($A242,'SegEnds_NonXtal_BW#'!$A:$Z,12,FALSE)+VLOOKUP($A242,A:AL,16,FALSE)-50</f>
        <v>147</v>
      </c>
      <c r="R242" s="3">
        <f>IF(ISERROR(VLOOKUP($A242,'SegEnds_NonXtal_BW#'!$A:$Z,13,FALSE)+VLOOKUP($A242,A:AL,19,FALSE)-50),"-",VLOOKUP($A242,'SegEnds_NonXtal_BW#'!$A:$Z,13,FALSE)+VLOOKUP($A242,A:AL,19,FALSE)-50)</f>
        <v>148</v>
      </c>
      <c r="S242" s="3">
        <v>148</v>
      </c>
      <c r="T242" s="100">
        <f>IF(ISERROR(VLOOKUP($A242,'SegEnds_NonXtal_BW#'!$A:$Z,14,FALSE)+VLOOKUP($A242,A:AL,19,FALSE)-50),"-",(VLOOKUP($A242,'SegEnds_NonXtal_BW#'!$A:$Z,14,FALSE)+VLOOKUP($A242,A:AL,19,FALSE)-50))</f>
        <v>155</v>
      </c>
      <c r="U242" s="9">
        <f>IF(ISERROR(VLOOKUP($A242,'SegEnds_NonXtal_BW#'!$A:$Z,15,FALSE)+VLOOKUP($A242,A:AL,22,FALSE)-50),"-",VLOOKUP($A242,'SegEnds_NonXtal_BW#'!$A:$Z,15,FALSE)+VLOOKUP($A242,A:AL,22,FALSE)-50)</f>
        <v>156</v>
      </c>
      <c r="V242" s="3">
        <v>168</v>
      </c>
      <c r="W242" s="3">
        <f>IF(ISERROR(VLOOKUP($A242,'SegEnds_NonXtal_BW#'!$A:$Z,16,FALSE)+VLOOKUP($A242,A:AL,22,FALSE)-50),"-",(VLOOKUP($A242,'SegEnds_NonXtal_BW#'!$A:$Z,16,FALSE)+VLOOKUP($A242,A:AL,22,FALSE)-50))</f>
        <v>180</v>
      </c>
      <c r="X242" s="3">
        <f>IF(ISERROR(VLOOKUP($A242,'SegEnds_NonXtal_BW#'!$A:$Z,17,FALSE)+VLOOKUP($A242,A:AL,25,FALSE)-50),"-",(VLOOKUP($A242,'SegEnds_NonXtal_BW#'!$A:$Z,17,FALSE)+VLOOKUP($A242,A:AL,25,FALSE)-50))</f>
        <v>201</v>
      </c>
      <c r="Y242" s="3">
        <v>201</v>
      </c>
      <c r="Z242" s="3">
        <f t="shared" si="144"/>
        <v>203</v>
      </c>
      <c r="AA242" s="3">
        <f>IF(ISERROR(VLOOKUP($A242,'SegEnds_NonXtal_BW#'!$A:$Z,19,FALSE)+VLOOKUP($A242,A:AL,28,FALSE)-50),"-",(VLOOKUP($A242,'SegEnds_NonXtal_BW#'!$A:$Z,19,FALSE)+VLOOKUP($A242,A:AL,28,FALSE)-50))</f>
        <v>206</v>
      </c>
      <c r="AB242" s="3">
        <v>221</v>
      </c>
      <c r="AC242" s="3">
        <f>IF(ISERROR((VLOOKUP($A242,'SegEnds_NonXtal_BW#'!$A:$Z,20,FALSE)+VLOOKUP($A242,A:AL,28,FALSE)-50)),"-",(VLOOKUP($A242,'SegEnds_NonXtal_BW#'!$A:$Z,20,FALSE)+VLOOKUP($A242,A:AL,28,FALSE)-50))</f>
        <v>244</v>
      </c>
      <c r="AD242" s="3">
        <f>IF(ISERROR(VLOOKUP($A242,'SegEnds_NonXtal_BW#'!$A:$Z,21,FALSE)+VLOOKUP($A242,A:AL,31,FALSE)-50),"-",(VLOOKUP($A242,'SegEnds_NonXtal_BW#'!$A:$Z,21,FALSE)+VLOOKUP($A242,A:AL,31,FALSE)-50))</f>
        <v>249</v>
      </c>
      <c r="AE242" s="3">
        <v>277</v>
      </c>
      <c r="AF242" s="3">
        <f>IF(ISERROR((VLOOKUP($A242,'SegEnds_NonXtal_BW#'!$A:$Z,22,FALSE)+VLOOKUP($A242,A:AL,31,FALSE)-50)),"-",(VLOOKUP($A242,'SegEnds_NonXtal_BW#'!$A:$Z,22,FALSE)+VLOOKUP($A242,A:AL,31,FALSE)-50))</f>
        <v>288</v>
      </c>
      <c r="AG242" s="3">
        <f>IF(ISERROR(VLOOKUP($A242,'SegEnds_NonXtal_BW#'!$A:$Z,23,FALSE)+VLOOKUP($A242,A:AL,34,FALSE)-50),"-",(VLOOKUP($A242,'SegEnds_NonXtal_BW#'!$A:$Z,23,FALSE)+VLOOKUP($A242,A:AL,34,FALSE)-50))</f>
        <v>293</v>
      </c>
      <c r="AH242" s="3">
        <v>312</v>
      </c>
      <c r="AI242" s="3">
        <f>IF(ISERROR((VLOOKUP($A242,'SegEnds_NonXtal_BW#'!$A:$Z,24,FALSE)+VLOOKUP($A242,A:AL,34,FALSE)-50)),"-",(VLOOKUP($A242,'SegEnds_NonXtal_BW#'!$A:$Z,24,FALSE)+VLOOKUP($A242,A:AL,34,FALSE)-50))</f>
        <v>318</v>
      </c>
      <c r="AJ242" s="3">
        <f>IF(ISERROR(VLOOKUP($A242,'SegEnds_NonXtal_BW#'!$A:$Z,25,FALSE)+VLOOKUP($A242,A:AL,37,FALSE)-50),"-",(VLOOKUP($A242,'SegEnds_NonXtal_BW#'!$A:$Z,25,FALSE)+VLOOKUP($A242,A:AL,37,FALSE)-50))</f>
        <v>319</v>
      </c>
      <c r="AK242" s="3">
        <v>322</v>
      </c>
      <c r="AL242" s="3">
        <f>IF(ISERROR((VLOOKUP($A242,'SegEnds_NonXtal_BW#'!$A:$Z,26,FALSE)+VLOOKUP($A242,A:AL,37,FALSE)-50)),"-",(VLOOKUP($A242,'SegEnds_NonXtal_BW#'!$A:$Z,26,FALSE)+VLOOKUP($A242,A:AL,37,FALSE)-50))</f>
        <v>331</v>
      </c>
      <c r="AM242" s="28" t="str">
        <f>VLOOKUP(A242,Classification!A:B,2,FALSE)</f>
        <v>A</v>
      </c>
      <c r="AN242" s="28" t="b">
        <f t="shared" si="133"/>
        <v>1</v>
      </c>
      <c r="AO242" s="3" t="str">
        <f>IF(ISERROR(MATCH(A242,'SegEnds_Xtal_Prot#'!B:B, 0)), "NoXtal", "Xtal")</f>
        <v>NoXtal</v>
      </c>
      <c r="AP242" s="3">
        <f t="shared" si="118"/>
        <v>1</v>
      </c>
      <c r="AQ242" s="3">
        <f t="shared" si="119"/>
        <v>1</v>
      </c>
      <c r="AR242" s="3">
        <f t="shared" si="120"/>
        <v>1</v>
      </c>
      <c r="AS242" s="3">
        <f t="shared" si="121"/>
        <v>1</v>
      </c>
      <c r="AT242" s="3">
        <f t="shared" si="122"/>
        <v>1</v>
      </c>
      <c r="AU242" s="3">
        <f t="shared" si="123"/>
        <v>1</v>
      </c>
      <c r="AV242" s="3">
        <f t="shared" si="124"/>
        <v>21</v>
      </c>
      <c r="AW242" s="3">
        <f t="shared" si="125"/>
        <v>3</v>
      </c>
      <c r="AX242" s="3">
        <f t="shared" si="126"/>
        <v>5</v>
      </c>
      <c r="AY242" s="3">
        <f t="shared" si="127"/>
        <v>5</v>
      </c>
      <c r="AZ242" s="3">
        <f t="shared" si="128"/>
        <v>1</v>
      </c>
      <c r="BA242" s="3">
        <f>IF(ISERROR(LEN(VLOOKUP(A242,Seqs!A:E,2,FALSE))-AL242),"-",LEN(VLOOKUP(A242,Seqs!A:E,2,FALSE))-AL242)</f>
        <v>20</v>
      </c>
      <c r="BB242" s="16">
        <f t="shared" si="129"/>
        <v>28</v>
      </c>
      <c r="BC242" s="9">
        <f t="shared" si="130"/>
        <v>20</v>
      </c>
      <c r="BD242" s="3">
        <f t="shared" si="131"/>
        <v>28</v>
      </c>
      <c r="BE242" s="3">
        <f t="shared" si="132"/>
        <v>56</v>
      </c>
      <c r="BF242" s="3">
        <f t="shared" si="145"/>
        <v>35</v>
      </c>
    </row>
    <row r="243" spans="1:58" s="3" customFormat="1" x14ac:dyDescent="0.2">
      <c r="A243" s="3" t="s">
        <v>389</v>
      </c>
      <c r="B243" s="3" t="str">
        <f>LOWER(VLOOKUP(A243,Xtal_Templ!A:B,2,FALSE))</f>
        <v>drd2_human</v>
      </c>
      <c r="C243" s="3">
        <f>VLOOKUP($A243,'SegEnds_NonXtal_BW#'!$A:$Z,3,FALSE)+D243-50</f>
        <v>28</v>
      </c>
      <c r="D243" s="3">
        <v>49</v>
      </c>
      <c r="E243" s="3">
        <f>IF(ISERROR(VLOOKUP($A243,'SegEnds_NonXtal_BW#'!$A:$Z,4,FALSE)+VLOOKUP($A243,A:AL,4,FALSE)-50),"-",(VLOOKUP($A243,'SegEnds_NonXtal_BW#'!$A:$Z,4,FALSE)+VLOOKUP($A243,A:AL,4,FALSE)-50))</f>
        <v>59</v>
      </c>
      <c r="F243" s="3">
        <f t="shared" si="146"/>
        <v>60</v>
      </c>
      <c r="G243" s="3">
        <v>62</v>
      </c>
      <c r="H243" s="3">
        <f t="shared" si="147"/>
        <v>63</v>
      </c>
      <c r="I243" s="3">
        <f t="shared" si="147"/>
        <v>64</v>
      </c>
      <c r="J243" s="3">
        <v>77</v>
      </c>
      <c r="K243" s="3">
        <f>VLOOKUP($A243,'SegEnds_NonXtal_BW#'!$A:$Z,8,FALSE)+VLOOKUP($A243,A:AL,10,FALSE)-50</f>
        <v>95</v>
      </c>
      <c r="L243" s="3">
        <f t="shared" si="142"/>
        <v>96</v>
      </c>
      <c r="M243" s="3">
        <v>97</v>
      </c>
      <c r="N243" s="3">
        <f t="shared" si="143"/>
        <v>99</v>
      </c>
      <c r="O243" s="3">
        <f t="shared" si="139"/>
        <v>100</v>
      </c>
      <c r="P243" s="3">
        <v>129</v>
      </c>
      <c r="Q243" s="3">
        <f>VLOOKUP($A243,'SegEnds_NonXtal_BW#'!$A:$Z,12,FALSE)+VLOOKUP($A243,A:AL,16,FALSE)-50</f>
        <v>135</v>
      </c>
      <c r="R243" s="3">
        <f>IF(ISERROR(VLOOKUP($A243,'SegEnds_NonXtal_BW#'!$A:$Z,13,FALSE)+VLOOKUP($A243,A:AL,19,FALSE)-50),"-",VLOOKUP($A243,'SegEnds_NonXtal_BW#'!$A:$Z,13,FALSE)+VLOOKUP($A243,A:AL,19,FALSE)-50)</f>
        <v>136</v>
      </c>
      <c r="S243" s="3">
        <v>136</v>
      </c>
      <c r="T243" s="100">
        <f>IF(ISERROR(VLOOKUP($A243,'SegEnds_NonXtal_BW#'!$A:$Z,14,FALSE)+VLOOKUP($A243,A:AL,19,FALSE)-50),"-",(VLOOKUP($A243,'SegEnds_NonXtal_BW#'!$A:$Z,14,FALSE)+VLOOKUP($A243,A:AL,19,FALSE)-50))</f>
        <v>143</v>
      </c>
      <c r="U243" s="9">
        <f>IF(ISERROR(VLOOKUP($A243,'SegEnds_NonXtal_BW#'!$A:$Z,15,FALSE)+VLOOKUP($A243,A:AL,22,FALSE)-50),"-",VLOOKUP($A243,'SegEnds_NonXtal_BW#'!$A:$Z,15,FALSE)+VLOOKUP($A243,A:AL,22,FALSE)-50)</f>
        <v>144</v>
      </c>
      <c r="V243" s="3">
        <v>156</v>
      </c>
      <c r="W243" s="3">
        <f>IF(ISERROR(VLOOKUP($A243,'SegEnds_NonXtal_BW#'!$A:$Z,16,FALSE)+VLOOKUP($A243,A:AL,22,FALSE)-50),"-",(VLOOKUP($A243,'SegEnds_NonXtal_BW#'!$A:$Z,16,FALSE)+VLOOKUP($A243,A:AL,22,FALSE)-50))</f>
        <v>168</v>
      </c>
      <c r="X243" s="3">
        <f>IF(ISERROR(VLOOKUP($A243,'SegEnds_NonXtal_BW#'!$A:$Z,17,FALSE)+VLOOKUP($A243,A:AL,25,FALSE)-50),"-",(VLOOKUP($A243,'SegEnds_NonXtal_BW#'!$A:$Z,17,FALSE)+VLOOKUP($A243,A:AL,25,FALSE)-50))</f>
        <v>189</v>
      </c>
      <c r="Y243" s="3">
        <v>189</v>
      </c>
      <c r="Z243" s="3">
        <f t="shared" si="144"/>
        <v>191</v>
      </c>
      <c r="AA243" s="3">
        <f>IF(ISERROR(VLOOKUP($A243,'SegEnds_NonXtal_BW#'!$A:$Z,19,FALSE)+VLOOKUP($A243,A:AL,28,FALSE)-50),"-",(VLOOKUP($A243,'SegEnds_NonXtal_BW#'!$A:$Z,19,FALSE)+VLOOKUP($A243,A:AL,28,FALSE)-50))</f>
        <v>194</v>
      </c>
      <c r="AB243" s="3">
        <v>209</v>
      </c>
      <c r="AC243" s="3">
        <f>IF(ISERROR((VLOOKUP($A243,'SegEnds_NonXtal_BW#'!$A:$Z,20,FALSE)+VLOOKUP($A243,A:AL,28,FALSE)-50)),"-",(VLOOKUP($A243,'SegEnds_NonXtal_BW#'!$A:$Z,20,FALSE)+VLOOKUP($A243,A:AL,28,FALSE)-50))</f>
        <v>233</v>
      </c>
      <c r="AD243" s="3">
        <f>IF(ISERROR(VLOOKUP($A243,'SegEnds_NonXtal_BW#'!$A:$Z,21,FALSE)+VLOOKUP($A243,A:AL,31,FALSE)-50),"-",(VLOOKUP($A243,'SegEnds_NonXtal_BW#'!$A:$Z,21,FALSE)+VLOOKUP($A243,A:AL,31,FALSE)-50))</f>
        <v>242</v>
      </c>
      <c r="AE243" s="3">
        <v>271</v>
      </c>
      <c r="AF243" s="3">
        <f>IF(ISERROR((VLOOKUP($A243,'SegEnds_NonXtal_BW#'!$A:$Z,22,FALSE)+VLOOKUP($A243,A:AL,31,FALSE)-50)),"-",(VLOOKUP($A243,'SegEnds_NonXtal_BW#'!$A:$Z,22,FALSE)+VLOOKUP($A243,A:AL,31,FALSE)-50))</f>
        <v>282</v>
      </c>
      <c r="AG243" s="3">
        <f>IF(ISERROR(VLOOKUP($A243,'SegEnds_NonXtal_BW#'!$A:$Z,23,FALSE)+VLOOKUP($A243,A:AL,34,FALSE)-50),"-",(VLOOKUP($A243,'SegEnds_NonXtal_BW#'!$A:$Z,23,FALSE)+VLOOKUP($A243,A:AL,34,FALSE)-50))</f>
        <v>287</v>
      </c>
      <c r="AH243" s="3">
        <v>306</v>
      </c>
      <c r="AI243" s="3">
        <f>IF(ISERROR((VLOOKUP($A243,'SegEnds_NonXtal_BW#'!$A:$Z,24,FALSE)+VLOOKUP($A243,A:AL,34,FALSE)-50)),"-",(VLOOKUP($A243,'SegEnds_NonXtal_BW#'!$A:$Z,24,FALSE)+VLOOKUP($A243,A:AL,34,FALSE)-50))</f>
        <v>312</v>
      </c>
      <c r="AJ243" s="3">
        <f>IF(ISERROR(VLOOKUP($A243,'SegEnds_NonXtal_BW#'!$A:$Z,25,FALSE)+VLOOKUP($A243,A:AL,37,FALSE)-50),"-",(VLOOKUP($A243,'SegEnds_NonXtal_BW#'!$A:$Z,25,FALSE)+VLOOKUP($A243,A:AL,37,FALSE)-50))</f>
        <v>313</v>
      </c>
      <c r="AK243" s="3">
        <v>316</v>
      </c>
      <c r="AL243" s="3">
        <f>IF(ISERROR((VLOOKUP($A243,'SegEnds_NonXtal_BW#'!$A:$Z,26,FALSE)+VLOOKUP($A243,A:AL,37,FALSE)-50)),"-",(VLOOKUP($A243,'SegEnds_NonXtal_BW#'!$A:$Z,26,FALSE)+VLOOKUP($A243,A:AL,37,FALSE)-50))</f>
        <v>325</v>
      </c>
      <c r="AM243" s="28" t="str">
        <f>VLOOKUP(A243,Classification!A:B,2,FALSE)</f>
        <v>A</v>
      </c>
      <c r="AN243" s="28" t="b">
        <f t="shared" si="133"/>
        <v>1</v>
      </c>
      <c r="AO243" s="3" t="str">
        <f>IF(ISERROR(MATCH(A243,'SegEnds_Xtal_Prot#'!B:B, 0)), "NoXtal", "Xtal")</f>
        <v>NoXtal</v>
      </c>
      <c r="AP243" s="3">
        <f t="shared" si="118"/>
        <v>1</v>
      </c>
      <c r="AQ243" s="3">
        <f t="shared" si="119"/>
        <v>1</v>
      </c>
      <c r="AR243" s="3">
        <f t="shared" si="120"/>
        <v>1</v>
      </c>
      <c r="AS243" s="3">
        <f t="shared" si="121"/>
        <v>1</v>
      </c>
      <c r="AT243" s="3">
        <f t="shared" si="122"/>
        <v>1</v>
      </c>
      <c r="AU243" s="3">
        <f t="shared" si="123"/>
        <v>1</v>
      </c>
      <c r="AV243" s="3">
        <f t="shared" si="124"/>
        <v>21</v>
      </c>
      <c r="AW243" s="3">
        <f t="shared" si="125"/>
        <v>3</v>
      </c>
      <c r="AX243" s="3">
        <f t="shared" si="126"/>
        <v>9</v>
      </c>
      <c r="AY243" s="3">
        <f t="shared" si="127"/>
        <v>5</v>
      </c>
      <c r="AZ243" s="3">
        <f t="shared" si="128"/>
        <v>1</v>
      </c>
      <c r="BA243" s="3">
        <f>IF(ISERROR(LEN(VLOOKUP(A243,Seqs!A:E,2,FALSE))-AL243),"-",LEN(VLOOKUP(A243,Seqs!A:E,2,FALSE))-AL243)</f>
        <v>18</v>
      </c>
      <c r="BB243" s="16">
        <f t="shared" si="129"/>
        <v>28</v>
      </c>
      <c r="BC243" s="9">
        <f t="shared" si="130"/>
        <v>20</v>
      </c>
      <c r="BD243" s="3">
        <f t="shared" si="131"/>
        <v>28</v>
      </c>
      <c r="BE243" s="3">
        <f t="shared" si="132"/>
        <v>62</v>
      </c>
      <c r="BF243" s="3">
        <f t="shared" si="145"/>
        <v>35</v>
      </c>
    </row>
    <row r="244" spans="1:58" s="3" customFormat="1" x14ac:dyDescent="0.2">
      <c r="A244" s="3" t="s">
        <v>390</v>
      </c>
      <c r="B244" s="3" t="str">
        <f>LOWER(VLOOKUP(A244,Xtal_Templ!A:B,2,FALSE))</f>
        <v>5ht1b_human</v>
      </c>
      <c r="C244" s="3">
        <f>VLOOKUP($A244,'SegEnds_NonXtal_BW#'!$A:$Z,3,FALSE)+D244-50</f>
        <v>30</v>
      </c>
      <c r="D244" s="3">
        <v>52</v>
      </c>
      <c r="E244" s="3">
        <f>IF(ISERROR(VLOOKUP($A244,'SegEnds_NonXtal_BW#'!$A:$Z,4,FALSE)+VLOOKUP($A244,A:AL,4,FALSE)-50),"-",(VLOOKUP($A244,'SegEnds_NonXtal_BW#'!$A:$Z,4,FALSE)+VLOOKUP($A244,A:AL,4,FALSE)-50))</f>
        <v>62</v>
      </c>
      <c r="F244" s="3">
        <f t="shared" si="146"/>
        <v>63</v>
      </c>
      <c r="G244" s="3">
        <v>65</v>
      </c>
      <c r="H244" s="3">
        <f t="shared" si="147"/>
        <v>66</v>
      </c>
      <c r="I244" s="3">
        <f t="shared" si="147"/>
        <v>67</v>
      </c>
      <c r="J244" s="3">
        <v>80</v>
      </c>
      <c r="K244" s="3">
        <f>VLOOKUP($A244,'SegEnds_NonXtal_BW#'!$A:$Z,8,FALSE)+VLOOKUP($A244,A:AL,10,FALSE)-50</f>
        <v>98</v>
      </c>
      <c r="L244" s="3">
        <f t="shared" si="142"/>
        <v>99</v>
      </c>
      <c r="M244" s="3">
        <v>100</v>
      </c>
      <c r="N244" s="3">
        <f t="shared" si="143"/>
        <v>102</v>
      </c>
      <c r="O244" s="3">
        <f t="shared" si="139"/>
        <v>103</v>
      </c>
      <c r="P244" s="3">
        <v>132</v>
      </c>
      <c r="Q244" s="3">
        <f>VLOOKUP($A244,'SegEnds_NonXtal_BW#'!$A:$Z,12,FALSE)+VLOOKUP($A244,A:AL,16,FALSE)-50</f>
        <v>138</v>
      </c>
      <c r="R244" s="3">
        <f>IF(ISERROR(VLOOKUP($A244,'SegEnds_NonXtal_BW#'!$A:$Z,13,FALSE)+VLOOKUP($A244,A:AL,19,FALSE)-50),"-",VLOOKUP($A244,'SegEnds_NonXtal_BW#'!$A:$Z,13,FALSE)+VLOOKUP($A244,A:AL,19,FALSE)-50)</f>
        <v>139</v>
      </c>
      <c r="S244" s="3">
        <v>139</v>
      </c>
      <c r="T244" s="100">
        <f>IF(ISERROR(VLOOKUP($A244,'SegEnds_NonXtal_BW#'!$A:$Z,14,FALSE)+VLOOKUP($A244,A:AL,19,FALSE)-50),"-",(VLOOKUP($A244,'SegEnds_NonXtal_BW#'!$A:$Z,14,FALSE)+VLOOKUP($A244,A:AL,19,FALSE)-50))</f>
        <v>146</v>
      </c>
      <c r="U244" s="9">
        <f>IF(ISERROR(VLOOKUP($A244,'SegEnds_NonXtal_BW#'!$A:$Z,15,FALSE)+VLOOKUP($A244,A:AL,22,FALSE)-50),"-",VLOOKUP($A244,'SegEnds_NonXtal_BW#'!$A:$Z,15,FALSE)+VLOOKUP($A244,A:AL,22,FALSE)-50)</f>
        <v>147</v>
      </c>
      <c r="V244" s="3">
        <v>159</v>
      </c>
      <c r="W244" s="3">
        <f>IF(ISERROR(VLOOKUP($A244,'SegEnds_NonXtal_BW#'!$A:$Z,16,FALSE)+VLOOKUP($A244,A:AL,22,FALSE)-50),"-",(VLOOKUP($A244,'SegEnds_NonXtal_BW#'!$A:$Z,16,FALSE)+VLOOKUP($A244,A:AL,22,FALSE)-50))</f>
        <v>172</v>
      </c>
      <c r="X244" s="3">
        <f>IF(ISERROR(VLOOKUP($A244,'SegEnds_NonXtal_BW#'!$A:$Z,17,FALSE)+VLOOKUP($A244,A:AL,25,FALSE)-50),"-",(VLOOKUP($A244,'SegEnds_NonXtal_BW#'!$A:$Z,17,FALSE)+VLOOKUP($A244,A:AL,25,FALSE)-50))</f>
        <v>192</v>
      </c>
      <c r="Y244" s="3">
        <v>192</v>
      </c>
      <c r="Z244" s="3">
        <f t="shared" si="144"/>
        <v>194</v>
      </c>
      <c r="AA244" s="3">
        <f>IF(ISERROR(VLOOKUP($A244,'SegEnds_NonXtal_BW#'!$A:$Z,19,FALSE)+VLOOKUP($A244,A:AL,28,FALSE)-50),"-",(VLOOKUP($A244,'SegEnds_NonXtal_BW#'!$A:$Z,19,FALSE)+VLOOKUP($A244,A:AL,28,FALSE)-50))</f>
        <v>196</v>
      </c>
      <c r="AB244" s="3">
        <v>211</v>
      </c>
      <c r="AC244" s="3">
        <f>IF(ISERROR((VLOOKUP($A244,'SegEnds_NonXtal_BW#'!$A:$Z,20,FALSE)+VLOOKUP($A244,A:AL,28,FALSE)-50)),"-",(VLOOKUP($A244,'SegEnds_NonXtal_BW#'!$A:$Z,20,FALSE)+VLOOKUP($A244,A:AL,28,FALSE)-50))</f>
        <v>234</v>
      </c>
      <c r="AD244" s="3">
        <f>IF(ISERROR(VLOOKUP($A244,'SegEnds_NonXtal_BW#'!$A:$Z,21,FALSE)+VLOOKUP($A244,A:AL,31,FALSE)-50),"-",(VLOOKUP($A244,'SegEnds_NonXtal_BW#'!$A:$Z,21,FALSE)+VLOOKUP($A244,A:AL,31,FALSE)-50))</f>
        <v>239</v>
      </c>
      <c r="AE244" s="3">
        <v>267</v>
      </c>
      <c r="AF244" s="3">
        <f>IF(ISERROR((VLOOKUP($A244,'SegEnds_NonXtal_BW#'!$A:$Z,22,FALSE)+VLOOKUP($A244,A:AL,31,FALSE)-50)),"-",(VLOOKUP($A244,'SegEnds_NonXtal_BW#'!$A:$Z,22,FALSE)+VLOOKUP($A244,A:AL,31,FALSE)-50))</f>
        <v>278</v>
      </c>
      <c r="AG244" s="3">
        <f>IF(ISERROR(VLOOKUP($A244,'SegEnds_NonXtal_BW#'!$A:$Z,23,FALSE)+VLOOKUP($A244,A:AL,34,FALSE)-50),"-",(VLOOKUP($A244,'SegEnds_NonXtal_BW#'!$A:$Z,23,FALSE)+VLOOKUP($A244,A:AL,34,FALSE)-50))</f>
        <v>283</v>
      </c>
      <c r="AH244" s="3">
        <v>302</v>
      </c>
      <c r="AI244" s="3">
        <f>IF(ISERROR((VLOOKUP($A244,'SegEnds_NonXtal_BW#'!$A:$Z,24,FALSE)+VLOOKUP($A244,A:AL,34,FALSE)-50)),"-",(VLOOKUP($A244,'SegEnds_NonXtal_BW#'!$A:$Z,24,FALSE)+VLOOKUP($A244,A:AL,34,FALSE)-50))</f>
        <v>308</v>
      </c>
      <c r="AJ244" s="3">
        <f>IF(ISERROR(VLOOKUP($A244,'SegEnds_NonXtal_BW#'!$A:$Z,25,FALSE)+VLOOKUP($A244,A:AL,37,FALSE)-50),"-",(VLOOKUP($A244,'SegEnds_NonXtal_BW#'!$A:$Z,25,FALSE)+VLOOKUP($A244,A:AL,37,FALSE)-50))</f>
        <v>309</v>
      </c>
      <c r="AK244" s="3">
        <v>312</v>
      </c>
      <c r="AL244" s="3">
        <f>IF(ISERROR((VLOOKUP($A244,'SegEnds_NonXtal_BW#'!$A:$Z,26,FALSE)+VLOOKUP($A244,A:AL,37,FALSE)-50)),"-",(VLOOKUP($A244,'SegEnds_NonXtal_BW#'!$A:$Z,26,FALSE)+VLOOKUP($A244,A:AL,37,FALSE)-50))</f>
        <v>320</v>
      </c>
      <c r="AM244" s="28" t="str">
        <f>VLOOKUP(A244,Classification!A:B,2,FALSE)</f>
        <v>A</v>
      </c>
      <c r="AN244" s="28" t="b">
        <f t="shared" si="133"/>
        <v>1</v>
      </c>
      <c r="AO244" s="3" t="str">
        <f>IF(ISERROR(MATCH(A244,'SegEnds_Xtal_Prot#'!B:B, 0)), "NoXtal", "Xtal")</f>
        <v>NoXtal</v>
      </c>
      <c r="AP244" s="3">
        <f t="shared" si="118"/>
        <v>1</v>
      </c>
      <c r="AQ244" s="3">
        <f t="shared" si="119"/>
        <v>1</v>
      </c>
      <c r="AR244" s="3">
        <f t="shared" si="120"/>
        <v>1</v>
      </c>
      <c r="AS244" s="3">
        <f t="shared" si="121"/>
        <v>1</v>
      </c>
      <c r="AT244" s="3">
        <f t="shared" si="122"/>
        <v>1</v>
      </c>
      <c r="AU244" s="3">
        <f t="shared" si="123"/>
        <v>1</v>
      </c>
      <c r="AV244" s="3">
        <f t="shared" si="124"/>
        <v>20</v>
      </c>
      <c r="AW244" s="3">
        <f t="shared" si="125"/>
        <v>2</v>
      </c>
      <c r="AX244" s="3">
        <f t="shared" si="126"/>
        <v>5</v>
      </c>
      <c r="AY244" s="3">
        <f t="shared" si="127"/>
        <v>5</v>
      </c>
      <c r="AZ244" s="3">
        <f t="shared" si="128"/>
        <v>1</v>
      </c>
      <c r="BA244" s="3">
        <f>IF(ISERROR(LEN(VLOOKUP(A244,Seqs!A:E,2,FALSE))-AL244),"-",LEN(VLOOKUP(A244,Seqs!A:E,2,FALSE))-AL244)</f>
        <v>17</v>
      </c>
      <c r="BB244" s="16">
        <f t="shared" si="129"/>
        <v>28</v>
      </c>
      <c r="BC244" s="9">
        <f t="shared" si="130"/>
        <v>20</v>
      </c>
      <c r="BD244" s="3">
        <f t="shared" si="131"/>
        <v>28</v>
      </c>
      <c r="BE244" s="3">
        <f t="shared" si="132"/>
        <v>56</v>
      </c>
      <c r="BF244" s="3">
        <f t="shared" si="145"/>
        <v>35</v>
      </c>
    </row>
    <row r="245" spans="1:58" s="3" customFormat="1" x14ac:dyDescent="0.2">
      <c r="A245" s="3" t="s">
        <v>391</v>
      </c>
      <c r="B245" s="3" t="str">
        <f>LOWER(VLOOKUP(A245,Xtal_Templ!A:B,2,FALSE))</f>
        <v>5ht1b_human</v>
      </c>
      <c r="C245" s="3">
        <f>VLOOKUP($A245,'SegEnds_NonXtal_BW#'!$A:$Z,3,FALSE)+D245-50</f>
        <v>28</v>
      </c>
      <c r="D245" s="3">
        <v>50</v>
      </c>
      <c r="E245" s="3">
        <f>IF(ISERROR(VLOOKUP($A245,'SegEnds_NonXtal_BW#'!$A:$Z,4,FALSE)+VLOOKUP($A245,A:AL,4,FALSE)-50),"-",(VLOOKUP($A245,'SegEnds_NonXtal_BW#'!$A:$Z,4,FALSE)+VLOOKUP($A245,A:AL,4,FALSE)-50))</f>
        <v>60</v>
      </c>
      <c r="F245" s="3">
        <f t="shared" si="146"/>
        <v>61</v>
      </c>
      <c r="G245" s="3">
        <v>63</v>
      </c>
      <c r="H245" s="3">
        <f t="shared" si="147"/>
        <v>64</v>
      </c>
      <c r="I245" s="3">
        <f t="shared" si="147"/>
        <v>65</v>
      </c>
      <c r="J245" s="3">
        <v>78</v>
      </c>
      <c r="K245" s="3">
        <f>VLOOKUP($A245,'SegEnds_NonXtal_BW#'!$A:$Z,8,FALSE)+VLOOKUP($A245,A:AL,10,FALSE)-50</f>
        <v>96</v>
      </c>
      <c r="L245" s="3">
        <f t="shared" si="142"/>
        <v>97</v>
      </c>
      <c r="M245" s="3">
        <v>98</v>
      </c>
      <c r="N245" s="3">
        <f t="shared" si="143"/>
        <v>100</v>
      </c>
      <c r="O245" s="3">
        <f t="shared" si="139"/>
        <v>101</v>
      </c>
      <c r="P245" s="3">
        <v>130</v>
      </c>
      <c r="Q245" s="3">
        <f>VLOOKUP($A245,'SegEnds_NonXtal_BW#'!$A:$Z,12,FALSE)+VLOOKUP($A245,A:AL,16,FALSE)-50</f>
        <v>136</v>
      </c>
      <c r="R245" s="3">
        <f>IF(ISERROR(VLOOKUP($A245,'SegEnds_NonXtal_BW#'!$A:$Z,13,FALSE)+VLOOKUP($A245,A:AL,19,FALSE)-50),"-",VLOOKUP($A245,'SegEnds_NonXtal_BW#'!$A:$Z,13,FALSE)+VLOOKUP($A245,A:AL,19,FALSE)-50)</f>
        <v>137</v>
      </c>
      <c r="S245" s="3">
        <v>137</v>
      </c>
      <c r="T245" s="100">
        <f>IF(ISERROR(VLOOKUP($A245,'SegEnds_NonXtal_BW#'!$A:$Z,14,FALSE)+VLOOKUP($A245,A:AL,19,FALSE)-50),"-",(VLOOKUP($A245,'SegEnds_NonXtal_BW#'!$A:$Z,14,FALSE)+VLOOKUP($A245,A:AL,19,FALSE)-50))</f>
        <v>144</v>
      </c>
      <c r="U245" s="9">
        <f>IF(ISERROR(VLOOKUP($A245,'SegEnds_NonXtal_BW#'!$A:$Z,15,FALSE)+VLOOKUP($A245,A:AL,22,FALSE)-50),"-",VLOOKUP($A245,'SegEnds_NonXtal_BW#'!$A:$Z,15,FALSE)+VLOOKUP($A245,A:AL,22,FALSE)-50)</f>
        <v>145</v>
      </c>
      <c r="V245" s="3">
        <v>157</v>
      </c>
      <c r="W245" s="3">
        <f>IF(ISERROR(VLOOKUP($A245,'SegEnds_NonXtal_BW#'!$A:$Z,16,FALSE)+VLOOKUP($A245,A:AL,22,FALSE)-50),"-",(VLOOKUP($A245,'SegEnds_NonXtal_BW#'!$A:$Z,16,FALSE)+VLOOKUP($A245,A:AL,22,FALSE)-50))</f>
        <v>170</v>
      </c>
      <c r="X245" s="3">
        <f>IF(ISERROR(VLOOKUP($A245,'SegEnds_NonXtal_BW#'!$A:$Z,17,FALSE)+VLOOKUP($A245,A:AL,25,FALSE)-50),"-",(VLOOKUP($A245,'SegEnds_NonXtal_BW#'!$A:$Z,17,FALSE)+VLOOKUP($A245,A:AL,25,FALSE)-50))</f>
        <v>190</v>
      </c>
      <c r="Y245" s="3">
        <v>190</v>
      </c>
      <c r="Z245" s="3">
        <f t="shared" si="144"/>
        <v>192</v>
      </c>
      <c r="AA245" s="3">
        <f>IF(ISERROR(VLOOKUP($A245,'SegEnds_NonXtal_BW#'!$A:$Z,19,FALSE)+VLOOKUP($A245,A:AL,28,FALSE)-50),"-",(VLOOKUP($A245,'SegEnds_NonXtal_BW#'!$A:$Z,19,FALSE)+VLOOKUP($A245,A:AL,28,FALSE)-50))</f>
        <v>194</v>
      </c>
      <c r="AB245" s="3">
        <v>209</v>
      </c>
      <c r="AC245" s="3">
        <f>IF(ISERROR((VLOOKUP($A245,'SegEnds_NonXtal_BW#'!$A:$Z,20,FALSE)+VLOOKUP($A245,A:AL,28,FALSE)-50)),"-",(VLOOKUP($A245,'SegEnds_NonXtal_BW#'!$A:$Z,20,FALSE)+VLOOKUP($A245,A:AL,28,FALSE)-50))</f>
        <v>233</v>
      </c>
      <c r="AD245" s="3">
        <f>IF(ISERROR(VLOOKUP($A245,'SegEnds_NonXtal_BW#'!$A:$Z,21,FALSE)+VLOOKUP($A245,A:AL,31,FALSE)-50),"-",(VLOOKUP($A245,'SegEnds_NonXtal_BW#'!$A:$Z,21,FALSE)+VLOOKUP($A245,A:AL,31,FALSE)-50))</f>
        <v>244</v>
      </c>
      <c r="AE245" s="3">
        <v>273</v>
      </c>
      <c r="AF245" s="3">
        <f>IF(ISERROR((VLOOKUP($A245,'SegEnds_NonXtal_BW#'!$A:$Z,22,FALSE)+VLOOKUP($A245,A:AL,31,FALSE)-50)),"-",(VLOOKUP($A245,'SegEnds_NonXtal_BW#'!$A:$Z,22,FALSE)+VLOOKUP($A245,A:AL,31,FALSE)-50))</f>
        <v>284</v>
      </c>
      <c r="AG245" s="3">
        <f>IF(ISERROR(VLOOKUP($A245,'SegEnds_NonXtal_BW#'!$A:$Z,23,FALSE)+VLOOKUP($A245,A:AL,34,FALSE)-50),"-",(VLOOKUP($A245,'SegEnds_NonXtal_BW#'!$A:$Z,23,FALSE)+VLOOKUP($A245,A:AL,34,FALSE)-50))</f>
        <v>289</v>
      </c>
      <c r="AH245" s="3">
        <v>308</v>
      </c>
      <c r="AI245" s="3">
        <f>IF(ISERROR((VLOOKUP($A245,'SegEnds_NonXtal_BW#'!$A:$Z,24,FALSE)+VLOOKUP($A245,A:AL,34,FALSE)-50)),"-",(VLOOKUP($A245,'SegEnds_NonXtal_BW#'!$A:$Z,24,FALSE)+VLOOKUP($A245,A:AL,34,FALSE)-50))</f>
        <v>314</v>
      </c>
      <c r="AJ245" s="3">
        <f>IF(ISERROR(VLOOKUP($A245,'SegEnds_NonXtal_BW#'!$A:$Z,25,FALSE)+VLOOKUP($A245,A:AL,37,FALSE)-50),"-",(VLOOKUP($A245,'SegEnds_NonXtal_BW#'!$A:$Z,25,FALSE)+VLOOKUP($A245,A:AL,37,FALSE)-50))</f>
        <v>315</v>
      </c>
      <c r="AK245" s="3">
        <v>318</v>
      </c>
      <c r="AL245" s="3">
        <f>IF(ISERROR((VLOOKUP($A245,'SegEnds_NonXtal_BW#'!$A:$Z,26,FALSE)+VLOOKUP($A245,A:AL,37,FALSE)-50)),"-",(VLOOKUP($A245,'SegEnds_NonXtal_BW#'!$A:$Z,26,FALSE)+VLOOKUP($A245,A:AL,37,FALSE)-50))</f>
        <v>326</v>
      </c>
      <c r="AM245" s="28" t="str">
        <f>VLOOKUP(A245,Classification!A:B,2,FALSE)</f>
        <v>A</v>
      </c>
      <c r="AN245" s="28" t="b">
        <f t="shared" si="133"/>
        <v>1</v>
      </c>
      <c r="AO245" s="3" t="str">
        <f>IF(ISERROR(MATCH(A245,'SegEnds_Xtal_Prot#'!B:B, 0)), "NoXtal", "Xtal")</f>
        <v>NoXtal</v>
      </c>
      <c r="AP245" s="3">
        <f t="shared" si="118"/>
        <v>1</v>
      </c>
      <c r="AQ245" s="3">
        <f t="shared" si="119"/>
        <v>1</v>
      </c>
      <c r="AR245" s="3">
        <f t="shared" si="120"/>
        <v>1</v>
      </c>
      <c r="AS245" s="3">
        <f t="shared" si="121"/>
        <v>1</v>
      </c>
      <c r="AT245" s="3">
        <f t="shared" si="122"/>
        <v>1</v>
      </c>
      <c r="AU245" s="3">
        <f t="shared" si="123"/>
        <v>1</v>
      </c>
      <c r="AV245" s="3">
        <f t="shared" si="124"/>
        <v>20</v>
      </c>
      <c r="AW245" s="3">
        <f t="shared" si="125"/>
        <v>2</v>
      </c>
      <c r="AX245" s="3">
        <f t="shared" si="126"/>
        <v>11</v>
      </c>
      <c r="AY245" s="3">
        <f t="shared" si="127"/>
        <v>5</v>
      </c>
      <c r="AZ245" s="3">
        <f t="shared" si="128"/>
        <v>1</v>
      </c>
      <c r="BA245" s="3">
        <f>IF(ISERROR(LEN(VLOOKUP(A245,Seqs!A:E,2,FALSE))-AL245),"-",LEN(VLOOKUP(A245,Seqs!A:E,2,FALSE))-AL245)</f>
        <v>19</v>
      </c>
      <c r="BB245" s="16">
        <f t="shared" si="129"/>
        <v>28</v>
      </c>
      <c r="BC245" s="9">
        <f t="shared" si="130"/>
        <v>20</v>
      </c>
      <c r="BD245" s="3">
        <f t="shared" si="131"/>
        <v>28</v>
      </c>
      <c r="BE245" s="3">
        <f t="shared" si="132"/>
        <v>64</v>
      </c>
      <c r="BF245" s="3">
        <f t="shared" si="145"/>
        <v>35</v>
      </c>
    </row>
    <row r="246" spans="1:58" s="3" customFormat="1" x14ac:dyDescent="0.2">
      <c r="A246" s="3" t="s">
        <v>392</v>
      </c>
      <c r="B246" s="3" t="str">
        <f>LOWER(VLOOKUP(A246,Xtal_Templ!A:B,2,FALSE))</f>
        <v>5ht1b_human</v>
      </c>
      <c r="C246" s="3">
        <f>VLOOKUP($A246,'SegEnds_NonXtal_BW#'!$A:$Z,3,FALSE)+D246-50</f>
        <v>27</v>
      </c>
      <c r="D246" s="3">
        <v>49</v>
      </c>
      <c r="E246" s="3">
        <f>IF(ISERROR(VLOOKUP($A246,'SegEnds_NonXtal_BW#'!$A:$Z,4,FALSE)+VLOOKUP($A246,A:AL,4,FALSE)-50),"-",(VLOOKUP($A246,'SegEnds_NonXtal_BW#'!$A:$Z,4,FALSE)+VLOOKUP($A246,A:AL,4,FALSE)-50))</f>
        <v>59</v>
      </c>
      <c r="F246" s="3">
        <f t="shared" si="146"/>
        <v>60</v>
      </c>
      <c r="G246" s="3">
        <v>62</v>
      </c>
      <c r="H246" s="3">
        <f t="shared" si="147"/>
        <v>63</v>
      </c>
      <c r="I246" s="3">
        <f t="shared" si="147"/>
        <v>64</v>
      </c>
      <c r="J246" s="3">
        <v>77</v>
      </c>
      <c r="K246" s="3">
        <f>VLOOKUP($A246,'SegEnds_NonXtal_BW#'!$A:$Z,8,FALSE)+VLOOKUP($A246,A:AL,10,FALSE)-50</f>
        <v>95</v>
      </c>
      <c r="L246" s="3">
        <f t="shared" si="142"/>
        <v>96</v>
      </c>
      <c r="M246" s="3">
        <v>97</v>
      </c>
      <c r="N246" s="3">
        <f t="shared" si="143"/>
        <v>99</v>
      </c>
      <c r="O246" s="3">
        <f t="shared" si="139"/>
        <v>100</v>
      </c>
      <c r="P246" s="3">
        <v>129</v>
      </c>
      <c r="Q246" s="3">
        <f>VLOOKUP($A246,'SegEnds_NonXtal_BW#'!$A:$Z,12,FALSE)+VLOOKUP($A246,A:AL,16,FALSE)-50</f>
        <v>135</v>
      </c>
      <c r="R246" s="3">
        <f>IF(ISERROR(VLOOKUP($A246,'SegEnds_NonXtal_BW#'!$A:$Z,13,FALSE)+VLOOKUP($A246,A:AL,19,FALSE)-50),"-",VLOOKUP($A246,'SegEnds_NonXtal_BW#'!$A:$Z,13,FALSE)+VLOOKUP($A246,A:AL,19,FALSE)-50)</f>
        <v>136</v>
      </c>
      <c r="S246" s="3">
        <v>136</v>
      </c>
      <c r="T246" s="100">
        <f>IF(ISERROR(VLOOKUP($A246,'SegEnds_NonXtal_BW#'!$A:$Z,14,FALSE)+VLOOKUP($A246,A:AL,19,FALSE)-50),"-",(VLOOKUP($A246,'SegEnds_NonXtal_BW#'!$A:$Z,14,FALSE)+VLOOKUP($A246,A:AL,19,FALSE)-50))</f>
        <v>143</v>
      </c>
      <c r="U246" s="9">
        <f>IF(ISERROR(VLOOKUP($A246,'SegEnds_NonXtal_BW#'!$A:$Z,15,FALSE)+VLOOKUP($A246,A:AL,22,FALSE)-50),"-",VLOOKUP($A246,'SegEnds_NonXtal_BW#'!$A:$Z,15,FALSE)+VLOOKUP($A246,A:AL,22,FALSE)-50)</f>
        <v>144</v>
      </c>
      <c r="V246" s="3">
        <v>156</v>
      </c>
      <c r="W246" s="3">
        <f>IF(ISERROR(VLOOKUP($A246,'SegEnds_NonXtal_BW#'!$A:$Z,16,FALSE)+VLOOKUP($A246,A:AL,22,FALSE)-50),"-",(VLOOKUP($A246,'SegEnds_NonXtal_BW#'!$A:$Z,16,FALSE)+VLOOKUP($A246,A:AL,22,FALSE)-50))</f>
        <v>169</v>
      </c>
      <c r="X246" s="3">
        <f>IF(ISERROR(VLOOKUP($A246,'SegEnds_NonXtal_BW#'!$A:$Z,17,FALSE)+VLOOKUP($A246,A:AL,25,FALSE)-50),"-",(VLOOKUP($A246,'SegEnds_NonXtal_BW#'!$A:$Z,17,FALSE)+VLOOKUP($A246,A:AL,25,FALSE)-50))</f>
        <v>189</v>
      </c>
      <c r="Y246" s="3">
        <v>189</v>
      </c>
      <c r="Z246" s="3">
        <f t="shared" si="144"/>
        <v>191</v>
      </c>
      <c r="AA246" s="3">
        <f>IF(ISERROR(VLOOKUP($A246,'SegEnds_NonXtal_BW#'!$A:$Z,19,FALSE)+VLOOKUP($A246,A:AL,28,FALSE)-50),"-",(VLOOKUP($A246,'SegEnds_NonXtal_BW#'!$A:$Z,19,FALSE)+VLOOKUP($A246,A:AL,28,FALSE)-50))</f>
        <v>193</v>
      </c>
      <c r="AB246" s="3">
        <v>208</v>
      </c>
      <c r="AC246" s="3">
        <f>IF(ISERROR((VLOOKUP($A246,'SegEnds_NonXtal_BW#'!$A:$Z,20,FALSE)+VLOOKUP($A246,A:AL,28,FALSE)-50)),"-",(VLOOKUP($A246,'SegEnds_NonXtal_BW#'!$A:$Z,20,FALSE)+VLOOKUP($A246,A:AL,28,FALSE)-50))</f>
        <v>232</v>
      </c>
      <c r="AD246" s="3">
        <f>IF(ISERROR(VLOOKUP($A246,'SegEnds_NonXtal_BW#'!$A:$Z,21,FALSE)+VLOOKUP($A246,A:AL,31,FALSE)-50),"-",(VLOOKUP($A246,'SegEnds_NonXtal_BW#'!$A:$Z,21,FALSE)+VLOOKUP($A246,A:AL,31,FALSE)-50))</f>
        <v>243</v>
      </c>
      <c r="AE246" s="3">
        <v>272</v>
      </c>
      <c r="AF246" s="3">
        <f>IF(ISERROR((VLOOKUP($A246,'SegEnds_NonXtal_BW#'!$A:$Z,22,FALSE)+VLOOKUP($A246,A:AL,31,FALSE)-50)),"-",(VLOOKUP($A246,'SegEnds_NonXtal_BW#'!$A:$Z,22,FALSE)+VLOOKUP($A246,A:AL,31,FALSE)-50))</f>
        <v>283</v>
      </c>
      <c r="AG246" s="3">
        <f>IF(ISERROR(VLOOKUP($A246,'SegEnds_NonXtal_BW#'!$A:$Z,23,FALSE)+VLOOKUP($A246,A:AL,34,FALSE)-50),"-",(VLOOKUP($A246,'SegEnds_NonXtal_BW#'!$A:$Z,23,FALSE)+VLOOKUP($A246,A:AL,34,FALSE)-50))</f>
        <v>288</v>
      </c>
      <c r="AH246" s="3">
        <v>307</v>
      </c>
      <c r="AI246" s="3">
        <f>IF(ISERROR((VLOOKUP($A246,'SegEnds_NonXtal_BW#'!$A:$Z,24,FALSE)+VLOOKUP($A246,A:AL,34,FALSE)-50)),"-",(VLOOKUP($A246,'SegEnds_NonXtal_BW#'!$A:$Z,24,FALSE)+VLOOKUP($A246,A:AL,34,FALSE)-50))</f>
        <v>313</v>
      </c>
      <c r="AJ246" s="3">
        <f>IF(ISERROR(VLOOKUP($A246,'SegEnds_NonXtal_BW#'!$A:$Z,25,FALSE)+VLOOKUP($A246,A:AL,37,FALSE)-50),"-",(VLOOKUP($A246,'SegEnds_NonXtal_BW#'!$A:$Z,25,FALSE)+VLOOKUP($A246,A:AL,37,FALSE)-50))</f>
        <v>314</v>
      </c>
      <c r="AK246" s="3">
        <v>317</v>
      </c>
      <c r="AL246" s="3">
        <f>IF(ISERROR((VLOOKUP($A246,'SegEnds_NonXtal_BW#'!$A:$Z,26,FALSE)+VLOOKUP($A246,A:AL,37,FALSE)-50)),"-",(VLOOKUP($A246,'SegEnds_NonXtal_BW#'!$A:$Z,26,FALSE)+VLOOKUP($A246,A:AL,37,FALSE)-50))</f>
        <v>325</v>
      </c>
      <c r="AM246" s="28" t="str">
        <f>VLOOKUP(A246,Classification!A:B,2,FALSE)</f>
        <v>A</v>
      </c>
      <c r="AN246" s="28" t="b">
        <f t="shared" si="133"/>
        <v>1</v>
      </c>
      <c r="AO246" s="3" t="str">
        <f>IF(ISERROR(MATCH(A246,'SegEnds_Xtal_Prot#'!B:B, 0)), "NoXtal", "Xtal")</f>
        <v>NoXtal</v>
      </c>
      <c r="AP246" s="3">
        <f t="shared" si="118"/>
        <v>1</v>
      </c>
      <c r="AQ246" s="3">
        <f t="shared" si="119"/>
        <v>1</v>
      </c>
      <c r="AR246" s="3">
        <f t="shared" si="120"/>
        <v>1</v>
      </c>
      <c r="AS246" s="3">
        <f t="shared" si="121"/>
        <v>1</v>
      </c>
      <c r="AT246" s="3">
        <f t="shared" si="122"/>
        <v>1</v>
      </c>
      <c r="AU246" s="3">
        <f t="shared" si="123"/>
        <v>1</v>
      </c>
      <c r="AV246" s="3">
        <f t="shared" si="124"/>
        <v>20</v>
      </c>
      <c r="AW246" s="3">
        <f t="shared" si="125"/>
        <v>2</v>
      </c>
      <c r="AX246" s="3">
        <f t="shared" si="126"/>
        <v>11</v>
      </c>
      <c r="AY246" s="3">
        <f t="shared" si="127"/>
        <v>5</v>
      </c>
      <c r="AZ246" s="3">
        <f t="shared" si="128"/>
        <v>1</v>
      </c>
      <c r="BA246" s="3">
        <f>IF(ISERROR(LEN(VLOOKUP(A246,Seqs!A:E,2,FALSE))-AL246),"-",LEN(VLOOKUP(A246,Seqs!A:E,2,FALSE))-AL246)</f>
        <v>17</v>
      </c>
      <c r="BB246" s="16">
        <f t="shared" si="129"/>
        <v>28</v>
      </c>
      <c r="BC246" s="9">
        <f t="shared" si="130"/>
        <v>20</v>
      </c>
      <c r="BD246" s="3">
        <f t="shared" si="131"/>
        <v>28</v>
      </c>
      <c r="BE246" s="3">
        <f t="shared" si="132"/>
        <v>64</v>
      </c>
      <c r="BF246" s="3">
        <f t="shared" si="145"/>
        <v>35</v>
      </c>
    </row>
    <row r="247" spans="1:58" s="3" customFormat="1" x14ac:dyDescent="0.2">
      <c r="A247" s="3" t="s">
        <v>393</v>
      </c>
      <c r="B247" s="3" t="str">
        <f>LOWER(VLOOKUP(A247,Xtal_Templ!A:B,2,FALSE))</f>
        <v>5ht1b_human</v>
      </c>
      <c r="C247" s="3">
        <f>VLOOKUP($A247,'SegEnds_NonXtal_BW#'!$A:$Z,3,FALSE)+D247-50</f>
        <v>28</v>
      </c>
      <c r="D247" s="3">
        <v>50</v>
      </c>
      <c r="E247" s="3">
        <f>IF(ISERROR(VLOOKUP($A247,'SegEnds_NonXtal_BW#'!$A:$Z,4,FALSE)+VLOOKUP($A247,A:AL,4,FALSE)-50),"-",(VLOOKUP($A247,'SegEnds_NonXtal_BW#'!$A:$Z,4,FALSE)+VLOOKUP($A247,A:AL,4,FALSE)-50))</f>
        <v>60</v>
      </c>
      <c r="F247" s="3">
        <f t="shared" si="146"/>
        <v>61</v>
      </c>
      <c r="G247" s="3">
        <v>63</v>
      </c>
      <c r="H247" s="3">
        <f t="shared" si="147"/>
        <v>64</v>
      </c>
      <c r="I247" s="3">
        <f t="shared" si="147"/>
        <v>65</v>
      </c>
      <c r="J247" s="3">
        <v>78</v>
      </c>
      <c r="K247" s="3">
        <f>VLOOKUP($A247,'SegEnds_NonXtal_BW#'!$A:$Z,8,FALSE)+VLOOKUP($A247,A:AL,10,FALSE)-50</f>
        <v>96</v>
      </c>
      <c r="L247" s="3">
        <f t="shared" si="142"/>
        <v>97</v>
      </c>
      <c r="M247" s="3">
        <v>98</v>
      </c>
      <c r="N247" s="3">
        <f t="shared" si="143"/>
        <v>100</v>
      </c>
      <c r="O247" s="3">
        <f t="shared" si="139"/>
        <v>101</v>
      </c>
      <c r="P247" s="3">
        <v>130</v>
      </c>
      <c r="Q247" s="3">
        <f>VLOOKUP($A247,'SegEnds_NonXtal_BW#'!$A:$Z,12,FALSE)+VLOOKUP($A247,A:AL,16,FALSE)-50</f>
        <v>136</v>
      </c>
      <c r="R247" s="3">
        <f>IF(ISERROR(VLOOKUP($A247,'SegEnds_NonXtal_BW#'!$A:$Z,13,FALSE)+VLOOKUP($A247,A:AL,19,FALSE)-50),"-",VLOOKUP($A247,'SegEnds_NonXtal_BW#'!$A:$Z,13,FALSE)+VLOOKUP($A247,A:AL,19,FALSE)-50)</f>
        <v>137</v>
      </c>
      <c r="S247" s="3">
        <v>137</v>
      </c>
      <c r="T247" s="100">
        <f>IF(ISERROR(VLOOKUP($A247,'SegEnds_NonXtal_BW#'!$A:$Z,14,FALSE)+VLOOKUP($A247,A:AL,19,FALSE)-50),"-",(VLOOKUP($A247,'SegEnds_NonXtal_BW#'!$A:$Z,14,FALSE)+VLOOKUP($A247,A:AL,19,FALSE)-50))</f>
        <v>144</v>
      </c>
      <c r="U247" s="9">
        <f>IF(ISERROR(VLOOKUP($A247,'SegEnds_NonXtal_BW#'!$A:$Z,15,FALSE)+VLOOKUP($A247,A:AL,22,FALSE)-50),"-",VLOOKUP($A247,'SegEnds_NonXtal_BW#'!$A:$Z,15,FALSE)+VLOOKUP($A247,A:AL,22,FALSE)-50)</f>
        <v>145</v>
      </c>
      <c r="V247" s="3">
        <v>157</v>
      </c>
      <c r="W247" s="3">
        <f>IF(ISERROR(VLOOKUP($A247,'SegEnds_NonXtal_BW#'!$A:$Z,16,FALSE)+VLOOKUP($A247,A:AL,22,FALSE)-50),"-",(VLOOKUP($A247,'SegEnds_NonXtal_BW#'!$A:$Z,16,FALSE)+VLOOKUP($A247,A:AL,22,FALSE)-50))</f>
        <v>170</v>
      </c>
      <c r="X247" s="3">
        <f>IF(ISERROR(VLOOKUP($A247,'SegEnds_NonXtal_BW#'!$A:$Z,17,FALSE)+VLOOKUP($A247,A:AL,25,FALSE)-50),"-",(VLOOKUP($A247,'SegEnds_NonXtal_BW#'!$A:$Z,17,FALSE)+VLOOKUP($A247,A:AL,25,FALSE)-50))</f>
        <v>190</v>
      </c>
      <c r="Y247" s="3">
        <v>190</v>
      </c>
      <c r="Z247" s="3">
        <f t="shared" si="144"/>
        <v>192</v>
      </c>
      <c r="AA247" s="3">
        <f>IF(ISERROR(VLOOKUP($A247,'SegEnds_NonXtal_BW#'!$A:$Z,19,FALSE)+VLOOKUP($A247,A:AL,28,FALSE)-50),"-",(VLOOKUP($A247,'SegEnds_NonXtal_BW#'!$A:$Z,19,FALSE)+VLOOKUP($A247,A:AL,28,FALSE)-50))</f>
        <v>194</v>
      </c>
      <c r="AB247" s="3">
        <v>209</v>
      </c>
      <c r="AC247" s="3">
        <f>IF(ISERROR((VLOOKUP($A247,'SegEnds_NonXtal_BW#'!$A:$Z,20,FALSE)+VLOOKUP($A247,A:AL,28,FALSE)-50)),"-",(VLOOKUP($A247,'SegEnds_NonXtal_BW#'!$A:$Z,20,FALSE)+VLOOKUP($A247,A:AL,28,FALSE)-50))</f>
        <v>233</v>
      </c>
      <c r="AD247" s="3">
        <f>IF(ISERROR(VLOOKUP($A247,'SegEnds_NonXtal_BW#'!$A:$Z,21,FALSE)+VLOOKUP($A247,A:AL,31,FALSE)-50),"-",(VLOOKUP($A247,'SegEnds_NonXtal_BW#'!$A:$Z,21,FALSE)+VLOOKUP($A247,A:AL,31,FALSE)-50))</f>
        <v>244</v>
      </c>
      <c r="AE247" s="3">
        <v>273</v>
      </c>
      <c r="AF247" s="3">
        <f>IF(ISERROR((VLOOKUP($A247,'SegEnds_NonXtal_BW#'!$A:$Z,22,FALSE)+VLOOKUP($A247,A:AL,31,FALSE)-50)),"-",(VLOOKUP($A247,'SegEnds_NonXtal_BW#'!$A:$Z,22,FALSE)+VLOOKUP($A247,A:AL,31,FALSE)-50))</f>
        <v>284</v>
      </c>
      <c r="AG247" s="3">
        <f>IF(ISERROR(VLOOKUP($A247,'SegEnds_NonXtal_BW#'!$A:$Z,23,FALSE)+VLOOKUP($A247,A:AL,34,FALSE)-50),"-",(VLOOKUP($A247,'SegEnds_NonXtal_BW#'!$A:$Z,23,FALSE)+VLOOKUP($A247,A:AL,34,FALSE)-50))</f>
        <v>289</v>
      </c>
      <c r="AH247" s="3">
        <v>308</v>
      </c>
      <c r="AI247" s="3">
        <f>IF(ISERROR((VLOOKUP($A247,'SegEnds_NonXtal_BW#'!$A:$Z,24,FALSE)+VLOOKUP($A247,A:AL,34,FALSE)-50)),"-",(VLOOKUP($A247,'SegEnds_NonXtal_BW#'!$A:$Z,24,FALSE)+VLOOKUP($A247,A:AL,34,FALSE)-50))</f>
        <v>314</v>
      </c>
      <c r="AJ247" s="3">
        <f>IF(ISERROR(VLOOKUP($A247,'SegEnds_NonXtal_BW#'!$A:$Z,25,FALSE)+VLOOKUP($A247,A:AL,37,FALSE)-50),"-",(VLOOKUP($A247,'SegEnds_NonXtal_BW#'!$A:$Z,25,FALSE)+VLOOKUP($A247,A:AL,37,FALSE)-50))</f>
        <v>315</v>
      </c>
      <c r="AK247" s="3">
        <v>318</v>
      </c>
      <c r="AL247" s="3">
        <f>IF(ISERROR((VLOOKUP($A247,'SegEnds_NonXtal_BW#'!$A:$Z,26,FALSE)+VLOOKUP($A247,A:AL,37,FALSE)-50)),"-",(VLOOKUP($A247,'SegEnds_NonXtal_BW#'!$A:$Z,26,FALSE)+VLOOKUP($A247,A:AL,37,FALSE)-50))</f>
        <v>326</v>
      </c>
      <c r="AM247" s="28" t="str">
        <f>VLOOKUP(A247,Classification!A:B,2,FALSE)</f>
        <v>A</v>
      </c>
      <c r="AN247" s="28" t="b">
        <f t="shared" si="133"/>
        <v>1</v>
      </c>
      <c r="AO247" s="3" t="str">
        <f>IF(ISERROR(MATCH(A247,'SegEnds_Xtal_Prot#'!B:B, 0)), "NoXtal", "Xtal")</f>
        <v>NoXtal</v>
      </c>
      <c r="AP247" s="3">
        <f t="shared" si="118"/>
        <v>1</v>
      </c>
      <c r="AQ247" s="3">
        <f t="shared" si="119"/>
        <v>1</v>
      </c>
      <c r="AR247" s="3">
        <f t="shared" si="120"/>
        <v>1</v>
      </c>
      <c r="AS247" s="3">
        <f t="shared" si="121"/>
        <v>1</v>
      </c>
      <c r="AT247" s="3">
        <f t="shared" si="122"/>
        <v>1</v>
      </c>
      <c r="AU247" s="3">
        <f t="shared" si="123"/>
        <v>1</v>
      </c>
      <c r="AV247" s="3">
        <f t="shared" si="124"/>
        <v>20</v>
      </c>
      <c r="AW247" s="3">
        <f t="shared" si="125"/>
        <v>2</v>
      </c>
      <c r="AX247" s="3">
        <f t="shared" si="126"/>
        <v>11</v>
      </c>
      <c r="AY247" s="3">
        <f t="shared" si="127"/>
        <v>5</v>
      </c>
      <c r="AZ247" s="3">
        <f t="shared" si="128"/>
        <v>1</v>
      </c>
      <c r="BA247" s="3">
        <f>IF(ISERROR(LEN(VLOOKUP(A247,Seqs!A:E,2,FALSE))-AL247),"-",LEN(VLOOKUP(A247,Seqs!A:E,2,FALSE))-AL247)</f>
        <v>22</v>
      </c>
      <c r="BB247" s="16">
        <f t="shared" si="129"/>
        <v>28</v>
      </c>
      <c r="BC247" s="9">
        <f t="shared" si="130"/>
        <v>20</v>
      </c>
      <c r="BD247" s="3">
        <f t="shared" si="131"/>
        <v>28</v>
      </c>
      <c r="BE247" s="3">
        <f t="shared" si="132"/>
        <v>64</v>
      </c>
      <c r="BF247" s="3">
        <f t="shared" si="145"/>
        <v>35</v>
      </c>
    </row>
    <row r="248" spans="1:58" s="3" customFormat="1" x14ac:dyDescent="0.2">
      <c r="A248" s="3" t="s">
        <v>394</v>
      </c>
      <c r="B248" s="3" t="str">
        <f>LOWER(VLOOKUP(A248,Xtal_Templ!A:B,2,FALSE))</f>
        <v>oprx_human</v>
      </c>
      <c r="C248" s="3">
        <f>VLOOKUP($A248,'SegEnds_NonXtal_BW#'!$A:$Z,3,FALSE)+D248-50</f>
        <v>22</v>
      </c>
      <c r="D248" s="3">
        <v>43</v>
      </c>
      <c r="E248" s="3">
        <f>IF(ISERROR(VLOOKUP($A248,'SegEnds_NonXtal_BW#'!$A:$Z,4,FALSE)+VLOOKUP($A248,A:AL,4,FALSE)-50),"-",(VLOOKUP($A248,'SegEnds_NonXtal_BW#'!$A:$Z,4,FALSE)+VLOOKUP($A248,A:AL,4,FALSE)-50))</f>
        <v>53</v>
      </c>
      <c r="F248" s="3">
        <f t="shared" si="146"/>
        <v>54</v>
      </c>
      <c r="G248" s="3">
        <v>56</v>
      </c>
      <c r="H248" s="3">
        <f t="shared" si="147"/>
        <v>57</v>
      </c>
      <c r="I248" s="3">
        <f t="shared" si="147"/>
        <v>58</v>
      </c>
      <c r="J248" s="3">
        <v>71</v>
      </c>
      <c r="K248" s="3">
        <f>VLOOKUP($A248,'SegEnds_NonXtal_BW#'!$A:$Z,8,FALSE)+VLOOKUP($A248,A:AL,10,FALSE)-50</f>
        <v>87</v>
      </c>
      <c r="L248" s="3">
        <f t="shared" si="142"/>
        <v>90</v>
      </c>
      <c r="M248" s="3">
        <v>91</v>
      </c>
      <c r="N248" s="3">
        <f t="shared" si="143"/>
        <v>93</v>
      </c>
      <c r="O248" s="3">
        <f t="shared" si="139"/>
        <v>94</v>
      </c>
      <c r="P248" s="3">
        <v>123</v>
      </c>
      <c r="Q248" s="3">
        <f>VLOOKUP($A248,'SegEnds_NonXtal_BW#'!$A:$Z,12,FALSE)+VLOOKUP($A248,A:AL,16,FALSE)-50</f>
        <v>129</v>
      </c>
      <c r="R248" s="3">
        <f>IF(ISERROR(VLOOKUP($A248,'SegEnds_NonXtal_BW#'!$A:$Z,13,FALSE)+VLOOKUP($A248,A:AL,19,FALSE)-50),"-",VLOOKUP($A248,'SegEnds_NonXtal_BW#'!$A:$Z,13,FALSE)+VLOOKUP($A248,A:AL,19,FALSE)-50)</f>
        <v>130</v>
      </c>
      <c r="S248" s="3">
        <v>130</v>
      </c>
      <c r="T248" s="100">
        <f>IF(ISERROR(VLOOKUP($A248,'SegEnds_NonXtal_BW#'!$A:$Z,14,FALSE)+VLOOKUP($A248,A:AL,19,FALSE)-50),"-",(VLOOKUP($A248,'SegEnds_NonXtal_BW#'!$A:$Z,14,FALSE)+VLOOKUP($A248,A:AL,19,FALSE)-50))</f>
        <v>137</v>
      </c>
      <c r="U248" s="9">
        <f>IF(ISERROR(VLOOKUP($A248,'SegEnds_NonXtal_BW#'!$A:$Z,15,FALSE)+VLOOKUP($A248,A:AL,22,FALSE)-50),"-",VLOOKUP($A248,'SegEnds_NonXtal_BW#'!$A:$Z,15,FALSE)+VLOOKUP($A248,A:AL,22,FALSE)-50)</f>
        <v>138</v>
      </c>
      <c r="V248" s="3">
        <v>150</v>
      </c>
      <c r="W248" s="3">
        <f>IF(ISERROR(VLOOKUP($A248,'SegEnds_NonXtal_BW#'!$A:$Z,16,FALSE)+VLOOKUP($A248,A:AL,22,FALSE)-50),"-",(VLOOKUP($A248,'SegEnds_NonXtal_BW#'!$A:$Z,16,FALSE)+VLOOKUP($A248,A:AL,22,FALSE)-50))</f>
        <v>164</v>
      </c>
      <c r="X248" s="3">
        <f>IF(ISERROR(VLOOKUP($A248,'SegEnds_NonXtal_BW#'!$A:$Z,17,FALSE)+VLOOKUP($A248,A:AL,25,FALSE)-50),"-",(VLOOKUP($A248,'SegEnds_NonXtal_BW#'!$A:$Z,17,FALSE)+VLOOKUP($A248,A:AL,25,FALSE)-50))</f>
        <v>179</v>
      </c>
      <c r="Y248" s="3">
        <v>179</v>
      </c>
      <c r="Z248" s="3">
        <f t="shared" si="144"/>
        <v>181</v>
      </c>
      <c r="AA248" s="3">
        <f>IF(ISERROR(VLOOKUP($A248,'SegEnds_NonXtal_BW#'!$A:$Z,19,FALSE)+VLOOKUP($A248,A:AL,28,FALSE)-50),"-",(VLOOKUP($A248,'SegEnds_NonXtal_BW#'!$A:$Z,19,FALSE)+VLOOKUP($A248,A:AL,28,FALSE)-50))</f>
        <v>184</v>
      </c>
      <c r="AB248" s="3">
        <v>203</v>
      </c>
      <c r="AC248" s="3">
        <f>IF(ISERROR((VLOOKUP($A248,'SegEnds_NonXtal_BW#'!$A:$Z,20,FALSE)+VLOOKUP($A248,A:AL,28,FALSE)-50)),"-",(VLOOKUP($A248,'SegEnds_NonXtal_BW#'!$A:$Z,20,FALSE)+VLOOKUP($A248,A:AL,28,FALSE)-50))</f>
        <v>229</v>
      </c>
      <c r="AD248" s="3">
        <f>IF(ISERROR(VLOOKUP($A248,'SegEnds_NonXtal_BW#'!$A:$Z,21,FALSE)+VLOOKUP($A248,A:AL,31,FALSE)-50),"-",(VLOOKUP($A248,'SegEnds_NonXtal_BW#'!$A:$Z,21,FALSE)+VLOOKUP($A248,A:AL,31,FALSE)-50))</f>
        <v>255</v>
      </c>
      <c r="AE248" s="3">
        <v>281</v>
      </c>
      <c r="AF248" s="3">
        <f>IF(ISERROR((VLOOKUP($A248,'SegEnds_NonXtal_BW#'!$A:$Z,22,FALSE)+VLOOKUP($A248,A:AL,31,FALSE)-50)),"-",(VLOOKUP($A248,'SegEnds_NonXtal_BW#'!$A:$Z,22,FALSE)+VLOOKUP($A248,A:AL,31,FALSE)-50))</f>
        <v>292</v>
      </c>
      <c r="AG248" s="3">
        <f>IF(ISERROR(VLOOKUP($A248,'SegEnds_NonXtal_BW#'!$A:$Z,23,FALSE)+VLOOKUP($A248,A:AL,34,FALSE)-50),"-",(VLOOKUP($A248,'SegEnds_NonXtal_BW#'!$A:$Z,23,FALSE)+VLOOKUP($A248,A:AL,34,FALSE)-50))</f>
        <v>298</v>
      </c>
      <c r="AH248" s="3">
        <v>317</v>
      </c>
      <c r="AI248" s="3">
        <f>IF(ISERROR((VLOOKUP($A248,'SegEnds_NonXtal_BW#'!$A:$Z,24,FALSE)+VLOOKUP($A248,A:AL,34,FALSE)-50)),"-",(VLOOKUP($A248,'SegEnds_NonXtal_BW#'!$A:$Z,24,FALSE)+VLOOKUP($A248,A:AL,34,FALSE)-50))</f>
        <v>323</v>
      </c>
      <c r="AJ248" s="3">
        <f>IF(ISERROR(VLOOKUP($A248,'SegEnds_NonXtal_BW#'!$A:$Z,25,FALSE)+VLOOKUP($A248,A:AL,37,FALSE)-50),"-",(VLOOKUP($A248,'SegEnds_NonXtal_BW#'!$A:$Z,25,FALSE)+VLOOKUP($A248,A:AL,37,FALSE)-50))</f>
        <v>324</v>
      </c>
      <c r="AK248" s="3">
        <v>327</v>
      </c>
      <c r="AL248" s="3">
        <f>IF(ISERROR((VLOOKUP($A248,'SegEnds_NonXtal_BW#'!$A:$Z,26,FALSE)+VLOOKUP($A248,A:AL,37,FALSE)-50)),"-",(VLOOKUP($A248,'SegEnds_NonXtal_BW#'!$A:$Z,26,FALSE)+VLOOKUP($A248,A:AL,37,FALSE)-50))</f>
        <v>336</v>
      </c>
      <c r="AM248" s="28" t="str">
        <f>VLOOKUP(A248,Classification!A:B,2,FALSE)</f>
        <v>A</v>
      </c>
      <c r="AN248" s="28" t="b">
        <f t="shared" si="133"/>
        <v>1</v>
      </c>
      <c r="AO248" s="3" t="str">
        <f>IF(ISERROR(MATCH(A248,'SegEnds_Xtal_Prot#'!B:B, 0)), "NoXtal", "Xtal")</f>
        <v>NoXtal</v>
      </c>
      <c r="AP248" s="3">
        <f t="shared" si="118"/>
        <v>1</v>
      </c>
      <c r="AQ248" s="3">
        <f t="shared" si="119"/>
        <v>1</v>
      </c>
      <c r="AR248" s="3">
        <f t="shared" si="120"/>
        <v>3</v>
      </c>
      <c r="AS248" s="3">
        <f t="shared" si="121"/>
        <v>1</v>
      </c>
      <c r="AT248" s="3">
        <f t="shared" si="122"/>
        <v>1</v>
      </c>
      <c r="AU248" s="3">
        <f t="shared" si="123"/>
        <v>1</v>
      </c>
      <c r="AV248" s="3">
        <f t="shared" si="124"/>
        <v>15</v>
      </c>
      <c r="AW248" s="3">
        <f t="shared" si="125"/>
        <v>3</v>
      </c>
      <c r="AX248" s="3">
        <f t="shared" si="126"/>
        <v>26</v>
      </c>
      <c r="AY248" s="3">
        <f t="shared" si="127"/>
        <v>6</v>
      </c>
      <c r="AZ248" s="3">
        <f t="shared" si="128"/>
        <v>1</v>
      </c>
      <c r="BA248" s="3">
        <f>IF(ISERROR(LEN(VLOOKUP(A248,Seqs!A:E,2,FALSE))-AL248),"-",LEN(VLOOKUP(A248,Seqs!A:E,2,FALSE))-AL248)</f>
        <v>62</v>
      </c>
      <c r="BB248" s="16">
        <f t="shared" si="129"/>
        <v>28</v>
      </c>
      <c r="BC248" s="9">
        <f t="shared" si="130"/>
        <v>20</v>
      </c>
      <c r="BD248" s="3">
        <f t="shared" si="131"/>
        <v>28</v>
      </c>
      <c r="BE248" s="3">
        <f t="shared" si="132"/>
        <v>78</v>
      </c>
    </row>
    <row r="249" spans="1:58" s="3" customFormat="1" x14ac:dyDescent="0.2">
      <c r="A249" s="3" t="s">
        <v>395</v>
      </c>
      <c r="B249" s="3" t="str">
        <f>LOWER(VLOOKUP(A249,Xtal_Templ!A:B,2,FALSE))</f>
        <v>aa2ar_human</v>
      </c>
      <c r="C249" s="3">
        <f>VLOOKUP($A249,'SegEnds_NonXtal_BW#'!$A:$Z,3,FALSE)+D249-50</f>
        <v>409</v>
      </c>
      <c r="D249" s="3">
        <v>432</v>
      </c>
      <c r="E249" s="3">
        <f>IF(ISERROR(VLOOKUP($A249,'SegEnds_NonXtal_BW#'!$A:$Z,4,FALSE)+VLOOKUP($A249,A:AL,4,FALSE)-50),"-",(VLOOKUP($A249,'SegEnds_NonXtal_BW#'!$A:$Z,4,FALSE)+VLOOKUP($A249,A:AL,4,FALSE)-50))</f>
        <v>442</v>
      </c>
      <c r="F249" s="3">
        <f t="shared" si="146"/>
        <v>444</v>
      </c>
      <c r="G249" s="3">
        <v>446</v>
      </c>
      <c r="H249" s="3">
        <f t="shared" si="147"/>
        <v>447</v>
      </c>
      <c r="I249" s="3">
        <f t="shared" si="147"/>
        <v>448</v>
      </c>
      <c r="J249" s="3">
        <v>460</v>
      </c>
      <c r="K249" s="3">
        <f>VLOOKUP($A249,'SegEnds_NonXtal_BW#'!$A:$Z,8,FALSE)+VLOOKUP($A249,A:AL,10,FALSE)-50</f>
        <v>477</v>
      </c>
      <c r="L249" s="3">
        <f t="shared" si="142"/>
        <v>487</v>
      </c>
      <c r="M249" s="3">
        <v>488</v>
      </c>
      <c r="N249" s="3">
        <f t="shared" si="143"/>
        <v>490</v>
      </c>
      <c r="O249" s="3">
        <f t="shared" si="139"/>
        <v>491</v>
      </c>
      <c r="P249" s="3">
        <v>519</v>
      </c>
      <c r="Q249" s="3">
        <f>VLOOKUP($A249,'SegEnds_NonXtal_BW#'!$A:$Z,12,FALSE)+VLOOKUP($A249,A:AL,16,FALSE)-50</f>
        <v>525</v>
      </c>
      <c r="R249" s="3">
        <f>IF(ISERROR(VLOOKUP($A249,'SegEnds_NonXtal_BW#'!$A:$Z,13,FALSE)+VLOOKUP($A249,A:AL,19,FALSE)-50),"-",VLOOKUP($A249,'SegEnds_NonXtal_BW#'!$A:$Z,13,FALSE)+VLOOKUP($A249,A:AL,19,FALSE)-50)</f>
        <v>526</v>
      </c>
      <c r="S249" s="3">
        <v>526</v>
      </c>
      <c r="T249" s="100">
        <f>IF(ISERROR(VLOOKUP($A249,'SegEnds_NonXtal_BW#'!$A:$Z,14,FALSE)+VLOOKUP($A249,A:AL,19,FALSE)-50),"-",(VLOOKUP($A249,'SegEnds_NonXtal_BW#'!$A:$Z,14,FALSE)+VLOOKUP($A249,A:AL,19,FALSE)-50))</f>
        <v>533</v>
      </c>
      <c r="U249" s="9">
        <f>IF(ISERROR(VLOOKUP($A249,'SegEnds_NonXtal_BW#'!$A:$Z,15,FALSE)+VLOOKUP($A249,A:AL,22,FALSE)-50),"-",VLOOKUP($A249,'SegEnds_NonXtal_BW#'!$A:$Z,15,FALSE)+VLOOKUP($A249,A:AL,22,FALSE)-50)</f>
        <v>534</v>
      </c>
      <c r="V249" s="3">
        <v>546</v>
      </c>
      <c r="W249" s="3">
        <f>IF(ISERROR(VLOOKUP($A249,'SegEnds_NonXtal_BW#'!$A:$Z,16,FALSE)+VLOOKUP($A249,A:AL,22,FALSE)-50),"-",(VLOOKUP($A249,'SegEnds_NonXtal_BW#'!$A:$Z,16,FALSE)+VLOOKUP($A249,A:AL,22,FALSE)-50))</f>
        <v>559</v>
      </c>
      <c r="X249" s="3">
        <f>IF(ISERROR(VLOOKUP($A249,'SegEnds_NonXtal_BW#'!$A:$Z,17,FALSE)+VLOOKUP($A249,A:AL,25,FALSE)-50),"-",(VLOOKUP($A249,'SegEnds_NonXtal_BW#'!$A:$Z,17,FALSE)+VLOOKUP($A249,A:AL,25,FALSE)-50))</f>
        <v>569</v>
      </c>
      <c r="Y249" s="3">
        <v>569</v>
      </c>
      <c r="Z249" s="3">
        <f t="shared" si="144"/>
        <v>571</v>
      </c>
      <c r="AA249" s="3">
        <f>IF(ISERROR(VLOOKUP($A249,'SegEnds_NonXtal_BW#'!$A:$Z,19,FALSE)+VLOOKUP($A249,A:AL,28,FALSE)-50),"-",(VLOOKUP($A249,'SegEnds_NonXtal_BW#'!$A:$Z,19,FALSE)+VLOOKUP($A249,A:AL,28,FALSE)-50))</f>
        <v>577</v>
      </c>
      <c r="AB249" s="3">
        <v>593</v>
      </c>
      <c r="AC249" s="3">
        <f>IF(ISERROR((VLOOKUP($A249,'SegEnds_NonXtal_BW#'!$A:$Z,20,FALSE)+VLOOKUP($A249,A:AL,28,FALSE)-50)),"-",(VLOOKUP($A249,'SegEnds_NonXtal_BW#'!$A:$Z,20,FALSE)+VLOOKUP($A249,A:AL,28,FALSE)-50))</f>
        <v>610</v>
      </c>
      <c r="AD249" s="3">
        <f>IF(ISERROR(VLOOKUP($A249,'SegEnds_NonXtal_BW#'!$A:$Z,21,FALSE)+VLOOKUP($A249,A:AL,31,FALSE)-50),"-",(VLOOKUP($A249,'SegEnds_NonXtal_BW#'!$A:$Z,21,FALSE)+VLOOKUP($A249,A:AL,31,FALSE)-50))</f>
        <v>615</v>
      </c>
      <c r="AE249" s="3">
        <v>639</v>
      </c>
      <c r="AF249" s="3">
        <f>IF(ISERROR((VLOOKUP($A249,'SegEnds_NonXtal_BW#'!$A:$Z,22,FALSE)+VLOOKUP($A249,A:AL,31,FALSE)-50)),"-",(VLOOKUP($A249,'SegEnds_NonXtal_BW#'!$A:$Z,22,FALSE)+VLOOKUP($A249,A:AL,31,FALSE)-50))</f>
        <v>650</v>
      </c>
      <c r="AG249" s="3">
        <f>IF(ISERROR(VLOOKUP($A249,'SegEnds_NonXtal_BW#'!$A:$Z,23,FALSE)+VLOOKUP($A249,A:AL,34,FALSE)-50),"-",(VLOOKUP($A249,'SegEnds_NonXtal_BW#'!$A:$Z,23,FALSE)+VLOOKUP($A249,A:AL,34,FALSE)-50))</f>
        <v>656</v>
      </c>
      <c r="AH249" s="3">
        <v>675</v>
      </c>
      <c r="AI249" s="3">
        <f>IF(ISERROR((VLOOKUP($A249,'SegEnds_NonXtal_BW#'!$A:$Z,24,FALSE)+VLOOKUP($A249,A:AL,34,FALSE)-50)),"-",(VLOOKUP($A249,'SegEnds_NonXtal_BW#'!$A:$Z,24,FALSE)+VLOOKUP($A249,A:AL,34,FALSE)-50))</f>
        <v>681</v>
      </c>
      <c r="AJ249" s="3">
        <f>IF(ISERROR(VLOOKUP($A249,'SegEnds_NonXtal_BW#'!$A:$Z,25,FALSE)+VLOOKUP($A249,A:AL,37,FALSE)-50),"-",(VLOOKUP($A249,'SegEnds_NonXtal_BW#'!$A:$Z,25,FALSE)+VLOOKUP($A249,A:AL,37,FALSE)-50))</f>
        <v>682</v>
      </c>
      <c r="AK249" s="3">
        <v>685</v>
      </c>
      <c r="AL249" s="3">
        <f>IF(ISERROR((VLOOKUP($A249,'SegEnds_NonXtal_BW#'!$A:$Z,26,FALSE)+VLOOKUP($A249,A:AL,37,FALSE)-50)),"-",(VLOOKUP($A249,'SegEnds_NonXtal_BW#'!$A:$Z,26,FALSE)+VLOOKUP($A249,A:AL,37,FALSE)-50))</f>
        <v>704</v>
      </c>
      <c r="AM249" s="28" t="str">
        <f>VLOOKUP(A249,Classification!A:B,2,FALSE)</f>
        <v>A</v>
      </c>
      <c r="AN249" s="28" t="b">
        <f t="shared" si="133"/>
        <v>1</v>
      </c>
      <c r="AO249" s="3" t="str">
        <f>IF(ISERROR(MATCH(A249,'SegEnds_Xtal_Prot#'!B:B, 0)), "NoXtal", "Xtal")</f>
        <v>NoXtal</v>
      </c>
      <c r="AP249" s="3">
        <f t="shared" si="118"/>
        <v>2</v>
      </c>
      <c r="AQ249" s="3">
        <f t="shared" si="119"/>
        <v>1</v>
      </c>
      <c r="AR249" s="3">
        <f t="shared" si="120"/>
        <v>10</v>
      </c>
      <c r="AS249" s="3">
        <f t="shared" si="121"/>
        <v>1</v>
      </c>
      <c r="AT249" s="3">
        <f t="shared" si="122"/>
        <v>1</v>
      </c>
      <c r="AU249" s="3">
        <f t="shared" si="123"/>
        <v>1</v>
      </c>
      <c r="AV249" s="3">
        <f t="shared" si="124"/>
        <v>10</v>
      </c>
      <c r="AW249" s="3">
        <f t="shared" si="125"/>
        <v>6</v>
      </c>
      <c r="AX249" s="3">
        <f t="shared" si="126"/>
        <v>5</v>
      </c>
      <c r="AY249" s="3">
        <f t="shared" si="127"/>
        <v>6</v>
      </c>
      <c r="AZ249" s="3">
        <f t="shared" si="128"/>
        <v>1</v>
      </c>
      <c r="BA249" s="3">
        <f>IF(ISERROR(LEN(VLOOKUP(A249,Seqs!A:E,2,FALSE))-AL249),"-",LEN(VLOOKUP(A249,Seqs!A:E,2,FALSE))-AL249)</f>
        <v>60</v>
      </c>
      <c r="BB249" s="16">
        <f t="shared" si="129"/>
        <v>28</v>
      </c>
      <c r="BC249" s="9">
        <f t="shared" si="130"/>
        <v>20</v>
      </c>
      <c r="BD249" s="3">
        <f t="shared" si="131"/>
        <v>28</v>
      </c>
      <c r="BE249" s="3">
        <f t="shared" si="132"/>
        <v>46</v>
      </c>
    </row>
    <row r="250" spans="1:58" s="3" customFormat="1" x14ac:dyDescent="0.2">
      <c r="A250" s="3" t="s">
        <v>399</v>
      </c>
      <c r="B250" s="3" t="str">
        <f>LOWER(VLOOKUP(A250,Xtal_Templ!A:B,2,FALSE))</f>
        <v>ntr1_rat</v>
      </c>
      <c r="C250" s="3">
        <f>VLOOKUP($A250,'SegEnds_NonXtal_BW#'!$A:$Z,3,FALSE)+D250-50</f>
        <v>34</v>
      </c>
      <c r="D250" s="3">
        <v>55</v>
      </c>
      <c r="E250" s="3">
        <f>IF(ISERROR(VLOOKUP($A250,'SegEnds_NonXtal_BW#'!$A:$Z,4,FALSE)+VLOOKUP($A250,A:AL,4,FALSE)-50),"-",(VLOOKUP($A250,'SegEnds_NonXtal_BW#'!$A:$Z,4,FALSE)+VLOOKUP($A250,A:AL,4,FALSE)-50))</f>
        <v>65</v>
      </c>
      <c r="F250" s="3">
        <f t="shared" si="146"/>
        <v>67</v>
      </c>
      <c r="G250" s="3">
        <v>69</v>
      </c>
      <c r="H250" s="3">
        <f t="shared" si="147"/>
        <v>70</v>
      </c>
      <c r="I250" s="3">
        <f t="shared" si="147"/>
        <v>71</v>
      </c>
      <c r="J250" s="3">
        <v>85</v>
      </c>
      <c r="K250" s="3">
        <f>VLOOKUP($A250,'SegEnds_NonXtal_BW#'!$A:$Z,8,FALSE)+VLOOKUP($A250,A:AL,10,FALSE)-50</f>
        <v>101</v>
      </c>
      <c r="L250" s="3">
        <f t="shared" si="142"/>
        <v>102</v>
      </c>
      <c r="M250" s="3">
        <v>103</v>
      </c>
      <c r="N250" s="3">
        <f t="shared" si="143"/>
        <v>105</v>
      </c>
      <c r="O250" s="3">
        <f t="shared" si="139"/>
        <v>106</v>
      </c>
      <c r="P250" s="3">
        <v>137</v>
      </c>
      <c r="Q250" s="3">
        <f>VLOOKUP($A250,'SegEnds_NonXtal_BW#'!$A:$Z,12,FALSE)+VLOOKUP($A250,A:AL,16,FALSE)-50</f>
        <v>143</v>
      </c>
      <c r="R250" s="3">
        <f>IF(ISERROR(VLOOKUP($A250,'SegEnds_NonXtal_BW#'!$A:$Z,13,FALSE)+VLOOKUP($A250,A:AL,19,FALSE)-50),"-",VLOOKUP($A250,'SegEnds_NonXtal_BW#'!$A:$Z,13,FALSE)+VLOOKUP($A250,A:AL,19,FALSE)-50)</f>
        <v>144</v>
      </c>
      <c r="S250" s="3">
        <v>144</v>
      </c>
      <c r="T250" s="100">
        <f>IF(ISERROR(VLOOKUP($A250,'SegEnds_NonXtal_BW#'!$A:$Z,14,FALSE)+VLOOKUP($A250,A:AL,19,FALSE)-50),"-",(VLOOKUP($A250,'SegEnds_NonXtal_BW#'!$A:$Z,14,FALSE)+VLOOKUP($A250,A:AL,19,FALSE)-50))</f>
        <v>151</v>
      </c>
      <c r="U250" s="9">
        <f>IF(ISERROR(VLOOKUP($A250,'SegEnds_NonXtal_BW#'!$A:$Z,15,FALSE)+VLOOKUP($A250,A:AL,22,FALSE)-50),"-",VLOOKUP($A250,'SegEnds_NonXtal_BW#'!$A:$Z,15,FALSE)+VLOOKUP($A250,A:AL,22,FALSE)-50)</f>
        <v>152</v>
      </c>
      <c r="V250" s="3">
        <v>164</v>
      </c>
      <c r="W250" s="3">
        <f>IF(ISERROR(VLOOKUP($A250,'SegEnds_NonXtal_BW#'!$A:$Z,16,FALSE)+VLOOKUP($A250,A:AL,22,FALSE)-50),"-",(VLOOKUP($A250,'SegEnds_NonXtal_BW#'!$A:$Z,16,FALSE)+VLOOKUP($A250,A:AL,22,FALSE)-50))</f>
        <v>178</v>
      </c>
      <c r="X250" s="3">
        <f>IF(ISERROR(VLOOKUP($A250,'SegEnds_NonXtal_BW#'!$A:$Z,17,FALSE)+VLOOKUP($A250,A:AL,25,FALSE)-50),"-",(VLOOKUP($A250,'SegEnds_NonXtal_BW#'!$A:$Z,17,FALSE)+VLOOKUP($A250,A:AL,25,FALSE)-50))</f>
        <v>192</v>
      </c>
      <c r="Y250" s="3">
        <v>192</v>
      </c>
      <c r="Z250" s="3">
        <f t="shared" si="144"/>
        <v>194</v>
      </c>
      <c r="AA250" s="3">
        <f>IF(ISERROR(VLOOKUP($A250,'SegEnds_NonXtal_BW#'!$A:$Z,19,FALSE)+VLOOKUP($A250,A:AL,28,FALSE)-50),"-",(VLOOKUP($A250,'SegEnds_NonXtal_BW#'!$A:$Z,19,FALSE)+VLOOKUP($A250,A:AL,28,FALSE)-50))</f>
        <v>199</v>
      </c>
      <c r="AB250" s="3">
        <v>217</v>
      </c>
      <c r="AC250" s="3">
        <f>IF(ISERROR((VLOOKUP($A250,'SegEnds_NonXtal_BW#'!$A:$Z,20,FALSE)+VLOOKUP($A250,A:AL,28,FALSE)-50)),"-",(VLOOKUP($A250,'SegEnds_NonXtal_BW#'!$A:$Z,20,FALSE)+VLOOKUP($A250,A:AL,28,FALSE)-50))</f>
        <v>243</v>
      </c>
      <c r="AD250" s="3">
        <f>IF(ISERROR(VLOOKUP($A250,'SegEnds_NonXtal_BW#'!$A:$Z,21,FALSE)+VLOOKUP($A250,A:AL,31,FALSE)-50),"-",(VLOOKUP($A250,'SegEnds_NonXtal_BW#'!$A:$Z,21,FALSE)+VLOOKUP($A250,A:AL,31,FALSE)-50))</f>
        <v>260</v>
      </c>
      <c r="AE250" s="3">
        <v>286</v>
      </c>
      <c r="AF250" s="3">
        <f>IF(ISERROR((VLOOKUP($A250,'SegEnds_NonXtal_BW#'!$A:$Z,22,FALSE)+VLOOKUP($A250,A:AL,31,FALSE)-50)),"-",(VLOOKUP($A250,'SegEnds_NonXtal_BW#'!$A:$Z,22,FALSE)+VLOOKUP($A250,A:AL,31,FALSE)-50))</f>
        <v>297</v>
      </c>
      <c r="AG250" s="3">
        <f>IF(ISERROR(VLOOKUP($A250,'SegEnds_NonXtal_BW#'!$A:$Z,23,FALSE)+VLOOKUP($A250,A:AL,34,FALSE)-50),"-",(VLOOKUP($A250,'SegEnds_NonXtal_BW#'!$A:$Z,23,FALSE)+VLOOKUP($A250,A:AL,34,FALSE)-50))</f>
        <v>303</v>
      </c>
      <c r="AH250" s="3">
        <v>322</v>
      </c>
      <c r="AI250" s="3">
        <f>IF(ISERROR((VLOOKUP($A250,'SegEnds_NonXtal_BW#'!$A:$Z,24,FALSE)+VLOOKUP($A250,A:AL,34,FALSE)-50)),"-",(VLOOKUP($A250,'SegEnds_NonXtal_BW#'!$A:$Z,24,FALSE)+VLOOKUP($A250,A:AL,34,FALSE)-50))</f>
        <v>328</v>
      </c>
      <c r="AJ250" s="3">
        <f>IF(ISERROR(VLOOKUP($A250,'SegEnds_NonXtal_BW#'!$A:$Z,25,FALSE)+VLOOKUP($A250,A:AL,37,FALSE)-50),"-",(VLOOKUP($A250,'SegEnds_NonXtal_BW#'!$A:$Z,25,FALSE)+VLOOKUP($A250,A:AL,37,FALSE)-50))</f>
        <v>329</v>
      </c>
      <c r="AK250" s="3">
        <v>332</v>
      </c>
      <c r="AL250" s="3">
        <f>IF(ISERROR((VLOOKUP($A250,'SegEnds_NonXtal_BW#'!$A:$Z,26,FALSE)+VLOOKUP($A250,A:AL,37,FALSE)-50)),"-",(VLOOKUP($A250,'SegEnds_NonXtal_BW#'!$A:$Z,26,FALSE)+VLOOKUP($A250,A:AL,37,FALSE)-50))</f>
        <v>340</v>
      </c>
      <c r="AM250" s="28" t="str">
        <f>VLOOKUP(A250,Classification!A:B,2,FALSE)</f>
        <v>A</v>
      </c>
      <c r="AN250" s="28" t="b">
        <f t="shared" si="133"/>
        <v>1</v>
      </c>
      <c r="AO250" s="3" t="str">
        <f>IF(ISERROR(MATCH(A250,'SegEnds_Xtal_Prot#'!B:B, 0)), "NoXtal", "Xtal")</f>
        <v>NoXtal</v>
      </c>
      <c r="AP250" s="3">
        <f t="shared" si="118"/>
        <v>2</v>
      </c>
      <c r="AQ250" s="3">
        <f t="shared" si="119"/>
        <v>1</v>
      </c>
      <c r="AR250" s="3">
        <f t="shared" si="120"/>
        <v>1</v>
      </c>
      <c r="AS250" s="3">
        <f t="shared" si="121"/>
        <v>1</v>
      </c>
      <c r="AT250" s="3">
        <f t="shared" si="122"/>
        <v>1</v>
      </c>
      <c r="AU250" s="3">
        <f t="shared" si="123"/>
        <v>1</v>
      </c>
      <c r="AV250" s="3">
        <f t="shared" si="124"/>
        <v>14</v>
      </c>
      <c r="AW250" s="3">
        <f t="shared" si="125"/>
        <v>5</v>
      </c>
      <c r="AX250" s="3">
        <f t="shared" si="126"/>
        <v>17</v>
      </c>
      <c r="AY250" s="3">
        <f t="shared" si="127"/>
        <v>6</v>
      </c>
      <c r="AZ250" s="3">
        <f t="shared" si="128"/>
        <v>1</v>
      </c>
      <c r="BA250" s="3">
        <f>IF(ISERROR(LEN(VLOOKUP(A250,Seqs!A:E,2,FALSE))-AL250),"-",LEN(VLOOKUP(A250,Seqs!A:E,2,FALSE))-AL250)</f>
        <v>31</v>
      </c>
      <c r="BB250" s="16">
        <f t="shared" si="129"/>
        <v>30</v>
      </c>
      <c r="BC250" s="9">
        <f t="shared" si="130"/>
        <v>20</v>
      </c>
      <c r="BD250" s="3">
        <f t="shared" si="131"/>
        <v>30</v>
      </c>
      <c r="BE250" s="3">
        <f t="shared" si="132"/>
        <v>69</v>
      </c>
    </row>
    <row r="251" spans="1:58" s="3" customFormat="1" x14ac:dyDescent="0.2">
      <c r="A251" s="3" t="s">
        <v>400</v>
      </c>
      <c r="B251" s="3" t="str">
        <f>LOWER(VLOOKUP(A251,Xtal_Templ!A:B,2,FALSE))</f>
        <v>ccr5_human</v>
      </c>
      <c r="C251" s="3">
        <f>VLOOKUP($A251,'SegEnds_NonXtal_BW#'!$A:$Z,3,FALSE)+D251-50</f>
        <v>23</v>
      </c>
      <c r="D251" s="3">
        <v>49</v>
      </c>
      <c r="E251" s="3">
        <f>IF(ISERROR(VLOOKUP($A251,'SegEnds_NonXtal_BW#'!$A:$Z,4,FALSE)+VLOOKUP($A251,A:AL,4,FALSE)-50),"-",(VLOOKUP($A251,'SegEnds_NonXtal_BW#'!$A:$Z,4,FALSE)+VLOOKUP($A251,A:AL,4,FALSE)-50))</f>
        <v>59</v>
      </c>
      <c r="F251" s="3">
        <f t="shared" si="146"/>
        <v>60</v>
      </c>
      <c r="G251" s="3">
        <v>62</v>
      </c>
      <c r="H251" s="3">
        <f t="shared" si="147"/>
        <v>63</v>
      </c>
      <c r="I251" s="3">
        <f t="shared" si="147"/>
        <v>64</v>
      </c>
      <c r="J251" s="3">
        <v>77</v>
      </c>
      <c r="K251" s="3">
        <f>VLOOKUP($A251,'SegEnds_NonXtal_BW#'!$A:$Z,8,FALSE)+VLOOKUP($A251,A:AL,10,FALSE)-50</f>
        <v>93</v>
      </c>
      <c r="L251" s="3">
        <f t="shared" si="142"/>
        <v>94</v>
      </c>
      <c r="M251" s="3">
        <v>95</v>
      </c>
      <c r="N251" s="3">
        <f t="shared" si="143"/>
        <v>97</v>
      </c>
      <c r="O251" s="3">
        <f t="shared" si="139"/>
        <v>98</v>
      </c>
      <c r="P251" s="3">
        <v>127</v>
      </c>
      <c r="Q251" s="3">
        <f>VLOOKUP($A251,'SegEnds_NonXtal_BW#'!$A:$Z,12,FALSE)+VLOOKUP($A251,A:AL,16,FALSE)-50</f>
        <v>133</v>
      </c>
      <c r="R251" s="3">
        <f>IF(ISERROR(VLOOKUP($A251,'SegEnds_NonXtal_BW#'!$A:$Z,13,FALSE)+VLOOKUP($A251,A:AL,19,FALSE)-50),"-",VLOOKUP($A251,'SegEnds_NonXtal_BW#'!$A:$Z,13,FALSE)+VLOOKUP($A251,A:AL,19,FALSE)-50)</f>
        <v>134</v>
      </c>
      <c r="S251" s="3">
        <v>134</v>
      </c>
      <c r="T251" s="100">
        <f>IF(ISERROR(VLOOKUP($A251,'SegEnds_NonXtal_BW#'!$A:$Z,14,FALSE)+VLOOKUP($A251,A:AL,19,FALSE)-50),"-",(VLOOKUP($A251,'SegEnds_NonXtal_BW#'!$A:$Z,14,FALSE)+VLOOKUP($A251,A:AL,19,FALSE)-50))</f>
        <v>141</v>
      </c>
      <c r="U251" s="9">
        <f>IF(ISERROR(VLOOKUP($A251,'SegEnds_NonXtal_BW#'!$A:$Z,15,FALSE)+VLOOKUP($A251,A:AL,22,FALSE)-50),"-",VLOOKUP($A251,'SegEnds_NonXtal_BW#'!$A:$Z,15,FALSE)+VLOOKUP($A251,A:AL,22,FALSE)-50)</f>
        <v>142</v>
      </c>
      <c r="V251" s="3">
        <v>154</v>
      </c>
      <c r="W251" s="3">
        <f>IF(ISERROR(VLOOKUP($A251,'SegEnds_NonXtal_BW#'!$A:$Z,16,FALSE)+VLOOKUP($A251,A:AL,22,FALSE)-50),"-",(VLOOKUP($A251,'SegEnds_NonXtal_BW#'!$A:$Z,16,FALSE)+VLOOKUP($A251,A:AL,22,FALSE)-50))</f>
        <v>168</v>
      </c>
      <c r="X251" s="3">
        <f>IF(ISERROR(VLOOKUP($A251,'SegEnds_NonXtal_BW#'!$A:$Z,17,FALSE)+VLOOKUP($A251,A:AL,25,FALSE)-50),"-",(VLOOKUP($A251,'SegEnds_NonXtal_BW#'!$A:$Z,17,FALSE)+VLOOKUP($A251,A:AL,25,FALSE)-50))</f>
        <v>175</v>
      </c>
      <c r="Y251" s="3">
        <v>175</v>
      </c>
      <c r="Z251" s="3">
        <f t="shared" si="144"/>
        <v>177</v>
      </c>
      <c r="AA251" s="3">
        <f>IF(ISERROR(VLOOKUP($A251,'SegEnds_NonXtal_BW#'!$A:$Z,19,FALSE)+VLOOKUP($A251,A:AL,28,FALSE)-50),"-",(VLOOKUP($A251,'SegEnds_NonXtal_BW#'!$A:$Z,19,FALSE)+VLOOKUP($A251,A:AL,28,FALSE)-50))</f>
        <v>182</v>
      </c>
      <c r="AB251" s="3">
        <v>197</v>
      </c>
      <c r="AC251" s="3">
        <f>IF(ISERROR((VLOOKUP($A251,'SegEnds_NonXtal_BW#'!$A:$Z,20,FALSE)+VLOOKUP($A251,A:AL,28,FALSE)-50)),"-",(VLOOKUP($A251,'SegEnds_NonXtal_BW#'!$A:$Z,20,FALSE)+VLOOKUP($A251,A:AL,28,FALSE)-50))</f>
        <v>215</v>
      </c>
      <c r="AD251" s="3">
        <f>IF(ISERROR(VLOOKUP($A251,'SegEnds_NonXtal_BW#'!$A:$Z,21,FALSE)+VLOOKUP($A251,A:AL,31,FALSE)-50),"-",(VLOOKUP($A251,'SegEnds_NonXtal_BW#'!$A:$Z,21,FALSE)+VLOOKUP($A251,A:AL,31,FALSE)-50))</f>
        <v>220</v>
      </c>
      <c r="AE251" s="3">
        <v>240</v>
      </c>
      <c r="AF251" s="3">
        <f>IF(ISERROR((VLOOKUP($A251,'SegEnds_NonXtal_BW#'!$A:$Z,22,FALSE)+VLOOKUP($A251,A:AL,31,FALSE)-50)),"-",(VLOOKUP($A251,'SegEnds_NonXtal_BW#'!$A:$Z,22,FALSE)+VLOOKUP($A251,A:AL,31,FALSE)-50))</f>
        <v>254</v>
      </c>
      <c r="AG251" s="3">
        <f>IF(ISERROR(VLOOKUP($A251,'SegEnds_NonXtal_BW#'!$A:$Z,23,FALSE)+VLOOKUP($A251,A:AL,34,FALSE)-50),"-",(VLOOKUP($A251,'SegEnds_NonXtal_BW#'!$A:$Z,23,FALSE)+VLOOKUP($A251,A:AL,34,FALSE)-50))</f>
        <v>258</v>
      </c>
      <c r="AH251" s="3">
        <v>284</v>
      </c>
      <c r="AI251" s="3">
        <f>IF(ISERROR((VLOOKUP($A251,'SegEnds_NonXtal_BW#'!$A:$Z,24,FALSE)+VLOOKUP($A251,A:AL,34,FALSE)-50)),"-",(VLOOKUP($A251,'SegEnds_NonXtal_BW#'!$A:$Z,24,FALSE)+VLOOKUP($A251,A:AL,34,FALSE)-50))</f>
        <v>290</v>
      </c>
      <c r="AJ251" s="3">
        <f>IF(ISERROR(VLOOKUP($A251,'SegEnds_NonXtal_BW#'!$A:$Z,25,FALSE)+VLOOKUP($A251,A:AL,37,FALSE)-50),"-",(VLOOKUP($A251,'SegEnds_NonXtal_BW#'!$A:$Z,25,FALSE)+VLOOKUP($A251,A:AL,37,FALSE)-50))</f>
        <v>291</v>
      </c>
      <c r="AK251" s="3">
        <v>294</v>
      </c>
      <c r="AL251" s="3">
        <f>IF(ISERROR((VLOOKUP($A251,'SegEnds_NonXtal_BW#'!$A:$Z,26,FALSE)+VLOOKUP($A251,A:AL,37,FALSE)-50)),"-",(VLOOKUP($A251,'SegEnds_NonXtal_BW#'!$A:$Z,26,FALSE)+VLOOKUP($A251,A:AL,37,FALSE)-50))</f>
        <v>303</v>
      </c>
      <c r="AM251" s="28" t="str">
        <f>VLOOKUP(A251,Classification!A:B,2,FALSE)</f>
        <v>A</v>
      </c>
      <c r="AN251" s="28" t="b">
        <f t="shared" si="133"/>
        <v>1</v>
      </c>
      <c r="AO251" s="3" t="str">
        <f>IF(ISERROR(MATCH(A251,'SegEnds_Xtal_Prot#'!B:B, 0)), "NoXtal", "Xtal")</f>
        <v>NoXtal</v>
      </c>
      <c r="AP251" s="3">
        <f t="shared" si="118"/>
        <v>1</v>
      </c>
      <c r="AQ251" s="3">
        <f t="shared" si="119"/>
        <v>1</v>
      </c>
      <c r="AR251" s="3">
        <f t="shared" si="120"/>
        <v>1</v>
      </c>
      <c r="AS251" s="3">
        <f t="shared" si="121"/>
        <v>1</v>
      </c>
      <c r="AT251" s="3">
        <f t="shared" si="122"/>
        <v>1</v>
      </c>
      <c r="AU251" s="3">
        <f t="shared" si="123"/>
        <v>1</v>
      </c>
      <c r="AV251" s="3">
        <f t="shared" si="124"/>
        <v>7</v>
      </c>
      <c r="AW251" s="3">
        <f t="shared" si="125"/>
        <v>5</v>
      </c>
      <c r="AX251" s="3">
        <f t="shared" si="126"/>
        <v>5</v>
      </c>
      <c r="AY251" s="3">
        <f t="shared" si="127"/>
        <v>4</v>
      </c>
      <c r="AZ251" s="3">
        <f t="shared" si="128"/>
        <v>1</v>
      </c>
      <c r="BA251" s="3">
        <f>IF(ISERROR(LEN(VLOOKUP(A251,Seqs!A:E,2,FALSE))-AL251),"-",LEN(VLOOKUP(A251,Seqs!A:E,2,FALSE))-AL251)</f>
        <v>30</v>
      </c>
      <c r="BB251" s="16">
        <f t="shared" si="129"/>
        <v>28</v>
      </c>
      <c r="BC251" s="9">
        <f t="shared" si="130"/>
        <v>20</v>
      </c>
      <c r="BD251" s="3">
        <f t="shared" si="131"/>
        <v>28</v>
      </c>
      <c r="BE251" s="3">
        <f t="shared" si="132"/>
        <v>43</v>
      </c>
    </row>
    <row r="252" spans="1:58" s="3" customFormat="1" x14ac:dyDescent="0.2">
      <c r="A252" s="3" t="s">
        <v>178</v>
      </c>
      <c r="B252" s="3" t="str">
        <f>LOWER(VLOOKUP(A252,Xtal_Templ!A:B,2,FALSE))</f>
        <v>ccr5_human</v>
      </c>
      <c r="C252" s="3">
        <f>VLOOKUP($A252,'SegEnds_NonXtal_BW#'!$A:$Z,3,FALSE)+D252-50</f>
        <v>30</v>
      </c>
      <c r="D252" s="3">
        <v>56</v>
      </c>
      <c r="E252" s="3">
        <f>IF(ISERROR(VLOOKUP($A252,'SegEnds_NonXtal_BW#'!$A:$Z,4,FALSE)+VLOOKUP($A252,A:AL,4,FALSE)-50),"-",(VLOOKUP($A252,'SegEnds_NonXtal_BW#'!$A:$Z,4,FALSE)+VLOOKUP($A252,A:AL,4,FALSE)-50))</f>
        <v>66</v>
      </c>
      <c r="F252" s="3">
        <f t="shared" si="146"/>
        <v>67</v>
      </c>
      <c r="G252" s="3">
        <v>69</v>
      </c>
      <c r="H252" s="3">
        <f t="shared" si="147"/>
        <v>70</v>
      </c>
      <c r="I252" s="3">
        <f t="shared" si="147"/>
        <v>71</v>
      </c>
      <c r="J252" s="3">
        <v>84</v>
      </c>
      <c r="K252" s="3">
        <f>VLOOKUP($A252,'SegEnds_NonXtal_BW#'!$A:$Z,8,FALSE)+VLOOKUP($A252,A:AL,10,FALSE)-50</f>
        <v>97</v>
      </c>
      <c r="L252" s="3" t="str">
        <f>IF(ISERROR(VLOOKUP($A252,'SegEnds_NonXtal_BW#'!$A:$Z,9,FALSE)+VLOOKUP($A252,A:AL,13,FALSE)-50),"-",(VLOOKUP($A252,'SegEnds_NonXtal_BW#'!$A:$Z,9,FALSE)+VLOOKUP($A252,A:AL,13,FALSE)-50))</f>
        <v>-</v>
      </c>
      <c r="M252" s="3" t="s">
        <v>23</v>
      </c>
      <c r="N252" s="3" t="str">
        <f>IF(ISERROR(VLOOKUP($A252,'SegEnds_NonXtal_BW#'!$A:$Z,10,FALSE)+VLOOKUP($A252,A:AL,13,FALSE)-50),"-",(VLOOKUP($A252,'SegEnds_NonXtal_BW#'!$A:$Z,10,FALSE)+VLOOKUP($A252,A:AL,13,FALSE)-50))</f>
        <v>-</v>
      </c>
      <c r="O252" s="3">
        <f>VLOOKUP($A252,'SegEnds_NonXtal_BW#'!$A:$Z,11,FALSE)+VLOOKUP($A252,A:AL,16,FALSE)-50</f>
        <v>102</v>
      </c>
      <c r="P252" s="3">
        <v>128</v>
      </c>
      <c r="Q252" s="3">
        <f>VLOOKUP($A252,'SegEnds_NonXtal_BW#'!$A:$Z,12,FALSE)+VLOOKUP($A252,A:AL,16,FALSE)-50</f>
        <v>134</v>
      </c>
      <c r="R252" s="3">
        <f>IF(ISERROR(VLOOKUP($A252,'SegEnds_NonXtal_BW#'!$A:$Z,13,FALSE)+VLOOKUP($A252,A:AL,19,FALSE)-50),"-",VLOOKUP($A252,'SegEnds_NonXtal_BW#'!$A:$Z,13,FALSE)+VLOOKUP($A252,A:AL,19,FALSE)-50)</f>
        <v>135</v>
      </c>
      <c r="S252" s="3">
        <v>135</v>
      </c>
      <c r="T252" s="100">
        <f>IF(ISERROR(VLOOKUP($A252,'SegEnds_NonXtal_BW#'!$A:$Z,14,FALSE)+VLOOKUP($A252,A:AL,19,FALSE)-50),"-",(VLOOKUP($A252,'SegEnds_NonXtal_BW#'!$A:$Z,14,FALSE)+VLOOKUP($A252,A:AL,19,FALSE)-50))</f>
        <v>143</v>
      </c>
      <c r="U252" s="9">
        <f>IF(ISERROR(VLOOKUP($A252,'SegEnds_NonXtal_BW#'!$A:$Z,15,FALSE)+VLOOKUP($A252,A:AL,22,FALSE)-50),"-",VLOOKUP($A252,'SegEnds_NonXtal_BW#'!$A:$Z,15,FALSE)+VLOOKUP($A252,A:AL,22,FALSE)-50)</f>
        <v>144</v>
      </c>
      <c r="V252" s="3">
        <v>156</v>
      </c>
      <c r="W252" s="3">
        <f>IF(ISERROR(VLOOKUP($A252,'SegEnds_NonXtal_BW#'!$A:$Z,16,FALSE)+VLOOKUP($A252,A:AL,22,FALSE)-50),"-",(VLOOKUP($A252,'SegEnds_NonXtal_BW#'!$A:$Z,16,FALSE)+VLOOKUP($A252,A:AL,22,FALSE)-50))</f>
        <v>170</v>
      </c>
      <c r="X252" s="3">
        <f>IF(ISERROR(VLOOKUP($A252,'SegEnds_NonXtal_BW#'!$A:$Z,17,FALSE)+VLOOKUP($A252,A:AL,25,FALSE)-50),"-",(VLOOKUP($A252,'SegEnds_NonXtal_BW#'!$A:$Z,17,FALSE)+VLOOKUP($A252,A:AL,25,FALSE)-50))</f>
        <v>181</v>
      </c>
      <c r="Y252" s="3">
        <v>181</v>
      </c>
      <c r="Z252" s="3">
        <f t="shared" si="144"/>
        <v>183</v>
      </c>
      <c r="AA252" s="3">
        <f>IF(ISERROR(VLOOKUP($A252,'SegEnds_NonXtal_BW#'!$A:$Z,19,FALSE)+VLOOKUP($A252,A:AL,28,FALSE)-50),"-",(VLOOKUP($A252,'SegEnds_NonXtal_BW#'!$A:$Z,19,FALSE)+VLOOKUP($A252,A:AL,28,FALSE)-50))</f>
        <v>192</v>
      </c>
      <c r="AB252" s="3">
        <v>212</v>
      </c>
      <c r="AC252" s="3">
        <f>IF(ISERROR((VLOOKUP($A252,'SegEnds_NonXtal_BW#'!$A:$Z,20,FALSE)+VLOOKUP($A252,A:AL,28,FALSE)-50)),"-",(VLOOKUP($A252,'SegEnds_NonXtal_BW#'!$A:$Z,20,FALSE)+VLOOKUP($A252,A:AL,28,FALSE)-50))</f>
        <v>229</v>
      </c>
      <c r="AD252" s="3">
        <f>IF(ISERROR(VLOOKUP($A252,'SegEnds_NonXtal_BW#'!$A:$Z,21,FALSE)+VLOOKUP($A252,A:AL,31,FALSE)-50),"-",(VLOOKUP($A252,'SegEnds_NonXtal_BW#'!$A:$Z,21,FALSE)+VLOOKUP($A252,A:AL,31,FALSE)-50))</f>
        <v>233</v>
      </c>
      <c r="AE252" s="3">
        <v>253</v>
      </c>
      <c r="AF252" s="3">
        <f>IF(ISERROR((VLOOKUP($A252,'SegEnds_NonXtal_BW#'!$A:$Z,22,FALSE)+VLOOKUP($A252,A:AL,31,FALSE)-50)),"-",(VLOOKUP($A252,'SegEnds_NonXtal_BW#'!$A:$Z,22,FALSE)+VLOOKUP($A252,A:AL,31,FALSE)-50))</f>
        <v>267</v>
      </c>
      <c r="AG252" s="3">
        <f>IF(ISERROR(VLOOKUP($A252,'SegEnds_NonXtal_BW#'!$A:$Z,23,FALSE)+VLOOKUP($A252,A:AL,34,FALSE)-50),"-",(VLOOKUP($A252,'SegEnds_NonXtal_BW#'!$A:$Z,23,FALSE)+VLOOKUP($A252,A:AL,34,FALSE)-50))</f>
        <v>271</v>
      </c>
      <c r="AH252" s="3">
        <v>297</v>
      </c>
      <c r="AI252" s="3">
        <f>IF(ISERROR((VLOOKUP($A252,'SegEnds_NonXtal_BW#'!$A:$Z,24,FALSE)+VLOOKUP($A252,A:AL,34,FALSE)-50)),"-",(VLOOKUP($A252,'SegEnds_NonXtal_BW#'!$A:$Z,24,FALSE)+VLOOKUP($A252,A:AL,34,FALSE)-50))</f>
        <v>303</v>
      </c>
      <c r="AJ252" s="3">
        <f>IF(ISERROR(VLOOKUP($A252,'SegEnds_NonXtal_BW#'!$A:$Z,25,FALSE)+VLOOKUP($A252,A:AL,37,FALSE)-50),"-",(VLOOKUP($A252,'SegEnds_NonXtal_BW#'!$A:$Z,25,FALSE)+VLOOKUP($A252,A:AL,37,FALSE)-50))</f>
        <v>304</v>
      </c>
      <c r="AK252" s="3">
        <v>307</v>
      </c>
      <c r="AL252" s="3">
        <f>IF(ISERROR((VLOOKUP($A252,'SegEnds_NonXtal_BW#'!$A:$Z,26,FALSE)+VLOOKUP($A252,A:AL,37,FALSE)-50)),"-",(VLOOKUP($A252,'SegEnds_NonXtal_BW#'!$A:$Z,26,FALSE)+VLOOKUP($A252,A:AL,37,FALSE)-50))</f>
        <v>316</v>
      </c>
      <c r="AM252" s="28" t="str">
        <f>VLOOKUP(A252,Classification!A:B,2,FALSE)</f>
        <v>A</v>
      </c>
      <c r="AN252" s="28" t="b">
        <f t="shared" si="133"/>
        <v>1</v>
      </c>
      <c r="AO252" s="3" t="str">
        <f>IF(ISERROR(MATCH(A252,'SegEnds_Xtal_Prot#'!B:B, 0)), "NoXtal", "Xtal")</f>
        <v>NoXtal</v>
      </c>
      <c r="AP252" s="3">
        <f t="shared" si="118"/>
        <v>1</v>
      </c>
      <c r="AQ252" s="3">
        <f t="shared" si="119"/>
        <v>1</v>
      </c>
      <c r="AR252" s="3" t="str">
        <f t="shared" si="120"/>
        <v>-</v>
      </c>
      <c r="AS252" s="3" t="str">
        <f t="shared" si="121"/>
        <v>-</v>
      </c>
      <c r="AT252" s="3">
        <f t="shared" si="122"/>
        <v>1</v>
      </c>
      <c r="AU252" s="3">
        <f t="shared" si="123"/>
        <v>1</v>
      </c>
      <c r="AV252" s="3">
        <f t="shared" si="124"/>
        <v>11</v>
      </c>
      <c r="AW252" s="3">
        <f t="shared" si="125"/>
        <v>9</v>
      </c>
      <c r="AX252" s="3">
        <f t="shared" si="126"/>
        <v>4</v>
      </c>
      <c r="AY252" s="3">
        <f t="shared" si="127"/>
        <v>4</v>
      </c>
      <c r="AZ252" s="3">
        <f t="shared" si="128"/>
        <v>1</v>
      </c>
      <c r="BA252" s="3">
        <f>IF(ISERROR(LEN(VLOOKUP(A252,Seqs!A:E,2,FALSE))-AL252),"-",LEN(VLOOKUP(A252,Seqs!A:E,2,FALSE))-AL252)</f>
        <v>28</v>
      </c>
      <c r="BB252" s="16">
        <f t="shared" si="129"/>
        <v>28</v>
      </c>
      <c r="BC252" s="9">
        <f t="shared" si="130"/>
        <v>21</v>
      </c>
      <c r="BD252" s="3">
        <f t="shared" si="131"/>
        <v>28</v>
      </c>
      <c r="BE252" s="3">
        <f t="shared" si="132"/>
        <v>41</v>
      </c>
      <c r="BF252" s="3">
        <f t="shared" ref="BF252:BF257" si="148">AH252-AE252</f>
        <v>44</v>
      </c>
    </row>
    <row r="253" spans="1:58" s="3" customFormat="1" x14ac:dyDescent="0.2">
      <c r="A253" s="3" t="s">
        <v>191</v>
      </c>
      <c r="B253" s="3" t="str">
        <f>LOWER(VLOOKUP(A253,Xtal_Templ!A:B,2,FALSE))</f>
        <v>drd2_human</v>
      </c>
      <c r="C253" s="3">
        <f>VLOOKUP($A253,'SegEnds_NonXtal_BW#'!$A:$Z,3,FALSE)+D253-50</f>
        <v>31</v>
      </c>
      <c r="D253" s="3">
        <v>52</v>
      </c>
      <c r="E253" s="3">
        <f>IF(ISERROR(VLOOKUP($A253,'SegEnds_NonXtal_BW#'!$A:$Z,4,FALSE)+VLOOKUP($A253,A:AL,4,FALSE)-50),"-",(VLOOKUP($A253,'SegEnds_NonXtal_BW#'!$A:$Z,4,FALSE)+VLOOKUP($A253,A:AL,4,FALSE)-50))</f>
        <v>62</v>
      </c>
      <c r="F253" s="3">
        <f t="shared" si="146"/>
        <v>63</v>
      </c>
      <c r="G253" s="3">
        <v>65</v>
      </c>
      <c r="H253" s="3">
        <f t="shared" si="147"/>
        <v>66</v>
      </c>
      <c r="I253" s="3">
        <f t="shared" si="147"/>
        <v>67</v>
      </c>
      <c r="J253" s="3">
        <v>80</v>
      </c>
      <c r="K253" s="3">
        <f>VLOOKUP($A253,'SegEnds_NonXtal_BW#'!$A:$Z,8,FALSE)+VLOOKUP($A253,A:AL,10,FALSE)-50</f>
        <v>98</v>
      </c>
      <c r="L253" s="3">
        <f>M253-1</f>
        <v>99</v>
      </c>
      <c r="M253" s="3">
        <v>100</v>
      </c>
      <c r="N253" s="3">
        <f>M253+2</f>
        <v>102</v>
      </c>
      <c r="O253" s="3">
        <f>N253+1</f>
        <v>103</v>
      </c>
      <c r="P253" s="3">
        <v>132</v>
      </c>
      <c r="Q253" s="3">
        <f>VLOOKUP($A253,'SegEnds_NonXtal_BW#'!$A:$Z,12,FALSE)+VLOOKUP($A253,A:AL,16,FALSE)-50</f>
        <v>138</v>
      </c>
      <c r="R253" s="3">
        <f>IF(ISERROR(VLOOKUP($A253,'SegEnds_NonXtal_BW#'!$A:$Z,13,FALSE)+VLOOKUP($A253,A:AL,19,FALSE)-50),"-",VLOOKUP($A253,'SegEnds_NonXtal_BW#'!$A:$Z,13,FALSE)+VLOOKUP($A253,A:AL,19,FALSE)-50)</f>
        <v>139</v>
      </c>
      <c r="S253" s="3">
        <v>139</v>
      </c>
      <c r="T253" s="100">
        <f>IF(ISERROR(VLOOKUP($A253,'SegEnds_NonXtal_BW#'!$A:$Z,14,FALSE)+VLOOKUP($A253,A:AL,19,FALSE)-50),"-",(VLOOKUP($A253,'SegEnds_NonXtal_BW#'!$A:$Z,14,FALSE)+VLOOKUP($A253,A:AL,19,FALSE)-50))</f>
        <v>147</v>
      </c>
      <c r="U253" s="9">
        <f>IF(ISERROR(VLOOKUP($A253,'SegEnds_NonXtal_BW#'!$A:$Z,15,FALSE)+VLOOKUP($A253,A:AL,22,FALSE)-50),"-",VLOOKUP($A253,'SegEnds_NonXtal_BW#'!$A:$Z,15,FALSE)+VLOOKUP($A253,A:AL,22,FALSE)-50)</f>
        <v>148</v>
      </c>
      <c r="V253" s="3">
        <v>160</v>
      </c>
      <c r="W253" s="3">
        <f>IF(ISERROR(VLOOKUP($A253,'SegEnds_NonXtal_BW#'!$A:$Z,16,FALSE)+VLOOKUP($A253,A:AL,22,FALSE)-50),"-",(VLOOKUP($A253,'SegEnds_NonXtal_BW#'!$A:$Z,16,FALSE)+VLOOKUP($A253,A:AL,22,FALSE)-50))</f>
        <v>172</v>
      </c>
      <c r="X253" s="3">
        <f>IF(ISERROR(VLOOKUP($A253,'SegEnds_NonXtal_BW#'!$A:$Z,17,FALSE)+VLOOKUP($A253,A:AL,25,FALSE)-50),"-",(VLOOKUP($A253,'SegEnds_NonXtal_BW#'!$A:$Z,17,FALSE)+VLOOKUP($A253,A:AL,25,FALSE)-50))</f>
        <v>182</v>
      </c>
      <c r="Y253" s="3">
        <v>182</v>
      </c>
      <c r="Z253" s="3">
        <f t="shared" si="144"/>
        <v>184</v>
      </c>
      <c r="AA253" s="3">
        <f>IF(ISERROR(VLOOKUP($A253,'SegEnds_NonXtal_BW#'!$A:$Z,19,FALSE)+VLOOKUP($A253,A:AL,28,FALSE)-50),"-",(VLOOKUP($A253,'SegEnds_NonXtal_BW#'!$A:$Z,19,FALSE)+VLOOKUP($A253,A:AL,28,FALSE)-50))</f>
        <v>186</v>
      </c>
      <c r="AB253" s="3">
        <v>201</v>
      </c>
      <c r="AC253" s="3">
        <f>IF(ISERROR((VLOOKUP($A253,'SegEnds_NonXtal_BW#'!$A:$Z,20,FALSE)+VLOOKUP($A253,A:AL,28,FALSE)-50)),"-",(VLOOKUP($A253,'SegEnds_NonXtal_BW#'!$A:$Z,20,FALSE)+VLOOKUP($A253,A:AL,28,FALSE)-50))</f>
        <v>226</v>
      </c>
      <c r="AD253" s="3">
        <f>IF(ISERROR(VLOOKUP($A253,'SegEnds_NonXtal_BW#'!$A:$Z,21,FALSE)+VLOOKUP($A253,A:AL,31,FALSE)-50),"-",(VLOOKUP($A253,'SegEnds_NonXtal_BW#'!$A:$Z,21,FALSE)+VLOOKUP($A253,A:AL,31,FALSE)-50))</f>
        <v>362</v>
      </c>
      <c r="AE253" s="3">
        <v>388</v>
      </c>
      <c r="AF253" s="3">
        <f>IF(ISERROR((VLOOKUP($A253,'SegEnds_NonXtal_BW#'!$A:$Z,22,FALSE)+VLOOKUP($A253,A:AL,31,FALSE)-50)),"-",(VLOOKUP($A253,'SegEnds_NonXtal_BW#'!$A:$Z,22,FALSE)+VLOOKUP($A253,A:AL,31,FALSE)-50))</f>
        <v>399</v>
      </c>
      <c r="AG253" s="3">
        <f>IF(ISERROR(VLOOKUP($A253,'SegEnds_NonXtal_BW#'!$A:$Z,23,FALSE)+VLOOKUP($A253,A:AL,34,FALSE)-50),"-",(VLOOKUP($A253,'SegEnds_NonXtal_BW#'!$A:$Z,23,FALSE)+VLOOKUP($A253,A:AL,34,FALSE)-50))</f>
        <v>404</v>
      </c>
      <c r="AH253" s="3">
        <v>423</v>
      </c>
      <c r="AI253" s="3">
        <f>IF(ISERROR((VLOOKUP($A253,'SegEnds_NonXtal_BW#'!$A:$Z,24,FALSE)+VLOOKUP($A253,A:AL,34,FALSE)-50)),"-",(VLOOKUP($A253,'SegEnds_NonXtal_BW#'!$A:$Z,24,FALSE)+VLOOKUP($A253,A:AL,34,FALSE)-50))</f>
        <v>429</v>
      </c>
      <c r="AJ253" s="3">
        <f>IF(ISERROR(VLOOKUP($A253,'SegEnds_NonXtal_BW#'!$A:$Z,25,FALSE)+VLOOKUP($A253,A:AL,37,FALSE)-50),"-",(VLOOKUP($A253,'SegEnds_NonXtal_BW#'!$A:$Z,25,FALSE)+VLOOKUP($A253,A:AL,37,FALSE)-50))</f>
        <v>430</v>
      </c>
      <c r="AK253" s="3">
        <v>433</v>
      </c>
      <c r="AL253" s="3">
        <f>IF(ISERROR((VLOOKUP($A253,'SegEnds_NonXtal_BW#'!$A:$Z,26,FALSE)+VLOOKUP($A253,A:AL,37,FALSE)-50)),"-",(VLOOKUP($A253,'SegEnds_NonXtal_BW#'!$A:$Z,26,FALSE)+VLOOKUP($A253,A:AL,37,FALSE)-50))</f>
        <v>442</v>
      </c>
      <c r="AM253" s="28" t="str">
        <f>VLOOKUP(A253,Classification!A:B,2,FALSE)</f>
        <v>A</v>
      </c>
      <c r="AN253" s="28" t="b">
        <f t="shared" si="133"/>
        <v>1</v>
      </c>
      <c r="AO253" s="3" t="str">
        <f>IF(ISERROR(MATCH(A253,'SegEnds_Xtal_Prot#'!B:B, 0)), "NoXtal", "Xtal")</f>
        <v>Xtal</v>
      </c>
      <c r="AP253" s="3">
        <f t="shared" si="118"/>
        <v>1</v>
      </c>
      <c r="AQ253" s="3">
        <f t="shared" si="119"/>
        <v>1</v>
      </c>
      <c r="AR253" s="3">
        <f t="shared" si="120"/>
        <v>1</v>
      </c>
      <c r="AS253" s="3">
        <f t="shared" si="121"/>
        <v>1</v>
      </c>
      <c r="AT253" s="3">
        <f t="shared" si="122"/>
        <v>1</v>
      </c>
      <c r="AU253" s="3">
        <f t="shared" si="123"/>
        <v>1</v>
      </c>
      <c r="AV253" s="3">
        <f t="shared" si="124"/>
        <v>10</v>
      </c>
      <c r="AW253" s="3">
        <f t="shared" si="125"/>
        <v>2</v>
      </c>
      <c r="AX253" s="3">
        <f t="shared" si="126"/>
        <v>136</v>
      </c>
      <c r="AY253" s="3">
        <f t="shared" si="127"/>
        <v>5</v>
      </c>
      <c r="AZ253" s="3">
        <f t="shared" si="128"/>
        <v>1</v>
      </c>
      <c r="BA253" s="3">
        <f>IF(ISERROR(LEN(VLOOKUP(A253,Seqs!A:E,2,FALSE))-AL253),"-",LEN(VLOOKUP(A253,Seqs!A:E,2,FALSE))-AL253)</f>
        <v>1</v>
      </c>
      <c r="BB253" s="16">
        <f t="shared" si="129"/>
        <v>28</v>
      </c>
      <c r="BC253" s="9">
        <f t="shared" si="130"/>
        <v>21</v>
      </c>
      <c r="BD253" s="3">
        <f t="shared" si="131"/>
        <v>28</v>
      </c>
      <c r="BE253" s="3">
        <f t="shared" si="132"/>
        <v>187</v>
      </c>
      <c r="BF253" s="3">
        <f t="shared" si="148"/>
        <v>35</v>
      </c>
    </row>
    <row r="254" spans="1:58" s="3" customFormat="1" x14ac:dyDescent="0.2">
      <c r="A254" s="3" t="s">
        <v>248</v>
      </c>
      <c r="B254" s="3" t="str">
        <f>LOWER(VLOOKUP(A254,Xtal_Templ!A:B,2,FALSE))</f>
        <v>ox1r_human</v>
      </c>
      <c r="C254" s="3">
        <f>VLOOKUP($A254,'SegEnds_NonXtal_BW#'!$A:$Z,3,FALSE)+D254-50</f>
        <v>18</v>
      </c>
      <c r="D254" s="3">
        <v>36</v>
      </c>
      <c r="E254" s="3">
        <f>IF(ISERROR(VLOOKUP($A254,'SegEnds_NonXtal_BW#'!$A:$Z,4,FALSE)+VLOOKUP($A254,A:AL,4,FALSE)-50),"-",(VLOOKUP($A254,'SegEnds_NonXtal_BW#'!$A:$Z,4,FALSE)+VLOOKUP($A254,A:AL,4,FALSE)-50))</f>
        <v>46</v>
      </c>
      <c r="F254" s="3">
        <f t="shared" si="146"/>
        <v>47</v>
      </c>
      <c r="G254" s="3">
        <v>49</v>
      </c>
      <c r="H254" s="3">
        <f t="shared" si="147"/>
        <v>50</v>
      </c>
      <c r="I254" s="3">
        <f t="shared" si="147"/>
        <v>51</v>
      </c>
      <c r="J254" s="3">
        <v>64</v>
      </c>
      <c r="K254" s="3">
        <f>VLOOKUP($A254,'SegEnds_NonXtal_BW#'!$A:$Z,8,FALSE)+VLOOKUP($A254,A:AL,10,FALSE)-50</f>
        <v>81</v>
      </c>
      <c r="L254" s="3" t="str">
        <f>IF(ISERROR(VLOOKUP($A254,'SegEnds_NonXtal_BW#'!$A:$Z,9,FALSE)+VLOOKUP($A254,A:AL,13,FALSE)-50),"-",(VLOOKUP($A254,'SegEnds_NonXtal_BW#'!$A:$Z,9,FALSE)+VLOOKUP($A254,A:AL,13,FALSE)-50))</f>
        <v>-</v>
      </c>
      <c r="M254" s="3" t="s">
        <v>23</v>
      </c>
      <c r="N254" s="3" t="str">
        <f>IF(ISERROR(VLOOKUP($A254,'SegEnds_NonXtal_BW#'!$A:$Z,10,FALSE)+VLOOKUP($A254,A:AL,13,FALSE)-50),"-",(VLOOKUP($A254,'SegEnds_NonXtal_BW#'!$A:$Z,10,FALSE)+VLOOKUP($A254,A:AL,13,FALSE)-50))</f>
        <v>-</v>
      </c>
      <c r="O254" s="3">
        <f>VLOOKUP($A254,'SegEnds_NonXtal_BW#'!$A:$Z,11,FALSE)+VLOOKUP($A254,A:AL,16,FALSE)-50</f>
        <v>88</v>
      </c>
      <c r="P254" s="3">
        <v>120</v>
      </c>
      <c r="Q254" s="3">
        <f>VLOOKUP($A254,'SegEnds_NonXtal_BW#'!$A:$Z,12,FALSE)+VLOOKUP($A254,A:AL,16,FALSE)-50</f>
        <v>126</v>
      </c>
      <c r="R254" s="3">
        <f>IF(ISERROR(VLOOKUP($A254,'SegEnds_NonXtal_BW#'!$A:$Z,13,FALSE)+VLOOKUP($A254,A:AL,19,FALSE)-50),"-",VLOOKUP($A254,'SegEnds_NonXtal_BW#'!$A:$Z,13,FALSE)+VLOOKUP($A254,A:AL,19,FALSE)-50)</f>
        <v>127</v>
      </c>
      <c r="S254" s="3">
        <v>127</v>
      </c>
      <c r="T254" s="100">
        <f>IF(ISERROR(VLOOKUP($A254,'SegEnds_NonXtal_BW#'!$A:$Z,14,FALSE)+VLOOKUP($A254,A:AL,19,FALSE)-50),"-",(VLOOKUP($A254,'SegEnds_NonXtal_BW#'!$A:$Z,14,FALSE)+VLOOKUP($A254,A:AL,19,FALSE)-50))</f>
        <v>135</v>
      </c>
      <c r="U254" s="9">
        <f>IF(ISERROR(VLOOKUP($A254,'SegEnds_NonXtal_BW#'!$A:$Z,15,FALSE)+VLOOKUP($A254,A:AL,22,FALSE)-50),"-",VLOOKUP($A254,'SegEnds_NonXtal_BW#'!$A:$Z,15,FALSE)+VLOOKUP($A254,A:AL,22,FALSE)-50)</f>
        <v>136</v>
      </c>
      <c r="V254" s="3">
        <v>148</v>
      </c>
      <c r="W254" s="3">
        <f>IF(ISERROR(VLOOKUP($A254,'SegEnds_NonXtal_BW#'!$A:$Z,16,FALSE)+VLOOKUP($A254,A:AL,22,FALSE)-50),"-",(VLOOKUP($A254,'SegEnds_NonXtal_BW#'!$A:$Z,16,FALSE)+VLOOKUP($A254,A:AL,22,FALSE)-50))</f>
        <v>162</v>
      </c>
      <c r="X254" s="3">
        <f>IF(ISERROR(VLOOKUP($A254,'SegEnds_NonXtal_BW#'!$A:$Z,17,FALSE)+VLOOKUP($A254,A:AL,25,FALSE)-50),"-",(VLOOKUP($A254,'SegEnds_NonXtal_BW#'!$A:$Z,17,FALSE)+VLOOKUP($A254,A:AL,25,FALSE)-50))</f>
        <v>171</v>
      </c>
      <c r="Y254" s="3">
        <v>171</v>
      </c>
      <c r="Z254" s="3">
        <f t="shared" si="144"/>
        <v>173</v>
      </c>
      <c r="AA254" s="3">
        <f>IF(ISERROR(VLOOKUP($A254,'SegEnds_NonXtal_BW#'!$A:$Z,19,FALSE)+VLOOKUP($A254,A:AL,28,FALSE)-50),"-",(VLOOKUP($A254,'SegEnds_NonXtal_BW#'!$A:$Z,19,FALSE)+VLOOKUP($A254,A:AL,28,FALSE)-50))</f>
        <v>174</v>
      </c>
      <c r="AB254" s="3">
        <v>189</v>
      </c>
      <c r="AC254" s="3">
        <f>IF(ISERROR((VLOOKUP($A254,'SegEnds_NonXtal_BW#'!$A:$Z,20,FALSE)+VLOOKUP($A254,A:AL,28,FALSE)-50)),"-",(VLOOKUP($A254,'SegEnds_NonXtal_BW#'!$A:$Z,20,FALSE)+VLOOKUP($A254,A:AL,28,FALSE)-50))</f>
        <v>215</v>
      </c>
      <c r="AD254" s="3">
        <f>IF(ISERROR(VLOOKUP($A254,'SegEnds_NonXtal_BW#'!$A:$Z,21,FALSE)+VLOOKUP($A254,A:AL,31,FALSE)-50),"-",(VLOOKUP($A254,'SegEnds_NonXtal_BW#'!$A:$Z,21,FALSE)+VLOOKUP($A254,A:AL,31,FALSE)-50))</f>
        <v>273</v>
      </c>
      <c r="AE254" s="3">
        <v>299</v>
      </c>
      <c r="AF254" s="3">
        <f>IF(ISERROR((VLOOKUP($A254,'SegEnds_NonXtal_BW#'!$A:$Z,22,FALSE)+VLOOKUP($A254,A:AL,31,FALSE)-50)),"-",(VLOOKUP($A254,'SegEnds_NonXtal_BW#'!$A:$Z,22,FALSE)+VLOOKUP($A254,A:AL,31,FALSE)-50))</f>
        <v>310</v>
      </c>
      <c r="AG254" s="3">
        <f>IF(ISERROR(VLOOKUP($A254,'SegEnds_NonXtal_BW#'!$A:$Z,23,FALSE)+VLOOKUP($A254,A:AL,34,FALSE)-50),"-",(VLOOKUP($A254,'SegEnds_NonXtal_BW#'!$A:$Z,23,FALSE)+VLOOKUP($A254,A:AL,34,FALSE)-50))</f>
        <v>316</v>
      </c>
      <c r="AH254" s="3">
        <v>335</v>
      </c>
      <c r="AI254" s="3">
        <f>IF(ISERROR((VLOOKUP($A254,'SegEnds_NonXtal_BW#'!$A:$Z,24,FALSE)+VLOOKUP($A254,A:AL,34,FALSE)-50)),"-",(VLOOKUP($A254,'SegEnds_NonXtal_BW#'!$A:$Z,24,FALSE)+VLOOKUP($A254,A:AL,34,FALSE)-50))</f>
        <v>341</v>
      </c>
      <c r="AJ254" s="3">
        <f>IF(ISERROR(VLOOKUP($A254,'SegEnds_NonXtal_BW#'!$A:$Z,25,FALSE)+VLOOKUP($A254,A:AL,37,FALSE)-50),"-",(VLOOKUP($A254,'SegEnds_NonXtal_BW#'!$A:$Z,25,FALSE)+VLOOKUP($A254,A:AL,37,FALSE)-50))</f>
        <v>342</v>
      </c>
      <c r="AK254" s="3">
        <v>345</v>
      </c>
      <c r="AL254" s="3">
        <f>IF(ISERROR((VLOOKUP($A254,'SegEnds_NonXtal_BW#'!$A:$Z,26,FALSE)+VLOOKUP($A254,A:AL,37,FALSE)-50)),"-",(VLOOKUP($A254,'SegEnds_NonXtal_BW#'!$A:$Z,26,FALSE)+VLOOKUP($A254,A:AL,37,FALSE)-50))</f>
        <v>353</v>
      </c>
      <c r="AM254" s="28" t="str">
        <f>VLOOKUP(A254,Classification!A:B,2,FALSE)</f>
        <v>A</v>
      </c>
      <c r="AN254" s="28" t="b">
        <f t="shared" si="133"/>
        <v>1</v>
      </c>
      <c r="AO254" s="3" t="str">
        <f>IF(ISERROR(MATCH(A254,'SegEnds_Xtal_Prot#'!B:B, 0)), "NoXtal", "Xtal")</f>
        <v>NoXtal</v>
      </c>
      <c r="AP254" s="3">
        <f t="shared" si="118"/>
        <v>1</v>
      </c>
      <c r="AQ254" s="3">
        <f t="shared" si="119"/>
        <v>1</v>
      </c>
      <c r="AR254" s="3" t="str">
        <f t="shared" si="120"/>
        <v>-</v>
      </c>
      <c r="AS254" s="3" t="str">
        <f t="shared" si="121"/>
        <v>-</v>
      </c>
      <c r="AT254" s="3">
        <f t="shared" si="122"/>
        <v>1</v>
      </c>
      <c r="AU254" s="3">
        <f t="shared" si="123"/>
        <v>1</v>
      </c>
      <c r="AV254" s="3">
        <f t="shared" si="124"/>
        <v>9</v>
      </c>
      <c r="AW254" s="3">
        <f t="shared" si="125"/>
        <v>1</v>
      </c>
      <c r="AX254" s="3">
        <f t="shared" si="126"/>
        <v>58</v>
      </c>
      <c r="AY254" s="3">
        <f t="shared" si="127"/>
        <v>6</v>
      </c>
      <c r="AZ254" s="3">
        <f t="shared" si="128"/>
        <v>1</v>
      </c>
      <c r="BA254" s="3">
        <f>IF(ISERROR(LEN(VLOOKUP(A254,Seqs!A:E,2,FALSE))-AL254),"-",LEN(VLOOKUP(A254,Seqs!A:E,2,FALSE))-AL254)</f>
        <v>22</v>
      </c>
      <c r="BB254" s="16">
        <f t="shared" si="129"/>
        <v>28</v>
      </c>
      <c r="BC254" s="9">
        <f t="shared" si="130"/>
        <v>21</v>
      </c>
      <c r="BD254" s="3">
        <f t="shared" si="131"/>
        <v>28</v>
      </c>
      <c r="BE254" s="3">
        <f t="shared" si="132"/>
        <v>110</v>
      </c>
      <c r="BF254" s="3">
        <f t="shared" si="148"/>
        <v>36</v>
      </c>
    </row>
    <row r="255" spans="1:58" s="3" customFormat="1" x14ac:dyDescent="0.2">
      <c r="A255" s="3" t="s">
        <v>280</v>
      </c>
      <c r="B255" s="3" t="str">
        <f>LOWER(VLOOKUP(A255,Xtal_Templ!A:B,2,FALSE))</f>
        <v>hrh1_human</v>
      </c>
      <c r="C255" s="3">
        <f>VLOOKUP($A255,'SegEnds_NonXtal_BW#'!$A:$Z,3,FALSE)+D255-50</f>
        <v>36</v>
      </c>
      <c r="D255" s="3">
        <v>52</v>
      </c>
      <c r="E255" s="3">
        <f>IF(ISERROR(VLOOKUP($A255,'SegEnds_NonXtal_BW#'!$A:$Z,4,FALSE)+VLOOKUP($A255,A:AL,4,FALSE)-50),"-",(VLOOKUP($A255,'SegEnds_NonXtal_BW#'!$A:$Z,4,FALSE)+VLOOKUP($A255,A:AL,4,FALSE)-50))</f>
        <v>62</v>
      </c>
      <c r="F255" s="3">
        <f t="shared" si="146"/>
        <v>63</v>
      </c>
      <c r="G255" s="3">
        <v>65</v>
      </c>
      <c r="H255" s="3">
        <f t="shared" si="147"/>
        <v>66</v>
      </c>
      <c r="I255" s="3">
        <f t="shared" si="147"/>
        <v>67</v>
      </c>
      <c r="J255" s="3">
        <v>80</v>
      </c>
      <c r="K255" s="3">
        <f>VLOOKUP($A255,'SegEnds_NonXtal_BW#'!$A:$Z,8,FALSE)+VLOOKUP($A255,A:AL,10,FALSE)-50</f>
        <v>97</v>
      </c>
      <c r="L255" s="3">
        <f t="shared" ref="L255:L262" si="149">M255-1</f>
        <v>99</v>
      </c>
      <c r="M255" s="3">
        <v>100</v>
      </c>
      <c r="N255" s="3">
        <f t="shared" ref="N255:N262" si="150">M255+2</f>
        <v>102</v>
      </c>
      <c r="O255" s="3">
        <f t="shared" ref="O255:O262" si="151">N255+1</f>
        <v>103</v>
      </c>
      <c r="P255" s="3">
        <v>132</v>
      </c>
      <c r="Q255" s="3">
        <f>VLOOKUP($A255,'SegEnds_NonXtal_BW#'!$A:$Z,12,FALSE)+VLOOKUP($A255,A:AL,16,FALSE)-50</f>
        <v>138</v>
      </c>
      <c r="R255" s="3">
        <f>IF(ISERROR(VLOOKUP($A255,'SegEnds_NonXtal_BW#'!$A:$Z,13,FALSE)+VLOOKUP($A255,A:AL,19,FALSE)-50),"-",VLOOKUP($A255,'SegEnds_NonXtal_BW#'!$A:$Z,13,FALSE)+VLOOKUP($A255,A:AL,19,FALSE)-50)</f>
        <v>139</v>
      </c>
      <c r="S255" s="3">
        <v>139</v>
      </c>
      <c r="T255" s="100">
        <f>IF(ISERROR(VLOOKUP($A255,'SegEnds_NonXtal_BW#'!$A:$Z,14,FALSE)+VLOOKUP($A255,A:AL,19,FALSE)-50),"-",(VLOOKUP($A255,'SegEnds_NonXtal_BW#'!$A:$Z,14,FALSE)+VLOOKUP($A255,A:AL,19,FALSE)-50))</f>
        <v>147</v>
      </c>
      <c r="U255" s="9">
        <f>IF(ISERROR(VLOOKUP($A255,'SegEnds_NonXtal_BW#'!$A:$Z,15,FALSE)+VLOOKUP($A255,A:AL,22,FALSE)-50),"-",VLOOKUP($A255,'SegEnds_NonXtal_BW#'!$A:$Z,15,FALSE)+VLOOKUP($A255,A:AL,22,FALSE)-50)</f>
        <v>148</v>
      </c>
      <c r="V255" s="3">
        <v>160</v>
      </c>
      <c r="W255" s="3">
        <f>IF(ISERROR(VLOOKUP($A255,'SegEnds_NonXtal_BW#'!$A:$Z,16,FALSE)+VLOOKUP($A255,A:AL,22,FALSE)-50),"-",(VLOOKUP($A255,'SegEnds_NonXtal_BW#'!$A:$Z,16,FALSE)+VLOOKUP($A255,A:AL,22,FALSE)-50))</f>
        <v>173</v>
      </c>
      <c r="X255" s="3">
        <f>IF(ISERROR(VLOOKUP($A255,'SegEnds_NonXtal_BW#'!$A:$Z,17,FALSE)+VLOOKUP($A255,A:AL,25,FALSE)-50),"-",(VLOOKUP($A255,'SegEnds_NonXtal_BW#'!$A:$Z,17,FALSE)+VLOOKUP($A255,A:AL,25,FALSE)-50))</f>
        <v>188</v>
      </c>
      <c r="Y255" s="3">
        <v>188</v>
      </c>
      <c r="Z255" s="3">
        <f t="shared" si="144"/>
        <v>190</v>
      </c>
      <c r="AA255" s="3">
        <f>IF(ISERROR(VLOOKUP($A255,'SegEnds_NonXtal_BW#'!$A:$Z,19,FALSE)+VLOOKUP($A255,A:AL,28,FALSE)-50),"-",(VLOOKUP($A255,'SegEnds_NonXtal_BW#'!$A:$Z,19,FALSE)+VLOOKUP($A255,A:AL,28,FALSE)-50))</f>
        <v>195</v>
      </c>
      <c r="AB255" s="3">
        <v>210</v>
      </c>
      <c r="AC255" s="3">
        <f>IF(ISERROR((VLOOKUP($A255,'SegEnds_NonXtal_BW#'!$A:$Z,20,FALSE)+VLOOKUP($A255,A:AL,28,FALSE)-50)),"-",(VLOOKUP($A255,'SegEnds_NonXtal_BW#'!$A:$Z,20,FALSE)+VLOOKUP($A255,A:AL,28,FALSE)-50))</f>
        <v>235</v>
      </c>
      <c r="AD255" s="3">
        <f>IF(ISERROR(VLOOKUP($A255,'SegEnds_NonXtal_BW#'!$A:$Z,21,FALSE)+VLOOKUP($A255,A:AL,31,FALSE)-50),"-",(VLOOKUP($A255,'SegEnds_NonXtal_BW#'!$A:$Z,21,FALSE)+VLOOKUP($A255,A:AL,31,FALSE)-50))</f>
        <v>347</v>
      </c>
      <c r="AE255" s="3">
        <v>373</v>
      </c>
      <c r="AF255" s="3">
        <f>IF(ISERROR((VLOOKUP($A255,'SegEnds_NonXtal_BW#'!$A:$Z,22,FALSE)+VLOOKUP($A255,A:AL,31,FALSE)-50)),"-",(VLOOKUP($A255,'SegEnds_NonXtal_BW#'!$A:$Z,22,FALSE)+VLOOKUP($A255,A:AL,31,FALSE)-50))</f>
        <v>384</v>
      </c>
      <c r="AG255" s="3">
        <f>IF(ISERROR(VLOOKUP($A255,'SegEnds_NonXtal_BW#'!$A:$Z,23,FALSE)+VLOOKUP($A255,A:AL,34,FALSE)-50),"-",(VLOOKUP($A255,'SegEnds_NonXtal_BW#'!$A:$Z,23,FALSE)+VLOOKUP($A255,A:AL,34,FALSE)-50))</f>
        <v>390</v>
      </c>
      <c r="AH255" s="3">
        <v>409</v>
      </c>
      <c r="AI255" s="3">
        <f>IF(ISERROR((VLOOKUP($A255,'SegEnds_NonXtal_BW#'!$A:$Z,24,FALSE)+VLOOKUP($A255,A:AL,34,FALSE)-50)),"-",(VLOOKUP($A255,'SegEnds_NonXtal_BW#'!$A:$Z,24,FALSE)+VLOOKUP($A255,A:AL,34,FALSE)-50))</f>
        <v>415</v>
      </c>
      <c r="AJ255" s="3">
        <f>IF(ISERROR(VLOOKUP($A255,'SegEnds_NonXtal_BW#'!$A:$Z,25,FALSE)+VLOOKUP($A255,A:AL,37,FALSE)-50),"-",(VLOOKUP($A255,'SegEnds_NonXtal_BW#'!$A:$Z,25,FALSE)+VLOOKUP($A255,A:AL,37,FALSE)-50))</f>
        <v>416</v>
      </c>
      <c r="AK255" s="3">
        <v>419</v>
      </c>
      <c r="AL255" s="3">
        <f>IF(ISERROR((VLOOKUP($A255,'SegEnds_NonXtal_BW#'!$A:$Z,26,FALSE)+VLOOKUP($A255,A:AL,37,FALSE)-50)),"-",(VLOOKUP($A255,'SegEnds_NonXtal_BW#'!$A:$Z,26,FALSE)+VLOOKUP($A255,A:AL,37,FALSE)-50))</f>
        <v>428</v>
      </c>
      <c r="AM255" s="28" t="str">
        <f>VLOOKUP(A255,Classification!A:B,2,FALSE)</f>
        <v>A</v>
      </c>
      <c r="AN255" s="28" t="b">
        <f t="shared" si="133"/>
        <v>1</v>
      </c>
      <c r="AO255" s="3" t="str">
        <f>IF(ISERROR(MATCH(A255,'SegEnds_Xtal_Prot#'!B:B, 0)), "NoXtal", "Xtal")</f>
        <v>NoXtal</v>
      </c>
      <c r="AP255" s="3">
        <f t="shared" si="118"/>
        <v>1</v>
      </c>
      <c r="AQ255" s="3">
        <f t="shared" si="119"/>
        <v>1</v>
      </c>
      <c r="AR255" s="3">
        <f t="shared" si="120"/>
        <v>2</v>
      </c>
      <c r="AS255" s="3">
        <f t="shared" si="121"/>
        <v>1</v>
      </c>
      <c r="AT255" s="3">
        <f t="shared" si="122"/>
        <v>1</v>
      </c>
      <c r="AU255" s="3">
        <f t="shared" si="123"/>
        <v>1</v>
      </c>
      <c r="AV255" s="3">
        <f t="shared" si="124"/>
        <v>15</v>
      </c>
      <c r="AW255" s="3">
        <f t="shared" si="125"/>
        <v>5</v>
      </c>
      <c r="AX255" s="3">
        <f t="shared" si="126"/>
        <v>112</v>
      </c>
      <c r="AY255" s="3">
        <f t="shared" si="127"/>
        <v>6</v>
      </c>
      <c r="AZ255" s="3">
        <f t="shared" si="128"/>
        <v>1</v>
      </c>
      <c r="BA255" s="3">
        <f>IF(ISERROR(LEN(VLOOKUP(A255,Seqs!A:E,2,FALSE))-AL255),"-",LEN(VLOOKUP(A255,Seqs!A:E,2,FALSE))-AL255)</f>
        <v>17</v>
      </c>
      <c r="BB255" s="16">
        <f t="shared" si="129"/>
        <v>28</v>
      </c>
      <c r="BC255" s="9">
        <f t="shared" si="130"/>
        <v>21</v>
      </c>
      <c r="BD255" s="3">
        <f t="shared" si="131"/>
        <v>28</v>
      </c>
      <c r="BE255" s="3">
        <f t="shared" si="132"/>
        <v>163</v>
      </c>
      <c r="BF255" s="3">
        <f t="shared" si="148"/>
        <v>36</v>
      </c>
    </row>
    <row r="256" spans="1:58" s="3" customFormat="1" x14ac:dyDescent="0.2">
      <c r="A256" s="3" t="s">
        <v>281</v>
      </c>
      <c r="B256" s="3" t="str">
        <f>LOWER(VLOOKUP(A256,Xtal_Templ!A:B,2,FALSE))</f>
        <v>acm3_rat</v>
      </c>
      <c r="C256" s="3">
        <f>VLOOKUP($A256,'SegEnds_NonXtal_BW#'!$A:$Z,3,FALSE)+D256-50</f>
        <v>12</v>
      </c>
      <c r="D256" s="3">
        <v>33</v>
      </c>
      <c r="E256" s="3">
        <f>IF(ISERROR(VLOOKUP($A256,'SegEnds_NonXtal_BW#'!$A:$Z,4,FALSE)+VLOOKUP($A256,A:AL,4,FALSE)-50),"-",(VLOOKUP($A256,'SegEnds_NonXtal_BW#'!$A:$Z,4,FALSE)+VLOOKUP($A256,A:AL,4,FALSE)-50))</f>
        <v>43</v>
      </c>
      <c r="F256" s="3">
        <f t="shared" si="146"/>
        <v>44</v>
      </c>
      <c r="G256" s="3">
        <v>46</v>
      </c>
      <c r="H256" s="3">
        <f t="shared" si="147"/>
        <v>47</v>
      </c>
      <c r="I256" s="3">
        <f t="shared" si="147"/>
        <v>48</v>
      </c>
      <c r="J256" s="3">
        <v>61</v>
      </c>
      <c r="K256" s="3">
        <f>VLOOKUP($A256,'SegEnds_NonXtal_BW#'!$A:$Z,8,FALSE)+VLOOKUP($A256,A:AL,10,FALSE)-50</f>
        <v>77</v>
      </c>
      <c r="L256" s="3">
        <f t="shared" si="149"/>
        <v>79</v>
      </c>
      <c r="M256" s="3">
        <v>80</v>
      </c>
      <c r="N256" s="3">
        <f t="shared" si="150"/>
        <v>82</v>
      </c>
      <c r="O256" s="3">
        <f t="shared" si="151"/>
        <v>83</v>
      </c>
      <c r="P256" s="3">
        <v>112</v>
      </c>
      <c r="Q256" s="3">
        <f>VLOOKUP($A256,'SegEnds_NonXtal_BW#'!$A:$Z,12,FALSE)+VLOOKUP($A256,A:AL,16,FALSE)-50</f>
        <v>118</v>
      </c>
      <c r="R256" s="3">
        <f>IF(ISERROR(VLOOKUP($A256,'SegEnds_NonXtal_BW#'!$A:$Z,13,FALSE)+VLOOKUP($A256,A:AL,19,FALSE)-50),"-",VLOOKUP($A256,'SegEnds_NonXtal_BW#'!$A:$Z,13,FALSE)+VLOOKUP($A256,A:AL,19,FALSE)-50)</f>
        <v>119</v>
      </c>
      <c r="S256" s="3">
        <v>119</v>
      </c>
      <c r="T256" s="100">
        <f>IF(ISERROR(VLOOKUP($A256,'SegEnds_NonXtal_BW#'!$A:$Z,14,FALSE)+VLOOKUP($A256,A:AL,19,FALSE)-50),"-",(VLOOKUP($A256,'SegEnds_NonXtal_BW#'!$A:$Z,14,FALSE)+VLOOKUP($A256,A:AL,19,FALSE)-50))</f>
        <v>127</v>
      </c>
      <c r="U256" s="9">
        <f>IF(ISERROR(VLOOKUP($A256,'SegEnds_NonXtal_BW#'!$A:$Z,15,FALSE)+VLOOKUP($A256,A:AL,22,FALSE)-50),"-",VLOOKUP($A256,'SegEnds_NonXtal_BW#'!$A:$Z,15,FALSE)+VLOOKUP($A256,A:AL,22,FALSE)-50)</f>
        <v>128</v>
      </c>
      <c r="V256" s="3">
        <v>140</v>
      </c>
      <c r="W256" s="3">
        <f>IF(ISERROR(VLOOKUP($A256,'SegEnds_NonXtal_BW#'!$A:$Z,16,FALSE)+VLOOKUP($A256,A:AL,22,FALSE)-50),"-",(VLOOKUP($A256,'SegEnds_NonXtal_BW#'!$A:$Z,16,FALSE)+VLOOKUP($A256,A:AL,22,FALSE)-50))</f>
        <v>153</v>
      </c>
      <c r="X256" s="3">
        <f>IF(ISERROR(VLOOKUP($A256,'SegEnds_NonXtal_BW#'!$A:$Z,17,FALSE)+VLOOKUP($A256,A:AL,25,FALSE)-50),"-",(VLOOKUP($A256,'SegEnds_NonXtal_BW#'!$A:$Z,17,FALSE)+VLOOKUP($A256,A:AL,25,FALSE)-50))</f>
        <v>164</v>
      </c>
      <c r="Y256" s="3">
        <v>164</v>
      </c>
      <c r="Z256" s="3">
        <f t="shared" si="144"/>
        <v>166</v>
      </c>
      <c r="AA256" s="3">
        <f>IF(ISERROR(VLOOKUP($A256,'SegEnds_NonXtal_BW#'!$A:$Z,19,FALSE)+VLOOKUP($A256,A:AL,28,FALSE)-50),"-",(VLOOKUP($A256,'SegEnds_NonXtal_BW#'!$A:$Z,19,FALSE)+VLOOKUP($A256,A:AL,28,FALSE)-50))</f>
        <v>171</v>
      </c>
      <c r="AB256" s="3">
        <v>186</v>
      </c>
      <c r="AC256" s="3">
        <f>IF(ISERROR((VLOOKUP($A256,'SegEnds_NonXtal_BW#'!$A:$Z,20,FALSE)+VLOOKUP($A256,A:AL,28,FALSE)-50)),"-",(VLOOKUP($A256,'SegEnds_NonXtal_BW#'!$A:$Z,20,FALSE)+VLOOKUP($A256,A:AL,28,FALSE)-50))</f>
        <v>212</v>
      </c>
      <c r="AD256" s="3">
        <f>IF(ISERROR(VLOOKUP($A256,'SegEnds_NonXtal_BW#'!$A:$Z,21,FALSE)+VLOOKUP($A256,A:AL,31,FALSE)-50),"-",(VLOOKUP($A256,'SegEnds_NonXtal_BW#'!$A:$Z,21,FALSE)+VLOOKUP($A256,A:AL,31,FALSE)-50))</f>
        <v>292</v>
      </c>
      <c r="AE256" s="3">
        <v>318</v>
      </c>
      <c r="AF256" s="3">
        <f>IF(ISERROR((VLOOKUP($A256,'SegEnds_NonXtal_BW#'!$A:$Z,22,FALSE)+VLOOKUP($A256,A:AL,31,FALSE)-50)),"-",(VLOOKUP($A256,'SegEnds_NonXtal_BW#'!$A:$Z,22,FALSE)+VLOOKUP($A256,A:AL,31,FALSE)-50))</f>
        <v>329</v>
      </c>
      <c r="AG256" s="3">
        <f>IF(ISERROR(VLOOKUP($A256,'SegEnds_NonXtal_BW#'!$A:$Z,23,FALSE)+VLOOKUP($A256,A:AL,34,FALSE)-50),"-",(VLOOKUP($A256,'SegEnds_NonXtal_BW#'!$A:$Z,23,FALSE)+VLOOKUP($A256,A:AL,34,FALSE)-50))</f>
        <v>336</v>
      </c>
      <c r="AH256" s="3">
        <v>355</v>
      </c>
      <c r="AI256" s="3">
        <f>IF(ISERROR((VLOOKUP($A256,'SegEnds_NonXtal_BW#'!$A:$Z,24,FALSE)+VLOOKUP($A256,A:AL,34,FALSE)-50)),"-",(VLOOKUP($A256,'SegEnds_NonXtal_BW#'!$A:$Z,24,FALSE)+VLOOKUP($A256,A:AL,34,FALSE)-50))</f>
        <v>361</v>
      </c>
      <c r="AJ256" s="3">
        <f>IF(ISERROR(VLOOKUP($A256,'SegEnds_NonXtal_BW#'!$A:$Z,25,FALSE)+VLOOKUP($A256,A:AL,37,FALSE)-50),"-",(VLOOKUP($A256,'SegEnds_NonXtal_BW#'!$A:$Z,25,FALSE)+VLOOKUP($A256,A:AL,37,FALSE)-50))</f>
        <v>362</v>
      </c>
      <c r="AK256" s="3">
        <v>365</v>
      </c>
      <c r="AL256" s="3">
        <f>IF(ISERROR((VLOOKUP($A256,'SegEnds_NonXtal_BW#'!$A:$Z,26,FALSE)+VLOOKUP($A256,A:AL,37,FALSE)-50)),"-",(VLOOKUP($A256,'SegEnds_NonXtal_BW#'!$A:$Z,26,FALSE)+VLOOKUP($A256,A:AL,37,FALSE)-50))</f>
        <v>373</v>
      </c>
      <c r="AM256" s="28" t="str">
        <f>VLOOKUP(A256,Classification!A:B,2,FALSE)</f>
        <v>A</v>
      </c>
      <c r="AN256" s="28" t="b">
        <f t="shared" si="133"/>
        <v>1</v>
      </c>
      <c r="AO256" s="3" t="str">
        <f>IF(ISERROR(MATCH(A256,'SegEnds_Xtal_Prot#'!B:B, 0)), "NoXtal", "Xtal")</f>
        <v>NoXtal</v>
      </c>
      <c r="AP256" s="3">
        <f t="shared" si="118"/>
        <v>1</v>
      </c>
      <c r="AQ256" s="3">
        <f t="shared" si="119"/>
        <v>1</v>
      </c>
      <c r="AR256" s="3">
        <f t="shared" si="120"/>
        <v>2</v>
      </c>
      <c r="AS256" s="3">
        <f t="shared" si="121"/>
        <v>1</v>
      </c>
      <c r="AT256" s="3">
        <f t="shared" si="122"/>
        <v>1</v>
      </c>
      <c r="AU256" s="3">
        <f t="shared" si="123"/>
        <v>1</v>
      </c>
      <c r="AV256" s="3">
        <f t="shared" si="124"/>
        <v>11</v>
      </c>
      <c r="AW256" s="3">
        <f t="shared" si="125"/>
        <v>5</v>
      </c>
      <c r="AX256" s="3">
        <f t="shared" si="126"/>
        <v>80</v>
      </c>
      <c r="AY256" s="3">
        <f t="shared" si="127"/>
        <v>7</v>
      </c>
      <c r="AZ256" s="3">
        <f t="shared" si="128"/>
        <v>1</v>
      </c>
      <c r="BA256" s="3">
        <f>IF(ISERROR(LEN(VLOOKUP(A256,Seqs!A:E,2,FALSE))-AL256),"-",LEN(VLOOKUP(A256,Seqs!A:E,2,FALSE))-AL256)</f>
        <v>17</v>
      </c>
      <c r="BB256" s="16">
        <f t="shared" si="129"/>
        <v>28</v>
      </c>
      <c r="BC256" s="9">
        <f t="shared" si="130"/>
        <v>21</v>
      </c>
      <c r="BD256" s="3">
        <f t="shared" si="131"/>
        <v>28</v>
      </c>
      <c r="BE256" s="3">
        <f t="shared" si="132"/>
        <v>132</v>
      </c>
      <c r="BF256" s="3">
        <f t="shared" si="148"/>
        <v>37</v>
      </c>
    </row>
    <row r="257" spans="1:58" s="3" customFormat="1" x14ac:dyDescent="0.2">
      <c r="A257" s="3" t="s">
        <v>348</v>
      </c>
      <c r="B257" s="3" t="str">
        <f>LOWER(VLOOKUP(A257,Xtal_Templ!A:B,2,FALSE))</f>
        <v>p2ry1_human</v>
      </c>
      <c r="C257" s="3">
        <f>VLOOKUP($A257,'SegEnds_NonXtal_BW#'!$A:$Z,3,FALSE)+D257-50</f>
        <v>24</v>
      </c>
      <c r="D257" s="3">
        <v>44</v>
      </c>
      <c r="E257" s="3">
        <f>IF(ISERROR(VLOOKUP($A257,'SegEnds_NonXtal_BW#'!$A:$Z,4,FALSE)+VLOOKUP($A257,A:AL,4,FALSE)-50),"-",(VLOOKUP($A257,'SegEnds_NonXtal_BW#'!$A:$Z,4,FALSE)+VLOOKUP($A257,A:AL,4,FALSE)-50))</f>
        <v>54</v>
      </c>
      <c r="F257" s="3">
        <f t="shared" si="146"/>
        <v>55</v>
      </c>
      <c r="G257" s="3">
        <v>57</v>
      </c>
      <c r="H257" s="3">
        <f t="shared" si="147"/>
        <v>58</v>
      </c>
      <c r="I257" s="3">
        <f t="shared" si="147"/>
        <v>59</v>
      </c>
      <c r="J257" s="3">
        <v>72</v>
      </c>
      <c r="K257" s="3">
        <f>VLOOKUP($A257,'SegEnds_NonXtal_BW#'!$A:$Z,8,FALSE)+VLOOKUP($A257,A:AL,10,FALSE)-50</f>
        <v>88</v>
      </c>
      <c r="L257" s="3">
        <f t="shared" si="149"/>
        <v>91</v>
      </c>
      <c r="M257" s="3">
        <v>92</v>
      </c>
      <c r="N257" s="3">
        <f t="shared" si="150"/>
        <v>94</v>
      </c>
      <c r="O257" s="3">
        <f t="shared" si="151"/>
        <v>95</v>
      </c>
      <c r="P257" s="3">
        <v>124</v>
      </c>
      <c r="Q257" s="3">
        <f>VLOOKUP($A257,'SegEnds_NonXtal_BW#'!$A:$Z,12,FALSE)+VLOOKUP($A257,A:AL,16,FALSE)-50</f>
        <v>130</v>
      </c>
      <c r="R257" s="3">
        <f>IF(ISERROR(VLOOKUP($A257,'SegEnds_NonXtal_BW#'!$A:$Z,13,FALSE)+VLOOKUP($A257,A:AL,19,FALSE)-50),"-",VLOOKUP($A257,'SegEnds_NonXtal_BW#'!$A:$Z,13,FALSE)+VLOOKUP($A257,A:AL,19,FALSE)-50)</f>
        <v>131</v>
      </c>
      <c r="S257" s="3">
        <v>131</v>
      </c>
      <c r="T257" s="100">
        <f>IF(ISERROR(VLOOKUP($A257,'SegEnds_NonXtal_BW#'!$A:$Z,14,FALSE)+VLOOKUP($A257,A:AL,19,FALSE)-50),"-",(VLOOKUP($A257,'SegEnds_NonXtal_BW#'!$A:$Z,14,FALSE)+VLOOKUP($A257,A:AL,19,FALSE)-50))</f>
        <v>139</v>
      </c>
      <c r="U257" s="9">
        <f>IF(ISERROR(VLOOKUP($A257,'SegEnds_NonXtal_BW#'!$A:$Z,15,FALSE)+VLOOKUP($A257,A:AL,22,FALSE)-50),"-",VLOOKUP($A257,'SegEnds_NonXtal_BW#'!$A:$Z,15,FALSE)+VLOOKUP($A257,A:AL,22,FALSE)-50)</f>
        <v>140</v>
      </c>
      <c r="V257" s="3">
        <v>152</v>
      </c>
      <c r="W257" s="3">
        <f>IF(ISERROR(VLOOKUP($A257,'SegEnds_NonXtal_BW#'!$A:$Z,16,FALSE)+VLOOKUP($A257,A:AL,22,FALSE)-50),"-",(VLOOKUP($A257,'SegEnds_NonXtal_BW#'!$A:$Z,16,FALSE)+VLOOKUP($A257,A:AL,22,FALSE)-50))</f>
        <v>166</v>
      </c>
      <c r="X257" s="3">
        <f>IF(ISERROR(VLOOKUP($A257,'SegEnds_NonXtal_BW#'!$A:$Z,17,FALSE)+VLOOKUP($A257,A:AL,25,FALSE)-50),"-",(VLOOKUP($A257,'SegEnds_NonXtal_BW#'!$A:$Z,17,FALSE)+VLOOKUP($A257,A:AL,25,FALSE)-50))</f>
        <v>177</v>
      </c>
      <c r="Y257" s="3">
        <v>177</v>
      </c>
      <c r="Z257" s="3">
        <f t="shared" si="144"/>
        <v>179</v>
      </c>
      <c r="AA257" s="3">
        <f>IF(ISERROR(VLOOKUP($A257,'SegEnds_NonXtal_BW#'!$A:$Z,19,FALSE)+VLOOKUP($A257,A:AL,28,FALSE)-50),"-",(VLOOKUP($A257,'SegEnds_NonXtal_BW#'!$A:$Z,19,FALSE)+VLOOKUP($A257,A:AL,28,FALSE)-50))</f>
        <v>186</v>
      </c>
      <c r="AB257" s="3">
        <v>204</v>
      </c>
      <c r="AC257" s="3">
        <f>IF(ISERROR((VLOOKUP($A257,'SegEnds_NonXtal_BW#'!$A:$Z,20,FALSE)+VLOOKUP($A257,A:AL,28,FALSE)-50)),"-",(VLOOKUP($A257,'SegEnds_NonXtal_BW#'!$A:$Z,20,FALSE)+VLOOKUP($A257,A:AL,28,FALSE)-50))</f>
        <v>226</v>
      </c>
      <c r="AD257" s="3">
        <f>IF(ISERROR(VLOOKUP($A257,'SegEnds_NonXtal_BW#'!$A:$Z,21,FALSE)+VLOOKUP($A257,A:AL,31,FALSE)-50),"-",(VLOOKUP($A257,'SegEnds_NonXtal_BW#'!$A:$Z,21,FALSE)+VLOOKUP($A257,A:AL,31,FALSE)-50))</f>
        <v>233</v>
      </c>
      <c r="AE257" s="3">
        <v>254</v>
      </c>
      <c r="AF257" s="3">
        <f>IF(ISERROR((VLOOKUP($A257,'SegEnds_NonXtal_BW#'!$A:$Z,22,FALSE)+VLOOKUP($A257,A:AL,31,FALSE)-50)),"-",(VLOOKUP($A257,'SegEnds_NonXtal_BW#'!$A:$Z,22,FALSE)+VLOOKUP($A257,A:AL,31,FALSE)-50))</f>
        <v>268</v>
      </c>
      <c r="AG257" s="3">
        <f>IF(ISERROR(VLOOKUP($A257,'SegEnds_NonXtal_BW#'!$A:$Z,23,FALSE)+VLOOKUP($A257,A:AL,34,FALSE)-50),"-",(VLOOKUP($A257,'SegEnds_NonXtal_BW#'!$A:$Z,23,FALSE)+VLOOKUP($A257,A:AL,34,FALSE)-50))</f>
        <v>272</v>
      </c>
      <c r="AH257" s="3">
        <v>298</v>
      </c>
      <c r="AI257" s="3">
        <f>IF(ISERROR((VLOOKUP($A257,'SegEnds_NonXtal_BW#'!$A:$Z,24,FALSE)+VLOOKUP($A257,A:AL,34,FALSE)-50)),"-",(VLOOKUP($A257,'SegEnds_NonXtal_BW#'!$A:$Z,24,FALSE)+VLOOKUP($A257,A:AL,34,FALSE)-50))</f>
        <v>304</v>
      </c>
      <c r="AJ257" s="3">
        <f>IF(ISERROR(VLOOKUP($A257,'SegEnds_NonXtal_BW#'!$A:$Z,25,FALSE)+VLOOKUP($A257,A:AL,37,FALSE)-50),"-",(VLOOKUP($A257,'SegEnds_NonXtal_BW#'!$A:$Z,25,FALSE)+VLOOKUP($A257,A:AL,37,FALSE)-50))</f>
        <v>305</v>
      </c>
      <c r="AK257" s="3">
        <v>308</v>
      </c>
      <c r="AL257" s="3">
        <f>IF(ISERROR((VLOOKUP($A257,'SegEnds_NonXtal_BW#'!$A:$Z,26,FALSE)+VLOOKUP($A257,A:AL,37,FALSE)-50)),"-",(VLOOKUP($A257,'SegEnds_NonXtal_BW#'!$A:$Z,26,FALSE)+VLOOKUP($A257,A:AL,37,FALSE)-50))</f>
        <v>317</v>
      </c>
      <c r="AM257" s="28" t="str">
        <f>VLOOKUP(A257,Classification!A:B,2,FALSE)</f>
        <v>A</v>
      </c>
      <c r="AN257" s="28" t="b">
        <f t="shared" si="133"/>
        <v>1</v>
      </c>
      <c r="AO257" s="3" t="str">
        <f>IF(ISERROR(MATCH(A257,'SegEnds_Xtal_Prot#'!B:B, 0)), "NoXtal", "Xtal")</f>
        <v>NoXtal</v>
      </c>
      <c r="AP257" s="3">
        <f t="shared" si="118"/>
        <v>1</v>
      </c>
      <c r="AQ257" s="3">
        <f t="shared" si="119"/>
        <v>1</v>
      </c>
      <c r="AR257" s="3">
        <f t="shared" si="120"/>
        <v>3</v>
      </c>
      <c r="AS257" s="3">
        <f t="shared" si="121"/>
        <v>1</v>
      </c>
      <c r="AT257" s="3">
        <f t="shared" si="122"/>
        <v>1</v>
      </c>
      <c r="AU257" s="3">
        <f t="shared" si="123"/>
        <v>1</v>
      </c>
      <c r="AV257" s="3">
        <f t="shared" si="124"/>
        <v>11</v>
      </c>
      <c r="AW257" s="3">
        <f t="shared" si="125"/>
        <v>7</v>
      </c>
      <c r="AX257" s="3">
        <f t="shared" si="126"/>
        <v>7</v>
      </c>
      <c r="AY257" s="3">
        <f t="shared" si="127"/>
        <v>4</v>
      </c>
      <c r="AZ257" s="3">
        <f t="shared" si="128"/>
        <v>1</v>
      </c>
      <c r="BA257" s="3">
        <f>IF(ISERROR(LEN(VLOOKUP(A257,Seqs!A:E,2,FALSE))-AL257),"-",LEN(VLOOKUP(A257,Seqs!A:E,2,FALSE))-AL257)</f>
        <v>11</v>
      </c>
      <c r="BB257" s="16">
        <f t="shared" si="129"/>
        <v>28</v>
      </c>
      <c r="BC257" s="9">
        <f t="shared" si="130"/>
        <v>21</v>
      </c>
      <c r="BD257" s="3">
        <f t="shared" si="131"/>
        <v>28</v>
      </c>
      <c r="BE257" s="3">
        <f t="shared" si="132"/>
        <v>50</v>
      </c>
      <c r="BF257" s="3">
        <f t="shared" si="148"/>
        <v>44</v>
      </c>
    </row>
    <row r="258" spans="1:58" s="3" customFormat="1" x14ac:dyDescent="0.2">
      <c r="A258" s="3" t="s">
        <v>174</v>
      </c>
      <c r="B258" s="3" t="str">
        <f>LOWER(VLOOKUP(A258,Xtal_Templ!A:B,2,FALSE))</f>
        <v>ccr9_human</v>
      </c>
      <c r="C258" s="3">
        <f>VLOOKUP($A258,'SegEnds_NonXtal_BW#'!$A:$Z,3,FALSE)+D258-50</f>
        <v>41</v>
      </c>
      <c r="D258" s="3">
        <v>64</v>
      </c>
      <c r="E258" s="3">
        <f>IF(ISERROR(VLOOKUP($A258,'SegEnds_NonXtal_BW#'!$A:$Z,4,FALSE)+VLOOKUP($A258,A:AL,4,FALSE)-50),"-",(VLOOKUP($A258,'SegEnds_NonXtal_BW#'!$A:$Z,4,FALSE)+VLOOKUP($A258,A:AL,4,FALSE)-50))</f>
        <v>74</v>
      </c>
      <c r="F258" s="3">
        <f t="shared" si="146"/>
        <v>75</v>
      </c>
      <c r="G258" s="3">
        <v>77</v>
      </c>
      <c r="H258" s="3">
        <f t="shared" si="147"/>
        <v>78</v>
      </c>
      <c r="I258" s="3">
        <f t="shared" si="147"/>
        <v>79</v>
      </c>
      <c r="J258" s="3">
        <v>92</v>
      </c>
      <c r="K258" s="3">
        <f>VLOOKUP($A258,'SegEnds_NonXtal_BW#'!$A:$Z,8,FALSE)+VLOOKUP($A258,A:AL,10,FALSE)-50</f>
        <v>108</v>
      </c>
      <c r="L258" s="3">
        <f t="shared" si="149"/>
        <v>110</v>
      </c>
      <c r="M258" s="3">
        <v>111</v>
      </c>
      <c r="N258" s="3">
        <f t="shared" si="150"/>
        <v>113</v>
      </c>
      <c r="O258" s="3">
        <f t="shared" si="151"/>
        <v>114</v>
      </c>
      <c r="P258" s="3">
        <v>143</v>
      </c>
      <c r="Q258" s="3">
        <f>VLOOKUP($A258,'SegEnds_NonXtal_BW#'!$A:$Z,12,FALSE)+VLOOKUP($A258,A:AL,16,FALSE)-50</f>
        <v>149</v>
      </c>
      <c r="R258" s="3">
        <f>IF(ISERROR(VLOOKUP($A258,'SegEnds_NonXtal_BW#'!$A:$Z,13,FALSE)+VLOOKUP($A258,A:AL,19,FALSE)-50),"-",VLOOKUP($A258,'SegEnds_NonXtal_BW#'!$A:$Z,13,FALSE)+VLOOKUP($A258,A:AL,19,FALSE)-50)</f>
        <v>150</v>
      </c>
      <c r="S258" s="3">
        <v>150</v>
      </c>
      <c r="T258" s="100">
        <f>IF(ISERROR(VLOOKUP($A258,'SegEnds_NonXtal_BW#'!$A:$Z,14,FALSE)+VLOOKUP($A258,A:AL,19,FALSE)-50),"-",(VLOOKUP($A258,'SegEnds_NonXtal_BW#'!$A:$Z,14,FALSE)+VLOOKUP($A258,A:AL,19,FALSE)-50))</f>
        <v>158</v>
      </c>
      <c r="U258" s="9">
        <f>IF(ISERROR(VLOOKUP($A258,'SegEnds_NonXtal_BW#'!$A:$Z,15,FALSE)+VLOOKUP($A258,A:AL,22,FALSE)-50),"-",VLOOKUP($A258,'SegEnds_NonXtal_BW#'!$A:$Z,15,FALSE)+VLOOKUP($A258,A:AL,22,FALSE)-50)</f>
        <v>160</v>
      </c>
      <c r="V258" s="3">
        <v>172</v>
      </c>
      <c r="W258" s="3">
        <f>IF(ISERROR(VLOOKUP($A258,'SegEnds_NonXtal_BW#'!$A:$Z,16,FALSE)+VLOOKUP($A258,A:AL,22,FALSE)-50),"-",(VLOOKUP($A258,'SegEnds_NonXtal_BW#'!$A:$Z,16,FALSE)+VLOOKUP($A258,A:AL,22,FALSE)-50))</f>
        <v>186</v>
      </c>
      <c r="X258" s="3">
        <f>IF(ISERROR(VLOOKUP($A258,'SegEnds_NonXtal_BW#'!$A:$Z,17,FALSE)+VLOOKUP($A258,A:AL,25,FALSE)-50),"-",(VLOOKUP($A258,'SegEnds_NonXtal_BW#'!$A:$Z,17,FALSE)+VLOOKUP($A258,A:AL,25,FALSE)-50))</f>
        <v>197</v>
      </c>
      <c r="Y258" s="3">
        <v>197</v>
      </c>
      <c r="Z258" s="3">
        <f t="shared" si="144"/>
        <v>199</v>
      </c>
      <c r="AA258" s="3">
        <f>IF(ISERROR(VLOOKUP($A258,'SegEnds_NonXtal_BW#'!$A:$Z,19,FALSE)+VLOOKUP($A258,A:AL,28,FALSE)-50),"-",(VLOOKUP($A258,'SegEnds_NonXtal_BW#'!$A:$Z,19,FALSE)+VLOOKUP($A258,A:AL,28,FALSE)-50))</f>
        <v>209</v>
      </c>
      <c r="AB258" s="3">
        <v>226</v>
      </c>
      <c r="AC258" s="3">
        <f>IF(ISERROR((VLOOKUP($A258,'SegEnds_NonXtal_BW#'!$A:$Z,20,FALSE)+VLOOKUP($A258,A:AL,28,FALSE)-50)),"-",(VLOOKUP($A258,'SegEnds_NonXtal_BW#'!$A:$Z,20,FALSE)+VLOOKUP($A258,A:AL,28,FALSE)-50))</f>
        <v>244</v>
      </c>
      <c r="AD258" s="3">
        <f>IF(ISERROR(VLOOKUP($A258,'SegEnds_NonXtal_BW#'!$A:$Z,21,FALSE)+VLOOKUP($A258,A:AL,31,FALSE)-50),"-",(VLOOKUP($A258,'SegEnds_NonXtal_BW#'!$A:$Z,21,FALSE)+VLOOKUP($A258,A:AL,31,FALSE)-50))</f>
        <v>249</v>
      </c>
      <c r="AE258" s="3">
        <v>269</v>
      </c>
      <c r="AF258" s="3">
        <f>IF(ISERROR((VLOOKUP($A258,'SegEnds_NonXtal_BW#'!$A:$Z,22,FALSE)+VLOOKUP($A258,A:AL,31,FALSE)-50)),"-",(VLOOKUP($A258,'SegEnds_NonXtal_BW#'!$A:$Z,22,FALSE)+VLOOKUP($A258,A:AL,31,FALSE)-50))</f>
        <v>284</v>
      </c>
      <c r="AG258" s="3">
        <f>IF(ISERROR(VLOOKUP($A258,'SegEnds_NonXtal_BW#'!$A:$Z,23,FALSE)+VLOOKUP($A258,A:AL,34,FALSE)-50),"-",(VLOOKUP($A258,'SegEnds_NonXtal_BW#'!$A:$Z,23,FALSE)+VLOOKUP($A258,A:AL,34,FALSE)-50))</f>
        <v>287</v>
      </c>
      <c r="AH258" s="3">
        <v>313</v>
      </c>
      <c r="AI258" s="3">
        <f>IF(ISERROR((VLOOKUP($A258,'SegEnds_NonXtal_BW#'!$A:$Z,24,FALSE)+VLOOKUP($A258,A:AL,34,FALSE)-50)),"-",(VLOOKUP($A258,'SegEnds_NonXtal_BW#'!$A:$Z,24,FALSE)+VLOOKUP($A258,A:AL,34,FALSE)-50))</f>
        <v>319</v>
      </c>
      <c r="AJ258" s="3">
        <f>IF(ISERROR(VLOOKUP($A258,'SegEnds_NonXtal_BW#'!$A:$Z,25,FALSE)+VLOOKUP($A258,A:AL,37,FALSE)-50),"-",(VLOOKUP($A258,'SegEnds_NonXtal_BW#'!$A:$Z,25,FALSE)+VLOOKUP($A258,A:AL,37,FALSE)-50))</f>
        <v>320</v>
      </c>
      <c r="AK258" s="3">
        <v>323</v>
      </c>
      <c r="AL258" s="3">
        <f>IF(ISERROR((VLOOKUP($A258,'SegEnds_NonXtal_BW#'!$A:$Z,26,FALSE)+VLOOKUP($A258,A:AL,37,FALSE)-50)),"-",(VLOOKUP($A258,'SegEnds_NonXtal_BW#'!$A:$Z,26,FALSE)+VLOOKUP($A258,A:AL,37,FALSE)-50))</f>
        <v>340</v>
      </c>
      <c r="AM258" s="28" t="str">
        <f>VLOOKUP(A258,Classification!A:B,2,FALSE)</f>
        <v>A</v>
      </c>
      <c r="AN258" s="28" t="b">
        <f t="shared" si="133"/>
        <v>1</v>
      </c>
      <c r="AO258" s="3" t="str">
        <f>IF(ISERROR(MATCH(A258,'SegEnds_Xtal_Prot#'!B:B, 0)), "NoXtal", "Xtal")</f>
        <v>NoXtal</v>
      </c>
      <c r="AP258" s="3">
        <f t="shared" si="118"/>
        <v>1</v>
      </c>
      <c r="AQ258" s="3">
        <f t="shared" si="119"/>
        <v>1</v>
      </c>
      <c r="AR258" s="3">
        <f t="shared" si="120"/>
        <v>2</v>
      </c>
      <c r="AS258" s="3">
        <f t="shared" si="121"/>
        <v>1</v>
      </c>
      <c r="AT258" s="3">
        <f t="shared" si="122"/>
        <v>1</v>
      </c>
      <c r="AU258" s="3">
        <f t="shared" si="123"/>
        <v>2</v>
      </c>
      <c r="AV258" s="3">
        <f t="shared" si="124"/>
        <v>11</v>
      </c>
      <c r="AW258" s="3">
        <f t="shared" si="125"/>
        <v>10</v>
      </c>
      <c r="AX258" s="3">
        <f t="shared" si="126"/>
        <v>5</v>
      </c>
      <c r="AY258" s="3">
        <f t="shared" si="127"/>
        <v>3</v>
      </c>
      <c r="AZ258" s="3">
        <f t="shared" si="128"/>
        <v>1</v>
      </c>
      <c r="BA258" s="3">
        <f>IF(ISERROR(LEN(VLOOKUP(A258,Seqs!A:E,2,FALSE))-AL258),"-",LEN(VLOOKUP(A258,Seqs!A:E,2,FALSE))-AL258)</f>
        <v>34</v>
      </c>
      <c r="BB258" s="16">
        <f t="shared" si="129"/>
        <v>28</v>
      </c>
      <c r="BC258" s="9">
        <f t="shared" si="130"/>
        <v>22</v>
      </c>
      <c r="BD258" s="3">
        <f t="shared" si="131"/>
        <v>28</v>
      </c>
      <c r="BE258" s="3">
        <f t="shared" si="132"/>
        <v>43</v>
      </c>
    </row>
    <row r="259" spans="1:58" s="3" customFormat="1" x14ac:dyDescent="0.2">
      <c r="A259" s="3" t="s">
        <v>175</v>
      </c>
      <c r="B259" s="3" t="str">
        <f>LOWER(VLOOKUP(A259,Xtal_Templ!A:B,2,FALSE))</f>
        <v>ccr9_human</v>
      </c>
      <c r="C259" s="3">
        <f>VLOOKUP($A259,'SegEnds_NonXtal_BW#'!$A:$Z,3,FALSE)+D259-50</f>
        <v>53</v>
      </c>
      <c r="D259" s="3">
        <v>76</v>
      </c>
      <c r="E259" s="3">
        <f>IF(ISERROR(VLOOKUP($A259,'SegEnds_NonXtal_BW#'!$A:$Z,4,FALSE)+VLOOKUP($A259,A:AL,4,FALSE)-50),"-",(VLOOKUP($A259,'SegEnds_NonXtal_BW#'!$A:$Z,4,FALSE)+VLOOKUP($A259,A:AL,4,FALSE)-50))</f>
        <v>86</v>
      </c>
      <c r="F259" s="3">
        <f t="shared" si="146"/>
        <v>87</v>
      </c>
      <c r="G259" s="3">
        <v>89</v>
      </c>
      <c r="H259" s="3">
        <f t="shared" si="147"/>
        <v>90</v>
      </c>
      <c r="I259" s="3">
        <f t="shared" si="147"/>
        <v>91</v>
      </c>
      <c r="J259" s="3">
        <v>104</v>
      </c>
      <c r="K259" s="3">
        <f>VLOOKUP($A259,'SegEnds_NonXtal_BW#'!$A:$Z,8,FALSE)+VLOOKUP($A259,A:AL,10,FALSE)-50</f>
        <v>120</v>
      </c>
      <c r="L259" s="3">
        <f t="shared" si="149"/>
        <v>121</v>
      </c>
      <c r="M259" s="3">
        <v>122</v>
      </c>
      <c r="N259" s="3">
        <f t="shared" si="150"/>
        <v>124</v>
      </c>
      <c r="O259" s="3">
        <f t="shared" si="151"/>
        <v>125</v>
      </c>
      <c r="P259" s="3">
        <v>154</v>
      </c>
      <c r="Q259" s="3">
        <f>VLOOKUP($A259,'SegEnds_NonXtal_BW#'!$A:$Z,12,FALSE)+VLOOKUP($A259,A:AL,16,FALSE)-50</f>
        <v>160</v>
      </c>
      <c r="R259" s="3">
        <f>IF(ISERROR(VLOOKUP($A259,'SegEnds_NonXtal_BW#'!$A:$Z,13,FALSE)+VLOOKUP($A259,A:AL,19,FALSE)-50),"-",VLOOKUP($A259,'SegEnds_NonXtal_BW#'!$A:$Z,13,FALSE)+VLOOKUP($A259,A:AL,19,FALSE)-50)</f>
        <v>161</v>
      </c>
      <c r="S259" s="3">
        <v>161</v>
      </c>
      <c r="T259" s="100">
        <f>IF(ISERROR(VLOOKUP($A259,'SegEnds_NonXtal_BW#'!$A:$Z,14,FALSE)+VLOOKUP($A259,A:AL,19,FALSE)-50),"-",(VLOOKUP($A259,'SegEnds_NonXtal_BW#'!$A:$Z,14,FALSE)+VLOOKUP($A259,A:AL,19,FALSE)-50))</f>
        <v>169</v>
      </c>
      <c r="U259" s="9">
        <f>IF(ISERROR(VLOOKUP($A259,'SegEnds_NonXtal_BW#'!$A:$Z,15,FALSE)+VLOOKUP($A259,A:AL,22,FALSE)-50),"-",VLOOKUP($A259,'SegEnds_NonXtal_BW#'!$A:$Z,15,FALSE)+VLOOKUP($A259,A:AL,22,FALSE)-50)</f>
        <v>171</v>
      </c>
      <c r="V259" s="3">
        <v>183</v>
      </c>
      <c r="W259" s="3">
        <f>IF(ISERROR(VLOOKUP($A259,'SegEnds_NonXtal_BW#'!$A:$Z,16,FALSE)+VLOOKUP($A259,A:AL,22,FALSE)-50),"-",(VLOOKUP($A259,'SegEnds_NonXtal_BW#'!$A:$Z,16,FALSE)+VLOOKUP($A259,A:AL,22,FALSE)-50))</f>
        <v>197</v>
      </c>
      <c r="X259" s="3">
        <f>IF(ISERROR(VLOOKUP($A259,'SegEnds_NonXtal_BW#'!$A:$Z,17,FALSE)+VLOOKUP($A259,A:AL,25,FALSE)-50),"-",(VLOOKUP($A259,'SegEnds_NonXtal_BW#'!$A:$Z,17,FALSE)+VLOOKUP($A259,A:AL,25,FALSE)-50))</f>
        <v>210</v>
      </c>
      <c r="Y259" s="3">
        <v>210</v>
      </c>
      <c r="Z259" s="3">
        <f t="shared" si="144"/>
        <v>212</v>
      </c>
      <c r="AA259" s="3">
        <f>IF(ISERROR(VLOOKUP($A259,'SegEnds_NonXtal_BW#'!$A:$Z,19,FALSE)+VLOOKUP($A259,A:AL,28,FALSE)-50),"-",(VLOOKUP($A259,'SegEnds_NonXtal_BW#'!$A:$Z,19,FALSE)+VLOOKUP($A259,A:AL,28,FALSE)-50))</f>
        <v>218</v>
      </c>
      <c r="AB259" s="3">
        <v>235</v>
      </c>
      <c r="AC259" s="3">
        <f>IF(ISERROR((VLOOKUP($A259,'SegEnds_NonXtal_BW#'!$A:$Z,20,FALSE)+VLOOKUP($A259,A:AL,28,FALSE)-50)),"-",(VLOOKUP($A259,'SegEnds_NonXtal_BW#'!$A:$Z,20,FALSE)+VLOOKUP($A259,A:AL,28,FALSE)-50))</f>
        <v>253</v>
      </c>
      <c r="AD259" s="3">
        <f>IF(ISERROR(VLOOKUP($A259,'SegEnds_NonXtal_BW#'!$A:$Z,21,FALSE)+VLOOKUP($A259,A:AL,31,FALSE)-50),"-",(VLOOKUP($A259,'SegEnds_NonXtal_BW#'!$A:$Z,21,FALSE)+VLOOKUP($A259,A:AL,31,FALSE)-50))</f>
        <v>258</v>
      </c>
      <c r="AE259" s="3">
        <v>278</v>
      </c>
      <c r="AF259" s="3">
        <f>IF(ISERROR((VLOOKUP($A259,'SegEnds_NonXtal_BW#'!$A:$Z,22,FALSE)+VLOOKUP($A259,A:AL,31,FALSE)-50)),"-",(VLOOKUP($A259,'SegEnds_NonXtal_BW#'!$A:$Z,22,FALSE)+VLOOKUP($A259,A:AL,31,FALSE)-50))</f>
        <v>293</v>
      </c>
      <c r="AG259" s="3">
        <f>IF(ISERROR(VLOOKUP($A259,'SegEnds_NonXtal_BW#'!$A:$Z,23,FALSE)+VLOOKUP($A259,A:AL,34,FALSE)-50),"-",(VLOOKUP($A259,'SegEnds_NonXtal_BW#'!$A:$Z,23,FALSE)+VLOOKUP($A259,A:AL,34,FALSE)-50))</f>
        <v>297</v>
      </c>
      <c r="AH259" s="3">
        <v>323</v>
      </c>
      <c r="AI259" s="3">
        <f>IF(ISERROR((VLOOKUP($A259,'SegEnds_NonXtal_BW#'!$A:$Z,24,FALSE)+VLOOKUP($A259,A:AL,34,FALSE)-50)),"-",(VLOOKUP($A259,'SegEnds_NonXtal_BW#'!$A:$Z,24,FALSE)+VLOOKUP($A259,A:AL,34,FALSE)-50))</f>
        <v>329</v>
      </c>
      <c r="AJ259" s="3">
        <f>IF(ISERROR(VLOOKUP($A259,'SegEnds_NonXtal_BW#'!$A:$Z,25,FALSE)+VLOOKUP($A259,A:AL,37,FALSE)-50),"-",(VLOOKUP($A259,'SegEnds_NonXtal_BW#'!$A:$Z,25,FALSE)+VLOOKUP($A259,A:AL,37,FALSE)-50))</f>
        <v>330</v>
      </c>
      <c r="AK259" s="3">
        <v>333</v>
      </c>
      <c r="AL259" s="3">
        <f>IF(ISERROR((VLOOKUP($A259,'SegEnds_NonXtal_BW#'!$A:$Z,26,FALSE)+VLOOKUP($A259,A:AL,37,FALSE)-50)),"-",(VLOOKUP($A259,'SegEnds_NonXtal_BW#'!$A:$Z,26,FALSE)+VLOOKUP($A259,A:AL,37,FALSE)-50))</f>
        <v>350</v>
      </c>
      <c r="AM259" s="28" t="str">
        <f>VLOOKUP(A259,Classification!A:B,2,FALSE)</f>
        <v>A</v>
      </c>
      <c r="AN259" s="28" t="b">
        <f t="shared" si="133"/>
        <v>1</v>
      </c>
      <c r="AO259" s="3" t="str">
        <f>IF(ISERROR(MATCH(A259,'SegEnds_Xtal_Prot#'!B:B, 0)), "NoXtal", "Xtal")</f>
        <v>NoXtal</v>
      </c>
      <c r="AP259" s="3">
        <f t="shared" si="118"/>
        <v>1</v>
      </c>
      <c r="AQ259" s="3">
        <f t="shared" si="119"/>
        <v>1</v>
      </c>
      <c r="AR259" s="3">
        <f t="shared" si="120"/>
        <v>1</v>
      </c>
      <c r="AS259" s="3">
        <f t="shared" si="121"/>
        <v>1</v>
      </c>
      <c r="AT259" s="3">
        <f t="shared" si="122"/>
        <v>1</v>
      </c>
      <c r="AU259" s="3">
        <f t="shared" si="123"/>
        <v>2</v>
      </c>
      <c r="AV259" s="3">
        <f t="shared" si="124"/>
        <v>13</v>
      </c>
      <c r="AW259" s="3">
        <f t="shared" si="125"/>
        <v>6</v>
      </c>
      <c r="AX259" s="3">
        <f t="shared" si="126"/>
        <v>5</v>
      </c>
      <c r="AY259" s="3">
        <f t="shared" si="127"/>
        <v>4</v>
      </c>
      <c r="AZ259" s="3">
        <f t="shared" si="128"/>
        <v>1</v>
      </c>
      <c r="BA259" s="3">
        <f>IF(ISERROR(LEN(VLOOKUP(A259,Seqs!A:E,2,FALSE))-AL259),"-",LEN(VLOOKUP(A259,Seqs!A:E,2,FALSE))-AL259)</f>
        <v>28</v>
      </c>
      <c r="BB259" s="16">
        <f t="shared" si="129"/>
        <v>28</v>
      </c>
      <c r="BC259" s="9">
        <f t="shared" si="130"/>
        <v>22</v>
      </c>
      <c r="BD259" s="3">
        <f t="shared" si="131"/>
        <v>28</v>
      </c>
      <c r="BE259" s="3">
        <f t="shared" si="132"/>
        <v>43</v>
      </c>
    </row>
    <row r="260" spans="1:58" s="3" customFormat="1" x14ac:dyDescent="0.2">
      <c r="A260" s="3" t="s">
        <v>177</v>
      </c>
      <c r="B260" s="3" t="str">
        <f>LOWER(VLOOKUP(A260,Xtal_Templ!A:B,2,FALSE))</f>
        <v>ccr9_human</v>
      </c>
      <c r="C260" s="3">
        <f>VLOOKUP($A260,'SegEnds_NonXtal_BW#'!$A:$Z,3,FALSE)+D260-50</f>
        <v>43</v>
      </c>
      <c r="D260" s="3">
        <v>66</v>
      </c>
      <c r="E260" s="3">
        <f>IF(ISERROR(VLOOKUP($A260,'SegEnds_NonXtal_BW#'!$A:$Z,4,FALSE)+VLOOKUP($A260,A:AL,4,FALSE)-50),"-",(VLOOKUP($A260,'SegEnds_NonXtal_BW#'!$A:$Z,4,FALSE)+VLOOKUP($A260,A:AL,4,FALSE)-50))</f>
        <v>76</v>
      </c>
      <c r="F260" s="3">
        <f t="shared" si="146"/>
        <v>77</v>
      </c>
      <c r="G260" s="3">
        <v>79</v>
      </c>
      <c r="H260" s="3">
        <f t="shared" si="147"/>
        <v>80</v>
      </c>
      <c r="I260" s="3">
        <f t="shared" si="147"/>
        <v>81</v>
      </c>
      <c r="J260" s="3">
        <v>94</v>
      </c>
      <c r="K260" s="3">
        <f>VLOOKUP($A260,'SegEnds_NonXtal_BW#'!$A:$Z,8,FALSE)+VLOOKUP($A260,A:AL,10,FALSE)-50</f>
        <v>110</v>
      </c>
      <c r="L260" s="3">
        <f t="shared" si="149"/>
        <v>111</v>
      </c>
      <c r="M260" s="3">
        <v>112</v>
      </c>
      <c r="N260" s="3">
        <f t="shared" si="150"/>
        <v>114</v>
      </c>
      <c r="O260" s="3">
        <f t="shared" si="151"/>
        <v>115</v>
      </c>
      <c r="P260" s="3">
        <v>144</v>
      </c>
      <c r="Q260" s="3">
        <f>VLOOKUP($A260,'SegEnds_NonXtal_BW#'!$A:$Z,12,FALSE)+VLOOKUP($A260,A:AL,16,FALSE)-50</f>
        <v>150</v>
      </c>
      <c r="R260" s="3">
        <f>IF(ISERROR(VLOOKUP($A260,'SegEnds_NonXtal_BW#'!$A:$Z,13,FALSE)+VLOOKUP($A260,A:AL,19,FALSE)-50),"-",VLOOKUP($A260,'SegEnds_NonXtal_BW#'!$A:$Z,13,FALSE)+VLOOKUP($A260,A:AL,19,FALSE)-50)</f>
        <v>151</v>
      </c>
      <c r="S260" s="3">
        <v>151</v>
      </c>
      <c r="T260" s="100">
        <f>IF(ISERROR(VLOOKUP($A260,'SegEnds_NonXtal_BW#'!$A:$Z,14,FALSE)+VLOOKUP($A260,A:AL,19,FALSE)-50),"-",(VLOOKUP($A260,'SegEnds_NonXtal_BW#'!$A:$Z,14,FALSE)+VLOOKUP($A260,A:AL,19,FALSE)-50))</f>
        <v>157</v>
      </c>
      <c r="U260" s="9">
        <f>IF(ISERROR(VLOOKUP($A260,'SegEnds_NonXtal_BW#'!$A:$Z,15,FALSE)+VLOOKUP($A260,A:AL,22,FALSE)-50),"-",VLOOKUP($A260,'SegEnds_NonXtal_BW#'!$A:$Z,15,FALSE)+VLOOKUP($A260,A:AL,22,FALSE)-50)</f>
        <v>158</v>
      </c>
      <c r="V260" s="3">
        <v>173</v>
      </c>
      <c r="W260" s="3">
        <f>IF(ISERROR(VLOOKUP($A260,'SegEnds_NonXtal_BW#'!$A:$Z,16,FALSE)+VLOOKUP($A260,A:AL,22,FALSE)-50),"-",(VLOOKUP($A260,'SegEnds_NonXtal_BW#'!$A:$Z,16,FALSE)+VLOOKUP($A260,A:AL,22,FALSE)-50))</f>
        <v>187</v>
      </c>
      <c r="X260" s="3">
        <f>IF(ISERROR(VLOOKUP($A260,'SegEnds_NonXtal_BW#'!$A:$Z,17,FALSE)+VLOOKUP($A260,A:AL,25,FALSE)-50),"-",(VLOOKUP($A260,'SegEnds_NonXtal_BW#'!$A:$Z,17,FALSE)+VLOOKUP($A260,A:AL,25,FALSE)-50))</f>
        <v>198</v>
      </c>
      <c r="Y260" s="3">
        <v>198</v>
      </c>
      <c r="Z260" s="3">
        <f t="shared" si="144"/>
        <v>200</v>
      </c>
      <c r="AA260" s="3">
        <f>IF(ISERROR(VLOOKUP($A260,'SegEnds_NonXtal_BW#'!$A:$Z,19,FALSE)+VLOOKUP($A260,A:AL,28,FALSE)-50),"-",(VLOOKUP($A260,'SegEnds_NonXtal_BW#'!$A:$Z,19,FALSE)+VLOOKUP($A260,A:AL,28,FALSE)-50))</f>
        <v>209</v>
      </c>
      <c r="AB260" s="3">
        <v>226</v>
      </c>
      <c r="AC260" s="3">
        <f>IF(ISERROR((VLOOKUP($A260,'SegEnds_NonXtal_BW#'!$A:$Z,20,FALSE)+VLOOKUP($A260,A:AL,28,FALSE)-50)),"-",(VLOOKUP($A260,'SegEnds_NonXtal_BW#'!$A:$Z,20,FALSE)+VLOOKUP($A260,A:AL,28,FALSE)-50))</f>
        <v>244</v>
      </c>
      <c r="AD260" s="3">
        <f>IF(ISERROR(VLOOKUP($A260,'SegEnds_NonXtal_BW#'!$A:$Z,21,FALSE)+VLOOKUP($A260,A:AL,31,FALSE)-50),"-",(VLOOKUP($A260,'SegEnds_NonXtal_BW#'!$A:$Z,21,FALSE)+VLOOKUP($A260,A:AL,31,FALSE)-50))</f>
        <v>249</v>
      </c>
      <c r="AE260" s="3">
        <v>269</v>
      </c>
      <c r="AF260" s="3">
        <f>IF(ISERROR((VLOOKUP($A260,'SegEnds_NonXtal_BW#'!$A:$Z,22,FALSE)+VLOOKUP($A260,A:AL,31,FALSE)-50)),"-",(VLOOKUP($A260,'SegEnds_NonXtal_BW#'!$A:$Z,22,FALSE)+VLOOKUP($A260,A:AL,31,FALSE)-50))</f>
        <v>284</v>
      </c>
      <c r="AG260" s="3">
        <f>IF(ISERROR(VLOOKUP($A260,'SegEnds_NonXtal_BW#'!$A:$Z,23,FALSE)+VLOOKUP($A260,A:AL,34,FALSE)-50),"-",(VLOOKUP($A260,'SegEnds_NonXtal_BW#'!$A:$Z,23,FALSE)+VLOOKUP($A260,A:AL,34,FALSE)-50))</f>
        <v>288</v>
      </c>
      <c r="AH260" s="3">
        <v>314</v>
      </c>
      <c r="AI260" s="3">
        <f>IF(ISERROR((VLOOKUP($A260,'SegEnds_NonXtal_BW#'!$A:$Z,24,FALSE)+VLOOKUP($A260,A:AL,34,FALSE)-50)),"-",(VLOOKUP($A260,'SegEnds_NonXtal_BW#'!$A:$Z,24,FALSE)+VLOOKUP($A260,A:AL,34,FALSE)-50))</f>
        <v>320</v>
      </c>
      <c r="AJ260" s="3">
        <f>IF(ISERROR(VLOOKUP($A260,'SegEnds_NonXtal_BW#'!$A:$Z,25,FALSE)+VLOOKUP($A260,A:AL,37,FALSE)-50),"-",(VLOOKUP($A260,'SegEnds_NonXtal_BW#'!$A:$Z,25,FALSE)+VLOOKUP($A260,A:AL,37,FALSE)-50))</f>
        <v>321</v>
      </c>
      <c r="AK260" s="3">
        <v>324</v>
      </c>
      <c r="AL260" s="3">
        <f>IF(ISERROR((VLOOKUP($A260,'SegEnds_NonXtal_BW#'!$A:$Z,26,FALSE)+VLOOKUP($A260,A:AL,37,FALSE)-50)),"-",(VLOOKUP($A260,'SegEnds_NonXtal_BW#'!$A:$Z,26,FALSE)+VLOOKUP($A260,A:AL,37,FALSE)-50))</f>
        <v>341</v>
      </c>
      <c r="AM260" s="28" t="str">
        <f>VLOOKUP(A260,Classification!A:B,2,FALSE)</f>
        <v>A</v>
      </c>
      <c r="AN260" s="28" t="b">
        <f t="shared" si="133"/>
        <v>1</v>
      </c>
      <c r="AO260" s="3" t="str">
        <f>IF(ISERROR(MATCH(A260,'SegEnds_Xtal_Prot#'!B:B, 0)), "NoXtal", "Xtal")</f>
        <v>Xtal</v>
      </c>
      <c r="AP260" s="3">
        <f t="shared" ref="AP260:AP324" si="152">IF(ISERROR(F260-E260),"-",F260-E260)</f>
        <v>1</v>
      </c>
      <c r="AQ260" s="3">
        <f t="shared" ref="AQ260:AQ324" si="153">IF(ISERROR(I260-H260),"-",I260-H260)</f>
        <v>1</v>
      </c>
      <c r="AR260" s="3">
        <f t="shared" ref="AR260:AR324" si="154">IF(ISERROR(L260-K260),"-",L260-K260)</f>
        <v>1</v>
      </c>
      <c r="AS260" s="3">
        <f t="shared" ref="AS260:AS324" si="155">IF(ISERROR(O260-N260),"-",O260-N260)</f>
        <v>1</v>
      </c>
      <c r="AT260" s="3">
        <f t="shared" ref="AT260:AT324" si="156">IF(ISERROR(R260-Q260),"-",R260-Q260)</f>
        <v>1</v>
      </c>
      <c r="AU260" s="3">
        <f t="shared" ref="AU260:AU324" si="157">IF(ISERROR(U260-T260),"-",U260-T260)</f>
        <v>1</v>
      </c>
      <c r="AV260" s="3">
        <f t="shared" ref="AV260:AV324" si="158">IF(ISERROR(X260-W260),"-",X260-W260)</f>
        <v>11</v>
      </c>
      <c r="AW260" s="3">
        <f t="shared" ref="AW260:AW324" si="159">IF(ISERROR(AA260-Z260),"-",AA260-Z260)</f>
        <v>9</v>
      </c>
      <c r="AX260" s="3">
        <f t="shared" ref="AX260:AX324" si="160">IF(ISERROR(AD260-AC260),"-",AD260-AC260)</f>
        <v>5</v>
      </c>
      <c r="AY260" s="3">
        <f t="shared" ref="AY260:AY324" si="161">IF(ISERROR(AG260-AF260),"-",AG260-AF260)</f>
        <v>4</v>
      </c>
      <c r="AZ260" s="3">
        <f t="shared" ref="AZ260:AZ324" si="162">IF(ISERROR(AJ260-AI260),"-",AJ260-AI260)</f>
        <v>1</v>
      </c>
      <c r="BA260" s="3">
        <f>IF(ISERROR(LEN(VLOOKUP(A260,Seqs!A:E,2,FALSE))-AL260),"-",LEN(VLOOKUP(A260,Seqs!A:E,2,FALSE))-AL260)</f>
        <v>28</v>
      </c>
      <c r="BB260" s="16">
        <f t="shared" ref="BB260:BB324" si="163">J260-D260</f>
        <v>28</v>
      </c>
      <c r="BC260" s="9">
        <f t="shared" ref="BC260:BC324" si="164">IF(ISERROR(V260-S260),"-",V260-S260)</f>
        <v>22</v>
      </c>
      <c r="BD260" s="3">
        <f t="shared" ref="BD260:BD324" si="165">J260-D260</f>
        <v>28</v>
      </c>
      <c r="BE260" s="3">
        <f t="shared" ref="BE260:BE324" si="166">AE260-AB260</f>
        <v>43</v>
      </c>
    </row>
    <row r="261" spans="1:58" s="3" customFormat="1" x14ac:dyDescent="0.2">
      <c r="A261" s="3" t="s">
        <v>189</v>
      </c>
      <c r="B261" s="3" t="str">
        <f>LOWER(VLOOKUP(A261,Xtal_Templ!A:B,2,FALSE))</f>
        <v>ccr9_human</v>
      </c>
      <c r="C261" s="3">
        <f>VLOOKUP($A261,'SegEnds_NonXtal_BW#'!$A:$Z,3,FALSE)+D261-50</f>
        <v>26</v>
      </c>
      <c r="D261" s="3">
        <v>49</v>
      </c>
      <c r="E261" s="3">
        <f>IF(ISERROR(VLOOKUP($A261,'SegEnds_NonXtal_BW#'!$A:$Z,4,FALSE)+VLOOKUP($A261,A:AL,4,FALSE)-50),"-",(VLOOKUP($A261,'SegEnds_NonXtal_BW#'!$A:$Z,4,FALSE)+VLOOKUP($A261,A:AL,4,FALSE)-50))</f>
        <v>59</v>
      </c>
      <c r="F261" s="3">
        <f t="shared" si="146"/>
        <v>60</v>
      </c>
      <c r="G261" s="3">
        <v>62</v>
      </c>
      <c r="H261" s="3">
        <f t="shared" si="147"/>
        <v>63</v>
      </c>
      <c r="I261" s="3">
        <f t="shared" si="147"/>
        <v>64</v>
      </c>
      <c r="J261" s="3">
        <v>77</v>
      </c>
      <c r="K261" s="3">
        <f>VLOOKUP($A261,'SegEnds_NonXtal_BW#'!$A:$Z,8,FALSE)+VLOOKUP($A261,A:AL,10,FALSE)-50</f>
        <v>93</v>
      </c>
      <c r="L261" s="3">
        <f t="shared" si="149"/>
        <v>94</v>
      </c>
      <c r="M261" s="3">
        <v>95</v>
      </c>
      <c r="N261" s="3">
        <f t="shared" si="150"/>
        <v>97</v>
      </c>
      <c r="O261" s="3">
        <f t="shared" si="151"/>
        <v>98</v>
      </c>
      <c r="P261" s="3">
        <v>127</v>
      </c>
      <c r="Q261" s="3">
        <f>VLOOKUP($A261,'SegEnds_NonXtal_BW#'!$A:$Z,12,FALSE)+VLOOKUP($A261,A:AL,16,FALSE)-50</f>
        <v>133</v>
      </c>
      <c r="R261" s="3">
        <f>IF(ISERROR(VLOOKUP($A261,'SegEnds_NonXtal_BW#'!$A:$Z,13,FALSE)+VLOOKUP($A261,A:AL,19,FALSE)-50),"-",VLOOKUP($A261,'SegEnds_NonXtal_BW#'!$A:$Z,13,FALSE)+VLOOKUP($A261,A:AL,19,FALSE)-50)</f>
        <v>134</v>
      </c>
      <c r="S261" s="3">
        <v>134</v>
      </c>
      <c r="T261" s="100">
        <f>IF(ISERROR(VLOOKUP($A261,'SegEnds_NonXtal_BW#'!$A:$Z,14,FALSE)+VLOOKUP($A261,A:AL,19,FALSE)-50),"-",(VLOOKUP($A261,'SegEnds_NonXtal_BW#'!$A:$Z,14,FALSE)+VLOOKUP($A261,A:AL,19,FALSE)-50))</f>
        <v>142</v>
      </c>
      <c r="U261" s="9">
        <f>IF(ISERROR(VLOOKUP($A261,'SegEnds_NonXtal_BW#'!$A:$Z,15,FALSE)+VLOOKUP($A261,A:AL,22,FALSE)-50),"-",VLOOKUP($A261,'SegEnds_NonXtal_BW#'!$A:$Z,15,FALSE)+VLOOKUP($A261,A:AL,22,FALSE)-50)</f>
        <v>144</v>
      </c>
      <c r="V261" s="3">
        <v>156</v>
      </c>
      <c r="W261" s="3">
        <f>IF(ISERROR(VLOOKUP($A261,'SegEnds_NonXtal_BW#'!$A:$Z,16,FALSE)+VLOOKUP($A261,A:AL,22,FALSE)-50),"-",(VLOOKUP($A261,'SegEnds_NonXtal_BW#'!$A:$Z,16,FALSE)+VLOOKUP($A261,A:AL,22,FALSE)-50))</f>
        <v>170</v>
      </c>
      <c r="X261" s="3">
        <f>IF(ISERROR(VLOOKUP($A261,'SegEnds_NonXtal_BW#'!$A:$Z,17,FALSE)+VLOOKUP($A261,A:AL,25,FALSE)-50),"-",(VLOOKUP($A261,'SegEnds_NonXtal_BW#'!$A:$Z,17,FALSE)+VLOOKUP($A261,A:AL,25,FALSE)-50))</f>
        <v>180</v>
      </c>
      <c r="Y261" s="3">
        <v>180</v>
      </c>
      <c r="Z261" s="3">
        <f t="shared" si="144"/>
        <v>182</v>
      </c>
      <c r="AA261" s="3">
        <f>IF(ISERROR(VLOOKUP($A261,'SegEnds_NonXtal_BW#'!$A:$Z,19,FALSE)+VLOOKUP($A261,A:AL,28,FALSE)-50),"-",(VLOOKUP($A261,'SegEnds_NonXtal_BW#'!$A:$Z,19,FALSE)+VLOOKUP($A261,A:AL,28,FALSE)-50))</f>
        <v>186</v>
      </c>
      <c r="AB261" s="3">
        <v>203</v>
      </c>
      <c r="AC261" s="3">
        <f>IF(ISERROR((VLOOKUP($A261,'SegEnds_NonXtal_BW#'!$A:$Z,20,FALSE)+VLOOKUP($A261,A:AL,28,FALSE)-50)),"-",(VLOOKUP($A261,'SegEnds_NonXtal_BW#'!$A:$Z,20,FALSE)+VLOOKUP($A261,A:AL,28,FALSE)-50))</f>
        <v>221</v>
      </c>
      <c r="AD261" s="3">
        <f>IF(ISERROR(VLOOKUP($A261,'SegEnds_NonXtal_BW#'!$A:$Z,21,FALSE)+VLOOKUP($A261,A:AL,31,FALSE)-50),"-",(VLOOKUP($A261,'SegEnds_NonXtal_BW#'!$A:$Z,21,FALSE)+VLOOKUP($A261,A:AL,31,FALSE)-50))</f>
        <v>226</v>
      </c>
      <c r="AE261" s="3">
        <v>246</v>
      </c>
      <c r="AF261" s="3">
        <f>IF(ISERROR((VLOOKUP($A261,'SegEnds_NonXtal_BW#'!$A:$Z,22,FALSE)+VLOOKUP($A261,A:AL,31,FALSE)-50)),"-",(VLOOKUP($A261,'SegEnds_NonXtal_BW#'!$A:$Z,22,FALSE)+VLOOKUP($A261,A:AL,31,FALSE)-50))</f>
        <v>257</v>
      </c>
      <c r="AG261" s="3">
        <f>IF(ISERROR(VLOOKUP($A261,'SegEnds_NonXtal_BW#'!$A:$Z,23,FALSE)+VLOOKUP($A261,A:AL,34,FALSE)-50),"-",(VLOOKUP($A261,'SegEnds_NonXtal_BW#'!$A:$Z,23,FALSE)+VLOOKUP($A261,A:AL,34,FALSE)-50))</f>
        <v>259</v>
      </c>
      <c r="AH261" s="3">
        <v>285</v>
      </c>
      <c r="AI261" s="3">
        <f>IF(ISERROR((VLOOKUP($A261,'SegEnds_NonXtal_BW#'!$A:$Z,24,FALSE)+VLOOKUP($A261,A:AL,34,FALSE)-50)),"-",(VLOOKUP($A261,'SegEnds_NonXtal_BW#'!$A:$Z,24,FALSE)+VLOOKUP($A261,A:AL,34,FALSE)-50))</f>
        <v>291</v>
      </c>
      <c r="AJ261" s="3">
        <f>IF(ISERROR(VLOOKUP($A261,'SegEnds_NonXtal_BW#'!$A:$Z,25,FALSE)+VLOOKUP($A261,A:AL,37,FALSE)-50),"-",(VLOOKUP($A261,'SegEnds_NonXtal_BW#'!$A:$Z,25,FALSE)+VLOOKUP($A261,A:AL,37,FALSE)-50))</f>
        <v>292</v>
      </c>
      <c r="AK261" s="3">
        <v>295</v>
      </c>
      <c r="AL261" s="3">
        <f>IF(ISERROR((VLOOKUP($A261,'SegEnds_NonXtal_BW#'!$A:$Z,26,FALSE)+VLOOKUP($A261,A:AL,37,FALSE)-50)),"-",(VLOOKUP($A261,'SegEnds_NonXtal_BW#'!$A:$Z,26,FALSE)+VLOOKUP($A261,A:AL,37,FALSE)-50))</f>
        <v>312</v>
      </c>
      <c r="AM261" s="28" t="str">
        <f>VLOOKUP(A261,Classification!A:B,2,FALSE)</f>
        <v>A</v>
      </c>
      <c r="AN261" s="28" t="b">
        <f t="shared" ref="AN261:AN325" si="167">AND(IF(Y261="-",IF(AA261-W261&gt;3,TRUE,FALSE),TRUE),IF(M261="-",IF(O261-K261&gt;3,TRUE,FALSE),TRUE),IF(AG261-AF261&gt;1,TRUE,FALSE),C261&lt;E261,OR(E261&lt;F261,F261="-"),OR(F261&lt;H261,F261="-"),OR(H261&lt;I261,H261="-"),I261&lt;K261,OR(K261&lt;L261,L261="-"),OR(L261&lt;N261,L261="-"),OR(N261&lt;O261,N261="-"),O261&lt;Q261,OR(Q261&lt;R261,R261="-"),OR(R261&lt;T261,R261="-"),OR(T261&lt;U261,T261="-"),U261&lt;W261,OR(W261&lt;X261,X261="-"),OR(X261&lt;Z261,X261="-"),OR(Z261&lt;AA261,Z261="-"),AA261&lt;AC261,AC261&lt;AD261,AD261&lt;AF261,AF261&lt;AG261,AG261&lt;AI261,OR(AI261&lt;AJ261,AJ261="-"),OR(AJ261&lt;AL261,AJ261="-"))</f>
        <v>1</v>
      </c>
      <c r="AO261" s="3" t="str">
        <f>IF(ISERROR(MATCH(A261,'SegEnds_Xtal_Prot#'!B:B, 0)), "NoXtal", "Xtal")</f>
        <v>NoXtal</v>
      </c>
      <c r="AP261" s="3">
        <f t="shared" si="152"/>
        <v>1</v>
      </c>
      <c r="AQ261" s="3">
        <f t="shared" si="153"/>
        <v>1</v>
      </c>
      <c r="AR261" s="3">
        <f t="shared" si="154"/>
        <v>1</v>
      </c>
      <c r="AS261" s="3">
        <f t="shared" si="155"/>
        <v>1</v>
      </c>
      <c r="AT261" s="3">
        <f t="shared" si="156"/>
        <v>1</v>
      </c>
      <c r="AU261" s="3">
        <f t="shared" si="157"/>
        <v>2</v>
      </c>
      <c r="AV261" s="3">
        <f t="shared" si="158"/>
        <v>10</v>
      </c>
      <c r="AW261" s="3">
        <f t="shared" si="159"/>
        <v>4</v>
      </c>
      <c r="AX261" s="3">
        <f t="shared" si="160"/>
        <v>5</v>
      </c>
      <c r="AY261" s="3">
        <f t="shared" si="161"/>
        <v>2</v>
      </c>
      <c r="AZ261" s="3">
        <f t="shared" si="162"/>
        <v>1</v>
      </c>
      <c r="BA261" s="3">
        <f>IF(ISERROR(LEN(VLOOKUP(A261,Seqs!A:E,2,FALSE))-AL261),"-",LEN(VLOOKUP(A261,Seqs!A:E,2,FALSE))-AL261)</f>
        <v>30</v>
      </c>
      <c r="BB261" s="16">
        <f t="shared" si="163"/>
        <v>28</v>
      </c>
      <c r="BC261" s="9">
        <f t="shared" si="164"/>
        <v>22</v>
      </c>
      <c r="BD261" s="3">
        <f t="shared" si="165"/>
        <v>28</v>
      </c>
      <c r="BE261" s="3">
        <f t="shared" si="166"/>
        <v>43</v>
      </c>
    </row>
    <row r="262" spans="1:58" s="3" customFormat="1" x14ac:dyDescent="0.2">
      <c r="A262" s="3" t="s">
        <v>192</v>
      </c>
      <c r="B262" s="3" t="str">
        <f>LOWER(VLOOKUP(A262,Xtal_Templ!A:B,2,FALSE))</f>
        <v>drd3_human</v>
      </c>
      <c r="C262" s="3">
        <f>VLOOKUP($A262,'SegEnds_NonXtal_BW#'!$A:$Z,3,FALSE)+D262-50</f>
        <v>26</v>
      </c>
      <c r="D262" s="3">
        <v>47</v>
      </c>
      <c r="E262" s="3">
        <f>IF(ISERROR(VLOOKUP($A262,'SegEnds_NonXtal_BW#'!$A:$Z,4,FALSE)+VLOOKUP($A262,A:AL,4,FALSE)-50),"-",(VLOOKUP($A262,'SegEnds_NonXtal_BW#'!$A:$Z,4,FALSE)+VLOOKUP($A262,A:AL,4,FALSE)-50))</f>
        <v>57</v>
      </c>
      <c r="F262" s="3">
        <f t="shared" si="146"/>
        <v>58</v>
      </c>
      <c r="G262" s="3">
        <v>60</v>
      </c>
      <c r="H262" s="3">
        <f t="shared" si="147"/>
        <v>61</v>
      </c>
      <c r="I262" s="3">
        <f t="shared" si="147"/>
        <v>62</v>
      </c>
      <c r="J262" s="3">
        <v>75</v>
      </c>
      <c r="K262" s="3">
        <f>VLOOKUP($A262,'SegEnds_NonXtal_BW#'!$A:$Z,8,FALSE)+VLOOKUP($A262,A:AL,10,FALSE)-50</f>
        <v>92</v>
      </c>
      <c r="L262" s="3">
        <f t="shared" si="149"/>
        <v>95</v>
      </c>
      <c r="M262" s="3">
        <v>96</v>
      </c>
      <c r="N262" s="3">
        <f t="shared" si="150"/>
        <v>98</v>
      </c>
      <c r="O262" s="3">
        <f t="shared" si="151"/>
        <v>99</v>
      </c>
      <c r="P262" s="3">
        <v>128</v>
      </c>
      <c r="Q262" s="3">
        <f>VLOOKUP($A262,'SegEnds_NonXtal_BW#'!$A:$Z,12,FALSE)+VLOOKUP($A262,A:AL,16,FALSE)-50</f>
        <v>134</v>
      </c>
      <c r="R262" s="3">
        <f>IF(ISERROR(VLOOKUP($A262,'SegEnds_NonXtal_BW#'!$A:$Z,13,FALSE)+VLOOKUP($A262,A:AL,19,FALSE)-50),"-",VLOOKUP($A262,'SegEnds_NonXtal_BW#'!$A:$Z,13,FALSE)+VLOOKUP($A262,A:AL,19,FALSE)-50)</f>
        <v>135</v>
      </c>
      <c r="S262" s="3">
        <v>135</v>
      </c>
      <c r="T262" s="100">
        <f>IF(ISERROR(VLOOKUP($A262,'SegEnds_NonXtal_BW#'!$A:$Z,14,FALSE)+VLOOKUP($A262,A:AL,19,FALSE)-50),"-",(VLOOKUP($A262,'SegEnds_NonXtal_BW#'!$A:$Z,14,FALSE)+VLOOKUP($A262,A:AL,19,FALSE)-50))</f>
        <v>143</v>
      </c>
      <c r="U262" s="9">
        <f>IF(ISERROR(VLOOKUP($A262,'SegEnds_NonXtal_BW#'!$A:$Z,15,FALSE)+VLOOKUP($A262,A:AL,22,FALSE)-50),"-",VLOOKUP($A262,'SegEnds_NonXtal_BW#'!$A:$Z,15,FALSE)+VLOOKUP($A262,A:AL,22,FALSE)-50)</f>
        <v>146</v>
      </c>
      <c r="V262" s="3">
        <v>158</v>
      </c>
      <c r="W262" s="3">
        <f>IF(ISERROR(VLOOKUP($A262,'SegEnds_NonXtal_BW#'!$A:$Z,16,FALSE)+VLOOKUP($A262,A:AL,22,FALSE)-50),"-",(VLOOKUP($A262,'SegEnds_NonXtal_BW#'!$A:$Z,16,FALSE)+VLOOKUP($A262,A:AL,22,FALSE)-50))</f>
        <v>171</v>
      </c>
      <c r="X262" s="3">
        <f>IF(ISERROR(VLOOKUP($A262,'SegEnds_NonXtal_BW#'!$A:$Z,17,FALSE)+VLOOKUP($A262,A:AL,25,FALSE)-50),"-",(VLOOKUP($A262,'SegEnds_NonXtal_BW#'!$A:$Z,17,FALSE)+VLOOKUP($A262,A:AL,25,FALSE)-50))</f>
        <v>181</v>
      </c>
      <c r="Y262" s="3">
        <v>181</v>
      </c>
      <c r="Z262" s="3">
        <f t="shared" si="144"/>
        <v>183</v>
      </c>
      <c r="AA262" s="3">
        <f>IF(ISERROR(VLOOKUP($A262,'SegEnds_NonXtal_BW#'!$A:$Z,19,FALSE)+VLOOKUP($A262,A:AL,28,FALSE)-50),"-",(VLOOKUP($A262,'SegEnds_NonXtal_BW#'!$A:$Z,19,FALSE)+VLOOKUP($A262,A:AL,28,FALSE)-50))</f>
        <v>185</v>
      </c>
      <c r="AB262" s="3">
        <v>200</v>
      </c>
      <c r="AC262" s="3">
        <f>IF(ISERROR((VLOOKUP($A262,'SegEnds_NonXtal_BW#'!$A:$Z,20,FALSE)+VLOOKUP($A262,A:AL,28,FALSE)-50)),"-",(VLOOKUP($A262,'SegEnds_NonXtal_BW#'!$A:$Z,20,FALSE)+VLOOKUP($A262,A:AL,28,FALSE)-50))</f>
        <v>226</v>
      </c>
      <c r="AD262" s="3">
        <f>IF(ISERROR(VLOOKUP($A262,'SegEnds_NonXtal_BW#'!$A:$Z,21,FALSE)+VLOOKUP($A262,A:AL,31,FALSE)-50),"-",(VLOOKUP($A262,'SegEnds_NonXtal_BW#'!$A:$Z,21,FALSE)+VLOOKUP($A262,A:AL,31,FALSE)-50))</f>
        <v>318</v>
      </c>
      <c r="AE262" s="3">
        <v>344</v>
      </c>
      <c r="AF262" s="3">
        <f>IF(ISERROR((VLOOKUP($A262,'SegEnds_NonXtal_BW#'!$A:$Z,22,FALSE)+VLOOKUP($A262,A:AL,31,FALSE)-50)),"-",(VLOOKUP($A262,'SegEnds_NonXtal_BW#'!$A:$Z,22,FALSE)+VLOOKUP($A262,A:AL,31,FALSE)-50))</f>
        <v>354</v>
      </c>
      <c r="AG262" s="3">
        <f>IF(ISERROR(VLOOKUP($A262,'SegEnds_NonXtal_BW#'!$A:$Z,23,FALSE)+VLOOKUP($A262,A:AL,34,FALSE)-50),"-",(VLOOKUP($A262,'SegEnds_NonXtal_BW#'!$A:$Z,23,FALSE)+VLOOKUP($A262,A:AL,34,FALSE)-50))</f>
        <v>361</v>
      </c>
      <c r="AH262" s="3">
        <v>380</v>
      </c>
      <c r="AI262" s="3">
        <f>IF(ISERROR((VLOOKUP($A262,'SegEnds_NonXtal_BW#'!$A:$Z,24,FALSE)+VLOOKUP($A262,A:AL,34,FALSE)-50)),"-",(VLOOKUP($A262,'SegEnds_NonXtal_BW#'!$A:$Z,24,FALSE)+VLOOKUP($A262,A:AL,34,FALSE)-50))</f>
        <v>386</v>
      </c>
      <c r="AJ262" s="3">
        <f>IF(ISERROR(VLOOKUP($A262,'SegEnds_NonXtal_BW#'!$A:$Z,25,FALSE)+VLOOKUP($A262,A:AL,37,FALSE)-50),"-",(VLOOKUP($A262,'SegEnds_NonXtal_BW#'!$A:$Z,25,FALSE)+VLOOKUP($A262,A:AL,37,FALSE)-50))</f>
        <v>387</v>
      </c>
      <c r="AK262" s="3">
        <v>390</v>
      </c>
      <c r="AL262" s="3">
        <f>IF(ISERROR((VLOOKUP($A262,'SegEnds_NonXtal_BW#'!$A:$Z,26,FALSE)+VLOOKUP($A262,A:AL,37,FALSE)-50)),"-",(VLOOKUP($A262,'SegEnds_NonXtal_BW#'!$A:$Z,26,FALSE)+VLOOKUP($A262,A:AL,37,FALSE)-50))</f>
        <v>399</v>
      </c>
      <c r="AM262" s="28" t="str">
        <f>VLOOKUP(A262,Classification!A:B,2,FALSE)</f>
        <v>A</v>
      </c>
      <c r="AN262" s="28" t="b">
        <f t="shared" si="167"/>
        <v>1</v>
      </c>
      <c r="AO262" s="3" t="str">
        <f>IF(ISERROR(MATCH(A262,'SegEnds_Xtal_Prot#'!B:B, 0)), "NoXtal", "Xtal")</f>
        <v>Xtal</v>
      </c>
      <c r="AP262" s="3">
        <f t="shared" si="152"/>
        <v>1</v>
      </c>
      <c r="AQ262" s="3">
        <f t="shared" si="153"/>
        <v>1</v>
      </c>
      <c r="AR262" s="3">
        <f t="shared" si="154"/>
        <v>3</v>
      </c>
      <c r="AS262" s="3">
        <f t="shared" si="155"/>
        <v>1</v>
      </c>
      <c r="AT262" s="3">
        <f t="shared" si="156"/>
        <v>1</v>
      </c>
      <c r="AU262" s="3">
        <f t="shared" si="157"/>
        <v>3</v>
      </c>
      <c r="AV262" s="3">
        <f t="shared" si="158"/>
        <v>10</v>
      </c>
      <c r="AW262" s="3">
        <f t="shared" si="159"/>
        <v>2</v>
      </c>
      <c r="AX262" s="3">
        <f t="shared" si="160"/>
        <v>92</v>
      </c>
      <c r="AY262" s="3">
        <f t="shared" si="161"/>
        <v>7</v>
      </c>
      <c r="AZ262" s="3">
        <f t="shared" si="162"/>
        <v>1</v>
      </c>
      <c r="BA262" s="3">
        <f>IF(ISERROR(LEN(VLOOKUP(A262,Seqs!A:E,2,FALSE))-AL262),"-",LEN(VLOOKUP(A262,Seqs!A:E,2,FALSE))-AL262)</f>
        <v>1</v>
      </c>
      <c r="BB262" s="16">
        <f t="shared" si="163"/>
        <v>28</v>
      </c>
      <c r="BC262" s="9">
        <f t="shared" si="164"/>
        <v>23</v>
      </c>
      <c r="BD262" s="3">
        <f t="shared" si="165"/>
        <v>28</v>
      </c>
      <c r="BE262" s="3">
        <f t="shared" si="166"/>
        <v>144</v>
      </c>
      <c r="BF262" s="3">
        <f>AH262-AE262</f>
        <v>36</v>
      </c>
    </row>
    <row r="263" spans="1:58" s="3" customFormat="1" x14ac:dyDescent="0.2">
      <c r="A263" s="3" t="s">
        <v>142</v>
      </c>
      <c r="B263" s="3" t="str">
        <f>LOWER(VLOOKUP(A263,Xtal_Templ!A:B,2,FALSE))</f>
        <v>c5ar1_human</v>
      </c>
      <c r="C263" s="3">
        <f>VLOOKUP($A263,'SegEnds_NonXtal_BW#'!$A:$Z,3,FALSE)+D263-50</f>
        <v>55</v>
      </c>
      <c r="D263" s="3">
        <v>76</v>
      </c>
      <c r="E263" s="3">
        <f>IF(ISERROR(VLOOKUP($A263,'SegEnds_NonXtal_BW#'!$A:$Z,4,FALSE)+VLOOKUP($A263,A:AL,4,FALSE)-50),"-",(VLOOKUP($A263,'SegEnds_NonXtal_BW#'!$A:$Z,4,FALSE)+VLOOKUP($A263,A:AL,4,FALSE)-50))</f>
        <v>86</v>
      </c>
      <c r="F263" s="3" t="str">
        <f>IF(ISERROR(VLOOKUP($A263,'SegEnds_NonXtal_BW#'!$A:$Z,5,FALSE)+VLOOKUP($A263,A:AL,7,FALSE)-50),"-",(VLOOKUP($A263,'SegEnds_NonXtal_BW#'!$A:$Z,5,FALSE)+VLOOKUP($A263,A:AL,7,FALSE)-50))</f>
        <v>-</v>
      </c>
      <c r="G263" s="3" t="s">
        <v>23</v>
      </c>
      <c r="H263" s="3" t="str">
        <f>IF(ISERROR(VLOOKUP($A263,'SegEnds_NonXtal_BW#'!$A:$Z,6,FALSE)+VLOOKUP($A263,A:AL,7,FALSE)-50),"-",(VLOOKUP($A263,'SegEnds_NonXtal_BW#'!$A:$Z,6,FALSE)+VLOOKUP($A263,A:AL,7,FALSE)-50))</f>
        <v>-</v>
      </c>
      <c r="I263" s="3">
        <f>VLOOKUP($A263,'SegEnds_NonXtal_BW#'!$A:$Z,7,FALSE)+J263-50</f>
        <v>93</v>
      </c>
      <c r="J263" s="3">
        <v>106</v>
      </c>
      <c r="K263" s="3">
        <f>VLOOKUP($A263,'SegEnds_NonXtal_BW#'!$A:$Z,8,FALSE)+VLOOKUP($A263,A:AL,10,FALSE)-50</f>
        <v>122</v>
      </c>
      <c r="L263" s="3" t="str">
        <f>IF(ISERROR(VLOOKUP($A263,'SegEnds_NonXtal_BW#'!$A:$Z,9,FALSE)+VLOOKUP($A263,A:AL,13,FALSE)-50),"-",(VLOOKUP($A263,'SegEnds_NonXtal_BW#'!$A:$Z,9,FALSE)+VLOOKUP($A263,A:AL,13,FALSE)-50))</f>
        <v>-</v>
      </c>
      <c r="M263" s="3" t="s">
        <v>23</v>
      </c>
      <c r="N263" s="3" t="str">
        <f>IF(ISERROR(VLOOKUP($A263,'SegEnds_NonXtal_BW#'!$A:$Z,10,FALSE)+VLOOKUP($A263,A:AL,13,FALSE)-50),"-",(VLOOKUP($A263,'SegEnds_NonXtal_BW#'!$A:$Z,10,FALSE)+VLOOKUP($A263,A:AL,13,FALSE)-50))</f>
        <v>-</v>
      </c>
      <c r="O263" s="3">
        <f>VLOOKUP($A263,'SegEnds_NonXtal_BW#'!$A:$Z,11,FALSE)+VLOOKUP($A263,A:AL,16,FALSE)-50</f>
        <v>128</v>
      </c>
      <c r="P263" s="3">
        <v>154</v>
      </c>
      <c r="Q263" s="3">
        <f>VLOOKUP($A263,'SegEnds_NonXtal_BW#'!$A:$Z,12,FALSE)+VLOOKUP($A263,A:AL,16,FALSE)-50</f>
        <v>160</v>
      </c>
      <c r="R263" s="3" t="str">
        <f>IF(ISERROR(VLOOKUP($A263,'SegEnds_NonXtal_BW#'!$A:$Z,13,FALSE)+VLOOKUP($A263,A:AL,19,FALSE)-50),"-",VLOOKUP($A263,'SegEnds_NonXtal_BW#'!$A:$Z,13,FALSE)+VLOOKUP($A263,A:AL,19,FALSE)-50)</f>
        <v>-</v>
      </c>
      <c r="S263" s="3" t="s">
        <v>23</v>
      </c>
      <c r="T263" s="100" t="str">
        <f>IF(ISERROR(VLOOKUP($A263,'SegEnds_NonXtal_BW#'!$A:$Z,14,FALSE)+VLOOKUP($A263,A:AL,19,FALSE)-50),"-",(VLOOKUP($A263,'SegEnds_NonXtal_BW#'!$A:$Z,14,FALSE)+VLOOKUP($A263,A:AL,19,FALSE)-50))</f>
        <v>-</v>
      </c>
      <c r="U263" s="9">
        <f>IF(ISERROR(VLOOKUP($A263,'SegEnds_NonXtal_BW#'!$A:$Z,15,FALSE)+VLOOKUP($A263,A:AL,22,FALSE)-50),"-",VLOOKUP($A263,'SegEnds_NonXtal_BW#'!$A:$Z,15,FALSE)+VLOOKUP($A263,A:AL,22,FALSE)-50)</f>
        <v>162</v>
      </c>
      <c r="V263" s="3">
        <v>174</v>
      </c>
      <c r="W263" s="3">
        <f>IF(ISERROR(VLOOKUP($A263,'SegEnds_NonXtal_BW#'!$A:$Z,16,FALSE)+VLOOKUP($A263,A:AL,22,FALSE)-50),"-",(VLOOKUP($A263,'SegEnds_NonXtal_BW#'!$A:$Z,16,FALSE)+VLOOKUP($A263,A:AL,22,FALSE)-50))</f>
        <v>188</v>
      </c>
      <c r="X263" s="3">
        <f>IF(ISERROR(VLOOKUP($A263,'SegEnds_NonXtal_BW#'!$A:$Z,17,FALSE)+VLOOKUP($A263,A:AL,25,FALSE)-50),"-",(VLOOKUP($A263,'SegEnds_NonXtal_BW#'!$A:$Z,17,FALSE)+VLOOKUP($A263,A:AL,25,FALSE)-50))</f>
        <v>195</v>
      </c>
      <c r="Y263" s="3">
        <v>195</v>
      </c>
      <c r="Z263" s="3">
        <f t="shared" si="144"/>
        <v>197</v>
      </c>
      <c r="AA263" s="3">
        <f>IF(ISERROR(VLOOKUP($A263,'SegEnds_NonXtal_BW#'!$A:$Z,19,FALSE)+VLOOKUP($A263,A:AL,28,FALSE)-50),"-",(VLOOKUP($A263,'SegEnds_NonXtal_BW#'!$A:$Z,19,FALSE)+VLOOKUP($A263,A:AL,28,FALSE)-50))</f>
        <v>199</v>
      </c>
      <c r="AB263" s="3">
        <v>218</v>
      </c>
      <c r="AC263" s="3">
        <f>IF(ISERROR((VLOOKUP($A263,'SegEnds_NonXtal_BW#'!$A:$Z,20,FALSE)+VLOOKUP($A263,A:AL,28,FALSE)-50)),"-",(VLOOKUP($A263,'SegEnds_NonXtal_BW#'!$A:$Z,20,FALSE)+VLOOKUP($A263,A:AL,28,FALSE)-50))</f>
        <v>232</v>
      </c>
      <c r="AD263" s="3">
        <f>IF(ISERROR(VLOOKUP($A263,'SegEnds_NonXtal_BW#'!$A:$Z,21,FALSE)+VLOOKUP($A263,A:AL,31,FALSE)-50),"-",(VLOOKUP($A263,'SegEnds_NonXtal_BW#'!$A:$Z,21,FALSE)+VLOOKUP($A263,A:AL,31,FALSE)-50))</f>
        <v>239</v>
      </c>
      <c r="AE263" s="3">
        <v>255</v>
      </c>
      <c r="AF263" s="3">
        <f>IF(ISERROR((VLOOKUP($A263,'SegEnds_NonXtal_BW#'!$A:$Z,22,FALSE)+VLOOKUP($A263,A:AL,31,FALSE)-50)),"-",(VLOOKUP($A263,'SegEnds_NonXtal_BW#'!$A:$Z,22,FALSE)+VLOOKUP($A263,A:AL,31,FALSE)-50))</f>
        <v>269</v>
      </c>
      <c r="AG263" s="3">
        <f>IF(ISERROR(VLOOKUP($A263,'SegEnds_NonXtal_BW#'!$A:$Z,23,FALSE)+VLOOKUP($A263,A:AL,34,FALSE)-50),"-",(VLOOKUP($A263,'SegEnds_NonXtal_BW#'!$A:$Z,23,FALSE)+VLOOKUP($A263,A:AL,34,FALSE)-50))</f>
        <v>275</v>
      </c>
      <c r="AH263" s="3">
        <v>301</v>
      </c>
      <c r="AI263" s="3">
        <f>IF(ISERROR((VLOOKUP($A263,'SegEnds_NonXtal_BW#'!$A:$Z,24,FALSE)+VLOOKUP($A263,A:AL,34,FALSE)-50)),"-",(VLOOKUP($A263,'SegEnds_NonXtal_BW#'!$A:$Z,24,FALSE)+VLOOKUP($A263,A:AL,34,FALSE)-50))</f>
        <v>307</v>
      </c>
      <c r="AJ263" s="3">
        <f>IF(ISERROR(VLOOKUP($A263,'SegEnds_NonXtal_BW#'!$A:$Z,25,FALSE)+VLOOKUP($A263,A:AL,37,FALSE)-50),"-",(VLOOKUP($A263,'SegEnds_NonXtal_BW#'!$A:$Z,25,FALSE)+VLOOKUP($A263,A:AL,37,FALSE)-50))</f>
        <v>308</v>
      </c>
      <c r="AK263" s="3">
        <v>311</v>
      </c>
      <c r="AL263" s="3">
        <f>IF(ISERROR((VLOOKUP($A263,'SegEnds_NonXtal_BW#'!$A:$Z,26,FALSE)+VLOOKUP($A263,A:AL,37,FALSE)-50)),"-",(VLOOKUP($A263,'SegEnds_NonXtal_BW#'!$A:$Z,26,FALSE)+VLOOKUP($A263,A:AL,37,FALSE)-50))</f>
        <v>317</v>
      </c>
      <c r="AM263" s="28" t="str">
        <f>VLOOKUP(A263,Classification!A:B,2,FALSE)</f>
        <v>A</v>
      </c>
      <c r="AN263" s="28" t="b">
        <f t="shared" si="167"/>
        <v>1</v>
      </c>
      <c r="AO263" s="3" t="str">
        <f>IF(ISERROR(MATCH(A263,'SegEnds_Xtal_Prot#'!B:B, 0)), "NoXtal", "Xtal")</f>
        <v>NoXtal</v>
      </c>
      <c r="AP263" s="3" t="str">
        <f t="shared" si="152"/>
        <v>-</v>
      </c>
      <c r="AQ263" s="3" t="str">
        <f t="shared" si="153"/>
        <v>-</v>
      </c>
      <c r="AR263" s="3" t="str">
        <f t="shared" si="154"/>
        <v>-</v>
      </c>
      <c r="AS263" s="3" t="str">
        <f t="shared" si="155"/>
        <v>-</v>
      </c>
      <c r="AT263" s="3" t="str">
        <f t="shared" si="156"/>
        <v>-</v>
      </c>
      <c r="AU263" s="3" t="str">
        <f t="shared" si="157"/>
        <v>-</v>
      </c>
      <c r="AV263" s="3">
        <f t="shared" si="158"/>
        <v>7</v>
      </c>
      <c r="AW263" s="3">
        <f t="shared" si="159"/>
        <v>2</v>
      </c>
      <c r="AX263" s="3">
        <f t="shared" si="160"/>
        <v>7</v>
      </c>
      <c r="AY263" s="3">
        <f t="shared" si="161"/>
        <v>6</v>
      </c>
      <c r="AZ263" s="3">
        <f t="shared" si="162"/>
        <v>1</v>
      </c>
      <c r="BA263" s="3">
        <f>IF(ISERROR(LEN(VLOOKUP(A263,Seqs!A:E,2,FALSE))-AL263),"-",LEN(VLOOKUP(A263,Seqs!A:E,2,FALSE))-AL263)</f>
        <v>19</v>
      </c>
      <c r="BB263" s="16">
        <f t="shared" si="163"/>
        <v>30</v>
      </c>
      <c r="BC263" s="9" t="str">
        <f t="shared" si="164"/>
        <v>-</v>
      </c>
      <c r="BD263" s="3">
        <f t="shared" si="165"/>
        <v>30</v>
      </c>
      <c r="BE263" s="3">
        <f t="shared" si="166"/>
        <v>37</v>
      </c>
      <c r="BF263" s="3">
        <f>AH263-AE263</f>
        <v>46</v>
      </c>
    </row>
    <row r="264" spans="1:58" s="3" customFormat="1" x14ac:dyDescent="0.2">
      <c r="A264" s="3" t="s">
        <v>144</v>
      </c>
      <c r="B264" s="3" t="str">
        <f>LOWER(VLOOKUP(A264,Xtal_Templ!A:B,2,FALSE))</f>
        <v>agtr1_human</v>
      </c>
      <c r="C264" s="3">
        <f>VLOOKUP($A264,'SegEnds_NonXtal_BW#'!$A:$Z,3,FALSE)+D264-50</f>
        <v>40</v>
      </c>
      <c r="D264" s="3">
        <v>62</v>
      </c>
      <c r="E264" s="3">
        <f>IF(ISERROR(VLOOKUP($A264,'SegEnds_NonXtal_BW#'!$A:$Z,4,FALSE)+VLOOKUP($A264,A:AL,4,FALSE)-50),"-",(VLOOKUP($A264,'SegEnds_NonXtal_BW#'!$A:$Z,4,FALSE)+VLOOKUP($A264,A:AL,4,FALSE)-50))</f>
        <v>72</v>
      </c>
      <c r="F264" s="3">
        <f>G264-2</f>
        <v>73</v>
      </c>
      <c r="G264" s="3">
        <v>75</v>
      </c>
      <c r="H264" s="3">
        <f t="shared" ref="H264:I266" si="168">G264+1</f>
        <v>76</v>
      </c>
      <c r="I264" s="3">
        <f t="shared" si="168"/>
        <v>77</v>
      </c>
      <c r="J264" s="3">
        <v>90</v>
      </c>
      <c r="K264" s="3">
        <f>VLOOKUP($A264,'SegEnds_NonXtal_BW#'!$A:$Z,8,FALSE)+VLOOKUP($A264,A:AL,10,FALSE)-50</f>
        <v>106</v>
      </c>
      <c r="L264" s="3">
        <f>IF(ISERROR(VLOOKUP($A264,'SegEnds_NonXtal_BW#'!$A:$Z,9,FALSE)+VLOOKUP($A264,A:AL,13,FALSE)-50),"-",(VLOOKUP($A264,'SegEnds_NonXtal_BW#'!$A:$Z,9,FALSE)+VLOOKUP($A264,A:AL,13,FALSE)-50))</f>
        <v>109</v>
      </c>
      <c r="M264" s="3">
        <v>110</v>
      </c>
      <c r="N264" s="3">
        <f>IF(ISERROR(VLOOKUP($A264,'SegEnds_NonXtal_BW#'!$A:$Z,10,FALSE)+VLOOKUP($A264,A:AL,13,FALSE)-50),"-",(VLOOKUP($A264,'SegEnds_NonXtal_BW#'!$A:$Z,10,FALSE)+VLOOKUP($A264,A:AL,13,FALSE)-50))</f>
        <v>112</v>
      </c>
      <c r="O264" s="3">
        <f>VLOOKUP($A264,'SegEnds_NonXtal_BW#'!$A:$Z,11,FALSE)+VLOOKUP($A264,A:AL,16,FALSE)-50</f>
        <v>113</v>
      </c>
      <c r="P264" s="3">
        <v>142</v>
      </c>
      <c r="Q264" s="3">
        <f>VLOOKUP($A264,'SegEnds_NonXtal_BW#'!$A:$Z,12,FALSE)+VLOOKUP($A264,A:AL,16,FALSE)-50</f>
        <v>148</v>
      </c>
      <c r="R264" s="3" t="str">
        <f>IF(ISERROR(VLOOKUP($A264,'SegEnds_NonXtal_BW#'!$A:$Z,13,FALSE)+VLOOKUP($A264,A:AL,19,FALSE)-50),"-",VLOOKUP($A264,'SegEnds_NonXtal_BW#'!$A:$Z,13,FALSE)+VLOOKUP($A264,A:AL,19,FALSE)-50)</f>
        <v>-</v>
      </c>
      <c r="S264" s="3" t="s">
        <v>23</v>
      </c>
      <c r="T264" s="100" t="str">
        <f>IF(ISERROR(VLOOKUP($A264,'SegEnds_NonXtal_BW#'!$A:$Z,14,FALSE)+VLOOKUP($A264,A:AL,19,FALSE)-50),"-",(VLOOKUP($A264,'SegEnds_NonXtal_BW#'!$A:$Z,14,FALSE)+VLOOKUP($A264,A:AL,19,FALSE)-50))</f>
        <v>-</v>
      </c>
      <c r="U264" s="9">
        <f>IF(ISERROR(VLOOKUP($A264,'SegEnds_NonXtal_BW#'!$A:$Z,15,FALSE)+VLOOKUP($A264,A:AL,22,FALSE)-50),"-",VLOOKUP($A264,'SegEnds_NonXtal_BW#'!$A:$Z,15,FALSE)+VLOOKUP($A264,A:AL,22,FALSE)-50)</f>
        <v>157</v>
      </c>
      <c r="V264" s="3">
        <v>169</v>
      </c>
      <c r="W264" s="3">
        <f>IF(ISERROR(VLOOKUP($A264,'SegEnds_NonXtal_BW#'!$A:$Z,16,FALSE)+VLOOKUP($A264,A:AL,22,FALSE)-50),"-",(VLOOKUP($A264,'SegEnds_NonXtal_BW#'!$A:$Z,16,FALSE)+VLOOKUP($A264,A:AL,22,FALSE)-50))</f>
        <v>183</v>
      </c>
      <c r="X264" s="3">
        <f>IF(ISERROR(VLOOKUP($A264,'SegEnds_NonXtal_BW#'!$A:$Z,17,FALSE)+VLOOKUP($A264,A:AL,25,FALSE)-50),"-",(VLOOKUP($A264,'SegEnds_NonXtal_BW#'!$A:$Z,17,FALSE)+VLOOKUP($A264,A:AL,25,FALSE)-50))</f>
        <v>196</v>
      </c>
      <c r="Y264" s="3">
        <v>196</v>
      </c>
      <c r="Z264" s="3">
        <f t="shared" si="144"/>
        <v>198</v>
      </c>
      <c r="AA264" s="3">
        <f>IF(ISERROR(VLOOKUP($A264,'SegEnds_NonXtal_BW#'!$A:$Z,19,FALSE)+VLOOKUP($A264,A:AL,28,FALSE)-50),"-",(VLOOKUP($A264,'SegEnds_NonXtal_BW#'!$A:$Z,19,FALSE)+VLOOKUP($A264,A:AL,28,FALSE)-50))</f>
        <v>208</v>
      </c>
      <c r="AB264" s="3">
        <v>224</v>
      </c>
      <c r="AC264" s="3">
        <f>IF(ISERROR((VLOOKUP($A264,'SegEnds_NonXtal_BW#'!$A:$Z,20,FALSE)+VLOOKUP($A264,A:AL,28,FALSE)-50)),"-",(VLOOKUP($A264,'SegEnds_NonXtal_BW#'!$A:$Z,20,FALSE)+VLOOKUP($A264,A:AL,28,FALSE)-50))</f>
        <v>242</v>
      </c>
      <c r="AD264" s="3">
        <f>IF(ISERROR(VLOOKUP($A264,'SegEnds_NonXtal_BW#'!$A:$Z,21,FALSE)+VLOOKUP($A264,A:AL,31,FALSE)-50),"-",(VLOOKUP($A264,'SegEnds_NonXtal_BW#'!$A:$Z,21,FALSE)+VLOOKUP($A264,A:AL,31,FALSE)-50))</f>
        <v>247</v>
      </c>
      <c r="AE264" s="3">
        <v>267</v>
      </c>
      <c r="AF264" s="3">
        <f>IF(ISERROR((VLOOKUP($A264,'SegEnds_NonXtal_BW#'!$A:$Z,22,FALSE)+VLOOKUP($A264,A:AL,31,FALSE)-50)),"-",(VLOOKUP($A264,'SegEnds_NonXtal_BW#'!$A:$Z,22,FALSE)+VLOOKUP($A264,A:AL,31,FALSE)-50))</f>
        <v>281</v>
      </c>
      <c r="AG264" s="3">
        <f>IF(ISERROR(VLOOKUP($A264,'SegEnds_NonXtal_BW#'!$A:$Z,23,FALSE)+VLOOKUP($A264,A:AL,34,FALSE)-50),"-",(VLOOKUP($A264,'SegEnds_NonXtal_BW#'!$A:$Z,23,FALSE)+VLOOKUP($A264,A:AL,34,FALSE)-50))</f>
        <v>286</v>
      </c>
      <c r="AH264" s="3">
        <v>312</v>
      </c>
      <c r="AI264" s="3">
        <f>IF(ISERROR((VLOOKUP($A264,'SegEnds_NonXtal_BW#'!$A:$Z,24,FALSE)+VLOOKUP($A264,A:AL,34,FALSE)-50)),"-",(VLOOKUP($A264,'SegEnds_NonXtal_BW#'!$A:$Z,24,FALSE)+VLOOKUP($A264,A:AL,34,FALSE)-50))</f>
        <v>318</v>
      </c>
      <c r="AJ264" s="3">
        <f>IF(ISERROR(VLOOKUP($A264,'SegEnds_NonXtal_BW#'!$A:$Z,25,FALSE)+VLOOKUP($A264,A:AL,37,FALSE)-50),"-",(VLOOKUP($A264,'SegEnds_NonXtal_BW#'!$A:$Z,25,FALSE)+VLOOKUP($A264,A:AL,37,FALSE)-50))</f>
        <v>319</v>
      </c>
      <c r="AK264" s="3">
        <v>322</v>
      </c>
      <c r="AL264" s="3">
        <f>IF(ISERROR((VLOOKUP($A264,'SegEnds_NonXtal_BW#'!$A:$Z,26,FALSE)+VLOOKUP($A264,A:AL,37,FALSE)-50)),"-",(VLOOKUP($A264,'SegEnds_NonXtal_BW#'!$A:$Z,26,FALSE)+VLOOKUP($A264,A:AL,37,FALSE)-50))</f>
        <v>333</v>
      </c>
      <c r="AM264" s="28" t="str">
        <f>VLOOKUP(A264,Classification!A:B,2,FALSE)</f>
        <v>A</v>
      </c>
      <c r="AN264" s="28" t="b">
        <f t="shared" si="167"/>
        <v>1</v>
      </c>
      <c r="AO264" s="3" t="str">
        <f>IF(ISERROR(MATCH(A264,'SegEnds_Xtal_Prot#'!B:B, 0)), "NoXtal", "Xtal")</f>
        <v>NoXtal</v>
      </c>
      <c r="AP264" s="3">
        <f t="shared" si="152"/>
        <v>1</v>
      </c>
      <c r="AQ264" s="3">
        <f t="shared" si="153"/>
        <v>1</v>
      </c>
      <c r="AR264" s="3">
        <f t="shared" si="154"/>
        <v>3</v>
      </c>
      <c r="AS264" s="3">
        <f t="shared" si="155"/>
        <v>1</v>
      </c>
      <c r="AT264" s="3" t="str">
        <f t="shared" si="156"/>
        <v>-</v>
      </c>
      <c r="AU264" s="3" t="str">
        <f t="shared" si="157"/>
        <v>-</v>
      </c>
      <c r="AV264" s="3">
        <f t="shared" si="158"/>
        <v>13</v>
      </c>
      <c r="AW264" s="3">
        <f t="shared" si="159"/>
        <v>10</v>
      </c>
      <c r="AX264" s="3">
        <f t="shared" si="160"/>
        <v>5</v>
      </c>
      <c r="AY264" s="3">
        <f t="shared" si="161"/>
        <v>5</v>
      </c>
      <c r="AZ264" s="3">
        <f t="shared" si="162"/>
        <v>1</v>
      </c>
      <c r="BA264" s="3">
        <f>IF(ISERROR(LEN(VLOOKUP(A264,Seqs!A:E,2,FALSE))-AL264),"-",LEN(VLOOKUP(A264,Seqs!A:E,2,FALSE))-AL264)</f>
        <v>29</v>
      </c>
      <c r="BB264" s="16">
        <f t="shared" si="163"/>
        <v>28</v>
      </c>
      <c r="BC264" s="9" t="str">
        <f t="shared" si="164"/>
        <v>-</v>
      </c>
      <c r="BD264" s="3">
        <f t="shared" si="165"/>
        <v>28</v>
      </c>
      <c r="BE264" s="3">
        <f t="shared" si="166"/>
        <v>43</v>
      </c>
      <c r="BF264" s="3">
        <f>AH264-AE264</f>
        <v>45</v>
      </c>
    </row>
    <row r="265" spans="1:58" s="3" customFormat="1" x14ac:dyDescent="0.2">
      <c r="A265" s="3" t="s">
        <v>145</v>
      </c>
      <c r="B265" s="3" t="str">
        <f>LOWER(VLOOKUP(A265,Xtal_Templ!A:B,2,FALSE))</f>
        <v>ccr9_human</v>
      </c>
      <c r="C265" s="3">
        <f>VLOOKUP($A265,'SegEnds_NonXtal_BW#'!$A:$Z,3,FALSE)+D265-50</f>
        <v>36</v>
      </c>
      <c r="D265" s="3">
        <v>59</v>
      </c>
      <c r="E265" s="3">
        <f>IF(ISERROR(VLOOKUP($A265,'SegEnds_NonXtal_BW#'!$A:$Z,4,FALSE)+VLOOKUP($A265,A:AL,4,FALSE)-50),"-",(VLOOKUP($A265,'SegEnds_NonXtal_BW#'!$A:$Z,4,FALSE)+VLOOKUP($A265,A:AL,4,FALSE)-50))</f>
        <v>69</v>
      </c>
      <c r="F265" s="3">
        <f>G265-2</f>
        <v>70</v>
      </c>
      <c r="G265" s="3">
        <v>72</v>
      </c>
      <c r="H265" s="3">
        <f t="shared" si="168"/>
        <v>73</v>
      </c>
      <c r="I265" s="3">
        <f t="shared" si="168"/>
        <v>74</v>
      </c>
      <c r="J265" s="3">
        <v>87</v>
      </c>
      <c r="K265" s="3">
        <f>VLOOKUP($A265,'SegEnds_NonXtal_BW#'!$A:$Z,8,FALSE)+VLOOKUP($A265,A:AL,10,FALSE)-50</f>
        <v>103</v>
      </c>
      <c r="L265" s="3">
        <f>IF(ISERROR(VLOOKUP($A265,'SegEnds_NonXtal_BW#'!$A:$Z,9,FALSE)+VLOOKUP($A265,A:AL,13,FALSE)-50),"-",(VLOOKUP($A265,'SegEnds_NonXtal_BW#'!$A:$Z,9,FALSE)+VLOOKUP($A265,A:AL,13,FALSE)-50))</f>
        <v>104</v>
      </c>
      <c r="M265" s="3">
        <v>105</v>
      </c>
      <c r="N265" s="3">
        <f>IF(ISERROR(VLOOKUP($A265,'SegEnds_NonXtal_BW#'!$A:$Z,10,FALSE)+VLOOKUP($A265,A:AL,13,FALSE)-50),"-",(VLOOKUP($A265,'SegEnds_NonXtal_BW#'!$A:$Z,10,FALSE)+VLOOKUP($A265,A:AL,13,FALSE)-50))</f>
        <v>107</v>
      </c>
      <c r="O265" s="3">
        <f>VLOOKUP($A265,'SegEnds_NonXtal_BW#'!$A:$Z,11,FALSE)+VLOOKUP($A265,A:AL,16,FALSE)-50</f>
        <v>108</v>
      </c>
      <c r="P265" s="3">
        <v>137</v>
      </c>
      <c r="Q265" s="3">
        <f>VLOOKUP($A265,'SegEnds_NonXtal_BW#'!$A:$Z,12,FALSE)+VLOOKUP($A265,A:AL,16,FALSE)-50</f>
        <v>143</v>
      </c>
      <c r="R265" s="3" t="str">
        <f>IF(ISERROR(VLOOKUP($A265,'SegEnds_NonXtal_BW#'!$A:$Z,13,FALSE)+VLOOKUP($A265,A:AL,19,FALSE)-50),"-",VLOOKUP($A265,'SegEnds_NonXtal_BW#'!$A:$Z,13,FALSE)+VLOOKUP($A265,A:AL,19,FALSE)-50)</f>
        <v>-</v>
      </c>
      <c r="S265" s="3" t="s">
        <v>23</v>
      </c>
      <c r="T265" s="100" t="str">
        <f>IF(ISERROR(VLOOKUP($A265,'SegEnds_NonXtal_BW#'!$A:$Z,14,FALSE)+VLOOKUP($A265,A:AL,19,FALSE)-50),"-",(VLOOKUP($A265,'SegEnds_NonXtal_BW#'!$A:$Z,14,FALSE)+VLOOKUP($A265,A:AL,19,FALSE)-50))</f>
        <v>-</v>
      </c>
      <c r="U265" s="9">
        <f>IF(ISERROR(VLOOKUP($A265,'SegEnds_NonXtal_BW#'!$A:$Z,15,FALSE)+VLOOKUP($A265,A:AL,22,FALSE)-50),"-",VLOOKUP($A265,'SegEnds_NonXtal_BW#'!$A:$Z,15,FALSE)+VLOOKUP($A265,A:AL,22,FALSE)-50)</f>
        <v>150</v>
      </c>
      <c r="V265" s="3">
        <v>162</v>
      </c>
      <c r="W265" s="3">
        <f>IF(ISERROR(VLOOKUP($A265,'SegEnds_NonXtal_BW#'!$A:$Z,16,FALSE)+VLOOKUP($A265,A:AL,22,FALSE)-50),"-",(VLOOKUP($A265,'SegEnds_NonXtal_BW#'!$A:$Z,16,FALSE)+VLOOKUP($A265,A:AL,22,FALSE)-50))</f>
        <v>176</v>
      </c>
      <c r="X265" s="3">
        <f>IF(ISERROR(VLOOKUP($A265,'SegEnds_NonXtal_BW#'!$A:$Z,17,FALSE)+VLOOKUP($A265,A:AL,25,FALSE)-50),"-",(VLOOKUP($A265,'SegEnds_NonXtal_BW#'!$A:$Z,17,FALSE)+VLOOKUP($A265,A:AL,25,FALSE)-50))</f>
        <v>184</v>
      </c>
      <c r="Y265" s="3">
        <v>184</v>
      </c>
      <c r="Z265" s="3">
        <f t="shared" si="144"/>
        <v>186</v>
      </c>
      <c r="AA265" s="3">
        <f>IF(ISERROR(VLOOKUP($A265,'SegEnds_NonXtal_BW#'!$A:$Z,19,FALSE)+VLOOKUP($A265,A:AL,28,FALSE)-50),"-",(VLOOKUP($A265,'SegEnds_NonXtal_BW#'!$A:$Z,19,FALSE)+VLOOKUP($A265,A:AL,28,FALSE)-50))</f>
        <v>195</v>
      </c>
      <c r="AB265" s="3">
        <v>212</v>
      </c>
      <c r="AC265" s="3">
        <f>IF(ISERROR((VLOOKUP($A265,'SegEnds_NonXtal_BW#'!$A:$Z,20,FALSE)+VLOOKUP($A265,A:AL,28,FALSE)-50)),"-",(VLOOKUP($A265,'SegEnds_NonXtal_BW#'!$A:$Z,20,FALSE)+VLOOKUP($A265,A:AL,28,FALSE)-50))</f>
        <v>230</v>
      </c>
      <c r="AD265" s="3">
        <f>IF(ISERROR(VLOOKUP($A265,'SegEnds_NonXtal_BW#'!$A:$Z,21,FALSE)+VLOOKUP($A265,A:AL,31,FALSE)-50),"-",(VLOOKUP($A265,'SegEnds_NonXtal_BW#'!$A:$Z,21,FALSE)+VLOOKUP($A265,A:AL,31,FALSE)-50))</f>
        <v>235</v>
      </c>
      <c r="AE265" s="3">
        <v>255</v>
      </c>
      <c r="AF265" s="3">
        <f>IF(ISERROR((VLOOKUP($A265,'SegEnds_NonXtal_BW#'!$A:$Z,22,FALSE)+VLOOKUP($A265,A:AL,31,FALSE)-50)),"-",(VLOOKUP($A265,'SegEnds_NonXtal_BW#'!$A:$Z,22,FALSE)+VLOOKUP($A265,A:AL,31,FALSE)-50))</f>
        <v>269</v>
      </c>
      <c r="AG265" s="3">
        <f>IF(ISERROR(VLOOKUP($A265,'SegEnds_NonXtal_BW#'!$A:$Z,23,FALSE)+VLOOKUP($A265,A:AL,34,FALSE)-50),"-",(VLOOKUP($A265,'SegEnds_NonXtal_BW#'!$A:$Z,23,FALSE)+VLOOKUP($A265,A:AL,34,FALSE)-50))</f>
        <v>274</v>
      </c>
      <c r="AH265" s="3">
        <v>300</v>
      </c>
      <c r="AI265" s="3">
        <f>IF(ISERROR((VLOOKUP($A265,'SegEnds_NonXtal_BW#'!$A:$Z,24,FALSE)+VLOOKUP($A265,A:AL,34,FALSE)-50)),"-",(VLOOKUP($A265,'SegEnds_NonXtal_BW#'!$A:$Z,24,FALSE)+VLOOKUP($A265,A:AL,34,FALSE)-50))</f>
        <v>306</v>
      </c>
      <c r="AJ265" s="3">
        <f>IF(ISERROR(VLOOKUP($A265,'SegEnds_NonXtal_BW#'!$A:$Z,25,FALSE)+VLOOKUP($A265,A:AL,37,FALSE)-50),"-",(VLOOKUP($A265,'SegEnds_NonXtal_BW#'!$A:$Z,25,FALSE)+VLOOKUP($A265,A:AL,37,FALSE)-50))</f>
        <v>307</v>
      </c>
      <c r="AK265" s="3">
        <v>310</v>
      </c>
      <c r="AL265" s="3">
        <f>IF(ISERROR((VLOOKUP($A265,'SegEnds_NonXtal_BW#'!$A:$Z,26,FALSE)+VLOOKUP($A265,A:AL,37,FALSE)-50)),"-",(VLOOKUP($A265,'SegEnds_NonXtal_BW#'!$A:$Z,26,FALSE)+VLOOKUP($A265,A:AL,37,FALSE)-50))</f>
        <v>327</v>
      </c>
      <c r="AM265" s="28" t="str">
        <f>VLOOKUP(A265,Classification!A:B,2,FALSE)</f>
        <v>A</v>
      </c>
      <c r="AN265" s="28" t="b">
        <f t="shared" si="167"/>
        <v>1</v>
      </c>
      <c r="AO265" s="3" t="str">
        <f>IF(ISERROR(MATCH(A265,'SegEnds_Xtal_Prot#'!B:B, 0)), "NoXtal", "Xtal")</f>
        <v>NoXtal</v>
      </c>
      <c r="AP265" s="3">
        <f t="shared" si="152"/>
        <v>1</v>
      </c>
      <c r="AQ265" s="3">
        <f t="shared" si="153"/>
        <v>1</v>
      </c>
      <c r="AR265" s="3">
        <f t="shared" si="154"/>
        <v>1</v>
      </c>
      <c r="AS265" s="3">
        <f t="shared" si="155"/>
        <v>1</v>
      </c>
      <c r="AT265" s="3" t="str">
        <f t="shared" si="156"/>
        <v>-</v>
      </c>
      <c r="AU265" s="3" t="str">
        <f t="shared" si="157"/>
        <v>-</v>
      </c>
      <c r="AV265" s="3">
        <f t="shared" si="158"/>
        <v>8</v>
      </c>
      <c r="AW265" s="3">
        <f t="shared" si="159"/>
        <v>9</v>
      </c>
      <c r="AX265" s="3">
        <f t="shared" si="160"/>
        <v>5</v>
      </c>
      <c r="AY265" s="3">
        <f t="shared" si="161"/>
        <v>5</v>
      </c>
      <c r="AZ265" s="3">
        <f t="shared" si="162"/>
        <v>1</v>
      </c>
      <c r="BA265" s="3">
        <f>IF(ISERROR(LEN(VLOOKUP(A265,Seqs!A:E,2,FALSE))-AL265),"-",LEN(VLOOKUP(A265,Seqs!A:E,2,FALSE))-AL265)</f>
        <v>23</v>
      </c>
      <c r="BB265" s="16">
        <f t="shared" si="163"/>
        <v>28</v>
      </c>
      <c r="BC265" s="9" t="str">
        <f t="shared" si="164"/>
        <v>-</v>
      </c>
      <c r="BD265" s="3">
        <f t="shared" si="165"/>
        <v>28</v>
      </c>
      <c r="BE265" s="3">
        <f t="shared" si="166"/>
        <v>43</v>
      </c>
    </row>
    <row r="266" spans="1:58" s="3" customFormat="1" x14ac:dyDescent="0.2">
      <c r="A266" s="3" t="s">
        <v>169</v>
      </c>
      <c r="B266" s="3" t="str">
        <f>LOWER(VLOOKUP(A266,Xtal_Templ!A:B,2,FALSE))</f>
        <v>ccr9_human</v>
      </c>
      <c r="C266" s="3">
        <f>VLOOKUP($A266,'SegEnds_NonXtal_BW#'!$A:$Z,3,FALSE)+D266-50</f>
        <v>36</v>
      </c>
      <c r="D266" s="3">
        <v>59</v>
      </c>
      <c r="E266" s="3">
        <f>IF(ISERROR(VLOOKUP($A266,'SegEnds_NonXtal_BW#'!$A:$Z,4,FALSE)+VLOOKUP($A266,A:AL,4,FALSE)-50),"-",(VLOOKUP($A266,'SegEnds_NonXtal_BW#'!$A:$Z,4,FALSE)+VLOOKUP($A266,A:AL,4,FALSE)-50))</f>
        <v>69</v>
      </c>
      <c r="F266" s="3">
        <f>G266-2</f>
        <v>70</v>
      </c>
      <c r="G266" s="3">
        <v>72</v>
      </c>
      <c r="H266" s="3">
        <f t="shared" si="168"/>
        <v>73</v>
      </c>
      <c r="I266" s="3">
        <f t="shared" si="168"/>
        <v>74</v>
      </c>
      <c r="J266" s="3">
        <v>88</v>
      </c>
      <c r="K266" s="3">
        <f>VLOOKUP($A266,'SegEnds_NonXtal_BW#'!$A:$Z,8,FALSE)+VLOOKUP($A266,A:AL,10,FALSE)-50</f>
        <v>104</v>
      </c>
      <c r="L266" s="3">
        <f>M266-1</f>
        <v>105</v>
      </c>
      <c r="M266" s="3">
        <v>106</v>
      </c>
      <c r="N266" s="3">
        <f>M266+2</f>
        <v>108</v>
      </c>
      <c r="O266" s="3">
        <f>N266+1</f>
        <v>109</v>
      </c>
      <c r="P266" s="3">
        <v>138</v>
      </c>
      <c r="Q266" s="3">
        <f>VLOOKUP($A266,'SegEnds_NonXtal_BW#'!$A:$Z,12,FALSE)+VLOOKUP($A266,A:AL,16,FALSE)-50</f>
        <v>144</v>
      </c>
      <c r="R266" s="3" t="str">
        <f>IF(ISERROR(VLOOKUP($A266,'SegEnds_NonXtal_BW#'!$A:$Z,13,FALSE)+VLOOKUP($A266,A:AL,19,FALSE)-50),"-",VLOOKUP($A266,'SegEnds_NonXtal_BW#'!$A:$Z,13,FALSE)+VLOOKUP($A266,A:AL,19,FALSE)-50)</f>
        <v>-</v>
      </c>
      <c r="S266" s="3" t="s">
        <v>23</v>
      </c>
      <c r="T266" s="100" t="str">
        <f>IF(ISERROR(VLOOKUP($A266,'SegEnds_NonXtal_BW#'!$A:$Z,14,FALSE)+VLOOKUP($A266,A:AL,19,FALSE)-50),"-",(VLOOKUP($A266,'SegEnds_NonXtal_BW#'!$A:$Z,14,FALSE)+VLOOKUP($A266,A:AL,19,FALSE)-50))</f>
        <v>-</v>
      </c>
      <c r="U266" s="9">
        <f>IF(ISERROR(VLOOKUP($A266,'SegEnds_NonXtal_BW#'!$A:$Z,15,FALSE)+VLOOKUP($A266,A:AL,22,FALSE)-50),"-",VLOOKUP($A266,'SegEnds_NonXtal_BW#'!$A:$Z,15,FALSE)+VLOOKUP($A266,A:AL,22,FALSE)-50)</f>
        <v>154</v>
      </c>
      <c r="V266" s="3">
        <v>166</v>
      </c>
      <c r="W266" s="3">
        <f>IF(ISERROR(VLOOKUP($A266,'SegEnds_NonXtal_BW#'!$A:$Z,16,FALSE)+VLOOKUP($A266,A:AL,22,FALSE)-50),"-",(VLOOKUP($A266,'SegEnds_NonXtal_BW#'!$A:$Z,16,FALSE)+VLOOKUP($A266,A:AL,22,FALSE)-50))</f>
        <v>180</v>
      </c>
      <c r="X266" s="3">
        <f>IF(ISERROR(VLOOKUP($A266,'SegEnds_NonXtal_BW#'!$A:$Z,17,FALSE)+VLOOKUP($A266,A:AL,25,FALSE)-50),"-",(VLOOKUP($A266,'SegEnds_NonXtal_BW#'!$A:$Z,17,FALSE)+VLOOKUP($A266,A:AL,25,FALSE)-50))</f>
        <v>191</v>
      </c>
      <c r="Y266" s="3">
        <v>191</v>
      </c>
      <c r="Z266" s="3">
        <f t="shared" si="144"/>
        <v>193</v>
      </c>
      <c r="AA266" s="3">
        <f>IF(ISERROR(VLOOKUP($A266,'SegEnds_NonXtal_BW#'!$A:$Z,19,FALSE)+VLOOKUP($A266,A:AL,28,FALSE)-50),"-",(VLOOKUP($A266,'SegEnds_NonXtal_BW#'!$A:$Z,19,FALSE)+VLOOKUP($A266,A:AL,28,FALSE)-50))</f>
        <v>202</v>
      </c>
      <c r="AB266" s="3">
        <v>219</v>
      </c>
      <c r="AC266" s="3">
        <f>IF(ISERROR((VLOOKUP($A266,'SegEnds_NonXtal_BW#'!$A:$Z,20,FALSE)+VLOOKUP($A266,A:AL,28,FALSE)-50)),"-",(VLOOKUP($A266,'SegEnds_NonXtal_BW#'!$A:$Z,20,FALSE)+VLOOKUP($A266,A:AL,28,FALSE)-50))</f>
        <v>237</v>
      </c>
      <c r="AD266" s="3">
        <f>IF(ISERROR(VLOOKUP($A266,'SegEnds_NonXtal_BW#'!$A:$Z,21,FALSE)+VLOOKUP($A266,A:AL,31,FALSE)-50),"-",(VLOOKUP($A266,'SegEnds_NonXtal_BW#'!$A:$Z,21,FALSE)+VLOOKUP($A266,A:AL,31,FALSE)-50))</f>
        <v>242</v>
      </c>
      <c r="AE266" s="3">
        <v>262</v>
      </c>
      <c r="AF266" s="3">
        <f>IF(ISERROR((VLOOKUP($A266,'SegEnds_NonXtal_BW#'!$A:$Z,22,FALSE)+VLOOKUP($A266,A:AL,31,FALSE)-50)),"-",(VLOOKUP($A266,'SegEnds_NonXtal_BW#'!$A:$Z,22,FALSE)+VLOOKUP($A266,A:AL,31,FALSE)-50))</f>
        <v>277</v>
      </c>
      <c r="AG266" s="3">
        <f>IF(ISERROR(VLOOKUP($A266,'SegEnds_NonXtal_BW#'!$A:$Z,23,FALSE)+VLOOKUP($A266,A:AL,34,FALSE)-50),"-",(VLOOKUP($A266,'SegEnds_NonXtal_BW#'!$A:$Z,23,FALSE)+VLOOKUP($A266,A:AL,34,FALSE)-50))</f>
        <v>281</v>
      </c>
      <c r="AH266" s="3">
        <v>307</v>
      </c>
      <c r="AI266" s="3">
        <f>IF(ISERROR((VLOOKUP($A266,'SegEnds_NonXtal_BW#'!$A:$Z,24,FALSE)+VLOOKUP($A266,A:AL,34,FALSE)-50)),"-",(VLOOKUP($A266,'SegEnds_NonXtal_BW#'!$A:$Z,24,FALSE)+VLOOKUP($A266,A:AL,34,FALSE)-50))</f>
        <v>313</v>
      </c>
      <c r="AJ266" s="3">
        <f>IF(ISERROR(VLOOKUP($A266,'SegEnds_NonXtal_BW#'!$A:$Z,25,FALSE)+VLOOKUP($A266,A:AL,37,FALSE)-50),"-",(VLOOKUP($A266,'SegEnds_NonXtal_BW#'!$A:$Z,25,FALSE)+VLOOKUP($A266,A:AL,37,FALSE)-50))</f>
        <v>314</v>
      </c>
      <c r="AK266" s="3">
        <v>317</v>
      </c>
      <c r="AL266" s="3">
        <f>IF(ISERROR((VLOOKUP($A266,'SegEnds_NonXtal_BW#'!$A:$Z,26,FALSE)+VLOOKUP($A266,A:AL,37,FALSE)-50)),"-",(VLOOKUP($A266,'SegEnds_NonXtal_BW#'!$A:$Z,26,FALSE)+VLOOKUP($A266,A:AL,37,FALSE)-50))</f>
        <v>334</v>
      </c>
      <c r="AM266" s="28" t="str">
        <f>VLOOKUP(A266,Classification!A:B,2,FALSE)</f>
        <v>A</v>
      </c>
      <c r="AN266" s="28" t="b">
        <f t="shared" si="167"/>
        <v>1</v>
      </c>
      <c r="AO266" s="3" t="str">
        <f>IF(ISERROR(MATCH(A266,'SegEnds_Xtal_Prot#'!B:B, 0)), "NoXtal", "Xtal")</f>
        <v>NoXtal</v>
      </c>
      <c r="AP266" s="3">
        <f t="shared" si="152"/>
        <v>1</v>
      </c>
      <c r="AQ266" s="3">
        <f t="shared" si="153"/>
        <v>1</v>
      </c>
      <c r="AR266" s="3">
        <f t="shared" si="154"/>
        <v>1</v>
      </c>
      <c r="AS266" s="3">
        <f t="shared" si="155"/>
        <v>1</v>
      </c>
      <c r="AT266" s="3" t="str">
        <f t="shared" si="156"/>
        <v>-</v>
      </c>
      <c r="AU266" s="3" t="str">
        <f t="shared" si="157"/>
        <v>-</v>
      </c>
      <c r="AV266" s="3">
        <f t="shared" si="158"/>
        <v>11</v>
      </c>
      <c r="AW266" s="3">
        <f t="shared" si="159"/>
        <v>9</v>
      </c>
      <c r="AX266" s="3">
        <f t="shared" si="160"/>
        <v>5</v>
      </c>
      <c r="AY266" s="3">
        <f t="shared" si="161"/>
        <v>4</v>
      </c>
      <c r="AZ266" s="3">
        <f t="shared" si="162"/>
        <v>1</v>
      </c>
      <c r="BA266" s="3">
        <f>IF(ISERROR(LEN(VLOOKUP(A266,Seqs!A:E,2,FALSE))-AL266),"-",LEN(VLOOKUP(A266,Seqs!A:E,2,FALSE))-AL266)</f>
        <v>28</v>
      </c>
      <c r="BB266" s="16">
        <f t="shared" si="163"/>
        <v>29</v>
      </c>
      <c r="BC266" s="9" t="str">
        <f t="shared" si="164"/>
        <v>-</v>
      </c>
      <c r="BD266" s="3">
        <f t="shared" si="165"/>
        <v>29</v>
      </c>
      <c r="BE266" s="3">
        <f t="shared" si="166"/>
        <v>43</v>
      </c>
    </row>
    <row r="267" spans="1:58" s="3" customFormat="1" x14ac:dyDescent="0.2">
      <c r="A267" s="3" t="s">
        <v>214</v>
      </c>
      <c r="B267" s="3" t="str">
        <f>LOWER(VLOOKUP(A267,Xtal_Templ!A:B,2,FALSE))</f>
        <v>p2ry1_human</v>
      </c>
      <c r="C267" s="3">
        <f>VLOOKUP($A267,'SegEnds_NonXtal_BW#'!$A:$Z,3,FALSE)+D267-50</f>
        <v>40</v>
      </c>
      <c r="D267" s="3">
        <v>60</v>
      </c>
      <c r="E267" s="3">
        <f>IF(ISERROR(VLOOKUP($A267,'SegEnds_NonXtal_BW#'!$A:$Z,4,FALSE)+VLOOKUP($A267,A:AL,4,FALSE)-50),"-",(VLOOKUP($A267,'SegEnds_NonXtal_BW#'!$A:$Z,4,FALSE)+VLOOKUP($A267,A:AL,4,FALSE)-50))</f>
        <v>70</v>
      </c>
      <c r="F267" s="3" t="str">
        <f>IF(ISERROR(VLOOKUP($A267,'SegEnds_NonXtal_BW#'!$A:$Z,5,FALSE)+VLOOKUP($A267,A:AL,7,FALSE)-50),"-",(VLOOKUP($A267,'SegEnds_NonXtal_BW#'!$A:$Z,5,FALSE)+VLOOKUP($A267,A:AL,7,FALSE)-50))</f>
        <v>-</v>
      </c>
      <c r="G267" s="3" t="s">
        <v>23</v>
      </c>
      <c r="H267" s="3" t="str">
        <f>IF(ISERROR(VLOOKUP($A267,'SegEnds_NonXtal_BW#'!$A:$Z,6,FALSE)+VLOOKUP($A267,A:AL,7,FALSE)-50),"-",(VLOOKUP($A267,'SegEnds_NonXtal_BW#'!$A:$Z,6,FALSE)+VLOOKUP($A267,A:AL,7,FALSE)-50))</f>
        <v>-</v>
      </c>
      <c r="I267" s="3">
        <f>VLOOKUP($A267,'SegEnds_NonXtal_BW#'!$A:$Z,7,FALSE)+J267-50</f>
        <v>75</v>
      </c>
      <c r="J267" s="3">
        <v>88</v>
      </c>
      <c r="K267" s="3">
        <f>VLOOKUP($A267,'SegEnds_NonXtal_BW#'!$A:$Z,8,FALSE)+VLOOKUP($A267,A:AL,10,FALSE)-50</f>
        <v>104</v>
      </c>
      <c r="L267" s="3">
        <f>M267-1</f>
        <v>107</v>
      </c>
      <c r="M267" s="3">
        <v>108</v>
      </c>
      <c r="N267" s="3">
        <f>M267+2</f>
        <v>110</v>
      </c>
      <c r="O267" s="3">
        <f>N267+1</f>
        <v>111</v>
      </c>
      <c r="P267" s="3">
        <v>140</v>
      </c>
      <c r="Q267" s="3">
        <f>VLOOKUP($A267,'SegEnds_NonXtal_BW#'!$A:$Z,12,FALSE)+VLOOKUP($A267,A:AL,16,FALSE)-50</f>
        <v>146</v>
      </c>
      <c r="R267" s="3" t="str">
        <f>IF(ISERROR(VLOOKUP($A267,'SegEnds_NonXtal_BW#'!$A:$Z,13,FALSE)+VLOOKUP($A267,A:AL,19,FALSE)-50),"-",VLOOKUP($A267,'SegEnds_NonXtal_BW#'!$A:$Z,13,FALSE)+VLOOKUP($A267,A:AL,19,FALSE)-50)</f>
        <v>-</v>
      </c>
      <c r="S267" s="3" t="s">
        <v>23</v>
      </c>
      <c r="T267" s="100" t="str">
        <f>IF(ISERROR(VLOOKUP($A267,'SegEnds_NonXtal_BW#'!$A:$Z,14,FALSE)+VLOOKUP($A267,A:AL,19,FALSE)-50),"-",(VLOOKUP($A267,'SegEnds_NonXtal_BW#'!$A:$Z,14,FALSE)+VLOOKUP($A267,A:AL,19,FALSE)-50))</f>
        <v>-</v>
      </c>
      <c r="U267" s="9">
        <f>IF(ISERROR(VLOOKUP($A267,'SegEnds_NonXtal_BW#'!$A:$Z,15,FALSE)+VLOOKUP($A267,A:AL,22,FALSE)-50),"-",VLOOKUP($A267,'SegEnds_NonXtal_BW#'!$A:$Z,15,FALSE)+VLOOKUP($A267,A:AL,22,FALSE)-50)</f>
        <v>155</v>
      </c>
      <c r="V267" s="3">
        <v>167</v>
      </c>
      <c r="W267" s="3">
        <f>IF(ISERROR(VLOOKUP($A267,'SegEnds_NonXtal_BW#'!$A:$Z,16,FALSE)+VLOOKUP($A267,A:AL,22,FALSE)-50),"-",(VLOOKUP($A267,'SegEnds_NonXtal_BW#'!$A:$Z,16,FALSE)+VLOOKUP($A267,A:AL,22,FALSE)-50))</f>
        <v>181</v>
      </c>
      <c r="X267" s="3">
        <f>IF(ISERROR(VLOOKUP($A267,'SegEnds_NonXtal_BW#'!$A:$Z,17,FALSE)+VLOOKUP($A267,A:AL,25,FALSE)-50),"-",(VLOOKUP($A267,'SegEnds_NonXtal_BW#'!$A:$Z,17,FALSE)+VLOOKUP($A267,A:AL,25,FALSE)-50))</f>
        <v>186</v>
      </c>
      <c r="Y267" s="3">
        <v>186</v>
      </c>
      <c r="Z267" s="3">
        <f t="shared" si="144"/>
        <v>188</v>
      </c>
      <c r="AA267" s="3">
        <f>IF(ISERROR(VLOOKUP($A267,'SegEnds_NonXtal_BW#'!$A:$Z,19,FALSE)+VLOOKUP($A267,A:AL,28,FALSE)-50),"-",(VLOOKUP($A267,'SegEnds_NonXtal_BW#'!$A:$Z,19,FALSE)+VLOOKUP($A267,A:AL,28,FALSE)-50))</f>
        <v>193</v>
      </c>
      <c r="AB267" s="3">
        <v>211</v>
      </c>
      <c r="AC267" s="3">
        <f>IF(ISERROR((VLOOKUP($A267,'SegEnds_NonXtal_BW#'!$A:$Z,20,FALSE)+VLOOKUP($A267,A:AL,28,FALSE)-50)),"-",(VLOOKUP($A267,'SegEnds_NonXtal_BW#'!$A:$Z,20,FALSE)+VLOOKUP($A267,A:AL,28,FALSE)-50))</f>
        <v>228</v>
      </c>
      <c r="AD267" s="3">
        <f>IF(ISERROR(VLOOKUP($A267,'SegEnds_NonXtal_BW#'!$A:$Z,21,FALSE)+VLOOKUP($A267,A:AL,31,FALSE)-50),"-",(VLOOKUP($A267,'SegEnds_NonXtal_BW#'!$A:$Z,21,FALSE)+VLOOKUP($A267,A:AL,31,FALSE)-50))</f>
        <v>233</v>
      </c>
      <c r="AE267" s="3">
        <v>257</v>
      </c>
      <c r="AF267" s="3">
        <f>IF(ISERROR((VLOOKUP($A267,'SegEnds_NonXtal_BW#'!$A:$Z,22,FALSE)+VLOOKUP($A267,A:AL,31,FALSE)-50)),"-",(VLOOKUP($A267,'SegEnds_NonXtal_BW#'!$A:$Z,22,FALSE)+VLOOKUP($A267,A:AL,31,FALSE)-50))</f>
        <v>271</v>
      </c>
      <c r="AG267" s="3">
        <f>IF(ISERROR(VLOOKUP($A267,'SegEnds_NonXtal_BW#'!$A:$Z,23,FALSE)+VLOOKUP($A267,A:AL,34,FALSE)-50),"-",(VLOOKUP($A267,'SegEnds_NonXtal_BW#'!$A:$Z,23,FALSE)+VLOOKUP($A267,A:AL,34,FALSE)-50))</f>
        <v>279</v>
      </c>
      <c r="AH267" s="3">
        <v>305</v>
      </c>
      <c r="AI267" s="3">
        <f>IF(ISERROR((VLOOKUP($A267,'SegEnds_NonXtal_BW#'!$A:$Z,24,FALSE)+VLOOKUP($A267,A:AL,34,FALSE)-50)),"-",(VLOOKUP($A267,'SegEnds_NonXtal_BW#'!$A:$Z,24,FALSE)+VLOOKUP($A267,A:AL,34,FALSE)-50))</f>
        <v>311</v>
      </c>
      <c r="AJ267" s="3">
        <f>IF(ISERROR(VLOOKUP($A267,'SegEnds_NonXtal_BW#'!$A:$Z,25,FALSE)+VLOOKUP($A267,A:AL,37,FALSE)-50),"-",(VLOOKUP($A267,'SegEnds_NonXtal_BW#'!$A:$Z,25,FALSE)+VLOOKUP($A267,A:AL,37,FALSE)-50))</f>
        <v>312</v>
      </c>
      <c r="AK267" s="3">
        <v>315</v>
      </c>
      <c r="AL267" s="3">
        <f>IF(ISERROR((VLOOKUP($A267,'SegEnds_NonXtal_BW#'!$A:$Z,26,FALSE)+VLOOKUP($A267,A:AL,37,FALSE)-50)),"-",(VLOOKUP($A267,'SegEnds_NonXtal_BW#'!$A:$Z,26,FALSE)+VLOOKUP($A267,A:AL,37,FALSE)-50))</f>
        <v>324</v>
      </c>
      <c r="AM267" s="28" t="str">
        <f>VLOOKUP(A267,Classification!A:B,2,FALSE)</f>
        <v>A</v>
      </c>
      <c r="AN267" s="28" t="b">
        <f t="shared" si="167"/>
        <v>1</v>
      </c>
      <c r="AO267" s="3" t="str">
        <f>IF(ISERROR(MATCH(A267,'SegEnds_Xtal_Prot#'!B:B, 0)), "NoXtal", "Xtal")</f>
        <v>NoXtal</v>
      </c>
      <c r="AP267" s="3" t="str">
        <f t="shared" si="152"/>
        <v>-</v>
      </c>
      <c r="AQ267" s="3" t="str">
        <f t="shared" si="153"/>
        <v>-</v>
      </c>
      <c r="AR267" s="3">
        <f t="shared" si="154"/>
        <v>3</v>
      </c>
      <c r="AS267" s="3">
        <f t="shared" si="155"/>
        <v>1</v>
      </c>
      <c r="AT267" s="3" t="str">
        <f t="shared" si="156"/>
        <v>-</v>
      </c>
      <c r="AU267" s="3" t="str">
        <f t="shared" si="157"/>
        <v>-</v>
      </c>
      <c r="AV267" s="3">
        <f t="shared" si="158"/>
        <v>5</v>
      </c>
      <c r="AW267" s="3">
        <f t="shared" si="159"/>
        <v>5</v>
      </c>
      <c r="AX267" s="3">
        <f t="shared" si="160"/>
        <v>5</v>
      </c>
      <c r="AY267" s="3">
        <f t="shared" si="161"/>
        <v>8</v>
      </c>
      <c r="AZ267" s="3">
        <f t="shared" si="162"/>
        <v>1</v>
      </c>
      <c r="BA267" s="3">
        <f>IF(ISERROR(LEN(VLOOKUP(A267,Seqs!A:E,2,FALSE))-AL267),"-",LEN(VLOOKUP(A267,Seqs!A:E,2,FALSE))-AL267)</f>
        <v>56</v>
      </c>
      <c r="BB267" s="16">
        <f t="shared" si="163"/>
        <v>28</v>
      </c>
      <c r="BC267" s="9" t="str">
        <f t="shared" si="164"/>
        <v>-</v>
      </c>
      <c r="BD267" s="3">
        <f t="shared" si="165"/>
        <v>28</v>
      </c>
      <c r="BE267" s="3">
        <f t="shared" si="166"/>
        <v>46</v>
      </c>
    </row>
    <row r="268" spans="1:58" s="3" customFormat="1" x14ac:dyDescent="0.2">
      <c r="A268" s="3" t="s">
        <v>215</v>
      </c>
      <c r="B268" s="3" t="str">
        <f>LOWER(VLOOKUP(A268,Xtal_Templ!A:B,2,FALSE))</f>
        <v>ox1r_human</v>
      </c>
      <c r="C268" s="3">
        <f>VLOOKUP($A268,'SegEnds_NonXtal_BW#'!$A:$Z,3,FALSE)+D268-50</f>
        <v>103</v>
      </c>
      <c r="D268" s="3">
        <v>121</v>
      </c>
      <c r="E268" s="3">
        <f>IF(ISERROR(VLOOKUP($A268,'SegEnds_NonXtal_BW#'!$A:$Z,4,FALSE)+VLOOKUP($A268,A:AL,4,FALSE)-50),"-",(VLOOKUP($A268,'SegEnds_NonXtal_BW#'!$A:$Z,4,FALSE)+VLOOKUP($A268,A:AL,4,FALSE)-50))</f>
        <v>131</v>
      </c>
      <c r="F268" s="3">
        <f>G268-2</f>
        <v>132</v>
      </c>
      <c r="G268" s="3">
        <v>134</v>
      </c>
      <c r="H268" s="3">
        <f>G268+1</f>
        <v>135</v>
      </c>
      <c r="I268" s="3">
        <f>H268+1</f>
        <v>136</v>
      </c>
      <c r="J268" s="3">
        <v>149</v>
      </c>
      <c r="K268" s="3">
        <f>VLOOKUP($A268,'SegEnds_NonXtal_BW#'!$A:$Z,8,FALSE)+VLOOKUP($A268,A:AL,10,FALSE)-50</f>
        <v>166</v>
      </c>
      <c r="L268" s="3" t="str">
        <f>IF(ISERROR(VLOOKUP($A268,'SegEnds_NonXtal_BW#'!$A:$Z,9,FALSE)+VLOOKUP($A268,A:AL,13,FALSE)-50),"-",(VLOOKUP($A268,'SegEnds_NonXtal_BW#'!$A:$Z,9,FALSE)+VLOOKUP($A268,A:AL,13,FALSE)-50))</f>
        <v>-</v>
      </c>
      <c r="M268" s="3" t="s">
        <v>23</v>
      </c>
      <c r="N268" s="3" t="str">
        <f>IF(ISERROR(VLOOKUP($A268,'SegEnds_NonXtal_BW#'!$A:$Z,10,FALSE)+VLOOKUP($A268,A:AL,13,FALSE)-50),"-",(VLOOKUP($A268,'SegEnds_NonXtal_BW#'!$A:$Z,10,FALSE)+VLOOKUP($A268,A:AL,13,FALSE)-50))</f>
        <v>-</v>
      </c>
      <c r="O268" s="3">
        <f>VLOOKUP($A268,'SegEnds_NonXtal_BW#'!$A:$Z,11,FALSE)+VLOOKUP($A268,A:AL,16,FALSE)-50</f>
        <v>177</v>
      </c>
      <c r="P268" s="3">
        <v>209</v>
      </c>
      <c r="Q268" s="3">
        <f>VLOOKUP($A268,'SegEnds_NonXtal_BW#'!$A:$Z,12,FALSE)+VLOOKUP($A268,A:AL,16,FALSE)-50</f>
        <v>215</v>
      </c>
      <c r="R268" s="3" t="str">
        <f>IF(ISERROR(VLOOKUP($A268,'SegEnds_NonXtal_BW#'!$A:$Z,13,FALSE)+VLOOKUP($A268,A:AL,19,FALSE)-50),"-",VLOOKUP($A268,'SegEnds_NonXtal_BW#'!$A:$Z,13,FALSE)+VLOOKUP($A268,A:AL,19,FALSE)-50)</f>
        <v>-</v>
      </c>
      <c r="S268" s="3" t="s">
        <v>23</v>
      </c>
      <c r="T268" s="100" t="str">
        <f>IF(ISERROR(VLOOKUP($A268,'SegEnds_NonXtal_BW#'!$A:$Z,14,FALSE)+VLOOKUP($A268,A:AL,19,FALSE)-50),"-",(VLOOKUP($A268,'SegEnds_NonXtal_BW#'!$A:$Z,14,FALSE)+VLOOKUP($A268,A:AL,19,FALSE)-50))</f>
        <v>-</v>
      </c>
      <c r="U268" s="9">
        <f>IF(ISERROR(VLOOKUP($A268,'SegEnds_NonXtal_BW#'!$A:$Z,15,FALSE)+VLOOKUP($A268,A:AL,22,FALSE)-50),"-",VLOOKUP($A268,'SegEnds_NonXtal_BW#'!$A:$Z,15,FALSE)+VLOOKUP($A268,A:AL,22,FALSE)-50)</f>
        <v>222</v>
      </c>
      <c r="V268" s="3">
        <v>234</v>
      </c>
      <c r="W268" s="3">
        <f>IF(ISERROR(VLOOKUP($A268,'SegEnds_NonXtal_BW#'!$A:$Z,16,FALSE)+VLOOKUP($A268,A:AL,22,FALSE)-50),"-",(VLOOKUP($A268,'SegEnds_NonXtal_BW#'!$A:$Z,16,FALSE)+VLOOKUP($A268,A:AL,22,FALSE)-50))</f>
        <v>248</v>
      </c>
      <c r="X268" s="3">
        <f>IF(ISERROR(VLOOKUP($A268,'SegEnds_NonXtal_BW#'!$A:$Z,17,FALSE)+VLOOKUP($A268,A:AL,25,FALSE)-50),"-",(VLOOKUP($A268,'SegEnds_NonXtal_BW#'!$A:$Z,17,FALSE)+VLOOKUP($A268,A:AL,25,FALSE)-50))</f>
        <v>262</v>
      </c>
      <c r="Y268" s="3">
        <v>262</v>
      </c>
      <c r="Z268" s="3">
        <f t="shared" si="144"/>
        <v>264</v>
      </c>
      <c r="AA268" s="3">
        <f>IF(ISERROR(VLOOKUP($A268,'SegEnds_NonXtal_BW#'!$A:$Z,19,FALSE)+VLOOKUP($A268,A:AL,28,FALSE)-50),"-",(VLOOKUP($A268,'SegEnds_NonXtal_BW#'!$A:$Z,19,FALSE)+VLOOKUP($A268,A:AL,28,FALSE)-50))</f>
        <v>271</v>
      </c>
      <c r="AB268" s="3">
        <v>289</v>
      </c>
      <c r="AC268" s="3">
        <f>IF(ISERROR((VLOOKUP($A268,'SegEnds_NonXtal_BW#'!$A:$Z,20,FALSE)+VLOOKUP($A268,A:AL,28,FALSE)-50)),"-",(VLOOKUP($A268,'SegEnds_NonXtal_BW#'!$A:$Z,20,FALSE)+VLOOKUP($A268,A:AL,28,FALSE)-50))</f>
        <v>312</v>
      </c>
      <c r="AD268" s="3">
        <f>IF(ISERROR(VLOOKUP($A268,'SegEnds_NonXtal_BW#'!$A:$Z,21,FALSE)+VLOOKUP($A268,A:AL,31,FALSE)-50),"-",(VLOOKUP($A268,'SegEnds_NonXtal_BW#'!$A:$Z,21,FALSE)+VLOOKUP($A268,A:AL,31,FALSE)-50))</f>
        <v>318</v>
      </c>
      <c r="AE268" s="3">
        <v>346</v>
      </c>
      <c r="AF268" s="3">
        <f>IF(ISERROR((VLOOKUP($A268,'SegEnds_NonXtal_BW#'!$A:$Z,22,FALSE)+VLOOKUP($A268,A:AL,31,FALSE)-50)),"-",(VLOOKUP($A268,'SegEnds_NonXtal_BW#'!$A:$Z,22,FALSE)+VLOOKUP($A268,A:AL,31,FALSE)-50))</f>
        <v>357</v>
      </c>
      <c r="AG268" s="3">
        <f>IF(ISERROR(VLOOKUP($A268,'SegEnds_NonXtal_BW#'!$A:$Z,23,FALSE)+VLOOKUP($A268,A:AL,34,FALSE)-50),"-",(VLOOKUP($A268,'SegEnds_NonXtal_BW#'!$A:$Z,23,FALSE)+VLOOKUP($A268,A:AL,34,FALSE)-50))</f>
        <v>362</v>
      </c>
      <c r="AH268" s="3">
        <v>384</v>
      </c>
      <c r="AI268" s="3">
        <f>IF(ISERROR((VLOOKUP($A268,'SegEnds_NonXtal_BW#'!$A:$Z,24,FALSE)+VLOOKUP($A268,A:AL,34,FALSE)-50)),"-",(VLOOKUP($A268,'SegEnds_NonXtal_BW#'!$A:$Z,24,FALSE)+VLOOKUP($A268,A:AL,34,FALSE)-50))</f>
        <v>390</v>
      </c>
      <c r="AJ268" s="3">
        <f>IF(ISERROR(VLOOKUP($A268,'SegEnds_NonXtal_BW#'!$A:$Z,25,FALSE)+VLOOKUP($A268,A:AL,37,FALSE)-50),"-",(VLOOKUP($A268,'SegEnds_NonXtal_BW#'!$A:$Z,25,FALSE)+VLOOKUP($A268,A:AL,37,FALSE)-50))</f>
        <v>391</v>
      </c>
      <c r="AK268" s="3">
        <v>394</v>
      </c>
      <c r="AL268" s="3">
        <f>IF(ISERROR((VLOOKUP($A268,'SegEnds_NonXtal_BW#'!$A:$Z,26,FALSE)+VLOOKUP($A268,A:AL,37,FALSE)-50)),"-",(VLOOKUP($A268,'SegEnds_NonXtal_BW#'!$A:$Z,26,FALSE)+VLOOKUP($A268,A:AL,37,FALSE)-50))</f>
        <v>402</v>
      </c>
      <c r="AM268" s="28" t="str">
        <f>VLOOKUP(A268,Classification!A:B,2,FALSE)</f>
        <v>A</v>
      </c>
      <c r="AN268" s="28" t="b">
        <f t="shared" si="167"/>
        <v>1</v>
      </c>
      <c r="AO268" s="3" t="str">
        <f>IF(ISERROR(MATCH(A268,'SegEnds_Xtal_Prot#'!B:B, 0)), "NoXtal", "Xtal")</f>
        <v>NoXtal</v>
      </c>
      <c r="AP268" s="3">
        <f t="shared" si="152"/>
        <v>1</v>
      </c>
      <c r="AQ268" s="3">
        <f t="shared" si="153"/>
        <v>1</v>
      </c>
      <c r="AR268" s="3" t="str">
        <f t="shared" si="154"/>
        <v>-</v>
      </c>
      <c r="AS268" s="3" t="str">
        <f t="shared" si="155"/>
        <v>-</v>
      </c>
      <c r="AT268" s="3" t="str">
        <f t="shared" si="156"/>
        <v>-</v>
      </c>
      <c r="AU268" s="3" t="str">
        <f t="shared" si="157"/>
        <v>-</v>
      </c>
      <c r="AV268" s="3">
        <f t="shared" si="158"/>
        <v>14</v>
      </c>
      <c r="AW268" s="3">
        <f t="shared" si="159"/>
        <v>7</v>
      </c>
      <c r="AX268" s="3">
        <f t="shared" si="160"/>
        <v>6</v>
      </c>
      <c r="AY268" s="3">
        <f t="shared" si="161"/>
        <v>5</v>
      </c>
      <c r="AZ268" s="3">
        <f t="shared" si="162"/>
        <v>1</v>
      </c>
      <c r="BA268" s="3">
        <f>IF(ISERROR(LEN(VLOOKUP(A268,Seqs!A:E,2,FALSE))-AL268),"-",LEN(VLOOKUP(A268,Seqs!A:E,2,FALSE))-AL268)</f>
        <v>92</v>
      </c>
      <c r="BB268" s="16">
        <f t="shared" si="163"/>
        <v>28</v>
      </c>
      <c r="BC268" s="9" t="str">
        <f t="shared" si="164"/>
        <v>-</v>
      </c>
      <c r="BD268" s="3">
        <f t="shared" si="165"/>
        <v>28</v>
      </c>
      <c r="BE268" s="3">
        <f t="shared" si="166"/>
        <v>57</v>
      </c>
    </row>
    <row r="269" spans="1:58" s="3" customFormat="1" x14ac:dyDescent="0.2">
      <c r="A269" s="3" t="s">
        <v>219</v>
      </c>
      <c r="B269" s="3" t="str">
        <f>LOWER(VLOOKUP(A269,Xtal_Templ!A:B,2,FALSE))</f>
        <v>agtr1_human</v>
      </c>
      <c r="C269" s="3">
        <f>VLOOKUP($A269,'SegEnds_NonXtal_BW#'!$A:$Z,3,FALSE)+D269-50</f>
        <v>23</v>
      </c>
      <c r="D269" s="3">
        <v>45</v>
      </c>
      <c r="E269" s="3">
        <f>IF(ISERROR(VLOOKUP($A269,'SegEnds_NonXtal_BW#'!$A:$Z,4,FALSE)+VLOOKUP($A269,A:AL,4,FALSE)-50),"-",(VLOOKUP($A269,'SegEnds_NonXtal_BW#'!$A:$Z,4,FALSE)+VLOOKUP($A269,A:AL,4,FALSE)-50))</f>
        <v>55</v>
      </c>
      <c r="F269" s="3" t="str">
        <f>IF(ISERROR(VLOOKUP($A269,'SegEnds_NonXtal_BW#'!$A:$Z,5,FALSE)+VLOOKUP($A269,A:AL,7,FALSE)-50),"-",(VLOOKUP($A269,'SegEnds_NonXtal_BW#'!$A:$Z,5,FALSE)+VLOOKUP($A269,A:AL,7,FALSE)-50))</f>
        <v>-</v>
      </c>
      <c r="G269" s="3" t="s">
        <v>23</v>
      </c>
      <c r="H269" s="3" t="str">
        <f>IF(ISERROR(VLOOKUP($A269,'SegEnds_NonXtal_BW#'!$A:$Z,6,FALSE)+VLOOKUP($A269,A:AL,7,FALSE)-50),"-",(VLOOKUP($A269,'SegEnds_NonXtal_BW#'!$A:$Z,6,FALSE)+VLOOKUP($A269,A:AL,7,FALSE)-50))</f>
        <v>-</v>
      </c>
      <c r="I269" s="3">
        <f>VLOOKUP($A269,'SegEnds_NonXtal_BW#'!$A:$Z,7,FALSE)+J269-50</f>
        <v>65</v>
      </c>
      <c r="J269" s="3">
        <v>78</v>
      </c>
      <c r="K269" s="3">
        <f>VLOOKUP($A269,'SegEnds_NonXtal_BW#'!$A:$Z,8,FALSE)+VLOOKUP($A269,A:AL,10,FALSE)-50</f>
        <v>91</v>
      </c>
      <c r="L269" s="3">
        <f>M269-1</f>
        <v>94</v>
      </c>
      <c r="M269" s="3">
        <v>95</v>
      </c>
      <c r="N269" s="3">
        <f>M269+2</f>
        <v>97</v>
      </c>
      <c r="O269" s="3">
        <f>N269+1</f>
        <v>98</v>
      </c>
      <c r="P269" s="3">
        <v>127</v>
      </c>
      <c r="Q269" s="3">
        <f>VLOOKUP($A269,'SegEnds_NonXtal_BW#'!$A:$Z,12,FALSE)+VLOOKUP($A269,A:AL,16,FALSE)-50</f>
        <v>133</v>
      </c>
      <c r="R269" s="3" t="str">
        <f>IF(ISERROR(VLOOKUP($A269,'SegEnds_NonXtal_BW#'!$A:$Z,13,FALSE)+VLOOKUP($A269,A:AL,19,FALSE)-50),"-",VLOOKUP($A269,'SegEnds_NonXtal_BW#'!$A:$Z,13,FALSE)+VLOOKUP($A269,A:AL,19,FALSE)-50)</f>
        <v>-</v>
      </c>
      <c r="S269" s="3" t="s">
        <v>23</v>
      </c>
      <c r="T269" s="100" t="str">
        <f>IF(ISERROR(VLOOKUP($A269,'SegEnds_NonXtal_BW#'!$A:$Z,14,FALSE)+VLOOKUP($A269,A:AL,19,FALSE)-50),"-",(VLOOKUP($A269,'SegEnds_NonXtal_BW#'!$A:$Z,14,FALSE)+VLOOKUP($A269,A:AL,19,FALSE)-50))</f>
        <v>-</v>
      </c>
      <c r="U269" s="9">
        <f>IF(ISERROR(VLOOKUP($A269,'SegEnds_NonXtal_BW#'!$A:$Z,15,FALSE)+VLOOKUP($A269,A:AL,22,FALSE)-50),"-",VLOOKUP($A269,'SegEnds_NonXtal_BW#'!$A:$Z,15,FALSE)+VLOOKUP($A269,A:AL,22,FALSE)-50)</f>
        <v>140</v>
      </c>
      <c r="V269" s="3">
        <v>152</v>
      </c>
      <c r="W269" s="3">
        <f>IF(ISERROR(VLOOKUP($A269,'SegEnds_NonXtal_BW#'!$A:$Z,16,FALSE)+VLOOKUP($A269,A:AL,22,FALSE)-50),"-",(VLOOKUP($A269,'SegEnds_NonXtal_BW#'!$A:$Z,16,FALSE)+VLOOKUP($A269,A:AL,22,FALSE)-50))</f>
        <v>166</v>
      </c>
      <c r="X269" s="3" t="str">
        <f>IF(ISERROR(VLOOKUP($A269,'SegEnds_NonXtal_BW#'!$A:$Z,17,FALSE)+VLOOKUP($A269,A:AL,25,FALSE)-50),"-",(VLOOKUP($A269,'SegEnds_NonXtal_BW#'!$A:$Z,17,FALSE)+VLOOKUP($A269,A:AL,25,FALSE)-50))</f>
        <v>-</v>
      </c>
      <c r="Y269" s="3" t="s">
        <v>23</v>
      </c>
      <c r="Z269" s="3" t="str">
        <f>IF(ISERROR(VLOOKUP($A269,'SegEnds_NonXtal_BW#'!$A:$Z,18,FALSE)+VLOOKUP($A269,A:AL,25,FALSE)-50),"-",(VLOOKUP($A269,'SegEnds_NonXtal_BW#'!$A:$Z,18,FALSE)+VLOOKUP($A269,A:AL,25,FALSE)-50))</f>
        <v>-</v>
      </c>
      <c r="AA269" s="3">
        <f>IF(ISERROR(VLOOKUP($A269,'SegEnds_NonXtal_BW#'!$A:$Z,19,FALSE)+VLOOKUP($A269,A:AL,28,FALSE)-50),"-",(VLOOKUP($A269,'SegEnds_NonXtal_BW#'!$A:$Z,19,FALSE)+VLOOKUP($A269,A:AL,28,FALSE)-50))</f>
        <v>183</v>
      </c>
      <c r="AB269" s="3">
        <v>199</v>
      </c>
      <c r="AC269" s="3">
        <f>IF(ISERROR((VLOOKUP($A269,'SegEnds_NonXtal_BW#'!$A:$Z,20,FALSE)+VLOOKUP($A269,A:AL,28,FALSE)-50)),"-",(VLOOKUP($A269,'SegEnds_NonXtal_BW#'!$A:$Z,20,FALSE)+VLOOKUP($A269,A:AL,28,FALSE)-50))</f>
        <v>217</v>
      </c>
      <c r="AD269" s="3">
        <f>IF(ISERROR(VLOOKUP($A269,'SegEnds_NonXtal_BW#'!$A:$Z,21,FALSE)+VLOOKUP($A269,A:AL,31,FALSE)-50),"-",(VLOOKUP($A269,'SegEnds_NonXtal_BW#'!$A:$Z,21,FALSE)+VLOOKUP($A269,A:AL,31,FALSE)-50))</f>
        <v>222</v>
      </c>
      <c r="AE269" s="3">
        <v>248</v>
      </c>
      <c r="AF269" s="3">
        <f>IF(ISERROR((VLOOKUP($A269,'SegEnds_NonXtal_BW#'!$A:$Z,22,FALSE)+VLOOKUP($A269,A:AL,31,FALSE)-50)),"-",(VLOOKUP($A269,'SegEnds_NonXtal_BW#'!$A:$Z,22,FALSE)+VLOOKUP($A269,A:AL,31,FALSE)-50))</f>
        <v>262</v>
      </c>
      <c r="AG269" s="3">
        <f>IF(ISERROR(VLOOKUP($A269,'SegEnds_NonXtal_BW#'!$A:$Z,23,FALSE)+VLOOKUP($A269,A:AL,34,FALSE)-50),"-",(VLOOKUP($A269,'SegEnds_NonXtal_BW#'!$A:$Z,23,FALSE)+VLOOKUP($A269,A:AL,34,FALSE)-50))</f>
        <v>267</v>
      </c>
      <c r="AH269" s="3">
        <v>293</v>
      </c>
      <c r="AI269" s="3">
        <f>IF(ISERROR((VLOOKUP($A269,'SegEnds_NonXtal_BW#'!$A:$Z,24,FALSE)+VLOOKUP($A269,A:AL,34,FALSE)-50)),"-",(VLOOKUP($A269,'SegEnds_NonXtal_BW#'!$A:$Z,24,FALSE)+VLOOKUP($A269,A:AL,34,FALSE)-50))</f>
        <v>299</v>
      </c>
      <c r="AJ269" s="3">
        <f>IF(ISERROR(VLOOKUP($A269,'SegEnds_NonXtal_BW#'!$A:$Z,25,FALSE)+VLOOKUP($A269,A:AL,37,FALSE)-50),"-",(VLOOKUP($A269,'SegEnds_NonXtal_BW#'!$A:$Z,25,FALSE)+VLOOKUP($A269,A:AL,37,FALSE)-50))</f>
        <v>300</v>
      </c>
      <c r="AK269" s="3">
        <v>303</v>
      </c>
      <c r="AL269" s="3">
        <f>IF(ISERROR((VLOOKUP($A269,'SegEnds_NonXtal_BW#'!$A:$Z,26,FALSE)+VLOOKUP($A269,A:AL,37,FALSE)-50)),"-",(VLOOKUP($A269,'SegEnds_NonXtal_BW#'!$A:$Z,26,FALSE)+VLOOKUP($A269,A:AL,37,FALSE)-50))</f>
        <v>314</v>
      </c>
      <c r="AM269" s="28" t="str">
        <f>VLOOKUP(A269,Classification!A:B,2,FALSE)</f>
        <v>A</v>
      </c>
      <c r="AN269" s="28" t="b">
        <f t="shared" si="167"/>
        <v>1</v>
      </c>
      <c r="AO269" s="3" t="str">
        <f>IF(ISERROR(MATCH(A269,'SegEnds_Xtal_Prot#'!B:B, 0)), "NoXtal", "Xtal")</f>
        <v>NoXtal</v>
      </c>
      <c r="AP269" s="3" t="str">
        <f t="shared" si="152"/>
        <v>-</v>
      </c>
      <c r="AQ269" s="3" t="str">
        <f t="shared" si="153"/>
        <v>-</v>
      </c>
      <c r="AR269" s="3">
        <f t="shared" si="154"/>
        <v>3</v>
      </c>
      <c r="AS269" s="3">
        <f t="shared" si="155"/>
        <v>1</v>
      </c>
      <c r="AT269" s="3" t="str">
        <f t="shared" si="156"/>
        <v>-</v>
      </c>
      <c r="AU269" s="3" t="str">
        <f t="shared" si="157"/>
        <v>-</v>
      </c>
      <c r="AV269" s="3" t="str">
        <f t="shared" si="158"/>
        <v>-</v>
      </c>
      <c r="AW269" s="3" t="str">
        <f t="shared" si="159"/>
        <v>-</v>
      </c>
      <c r="AX269" s="3">
        <f t="shared" si="160"/>
        <v>5</v>
      </c>
      <c r="AY269" s="3">
        <f t="shared" si="161"/>
        <v>5</v>
      </c>
      <c r="AZ269" s="3">
        <f t="shared" si="162"/>
        <v>1</v>
      </c>
      <c r="BA269" s="3">
        <f>IF(ISERROR(LEN(VLOOKUP(A269,Seqs!A:E,2,FALSE))-AL269),"-",LEN(VLOOKUP(A269,Seqs!A:E,2,FALSE))-AL269)</f>
        <v>19</v>
      </c>
      <c r="BB269" s="16">
        <f t="shared" si="163"/>
        <v>33</v>
      </c>
      <c r="BC269" s="9" t="str">
        <f t="shared" si="164"/>
        <v>-</v>
      </c>
      <c r="BD269" s="3">
        <f t="shared" si="165"/>
        <v>33</v>
      </c>
      <c r="BE269" s="3">
        <f t="shared" si="166"/>
        <v>49</v>
      </c>
      <c r="BF269" s="3">
        <f>AH269-AE269</f>
        <v>45</v>
      </c>
    </row>
    <row r="270" spans="1:58" s="3" customFormat="1" x14ac:dyDescent="0.2">
      <c r="A270" s="3" t="s">
        <v>221</v>
      </c>
      <c r="B270" s="3" t="str">
        <f>LOWER(VLOOKUP(A270,Xtal_Templ!A:B,2,FALSE))</f>
        <v>s1pr1_human</v>
      </c>
      <c r="C270" s="3">
        <f>VLOOKUP($A270,'SegEnds_NonXtal_BW#'!$A:$Z,3,FALSE)+D270-50</f>
        <v>12</v>
      </c>
      <c r="D270" s="3">
        <v>33</v>
      </c>
      <c r="E270" s="3">
        <f>IF(ISERROR(VLOOKUP($A270,'SegEnds_NonXtal_BW#'!$A:$Z,4,FALSE)+VLOOKUP($A270,A:AL,4,FALSE)-50),"-",(VLOOKUP($A270,'SegEnds_NonXtal_BW#'!$A:$Z,4,FALSE)+VLOOKUP($A270,A:AL,4,FALSE)-50))</f>
        <v>43</v>
      </c>
      <c r="F270" s="3" t="str">
        <f>IF(ISERROR(VLOOKUP($A270,'SegEnds_NonXtal_BW#'!$A:$Z,5,FALSE)+VLOOKUP($A270,A:AL,7,FALSE)-50),"-",(VLOOKUP($A270,'SegEnds_NonXtal_BW#'!$A:$Z,5,FALSE)+VLOOKUP($A270,A:AL,7,FALSE)-50))</f>
        <v>-</v>
      </c>
      <c r="G270" s="3" t="s">
        <v>23</v>
      </c>
      <c r="H270" s="3" t="str">
        <f>IF(ISERROR(VLOOKUP($A270,'SegEnds_NonXtal_BW#'!$A:$Z,6,FALSE)+VLOOKUP($A270,A:AL,7,FALSE)-50),"-",(VLOOKUP($A270,'SegEnds_NonXtal_BW#'!$A:$Z,6,FALSE)+VLOOKUP($A270,A:AL,7,FALSE)-50))</f>
        <v>-</v>
      </c>
      <c r="I270" s="3">
        <f>VLOOKUP($A270,'SegEnds_NonXtal_BW#'!$A:$Z,7,FALSE)+J270-50</f>
        <v>49</v>
      </c>
      <c r="J270" s="3">
        <v>62</v>
      </c>
      <c r="K270" s="3">
        <f>VLOOKUP($A270,'SegEnds_NonXtal_BW#'!$A:$Z,8,FALSE)+VLOOKUP($A270,A:AL,10,FALSE)-50</f>
        <v>79</v>
      </c>
      <c r="L270" s="3">
        <f>M270-1</f>
        <v>87</v>
      </c>
      <c r="M270" s="3">
        <v>88</v>
      </c>
      <c r="N270" s="3">
        <f>M270+2</f>
        <v>90</v>
      </c>
      <c r="O270" s="3">
        <f>N270+1</f>
        <v>91</v>
      </c>
      <c r="P270" s="3">
        <v>131</v>
      </c>
      <c r="Q270" s="3">
        <f>VLOOKUP($A270,'SegEnds_NonXtal_BW#'!$A:$Z,12,FALSE)+VLOOKUP($A270,A:AL,16,FALSE)-50</f>
        <v>137</v>
      </c>
      <c r="R270" s="3" t="str">
        <f>S270</f>
        <v>-</v>
      </c>
      <c r="S270" s="3" t="s">
        <v>23</v>
      </c>
      <c r="T270" s="100" t="s">
        <v>23</v>
      </c>
      <c r="U270" s="9">
        <f>IF(ISERROR(VLOOKUP($A270,'SegEnds_NonXtal_BW#'!$A:$Z,15,FALSE)+VLOOKUP($A270,A:AL,22,FALSE)-50),"-",VLOOKUP($A270,'SegEnds_NonXtal_BW#'!$A:$Z,15,FALSE)+VLOOKUP($A270,A:AL,22,FALSE)-50)</f>
        <v>146</v>
      </c>
      <c r="V270" s="3">
        <v>158</v>
      </c>
      <c r="W270" s="3">
        <f>IF(ISERROR(VLOOKUP($A270,'SegEnds_NonXtal_BW#'!$A:$Z,16,FALSE)+VLOOKUP($A270,A:AL,22,FALSE)-50),"-",(VLOOKUP($A270,'SegEnds_NonXtal_BW#'!$A:$Z,16,FALSE)+VLOOKUP($A270,A:AL,22,FALSE)-50))</f>
        <v>171</v>
      </c>
      <c r="X270" s="3" t="str">
        <f>IF(ISERROR(VLOOKUP($A270,'SegEnds_NonXtal_BW#'!$A:$Z,17,FALSE)+VLOOKUP($A270,A:AL,25,FALSE)-50),"-",(VLOOKUP($A270,'SegEnds_NonXtal_BW#'!$A:$Z,17,FALSE)+VLOOKUP($A270,A:AL,25,FALSE)-50))</f>
        <v>-</v>
      </c>
      <c r="Y270" s="3" t="s">
        <v>23</v>
      </c>
      <c r="Z270" s="3" t="str">
        <f>IF(ISERROR(VLOOKUP($A270,'SegEnds_NonXtal_BW#'!$A:$Z,18,FALSE)+VLOOKUP($A270,A:AL,25,FALSE)-50),"-",(VLOOKUP($A270,'SegEnds_NonXtal_BW#'!$A:$Z,18,FALSE)+VLOOKUP($A270,A:AL,25,FALSE)-50))</f>
        <v>-</v>
      </c>
      <c r="AA270" s="3">
        <f>IF(ISERROR(VLOOKUP($A270,'SegEnds_NonXtal_BW#'!$A:$Z,19,FALSE)+VLOOKUP($A270,A:AL,28,FALSE)-50),"-",(VLOOKUP($A270,'SegEnds_NonXtal_BW#'!$A:$Z,19,FALSE)+VLOOKUP($A270,A:AL,28,FALSE)-50))</f>
        <v>197</v>
      </c>
      <c r="AB270" s="3">
        <v>211</v>
      </c>
      <c r="AC270" s="3">
        <f>IF(ISERROR((VLOOKUP($A270,'SegEnds_NonXtal_BW#'!$A:$Z,20,FALSE)+VLOOKUP($A270,A:AL,28,FALSE)-50)),"-",(VLOOKUP($A270,'SegEnds_NonXtal_BW#'!$A:$Z,20,FALSE)+VLOOKUP($A270,A:AL,28,FALSE)-50))</f>
        <v>237</v>
      </c>
      <c r="AD270" s="3">
        <f>IF(ISERROR(VLOOKUP($A270,'SegEnds_NonXtal_BW#'!$A:$Z,21,FALSE)+VLOOKUP($A270,A:AL,31,FALSE)-50),"-",(VLOOKUP($A270,'SegEnds_NonXtal_BW#'!$A:$Z,21,FALSE)+VLOOKUP($A270,A:AL,31,FALSE)-50))</f>
        <v>299</v>
      </c>
      <c r="AE270" s="3">
        <v>325</v>
      </c>
      <c r="AF270" s="3">
        <f>IF(ISERROR((VLOOKUP($A270,'SegEnds_NonXtal_BW#'!$A:$Z,22,FALSE)+VLOOKUP($A270,A:AL,31,FALSE)-50)),"-",(VLOOKUP($A270,'SegEnds_NonXtal_BW#'!$A:$Z,22,FALSE)+VLOOKUP($A270,A:AL,31,FALSE)-50))</f>
        <v>336</v>
      </c>
      <c r="AG270" s="3">
        <f>IF(ISERROR(VLOOKUP($A270,'SegEnds_NonXtal_BW#'!$A:$Z,23,FALSE)+VLOOKUP($A270,A:AL,34,FALSE)-50),"-",(VLOOKUP($A270,'SegEnds_NonXtal_BW#'!$A:$Z,23,FALSE)+VLOOKUP($A270,A:AL,34,FALSE)-50))</f>
        <v>341</v>
      </c>
      <c r="AH270" s="3">
        <v>359</v>
      </c>
      <c r="AI270" s="3">
        <f>IF(ISERROR((VLOOKUP($A270,'SegEnds_NonXtal_BW#'!$A:$Z,24,FALSE)+VLOOKUP($A270,A:AL,34,FALSE)-50)),"-",(VLOOKUP($A270,'SegEnds_NonXtal_BW#'!$A:$Z,24,FALSE)+VLOOKUP($A270,A:AL,34,FALSE)-50))</f>
        <v>365</v>
      </c>
      <c r="AJ270" s="3">
        <f>IF(ISERROR(VLOOKUP($A270,'SegEnds_NonXtal_BW#'!$A:$Z,25,FALSE)+VLOOKUP($A270,A:AL,37,FALSE)-50),"-",(VLOOKUP($A270,'SegEnds_NonXtal_BW#'!$A:$Z,25,FALSE)+VLOOKUP($A270,A:AL,37,FALSE)-50))</f>
        <v>366</v>
      </c>
      <c r="AK270" s="3">
        <v>369</v>
      </c>
      <c r="AL270" s="3">
        <f>IF(ISERROR((VLOOKUP($A270,'SegEnds_NonXtal_BW#'!$A:$Z,26,FALSE)+VLOOKUP($A270,A:AL,37,FALSE)-50)),"-",(VLOOKUP($A270,'SegEnds_NonXtal_BW#'!$A:$Z,26,FALSE)+VLOOKUP($A270,A:AL,37,FALSE)-50))</f>
        <v>378</v>
      </c>
      <c r="AM270" s="28" t="str">
        <f>VLOOKUP(A270,Classification!A:B,2,FALSE)</f>
        <v>A</v>
      </c>
      <c r="AN270" s="28" t="b">
        <f t="shared" si="167"/>
        <v>1</v>
      </c>
      <c r="AO270" s="3" t="str">
        <f>IF(ISERROR(MATCH(A270,'SegEnds_Xtal_Prot#'!B:B, 0)), "NoXtal", "Xtal")</f>
        <v>NoXtal</v>
      </c>
      <c r="AP270" s="3" t="str">
        <f t="shared" si="152"/>
        <v>-</v>
      </c>
      <c r="AQ270" s="3" t="str">
        <f t="shared" si="153"/>
        <v>-</v>
      </c>
      <c r="AR270" s="3">
        <f t="shared" si="154"/>
        <v>8</v>
      </c>
      <c r="AS270" s="3">
        <f t="shared" si="155"/>
        <v>1</v>
      </c>
      <c r="AT270" s="3" t="str">
        <f t="shared" si="156"/>
        <v>-</v>
      </c>
      <c r="AU270" s="3" t="str">
        <f t="shared" si="157"/>
        <v>-</v>
      </c>
      <c r="AV270" s="3" t="str">
        <f t="shared" si="158"/>
        <v>-</v>
      </c>
      <c r="AW270" s="3" t="str">
        <f t="shared" si="159"/>
        <v>-</v>
      </c>
      <c r="AX270" s="3">
        <f t="shared" si="160"/>
        <v>62</v>
      </c>
      <c r="AY270" s="3">
        <f t="shared" si="161"/>
        <v>5</v>
      </c>
      <c r="AZ270" s="3">
        <f t="shared" si="162"/>
        <v>1</v>
      </c>
      <c r="BA270" s="3">
        <f>IF(ISERROR(LEN(VLOOKUP(A270,Seqs!A:E,2,FALSE))-AL270),"-",LEN(VLOOKUP(A270,Seqs!A:E,2,FALSE))-AL270)</f>
        <v>353</v>
      </c>
      <c r="BB270" s="16">
        <f t="shared" si="163"/>
        <v>29</v>
      </c>
      <c r="BC270" s="9" t="str">
        <f t="shared" si="164"/>
        <v>-</v>
      </c>
      <c r="BD270" s="3">
        <f t="shared" si="165"/>
        <v>29</v>
      </c>
      <c r="BE270" s="3">
        <f t="shared" si="166"/>
        <v>114</v>
      </c>
    </row>
    <row r="271" spans="1:58" s="3" customFormat="1" x14ac:dyDescent="0.2">
      <c r="A271" s="3" t="s">
        <v>222</v>
      </c>
      <c r="B271" s="3" t="str">
        <f>LOWER(VLOOKUP(A271,Xtal_Templ!A:B,2,FALSE))</f>
        <v>ox2r_human</v>
      </c>
      <c r="C271" s="3">
        <f>VLOOKUP($A271,'SegEnds_NonXtal_BW#'!$A:$Z,3,FALSE)+D271-50</f>
        <v>41</v>
      </c>
      <c r="D271" s="3">
        <v>60</v>
      </c>
      <c r="E271" s="3">
        <f>IF(ISERROR(VLOOKUP($A271,'SegEnds_NonXtal_BW#'!$A:$Z,4,FALSE)+VLOOKUP($A271,A:AL,4,FALSE)-50),"-",(VLOOKUP($A271,'SegEnds_NonXtal_BW#'!$A:$Z,4,FALSE)+VLOOKUP($A271,A:AL,4,FALSE)-50))</f>
        <v>70</v>
      </c>
      <c r="F271" s="3" t="str">
        <f>IF(ISERROR(VLOOKUP($A271,'SegEnds_NonXtal_BW#'!$A:$Z,5,FALSE)+VLOOKUP($A271,A:AL,7,FALSE)-50),"-",(VLOOKUP($A271,'SegEnds_NonXtal_BW#'!$A:$Z,5,FALSE)+VLOOKUP($A271,A:AL,7,FALSE)-50))</f>
        <v>-</v>
      </c>
      <c r="G271" s="3" t="s">
        <v>23</v>
      </c>
      <c r="H271" s="3" t="str">
        <f>IF(ISERROR(VLOOKUP($A271,'SegEnds_NonXtal_BW#'!$A:$Z,6,FALSE)+VLOOKUP($A271,A:AL,7,FALSE)-50),"-",(VLOOKUP($A271,'SegEnds_NonXtal_BW#'!$A:$Z,6,FALSE)+VLOOKUP($A271,A:AL,7,FALSE)-50))</f>
        <v>-</v>
      </c>
      <c r="I271" s="3">
        <f>VLOOKUP($A271,'SegEnds_NonXtal_BW#'!$A:$Z,7,FALSE)+J271-50</f>
        <v>80</v>
      </c>
      <c r="J271" s="3">
        <v>93</v>
      </c>
      <c r="K271" s="3">
        <f>VLOOKUP($A271,'SegEnds_NonXtal_BW#'!$A:$Z,8,FALSE)+VLOOKUP($A271,A:AL,10,FALSE)-50</f>
        <v>111</v>
      </c>
      <c r="L271" s="3" t="str">
        <f>IF(ISERROR(VLOOKUP($A271,'SegEnds_NonXtal_BW#'!$A:$Z,9,FALSE)+VLOOKUP($A271,A:AL,13,FALSE)-50),"-",(VLOOKUP($A271,'SegEnds_NonXtal_BW#'!$A:$Z,9,FALSE)+VLOOKUP($A271,A:AL,13,FALSE)-50))</f>
        <v>-</v>
      </c>
      <c r="M271" s="3" t="s">
        <v>23</v>
      </c>
      <c r="N271" s="3" t="str">
        <f>IF(ISERROR(VLOOKUP($A271,'SegEnds_NonXtal_BW#'!$A:$Z,10,FALSE)+VLOOKUP($A271,A:AL,13,FALSE)-50),"-",(VLOOKUP($A271,'SegEnds_NonXtal_BW#'!$A:$Z,10,FALSE)+VLOOKUP($A271,A:AL,13,FALSE)-50))</f>
        <v>-</v>
      </c>
      <c r="O271" s="3">
        <f>VLOOKUP($A271,'SegEnds_NonXtal_BW#'!$A:$Z,11,FALSE)+VLOOKUP($A271,A:AL,16,FALSE)-50</f>
        <v>115</v>
      </c>
      <c r="P271" s="3">
        <v>147</v>
      </c>
      <c r="Q271" s="3">
        <f>VLOOKUP($A271,'SegEnds_NonXtal_BW#'!$A:$Z,12,FALSE)+VLOOKUP($A271,A:AL,16,FALSE)-50</f>
        <v>153</v>
      </c>
      <c r="R271" s="3" t="str">
        <f>IF(ISERROR(VLOOKUP($A271,'SegEnds_NonXtal_BW#'!$A:$Z,13,FALSE)+VLOOKUP($A271,A:AL,19,FALSE)-50),"-",VLOOKUP($A271,'SegEnds_NonXtal_BW#'!$A:$Z,13,FALSE)+VLOOKUP($A271,A:AL,19,FALSE)-50)</f>
        <v>-</v>
      </c>
      <c r="S271" s="3" t="s">
        <v>23</v>
      </c>
      <c r="T271" s="100" t="str">
        <f>IF(ISERROR(VLOOKUP($A271,'SegEnds_NonXtal_BW#'!$A:$Z,14,FALSE)+VLOOKUP($A271,A:AL,19,FALSE)-50),"-",(VLOOKUP($A271,'SegEnds_NonXtal_BW#'!$A:$Z,14,FALSE)+VLOOKUP($A271,A:AL,19,FALSE)-50))</f>
        <v>-</v>
      </c>
      <c r="U271" s="9">
        <f>IF(ISERROR(VLOOKUP($A271,'SegEnds_NonXtal_BW#'!$A:$Z,15,FALSE)+VLOOKUP($A271,A:AL,22,FALSE)-50),"-",VLOOKUP($A271,'SegEnds_NonXtal_BW#'!$A:$Z,15,FALSE)+VLOOKUP($A271,A:AL,22,FALSE)-50)</f>
        <v>157</v>
      </c>
      <c r="V271" s="3">
        <v>169</v>
      </c>
      <c r="W271" s="3">
        <f>IF(ISERROR(VLOOKUP($A271,'SegEnds_NonXtal_BW#'!$A:$Z,16,FALSE)+VLOOKUP($A271,A:AL,22,FALSE)-50),"-",(VLOOKUP($A271,'SegEnds_NonXtal_BW#'!$A:$Z,16,FALSE)+VLOOKUP($A271,A:AL,22,FALSE)-50))</f>
        <v>183</v>
      </c>
      <c r="X271" s="3">
        <f>IF(ISERROR(VLOOKUP($A271,'SegEnds_NonXtal_BW#'!$A:$Z,17,FALSE)+VLOOKUP($A271,A:AL,25,FALSE)-50),"-",(VLOOKUP($A271,'SegEnds_NonXtal_BW#'!$A:$Z,17,FALSE)+VLOOKUP($A271,A:AL,25,FALSE)-50))</f>
        <v>217</v>
      </c>
      <c r="Y271" s="3">
        <v>217</v>
      </c>
      <c r="Z271" s="3">
        <f t="shared" ref="Z271:Z290" si="169">Y271+2</f>
        <v>219</v>
      </c>
      <c r="AA271" s="3">
        <f>IF(ISERROR(VLOOKUP($A271,'SegEnds_NonXtal_BW#'!$A:$Z,19,FALSE)+VLOOKUP($A271,A:AL,28,FALSE)-50),"-",(VLOOKUP($A271,'SegEnds_NonXtal_BW#'!$A:$Z,19,FALSE)+VLOOKUP($A271,A:AL,28,FALSE)-50))</f>
        <v>227</v>
      </c>
      <c r="AB271" s="3">
        <v>244</v>
      </c>
      <c r="AC271" s="3">
        <f>IF(ISERROR((VLOOKUP($A271,'SegEnds_NonXtal_BW#'!$A:$Z,20,FALSE)+VLOOKUP($A271,A:AL,28,FALSE)-50)),"-",(VLOOKUP($A271,'SegEnds_NonXtal_BW#'!$A:$Z,20,FALSE)+VLOOKUP($A271,A:AL,28,FALSE)-50))</f>
        <v>268</v>
      </c>
      <c r="AD271" s="3">
        <f>IF(ISERROR(VLOOKUP($A271,'SegEnds_NonXtal_BW#'!$A:$Z,21,FALSE)+VLOOKUP($A271,A:AL,31,FALSE)-50),"-",(VLOOKUP($A271,'SegEnds_NonXtal_BW#'!$A:$Z,21,FALSE)+VLOOKUP($A271,A:AL,31,FALSE)-50))</f>
        <v>281</v>
      </c>
      <c r="AE271" s="3">
        <v>310</v>
      </c>
      <c r="AF271" s="3">
        <f>IF(ISERROR((VLOOKUP($A271,'SegEnds_NonXtal_BW#'!$A:$Z,22,FALSE)+VLOOKUP($A271,A:AL,31,FALSE)-50)),"-",(VLOOKUP($A271,'SegEnds_NonXtal_BW#'!$A:$Z,22,FALSE)+VLOOKUP($A271,A:AL,31,FALSE)-50))</f>
        <v>321</v>
      </c>
      <c r="AG271" s="3">
        <f>IF(ISERROR(VLOOKUP($A271,'SegEnds_NonXtal_BW#'!$A:$Z,23,FALSE)+VLOOKUP($A271,A:AL,34,FALSE)-50),"-",(VLOOKUP($A271,'SegEnds_NonXtal_BW#'!$A:$Z,23,FALSE)+VLOOKUP($A271,A:AL,34,FALSE)-50))</f>
        <v>326</v>
      </c>
      <c r="AH271" s="3">
        <v>349</v>
      </c>
      <c r="AI271" s="3">
        <f>IF(ISERROR((VLOOKUP($A271,'SegEnds_NonXtal_BW#'!$A:$Z,24,FALSE)+VLOOKUP($A271,A:AL,34,FALSE)-50)),"-",(VLOOKUP($A271,'SegEnds_NonXtal_BW#'!$A:$Z,24,FALSE)+VLOOKUP($A271,A:AL,34,FALSE)-50))</f>
        <v>355</v>
      </c>
      <c r="AJ271" s="3">
        <f>IF(ISERROR(VLOOKUP($A271,'SegEnds_NonXtal_BW#'!$A:$Z,25,FALSE)+VLOOKUP($A271,A:AL,37,FALSE)-50),"-",(VLOOKUP($A271,'SegEnds_NonXtal_BW#'!$A:$Z,25,FALSE)+VLOOKUP($A271,A:AL,37,FALSE)-50))</f>
        <v>356</v>
      </c>
      <c r="AK271" s="3">
        <v>359</v>
      </c>
      <c r="AL271" s="3">
        <f>IF(ISERROR((VLOOKUP($A271,'SegEnds_NonXtal_BW#'!$A:$Z,26,FALSE)+VLOOKUP($A271,A:AL,37,FALSE)-50)),"-",(VLOOKUP($A271,'SegEnds_NonXtal_BW#'!$A:$Z,26,FALSE)+VLOOKUP($A271,A:AL,37,FALSE)-50))</f>
        <v>367</v>
      </c>
      <c r="AM271" s="28" t="str">
        <f>VLOOKUP(A271,Classification!A:B,2,FALSE)</f>
        <v>A</v>
      </c>
      <c r="AN271" s="28" t="b">
        <f t="shared" si="167"/>
        <v>1</v>
      </c>
      <c r="AO271" s="3" t="str">
        <f>IF(ISERROR(MATCH(A271,'SegEnds_Xtal_Prot#'!B:B, 0)), "NoXtal", "Xtal")</f>
        <v>NoXtal</v>
      </c>
      <c r="AP271" s="3" t="str">
        <f t="shared" si="152"/>
        <v>-</v>
      </c>
      <c r="AQ271" s="3" t="str">
        <f t="shared" si="153"/>
        <v>-</v>
      </c>
      <c r="AR271" s="3" t="str">
        <f t="shared" si="154"/>
        <v>-</v>
      </c>
      <c r="AS271" s="3" t="str">
        <f t="shared" si="155"/>
        <v>-</v>
      </c>
      <c r="AT271" s="3" t="str">
        <f t="shared" si="156"/>
        <v>-</v>
      </c>
      <c r="AU271" s="3" t="str">
        <f t="shared" si="157"/>
        <v>-</v>
      </c>
      <c r="AV271" s="3">
        <f t="shared" si="158"/>
        <v>34</v>
      </c>
      <c r="AW271" s="3">
        <f t="shared" si="159"/>
        <v>8</v>
      </c>
      <c r="AX271" s="3">
        <f t="shared" si="160"/>
        <v>13</v>
      </c>
      <c r="AY271" s="3">
        <f t="shared" si="161"/>
        <v>5</v>
      </c>
      <c r="AZ271" s="3">
        <f t="shared" si="162"/>
        <v>1</v>
      </c>
      <c r="BA271" s="3">
        <f>IF(ISERROR(LEN(VLOOKUP(A271,Seqs!A:E,2,FALSE))-AL271),"-",LEN(VLOOKUP(A271,Seqs!A:E,2,FALSE))-AL271)</f>
        <v>67</v>
      </c>
      <c r="BB271" s="16">
        <f t="shared" si="163"/>
        <v>33</v>
      </c>
      <c r="BC271" s="9" t="str">
        <f t="shared" si="164"/>
        <v>-</v>
      </c>
      <c r="BD271" s="3">
        <f t="shared" si="165"/>
        <v>33</v>
      </c>
      <c r="BE271" s="3">
        <f t="shared" si="166"/>
        <v>66</v>
      </c>
    </row>
    <row r="272" spans="1:58" s="3" customFormat="1" x14ac:dyDescent="0.2">
      <c r="A272" s="3" t="s">
        <v>226</v>
      </c>
      <c r="B272" s="3" t="str">
        <f>LOWER(VLOOKUP(A272,Xtal_Templ!A:B,2,FALSE))</f>
        <v>par1_human</v>
      </c>
      <c r="C272" s="3">
        <f>VLOOKUP($A272,'SegEnds_NonXtal_BW#'!$A:$Z,3,FALSE)+D272-50</f>
        <v>18</v>
      </c>
      <c r="D272" s="3">
        <v>39</v>
      </c>
      <c r="E272" s="3">
        <f>IF(ISERROR(VLOOKUP($A272,'SegEnds_NonXtal_BW#'!$A:$Z,4,FALSE)+VLOOKUP($A272,A:AL,4,FALSE)-50),"-",(VLOOKUP($A272,'SegEnds_NonXtal_BW#'!$A:$Z,4,FALSE)+VLOOKUP($A272,A:AL,4,FALSE)-50))</f>
        <v>49</v>
      </c>
      <c r="F272" s="3" t="str">
        <f>IF(ISERROR(VLOOKUP($A272,'SegEnds_NonXtal_BW#'!$A:$Z,5,FALSE)+VLOOKUP($A272,A:AL,7,FALSE)-50),"-",(VLOOKUP($A272,'SegEnds_NonXtal_BW#'!$A:$Z,5,FALSE)+VLOOKUP($A272,A:AL,7,FALSE)-50))</f>
        <v>-</v>
      </c>
      <c r="G272" s="3" t="s">
        <v>23</v>
      </c>
      <c r="H272" s="3" t="str">
        <f>IF(ISERROR(VLOOKUP($A272,'SegEnds_NonXtal_BW#'!$A:$Z,6,FALSE)+VLOOKUP($A272,A:AL,7,FALSE)-50),"-",(VLOOKUP($A272,'SegEnds_NonXtal_BW#'!$A:$Z,6,FALSE)+VLOOKUP($A272,A:AL,7,FALSE)-50))</f>
        <v>-</v>
      </c>
      <c r="I272" s="3">
        <f>VLOOKUP($A272,'SegEnds_NonXtal_BW#'!$A:$Z,7,FALSE)+J272-50</f>
        <v>53</v>
      </c>
      <c r="J272" s="3">
        <v>66</v>
      </c>
      <c r="K272" s="3">
        <f>VLOOKUP($A272,'SegEnds_NonXtal_BW#'!$A:$Z,8,FALSE)+VLOOKUP($A272,A:AL,10,FALSE)-50</f>
        <v>82</v>
      </c>
      <c r="L272" s="3" t="str">
        <f>IF(ISERROR(VLOOKUP($A272,'SegEnds_NonXtal_BW#'!$A:$Z,9,FALSE)+VLOOKUP($A272,A:AL,13,FALSE)-50),"-",(VLOOKUP($A272,'SegEnds_NonXtal_BW#'!$A:$Z,9,FALSE)+VLOOKUP($A272,A:AL,13,FALSE)-50))</f>
        <v>-</v>
      </c>
      <c r="M272" s="3" t="s">
        <v>23</v>
      </c>
      <c r="N272" s="3" t="str">
        <f>IF(ISERROR(VLOOKUP($A272,'SegEnds_NonXtal_BW#'!$A:$Z,10,FALSE)+VLOOKUP($A272,A:AL,13,FALSE)-50),"-",(VLOOKUP($A272,'SegEnds_NonXtal_BW#'!$A:$Z,10,FALSE)+VLOOKUP($A272,A:AL,13,FALSE)-50))</f>
        <v>-</v>
      </c>
      <c r="O272" s="3">
        <f>VLOOKUP($A272,'SegEnds_NonXtal_BW#'!$A:$Z,11,FALSE)+VLOOKUP($A272,A:AL,16,FALSE)-50</f>
        <v>88</v>
      </c>
      <c r="P272" s="3">
        <v>120</v>
      </c>
      <c r="Q272" s="3">
        <f>VLOOKUP($A272,'SegEnds_NonXtal_BW#'!$A:$Z,12,FALSE)+VLOOKUP($A272,A:AL,16,FALSE)-50</f>
        <v>126</v>
      </c>
      <c r="R272" s="3" t="str">
        <f>IF(ISERROR(VLOOKUP($A272,'SegEnds_NonXtal_BW#'!$A:$Z,13,FALSE)+VLOOKUP($A272,A:AL,19,FALSE)-50),"-",VLOOKUP($A272,'SegEnds_NonXtal_BW#'!$A:$Z,13,FALSE)+VLOOKUP($A272,A:AL,19,FALSE)-50)</f>
        <v>-</v>
      </c>
      <c r="S272" s="3" t="s">
        <v>23</v>
      </c>
      <c r="T272" s="100" t="str">
        <f>IF(ISERROR(VLOOKUP($A272,'SegEnds_NonXtal_BW#'!$A:$Z,14,FALSE)+VLOOKUP($A272,A:AL,19,FALSE)-50),"-",(VLOOKUP($A272,'SegEnds_NonXtal_BW#'!$A:$Z,14,FALSE)+VLOOKUP($A272,A:AL,19,FALSE)-50))</f>
        <v>-</v>
      </c>
      <c r="U272" s="9">
        <f>IF(ISERROR(VLOOKUP($A272,'SegEnds_NonXtal_BW#'!$A:$Z,15,FALSE)+VLOOKUP($A272,A:AL,22,FALSE)-50),"-",VLOOKUP($A272,'SegEnds_NonXtal_BW#'!$A:$Z,15,FALSE)+VLOOKUP($A272,A:AL,22,FALSE)-50)</f>
        <v>135</v>
      </c>
      <c r="V272" s="3">
        <v>147</v>
      </c>
      <c r="W272" s="3">
        <f>IF(ISERROR(VLOOKUP($A272,'SegEnds_NonXtal_BW#'!$A:$Z,16,FALSE)+VLOOKUP($A272,A:AL,22,FALSE)-50),"-",(VLOOKUP($A272,'SegEnds_NonXtal_BW#'!$A:$Z,16,FALSE)+VLOOKUP($A272,A:AL,22,FALSE)-50))</f>
        <v>160</v>
      </c>
      <c r="X272" s="3">
        <f>IF(ISERROR(VLOOKUP($A272,'SegEnds_NonXtal_BW#'!$A:$Z,17,FALSE)+VLOOKUP($A272,A:AL,25,FALSE)-50),"-",(VLOOKUP($A272,'SegEnds_NonXtal_BW#'!$A:$Z,17,FALSE)+VLOOKUP($A272,A:AL,25,FALSE)-50))</f>
        <v>174</v>
      </c>
      <c r="Y272" s="3">
        <v>174</v>
      </c>
      <c r="Z272" s="3">
        <f t="shared" si="169"/>
        <v>176</v>
      </c>
      <c r="AA272" s="3">
        <f>IF(ISERROR(VLOOKUP($A272,'SegEnds_NonXtal_BW#'!$A:$Z,19,FALSE)+VLOOKUP($A272,A:AL,28,FALSE)-50),"-",(VLOOKUP($A272,'SegEnds_NonXtal_BW#'!$A:$Z,19,FALSE)+VLOOKUP($A272,A:AL,28,FALSE)-50))</f>
        <v>181</v>
      </c>
      <c r="AB272" s="3">
        <v>196</v>
      </c>
      <c r="AC272" s="3">
        <f>IF(ISERROR((VLOOKUP($A272,'SegEnds_NonXtal_BW#'!$A:$Z,20,FALSE)+VLOOKUP($A272,A:AL,28,FALSE)-50)),"-",(VLOOKUP($A272,'SegEnds_NonXtal_BW#'!$A:$Z,20,FALSE)+VLOOKUP($A272,A:AL,28,FALSE)-50))</f>
        <v>219</v>
      </c>
      <c r="AD272" s="3">
        <f>IF(ISERROR(VLOOKUP($A272,'SegEnds_NonXtal_BW#'!$A:$Z,21,FALSE)+VLOOKUP($A272,A:AL,31,FALSE)-50),"-",(VLOOKUP($A272,'SegEnds_NonXtal_BW#'!$A:$Z,21,FALSE)+VLOOKUP($A272,A:AL,31,FALSE)-50))</f>
        <v>228</v>
      </c>
      <c r="AE272" s="3">
        <v>254</v>
      </c>
      <c r="AF272" s="3">
        <f>IF(ISERROR((VLOOKUP($A272,'SegEnds_NonXtal_BW#'!$A:$Z,22,FALSE)+VLOOKUP($A272,A:AL,31,FALSE)-50)),"-",(VLOOKUP($A272,'SegEnds_NonXtal_BW#'!$A:$Z,22,FALSE)+VLOOKUP($A272,A:AL,31,FALSE)-50))</f>
        <v>265</v>
      </c>
      <c r="AG272" s="3">
        <f>IF(ISERROR(VLOOKUP($A272,'SegEnds_NonXtal_BW#'!$A:$Z,23,FALSE)+VLOOKUP($A272,A:AL,34,FALSE)-50),"-",(VLOOKUP($A272,'SegEnds_NonXtal_BW#'!$A:$Z,23,FALSE)+VLOOKUP($A272,A:AL,34,FALSE)-50))</f>
        <v>270</v>
      </c>
      <c r="AH272" s="3">
        <v>289</v>
      </c>
      <c r="AI272" s="3">
        <f>IF(ISERROR((VLOOKUP($A272,'SegEnds_NonXtal_BW#'!$A:$Z,24,FALSE)+VLOOKUP($A272,A:AL,34,FALSE)-50)),"-",(VLOOKUP($A272,'SegEnds_NonXtal_BW#'!$A:$Z,24,FALSE)+VLOOKUP($A272,A:AL,34,FALSE)-50))</f>
        <v>295</v>
      </c>
      <c r="AJ272" s="3">
        <f>IF(ISERROR(VLOOKUP($A272,'SegEnds_NonXtal_BW#'!$A:$Z,25,FALSE)+VLOOKUP($A272,A:AL,37,FALSE)-50),"-",(VLOOKUP($A272,'SegEnds_NonXtal_BW#'!$A:$Z,25,FALSE)+VLOOKUP($A272,A:AL,37,FALSE)-50))</f>
        <v>296</v>
      </c>
      <c r="AK272" s="3">
        <v>299</v>
      </c>
      <c r="AL272" s="3">
        <f>IF(ISERROR((VLOOKUP($A272,'SegEnds_NonXtal_BW#'!$A:$Z,26,FALSE)+VLOOKUP($A272,A:AL,37,FALSE)-50)),"-",(VLOOKUP($A272,'SegEnds_NonXtal_BW#'!$A:$Z,26,FALSE)+VLOOKUP($A272,A:AL,37,FALSE)-50))</f>
        <v>310</v>
      </c>
      <c r="AM272" s="28" t="str">
        <f>VLOOKUP(A272,Classification!A:B,2,FALSE)</f>
        <v>A</v>
      </c>
      <c r="AN272" s="28" t="b">
        <f t="shared" si="167"/>
        <v>1</v>
      </c>
      <c r="AO272" s="3" t="str">
        <f>IF(ISERROR(MATCH(A272,'SegEnds_Xtal_Prot#'!B:B, 0)), "NoXtal", "Xtal")</f>
        <v>NoXtal</v>
      </c>
      <c r="AP272" s="3" t="str">
        <f t="shared" si="152"/>
        <v>-</v>
      </c>
      <c r="AQ272" s="3" t="str">
        <f t="shared" si="153"/>
        <v>-</v>
      </c>
      <c r="AR272" s="3" t="str">
        <f t="shared" si="154"/>
        <v>-</v>
      </c>
      <c r="AS272" s="3" t="str">
        <f t="shared" si="155"/>
        <v>-</v>
      </c>
      <c r="AT272" s="3" t="str">
        <f t="shared" si="156"/>
        <v>-</v>
      </c>
      <c r="AU272" s="3" t="str">
        <f t="shared" si="157"/>
        <v>-</v>
      </c>
      <c r="AV272" s="3">
        <f t="shared" si="158"/>
        <v>14</v>
      </c>
      <c r="AW272" s="3">
        <f t="shared" si="159"/>
        <v>5</v>
      </c>
      <c r="AX272" s="3">
        <f t="shared" si="160"/>
        <v>9</v>
      </c>
      <c r="AY272" s="3">
        <f t="shared" si="161"/>
        <v>5</v>
      </c>
      <c r="AZ272" s="3">
        <f t="shared" si="162"/>
        <v>1</v>
      </c>
      <c r="BA272" s="3">
        <f>IF(ISERROR(LEN(VLOOKUP(A272,Seqs!A:E,2,FALSE))-AL272),"-",LEN(VLOOKUP(A272,Seqs!A:E,2,FALSE))-AL272)</f>
        <v>28</v>
      </c>
      <c r="BB272" s="16">
        <f t="shared" si="163"/>
        <v>27</v>
      </c>
      <c r="BC272" s="9" t="str">
        <f t="shared" si="164"/>
        <v>-</v>
      </c>
      <c r="BD272" s="3">
        <f t="shared" si="165"/>
        <v>27</v>
      </c>
      <c r="BE272" s="3">
        <f t="shared" si="166"/>
        <v>58</v>
      </c>
    </row>
    <row r="273" spans="1:58" s="3" customFormat="1" x14ac:dyDescent="0.2">
      <c r="A273" s="3" t="s">
        <v>232</v>
      </c>
      <c r="B273" s="3" t="str">
        <f>LOWER(VLOOKUP(A273,Xtal_Templ!A:B,2,FALSE))</f>
        <v>ox1r_human</v>
      </c>
      <c r="C273" s="3">
        <f>VLOOKUP($A273,'SegEnds_NonXtal_BW#'!$A:$Z,3,FALSE)+D273-50</f>
        <v>41</v>
      </c>
      <c r="D273" s="3">
        <v>59</v>
      </c>
      <c r="E273" s="3">
        <f>IF(ISERROR(VLOOKUP($A273,'SegEnds_NonXtal_BW#'!$A:$Z,4,FALSE)+VLOOKUP($A273,A:AL,4,FALSE)-50),"-",(VLOOKUP($A273,'SegEnds_NonXtal_BW#'!$A:$Z,4,FALSE)+VLOOKUP($A273,A:AL,4,FALSE)-50))</f>
        <v>69</v>
      </c>
      <c r="F273" s="3">
        <f>G273-2</f>
        <v>70</v>
      </c>
      <c r="G273" s="3">
        <v>72</v>
      </c>
      <c r="H273" s="3">
        <f t="shared" ref="H273:I275" si="170">G273+1</f>
        <v>73</v>
      </c>
      <c r="I273" s="3">
        <f t="shared" si="170"/>
        <v>74</v>
      </c>
      <c r="J273" s="3">
        <v>87</v>
      </c>
      <c r="K273" s="3">
        <f>VLOOKUP($A273,'SegEnds_NonXtal_BW#'!$A:$Z,8,FALSE)+VLOOKUP($A273,A:AL,10,FALSE)-50</f>
        <v>104</v>
      </c>
      <c r="L273" s="3">
        <f>M273-1</f>
        <v>108</v>
      </c>
      <c r="M273" s="3">
        <v>109</v>
      </c>
      <c r="N273" s="3">
        <f>M273+2</f>
        <v>111</v>
      </c>
      <c r="O273" s="3">
        <f>N273+1</f>
        <v>112</v>
      </c>
      <c r="P273" s="3">
        <v>142</v>
      </c>
      <c r="Q273" s="3">
        <f>VLOOKUP($A273,'SegEnds_NonXtal_BW#'!$A:$Z,12,FALSE)+VLOOKUP($A273,A:AL,16,FALSE)-50</f>
        <v>148</v>
      </c>
      <c r="R273" s="3" t="str">
        <f>IF(ISERROR(VLOOKUP($A273,'SegEnds_NonXtal_BW#'!$A:$Z,13,FALSE)+VLOOKUP($A273,A:AL,19,FALSE)-50),"-",VLOOKUP($A273,'SegEnds_NonXtal_BW#'!$A:$Z,13,FALSE)+VLOOKUP($A273,A:AL,19,FALSE)-50)</f>
        <v>-</v>
      </c>
      <c r="S273" s="3" t="s">
        <v>23</v>
      </c>
      <c r="T273" s="100" t="str">
        <f>IF(ISERROR(VLOOKUP($A273,'SegEnds_NonXtal_BW#'!$A:$Z,14,FALSE)+VLOOKUP($A273,A:AL,19,FALSE)-50),"-",(VLOOKUP($A273,'SegEnds_NonXtal_BW#'!$A:$Z,14,FALSE)+VLOOKUP($A273,A:AL,19,FALSE)-50))</f>
        <v>-</v>
      </c>
      <c r="U273" s="9">
        <f>IF(ISERROR(VLOOKUP($A273,'SegEnds_NonXtal_BW#'!$A:$Z,15,FALSE)+VLOOKUP($A273,A:AL,22,FALSE)-50),"-",VLOOKUP($A273,'SegEnds_NonXtal_BW#'!$A:$Z,15,FALSE)+VLOOKUP($A273,A:AL,22,FALSE)-50)</f>
        <v>155</v>
      </c>
      <c r="V273" s="3">
        <v>167</v>
      </c>
      <c r="W273" s="3">
        <f>IF(ISERROR(VLOOKUP($A273,'SegEnds_NonXtal_BW#'!$A:$Z,16,FALSE)+VLOOKUP($A273,A:AL,22,FALSE)-50),"-",(VLOOKUP($A273,'SegEnds_NonXtal_BW#'!$A:$Z,16,FALSE)+VLOOKUP($A273,A:AL,22,FALSE)-50))</f>
        <v>181</v>
      </c>
      <c r="X273" s="3">
        <f>IF(ISERROR(VLOOKUP($A273,'SegEnds_NonXtal_BW#'!$A:$Z,17,FALSE)+VLOOKUP($A273,A:AL,25,FALSE)-50),"-",(VLOOKUP($A273,'SegEnds_NonXtal_BW#'!$A:$Z,17,FALSE)+VLOOKUP($A273,A:AL,25,FALSE)-50))</f>
        <v>192</v>
      </c>
      <c r="Y273" s="3">
        <v>192</v>
      </c>
      <c r="Z273" s="3">
        <f t="shared" si="169"/>
        <v>194</v>
      </c>
      <c r="AA273" s="3">
        <f>IF(ISERROR(VLOOKUP($A273,'SegEnds_NonXtal_BW#'!$A:$Z,19,FALSE)+VLOOKUP($A273,A:AL,28,FALSE)-50),"-",(VLOOKUP($A273,'SegEnds_NonXtal_BW#'!$A:$Z,19,FALSE)+VLOOKUP($A273,A:AL,28,FALSE)-50))</f>
        <v>199</v>
      </c>
      <c r="AB273" s="3">
        <v>217</v>
      </c>
      <c r="AC273" s="3">
        <f>IF(ISERROR((VLOOKUP($A273,'SegEnds_NonXtal_BW#'!$A:$Z,20,FALSE)+VLOOKUP($A273,A:AL,28,FALSE)-50)),"-",(VLOOKUP($A273,'SegEnds_NonXtal_BW#'!$A:$Z,20,FALSE)+VLOOKUP($A273,A:AL,28,FALSE)-50))</f>
        <v>241</v>
      </c>
      <c r="AD273" s="3">
        <f>IF(ISERROR(VLOOKUP($A273,'SegEnds_NonXtal_BW#'!$A:$Z,21,FALSE)+VLOOKUP($A273,A:AL,31,FALSE)-50),"-",(VLOOKUP($A273,'SegEnds_NonXtal_BW#'!$A:$Z,21,FALSE)+VLOOKUP($A273,A:AL,31,FALSE)-50))</f>
        <v>252</v>
      </c>
      <c r="AE273" s="3">
        <v>281</v>
      </c>
      <c r="AF273" s="3">
        <f>IF(ISERROR((VLOOKUP($A273,'SegEnds_NonXtal_BW#'!$A:$Z,22,FALSE)+VLOOKUP($A273,A:AL,31,FALSE)-50)),"-",(VLOOKUP($A273,'SegEnds_NonXtal_BW#'!$A:$Z,22,FALSE)+VLOOKUP($A273,A:AL,31,FALSE)-50))</f>
        <v>292</v>
      </c>
      <c r="AG273" s="3">
        <f>IF(ISERROR(VLOOKUP($A273,'SegEnds_NonXtal_BW#'!$A:$Z,23,FALSE)+VLOOKUP($A273,A:AL,34,FALSE)-50),"-",(VLOOKUP($A273,'SegEnds_NonXtal_BW#'!$A:$Z,23,FALSE)+VLOOKUP($A273,A:AL,34,FALSE)-50))</f>
        <v>298</v>
      </c>
      <c r="AH273" s="3">
        <v>317</v>
      </c>
      <c r="AI273" s="3">
        <f>IF(ISERROR((VLOOKUP($A273,'SegEnds_NonXtal_BW#'!$A:$Z,24,FALSE)+VLOOKUP($A273,A:AL,34,FALSE)-50)),"-",(VLOOKUP($A273,'SegEnds_NonXtal_BW#'!$A:$Z,24,FALSE)+VLOOKUP($A273,A:AL,34,FALSE)-50))</f>
        <v>323</v>
      </c>
      <c r="AJ273" s="3">
        <f>IF(ISERROR(VLOOKUP($A273,'SegEnds_NonXtal_BW#'!$A:$Z,25,FALSE)+VLOOKUP($A273,A:AL,37,FALSE)-50),"-",(VLOOKUP($A273,'SegEnds_NonXtal_BW#'!$A:$Z,25,FALSE)+VLOOKUP($A273,A:AL,37,FALSE)-50))</f>
        <v>324</v>
      </c>
      <c r="AK273" s="3">
        <v>327</v>
      </c>
      <c r="AL273" s="3">
        <f>IF(ISERROR((VLOOKUP($A273,'SegEnds_NonXtal_BW#'!$A:$Z,26,FALSE)+VLOOKUP($A273,A:AL,37,FALSE)-50)),"-",(VLOOKUP($A273,'SegEnds_NonXtal_BW#'!$A:$Z,26,FALSE)+VLOOKUP($A273,A:AL,37,FALSE)-50))</f>
        <v>335</v>
      </c>
      <c r="AM273" s="28" t="str">
        <f>VLOOKUP(A273,Classification!A:B,2,FALSE)</f>
        <v>A</v>
      </c>
      <c r="AN273" s="28" t="b">
        <f t="shared" si="167"/>
        <v>1</v>
      </c>
      <c r="AO273" s="3" t="str">
        <f>IF(ISERROR(MATCH(A273,'SegEnds_Xtal_Prot#'!B:B, 0)), "NoXtal", "Xtal")</f>
        <v>NoXtal</v>
      </c>
      <c r="AP273" s="3">
        <f t="shared" si="152"/>
        <v>1</v>
      </c>
      <c r="AQ273" s="3">
        <f t="shared" si="153"/>
        <v>1</v>
      </c>
      <c r="AR273" s="3">
        <f t="shared" si="154"/>
        <v>4</v>
      </c>
      <c r="AS273" s="3">
        <f t="shared" si="155"/>
        <v>1</v>
      </c>
      <c r="AT273" s="3" t="str">
        <f t="shared" si="156"/>
        <v>-</v>
      </c>
      <c r="AU273" s="3" t="str">
        <f t="shared" si="157"/>
        <v>-</v>
      </c>
      <c r="AV273" s="3">
        <f t="shared" si="158"/>
        <v>11</v>
      </c>
      <c r="AW273" s="3">
        <f t="shared" si="159"/>
        <v>5</v>
      </c>
      <c r="AX273" s="3">
        <f t="shared" si="160"/>
        <v>11</v>
      </c>
      <c r="AY273" s="3">
        <f t="shared" si="161"/>
        <v>6</v>
      </c>
      <c r="AZ273" s="3">
        <f t="shared" si="162"/>
        <v>1</v>
      </c>
      <c r="BA273" s="3">
        <f>IF(ISERROR(LEN(VLOOKUP(A273,Seqs!A:E,2,FALSE))-AL273),"-",LEN(VLOOKUP(A273,Seqs!A:E,2,FALSE))-AL273)</f>
        <v>180</v>
      </c>
      <c r="BB273" s="16">
        <f t="shared" si="163"/>
        <v>28</v>
      </c>
      <c r="BC273" s="9" t="str">
        <f t="shared" si="164"/>
        <v>-</v>
      </c>
      <c r="BD273" s="3">
        <f t="shared" si="165"/>
        <v>28</v>
      </c>
      <c r="BE273" s="3">
        <f t="shared" si="166"/>
        <v>64</v>
      </c>
    </row>
    <row r="274" spans="1:58" s="3" customFormat="1" x14ac:dyDescent="0.2">
      <c r="A274" s="3" t="s">
        <v>235</v>
      </c>
      <c r="B274" s="3" t="str">
        <f>LOWER(VLOOKUP(A274,Xtal_Templ!A:B,2,FALSE))</f>
        <v>lpar1_human</v>
      </c>
      <c r="C274" s="3">
        <f>VLOOKUP($A274,'SegEnds_NonXtal_BW#'!$A:$Z,3,FALSE)+D274-50</f>
        <v>12</v>
      </c>
      <c r="D274" s="3">
        <v>32</v>
      </c>
      <c r="E274" s="3">
        <f>IF(ISERROR(VLOOKUP($A274,'SegEnds_NonXtal_BW#'!$A:$Z,4,FALSE)+VLOOKUP($A274,A:AL,4,FALSE)-50),"-",(VLOOKUP($A274,'SegEnds_NonXtal_BW#'!$A:$Z,4,FALSE)+VLOOKUP($A274,A:AL,4,FALSE)-50))</f>
        <v>42</v>
      </c>
      <c r="F274" s="3">
        <f>G274-2</f>
        <v>43</v>
      </c>
      <c r="G274" s="3">
        <v>45</v>
      </c>
      <c r="H274" s="3">
        <f t="shared" si="170"/>
        <v>46</v>
      </c>
      <c r="I274" s="3">
        <f t="shared" si="170"/>
        <v>47</v>
      </c>
      <c r="J274" s="3">
        <v>61</v>
      </c>
      <c r="K274" s="3">
        <f>VLOOKUP($A274,'SegEnds_NonXtal_BW#'!$A:$Z,8,FALSE)+VLOOKUP($A274,A:AL,10,FALSE)-50</f>
        <v>77</v>
      </c>
      <c r="L274" s="3" t="str">
        <f>IF(ISERROR(VLOOKUP($A274,'SegEnds_NonXtal_BW#'!$A:$Z,9,FALSE)+VLOOKUP($A274,A:AL,13,FALSE)-50),"-",(VLOOKUP($A274,'SegEnds_NonXtal_BW#'!$A:$Z,9,FALSE)+VLOOKUP($A274,A:AL,13,FALSE)-50))</f>
        <v>-</v>
      </c>
      <c r="M274" s="3" t="s">
        <v>23</v>
      </c>
      <c r="N274" s="3" t="str">
        <f>IF(ISERROR(VLOOKUP($A274,'SegEnds_NonXtal_BW#'!$A:$Z,10,FALSE)+VLOOKUP($A274,A:AL,13,FALSE)-50),"-",(VLOOKUP($A274,'SegEnds_NonXtal_BW#'!$A:$Z,10,FALSE)+VLOOKUP($A274,A:AL,13,FALSE)-50))</f>
        <v>-</v>
      </c>
      <c r="O274" s="3">
        <f>VLOOKUP($A274,'SegEnds_NonXtal_BW#'!$A:$Z,11,FALSE)+VLOOKUP($A274,A:AL,16,FALSE)-50</f>
        <v>84</v>
      </c>
      <c r="P274" s="3">
        <v>110</v>
      </c>
      <c r="Q274" s="3">
        <f>VLOOKUP($A274,'SegEnds_NonXtal_BW#'!$A:$Z,12,FALSE)+VLOOKUP($A274,A:AL,16,FALSE)-50</f>
        <v>116</v>
      </c>
      <c r="R274" s="3" t="str">
        <f>IF(ISERROR(VLOOKUP($A274,'SegEnds_NonXtal_BW#'!$A:$Z,13,FALSE)+VLOOKUP($A274,A:AL,19,FALSE)-50),"-",VLOOKUP($A274,'SegEnds_NonXtal_BW#'!$A:$Z,13,FALSE)+VLOOKUP($A274,A:AL,19,FALSE)-50)</f>
        <v>-</v>
      </c>
      <c r="S274" s="3" t="s">
        <v>23</v>
      </c>
      <c r="T274" s="100" t="str">
        <f>IF(ISERROR(VLOOKUP($A274,'SegEnds_NonXtal_BW#'!$A:$Z,14,FALSE)+VLOOKUP($A274,A:AL,19,FALSE)-50),"-",(VLOOKUP($A274,'SegEnds_NonXtal_BW#'!$A:$Z,14,FALSE)+VLOOKUP($A274,A:AL,19,FALSE)-50))</f>
        <v>-</v>
      </c>
      <c r="U274" s="9">
        <f>IF(ISERROR(VLOOKUP($A274,'SegEnds_NonXtal_BW#'!$A:$Z,15,FALSE)+VLOOKUP($A274,A:AL,22,FALSE)-50),"-",VLOOKUP($A274,'SegEnds_NonXtal_BW#'!$A:$Z,15,FALSE)+VLOOKUP($A274,A:AL,22,FALSE)-50)</f>
        <v>120</v>
      </c>
      <c r="V274" s="3">
        <v>132</v>
      </c>
      <c r="W274" s="3">
        <f>IF(ISERROR(VLOOKUP($A274,'SegEnds_NonXtal_BW#'!$A:$Z,16,FALSE)+VLOOKUP($A274,A:AL,22,FALSE)-50),"-",(VLOOKUP($A274,'SegEnds_NonXtal_BW#'!$A:$Z,16,FALSE)+VLOOKUP($A274,A:AL,22,FALSE)-50))</f>
        <v>145</v>
      </c>
      <c r="X274" s="3">
        <f>IF(ISERROR(VLOOKUP($A274,'SegEnds_NonXtal_BW#'!$A:$Z,17,FALSE)+VLOOKUP($A274,A:AL,25,FALSE)-50),"-",(VLOOKUP($A274,'SegEnds_NonXtal_BW#'!$A:$Z,17,FALSE)+VLOOKUP($A274,A:AL,25,FALSE)-50))</f>
        <v>155</v>
      </c>
      <c r="Y274" s="3">
        <v>155</v>
      </c>
      <c r="Z274" s="3">
        <f t="shared" si="169"/>
        <v>157</v>
      </c>
      <c r="AA274" s="3">
        <f>IF(ISERROR(VLOOKUP($A274,'SegEnds_NonXtal_BW#'!$A:$Z,19,FALSE)+VLOOKUP($A274,A:AL,28,FALSE)-50),"-",(VLOOKUP($A274,'SegEnds_NonXtal_BW#'!$A:$Z,19,FALSE)+VLOOKUP($A274,A:AL,28,FALSE)-50))</f>
        <v>161</v>
      </c>
      <c r="AB274" s="3">
        <v>176</v>
      </c>
      <c r="AC274" s="3">
        <f>IF(ISERROR((VLOOKUP($A274,'SegEnds_NonXtal_BW#'!$A:$Z,20,FALSE)+VLOOKUP($A274,A:AL,28,FALSE)-50)),"-",(VLOOKUP($A274,'SegEnds_NonXtal_BW#'!$A:$Z,20,FALSE)+VLOOKUP($A274,A:AL,28,FALSE)-50))</f>
        <v>200</v>
      </c>
      <c r="AD274" s="3">
        <f>IF(ISERROR(VLOOKUP($A274,'SegEnds_NonXtal_BW#'!$A:$Z,21,FALSE)+VLOOKUP($A274,A:AL,31,FALSE)-50),"-",(VLOOKUP($A274,'SegEnds_NonXtal_BW#'!$A:$Z,21,FALSE)+VLOOKUP($A274,A:AL,31,FALSE)-50))</f>
        <v>210</v>
      </c>
      <c r="AE274" s="3">
        <v>239</v>
      </c>
      <c r="AF274" s="3">
        <f>IF(ISERROR((VLOOKUP($A274,'SegEnds_NonXtal_BW#'!$A:$Z,22,FALSE)+VLOOKUP($A274,A:AL,31,FALSE)-50)),"-",(VLOOKUP($A274,'SegEnds_NonXtal_BW#'!$A:$Z,22,FALSE)+VLOOKUP($A274,A:AL,31,FALSE)-50))</f>
        <v>250</v>
      </c>
      <c r="AG274" s="3">
        <f>IF(ISERROR(VLOOKUP($A274,'SegEnds_NonXtal_BW#'!$A:$Z,23,FALSE)+VLOOKUP($A274,A:AL,34,FALSE)-50),"-",(VLOOKUP($A274,'SegEnds_NonXtal_BW#'!$A:$Z,23,FALSE)+VLOOKUP($A274,A:AL,34,FALSE)-50))</f>
        <v>257</v>
      </c>
      <c r="AH274" s="3">
        <v>277</v>
      </c>
      <c r="AI274" s="3">
        <f>IF(ISERROR((VLOOKUP($A274,'SegEnds_NonXtal_BW#'!$A:$Z,24,FALSE)+VLOOKUP($A274,A:AL,34,FALSE)-50)),"-",(VLOOKUP($A274,'SegEnds_NonXtal_BW#'!$A:$Z,24,FALSE)+VLOOKUP($A274,A:AL,34,FALSE)-50))</f>
        <v>283</v>
      </c>
      <c r="AJ274" s="3">
        <f>IF(ISERROR(VLOOKUP($A274,'SegEnds_NonXtal_BW#'!$A:$Z,25,FALSE)+VLOOKUP($A274,A:AL,37,FALSE)-50),"-",(VLOOKUP($A274,'SegEnds_NonXtal_BW#'!$A:$Z,25,FALSE)+VLOOKUP($A274,A:AL,37,FALSE)-50))</f>
        <v>284</v>
      </c>
      <c r="AK274" s="3">
        <v>287</v>
      </c>
      <c r="AL274" s="3">
        <f>IF(ISERROR((VLOOKUP($A274,'SegEnds_NonXtal_BW#'!$A:$Z,26,FALSE)+VLOOKUP($A274,A:AL,37,FALSE)-50)),"-",(VLOOKUP($A274,'SegEnds_NonXtal_BW#'!$A:$Z,26,FALSE)+VLOOKUP($A274,A:AL,37,FALSE)-50))</f>
        <v>296</v>
      </c>
      <c r="AM274" s="28" t="str">
        <f>VLOOKUP(A274,Classification!A:B,2,FALSE)</f>
        <v>A</v>
      </c>
      <c r="AN274" s="28" t="b">
        <f t="shared" si="167"/>
        <v>1</v>
      </c>
      <c r="AO274" s="3" t="str">
        <f>IF(ISERROR(MATCH(A274,'SegEnds_Xtal_Prot#'!B:B, 0)), "NoXtal", "Xtal")</f>
        <v>NoXtal</v>
      </c>
      <c r="AP274" s="3">
        <f t="shared" si="152"/>
        <v>1</v>
      </c>
      <c r="AQ274" s="3">
        <f t="shared" si="153"/>
        <v>1</v>
      </c>
      <c r="AR274" s="3" t="str">
        <f t="shared" si="154"/>
        <v>-</v>
      </c>
      <c r="AS274" s="3" t="str">
        <f t="shared" si="155"/>
        <v>-</v>
      </c>
      <c r="AT274" s="3" t="str">
        <f t="shared" si="156"/>
        <v>-</v>
      </c>
      <c r="AU274" s="3" t="str">
        <f t="shared" si="157"/>
        <v>-</v>
      </c>
      <c r="AV274" s="3">
        <f t="shared" si="158"/>
        <v>10</v>
      </c>
      <c r="AW274" s="3">
        <f t="shared" si="159"/>
        <v>4</v>
      </c>
      <c r="AX274" s="3">
        <f t="shared" si="160"/>
        <v>10</v>
      </c>
      <c r="AY274" s="3">
        <f t="shared" si="161"/>
        <v>7</v>
      </c>
      <c r="AZ274" s="3">
        <f t="shared" si="162"/>
        <v>1</v>
      </c>
      <c r="BA274" s="3">
        <f>IF(ISERROR(LEN(VLOOKUP(A274,Seqs!A:E,2,FALSE))-AL274),"-",LEN(VLOOKUP(A274,Seqs!A:E,2,FALSE))-AL274)</f>
        <v>34</v>
      </c>
      <c r="BB274" s="16">
        <f t="shared" si="163"/>
        <v>29</v>
      </c>
      <c r="BC274" s="9" t="str">
        <f t="shared" si="164"/>
        <v>-</v>
      </c>
      <c r="BD274" s="3">
        <f t="shared" si="165"/>
        <v>29</v>
      </c>
      <c r="BE274" s="3">
        <f t="shared" si="166"/>
        <v>63</v>
      </c>
    </row>
    <row r="275" spans="1:58" s="3" customFormat="1" x14ac:dyDescent="0.2">
      <c r="A275" s="3" t="s">
        <v>259</v>
      </c>
      <c r="B275" s="3" t="str">
        <f>LOWER(VLOOKUP(A275,Xtal_Templ!A:B,2,FALSE))</f>
        <v>drd2_human</v>
      </c>
      <c r="C275" s="3">
        <f>VLOOKUP($A275,'SegEnds_NonXtal_BW#'!$A:$Z,3,FALSE)+D275-50</f>
        <v>31</v>
      </c>
      <c r="D275" s="3">
        <v>52</v>
      </c>
      <c r="E275" s="3">
        <f>IF(ISERROR(VLOOKUP($A275,'SegEnds_NonXtal_BW#'!$A:$Z,4,FALSE)+VLOOKUP($A275,A:AL,4,FALSE)-50),"-",(VLOOKUP($A275,'SegEnds_NonXtal_BW#'!$A:$Z,4,FALSE)+VLOOKUP($A275,A:AL,4,FALSE)-50))</f>
        <v>62</v>
      </c>
      <c r="F275" s="3">
        <f>G275-2</f>
        <v>63</v>
      </c>
      <c r="G275" s="3">
        <v>65</v>
      </c>
      <c r="H275" s="3">
        <f t="shared" si="170"/>
        <v>66</v>
      </c>
      <c r="I275" s="3">
        <f t="shared" si="170"/>
        <v>67</v>
      </c>
      <c r="J275" s="3">
        <v>80</v>
      </c>
      <c r="K275" s="3">
        <f>VLOOKUP($A275,'SegEnds_NonXtal_BW#'!$A:$Z,8,FALSE)+VLOOKUP($A275,A:AL,10,FALSE)-50</f>
        <v>98</v>
      </c>
      <c r="L275" s="3">
        <f>M275-1</f>
        <v>99</v>
      </c>
      <c r="M275" s="3">
        <v>100</v>
      </c>
      <c r="N275" s="3">
        <f>M275+2</f>
        <v>102</v>
      </c>
      <c r="O275" s="3">
        <f>N275+1</f>
        <v>103</v>
      </c>
      <c r="P275" s="3">
        <v>132</v>
      </c>
      <c r="Q275" s="3">
        <f>VLOOKUP($A275,'SegEnds_NonXtal_BW#'!$A:$Z,12,FALSE)+VLOOKUP($A275,A:AL,16,FALSE)-50</f>
        <v>138</v>
      </c>
      <c r="R275" s="3" t="str">
        <f>IF(ISERROR(VLOOKUP($A275,'SegEnds_NonXtal_BW#'!$A:$Z,13,FALSE)+VLOOKUP($A275,A:AL,19,FALSE)-50),"-",VLOOKUP($A275,'SegEnds_NonXtal_BW#'!$A:$Z,13,FALSE)+VLOOKUP($A275,A:AL,19,FALSE)-50)</f>
        <v>-</v>
      </c>
      <c r="S275" s="3" t="s">
        <v>23</v>
      </c>
      <c r="T275" s="100" t="str">
        <f>IF(ISERROR(VLOOKUP($A275,'SegEnds_NonXtal_BW#'!$A:$Z,14,FALSE)+VLOOKUP($A275,A:AL,19,FALSE)-50),"-",(VLOOKUP($A275,'SegEnds_NonXtal_BW#'!$A:$Z,14,FALSE)+VLOOKUP($A275,A:AL,19,FALSE)-50))</f>
        <v>-</v>
      </c>
      <c r="U275" s="9">
        <f>IF(ISERROR(VLOOKUP($A275,'SegEnds_NonXtal_BW#'!$A:$Z,15,FALSE)+VLOOKUP($A275,A:AL,22,FALSE)-50),"-",VLOOKUP($A275,'SegEnds_NonXtal_BW#'!$A:$Z,15,FALSE)+VLOOKUP($A275,A:AL,22,FALSE)-50)</f>
        <v>144</v>
      </c>
      <c r="V275" s="3">
        <v>156</v>
      </c>
      <c r="W275" s="3">
        <f>IF(ISERROR(VLOOKUP($A275,'SegEnds_NonXtal_BW#'!$A:$Z,16,FALSE)+VLOOKUP($A275,A:AL,22,FALSE)-50),"-",(VLOOKUP($A275,'SegEnds_NonXtal_BW#'!$A:$Z,16,FALSE)+VLOOKUP($A275,A:AL,22,FALSE)-50))</f>
        <v>168</v>
      </c>
      <c r="X275" s="3">
        <f>IF(ISERROR(VLOOKUP($A275,'SegEnds_NonXtal_BW#'!$A:$Z,17,FALSE)+VLOOKUP($A275,A:AL,25,FALSE)-50),"-",(VLOOKUP($A275,'SegEnds_NonXtal_BW#'!$A:$Z,17,FALSE)+VLOOKUP($A275,A:AL,25,FALSE)-50))</f>
        <v>182</v>
      </c>
      <c r="Y275" s="3">
        <v>182</v>
      </c>
      <c r="Z275" s="3">
        <f t="shared" si="169"/>
        <v>184</v>
      </c>
      <c r="AA275" s="3">
        <f>IF(ISERROR(VLOOKUP($A275,'SegEnds_NonXtal_BW#'!$A:$Z,19,FALSE)+VLOOKUP($A275,A:AL,28,FALSE)-50),"-",(VLOOKUP($A275,'SegEnds_NonXtal_BW#'!$A:$Z,19,FALSE)+VLOOKUP($A275,A:AL,28,FALSE)-50))</f>
        <v>192</v>
      </c>
      <c r="AB275" s="3">
        <v>207</v>
      </c>
      <c r="AC275" s="3">
        <f>IF(ISERROR((VLOOKUP($A275,'SegEnds_NonXtal_BW#'!$A:$Z,20,FALSE)+VLOOKUP($A275,A:AL,28,FALSE)-50)),"-",(VLOOKUP($A275,'SegEnds_NonXtal_BW#'!$A:$Z,20,FALSE)+VLOOKUP($A275,A:AL,28,FALSE)-50))</f>
        <v>233</v>
      </c>
      <c r="AD275" s="3">
        <f>IF(ISERROR(VLOOKUP($A275,'SegEnds_NonXtal_BW#'!$A:$Z,21,FALSE)+VLOOKUP($A275,A:AL,31,FALSE)-50),"-",(VLOOKUP($A275,'SegEnds_NonXtal_BW#'!$A:$Z,21,FALSE)+VLOOKUP($A275,A:AL,31,FALSE)-50))</f>
        <v>256</v>
      </c>
      <c r="AE275" s="3">
        <v>282</v>
      </c>
      <c r="AF275" s="3">
        <f>IF(ISERROR((VLOOKUP($A275,'SegEnds_NonXtal_BW#'!$A:$Z,22,FALSE)+VLOOKUP($A275,A:AL,31,FALSE)-50)),"-",(VLOOKUP($A275,'SegEnds_NonXtal_BW#'!$A:$Z,22,FALSE)+VLOOKUP($A275,A:AL,31,FALSE)-50))</f>
        <v>293</v>
      </c>
      <c r="AG275" s="3">
        <f>IF(ISERROR(VLOOKUP($A275,'SegEnds_NonXtal_BW#'!$A:$Z,23,FALSE)+VLOOKUP($A275,A:AL,34,FALSE)-50),"-",(VLOOKUP($A275,'SegEnds_NonXtal_BW#'!$A:$Z,23,FALSE)+VLOOKUP($A275,A:AL,34,FALSE)-50))</f>
        <v>302</v>
      </c>
      <c r="AH275" s="3">
        <v>321</v>
      </c>
      <c r="AI275" s="3">
        <v>327</v>
      </c>
      <c r="AJ275" s="3">
        <f>IF(ISERROR(VLOOKUP($A275,'SegEnds_NonXtal_BW#'!$A:$Z,25,FALSE)+VLOOKUP($A275,A:AL,37,FALSE)-50),"-",(VLOOKUP($A275,'SegEnds_NonXtal_BW#'!$A:$Z,25,FALSE)+VLOOKUP($A275,A:AL,37,FALSE)-50))</f>
        <v>328</v>
      </c>
      <c r="AK275" s="3">
        <v>331</v>
      </c>
      <c r="AL275" s="3">
        <f>IF(ISERROR((VLOOKUP($A275,'SegEnds_NonXtal_BW#'!$A:$Z,26,FALSE)+VLOOKUP($A275,A:AL,37,FALSE)-50)),"-",(VLOOKUP($A275,'SegEnds_NonXtal_BW#'!$A:$Z,26,FALSE)+VLOOKUP($A275,A:AL,37,FALSE)-50))</f>
        <v>340</v>
      </c>
      <c r="AM275" s="28" t="str">
        <f>VLOOKUP(A275,Classification!A:B,2,FALSE)</f>
        <v>A</v>
      </c>
      <c r="AN275" s="28" t="b">
        <f t="shared" si="167"/>
        <v>1</v>
      </c>
      <c r="AO275" s="3" t="str">
        <f>IF(ISERROR(MATCH(A275,'SegEnds_Xtal_Prot#'!B:B, 0)), "NoXtal", "Xtal")</f>
        <v>NoXtal</v>
      </c>
      <c r="AP275" s="3">
        <f t="shared" si="152"/>
        <v>1</v>
      </c>
      <c r="AQ275" s="3">
        <f t="shared" si="153"/>
        <v>1</v>
      </c>
      <c r="AR275" s="3">
        <f t="shared" si="154"/>
        <v>1</v>
      </c>
      <c r="AS275" s="3">
        <f t="shared" si="155"/>
        <v>1</v>
      </c>
      <c r="AT275" s="3" t="str">
        <f t="shared" si="156"/>
        <v>-</v>
      </c>
      <c r="AU275" s="3" t="str">
        <f t="shared" si="157"/>
        <v>-</v>
      </c>
      <c r="AV275" s="3">
        <f t="shared" si="158"/>
        <v>14</v>
      </c>
      <c r="AW275" s="3">
        <f t="shared" si="159"/>
        <v>8</v>
      </c>
      <c r="AX275" s="3">
        <f t="shared" si="160"/>
        <v>23</v>
      </c>
      <c r="AY275" s="3">
        <f t="shared" si="161"/>
        <v>9</v>
      </c>
      <c r="AZ275" s="3">
        <f t="shared" si="162"/>
        <v>1</v>
      </c>
      <c r="BA275" s="3">
        <f>IF(ISERROR(LEN(VLOOKUP(A275,Seqs!A:E,2,FALSE))-AL275),"-",LEN(VLOOKUP(A275,Seqs!A:E,2,FALSE))-AL275)</f>
        <v>32</v>
      </c>
      <c r="BB275" s="16">
        <f t="shared" si="163"/>
        <v>28</v>
      </c>
      <c r="BC275" s="9" t="str">
        <f t="shared" si="164"/>
        <v>-</v>
      </c>
      <c r="BD275" s="3">
        <f t="shared" si="165"/>
        <v>28</v>
      </c>
      <c r="BE275" s="3">
        <f t="shared" si="166"/>
        <v>75</v>
      </c>
    </row>
    <row r="276" spans="1:58" s="3" customFormat="1" x14ac:dyDescent="0.2">
      <c r="A276" s="3" t="s">
        <v>264</v>
      </c>
      <c r="B276" s="3" t="str">
        <f>LOWER(VLOOKUP(A276,Xtal_Templ!A:B,2,FALSE))</f>
        <v>drd3_human</v>
      </c>
      <c r="C276" s="3">
        <f>VLOOKUP($A276,'SegEnds_NonXtal_BW#'!$A:$Z,3,FALSE)+D276-50</f>
        <v>11</v>
      </c>
      <c r="D276" s="3">
        <v>32</v>
      </c>
      <c r="E276" s="3">
        <f>IF(ISERROR(VLOOKUP($A276,'SegEnds_NonXtal_BW#'!$A:$Z,4,FALSE)+VLOOKUP($A276,A:AL,4,FALSE)-50),"-",(VLOOKUP($A276,'SegEnds_NonXtal_BW#'!$A:$Z,4,FALSE)+VLOOKUP($A276,A:AL,4,FALSE)-50))</f>
        <v>42</v>
      </c>
      <c r="F276" s="3" t="str">
        <f>IF(ISERROR(VLOOKUP($A276,'SegEnds_NonXtal_BW#'!$A:$Z,5,FALSE)+VLOOKUP($A276,A:AL,7,FALSE)-50),"-",(VLOOKUP($A276,'SegEnds_NonXtal_BW#'!$A:$Z,5,FALSE)+VLOOKUP($A276,A:AL,7,FALSE)-50))</f>
        <v>-</v>
      </c>
      <c r="G276" s="3" t="s">
        <v>23</v>
      </c>
      <c r="H276" s="3" t="str">
        <f>IF(ISERROR(VLOOKUP($A276,'SegEnds_NonXtal_BW#'!$A:$Z,6,FALSE)+VLOOKUP($A276,A:AL,7,FALSE)-50),"-",(VLOOKUP($A276,'SegEnds_NonXtal_BW#'!$A:$Z,6,FALSE)+VLOOKUP($A276,A:AL,7,FALSE)-50))</f>
        <v>-</v>
      </c>
      <c r="I276" s="3">
        <f>VLOOKUP($A276,'SegEnds_NonXtal_BW#'!$A:$Z,7,FALSE)+J276-50</f>
        <v>45</v>
      </c>
      <c r="J276" s="3">
        <v>58</v>
      </c>
      <c r="K276" s="3">
        <f>VLOOKUP($A276,'SegEnds_NonXtal_BW#'!$A:$Z,8,FALSE)+VLOOKUP($A276,A:AL,10,FALSE)-50</f>
        <v>75</v>
      </c>
      <c r="L276" s="3" t="str">
        <f>IF(ISERROR(VLOOKUP($A276,'SegEnds_NonXtal_BW#'!$A:$Z,9,FALSE)+VLOOKUP($A276,A:AL,13,FALSE)-50),"-",(VLOOKUP($A276,'SegEnds_NonXtal_BW#'!$A:$Z,9,FALSE)+VLOOKUP($A276,A:AL,13,FALSE)-50))</f>
        <v>-</v>
      </c>
      <c r="M276" s="3" t="s">
        <v>23</v>
      </c>
      <c r="N276" s="3" t="str">
        <f>IF(ISERROR(VLOOKUP($A276,'SegEnds_NonXtal_BW#'!$A:$Z,10,FALSE)+VLOOKUP($A276,A:AL,13,FALSE)-50),"-",(VLOOKUP($A276,'SegEnds_NonXtal_BW#'!$A:$Z,10,FALSE)+VLOOKUP($A276,A:AL,13,FALSE)-50))</f>
        <v>-</v>
      </c>
      <c r="O276" s="3">
        <f>VLOOKUP($A276,'SegEnds_NonXtal_BW#'!$A:$Z,11,FALSE)+VLOOKUP($A276,A:AL,16,FALSE)-50</f>
        <v>81</v>
      </c>
      <c r="P276" s="3">
        <v>113</v>
      </c>
      <c r="Q276" s="3">
        <f>VLOOKUP($A276,'SegEnds_NonXtal_BW#'!$A:$Z,12,FALSE)+VLOOKUP($A276,A:AL,16,FALSE)-50</f>
        <v>119</v>
      </c>
      <c r="R276" s="3" t="str">
        <f>IF(ISERROR(VLOOKUP($A276,'SegEnds_NonXtal_BW#'!$A:$Z,13,FALSE)+VLOOKUP($A276,A:AL,19,FALSE)-50),"-",VLOOKUP($A276,'SegEnds_NonXtal_BW#'!$A:$Z,13,FALSE)+VLOOKUP($A276,A:AL,19,FALSE)-50)</f>
        <v>-</v>
      </c>
      <c r="S276" s="3" t="s">
        <v>23</v>
      </c>
      <c r="T276" s="100" t="str">
        <f>IF(ISERROR(VLOOKUP($A276,'SegEnds_NonXtal_BW#'!$A:$Z,14,FALSE)+VLOOKUP($A276,A:AL,19,FALSE)-50),"-",(VLOOKUP($A276,'SegEnds_NonXtal_BW#'!$A:$Z,14,FALSE)+VLOOKUP($A276,A:AL,19,FALSE)-50))</f>
        <v>-</v>
      </c>
      <c r="U276" s="9">
        <f>IF(ISERROR(VLOOKUP($A276,'SegEnds_NonXtal_BW#'!$A:$Z,15,FALSE)+VLOOKUP($A276,A:AL,22,FALSE)-50),"-",VLOOKUP($A276,'SegEnds_NonXtal_BW#'!$A:$Z,15,FALSE)+VLOOKUP($A276,A:AL,22,FALSE)-50)</f>
        <v>125</v>
      </c>
      <c r="V276" s="3">
        <v>137</v>
      </c>
      <c r="W276" s="3">
        <f>IF(ISERROR(VLOOKUP($A276,'SegEnds_NonXtal_BW#'!$A:$Z,16,FALSE)+VLOOKUP($A276,A:AL,22,FALSE)-50),"-",(VLOOKUP($A276,'SegEnds_NonXtal_BW#'!$A:$Z,16,FALSE)+VLOOKUP($A276,A:AL,22,FALSE)-50))</f>
        <v>150</v>
      </c>
      <c r="X276" s="3">
        <f>IF(ISERROR(VLOOKUP($A276,'SegEnds_NonXtal_BW#'!$A:$Z,17,FALSE)+VLOOKUP($A276,A:AL,25,FALSE)-50),"-",(VLOOKUP($A276,'SegEnds_NonXtal_BW#'!$A:$Z,17,FALSE)+VLOOKUP($A276,A:AL,25,FALSE)-50))</f>
        <v>162</v>
      </c>
      <c r="Y276" s="3">
        <v>162</v>
      </c>
      <c r="Z276" s="3">
        <f t="shared" si="169"/>
        <v>164</v>
      </c>
      <c r="AA276" s="3">
        <f>IF(ISERROR(VLOOKUP($A276,'SegEnds_NonXtal_BW#'!$A:$Z,19,FALSE)+VLOOKUP($A276,A:AL,28,FALSE)-50),"-",(VLOOKUP($A276,'SegEnds_NonXtal_BW#'!$A:$Z,19,FALSE)+VLOOKUP($A276,A:AL,28,FALSE)-50))</f>
        <v>169</v>
      </c>
      <c r="AB276" s="3">
        <v>184</v>
      </c>
      <c r="AC276" s="3">
        <f>IF(ISERROR((VLOOKUP($A276,'SegEnds_NonXtal_BW#'!$A:$Z,20,FALSE)+VLOOKUP($A276,A:AL,28,FALSE)-50)),"-",(VLOOKUP($A276,'SegEnds_NonXtal_BW#'!$A:$Z,20,FALSE)+VLOOKUP($A276,A:AL,28,FALSE)-50))</f>
        <v>210</v>
      </c>
      <c r="AD276" s="3">
        <f>IF(ISERROR(VLOOKUP($A276,'SegEnds_NonXtal_BW#'!$A:$Z,21,FALSE)+VLOOKUP($A276,A:AL,31,FALSE)-50),"-",(VLOOKUP($A276,'SegEnds_NonXtal_BW#'!$A:$Z,21,FALSE)+VLOOKUP($A276,A:AL,31,FALSE)-50))</f>
        <v>230</v>
      </c>
      <c r="AE276" s="3">
        <v>256</v>
      </c>
      <c r="AF276" s="3">
        <f>IF(ISERROR((VLOOKUP($A276,'SegEnds_NonXtal_BW#'!$A:$Z,22,FALSE)+VLOOKUP($A276,A:AL,31,FALSE)-50)),"-",(VLOOKUP($A276,'SegEnds_NonXtal_BW#'!$A:$Z,22,FALSE)+VLOOKUP($A276,A:AL,31,FALSE)-50))</f>
        <v>264</v>
      </c>
      <c r="AG276" s="3">
        <f>IF(ISERROR(VLOOKUP($A276,'SegEnds_NonXtal_BW#'!$A:$Z,23,FALSE)+VLOOKUP($A276,A:AL,34,FALSE)-50),"-",(VLOOKUP($A276,'SegEnds_NonXtal_BW#'!$A:$Z,23,FALSE)+VLOOKUP($A276,A:AL,34,FALSE)-50))</f>
        <v>272</v>
      </c>
      <c r="AH276" s="3">
        <v>287</v>
      </c>
      <c r="AI276" s="3">
        <f>IF(ISERROR((VLOOKUP($A276,'SegEnds_NonXtal_BW#'!$A:$Z,24,FALSE)+VLOOKUP($A276,A:AL,34,FALSE)-50)),"-",(VLOOKUP($A276,'SegEnds_NonXtal_BW#'!$A:$Z,24,FALSE)+VLOOKUP($A276,A:AL,34,FALSE)-50))</f>
        <v>293</v>
      </c>
      <c r="AJ276" s="3">
        <f>IF(ISERROR(VLOOKUP($A276,'SegEnds_NonXtal_BW#'!$A:$Z,25,FALSE)+VLOOKUP($A276,A:AL,37,FALSE)-50),"-",(VLOOKUP($A276,'SegEnds_NonXtal_BW#'!$A:$Z,25,FALSE)+VLOOKUP($A276,A:AL,37,FALSE)-50))</f>
        <v>294</v>
      </c>
      <c r="AK276" s="3">
        <v>297</v>
      </c>
      <c r="AL276" s="3">
        <f>IF(ISERROR((VLOOKUP($A276,'SegEnds_NonXtal_BW#'!$A:$Z,26,FALSE)+VLOOKUP($A276,A:AL,37,FALSE)-50)),"-",(VLOOKUP($A276,'SegEnds_NonXtal_BW#'!$A:$Z,26,FALSE)+VLOOKUP($A276,A:AL,37,FALSE)-50))</f>
        <v>306</v>
      </c>
      <c r="AM276" s="28" t="str">
        <f>VLOOKUP(A276,Classification!A:B,2,FALSE)</f>
        <v>A</v>
      </c>
      <c r="AN276" s="28" t="b">
        <f t="shared" si="167"/>
        <v>1</v>
      </c>
      <c r="AO276" s="3" t="str">
        <f>IF(ISERROR(MATCH(A276,'SegEnds_Xtal_Prot#'!B:B, 0)), "NoXtal", "Xtal")</f>
        <v>NoXtal</v>
      </c>
      <c r="AP276" s="3" t="str">
        <f t="shared" si="152"/>
        <v>-</v>
      </c>
      <c r="AQ276" s="3" t="str">
        <f t="shared" si="153"/>
        <v>-</v>
      </c>
      <c r="AR276" s="3" t="str">
        <f t="shared" si="154"/>
        <v>-</v>
      </c>
      <c r="AS276" s="3" t="str">
        <f t="shared" si="155"/>
        <v>-</v>
      </c>
      <c r="AT276" s="3" t="str">
        <f t="shared" si="156"/>
        <v>-</v>
      </c>
      <c r="AU276" s="3" t="str">
        <f t="shared" si="157"/>
        <v>-</v>
      </c>
      <c r="AV276" s="3">
        <f t="shared" si="158"/>
        <v>12</v>
      </c>
      <c r="AW276" s="3">
        <f t="shared" si="159"/>
        <v>5</v>
      </c>
      <c r="AX276" s="3">
        <f t="shared" si="160"/>
        <v>20</v>
      </c>
      <c r="AY276" s="3">
        <f t="shared" si="161"/>
        <v>8</v>
      </c>
      <c r="AZ276" s="3">
        <f t="shared" si="162"/>
        <v>1</v>
      </c>
      <c r="BA276" s="3">
        <f>IF(ISERROR(LEN(VLOOKUP(A276,Seqs!A:E,2,FALSE))-AL276),"-",LEN(VLOOKUP(A276,Seqs!A:E,2,FALSE))-AL276)</f>
        <v>62</v>
      </c>
      <c r="BB276" s="16">
        <f t="shared" si="163"/>
        <v>26</v>
      </c>
      <c r="BC276" s="9" t="str">
        <f t="shared" si="164"/>
        <v>-</v>
      </c>
      <c r="BD276" s="3">
        <f t="shared" si="165"/>
        <v>26</v>
      </c>
      <c r="BE276" s="3">
        <f t="shared" si="166"/>
        <v>72</v>
      </c>
    </row>
    <row r="277" spans="1:58" s="3" customFormat="1" x14ac:dyDescent="0.2">
      <c r="A277" s="3" t="s">
        <v>265</v>
      </c>
      <c r="B277" s="3" t="str">
        <f>LOWER(VLOOKUP(A277,Xtal_Templ!A:B,2,FALSE))</f>
        <v>5ht2c_human</v>
      </c>
      <c r="C277" s="3">
        <f>VLOOKUP($A277,'SegEnds_NonXtal_BW#'!$A:$Z,3,FALSE)+D277-50</f>
        <v>82</v>
      </c>
      <c r="D277" s="3">
        <v>99</v>
      </c>
      <c r="E277" s="3">
        <f>IF(ISERROR(VLOOKUP($A277,'SegEnds_NonXtal_BW#'!$A:$Z,4,FALSE)+VLOOKUP($A277,A:AL,4,FALSE)-50),"-",(VLOOKUP($A277,'SegEnds_NonXtal_BW#'!$A:$Z,4,FALSE)+VLOOKUP($A277,A:AL,4,FALSE)-50))</f>
        <v>109</v>
      </c>
      <c r="F277" s="3">
        <f t="shared" ref="F277:F314" si="171">G277-2</f>
        <v>110</v>
      </c>
      <c r="G277" s="3">
        <v>112</v>
      </c>
      <c r="H277" s="3">
        <f t="shared" ref="H277:I296" si="172">G277+1</f>
        <v>113</v>
      </c>
      <c r="I277" s="3">
        <f t="shared" si="172"/>
        <v>114</v>
      </c>
      <c r="J277" s="3">
        <v>127</v>
      </c>
      <c r="K277" s="3">
        <f>VLOOKUP($A277,'SegEnds_NonXtal_BW#'!$A:$Z,8,FALSE)+VLOOKUP($A277,A:AL,10,FALSE)-50</f>
        <v>145</v>
      </c>
      <c r="L277" s="3">
        <f>M277-1</f>
        <v>146</v>
      </c>
      <c r="M277" s="3">
        <v>147</v>
      </c>
      <c r="N277" s="3">
        <f>M277+2</f>
        <v>149</v>
      </c>
      <c r="O277" s="3">
        <f>N277+1</f>
        <v>150</v>
      </c>
      <c r="P277" s="3">
        <v>179</v>
      </c>
      <c r="Q277" s="3">
        <f>VLOOKUP($A277,'SegEnds_NonXtal_BW#'!$A:$Z,12,FALSE)+VLOOKUP($A277,A:AL,16,FALSE)-50</f>
        <v>185</v>
      </c>
      <c r="R277" s="3" t="str">
        <f>IF(ISERROR(VLOOKUP($A277,'SegEnds_NonXtal_BW#'!$A:$Z,13,FALSE)+VLOOKUP($A277,A:AL,19,FALSE)-50),"-",VLOOKUP($A277,'SegEnds_NonXtal_BW#'!$A:$Z,13,FALSE)+VLOOKUP($A277,A:AL,19,FALSE)-50)</f>
        <v>-</v>
      </c>
      <c r="S277" s="3" t="s">
        <v>23</v>
      </c>
      <c r="T277" s="100" t="str">
        <f>IF(ISERROR(VLOOKUP($A277,'SegEnds_NonXtal_BW#'!$A:$Z,14,FALSE)+VLOOKUP($A277,A:AL,19,FALSE)-50),"-",(VLOOKUP($A277,'SegEnds_NonXtal_BW#'!$A:$Z,14,FALSE)+VLOOKUP($A277,A:AL,19,FALSE)-50))</f>
        <v>-</v>
      </c>
      <c r="U277" s="9">
        <f>IF(ISERROR(VLOOKUP($A277,'SegEnds_NonXtal_BW#'!$A:$Z,15,FALSE)+VLOOKUP($A277,A:AL,22,FALSE)-50),"-",VLOOKUP($A277,'SegEnds_NonXtal_BW#'!$A:$Z,15,FALSE)+VLOOKUP($A277,A:AL,22,FALSE)-50)</f>
        <v>191</v>
      </c>
      <c r="V277" s="3">
        <v>203</v>
      </c>
      <c r="W277" s="3">
        <f>IF(ISERROR(VLOOKUP($A277,'SegEnds_NonXtal_BW#'!$A:$Z,16,FALSE)+VLOOKUP($A277,A:AL,22,FALSE)-50),"-",(VLOOKUP($A277,'SegEnds_NonXtal_BW#'!$A:$Z,16,FALSE)+VLOOKUP($A277,A:AL,22,FALSE)-50))</f>
        <v>220</v>
      </c>
      <c r="X277" s="3">
        <f>IF(ISERROR(VLOOKUP($A277,'SegEnds_NonXtal_BW#'!$A:$Z,17,FALSE)+VLOOKUP($A277,A:AL,25,FALSE)-50),"-",(VLOOKUP($A277,'SegEnds_NonXtal_BW#'!$A:$Z,17,FALSE)+VLOOKUP($A277,A:AL,25,FALSE)-50))</f>
        <v>229</v>
      </c>
      <c r="Y277" s="3">
        <v>229</v>
      </c>
      <c r="Z277" s="3">
        <f t="shared" si="169"/>
        <v>231</v>
      </c>
      <c r="AA277" s="3">
        <f>IF(ISERROR(VLOOKUP($A277,'SegEnds_NonXtal_BW#'!$A:$Z,19,FALSE)+VLOOKUP($A277,A:AL,28,FALSE)-50),"-",(VLOOKUP($A277,'SegEnds_NonXtal_BW#'!$A:$Z,19,FALSE)+VLOOKUP($A277,A:AL,28,FALSE)-50))</f>
        <v>239</v>
      </c>
      <c r="AB277" s="3">
        <v>254</v>
      </c>
      <c r="AC277" s="3">
        <f>IF(ISERROR((VLOOKUP($A277,'SegEnds_NonXtal_BW#'!$A:$Z,20,FALSE)+VLOOKUP($A277,A:AL,28,FALSE)-50)),"-",(VLOOKUP($A277,'SegEnds_NonXtal_BW#'!$A:$Z,20,FALSE)+VLOOKUP($A277,A:AL,28,FALSE)-50))</f>
        <v>280</v>
      </c>
      <c r="AD277" s="3">
        <f>IF(ISERROR(VLOOKUP($A277,'SegEnds_NonXtal_BW#'!$A:$Z,21,FALSE)+VLOOKUP($A277,A:AL,31,FALSE)-50),"-",(VLOOKUP($A277,'SegEnds_NonXtal_BW#'!$A:$Z,21,FALSE)+VLOOKUP($A277,A:AL,31,FALSE)-50))</f>
        <v>303</v>
      </c>
      <c r="AE277" s="3">
        <v>329</v>
      </c>
      <c r="AF277" s="3">
        <f>IF(ISERROR((VLOOKUP($A277,'SegEnds_NonXtal_BW#'!$A:$Z,22,FALSE)+VLOOKUP($A277,A:AL,31,FALSE)-50)),"-",(VLOOKUP($A277,'SegEnds_NonXtal_BW#'!$A:$Z,22,FALSE)+VLOOKUP($A277,A:AL,31,FALSE)-50))</f>
        <v>340</v>
      </c>
      <c r="AG277" s="3">
        <f>IF(ISERROR(VLOOKUP($A277,'SegEnds_NonXtal_BW#'!$A:$Z,23,FALSE)+VLOOKUP($A277,A:AL,34,FALSE)-50),"-",(VLOOKUP($A277,'SegEnds_NonXtal_BW#'!$A:$Z,23,FALSE)+VLOOKUP($A277,A:AL,34,FALSE)-50))</f>
        <v>345</v>
      </c>
      <c r="AH277" s="3">
        <v>368</v>
      </c>
      <c r="AI277" s="3">
        <f>IF(ISERROR((VLOOKUP($A277,'SegEnds_NonXtal_BW#'!$A:$Z,24,FALSE)+VLOOKUP($A277,A:AL,34,FALSE)-50)),"-",(VLOOKUP($A277,'SegEnds_NonXtal_BW#'!$A:$Z,24,FALSE)+VLOOKUP($A277,A:AL,34,FALSE)-50))</f>
        <v>374</v>
      </c>
      <c r="AJ277" s="3">
        <f>IF(ISERROR(VLOOKUP($A277,'SegEnds_NonXtal_BW#'!$A:$Z,25,FALSE)+VLOOKUP($A277,A:AL,37,FALSE)-50),"-",(VLOOKUP($A277,'SegEnds_NonXtal_BW#'!$A:$Z,25,FALSE)+VLOOKUP($A277,A:AL,37,FALSE)-50))</f>
        <v>375</v>
      </c>
      <c r="AK277" s="3">
        <v>378</v>
      </c>
      <c r="AL277" s="3">
        <f>IF(ISERROR((VLOOKUP($A277,'SegEnds_NonXtal_BW#'!$A:$Z,26,FALSE)+VLOOKUP($A277,A:AL,37,FALSE)-50)),"-",(VLOOKUP($A277,'SegEnds_NonXtal_BW#'!$A:$Z,26,FALSE)+VLOOKUP($A277,A:AL,37,FALSE)-50))</f>
        <v>388</v>
      </c>
      <c r="AM277" s="28" t="str">
        <f>VLOOKUP(A277,Classification!A:B,2,FALSE)</f>
        <v>A</v>
      </c>
      <c r="AN277" s="28" t="b">
        <f t="shared" si="167"/>
        <v>1</v>
      </c>
      <c r="AO277" s="3" t="str">
        <f>IF(ISERROR(MATCH(A277,'SegEnds_Xtal_Prot#'!B:B, 0)), "NoXtal", "Xtal")</f>
        <v>NoXtal</v>
      </c>
      <c r="AP277" s="3">
        <f t="shared" si="152"/>
        <v>1</v>
      </c>
      <c r="AQ277" s="3">
        <f t="shared" si="153"/>
        <v>1</v>
      </c>
      <c r="AR277" s="3">
        <f t="shared" si="154"/>
        <v>1</v>
      </c>
      <c r="AS277" s="3">
        <f t="shared" si="155"/>
        <v>1</v>
      </c>
      <c r="AT277" s="3" t="str">
        <f t="shared" si="156"/>
        <v>-</v>
      </c>
      <c r="AU277" s="3" t="str">
        <f t="shared" si="157"/>
        <v>-</v>
      </c>
      <c r="AV277" s="3">
        <f t="shared" si="158"/>
        <v>9</v>
      </c>
      <c r="AW277" s="3">
        <f t="shared" si="159"/>
        <v>8</v>
      </c>
      <c r="AX277" s="3">
        <f t="shared" si="160"/>
        <v>23</v>
      </c>
      <c r="AY277" s="3">
        <f t="shared" si="161"/>
        <v>5</v>
      </c>
      <c r="AZ277" s="3">
        <f t="shared" si="162"/>
        <v>1</v>
      </c>
      <c r="BA277" s="3">
        <f>IF(ISERROR(LEN(VLOOKUP(A277,Seqs!A:E,2,FALSE))-AL277),"-",LEN(VLOOKUP(A277,Seqs!A:E,2,FALSE))-AL277)</f>
        <v>31</v>
      </c>
      <c r="BB277" s="16">
        <f t="shared" si="163"/>
        <v>28</v>
      </c>
      <c r="BC277" s="9" t="str">
        <f t="shared" si="164"/>
        <v>-</v>
      </c>
      <c r="BD277" s="3">
        <f t="shared" si="165"/>
        <v>28</v>
      </c>
      <c r="BE277" s="3">
        <f t="shared" si="166"/>
        <v>75</v>
      </c>
    </row>
    <row r="278" spans="1:58" s="3" customFormat="1" x14ac:dyDescent="0.2">
      <c r="A278" s="3" t="s">
        <v>266</v>
      </c>
      <c r="B278" s="3" t="str">
        <f>LOWER(VLOOKUP(A278,Xtal_Templ!A:B,2,FALSE))</f>
        <v>drd2_human</v>
      </c>
      <c r="C278" s="3">
        <f>VLOOKUP($A278,'SegEnds_NonXtal_BW#'!$A:$Z,3,FALSE)+D278-50</f>
        <v>39</v>
      </c>
      <c r="D278" s="3">
        <v>60</v>
      </c>
      <c r="E278" s="3">
        <f>IF(ISERROR(VLOOKUP($A278,'SegEnds_NonXtal_BW#'!$A:$Z,4,FALSE)+VLOOKUP($A278,A:AL,4,FALSE)-50),"-",(VLOOKUP($A278,'SegEnds_NonXtal_BW#'!$A:$Z,4,FALSE)+VLOOKUP($A278,A:AL,4,FALSE)-50))</f>
        <v>70</v>
      </c>
      <c r="F278" s="3">
        <f t="shared" si="171"/>
        <v>73</v>
      </c>
      <c r="G278" s="3">
        <v>75</v>
      </c>
      <c r="H278" s="3">
        <f t="shared" si="172"/>
        <v>76</v>
      </c>
      <c r="I278" s="3">
        <f t="shared" si="172"/>
        <v>77</v>
      </c>
      <c r="J278" s="3">
        <v>90</v>
      </c>
      <c r="K278" s="3">
        <f>VLOOKUP($A278,'SegEnds_NonXtal_BW#'!$A:$Z,8,FALSE)+VLOOKUP($A278,A:AL,10,FALSE)-50</f>
        <v>107</v>
      </c>
      <c r="L278" s="3" t="str">
        <f>IF(ISERROR(VLOOKUP($A278,'SegEnds_NonXtal_BW#'!$A:$Z,9,FALSE)+VLOOKUP($A278,A:AL,13,FALSE)-50),"-",(VLOOKUP($A278,'SegEnds_NonXtal_BW#'!$A:$Z,9,FALSE)+VLOOKUP($A278,A:AL,13,FALSE)-50))</f>
        <v>-</v>
      </c>
      <c r="M278" s="3" t="s">
        <v>23</v>
      </c>
      <c r="N278" s="3" t="str">
        <f>IF(ISERROR(VLOOKUP($A278,'SegEnds_NonXtal_BW#'!$A:$Z,10,FALSE)+VLOOKUP($A278,A:AL,13,FALSE)-50),"-",(VLOOKUP($A278,'SegEnds_NonXtal_BW#'!$A:$Z,10,FALSE)+VLOOKUP($A278,A:AL,13,FALSE)-50))</f>
        <v>-</v>
      </c>
      <c r="O278" s="3">
        <f>VLOOKUP($A278,'SegEnds_NonXtal_BW#'!$A:$Z,11,FALSE)+VLOOKUP($A278,A:AL,16,FALSE)-50</f>
        <v>111</v>
      </c>
      <c r="P278" s="3">
        <v>143</v>
      </c>
      <c r="Q278" s="3">
        <f>VLOOKUP($A278,'SegEnds_NonXtal_BW#'!$A:$Z,12,FALSE)+VLOOKUP($A278,A:AL,16,FALSE)-50</f>
        <v>149</v>
      </c>
      <c r="R278" s="3" t="str">
        <f>IF(ISERROR(VLOOKUP($A278,'SegEnds_NonXtal_BW#'!$A:$Z,13,FALSE)+VLOOKUP($A278,A:AL,19,FALSE)-50),"-",VLOOKUP($A278,'SegEnds_NonXtal_BW#'!$A:$Z,13,FALSE)+VLOOKUP($A278,A:AL,19,FALSE)-50)</f>
        <v>-</v>
      </c>
      <c r="S278" s="3" t="s">
        <v>23</v>
      </c>
      <c r="T278" s="100" t="str">
        <f>IF(ISERROR(VLOOKUP($A278,'SegEnds_NonXtal_BW#'!$A:$Z,14,FALSE)+VLOOKUP($A278,A:AL,19,FALSE)-50),"-",(VLOOKUP($A278,'SegEnds_NonXtal_BW#'!$A:$Z,14,FALSE)+VLOOKUP($A278,A:AL,19,FALSE)-50))</f>
        <v>-</v>
      </c>
      <c r="U278" s="9">
        <f>IF(ISERROR(VLOOKUP($A278,'SegEnds_NonXtal_BW#'!$A:$Z,15,FALSE)+VLOOKUP($A278,A:AL,22,FALSE)-50),"-",VLOOKUP($A278,'SegEnds_NonXtal_BW#'!$A:$Z,15,FALSE)+VLOOKUP($A278,A:AL,22,FALSE)-50)</f>
        <v>157</v>
      </c>
      <c r="V278" s="3">
        <v>169</v>
      </c>
      <c r="W278" s="3">
        <f>IF(ISERROR(VLOOKUP($A278,'SegEnds_NonXtal_BW#'!$A:$Z,16,FALSE)+VLOOKUP($A278,A:AL,22,FALSE)-50),"-",(VLOOKUP($A278,'SegEnds_NonXtal_BW#'!$A:$Z,16,FALSE)+VLOOKUP($A278,A:AL,22,FALSE)-50))</f>
        <v>181</v>
      </c>
      <c r="X278" s="3">
        <f>IF(ISERROR(VLOOKUP($A278,'SegEnds_NonXtal_BW#'!$A:$Z,17,FALSE)+VLOOKUP($A278,A:AL,25,FALSE)-50),"-",(VLOOKUP($A278,'SegEnds_NonXtal_BW#'!$A:$Z,17,FALSE)+VLOOKUP($A278,A:AL,25,FALSE)-50))</f>
        <v>189</v>
      </c>
      <c r="Y278" s="3">
        <v>189</v>
      </c>
      <c r="Z278" s="3">
        <f t="shared" si="169"/>
        <v>191</v>
      </c>
      <c r="AA278" s="3">
        <f>IF(ISERROR(VLOOKUP($A278,'SegEnds_NonXtal_BW#'!$A:$Z,19,FALSE)+VLOOKUP($A278,A:AL,28,FALSE)-50),"-",(VLOOKUP($A278,'SegEnds_NonXtal_BW#'!$A:$Z,19,FALSE)+VLOOKUP($A278,A:AL,28,FALSE)-50))</f>
        <v>199</v>
      </c>
      <c r="AB278" s="3">
        <v>214</v>
      </c>
      <c r="AC278" s="3">
        <f>IF(ISERROR((VLOOKUP($A278,'SegEnds_NonXtal_BW#'!$A:$Z,20,FALSE)+VLOOKUP($A278,A:AL,28,FALSE)-50)),"-",(VLOOKUP($A278,'SegEnds_NonXtal_BW#'!$A:$Z,20,FALSE)+VLOOKUP($A278,A:AL,28,FALSE)-50))</f>
        <v>240</v>
      </c>
      <c r="AD278" s="3">
        <f>IF(ISERROR(VLOOKUP($A278,'SegEnds_NonXtal_BW#'!$A:$Z,21,FALSE)+VLOOKUP($A278,A:AL,31,FALSE)-50),"-",(VLOOKUP($A278,'SegEnds_NonXtal_BW#'!$A:$Z,21,FALSE)+VLOOKUP($A278,A:AL,31,FALSE)-50))</f>
        <v>310</v>
      </c>
      <c r="AE278" s="3">
        <v>336</v>
      </c>
      <c r="AF278" s="3">
        <f>IF(ISERROR((VLOOKUP($A278,'SegEnds_NonXtal_BW#'!$A:$Z,22,FALSE)+VLOOKUP($A278,A:AL,31,FALSE)-50)),"-",(VLOOKUP($A278,'SegEnds_NonXtal_BW#'!$A:$Z,22,FALSE)+VLOOKUP($A278,A:AL,31,FALSE)-50))</f>
        <v>347</v>
      </c>
      <c r="AG278" s="3">
        <f>IF(ISERROR(VLOOKUP($A278,'SegEnds_NonXtal_BW#'!$A:$Z,23,FALSE)+VLOOKUP($A278,A:AL,34,FALSE)-50),"-",(VLOOKUP($A278,'SegEnds_NonXtal_BW#'!$A:$Z,23,FALSE)+VLOOKUP($A278,A:AL,34,FALSE)-50))</f>
        <v>354</v>
      </c>
      <c r="AH278" s="3">
        <v>373</v>
      </c>
      <c r="AI278" s="3">
        <f>IF(ISERROR((VLOOKUP($A278,'SegEnds_NonXtal_BW#'!$A:$Z,24,FALSE)+VLOOKUP($A278,A:AL,34,FALSE)-50)),"-",(VLOOKUP($A278,'SegEnds_NonXtal_BW#'!$A:$Z,24,FALSE)+VLOOKUP($A278,A:AL,34,FALSE)-50))</f>
        <v>379</v>
      </c>
      <c r="AJ278" s="3">
        <f>IF(ISERROR(VLOOKUP($A278,'SegEnds_NonXtal_BW#'!$A:$Z,25,FALSE)+VLOOKUP($A278,A:AL,37,FALSE)-50),"-",(VLOOKUP($A278,'SegEnds_NonXtal_BW#'!$A:$Z,25,FALSE)+VLOOKUP($A278,A:AL,37,FALSE)-50))</f>
        <v>380</v>
      </c>
      <c r="AK278" s="3">
        <v>383</v>
      </c>
      <c r="AL278" s="3">
        <f>IF(ISERROR((VLOOKUP($A278,'SegEnds_NonXtal_BW#'!$A:$Z,26,FALSE)+VLOOKUP($A278,A:AL,37,FALSE)-50)),"-",(VLOOKUP($A278,'SegEnds_NonXtal_BW#'!$A:$Z,26,FALSE)+VLOOKUP($A278,A:AL,37,FALSE)-50))</f>
        <v>392</v>
      </c>
      <c r="AM278" s="28" t="str">
        <f>VLOOKUP(A278,Classification!A:B,2,FALSE)</f>
        <v>A</v>
      </c>
      <c r="AN278" s="28" t="b">
        <f t="shared" si="167"/>
        <v>1</v>
      </c>
      <c r="AO278" s="3" t="str">
        <f>IF(ISERROR(MATCH(A278,'SegEnds_Xtal_Prot#'!B:B, 0)), "NoXtal", "Xtal")</f>
        <v>NoXtal</v>
      </c>
      <c r="AP278" s="3">
        <f t="shared" si="152"/>
        <v>3</v>
      </c>
      <c r="AQ278" s="3">
        <f t="shared" si="153"/>
        <v>1</v>
      </c>
      <c r="AR278" s="3" t="str">
        <f t="shared" si="154"/>
        <v>-</v>
      </c>
      <c r="AS278" s="3" t="str">
        <f t="shared" si="155"/>
        <v>-</v>
      </c>
      <c r="AT278" s="3" t="str">
        <f t="shared" si="156"/>
        <v>-</v>
      </c>
      <c r="AU278" s="3" t="str">
        <f t="shared" si="157"/>
        <v>-</v>
      </c>
      <c r="AV278" s="3">
        <f t="shared" si="158"/>
        <v>8</v>
      </c>
      <c r="AW278" s="3">
        <f t="shared" si="159"/>
        <v>8</v>
      </c>
      <c r="AX278" s="3">
        <f t="shared" si="160"/>
        <v>70</v>
      </c>
      <c r="AY278" s="3">
        <f t="shared" si="161"/>
        <v>7</v>
      </c>
      <c r="AZ278" s="3">
        <f t="shared" si="162"/>
        <v>1</v>
      </c>
      <c r="BA278" s="3">
        <f>IF(ISERROR(LEN(VLOOKUP(A278,Seqs!A:E,2,FALSE))-AL278),"-",LEN(VLOOKUP(A278,Seqs!A:E,2,FALSE))-AL278)</f>
        <v>148</v>
      </c>
      <c r="BB278" s="16">
        <f t="shared" si="163"/>
        <v>30</v>
      </c>
      <c r="BC278" s="9" t="str">
        <f t="shared" si="164"/>
        <v>-</v>
      </c>
      <c r="BD278" s="3">
        <f t="shared" si="165"/>
        <v>30</v>
      </c>
      <c r="BE278" s="3">
        <f t="shared" si="166"/>
        <v>122</v>
      </c>
    </row>
    <row r="279" spans="1:58" s="3" customFormat="1" x14ac:dyDescent="0.2">
      <c r="A279" s="3" t="s">
        <v>269</v>
      </c>
      <c r="B279" s="3" t="str">
        <f>LOWER(VLOOKUP(A279,Xtal_Templ!A:B,2,FALSE))</f>
        <v>ox2r_human</v>
      </c>
      <c r="C279" s="3">
        <f>VLOOKUP($A279,'SegEnds_NonXtal_BW#'!$A:$Z,3,FALSE)+D279-50</f>
        <v>70</v>
      </c>
      <c r="D279" s="3">
        <v>89</v>
      </c>
      <c r="E279" s="3">
        <f>IF(ISERROR(VLOOKUP($A279,'SegEnds_NonXtal_BW#'!$A:$Z,4,FALSE)+VLOOKUP($A279,A:AL,4,FALSE)-50),"-",(VLOOKUP($A279,'SegEnds_NonXtal_BW#'!$A:$Z,4,FALSE)+VLOOKUP($A279,A:AL,4,FALSE)-50))</f>
        <v>99</v>
      </c>
      <c r="F279" s="3">
        <f t="shared" si="171"/>
        <v>100</v>
      </c>
      <c r="G279" s="3">
        <v>102</v>
      </c>
      <c r="H279" s="3">
        <f t="shared" si="172"/>
        <v>103</v>
      </c>
      <c r="I279" s="3">
        <f t="shared" si="172"/>
        <v>104</v>
      </c>
      <c r="J279" s="3">
        <v>117</v>
      </c>
      <c r="K279" s="3">
        <f>VLOOKUP($A279,'SegEnds_NonXtal_BW#'!$A:$Z,8,FALSE)+VLOOKUP($A279,A:AL,10,FALSE)-50</f>
        <v>135</v>
      </c>
      <c r="L279" s="3">
        <f t="shared" ref="L279:L296" si="173">M279-1</f>
        <v>136</v>
      </c>
      <c r="M279" s="3">
        <v>137</v>
      </c>
      <c r="N279" s="3">
        <f t="shared" ref="N279:N296" si="174">M279+2</f>
        <v>139</v>
      </c>
      <c r="O279" s="3">
        <f t="shared" ref="O279:O296" si="175">N279+1</f>
        <v>140</v>
      </c>
      <c r="P279" s="3">
        <v>169</v>
      </c>
      <c r="Q279" s="3">
        <f>VLOOKUP($A279,'SegEnds_NonXtal_BW#'!$A:$Z,12,FALSE)+VLOOKUP($A279,A:AL,16,FALSE)-50</f>
        <v>175</v>
      </c>
      <c r="R279" s="3" t="str">
        <f>IF(ISERROR(VLOOKUP($A279,'SegEnds_NonXtal_BW#'!$A:$Z,13,FALSE)+VLOOKUP($A279,A:AL,19,FALSE)-50),"-",VLOOKUP($A279,'SegEnds_NonXtal_BW#'!$A:$Z,13,FALSE)+VLOOKUP($A279,A:AL,19,FALSE)-50)</f>
        <v>-</v>
      </c>
      <c r="S279" s="3" t="s">
        <v>23</v>
      </c>
      <c r="T279" s="100" t="str">
        <f>IF(ISERROR(VLOOKUP($A279,'SegEnds_NonXtal_BW#'!$A:$Z,14,FALSE)+VLOOKUP($A279,A:AL,19,FALSE)-50),"-",(VLOOKUP($A279,'SegEnds_NonXtal_BW#'!$A:$Z,14,FALSE)+VLOOKUP($A279,A:AL,19,FALSE)-50))</f>
        <v>-</v>
      </c>
      <c r="U279" s="9">
        <f>IF(ISERROR(VLOOKUP($A279,'SegEnds_NonXtal_BW#'!$A:$Z,15,FALSE)+VLOOKUP($A279,A:AL,22,FALSE)-50),"-",VLOOKUP($A279,'SegEnds_NonXtal_BW#'!$A:$Z,15,FALSE)+VLOOKUP($A279,A:AL,22,FALSE)-50)</f>
        <v>182</v>
      </c>
      <c r="V279" s="3">
        <v>194</v>
      </c>
      <c r="W279" s="3">
        <f>IF(ISERROR(VLOOKUP($A279,'SegEnds_NonXtal_BW#'!$A:$Z,16,FALSE)+VLOOKUP($A279,A:AL,22,FALSE)-50),"-",(VLOOKUP($A279,'SegEnds_NonXtal_BW#'!$A:$Z,16,FALSE)+VLOOKUP($A279,A:AL,22,FALSE)-50))</f>
        <v>208</v>
      </c>
      <c r="X279" s="3">
        <f>IF(ISERROR(VLOOKUP($A279,'SegEnds_NonXtal_BW#'!$A:$Z,17,FALSE)+VLOOKUP($A279,A:AL,25,FALSE)-50),"-",(VLOOKUP($A279,'SegEnds_NonXtal_BW#'!$A:$Z,17,FALSE)+VLOOKUP($A279,A:AL,25,FALSE)-50))</f>
        <v>224</v>
      </c>
      <c r="Y279" s="3">
        <v>224</v>
      </c>
      <c r="Z279" s="3">
        <f t="shared" si="169"/>
        <v>226</v>
      </c>
      <c r="AA279" s="3">
        <f>IF(ISERROR(VLOOKUP($A279,'SegEnds_NonXtal_BW#'!$A:$Z,19,FALSE)+VLOOKUP($A279,A:AL,28,FALSE)-50),"-",(VLOOKUP($A279,'SegEnds_NonXtal_BW#'!$A:$Z,19,FALSE)+VLOOKUP($A279,A:AL,28,FALSE)-50))</f>
        <v>234</v>
      </c>
      <c r="AB279" s="3">
        <v>251</v>
      </c>
      <c r="AC279" s="3">
        <f>IF(ISERROR((VLOOKUP($A279,'SegEnds_NonXtal_BW#'!$A:$Z,20,FALSE)+VLOOKUP($A279,A:AL,28,FALSE)-50)),"-",(VLOOKUP($A279,'SegEnds_NonXtal_BW#'!$A:$Z,20,FALSE)+VLOOKUP($A279,A:AL,28,FALSE)-50))</f>
        <v>274</v>
      </c>
      <c r="AD279" s="3">
        <f>IF(ISERROR(VLOOKUP($A279,'SegEnds_NonXtal_BW#'!$A:$Z,21,FALSE)+VLOOKUP($A279,A:AL,31,FALSE)-50),"-",(VLOOKUP($A279,'SegEnds_NonXtal_BW#'!$A:$Z,21,FALSE)+VLOOKUP($A279,A:AL,31,FALSE)-50))</f>
        <v>279</v>
      </c>
      <c r="AE279" s="3">
        <v>307</v>
      </c>
      <c r="AF279" s="3">
        <f>IF(ISERROR((VLOOKUP($A279,'SegEnds_NonXtal_BW#'!$A:$Z,22,FALSE)+VLOOKUP($A279,A:AL,31,FALSE)-50)),"-",(VLOOKUP($A279,'SegEnds_NonXtal_BW#'!$A:$Z,22,FALSE)+VLOOKUP($A279,A:AL,31,FALSE)-50))</f>
        <v>318</v>
      </c>
      <c r="AG279" s="3">
        <f>IF(ISERROR(VLOOKUP($A279,'SegEnds_NonXtal_BW#'!$A:$Z,23,FALSE)+VLOOKUP($A279,A:AL,34,FALSE)-50),"-",(VLOOKUP($A279,'SegEnds_NonXtal_BW#'!$A:$Z,23,FALSE)+VLOOKUP($A279,A:AL,34,FALSE)-50))</f>
        <v>323</v>
      </c>
      <c r="AH279" s="3">
        <v>342</v>
      </c>
      <c r="AI279" s="3">
        <f>IF(ISERROR((VLOOKUP($A279,'SegEnds_NonXtal_BW#'!$A:$Z,24,FALSE)+VLOOKUP($A279,A:AL,34,FALSE)-50)),"-",(VLOOKUP($A279,'SegEnds_NonXtal_BW#'!$A:$Z,24,FALSE)+VLOOKUP($A279,A:AL,34,FALSE)-50))</f>
        <v>348</v>
      </c>
      <c r="AJ279" s="3">
        <f>IF(ISERROR(VLOOKUP($A279,'SegEnds_NonXtal_BW#'!$A:$Z,25,FALSE)+VLOOKUP($A279,A:AL,37,FALSE)-50),"-",(VLOOKUP($A279,'SegEnds_NonXtal_BW#'!$A:$Z,25,FALSE)+VLOOKUP($A279,A:AL,37,FALSE)-50))</f>
        <v>349</v>
      </c>
      <c r="AK279" s="3">
        <v>352</v>
      </c>
      <c r="AL279" s="3">
        <f>IF(ISERROR((VLOOKUP($A279,'SegEnds_NonXtal_BW#'!$A:$Z,26,FALSE)+VLOOKUP($A279,A:AL,37,FALSE)-50)),"-",(VLOOKUP($A279,'SegEnds_NonXtal_BW#'!$A:$Z,26,FALSE)+VLOOKUP($A279,A:AL,37,FALSE)-50))</f>
        <v>360</v>
      </c>
      <c r="AM279" s="28" t="str">
        <f>VLOOKUP(A279,Classification!A:B,2,FALSE)</f>
        <v>A</v>
      </c>
      <c r="AN279" s="28" t="b">
        <f t="shared" si="167"/>
        <v>1</v>
      </c>
      <c r="AO279" s="3" t="str">
        <f>IF(ISERROR(MATCH(A279,'SegEnds_Xtal_Prot#'!B:B, 0)), "NoXtal", "Xtal")</f>
        <v>NoXtal</v>
      </c>
      <c r="AP279" s="3">
        <f t="shared" si="152"/>
        <v>1</v>
      </c>
      <c r="AQ279" s="3">
        <f t="shared" si="153"/>
        <v>1</v>
      </c>
      <c r="AR279" s="3">
        <f t="shared" si="154"/>
        <v>1</v>
      </c>
      <c r="AS279" s="3">
        <f t="shared" si="155"/>
        <v>1</v>
      </c>
      <c r="AT279" s="3" t="str">
        <f t="shared" si="156"/>
        <v>-</v>
      </c>
      <c r="AU279" s="3" t="str">
        <f t="shared" si="157"/>
        <v>-</v>
      </c>
      <c r="AV279" s="3">
        <f t="shared" si="158"/>
        <v>16</v>
      </c>
      <c r="AW279" s="3">
        <f t="shared" si="159"/>
        <v>8</v>
      </c>
      <c r="AX279" s="3">
        <f t="shared" si="160"/>
        <v>5</v>
      </c>
      <c r="AY279" s="3">
        <f t="shared" si="161"/>
        <v>5</v>
      </c>
      <c r="AZ279" s="3">
        <f t="shared" si="162"/>
        <v>1</v>
      </c>
      <c r="BA279" s="3">
        <f>IF(ISERROR(LEN(VLOOKUP(A279,Seqs!A:E,2,FALSE))-AL279),"-",LEN(VLOOKUP(A279,Seqs!A:E,2,FALSE))-AL279)</f>
        <v>63</v>
      </c>
      <c r="BB279" s="16">
        <f t="shared" si="163"/>
        <v>28</v>
      </c>
      <c r="BC279" s="9" t="str">
        <f t="shared" si="164"/>
        <v>-</v>
      </c>
      <c r="BD279" s="3">
        <f t="shared" si="165"/>
        <v>28</v>
      </c>
      <c r="BE279" s="3">
        <f t="shared" si="166"/>
        <v>56</v>
      </c>
    </row>
    <row r="280" spans="1:58" s="3" customFormat="1" x14ac:dyDescent="0.2">
      <c r="A280" s="3" t="s">
        <v>314</v>
      </c>
      <c r="B280" s="3" t="str">
        <f>LOWER(VLOOKUP(A280,Xtal_Templ!A:B,2,FALSE))</f>
        <v>nk1r_human</v>
      </c>
      <c r="C280" s="3">
        <f>VLOOKUP($A280,'SegEnds_NonXtal_BW#'!$A:$Z,3,FALSE)+D280-50</f>
        <v>28</v>
      </c>
      <c r="D280" s="3">
        <v>50</v>
      </c>
      <c r="E280" s="3">
        <f>IF(ISERROR(VLOOKUP($A280,'SegEnds_NonXtal_BW#'!$A:$Z,4,FALSE)+VLOOKUP($A280,A:AL,4,FALSE)-50),"-",(VLOOKUP($A280,'SegEnds_NonXtal_BW#'!$A:$Z,4,FALSE)+VLOOKUP($A280,A:AL,4,FALSE)-50))</f>
        <v>60</v>
      </c>
      <c r="F280" s="3">
        <f t="shared" si="171"/>
        <v>61</v>
      </c>
      <c r="G280" s="3">
        <v>63</v>
      </c>
      <c r="H280" s="3">
        <f t="shared" si="172"/>
        <v>64</v>
      </c>
      <c r="I280" s="3">
        <f t="shared" si="172"/>
        <v>65</v>
      </c>
      <c r="J280" s="3">
        <v>78</v>
      </c>
      <c r="K280" s="3">
        <f>VLOOKUP($A280,'SegEnds_NonXtal_BW#'!$A:$Z,8,FALSE)+VLOOKUP($A280,A:AL,10,FALSE)-50</f>
        <v>96</v>
      </c>
      <c r="L280" s="3">
        <f t="shared" si="173"/>
        <v>97</v>
      </c>
      <c r="M280" s="3">
        <v>98</v>
      </c>
      <c r="N280" s="3">
        <f t="shared" si="174"/>
        <v>100</v>
      </c>
      <c r="O280" s="3">
        <f t="shared" si="175"/>
        <v>101</v>
      </c>
      <c r="P280" s="3">
        <v>130</v>
      </c>
      <c r="Q280" s="3">
        <f>VLOOKUP($A280,'SegEnds_NonXtal_BW#'!$A:$Z,12,FALSE)+VLOOKUP($A280,A:AL,16,FALSE)-50</f>
        <v>136</v>
      </c>
      <c r="R280" s="3" t="str">
        <f>IF(ISERROR(VLOOKUP($A280,'SegEnds_NonXtal_BW#'!$A:$Z,13,FALSE)+VLOOKUP($A280,A:AL,19,FALSE)-50),"-",VLOOKUP($A280,'SegEnds_NonXtal_BW#'!$A:$Z,13,FALSE)+VLOOKUP($A280,A:AL,19,FALSE)-50)</f>
        <v>-</v>
      </c>
      <c r="S280" s="3" t="s">
        <v>23</v>
      </c>
      <c r="T280" s="100" t="str">
        <f>IF(ISERROR(VLOOKUP($A280,'SegEnds_NonXtal_BW#'!$A:$Z,14,FALSE)+VLOOKUP($A280,A:AL,19,FALSE)-50),"-",(VLOOKUP($A280,'SegEnds_NonXtal_BW#'!$A:$Z,14,FALSE)+VLOOKUP($A280,A:AL,19,FALSE)-50))</f>
        <v>-</v>
      </c>
      <c r="U280" s="9">
        <f>IF(ISERROR(VLOOKUP($A280,'SegEnds_NonXtal_BW#'!$A:$Z,15,FALSE)+VLOOKUP($A280,A:AL,22,FALSE)-50),"-",VLOOKUP($A280,'SegEnds_NonXtal_BW#'!$A:$Z,15,FALSE)+VLOOKUP($A280,A:AL,22,FALSE)-50)</f>
        <v>143</v>
      </c>
      <c r="V280" s="3">
        <v>155</v>
      </c>
      <c r="W280" s="3">
        <f>IF(ISERROR(VLOOKUP($A280,'SegEnds_NonXtal_BW#'!$A:$Z,16,FALSE)+VLOOKUP($A280,A:AL,22,FALSE)-50),"-",(VLOOKUP($A280,'SegEnds_NonXtal_BW#'!$A:$Z,16,FALSE)+VLOOKUP($A280,A:AL,22,FALSE)-50))</f>
        <v>169</v>
      </c>
      <c r="X280" s="3">
        <f>IF(ISERROR(VLOOKUP($A280,'SegEnds_NonXtal_BW#'!$A:$Z,17,FALSE)+VLOOKUP($A280,A:AL,25,FALSE)-50),"-",(VLOOKUP($A280,'SegEnds_NonXtal_BW#'!$A:$Z,17,FALSE)+VLOOKUP($A280,A:AL,25,FALSE)-50))</f>
        <v>180</v>
      </c>
      <c r="Y280" s="3">
        <v>180</v>
      </c>
      <c r="Z280" s="3">
        <f t="shared" si="169"/>
        <v>182</v>
      </c>
      <c r="AA280" s="3">
        <f>IF(ISERROR(VLOOKUP($A280,'SegEnds_NonXtal_BW#'!$A:$Z,19,FALSE)+VLOOKUP($A280,A:AL,28,FALSE)-50),"-",(VLOOKUP($A280,'SegEnds_NonXtal_BW#'!$A:$Z,19,FALSE)+VLOOKUP($A280,A:AL,28,FALSE)-50))</f>
        <v>188</v>
      </c>
      <c r="AB280" s="3">
        <v>208</v>
      </c>
      <c r="AC280" s="3">
        <f>IF(ISERROR((VLOOKUP($A280,'SegEnds_NonXtal_BW#'!$A:$Z,20,FALSE)+VLOOKUP($A280,A:AL,28,FALSE)-50)),"-",(VLOOKUP($A280,'SegEnds_NonXtal_BW#'!$A:$Z,20,FALSE)+VLOOKUP($A280,A:AL,28,FALSE)-50))</f>
        <v>231</v>
      </c>
      <c r="AD280" s="3">
        <f>IF(ISERROR(VLOOKUP($A280,'SegEnds_NonXtal_BW#'!$A:$Z,21,FALSE)+VLOOKUP($A280,A:AL,31,FALSE)-50),"-",(VLOOKUP($A280,'SegEnds_NonXtal_BW#'!$A:$Z,21,FALSE)+VLOOKUP($A280,A:AL,31,FALSE)-50))</f>
        <v>235</v>
      </c>
      <c r="AE280" s="3">
        <v>263</v>
      </c>
      <c r="AF280" s="3">
        <f>IF(ISERROR((VLOOKUP($A280,'SegEnds_NonXtal_BW#'!$A:$Z,22,FALSE)+VLOOKUP($A280,A:AL,31,FALSE)-50)),"-",(VLOOKUP($A280,'SegEnds_NonXtal_BW#'!$A:$Z,22,FALSE)+VLOOKUP($A280,A:AL,31,FALSE)-50))</f>
        <v>274</v>
      </c>
      <c r="AG280" s="3">
        <f>IF(ISERROR(VLOOKUP($A280,'SegEnds_NonXtal_BW#'!$A:$Z,23,FALSE)+VLOOKUP($A280,A:AL,34,FALSE)-50),"-",(VLOOKUP($A280,'SegEnds_NonXtal_BW#'!$A:$Z,23,FALSE)+VLOOKUP($A280,A:AL,34,FALSE)-50))</f>
        <v>282</v>
      </c>
      <c r="AH280" s="3">
        <v>302</v>
      </c>
      <c r="AI280" s="3">
        <f>IF(ISERROR((VLOOKUP($A280,'SegEnds_NonXtal_BW#'!$A:$Z,24,FALSE)+VLOOKUP($A280,A:AL,34,FALSE)-50)),"-",(VLOOKUP($A280,'SegEnds_NonXtal_BW#'!$A:$Z,24,FALSE)+VLOOKUP($A280,A:AL,34,FALSE)-50))</f>
        <v>308</v>
      </c>
      <c r="AJ280" s="3">
        <f>IF(ISERROR(VLOOKUP($A280,'SegEnds_NonXtal_BW#'!$A:$Z,25,FALSE)+VLOOKUP($A280,A:AL,37,FALSE)-50),"-",(VLOOKUP($A280,'SegEnds_NonXtal_BW#'!$A:$Z,25,FALSE)+VLOOKUP($A280,A:AL,37,FALSE)-50))</f>
        <v>309</v>
      </c>
      <c r="AK280" s="3">
        <v>312</v>
      </c>
      <c r="AL280" s="3">
        <f>IF(ISERROR((VLOOKUP($A280,'SegEnds_NonXtal_BW#'!$A:$Z,26,FALSE)+VLOOKUP($A280,A:AL,37,FALSE)-50)),"-",(VLOOKUP($A280,'SegEnds_NonXtal_BW#'!$A:$Z,26,FALSE)+VLOOKUP($A280,A:AL,37,FALSE)-50))</f>
        <v>320</v>
      </c>
      <c r="AM280" s="28" t="str">
        <f>VLOOKUP(A280,Classification!A:B,2,FALSE)</f>
        <v>A</v>
      </c>
      <c r="AN280" s="28" t="b">
        <f t="shared" si="167"/>
        <v>1</v>
      </c>
      <c r="AO280" s="3" t="str">
        <f>IF(ISERROR(MATCH(A280,'SegEnds_Xtal_Prot#'!B:B, 0)), "NoXtal", "Xtal")</f>
        <v>Xtal</v>
      </c>
      <c r="AP280" s="3">
        <f t="shared" si="152"/>
        <v>1</v>
      </c>
      <c r="AQ280" s="3">
        <f t="shared" si="153"/>
        <v>1</v>
      </c>
      <c r="AR280" s="3">
        <f t="shared" si="154"/>
        <v>1</v>
      </c>
      <c r="AS280" s="3">
        <f t="shared" si="155"/>
        <v>1</v>
      </c>
      <c r="AT280" s="3" t="str">
        <f t="shared" si="156"/>
        <v>-</v>
      </c>
      <c r="AU280" s="3" t="str">
        <f t="shared" si="157"/>
        <v>-</v>
      </c>
      <c r="AV280" s="3">
        <f t="shared" si="158"/>
        <v>11</v>
      </c>
      <c r="AW280" s="3">
        <f t="shared" si="159"/>
        <v>6</v>
      </c>
      <c r="AX280" s="3">
        <f t="shared" si="160"/>
        <v>4</v>
      </c>
      <c r="AY280" s="3">
        <f t="shared" si="161"/>
        <v>8</v>
      </c>
      <c r="AZ280" s="3">
        <f t="shared" si="162"/>
        <v>1</v>
      </c>
      <c r="BA280" s="3">
        <f>IF(ISERROR(LEN(VLOOKUP(A280,Seqs!A:E,2,FALSE))-AL280),"-",LEN(VLOOKUP(A280,Seqs!A:E,2,FALSE))-AL280)</f>
        <v>87</v>
      </c>
      <c r="BB280" s="16">
        <f t="shared" si="163"/>
        <v>28</v>
      </c>
      <c r="BC280" s="9" t="str">
        <f t="shared" si="164"/>
        <v>-</v>
      </c>
      <c r="BD280" s="3">
        <f t="shared" si="165"/>
        <v>28</v>
      </c>
      <c r="BE280" s="3">
        <f t="shared" si="166"/>
        <v>55</v>
      </c>
    </row>
    <row r="281" spans="1:58" s="3" customFormat="1" x14ac:dyDescent="0.2">
      <c r="A281" s="3" t="s">
        <v>315</v>
      </c>
      <c r="B281" s="3" t="str">
        <f>LOWER(VLOOKUP(A281,Xtal_Templ!A:B,2,FALSE))</f>
        <v>nk1r_human</v>
      </c>
      <c r="C281" s="3">
        <f>VLOOKUP($A281,'SegEnds_NonXtal_BW#'!$A:$Z,3,FALSE)+D281-50</f>
        <v>29</v>
      </c>
      <c r="D281" s="3">
        <v>51</v>
      </c>
      <c r="E281" s="3">
        <f>IF(ISERROR(VLOOKUP($A281,'SegEnds_NonXtal_BW#'!$A:$Z,4,FALSE)+VLOOKUP($A281,A:AL,4,FALSE)-50),"-",(VLOOKUP($A281,'SegEnds_NonXtal_BW#'!$A:$Z,4,FALSE)+VLOOKUP($A281,A:AL,4,FALSE)-50))</f>
        <v>61</v>
      </c>
      <c r="F281" s="3">
        <f t="shared" si="171"/>
        <v>62</v>
      </c>
      <c r="G281" s="3">
        <v>64</v>
      </c>
      <c r="H281" s="3">
        <f t="shared" si="172"/>
        <v>65</v>
      </c>
      <c r="I281" s="3">
        <f t="shared" si="172"/>
        <v>66</v>
      </c>
      <c r="J281" s="3">
        <v>79</v>
      </c>
      <c r="K281" s="3">
        <f>VLOOKUP($A281,'SegEnds_NonXtal_BW#'!$A:$Z,8,FALSE)+VLOOKUP($A281,A:AL,10,FALSE)-50</f>
        <v>97</v>
      </c>
      <c r="L281" s="3">
        <f t="shared" si="173"/>
        <v>98</v>
      </c>
      <c r="M281" s="3">
        <v>99</v>
      </c>
      <c r="N281" s="3">
        <f t="shared" si="174"/>
        <v>101</v>
      </c>
      <c r="O281" s="3">
        <f t="shared" si="175"/>
        <v>102</v>
      </c>
      <c r="P281" s="3">
        <v>131</v>
      </c>
      <c r="Q281" s="3">
        <f>VLOOKUP($A281,'SegEnds_NonXtal_BW#'!$A:$Z,12,FALSE)+VLOOKUP($A281,A:AL,16,FALSE)-50</f>
        <v>137</v>
      </c>
      <c r="R281" s="3" t="str">
        <f>IF(ISERROR(VLOOKUP($A281,'SegEnds_NonXtal_BW#'!$A:$Z,13,FALSE)+VLOOKUP($A281,A:AL,19,FALSE)-50),"-",VLOOKUP($A281,'SegEnds_NonXtal_BW#'!$A:$Z,13,FALSE)+VLOOKUP($A281,A:AL,19,FALSE)-50)</f>
        <v>-</v>
      </c>
      <c r="S281" s="3" t="s">
        <v>23</v>
      </c>
      <c r="T281" s="100" t="str">
        <f>IF(ISERROR(VLOOKUP($A281,'SegEnds_NonXtal_BW#'!$A:$Z,14,FALSE)+VLOOKUP($A281,A:AL,19,FALSE)-50),"-",(VLOOKUP($A281,'SegEnds_NonXtal_BW#'!$A:$Z,14,FALSE)+VLOOKUP($A281,A:AL,19,FALSE)-50))</f>
        <v>-</v>
      </c>
      <c r="U281" s="9">
        <f>IF(ISERROR(VLOOKUP($A281,'SegEnds_NonXtal_BW#'!$A:$Z,15,FALSE)+VLOOKUP($A281,A:AL,22,FALSE)-50),"-",VLOOKUP($A281,'SegEnds_NonXtal_BW#'!$A:$Z,15,FALSE)+VLOOKUP($A281,A:AL,22,FALSE)-50)</f>
        <v>144</v>
      </c>
      <c r="V281" s="3">
        <v>156</v>
      </c>
      <c r="W281" s="3">
        <f>IF(ISERROR(VLOOKUP($A281,'SegEnds_NonXtal_BW#'!$A:$Z,16,FALSE)+VLOOKUP($A281,A:AL,22,FALSE)-50),"-",(VLOOKUP($A281,'SegEnds_NonXtal_BW#'!$A:$Z,16,FALSE)+VLOOKUP($A281,A:AL,22,FALSE)-50))</f>
        <v>170</v>
      </c>
      <c r="X281" s="3">
        <f>IF(ISERROR(VLOOKUP($A281,'SegEnds_NonXtal_BW#'!$A:$Z,17,FALSE)+VLOOKUP($A281,A:AL,25,FALSE)-50),"-",(VLOOKUP($A281,'SegEnds_NonXtal_BW#'!$A:$Z,17,FALSE)+VLOOKUP($A281,A:AL,25,FALSE)-50))</f>
        <v>181</v>
      </c>
      <c r="Y281" s="3">
        <v>181</v>
      </c>
      <c r="Z281" s="3">
        <f t="shared" si="169"/>
        <v>183</v>
      </c>
      <c r="AA281" s="3">
        <f>IF(ISERROR(VLOOKUP($A281,'SegEnds_NonXtal_BW#'!$A:$Z,19,FALSE)+VLOOKUP($A281,A:AL,28,FALSE)-50),"-",(VLOOKUP($A281,'SegEnds_NonXtal_BW#'!$A:$Z,19,FALSE)+VLOOKUP($A281,A:AL,28,FALSE)-50))</f>
        <v>189</v>
      </c>
      <c r="AB281" s="3">
        <v>209</v>
      </c>
      <c r="AC281" s="3">
        <f>IF(ISERROR((VLOOKUP($A281,'SegEnds_NonXtal_BW#'!$A:$Z,20,FALSE)+VLOOKUP($A281,A:AL,28,FALSE)-50)),"-",(VLOOKUP($A281,'SegEnds_NonXtal_BW#'!$A:$Z,20,FALSE)+VLOOKUP($A281,A:AL,28,FALSE)-50))</f>
        <v>232</v>
      </c>
      <c r="AD281" s="3">
        <f>IF(ISERROR(VLOOKUP($A281,'SegEnds_NonXtal_BW#'!$A:$Z,21,FALSE)+VLOOKUP($A281,A:AL,31,FALSE)-50),"-",(VLOOKUP($A281,'SegEnds_NonXtal_BW#'!$A:$Z,21,FALSE)+VLOOKUP($A281,A:AL,31,FALSE)-50))</f>
        <v>237</v>
      </c>
      <c r="AE281" s="3">
        <v>265</v>
      </c>
      <c r="AF281" s="3">
        <f>IF(ISERROR((VLOOKUP($A281,'SegEnds_NonXtal_BW#'!$A:$Z,22,FALSE)+VLOOKUP($A281,A:AL,31,FALSE)-50)),"-",(VLOOKUP($A281,'SegEnds_NonXtal_BW#'!$A:$Z,22,FALSE)+VLOOKUP($A281,A:AL,31,FALSE)-50))</f>
        <v>276</v>
      </c>
      <c r="AG281" s="3">
        <f>IF(ISERROR(VLOOKUP($A281,'SegEnds_NonXtal_BW#'!$A:$Z,23,FALSE)+VLOOKUP($A281,A:AL,34,FALSE)-50),"-",(VLOOKUP($A281,'SegEnds_NonXtal_BW#'!$A:$Z,23,FALSE)+VLOOKUP($A281,A:AL,34,FALSE)-50))</f>
        <v>284</v>
      </c>
      <c r="AH281" s="3">
        <v>304</v>
      </c>
      <c r="AI281" s="3">
        <f>IF(ISERROR((VLOOKUP($A281,'SegEnds_NonXtal_BW#'!$A:$Z,24,FALSE)+VLOOKUP($A281,A:AL,34,FALSE)-50)),"-",(VLOOKUP($A281,'SegEnds_NonXtal_BW#'!$A:$Z,24,FALSE)+VLOOKUP($A281,A:AL,34,FALSE)-50))</f>
        <v>310</v>
      </c>
      <c r="AJ281" s="3">
        <f>IF(ISERROR(VLOOKUP($A281,'SegEnds_NonXtal_BW#'!$A:$Z,25,FALSE)+VLOOKUP($A281,A:AL,37,FALSE)-50),"-",(VLOOKUP($A281,'SegEnds_NonXtal_BW#'!$A:$Z,25,FALSE)+VLOOKUP($A281,A:AL,37,FALSE)-50))</f>
        <v>311</v>
      </c>
      <c r="AK281" s="3">
        <v>314</v>
      </c>
      <c r="AL281" s="3">
        <f>IF(ISERROR((VLOOKUP($A281,'SegEnds_NonXtal_BW#'!$A:$Z,26,FALSE)+VLOOKUP($A281,A:AL,37,FALSE)-50)),"-",(VLOOKUP($A281,'SegEnds_NonXtal_BW#'!$A:$Z,26,FALSE)+VLOOKUP($A281,A:AL,37,FALSE)-50))</f>
        <v>322</v>
      </c>
      <c r="AM281" s="28" t="str">
        <f>VLOOKUP(A281,Classification!A:B,2,FALSE)</f>
        <v>A</v>
      </c>
      <c r="AN281" s="28" t="b">
        <f t="shared" si="167"/>
        <v>1</v>
      </c>
      <c r="AO281" s="3" t="str">
        <f>IF(ISERROR(MATCH(A281,'SegEnds_Xtal_Prot#'!B:B, 0)), "NoXtal", "Xtal")</f>
        <v>NoXtal</v>
      </c>
      <c r="AP281" s="3">
        <f t="shared" si="152"/>
        <v>1</v>
      </c>
      <c r="AQ281" s="3">
        <f t="shared" si="153"/>
        <v>1</v>
      </c>
      <c r="AR281" s="3">
        <f t="shared" si="154"/>
        <v>1</v>
      </c>
      <c r="AS281" s="3">
        <f t="shared" si="155"/>
        <v>1</v>
      </c>
      <c r="AT281" s="3" t="str">
        <f t="shared" si="156"/>
        <v>-</v>
      </c>
      <c r="AU281" s="3" t="str">
        <f t="shared" si="157"/>
        <v>-</v>
      </c>
      <c r="AV281" s="3">
        <f t="shared" si="158"/>
        <v>11</v>
      </c>
      <c r="AW281" s="3">
        <f t="shared" si="159"/>
        <v>6</v>
      </c>
      <c r="AX281" s="3">
        <f t="shared" si="160"/>
        <v>5</v>
      </c>
      <c r="AY281" s="3">
        <f t="shared" si="161"/>
        <v>8</v>
      </c>
      <c r="AZ281" s="3">
        <f t="shared" si="162"/>
        <v>1</v>
      </c>
      <c r="BA281" s="3">
        <f>IF(ISERROR(LEN(VLOOKUP(A281,Seqs!A:E,2,FALSE))-AL281),"-",LEN(VLOOKUP(A281,Seqs!A:E,2,FALSE))-AL281)</f>
        <v>76</v>
      </c>
      <c r="BB281" s="16">
        <f t="shared" si="163"/>
        <v>28</v>
      </c>
      <c r="BC281" s="9" t="str">
        <f t="shared" si="164"/>
        <v>-</v>
      </c>
      <c r="BD281" s="3">
        <f t="shared" si="165"/>
        <v>28</v>
      </c>
      <c r="BE281" s="3">
        <f t="shared" si="166"/>
        <v>56</v>
      </c>
    </row>
    <row r="282" spans="1:58" s="3" customFormat="1" x14ac:dyDescent="0.2">
      <c r="A282" s="3" t="s">
        <v>316</v>
      </c>
      <c r="B282" s="3" t="str">
        <f>LOWER(VLOOKUP(A282,Xtal_Templ!A:B,2,FALSE))</f>
        <v>nk1r_human</v>
      </c>
      <c r="C282" s="3">
        <f>VLOOKUP($A282,'SegEnds_NonXtal_BW#'!$A:$Z,3,FALSE)+D282-50</f>
        <v>81</v>
      </c>
      <c r="D282" s="3">
        <v>103</v>
      </c>
      <c r="E282" s="3">
        <f>IF(ISERROR(VLOOKUP($A282,'SegEnds_NonXtal_BW#'!$A:$Z,4,FALSE)+VLOOKUP($A282,A:AL,4,FALSE)-50),"-",(VLOOKUP($A282,'SegEnds_NonXtal_BW#'!$A:$Z,4,FALSE)+VLOOKUP($A282,A:AL,4,FALSE)-50))</f>
        <v>113</v>
      </c>
      <c r="F282" s="3">
        <f t="shared" si="171"/>
        <v>114</v>
      </c>
      <c r="G282" s="3">
        <v>116</v>
      </c>
      <c r="H282" s="3">
        <f t="shared" si="172"/>
        <v>117</v>
      </c>
      <c r="I282" s="3">
        <f t="shared" si="172"/>
        <v>118</v>
      </c>
      <c r="J282" s="3">
        <v>131</v>
      </c>
      <c r="K282" s="3">
        <f>VLOOKUP($A282,'SegEnds_NonXtal_BW#'!$A:$Z,8,FALSE)+VLOOKUP($A282,A:AL,10,FALSE)-50</f>
        <v>149</v>
      </c>
      <c r="L282" s="3">
        <f t="shared" si="173"/>
        <v>150</v>
      </c>
      <c r="M282" s="3">
        <v>151</v>
      </c>
      <c r="N282" s="3">
        <f t="shared" si="174"/>
        <v>153</v>
      </c>
      <c r="O282" s="3">
        <f t="shared" si="175"/>
        <v>154</v>
      </c>
      <c r="P282" s="3">
        <v>183</v>
      </c>
      <c r="Q282" s="3">
        <f>VLOOKUP($A282,'SegEnds_NonXtal_BW#'!$A:$Z,12,FALSE)+VLOOKUP($A282,A:AL,16,FALSE)-50</f>
        <v>189</v>
      </c>
      <c r="R282" s="3" t="str">
        <f>IF(ISERROR(VLOOKUP($A282,'SegEnds_NonXtal_BW#'!$A:$Z,13,FALSE)+VLOOKUP($A282,A:AL,19,FALSE)-50),"-",VLOOKUP($A282,'SegEnds_NonXtal_BW#'!$A:$Z,13,FALSE)+VLOOKUP($A282,A:AL,19,FALSE)-50)</f>
        <v>-</v>
      </c>
      <c r="S282" s="3" t="s">
        <v>23</v>
      </c>
      <c r="T282" s="100" t="str">
        <f>IF(ISERROR(VLOOKUP($A282,'SegEnds_NonXtal_BW#'!$A:$Z,14,FALSE)+VLOOKUP($A282,A:AL,19,FALSE)-50),"-",(VLOOKUP($A282,'SegEnds_NonXtal_BW#'!$A:$Z,14,FALSE)+VLOOKUP($A282,A:AL,19,FALSE)-50))</f>
        <v>-</v>
      </c>
      <c r="U282" s="9">
        <f>IF(ISERROR(VLOOKUP($A282,'SegEnds_NonXtal_BW#'!$A:$Z,15,FALSE)+VLOOKUP($A282,A:AL,22,FALSE)-50),"-",VLOOKUP($A282,'SegEnds_NonXtal_BW#'!$A:$Z,15,FALSE)+VLOOKUP($A282,A:AL,22,FALSE)-50)</f>
        <v>196</v>
      </c>
      <c r="V282" s="3">
        <v>208</v>
      </c>
      <c r="W282" s="3">
        <f>IF(ISERROR(VLOOKUP($A282,'SegEnds_NonXtal_BW#'!$A:$Z,16,FALSE)+VLOOKUP($A282,A:AL,22,FALSE)-50),"-",(VLOOKUP($A282,'SegEnds_NonXtal_BW#'!$A:$Z,16,FALSE)+VLOOKUP($A282,A:AL,22,FALSE)-50))</f>
        <v>222</v>
      </c>
      <c r="X282" s="3">
        <f>IF(ISERROR(VLOOKUP($A282,'SegEnds_NonXtal_BW#'!$A:$Z,17,FALSE)+VLOOKUP($A282,A:AL,25,FALSE)-50),"-",(VLOOKUP($A282,'SegEnds_NonXtal_BW#'!$A:$Z,17,FALSE)+VLOOKUP($A282,A:AL,25,FALSE)-50))</f>
        <v>233</v>
      </c>
      <c r="Y282" s="3">
        <v>233</v>
      </c>
      <c r="Z282" s="3">
        <f t="shared" si="169"/>
        <v>235</v>
      </c>
      <c r="AA282" s="3">
        <f>IF(ISERROR(VLOOKUP($A282,'SegEnds_NonXtal_BW#'!$A:$Z,19,FALSE)+VLOOKUP($A282,A:AL,28,FALSE)-50),"-",(VLOOKUP($A282,'SegEnds_NonXtal_BW#'!$A:$Z,19,FALSE)+VLOOKUP($A282,A:AL,28,FALSE)-50))</f>
        <v>239</v>
      </c>
      <c r="AB282" s="3">
        <v>259</v>
      </c>
      <c r="AC282" s="3">
        <f>IF(ISERROR((VLOOKUP($A282,'SegEnds_NonXtal_BW#'!$A:$Z,20,FALSE)+VLOOKUP($A282,A:AL,28,FALSE)-50)),"-",(VLOOKUP($A282,'SegEnds_NonXtal_BW#'!$A:$Z,20,FALSE)+VLOOKUP($A282,A:AL,28,FALSE)-50))</f>
        <v>282</v>
      </c>
      <c r="AD282" s="3">
        <f>IF(ISERROR(VLOOKUP($A282,'SegEnds_NonXtal_BW#'!$A:$Z,21,FALSE)+VLOOKUP($A282,A:AL,31,FALSE)-50),"-",(VLOOKUP($A282,'SegEnds_NonXtal_BW#'!$A:$Z,21,FALSE)+VLOOKUP($A282,A:AL,31,FALSE)-50))</f>
        <v>286</v>
      </c>
      <c r="AE282" s="3">
        <v>314</v>
      </c>
      <c r="AF282" s="3">
        <f>IF(ISERROR((VLOOKUP($A282,'SegEnds_NonXtal_BW#'!$A:$Z,22,FALSE)+VLOOKUP($A282,A:AL,31,FALSE)-50)),"-",(VLOOKUP($A282,'SegEnds_NonXtal_BW#'!$A:$Z,22,FALSE)+VLOOKUP($A282,A:AL,31,FALSE)-50))</f>
        <v>325</v>
      </c>
      <c r="AG282" s="3">
        <f>IF(ISERROR(VLOOKUP($A282,'SegEnds_NonXtal_BW#'!$A:$Z,23,FALSE)+VLOOKUP($A282,A:AL,34,FALSE)-50),"-",(VLOOKUP($A282,'SegEnds_NonXtal_BW#'!$A:$Z,23,FALSE)+VLOOKUP($A282,A:AL,34,FALSE)-50))</f>
        <v>333</v>
      </c>
      <c r="AH282" s="3">
        <v>353</v>
      </c>
      <c r="AI282" s="3">
        <f>IF(ISERROR((VLOOKUP($A282,'SegEnds_NonXtal_BW#'!$A:$Z,24,FALSE)+VLOOKUP($A282,A:AL,34,FALSE)-50)),"-",(VLOOKUP($A282,'SegEnds_NonXtal_BW#'!$A:$Z,24,FALSE)+VLOOKUP($A282,A:AL,34,FALSE)-50))</f>
        <v>359</v>
      </c>
      <c r="AJ282" s="3">
        <f>IF(ISERROR(VLOOKUP($A282,'SegEnds_NonXtal_BW#'!$A:$Z,25,FALSE)+VLOOKUP($A282,A:AL,37,FALSE)-50),"-",(VLOOKUP($A282,'SegEnds_NonXtal_BW#'!$A:$Z,25,FALSE)+VLOOKUP($A282,A:AL,37,FALSE)-50))</f>
        <v>360</v>
      </c>
      <c r="AK282" s="3">
        <v>363</v>
      </c>
      <c r="AL282" s="3">
        <f>IF(ISERROR((VLOOKUP($A282,'SegEnds_NonXtal_BW#'!$A:$Z,26,FALSE)+VLOOKUP($A282,A:AL,37,FALSE)-50)),"-",(VLOOKUP($A282,'SegEnds_NonXtal_BW#'!$A:$Z,26,FALSE)+VLOOKUP($A282,A:AL,37,FALSE)-50))</f>
        <v>371</v>
      </c>
      <c r="AM282" s="28" t="str">
        <f>VLOOKUP(A282,Classification!A:B,2,FALSE)</f>
        <v>A</v>
      </c>
      <c r="AN282" s="28" t="b">
        <f t="shared" si="167"/>
        <v>1</v>
      </c>
      <c r="AO282" s="3" t="str">
        <f>IF(ISERROR(MATCH(A282,'SegEnds_Xtal_Prot#'!B:B, 0)), "NoXtal", "Xtal")</f>
        <v>NoXtal</v>
      </c>
      <c r="AP282" s="3">
        <f t="shared" si="152"/>
        <v>1</v>
      </c>
      <c r="AQ282" s="3">
        <f t="shared" si="153"/>
        <v>1</v>
      </c>
      <c r="AR282" s="3">
        <f t="shared" si="154"/>
        <v>1</v>
      </c>
      <c r="AS282" s="3">
        <f t="shared" si="155"/>
        <v>1</v>
      </c>
      <c r="AT282" s="3" t="str">
        <f t="shared" si="156"/>
        <v>-</v>
      </c>
      <c r="AU282" s="3" t="str">
        <f t="shared" si="157"/>
        <v>-</v>
      </c>
      <c r="AV282" s="3">
        <f t="shared" si="158"/>
        <v>11</v>
      </c>
      <c r="AW282" s="3">
        <f t="shared" si="159"/>
        <v>4</v>
      </c>
      <c r="AX282" s="3">
        <f t="shared" si="160"/>
        <v>4</v>
      </c>
      <c r="AY282" s="3">
        <f t="shared" si="161"/>
        <v>8</v>
      </c>
      <c r="AZ282" s="3">
        <f t="shared" si="162"/>
        <v>1</v>
      </c>
      <c r="BA282" s="3">
        <f>IF(ISERROR(LEN(VLOOKUP(A282,Seqs!A:E,2,FALSE))-AL282),"-",LEN(VLOOKUP(A282,Seqs!A:E,2,FALSE))-AL282)</f>
        <v>94</v>
      </c>
      <c r="BB282" s="16">
        <f t="shared" si="163"/>
        <v>28</v>
      </c>
      <c r="BC282" s="9" t="str">
        <f t="shared" si="164"/>
        <v>-</v>
      </c>
      <c r="BD282" s="3">
        <f t="shared" si="165"/>
        <v>28</v>
      </c>
      <c r="BE282" s="3">
        <f t="shared" si="166"/>
        <v>55</v>
      </c>
    </row>
    <row r="283" spans="1:58" s="3" customFormat="1" x14ac:dyDescent="0.2">
      <c r="A283" s="3" t="s">
        <v>320</v>
      </c>
      <c r="B283" s="3" t="str">
        <f>LOWER(VLOOKUP(A283,Xtal_Templ!A:B,2,FALSE))</f>
        <v>oprd_mouse</v>
      </c>
      <c r="C283" s="3">
        <f>VLOOKUP($A283,'SegEnds_NonXtal_BW#'!$A:$Z,3,FALSE)+D283-50</f>
        <v>29</v>
      </c>
      <c r="D283" s="3">
        <v>55</v>
      </c>
      <c r="E283" s="3">
        <f>IF(ISERROR(VLOOKUP($A283,'SegEnds_NonXtal_BW#'!$A:$Z,4,FALSE)+VLOOKUP($A283,A:AL,4,FALSE)-50),"-",(VLOOKUP($A283,'SegEnds_NonXtal_BW#'!$A:$Z,4,FALSE)+VLOOKUP($A283,A:AL,4,FALSE)-50))</f>
        <v>65</v>
      </c>
      <c r="F283" s="3">
        <f t="shared" si="171"/>
        <v>66</v>
      </c>
      <c r="G283" s="3">
        <v>68</v>
      </c>
      <c r="H283" s="3">
        <f t="shared" si="172"/>
        <v>69</v>
      </c>
      <c r="I283" s="3">
        <f t="shared" si="172"/>
        <v>70</v>
      </c>
      <c r="J283" s="3">
        <v>83</v>
      </c>
      <c r="K283" s="3">
        <f>VLOOKUP($A283,'SegEnds_NonXtal_BW#'!$A:$Z,8,FALSE)+VLOOKUP($A283,A:AL,10,FALSE)-50</f>
        <v>99</v>
      </c>
      <c r="L283" s="3">
        <f t="shared" si="173"/>
        <v>101</v>
      </c>
      <c r="M283" s="3">
        <v>102</v>
      </c>
      <c r="N283" s="3">
        <f t="shared" si="174"/>
        <v>104</v>
      </c>
      <c r="O283" s="3">
        <f t="shared" si="175"/>
        <v>105</v>
      </c>
      <c r="P283" s="3">
        <v>134</v>
      </c>
      <c r="Q283" s="3">
        <f>VLOOKUP($A283,'SegEnds_NonXtal_BW#'!$A:$Z,12,FALSE)+VLOOKUP($A283,A:AL,16,FALSE)-50</f>
        <v>140</v>
      </c>
      <c r="R283" s="3" t="str">
        <f>IF(ISERROR(VLOOKUP($A283,'SegEnds_NonXtal_BW#'!$A:$Z,13,FALSE)+VLOOKUP($A283,A:AL,19,FALSE)-50),"-",VLOOKUP($A283,'SegEnds_NonXtal_BW#'!$A:$Z,13,FALSE)+VLOOKUP($A283,A:AL,19,FALSE)-50)</f>
        <v>-</v>
      </c>
      <c r="S283" s="3" t="s">
        <v>23</v>
      </c>
      <c r="T283" s="100" t="str">
        <f>IF(ISERROR(VLOOKUP($A283,'SegEnds_NonXtal_BW#'!$A:$Z,14,FALSE)+VLOOKUP($A283,A:AL,19,FALSE)-50),"-",(VLOOKUP($A283,'SegEnds_NonXtal_BW#'!$A:$Z,14,FALSE)+VLOOKUP($A283,A:AL,19,FALSE)-50))</f>
        <v>-</v>
      </c>
      <c r="U283" s="9">
        <f>IF(ISERROR(VLOOKUP($A283,'SegEnds_NonXtal_BW#'!$A:$Z,15,FALSE)+VLOOKUP($A283,A:AL,22,FALSE)-50),"-",VLOOKUP($A283,'SegEnds_NonXtal_BW#'!$A:$Z,15,FALSE)+VLOOKUP($A283,A:AL,22,FALSE)-50)</f>
        <v>151</v>
      </c>
      <c r="V283" s="3">
        <v>163</v>
      </c>
      <c r="W283" s="3">
        <f>IF(ISERROR(VLOOKUP($A283,'SegEnds_NonXtal_BW#'!$A:$Z,16,FALSE)+VLOOKUP($A283,A:AL,22,FALSE)-50),"-",(VLOOKUP($A283,'SegEnds_NonXtal_BW#'!$A:$Z,16,FALSE)+VLOOKUP($A283,A:AL,22,FALSE)-50))</f>
        <v>177</v>
      </c>
      <c r="X283" s="3">
        <f>IF(ISERROR(VLOOKUP($A283,'SegEnds_NonXtal_BW#'!$A:$Z,17,FALSE)+VLOOKUP($A283,A:AL,25,FALSE)-50),"-",(VLOOKUP($A283,'SegEnds_NonXtal_BW#'!$A:$Z,17,FALSE)+VLOOKUP($A283,A:AL,25,FALSE)-50))</f>
        <v>188</v>
      </c>
      <c r="Y283" s="3">
        <v>188</v>
      </c>
      <c r="Z283" s="3">
        <f t="shared" si="169"/>
        <v>190</v>
      </c>
      <c r="AA283" s="3">
        <f>IF(ISERROR(VLOOKUP($A283,'SegEnds_NonXtal_BW#'!$A:$Z,19,FALSE)+VLOOKUP($A283,A:AL,28,FALSE)-50),"-",(VLOOKUP($A283,'SegEnds_NonXtal_BW#'!$A:$Z,19,FALSE)+VLOOKUP($A283,A:AL,28,FALSE)-50))</f>
        <v>196</v>
      </c>
      <c r="AB283" s="3">
        <v>215</v>
      </c>
      <c r="AC283" s="3">
        <f>IF(ISERROR((VLOOKUP($A283,'SegEnds_NonXtal_BW#'!$A:$Z,20,FALSE)+VLOOKUP($A283,A:AL,28,FALSE)-50)),"-",(VLOOKUP($A283,'SegEnds_NonXtal_BW#'!$A:$Z,20,FALSE)+VLOOKUP($A283,A:AL,28,FALSE)-50))</f>
        <v>233</v>
      </c>
      <c r="AD283" s="3">
        <f>IF(ISERROR(VLOOKUP($A283,'SegEnds_NonXtal_BW#'!$A:$Z,21,FALSE)+VLOOKUP($A283,A:AL,31,FALSE)-50),"-",(VLOOKUP($A283,'SegEnds_NonXtal_BW#'!$A:$Z,21,FALSE)+VLOOKUP($A283,A:AL,31,FALSE)-50))</f>
        <v>239</v>
      </c>
      <c r="AE283" s="3">
        <v>266</v>
      </c>
      <c r="AF283" s="3">
        <f>IF(ISERROR((VLOOKUP($A283,'SegEnds_NonXtal_BW#'!$A:$Z,22,FALSE)+VLOOKUP($A283,A:AL,31,FALSE)-50)),"-",(VLOOKUP($A283,'SegEnds_NonXtal_BW#'!$A:$Z,22,FALSE)+VLOOKUP($A283,A:AL,31,FALSE)-50))</f>
        <v>277</v>
      </c>
      <c r="AG283" s="3">
        <f>IF(ISERROR(VLOOKUP($A283,'SegEnds_NonXtal_BW#'!$A:$Z,23,FALSE)+VLOOKUP($A283,A:AL,34,FALSE)-50),"-",(VLOOKUP($A283,'SegEnds_NonXtal_BW#'!$A:$Z,23,FALSE)+VLOOKUP($A283,A:AL,34,FALSE)-50))</f>
        <v>282</v>
      </c>
      <c r="AH283" s="3">
        <v>304</v>
      </c>
      <c r="AI283" s="3">
        <f>IF(ISERROR((VLOOKUP($A283,'SegEnds_NonXtal_BW#'!$A:$Z,24,FALSE)+VLOOKUP($A283,A:AL,34,FALSE)-50)),"-",(VLOOKUP($A283,'SegEnds_NonXtal_BW#'!$A:$Z,24,FALSE)+VLOOKUP($A283,A:AL,34,FALSE)-50))</f>
        <v>310</v>
      </c>
      <c r="AJ283" s="3">
        <f>IF(ISERROR(VLOOKUP($A283,'SegEnds_NonXtal_BW#'!$A:$Z,25,FALSE)+VLOOKUP($A283,A:AL,37,FALSE)-50),"-",(VLOOKUP($A283,'SegEnds_NonXtal_BW#'!$A:$Z,25,FALSE)+VLOOKUP($A283,A:AL,37,FALSE)-50))</f>
        <v>311</v>
      </c>
      <c r="AK283" s="3">
        <v>314</v>
      </c>
      <c r="AL283" s="3">
        <f>IF(ISERROR((VLOOKUP($A283,'SegEnds_NonXtal_BW#'!$A:$Z,26,FALSE)+VLOOKUP($A283,A:AL,37,FALSE)-50)),"-",(VLOOKUP($A283,'SegEnds_NonXtal_BW#'!$A:$Z,26,FALSE)+VLOOKUP($A283,A:AL,37,FALSE)-50))</f>
        <v>324</v>
      </c>
      <c r="AM283" s="28" t="str">
        <f>VLOOKUP(A283,Classification!A:B,2,FALSE)</f>
        <v>A</v>
      </c>
      <c r="AN283" s="28" t="b">
        <f t="shared" si="167"/>
        <v>1</v>
      </c>
      <c r="AO283" s="3" t="str">
        <f>IF(ISERROR(MATCH(A283,'SegEnds_Xtal_Prot#'!B:B, 0)), "NoXtal", "Xtal")</f>
        <v>NoXtal</v>
      </c>
      <c r="AP283" s="3">
        <f t="shared" si="152"/>
        <v>1</v>
      </c>
      <c r="AQ283" s="3">
        <f t="shared" si="153"/>
        <v>1</v>
      </c>
      <c r="AR283" s="3">
        <f t="shared" si="154"/>
        <v>2</v>
      </c>
      <c r="AS283" s="3">
        <f t="shared" si="155"/>
        <v>1</v>
      </c>
      <c r="AT283" s="3" t="str">
        <f t="shared" si="156"/>
        <v>-</v>
      </c>
      <c r="AU283" s="3" t="str">
        <f t="shared" si="157"/>
        <v>-</v>
      </c>
      <c r="AV283" s="3">
        <f t="shared" si="158"/>
        <v>11</v>
      </c>
      <c r="AW283" s="3">
        <f t="shared" si="159"/>
        <v>6</v>
      </c>
      <c r="AX283" s="3">
        <f t="shared" si="160"/>
        <v>6</v>
      </c>
      <c r="AY283" s="3">
        <f t="shared" si="161"/>
        <v>5</v>
      </c>
      <c r="AZ283" s="3">
        <f t="shared" si="162"/>
        <v>1</v>
      </c>
      <c r="BA283" s="3">
        <f>IF(ISERROR(LEN(VLOOKUP(A283,Seqs!A:E,2,FALSE))-AL283),"-",LEN(VLOOKUP(A283,Seqs!A:E,2,FALSE))-AL283)</f>
        <v>4</v>
      </c>
      <c r="BB283" s="16">
        <f t="shared" si="163"/>
        <v>28</v>
      </c>
      <c r="BC283" s="9" t="str">
        <f t="shared" si="164"/>
        <v>-</v>
      </c>
      <c r="BD283" s="3">
        <f t="shared" si="165"/>
        <v>28</v>
      </c>
      <c r="BE283" s="3">
        <f t="shared" si="166"/>
        <v>51</v>
      </c>
      <c r="BF283" s="3">
        <f>AH283-AE283</f>
        <v>38</v>
      </c>
    </row>
    <row r="284" spans="1:58" s="3" customFormat="1" x14ac:dyDescent="0.2">
      <c r="A284" s="3" t="s">
        <v>321</v>
      </c>
      <c r="B284" s="3" t="str">
        <f>LOWER(VLOOKUP(A284,Xtal_Templ!A:B,2,FALSE))</f>
        <v>oprd_human</v>
      </c>
      <c r="C284" s="3">
        <f>VLOOKUP($A284,'SegEnds_NonXtal_BW#'!$A:$Z,3,FALSE)+D284-50</f>
        <v>35</v>
      </c>
      <c r="D284" s="3">
        <v>63</v>
      </c>
      <c r="E284" s="3">
        <f>IF(ISERROR(VLOOKUP($A284,'SegEnds_NonXtal_BW#'!$A:$Z,4,FALSE)+VLOOKUP($A284,A:AL,4,FALSE)-50),"-",(VLOOKUP($A284,'SegEnds_NonXtal_BW#'!$A:$Z,4,FALSE)+VLOOKUP($A284,A:AL,4,FALSE)-50))</f>
        <v>73</v>
      </c>
      <c r="F284" s="3">
        <f t="shared" si="171"/>
        <v>74</v>
      </c>
      <c r="G284" s="3">
        <v>76</v>
      </c>
      <c r="H284" s="3">
        <f t="shared" si="172"/>
        <v>77</v>
      </c>
      <c r="I284" s="3">
        <f t="shared" si="172"/>
        <v>78</v>
      </c>
      <c r="J284" s="3">
        <v>91</v>
      </c>
      <c r="K284" s="3">
        <f>VLOOKUP($A284,'SegEnds_NonXtal_BW#'!$A:$Z,8,FALSE)+VLOOKUP($A284,A:AL,10,FALSE)-50</f>
        <v>107</v>
      </c>
      <c r="L284" s="3">
        <f t="shared" si="173"/>
        <v>109</v>
      </c>
      <c r="M284" s="3">
        <v>110</v>
      </c>
      <c r="N284" s="3">
        <f t="shared" si="174"/>
        <v>112</v>
      </c>
      <c r="O284" s="3">
        <f t="shared" si="175"/>
        <v>113</v>
      </c>
      <c r="P284" s="3">
        <v>142</v>
      </c>
      <c r="Q284" s="3">
        <f>VLOOKUP($A284,'SegEnds_NonXtal_BW#'!$A:$Z,12,FALSE)+VLOOKUP($A284,A:AL,16,FALSE)-50</f>
        <v>148</v>
      </c>
      <c r="R284" s="3" t="str">
        <f>IF(ISERROR(VLOOKUP($A284,'SegEnds_NonXtal_BW#'!$A:$Z,13,FALSE)+VLOOKUP($A284,A:AL,19,FALSE)-50),"-",VLOOKUP($A284,'SegEnds_NonXtal_BW#'!$A:$Z,13,FALSE)+VLOOKUP($A284,A:AL,19,FALSE)-50)</f>
        <v>-</v>
      </c>
      <c r="S284" s="3" t="s">
        <v>23</v>
      </c>
      <c r="T284" s="100" t="str">
        <f>IF(ISERROR(VLOOKUP($A284,'SegEnds_NonXtal_BW#'!$A:$Z,14,FALSE)+VLOOKUP($A284,A:AL,19,FALSE)-50),"-",(VLOOKUP($A284,'SegEnds_NonXtal_BW#'!$A:$Z,14,FALSE)+VLOOKUP($A284,A:AL,19,FALSE)-50))</f>
        <v>-</v>
      </c>
      <c r="U284" s="9">
        <f>IF(ISERROR(VLOOKUP($A284,'SegEnds_NonXtal_BW#'!$A:$Z,15,FALSE)+VLOOKUP($A284,A:AL,22,FALSE)-50),"-",VLOOKUP($A284,'SegEnds_NonXtal_BW#'!$A:$Z,15,FALSE)+VLOOKUP($A284,A:AL,22,FALSE)-50)</f>
        <v>159</v>
      </c>
      <c r="V284" s="3">
        <v>171</v>
      </c>
      <c r="W284" s="3">
        <f>IF(ISERROR(VLOOKUP($A284,'SegEnds_NonXtal_BW#'!$A:$Z,16,FALSE)+VLOOKUP($A284,A:AL,22,FALSE)-50),"-",(VLOOKUP($A284,'SegEnds_NonXtal_BW#'!$A:$Z,16,FALSE)+VLOOKUP($A284,A:AL,22,FALSE)-50))</f>
        <v>185</v>
      </c>
      <c r="X284" s="3">
        <f>IF(ISERROR(VLOOKUP($A284,'SegEnds_NonXtal_BW#'!$A:$Z,17,FALSE)+VLOOKUP($A284,A:AL,25,FALSE)-50),"-",(VLOOKUP($A284,'SegEnds_NonXtal_BW#'!$A:$Z,17,FALSE)+VLOOKUP($A284,A:AL,25,FALSE)-50))</f>
        <v>197</v>
      </c>
      <c r="Y284" s="3">
        <v>197</v>
      </c>
      <c r="Z284" s="3">
        <f t="shared" si="169"/>
        <v>199</v>
      </c>
      <c r="AA284" s="3">
        <f>IF(ISERROR(VLOOKUP($A284,'SegEnds_NonXtal_BW#'!$A:$Z,19,FALSE)+VLOOKUP($A284,A:AL,28,FALSE)-50),"-",(VLOOKUP($A284,'SegEnds_NonXtal_BW#'!$A:$Z,19,FALSE)+VLOOKUP($A284,A:AL,28,FALSE)-50))</f>
        <v>205</v>
      </c>
      <c r="AB284" s="3">
        <v>224</v>
      </c>
      <c r="AC284" s="3">
        <f>IF(ISERROR((VLOOKUP($A284,'SegEnds_NonXtal_BW#'!$A:$Z,20,FALSE)+VLOOKUP($A284,A:AL,28,FALSE)-50)),"-",(VLOOKUP($A284,'SegEnds_NonXtal_BW#'!$A:$Z,20,FALSE)+VLOOKUP($A284,A:AL,28,FALSE)-50))</f>
        <v>242</v>
      </c>
      <c r="AD284" s="3">
        <f>IF(ISERROR(VLOOKUP($A284,'SegEnds_NonXtal_BW#'!$A:$Z,21,FALSE)+VLOOKUP($A284,A:AL,31,FALSE)-50),"-",(VLOOKUP($A284,'SegEnds_NonXtal_BW#'!$A:$Z,21,FALSE)+VLOOKUP($A284,A:AL,31,FALSE)-50))</f>
        <v>248</v>
      </c>
      <c r="AE284" s="3">
        <v>275</v>
      </c>
      <c r="AF284" s="3">
        <f>IF(ISERROR((VLOOKUP($A284,'SegEnds_NonXtal_BW#'!$A:$Z,22,FALSE)+VLOOKUP($A284,A:AL,31,FALSE)-50)),"-",(VLOOKUP($A284,'SegEnds_NonXtal_BW#'!$A:$Z,22,FALSE)+VLOOKUP($A284,A:AL,31,FALSE)-50))</f>
        <v>286</v>
      </c>
      <c r="AG284" s="3">
        <f>IF(ISERROR(VLOOKUP($A284,'SegEnds_NonXtal_BW#'!$A:$Z,23,FALSE)+VLOOKUP($A284,A:AL,34,FALSE)-50),"-",(VLOOKUP($A284,'SegEnds_NonXtal_BW#'!$A:$Z,23,FALSE)+VLOOKUP($A284,A:AL,34,FALSE)-50))</f>
        <v>291</v>
      </c>
      <c r="AH284" s="3">
        <v>313</v>
      </c>
      <c r="AI284" s="3">
        <f>IF(ISERROR((VLOOKUP($A284,'SegEnds_NonXtal_BW#'!$A:$Z,24,FALSE)+VLOOKUP($A284,A:AL,34,FALSE)-50)),"-",(VLOOKUP($A284,'SegEnds_NonXtal_BW#'!$A:$Z,24,FALSE)+VLOOKUP($A284,A:AL,34,FALSE)-50))</f>
        <v>319</v>
      </c>
      <c r="AJ284" s="3">
        <f>IF(ISERROR(VLOOKUP($A284,'SegEnds_NonXtal_BW#'!$A:$Z,25,FALSE)+VLOOKUP($A284,A:AL,37,FALSE)-50),"-",(VLOOKUP($A284,'SegEnds_NonXtal_BW#'!$A:$Z,25,FALSE)+VLOOKUP($A284,A:AL,37,FALSE)-50))</f>
        <v>320</v>
      </c>
      <c r="AK284" s="3">
        <v>323</v>
      </c>
      <c r="AL284" s="3">
        <f>IF(ISERROR((VLOOKUP($A284,'SegEnds_NonXtal_BW#'!$A:$Z,26,FALSE)+VLOOKUP($A284,A:AL,37,FALSE)-50)),"-",(VLOOKUP($A284,'SegEnds_NonXtal_BW#'!$A:$Z,26,FALSE)+VLOOKUP($A284,A:AL,37,FALSE)-50))</f>
        <v>333</v>
      </c>
      <c r="AM284" s="28" t="str">
        <f>VLOOKUP(A284,Classification!A:B,2,FALSE)</f>
        <v>A</v>
      </c>
      <c r="AN284" s="28" t="b">
        <f t="shared" si="167"/>
        <v>1</v>
      </c>
      <c r="AO284" s="3" t="str">
        <f>IF(ISERROR(MATCH(A284,'SegEnds_Xtal_Prot#'!B:B, 0)), "NoXtal", "Xtal")</f>
        <v>NoXtal</v>
      </c>
      <c r="AP284" s="3">
        <f t="shared" si="152"/>
        <v>1</v>
      </c>
      <c r="AQ284" s="3">
        <f t="shared" si="153"/>
        <v>1</v>
      </c>
      <c r="AR284" s="3">
        <f t="shared" si="154"/>
        <v>2</v>
      </c>
      <c r="AS284" s="3">
        <f t="shared" si="155"/>
        <v>1</v>
      </c>
      <c r="AT284" s="3" t="str">
        <f t="shared" si="156"/>
        <v>-</v>
      </c>
      <c r="AU284" s="3" t="str">
        <f t="shared" si="157"/>
        <v>-</v>
      </c>
      <c r="AV284" s="3">
        <f t="shared" si="158"/>
        <v>12</v>
      </c>
      <c r="AW284" s="3">
        <f t="shared" si="159"/>
        <v>6</v>
      </c>
      <c r="AX284" s="3">
        <f t="shared" si="160"/>
        <v>6</v>
      </c>
      <c r="AY284" s="3">
        <f t="shared" si="161"/>
        <v>5</v>
      </c>
      <c r="AZ284" s="3">
        <f t="shared" si="162"/>
        <v>1</v>
      </c>
      <c r="BA284" s="3">
        <f>IF(ISERROR(LEN(VLOOKUP(A284,Seqs!A:E,2,FALSE))-AL284),"-",LEN(VLOOKUP(A284,Seqs!A:E,2,FALSE))-AL284)</f>
        <v>0</v>
      </c>
      <c r="BB284" s="16">
        <f t="shared" si="163"/>
        <v>28</v>
      </c>
      <c r="BC284" s="9" t="str">
        <f t="shared" si="164"/>
        <v>-</v>
      </c>
      <c r="BD284" s="3">
        <f t="shared" si="165"/>
        <v>28</v>
      </c>
      <c r="BE284" s="3">
        <f t="shared" si="166"/>
        <v>51</v>
      </c>
      <c r="BF284" s="3">
        <f>AH284-AE284</f>
        <v>38</v>
      </c>
    </row>
    <row r="285" spans="1:58" s="3" customFormat="1" x14ac:dyDescent="0.2">
      <c r="A285" s="3" t="s">
        <v>322</v>
      </c>
      <c r="B285" s="3" t="str">
        <f>LOWER(VLOOKUP(A285,Xtal_Templ!A:B,2,FALSE))</f>
        <v>ox1r_human</v>
      </c>
      <c r="C285" s="3">
        <f>VLOOKUP($A285,'SegEnds_NonXtal_BW#'!$A:$Z,3,FALSE)+D285-50</f>
        <v>43</v>
      </c>
      <c r="D285" s="3">
        <v>61</v>
      </c>
      <c r="E285" s="3">
        <f>IF(ISERROR(VLOOKUP($A285,'SegEnds_NonXtal_BW#'!$A:$Z,4,FALSE)+VLOOKUP($A285,A:AL,4,FALSE)-50),"-",(VLOOKUP($A285,'SegEnds_NonXtal_BW#'!$A:$Z,4,FALSE)+VLOOKUP($A285,A:AL,4,FALSE)-50))</f>
        <v>71</v>
      </c>
      <c r="F285" s="3">
        <f t="shared" si="171"/>
        <v>72</v>
      </c>
      <c r="G285" s="3">
        <v>74</v>
      </c>
      <c r="H285" s="3">
        <f t="shared" si="172"/>
        <v>75</v>
      </c>
      <c r="I285" s="3">
        <f t="shared" si="172"/>
        <v>76</v>
      </c>
      <c r="J285" s="3">
        <v>89</v>
      </c>
      <c r="K285" s="3">
        <f>VLOOKUP($A285,'SegEnds_NonXtal_BW#'!$A:$Z,8,FALSE)+VLOOKUP($A285,A:AL,10,FALSE)-50</f>
        <v>106</v>
      </c>
      <c r="L285" s="3">
        <f t="shared" si="173"/>
        <v>108</v>
      </c>
      <c r="M285" s="3">
        <v>109</v>
      </c>
      <c r="N285" s="3">
        <f t="shared" si="174"/>
        <v>111</v>
      </c>
      <c r="O285" s="3">
        <f t="shared" si="175"/>
        <v>112</v>
      </c>
      <c r="P285" s="3">
        <v>141</v>
      </c>
      <c r="Q285" s="3">
        <f>VLOOKUP($A285,'SegEnds_NonXtal_BW#'!$A:$Z,12,FALSE)+VLOOKUP($A285,A:AL,16,FALSE)-50</f>
        <v>147</v>
      </c>
      <c r="R285" s="3" t="str">
        <f>IF(ISERROR(VLOOKUP($A285,'SegEnds_NonXtal_BW#'!$A:$Z,13,FALSE)+VLOOKUP($A285,A:AL,19,FALSE)-50),"-",VLOOKUP($A285,'SegEnds_NonXtal_BW#'!$A:$Z,13,FALSE)+VLOOKUP($A285,A:AL,19,FALSE)-50)</f>
        <v>-</v>
      </c>
      <c r="S285" s="3" t="s">
        <v>23</v>
      </c>
      <c r="T285" s="100" t="str">
        <f>IF(ISERROR(VLOOKUP($A285,'SegEnds_NonXtal_BW#'!$A:$Z,14,FALSE)+VLOOKUP($A285,A:AL,19,FALSE)-50),"-",(VLOOKUP($A285,'SegEnds_NonXtal_BW#'!$A:$Z,14,FALSE)+VLOOKUP($A285,A:AL,19,FALSE)-50))</f>
        <v>-</v>
      </c>
      <c r="U285" s="9">
        <f>IF(ISERROR(VLOOKUP($A285,'SegEnds_NonXtal_BW#'!$A:$Z,15,FALSE)+VLOOKUP($A285,A:AL,22,FALSE)-50),"-",VLOOKUP($A285,'SegEnds_NonXtal_BW#'!$A:$Z,15,FALSE)+VLOOKUP($A285,A:AL,22,FALSE)-50)</f>
        <v>154</v>
      </c>
      <c r="V285" s="3">
        <v>166</v>
      </c>
      <c r="W285" s="3">
        <f>IF(ISERROR(VLOOKUP($A285,'SegEnds_NonXtal_BW#'!$A:$Z,16,FALSE)+VLOOKUP($A285,A:AL,22,FALSE)-50),"-",(VLOOKUP($A285,'SegEnds_NonXtal_BW#'!$A:$Z,16,FALSE)+VLOOKUP($A285,A:AL,22,FALSE)-50))</f>
        <v>180</v>
      </c>
      <c r="X285" s="3">
        <f>IF(ISERROR(VLOOKUP($A285,'SegEnds_NonXtal_BW#'!$A:$Z,17,FALSE)+VLOOKUP($A285,A:AL,25,FALSE)-50),"-",(VLOOKUP($A285,'SegEnds_NonXtal_BW#'!$A:$Z,17,FALSE)+VLOOKUP($A285,A:AL,25,FALSE)-50))</f>
        <v>203</v>
      </c>
      <c r="Y285" s="3">
        <v>203</v>
      </c>
      <c r="Z285" s="3">
        <f t="shared" si="169"/>
        <v>205</v>
      </c>
      <c r="AA285" s="3">
        <f>IF(ISERROR(VLOOKUP($A285,'SegEnds_NonXtal_BW#'!$A:$Z,19,FALSE)+VLOOKUP($A285,A:AL,28,FALSE)-50),"-",(VLOOKUP($A285,'SegEnds_NonXtal_BW#'!$A:$Z,19,FALSE)+VLOOKUP($A285,A:AL,28,FALSE)-50))</f>
        <v>210</v>
      </c>
      <c r="AB285" s="3">
        <v>228</v>
      </c>
      <c r="AC285" s="3">
        <f>IF(ISERROR((VLOOKUP($A285,'SegEnds_NonXtal_BW#'!$A:$Z,20,FALSE)+VLOOKUP($A285,A:AL,28,FALSE)-50)),"-",(VLOOKUP($A285,'SegEnds_NonXtal_BW#'!$A:$Z,20,FALSE)+VLOOKUP($A285,A:AL,28,FALSE)-50))</f>
        <v>251</v>
      </c>
      <c r="AD285" s="3">
        <f>IF(ISERROR(VLOOKUP($A285,'SegEnds_NonXtal_BW#'!$A:$Z,21,FALSE)+VLOOKUP($A285,A:AL,31,FALSE)-50),"-",(VLOOKUP($A285,'SegEnds_NonXtal_BW#'!$A:$Z,21,FALSE)+VLOOKUP($A285,A:AL,31,FALSE)-50))</f>
        <v>257</v>
      </c>
      <c r="AE285" s="3">
        <v>285</v>
      </c>
      <c r="AF285" s="3">
        <f>IF(ISERROR((VLOOKUP($A285,'SegEnds_NonXtal_BW#'!$A:$Z,22,FALSE)+VLOOKUP($A285,A:AL,31,FALSE)-50)),"-",(VLOOKUP($A285,'SegEnds_NonXtal_BW#'!$A:$Z,22,FALSE)+VLOOKUP($A285,A:AL,31,FALSE)-50))</f>
        <v>296</v>
      </c>
      <c r="AG285" s="3">
        <f>IF(ISERROR(VLOOKUP($A285,'SegEnds_NonXtal_BW#'!$A:$Z,23,FALSE)+VLOOKUP($A285,A:AL,34,FALSE)-50),"-",(VLOOKUP($A285,'SegEnds_NonXtal_BW#'!$A:$Z,23,FALSE)+VLOOKUP($A285,A:AL,34,FALSE)-50))</f>
        <v>304</v>
      </c>
      <c r="AH285" s="3">
        <v>326</v>
      </c>
      <c r="AI285" s="3">
        <f>IF(ISERROR((VLOOKUP($A285,'SegEnds_NonXtal_BW#'!$A:$Z,24,FALSE)+VLOOKUP($A285,A:AL,34,FALSE)-50)),"-",(VLOOKUP($A285,'SegEnds_NonXtal_BW#'!$A:$Z,24,FALSE)+VLOOKUP($A285,A:AL,34,FALSE)-50))</f>
        <v>332</v>
      </c>
      <c r="AJ285" s="3">
        <f>IF(ISERROR(VLOOKUP($A285,'SegEnds_NonXtal_BW#'!$A:$Z,25,FALSE)+VLOOKUP($A285,A:AL,37,FALSE)-50),"-",(VLOOKUP($A285,'SegEnds_NonXtal_BW#'!$A:$Z,25,FALSE)+VLOOKUP($A285,A:AL,37,FALSE)-50))</f>
        <v>333</v>
      </c>
      <c r="AK285" s="3">
        <v>336</v>
      </c>
      <c r="AL285" s="3">
        <f>IF(ISERROR((VLOOKUP($A285,'SegEnds_NonXtal_BW#'!$A:$Z,26,FALSE)+VLOOKUP($A285,A:AL,37,FALSE)-50)),"-",(VLOOKUP($A285,'SegEnds_NonXtal_BW#'!$A:$Z,26,FALSE)+VLOOKUP($A285,A:AL,37,FALSE)-50))</f>
        <v>344</v>
      </c>
      <c r="AM285" s="28" t="str">
        <f>VLOOKUP(A285,Classification!A:B,2,FALSE)</f>
        <v>A</v>
      </c>
      <c r="AN285" s="28" t="b">
        <f t="shared" si="167"/>
        <v>1</v>
      </c>
      <c r="AO285" s="3" t="str">
        <f>IF(ISERROR(MATCH(A285,'SegEnds_Xtal_Prot#'!B:B, 0)), "NoXtal", "Xtal")</f>
        <v>NoXtal</v>
      </c>
      <c r="AP285" s="3">
        <f t="shared" si="152"/>
        <v>1</v>
      </c>
      <c r="AQ285" s="3">
        <f t="shared" si="153"/>
        <v>1</v>
      </c>
      <c r="AR285" s="3">
        <f t="shared" si="154"/>
        <v>2</v>
      </c>
      <c r="AS285" s="3">
        <f t="shared" si="155"/>
        <v>1</v>
      </c>
      <c r="AT285" s="3" t="str">
        <f t="shared" si="156"/>
        <v>-</v>
      </c>
      <c r="AU285" s="3" t="str">
        <f t="shared" si="157"/>
        <v>-</v>
      </c>
      <c r="AV285" s="3">
        <f t="shared" si="158"/>
        <v>23</v>
      </c>
      <c r="AW285" s="3">
        <f t="shared" si="159"/>
        <v>5</v>
      </c>
      <c r="AX285" s="3">
        <f t="shared" si="160"/>
        <v>6</v>
      </c>
      <c r="AY285" s="3">
        <f t="shared" si="161"/>
        <v>8</v>
      </c>
      <c r="AZ285" s="3">
        <f t="shared" si="162"/>
        <v>1</v>
      </c>
      <c r="BA285" s="3">
        <f>IF(ISERROR(LEN(VLOOKUP(A285,Seqs!A:E,2,FALSE))-AL285),"-",LEN(VLOOKUP(A285,Seqs!A:E,2,FALSE))-AL285)</f>
        <v>86</v>
      </c>
      <c r="BB285" s="16">
        <f t="shared" si="163"/>
        <v>28</v>
      </c>
      <c r="BC285" s="9" t="str">
        <f t="shared" si="164"/>
        <v>-</v>
      </c>
      <c r="BD285" s="3">
        <f t="shared" si="165"/>
        <v>28</v>
      </c>
      <c r="BE285" s="3">
        <f t="shared" si="166"/>
        <v>57</v>
      </c>
    </row>
    <row r="286" spans="1:58" s="3" customFormat="1" x14ac:dyDescent="0.2">
      <c r="A286" s="3" t="s">
        <v>323</v>
      </c>
      <c r="B286" s="3" t="str">
        <f>LOWER(VLOOKUP(A286,Xtal_Templ!A:B,2,FALSE))</f>
        <v>ox1r_human</v>
      </c>
      <c r="C286" s="3">
        <f>VLOOKUP($A286,'SegEnds_NonXtal_BW#'!$A:$Z,3,FALSE)+D286-50</f>
        <v>147</v>
      </c>
      <c r="D286" s="3">
        <v>165</v>
      </c>
      <c r="E286" s="3">
        <f>IF(ISERROR(VLOOKUP($A286,'SegEnds_NonXtal_BW#'!$A:$Z,4,FALSE)+VLOOKUP($A286,A:AL,4,FALSE)-50),"-",(VLOOKUP($A286,'SegEnds_NonXtal_BW#'!$A:$Z,4,FALSE)+VLOOKUP($A286,A:AL,4,FALSE)-50))</f>
        <v>175</v>
      </c>
      <c r="F286" s="3">
        <f t="shared" si="171"/>
        <v>176</v>
      </c>
      <c r="G286" s="3">
        <v>178</v>
      </c>
      <c r="H286" s="3">
        <f t="shared" si="172"/>
        <v>179</v>
      </c>
      <c r="I286" s="3">
        <f t="shared" si="172"/>
        <v>180</v>
      </c>
      <c r="J286" s="3">
        <v>193</v>
      </c>
      <c r="K286" s="3">
        <f>VLOOKUP($A286,'SegEnds_NonXtal_BW#'!$A:$Z,8,FALSE)+VLOOKUP($A286,A:AL,10,FALSE)-50</f>
        <v>210</v>
      </c>
      <c r="L286" s="3">
        <f t="shared" si="173"/>
        <v>212</v>
      </c>
      <c r="M286" s="3">
        <v>213</v>
      </c>
      <c r="N286" s="3">
        <f t="shared" si="174"/>
        <v>215</v>
      </c>
      <c r="O286" s="3">
        <f t="shared" si="175"/>
        <v>216</v>
      </c>
      <c r="P286" s="3">
        <v>245</v>
      </c>
      <c r="Q286" s="3">
        <f>VLOOKUP($A286,'SegEnds_NonXtal_BW#'!$A:$Z,12,FALSE)+VLOOKUP($A286,A:AL,16,FALSE)-50</f>
        <v>251</v>
      </c>
      <c r="R286" s="3" t="str">
        <f>IF(ISERROR(VLOOKUP($A286,'SegEnds_NonXtal_BW#'!$A:$Z,13,FALSE)+VLOOKUP($A286,A:AL,19,FALSE)-50),"-",VLOOKUP($A286,'SegEnds_NonXtal_BW#'!$A:$Z,13,FALSE)+VLOOKUP($A286,A:AL,19,FALSE)-50)</f>
        <v>-</v>
      </c>
      <c r="S286" s="3" t="s">
        <v>23</v>
      </c>
      <c r="T286" s="100" t="str">
        <f>IF(ISERROR(VLOOKUP($A286,'SegEnds_NonXtal_BW#'!$A:$Z,14,FALSE)+VLOOKUP($A286,A:AL,19,FALSE)-50),"-",(VLOOKUP($A286,'SegEnds_NonXtal_BW#'!$A:$Z,14,FALSE)+VLOOKUP($A286,A:AL,19,FALSE)-50))</f>
        <v>-</v>
      </c>
      <c r="U286" s="9">
        <f>IF(ISERROR(VLOOKUP($A286,'SegEnds_NonXtal_BW#'!$A:$Z,15,FALSE)+VLOOKUP($A286,A:AL,22,FALSE)-50),"-",VLOOKUP($A286,'SegEnds_NonXtal_BW#'!$A:$Z,15,FALSE)+VLOOKUP($A286,A:AL,22,FALSE)-50)</f>
        <v>258</v>
      </c>
      <c r="V286" s="3">
        <v>270</v>
      </c>
      <c r="W286" s="3">
        <f>IF(ISERROR(VLOOKUP($A286,'SegEnds_NonXtal_BW#'!$A:$Z,16,FALSE)+VLOOKUP($A286,A:AL,22,FALSE)-50),"-",(VLOOKUP($A286,'SegEnds_NonXtal_BW#'!$A:$Z,16,FALSE)+VLOOKUP($A286,A:AL,22,FALSE)-50))</f>
        <v>284</v>
      </c>
      <c r="X286" s="3">
        <f>IF(ISERROR(VLOOKUP($A286,'SegEnds_NonXtal_BW#'!$A:$Z,17,FALSE)+VLOOKUP($A286,A:AL,25,FALSE)-50),"-",(VLOOKUP($A286,'SegEnds_NonXtal_BW#'!$A:$Z,17,FALSE)+VLOOKUP($A286,A:AL,25,FALSE)-50))</f>
        <v>308</v>
      </c>
      <c r="Y286" s="3">
        <v>308</v>
      </c>
      <c r="Z286" s="3">
        <f t="shared" si="169"/>
        <v>310</v>
      </c>
      <c r="AA286" s="3">
        <f>IF(ISERROR(VLOOKUP($A286,'SegEnds_NonXtal_BW#'!$A:$Z,19,FALSE)+VLOOKUP($A286,A:AL,28,FALSE)-50),"-",(VLOOKUP($A286,'SegEnds_NonXtal_BW#'!$A:$Z,19,FALSE)+VLOOKUP($A286,A:AL,28,FALSE)-50))</f>
        <v>315</v>
      </c>
      <c r="AB286" s="3">
        <v>333</v>
      </c>
      <c r="AC286" s="3">
        <f>IF(ISERROR((VLOOKUP($A286,'SegEnds_NonXtal_BW#'!$A:$Z,20,FALSE)+VLOOKUP($A286,A:AL,28,FALSE)-50)),"-",(VLOOKUP($A286,'SegEnds_NonXtal_BW#'!$A:$Z,20,FALSE)+VLOOKUP($A286,A:AL,28,FALSE)-50))</f>
        <v>356</v>
      </c>
      <c r="AD286" s="3">
        <f>IF(ISERROR(VLOOKUP($A286,'SegEnds_NonXtal_BW#'!$A:$Z,21,FALSE)+VLOOKUP($A286,A:AL,31,FALSE)-50),"-",(VLOOKUP($A286,'SegEnds_NonXtal_BW#'!$A:$Z,21,FALSE)+VLOOKUP($A286,A:AL,31,FALSE)-50))</f>
        <v>365</v>
      </c>
      <c r="AE286" s="3">
        <v>391</v>
      </c>
      <c r="AF286" s="3">
        <f>IF(ISERROR((VLOOKUP($A286,'SegEnds_NonXtal_BW#'!$A:$Z,22,FALSE)+VLOOKUP($A286,A:AL,31,FALSE)-50)),"-",(VLOOKUP($A286,'SegEnds_NonXtal_BW#'!$A:$Z,22,FALSE)+VLOOKUP($A286,A:AL,31,FALSE)-50))</f>
        <v>402</v>
      </c>
      <c r="AG286" s="3">
        <f>IF(ISERROR(VLOOKUP($A286,'SegEnds_NonXtal_BW#'!$A:$Z,23,FALSE)+VLOOKUP($A286,A:AL,34,FALSE)-50),"-",(VLOOKUP($A286,'SegEnds_NonXtal_BW#'!$A:$Z,23,FALSE)+VLOOKUP($A286,A:AL,34,FALSE)-50))</f>
        <v>410</v>
      </c>
      <c r="AH286" s="3">
        <v>432</v>
      </c>
      <c r="AI286" s="3">
        <f>IF(ISERROR((VLOOKUP($A286,'SegEnds_NonXtal_BW#'!$A:$Z,24,FALSE)+VLOOKUP($A286,A:AL,34,FALSE)-50)),"-",(VLOOKUP($A286,'SegEnds_NonXtal_BW#'!$A:$Z,24,FALSE)+VLOOKUP($A286,A:AL,34,FALSE)-50))</f>
        <v>438</v>
      </c>
      <c r="AJ286" s="3">
        <f>IF(ISERROR(VLOOKUP($A286,'SegEnds_NonXtal_BW#'!$A:$Z,25,FALSE)+VLOOKUP($A286,A:AL,37,FALSE)-50),"-",(VLOOKUP($A286,'SegEnds_NonXtal_BW#'!$A:$Z,25,FALSE)+VLOOKUP($A286,A:AL,37,FALSE)-50))</f>
        <v>439</v>
      </c>
      <c r="AK286" s="3">
        <v>442</v>
      </c>
      <c r="AL286" s="3">
        <f>IF(ISERROR((VLOOKUP($A286,'SegEnds_NonXtal_BW#'!$A:$Z,26,FALSE)+VLOOKUP($A286,A:AL,37,FALSE)-50)),"-",(VLOOKUP($A286,'SegEnds_NonXtal_BW#'!$A:$Z,26,FALSE)+VLOOKUP($A286,A:AL,37,FALSE)-50))</f>
        <v>450</v>
      </c>
      <c r="AM286" s="28" t="str">
        <f>VLOOKUP(A286,Classification!A:B,2,FALSE)</f>
        <v>A</v>
      </c>
      <c r="AN286" s="28" t="b">
        <f t="shared" si="167"/>
        <v>1</v>
      </c>
      <c r="AO286" s="3" t="str">
        <f>IF(ISERROR(MATCH(A286,'SegEnds_Xtal_Prot#'!B:B, 0)), "NoXtal", "Xtal")</f>
        <v>NoXtal</v>
      </c>
      <c r="AP286" s="3">
        <f t="shared" si="152"/>
        <v>1</v>
      </c>
      <c r="AQ286" s="3">
        <f t="shared" si="153"/>
        <v>1</v>
      </c>
      <c r="AR286" s="3">
        <f t="shared" si="154"/>
        <v>2</v>
      </c>
      <c r="AS286" s="3">
        <f t="shared" si="155"/>
        <v>1</v>
      </c>
      <c r="AT286" s="3" t="str">
        <f t="shared" si="156"/>
        <v>-</v>
      </c>
      <c r="AU286" s="3" t="str">
        <f t="shared" si="157"/>
        <v>-</v>
      </c>
      <c r="AV286" s="3">
        <f t="shared" si="158"/>
        <v>24</v>
      </c>
      <c r="AW286" s="3">
        <f t="shared" si="159"/>
        <v>5</v>
      </c>
      <c r="AX286" s="3">
        <f t="shared" si="160"/>
        <v>9</v>
      </c>
      <c r="AY286" s="3">
        <f t="shared" si="161"/>
        <v>8</v>
      </c>
      <c r="AZ286" s="3">
        <f t="shared" si="162"/>
        <v>1</v>
      </c>
      <c r="BA286" s="3">
        <f>IF(ISERROR(LEN(VLOOKUP(A286,Seqs!A:E,2,FALSE))-AL286),"-",LEN(VLOOKUP(A286,Seqs!A:E,2,FALSE))-AL286)</f>
        <v>72</v>
      </c>
      <c r="BB286" s="16">
        <f t="shared" si="163"/>
        <v>28</v>
      </c>
      <c r="BC286" s="9" t="str">
        <f t="shared" si="164"/>
        <v>-</v>
      </c>
      <c r="BD286" s="3">
        <f t="shared" si="165"/>
        <v>28</v>
      </c>
      <c r="BE286" s="3">
        <f t="shared" si="166"/>
        <v>58</v>
      </c>
    </row>
    <row r="287" spans="1:58" s="3" customFormat="1" x14ac:dyDescent="0.2">
      <c r="A287" s="3" t="s">
        <v>325</v>
      </c>
      <c r="B287" s="3" t="str">
        <f>LOWER(VLOOKUP(A287,Xtal_Templ!A:B,2,FALSE))</f>
        <v>npy1r_human</v>
      </c>
      <c r="C287" s="3">
        <f>VLOOKUP($A287,'SegEnds_NonXtal_BW#'!$A:$Z,3,FALSE)+D287-50</f>
        <v>36</v>
      </c>
      <c r="D287" s="3">
        <v>58</v>
      </c>
      <c r="E287" s="3">
        <f>IF(ISERROR(VLOOKUP($A287,'SegEnds_NonXtal_BW#'!$A:$Z,4,FALSE)+VLOOKUP($A287,A:AL,4,FALSE)-50),"-",(VLOOKUP($A287,'SegEnds_NonXtal_BW#'!$A:$Z,4,FALSE)+VLOOKUP($A287,A:AL,4,FALSE)-50))</f>
        <v>68</v>
      </c>
      <c r="F287" s="3">
        <f t="shared" si="171"/>
        <v>69</v>
      </c>
      <c r="G287" s="3">
        <v>71</v>
      </c>
      <c r="H287" s="3">
        <f t="shared" si="172"/>
        <v>72</v>
      </c>
      <c r="I287" s="3">
        <f t="shared" si="172"/>
        <v>73</v>
      </c>
      <c r="J287" s="3">
        <v>86</v>
      </c>
      <c r="K287" s="3">
        <f>VLOOKUP($A287,'SegEnds_NonXtal_BW#'!$A:$Z,8,FALSE)+VLOOKUP($A287,A:AL,10,FALSE)-50</f>
        <v>104</v>
      </c>
      <c r="L287" s="3">
        <f t="shared" si="173"/>
        <v>105</v>
      </c>
      <c r="M287" s="3">
        <v>106</v>
      </c>
      <c r="N287" s="3">
        <f t="shared" si="174"/>
        <v>108</v>
      </c>
      <c r="O287" s="3">
        <f t="shared" si="175"/>
        <v>109</v>
      </c>
      <c r="P287" s="3">
        <v>138</v>
      </c>
      <c r="Q287" s="3">
        <f>VLOOKUP($A287,'SegEnds_NonXtal_BW#'!$A:$Z,12,FALSE)+VLOOKUP($A287,A:AL,16,FALSE)-50</f>
        <v>144</v>
      </c>
      <c r="R287" s="3" t="str">
        <f>IF(ISERROR(VLOOKUP($A287,'SegEnds_NonXtal_BW#'!$A:$Z,13,FALSE)+VLOOKUP($A287,A:AL,19,FALSE)-50),"-",VLOOKUP($A287,'SegEnds_NonXtal_BW#'!$A:$Z,13,FALSE)+VLOOKUP($A287,A:AL,19,FALSE)-50)</f>
        <v>-</v>
      </c>
      <c r="S287" s="3" t="s">
        <v>23</v>
      </c>
      <c r="T287" s="100" t="str">
        <f>IF(ISERROR(VLOOKUP($A287,'SegEnds_NonXtal_BW#'!$A:$Z,14,FALSE)+VLOOKUP($A287,A:AL,19,FALSE)-50),"-",(VLOOKUP($A287,'SegEnds_NonXtal_BW#'!$A:$Z,14,FALSE)+VLOOKUP($A287,A:AL,19,FALSE)-50))</f>
        <v>-</v>
      </c>
      <c r="U287" s="9">
        <f>IF(ISERROR(VLOOKUP($A287,'SegEnds_NonXtal_BW#'!$A:$Z,15,FALSE)+VLOOKUP($A287,A:AL,22,FALSE)-50),"-",VLOOKUP($A287,'SegEnds_NonXtal_BW#'!$A:$Z,15,FALSE)+VLOOKUP($A287,A:AL,22,FALSE)-50)</f>
        <v>151</v>
      </c>
      <c r="V287" s="3">
        <v>163</v>
      </c>
      <c r="W287" s="3">
        <f>IF(ISERROR(VLOOKUP($A287,'SegEnds_NonXtal_BW#'!$A:$Z,16,FALSE)+VLOOKUP($A287,A:AL,22,FALSE)-50),"-",(VLOOKUP($A287,'SegEnds_NonXtal_BW#'!$A:$Z,16,FALSE)+VLOOKUP($A287,A:AL,22,FALSE)-50))</f>
        <v>177</v>
      </c>
      <c r="X287" s="3">
        <f>IF(ISERROR(VLOOKUP($A287,'SegEnds_NonXtal_BW#'!$A:$Z,17,FALSE)+VLOOKUP($A287,A:AL,25,FALSE)-50),"-",(VLOOKUP($A287,'SegEnds_NonXtal_BW#'!$A:$Z,17,FALSE)+VLOOKUP($A287,A:AL,25,FALSE)-50))</f>
        <v>198</v>
      </c>
      <c r="Y287" s="3">
        <v>198</v>
      </c>
      <c r="Z287" s="3">
        <f t="shared" si="169"/>
        <v>200</v>
      </c>
      <c r="AA287" s="3">
        <f>IF(ISERROR(VLOOKUP($A287,'SegEnds_NonXtal_BW#'!$A:$Z,19,FALSE)+VLOOKUP($A287,A:AL,28,FALSE)-50),"-",(VLOOKUP($A287,'SegEnds_NonXtal_BW#'!$A:$Z,19,FALSE)+VLOOKUP($A287,A:AL,28,FALSE)-50))</f>
        <v>204</v>
      </c>
      <c r="AB287" s="3">
        <v>223</v>
      </c>
      <c r="AC287" s="3">
        <f>IF(ISERROR((VLOOKUP($A287,'SegEnds_NonXtal_BW#'!$A:$Z,20,FALSE)+VLOOKUP($A287,A:AL,28,FALSE)-50)),"-",(VLOOKUP($A287,'SegEnds_NonXtal_BW#'!$A:$Z,20,FALSE)+VLOOKUP($A287,A:AL,28,FALSE)-50))</f>
        <v>246</v>
      </c>
      <c r="AD287" s="3">
        <f>IF(ISERROR(VLOOKUP($A287,'SegEnds_NonXtal_BW#'!$A:$Z,21,FALSE)+VLOOKUP($A287,A:AL,31,FALSE)-50),"-",(VLOOKUP($A287,'SegEnds_NonXtal_BW#'!$A:$Z,21,FALSE)+VLOOKUP($A287,A:AL,31,FALSE)-50))</f>
        <v>250</v>
      </c>
      <c r="AE287" s="3">
        <v>278</v>
      </c>
      <c r="AF287" s="3">
        <f>IF(ISERROR((VLOOKUP($A287,'SegEnds_NonXtal_BW#'!$A:$Z,22,FALSE)+VLOOKUP($A287,A:AL,31,FALSE)-50)),"-",(VLOOKUP($A287,'SegEnds_NonXtal_BW#'!$A:$Z,22,FALSE)+VLOOKUP($A287,A:AL,31,FALSE)-50))</f>
        <v>289</v>
      </c>
      <c r="AG287" s="3">
        <f>IF(ISERROR(VLOOKUP($A287,'SegEnds_NonXtal_BW#'!$A:$Z,23,FALSE)+VLOOKUP($A287,A:AL,34,FALSE)-50),"-",(VLOOKUP($A287,'SegEnds_NonXtal_BW#'!$A:$Z,23,FALSE)+VLOOKUP($A287,A:AL,34,FALSE)-50))</f>
        <v>295</v>
      </c>
      <c r="AH287" s="3">
        <v>317</v>
      </c>
      <c r="AI287" s="3">
        <f>IF(ISERROR((VLOOKUP($A287,'SegEnds_NonXtal_BW#'!$A:$Z,24,FALSE)+VLOOKUP($A287,A:AL,34,FALSE)-50)),"-",(VLOOKUP($A287,'SegEnds_NonXtal_BW#'!$A:$Z,24,FALSE)+VLOOKUP($A287,A:AL,34,FALSE)-50))</f>
        <v>323</v>
      </c>
      <c r="AJ287" s="3">
        <f>IF(ISERROR(VLOOKUP($A287,'SegEnds_NonXtal_BW#'!$A:$Z,25,FALSE)+VLOOKUP($A287,A:AL,37,FALSE)-50),"-",(VLOOKUP($A287,'SegEnds_NonXtal_BW#'!$A:$Z,25,FALSE)+VLOOKUP($A287,A:AL,37,FALSE)-50))</f>
        <v>324</v>
      </c>
      <c r="AK287" s="3">
        <v>327</v>
      </c>
      <c r="AL287" s="3">
        <f>IF(ISERROR((VLOOKUP($A287,'SegEnds_NonXtal_BW#'!$A:$Z,26,FALSE)+VLOOKUP($A287,A:AL,37,FALSE)-50)),"-",(VLOOKUP($A287,'SegEnds_NonXtal_BW#'!$A:$Z,26,FALSE)+VLOOKUP($A287,A:AL,37,FALSE)-50))</f>
        <v>335</v>
      </c>
      <c r="AM287" s="28" t="str">
        <f>VLOOKUP(A287,Classification!A:B,2,FALSE)</f>
        <v>A</v>
      </c>
      <c r="AN287" s="28" t="b">
        <f t="shared" si="167"/>
        <v>1</v>
      </c>
      <c r="AO287" s="3" t="str">
        <f>IF(ISERROR(MATCH(A287,'SegEnds_Xtal_Prot#'!B:B, 0)), "NoXtal", "Xtal")</f>
        <v>Xtal</v>
      </c>
      <c r="AP287" s="3">
        <f t="shared" si="152"/>
        <v>1</v>
      </c>
      <c r="AQ287" s="3">
        <f t="shared" si="153"/>
        <v>1</v>
      </c>
      <c r="AR287" s="3">
        <f t="shared" si="154"/>
        <v>1</v>
      </c>
      <c r="AS287" s="3">
        <f t="shared" si="155"/>
        <v>1</v>
      </c>
      <c r="AT287" s="3" t="str">
        <f t="shared" si="156"/>
        <v>-</v>
      </c>
      <c r="AU287" s="3" t="str">
        <f t="shared" si="157"/>
        <v>-</v>
      </c>
      <c r="AV287" s="3">
        <f t="shared" si="158"/>
        <v>21</v>
      </c>
      <c r="AW287" s="3">
        <f t="shared" si="159"/>
        <v>4</v>
      </c>
      <c r="AX287" s="3">
        <f t="shared" si="160"/>
        <v>4</v>
      </c>
      <c r="AY287" s="3">
        <f t="shared" si="161"/>
        <v>6</v>
      </c>
      <c r="AZ287" s="3">
        <f t="shared" si="162"/>
        <v>1</v>
      </c>
      <c r="BA287" s="3">
        <f>IF(ISERROR(LEN(VLOOKUP(A287,Seqs!A:E,2,FALSE))-AL287),"-",LEN(VLOOKUP(A287,Seqs!A:E,2,FALSE))-AL287)</f>
        <v>49</v>
      </c>
      <c r="BB287" s="16">
        <f t="shared" si="163"/>
        <v>28</v>
      </c>
      <c r="BC287" s="9" t="str">
        <f t="shared" si="164"/>
        <v>-</v>
      </c>
      <c r="BD287" s="3">
        <f t="shared" si="165"/>
        <v>28</v>
      </c>
      <c r="BE287" s="3">
        <f t="shared" si="166"/>
        <v>55</v>
      </c>
    </row>
    <row r="288" spans="1:58" s="3" customFormat="1" x14ac:dyDescent="0.2">
      <c r="A288" s="3" t="s">
        <v>326</v>
      </c>
      <c r="B288" s="3" t="str">
        <f>LOWER(VLOOKUP(A288,Xtal_Templ!A:B,2,FALSE))</f>
        <v>ox2r_human</v>
      </c>
      <c r="C288" s="3">
        <f>VLOOKUP($A288,'SegEnds_NonXtal_BW#'!$A:$Z,3,FALSE)+D288-50</f>
        <v>49</v>
      </c>
      <c r="D288" s="3">
        <v>68</v>
      </c>
      <c r="E288" s="3">
        <f>IF(ISERROR(VLOOKUP($A288,'SegEnds_NonXtal_BW#'!$A:$Z,4,FALSE)+VLOOKUP($A288,A:AL,4,FALSE)-50),"-",(VLOOKUP($A288,'SegEnds_NonXtal_BW#'!$A:$Z,4,FALSE)+VLOOKUP($A288,A:AL,4,FALSE)-50))</f>
        <v>78</v>
      </c>
      <c r="F288" s="3">
        <f t="shared" si="171"/>
        <v>79</v>
      </c>
      <c r="G288" s="3">
        <v>81</v>
      </c>
      <c r="H288" s="3">
        <f t="shared" si="172"/>
        <v>82</v>
      </c>
      <c r="I288" s="3">
        <f t="shared" si="172"/>
        <v>83</v>
      </c>
      <c r="J288" s="3">
        <v>96</v>
      </c>
      <c r="K288" s="3">
        <f>VLOOKUP($A288,'SegEnds_NonXtal_BW#'!$A:$Z,8,FALSE)+VLOOKUP($A288,A:AL,10,FALSE)-50</f>
        <v>114</v>
      </c>
      <c r="L288" s="3">
        <f t="shared" si="173"/>
        <v>115</v>
      </c>
      <c r="M288" s="3">
        <v>116</v>
      </c>
      <c r="N288" s="3">
        <f t="shared" si="174"/>
        <v>118</v>
      </c>
      <c r="O288" s="3">
        <f t="shared" si="175"/>
        <v>119</v>
      </c>
      <c r="P288" s="3">
        <v>148</v>
      </c>
      <c r="Q288" s="3">
        <f>VLOOKUP($A288,'SegEnds_NonXtal_BW#'!$A:$Z,12,FALSE)+VLOOKUP($A288,A:AL,16,FALSE)-50</f>
        <v>154</v>
      </c>
      <c r="R288" s="3" t="str">
        <f>IF(ISERROR(VLOOKUP($A288,'SegEnds_NonXtal_BW#'!$A:$Z,13,FALSE)+VLOOKUP($A288,A:AL,19,FALSE)-50),"-",VLOOKUP($A288,'SegEnds_NonXtal_BW#'!$A:$Z,13,FALSE)+VLOOKUP($A288,A:AL,19,FALSE)-50)</f>
        <v>-</v>
      </c>
      <c r="S288" s="3" t="s">
        <v>23</v>
      </c>
      <c r="T288" s="100" t="str">
        <f>IF(ISERROR(VLOOKUP($A288,'SegEnds_NonXtal_BW#'!$A:$Z,14,FALSE)+VLOOKUP($A288,A:AL,19,FALSE)-50),"-",(VLOOKUP($A288,'SegEnds_NonXtal_BW#'!$A:$Z,14,FALSE)+VLOOKUP($A288,A:AL,19,FALSE)-50))</f>
        <v>-</v>
      </c>
      <c r="U288" s="9">
        <f>IF(ISERROR(VLOOKUP($A288,'SegEnds_NonXtal_BW#'!$A:$Z,15,FALSE)+VLOOKUP($A288,A:AL,22,FALSE)-50),"-",VLOOKUP($A288,'SegEnds_NonXtal_BW#'!$A:$Z,15,FALSE)+VLOOKUP($A288,A:AL,22,FALSE)-50)</f>
        <v>161</v>
      </c>
      <c r="V288" s="3">
        <v>173</v>
      </c>
      <c r="W288" s="3">
        <f>IF(ISERROR(VLOOKUP($A288,'SegEnds_NonXtal_BW#'!$A:$Z,16,FALSE)+VLOOKUP($A288,A:AL,22,FALSE)-50),"-",(VLOOKUP($A288,'SegEnds_NonXtal_BW#'!$A:$Z,16,FALSE)+VLOOKUP($A288,A:AL,22,FALSE)-50))</f>
        <v>187</v>
      </c>
      <c r="X288" s="3">
        <f>IF(ISERROR(VLOOKUP($A288,'SegEnds_NonXtal_BW#'!$A:$Z,17,FALSE)+VLOOKUP($A288,A:AL,25,FALSE)-50),"-",(VLOOKUP($A288,'SegEnds_NonXtal_BW#'!$A:$Z,17,FALSE)+VLOOKUP($A288,A:AL,25,FALSE)-50))</f>
        <v>203</v>
      </c>
      <c r="Y288" s="3">
        <v>203</v>
      </c>
      <c r="Z288" s="3">
        <f t="shared" si="169"/>
        <v>205</v>
      </c>
      <c r="AA288" s="3">
        <f>IF(ISERROR(VLOOKUP($A288,'SegEnds_NonXtal_BW#'!$A:$Z,19,FALSE)+VLOOKUP($A288,A:AL,28,FALSE)-50),"-",(VLOOKUP($A288,'SegEnds_NonXtal_BW#'!$A:$Z,19,FALSE)+VLOOKUP($A288,A:AL,28,FALSE)-50))</f>
        <v>214</v>
      </c>
      <c r="AB288" s="3">
        <v>231</v>
      </c>
      <c r="AC288" s="3">
        <f>IF(ISERROR((VLOOKUP($A288,'SegEnds_NonXtal_BW#'!$A:$Z,20,FALSE)+VLOOKUP($A288,A:AL,28,FALSE)-50)),"-",(VLOOKUP($A288,'SegEnds_NonXtal_BW#'!$A:$Z,20,FALSE)+VLOOKUP($A288,A:AL,28,FALSE)-50))</f>
        <v>253</v>
      </c>
      <c r="AD288" s="3">
        <f>IF(ISERROR(VLOOKUP($A288,'SegEnds_NonXtal_BW#'!$A:$Z,21,FALSE)+VLOOKUP($A288,A:AL,31,FALSE)-50),"-",(VLOOKUP($A288,'SegEnds_NonXtal_BW#'!$A:$Z,21,FALSE)+VLOOKUP($A288,A:AL,31,FALSE)-50))</f>
        <v>257</v>
      </c>
      <c r="AE288" s="3">
        <v>283</v>
      </c>
      <c r="AF288" s="3">
        <f>IF(ISERROR((VLOOKUP($A288,'SegEnds_NonXtal_BW#'!$A:$Z,22,FALSE)+VLOOKUP($A288,A:AL,31,FALSE)-50)),"-",(VLOOKUP($A288,'SegEnds_NonXtal_BW#'!$A:$Z,22,FALSE)+VLOOKUP($A288,A:AL,31,FALSE)-50))</f>
        <v>294</v>
      </c>
      <c r="AG288" s="3">
        <f>IF(ISERROR(VLOOKUP($A288,'SegEnds_NonXtal_BW#'!$A:$Z,23,FALSE)+VLOOKUP($A288,A:AL,34,FALSE)-50),"-",(VLOOKUP($A288,'SegEnds_NonXtal_BW#'!$A:$Z,23,FALSE)+VLOOKUP($A288,A:AL,34,FALSE)-50))</f>
        <v>299</v>
      </c>
      <c r="AH288" s="3">
        <v>322</v>
      </c>
      <c r="AI288" s="3">
        <f>IF(ISERROR((VLOOKUP($A288,'SegEnds_NonXtal_BW#'!$A:$Z,24,FALSE)+VLOOKUP($A288,A:AL,34,FALSE)-50)),"-",(VLOOKUP($A288,'SegEnds_NonXtal_BW#'!$A:$Z,24,FALSE)+VLOOKUP($A288,A:AL,34,FALSE)-50))</f>
        <v>328</v>
      </c>
      <c r="AJ288" s="3">
        <f>IF(ISERROR(VLOOKUP($A288,'SegEnds_NonXtal_BW#'!$A:$Z,25,FALSE)+VLOOKUP($A288,A:AL,37,FALSE)-50),"-",(VLOOKUP($A288,'SegEnds_NonXtal_BW#'!$A:$Z,25,FALSE)+VLOOKUP($A288,A:AL,37,FALSE)-50))</f>
        <v>329</v>
      </c>
      <c r="AK288" s="3">
        <v>332</v>
      </c>
      <c r="AL288" s="3">
        <f>IF(ISERROR((VLOOKUP($A288,'SegEnds_NonXtal_BW#'!$A:$Z,26,FALSE)+VLOOKUP($A288,A:AL,37,FALSE)-50)),"-",(VLOOKUP($A288,'SegEnds_NonXtal_BW#'!$A:$Z,26,FALSE)+VLOOKUP($A288,A:AL,37,FALSE)-50))</f>
        <v>340</v>
      </c>
      <c r="AM288" s="28" t="str">
        <f>VLOOKUP(A288,Classification!A:B,2,FALSE)</f>
        <v>A</v>
      </c>
      <c r="AN288" s="28" t="b">
        <f t="shared" si="167"/>
        <v>1</v>
      </c>
      <c r="AO288" s="3" t="str">
        <f>IF(ISERROR(MATCH(A288,'SegEnds_Xtal_Prot#'!B:B, 0)), "NoXtal", "Xtal")</f>
        <v>NoXtal</v>
      </c>
      <c r="AP288" s="3">
        <f t="shared" si="152"/>
        <v>1</v>
      </c>
      <c r="AQ288" s="3">
        <f t="shared" si="153"/>
        <v>1</v>
      </c>
      <c r="AR288" s="3">
        <f t="shared" si="154"/>
        <v>1</v>
      </c>
      <c r="AS288" s="3">
        <f t="shared" si="155"/>
        <v>1</v>
      </c>
      <c r="AT288" s="3" t="str">
        <f t="shared" si="156"/>
        <v>-</v>
      </c>
      <c r="AU288" s="3" t="str">
        <f t="shared" si="157"/>
        <v>-</v>
      </c>
      <c r="AV288" s="3">
        <f t="shared" si="158"/>
        <v>16</v>
      </c>
      <c r="AW288" s="3">
        <f t="shared" si="159"/>
        <v>9</v>
      </c>
      <c r="AX288" s="3">
        <f t="shared" si="160"/>
        <v>4</v>
      </c>
      <c r="AY288" s="3">
        <f t="shared" si="161"/>
        <v>5</v>
      </c>
      <c r="AZ288" s="3">
        <f t="shared" si="162"/>
        <v>1</v>
      </c>
      <c r="BA288" s="3">
        <f>IF(ISERROR(LEN(VLOOKUP(A288,Seqs!A:E,2,FALSE))-AL288),"-",LEN(VLOOKUP(A288,Seqs!A:E,2,FALSE))-AL288)</f>
        <v>41</v>
      </c>
      <c r="BB288" s="16">
        <f t="shared" si="163"/>
        <v>28</v>
      </c>
      <c r="BC288" s="9" t="str">
        <f t="shared" si="164"/>
        <v>-</v>
      </c>
      <c r="BD288" s="3">
        <f t="shared" si="165"/>
        <v>28</v>
      </c>
      <c r="BE288" s="3">
        <f t="shared" si="166"/>
        <v>52</v>
      </c>
    </row>
    <row r="289" spans="1:59" s="3" customFormat="1" x14ac:dyDescent="0.2">
      <c r="A289" s="3" t="s">
        <v>327</v>
      </c>
      <c r="B289" s="3" t="str">
        <f>LOWER(VLOOKUP(A289,Xtal_Templ!A:B,2,FALSE))</f>
        <v>npy1r_human</v>
      </c>
      <c r="C289" s="3">
        <f>VLOOKUP($A289,'SegEnds_NonXtal_BW#'!$A:$Z,3,FALSE)+D289-50</f>
        <v>37</v>
      </c>
      <c r="D289" s="3">
        <v>59</v>
      </c>
      <c r="E289" s="3">
        <f>IF(ISERROR(VLOOKUP($A289,'SegEnds_NonXtal_BW#'!$A:$Z,4,FALSE)+VLOOKUP($A289,A:AL,4,FALSE)-50),"-",(VLOOKUP($A289,'SegEnds_NonXtal_BW#'!$A:$Z,4,FALSE)+VLOOKUP($A289,A:AL,4,FALSE)-50))</f>
        <v>69</v>
      </c>
      <c r="F289" s="3">
        <f t="shared" si="171"/>
        <v>70</v>
      </c>
      <c r="G289" s="3">
        <v>72</v>
      </c>
      <c r="H289" s="3">
        <f t="shared" si="172"/>
        <v>73</v>
      </c>
      <c r="I289" s="3">
        <f t="shared" si="172"/>
        <v>74</v>
      </c>
      <c r="J289" s="3">
        <v>87</v>
      </c>
      <c r="K289" s="3">
        <f>VLOOKUP($A289,'SegEnds_NonXtal_BW#'!$A:$Z,8,FALSE)+VLOOKUP($A289,A:AL,10,FALSE)-50</f>
        <v>105</v>
      </c>
      <c r="L289" s="3">
        <f t="shared" si="173"/>
        <v>106</v>
      </c>
      <c r="M289" s="3">
        <v>107</v>
      </c>
      <c r="N289" s="3">
        <f t="shared" si="174"/>
        <v>109</v>
      </c>
      <c r="O289" s="3">
        <f t="shared" si="175"/>
        <v>110</v>
      </c>
      <c r="P289" s="3">
        <v>139</v>
      </c>
      <c r="Q289" s="3">
        <f>VLOOKUP($A289,'SegEnds_NonXtal_BW#'!$A:$Z,12,FALSE)+VLOOKUP($A289,A:AL,16,FALSE)-50</f>
        <v>145</v>
      </c>
      <c r="R289" s="3" t="str">
        <f>IF(ISERROR(VLOOKUP($A289,'SegEnds_NonXtal_BW#'!$A:$Z,13,FALSE)+VLOOKUP($A289,A:AL,19,FALSE)-50),"-",VLOOKUP($A289,'SegEnds_NonXtal_BW#'!$A:$Z,13,FALSE)+VLOOKUP($A289,A:AL,19,FALSE)-50)</f>
        <v>-</v>
      </c>
      <c r="S289" s="3" t="s">
        <v>23</v>
      </c>
      <c r="T289" s="100" t="str">
        <f>IF(ISERROR(VLOOKUP($A289,'SegEnds_NonXtal_BW#'!$A:$Z,14,FALSE)+VLOOKUP($A289,A:AL,19,FALSE)-50),"-",(VLOOKUP($A289,'SegEnds_NonXtal_BW#'!$A:$Z,14,FALSE)+VLOOKUP($A289,A:AL,19,FALSE)-50))</f>
        <v>-</v>
      </c>
      <c r="U289" s="9">
        <f>IF(ISERROR(VLOOKUP($A289,'SegEnds_NonXtal_BW#'!$A:$Z,15,FALSE)+VLOOKUP($A289,A:AL,22,FALSE)-50),"-",VLOOKUP($A289,'SegEnds_NonXtal_BW#'!$A:$Z,15,FALSE)+VLOOKUP($A289,A:AL,22,FALSE)-50)</f>
        <v>152</v>
      </c>
      <c r="V289" s="3">
        <v>164</v>
      </c>
      <c r="W289" s="3">
        <f>IF(ISERROR(VLOOKUP($A289,'SegEnds_NonXtal_BW#'!$A:$Z,16,FALSE)+VLOOKUP($A289,A:AL,22,FALSE)-50),"-",(VLOOKUP($A289,'SegEnds_NonXtal_BW#'!$A:$Z,16,FALSE)+VLOOKUP($A289,A:AL,22,FALSE)-50))</f>
        <v>178</v>
      </c>
      <c r="X289" s="3">
        <f>IF(ISERROR(VLOOKUP($A289,'SegEnds_NonXtal_BW#'!$A:$Z,17,FALSE)+VLOOKUP($A289,A:AL,25,FALSE)-50),"-",(VLOOKUP($A289,'SegEnds_NonXtal_BW#'!$A:$Z,17,FALSE)+VLOOKUP($A289,A:AL,25,FALSE)-50))</f>
        <v>201</v>
      </c>
      <c r="Y289" s="3">
        <v>201</v>
      </c>
      <c r="Z289" s="3">
        <f t="shared" si="169"/>
        <v>203</v>
      </c>
      <c r="AA289" s="3">
        <f>IF(ISERROR(VLOOKUP($A289,'SegEnds_NonXtal_BW#'!$A:$Z,19,FALSE)+VLOOKUP($A289,A:AL,28,FALSE)-50),"-",(VLOOKUP($A289,'SegEnds_NonXtal_BW#'!$A:$Z,19,FALSE)+VLOOKUP($A289,A:AL,28,FALSE)-50))</f>
        <v>207</v>
      </c>
      <c r="AB289" s="3">
        <v>226</v>
      </c>
      <c r="AC289" s="3">
        <f>IF(ISERROR((VLOOKUP($A289,'SegEnds_NonXtal_BW#'!$A:$Z,20,FALSE)+VLOOKUP($A289,A:AL,28,FALSE)-50)),"-",(VLOOKUP($A289,'SegEnds_NonXtal_BW#'!$A:$Z,20,FALSE)+VLOOKUP($A289,A:AL,28,FALSE)-50))</f>
        <v>248</v>
      </c>
      <c r="AD289" s="3">
        <f>IF(ISERROR(VLOOKUP($A289,'SegEnds_NonXtal_BW#'!$A:$Z,21,FALSE)+VLOOKUP($A289,A:AL,31,FALSE)-50),"-",(VLOOKUP($A289,'SegEnds_NonXtal_BW#'!$A:$Z,21,FALSE)+VLOOKUP($A289,A:AL,31,FALSE)-50))</f>
        <v>254</v>
      </c>
      <c r="AE289" s="3">
        <v>280</v>
      </c>
      <c r="AF289" s="3">
        <f>IF(ISERROR((VLOOKUP($A289,'SegEnds_NonXtal_BW#'!$A:$Z,22,FALSE)+VLOOKUP($A289,A:AL,31,FALSE)-50)),"-",(VLOOKUP($A289,'SegEnds_NonXtal_BW#'!$A:$Z,22,FALSE)+VLOOKUP($A289,A:AL,31,FALSE)-50))</f>
        <v>291</v>
      </c>
      <c r="AG289" s="3">
        <f>IF(ISERROR(VLOOKUP($A289,'SegEnds_NonXtal_BW#'!$A:$Z,23,FALSE)+VLOOKUP($A289,A:AL,34,FALSE)-50),"-",(VLOOKUP($A289,'SegEnds_NonXtal_BW#'!$A:$Z,23,FALSE)+VLOOKUP($A289,A:AL,34,FALSE)-50))</f>
        <v>297</v>
      </c>
      <c r="AH289" s="3">
        <v>319</v>
      </c>
      <c r="AI289" s="3">
        <f>IF(ISERROR((VLOOKUP($A289,'SegEnds_NonXtal_BW#'!$A:$Z,24,FALSE)+VLOOKUP($A289,A:AL,34,FALSE)-50)),"-",(VLOOKUP($A289,'SegEnds_NonXtal_BW#'!$A:$Z,24,FALSE)+VLOOKUP($A289,A:AL,34,FALSE)-50))</f>
        <v>325</v>
      </c>
      <c r="AJ289" s="3">
        <f>IF(ISERROR(VLOOKUP($A289,'SegEnds_NonXtal_BW#'!$A:$Z,25,FALSE)+VLOOKUP($A289,A:AL,37,FALSE)-50),"-",(VLOOKUP($A289,'SegEnds_NonXtal_BW#'!$A:$Z,25,FALSE)+VLOOKUP($A289,A:AL,37,FALSE)-50))</f>
        <v>326</v>
      </c>
      <c r="AK289" s="3">
        <v>329</v>
      </c>
      <c r="AL289" s="3">
        <f>IF(ISERROR((VLOOKUP($A289,'SegEnds_NonXtal_BW#'!$A:$Z,26,FALSE)+VLOOKUP($A289,A:AL,37,FALSE)-50)),"-",(VLOOKUP($A289,'SegEnds_NonXtal_BW#'!$A:$Z,26,FALSE)+VLOOKUP($A289,A:AL,37,FALSE)-50))</f>
        <v>337</v>
      </c>
      <c r="AM289" s="28" t="str">
        <f>VLOOKUP(A289,Classification!A:B,2,FALSE)</f>
        <v>A</v>
      </c>
      <c r="AN289" s="28" t="b">
        <f t="shared" si="167"/>
        <v>1</v>
      </c>
      <c r="AO289" s="3" t="str">
        <f>IF(ISERROR(MATCH(A289,'SegEnds_Xtal_Prot#'!B:B, 0)), "NoXtal", "Xtal")</f>
        <v>NoXtal</v>
      </c>
      <c r="AP289" s="3">
        <f t="shared" si="152"/>
        <v>1</v>
      </c>
      <c r="AQ289" s="3">
        <f t="shared" si="153"/>
        <v>1</v>
      </c>
      <c r="AR289" s="3">
        <f t="shared" si="154"/>
        <v>1</v>
      </c>
      <c r="AS289" s="3">
        <f t="shared" si="155"/>
        <v>1</v>
      </c>
      <c r="AT289" s="3" t="str">
        <f t="shared" si="156"/>
        <v>-</v>
      </c>
      <c r="AU289" s="3" t="str">
        <f t="shared" si="157"/>
        <v>-</v>
      </c>
      <c r="AV289" s="3">
        <f t="shared" si="158"/>
        <v>23</v>
      </c>
      <c r="AW289" s="3">
        <f t="shared" si="159"/>
        <v>4</v>
      </c>
      <c r="AX289" s="3">
        <f t="shared" si="160"/>
        <v>6</v>
      </c>
      <c r="AY289" s="3">
        <f t="shared" si="161"/>
        <v>6</v>
      </c>
      <c r="AZ289" s="3">
        <f t="shared" si="162"/>
        <v>1</v>
      </c>
      <c r="BA289" s="3">
        <f>IF(ISERROR(LEN(VLOOKUP(A289,Seqs!A:E,2,FALSE))-AL289),"-",LEN(VLOOKUP(A289,Seqs!A:E,2,FALSE))-AL289)</f>
        <v>38</v>
      </c>
      <c r="BB289" s="16">
        <f t="shared" si="163"/>
        <v>28</v>
      </c>
      <c r="BC289" s="9" t="str">
        <f t="shared" si="164"/>
        <v>-</v>
      </c>
      <c r="BD289" s="3">
        <f t="shared" si="165"/>
        <v>28</v>
      </c>
      <c r="BE289" s="3">
        <f t="shared" si="166"/>
        <v>54</v>
      </c>
    </row>
    <row r="290" spans="1:59" s="3" customFormat="1" x14ac:dyDescent="0.2">
      <c r="A290" s="3" t="s">
        <v>328</v>
      </c>
      <c r="B290" s="3" t="str">
        <f>LOWER(VLOOKUP(A290,Xtal_Templ!A:B,2,FALSE))</f>
        <v>npy1r_human</v>
      </c>
      <c r="C290" s="3">
        <f>VLOOKUP($A290,'SegEnds_NonXtal_BW#'!$A:$Z,3,FALSE)+D290-50</f>
        <v>37</v>
      </c>
      <c r="D290" s="3">
        <v>59</v>
      </c>
      <c r="E290" s="3">
        <f>IF(ISERROR(VLOOKUP($A290,'SegEnds_NonXtal_BW#'!$A:$Z,4,FALSE)+VLOOKUP($A290,A:AL,4,FALSE)-50),"-",(VLOOKUP($A290,'SegEnds_NonXtal_BW#'!$A:$Z,4,FALSE)+VLOOKUP($A290,A:AL,4,FALSE)-50))</f>
        <v>69</v>
      </c>
      <c r="F290" s="3">
        <f t="shared" si="171"/>
        <v>70</v>
      </c>
      <c r="G290" s="3">
        <v>72</v>
      </c>
      <c r="H290" s="3">
        <f t="shared" si="172"/>
        <v>73</v>
      </c>
      <c r="I290" s="3">
        <f t="shared" si="172"/>
        <v>74</v>
      </c>
      <c r="J290" s="3">
        <v>87</v>
      </c>
      <c r="K290" s="3">
        <f>VLOOKUP($A290,'SegEnds_NonXtal_BW#'!$A:$Z,8,FALSE)+VLOOKUP($A290,A:AL,10,FALSE)-50</f>
        <v>105</v>
      </c>
      <c r="L290" s="3">
        <f t="shared" si="173"/>
        <v>106</v>
      </c>
      <c r="M290" s="3">
        <v>107</v>
      </c>
      <c r="N290" s="3">
        <f t="shared" si="174"/>
        <v>109</v>
      </c>
      <c r="O290" s="3">
        <f t="shared" si="175"/>
        <v>110</v>
      </c>
      <c r="P290" s="3">
        <v>139</v>
      </c>
      <c r="Q290" s="3">
        <f>VLOOKUP($A290,'SegEnds_NonXtal_BW#'!$A:$Z,12,FALSE)+VLOOKUP($A290,A:AL,16,FALSE)-50</f>
        <v>145</v>
      </c>
      <c r="R290" s="3" t="str">
        <f>IF(ISERROR(VLOOKUP($A290,'SegEnds_NonXtal_BW#'!$A:$Z,13,FALSE)+VLOOKUP($A290,A:AL,19,FALSE)-50),"-",VLOOKUP($A290,'SegEnds_NonXtal_BW#'!$A:$Z,13,FALSE)+VLOOKUP($A290,A:AL,19,FALSE)-50)</f>
        <v>-</v>
      </c>
      <c r="S290" s="3" t="s">
        <v>23</v>
      </c>
      <c r="T290" s="100" t="str">
        <f>IF(ISERROR(VLOOKUP($A290,'SegEnds_NonXtal_BW#'!$A:$Z,14,FALSE)+VLOOKUP($A290,A:AL,19,FALSE)-50),"-",(VLOOKUP($A290,'SegEnds_NonXtal_BW#'!$A:$Z,14,FALSE)+VLOOKUP($A290,A:AL,19,FALSE)-50))</f>
        <v>-</v>
      </c>
      <c r="U290" s="9">
        <f>IF(ISERROR(VLOOKUP($A290,'SegEnds_NonXtal_BW#'!$A:$Z,15,FALSE)+VLOOKUP($A290,A:AL,22,FALSE)-50),"-",VLOOKUP($A290,'SegEnds_NonXtal_BW#'!$A:$Z,15,FALSE)+VLOOKUP($A290,A:AL,22,FALSE)-50)</f>
        <v>152</v>
      </c>
      <c r="V290" s="3">
        <v>164</v>
      </c>
      <c r="W290" s="3">
        <f>IF(ISERROR(VLOOKUP($A290,'SegEnds_NonXtal_BW#'!$A:$Z,16,FALSE)+VLOOKUP($A290,A:AL,22,FALSE)-50),"-",(VLOOKUP($A290,'SegEnds_NonXtal_BW#'!$A:$Z,16,FALSE)+VLOOKUP($A290,A:AL,22,FALSE)-50))</f>
        <v>178</v>
      </c>
      <c r="X290" s="3">
        <f>IF(ISERROR(VLOOKUP($A290,'SegEnds_NonXtal_BW#'!$A:$Z,17,FALSE)+VLOOKUP($A290,A:AL,25,FALSE)-50),"-",(VLOOKUP($A290,'SegEnds_NonXtal_BW#'!$A:$Z,17,FALSE)+VLOOKUP($A290,A:AL,25,FALSE)-50))</f>
        <v>198</v>
      </c>
      <c r="Y290" s="3">
        <v>198</v>
      </c>
      <c r="Z290" s="3">
        <f t="shared" si="169"/>
        <v>200</v>
      </c>
      <c r="AA290" s="3">
        <f>IF(ISERROR(VLOOKUP($A290,'SegEnds_NonXtal_BW#'!$A:$Z,19,FALSE)+VLOOKUP($A290,A:AL,28,FALSE)-50),"-",(VLOOKUP($A290,'SegEnds_NonXtal_BW#'!$A:$Z,19,FALSE)+VLOOKUP($A290,A:AL,28,FALSE)-50))</f>
        <v>204</v>
      </c>
      <c r="AB290" s="3">
        <v>223</v>
      </c>
      <c r="AC290" s="3">
        <f>IF(ISERROR((VLOOKUP($A290,'SegEnds_NonXtal_BW#'!$A:$Z,20,FALSE)+VLOOKUP($A290,A:AL,28,FALSE)-50)),"-",(VLOOKUP($A290,'SegEnds_NonXtal_BW#'!$A:$Z,20,FALSE)+VLOOKUP($A290,A:AL,28,FALSE)-50))</f>
        <v>249</v>
      </c>
      <c r="AD290" s="3">
        <f>IF(ISERROR(VLOOKUP($A290,'SegEnds_NonXtal_BW#'!$A:$Z,21,FALSE)+VLOOKUP($A290,A:AL,31,FALSE)-50),"-",(VLOOKUP($A290,'SegEnds_NonXtal_BW#'!$A:$Z,21,FALSE)+VLOOKUP($A290,A:AL,31,FALSE)-50))</f>
        <v>357</v>
      </c>
      <c r="AE290" s="3">
        <v>383</v>
      </c>
      <c r="AF290" s="3">
        <f>IF(ISERROR((VLOOKUP($A290,'SegEnds_NonXtal_BW#'!$A:$Z,22,FALSE)+VLOOKUP($A290,A:AL,31,FALSE)-50)),"-",(VLOOKUP($A290,'SegEnds_NonXtal_BW#'!$A:$Z,22,FALSE)+VLOOKUP($A290,A:AL,31,FALSE)-50))</f>
        <v>394</v>
      </c>
      <c r="AG290" s="3">
        <f>IF(ISERROR(VLOOKUP($A290,'SegEnds_NonXtal_BW#'!$A:$Z,23,FALSE)+VLOOKUP($A290,A:AL,34,FALSE)-50),"-",(VLOOKUP($A290,'SegEnds_NonXtal_BW#'!$A:$Z,23,FALSE)+VLOOKUP($A290,A:AL,34,FALSE)-50))</f>
        <v>400</v>
      </c>
      <c r="AH290" s="3">
        <v>422</v>
      </c>
      <c r="AI290" s="3">
        <f>IF(ISERROR((VLOOKUP($A290,'SegEnds_NonXtal_BW#'!$A:$Z,24,FALSE)+VLOOKUP($A290,A:AL,34,FALSE)-50)),"-",(VLOOKUP($A290,'SegEnds_NonXtal_BW#'!$A:$Z,24,FALSE)+VLOOKUP($A290,A:AL,34,FALSE)-50))</f>
        <v>428</v>
      </c>
      <c r="AJ290" s="3">
        <f>IF(ISERROR(VLOOKUP($A290,'SegEnds_NonXtal_BW#'!$A:$Z,25,FALSE)+VLOOKUP($A290,A:AL,37,FALSE)-50),"-",(VLOOKUP($A290,'SegEnds_NonXtal_BW#'!$A:$Z,25,FALSE)+VLOOKUP($A290,A:AL,37,FALSE)-50))</f>
        <v>429</v>
      </c>
      <c r="AK290" s="3">
        <v>432</v>
      </c>
      <c r="AL290" s="3">
        <f>IF(ISERROR((VLOOKUP($A290,'SegEnds_NonXtal_BW#'!$A:$Z,26,FALSE)+VLOOKUP($A290,A:AL,37,FALSE)-50)),"-",(VLOOKUP($A290,'SegEnds_NonXtal_BW#'!$A:$Z,26,FALSE)+VLOOKUP($A290,A:AL,37,FALSE)-50))</f>
        <v>440</v>
      </c>
      <c r="AM290" s="28" t="str">
        <f>VLOOKUP(A290,Classification!A:B,2,FALSE)</f>
        <v>A</v>
      </c>
      <c r="AN290" s="28" t="b">
        <f t="shared" si="167"/>
        <v>1</v>
      </c>
      <c r="AO290" s="3" t="str">
        <f>IF(ISERROR(MATCH(A290,'SegEnds_Xtal_Prot#'!B:B, 0)), "NoXtal", "Xtal")</f>
        <v>NoXtal</v>
      </c>
      <c r="AP290" s="3">
        <f t="shared" si="152"/>
        <v>1</v>
      </c>
      <c r="AQ290" s="3">
        <f t="shared" si="153"/>
        <v>1</v>
      </c>
      <c r="AR290" s="3">
        <f t="shared" si="154"/>
        <v>1</v>
      </c>
      <c r="AS290" s="3">
        <f t="shared" si="155"/>
        <v>1</v>
      </c>
      <c r="AT290" s="3" t="str">
        <f t="shared" si="156"/>
        <v>-</v>
      </c>
      <c r="AU290" s="3" t="str">
        <f t="shared" si="157"/>
        <v>-</v>
      </c>
      <c r="AV290" s="3">
        <f t="shared" si="158"/>
        <v>20</v>
      </c>
      <c r="AW290" s="3">
        <f t="shared" si="159"/>
        <v>4</v>
      </c>
      <c r="AX290" s="3">
        <f t="shared" si="160"/>
        <v>108</v>
      </c>
      <c r="AY290" s="3">
        <f t="shared" si="161"/>
        <v>6</v>
      </c>
      <c r="AZ290" s="3">
        <f t="shared" si="162"/>
        <v>1</v>
      </c>
      <c r="BA290" s="3">
        <f>IF(ISERROR(LEN(VLOOKUP(A290,Seqs!A:E,2,FALSE))-AL290),"-",LEN(VLOOKUP(A290,Seqs!A:E,2,FALSE))-AL290)</f>
        <v>5</v>
      </c>
      <c r="BB290" s="16">
        <f t="shared" si="163"/>
        <v>28</v>
      </c>
      <c r="BC290" s="9" t="str">
        <f t="shared" si="164"/>
        <v>-</v>
      </c>
      <c r="BD290" s="3">
        <f t="shared" si="165"/>
        <v>28</v>
      </c>
      <c r="BE290" s="3">
        <f t="shared" si="166"/>
        <v>160</v>
      </c>
      <c r="BF290" s="3">
        <f>AH290-AE290</f>
        <v>39</v>
      </c>
    </row>
    <row r="291" spans="1:59" s="3" customFormat="1" x14ac:dyDescent="0.2">
      <c r="A291" s="3" t="s">
        <v>329</v>
      </c>
      <c r="B291" s="3" t="str">
        <f>LOWER(VLOOKUP(A291,Xtal_Templ!A:B,2,FALSE))</f>
        <v>npy1r_human</v>
      </c>
      <c r="C291" s="3">
        <f>VLOOKUP($A291,'SegEnds_NonXtal_BW#'!$A:$Z,3,FALSE)+D291-50</f>
        <v>31</v>
      </c>
      <c r="D291" s="3">
        <v>53</v>
      </c>
      <c r="E291" s="3">
        <f>IF(ISERROR(VLOOKUP($A291,'SegEnds_NonXtal_BW#'!$A:$Z,4,FALSE)+VLOOKUP($A291,A:AL,4,FALSE)-50),"-",(VLOOKUP($A291,'SegEnds_NonXtal_BW#'!$A:$Z,4,FALSE)+VLOOKUP($A291,A:AL,4,FALSE)-50))</f>
        <v>63</v>
      </c>
      <c r="F291" s="3">
        <f t="shared" si="171"/>
        <v>65</v>
      </c>
      <c r="G291" s="3">
        <v>67</v>
      </c>
      <c r="H291" s="3">
        <f t="shared" si="172"/>
        <v>68</v>
      </c>
      <c r="I291" s="3">
        <f t="shared" si="172"/>
        <v>69</v>
      </c>
      <c r="J291" s="3">
        <v>82</v>
      </c>
      <c r="K291" s="3">
        <f>VLOOKUP($A291,'SegEnds_NonXtal_BW#'!$A:$Z,8,FALSE)+VLOOKUP($A291,A:AL,10,FALSE)-50</f>
        <v>100</v>
      </c>
      <c r="L291" s="3">
        <f t="shared" si="173"/>
        <v>101</v>
      </c>
      <c r="M291" s="3">
        <v>102</v>
      </c>
      <c r="N291" s="3">
        <f t="shared" si="174"/>
        <v>104</v>
      </c>
      <c r="O291" s="3">
        <f t="shared" si="175"/>
        <v>105</v>
      </c>
      <c r="P291" s="3">
        <v>134</v>
      </c>
      <c r="Q291" s="3">
        <f>VLOOKUP($A291,'SegEnds_NonXtal_BW#'!$A:$Z,12,FALSE)+VLOOKUP($A291,A:AL,16,FALSE)-50</f>
        <v>140</v>
      </c>
      <c r="R291" s="3" t="str">
        <f>IF(ISERROR(VLOOKUP($A291,'SegEnds_NonXtal_BW#'!$A:$Z,13,FALSE)+VLOOKUP($A291,A:AL,19,FALSE)-50),"-",VLOOKUP($A291,'SegEnds_NonXtal_BW#'!$A:$Z,13,FALSE)+VLOOKUP($A291,A:AL,19,FALSE)-50)</f>
        <v>-</v>
      </c>
      <c r="S291" s="3" t="s">
        <v>23</v>
      </c>
      <c r="T291" s="100" t="str">
        <f>IF(ISERROR(VLOOKUP($A291,'SegEnds_NonXtal_BW#'!$A:$Z,14,FALSE)+VLOOKUP($A291,A:AL,19,FALSE)-50),"-",(VLOOKUP($A291,'SegEnds_NonXtal_BW#'!$A:$Z,14,FALSE)+VLOOKUP($A291,A:AL,19,FALSE)-50))</f>
        <v>-</v>
      </c>
      <c r="U291" s="9">
        <f>IF(ISERROR(VLOOKUP($A291,'SegEnds_NonXtal_BW#'!$A:$Z,15,FALSE)+VLOOKUP($A291,A:AL,22,FALSE)-50),"-",VLOOKUP($A291,'SegEnds_NonXtal_BW#'!$A:$Z,15,FALSE)+VLOOKUP($A291,A:AL,22,FALSE)-50)</f>
        <v>147</v>
      </c>
      <c r="V291" s="3">
        <v>159</v>
      </c>
      <c r="W291" s="3">
        <f>IF(ISERROR(VLOOKUP($A291,'SegEnds_NonXtal_BW#'!$A:$Z,16,FALSE)+VLOOKUP($A291,A:AL,22,FALSE)-50),"-",(VLOOKUP($A291,'SegEnds_NonXtal_BW#'!$A:$Z,16,FALSE)+VLOOKUP($A291,A:AL,22,FALSE)-50))</f>
        <v>173</v>
      </c>
      <c r="X291" s="3" t="str">
        <f>IF(ISERROR(VLOOKUP($A291,'SegEnds_NonXtal_BW#'!$A:$Z,17,FALSE)+VLOOKUP($A291,A:AL,25,FALSE)-50),"-",(VLOOKUP($A291,'SegEnds_NonXtal_BW#'!$A:$Z,17,FALSE)+VLOOKUP($A291,A:AL,25,FALSE)-50))</f>
        <v>-</v>
      </c>
      <c r="Y291" s="3" t="s">
        <v>23</v>
      </c>
      <c r="Z291" s="3" t="str">
        <f>IF(ISERROR(VLOOKUP($A291,'SegEnds_NonXtal_BW#'!$A:$Z,18,FALSE)+VLOOKUP($A291,A:AL,25,FALSE)-50),"-",(VLOOKUP($A291,'SegEnds_NonXtal_BW#'!$A:$Z,18,FALSE)+VLOOKUP($A291,A:AL,25,FALSE)-50))</f>
        <v>-</v>
      </c>
      <c r="AA291" s="3">
        <f>IF(ISERROR(VLOOKUP($A291,'SegEnds_NonXtal_BW#'!$A:$Z,19,FALSE)+VLOOKUP($A291,A:AL,28,FALSE)-50),"-",(VLOOKUP($A291,'SegEnds_NonXtal_BW#'!$A:$Z,19,FALSE)+VLOOKUP($A291,A:AL,28,FALSE)-50))</f>
        <v>202</v>
      </c>
      <c r="AB291" s="3">
        <v>221</v>
      </c>
      <c r="AC291" s="3">
        <f>IF(ISERROR((VLOOKUP($A291,'SegEnds_NonXtal_BW#'!$A:$Z,20,FALSE)+VLOOKUP($A291,A:AL,28,FALSE)-50)),"-",(VLOOKUP($A291,'SegEnds_NonXtal_BW#'!$A:$Z,20,FALSE)+VLOOKUP($A291,A:AL,28,FALSE)-50))</f>
        <v>244</v>
      </c>
      <c r="AD291" s="3">
        <f>IF(ISERROR(VLOOKUP($A291,'SegEnds_NonXtal_BW#'!$A:$Z,21,FALSE)+VLOOKUP($A291,A:AL,31,FALSE)-50),"-",(VLOOKUP($A291,'SegEnds_NonXtal_BW#'!$A:$Z,21,FALSE)+VLOOKUP($A291,A:AL,31,FALSE)-50))</f>
        <v>248</v>
      </c>
      <c r="AE291" s="3">
        <v>276</v>
      </c>
      <c r="AF291" s="3">
        <f>IF(ISERROR((VLOOKUP($A291,'SegEnds_NonXtal_BW#'!$A:$Z,22,FALSE)+VLOOKUP($A291,A:AL,31,FALSE)-50)),"-",(VLOOKUP($A291,'SegEnds_NonXtal_BW#'!$A:$Z,22,FALSE)+VLOOKUP($A291,A:AL,31,FALSE)-50))</f>
        <v>287</v>
      </c>
      <c r="AG291" s="3" t="str">
        <f>IF(ISERROR(VLOOKUP($A291,'SegEnds_NonXtal_BW#'!$A:$Z,23,FALSE)+VLOOKUP($A291,A:AL,34,FALSE)-50),"-",(VLOOKUP($A291,'SegEnds_NonXtal_BW#'!$A:$Z,23,FALSE)+VLOOKUP($A291,A:AL,34,FALSE)-50))</f>
        <v>-</v>
      </c>
      <c r="AH291" s="3" t="s">
        <v>23</v>
      </c>
      <c r="AI291" s="3" t="str">
        <f>IF(ISERROR((VLOOKUP($A291,'SegEnds_NonXtal_BW#'!$A:$Z,24,FALSE)+VLOOKUP($A291,A:AL,34,FALSE)-50)),"-",(VLOOKUP($A291,'SegEnds_NonXtal_BW#'!$A:$Z,24,FALSE)+VLOOKUP($A291,A:AL,34,FALSE)-50))</f>
        <v>-</v>
      </c>
      <c r="AJ291" s="3" t="str">
        <f>IF(ISERROR(VLOOKUP($A291,'SegEnds_NonXtal_BW#'!$A:$Z,25,FALSE)+VLOOKUP($A291,A:AL,37,FALSE)-50),"-",(VLOOKUP($A291,'SegEnds_NonXtal_BW#'!$A:$Z,25,FALSE)+VLOOKUP($A291,A:AL,37,FALSE)-50))</f>
        <v>-</v>
      </c>
      <c r="AK291" s="3" t="s">
        <v>23</v>
      </c>
      <c r="AL291" s="3" t="str">
        <f>IF(ISERROR((VLOOKUP($A291,'SegEnds_NonXtal_BW#'!$A:$Z,26,FALSE)+VLOOKUP($A291,A:AL,37,FALSE)-50)),"-",(VLOOKUP($A291,'SegEnds_NonXtal_BW#'!$A:$Z,26,FALSE)+VLOOKUP($A291,A:AL,37,FALSE)-50))</f>
        <v>-</v>
      </c>
      <c r="AM291" s="28" t="str">
        <f>VLOOKUP(A291,Classification!A:B,2,FALSE)</f>
        <v>A</v>
      </c>
      <c r="AN291" s="28" t="e">
        <f t="shared" si="167"/>
        <v>#VALUE!</v>
      </c>
      <c r="AO291" s="3" t="str">
        <f>IF(ISERROR(MATCH(A291,'SegEnds_Xtal_Prot#'!B:B, 0)), "NoXtal", "Xtal")</f>
        <v>NoXtal</v>
      </c>
      <c r="AP291" s="3">
        <f t="shared" si="152"/>
        <v>2</v>
      </c>
      <c r="AQ291" s="3">
        <f t="shared" si="153"/>
        <v>1</v>
      </c>
      <c r="AR291" s="3">
        <f t="shared" si="154"/>
        <v>1</v>
      </c>
      <c r="AS291" s="3">
        <f t="shared" si="155"/>
        <v>1</v>
      </c>
      <c r="AT291" s="3" t="str">
        <f t="shared" si="156"/>
        <v>-</v>
      </c>
      <c r="AU291" s="3" t="str">
        <f t="shared" si="157"/>
        <v>-</v>
      </c>
      <c r="AV291" s="3" t="str">
        <f t="shared" si="158"/>
        <v>-</v>
      </c>
      <c r="AW291" s="3" t="str">
        <f t="shared" si="159"/>
        <v>-</v>
      </c>
      <c r="AX291" s="3">
        <f t="shared" si="160"/>
        <v>4</v>
      </c>
      <c r="AY291" s="3" t="str">
        <f t="shared" si="161"/>
        <v>-</v>
      </c>
      <c r="AZ291" s="3" t="str">
        <f t="shared" si="162"/>
        <v>-</v>
      </c>
      <c r="BA291" s="3" t="str">
        <f>IF(ISERROR(LEN(VLOOKUP(A291,Seqs!A:E,2,FALSE))-AL291),"-",LEN(VLOOKUP(A291,Seqs!A:E,2,FALSE))-AL291)</f>
        <v>-</v>
      </c>
      <c r="BB291" s="16">
        <f t="shared" si="163"/>
        <v>29</v>
      </c>
      <c r="BC291" s="9" t="str">
        <f t="shared" si="164"/>
        <v>-</v>
      </c>
      <c r="BD291" s="3">
        <f t="shared" si="165"/>
        <v>29</v>
      </c>
      <c r="BE291" s="3">
        <f t="shared" si="166"/>
        <v>55</v>
      </c>
      <c r="BG291" s="3" t="s">
        <v>1312</v>
      </c>
    </row>
    <row r="292" spans="1:59" s="3" customFormat="1" x14ac:dyDescent="0.2">
      <c r="A292" s="3" t="s">
        <v>332</v>
      </c>
      <c r="B292" s="3" t="str">
        <f>LOWER(VLOOKUP(A292,Xtal_Templ!A:B,2,FALSE))</f>
        <v>opsd_bovin</v>
      </c>
      <c r="C292" s="3">
        <f>VLOOKUP($A292,'SegEnds_NonXtal_BW#'!$A:$Z,3,FALSE)+D292-50</f>
        <v>37</v>
      </c>
      <c r="D292" s="3">
        <v>59</v>
      </c>
      <c r="E292" s="3">
        <f>IF(ISERROR(VLOOKUP($A292,'SegEnds_NonXtal_BW#'!$A:$Z,4,FALSE)+VLOOKUP($A292,A:AL,4,FALSE)-50),"-",(VLOOKUP($A292,'SegEnds_NonXtal_BW#'!$A:$Z,4,FALSE)+VLOOKUP($A292,A:AL,4,FALSE)-50))</f>
        <v>69</v>
      </c>
      <c r="F292" s="3">
        <f t="shared" si="171"/>
        <v>70</v>
      </c>
      <c r="G292" s="3">
        <v>72</v>
      </c>
      <c r="H292" s="3">
        <f t="shared" si="172"/>
        <v>73</v>
      </c>
      <c r="I292" s="3">
        <f t="shared" si="172"/>
        <v>74</v>
      </c>
      <c r="J292" s="3">
        <v>87</v>
      </c>
      <c r="K292" s="3">
        <f>VLOOKUP($A292,'SegEnds_NonXtal_BW#'!$A:$Z,8,FALSE)+VLOOKUP($A292,A:AL,10,FALSE)-50</f>
        <v>104</v>
      </c>
      <c r="L292" s="3">
        <f t="shared" si="173"/>
        <v>106</v>
      </c>
      <c r="M292" s="3">
        <v>107</v>
      </c>
      <c r="N292" s="3">
        <f t="shared" si="174"/>
        <v>109</v>
      </c>
      <c r="O292" s="3">
        <f t="shared" si="175"/>
        <v>110</v>
      </c>
      <c r="P292" s="3">
        <v>139</v>
      </c>
      <c r="Q292" s="3">
        <f>VLOOKUP($A292,'SegEnds_NonXtal_BW#'!$A:$Z,12,FALSE)+VLOOKUP($A292,A:AL,16,FALSE)-50</f>
        <v>145</v>
      </c>
      <c r="R292" s="3" t="str">
        <f>IF(ISERROR(VLOOKUP($A292,'SegEnds_NonXtal_BW#'!$A:$Z,13,FALSE)+VLOOKUP($A292,A:AL,19,FALSE)-50),"-",VLOOKUP($A292,'SegEnds_NonXtal_BW#'!$A:$Z,13,FALSE)+VLOOKUP($A292,A:AL,19,FALSE)-50)</f>
        <v>-</v>
      </c>
      <c r="S292" s="3" t="s">
        <v>23</v>
      </c>
      <c r="T292" s="100" t="str">
        <f>IF(ISERROR(VLOOKUP($A292,'SegEnds_NonXtal_BW#'!$A:$Z,14,FALSE)+VLOOKUP($A292,A:AL,19,FALSE)-50),"-",(VLOOKUP($A292,'SegEnds_NonXtal_BW#'!$A:$Z,14,FALSE)+VLOOKUP($A292,A:AL,19,FALSE)-50))</f>
        <v>-</v>
      </c>
      <c r="U292" s="9">
        <f>IF(ISERROR(VLOOKUP($A292,'SegEnds_NonXtal_BW#'!$A:$Z,15,FALSE)+VLOOKUP($A292,A:AL,22,FALSE)-50),"-",VLOOKUP($A292,'SegEnds_NonXtal_BW#'!$A:$Z,15,FALSE)+VLOOKUP($A292,A:AL,22,FALSE)-50)</f>
        <v>150</v>
      </c>
      <c r="V292" s="3">
        <v>162</v>
      </c>
      <c r="W292" s="3">
        <f>IF(ISERROR(VLOOKUP($A292,'SegEnds_NonXtal_BW#'!$A:$Z,16,FALSE)+VLOOKUP($A292,A:AL,22,FALSE)-50),"-",(VLOOKUP($A292,'SegEnds_NonXtal_BW#'!$A:$Z,16,FALSE)+VLOOKUP($A292,A:AL,22,FALSE)-50))</f>
        <v>174</v>
      </c>
      <c r="X292" s="3">
        <f>IF(ISERROR(VLOOKUP($A292,'SegEnds_NonXtal_BW#'!$A:$Z,17,FALSE)+VLOOKUP($A292,A:AL,25,FALSE)-50),"-",(VLOOKUP($A292,'SegEnds_NonXtal_BW#'!$A:$Z,17,FALSE)+VLOOKUP($A292,A:AL,25,FALSE)-50))</f>
        <v>188</v>
      </c>
      <c r="Y292" s="3">
        <v>188</v>
      </c>
      <c r="Z292" s="3">
        <f t="shared" ref="Z292:Z324" si="176">Y292+2</f>
        <v>190</v>
      </c>
      <c r="AA292" s="3">
        <f>IF(ISERROR(VLOOKUP($A292,'SegEnds_NonXtal_BW#'!$A:$Z,19,FALSE)+VLOOKUP($A292,A:AL,28,FALSE)-50),"-",(VLOOKUP($A292,'SegEnds_NonXtal_BW#'!$A:$Z,19,FALSE)+VLOOKUP($A292,A:AL,28,FALSE)-50))</f>
        <v>198</v>
      </c>
      <c r="AB292" s="3">
        <v>214</v>
      </c>
      <c r="AC292" s="3">
        <f>IF(ISERROR((VLOOKUP($A292,'SegEnds_NonXtal_BW#'!$A:$Z,20,FALSE)+VLOOKUP($A292,A:AL,28,FALSE)-50)),"-",(VLOOKUP($A292,'SegEnds_NonXtal_BW#'!$A:$Z,20,FALSE)+VLOOKUP($A292,A:AL,28,FALSE)-50))</f>
        <v>237</v>
      </c>
      <c r="AD292" s="3">
        <f>IF(ISERROR(VLOOKUP($A292,'SegEnds_NonXtal_BW#'!$A:$Z,21,FALSE)+VLOOKUP($A292,A:AL,31,FALSE)-50),"-",(VLOOKUP($A292,'SegEnds_NonXtal_BW#'!$A:$Z,21,FALSE)+VLOOKUP($A292,A:AL,31,FALSE)-50))</f>
        <v>242</v>
      </c>
      <c r="AE292" s="3">
        <v>270</v>
      </c>
      <c r="AF292" s="3">
        <f>IF(ISERROR((VLOOKUP($A292,'SegEnds_NonXtal_BW#'!$A:$Z,22,FALSE)+VLOOKUP($A292,A:AL,31,FALSE)-50)),"-",(VLOOKUP($A292,'SegEnds_NonXtal_BW#'!$A:$Z,22,FALSE)+VLOOKUP($A292,A:AL,31,FALSE)-50))</f>
        <v>281</v>
      </c>
      <c r="AG292" s="3">
        <f>IF(ISERROR(VLOOKUP($A292,'SegEnds_NonXtal_BW#'!$A:$Z,23,FALSE)+VLOOKUP($A292,A:AL,34,FALSE)-50),"-",(VLOOKUP($A292,'SegEnds_NonXtal_BW#'!$A:$Z,23,FALSE)+VLOOKUP($A292,A:AL,34,FALSE)-50))</f>
        <v>287</v>
      </c>
      <c r="AH292" s="3">
        <v>306</v>
      </c>
      <c r="AI292" s="3">
        <f>IF(ISERROR((VLOOKUP($A292,'SegEnds_NonXtal_BW#'!$A:$Z,24,FALSE)+VLOOKUP($A292,A:AL,34,FALSE)-50)),"-",(VLOOKUP($A292,'SegEnds_NonXtal_BW#'!$A:$Z,24,FALSE)+VLOOKUP($A292,A:AL,34,FALSE)-50))</f>
        <v>312</v>
      </c>
      <c r="AJ292" s="3">
        <f>IF(ISERROR(VLOOKUP($A292,'SegEnds_NonXtal_BW#'!$A:$Z,25,FALSE)+VLOOKUP($A292,A:AL,37,FALSE)-50),"-",(VLOOKUP($A292,'SegEnds_NonXtal_BW#'!$A:$Z,25,FALSE)+VLOOKUP($A292,A:AL,37,FALSE)-50))</f>
        <v>313</v>
      </c>
      <c r="AK292" s="3">
        <v>316</v>
      </c>
      <c r="AL292" s="3">
        <f>IF(ISERROR((VLOOKUP($A292,'SegEnds_NonXtal_BW#'!$A:$Z,26,FALSE)+VLOOKUP($A292,A:AL,37,FALSE)-50)),"-",(VLOOKUP($A292,'SegEnds_NonXtal_BW#'!$A:$Z,26,FALSE)+VLOOKUP($A292,A:AL,37,FALSE)-50))</f>
        <v>325</v>
      </c>
      <c r="AM292" s="28" t="str">
        <f>VLOOKUP(A292,Classification!A:B,2,FALSE)</f>
        <v>A</v>
      </c>
      <c r="AN292" s="28" t="b">
        <f t="shared" si="167"/>
        <v>1</v>
      </c>
      <c r="AO292" s="3" t="str">
        <f>IF(ISERROR(MATCH(A292,'SegEnds_Xtal_Prot#'!B:B, 0)), "NoXtal", "Xtal")</f>
        <v>NoXtal</v>
      </c>
      <c r="AP292" s="3">
        <f t="shared" si="152"/>
        <v>1</v>
      </c>
      <c r="AQ292" s="3">
        <f t="shared" si="153"/>
        <v>1</v>
      </c>
      <c r="AR292" s="3">
        <f t="shared" si="154"/>
        <v>2</v>
      </c>
      <c r="AS292" s="3">
        <f t="shared" si="155"/>
        <v>1</v>
      </c>
      <c r="AT292" s="3" t="str">
        <f t="shared" si="156"/>
        <v>-</v>
      </c>
      <c r="AU292" s="3" t="str">
        <f t="shared" si="157"/>
        <v>-</v>
      </c>
      <c r="AV292" s="3">
        <f t="shared" si="158"/>
        <v>14</v>
      </c>
      <c r="AW292" s="3">
        <f t="shared" si="159"/>
        <v>8</v>
      </c>
      <c r="AX292" s="3">
        <f t="shared" si="160"/>
        <v>5</v>
      </c>
      <c r="AY292" s="3">
        <f t="shared" si="161"/>
        <v>6</v>
      </c>
      <c r="AZ292" s="3">
        <f t="shared" si="162"/>
        <v>1</v>
      </c>
      <c r="BA292" s="3">
        <f>IF(ISERROR(LEN(VLOOKUP(A292,Seqs!A:E,2,FALSE))-AL292),"-",LEN(VLOOKUP(A292,Seqs!A:E,2,FALSE))-AL292)</f>
        <v>77</v>
      </c>
      <c r="BB292" s="16">
        <f t="shared" si="163"/>
        <v>28</v>
      </c>
      <c r="BC292" s="9" t="str">
        <f t="shared" si="164"/>
        <v>-</v>
      </c>
      <c r="BD292" s="3">
        <f t="shared" si="165"/>
        <v>28</v>
      </c>
      <c r="BE292" s="3">
        <f t="shared" si="166"/>
        <v>56</v>
      </c>
    </row>
    <row r="293" spans="1:59" s="3" customFormat="1" x14ac:dyDescent="0.2">
      <c r="A293" s="3" t="s">
        <v>344</v>
      </c>
      <c r="B293" s="3" t="str">
        <f>LOWER(VLOOKUP(A293,Xtal_Templ!A:B,2,FALSE))</f>
        <v>ox2r_human</v>
      </c>
      <c r="C293" s="3">
        <f>VLOOKUP($A293,'SegEnds_NonXtal_BW#'!$A:$Z,3,FALSE)+D293-50</f>
        <v>38</v>
      </c>
      <c r="D293" s="3">
        <v>57</v>
      </c>
      <c r="E293" s="3">
        <f>IF(ISERROR(VLOOKUP($A293,'SegEnds_NonXtal_BW#'!$A:$Z,4,FALSE)+VLOOKUP($A293,A:AL,4,FALSE)-50),"-",(VLOOKUP($A293,'SegEnds_NonXtal_BW#'!$A:$Z,4,FALSE)+VLOOKUP($A293,A:AL,4,FALSE)-50))</f>
        <v>67</v>
      </c>
      <c r="F293" s="3">
        <f t="shared" si="171"/>
        <v>68</v>
      </c>
      <c r="G293" s="3">
        <v>70</v>
      </c>
      <c r="H293" s="3">
        <f t="shared" si="172"/>
        <v>71</v>
      </c>
      <c r="I293" s="3">
        <f t="shared" si="172"/>
        <v>72</v>
      </c>
      <c r="J293" s="3">
        <v>85</v>
      </c>
      <c r="K293" s="3">
        <f>VLOOKUP($A293,'SegEnds_NonXtal_BW#'!$A:$Z,8,FALSE)+VLOOKUP($A293,A:AL,10,FALSE)-50</f>
        <v>101</v>
      </c>
      <c r="L293" s="3">
        <f t="shared" si="173"/>
        <v>102</v>
      </c>
      <c r="M293" s="3">
        <v>103</v>
      </c>
      <c r="N293" s="3">
        <f t="shared" si="174"/>
        <v>105</v>
      </c>
      <c r="O293" s="3">
        <f t="shared" si="175"/>
        <v>106</v>
      </c>
      <c r="P293" s="3">
        <v>137</v>
      </c>
      <c r="Q293" s="3">
        <f>VLOOKUP($A293,'SegEnds_NonXtal_BW#'!$A:$Z,12,FALSE)+VLOOKUP($A293,A:AL,16,FALSE)-50</f>
        <v>143</v>
      </c>
      <c r="R293" s="3" t="str">
        <f>IF(ISERROR(VLOOKUP($A293,'SegEnds_NonXtal_BW#'!$A:$Z,13,FALSE)+VLOOKUP($A293,A:AL,19,FALSE)-50),"-",VLOOKUP($A293,'SegEnds_NonXtal_BW#'!$A:$Z,13,FALSE)+VLOOKUP($A293,A:AL,19,FALSE)-50)</f>
        <v>-</v>
      </c>
      <c r="S293" s="3" t="s">
        <v>23</v>
      </c>
      <c r="T293" s="100" t="str">
        <f>IF(ISERROR(VLOOKUP($A293,'SegEnds_NonXtal_BW#'!$A:$Z,14,FALSE)+VLOOKUP($A293,A:AL,19,FALSE)-50),"-",(VLOOKUP($A293,'SegEnds_NonXtal_BW#'!$A:$Z,14,FALSE)+VLOOKUP($A293,A:AL,19,FALSE)-50))</f>
        <v>-</v>
      </c>
      <c r="U293" s="9">
        <f>IF(ISERROR(VLOOKUP($A293,'SegEnds_NonXtal_BW#'!$A:$Z,15,FALSE)+VLOOKUP($A293,A:AL,22,FALSE)-50),"-",VLOOKUP($A293,'SegEnds_NonXtal_BW#'!$A:$Z,15,FALSE)+VLOOKUP($A293,A:AL,22,FALSE)-50)</f>
        <v>149</v>
      </c>
      <c r="V293" s="3">
        <v>161</v>
      </c>
      <c r="W293" s="3">
        <f>IF(ISERROR(VLOOKUP($A293,'SegEnds_NonXtal_BW#'!$A:$Z,16,FALSE)+VLOOKUP($A293,A:AL,22,FALSE)-50),"-",(VLOOKUP($A293,'SegEnds_NonXtal_BW#'!$A:$Z,16,FALSE)+VLOOKUP($A293,A:AL,22,FALSE)-50))</f>
        <v>175</v>
      </c>
      <c r="X293" s="3">
        <f>IF(ISERROR(VLOOKUP($A293,'SegEnds_NonXtal_BW#'!$A:$Z,17,FALSE)+VLOOKUP($A293,A:AL,25,FALSE)-50),"-",(VLOOKUP($A293,'SegEnds_NonXtal_BW#'!$A:$Z,17,FALSE)+VLOOKUP($A293,A:AL,25,FALSE)-50))</f>
        <v>187</v>
      </c>
      <c r="Y293" s="3">
        <v>187</v>
      </c>
      <c r="Z293" s="3">
        <f t="shared" si="176"/>
        <v>189</v>
      </c>
      <c r="AA293" s="3">
        <f>IF(ISERROR(VLOOKUP($A293,'SegEnds_NonXtal_BW#'!$A:$Z,19,FALSE)+VLOOKUP($A293,A:AL,28,FALSE)-50),"-",(VLOOKUP($A293,'SegEnds_NonXtal_BW#'!$A:$Z,19,FALSE)+VLOOKUP($A293,A:AL,28,FALSE)-50))</f>
        <v>195</v>
      </c>
      <c r="AB293" s="3">
        <v>212</v>
      </c>
      <c r="AC293" s="3">
        <f>IF(ISERROR((VLOOKUP($A293,'SegEnds_NonXtal_BW#'!$A:$Z,20,FALSE)+VLOOKUP($A293,A:AL,28,FALSE)-50)),"-",(VLOOKUP($A293,'SegEnds_NonXtal_BW#'!$A:$Z,20,FALSE)+VLOOKUP($A293,A:AL,28,FALSE)-50))</f>
        <v>238</v>
      </c>
      <c r="AD293" s="3">
        <f>IF(ISERROR(VLOOKUP($A293,'SegEnds_NonXtal_BW#'!$A:$Z,21,FALSE)+VLOOKUP($A293,A:AL,31,FALSE)-50),"-",(VLOOKUP($A293,'SegEnds_NonXtal_BW#'!$A:$Z,21,FALSE)+VLOOKUP($A293,A:AL,31,FALSE)-50))</f>
        <v>264</v>
      </c>
      <c r="AE293" s="3">
        <v>290</v>
      </c>
      <c r="AF293" s="3">
        <f>IF(ISERROR((VLOOKUP($A293,'SegEnds_NonXtal_BW#'!$A:$Z,22,FALSE)+VLOOKUP($A293,A:AL,31,FALSE)-50)),"-",(VLOOKUP($A293,'SegEnds_NonXtal_BW#'!$A:$Z,22,FALSE)+VLOOKUP($A293,A:AL,31,FALSE)-50))</f>
        <v>301</v>
      </c>
      <c r="AG293" s="3">
        <f>IF(ISERROR(VLOOKUP($A293,'SegEnds_NonXtal_BW#'!$A:$Z,23,FALSE)+VLOOKUP($A293,A:AL,34,FALSE)-50),"-",(VLOOKUP($A293,'SegEnds_NonXtal_BW#'!$A:$Z,23,FALSE)+VLOOKUP($A293,A:AL,34,FALSE)-50))</f>
        <v>307</v>
      </c>
      <c r="AH293" s="3">
        <v>326</v>
      </c>
      <c r="AI293" s="3">
        <f>IF(ISERROR((VLOOKUP($A293,'SegEnds_NonXtal_BW#'!$A:$Z,24,FALSE)+VLOOKUP($A293,A:AL,34,FALSE)-50)),"-",(VLOOKUP($A293,'SegEnds_NonXtal_BW#'!$A:$Z,24,FALSE)+VLOOKUP($A293,A:AL,34,FALSE)-50))</f>
        <v>332</v>
      </c>
      <c r="AJ293" s="3">
        <f>IF(ISERROR(VLOOKUP($A293,'SegEnds_NonXtal_BW#'!$A:$Z,25,FALSE)+VLOOKUP($A293,A:AL,37,FALSE)-50),"-",(VLOOKUP($A293,'SegEnds_NonXtal_BW#'!$A:$Z,25,FALSE)+VLOOKUP($A293,A:AL,37,FALSE)-50))</f>
        <v>333</v>
      </c>
      <c r="AK293" s="3">
        <v>336</v>
      </c>
      <c r="AL293" s="3">
        <f>IF(ISERROR((VLOOKUP($A293,'SegEnds_NonXtal_BW#'!$A:$Z,26,FALSE)+VLOOKUP($A293,A:AL,37,FALSE)-50)),"-",(VLOOKUP($A293,'SegEnds_NonXtal_BW#'!$A:$Z,26,FALSE)+VLOOKUP($A293,A:AL,37,FALSE)-50))</f>
        <v>344</v>
      </c>
      <c r="AM293" s="28" t="str">
        <f>VLOOKUP(A293,Classification!A:B,2,FALSE)</f>
        <v>A</v>
      </c>
      <c r="AN293" s="28" t="b">
        <f t="shared" si="167"/>
        <v>1</v>
      </c>
      <c r="AO293" s="3" t="str">
        <f>IF(ISERROR(MATCH(A293,'SegEnds_Xtal_Prot#'!B:B, 0)), "NoXtal", "Xtal")</f>
        <v>NoXtal</v>
      </c>
      <c r="AP293" s="3">
        <f t="shared" si="152"/>
        <v>1</v>
      </c>
      <c r="AQ293" s="3">
        <f t="shared" si="153"/>
        <v>1</v>
      </c>
      <c r="AR293" s="3">
        <f t="shared" si="154"/>
        <v>1</v>
      </c>
      <c r="AS293" s="3">
        <f t="shared" si="155"/>
        <v>1</v>
      </c>
      <c r="AT293" s="3" t="str">
        <f t="shared" si="156"/>
        <v>-</v>
      </c>
      <c r="AU293" s="3" t="str">
        <f t="shared" si="157"/>
        <v>-</v>
      </c>
      <c r="AV293" s="3">
        <f t="shared" si="158"/>
        <v>12</v>
      </c>
      <c r="AW293" s="3">
        <f t="shared" si="159"/>
        <v>6</v>
      </c>
      <c r="AX293" s="3">
        <f t="shared" si="160"/>
        <v>26</v>
      </c>
      <c r="AY293" s="3">
        <f t="shared" si="161"/>
        <v>6</v>
      </c>
      <c r="AZ293" s="3">
        <f t="shared" si="162"/>
        <v>1</v>
      </c>
      <c r="BA293" s="3">
        <f>IF(ISERROR(LEN(VLOOKUP(A293,Seqs!A:E,2,FALSE))-AL293),"-",LEN(VLOOKUP(A293,Seqs!A:E,2,FALSE))-AL293)</f>
        <v>45</v>
      </c>
      <c r="BB293" s="16">
        <f t="shared" si="163"/>
        <v>28</v>
      </c>
      <c r="BC293" s="9" t="str">
        <f t="shared" si="164"/>
        <v>-</v>
      </c>
      <c r="BD293" s="3">
        <f t="shared" si="165"/>
        <v>28</v>
      </c>
      <c r="BE293" s="3">
        <f t="shared" si="166"/>
        <v>78</v>
      </c>
    </row>
    <row r="294" spans="1:59" s="3" customFormat="1" x14ac:dyDescent="0.2">
      <c r="A294" s="3" t="s">
        <v>367</v>
      </c>
      <c r="B294" s="3" t="str">
        <f>LOWER(VLOOKUP(A294,Xtal_Templ!A:B,2,FALSE))</f>
        <v>ox1r_human</v>
      </c>
      <c r="C294" s="3">
        <f>VLOOKUP($A294,'SegEnds_NonXtal_BW#'!$A:$Z,3,FALSE)+D294-50</f>
        <v>62</v>
      </c>
      <c r="D294" s="3">
        <v>80</v>
      </c>
      <c r="E294" s="3">
        <f>IF(ISERROR(VLOOKUP($A294,'SegEnds_NonXtal_BW#'!$A:$Z,4,FALSE)+VLOOKUP($A294,A:AL,4,FALSE)-50),"-",(VLOOKUP($A294,'SegEnds_NonXtal_BW#'!$A:$Z,4,FALSE)+VLOOKUP($A294,A:AL,4,FALSE)-50))</f>
        <v>90</v>
      </c>
      <c r="F294" s="3">
        <f t="shared" si="171"/>
        <v>91</v>
      </c>
      <c r="G294" s="3">
        <v>93</v>
      </c>
      <c r="H294" s="3">
        <f t="shared" si="172"/>
        <v>94</v>
      </c>
      <c r="I294" s="3">
        <f t="shared" si="172"/>
        <v>95</v>
      </c>
      <c r="J294" s="3">
        <v>108</v>
      </c>
      <c r="K294" s="3">
        <f>VLOOKUP($A294,'SegEnds_NonXtal_BW#'!$A:$Z,8,FALSE)+VLOOKUP($A294,A:AL,10,FALSE)-50</f>
        <v>125</v>
      </c>
      <c r="L294" s="3">
        <f t="shared" si="173"/>
        <v>129</v>
      </c>
      <c r="M294" s="3">
        <v>130</v>
      </c>
      <c r="N294" s="3">
        <f t="shared" si="174"/>
        <v>132</v>
      </c>
      <c r="O294" s="3">
        <f t="shared" si="175"/>
        <v>133</v>
      </c>
      <c r="P294" s="3">
        <v>162</v>
      </c>
      <c r="Q294" s="3">
        <f>VLOOKUP($A294,'SegEnds_NonXtal_BW#'!$A:$Z,12,FALSE)+VLOOKUP($A294,A:AL,16,FALSE)-50</f>
        <v>168</v>
      </c>
      <c r="R294" s="3" t="str">
        <f>IF(ISERROR(VLOOKUP($A294,'SegEnds_NonXtal_BW#'!$A:$Z,13,FALSE)+VLOOKUP($A294,A:AL,19,FALSE)-50),"-",VLOOKUP($A294,'SegEnds_NonXtal_BW#'!$A:$Z,13,FALSE)+VLOOKUP($A294,A:AL,19,FALSE)-50)</f>
        <v>-</v>
      </c>
      <c r="S294" s="3" t="s">
        <v>23</v>
      </c>
      <c r="T294" s="100" t="str">
        <f>IF(ISERROR(VLOOKUP($A294,'SegEnds_NonXtal_BW#'!$A:$Z,14,FALSE)+VLOOKUP($A294,A:AL,19,FALSE)-50),"-",(VLOOKUP($A294,'SegEnds_NonXtal_BW#'!$A:$Z,14,FALSE)+VLOOKUP($A294,A:AL,19,FALSE)-50))</f>
        <v>-</v>
      </c>
      <c r="U294" s="9">
        <f>IF(ISERROR(VLOOKUP($A294,'SegEnds_NonXtal_BW#'!$A:$Z,15,FALSE)+VLOOKUP($A294,A:AL,22,FALSE)-50),"-",VLOOKUP($A294,'SegEnds_NonXtal_BW#'!$A:$Z,15,FALSE)+VLOOKUP($A294,A:AL,22,FALSE)-50)</f>
        <v>175</v>
      </c>
      <c r="V294" s="3">
        <v>187</v>
      </c>
      <c r="W294" s="3">
        <f>IF(ISERROR(VLOOKUP($A294,'SegEnds_NonXtal_BW#'!$A:$Z,16,FALSE)+VLOOKUP($A294,A:AL,22,FALSE)-50),"-",(VLOOKUP($A294,'SegEnds_NonXtal_BW#'!$A:$Z,16,FALSE)+VLOOKUP($A294,A:AL,22,FALSE)-50))</f>
        <v>201</v>
      </c>
      <c r="X294" s="3">
        <f>IF(ISERROR(VLOOKUP($A294,'SegEnds_NonXtal_BW#'!$A:$Z,17,FALSE)+VLOOKUP($A294,A:AL,25,FALSE)-50),"-",(VLOOKUP($A294,'SegEnds_NonXtal_BW#'!$A:$Z,17,FALSE)+VLOOKUP($A294,A:AL,25,FALSE)-50))</f>
        <v>217</v>
      </c>
      <c r="Y294" s="3">
        <v>217</v>
      </c>
      <c r="Z294" s="3">
        <f t="shared" si="176"/>
        <v>219</v>
      </c>
      <c r="AA294" s="3">
        <f>IF(ISERROR(VLOOKUP($A294,'SegEnds_NonXtal_BW#'!$A:$Z,19,FALSE)+VLOOKUP($A294,A:AL,28,FALSE)-50),"-",(VLOOKUP($A294,'SegEnds_NonXtal_BW#'!$A:$Z,19,FALSE)+VLOOKUP($A294,A:AL,28,FALSE)-50))</f>
        <v>226</v>
      </c>
      <c r="AB294" s="3">
        <v>244</v>
      </c>
      <c r="AC294" s="3">
        <f>IF(ISERROR((VLOOKUP($A294,'SegEnds_NonXtal_BW#'!$A:$Z,20,FALSE)+VLOOKUP($A294,A:AL,28,FALSE)-50)),"-",(VLOOKUP($A294,'SegEnds_NonXtal_BW#'!$A:$Z,20,FALSE)+VLOOKUP($A294,A:AL,28,FALSE)-50))</f>
        <v>267</v>
      </c>
      <c r="AD294" s="3">
        <f>IF(ISERROR(VLOOKUP($A294,'SegEnds_NonXtal_BW#'!$A:$Z,21,FALSE)+VLOOKUP($A294,A:AL,31,FALSE)-50),"-",(VLOOKUP($A294,'SegEnds_NonXtal_BW#'!$A:$Z,21,FALSE)+VLOOKUP($A294,A:AL,31,FALSE)-50))</f>
        <v>271</v>
      </c>
      <c r="AE294" s="3">
        <v>299</v>
      </c>
      <c r="AF294" s="3">
        <f>IF(ISERROR((VLOOKUP($A294,'SegEnds_NonXtal_BW#'!$A:$Z,22,FALSE)+VLOOKUP($A294,A:AL,31,FALSE)-50)),"-",(VLOOKUP($A294,'SegEnds_NonXtal_BW#'!$A:$Z,22,FALSE)+VLOOKUP($A294,A:AL,31,FALSE)-50))</f>
        <v>310</v>
      </c>
      <c r="AG294" s="3">
        <f>IF(ISERROR(VLOOKUP($A294,'SegEnds_NonXtal_BW#'!$A:$Z,23,FALSE)+VLOOKUP($A294,A:AL,34,FALSE)-50),"-",(VLOOKUP($A294,'SegEnds_NonXtal_BW#'!$A:$Z,23,FALSE)+VLOOKUP($A294,A:AL,34,FALSE)-50))</f>
        <v>317</v>
      </c>
      <c r="AH294" s="3">
        <v>339</v>
      </c>
      <c r="AI294" s="3">
        <f>IF(ISERROR((VLOOKUP($A294,'SegEnds_NonXtal_BW#'!$A:$Z,24,FALSE)+VLOOKUP($A294,A:AL,34,FALSE)-50)),"-",(VLOOKUP($A294,'SegEnds_NonXtal_BW#'!$A:$Z,24,FALSE)+VLOOKUP($A294,A:AL,34,FALSE)-50))</f>
        <v>345</v>
      </c>
      <c r="AJ294" s="3">
        <v>347</v>
      </c>
      <c r="AK294" s="3">
        <v>350</v>
      </c>
      <c r="AL294" s="3">
        <v>358</v>
      </c>
      <c r="AM294" s="28" t="str">
        <f>VLOOKUP(A294,Classification!A:B,2,FALSE)</f>
        <v>A</v>
      </c>
      <c r="AN294" s="28" t="b">
        <f t="shared" si="167"/>
        <v>1</v>
      </c>
      <c r="AO294" s="3" t="str">
        <f>IF(ISERROR(MATCH(A294,'SegEnds_Xtal_Prot#'!B:B, 0)), "NoXtal", "Xtal")</f>
        <v>NoXtal</v>
      </c>
      <c r="AP294" s="3">
        <f t="shared" si="152"/>
        <v>1</v>
      </c>
      <c r="AQ294" s="3">
        <f t="shared" si="153"/>
        <v>1</v>
      </c>
      <c r="AR294" s="3">
        <f t="shared" si="154"/>
        <v>4</v>
      </c>
      <c r="AS294" s="3">
        <f t="shared" si="155"/>
        <v>1</v>
      </c>
      <c r="AT294" s="3" t="str">
        <f t="shared" si="156"/>
        <v>-</v>
      </c>
      <c r="AU294" s="3" t="str">
        <f t="shared" si="157"/>
        <v>-</v>
      </c>
      <c r="AV294" s="3">
        <f t="shared" si="158"/>
        <v>16</v>
      </c>
      <c r="AW294" s="3">
        <f t="shared" si="159"/>
        <v>7</v>
      </c>
      <c r="AX294" s="3">
        <f t="shared" si="160"/>
        <v>4</v>
      </c>
      <c r="AY294" s="3">
        <f t="shared" si="161"/>
        <v>7</v>
      </c>
      <c r="AZ294" s="3">
        <f t="shared" si="162"/>
        <v>2</v>
      </c>
      <c r="BA294" s="3">
        <f>IF(ISERROR(LEN(VLOOKUP(A294,Seqs!A:E,2,FALSE))-AL294),"-",LEN(VLOOKUP(A294,Seqs!A:E,2,FALSE))-AL294)</f>
        <v>35</v>
      </c>
      <c r="BB294" s="16">
        <f t="shared" si="163"/>
        <v>28</v>
      </c>
      <c r="BC294" s="9" t="str">
        <f t="shared" si="164"/>
        <v>-</v>
      </c>
      <c r="BD294" s="3">
        <f t="shared" si="165"/>
        <v>28</v>
      </c>
      <c r="BE294" s="3">
        <f t="shared" si="166"/>
        <v>55</v>
      </c>
    </row>
    <row r="295" spans="1:59" s="3" customFormat="1" x14ac:dyDescent="0.2">
      <c r="A295" s="3" t="s">
        <v>368</v>
      </c>
      <c r="B295" s="3" t="str">
        <f>LOWER(VLOOKUP(A295,Xtal_Templ!A:B,2,FALSE))</f>
        <v>ox2r_human</v>
      </c>
      <c r="C295" s="3">
        <f>VLOOKUP($A295,'SegEnds_NonXtal_BW#'!$A:$Z,3,FALSE)+D295-50</f>
        <v>52</v>
      </c>
      <c r="D295" s="3">
        <v>71</v>
      </c>
      <c r="E295" s="3">
        <f>IF(ISERROR(VLOOKUP($A295,'SegEnds_NonXtal_BW#'!$A:$Z,4,FALSE)+VLOOKUP($A295,A:AL,4,FALSE)-50),"-",(VLOOKUP($A295,'SegEnds_NonXtal_BW#'!$A:$Z,4,FALSE)+VLOOKUP($A295,A:AL,4,FALSE)-50))</f>
        <v>81</v>
      </c>
      <c r="F295" s="3">
        <f t="shared" si="171"/>
        <v>82</v>
      </c>
      <c r="G295" s="3">
        <v>84</v>
      </c>
      <c r="H295" s="3">
        <f t="shared" si="172"/>
        <v>85</v>
      </c>
      <c r="I295" s="3">
        <f t="shared" si="172"/>
        <v>86</v>
      </c>
      <c r="J295" s="3">
        <v>99</v>
      </c>
      <c r="K295" s="3">
        <f>VLOOKUP($A295,'SegEnds_NonXtal_BW#'!$A:$Z,8,FALSE)+VLOOKUP($A295,A:AL,10,FALSE)-50</f>
        <v>117</v>
      </c>
      <c r="L295" s="3">
        <f t="shared" si="173"/>
        <v>120</v>
      </c>
      <c r="M295" s="3">
        <v>121</v>
      </c>
      <c r="N295" s="3">
        <f t="shared" si="174"/>
        <v>123</v>
      </c>
      <c r="O295" s="3">
        <f t="shared" si="175"/>
        <v>124</v>
      </c>
      <c r="P295" s="3">
        <v>153</v>
      </c>
      <c r="Q295" s="3">
        <f>VLOOKUP($A295,'SegEnds_NonXtal_BW#'!$A:$Z,12,FALSE)+VLOOKUP($A295,A:AL,16,FALSE)-50</f>
        <v>159</v>
      </c>
      <c r="R295" s="3" t="str">
        <f>IF(ISERROR(VLOOKUP($A295,'SegEnds_NonXtal_BW#'!$A:$Z,13,FALSE)+VLOOKUP($A295,A:AL,19,FALSE)-50),"-",VLOOKUP($A295,'SegEnds_NonXtal_BW#'!$A:$Z,13,FALSE)+VLOOKUP($A295,A:AL,19,FALSE)-50)</f>
        <v>-</v>
      </c>
      <c r="S295" s="3" t="s">
        <v>23</v>
      </c>
      <c r="T295" s="100" t="str">
        <f>IF(ISERROR(VLOOKUP($A295,'SegEnds_NonXtal_BW#'!$A:$Z,14,FALSE)+VLOOKUP($A295,A:AL,19,FALSE)-50),"-",(VLOOKUP($A295,'SegEnds_NonXtal_BW#'!$A:$Z,14,FALSE)+VLOOKUP($A295,A:AL,19,FALSE)-50))</f>
        <v>-</v>
      </c>
      <c r="U295" s="9">
        <f>IF(ISERROR(VLOOKUP($A295,'SegEnds_NonXtal_BW#'!$A:$Z,15,FALSE)+VLOOKUP($A295,A:AL,22,FALSE)-50),"-",VLOOKUP($A295,'SegEnds_NonXtal_BW#'!$A:$Z,15,FALSE)+VLOOKUP($A295,A:AL,22,FALSE)-50)</f>
        <v>166</v>
      </c>
      <c r="V295" s="3">
        <v>178</v>
      </c>
      <c r="W295" s="3">
        <f>IF(ISERROR(VLOOKUP($A295,'SegEnds_NonXtal_BW#'!$A:$Z,16,FALSE)+VLOOKUP($A295,A:AL,22,FALSE)-50),"-",(VLOOKUP($A295,'SegEnds_NonXtal_BW#'!$A:$Z,16,FALSE)+VLOOKUP($A295,A:AL,22,FALSE)-50))</f>
        <v>192</v>
      </c>
      <c r="X295" s="3">
        <f>IF(ISERROR(VLOOKUP($A295,'SegEnds_NonXtal_BW#'!$A:$Z,17,FALSE)+VLOOKUP($A295,A:AL,25,FALSE)-50),"-",(VLOOKUP($A295,'SegEnds_NonXtal_BW#'!$A:$Z,17,FALSE)+VLOOKUP($A295,A:AL,25,FALSE)-50))</f>
        <v>208</v>
      </c>
      <c r="Y295" s="3">
        <v>208</v>
      </c>
      <c r="Z295" s="3">
        <f t="shared" si="176"/>
        <v>210</v>
      </c>
      <c r="AA295" s="3">
        <f>IF(ISERROR(VLOOKUP($A295,'SegEnds_NonXtal_BW#'!$A:$Z,19,FALSE)+VLOOKUP($A295,A:AL,28,FALSE)-50),"-",(VLOOKUP($A295,'SegEnds_NonXtal_BW#'!$A:$Z,19,FALSE)+VLOOKUP($A295,A:AL,28,FALSE)-50))</f>
        <v>218</v>
      </c>
      <c r="AB295" s="3">
        <v>235</v>
      </c>
      <c r="AC295" s="3">
        <f>IF(ISERROR((VLOOKUP($A295,'SegEnds_NonXtal_BW#'!$A:$Z,20,FALSE)+VLOOKUP($A295,A:AL,28,FALSE)-50)),"-",(VLOOKUP($A295,'SegEnds_NonXtal_BW#'!$A:$Z,20,FALSE)+VLOOKUP($A295,A:AL,28,FALSE)-50))</f>
        <v>258</v>
      </c>
      <c r="AD295" s="3">
        <f>IF(ISERROR(VLOOKUP($A295,'SegEnds_NonXtal_BW#'!$A:$Z,21,FALSE)+VLOOKUP($A295,A:AL,31,FALSE)-50),"-",(VLOOKUP($A295,'SegEnds_NonXtal_BW#'!$A:$Z,21,FALSE)+VLOOKUP($A295,A:AL,31,FALSE)-50))</f>
        <v>262</v>
      </c>
      <c r="AE295" s="3">
        <v>290</v>
      </c>
      <c r="AF295" s="3">
        <f>IF(ISERROR((VLOOKUP($A295,'SegEnds_NonXtal_BW#'!$A:$Z,22,FALSE)+VLOOKUP($A295,A:AL,31,FALSE)-50)),"-",(VLOOKUP($A295,'SegEnds_NonXtal_BW#'!$A:$Z,22,FALSE)+VLOOKUP($A295,A:AL,31,FALSE)-50))</f>
        <v>301</v>
      </c>
      <c r="AG295" s="3">
        <f>IF(ISERROR(VLOOKUP($A295,'SegEnds_NonXtal_BW#'!$A:$Z,23,FALSE)+VLOOKUP($A295,A:AL,34,FALSE)-50),"-",(VLOOKUP($A295,'SegEnds_NonXtal_BW#'!$A:$Z,23,FALSE)+VLOOKUP($A295,A:AL,34,FALSE)-50))</f>
        <v>308</v>
      </c>
      <c r="AH295" s="3">
        <v>330</v>
      </c>
      <c r="AI295" s="3">
        <f>IF(ISERROR((VLOOKUP($A295,'SegEnds_NonXtal_BW#'!$A:$Z,24,FALSE)+VLOOKUP($A295,A:AL,34,FALSE)-50)),"-",(VLOOKUP($A295,'SegEnds_NonXtal_BW#'!$A:$Z,24,FALSE)+VLOOKUP($A295,A:AL,34,FALSE)-50))</f>
        <v>336</v>
      </c>
      <c r="AJ295" s="3">
        <v>338</v>
      </c>
      <c r="AK295" s="3">
        <v>341</v>
      </c>
      <c r="AL295" s="3">
        <v>349</v>
      </c>
      <c r="AM295" s="28" t="str">
        <f>VLOOKUP(A295,Classification!A:B,2,FALSE)</f>
        <v>A</v>
      </c>
      <c r="AN295" s="28" t="b">
        <f t="shared" si="167"/>
        <v>1</v>
      </c>
      <c r="AO295" s="3" t="str">
        <f>IF(ISERROR(MATCH(A295,'SegEnds_Xtal_Prot#'!B:B, 0)), "NoXtal", "Xtal")</f>
        <v>NoXtal</v>
      </c>
      <c r="AP295" s="3">
        <f t="shared" si="152"/>
        <v>1</v>
      </c>
      <c r="AQ295" s="3">
        <f t="shared" si="153"/>
        <v>1</v>
      </c>
      <c r="AR295" s="3">
        <f t="shared" si="154"/>
        <v>3</v>
      </c>
      <c r="AS295" s="3">
        <f t="shared" si="155"/>
        <v>1</v>
      </c>
      <c r="AT295" s="3" t="str">
        <f t="shared" si="156"/>
        <v>-</v>
      </c>
      <c r="AU295" s="3" t="str">
        <f t="shared" si="157"/>
        <v>-</v>
      </c>
      <c r="AV295" s="3">
        <f t="shared" si="158"/>
        <v>16</v>
      </c>
      <c r="AW295" s="3">
        <f t="shared" si="159"/>
        <v>8</v>
      </c>
      <c r="AX295" s="3">
        <f t="shared" si="160"/>
        <v>4</v>
      </c>
      <c r="AY295" s="3">
        <f t="shared" si="161"/>
        <v>7</v>
      </c>
      <c r="AZ295" s="3">
        <f t="shared" si="162"/>
        <v>2</v>
      </c>
      <c r="BA295" s="3">
        <f>IF(ISERROR(LEN(VLOOKUP(A295,Seqs!A:E,2,FALSE))-AL295),"-",LEN(VLOOKUP(A295,Seqs!A:E,2,FALSE))-AL295)</f>
        <v>35</v>
      </c>
      <c r="BB295" s="16">
        <f t="shared" si="163"/>
        <v>28</v>
      </c>
      <c r="BC295" s="9" t="str">
        <f t="shared" si="164"/>
        <v>-</v>
      </c>
      <c r="BD295" s="3">
        <f t="shared" si="165"/>
        <v>28</v>
      </c>
      <c r="BE295" s="3">
        <f t="shared" si="166"/>
        <v>55</v>
      </c>
    </row>
    <row r="296" spans="1:59" s="3" customFormat="1" x14ac:dyDescent="0.2">
      <c r="A296" s="3" t="s">
        <v>373</v>
      </c>
      <c r="B296" s="3" t="str">
        <f>LOWER(VLOOKUP(A296,Xtal_Templ!A:B,2,FALSE))</f>
        <v>agtr1_human</v>
      </c>
      <c r="C296" s="3">
        <f>VLOOKUP($A296,'SegEnds_NonXtal_BW#'!$A:$Z,3,FALSE)+D296-50</f>
        <v>77</v>
      </c>
      <c r="D296" s="3">
        <v>99</v>
      </c>
      <c r="E296" s="3">
        <f>IF(ISERROR(VLOOKUP($A296,'SegEnds_NonXtal_BW#'!$A:$Z,4,FALSE)+VLOOKUP($A296,A:AL,4,FALSE)-50),"-",(VLOOKUP($A296,'SegEnds_NonXtal_BW#'!$A:$Z,4,FALSE)+VLOOKUP($A296,A:AL,4,FALSE)-50))</f>
        <v>109</v>
      </c>
      <c r="F296" s="3">
        <f t="shared" si="171"/>
        <v>110</v>
      </c>
      <c r="G296" s="3">
        <v>112</v>
      </c>
      <c r="H296" s="3">
        <f t="shared" si="172"/>
        <v>113</v>
      </c>
      <c r="I296" s="3">
        <f t="shared" si="172"/>
        <v>114</v>
      </c>
      <c r="J296" s="3">
        <v>128</v>
      </c>
      <c r="K296" s="3">
        <f>VLOOKUP($A296,'SegEnds_NonXtal_BW#'!$A:$Z,8,FALSE)+VLOOKUP($A296,A:AL,10,FALSE)-50</f>
        <v>144</v>
      </c>
      <c r="L296" s="3">
        <f t="shared" si="173"/>
        <v>147</v>
      </c>
      <c r="M296" s="3">
        <v>148</v>
      </c>
      <c r="N296" s="3">
        <f t="shared" si="174"/>
        <v>150</v>
      </c>
      <c r="O296" s="3">
        <f t="shared" si="175"/>
        <v>151</v>
      </c>
      <c r="P296" s="3">
        <v>180</v>
      </c>
      <c r="Q296" s="3">
        <f>VLOOKUP($A296,'SegEnds_NonXtal_BW#'!$A:$Z,12,FALSE)+VLOOKUP($A296,A:AL,16,FALSE)-50</f>
        <v>186</v>
      </c>
      <c r="R296" s="3" t="str">
        <f>IF(ISERROR(VLOOKUP($A296,'SegEnds_NonXtal_BW#'!$A:$Z,13,FALSE)+VLOOKUP($A296,A:AL,19,FALSE)-50),"-",VLOOKUP($A296,'SegEnds_NonXtal_BW#'!$A:$Z,13,FALSE)+VLOOKUP($A296,A:AL,19,FALSE)-50)</f>
        <v>-</v>
      </c>
      <c r="S296" s="3" t="s">
        <v>23</v>
      </c>
      <c r="T296" s="100" t="str">
        <f>IF(ISERROR(VLOOKUP($A296,'SegEnds_NonXtal_BW#'!$A:$Z,14,FALSE)+VLOOKUP($A296,A:AL,19,FALSE)-50),"-",(VLOOKUP($A296,'SegEnds_NonXtal_BW#'!$A:$Z,14,FALSE)+VLOOKUP($A296,A:AL,19,FALSE)-50))</f>
        <v>-</v>
      </c>
      <c r="U296" s="9">
        <f>IF(ISERROR(VLOOKUP($A296,'SegEnds_NonXtal_BW#'!$A:$Z,15,FALSE)+VLOOKUP($A296,A:AL,22,FALSE)-50),"-",VLOOKUP($A296,'SegEnds_NonXtal_BW#'!$A:$Z,15,FALSE)+VLOOKUP($A296,A:AL,22,FALSE)-50)</f>
        <v>210</v>
      </c>
      <c r="V296" s="3">
        <v>222</v>
      </c>
      <c r="W296" s="3">
        <f>IF(ISERROR(VLOOKUP($A296,'SegEnds_NonXtal_BW#'!$A:$Z,16,FALSE)+VLOOKUP($A296,A:AL,22,FALSE)-50),"-",(VLOOKUP($A296,'SegEnds_NonXtal_BW#'!$A:$Z,16,FALSE)+VLOOKUP($A296,A:AL,22,FALSE)-50))</f>
        <v>236</v>
      </c>
      <c r="X296" s="3">
        <f>IF(ISERROR(VLOOKUP($A296,'SegEnds_NonXtal_BW#'!$A:$Z,17,FALSE)+VLOOKUP($A296,A:AL,25,FALSE)-50),"-",(VLOOKUP($A296,'SegEnds_NonXtal_BW#'!$A:$Z,17,FALSE)+VLOOKUP($A296,A:AL,25,FALSE)-50))</f>
        <v>247</v>
      </c>
      <c r="Y296" s="3">
        <v>247</v>
      </c>
      <c r="Z296" s="3">
        <f t="shared" si="176"/>
        <v>249</v>
      </c>
      <c r="AA296" s="3">
        <f>IF(ISERROR(VLOOKUP($A296,'SegEnds_NonXtal_BW#'!$A:$Z,19,FALSE)+VLOOKUP($A296,A:AL,28,FALSE)-50),"-",(VLOOKUP($A296,'SegEnds_NonXtal_BW#'!$A:$Z,19,FALSE)+VLOOKUP($A296,A:AL,28,FALSE)-50))</f>
        <v>263</v>
      </c>
      <c r="AB296" s="3">
        <v>279</v>
      </c>
      <c r="AC296" s="3">
        <f>IF(ISERROR((VLOOKUP($A296,'SegEnds_NonXtal_BW#'!$A:$Z,20,FALSE)+VLOOKUP($A296,A:AL,28,FALSE)-50)),"-",(VLOOKUP($A296,'SegEnds_NonXtal_BW#'!$A:$Z,20,FALSE)+VLOOKUP($A296,A:AL,28,FALSE)-50))</f>
        <v>303</v>
      </c>
      <c r="AD296" s="3">
        <f>IF(ISERROR(VLOOKUP($A296,'SegEnds_NonXtal_BW#'!$A:$Z,21,FALSE)+VLOOKUP($A296,A:AL,31,FALSE)-50),"-",(VLOOKUP($A296,'SegEnds_NonXtal_BW#'!$A:$Z,21,FALSE)+VLOOKUP($A296,A:AL,31,FALSE)-50))</f>
        <v>312</v>
      </c>
      <c r="AE296" s="3">
        <v>341</v>
      </c>
      <c r="AF296" s="3">
        <f>IF(ISERROR((VLOOKUP($A296,'SegEnds_NonXtal_BW#'!$A:$Z,22,FALSE)+VLOOKUP($A296,A:AL,31,FALSE)-50)),"-",(VLOOKUP($A296,'SegEnds_NonXtal_BW#'!$A:$Z,22,FALSE)+VLOOKUP($A296,A:AL,31,FALSE)-50))</f>
        <v>355</v>
      </c>
      <c r="AG296" s="3">
        <f>IF(ISERROR(VLOOKUP($A296,'SegEnds_NonXtal_BW#'!$A:$Z,23,FALSE)+VLOOKUP($A296,A:AL,34,FALSE)-50),"-",(VLOOKUP($A296,'SegEnds_NonXtal_BW#'!$A:$Z,23,FALSE)+VLOOKUP($A296,A:AL,34,FALSE)-50))</f>
        <v>360</v>
      </c>
      <c r="AH296" s="3">
        <v>386</v>
      </c>
      <c r="AI296" s="3">
        <f>IF(ISERROR((VLOOKUP($A296,'SegEnds_NonXtal_BW#'!$A:$Z,24,FALSE)+VLOOKUP($A296,A:AL,34,FALSE)-50)),"-",(VLOOKUP($A296,'SegEnds_NonXtal_BW#'!$A:$Z,24,FALSE)+VLOOKUP($A296,A:AL,34,FALSE)-50))</f>
        <v>392</v>
      </c>
      <c r="AJ296" s="3">
        <f>IF(ISERROR(VLOOKUP($A296,'SegEnds_NonXtal_BW#'!$A:$Z,25,FALSE)+VLOOKUP($A296,A:AL,37,FALSE)-50),"-",(VLOOKUP($A296,'SegEnds_NonXtal_BW#'!$A:$Z,25,FALSE)+VLOOKUP($A296,A:AL,37,FALSE)-50))</f>
        <v>393</v>
      </c>
      <c r="AK296" s="3">
        <v>396</v>
      </c>
      <c r="AL296" s="3">
        <f>IF(ISERROR((VLOOKUP($A296,'SegEnds_NonXtal_BW#'!$A:$Z,26,FALSE)+VLOOKUP($A296,A:AL,37,FALSE)-50)),"-",(VLOOKUP($A296,'SegEnds_NonXtal_BW#'!$A:$Z,26,FALSE)+VLOOKUP($A296,A:AL,37,FALSE)-50))</f>
        <v>407</v>
      </c>
      <c r="AM296" s="28" t="str">
        <f>VLOOKUP(A296,Classification!A:B,2,FALSE)</f>
        <v>A</v>
      </c>
      <c r="AN296" s="28" t="b">
        <f t="shared" si="167"/>
        <v>1</v>
      </c>
      <c r="AO296" s="3" t="str">
        <f>IF(ISERROR(MATCH(A296,'SegEnds_Xtal_Prot#'!B:B, 0)), "NoXtal", "Xtal")</f>
        <v>NoXtal</v>
      </c>
      <c r="AP296" s="3">
        <f t="shared" si="152"/>
        <v>1</v>
      </c>
      <c r="AQ296" s="3">
        <f t="shared" si="153"/>
        <v>1</v>
      </c>
      <c r="AR296" s="3">
        <f t="shared" si="154"/>
        <v>3</v>
      </c>
      <c r="AS296" s="3">
        <f t="shared" si="155"/>
        <v>1</v>
      </c>
      <c r="AT296" s="3" t="str">
        <f t="shared" si="156"/>
        <v>-</v>
      </c>
      <c r="AU296" s="3" t="str">
        <f t="shared" si="157"/>
        <v>-</v>
      </c>
      <c r="AV296" s="3">
        <f t="shared" si="158"/>
        <v>11</v>
      </c>
      <c r="AW296" s="3">
        <f t="shared" si="159"/>
        <v>14</v>
      </c>
      <c r="AX296" s="3">
        <f t="shared" si="160"/>
        <v>9</v>
      </c>
      <c r="AY296" s="3">
        <f t="shared" si="161"/>
        <v>5</v>
      </c>
      <c r="AZ296" s="3">
        <f t="shared" si="162"/>
        <v>1</v>
      </c>
      <c r="BA296" s="3">
        <f>IF(ISERROR(LEN(VLOOKUP(A296,Seqs!A:E,2,FALSE))-AL296),"-",LEN(VLOOKUP(A296,Seqs!A:E,2,FALSE))-AL296)</f>
        <v>62</v>
      </c>
      <c r="BB296" s="16">
        <f t="shared" si="163"/>
        <v>29</v>
      </c>
      <c r="BC296" s="9" t="str">
        <f t="shared" si="164"/>
        <v>-</v>
      </c>
      <c r="BD296" s="3">
        <f t="shared" si="165"/>
        <v>29</v>
      </c>
      <c r="BE296" s="3">
        <f t="shared" si="166"/>
        <v>62</v>
      </c>
    </row>
    <row r="297" spans="1:59" s="3" customFormat="1" x14ac:dyDescent="0.2">
      <c r="A297" s="3" t="s">
        <v>924</v>
      </c>
      <c r="B297" s="3" t="str">
        <f>LOWER(VLOOKUP(A297,Xtal_Templ!A:B,2,FALSE))</f>
        <v>us28_hcmva</v>
      </c>
      <c r="C297" s="3">
        <f>VLOOKUP($A297,'SegEnds_NonXtal_BW#'!$A:$Z,3,FALSE)+D297-50</f>
        <v>25</v>
      </c>
      <c r="D297" s="3">
        <v>51</v>
      </c>
      <c r="E297" s="3">
        <f>IF(ISERROR(VLOOKUP($A297,'SegEnds_NonXtal_BW#'!$A:$Z,4,FALSE)+VLOOKUP($A297,A:AL,4,FALSE)-50),"-",(VLOOKUP($A297,'SegEnds_NonXtal_BW#'!$A:$Z,4,FALSE)+VLOOKUP($A297,A:AL,4,FALSE)-50))</f>
        <v>61</v>
      </c>
      <c r="F297" s="3">
        <f t="shared" si="171"/>
        <v>62</v>
      </c>
      <c r="G297" s="3">
        <v>64</v>
      </c>
      <c r="H297" s="3">
        <f t="shared" ref="H297:I314" si="177">G297+1</f>
        <v>65</v>
      </c>
      <c r="I297" s="3">
        <f t="shared" si="177"/>
        <v>66</v>
      </c>
      <c r="J297" s="3">
        <v>79</v>
      </c>
      <c r="K297" s="3">
        <f>VLOOKUP($A297,'SegEnds_NonXtal_BW#'!$A:$Z,8,FALSE)+VLOOKUP($A297,A:AL,10,FALSE)-50</f>
        <v>95</v>
      </c>
      <c r="L297" s="3" t="str">
        <f>IF(ISERROR(VLOOKUP($A297,'SegEnds_NonXtal_BW#'!$A:$Z,9,FALSE)+VLOOKUP($A297,A:AL,13,FALSE)-50),"-",(VLOOKUP($A297,'SegEnds_NonXtal_BW#'!$A:$Z,9,FALSE)+VLOOKUP($A297,A:AL,13,FALSE)-50))</f>
        <v>-</v>
      </c>
      <c r="M297" s="3" t="s">
        <v>23</v>
      </c>
      <c r="N297" s="3" t="str">
        <f>IF(ISERROR(VLOOKUP($A297,'SegEnds_NonXtal_BW#'!$A:$Z,10,FALSE)+VLOOKUP($A297,A:AL,13,FALSE)-50),"-",(VLOOKUP($A297,'SegEnds_NonXtal_BW#'!$A:$Z,10,FALSE)+VLOOKUP($A297,A:AL,13,FALSE)-50))</f>
        <v>-</v>
      </c>
      <c r="O297" s="3">
        <f>VLOOKUP($A297,'SegEnds_NonXtal_BW#'!$A:$Z,11,FALSE)+VLOOKUP($A297,A:AL,16,FALSE)-50</f>
        <v>100</v>
      </c>
      <c r="P297" s="3">
        <v>129</v>
      </c>
      <c r="Q297" s="3">
        <f>VLOOKUP($A297,'SegEnds_NonXtal_BW#'!$A:$Z,12,FALSE)+VLOOKUP($A297,A:AL,16,FALSE)-50</f>
        <v>134</v>
      </c>
      <c r="R297" s="3" t="str">
        <f>IF(ISERROR(VLOOKUP($A297,'SegEnds_NonXtal_BW#'!$A:$Z,13,FALSE)+VLOOKUP($A297,A:AL,19,FALSE)-50),"-",VLOOKUP($A297,'SegEnds_NonXtal_BW#'!$A:$Z,13,FALSE)+VLOOKUP($A297,A:AL,19,FALSE)-50)</f>
        <v>-</v>
      </c>
      <c r="S297" s="3" t="s">
        <v>23</v>
      </c>
      <c r="T297" s="100" t="str">
        <f>IF(ISERROR(VLOOKUP($A297,'SegEnds_NonXtal_BW#'!$A:$Z,14,FALSE)+VLOOKUP($A297,A:AL,19,FALSE)-50),"-",(VLOOKUP($A297,'SegEnds_NonXtal_BW#'!$A:$Z,14,FALSE)+VLOOKUP($A297,A:AL,19,FALSE)-50))</f>
        <v>-</v>
      </c>
      <c r="U297" s="9">
        <f>IF(ISERROR(VLOOKUP($A297,'SegEnds_NonXtal_BW#'!$A:$Z,15,FALSE)+VLOOKUP($A297,A:AL,22,FALSE)-50),"-",VLOOKUP($A297,'SegEnds_NonXtal_BW#'!$A:$Z,15,FALSE)+VLOOKUP($A297,A:AL,22,FALSE)-50)</f>
        <v>140</v>
      </c>
      <c r="V297" s="3">
        <v>152</v>
      </c>
      <c r="W297" s="3">
        <f>IF(ISERROR(VLOOKUP($A297,'SegEnds_NonXtal_BW#'!$A:$Z,16,FALSE)+VLOOKUP($A297,A:AL,22,FALSE)-50),"-",(VLOOKUP($A297,'SegEnds_NonXtal_BW#'!$A:$Z,16,FALSE)+VLOOKUP($A297,A:AL,22,FALSE)-50))</f>
        <v>164</v>
      </c>
      <c r="X297" s="3">
        <f>IF(ISERROR(VLOOKUP($A297,'SegEnds_NonXtal_BW#'!$A:$Z,17,FALSE)+VLOOKUP($A297,A:AL,25,FALSE)-50),"-",(VLOOKUP($A297,'SegEnds_NonXtal_BW#'!$A:$Z,17,FALSE)+VLOOKUP($A297,A:AL,25,FALSE)-50))</f>
        <v>173</v>
      </c>
      <c r="Y297" s="3">
        <v>173</v>
      </c>
      <c r="Z297" s="3">
        <f t="shared" si="176"/>
        <v>175</v>
      </c>
      <c r="AA297" s="3">
        <f>IF(ISERROR(VLOOKUP($A297,'SegEnds_NonXtal_BW#'!$A:$Z,19,FALSE)+VLOOKUP($A297,A:AL,28,FALSE)-50),"-",(VLOOKUP($A297,'SegEnds_NonXtal_BW#'!$A:$Z,19,FALSE)+VLOOKUP($A297,A:AL,28,FALSE)-50))</f>
        <v>183</v>
      </c>
      <c r="AB297" s="3">
        <v>200</v>
      </c>
      <c r="AC297" s="3">
        <f>IF(ISERROR((VLOOKUP($A297,'SegEnds_NonXtal_BW#'!$A:$Z,20,FALSE)+VLOOKUP($A297,A:AL,28,FALSE)-50)),"-",(VLOOKUP($A297,'SegEnds_NonXtal_BW#'!$A:$Z,20,FALSE)+VLOOKUP($A297,A:AL,28,FALSE)-50))</f>
        <v>218</v>
      </c>
      <c r="AD297" s="3">
        <f>IF(ISERROR(VLOOKUP($A297,'SegEnds_NonXtal_BW#'!$A:$Z,21,FALSE)+VLOOKUP($A297,A:AL,31,FALSE)-50),"-",(VLOOKUP($A297,'SegEnds_NonXtal_BW#'!$A:$Z,21,FALSE)+VLOOKUP($A297,A:AL,31,FALSE)-50))</f>
        <v>222</v>
      </c>
      <c r="AE297" s="3">
        <v>243</v>
      </c>
      <c r="AF297" s="3">
        <f>IF(ISERROR((VLOOKUP($A297,'SegEnds_NonXtal_BW#'!$A:$Z,22,FALSE)+VLOOKUP($A297,A:AL,31,FALSE)-50)),"-",(VLOOKUP($A297,'SegEnds_NonXtal_BW#'!$A:$Z,22,FALSE)+VLOOKUP($A297,A:AL,31,FALSE)-50))</f>
        <v>257</v>
      </c>
      <c r="AG297" s="3">
        <f>IF(ISERROR(VLOOKUP($A297,'SegEnds_NonXtal_BW#'!$A:$Z,23,FALSE)+VLOOKUP($A297,A:AL,34,FALSE)-50),"-",(VLOOKUP($A297,'SegEnds_NonXtal_BW#'!$A:$Z,23,FALSE)+VLOOKUP($A297,A:AL,34,FALSE)-50))</f>
        <v>262</v>
      </c>
      <c r="AH297" s="3">
        <v>288</v>
      </c>
      <c r="AI297" s="3">
        <f>IF(ISERROR((VLOOKUP($A297,'SegEnds_NonXtal_BW#'!$A:$Z,24,FALSE)+VLOOKUP($A297,A:AL,34,FALSE)-50)),"-",(VLOOKUP($A297,'SegEnds_NonXtal_BW#'!$A:$Z,24,FALSE)+VLOOKUP($A297,A:AL,34,FALSE)-50))</f>
        <v>294</v>
      </c>
      <c r="AJ297" s="3">
        <f>IF(ISERROR(VLOOKUP($A297,'SegEnds_NonXtal_BW#'!$A:$Z,25,FALSE)+VLOOKUP($A297,A:AL,37,FALSE)-50),"-",(VLOOKUP($A297,'SegEnds_NonXtal_BW#'!$A:$Z,25,FALSE)+VLOOKUP($A297,A:AL,37,FALSE)-50))</f>
        <v>295</v>
      </c>
      <c r="AK297" s="3">
        <v>298</v>
      </c>
      <c r="AL297" s="3">
        <f>IF(ISERROR((VLOOKUP($A297,'SegEnds_NonXtal_BW#'!$A:$Z,26,FALSE)+VLOOKUP($A297,A:AL,37,FALSE)-50)),"-",(VLOOKUP($A297,'SegEnds_NonXtal_BW#'!$A:$Z,26,FALSE)+VLOOKUP($A297,A:AL,37,FALSE)-50))</f>
        <v>310</v>
      </c>
      <c r="AM297" s="28" t="str">
        <f>VLOOKUP(A297,Classification!A:B,2,FALSE)</f>
        <v>A</v>
      </c>
      <c r="AN297" s="28" t="b">
        <f t="shared" si="167"/>
        <v>1</v>
      </c>
      <c r="AO297" s="3" t="str">
        <f>IF(ISERROR(MATCH(A297,'SegEnds_Xtal_Prot#'!B:B, 0)), "NoXtal", "Xtal")</f>
        <v>Xtal</v>
      </c>
      <c r="AP297" s="3">
        <f t="shared" si="152"/>
        <v>1</v>
      </c>
      <c r="AQ297" s="3">
        <f t="shared" si="153"/>
        <v>1</v>
      </c>
      <c r="AR297" s="3" t="str">
        <f t="shared" si="154"/>
        <v>-</v>
      </c>
      <c r="AS297" s="3" t="str">
        <f t="shared" si="155"/>
        <v>-</v>
      </c>
      <c r="AT297" s="3" t="str">
        <f t="shared" si="156"/>
        <v>-</v>
      </c>
      <c r="AU297" s="3" t="str">
        <f t="shared" si="157"/>
        <v>-</v>
      </c>
      <c r="AV297" s="3">
        <f t="shared" si="158"/>
        <v>9</v>
      </c>
      <c r="AW297" s="3">
        <f t="shared" si="159"/>
        <v>8</v>
      </c>
      <c r="AX297" s="3">
        <f t="shared" si="160"/>
        <v>4</v>
      </c>
      <c r="AY297" s="3">
        <f t="shared" si="161"/>
        <v>5</v>
      </c>
      <c r="AZ297" s="3">
        <f t="shared" si="162"/>
        <v>1</v>
      </c>
      <c r="BA297" s="3">
        <f>IF(ISERROR(LEN(VLOOKUP(A297,Seqs!A:E,2,FALSE))-AL297),"-",LEN(VLOOKUP(A297,Seqs!A:E,2,FALSE))-AL297)</f>
        <v>44</v>
      </c>
      <c r="BB297" s="16">
        <f t="shared" si="163"/>
        <v>28</v>
      </c>
      <c r="BC297" s="9" t="str">
        <f t="shared" si="164"/>
        <v>-</v>
      </c>
      <c r="BD297" s="3">
        <f t="shared" si="165"/>
        <v>28</v>
      </c>
      <c r="BE297" s="3">
        <f t="shared" si="166"/>
        <v>43</v>
      </c>
    </row>
    <row r="298" spans="1:59" s="3" customFormat="1" x14ac:dyDescent="0.2">
      <c r="A298" s="3" t="s">
        <v>1523</v>
      </c>
      <c r="B298" s="3" t="str">
        <f>LOWER(VLOOKUP(A298,Xtal_Templ!A:B,2,FALSE))</f>
        <v>q80km9_hcmv</v>
      </c>
      <c r="C298" s="3">
        <f>VLOOKUP($A298,'SegEnds_NonXtal_BW#'!$A:$Z,3,FALSE)+D298-50</f>
        <v>25</v>
      </c>
      <c r="D298" s="3">
        <v>51</v>
      </c>
      <c r="E298" s="3">
        <f>IF(ISERROR(VLOOKUP($A298,'SegEnds_NonXtal_BW#'!$A:$Z,4,FALSE)+VLOOKUP($A298,A:AL,4,FALSE)-50),"-",(VLOOKUP($A298,'SegEnds_NonXtal_BW#'!$A:$Z,4,FALSE)+VLOOKUP($A298,A:AL,4,FALSE)-50))</f>
        <v>61</v>
      </c>
      <c r="F298" s="3">
        <f t="shared" si="171"/>
        <v>62</v>
      </c>
      <c r="G298" s="3">
        <v>64</v>
      </c>
      <c r="H298" s="3">
        <f>G298+1</f>
        <v>65</v>
      </c>
      <c r="I298" s="3">
        <f>H298+1</f>
        <v>66</v>
      </c>
      <c r="J298" s="3">
        <v>79</v>
      </c>
      <c r="K298" s="3">
        <f>VLOOKUP($A298,'SegEnds_NonXtal_BW#'!$A:$Z,8,FALSE)+VLOOKUP($A298,A:AL,10,FALSE)-50</f>
        <v>95</v>
      </c>
      <c r="L298" s="3" t="str">
        <f>IF(ISERROR(VLOOKUP($A298,'SegEnds_NonXtal_BW#'!$A:$Z,9,FALSE)+VLOOKUP($A298,A:AL,13,FALSE)-50),"-",(VLOOKUP($A298,'SegEnds_NonXtal_BW#'!$A:$Z,9,FALSE)+VLOOKUP($A298,A:AL,13,FALSE)-50))</f>
        <v>-</v>
      </c>
      <c r="M298" s="3" t="s">
        <v>23</v>
      </c>
      <c r="N298" s="3" t="str">
        <f>IF(ISERROR(VLOOKUP($A298,'SegEnds_NonXtal_BW#'!$A:$Z,10,FALSE)+VLOOKUP($A298,A:AL,13,FALSE)-50),"-",(VLOOKUP($A298,'SegEnds_NonXtal_BW#'!$A:$Z,10,FALSE)+VLOOKUP($A298,A:AL,13,FALSE)-50))</f>
        <v>-</v>
      </c>
      <c r="O298" s="3">
        <f>VLOOKUP($A298,'SegEnds_NonXtal_BW#'!$A:$Z,11,FALSE)+VLOOKUP($A298,A:AL,16,FALSE)-50</f>
        <v>100</v>
      </c>
      <c r="P298" s="3">
        <v>129</v>
      </c>
      <c r="Q298" s="3">
        <f>VLOOKUP($A298,'SegEnds_NonXtal_BW#'!$A:$Z,12,FALSE)+VLOOKUP($A298,A:AL,16,FALSE)-50</f>
        <v>134</v>
      </c>
      <c r="R298" s="3" t="str">
        <f>IF(ISERROR(VLOOKUP($A298,'SegEnds_NonXtal_BW#'!$A:$Z,13,FALSE)+VLOOKUP($A298,A:AL,19,FALSE)-50),"-",VLOOKUP($A298,'SegEnds_NonXtal_BW#'!$A:$Z,13,FALSE)+VLOOKUP($A298,A:AL,19,FALSE)-50)</f>
        <v>-</v>
      </c>
      <c r="S298" s="3" t="s">
        <v>23</v>
      </c>
      <c r="T298" s="100" t="str">
        <f>IF(ISERROR(VLOOKUP($A298,'SegEnds_NonXtal_BW#'!$A:$Z,14,FALSE)+VLOOKUP($A298,A:AL,19,FALSE)-50),"-",(VLOOKUP($A298,'SegEnds_NonXtal_BW#'!$A:$Z,14,FALSE)+VLOOKUP($A298,A:AL,19,FALSE)-50))</f>
        <v>-</v>
      </c>
      <c r="U298" s="9">
        <f>IF(ISERROR(VLOOKUP($A298,'SegEnds_NonXtal_BW#'!$A:$Z,15,FALSE)+VLOOKUP($A298,A:AL,22,FALSE)-50),"-",VLOOKUP($A298,'SegEnds_NonXtal_BW#'!$A:$Z,15,FALSE)+VLOOKUP($A298,A:AL,22,FALSE)-50)</f>
        <v>140</v>
      </c>
      <c r="V298" s="3">
        <v>152</v>
      </c>
      <c r="W298" s="3">
        <f>IF(ISERROR(VLOOKUP($A298,'SegEnds_NonXtal_BW#'!$A:$Z,16,FALSE)+VLOOKUP($A298,A:AL,22,FALSE)-50),"-",(VLOOKUP($A298,'SegEnds_NonXtal_BW#'!$A:$Z,16,FALSE)+VLOOKUP($A298,A:AL,22,FALSE)-50))</f>
        <v>164</v>
      </c>
      <c r="X298" s="3">
        <f>IF(ISERROR(VLOOKUP($A298,'SegEnds_NonXtal_BW#'!$A:$Z,17,FALSE)+VLOOKUP($A298,A:AL,25,FALSE)-50),"-",(VLOOKUP($A298,'SegEnds_NonXtal_BW#'!$A:$Z,17,FALSE)+VLOOKUP($A298,A:AL,25,FALSE)-50))</f>
        <v>173</v>
      </c>
      <c r="Y298" s="3">
        <v>173</v>
      </c>
      <c r="Z298" s="3">
        <f>Y298+2</f>
        <v>175</v>
      </c>
      <c r="AA298" s="3">
        <f>IF(ISERROR(VLOOKUP($A298,'SegEnds_NonXtal_BW#'!$A:$Z,19,FALSE)+VLOOKUP($A298,A:AL,28,FALSE)-50),"-",(VLOOKUP($A298,'SegEnds_NonXtal_BW#'!$A:$Z,19,FALSE)+VLOOKUP($A298,A:AL,28,FALSE)-50))</f>
        <v>183</v>
      </c>
      <c r="AB298" s="3">
        <v>200</v>
      </c>
      <c r="AC298" s="3">
        <f>IF(ISERROR((VLOOKUP($A298,'SegEnds_NonXtal_BW#'!$A:$Z,20,FALSE)+VLOOKUP($A298,A:AL,28,FALSE)-50)),"-",(VLOOKUP($A298,'SegEnds_NonXtal_BW#'!$A:$Z,20,FALSE)+VLOOKUP($A298,A:AL,28,FALSE)-50))</f>
        <v>218</v>
      </c>
      <c r="AD298" s="3">
        <f>IF(ISERROR(VLOOKUP($A298,'SegEnds_NonXtal_BW#'!$A:$Z,21,FALSE)+VLOOKUP($A298,A:AL,31,FALSE)-50),"-",(VLOOKUP($A298,'SegEnds_NonXtal_BW#'!$A:$Z,21,FALSE)+VLOOKUP($A298,A:AL,31,FALSE)-50))</f>
        <v>222</v>
      </c>
      <c r="AE298" s="3">
        <v>243</v>
      </c>
      <c r="AF298" s="3">
        <f>IF(ISERROR((VLOOKUP($A298,'SegEnds_NonXtal_BW#'!$A:$Z,22,FALSE)+VLOOKUP($A298,A:AL,31,FALSE)-50)),"-",(VLOOKUP($A298,'SegEnds_NonXtal_BW#'!$A:$Z,22,FALSE)+VLOOKUP($A298,A:AL,31,FALSE)-50))</f>
        <v>257</v>
      </c>
      <c r="AG298" s="3">
        <f>IF(ISERROR(VLOOKUP($A298,'SegEnds_NonXtal_BW#'!$A:$Z,23,FALSE)+VLOOKUP($A298,A:AL,34,FALSE)-50),"-",(VLOOKUP($A298,'SegEnds_NonXtal_BW#'!$A:$Z,23,FALSE)+VLOOKUP($A298,A:AL,34,FALSE)-50))</f>
        <v>262</v>
      </c>
      <c r="AH298" s="3">
        <v>288</v>
      </c>
      <c r="AI298" s="3">
        <f>IF(ISERROR((VLOOKUP($A298,'SegEnds_NonXtal_BW#'!$A:$Z,24,FALSE)+VLOOKUP($A298,A:AL,34,FALSE)-50)),"-",(VLOOKUP($A298,'SegEnds_NonXtal_BW#'!$A:$Z,24,FALSE)+VLOOKUP($A298,A:AL,34,FALSE)-50))</f>
        <v>294</v>
      </c>
      <c r="AJ298" s="3">
        <f>IF(ISERROR(VLOOKUP($A298,'SegEnds_NonXtal_BW#'!$A:$Z,25,FALSE)+VLOOKUP($A298,A:AL,37,FALSE)-50),"-",(VLOOKUP($A298,'SegEnds_NonXtal_BW#'!$A:$Z,25,FALSE)+VLOOKUP($A298,A:AL,37,FALSE)-50))</f>
        <v>295</v>
      </c>
      <c r="AK298" s="3">
        <v>298</v>
      </c>
      <c r="AL298" s="3">
        <f>IF(ISERROR((VLOOKUP($A298,'SegEnds_NonXtal_BW#'!$A:$Z,26,FALSE)+VLOOKUP($A298,A:AL,37,FALSE)-50)),"-",(VLOOKUP($A298,'SegEnds_NonXtal_BW#'!$A:$Z,26,FALSE)+VLOOKUP($A298,A:AL,37,FALSE)-50))</f>
        <v>310</v>
      </c>
      <c r="AM298" s="28" t="str">
        <f>VLOOKUP(A298,Classification!A:B,2,FALSE)</f>
        <v>A</v>
      </c>
      <c r="AN298" s="28" t="b">
        <f>AND(IF(Y298="-",IF(AA298-W298&gt;3,TRUE,FALSE),TRUE),IF(M298="-",IF(O298-K298&gt;3,TRUE,FALSE),TRUE),IF(AG298-AF298&gt;1,TRUE,FALSE),C298&lt;E298,OR(E298&lt;F298,F298="-"),OR(F298&lt;H298,F298="-"),OR(H298&lt;I298,H298="-"),I298&lt;K298,OR(K298&lt;L298,L298="-"),OR(L298&lt;N298,L298="-"),OR(N298&lt;O298,N298="-"),O298&lt;Q298,OR(Q298&lt;R298,R298="-"),OR(R298&lt;T298,R298="-"),OR(T298&lt;U298,T298="-"),U298&lt;W298,OR(W298&lt;X298,X298="-"),OR(X298&lt;Z298,X298="-"),OR(Z298&lt;AA298,Z298="-"),AA298&lt;AC298,AC298&lt;AD298,AD298&lt;AF298,AF298&lt;AG298,AG298&lt;AI298,OR(AI298&lt;AJ298,AJ298="-"),OR(AJ298&lt;AL298,AJ298="-"))</f>
        <v>1</v>
      </c>
      <c r="AO298" s="3" t="str">
        <f>IF(ISERROR(MATCH(A298,'SegEnds_Xtal_Prot#'!B:B, 0)), "NoXtal", "Xtal")</f>
        <v>Xtal</v>
      </c>
      <c r="AP298" s="3">
        <f>IF(ISERROR(F298-E298),"-",F298-E298)</f>
        <v>1</v>
      </c>
      <c r="AQ298" s="3">
        <f>IF(ISERROR(I298-H298),"-",I298-H298)</f>
        <v>1</v>
      </c>
      <c r="AR298" s="3" t="str">
        <f>IF(ISERROR(L298-K298),"-",L298-K298)</f>
        <v>-</v>
      </c>
      <c r="AS298" s="3" t="str">
        <f>IF(ISERROR(O298-N298),"-",O298-N298)</f>
        <v>-</v>
      </c>
      <c r="AT298" s="3" t="str">
        <f>IF(ISERROR(R298-Q298),"-",R298-Q298)</f>
        <v>-</v>
      </c>
      <c r="AU298" s="3" t="str">
        <f>IF(ISERROR(U298-T298),"-",U298-T298)</f>
        <v>-</v>
      </c>
      <c r="AV298" s="3">
        <f>IF(ISERROR(X298-W298),"-",X298-W298)</f>
        <v>9</v>
      </c>
      <c r="AW298" s="3">
        <f>IF(ISERROR(AA298-Z298),"-",AA298-Z298)</f>
        <v>8</v>
      </c>
      <c r="AX298" s="3">
        <f>IF(ISERROR(AD298-AC298),"-",AD298-AC298)</f>
        <v>4</v>
      </c>
      <c r="AY298" s="3">
        <f>IF(ISERROR(AG298-AF298),"-",AG298-AF298)</f>
        <v>5</v>
      </c>
      <c r="AZ298" s="3">
        <f>IF(ISERROR(AJ298-AI298),"-",AJ298-AI298)</f>
        <v>1</v>
      </c>
      <c r="BA298" s="3">
        <f>IF(ISERROR(LEN(VLOOKUP(A298,Seqs!A:E,2,FALSE))-AL298),"-",LEN(VLOOKUP(A298,Seqs!A:E,2,FALSE))-AL298)</f>
        <v>44</v>
      </c>
      <c r="BB298" s="16">
        <f>J298-D298</f>
        <v>28</v>
      </c>
      <c r="BC298" s="9" t="str">
        <f>IF(ISERROR(V298-S298),"-",V298-S298)</f>
        <v>-</v>
      </c>
      <c r="BD298" s="3">
        <f>J298-D298</f>
        <v>28</v>
      </c>
      <c r="BE298" s="3">
        <f>AE298-AB298</f>
        <v>43</v>
      </c>
    </row>
    <row r="299" spans="1:59" s="3" customFormat="1" x14ac:dyDescent="0.2">
      <c r="A299" s="3" t="s">
        <v>401</v>
      </c>
      <c r="B299" s="3" t="str">
        <f>LOWER(VLOOKUP(A299,Xtal_Templ!A:B,2,FALSE))</f>
        <v>calcr_human</v>
      </c>
      <c r="C299" s="3">
        <f>VLOOKUP($A299,'SegEnds_NonXtal_BW#'!$A:$Z,3,FALSE)+D299-50</f>
        <v>132</v>
      </c>
      <c r="D299" s="3">
        <v>163</v>
      </c>
      <c r="E299" s="3">
        <f>IF(ISERROR(VLOOKUP($A299,'SegEnds_NonXtal_BW#'!$A:$Z,4,FALSE)+VLOOKUP($A299,A:AL,4,FALSE)-50),"-",(VLOOKUP($A299,'SegEnds_NonXtal_BW#'!$A:$Z,4,FALSE)+VLOOKUP($A299,A:AL,4,FALSE)-50))</f>
        <v>173</v>
      </c>
      <c r="F299" s="3">
        <f t="shared" si="171"/>
        <v>174</v>
      </c>
      <c r="G299" s="3">
        <v>176</v>
      </c>
      <c r="H299" s="3">
        <f t="shared" si="177"/>
        <v>177</v>
      </c>
      <c r="I299" s="3">
        <f t="shared" si="177"/>
        <v>178</v>
      </c>
      <c r="J299" s="3">
        <v>191</v>
      </c>
      <c r="K299" s="3">
        <f>VLOOKUP($A299,'SegEnds_NonXtal_BW#'!$A:$Z,8,FALSE)+VLOOKUP($A299,A:AL,10,FALSE)-50</f>
        <v>205</v>
      </c>
      <c r="L299" s="3" t="str">
        <f>IF(ISERROR(VLOOKUP($A299,'SegEnds_NonXtal_BW#'!$A:$Z,9,FALSE)+VLOOKUP($A299,A:AL,13,FALSE)-50),"-",(VLOOKUP($A299,'SegEnds_NonXtal_BW#'!$A:$Z,9,FALSE)+VLOOKUP($A299,A:AL,13,FALSE)-50))</f>
        <v>-</v>
      </c>
      <c r="M299" s="3" t="s">
        <v>23</v>
      </c>
      <c r="N299" s="3" t="str">
        <f>IF(ISERROR(VLOOKUP($A299,'SegEnds_NonXtal_BW#'!$A:$Z,10,FALSE)+VLOOKUP($A299,A:AL,13,FALSE)-50),"-",(VLOOKUP($A299,'SegEnds_NonXtal_BW#'!$A:$Z,10,FALSE)+VLOOKUP($A299,A:AL,13,FALSE)-50))</f>
        <v>-</v>
      </c>
      <c r="O299" s="3">
        <f>VLOOKUP($A299,'SegEnds_NonXtal_BW#'!$A:$Z,11,FALSE)+VLOOKUP($A299,A:AL,16,FALSE)-50</f>
        <v>217</v>
      </c>
      <c r="P299" s="3">
        <v>244</v>
      </c>
      <c r="Q299" s="3">
        <f>VLOOKUP($A299,'SegEnds_NonXtal_BW#'!$A:$Z,12,FALSE)+VLOOKUP($A299,A:AL,16,FALSE)-50</f>
        <v>250</v>
      </c>
      <c r="R299" s="3" t="str">
        <f>IF(ISERROR(VLOOKUP($A299,'SegEnds_NonXtal_BW#'!$A:$Z,13,FALSE)+VLOOKUP($A299,A:AL,19,FALSE)-50),"-",VLOOKUP($A299,'SegEnds_NonXtal_BW#'!$A:$Z,13,FALSE)+VLOOKUP($A299,A:AL,19,FALSE)-50)</f>
        <v>-</v>
      </c>
      <c r="S299" s="3" t="s">
        <v>23</v>
      </c>
      <c r="T299" s="100" t="str">
        <f>IF(ISERROR(VLOOKUP($A299,'SegEnds_NonXtal_BW#'!$A:$Z,14,FALSE)+VLOOKUP($A299,A:AL,19,FALSE)-50),"-",(VLOOKUP($A299,'SegEnds_NonXtal_BW#'!$A:$Z,14,FALSE)+VLOOKUP($A299,A:AL,19,FALSE)-50))</f>
        <v>-</v>
      </c>
      <c r="U299" s="9">
        <f>IF(ISERROR(VLOOKUP($A299,'SegEnds_NonXtal_BW#'!$A:$Z,15,FALSE)+VLOOKUP($A299,A:AL,22,FALSE)-50),"-",VLOOKUP($A299,'SegEnds_NonXtal_BW#'!$A:$Z,15,FALSE)+VLOOKUP($A299,A:AL,22,FALSE)-50)</f>
        <v>258</v>
      </c>
      <c r="V299" s="3">
        <v>267</v>
      </c>
      <c r="W299" s="3">
        <f>IF(ISERROR(VLOOKUP($A299,'SegEnds_NonXtal_BW#'!$A:$Z,16,FALSE)+VLOOKUP($A299,A:AL,22,FALSE)-50),"-",(VLOOKUP($A299,'SegEnds_NonXtal_BW#'!$A:$Z,16,FALSE)+VLOOKUP($A299,A:AL,22,FALSE)-50))</f>
        <v>285</v>
      </c>
      <c r="X299" s="3">
        <f>IF(ISERROR(VLOOKUP($A299,'SegEnds_NonXtal_BW#'!$A:$Z,17,FALSE)+VLOOKUP($A299,A:AL,25,FALSE)-50),"-",(VLOOKUP($A299,'SegEnds_NonXtal_BW#'!$A:$Z,17,FALSE)+VLOOKUP($A299,A:AL,25,FALSE)-50))</f>
        <v>289</v>
      </c>
      <c r="Y299" s="3">
        <v>289</v>
      </c>
      <c r="Z299" s="3">
        <f t="shared" si="176"/>
        <v>291</v>
      </c>
      <c r="AA299" s="3">
        <f>IF(ISERROR(VLOOKUP($A299,'SegEnds_NonXtal_BW#'!$A:$Z,19,FALSE)+VLOOKUP($A299,A:AL,28,FALSE)-50),"-",(VLOOKUP($A299,'SegEnds_NonXtal_BW#'!$A:$Z,19,FALSE)+VLOOKUP($A299,A:AL,28,FALSE)-50))</f>
        <v>298</v>
      </c>
      <c r="AB299" s="3">
        <v>308</v>
      </c>
      <c r="AC299" s="3">
        <f>IF(ISERROR((VLOOKUP($A299,'SegEnds_NonXtal_BW#'!$A:$Z,20,FALSE)+VLOOKUP($A299,A:AL,28,FALSE)-50)),"-",(VLOOKUP($A299,'SegEnds_NonXtal_BW#'!$A:$Z,20,FALSE)+VLOOKUP($A299,A:AL,28,FALSE)-50))</f>
        <v>328</v>
      </c>
      <c r="AD299" s="3">
        <f>IF(ISERROR(VLOOKUP($A299,'SegEnds_NonXtal_BW#'!$A:$Z,21,FALSE)+VLOOKUP($A299,A:AL,31,FALSE)-50),"-",(VLOOKUP($A299,'SegEnds_NonXtal_BW#'!$A:$Z,21,FALSE)+VLOOKUP($A299,A:AL,31,FALSE)-50))</f>
        <v>338</v>
      </c>
      <c r="AE299" s="3">
        <v>358</v>
      </c>
      <c r="AF299" s="3">
        <f>IF(ISERROR((VLOOKUP($A299,'SegEnds_NonXtal_BW#'!$A:$Z,22,FALSE)+VLOOKUP($A299,A:AL,31,FALSE)-50)),"-",(VLOOKUP($A299,'SegEnds_NonXtal_BW#'!$A:$Z,22,FALSE)+VLOOKUP($A299,A:AL,31,FALSE)-50))</f>
        <v>361</v>
      </c>
      <c r="AG299" s="3">
        <f>IF(ISERROR(VLOOKUP($A299,'SegEnds_NonXtal_BW#'!$A:$Z,23,FALSE)+VLOOKUP($A299,A:AL,34,FALSE)-50),"-",(VLOOKUP($A299,'SegEnds_NonXtal_BW#'!$A:$Z,23,FALSE)+VLOOKUP($A299,A:AL,34,FALSE)-50))</f>
        <v>366</v>
      </c>
      <c r="AH299" s="3">
        <v>388</v>
      </c>
      <c r="AI299" s="3">
        <f>IF(ISERROR((VLOOKUP($A299,'SegEnds_NonXtal_BW#'!$A:$Z,24,FALSE)+VLOOKUP($A299,A:AL,34,FALSE)-50)),"-",(VLOOKUP($A299,'SegEnds_NonXtal_BW#'!$A:$Z,24,FALSE)+VLOOKUP($A299,A:AL,34,FALSE)-50))</f>
        <v>394</v>
      </c>
      <c r="AJ299" s="3">
        <f>IF(ISERROR(VLOOKUP($A299,'SegEnds_NonXtal_BW#'!$A:$Z,25,FALSE)+VLOOKUP($A299,A:AL,37,FALSE)-50),"-",(VLOOKUP($A299,'SegEnds_NonXtal_BW#'!$A:$Z,25,FALSE)+VLOOKUP($A299,A:AL,37,FALSE)-50))</f>
        <v>395</v>
      </c>
      <c r="AK299" s="3">
        <v>398</v>
      </c>
      <c r="AL299" s="3">
        <f>IF(ISERROR((VLOOKUP($A299,'SegEnds_NonXtal_BW#'!$A:$Z,26,FALSE)+VLOOKUP($A299,A:AL,37,FALSE)-50)),"-",(VLOOKUP($A299,'SegEnds_NonXtal_BW#'!$A:$Z,26,FALSE)+VLOOKUP($A299,A:AL,37,FALSE)-50))</f>
        <v>420</v>
      </c>
      <c r="AM299" s="28" t="str">
        <f>VLOOKUP(A299,Classification!A:B,2,FALSE)</f>
        <v>B1</v>
      </c>
      <c r="AN299" s="28" t="b">
        <f t="shared" si="167"/>
        <v>1</v>
      </c>
      <c r="AO299" s="3" t="str">
        <f>IF(ISERROR(MATCH(A299,'SegEnds_Xtal_Prot#'!B:B, 0)), "NoXtal", "Xtal")</f>
        <v>Xtal</v>
      </c>
      <c r="AP299" s="3">
        <f t="shared" si="152"/>
        <v>1</v>
      </c>
      <c r="AQ299" s="3">
        <f t="shared" si="153"/>
        <v>1</v>
      </c>
      <c r="AR299" s="3" t="str">
        <f t="shared" si="154"/>
        <v>-</v>
      </c>
      <c r="AS299" s="3" t="str">
        <f t="shared" si="155"/>
        <v>-</v>
      </c>
      <c r="AT299" s="3" t="str">
        <f t="shared" si="156"/>
        <v>-</v>
      </c>
      <c r="AU299" s="3" t="str">
        <f t="shared" si="157"/>
        <v>-</v>
      </c>
      <c r="AV299" s="3">
        <f t="shared" si="158"/>
        <v>4</v>
      </c>
      <c r="AW299" s="3">
        <f t="shared" si="159"/>
        <v>7</v>
      </c>
      <c r="AX299" s="3">
        <f t="shared" si="160"/>
        <v>10</v>
      </c>
      <c r="AY299" s="3">
        <f t="shared" si="161"/>
        <v>5</v>
      </c>
      <c r="AZ299" s="3">
        <f t="shared" si="162"/>
        <v>1</v>
      </c>
      <c r="BA299" s="3">
        <f>IF(ISERROR(LEN(VLOOKUP(A299,Seqs!A:E,2,FALSE))-AL299),"-",LEN(VLOOKUP(A299,Seqs!A:E,2,FALSE))-AL299)</f>
        <v>54</v>
      </c>
      <c r="BB299" s="16">
        <f t="shared" si="163"/>
        <v>28</v>
      </c>
      <c r="BC299" s="9" t="str">
        <f t="shared" si="164"/>
        <v>-</v>
      </c>
      <c r="BD299" s="3">
        <f t="shared" si="165"/>
        <v>28</v>
      </c>
      <c r="BE299" s="3">
        <f t="shared" si="166"/>
        <v>50</v>
      </c>
    </row>
    <row r="300" spans="1:59" s="3" customFormat="1" ht="17" customHeight="1" x14ac:dyDescent="0.2">
      <c r="A300" s="3" t="s">
        <v>402</v>
      </c>
      <c r="B300" s="3" t="str">
        <f>LOWER(VLOOKUP(A300,Xtal_Templ!A:B,2,FALSE))</f>
        <v>calrl_human</v>
      </c>
      <c r="C300" s="3">
        <f>VLOOKUP($A300,'SegEnds_NonXtal_BW#'!$A:$Z,3,FALSE)+D300-50</f>
        <v>130</v>
      </c>
      <c r="D300" s="3">
        <v>156</v>
      </c>
      <c r="E300" s="3">
        <f>IF(ISERROR(VLOOKUP($A300,'SegEnds_NonXtal_BW#'!$A:$Z,4,FALSE)+VLOOKUP($A300,A:AL,4,FALSE)-50),"-",(VLOOKUP($A300,'SegEnds_NonXtal_BW#'!$A:$Z,4,FALSE)+VLOOKUP($A300,A:AL,4,FALSE)-50))</f>
        <v>166</v>
      </c>
      <c r="F300" s="3">
        <f t="shared" si="171"/>
        <v>167</v>
      </c>
      <c r="G300" s="3">
        <v>169</v>
      </c>
      <c r="H300" s="3">
        <f t="shared" si="177"/>
        <v>170</v>
      </c>
      <c r="I300" s="3">
        <f t="shared" si="177"/>
        <v>171</v>
      </c>
      <c r="J300" s="3">
        <v>184</v>
      </c>
      <c r="K300" s="3">
        <f>VLOOKUP($A300,'SegEnds_NonXtal_BW#'!$A:$Z,8,FALSE)+VLOOKUP($A300,A:AL,10,FALSE)-50</f>
        <v>198</v>
      </c>
      <c r="L300" s="3" t="str">
        <f>IF(ISERROR(VLOOKUP($A300,'SegEnds_NonXtal_BW#'!$A:$Z,9,FALSE)+VLOOKUP($A300,A:AL,13,FALSE)-50),"-",(VLOOKUP($A300,'SegEnds_NonXtal_BW#'!$A:$Z,9,FALSE)+VLOOKUP($A300,A:AL,13,FALSE)-50))</f>
        <v>-</v>
      </c>
      <c r="M300" s="3" t="s">
        <v>23</v>
      </c>
      <c r="N300" s="3" t="str">
        <f>IF(ISERROR(VLOOKUP($A300,'SegEnds_NonXtal_BW#'!$A:$Z,10,FALSE)+VLOOKUP($A300,A:AL,13,FALSE)-50),"-",(VLOOKUP($A300,'SegEnds_NonXtal_BW#'!$A:$Z,10,FALSE)+VLOOKUP($A300,A:AL,13,FALSE)-50))</f>
        <v>-</v>
      </c>
      <c r="O300" s="3">
        <f>VLOOKUP($A300,'SegEnds_NonXtal_BW#'!$A:$Z,11,FALSE)+VLOOKUP($A300,A:AL,16,FALSE)-50</f>
        <v>210</v>
      </c>
      <c r="P300" s="3">
        <v>237</v>
      </c>
      <c r="Q300" s="3">
        <f>VLOOKUP($A300,'SegEnds_NonXtal_BW#'!$A:$Z,12,FALSE)+VLOOKUP($A300,A:AL,16,FALSE)-50</f>
        <v>243</v>
      </c>
      <c r="R300" s="3" t="str">
        <f>IF(ISERROR(VLOOKUP($A300,'SegEnds_NonXtal_BW#'!$A:$Z,13,FALSE)+VLOOKUP($A300,A:AL,19,FALSE)-50),"-",VLOOKUP($A300,'SegEnds_NonXtal_BW#'!$A:$Z,13,FALSE)+VLOOKUP($A300,A:AL,19,FALSE)-50)</f>
        <v>-</v>
      </c>
      <c r="S300" s="3" t="s">
        <v>23</v>
      </c>
      <c r="T300" s="100" t="str">
        <f>IF(ISERROR(VLOOKUP($A300,'SegEnds_NonXtal_BW#'!$A:$Z,14,FALSE)+VLOOKUP($A300,A:AL,19,FALSE)-50),"-",(VLOOKUP($A300,'SegEnds_NonXtal_BW#'!$A:$Z,14,FALSE)+VLOOKUP($A300,A:AL,19,FALSE)-50))</f>
        <v>-</v>
      </c>
      <c r="U300" s="9">
        <f>IF(ISERROR(VLOOKUP($A300,'SegEnds_NonXtal_BW#'!$A:$Z,15,FALSE)+VLOOKUP($A300,A:AL,22,FALSE)-50),"-",VLOOKUP($A300,'SegEnds_NonXtal_BW#'!$A:$Z,15,FALSE)+VLOOKUP($A300,A:AL,22,FALSE)-50)</f>
        <v>251</v>
      </c>
      <c r="V300" s="3">
        <v>260</v>
      </c>
      <c r="W300" s="3">
        <f>IF(ISERROR(VLOOKUP($A300,'SegEnds_NonXtal_BW#'!$A:$Z,16,FALSE)+VLOOKUP($A300,A:AL,22,FALSE)-50),"-",(VLOOKUP($A300,'SegEnds_NonXtal_BW#'!$A:$Z,16,FALSE)+VLOOKUP($A300,A:AL,22,FALSE)-50))</f>
        <v>277</v>
      </c>
      <c r="X300" s="3">
        <f>IF(ISERROR(VLOOKUP($A300,'SegEnds_NonXtal_BW#'!$A:$Z,17,FALSE)+VLOOKUP($A300,A:AL,25,FALSE)-50),"-",(VLOOKUP($A300,'SegEnds_NonXtal_BW#'!$A:$Z,17,FALSE)+VLOOKUP($A300,A:AL,25,FALSE)-50))</f>
        <v>282</v>
      </c>
      <c r="Y300" s="3">
        <v>282</v>
      </c>
      <c r="Z300" s="3">
        <f t="shared" si="176"/>
        <v>284</v>
      </c>
      <c r="AA300" s="3">
        <f>IF(ISERROR(VLOOKUP($A300,'SegEnds_NonXtal_BW#'!$A:$Z,19,FALSE)+VLOOKUP($A300,A:AL,28,FALSE)-50),"-",(VLOOKUP($A300,'SegEnds_NonXtal_BW#'!$A:$Z,19,FALSE)+VLOOKUP($A300,A:AL,28,FALSE)-50))</f>
        <v>290</v>
      </c>
      <c r="AB300" s="3">
        <v>301</v>
      </c>
      <c r="AC300" s="3">
        <f>IF(ISERROR((VLOOKUP($A300,'SegEnds_NonXtal_BW#'!$A:$Z,20,FALSE)+VLOOKUP($A300,A:AL,28,FALSE)-50)),"-",(VLOOKUP($A300,'SegEnds_NonXtal_BW#'!$A:$Z,20,FALSE)+VLOOKUP($A300,A:AL,28,FALSE)-50))</f>
        <v>321</v>
      </c>
      <c r="AD300" s="3">
        <f>IF(ISERROR(VLOOKUP($A300,'SegEnds_NonXtal_BW#'!$A:$Z,21,FALSE)+VLOOKUP($A300,A:AL,31,FALSE)-50),"-",(VLOOKUP($A300,'SegEnds_NonXtal_BW#'!$A:$Z,21,FALSE)+VLOOKUP($A300,A:AL,31,FALSE)-50))</f>
        <v>331</v>
      </c>
      <c r="AE300" s="3">
        <v>351</v>
      </c>
      <c r="AF300" s="3">
        <f>IF(ISERROR((VLOOKUP($A300,'SegEnds_NonXtal_BW#'!$A:$Z,22,FALSE)+VLOOKUP($A300,A:AL,31,FALSE)-50)),"-",(VLOOKUP($A300,'SegEnds_NonXtal_BW#'!$A:$Z,22,FALSE)+VLOOKUP($A300,A:AL,31,FALSE)-50))</f>
        <v>354</v>
      </c>
      <c r="AG300" s="3">
        <f>IF(ISERROR(VLOOKUP($A300,'SegEnds_NonXtal_BW#'!$A:$Z,23,FALSE)+VLOOKUP($A300,A:AL,34,FALSE)-50),"-",(VLOOKUP($A300,'SegEnds_NonXtal_BW#'!$A:$Z,23,FALSE)+VLOOKUP($A300,A:AL,34,FALSE)-50))</f>
        <v>359</v>
      </c>
      <c r="AH300" s="3">
        <v>381</v>
      </c>
      <c r="AI300" s="3">
        <f>IF(ISERROR((VLOOKUP($A300,'SegEnds_NonXtal_BW#'!$A:$Z,24,FALSE)+VLOOKUP($A300,A:AL,34,FALSE)-50)),"-",(VLOOKUP($A300,'SegEnds_NonXtal_BW#'!$A:$Z,24,FALSE)+VLOOKUP($A300,A:AL,34,FALSE)-50))</f>
        <v>387</v>
      </c>
      <c r="AJ300" s="3">
        <f>IF(ISERROR(VLOOKUP($A300,'SegEnds_NonXtal_BW#'!$A:$Z,25,FALSE)+VLOOKUP($A300,A:AL,37,FALSE)-50),"-",(VLOOKUP($A300,'SegEnds_NonXtal_BW#'!$A:$Z,25,FALSE)+VLOOKUP($A300,A:AL,37,FALSE)-50))</f>
        <v>388</v>
      </c>
      <c r="AK300" s="3">
        <v>391</v>
      </c>
      <c r="AL300" s="3">
        <f>IF(ISERROR((VLOOKUP($A300,'SegEnds_NonXtal_BW#'!$A:$Z,26,FALSE)+VLOOKUP($A300,A:AL,37,FALSE)-50)),"-",(VLOOKUP($A300,'SegEnds_NonXtal_BW#'!$A:$Z,26,FALSE)+VLOOKUP($A300,A:AL,37,FALSE)-50))</f>
        <v>413</v>
      </c>
      <c r="AM300" s="28" t="str">
        <f>VLOOKUP(A300,Classification!A:B,2,FALSE)</f>
        <v>B1</v>
      </c>
      <c r="AN300" s="28" t="b">
        <f t="shared" si="167"/>
        <v>1</v>
      </c>
      <c r="AO300" s="3" t="str">
        <f>IF(ISERROR(MATCH(A300,'SegEnds_Xtal_Prot#'!B:B, 0)), "NoXtal", "Xtal")</f>
        <v>Xtal</v>
      </c>
      <c r="AP300" s="3">
        <f t="shared" si="152"/>
        <v>1</v>
      </c>
      <c r="AQ300" s="3">
        <f t="shared" si="153"/>
        <v>1</v>
      </c>
      <c r="AR300" s="3" t="str">
        <f t="shared" si="154"/>
        <v>-</v>
      </c>
      <c r="AS300" s="3" t="str">
        <f t="shared" si="155"/>
        <v>-</v>
      </c>
      <c r="AT300" s="3" t="str">
        <f t="shared" si="156"/>
        <v>-</v>
      </c>
      <c r="AU300" s="3" t="str">
        <f t="shared" si="157"/>
        <v>-</v>
      </c>
      <c r="AV300" s="3">
        <f t="shared" si="158"/>
        <v>5</v>
      </c>
      <c r="AW300" s="3">
        <f t="shared" si="159"/>
        <v>6</v>
      </c>
      <c r="AX300" s="3">
        <f t="shared" si="160"/>
        <v>10</v>
      </c>
      <c r="AY300" s="3">
        <f t="shared" si="161"/>
        <v>5</v>
      </c>
      <c r="AZ300" s="3">
        <f t="shared" si="162"/>
        <v>1</v>
      </c>
      <c r="BA300" s="3">
        <f>IF(ISERROR(LEN(VLOOKUP(A300,Seqs!A:E,2,FALSE))-AL300),"-",LEN(VLOOKUP(A300,Seqs!A:E,2,FALSE))-AL300)</f>
        <v>48</v>
      </c>
      <c r="BB300" s="16">
        <f t="shared" si="163"/>
        <v>28</v>
      </c>
      <c r="BC300" s="9" t="str">
        <f t="shared" si="164"/>
        <v>-</v>
      </c>
      <c r="BD300" s="3">
        <f t="shared" si="165"/>
        <v>28</v>
      </c>
      <c r="BE300" s="3">
        <f t="shared" si="166"/>
        <v>50</v>
      </c>
    </row>
    <row r="301" spans="1:59" s="3" customFormat="1" x14ac:dyDescent="0.2">
      <c r="A301" s="3" t="s">
        <v>38</v>
      </c>
      <c r="B301" s="3" t="str">
        <f>LOWER(VLOOKUP(A301,Xtal_Templ!A:B,2,FALSE))</f>
        <v>crfr1_human</v>
      </c>
      <c r="C301" s="3">
        <f>VLOOKUP($A301,'SegEnds_NonXtal_BW#'!$A:$Z,3,FALSE)+D301-50</f>
        <v>103</v>
      </c>
      <c r="D301" s="3">
        <v>134</v>
      </c>
      <c r="E301" s="3">
        <f>IF(ISERROR(VLOOKUP($A301,'SegEnds_NonXtal_BW#'!$A:$Z,4,FALSE)+VLOOKUP($A301,A:AL,4,FALSE)-50),"-",(VLOOKUP($A301,'SegEnds_NonXtal_BW#'!$A:$Z,4,FALSE)+VLOOKUP($A301,A:AL,4,FALSE)-50))</f>
        <v>144</v>
      </c>
      <c r="F301" s="3">
        <f t="shared" si="171"/>
        <v>145</v>
      </c>
      <c r="G301" s="3">
        <v>147</v>
      </c>
      <c r="H301" s="3">
        <f t="shared" si="177"/>
        <v>148</v>
      </c>
      <c r="I301" s="3">
        <f t="shared" si="177"/>
        <v>149</v>
      </c>
      <c r="J301" s="3">
        <v>162</v>
      </c>
      <c r="K301" s="3">
        <f>VLOOKUP($A301,'SegEnds_NonXtal_BW#'!$A:$Z,8,FALSE)+VLOOKUP($A301,A:AL,10,FALSE)-50</f>
        <v>175</v>
      </c>
      <c r="L301" s="3" t="str">
        <f>IF(ISERROR(VLOOKUP($A301,'SegEnds_NonXtal_BW#'!$A:$Z,9,FALSE)+VLOOKUP($A301,A:AL,13,FALSE)-50),"-",(VLOOKUP($A301,'SegEnds_NonXtal_BW#'!$A:$Z,9,FALSE)+VLOOKUP($A301,A:AL,13,FALSE)-50))</f>
        <v>-</v>
      </c>
      <c r="M301" s="3" t="s">
        <v>23</v>
      </c>
      <c r="N301" s="3" t="str">
        <f>IF(ISERROR(VLOOKUP($A301,'SegEnds_NonXtal_BW#'!$A:$Z,10,FALSE)+VLOOKUP($A301,A:AL,13,FALSE)-50),"-",(VLOOKUP($A301,'SegEnds_NonXtal_BW#'!$A:$Z,10,FALSE)+VLOOKUP($A301,A:AL,13,FALSE)-50))</f>
        <v>-</v>
      </c>
      <c r="O301" s="3">
        <f>VLOOKUP($A301,'SegEnds_NonXtal_BW#'!$A:$Z,11,FALSE)+VLOOKUP($A301,A:AL,16,FALSE)-50</f>
        <v>185</v>
      </c>
      <c r="P301" s="3">
        <v>213</v>
      </c>
      <c r="Q301" s="3">
        <f>VLOOKUP($A301,'SegEnds_NonXtal_BW#'!$A:$Z,12,FALSE)+VLOOKUP($A301,A:AL,16,FALSE)-50</f>
        <v>219</v>
      </c>
      <c r="R301" s="3" t="str">
        <f>IF(ISERROR(VLOOKUP($A301,'SegEnds_NonXtal_BW#'!$A:$Z,13,FALSE)+VLOOKUP($A301,A:AL,19,FALSE)-50),"-",VLOOKUP($A301,'SegEnds_NonXtal_BW#'!$A:$Z,13,FALSE)+VLOOKUP($A301,A:AL,19,FALSE)-50)</f>
        <v>-</v>
      </c>
      <c r="S301" s="3" t="s">
        <v>23</v>
      </c>
      <c r="T301" s="100" t="str">
        <f>IF(ISERROR(VLOOKUP($A301,'SegEnds_NonXtal_BW#'!$A:$Z,14,FALSE)+VLOOKUP($A301,A:AL,19,FALSE)-50),"-",(VLOOKUP($A301,'SegEnds_NonXtal_BW#'!$A:$Z,14,FALSE)+VLOOKUP($A301,A:AL,19,FALSE)-50))</f>
        <v>-</v>
      </c>
      <c r="U301" s="9">
        <f>IF(ISERROR(VLOOKUP($A301,'SegEnds_NonXtal_BW#'!$A:$Z,15,FALSE)+VLOOKUP($A301,A:AL,22,FALSE)-50),"-",VLOOKUP($A301,'SegEnds_NonXtal_BW#'!$A:$Z,15,FALSE)+VLOOKUP($A301,A:AL,22,FALSE)-50)</f>
        <v>226</v>
      </c>
      <c r="V301" s="3">
        <v>236</v>
      </c>
      <c r="W301" s="3">
        <f>IF(ISERROR(VLOOKUP($A301,'SegEnds_NonXtal_BW#'!$A:$Z,16,FALSE)+VLOOKUP($A301,A:AL,22,FALSE)-50),"-",(VLOOKUP($A301,'SegEnds_NonXtal_BW#'!$A:$Z,16,FALSE)+VLOOKUP($A301,A:AL,22,FALSE)-50))</f>
        <v>254</v>
      </c>
      <c r="X301" s="3">
        <f>IF(ISERROR(VLOOKUP($A301,'SegEnds_NonXtal_BW#'!$A:$Z,17,FALSE)+VLOOKUP($A301,A:AL,25,FALSE)-50),"-",(VLOOKUP($A301,'SegEnds_NonXtal_BW#'!$A:$Z,17,FALSE)+VLOOKUP($A301,A:AL,25,FALSE)-50))</f>
        <v>258</v>
      </c>
      <c r="Y301" s="3">
        <v>258</v>
      </c>
      <c r="Z301" s="3">
        <f t="shared" si="176"/>
        <v>260</v>
      </c>
      <c r="AA301" s="3">
        <f>IF(ISERROR(VLOOKUP($A301,'SegEnds_NonXtal_BW#'!$A:$Z,19,FALSE)+AB301-50),"-",(VLOOKUP($A301,'SegEnds_NonXtal_BW#'!$A:$Z,19,FALSE)+AB301-50))</f>
        <v>268</v>
      </c>
      <c r="AB301" s="3">
        <v>279</v>
      </c>
      <c r="AC301" s="3">
        <f>IF(ISERROR((VLOOKUP($A301,'SegEnds_NonXtal_BW#'!$A:$Z,20,FALSE)+VLOOKUP($A301,A:AL,28,FALSE)-50)),"-",(VLOOKUP($A301,'SegEnds_NonXtal_BW#'!$A:$Z,20,FALSE)+VLOOKUP($A301,A:AL,28,FALSE)-50))</f>
        <v>298</v>
      </c>
      <c r="AD301" s="3">
        <f>IF(ISERROR(VLOOKUP($A301,'SegEnds_NonXtal_BW#'!$A:$Z,21,FALSE)+AE301-50),"-",(VLOOKUP($A301,'SegEnds_NonXtal_BW#'!$A:$Z,21,FALSE)+AE301-50))</f>
        <v>304</v>
      </c>
      <c r="AE301" s="3">
        <v>329</v>
      </c>
      <c r="AF301" s="3">
        <f>IF(ISERROR((VLOOKUP($A301,'SegEnds_NonXtal_BW#'!$A:$Z,22,FALSE)+AE301-50)),"-",(VLOOKUP($A301,'SegEnds_NonXtal_BW#'!$A:$Z,22,FALSE)+AE301-50))</f>
        <v>332</v>
      </c>
      <c r="AG301" s="3">
        <f>IF(ISERROR(VLOOKUP($A301,'SegEnds_NonXtal_BW#'!$A:$Z,23,FALSE)+VLOOKUP($A301,A:AL,34,FALSE)-50),"-",(VLOOKUP($A301,'SegEnds_NonXtal_BW#'!$A:$Z,23,FALSE)+VLOOKUP($A301,A:AL,34,FALSE)-50))</f>
        <v>339</v>
      </c>
      <c r="AH301" s="3">
        <v>360</v>
      </c>
      <c r="AI301" s="3">
        <f>IF(ISERROR((VLOOKUP($A301,'SegEnds_NonXtal_BW#'!$A:$Z,24,FALSE)+VLOOKUP($A301,A:AL,34,FALSE)-50)),"-",(VLOOKUP($A301,'SegEnds_NonXtal_BW#'!$A:$Z,24,FALSE)+VLOOKUP($A301,A:AL,34,FALSE)-50))</f>
        <v>366</v>
      </c>
      <c r="AJ301" s="3">
        <f>IF(ISERROR(VLOOKUP($A301,'SegEnds_NonXtal_BW#'!$A:$Z,25,FALSE)+VLOOKUP($A301,A:AL,37,FALSE)-50),"-",(VLOOKUP($A301,'SegEnds_NonXtal_BW#'!$A:$Z,25,FALSE)+VLOOKUP($A301,A:AL,37,FALSE)-50))</f>
        <v>367</v>
      </c>
      <c r="AK301" s="3">
        <v>370</v>
      </c>
      <c r="AL301" s="3">
        <f>IF(ISERROR((VLOOKUP($A301,'SegEnds_NonXtal_BW#'!$A:$Z,26,FALSE)+VLOOKUP($A301,A:AL,37,FALSE)-50)),"-",(VLOOKUP($A301,'SegEnds_NonXtal_BW#'!$A:$Z,26,FALSE)+VLOOKUP($A301,A:AL,37,FALSE)-50))</f>
        <v>392</v>
      </c>
      <c r="AM301" s="28" t="str">
        <f>VLOOKUP(A301,Classification!A:B,2,FALSE)</f>
        <v>B1</v>
      </c>
      <c r="AN301" s="28" t="b">
        <f t="shared" si="167"/>
        <v>1</v>
      </c>
      <c r="AO301" s="3" t="str">
        <f>IF(ISERROR(MATCH(A301,'SegEnds_Xtal_Prot#'!B:B, 0)), "NoXtal", "Xtal")</f>
        <v>Xtal</v>
      </c>
      <c r="AP301" s="3">
        <f t="shared" si="152"/>
        <v>1</v>
      </c>
      <c r="AQ301" s="3">
        <f t="shared" si="153"/>
        <v>1</v>
      </c>
      <c r="AR301" s="3" t="str">
        <f t="shared" si="154"/>
        <v>-</v>
      </c>
      <c r="AS301" s="3" t="str">
        <f t="shared" si="155"/>
        <v>-</v>
      </c>
      <c r="AT301" s="3" t="str">
        <f t="shared" si="156"/>
        <v>-</v>
      </c>
      <c r="AU301" s="3" t="str">
        <f t="shared" si="157"/>
        <v>-</v>
      </c>
      <c r="AV301" s="3">
        <f t="shared" si="158"/>
        <v>4</v>
      </c>
      <c r="AW301" s="3">
        <f t="shared" si="159"/>
        <v>8</v>
      </c>
      <c r="AX301" s="3">
        <f t="shared" si="160"/>
        <v>6</v>
      </c>
      <c r="AY301" s="3">
        <f t="shared" si="161"/>
        <v>7</v>
      </c>
      <c r="AZ301" s="3">
        <f t="shared" si="162"/>
        <v>1</v>
      </c>
      <c r="BA301" s="3">
        <f>IF(ISERROR(LEN(VLOOKUP(A301,Seqs!A:E,2,FALSE))-AL301),"-",LEN(VLOOKUP(A301,Seqs!A:E,2,FALSE))-AL301)</f>
        <v>23</v>
      </c>
      <c r="BB301" s="16">
        <f t="shared" si="163"/>
        <v>28</v>
      </c>
      <c r="BC301" s="9" t="str">
        <f t="shared" si="164"/>
        <v>-</v>
      </c>
      <c r="BD301" s="3">
        <f t="shared" si="165"/>
        <v>28</v>
      </c>
      <c r="BE301" s="3">
        <f t="shared" si="166"/>
        <v>50</v>
      </c>
      <c r="BF301" s="3">
        <f>AH301-AE301</f>
        <v>31</v>
      </c>
    </row>
    <row r="302" spans="1:59" s="3" customFormat="1" x14ac:dyDescent="0.2">
      <c r="A302" s="3" t="s">
        <v>403</v>
      </c>
      <c r="B302" s="3" t="str">
        <f>LOWER(VLOOKUP(A302,Xtal_Templ!A:B,2,FALSE))</f>
        <v>crfr1_human</v>
      </c>
      <c r="C302" s="3">
        <f>VLOOKUP($A302,'SegEnds_NonXtal_BW#'!$A:$Z,3,FALSE)+D302-50</f>
        <v>100</v>
      </c>
      <c r="D302" s="3">
        <v>131</v>
      </c>
      <c r="E302" s="3">
        <f>IF(ISERROR(VLOOKUP($A302,'SegEnds_NonXtal_BW#'!$A:$Z,4,FALSE)+VLOOKUP($A302,A:AL,4,FALSE)-50),"-",(VLOOKUP($A302,'SegEnds_NonXtal_BW#'!$A:$Z,4,FALSE)+VLOOKUP($A302,A:AL,4,FALSE)-50))</f>
        <v>141</v>
      </c>
      <c r="F302" s="3">
        <f t="shared" si="171"/>
        <v>142</v>
      </c>
      <c r="G302" s="3">
        <v>144</v>
      </c>
      <c r="H302" s="3">
        <f t="shared" si="177"/>
        <v>145</v>
      </c>
      <c r="I302" s="3">
        <f t="shared" si="177"/>
        <v>146</v>
      </c>
      <c r="J302" s="3">
        <v>159</v>
      </c>
      <c r="K302" s="3">
        <f>VLOOKUP($A302,'SegEnds_NonXtal_BW#'!$A:$Z,8,FALSE)+VLOOKUP($A302,A:AL,10,FALSE)-50</f>
        <v>172</v>
      </c>
      <c r="L302" s="3" t="str">
        <f>IF(ISERROR(VLOOKUP($A302,'SegEnds_NonXtal_BW#'!$A:$Z,9,FALSE)+VLOOKUP($A302,A:AL,13,FALSE)-50),"-",(VLOOKUP($A302,'SegEnds_NonXtal_BW#'!$A:$Z,9,FALSE)+VLOOKUP($A302,A:AL,13,FALSE)-50))</f>
        <v>-</v>
      </c>
      <c r="M302" s="3" t="s">
        <v>23</v>
      </c>
      <c r="N302" s="3" t="str">
        <f>IF(ISERROR(VLOOKUP($A302,'SegEnds_NonXtal_BW#'!$A:$Z,10,FALSE)+VLOOKUP($A302,A:AL,13,FALSE)-50),"-",(VLOOKUP($A302,'SegEnds_NonXtal_BW#'!$A:$Z,10,FALSE)+VLOOKUP($A302,A:AL,13,FALSE)-50))</f>
        <v>-</v>
      </c>
      <c r="O302" s="3">
        <f>VLOOKUP($A302,'SegEnds_NonXtal_BW#'!$A:$Z,11,FALSE)+VLOOKUP($A302,A:AL,16,FALSE)-50</f>
        <v>181</v>
      </c>
      <c r="P302" s="3">
        <v>209</v>
      </c>
      <c r="Q302" s="3">
        <f>VLOOKUP($A302,'SegEnds_NonXtal_BW#'!$A:$Z,12,FALSE)+VLOOKUP($A302,A:AL,16,FALSE)-50</f>
        <v>215</v>
      </c>
      <c r="R302" s="3" t="str">
        <f>IF(ISERROR(VLOOKUP($A302,'SegEnds_NonXtal_BW#'!$A:$Z,13,FALSE)+VLOOKUP($A302,A:AL,19,FALSE)-50),"-",VLOOKUP($A302,'SegEnds_NonXtal_BW#'!$A:$Z,13,FALSE)+VLOOKUP($A302,A:AL,19,FALSE)-50)</f>
        <v>-</v>
      </c>
      <c r="S302" s="3" t="s">
        <v>23</v>
      </c>
      <c r="T302" s="100" t="str">
        <f>IF(ISERROR(VLOOKUP($A302,'SegEnds_NonXtal_BW#'!$A:$Z,14,FALSE)+VLOOKUP($A302,A:AL,19,FALSE)-50),"-",(VLOOKUP($A302,'SegEnds_NonXtal_BW#'!$A:$Z,14,FALSE)+VLOOKUP($A302,A:AL,19,FALSE)-50))</f>
        <v>-</v>
      </c>
      <c r="U302" s="9">
        <f>IF(ISERROR(VLOOKUP($A302,'SegEnds_NonXtal_BW#'!$A:$Z,15,FALSE)+VLOOKUP($A302,A:AL,22,FALSE)-50),"-",VLOOKUP($A302,'SegEnds_NonXtal_BW#'!$A:$Z,15,FALSE)+VLOOKUP($A302,A:AL,22,FALSE)-50)</f>
        <v>222</v>
      </c>
      <c r="V302" s="3">
        <v>232</v>
      </c>
      <c r="W302" s="3">
        <f>IF(ISERROR(VLOOKUP($A302,'SegEnds_NonXtal_BW#'!$A:$Z,16,FALSE)+VLOOKUP($A302,A:AL,22,FALSE)-50),"-",(VLOOKUP($A302,'SegEnds_NonXtal_BW#'!$A:$Z,16,FALSE)+VLOOKUP($A302,A:AL,22,FALSE)-50))</f>
        <v>250</v>
      </c>
      <c r="X302" s="3">
        <f>IF(ISERROR(VLOOKUP($A302,'SegEnds_NonXtal_BW#'!$A:$Z,17,FALSE)+VLOOKUP($A302,A:AL,25,FALSE)-50),"-",(VLOOKUP($A302,'SegEnds_NonXtal_BW#'!$A:$Z,17,FALSE)+VLOOKUP($A302,A:AL,25,FALSE)-50))</f>
        <v>254</v>
      </c>
      <c r="Y302" s="3">
        <v>254</v>
      </c>
      <c r="Z302" s="3">
        <f t="shared" si="176"/>
        <v>256</v>
      </c>
      <c r="AA302" s="3">
        <f>IF(ISERROR(VLOOKUP($A302,'SegEnds_NonXtal_BW#'!$A:$Z,19,FALSE)+VLOOKUP($A302,A:AL,28,FALSE)-50),"-",(VLOOKUP($A302,'SegEnds_NonXtal_BW#'!$A:$Z,19,FALSE)+VLOOKUP($A302,A:AL,28,FALSE)-50))</f>
        <v>264</v>
      </c>
      <c r="AB302" s="3">
        <v>275</v>
      </c>
      <c r="AC302" s="3">
        <f>IF(ISERROR((VLOOKUP($A302,'SegEnds_NonXtal_BW#'!$A:$Z,20,FALSE)+VLOOKUP($A302,A:AL,28,FALSE)-50)),"-",(VLOOKUP($A302,'SegEnds_NonXtal_BW#'!$A:$Z,20,FALSE)+VLOOKUP($A302,A:AL,28,FALSE)-50))</f>
        <v>294</v>
      </c>
      <c r="AD302" s="3">
        <f>IF(ISERROR(VLOOKUP($A302,'SegEnds_NonXtal_BW#'!$A:$Z,21,FALSE)+VLOOKUP($A302,A:AL,31,FALSE)-50),"-",(VLOOKUP($A302,'SegEnds_NonXtal_BW#'!$A:$Z,21,FALSE)+VLOOKUP($A302,A:AL,31,FALSE)-50))</f>
        <v>300</v>
      </c>
      <c r="AE302" s="3">
        <v>325</v>
      </c>
      <c r="AF302" s="3">
        <f>IF(ISERROR((VLOOKUP($A302,'SegEnds_NonXtal_BW#'!$A:$Z,22,FALSE)+VLOOKUP($A302,A:AL,31,FALSE)-50)),"-",(VLOOKUP($A302,'SegEnds_NonXtal_BW#'!$A:$Z,22,FALSE)+VLOOKUP($A302,A:AL,31,FALSE)-50))</f>
        <v>328</v>
      </c>
      <c r="AG302" s="3">
        <f>IF(ISERROR(VLOOKUP($A302,'SegEnds_NonXtal_BW#'!$A:$Z,23,FALSE)+VLOOKUP($A302,A:AL,34,FALSE)-50),"-",(VLOOKUP($A302,'SegEnds_NonXtal_BW#'!$A:$Z,23,FALSE)+VLOOKUP($A302,A:AL,34,FALSE)-50))</f>
        <v>335</v>
      </c>
      <c r="AH302" s="3">
        <v>356</v>
      </c>
      <c r="AI302" s="3">
        <f>IF(ISERROR((VLOOKUP($A302,'SegEnds_NonXtal_BW#'!$A:$Z,24,FALSE)+VLOOKUP($A302,A:AL,34,FALSE)-50)),"-",(VLOOKUP($A302,'SegEnds_NonXtal_BW#'!$A:$Z,24,FALSE)+VLOOKUP($A302,A:AL,34,FALSE)-50))</f>
        <v>362</v>
      </c>
      <c r="AJ302" s="3">
        <f>IF(ISERROR(VLOOKUP($A302,'SegEnds_NonXtal_BW#'!$A:$Z,25,FALSE)+VLOOKUP($A302,A:AL,37,FALSE)-50),"-",(VLOOKUP($A302,'SegEnds_NonXtal_BW#'!$A:$Z,25,FALSE)+VLOOKUP($A302,A:AL,37,FALSE)-50))</f>
        <v>363</v>
      </c>
      <c r="AK302" s="3">
        <v>366</v>
      </c>
      <c r="AL302" s="3">
        <f>IF(ISERROR((VLOOKUP($A302,'SegEnds_NonXtal_BW#'!$A:$Z,26,FALSE)+VLOOKUP($A302,A:AL,37,FALSE)-50)),"-",(VLOOKUP($A302,'SegEnds_NonXtal_BW#'!$A:$Z,26,FALSE)+VLOOKUP($A302,A:AL,37,FALSE)-50))</f>
        <v>388</v>
      </c>
      <c r="AM302" s="28" t="str">
        <f>VLOOKUP(A302,Classification!A:B,2,FALSE)</f>
        <v>B1</v>
      </c>
      <c r="AN302" s="28" t="b">
        <f t="shared" si="167"/>
        <v>1</v>
      </c>
      <c r="AO302" s="3" t="str">
        <f>IF(ISERROR(MATCH(A302,'SegEnds_Xtal_Prot#'!B:B, 0)), "NoXtal", "Xtal")</f>
        <v>NoXtal</v>
      </c>
      <c r="AP302" s="3">
        <f t="shared" si="152"/>
        <v>1</v>
      </c>
      <c r="AQ302" s="3">
        <f t="shared" si="153"/>
        <v>1</v>
      </c>
      <c r="AR302" s="3" t="str">
        <f t="shared" si="154"/>
        <v>-</v>
      </c>
      <c r="AS302" s="3" t="str">
        <f t="shared" si="155"/>
        <v>-</v>
      </c>
      <c r="AT302" s="3" t="str">
        <f t="shared" si="156"/>
        <v>-</v>
      </c>
      <c r="AU302" s="3" t="str">
        <f t="shared" si="157"/>
        <v>-</v>
      </c>
      <c r="AV302" s="3">
        <f t="shared" si="158"/>
        <v>4</v>
      </c>
      <c r="AW302" s="3">
        <f t="shared" si="159"/>
        <v>8</v>
      </c>
      <c r="AX302" s="3">
        <f t="shared" si="160"/>
        <v>6</v>
      </c>
      <c r="AY302" s="3">
        <f t="shared" si="161"/>
        <v>7</v>
      </c>
      <c r="AZ302" s="3">
        <f t="shared" si="162"/>
        <v>1</v>
      </c>
      <c r="BA302" s="3">
        <f>IF(ISERROR(LEN(VLOOKUP(A302,Seqs!A:E,2,FALSE))-AL302),"-",LEN(VLOOKUP(A302,Seqs!A:E,2,FALSE))-AL302)</f>
        <v>23</v>
      </c>
      <c r="BB302" s="16">
        <f t="shared" si="163"/>
        <v>28</v>
      </c>
      <c r="BC302" s="9" t="str">
        <f t="shared" si="164"/>
        <v>-</v>
      </c>
      <c r="BD302" s="3">
        <f t="shared" si="165"/>
        <v>28</v>
      </c>
      <c r="BE302" s="3">
        <f t="shared" si="166"/>
        <v>50</v>
      </c>
      <c r="BF302" s="3">
        <f>AH302-AE302</f>
        <v>31</v>
      </c>
    </row>
    <row r="303" spans="1:59" s="3" customFormat="1" x14ac:dyDescent="0.2">
      <c r="A303" s="3" t="s">
        <v>1429</v>
      </c>
      <c r="B303" s="3" t="str">
        <f>LOWER(VLOOKUP(A303,Xtal_Templ!A:B,2,FALSE))</f>
        <v>g1sgd4_rabit</v>
      </c>
      <c r="C303" s="3">
        <f>VLOOKUP($A303,'SegEnds_NonXtal_BW#'!$A:$Z,3,FALSE)+D303-50</f>
        <v>137</v>
      </c>
      <c r="D303" s="3">
        <v>159</v>
      </c>
      <c r="E303" s="3">
        <f>IF(ISERROR(VLOOKUP($A303,'SegEnds_NonXtal_BW#'!$A:$Z,4,FALSE)+VLOOKUP($A303,A:AL,4,FALSE)-50),"-",(VLOOKUP($A303,'SegEnds_NonXtal_BW#'!$A:$Z,4,FALSE)+VLOOKUP($A303,A:AL,4,FALSE)-50))</f>
        <v>169</v>
      </c>
      <c r="F303" s="3">
        <f t="shared" si="171"/>
        <v>170</v>
      </c>
      <c r="G303" s="3">
        <v>172</v>
      </c>
      <c r="H303" s="3">
        <f t="shared" si="177"/>
        <v>173</v>
      </c>
      <c r="I303" s="3">
        <f t="shared" si="177"/>
        <v>174</v>
      </c>
      <c r="J303" s="3">
        <v>187</v>
      </c>
      <c r="K303" s="3">
        <f>VLOOKUP($A303,'SegEnds_NonXtal_BW#'!$A:$Z,8,FALSE)+VLOOKUP($A303,A:AL,10,FALSE)-50</f>
        <v>211</v>
      </c>
      <c r="L303" s="3" t="str">
        <f>IF(ISERROR(VLOOKUP($A303,'SegEnds_NonXtal_BW#'!$A:$Z,9,FALSE)+VLOOKUP($A303,A:AL,13,FALSE)-50),"-",(VLOOKUP($A303,'SegEnds_NonXtal_BW#'!$A:$Z,9,FALSE)+VLOOKUP($A303,A:AL,13,FALSE)-50))</f>
        <v>-</v>
      </c>
      <c r="M303" s="3" t="s">
        <v>23</v>
      </c>
      <c r="N303" s="3" t="str">
        <f>IF(ISERROR(VLOOKUP($A303,'SegEnds_NonXtal_BW#'!$A:$Z,10,FALSE)+VLOOKUP($A303,A:AL,13,FALSE)-50),"-",(VLOOKUP($A303,'SegEnds_NonXtal_BW#'!$A:$Z,10,FALSE)+VLOOKUP($A303,A:AL,13,FALSE)-50))</f>
        <v>-</v>
      </c>
      <c r="O303" s="3">
        <f>VLOOKUP($A303,'SegEnds_NonXtal_BW#'!$A:$Z,11,FALSE)+VLOOKUP($A303,A:AL,16,FALSE)-50</f>
        <v>224</v>
      </c>
      <c r="P303" s="3">
        <v>251</v>
      </c>
      <c r="Q303" s="3">
        <f>VLOOKUP($A303,'SegEnds_NonXtal_BW#'!$A:$Z,12,FALSE)+VLOOKUP($A303,A:AL,16,FALSE)-50</f>
        <v>257</v>
      </c>
      <c r="R303" s="3" t="str">
        <f>IF(ISERROR(VLOOKUP($A303,'SegEnds_NonXtal_BW#'!$A:$Z,13,FALSE)+VLOOKUP($A303,A:AL,19,FALSE)-50),"-",VLOOKUP($A303,'SegEnds_NonXtal_BW#'!$A:$Z,13,FALSE)+VLOOKUP($A303,A:AL,19,FALSE)-50)</f>
        <v>-</v>
      </c>
      <c r="S303" s="3" t="s">
        <v>23</v>
      </c>
      <c r="T303" s="100" t="str">
        <f>IF(ISERROR(VLOOKUP($A303,'SegEnds_NonXtal_BW#'!$A:$Z,14,FALSE)+VLOOKUP($A303,A:AL,19,FALSE)-50),"-",(VLOOKUP($A303,'SegEnds_NonXtal_BW#'!$A:$Z,14,FALSE)+VLOOKUP($A303,A:AL,19,FALSE)-50))</f>
        <v>-</v>
      </c>
      <c r="U303" s="9">
        <f>IF(ISERROR(VLOOKUP($A303,'SegEnds_NonXtal_BW#'!$A:$Z,15,FALSE)+VLOOKUP($A303,A:AL,22,FALSE)-50),"-",VLOOKUP($A303,'SegEnds_NonXtal_BW#'!$A:$Z,15,FALSE)+VLOOKUP($A303,A:AL,22,FALSE)-50)</f>
        <v>261</v>
      </c>
      <c r="V303" s="3">
        <v>274</v>
      </c>
      <c r="W303" s="3">
        <f>IF(ISERROR(VLOOKUP($A303,'SegEnds_NonXtal_BW#'!$A:$Z,16,FALSE)+VLOOKUP($A303,A:AL,22,FALSE)-50),"-",(VLOOKUP($A303,'SegEnds_NonXtal_BW#'!$A:$Z,16,FALSE)+VLOOKUP($A303,A:AL,22,FALSE)-50))</f>
        <v>292</v>
      </c>
      <c r="X303" s="3">
        <f>IF(ISERROR(VLOOKUP($A303,'SegEnds_NonXtal_BW#'!$A:$Z,17,FALSE)+VLOOKUP($A303,A:AL,25,FALSE)-50),"-",(VLOOKUP($A303,'SegEnds_NonXtal_BW#'!$A:$Z,17,FALSE)+VLOOKUP($A303,A:AL,25,FALSE)-50))</f>
        <v>296</v>
      </c>
      <c r="Y303" s="3">
        <v>296</v>
      </c>
      <c r="Z303" s="3">
        <f t="shared" si="176"/>
        <v>298</v>
      </c>
      <c r="AA303" s="3">
        <f>IF(ISERROR(VLOOKUP($A303,'SegEnds_NonXtal_BW#'!$A:$Z,19,FALSE)+VLOOKUP($A303,A:AL,28,FALSE)-50),"-",(VLOOKUP($A303,'SegEnds_NonXtal_BW#'!$A:$Z,19,FALSE)+VLOOKUP($A303,A:AL,28,FALSE)-50))</f>
        <v>305</v>
      </c>
      <c r="AB303" s="3">
        <v>316</v>
      </c>
      <c r="AC303" s="3">
        <f>IF(ISERROR((VLOOKUP($A303,'SegEnds_NonXtal_BW#'!$A:$Z,20,FALSE)+VLOOKUP($A303,A:AL,28,FALSE)-50)),"-",(VLOOKUP($A303,'SegEnds_NonXtal_BW#'!$A:$Z,20,FALSE)+VLOOKUP($A303,A:AL,28,FALSE)-50))</f>
        <v>337</v>
      </c>
      <c r="AD303" s="3">
        <f>IF(ISERROR(VLOOKUP($A303,'SegEnds_NonXtal_BW#'!$A:$Z,21,FALSE)+VLOOKUP($A303,A:AL,31,FALSE)-50),"-",(VLOOKUP($A303,'SegEnds_NonXtal_BW#'!$A:$Z,21,FALSE)+VLOOKUP($A303,A:AL,31,FALSE)-50))</f>
        <v>346</v>
      </c>
      <c r="AE303" s="3">
        <v>366</v>
      </c>
      <c r="AF303" s="3">
        <f>IF(ISERROR((VLOOKUP($A303,'SegEnds_NonXtal_BW#'!$A:$Z,22,FALSE)+VLOOKUP($A303,A:AL,31,FALSE)-50)),"-",(VLOOKUP($A303,'SegEnds_NonXtal_BW#'!$A:$Z,22,FALSE)+VLOOKUP($A303,A:AL,31,FALSE)-50))</f>
        <v>369</v>
      </c>
      <c r="AG303" s="3">
        <f>IF(ISERROR(VLOOKUP($A303,'SegEnds_NonXtal_BW#'!$A:$Z,23,FALSE)+VLOOKUP($A303,A:AL,34,FALSE)-50),"-",(VLOOKUP($A303,'SegEnds_NonXtal_BW#'!$A:$Z,23,FALSE)+VLOOKUP($A303,A:AL,34,FALSE)-50))</f>
        <v>379</v>
      </c>
      <c r="AH303" s="3">
        <v>399</v>
      </c>
      <c r="AI303" s="3">
        <f>IF(ISERROR((VLOOKUP($A303,'SegEnds_NonXtal_BW#'!$A:$Z,24,FALSE)+VLOOKUP($A303,A:AL,34,FALSE)-50)),"-",(VLOOKUP($A303,'SegEnds_NonXtal_BW#'!$A:$Z,24,FALSE)+VLOOKUP($A303,A:AL,34,FALSE)-50))</f>
        <v>405</v>
      </c>
      <c r="AJ303" s="3">
        <f>IF(ISERROR(VLOOKUP($A303,'SegEnds_NonXtal_BW#'!$A:$Z,25,FALSE)+VLOOKUP($A303,A:AL,37,FALSE)-50),"-",(VLOOKUP($A303,'SegEnds_NonXtal_BW#'!$A:$Z,25,FALSE)+VLOOKUP($A303,A:AL,37,FALSE)-50))</f>
        <v>406</v>
      </c>
      <c r="AK303" s="3">
        <v>409</v>
      </c>
      <c r="AL303" s="3">
        <f>IF(ISERROR((VLOOKUP($A303,'SegEnds_NonXtal_BW#'!$A:$Z,26,FALSE)+VLOOKUP($A303,A:AL,37,FALSE)-50)),"-",(VLOOKUP($A303,'SegEnds_NonXtal_BW#'!$A:$Z,26,FALSE)+VLOOKUP($A303,A:AL,37,FALSE)-50))</f>
        <v>431</v>
      </c>
      <c r="AM303" s="28" t="str">
        <f>VLOOKUP(A303,Classification!A:B,2,FALSE)</f>
        <v>B1</v>
      </c>
      <c r="AN303" s="28" t="b">
        <f t="shared" si="167"/>
        <v>1</v>
      </c>
      <c r="AO303" s="3" t="str">
        <f>IF(ISERROR(MATCH(A303,'SegEnds_Xtal_Prot#'!B:B, 0)), "NoXtal", "Xtal")</f>
        <v>Xtal</v>
      </c>
      <c r="AP303" s="3">
        <f t="shared" si="152"/>
        <v>1</v>
      </c>
      <c r="AQ303" s="3">
        <f t="shared" si="153"/>
        <v>1</v>
      </c>
      <c r="AR303" s="3" t="str">
        <f t="shared" si="154"/>
        <v>-</v>
      </c>
      <c r="AS303" s="3" t="str">
        <f t="shared" si="155"/>
        <v>-</v>
      </c>
      <c r="AT303" s="3" t="str">
        <f t="shared" si="156"/>
        <v>-</v>
      </c>
      <c r="AU303" s="3" t="str">
        <f t="shared" si="157"/>
        <v>-</v>
      </c>
      <c r="AV303" s="3">
        <f t="shared" si="158"/>
        <v>4</v>
      </c>
      <c r="AW303" s="3">
        <f t="shared" si="159"/>
        <v>7</v>
      </c>
      <c r="AX303" s="3">
        <f t="shared" si="160"/>
        <v>9</v>
      </c>
      <c r="AY303" s="3">
        <f t="shared" si="161"/>
        <v>10</v>
      </c>
      <c r="AZ303" s="3">
        <f t="shared" si="162"/>
        <v>1</v>
      </c>
      <c r="BA303" s="3">
        <f>IF(ISERROR(LEN(VLOOKUP(A303,Seqs!A:E,2,FALSE))-AL303),"-",LEN(VLOOKUP(A303,Seqs!A:E,2,FALSE))-AL303)</f>
        <v>31</v>
      </c>
      <c r="BB303" s="16">
        <f t="shared" si="163"/>
        <v>28</v>
      </c>
      <c r="BC303" s="9" t="str">
        <f t="shared" si="164"/>
        <v>-</v>
      </c>
      <c r="BD303" s="3">
        <f t="shared" si="165"/>
        <v>28</v>
      </c>
      <c r="BE303" s="3">
        <f t="shared" si="166"/>
        <v>50</v>
      </c>
    </row>
    <row r="304" spans="1:59" s="3" customFormat="1" x14ac:dyDescent="0.2">
      <c r="A304" s="3" t="s">
        <v>404</v>
      </c>
      <c r="B304" s="3" t="str">
        <f>LOWER(VLOOKUP(A304,Xtal_Templ!A:B,2,FALSE))</f>
        <v>pth1r_human</v>
      </c>
      <c r="C304" s="3">
        <f>VLOOKUP($A304,'SegEnds_NonXtal_BW#'!$A:$Z,3,FALSE)+D304-50</f>
        <v>121</v>
      </c>
      <c r="D304" s="3">
        <v>144</v>
      </c>
      <c r="E304" s="3">
        <f>IF(ISERROR(VLOOKUP($A304,'SegEnds_NonXtal_BW#'!$A:$Z,4,FALSE)+VLOOKUP($A304,A:AL,4,FALSE)-50),"-",(VLOOKUP($A304,'SegEnds_NonXtal_BW#'!$A:$Z,4,FALSE)+VLOOKUP($A304,A:AL,4,FALSE)-50))</f>
        <v>154</v>
      </c>
      <c r="F304" s="3">
        <f t="shared" si="171"/>
        <v>155</v>
      </c>
      <c r="G304" s="3">
        <v>157</v>
      </c>
      <c r="H304" s="3">
        <f t="shared" si="177"/>
        <v>158</v>
      </c>
      <c r="I304" s="3">
        <f t="shared" si="177"/>
        <v>159</v>
      </c>
      <c r="J304" s="3">
        <v>172</v>
      </c>
      <c r="K304" s="3">
        <f>VLOOKUP($A304,'SegEnds_NonXtal_BW#'!$A:$Z,8,FALSE)+VLOOKUP($A304,A:AL,10,FALSE)-50</f>
        <v>186</v>
      </c>
      <c r="L304" s="3" t="str">
        <f>IF(ISERROR(VLOOKUP($A304,'SegEnds_NonXtal_BW#'!$A:$Z,9,FALSE)+VLOOKUP($A304,A:AL,13,FALSE)-50),"-",(VLOOKUP($A304,'SegEnds_NonXtal_BW#'!$A:$Z,9,FALSE)+VLOOKUP($A304,A:AL,13,FALSE)-50))</f>
        <v>-</v>
      </c>
      <c r="M304" s="3" t="s">
        <v>23</v>
      </c>
      <c r="N304" s="3" t="str">
        <f>IF(ISERROR(VLOOKUP($A304,'SegEnds_NonXtal_BW#'!$A:$Z,10,FALSE)+VLOOKUP($A304,A:AL,13,FALSE)-50),"-",(VLOOKUP($A304,'SegEnds_NonXtal_BW#'!$A:$Z,10,FALSE)+VLOOKUP($A304,A:AL,13,FALSE)-50))</f>
        <v>-</v>
      </c>
      <c r="O304" s="3">
        <f>VLOOKUP($A304,'SegEnds_NonXtal_BW#'!$A:$Z,11,FALSE)+VLOOKUP($A304,A:AL,16,FALSE)-50</f>
        <v>200</v>
      </c>
      <c r="P304" s="3">
        <v>227</v>
      </c>
      <c r="Q304" s="3">
        <f>VLOOKUP($A304,'SegEnds_NonXtal_BW#'!$A:$Z,12,FALSE)+VLOOKUP($A304,A:AL,16,FALSE)-50</f>
        <v>233</v>
      </c>
      <c r="R304" s="3" t="str">
        <f>IF(ISERROR(VLOOKUP($A304,'SegEnds_NonXtal_BW#'!$A:$Z,13,FALSE)+VLOOKUP($A304,A:AL,19,FALSE)-50),"-",VLOOKUP($A304,'SegEnds_NonXtal_BW#'!$A:$Z,13,FALSE)+VLOOKUP($A304,A:AL,19,FALSE)-50)</f>
        <v>-</v>
      </c>
      <c r="S304" s="3" t="s">
        <v>23</v>
      </c>
      <c r="T304" s="100" t="str">
        <f>IF(ISERROR(VLOOKUP($A304,'SegEnds_NonXtal_BW#'!$A:$Z,14,FALSE)+VLOOKUP($A304,A:AL,19,FALSE)-50),"-",(VLOOKUP($A304,'SegEnds_NonXtal_BW#'!$A:$Z,14,FALSE)+VLOOKUP($A304,A:AL,19,FALSE)-50))</f>
        <v>-</v>
      </c>
      <c r="U304" s="9">
        <f>IF(ISERROR(VLOOKUP($A304,'SegEnds_NonXtal_BW#'!$A:$Z,15,FALSE)+VLOOKUP($A304,A:AL,22,FALSE)-50),"-",VLOOKUP($A304,'SegEnds_NonXtal_BW#'!$A:$Z,15,FALSE)+VLOOKUP($A304,A:AL,22,FALSE)-50)</f>
        <v>237</v>
      </c>
      <c r="V304" s="3">
        <v>250</v>
      </c>
      <c r="W304" s="3">
        <f>IF(ISERROR(VLOOKUP($A304,'SegEnds_NonXtal_BW#'!$A:$Z,16,FALSE)+VLOOKUP($A304,A:AL,22,FALSE)-50),"-",(VLOOKUP($A304,'SegEnds_NonXtal_BW#'!$A:$Z,16,FALSE)+VLOOKUP($A304,A:AL,22,FALSE)-50))</f>
        <v>268</v>
      </c>
      <c r="X304" s="3">
        <f>IF(ISERROR(VLOOKUP($A304,'SegEnds_NonXtal_BW#'!$A:$Z,17,FALSE)+VLOOKUP($A304,A:AL,25,FALSE)-50),"-",(VLOOKUP($A304,'SegEnds_NonXtal_BW#'!$A:$Z,17,FALSE)+VLOOKUP($A304,A:AL,25,FALSE)-50))</f>
        <v>272</v>
      </c>
      <c r="Y304" s="3">
        <v>272</v>
      </c>
      <c r="Z304" s="3">
        <f t="shared" si="176"/>
        <v>274</v>
      </c>
      <c r="AA304" s="3">
        <f>IF(ISERROR(VLOOKUP($A304,'SegEnds_NonXtal_BW#'!$A:$Z,19,FALSE)+VLOOKUP($A304,A:AL,28,FALSE)-50),"-",(VLOOKUP($A304,'SegEnds_NonXtal_BW#'!$A:$Z,19,FALSE)+VLOOKUP($A304,A:AL,28,FALSE)-50))</f>
        <v>281</v>
      </c>
      <c r="AB304" s="3">
        <v>292</v>
      </c>
      <c r="AC304" s="3">
        <f>IF(ISERROR((VLOOKUP($A304,'SegEnds_NonXtal_BW#'!$A:$Z,20,FALSE)+VLOOKUP($A304,A:AL,28,FALSE)-50)),"-",(VLOOKUP($A304,'SegEnds_NonXtal_BW#'!$A:$Z,20,FALSE)+VLOOKUP($A304,A:AL,28,FALSE)-50))</f>
        <v>311</v>
      </c>
      <c r="AD304" s="3">
        <f>IF(ISERROR(VLOOKUP($A304,'SegEnds_NonXtal_BW#'!$A:$Z,21,FALSE)+VLOOKUP($A304,A:AL,31,FALSE)-50),"-",(VLOOKUP($A304,'SegEnds_NonXtal_BW#'!$A:$Z,21,FALSE)+VLOOKUP($A304,A:AL,31,FALSE)-50))</f>
        <v>319</v>
      </c>
      <c r="AE304" s="3">
        <v>344</v>
      </c>
      <c r="AF304" s="3">
        <f>IF(ISERROR((VLOOKUP($A304,'SegEnds_NonXtal_BW#'!$A:$Z,22,FALSE)+VLOOKUP($A304,A:AL,31,FALSE)-50)),"-",(VLOOKUP($A304,'SegEnds_NonXtal_BW#'!$A:$Z,22,FALSE)+VLOOKUP($A304,A:AL,31,FALSE)-50))</f>
        <v>348</v>
      </c>
      <c r="AG304" s="3">
        <f>IF(ISERROR(VLOOKUP($A304,'SegEnds_NonXtal_BW#'!$A:$Z,23,FALSE)+VLOOKUP($A304,A:AL,34,FALSE)-50),"-",(VLOOKUP($A304,'SegEnds_NonXtal_BW#'!$A:$Z,23,FALSE)+VLOOKUP($A304,A:AL,34,FALSE)-50))</f>
        <v>354</v>
      </c>
      <c r="AH304" s="3">
        <v>373</v>
      </c>
      <c r="AI304" s="3">
        <f>IF(ISERROR((VLOOKUP($A304,'SegEnds_NonXtal_BW#'!$A:$Z,24,FALSE)+VLOOKUP($A304,A:AL,34,FALSE)-50)),"-",(VLOOKUP($A304,'SegEnds_NonXtal_BW#'!$A:$Z,24,FALSE)+VLOOKUP($A304,A:AL,34,FALSE)-50))</f>
        <v>379</v>
      </c>
      <c r="AJ304" s="3">
        <f>IF(ISERROR(VLOOKUP($A304,'SegEnds_NonXtal_BW#'!$A:$Z,25,FALSE)+VLOOKUP($A304,A:AL,37,FALSE)-50),"-",(VLOOKUP($A304,'SegEnds_NonXtal_BW#'!$A:$Z,25,FALSE)+VLOOKUP($A304,A:AL,37,FALSE)-50))</f>
        <v>380</v>
      </c>
      <c r="AK304" s="3">
        <v>383</v>
      </c>
      <c r="AL304" s="3">
        <f>IF(ISERROR((VLOOKUP($A304,'SegEnds_NonXtal_BW#'!$A:$Z,26,FALSE)+VLOOKUP($A304,A:AL,37,FALSE)-50)),"-",(VLOOKUP($A304,'SegEnds_NonXtal_BW#'!$A:$Z,26,FALSE)+VLOOKUP($A304,A:AL,37,FALSE)-50))</f>
        <v>405</v>
      </c>
      <c r="AM304" s="28" t="str">
        <f>VLOOKUP(A304,Classification!A:B,2,FALSE)</f>
        <v>B1</v>
      </c>
      <c r="AN304" s="28" t="b">
        <f t="shared" si="167"/>
        <v>1</v>
      </c>
      <c r="AO304" s="3" t="str">
        <f>IF(ISERROR(MATCH(A304,'SegEnds_Xtal_Prot#'!B:B, 0)), "NoXtal", "Xtal")</f>
        <v>NoXtal</v>
      </c>
      <c r="AP304" s="3">
        <f t="shared" si="152"/>
        <v>1</v>
      </c>
      <c r="AQ304" s="3">
        <f t="shared" si="153"/>
        <v>1</v>
      </c>
      <c r="AR304" s="3" t="str">
        <f t="shared" si="154"/>
        <v>-</v>
      </c>
      <c r="AS304" s="3" t="str">
        <f t="shared" si="155"/>
        <v>-</v>
      </c>
      <c r="AT304" s="3" t="str">
        <f t="shared" si="156"/>
        <v>-</v>
      </c>
      <c r="AU304" s="3" t="str">
        <f t="shared" si="157"/>
        <v>-</v>
      </c>
      <c r="AV304" s="3">
        <f t="shared" si="158"/>
        <v>4</v>
      </c>
      <c r="AW304" s="3">
        <f t="shared" si="159"/>
        <v>7</v>
      </c>
      <c r="AX304" s="3">
        <f t="shared" si="160"/>
        <v>8</v>
      </c>
      <c r="AY304" s="3">
        <f t="shared" si="161"/>
        <v>6</v>
      </c>
      <c r="AZ304" s="3">
        <f t="shared" si="162"/>
        <v>1</v>
      </c>
      <c r="BA304" s="3">
        <f>IF(ISERROR(LEN(VLOOKUP(A304,Seqs!A:E,2,FALSE))-AL304),"-",LEN(VLOOKUP(A304,Seqs!A:E,2,FALSE))-AL304)</f>
        <v>18</v>
      </c>
      <c r="BB304" s="16">
        <f t="shared" si="163"/>
        <v>28</v>
      </c>
      <c r="BC304" s="9" t="str">
        <f t="shared" si="164"/>
        <v>-</v>
      </c>
      <c r="BD304" s="3">
        <f t="shared" si="165"/>
        <v>28</v>
      </c>
      <c r="BE304" s="3">
        <f t="shared" si="166"/>
        <v>52</v>
      </c>
      <c r="BF304" s="3">
        <f>AH304-AE304</f>
        <v>29</v>
      </c>
    </row>
    <row r="305" spans="1:58" s="3" customFormat="1" x14ac:dyDescent="0.2">
      <c r="A305" s="3" t="s">
        <v>405</v>
      </c>
      <c r="B305" s="3" t="str">
        <f>LOWER(VLOOKUP(A305,Xtal_Templ!A:B,2,FALSE))</f>
        <v>glr_human</v>
      </c>
      <c r="C305" s="3">
        <f>VLOOKUP($A305,'SegEnds_NonXtal_BW#'!$A:$Z,3,FALSE)+D305-50</f>
        <v>127</v>
      </c>
      <c r="D305" s="3">
        <v>152</v>
      </c>
      <c r="E305" s="3">
        <f>IF(ISERROR(VLOOKUP($A305,'SegEnds_NonXtal_BW#'!$A:$Z,4,FALSE)+VLOOKUP($A305,A:AL,4,FALSE)-50),"-",(VLOOKUP($A305,'SegEnds_NonXtal_BW#'!$A:$Z,4,FALSE)+VLOOKUP($A305,A:AL,4,FALSE)-50))</f>
        <v>162</v>
      </c>
      <c r="F305" s="3">
        <f t="shared" si="171"/>
        <v>163</v>
      </c>
      <c r="G305" s="3">
        <v>165</v>
      </c>
      <c r="H305" s="3">
        <f t="shared" si="177"/>
        <v>166</v>
      </c>
      <c r="I305" s="3">
        <f t="shared" si="177"/>
        <v>167</v>
      </c>
      <c r="J305" s="3">
        <v>180</v>
      </c>
      <c r="K305" s="3">
        <f>VLOOKUP($A305,'SegEnds_NonXtal_BW#'!$A:$Z,8,FALSE)+VLOOKUP($A305,A:AL,10,FALSE)-50</f>
        <v>194</v>
      </c>
      <c r="L305" s="3" t="str">
        <f>IF(ISERROR(VLOOKUP($A305,'SegEnds_NonXtal_BW#'!$A:$Z,9,FALSE)+VLOOKUP($A305,A:AL,13,FALSE)-50),"-",(VLOOKUP($A305,'SegEnds_NonXtal_BW#'!$A:$Z,9,FALSE)+VLOOKUP($A305,A:AL,13,FALSE)-50))</f>
        <v>-</v>
      </c>
      <c r="M305" s="3" t="s">
        <v>23</v>
      </c>
      <c r="N305" s="3" t="str">
        <f>IF(ISERROR(VLOOKUP($A305,'SegEnds_NonXtal_BW#'!$A:$Z,10,FALSE)+VLOOKUP($A305,A:AL,13,FALSE)-50),"-",(VLOOKUP($A305,'SegEnds_NonXtal_BW#'!$A:$Z,10,FALSE)+VLOOKUP($A305,A:AL,13,FALSE)-50))</f>
        <v>-</v>
      </c>
      <c r="O305" s="3">
        <f>VLOOKUP($A305,'SegEnds_NonXtal_BW#'!$A:$Z,11,FALSE)+VLOOKUP($A305,A:AL,16,FALSE)-50</f>
        <v>214</v>
      </c>
      <c r="P305" s="3">
        <v>241</v>
      </c>
      <c r="Q305" s="3">
        <f>VLOOKUP($A305,'SegEnds_NonXtal_BW#'!$A:$Z,12,FALSE)+VLOOKUP($A305,A:AL,16,FALSE)-50</f>
        <v>247</v>
      </c>
      <c r="R305" s="3" t="str">
        <f>IF(ISERROR(VLOOKUP($A305,'SegEnds_NonXtal_BW#'!$A:$Z,13,FALSE)+VLOOKUP($A305,A:AL,19,FALSE)-50),"-",VLOOKUP($A305,'SegEnds_NonXtal_BW#'!$A:$Z,13,FALSE)+VLOOKUP($A305,A:AL,19,FALSE)-50)</f>
        <v>-</v>
      </c>
      <c r="S305" s="3" t="s">
        <v>23</v>
      </c>
      <c r="T305" s="100" t="str">
        <f>IF(ISERROR(VLOOKUP($A305,'SegEnds_NonXtal_BW#'!$A:$Z,14,FALSE)+VLOOKUP($A305,A:AL,19,FALSE)-50),"-",(VLOOKUP($A305,'SegEnds_NonXtal_BW#'!$A:$Z,14,FALSE)+VLOOKUP($A305,A:AL,19,FALSE)-50))</f>
        <v>-</v>
      </c>
      <c r="U305" s="9">
        <f>IF(ISERROR(VLOOKUP($A305,'SegEnds_NonXtal_BW#'!$A:$Z,15,FALSE)+VLOOKUP($A305,A:AL,22,FALSE)-50),"-",VLOOKUP($A305,'SegEnds_NonXtal_BW#'!$A:$Z,15,FALSE)+VLOOKUP($A305,A:AL,22,FALSE)-50)</f>
        <v>254</v>
      </c>
      <c r="V305" s="3">
        <v>264</v>
      </c>
      <c r="W305" s="3">
        <f>IF(ISERROR(VLOOKUP($A305,'SegEnds_NonXtal_BW#'!$A:$Z,16,FALSE)+VLOOKUP($A305,A:AL,22,FALSE)-50),"-",(VLOOKUP($A305,'SegEnds_NonXtal_BW#'!$A:$Z,16,FALSE)+VLOOKUP($A305,A:AL,22,FALSE)-50))</f>
        <v>282</v>
      </c>
      <c r="X305" s="3">
        <f>IF(ISERROR(VLOOKUP($A305,'SegEnds_NonXtal_BW#'!$A:$Z,17,FALSE)+VLOOKUP($A305,A:AL,25,FALSE)-50),"-",(VLOOKUP($A305,'SegEnds_NonXtal_BW#'!$A:$Z,17,FALSE)+VLOOKUP($A305,A:AL,25,FALSE)-50))</f>
        <v>286</v>
      </c>
      <c r="Y305" s="3">
        <v>286</v>
      </c>
      <c r="Z305" s="3">
        <f t="shared" si="176"/>
        <v>288</v>
      </c>
      <c r="AA305" s="3">
        <f>IF(ISERROR(VLOOKUP($A305,'SegEnds_NonXtal_BW#'!$A:$Z,19,FALSE)+VLOOKUP($A305,A:AL,28,FALSE)-50),"-",(VLOOKUP($A305,'SegEnds_NonXtal_BW#'!$A:$Z,19,FALSE)+VLOOKUP($A305,A:AL,28,FALSE)-50))</f>
        <v>295</v>
      </c>
      <c r="AB305" s="3">
        <v>306</v>
      </c>
      <c r="AC305" s="3">
        <f>IF(ISERROR((VLOOKUP($A305,'SegEnds_NonXtal_BW#'!$A:$Z,20,FALSE)+VLOOKUP($A305,A:AL,28,FALSE)-50)),"-",(VLOOKUP($A305,'SegEnds_NonXtal_BW#'!$A:$Z,20,FALSE)+VLOOKUP($A305,A:AL,28,FALSE)-50))</f>
        <v>327</v>
      </c>
      <c r="AD305" s="3">
        <f>IF(ISERROR(VLOOKUP($A305,'SegEnds_NonXtal_BW#'!$A:$Z,21,FALSE)+VLOOKUP($A305,A:AL,31,FALSE)-50),"-",(VLOOKUP($A305,'SegEnds_NonXtal_BW#'!$A:$Z,21,FALSE)+VLOOKUP($A305,A:AL,31,FALSE)-50))</f>
        <v>334</v>
      </c>
      <c r="AE305" s="3">
        <v>356</v>
      </c>
      <c r="AF305" s="3">
        <f>IF(ISERROR((VLOOKUP($A305,'SegEnds_NonXtal_BW#'!$A:$Z,22,FALSE)+VLOOKUP($A305,A:AL,31,FALSE)-50)),"-",(VLOOKUP($A305,'SegEnds_NonXtal_BW#'!$A:$Z,22,FALSE)+VLOOKUP($A305,A:AL,31,FALSE)-50))</f>
        <v>359</v>
      </c>
      <c r="AG305" s="3">
        <f>IF(ISERROR(VLOOKUP($A305,'SegEnds_NonXtal_BW#'!$A:$Z,23,FALSE)+VLOOKUP($A305,A:AL,34,FALSE)-50),"-",(VLOOKUP($A305,'SegEnds_NonXtal_BW#'!$A:$Z,23,FALSE)+VLOOKUP($A305,A:AL,34,FALSE)-50))</f>
        <v>367</v>
      </c>
      <c r="AH305" s="3">
        <v>389</v>
      </c>
      <c r="AI305" s="3">
        <f>IF(ISERROR((VLOOKUP($A305,'SegEnds_NonXtal_BW#'!$A:$Z,24,FALSE)+VLOOKUP($A305,A:AL,34,FALSE)-50)),"-",(VLOOKUP($A305,'SegEnds_NonXtal_BW#'!$A:$Z,24,FALSE)+VLOOKUP($A305,A:AL,34,FALSE)-50))</f>
        <v>395</v>
      </c>
      <c r="AJ305" s="3">
        <f>IF(ISERROR(VLOOKUP($A305,'SegEnds_NonXtal_BW#'!$A:$Z,25,FALSE)+VLOOKUP($A305,A:AL,37,FALSE)-50),"-",(VLOOKUP($A305,'SegEnds_NonXtal_BW#'!$A:$Z,25,FALSE)+VLOOKUP($A305,A:AL,37,FALSE)-50))</f>
        <v>396</v>
      </c>
      <c r="AK305" s="3">
        <v>399</v>
      </c>
      <c r="AL305" s="3">
        <f>IF(ISERROR((VLOOKUP($A305,'SegEnds_NonXtal_BW#'!$A:$Z,26,FALSE)+VLOOKUP($A305,A:AL,37,FALSE)-50)),"-",(VLOOKUP($A305,'SegEnds_NonXtal_BW#'!$A:$Z,26,FALSE)+VLOOKUP($A305,A:AL,37,FALSE)-50))</f>
        <v>421</v>
      </c>
      <c r="AM305" s="28" t="str">
        <f>VLOOKUP(A305,Classification!A:B,2,FALSE)</f>
        <v>B1</v>
      </c>
      <c r="AN305" s="28" t="b">
        <f t="shared" si="167"/>
        <v>1</v>
      </c>
      <c r="AO305" s="3" t="str">
        <f>IF(ISERROR(MATCH(A305,'SegEnds_Xtal_Prot#'!B:B, 0)), "NoXtal", "Xtal")</f>
        <v>NoXtal</v>
      </c>
      <c r="AP305" s="3">
        <f t="shared" si="152"/>
        <v>1</v>
      </c>
      <c r="AQ305" s="3">
        <f t="shared" si="153"/>
        <v>1</v>
      </c>
      <c r="AR305" s="3" t="str">
        <f t="shared" si="154"/>
        <v>-</v>
      </c>
      <c r="AS305" s="3" t="str">
        <f t="shared" si="155"/>
        <v>-</v>
      </c>
      <c r="AT305" s="3" t="str">
        <f t="shared" si="156"/>
        <v>-</v>
      </c>
      <c r="AU305" s="3" t="str">
        <f t="shared" si="157"/>
        <v>-</v>
      </c>
      <c r="AV305" s="3">
        <f t="shared" si="158"/>
        <v>4</v>
      </c>
      <c r="AW305" s="3">
        <f t="shared" si="159"/>
        <v>7</v>
      </c>
      <c r="AX305" s="3">
        <f t="shared" si="160"/>
        <v>7</v>
      </c>
      <c r="AY305" s="3">
        <f t="shared" si="161"/>
        <v>8</v>
      </c>
      <c r="AZ305" s="3">
        <f t="shared" si="162"/>
        <v>1</v>
      </c>
      <c r="BA305" s="3">
        <f>IF(ISERROR(LEN(VLOOKUP(A305,Seqs!A:E,2,FALSE))-AL305),"-",LEN(VLOOKUP(A305,Seqs!A:E,2,FALSE))-AL305)</f>
        <v>45</v>
      </c>
      <c r="BB305" s="16">
        <f t="shared" si="163"/>
        <v>28</v>
      </c>
      <c r="BC305" s="9" t="str">
        <f t="shared" si="164"/>
        <v>-</v>
      </c>
      <c r="BD305" s="3">
        <f t="shared" si="165"/>
        <v>28</v>
      </c>
      <c r="BE305" s="3">
        <f t="shared" si="166"/>
        <v>50</v>
      </c>
    </row>
    <row r="306" spans="1:58" s="3" customFormat="1" x14ac:dyDescent="0.2">
      <c r="A306" s="3" t="s">
        <v>406</v>
      </c>
      <c r="B306" s="3" t="str">
        <f>LOWER(VLOOKUP(A306,Xtal_Templ!A:B,2,FALSE))</f>
        <v>glp1r_human</v>
      </c>
      <c r="C306" s="3">
        <f>VLOOKUP($A306,'SegEnds_NonXtal_BW#'!$A:$Z,3,FALSE)+D306-50</f>
        <v>138</v>
      </c>
      <c r="D306" s="3">
        <v>159</v>
      </c>
      <c r="E306" s="3">
        <f>IF(ISERROR(VLOOKUP($A306,'SegEnds_NonXtal_BW#'!$A:$Z,4,FALSE)+VLOOKUP($A306,A:AL,4,FALSE)-50),"-",(VLOOKUP($A306,'SegEnds_NonXtal_BW#'!$A:$Z,4,FALSE)+VLOOKUP($A306,A:AL,4,FALSE)-50))</f>
        <v>169</v>
      </c>
      <c r="F306" s="3">
        <f t="shared" si="171"/>
        <v>170</v>
      </c>
      <c r="G306" s="3">
        <v>172</v>
      </c>
      <c r="H306" s="3">
        <f t="shared" si="177"/>
        <v>173</v>
      </c>
      <c r="I306" s="3">
        <f t="shared" si="177"/>
        <v>174</v>
      </c>
      <c r="J306" s="3">
        <v>187</v>
      </c>
      <c r="K306" s="3">
        <f>VLOOKUP($A306,'SegEnds_NonXtal_BW#'!$A:$Z,8,FALSE)+VLOOKUP($A306,A:AL,10,FALSE)-50</f>
        <v>201</v>
      </c>
      <c r="L306" s="3" t="str">
        <f>IF(ISERROR(VLOOKUP($A306,'SegEnds_NonXtal_BW#'!$A:$Z,9,FALSE)+VLOOKUP($A306,A:AL,13,FALSE)-50),"-",(VLOOKUP($A306,'SegEnds_NonXtal_BW#'!$A:$Z,9,FALSE)+VLOOKUP($A306,A:AL,13,FALSE)-50))</f>
        <v>-</v>
      </c>
      <c r="M306" s="3" t="s">
        <v>23</v>
      </c>
      <c r="N306" s="3" t="str">
        <f>IF(ISERROR(VLOOKUP($A306,'SegEnds_NonXtal_BW#'!$A:$Z,10,FALSE)+VLOOKUP($A306,A:AL,13,FALSE)-50),"-",(VLOOKUP($A306,'SegEnds_NonXtal_BW#'!$A:$Z,10,FALSE)+VLOOKUP($A306,A:AL,13,FALSE)-50))</f>
        <v>-</v>
      </c>
      <c r="O306" s="3">
        <f>VLOOKUP($A306,'SegEnds_NonXtal_BW#'!$A:$Z,11,FALSE)+VLOOKUP($A306,A:AL,16,FALSE)-50</f>
        <v>224</v>
      </c>
      <c r="P306" s="3">
        <v>251</v>
      </c>
      <c r="Q306" s="3">
        <f>VLOOKUP($A306,'SegEnds_NonXtal_BW#'!$A:$Z,12,FALSE)+VLOOKUP($A306,A:AL,16,FALSE)-50</f>
        <v>257</v>
      </c>
      <c r="R306" s="3" t="str">
        <f>IF(ISERROR(VLOOKUP($A306,'SegEnds_NonXtal_BW#'!$A:$Z,13,FALSE)+VLOOKUP($A306,A:AL,19,FALSE)-50),"-",VLOOKUP($A306,'SegEnds_NonXtal_BW#'!$A:$Z,13,FALSE)+VLOOKUP($A306,A:AL,19,FALSE)-50)</f>
        <v>-</v>
      </c>
      <c r="S306" s="3" t="s">
        <v>23</v>
      </c>
      <c r="T306" s="100" t="str">
        <f>IF(ISERROR(VLOOKUP($A306,'SegEnds_NonXtal_BW#'!$A:$Z,14,FALSE)+VLOOKUP($A306,A:AL,19,FALSE)-50),"-",(VLOOKUP($A306,'SegEnds_NonXtal_BW#'!$A:$Z,14,FALSE)+VLOOKUP($A306,A:AL,19,FALSE)-50))</f>
        <v>-</v>
      </c>
      <c r="U306" s="9">
        <f>IF(ISERROR(VLOOKUP($A306,'SegEnds_NonXtal_BW#'!$A:$Z,15,FALSE)+VLOOKUP($A306,A:AL,22,FALSE)-50),"-",VLOOKUP($A306,'SegEnds_NonXtal_BW#'!$A:$Z,15,FALSE)+VLOOKUP($A306,A:AL,22,FALSE)-50)</f>
        <v>262</v>
      </c>
      <c r="V306" s="3">
        <v>274</v>
      </c>
      <c r="W306" s="3">
        <f>IF(ISERROR(VLOOKUP($A306,'SegEnds_NonXtal_BW#'!$A:$Z,16,FALSE)+VLOOKUP($A306,A:AL,22,FALSE)-50),"-",(VLOOKUP($A306,'SegEnds_NonXtal_BW#'!$A:$Z,16,FALSE)+VLOOKUP($A306,A:AL,22,FALSE)-50))</f>
        <v>292</v>
      </c>
      <c r="X306" s="3">
        <f>IF(ISERROR(VLOOKUP($A306,'SegEnds_NonXtal_BW#'!$A:$Z,17,FALSE)+VLOOKUP($A306,A:AL,25,FALSE)-50),"-",(VLOOKUP($A306,'SegEnds_NonXtal_BW#'!$A:$Z,17,FALSE)+VLOOKUP($A306,A:AL,25,FALSE)-50))</f>
        <v>296</v>
      </c>
      <c r="Y306" s="3">
        <v>296</v>
      </c>
      <c r="Z306" s="3">
        <f t="shared" si="176"/>
        <v>298</v>
      </c>
      <c r="AA306" s="3">
        <f>IF(ISERROR(VLOOKUP($A306,'SegEnds_NonXtal_BW#'!$A:$Z,19,FALSE)+VLOOKUP($A306,A:AL,28,FALSE)-50),"-",(VLOOKUP($A306,'SegEnds_NonXtal_BW#'!$A:$Z,19,FALSE)+VLOOKUP($A306,A:AL,28,FALSE)-50))</f>
        <v>305</v>
      </c>
      <c r="AB306" s="3">
        <v>316</v>
      </c>
      <c r="AC306" s="3">
        <f>IF(ISERROR((VLOOKUP($A306,'SegEnds_NonXtal_BW#'!$A:$Z,20,FALSE)+VLOOKUP($A306,A:AL,28,FALSE)-50)),"-",(VLOOKUP($A306,'SegEnds_NonXtal_BW#'!$A:$Z,20,FALSE)+VLOOKUP($A306,A:AL,28,FALSE)-50))</f>
        <v>337</v>
      </c>
      <c r="AD306" s="3">
        <f>IF(ISERROR(VLOOKUP($A306,'SegEnds_NonXtal_BW#'!$A:$Z,21,FALSE)+VLOOKUP($A306,A:AL,31,FALSE)-50),"-",(VLOOKUP($A306,'SegEnds_NonXtal_BW#'!$A:$Z,21,FALSE)+VLOOKUP($A306,A:AL,31,FALSE)-50))</f>
        <v>344</v>
      </c>
      <c r="AE306" s="3">
        <v>366</v>
      </c>
      <c r="AF306" s="3">
        <f>IF(ISERROR((VLOOKUP($A306,'SegEnds_NonXtal_BW#'!$A:$Z,22,FALSE)+VLOOKUP($A306,A:AL,31,FALSE)-50)),"-",(VLOOKUP($A306,'SegEnds_NonXtal_BW#'!$A:$Z,22,FALSE)+VLOOKUP($A306,A:AL,31,FALSE)-50))</f>
        <v>369</v>
      </c>
      <c r="AG306" s="3">
        <f>IF(ISERROR(VLOOKUP($A306,'SegEnds_NonXtal_BW#'!$A:$Z,23,FALSE)+VLOOKUP($A306,A:AL,34,FALSE)-50),"-",(VLOOKUP($A306,'SegEnds_NonXtal_BW#'!$A:$Z,23,FALSE)+VLOOKUP($A306,A:AL,34,FALSE)-50))</f>
        <v>377</v>
      </c>
      <c r="AH306" s="3">
        <v>399</v>
      </c>
      <c r="AI306" s="3">
        <f>IF(ISERROR((VLOOKUP($A306,'SegEnds_NonXtal_BW#'!$A:$Z,24,FALSE)+VLOOKUP($A306,A:AL,34,FALSE)-50)),"-",(VLOOKUP($A306,'SegEnds_NonXtal_BW#'!$A:$Z,24,FALSE)+VLOOKUP($A306,A:AL,34,FALSE)-50))</f>
        <v>405</v>
      </c>
      <c r="AJ306" s="3">
        <f>IF(ISERROR(VLOOKUP($A306,'SegEnds_NonXtal_BW#'!$A:$Z,25,FALSE)+VLOOKUP($A306,A:AL,37,FALSE)-50),"-",(VLOOKUP($A306,'SegEnds_NonXtal_BW#'!$A:$Z,25,FALSE)+VLOOKUP($A306,A:AL,37,FALSE)-50))</f>
        <v>406</v>
      </c>
      <c r="AK306" s="3">
        <v>409</v>
      </c>
      <c r="AL306" s="3">
        <f>IF(ISERROR((VLOOKUP($A306,'SegEnds_NonXtal_BW#'!$A:$Z,26,FALSE)+VLOOKUP($A306,A:AL,37,FALSE)-50)),"-",(VLOOKUP($A306,'SegEnds_NonXtal_BW#'!$A:$Z,26,FALSE)+VLOOKUP($A306,A:AL,37,FALSE)-50))</f>
        <v>431</v>
      </c>
      <c r="AM306" s="28" t="str">
        <f>VLOOKUP(A306,Classification!A:B,2,FALSE)</f>
        <v>B1</v>
      </c>
      <c r="AN306" s="28" t="b">
        <f t="shared" si="167"/>
        <v>1</v>
      </c>
      <c r="AO306" s="3" t="str">
        <f>IF(ISERROR(MATCH(A306,'SegEnds_Xtal_Prot#'!B:B, 0)), "NoXtal", "Xtal")</f>
        <v>Xtal</v>
      </c>
      <c r="AP306" s="3">
        <f t="shared" si="152"/>
        <v>1</v>
      </c>
      <c r="AQ306" s="3">
        <f t="shared" si="153"/>
        <v>1</v>
      </c>
      <c r="AR306" s="3" t="str">
        <f t="shared" si="154"/>
        <v>-</v>
      </c>
      <c r="AS306" s="3" t="str">
        <f t="shared" si="155"/>
        <v>-</v>
      </c>
      <c r="AT306" s="3" t="str">
        <f t="shared" si="156"/>
        <v>-</v>
      </c>
      <c r="AU306" s="3" t="str">
        <f t="shared" si="157"/>
        <v>-</v>
      </c>
      <c r="AV306" s="3">
        <f t="shared" si="158"/>
        <v>4</v>
      </c>
      <c r="AW306" s="3">
        <f t="shared" si="159"/>
        <v>7</v>
      </c>
      <c r="AX306" s="3">
        <f t="shared" si="160"/>
        <v>7</v>
      </c>
      <c r="AY306" s="3">
        <f t="shared" si="161"/>
        <v>8</v>
      </c>
      <c r="AZ306" s="3">
        <f t="shared" si="162"/>
        <v>1</v>
      </c>
      <c r="BA306" s="3">
        <f>IF(ISERROR(LEN(VLOOKUP(A306,Seqs!A:E,2,FALSE))-AL306),"-",LEN(VLOOKUP(A306,Seqs!A:E,2,FALSE))-AL306)</f>
        <v>32</v>
      </c>
      <c r="BB306" s="16">
        <f t="shared" si="163"/>
        <v>28</v>
      </c>
      <c r="BC306" s="9" t="str">
        <f t="shared" si="164"/>
        <v>-</v>
      </c>
      <c r="BD306" s="3">
        <f t="shared" si="165"/>
        <v>28</v>
      </c>
      <c r="BE306" s="3">
        <f t="shared" si="166"/>
        <v>50</v>
      </c>
    </row>
    <row r="307" spans="1:58" s="3" customFormat="1" x14ac:dyDescent="0.2">
      <c r="A307" s="3" t="s">
        <v>407</v>
      </c>
      <c r="B307" s="3" t="str">
        <f>LOWER(VLOOKUP(A307,Xtal_Templ!A:B,2,FALSE))</f>
        <v>glr_human</v>
      </c>
      <c r="C307" s="3">
        <f>VLOOKUP($A307,'SegEnds_NonXtal_BW#'!$A:$Z,3,FALSE)+D307-50</f>
        <v>168</v>
      </c>
      <c r="D307" s="3">
        <v>193</v>
      </c>
      <c r="E307" s="3">
        <f>IF(ISERROR(VLOOKUP($A307,'SegEnds_NonXtal_BW#'!$A:$Z,4,FALSE)+VLOOKUP($A307,A:AL,4,FALSE)-50),"-",(VLOOKUP($A307,'SegEnds_NonXtal_BW#'!$A:$Z,4,FALSE)+VLOOKUP($A307,A:AL,4,FALSE)-50))</f>
        <v>203</v>
      </c>
      <c r="F307" s="3">
        <f t="shared" si="171"/>
        <v>204</v>
      </c>
      <c r="G307" s="3">
        <v>206</v>
      </c>
      <c r="H307" s="3">
        <f t="shared" si="177"/>
        <v>207</v>
      </c>
      <c r="I307" s="3">
        <f t="shared" si="177"/>
        <v>208</v>
      </c>
      <c r="J307" s="3">
        <v>221</v>
      </c>
      <c r="K307" s="3">
        <f>VLOOKUP($A307,'SegEnds_NonXtal_BW#'!$A:$Z,8,FALSE)+VLOOKUP($A307,A:AL,10,FALSE)-50</f>
        <v>235</v>
      </c>
      <c r="L307" s="3" t="str">
        <f>IF(ISERROR(VLOOKUP($A307,'SegEnds_NonXtal_BW#'!$A:$Z,9,FALSE)+VLOOKUP($A307,A:AL,13,FALSE)-50),"-",(VLOOKUP($A307,'SegEnds_NonXtal_BW#'!$A:$Z,9,FALSE)+VLOOKUP($A307,A:AL,13,FALSE)-50))</f>
        <v>-</v>
      </c>
      <c r="M307" s="3" t="s">
        <v>23</v>
      </c>
      <c r="N307" s="3" t="str">
        <f>IF(ISERROR(VLOOKUP($A307,'SegEnds_NonXtal_BW#'!$A:$Z,10,FALSE)+VLOOKUP($A307,A:AL,13,FALSE)-50),"-",(VLOOKUP($A307,'SegEnds_NonXtal_BW#'!$A:$Z,10,FALSE)+VLOOKUP($A307,A:AL,13,FALSE)-50))</f>
        <v>-</v>
      </c>
      <c r="O307" s="3">
        <f>VLOOKUP($A307,'SegEnds_NonXtal_BW#'!$A:$Z,11,FALSE)+VLOOKUP($A307,A:AL,16,FALSE)-50</f>
        <v>258</v>
      </c>
      <c r="P307" s="3">
        <v>285</v>
      </c>
      <c r="Q307" s="3">
        <f>VLOOKUP($A307,'SegEnds_NonXtal_BW#'!$A:$Z,12,FALSE)+VLOOKUP($A307,A:AL,16,FALSE)-50</f>
        <v>291</v>
      </c>
      <c r="R307" s="3" t="str">
        <f>IF(ISERROR(VLOOKUP($A307,'SegEnds_NonXtal_BW#'!$A:$Z,13,FALSE)+VLOOKUP($A307,A:AL,19,FALSE)-50),"-",VLOOKUP($A307,'SegEnds_NonXtal_BW#'!$A:$Z,13,FALSE)+VLOOKUP($A307,A:AL,19,FALSE)-50)</f>
        <v>-</v>
      </c>
      <c r="S307" s="3" t="s">
        <v>23</v>
      </c>
      <c r="T307" s="100" t="str">
        <f>IF(ISERROR(VLOOKUP($A307,'SegEnds_NonXtal_BW#'!$A:$Z,14,FALSE)+VLOOKUP($A307,A:AL,19,FALSE)-50),"-",(VLOOKUP($A307,'SegEnds_NonXtal_BW#'!$A:$Z,14,FALSE)+VLOOKUP($A307,A:AL,19,FALSE)-50))</f>
        <v>-</v>
      </c>
      <c r="U307" s="9">
        <f>IF(ISERROR(VLOOKUP($A307,'SegEnds_NonXtal_BW#'!$A:$Z,15,FALSE)+VLOOKUP($A307,A:AL,22,FALSE)-50),"-",VLOOKUP($A307,'SegEnds_NonXtal_BW#'!$A:$Z,15,FALSE)+VLOOKUP($A307,A:AL,22,FALSE)-50)</f>
        <v>298</v>
      </c>
      <c r="V307" s="3">
        <v>308</v>
      </c>
      <c r="W307" s="3">
        <f>IF(ISERROR(VLOOKUP($A307,'SegEnds_NonXtal_BW#'!$A:$Z,16,FALSE)+VLOOKUP($A307,A:AL,22,FALSE)-50),"-",(VLOOKUP($A307,'SegEnds_NonXtal_BW#'!$A:$Z,16,FALSE)+VLOOKUP($A307,A:AL,22,FALSE)-50))</f>
        <v>326</v>
      </c>
      <c r="X307" s="3">
        <f>IF(ISERROR(VLOOKUP($A307,'SegEnds_NonXtal_BW#'!$A:$Z,17,FALSE)+VLOOKUP($A307,A:AL,25,FALSE)-50),"-",(VLOOKUP($A307,'SegEnds_NonXtal_BW#'!$A:$Z,17,FALSE)+VLOOKUP($A307,A:AL,25,FALSE)-50))</f>
        <v>330</v>
      </c>
      <c r="Y307" s="3">
        <v>330</v>
      </c>
      <c r="Z307" s="3">
        <f t="shared" si="176"/>
        <v>332</v>
      </c>
      <c r="AA307" s="3">
        <f>IF(ISERROR(VLOOKUP($A307,'SegEnds_NonXtal_BW#'!$A:$Z,19,FALSE)+VLOOKUP($A307,A:AL,28,FALSE)-50),"-",(VLOOKUP($A307,'SegEnds_NonXtal_BW#'!$A:$Z,19,FALSE)+VLOOKUP($A307,A:AL,28,FALSE)-50))</f>
        <v>339</v>
      </c>
      <c r="AB307" s="3">
        <v>350</v>
      </c>
      <c r="AC307" s="3">
        <f>IF(ISERROR((VLOOKUP($A307,'SegEnds_NonXtal_BW#'!$A:$Z,20,FALSE)+VLOOKUP($A307,A:AL,28,FALSE)-50)),"-",(VLOOKUP($A307,'SegEnds_NonXtal_BW#'!$A:$Z,20,FALSE)+VLOOKUP($A307,A:AL,28,FALSE)-50))</f>
        <v>371</v>
      </c>
      <c r="AD307" s="3">
        <f>IF(ISERROR(VLOOKUP($A307,'SegEnds_NonXtal_BW#'!$A:$Z,21,FALSE)+VLOOKUP($A307,A:AL,31,FALSE)-50),"-",(VLOOKUP($A307,'SegEnds_NonXtal_BW#'!$A:$Z,21,FALSE)+VLOOKUP($A307,A:AL,31,FALSE)-50))</f>
        <v>378</v>
      </c>
      <c r="AE307" s="3">
        <v>400</v>
      </c>
      <c r="AF307" s="3">
        <f>IF(ISERROR((VLOOKUP($A307,'SegEnds_NonXtal_BW#'!$A:$Z,22,FALSE)+VLOOKUP($A307,A:AL,31,FALSE)-50)),"-",(VLOOKUP($A307,'SegEnds_NonXtal_BW#'!$A:$Z,22,FALSE)+VLOOKUP($A307,A:AL,31,FALSE)-50))</f>
        <v>403</v>
      </c>
      <c r="AG307" s="3">
        <f>IF(ISERROR(VLOOKUP($A307,'SegEnds_NonXtal_BW#'!$A:$Z,23,FALSE)+VLOOKUP($A307,A:AL,34,FALSE)-50),"-",(VLOOKUP($A307,'SegEnds_NonXtal_BW#'!$A:$Z,23,FALSE)+VLOOKUP($A307,A:AL,34,FALSE)-50))</f>
        <v>411</v>
      </c>
      <c r="AH307" s="3">
        <v>433</v>
      </c>
      <c r="AI307" s="3">
        <f>IF(ISERROR((VLOOKUP($A307,'SegEnds_NonXtal_BW#'!$A:$Z,24,FALSE)+VLOOKUP($A307,A:AL,34,FALSE)-50)),"-",(VLOOKUP($A307,'SegEnds_NonXtal_BW#'!$A:$Z,24,FALSE)+VLOOKUP($A307,A:AL,34,FALSE)-50))</f>
        <v>439</v>
      </c>
      <c r="AJ307" s="3">
        <f>IF(ISERROR(VLOOKUP($A307,'SegEnds_NonXtal_BW#'!$A:$Z,25,FALSE)+VLOOKUP($A307,A:AL,37,FALSE)-50),"-",(VLOOKUP($A307,'SegEnds_NonXtal_BW#'!$A:$Z,25,FALSE)+VLOOKUP($A307,A:AL,37,FALSE)-50))</f>
        <v>440</v>
      </c>
      <c r="AK307" s="3">
        <v>443</v>
      </c>
      <c r="AL307" s="3">
        <f>IF(ISERROR((VLOOKUP($A307,'SegEnds_NonXtal_BW#'!$A:$Z,26,FALSE)+VLOOKUP($A307,A:AL,37,FALSE)-50)),"-",(VLOOKUP($A307,'SegEnds_NonXtal_BW#'!$A:$Z,26,FALSE)+VLOOKUP($A307,A:AL,37,FALSE)-50))</f>
        <v>465</v>
      </c>
      <c r="AM307" s="28" t="str">
        <f>VLOOKUP(A307,Classification!A:B,2,FALSE)</f>
        <v>B1</v>
      </c>
      <c r="AN307" s="28" t="b">
        <f t="shared" si="167"/>
        <v>1</v>
      </c>
      <c r="AO307" s="3" t="str">
        <f>IF(ISERROR(MATCH(A307,'SegEnds_Xtal_Prot#'!B:B, 0)), "NoXtal", "Xtal")</f>
        <v>NoXtal</v>
      </c>
      <c r="AP307" s="3">
        <f t="shared" si="152"/>
        <v>1</v>
      </c>
      <c r="AQ307" s="3">
        <f t="shared" si="153"/>
        <v>1</v>
      </c>
      <c r="AR307" s="3" t="str">
        <f t="shared" si="154"/>
        <v>-</v>
      </c>
      <c r="AS307" s="3" t="str">
        <f t="shared" si="155"/>
        <v>-</v>
      </c>
      <c r="AT307" s="3" t="str">
        <f t="shared" si="156"/>
        <v>-</v>
      </c>
      <c r="AU307" s="3" t="str">
        <f t="shared" si="157"/>
        <v>-</v>
      </c>
      <c r="AV307" s="3">
        <f t="shared" si="158"/>
        <v>4</v>
      </c>
      <c r="AW307" s="3">
        <f t="shared" si="159"/>
        <v>7</v>
      </c>
      <c r="AX307" s="3">
        <f t="shared" si="160"/>
        <v>7</v>
      </c>
      <c r="AY307" s="3">
        <f t="shared" si="161"/>
        <v>8</v>
      </c>
      <c r="AZ307" s="3">
        <f t="shared" si="162"/>
        <v>1</v>
      </c>
      <c r="BA307" s="3">
        <f>IF(ISERROR(LEN(VLOOKUP(A307,Seqs!A:E,2,FALSE))-AL307),"-",LEN(VLOOKUP(A307,Seqs!A:E,2,FALSE))-AL307)</f>
        <v>88</v>
      </c>
      <c r="BB307" s="16">
        <f t="shared" si="163"/>
        <v>28</v>
      </c>
      <c r="BC307" s="9" t="str">
        <f t="shared" si="164"/>
        <v>-</v>
      </c>
      <c r="BD307" s="3">
        <f t="shared" si="165"/>
        <v>28</v>
      </c>
      <c r="BE307" s="3">
        <f t="shared" si="166"/>
        <v>50</v>
      </c>
    </row>
    <row r="308" spans="1:58" s="3" customFormat="1" x14ac:dyDescent="0.2">
      <c r="A308" s="3" t="s">
        <v>32</v>
      </c>
      <c r="B308" s="3" t="str">
        <f>LOWER(VLOOKUP(A308,Xtal_Templ!A:B,2,FALSE))</f>
        <v>glr_human</v>
      </c>
      <c r="C308" s="3">
        <f>VLOOKUP($A308,'SegEnds_NonXtal_BW#'!$A:$Z,3,FALSE)+D308-50</f>
        <v>131</v>
      </c>
      <c r="D308" s="3">
        <v>156</v>
      </c>
      <c r="E308" s="3">
        <f>IF(ISERROR(VLOOKUP($A308,'SegEnds_NonXtal_BW#'!$A:$Z,4,FALSE)+VLOOKUP($A308,A:AL,4,FALSE)-50),"-",(VLOOKUP($A308,'SegEnds_NonXtal_BW#'!$A:$Z,4,FALSE)+VLOOKUP($A308,A:AL,4,FALSE)-50))</f>
        <v>166</v>
      </c>
      <c r="F308" s="3">
        <f t="shared" si="171"/>
        <v>167</v>
      </c>
      <c r="G308" s="3">
        <v>169</v>
      </c>
      <c r="H308" s="3">
        <f t="shared" si="177"/>
        <v>170</v>
      </c>
      <c r="I308" s="3">
        <f t="shared" si="177"/>
        <v>171</v>
      </c>
      <c r="J308" s="3">
        <v>184</v>
      </c>
      <c r="K308" s="3">
        <f>VLOOKUP($A308,'SegEnds_NonXtal_BW#'!$A:$Z,8,FALSE)+VLOOKUP($A308,A:AL,10,FALSE)-50</f>
        <v>203</v>
      </c>
      <c r="L308" s="3" t="str">
        <f>IF(ISERROR(VLOOKUP($A308,'SegEnds_NonXtal_BW#'!$A:$Z,9,FALSE)+VLOOKUP($A308,A:AL,13,FALSE)-50),"-",(VLOOKUP($A308,'SegEnds_NonXtal_BW#'!$A:$Z,9,FALSE)+VLOOKUP($A308,A:AL,13,FALSE)-50))</f>
        <v>-</v>
      </c>
      <c r="M308" s="3" t="s">
        <v>23</v>
      </c>
      <c r="N308" s="3" t="str">
        <f>IF(ISERROR(VLOOKUP($A308,'SegEnds_NonXtal_BW#'!$A:$Z,10,FALSE)+VLOOKUP($A308,A:AL,13,FALSE)-50),"-",(VLOOKUP($A308,'SegEnds_NonXtal_BW#'!$A:$Z,10,FALSE)+VLOOKUP($A308,A:AL,13,FALSE)-50))</f>
        <v>-</v>
      </c>
      <c r="O308" s="3">
        <f>VLOOKUP($A308,'SegEnds_NonXtal_BW#'!$A:$Z,11,FALSE)+VLOOKUP($A308,A:AL,16,FALSE)-50</f>
        <v>220</v>
      </c>
      <c r="P308" s="3">
        <v>249</v>
      </c>
      <c r="Q308" s="3">
        <f>VLOOKUP($A308,'SegEnds_NonXtal_BW#'!$A:$Z,12,FALSE)+VLOOKUP($A308,A:AL,16,FALSE)-50</f>
        <v>255</v>
      </c>
      <c r="R308" s="3" t="str">
        <f>IF(ISERROR(VLOOKUP($A308,'SegEnds_NonXtal_BW#'!$A:$Z,13,FALSE)+VLOOKUP($A308,A:AL,19,FALSE)-50),"-",VLOOKUP($A308,'SegEnds_NonXtal_BW#'!$A:$Z,13,FALSE)+VLOOKUP($A308,A:AL,19,FALSE)-50)</f>
        <v>-</v>
      </c>
      <c r="S308" s="3" t="s">
        <v>23</v>
      </c>
      <c r="T308" s="100" t="str">
        <f>IF(ISERROR(VLOOKUP($A308,'SegEnds_NonXtal_BW#'!$A:$Z,14,FALSE)+VLOOKUP($A308,A:AL,19,FALSE)-50),"-",(VLOOKUP($A308,'SegEnds_NonXtal_BW#'!$A:$Z,14,FALSE)+VLOOKUP($A308,A:AL,19,FALSE)-50))</f>
        <v>-</v>
      </c>
      <c r="U308" s="9">
        <f>IF(ISERROR(VLOOKUP($A308,'SegEnds_NonXtal_BW#'!$A:$Z,15,FALSE)+VLOOKUP($A308,A:AL,22,FALSE)-50),"-",VLOOKUP($A308,'SegEnds_NonXtal_BW#'!$A:$Z,15,FALSE)+VLOOKUP($A308,A:AL,22,FALSE)-50)</f>
        <v>262</v>
      </c>
      <c r="V308" s="3">
        <v>272</v>
      </c>
      <c r="W308" s="3">
        <f>IF(ISERROR(VLOOKUP($A308,'SegEnds_NonXtal_BW#'!$A:$Z,16,FALSE)+VLOOKUP($A308,A:AL,22,FALSE)-50),"-",(VLOOKUP($A308,'SegEnds_NonXtal_BW#'!$A:$Z,16,FALSE)+VLOOKUP($A308,A:AL,22,FALSE)-50))</f>
        <v>290</v>
      </c>
      <c r="X308" s="3">
        <f>IF(ISERROR(VLOOKUP($A308,'SegEnds_NonXtal_BW#'!$A:$Z,17,FALSE)+VLOOKUP($A308,A:AL,25,FALSE)-50),"-",(VLOOKUP($A308,'SegEnds_NonXtal_BW#'!$A:$Z,17,FALSE)+VLOOKUP($A308,A:AL,25,FALSE)-50))</f>
        <v>294</v>
      </c>
      <c r="Y308" s="3">
        <v>294</v>
      </c>
      <c r="Z308" s="3">
        <f t="shared" si="176"/>
        <v>296</v>
      </c>
      <c r="AA308" s="3">
        <f>IF(ISERROR(VLOOKUP($A308,'SegEnds_NonXtal_BW#'!$A:$Z,19,FALSE)+VLOOKUP($A308,A:AL,28,FALSE)-50),"-",(VLOOKUP($A308,'SegEnds_NonXtal_BW#'!$A:$Z,19,FALSE)+VLOOKUP($A308,A:AL,28,FALSE)-50))</f>
        <v>300</v>
      </c>
      <c r="AB308" s="3">
        <v>314</v>
      </c>
      <c r="AC308" s="3">
        <f>IF(ISERROR((VLOOKUP($A308,'SegEnds_NonXtal_BW#'!$A:$Z,20,FALSE)+VLOOKUP($A308,A:AL,28,FALSE)-50)),"-",(VLOOKUP($A308,'SegEnds_NonXtal_BW#'!$A:$Z,20,FALSE)+VLOOKUP($A308,A:AL,28,FALSE)-50))</f>
        <v>335</v>
      </c>
      <c r="AD308" s="3">
        <f>IF(ISERROR(VLOOKUP($A308,'SegEnds_NonXtal_BW#'!$A:$Z,21,FALSE)+VLOOKUP($A308,A:AL,31,FALSE)-50),"-",(VLOOKUP($A308,'SegEnds_NonXtal_BW#'!$A:$Z,21,FALSE)+VLOOKUP($A308,A:AL,31,FALSE)-50))</f>
        <v>342</v>
      </c>
      <c r="AE308" s="3">
        <v>364</v>
      </c>
      <c r="AF308" s="3">
        <f>IF(ISERROR((VLOOKUP($A308,'SegEnds_NonXtal_BW#'!$A:$Z,22,FALSE)+VLOOKUP($A308,A:AL,31,FALSE)-50)),"-",(VLOOKUP($A308,'SegEnds_NonXtal_BW#'!$A:$Z,22,FALSE)+VLOOKUP($A308,A:AL,31,FALSE)-50))</f>
        <v>367</v>
      </c>
      <c r="AG308" s="3">
        <f>IF(ISERROR(VLOOKUP($A308,'SegEnds_NonXtal_BW#'!$A:$Z,23,FALSE)+VLOOKUP($A308,A:AL,34,FALSE)-50),"-",(VLOOKUP($A308,'SegEnds_NonXtal_BW#'!$A:$Z,23,FALSE)+VLOOKUP($A308,A:AL,34,FALSE)-50))</f>
        <v>374</v>
      </c>
      <c r="AH308" s="3">
        <v>397</v>
      </c>
      <c r="AI308" s="3">
        <f>IF(ISERROR((VLOOKUP($A308,'SegEnds_NonXtal_BW#'!$A:$Z,24,FALSE)+VLOOKUP($A308,A:AL,34,FALSE)-50)),"-",(VLOOKUP($A308,'SegEnds_NonXtal_BW#'!$A:$Z,24,FALSE)+VLOOKUP($A308,A:AL,34,FALSE)-50))</f>
        <v>403</v>
      </c>
      <c r="AJ308" s="3">
        <f>IF(ISERROR(VLOOKUP($A308,'SegEnds_NonXtal_BW#'!$A:$Z,25,FALSE)+VLOOKUP($A308,A:AL,37,FALSE)-50),"-",(VLOOKUP($A308,'SegEnds_NonXtal_BW#'!$A:$Z,25,FALSE)+VLOOKUP($A308,A:AL,37,FALSE)-50))</f>
        <v>404</v>
      </c>
      <c r="AK308" s="3">
        <v>407</v>
      </c>
      <c r="AL308" s="3">
        <f>IF(ISERROR((VLOOKUP($A308,'SegEnds_NonXtal_BW#'!$A:$Z,26,FALSE)+VLOOKUP($A308,A:AL,37,FALSE)-50)),"-",(VLOOKUP($A308,'SegEnds_NonXtal_BW#'!$A:$Z,26,FALSE)+VLOOKUP($A308,A:AL,37,FALSE)-50))</f>
        <v>429</v>
      </c>
      <c r="AM308" s="28" t="str">
        <f>VLOOKUP(A308,Classification!A:B,2,FALSE)</f>
        <v>B1</v>
      </c>
      <c r="AN308" s="28" t="b">
        <f t="shared" si="167"/>
        <v>1</v>
      </c>
      <c r="AO308" s="3" t="str">
        <f>IF(ISERROR(MATCH(A308,'SegEnds_Xtal_Prot#'!B:B, 0)), "NoXtal", "Xtal")</f>
        <v>Xtal</v>
      </c>
      <c r="AP308" s="3">
        <f t="shared" si="152"/>
        <v>1</v>
      </c>
      <c r="AQ308" s="3">
        <f t="shared" si="153"/>
        <v>1</v>
      </c>
      <c r="AR308" s="3" t="str">
        <f t="shared" si="154"/>
        <v>-</v>
      </c>
      <c r="AS308" s="3" t="str">
        <f t="shared" si="155"/>
        <v>-</v>
      </c>
      <c r="AT308" s="3" t="str">
        <f t="shared" si="156"/>
        <v>-</v>
      </c>
      <c r="AU308" s="3" t="str">
        <f t="shared" si="157"/>
        <v>-</v>
      </c>
      <c r="AV308" s="3">
        <f t="shared" si="158"/>
        <v>4</v>
      </c>
      <c r="AW308" s="3">
        <f t="shared" si="159"/>
        <v>4</v>
      </c>
      <c r="AX308" s="3">
        <f t="shared" si="160"/>
        <v>7</v>
      </c>
      <c r="AY308" s="3">
        <f t="shared" si="161"/>
        <v>7</v>
      </c>
      <c r="AZ308" s="3">
        <f t="shared" si="162"/>
        <v>1</v>
      </c>
      <c r="BA308" s="3">
        <f>IF(ISERROR(LEN(VLOOKUP(A308,Seqs!A:E,2,FALSE))-AL308),"-",LEN(VLOOKUP(A308,Seqs!A:E,2,FALSE))-AL308)</f>
        <v>48</v>
      </c>
      <c r="BB308" s="16">
        <f t="shared" si="163"/>
        <v>28</v>
      </c>
      <c r="BC308" s="9" t="str">
        <f t="shared" si="164"/>
        <v>-</v>
      </c>
      <c r="BD308" s="3">
        <f t="shared" si="165"/>
        <v>28</v>
      </c>
      <c r="BE308" s="3">
        <f t="shared" si="166"/>
        <v>50</v>
      </c>
    </row>
    <row r="309" spans="1:58" s="3" customFormat="1" x14ac:dyDescent="0.2">
      <c r="A309" s="3" t="s">
        <v>408</v>
      </c>
      <c r="B309" s="3" t="str">
        <f>LOWER(VLOOKUP(A309,Xtal_Templ!A:B,2,FALSE))</f>
        <v>pth1r_human</v>
      </c>
      <c r="C309" s="3">
        <f>VLOOKUP($A309,'SegEnds_NonXtal_BW#'!$A:$Z,3,FALSE)+D309-50</f>
        <v>145</v>
      </c>
      <c r="D309" s="3">
        <v>168</v>
      </c>
      <c r="E309" s="3">
        <f>IF(ISERROR(VLOOKUP($A309,'SegEnds_NonXtal_BW#'!$A:$Z,4,FALSE)+VLOOKUP($A309,A:AL,4,FALSE)-50),"-",(VLOOKUP($A309,'SegEnds_NonXtal_BW#'!$A:$Z,4,FALSE)+VLOOKUP($A309,A:AL,4,FALSE)-50))</f>
        <v>178</v>
      </c>
      <c r="F309" s="3">
        <f t="shared" si="171"/>
        <v>179</v>
      </c>
      <c r="G309" s="3">
        <v>181</v>
      </c>
      <c r="H309" s="3">
        <f t="shared" si="177"/>
        <v>182</v>
      </c>
      <c r="I309" s="3">
        <f t="shared" si="177"/>
        <v>183</v>
      </c>
      <c r="J309" s="3">
        <v>196</v>
      </c>
      <c r="K309" s="3">
        <f>VLOOKUP($A309,'SegEnds_NonXtal_BW#'!$A:$Z,8,FALSE)+VLOOKUP($A309,A:AL,10,FALSE)-50</f>
        <v>210</v>
      </c>
      <c r="L309" s="3" t="str">
        <f>IF(ISERROR(VLOOKUP($A309,'SegEnds_NonXtal_BW#'!$A:$Z,9,FALSE)+VLOOKUP($A309,A:AL,13,FALSE)-50),"-",(VLOOKUP($A309,'SegEnds_NonXtal_BW#'!$A:$Z,9,FALSE)+VLOOKUP($A309,A:AL,13,FALSE)-50))</f>
        <v>-</v>
      </c>
      <c r="M309" s="3" t="s">
        <v>23</v>
      </c>
      <c r="N309" s="3" t="str">
        <f>IF(ISERROR(VLOOKUP($A309,'SegEnds_NonXtal_BW#'!$A:$Z,10,FALSE)+VLOOKUP($A309,A:AL,13,FALSE)-50),"-",(VLOOKUP($A309,'SegEnds_NonXtal_BW#'!$A:$Z,10,FALSE)+VLOOKUP($A309,A:AL,13,FALSE)-50))</f>
        <v>-</v>
      </c>
      <c r="O309" s="3">
        <f>VLOOKUP($A309,'SegEnds_NonXtal_BW#'!$A:$Z,11,FALSE)+VLOOKUP($A309,A:AL,16,FALSE)-50</f>
        <v>224</v>
      </c>
      <c r="P309" s="3">
        <v>251</v>
      </c>
      <c r="Q309" s="3">
        <f>VLOOKUP($A309,'SegEnds_NonXtal_BW#'!$A:$Z,12,FALSE)+VLOOKUP($A309,A:AL,16,FALSE)-50</f>
        <v>257</v>
      </c>
      <c r="R309" s="3" t="str">
        <f>IF(ISERROR(VLOOKUP($A309,'SegEnds_NonXtal_BW#'!$A:$Z,13,FALSE)+VLOOKUP($A309,A:AL,19,FALSE)-50),"-",VLOOKUP($A309,'SegEnds_NonXtal_BW#'!$A:$Z,13,FALSE)+VLOOKUP($A309,A:AL,19,FALSE)-50)</f>
        <v>-</v>
      </c>
      <c r="S309" s="3" t="s">
        <v>23</v>
      </c>
      <c r="T309" s="100" t="str">
        <f>IF(ISERROR(VLOOKUP($A309,'SegEnds_NonXtal_BW#'!$A:$Z,14,FALSE)+VLOOKUP($A309,A:AL,19,FALSE)-50),"-",(VLOOKUP($A309,'SegEnds_NonXtal_BW#'!$A:$Z,14,FALSE)+VLOOKUP($A309,A:AL,19,FALSE)-50))</f>
        <v>-</v>
      </c>
      <c r="U309" s="9">
        <f>IF(ISERROR(VLOOKUP($A309,'SegEnds_NonXtal_BW#'!$A:$Z,15,FALSE)+VLOOKUP($A309,A:AL,22,FALSE)-50),"-",VLOOKUP($A309,'SegEnds_NonXtal_BW#'!$A:$Z,15,FALSE)+VLOOKUP($A309,A:AL,22,FALSE)-50)</f>
        <v>261</v>
      </c>
      <c r="V309" s="3">
        <v>274</v>
      </c>
      <c r="W309" s="3">
        <f>IF(ISERROR(VLOOKUP($A309,'SegEnds_NonXtal_BW#'!$A:$Z,16,FALSE)+VLOOKUP($A309,A:AL,22,FALSE)-50),"-",(VLOOKUP($A309,'SegEnds_NonXtal_BW#'!$A:$Z,16,FALSE)+VLOOKUP($A309,A:AL,22,FALSE)-50))</f>
        <v>292</v>
      </c>
      <c r="X309" s="3">
        <f>IF(ISERROR(VLOOKUP($A309,'SegEnds_NonXtal_BW#'!$A:$Z,17,FALSE)+VLOOKUP($A309,A:AL,25,FALSE)-50),"-",(VLOOKUP($A309,'SegEnds_NonXtal_BW#'!$A:$Z,17,FALSE)+VLOOKUP($A309,A:AL,25,FALSE)-50))</f>
        <v>296</v>
      </c>
      <c r="Y309" s="3">
        <v>296</v>
      </c>
      <c r="Z309" s="3">
        <f t="shared" si="176"/>
        <v>298</v>
      </c>
      <c r="AA309" s="3">
        <f>IF(ISERROR(VLOOKUP($A309,'SegEnds_NonXtal_BW#'!$A:$Z,19,FALSE)+VLOOKUP($A309,A:AL,28,FALSE)-50),"-",(VLOOKUP($A309,'SegEnds_NonXtal_BW#'!$A:$Z,19,FALSE)+VLOOKUP($A309,A:AL,28,FALSE)-50))</f>
        <v>305</v>
      </c>
      <c r="AB309" s="3">
        <v>316</v>
      </c>
      <c r="AC309" s="3">
        <f>IF(ISERROR((VLOOKUP($A309,'SegEnds_NonXtal_BW#'!$A:$Z,20,FALSE)+VLOOKUP($A309,A:AL,28,FALSE)-50)),"-",(VLOOKUP($A309,'SegEnds_NonXtal_BW#'!$A:$Z,20,FALSE)+VLOOKUP($A309,A:AL,28,FALSE)-50))</f>
        <v>335</v>
      </c>
      <c r="AD309" s="3">
        <f>IF(ISERROR(VLOOKUP($A309,'SegEnds_NonXtal_BW#'!$A:$Z,21,FALSE)+VLOOKUP($A309,A:AL,31,FALSE)-50),"-",(VLOOKUP($A309,'SegEnds_NonXtal_BW#'!$A:$Z,21,FALSE)+VLOOKUP($A309,A:AL,31,FALSE)-50))</f>
        <v>343</v>
      </c>
      <c r="AE309" s="3">
        <v>368</v>
      </c>
      <c r="AF309" s="3">
        <f>IF(ISERROR((VLOOKUP($A309,'SegEnds_NonXtal_BW#'!$A:$Z,22,FALSE)+VLOOKUP($A309,A:AL,31,FALSE)-50)),"-",(VLOOKUP($A309,'SegEnds_NonXtal_BW#'!$A:$Z,22,FALSE)+VLOOKUP($A309,A:AL,31,FALSE)-50))</f>
        <v>372</v>
      </c>
      <c r="AG309" s="3">
        <f>IF(ISERROR(VLOOKUP($A309,'SegEnds_NonXtal_BW#'!$A:$Z,23,FALSE)+VLOOKUP($A309,A:AL,34,FALSE)-50),"-",(VLOOKUP($A309,'SegEnds_NonXtal_BW#'!$A:$Z,23,FALSE)+VLOOKUP($A309,A:AL,34,FALSE)-50))</f>
        <v>378</v>
      </c>
      <c r="AH309" s="3">
        <v>397</v>
      </c>
      <c r="AI309" s="3">
        <f>IF(ISERROR((VLOOKUP($A309,'SegEnds_NonXtal_BW#'!$A:$Z,24,FALSE)+VLOOKUP($A309,A:AL,34,FALSE)-50)),"-",(VLOOKUP($A309,'SegEnds_NonXtal_BW#'!$A:$Z,24,FALSE)+VLOOKUP($A309,A:AL,34,FALSE)-50))</f>
        <v>403</v>
      </c>
      <c r="AJ309" s="3">
        <f>IF(ISERROR(VLOOKUP($A309,'SegEnds_NonXtal_BW#'!$A:$Z,25,FALSE)+VLOOKUP($A309,A:AL,37,FALSE)-50),"-",(VLOOKUP($A309,'SegEnds_NonXtal_BW#'!$A:$Z,25,FALSE)+VLOOKUP($A309,A:AL,37,FALSE)-50))</f>
        <v>404</v>
      </c>
      <c r="AK309" s="3">
        <v>407</v>
      </c>
      <c r="AL309" s="3">
        <f>IF(ISERROR((VLOOKUP($A309,'SegEnds_NonXtal_BW#'!$A:$Z,26,FALSE)+VLOOKUP($A309,A:AL,37,FALSE)-50)),"-",(VLOOKUP($A309,'SegEnds_NonXtal_BW#'!$A:$Z,26,FALSE)+VLOOKUP($A309,A:AL,37,FALSE)-50))</f>
        <v>429</v>
      </c>
      <c r="AM309" s="28" t="str">
        <f>VLOOKUP(A309,Classification!A:B,2,FALSE)</f>
        <v>B1</v>
      </c>
      <c r="AN309" s="28" t="b">
        <f t="shared" si="167"/>
        <v>1</v>
      </c>
      <c r="AO309" s="3" t="str">
        <f>IF(ISERROR(MATCH(A309,'SegEnds_Xtal_Prot#'!B:B, 0)), "NoXtal", "Xtal")</f>
        <v>NoXtal</v>
      </c>
      <c r="AP309" s="3">
        <f t="shared" si="152"/>
        <v>1</v>
      </c>
      <c r="AQ309" s="3">
        <f t="shared" si="153"/>
        <v>1</v>
      </c>
      <c r="AR309" s="3" t="str">
        <f t="shared" si="154"/>
        <v>-</v>
      </c>
      <c r="AS309" s="3" t="str">
        <f t="shared" si="155"/>
        <v>-</v>
      </c>
      <c r="AT309" s="3" t="str">
        <f t="shared" si="156"/>
        <v>-</v>
      </c>
      <c r="AU309" s="3" t="str">
        <f t="shared" si="157"/>
        <v>-</v>
      </c>
      <c r="AV309" s="3">
        <f t="shared" si="158"/>
        <v>4</v>
      </c>
      <c r="AW309" s="3">
        <f t="shared" si="159"/>
        <v>7</v>
      </c>
      <c r="AX309" s="3">
        <f t="shared" si="160"/>
        <v>8</v>
      </c>
      <c r="AY309" s="3">
        <f t="shared" si="161"/>
        <v>6</v>
      </c>
      <c r="AZ309" s="3">
        <f t="shared" si="162"/>
        <v>1</v>
      </c>
      <c r="BA309" s="3">
        <f>IF(ISERROR(LEN(VLOOKUP(A309,Seqs!A:E,2,FALSE))-AL309),"-",LEN(VLOOKUP(A309,Seqs!A:E,2,FALSE))-AL309)</f>
        <v>39</v>
      </c>
      <c r="BB309" s="16">
        <f t="shared" si="163"/>
        <v>28</v>
      </c>
      <c r="BC309" s="9" t="str">
        <f t="shared" si="164"/>
        <v>-</v>
      </c>
      <c r="BD309" s="3">
        <f t="shared" si="165"/>
        <v>28</v>
      </c>
      <c r="BE309" s="3">
        <f t="shared" si="166"/>
        <v>52</v>
      </c>
    </row>
    <row r="310" spans="1:58" s="3" customFormat="1" x14ac:dyDescent="0.2">
      <c r="A310" s="3" t="s">
        <v>409</v>
      </c>
      <c r="B310" s="3" t="str">
        <f>LOWER(VLOOKUP(A310,Xtal_Templ!A:B,2,FALSE))</f>
        <v>pth1r_human</v>
      </c>
      <c r="C310" s="3">
        <f>VLOOKUP($A310,'SegEnds_NonXtal_BW#'!$A:$Z,3,FALSE)+D310-50</f>
        <v>179</v>
      </c>
      <c r="D310" s="3">
        <v>202</v>
      </c>
      <c r="E310" s="3">
        <f>IF(ISERROR(VLOOKUP($A310,'SegEnds_NonXtal_BW#'!$A:$Z,4,FALSE)+VLOOKUP($A310,A:AL,4,FALSE)-50),"-",(VLOOKUP($A310,'SegEnds_NonXtal_BW#'!$A:$Z,4,FALSE)+VLOOKUP($A310,A:AL,4,FALSE)-50))</f>
        <v>212</v>
      </c>
      <c r="F310" s="3">
        <f t="shared" si="171"/>
        <v>213</v>
      </c>
      <c r="G310" s="3">
        <v>215</v>
      </c>
      <c r="H310" s="3">
        <f t="shared" si="177"/>
        <v>216</v>
      </c>
      <c r="I310" s="3">
        <f t="shared" si="177"/>
        <v>217</v>
      </c>
      <c r="J310" s="3">
        <v>230</v>
      </c>
      <c r="K310" s="3">
        <f>VLOOKUP($A310,'SegEnds_NonXtal_BW#'!$A:$Z,8,FALSE)+VLOOKUP($A310,A:AL,10,FALSE)-50</f>
        <v>249</v>
      </c>
      <c r="L310" s="3" t="str">
        <f>IF(ISERROR(VLOOKUP($A310,'SegEnds_NonXtal_BW#'!$A:$Z,9,FALSE)+VLOOKUP($A310,A:AL,13,FALSE)-50),"-",(VLOOKUP($A310,'SegEnds_NonXtal_BW#'!$A:$Z,9,FALSE)+VLOOKUP($A310,A:AL,13,FALSE)-50))</f>
        <v>-</v>
      </c>
      <c r="M310" s="3" t="s">
        <v>23</v>
      </c>
      <c r="N310" s="3" t="str">
        <f>IF(ISERROR(VLOOKUP($A310,'SegEnds_NonXtal_BW#'!$A:$Z,10,FALSE)+VLOOKUP($A310,A:AL,13,FALSE)-50),"-",(VLOOKUP($A310,'SegEnds_NonXtal_BW#'!$A:$Z,10,FALSE)+VLOOKUP($A310,A:AL,13,FALSE)-50))</f>
        <v>-</v>
      </c>
      <c r="O310" s="3">
        <f>VLOOKUP($A310,'SegEnds_NonXtal_BW#'!$A:$Z,11,FALSE)+VLOOKUP($A310,A:AL,16,FALSE)-50</f>
        <v>277</v>
      </c>
      <c r="P310" s="3">
        <v>306</v>
      </c>
      <c r="Q310" s="3">
        <f>VLOOKUP($A310,'SegEnds_NonXtal_BW#'!$A:$Z,12,FALSE)+VLOOKUP($A310,A:AL,16,FALSE)-50</f>
        <v>312</v>
      </c>
      <c r="R310" s="3" t="str">
        <f>IF(ISERROR(VLOOKUP($A310,'SegEnds_NonXtal_BW#'!$A:$Z,13,FALSE)+VLOOKUP($A310,A:AL,19,FALSE)-50),"-",VLOOKUP($A310,'SegEnds_NonXtal_BW#'!$A:$Z,13,FALSE)+VLOOKUP($A310,A:AL,19,FALSE)-50)</f>
        <v>-</v>
      </c>
      <c r="S310" s="3" t="s">
        <v>23</v>
      </c>
      <c r="T310" s="100" t="str">
        <f>IF(ISERROR(VLOOKUP($A310,'SegEnds_NonXtal_BW#'!$A:$Z,14,FALSE)+VLOOKUP($A310,A:AL,19,FALSE)-50),"-",(VLOOKUP($A310,'SegEnds_NonXtal_BW#'!$A:$Z,14,FALSE)+VLOOKUP($A310,A:AL,19,FALSE)-50))</f>
        <v>-</v>
      </c>
      <c r="U310" s="9">
        <f>IF(ISERROR(VLOOKUP($A310,'SegEnds_NonXtal_BW#'!$A:$Z,15,FALSE)+VLOOKUP($A310,A:AL,22,FALSE)-50),"-",VLOOKUP($A310,'SegEnds_NonXtal_BW#'!$A:$Z,15,FALSE)+VLOOKUP($A310,A:AL,22,FALSE)-50)</f>
        <v>316</v>
      </c>
      <c r="V310" s="3">
        <v>329</v>
      </c>
      <c r="W310" s="3">
        <f>IF(ISERROR(VLOOKUP($A310,'SegEnds_NonXtal_BW#'!$A:$Z,16,FALSE)+VLOOKUP($A310,A:AL,22,FALSE)-50),"-",(VLOOKUP($A310,'SegEnds_NonXtal_BW#'!$A:$Z,16,FALSE)+VLOOKUP($A310,A:AL,22,FALSE)-50))</f>
        <v>347</v>
      </c>
      <c r="X310" s="3">
        <f>IF(ISERROR(VLOOKUP($A310,'SegEnds_NonXtal_BW#'!$A:$Z,17,FALSE)+VLOOKUP($A310,A:AL,25,FALSE)-50),"-",(VLOOKUP($A310,'SegEnds_NonXtal_BW#'!$A:$Z,17,FALSE)+VLOOKUP($A310,A:AL,25,FALSE)-50))</f>
        <v>351</v>
      </c>
      <c r="Y310" s="3">
        <v>351</v>
      </c>
      <c r="Z310" s="3">
        <f t="shared" si="176"/>
        <v>353</v>
      </c>
      <c r="AA310" s="3">
        <f>IF(ISERROR(VLOOKUP($A310,'SegEnds_NonXtal_BW#'!$A:$Z,19,FALSE)+VLOOKUP($A310,A:AL,28,FALSE)-50),"-",(VLOOKUP($A310,'SegEnds_NonXtal_BW#'!$A:$Z,19,FALSE)+VLOOKUP($A310,A:AL,28,FALSE)-50))</f>
        <v>359</v>
      </c>
      <c r="AB310" s="3">
        <v>370</v>
      </c>
      <c r="AC310" s="3">
        <f>IF(ISERROR((VLOOKUP($A310,'SegEnds_NonXtal_BW#'!$A:$Z,20,FALSE)+VLOOKUP($A310,A:AL,28,FALSE)-50)),"-",(VLOOKUP($A310,'SegEnds_NonXtal_BW#'!$A:$Z,20,FALSE)+VLOOKUP($A310,A:AL,28,FALSE)-50))</f>
        <v>389</v>
      </c>
      <c r="AD310" s="3">
        <f>IF(ISERROR(VLOOKUP($A310,'SegEnds_NonXtal_BW#'!$A:$Z,21,FALSE)+VLOOKUP($A310,A:AL,31,FALSE)-50),"-",(VLOOKUP($A310,'SegEnds_NonXtal_BW#'!$A:$Z,21,FALSE)+VLOOKUP($A310,A:AL,31,FALSE)-50))</f>
        <v>398</v>
      </c>
      <c r="AE310" s="3">
        <v>423</v>
      </c>
      <c r="AF310" s="3">
        <f>IF(ISERROR((VLOOKUP($A310,'SegEnds_NonXtal_BW#'!$A:$Z,22,FALSE)+VLOOKUP($A310,A:AL,31,FALSE)-50)),"-",(VLOOKUP($A310,'SegEnds_NonXtal_BW#'!$A:$Z,22,FALSE)+VLOOKUP($A310,A:AL,31,FALSE)-50))</f>
        <v>427</v>
      </c>
      <c r="AG310" s="3">
        <f>IF(ISERROR(VLOOKUP($A310,'SegEnds_NonXtal_BW#'!$A:$Z,23,FALSE)+VLOOKUP($A310,A:AL,34,FALSE)-50),"-",(VLOOKUP($A310,'SegEnds_NonXtal_BW#'!$A:$Z,23,FALSE)+VLOOKUP($A310,A:AL,34,FALSE)-50))</f>
        <v>434</v>
      </c>
      <c r="AH310" s="3">
        <v>456</v>
      </c>
      <c r="AI310" s="3">
        <f>IF(ISERROR((VLOOKUP($A310,'SegEnds_NonXtal_BW#'!$A:$Z,24,FALSE)+VLOOKUP($A310,A:AL,34,FALSE)-50)),"-",(VLOOKUP($A310,'SegEnds_NonXtal_BW#'!$A:$Z,24,FALSE)+VLOOKUP($A310,A:AL,34,FALSE)-50))</f>
        <v>462</v>
      </c>
      <c r="AJ310" s="3">
        <f>IF(ISERROR(VLOOKUP($A310,'SegEnds_NonXtal_BW#'!$A:$Z,25,FALSE)+VLOOKUP($A310,A:AL,37,FALSE)-50),"-",(VLOOKUP($A310,'SegEnds_NonXtal_BW#'!$A:$Z,25,FALSE)+VLOOKUP($A310,A:AL,37,FALSE)-50))</f>
        <v>463</v>
      </c>
      <c r="AK310" s="3">
        <v>466</v>
      </c>
      <c r="AL310" s="3">
        <f>IF(ISERROR((VLOOKUP($A310,'SegEnds_NonXtal_BW#'!$A:$Z,26,FALSE)+VLOOKUP($A310,A:AL,37,FALSE)-50)),"-",(VLOOKUP($A310,'SegEnds_NonXtal_BW#'!$A:$Z,26,FALSE)+VLOOKUP($A310,A:AL,37,FALSE)-50))</f>
        <v>488</v>
      </c>
      <c r="AM310" s="28" t="str">
        <f>VLOOKUP(A310,Classification!A:B,2,FALSE)</f>
        <v>B1</v>
      </c>
      <c r="AN310" s="28" t="b">
        <f t="shared" si="167"/>
        <v>1</v>
      </c>
      <c r="AO310" s="3" t="str">
        <f>IF(ISERROR(MATCH(A310,'SegEnds_Xtal_Prot#'!B:B, 0)), "NoXtal", "Xtal")</f>
        <v>Xtal</v>
      </c>
      <c r="AP310" s="3">
        <f t="shared" si="152"/>
        <v>1</v>
      </c>
      <c r="AQ310" s="3">
        <f t="shared" si="153"/>
        <v>1</v>
      </c>
      <c r="AR310" s="3" t="str">
        <f t="shared" si="154"/>
        <v>-</v>
      </c>
      <c r="AS310" s="3" t="str">
        <f t="shared" si="155"/>
        <v>-</v>
      </c>
      <c r="AT310" s="3" t="str">
        <f t="shared" si="156"/>
        <v>-</v>
      </c>
      <c r="AU310" s="3" t="str">
        <f t="shared" si="157"/>
        <v>-</v>
      </c>
      <c r="AV310" s="3">
        <f t="shared" si="158"/>
        <v>4</v>
      </c>
      <c r="AW310" s="3">
        <f t="shared" si="159"/>
        <v>6</v>
      </c>
      <c r="AX310" s="3">
        <f t="shared" si="160"/>
        <v>9</v>
      </c>
      <c r="AY310" s="3">
        <f t="shared" si="161"/>
        <v>7</v>
      </c>
      <c r="AZ310" s="3">
        <f t="shared" si="162"/>
        <v>1</v>
      </c>
      <c r="BA310" s="3">
        <f>IF(ISERROR(LEN(VLOOKUP(A310,Seqs!A:E,2,FALSE))-AL310),"-",LEN(VLOOKUP(A310,Seqs!A:E,2,FALSE))-AL310)</f>
        <v>105</v>
      </c>
      <c r="BB310" s="16">
        <f t="shared" si="163"/>
        <v>28</v>
      </c>
      <c r="BC310" s="9" t="str">
        <f t="shared" si="164"/>
        <v>-</v>
      </c>
      <c r="BD310" s="3">
        <f t="shared" si="165"/>
        <v>28</v>
      </c>
      <c r="BE310" s="3">
        <f t="shared" si="166"/>
        <v>53</v>
      </c>
    </row>
    <row r="311" spans="1:58" s="3" customFormat="1" x14ac:dyDescent="0.2">
      <c r="A311" s="3" t="s">
        <v>410</v>
      </c>
      <c r="B311" s="3" t="str">
        <f>LOWER(VLOOKUP(A311,Xtal_Templ!A:B,2,FALSE))</f>
        <v>pth1r_human</v>
      </c>
      <c r="C311" s="3">
        <f>VLOOKUP($A311,'SegEnds_NonXtal_BW#'!$A:$Z,3,FALSE)+D311-50</f>
        <v>136</v>
      </c>
      <c r="D311" s="3">
        <v>159</v>
      </c>
      <c r="E311" s="3">
        <f>IF(ISERROR(VLOOKUP($A311,'SegEnds_NonXtal_BW#'!$A:$Z,4,FALSE)+VLOOKUP($A311,A:AL,4,FALSE)-50),"-",(VLOOKUP($A311,'SegEnds_NonXtal_BW#'!$A:$Z,4,FALSE)+VLOOKUP($A311,A:AL,4,FALSE)-50))</f>
        <v>169</v>
      </c>
      <c r="F311" s="3">
        <f t="shared" si="171"/>
        <v>170</v>
      </c>
      <c r="G311" s="3">
        <v>172</v>
      </c>
      <c r="H311" s="3">
        <f t="shared" si="177"/>
        <v>173</v>
      </c>
      <c r="I311" s="3">
        <f t="shared" si="177"/>
        <v>174</v>
      </c>
      <c r="J311" s="3">
        <v>187</v>
      </c>
      <c r="K311" s="3">
        <f>VLOOKUP($A311,'SegEnds_NonXtal_BW#'!$A:$Z,8,FALSE)+VLOOKUP($A311,A:AL,10,FALSE)-50</f>
        <v>206</v>
      </c>
      <c r="L311" s="3" t="str">
        <f>IF(ISERROR(VLOOKUP($A311,'SegEnds_NonXtal_BW#'!$A:$Z,9,FALSE)+VLOOKUP($A311,A:AL,13,FALSE)-50),"-",(VLOOKUP($A311,'SegEnds_NonXtal_BW#'!$A:$Z,9,FALSE)+VLOOKUP($A311,A:AL,13,FALSE)-50))</f>
        <v>-</v>
      </c>
      <c r="M311" s="3" t="s">
        <v>23</v>
      </c>
      <c r="N311" s="3" t="str">
        <f>IF(ISERROR(VLOOKUP($A311,'SegEnds_NonXtal_BW#'!$A:$Z,10,FALSE)+VLOOKUP($A311,A:AL,13,FALSE)-50),"-",(VLOOKUP($A311,'SegEnds_NonXtal_BW#'!$A:$Z,10,FALSE)+VLOOKUP($A311,A:AL,13,FALSE)-50))</f>
        <v>-</v>
      </c>
      <c r="O311" s="3">
        <f>VLOOKUP($A311,'SegEnds_NonXtal_BW#'!$A:$Z,11,FALSE)+VLOOKUP($A311,A:AL,16,FALSE)-50</f>
        <v>232</v>
      </c>
      <c r="P311" s="3">
        <v>261</v>
      </c>
      <c r="Q311" s="3">
        <f>VLOOKUP($A311,'SegEnds_NonXtal_BW#'!$A:$Z,12,FALSE)+VLOOKUP($A311,A:AL,16,FALSE)-50</f>
        <v>267</v>
      </c>
      <c r="R311" s="3" t="str">
        <f>IF(ISERROR(VLOOKUP($A311,'SegEnds_NonXtal_BW#'!$A:$Z,13,FALSE)+VLOOKUP($A311,A:AL,19,FALSE)-50),"-",VLOOKUP($A311,'SegEnds_NonXtal_BW#'!$A:$Z,13,FALSE)+VLOOKUP($A311,A:AL,19,FALSE)-50)</f>
        <v>-</v>
      </c>
      <c r="S311" s="3" t="s">
        <v>23</v>
      </c>
      <c r="T311" s="100" t="str">
        <f>IF(ISERROR(VLOOKUP($A311,'SegEnds_NonXtal_BW#'!$A:$Z,14,FALSE)+VLOOKUP($A311,A:AL,19,FALSE)-50),"-",(VLOOKUP($A311,'SegEnds_NonXtal_BW#'!$A:$Z,14,FALSE)+VLOOKUP($A311,A:AL,19,FALSE)-50))</f>
        <v>-</v>
      </c>
      <c r="U311" s="9">
        <f>IF(ISERROR(VLOOKUP($A311,'SegEnds_NonXtal_BW#'!$A:$Z,15,FALSE)+VLOOKUP($A311,A:AL,22,FALSE)-50),"-",VLOOKUP($A311,'SegEnds_NonXtal_BW#'!$A:$Z,15,FALSE)+VLOOKUP($A311,A:AL,22,FALSE)-50)</f>
        <v>271</v>
      </c>
      <c r="V311" s="3">
        <v>284</v>
      </c>
      <c r="W311" s="3">
        <f>IF(ISERROR(VLOOKUP($A311,'SegEnds_NonXtal_BW#'!$A:$Z,16,FALSE)+VLOOKUP($A311,A:AL,22,FALSE)-50),"-",(VLOOKUP($A311,'SegEnds_NonXtal_BW#'!$A:$Z,16,FALSE)+VLOOKUP($A311,A:AL,22,FALSE)-50))</f>
        <v>302</v>
      </c>
      <c r="X311" s="3">
        <f>IF(ISERROR(VLOOKUP($A311,'SegEnds_NonXtal_BW#'!$A:$Z,17,FALSE)+VLOOKUP($A311,A:AL,25,FALSE)-50),"-",(VLOOKUP($A311,'SegEnds_NonXtal_BW#'!$A:$Z,17,FALSE)+VLOOKUP($A311,A:AL,25,FALSE)-50))</f>
        <v>306</v>
      </c>
      <c r="Y311" s="3">
        <v>306</v>
      </c>
      <c r="Z311" s="3">
        <f t="shared" si="176"/>
        <v>308</v>
      </c>
      <c r="AA311" s="3">
        <f>IF(ISERROR(VLOOKUP($A311,'SegEnds_NonXtal_BW#'!$A:$Z,19,FALSE)+VLOOKUP($A311,A:AL,28,FALSE)-50),"-",(VLOOKUP($A311,'SegEnds_NonXtal_BW#'!$A:$Z,19,FALSE)+VLOOKUP($A311,A:AL,28,FALSE)-50))</f>
        <v>314</v>
      </c>
      <c r="AB311" s="3">
        <v>325</v>
      </c>
      <c r="AC311" s="3">
        <f>IF(ISERROR((VLOOKUP($A311,'SegEnds_NonXtal_BW#'!$A:$Z,20,FALSE)+VLOOKUP($A311,A:AL,28,FALSE)-50)),"-",(VLOOKUP($A311,'SegEnds_NonXtal_BW#'!$A:$Z,20,FALSE)+VLOOKUP($A311,A:AL,28,FALSE)-50))</f>
        <v>344</v>
      </c>
      <c r="AD311" s="3">
        <f>IF(ISERROR(VLOOKUP($A311,'SegEnds_NonXtal_BW#'!$A:$Z,21,FALSE)+VLOOKUP($A311,A:AL,31,FALSE)-50),"-",(VLOOKUP($A311,'SegEnds_NonXtal_BW#'!$A:$Z,21,FALSE)+VLOOKUP($A311,A:AL,31,FALSE)-50))</f>
        <v>353</v>
      </c>
      <c r="AE311" s="3">
        <v>378</v>
      </c>
      <c r="AF311" s="3">
        <f>IF(ISERROR((VLOOKUP($A311,'SegEnds_NonXtal_BW#'!$A:$Z,22,FALSE)+VLOOKUP($A311,A:AL,31,FALSE)-50)),"-",(VLOOKUP($A311,'SegEnds_NonXtal_BW#'!$A:$Z,22,FALSE)+VLOOKUP($A311,A:AL,31,FALSE)-50))</f>
        <v>382</v>
      </c>
      <c r="AG311" s="3">
        <f>IF(ISERROR(VLOOKUP($A311,'SegEnds_NonXtal_BW#'!$A:$Z,23,FALSE)+VLOOKUP($A311,A:AL,34,FALSE)-50),"-",(VLOOKUP($A311,'SegEnds_NonXtal_BW#'!$A:$Z,23,FALSE)+VLOOKUP($A311,A:AL,34,FALSE)-50))</f>
        <v>388</v>
      </c>
      <c r="AH311" s="3">
        <v>410</v>
      </c>
      <c r="AI311" s="3">
        <f>IF(ISERROR((VLOOKUP($A311,'SegEnds_NonXtal_BW#'!$A:$Z,24,FALSE)+VLOOKUP($A311,A:AL,34,FALSE)-50)),"-",(VLOOKUP($A311,'SegEnds_NonXtal_BW#'!$A:$Z,24,FALSE)+VLOOKUP($A311,A:AL,34,FALSE)-50))</f>
        <v>416</v>
      </c>
      <c r="AJ311" s="3">
        <f>IF(ISERROR(VLOOKUP($A311,'SegEnds_NonXtal_BW#'!$A:$Z,25,FALSE)+VLOOKUP($A311,A:AL,37,FALSE)-50),"-",(VLOOKUP($A311,'SegEnds_NonXtal_BW#'!$A:$Z,25,FALSE)+VLOOKUP($A311,A:AL,37,FALSE)-50))</f>
        <v>417</v>
      </c>
      <c r="AK311" s="3">
        <v>420</v>
      </c>
      <c r="AL311" s="3">
        <f>IF(ISERROR((VLOOKUP($A311,'SegEnds_NonXtal_BW#'!$A:$Z,26,FALSE)+VLOOKUP($A311,A:AL,37,FALSE)-50)),"-",(VLOOKUP($A311,'SegEnds_NonXtal_BW#'!$A:$Z,26,FALSE)+VLOOKUP($A311,A:AL,37,FALSE)-50))</f>
        <v>442</v>
      </c>
      <c r="AM311" s="28" t="str">
        <f>VLOOKUP(A311,Classification!A:B,2,FALSE)</f>
        <v>B1</v>
      </c>
      <c r="AN311" s="28" t="b">
        <f t="shared" si="167"/>
        <v>1</v>
      </c>
      <c r="AO311" s="3" t="str">
        <f>IF(ISERROR(MATCH(A311,'SegEnds_Xtal_Prot#'!B:B, 0)), "NoXtal", "Xtal")</f>
        <v>NoXtal</v>
      </c>
      <c r="AP311" s="3">
        <f t="shared" si="152"/>
        <v>1</v>
      </c>
      <c r="AQ311" s="3">
        <f t="shared" si="153"/>
        <v>1</v>
      </c>
      <c r="AR311" s="3" t="str">
        <f t="shared" si="154"/>
        <v>-</v>
      </c>
      <c r="AS311" s="3" t="str">
        <f t="shared" si="155"/>
        <v>-</v>
      </c>
      <c r="AT311" s="3" t="str">
        <f t="shared" si="156"/>
        <v>-</v>
      </c>
      <c r="AU311" s="3" t="str">
        <f t="shared" si="157"/>
        <v>-</v>
      </c>
      <c r="AV311" s="3">
        <f t="shared" si="158"/>
        <v>4</v>
      </c>
      <c r="AW311" s="3">
        <f t="shared" si="159"/>
        <v>6</v>
      </c>
      <c r="AX311" s="3">
        <f t="shared" si="160"/>
        <v>9</v>
      </c>
      <c r="AY311" s="3">
        <f t="shared" si="161"/>
        <v>6</v>
      </c>
      <c r="AZ311" s="3">
        <f t="shared" si="162"/>
        <v>1</v>
      </c>
      <c r="BA311" s="3">
        <f>IF(ISERROR(LEN(VLOOKUP(A311,Seqs!A:E,2,FALSE))-AL311),"-",LEN(VLOOKUP(A311,Seqs!A:E,2,FALSE))-AL311)</f>
        <v>108</v>
      </c>
      <c r="BB311" s="16">
        <f t="shared" si="163"/>
        <v>28</v>
      </c>
      <c r="BC311" s="9" t="str">
        <f t="shared" si="164"/>
        <v>-</v>
      </c>
      <c r="BD311" s="3">
        <f t="shared" si="165"/>
        <v>28</v>
      </c>
      <c r="BE311" s="3">
        <f t="shared" si="166"/>
        <v>53</v>
      </c>
    </row>
    <row r="312" spans="1:58" s="3" customFormat="1" x14ac:dyDescent="0.2">
      <c r="A312" s="3" t="s">
        <v>411</v>
      </c>
      <c r="B312" s="3" t="str">
        <f>LOWER(VLOOKUP(A312,Xtal_Templ!A:B,2,FALSE))</f>
        <v>pth1r_human</v>
      </c>
      <c r="C312" s="3">
        <f>VLOOKUP($A312,'SegEnds_NonXtal_BW#'!$A:$Z,3,FALSE)+D312-50</f>
        <v>134</v>
      </c>
      <c r="D312" s="3">
        <v>157</v>
      </c>
      <c r="E312" s="3">
        <f>IF(ISERROR(VLOOKUP($A312,'SegEnds_NonXtal_BW#'!$A:$Z,4,FALSE)+VLOOKUP($A312,A:AL,4,FALSE)-50),"-",(VLOOKUP($A312,'SegEnds_NonXtal_BW#'!$A:$Z,4,FALSE)+VLOOKUP($A312,A:AL,4,FALSE)-50))</f>
        <v>167</v>
      </c>
      <c r="F312" s="3">
        <f t="shared" si="171"/>
        <v>168</v>
      </c>
      <c r="G312" s="3">
        <v>170</v>
      </c>
      <c r="H312" s="3">
        <f t="shared" si="177"/>
        <v>171</v>
      </c>
      <c r="I312" s="3">
        <f t="shared" si="177"/>
        <v>172</v>
      </c>
      <c r="J312" s="3">
        <v>185</v>
      </c>
      <c r="K312" s="3">
        <f>VLOOKUP($A312,'SegEnds_NonXtal_BW#'!$A:$Z,8,FALSE)+VLOOKUP($A312,A:AL,10,FALSE)-50</f>
        <v>199</v>
      </c>
      <c r="L312" s="3" t="str">
        <f>IF(ISERROR(VLOOKUP($A312,'SegEnds_NonXtal_BW#'!$A:$Z,9,FALSE)+VLOOKUP($A312,A:AL,13,FALSE)-50),"-",(VLOOKUP($A312,'SegEnds_NonXtal_BW#'!$A:$Z,9,FALSE)+VLOOKUP($A312,A:AL,13,FALSE)-50))</f>
        <v>-</v>
      </c>
      <c r="M312" s="3" t="s">
        <v>23</v>
      </c>
      <c r="N312" s="3" t="str">
        <f>IF(ISERROR(VLOOKUP($A312,'SegEnds_NonXtal_BW#'!$A:$Z,10,FALSE)+VLOOKUP($A312,A:AL,13,FALSE)-50),"-",(VLOOKUP($A312,'SegEnds_NonXtal_BW#'!$A:$Z,10,FALSE)+VLOOKUP($A312,A:AL,13,FALSE)-50))</f>
        <v>-</v>
      </c>
      <c r="O312" s="3">
        <f>VLOOKUP($A312,'SegEnds_NonXtal_BW#'!$A:$Z,11,FALSE)+VLOOKUP($A312,A:AL,16,FALSE)-50</f>
        <v>213</v>
      </c>
      <c r="P312" s="3">
        <v>240</v>
      </c>
      <c r="Q312" s="3">
        <f>VLOOKUP($A312,'SegEnds_NonXtal_BW#'!$A:$Z,12,FALSE)+VLOOKUP($A312,A:AL,16,FALSE)-50</f>
        <v>246</v>
      </c>
      <c r="R312" s="3" t="str">
        <f>IF(ISERROR(VLOOKUP($A312,'SegEnds_NonXtal_BW#'!$A:$Z,13,FALSE)+VLOOKUP($A312,A:AL,19,FALSE)-50),"-",VLOOKUP($A312,'SegEnds_NonXtal_BW#'!$A:$Z,13,FALSE)+VLOOKUP($A312,A:AL,19,FALSE)-50)</f>
        <v>-</v>
      </c>
      <c r="S312" s="3" t="s">
        <v>23</v>
      </c>
      <c r="T312" s="100" t="str">
        <f>IF(ISERROR(VLOOKUP($A312,'SegEnds_NonXtal_BW#'!$A:$Z,14,FALSE)+VLOOKUP($A312,A:AL,19,FALSE)-50),"-",(VLOOKUP($A312,'SegEnds_NonXtal_BW#'!$A:$Z,14,FALSE)+VLOOKUP($A312,A:AL,19,FALSE)-50))</f>
        <v>-</v>
      </c>
      <c r="U312" s="9">
        <f>IF(ISERROR(VLOOKUP($A312,'SegEnds_NonXtal_BW#'!$A:$Z,15,FALSE)+VLOOKUP($A312,A:AL,22,FALSE)-50),"-",VLOOKUP($A312,'SegEnds_NonXtal_BW#'!$A:$Z,15,FALSE)+VLOOKUP($A312,A:AL,22,FALSE)-50)</f>
        <v>250</v>
      </c>
      <c r="V312" s="3">
        <v>263</v>
      </c>
      <c r="W312" s="3">
        <f>IF(ISERROR(VLOOKUP($A312,'SegEnds_NonXtal_BW#'!$A:$Z,16,FALSE)+VLOOKUP($A312,A:AL,22,FALSE)-50),"-",(VLOOKUP($A312,'SegEnds_NonXtal_BW#'!$A:$Z,16,FALSE)+VLOOKUP($A312,A:AL,22,FALSE)-50))</f>
        <v>281</v>
      </c>
      <c r="X312" s="3">
        <f>IF(ISERROR(VLOOKUP($A312,'SegEnds_NonXtal_BW#'!$A:$Z,17,FALSE)+VLOOKUP($A312,A:AL,25,FALSE)-50),"-",(VLOOKUP($A312,'SegEnds_NonXtal_BW#'!$A:$Z,17,FALSE)+VLOOKUP($A312,A:AL,25,FALSE)-50))</f>
        <v>285</v>
      </c>
      <c r="Y312" s="3">
        <v>285</v>
      </c>
      <c r="Z312" s="3">
        <f t="shared" si="176"/>
        <v>287</v>
      </c>
      <c r="AA312" s="3">
        <f>IF(ISERROR(VLOOKUP($A312,'SegEnds_NonXtal_BW#'!$A:$Z,19,FALSE)+VLOOKUP($A312,A:AL,28,FALSE)-50),"-",(VLOOKUP($A312,'SegEnds_NonXtal_BW#'!$A:$Z,19,FALSE)+VLOOKUP($A312,A:AL,28,FALSE)-50))</f>
        <v>294</v>
      </c>
      <c r="AB312" s="3">
        <v>305</v>
      </c>
      <c r="AC312" s="3">
        <f>IF(ISERROR((VLOOKUP($A312,'SegEnds_NonXtal_BW#'!$A:$Z,20,FALSE)+VLOOKUP($A312,A:AL,28,FALSE)-50)),"-",(VLOOKUP($A312,'SegEnds_NonXtal_BW#'!$A:$Z,20,FALSE)+VLOOKUP($A312,A:AL,28,FALSE)-50))</f>
        <v>324</v>
      </c>
      <c r="AD312" s="3">
        <f>IF(ISERROR(VLOOKUP($A312,'SegEnds_NonXtal_BW#'!$A:$Z,21,FALSE)+VLOOKUP($A312,A:AL,31,FALSE)-50),"-",(VLOOKUP($A312,'SegEnds_NonXtal_BW#'!$A:$Z,21,FALSE)+VLOOKUP($A312,A:AL,31,FALSE)-50))</f>
        <v>332</v>
      </c>
      <c r="AE312" s="3">
        <v>357</v>
      </c>
      <c r="AF312" s="3">
        <f>IF(ISERROR((VLOOKUP($A312,'SegEnds_NonXtal_BW#'!$A:$Z,22,FALSE)+VLOOKUP($A312,A:AL,31,FALSE)-50)),"-",(VLOOKUP($A312,'SegEnds_NonXtal_BW#'!$A:$Z,22,FALSE)+VLOOKUP($A312,A:AL,31,FALSE)-50))</f>
        <v>361</v>
      </c>
      <c r="AG312" s="3">
        <f>IF(ISERROR(VLOOKUP($A312,'SegEnds_NonXtal_BW#'!$A:$Z,23,FALSE)+VLOOKUP($A312,A:AL,34,FALSE)-50),"-",(VLOOKUP($A312,'SegEnds_NonXtal_BW#'!$A:$Z,23,FALSE)+VLOOKUP($A312,A:AL,34,FALSE)-50))</f>
        <v>366</v>
      </c>
      <c r="AH312" s="3">
        <v>385</v>
      </c>
      <c r="AI312" s="3">
        <f>IF(ISERROR((VLOOKUP($A312,'SegEnds_NonXtal_BW#'!$A:$Z,24,FALSE)+VLOOKUP($A312,A:AL,34,FALSE)-50)),"-",(VLOOKUP($A312,'SegEnds_NonXtal_BW#'!$A:$Z,24,FALSE)+VLOOKUP($A312,A:AL,34,FALSE)-50))</f>
        <v>391</v>
      </c>
      <c r="AJ312" s="3">
        <f>IF(ISERROR(VLOOKUP($A312,'SegEnds_NonXtal_BW#'!$A:$Z,25,FALSE)+VLOOKUP($A312,A:AL,37,FALSE)-50),"-",(VLOOKUP($A312,'SegEnds_NonXtal_BW#'!$A:$Z,25,FALSE)+VLOOKUP($A312,A:AL,37,FALSE)-50))</f>
        <v>392</v>
      </c>
      <c r="AK312" s="3">
        <v>395</v>
      </c>
      <c r="AL312" s="3">
        <f>IF(ISERROR((VLOOKUP($A312,'SegEnds_NonXtal_BW#'!$A:$Z,26,FALSE)+VLOOKUP($A312,A:AL,37,FALSE)-50)),"-",(VLOOKUP($A312,'SegEnds_NonXtal_BW#'!$A:$Z,26,FALSE)+VLOOKUP($A312,A:AL,37,FALSE)-50))</f>
        <v>417</v>
      </c>
      <c r="AM312" s="28" t="str">
        <f>VLOOKUP(A312,Classification!A:B,2,FALSE)</f>
        <v>B1</v>
      </c>
      <c r="AN312" s="28" t="b">
        <f t="shared" si="167"/>
        <v>1</v>
      </c>
      <c r="AO312" s="3" t="str">
        <f>IF(ISERROR(MATCH(A312,'SegEnds_Xtal_Prot#'!B:B, 0)), "NoXtal", "Xtal")</f>
        <v>NoXtal</v>
      </c>
      <c r="AP312" s="3">
        <f t="shared" si="152"/>
        <v>1</v>
      </c>
      <c r="AQ312" s="3">
        <f t="shared" si="153"/>
        <v>1</v>
      </c>
      <c r="AR312" s="3" t="str">
        <f t="shared" si="154"/>
        <v>-</v>
      </c>
      <c r="AS312" s="3" t="str">
        <f t="shared" si="155"/>
        <v>-</v>
      </c>
      <c r="AT312" s="3" t="str">
        <f t="shared" si="156"/>
        <v>-</v>
      </c>
      <c r="AU312" s="3" t="str">
        <f t="shared" si="157"/>
        <v>-</v>
      </c>
      <c r="AV312" s="3">
        <f t="shared" si="158"/>
        <v>4</v>
      </c>
      <c r="AW312" s="3">
        <f t="shared" si="159"/>
        <v>7</v>
      </c>
      <c r="AX312" s="3">
        <f t="shared" si="160"/>
        <v>8</v>
      </c>
      <c r="AY312" s="3">
        <f t="shared" si="161"/>
        <v>5</v>
      </c>
      <c r="AZ312" s="3">
        <f t="shared" si="162"/>
        <v>1</v>
      </c>
      <c r="BA312" s="3">
        <f>IF(ISERROR(LEN(VLOOKUP(A312,Seqs!A:E,2,FALSE))-AL312),"-",LEN(VLOOKUP(A312,Seqs!A:E,2,FALSE))-AL312)</f>
        <v>23</v>
      </c>
      <c r="BB312" s="16">
        <f t="shared" si="163"/>
        <v>28</v>
      </c>
      <c r="BC312" s="9" t="str">
        <f t="shared" si="164"/>
        <v>-</v>
      </c>
      <c r="BD312" s="3">
        <f t="shared" si="165"/>
        <v>28</v>
      </c>
      <c r="BE312" s="3">
        <f t="shared" si="166"/>
        <v>52</v>
      </c>
      <c r="BF312" s="3">
        <f>AH312-AE312</f>
        <v>28</v>
      </c>
    </row>
    <row r="313" spans="1:58" s="3" customFormat="1" x14ac:dyDescent="0.2">
      <c r="A313" s="3" t="s">
        <v>412</v>
      </c>
      <c r="B313" s="3" t="str">
        <f>LOWER(VLOOKUP(A313,Xtal_Templ!A:B,2,FALSE))</f>
        <v>pth1r_human</v>
      </c>
      <c r="C313" s="3">
        <f>VLOOKUP($A313,'SegEnds_NonXtal_BW#'!$A:$Z,3,FALSE)+D313-50</f>
        <v>134</v>
      </c>
      <c r="D313" s="3">
        <v>157</v>
      </c>
      <c r="E313" s="3">
        <f>IF(ISERROR(VLOOKUP($A313,'SegEnds_NonXtal_BW#'!$A:$Z,4,FALSE)+VLOOKUP($A313,A:AL,4,FALSE)-50),"-",(VLOOKUP($A313,'SegEnds_NonXtal_BW#'!$A:$Z,4,FALSE)+VLOOKUP($A313,A:AL,4,FALSE)-50))</f>
        <v>167</v>
      </c>
      <c r="F313" s="3">
        <f t="shared" si="171"/>
        <v>168</v>
      </c>
      <c r="G313" s="3">
        <v>170</v>
      </c>
      <c r="H313" s="3">
        <f t="shared" si="177"/>
        <v>171</v>
      </c>
      <c r="I313" s="3">
        <f t="shared" si="177"/>
        <v>172</v>
      </c>
      <c r="J313" s="3">
        <v>185</v>
      </c>
      <c r="K313" s="3">
        <f>VLOOKUP($A313,'SegEnds_NonXtal_BW#'!$A:$Z,8,FALSE)+VLOOKUP($A313,A:AL,10,FALSE)-50</f>
        <v>199</v>
      </c>
      <c r="L313" s="3" t="str">
        <f>IF(ISERROR(VLOOKUP($A313,'SegEnds_NonXtal_BW#'!$A:$Z,9,FALSE)+VLOOKUP($A313,A:AL,13,FALSE)-50),"-",(VLOOKUP($A313,'SegEnds_NonXtal_BW#'!$A:$Z,9,FALSE)+VLOOKUP($A313,A:AL,13,FALSE)-50))</f>
        <v>-</v>
      </c>
      <c r="M313" s="3" t="s">
        <v>23</v>
      </c>
      <c r="N313" s="3" t="str">
        <f>IF(ISERROR(VLOOKUP($A313,'SegEnds_NonXtal_BW#'!$A:$Z,10,FALSE)+VLOOKUP($A313,A:AL,13,FALSE)-50),"-",(VLOOKUP($A313,'SegEnds_NonXtal_BW#'!$A:$Z,10,FALSE)+VLOOKUP($A313,A:AL,13,FALSE)-50))</f>
        <v>-</v>
      </c>
      <c r="O313" s="3">
        <f>VLOOKUP($A313,'SegEnds_NonXtal_BW#'!$A:$Z,11,FALSE)+VLOOKUP($A313,A:AL,16,FALSE)-50</f>
        <v>213</v>
      </c>
      <c r="P313" s="3">
        <v>240</v>
      </c>
      <c r="Q313" s="3">
        <f>VLOOKUP($A313,'SegEnds_NonXtal_BW#'!$A:$Z,12,FALSE)+VLOOKUP($A313,A:AL,16,FALSE)-50</f>
        <v>246</v>
      </c>
      <c r="R313" s="3" t="str">
        <f>IF(ISERROR(VLOOKUP($A313,'SegEnds_NonXtal_BW#'!$A:$Z,13,FALSE)+VLOOKUP($A313,A:AL,19,FALSE)-50),"-",VLOOKUP($A313,'SegEnds_NonXtal_BW#'!$A:$Z,13,FALSE)+VLOOKUP($A313,A:AL,19,FALSE)-50)</f>
        <v>-</v>
      </c>
      <c r="S313" s="3" t="s">
        <v>23</v>
      </c>
      <c r="T313" s="100" t="str">
        <f>IF(ISERROR(VLOOKUP($A313,'SegEnds_NonXtal_BW#'!$A:$Z,14,FALSE)+VLOOKUP($A313,A:AL,19,FALSE)-50),"-",(VLOOKUP($A313,'SegEnds_NonXtal_BW#'!$A:$Z,14,FALSE)+VLOOKUP($A313,A:AL,19,FALSE)-50))</f>
        <v>-</v>
      </c>
      <c r="U313" s="9">
        <f>IF(ISERROR(VLOOKUP($A313,'SegEnds_NonXtal_BW#'!$A:$Z,15,FALSE)+VLOOKUP($A313,A:AL,22,FALSE)-50),"-",VLOOKUP($A313,'SegEnds_NonXtal_BW#'!$A:$Z,15,FALSE)+VLOOKUP($A313,A:AL,22,FALSE)-50)</f>
        <v>250</v>
      </c>
      <c r="V313" s="3">
        <v>263</v>
      </c>
      <c r="W313" s="3">
        <f>IF(ISERROR(VLOOKUP($A313,'SegEnds_NonXtal_BW#'!$A:$Z,16,FALSE)+VLOOKUP($A313,A:AL,22,FALSE)-50),"-",(VLOOKUP($A313,'SegEnds_NonXtal_BW#'!$A:$Z,16,FALSE)+VLOOKUP($A313,A:AL,22,FALSE)-50))</f>
        <v>281</v>
      </c>
      <c r="X313" s="3">
        <f>IF(ISERROR(VLOOKUP($A313,'SegEnds_NonXtal_BW#'!$A:$Z,17,FALSE)+VLOOKUP($A313,A:AL,25,FALSE)-50),"-",(VLOOKUP($A313,'SegEnds_NonXtal_BW#'!$A:$Z,17,FALSE)+VLOOKUP($A313,A:AL,25,FALSE)-50))</f>
        <v>285</v>
      </c>
      <c r="Y313" s="3">
        <v>285</v>
      </c>
      <c r="Z313" s="3">
        <f t="shared" si="176"/>
        <v>287</v>
      </c>
      <c r="AA313" s="3">
        <f>IF(ISERROR(VLOOKUP($A313,'SegEnds_NonXtal_BW#'!$A:$Z,19,FALSE)+VLOOKUP($A313,A:AL,28,FALSE)-50),"-",(VLOOKUP($A313,'SegEnds_NonXtal_BW#'!$A:$Z,19,FALSE)+VLOOKUP($A313,A:AL,28,FALSE)-50))</f>
        <v>293</v>
      </c>
      <c r="AB313" s="3">
        <v>304</v>
      </c>
      <c r="AC313" s="3">
        <f>IF(ISERROR((VLOOKUP($A313,'SegEnds_NonXtal_BW#'!$A:$Z,20,FALSE)+VLOOKUP($A313,A:AL,28,FALSE)-50)),"-",(VLOOKUP($A313,'SegEnds_NonXtal_BW#'!$A:$Z,20,FALSE)+VLOOKUP($A313,A:AL,28,FALSE)-50))</f>
        <v>323</v>
      </c>
      <c r="AD313" s="3">
        <f>IF(ISERROR(VLOOKUP($A313,'SegEnds_NonXtal_BW#'!$A:$Z,21,FALSE)+VLOOKUP($A313,A:AL,31,FALSE)-50),"-",(VLOOKUP($A313,'SegEnds_NonXtal_BW#'!$A:$Z,21,FALSE)+VLOOKUP($A313,A:AL,31,FALSE)-50))</f>
        <v>331</v>
      </c>
      <c r="AE313" s="3">
        <v>356</v>
      </c>
      <c r="AF313" s="3">
        <f>IF(ISERROR((VLOOKUP($A313,'SegEnds_NonXtal_BW#'!$A:$Z,22,FALSE)+VLOOKUP($A313,A:AL,31,FALSE)-50)),"-",(VLOOKUP($A313,'SegEnds_NonXtal_BW#'!$A:$Z,22,FALSE)+VLOOKUP($A313,A:AL,31,FALSE)-50))</f>
        <v>360</v>
      </c>
      <c r="AG313" s="3">
        <f>IF(ISERROR(VLOOKUP($A313,'SegEnds_NonXtal_BW#'!$A:$Z,23,FALSE)+VLOOKUP($A313,A:AL,34,FALSE)-50),"-",(VLOOKUP($A313,'SegEnds_NonXtal_BW#'!$A:$Z,23,FALSE)+VLOOKUP($A313,A:AL,34,FALSE)-50))</f>
        <v>366</v>
      </c>
      <c r="AH313" s="3">
        <v>385</v>
      </c>
      <c r="AI313" s="3">
        <f>IF(ISERROR((VLOOKUP($A313,'SegEnds_NonXtal_BW#'!$A:$Z,24,FALSE)+VLOOKUP($A313,A:AL,34,FALSE)-50)),"-",(VLOOKUP($A313,'SegEnds_NonXtal_BW#'!$A:$Z,24,FALSE)+VLOOKUP($A313,A:AL,34,FALSE)-50))</f>
        <v>391</v>
      </c>
      <c r="AJ313" s="3">
        <f>IF(ISERROR(VLOOKUP($A313,'SegEnds_NonXtal_BW#'!$A:$Z,25,FALSE)+VLOOKUP($A313,A:AL,37,FALSE)-50),"-",(VLOOKUP($A313,'SegEnds_NonXtal_BW#'!$A:$Z,25,FALSE)+VLOOKUP($A313,A:AL,37,FALSE)-50))</f>
        <v>392</v>
      </c>
      <c r="AK313" s="3">
        <v>395</v>
      </c>
      <c r="AL313" s="3">
        <f>IF(ISERROR((VLOOKUP($A313,'SegEnds_NonXtal_BW#'!$A:$Z,26,FALSE)+VLOOKUP($A313,A:AL,37,FALSE)-50)),"-",(VLOOKUP($A313,'SegEnds_NonXtal_BW#'!$A:$Z,26,FALSE)+VLOOKUP($A313,A:AL,37,FALSE)-50))</f>
        <v>417</v>
      </c>
      <c r="AM313" s="28" t="str">
        <f>VLOOKUP(A313,Classification!A:B,2,FALSE)</f>
        <v>B1</v>
      </c>
      <c r="AN313" s="28" t="b">
        <f t="shared" si="167"/>
        <v>1</v>
      </c>
      <c r="AO313" s="3" t="str">
        <f>IF(ISERROR(MATCH(A313,'SegEnds_Xtal_Prot#'!B:B, 0)), "NoXtal", "Xtal")</f>
        <v>NoXtal</v>
      </c>
      <c r="AP313" s="3">
        <f t="shared" si="152"/>
        <v>1</v>
      </c>
      <c r="AQ313" s="3">
        <f t="shared" si="153"/>
        <v>1</v>
      </c>
      <c r="AR313" s="3" t="str">
        <f t="shared" si="154"/>
        <v>-</v>
      </c>
      <c r="AS313" s="3" t="str">
        <f t="shared" si="155"/>
        <v>-</v>
      </c>
      <c r="AT313" s="3" t="str">
        <f t="shared" si="156"/>
        <v>-</v>
      </c>
      <c r="AU313" s="3" t="str">
        <f t="shared" si="157"/>
        <v>-</v>
      </c>
      <c r="AV313" s="3">
        <f t="shared" si="158"/>
        <v>4</v>
      </c>
      <c r="AW313" s="3">
        <f t="shared" si="159"/>
        <v>6</v>
      </c>
      <c r="AX313" s="3">
        <f t="shared" si="160"/>
        <v>8</v>
      </c>
      <c r="AY313" s="3">
        <f t="shared" si="161"/>
        <v>6</v>
      </c>
      <c r="AZ313" s="3">
        <f t="shared" si="162"/>
        <v>1</v>
      </c>
      <c r="BA313" s="3">
        <f>IF(ISERROR(LEN(VLOOKUP(A313,Seqs!A:E,2,FALSE))-AL313),"-",LEN(VLOOKUP(A313,Seqs!A:E,2,FALSE))-AL313)</f>
        <v>40</v>
      </c>
      <c r="BB313" s="16">
        <f t="shared" si="163"/>
        <v>28</v>
      </c>
      <c r="BC313" s="9" t="str">
        <f t="shared" si="164"/>
        <v>-</v>
      </c>
      <c r="BD313" s="3">
        <f t="shared" si="165"/>
        <v>28</v>
      </c>
      <c r="BE313" s="3">
        <f t="shared" si="166"/>
        <v>52</v>
      </c>
    </row>
    <row r="314" spans="1:58" s="3" customFormat="1" x14ac:dyDescent="0.2">
      <c r="A314" s="3" t="s">
        <v>413</v>
      </c>
      <c r="B314" s="3" t="str">
        <f>LOWER(VLOOKUP(A314,Xtal_Templ!A:B,2,FALSE))</f>
        <v>pth1r_human</v>
      </c>
      <c r="C314" s="3">
        <f>VLOOKUP($A314,'SegEnds_NonXtal_BW#'!$A:$Z,3,FALSE)+D314-50</f>
        <v>118</v>
      </c>
      <c r="D314" s="3">
        <v>141</v>
      </c>
      <c r="E314" s="3">
        <f>IF(ISERROR(VLOOKUP($A314,'SegEnds_NonXtal_BW#'!$A:$Z,4,FALSE)+VLOOKUP($A314,A:AL,4,FALSE)-50),"-",(VLOOKUP($A314,'SegEnds_NonXtal_BW#'!$A:$Z,4,FALSE)+VLOOKUP($A314,A:AL,4,FALSE)-50))</f>
        <v>151</v>
      </c>
      <c r="F314" s="3">
        <f t="shared" si="171"/>
        <v>152</v>
      </c>
      <c r="G314" s="3">
        <v>154</v>
      </c>
      <c r="H314" s="3">
        <f t="shared" si="177"/>
        <v>155</v>
      </c>
      <c r="I314" s="3">
        <f t="shared" si="177"/>
        <v>156</v>
      </c>
      <c r="J314" s="3">
        <v>169</v>
      </c>
      <c r="K314" s="3">
        <f>VLOOKUP($A314,'SegEnds_NonXtal_BW#'!$A:$Z,8,FALSE)+VLOOKUP($A314,A:AL,10,FALSE)-50</f>
        <v>183</v>
      </c>
      <c r="L314" s="3" t="str">
        <f>IF(ISERROR(VLOOKUP($A314,'SegEnds_NonXtal_BW#'!$A:$Z,9,FALSE)+VLOOKUP($A314,A:AL,13,FALSE)-50),"-",(VLOOKUP($A314,'SegEnds_NonXtal_BW#'!$A:$Z,9,FALSE)+VLOOKUP($A314,A:AL,13,FALSE)-50))</f>
        <v>-</v>
      </c>
      <c r="M314" s="3" t="s">
        <v>23</v>
      </c>
      <c r="N314" s="3" t="str">
        <f>IF(ISERROR(VLOOKUP($A314,'SegEnds_NonXtal_BW#'!$A:$Z,10,FALSE)+VLOOKUP($A314,A:AL,13,FALSE)-50),"-",(VLOOKUP($A314,'SegEnds_NonXtal_BW#'!$A:$Z,10,FALSE)+VLOOKUP($A314,A:AL,13,FALSE)-50))</f>
        <v>-</v>
      </c>
      <c r="O314" s="3">
        <f>VLOOKUP($A314,'SegEnds_NonXtal_BW#'!$A:$Z,11,FALSE)+VLOOKUP($A314,A:AL,16,FALSE)-50</f>
        <v>200</v>
      </c>
      <c r="P314" s="3">
        <v>227</v>
      </c>
      <c r="Q314" s="3">
        <f>VLOOKUP($A314,'SegEnds_NonXtal_BW#'!$A:$Z,12,FALSE)+VLOOKUP($A314,A:AL,16,FALSE)-50</f>
        <v>233</v>
      </c>
      <c r="R314" s="3" t="str">
        <f>IF(ISERROR(VLOOKUP($A314,'SegEnds_NonXtal_BW#'!$A:$Z,13,FALSE)+VLOOKUP($A314,A:AL,19,FALSE)-50),"-",VLOOKUP($A314,'SegEnds_NonXtal_BW#'!$A:$Z,13,FALSE)+VLOOKUP($A314,A:AL,19,FALSE)-50)</f>
        <v>-</v>
      </c>
      <c r="S314" s="3" t="s">
        <v>23</v>
      </c>
      <c r="T314" s="100" t="str">
        <f>IF(ISERROR(VLOOKUP($A314,'SegEnds_NonXtal_BW#'!$A:$Z,14,FALSE)+VLOOKUP($A314,A:AL,19,FALSE)-50),"-",(VLOOKUP($A314,'SegEnds_NonXtal_BW#'!$A:$Z,14,FALSE)+VLOOKUP($A314,A:AL,19,FALSE)-50))</f>
        <v>-</v>
      </c>
      <c r="U314" s="9">
        <f>IF(ISERROR(VLOOKUP($A314,'SegEnds_NonXtal_BW#'!$A:$Z,15,FALSE)+VLOOKUP($A314,A:AL,22,FALSE)-50),"-",VLOOKUP($A314,'SegEnds_NonXtal_BW#'!$A:$Z,15,FALSE)+VLOOKUP($A314,A:AL,22,FALSE)-50)</f>
        <v>236</v>
      </c>
      <c r="V314" s="3">
        <v>249</v>
      </c>
      <c r="W314" s="3">
        <f>IF(ISERROR(VLOOKUP($A314,'SegEnds_NonXtal_BW#'!$A:$Z,16,FALSE)+VLOOKUP($A314,A:AL,22,FALSE)-50),"-",(VLOOKUP($A314,'SegEnds_NonXtal_BW#'!$A:$Z,16,FALSE)+VLOOKUP($A314,A:AL,22,FALSE)-50))</f>
        <v>267</v>
      </c>
      <c r="X314" s="3">
        <f>IF(ISERROR(VLOOKUP($A314,'SegEnds_NonXtal_BW#'!$A:$Z,17,FALSE)+VLOOKUP($A314,A:AL,25,FALSE)-50),"-",(VLOOKUP($A314,'SegEnds_NonXtal_BW#'!$A:$Z,17,FALSE)+VLOOKUP($A314,A:AL,25,FALSE)-50))</f>
        <v>271</v>
      </c>
      <c r="Y314" s="3">
        <v>271</v>
      </c>
      <c r="Z314" s="3">
        <f t="shared" si="176"/>
        <v>273</v>
      </c>
      <c r="AA314" s="3">
        <f>IF(ISERROR(VLOOKUP($A314,'SegEnds_NonXtal_BW#'!$A:$Z,19,FALSE)+VLOOKUP($A314,A:AL,28,FALSE)-50),"-",(VLOOKUP($A314,'SegEnds_NonXtal_BW#'!$A:$Z,19,FALSE)+VLOOKUP($A314,A:AL,28,FALSE)-50))</f>
        <v>280</v>
      </c>
      <c r="AB314" s="3">
        <v>291</v>
      </c>
      <c r="AC314" s="3">
        <f>IF(ISERROR((VLOOKUP($A314,'SegEnds_NonXtal_BW#'!$A:$Z,20,FALSE)+VLOOKUP($A314,A:AL,28,FALSE)-50)),"-",(VLOOKUP($A314,'SegEnds_NonXtal_BW#'!$A:$Z,20,FALSE)+VLOOKUP($A314,A:AL,28,FALSE)-50))</f>
        <v>310</v>
      </c>
      <c r="AD314" s="3">
        <f>IF(ISERROR(VLOOKUP($A314,'SegEnds_NonXtal_BW#'!$A:$Z,21,FALSE)+VLOOKUP($A314,A:AL,31,FALSE)-50),"-",(VLOOKUP($A314,'SegEnds_NonXtal_BW#'!$A:$Z,21,FALSE)+VLOOKUP($A314,A:AL,31,FALSE)-50))</f>
        <v>318</v>
      </c>
      <c r="AE314" s="3">
        <v>343</v>
      </c>
      <c r="AF314" s="3">
        <f>IF(ISERROR((VLOOKUP($A314,'SegEnds_NonXtal_BW#'!$A:$Z,22,FALSE)+VLOOKUP($A314,A:AL,31,FALSE)-50)),"-",(VLOOKUP($A314,'SegEnds_NonXtal_BW#'!$A:$Z,22,FALSE)+VLOOKUP($A314,A:AL,31,FALSE)-50))</f>
        <v>347</v>
      </c>
      <c r="AG314" s="3">
        <f>IF(ISERROR(VLOOKUP($A314,'SegEnds_NonXtal_BW#'!$A:$Z,23,FALSE)+VLOOKUP($A314,A:AL,34,FALSE)-50),"-",(VLOOKUP($A314,'SegEnds_NonXtal_BW#'!$A:$Z,23,FALSE)+VLOOKUP($A314,A:AL,34,FALSE)-50))</f>
        <v>353</v>
      </c>
      <c r="AH314" s="3">
        <v>372</v>
      </c>
      <c r="AI314" s="3">
        <f>IF(ISERROR((VLOOKUP($A314,'SegEnds_NonXtal_BW#'!$A:$Z,24,FALSE)+VLOOKUP($A314,A:AL,34,FALSE)-50)),"-",(VLOOKUP($A314,'SegEnds_NonXtal_BW#'!$A:$Z,24,FALSE)+VLOOKUP($A314,A:AL,34,FALSE)-50))</f>
        <v>378</v>
      </c>
      <c r="AJ314" s="3">
        <f>IF(ISERROR(VLOOKUP($A314,'SegEnds_NonXtal_BW#'!$A:$Z,25,FALSE)+VLOOKUP($A314,A:AL,37,FALSE)-50),"-",(VLOOKUP($A314,'SegEnds_NonXtal_BW#'!$A:$Z,25,FALSE)+VLOOKUP($A314,A:AL,37,FALSE)-50))</f>
        <v>379</v>
      </c>
      <c r="AK314" s="3">
        <v>382</v>
      </c>
      <c r="AL314" s="3">
        <f>IF(ISERROR((VLOOKUP($A314,'SegEnds_NonXtal_BW#'!$A:$Z,26,FALSE)+VLOOKUP($A314,A:AL,37,FALSE)-50)),"-",(VLOOKUP($A314,'SegEnds_NonXtal_BW#'!$A:$Z,26,FALSE)+VLOOKUP($A314,A:AL,37,FALSE)-50))</f>
        <v>404</v>
      </c>
      <c r="AM314" s="28" t="str">
        <f>VLOOKUP(A314,Classification!A:B,2,FALSE)</f>
        <v>B1</v>
      </c>
      <c r="AN314" s="28" t="b">
        <f t="shared" si="167"/>
        <v>1</v>
      </c>
      <c r="AO314" s="3" t="str">
        <f>IF(ISERROR(MATCH(A314,'SegEnds_Xtal_Prot#'!B:B, 0)), "NoXtal", "Xtal")</f>
        <v>NoXtal</v>
      </c>
      <c r="AP314" s="3">
        <f t="shared" si="152"/>
        <v>1</v>
      </c>
      <c r="AQ314" s="3">
        <f t="shared" si="153"/>
        <v>1</v>
      </c>
      <c r="AR314" s="3" t="str">
        <f t="shared" si="154"/>
        <v>-</v>
      </c>
      <c r="AS314" s="3" t="str">
        <f t="shared" si="155"/>
        <v>-</v>
      </c>
      <c r="AT314" s="3" t="str">
        <f t="shared" si="156"/>
        <v>-</v>
      </c>
      <c r="AU314" s="3" t="str">
        <f t="shared" si="157"/>
        <v>-</v>
      </c>
      <c r="AV314" s="3">
        <f t="shared" si="158"/>
        <v>4</v>
      </c>
      <c r="AW314" s="3">
        <f t="shared" si="159"/>
        <v>7</v>
      </c>
      <c r="AX314" s="3">
        <f t="shared" si="160"/>
        <v>8</v>
      </c>
      <c r="AY314" s="3">
        <f t="shared" si="161"/>
        <v>6</v>
      </c>
      <c r="AZ314" s="3">
        <f t="shared" si="162"/>
        <v>1</v>
      </c>
      <c r="BA314" s="3">
        <f>IF(ISERROR(LEN(VLOOKUP(A314,Seqs!A:E,2,FALSE))-AL314),"-",LEN(VLOOKUP(A314,Seqs!A:E,2,FALSE))-AL314)</f>
        <v>34</v>
      </c>
      <c r="BB314" s="16">
        <f t="shared" si="163"/>
        <v>28</v>
      </c>
      <c r="BC314" s="9" t="str">
        <f t="shared" si="164"/>
        <v>-</v>
      </c>
      <c r="BD314" s="3">
        <f t="shared" si="165"/>
        <v>28</v>
      </c>
      <c r="BE314" s="3">
        <f t="shared" si="166"/>
        <v>52</v>
      </c>
    </row>
    <row r="315" spans="1:58" s="3" customFormat="1" x14ac:dyDescent="0.2">
      <c r="A315" s="3" t="s">
        <v>1177</v>
      </c>
      <c r="B315" s="3" t="str">
        <f>LOWER(VLOOKUP(A315,Xtal_Templ!A:B,2,FALSE))</f>
        <v>crfr1_human</v>
      </c>
      <c r="C315" s="3">
        <f>VLOOKUP($A315,'SegEnds_NonXtal_BW#'!$A:$Z,3,FALSE)+D315-50</f>
        <v>8</v>
      </c>
      <c r="D315" s="3">
        <v>35</v>
      </c>
      <c r="E315" s="3">
        <f>IF(ISERROR(VLOOKUP($A315,'SegEnds_NonXtal_BW#'!$A:$Z,4,FALSE)+VLOOKUP($A315,A:AL,4,FALSE)-50),"-",(VLOOKUP($A315,'SegEnds_NonXtal_BW#'!$A:$Z,4,FALSE)+VLOOKUP($A315,A:AL,4,FALSE)-50))</f>
        <v>45</v>
      </c>
      <c r="F315" s="3" t="s">
        <v>23</v>
      </c>
      <c r="G315" s="3" t="s">
        <v>23</v>
      </c>
      <c r="H315" s="3" t="s">
        <v>23</v>
      </c>
      <c r="I315" s="3">
        <f>VLOOKUP($A315,'SegEnds_NonXtal_BW#'!$A:$Z,7,FALSE)+J315-50</f>
        <v>48</v>
      </c>
      <c r="J315" s="3">
        <v>61</v>
      </c>
      <c r="K315" s="3">
        <f>VLOOKUP($A315,'SegEnds_NonXtal_BW#'!$A:$Z,8,FALSE)+VLOOKUP($A315,A:AL,10,FALSE)-50</f>
        <v>74</v>
      </c>
      <c r="L315" s="3" t="str">
        <f>IF(ISERROR(VLOOKUP($A315,'SegEnds_NonXtal_BW#'!$A:$Z,9,FALSE)+VLOOKUP($A315,A:AL,13,FALSE)-50),"-",(VLOOKUP($A315,'SegEnds_NonXtal_BW#'!$A:$Z,9,FALSE)+VLOOKUP($A315,A:AL,13,FALSE)-50))</f>
        <v>-</v>
      </c>
      <c r="M315" s="3" t="s">
        <v>23</v>
      </c>
      <c r="N315" s="3" t="str">
        <f>IF(ISERROR(VLOOKUP($A315,'SegEnds_NonXtal_BW#'!$A:$Z,10,FALSE)+VLOOKUP($A315,A:AL,13,FALSE)-50),"-",(VLOOKUP($A315,'SegEnds_NonXtal_BW#'!$A:$Z,10,FALSE)+VLOOKUP($A315,A:AL,13,FALSE)-50))</f>
        <v>-</v>
      </c>
      <c r="O315" s="3">
        <f>VLOOKUP($A315,'SegEnds_NonXtal_BW#'!$A:$Z,11,FALSE)+VLOOKUP($A315,A:AL,16,FALSE)-50</f>
        <v>81</v>
      </c>
      <c r="P315" s="3">
        <v>108</v>
      </c>
      <c r="Q315" s="3">
        <f>VLOOKUP($A315,'SegEnds_NonXtal_BW#'!$A:$Z,12,FALSE)+VLOOKUP($A315,A:AL,16,FALSE)-50</f>
        <v>114</v>
      </c>
      <c r="R315" s="3" t="str">
        <f>IF(ISERROR(VLOOKUP($A315,'SegEnds_NonXtal_BW#'!$A:$Z,13,FALSE)+VLOOKUP($A315,A:AL,19,FALSE)-50),"-",VLOOKUP($A315,'SegEnds_NonXtal_BW#'!$A:$Z,13,FALSE)+VLOOKUP($A315,A:AL,19,FALSE)-50)</f>
        <v>-</v>
      </c>
      <c r="S315" s="3" t="s">
        <v>23</v>
      </c>
      <c r="T315" s="100" t="str">
        <f>IF(ISERROR(VLOOKUP($A315,'SegEnds_NonXtal_BW#'!$A:$Z,14,FALSE)+VLOOKUP($A315,A:AL,19,FALSE)-50),"-",(VLOOKUP($A315,'SegEnds_NonXtal_BW#'!$A:$Z,14,FALSE)+VLOOKUP($A315,A:AL,19,FALSE)-50))</f>
        <v>-</v>
      </c>
      <c r="U315" s="9">
        <f>IF(ISERROR(VLOOKUP($A315,'SegEnds_NonXtal_BW#'!$A:$Z,15,FALSE)+VLOOKUP($A315,A:AL,22,FALSE)-50),"-",VLOOKUP($A315,'SegEnds_NonXtal_BW#'!$A:$Z,15,FALSE)+VLOOKUP($A315,A:AL,22,FALSE)-50)</f>
        <v>130</v>
      </c>
      <c r="V315" s="3">
        <v>140</v>
      </c>
      <c r="W315" s="3">
        <f>IF(ISERROR(VLOOKUP($A315,'SegEnds_NonXtal_BW#'!$A:$Z,16,FALSE)+VLOOKUP($A315,A:AL,22,FALSE)-50),"-",(VLOOKUP($A315,'SegEnds_NonXtal_BW#'!$A:$Z,16,FALSE)+VLOOKUP($A315,A:AL,22,FALSE)-50))</f>
        <v>158</v>
      </c>
      <c r="X315" s="3">
        <f>IF(ISERROR(VLOOKUP($A315,'SegEnds_NonXtal_BW#'!$A:$Z,17,FALSE)+VLOOKUP($A315,A:AL,25,FALSE)-50),"-",(VLOOKUP($A315,'SegEnds_NonXtal_BW#'!$A:$Z,17,FALSE)+VLOOKUP($A315,A:AL,25,FALSE)-50))</f>
        <v>168</v>
      </c>
      <c r="Y315" s="3">
        <v>168</v>
      </c>
      <c r="Z315" s="3">
        <f t="shared" si="176"/>
        <v>170</v>
      </c>
      <c r="AA315" s="3">
        <f>IF(ISERROR(VLOOKUP($A315,'SegEnds_NonXtal_BW#'!$A:$Z,19,FALSE)+VLOOKUP($A315,A:AL,28,FALSE)-50),"-",(VLOOKUP($A315,'SegEnds_NonXtal_BW#'!$A:$Z,19,FALSE)+VLOOKUP($A315,A:AL,28,FALSE)-50))</f>
        <v>172</v>
      </c>
      <c r="AB315" s="3">
        <v>186</v>
      </c>
      <c r="AC315" s="3">
        <f>IF(ISERROR((VLOOKUP($A315,'SegEnds_NonXtal_BW#'!$A:$Z,20,FALSE)+VLOOKUP($A315,A:AL,28,FALSE)-50)),"-",(VLOOKUP($A315,'SegEnds_NonXtal_BW#'!$A:$Z,20,FALSE)+VLOOKUP($A315,A:AL,28,FALSE)-50))</f>
        <v>205</v>
      </c>
      <c r="AD315" s="3">
        <f>IF(ISERROR(VLOOKUP($A315,'SegEnds_NonXtal_BW#'!$A:$Z,21,FALSE)+VLOOKUP($A315,A:AL,31,FALSE)-50),"-",(VLOOKUP($A315,'SegEnds_NonXtal_BW#'!$A:$Z,21,FALSE)+VLOOKUP($A315,A:AL,31,FALSE)-50))</f>
        <v>251</v>
      </c>
      <c r="AE315" s="3">
        <v>272</v>
      </c>
      <c r="AF315" s="3">
        <f>IF(ISERROR((VLOOKUP($A315,'SegEnds_NonXtal_BW#'!$A:$Z,22,FALSE)+VLOOKUP($A315,A:AL,31,FALSE)-50)),"-",(VLOOKUP($A315,'SegEnds_NonXtal_BW#'!$A:$Z,22,FALSE)+VLOOKUP($A315,A:AL,31,FALSE)-50))</f>
        <v>275</v>
      </c>
      <c r="AG315" s="3">
        <f>IF(ISERROR(VLOOKUP($A315,'SegEnds_NonXtal_BW#'!$A:$Z,23,FALSE)+VLOOKUP($A315,A:AL,34,FALSE)-50),"-",(VLOOKUP($A315,'SegEnds_NonXtal_BW#'!$A:$Z,23,FALSE)+VLOOKUP($A315,A:AL,34,FALSE)-50))</f>
        <v>282</v>
      </c>
      <c r="AH315" s="3">
        <v>303</v>
      </c>
      <c r="AI315" s="3">
        <f>IF(ISERROR((VLOOKUP($A315,'SegEnds_NonXtal_BW#'!$A:$Z,24,FALSE)+VLOOKUP($A315,A:AL,34,FALSE)-50)),"-",(VLOOKUP($A315,'SegEnds_NonXtal_BW#'!$A:$Z,24,FALSE)+VLOOKUP($A315,A:AL,34,FALSE)-50))</f>
        <v>309</v>
      </c>
      <c r="AJ315" s="3">
        <f>IF(ISERROR(VLOOKUP($A315,'SegEnds_NonXtal_BW#'!$A:$Z,25,FALSE)+VLOOKUP($A315,A:AL,37,FALSE)-50),"-",(VLOOKUP($A315,'SegEnds_NonXtal_BW#'!$A:$Z,25,FALSE)+VLOOKUP($A315,A:AL,37,FALSE)-50))</f>
        <v>310</v>
      </c>
      <c r="AK315" s="3">
        <v>313</v>
      </c>
      <c r="AL315" s="3">
        <f>IF(ISERROR((VLOOKUP($A315,'SegEnds_NonXtal_BW#'!$A:$Z,26,FALSE)+VLOOKUP($A315,A:AL,37,FALSE)-50)),"-",(VLOOKUP($A315,'SegEnds_NonXtal_BW#'!$A:$Z,26,FALSE)+VLOOKUP($A315,A:AL,37,FALSE)-50))</f>
        <v>326</v>
      </c>
      <c r="AM315" s="28" t="str">
        <f>VLOOKUP(A315,Classification!A:B,2,FALSE)</f>
        <v>B2</v>
      </c>
      <c r="AN315" s="28" t="b">
        <f t="shared" si="167"/>
        <v>1</v>
      </c>
      <c r="AO315" s="3" t="str">
        <f>IF(ISERROR(MATCH(A315,'SegEnds_Xtal_Prot#'!B:B, 0)), "NoXtal", "Xtal")</f>
        <v>NoXtal</v>
      </c>
      <c r="AP315" s="3" t="str">
        <f t="shared" si="152"/>
        <v>-</v>
      </c>
      <c r="AQ315" s="3" t="str">
        <f t="shared" si="153"/>
        <v>-</v>
      </c>
      <c r="AR315" s="3" t="str">
        <f t="shared" si="154"/>
        <v>-</v>
      </c>
      <c r="AS315" s="3" t="str">
        <f t="shared" si="155"/>
        <v>-</v>
      </c>
      <c r="AT315" s="3" t="str">
        <f t="shared" si="156"/>
        <v>-</v>
      </c>
      <c r="AU315" s="3" t="str">
        <f t="shared" si="157"/>
        <v>-</v>
      </c>
      <c r="AV315" s="3">
        <f t="shared" si="158"/>
        <v>10</v>
      </c>
      <c r="AW315" s="3">
        <f t="shared" si="159"/>
        <v>2</v>
      </c>
      <c r="AX315" s="3">
        <f t="shared" si="160"/>
        <v>46</v>
      </c>
      <c r="AY315" s="3">
        <f t="shared" si="161"/>
        <v>7</v>
      </c>
      <c r="AZ315" s="3">
        <f t="shared" si="162"/>
        <v>1</v>
      </c>
      <c r="BA315" s="3">
        <f>IF(ISERROR(LEN(VLOOKUP(A315,Seqs!A:E,2,FALSE))-AL315),"-",LEN(VLOOKUP(A315,Seqs!A:E,2,FALSE))-AL315)</f>
        <v>234</v>
      </c>
      <c r="BB315" s="16">
        <f t="shared" si="163"/>
        <v>26</v>
      </c>
      <c r="BC315" s="9" t="str">
        <f t="shared" si="164"/>
        <v>-</v>
      </c>
      <c r="BD315" s="3">
        <f t="shared" si="165"/>
        <v>26</v>
      </c>
      <c r="BE315" s="3">
        <f t="shared" si="166"/>
        <v>86</v>
      </c>
    </row>
    <row r="316" spans="1:58" s="3" customFormat="1" x14ac:dyDescent="0.2">
      <c r="A316" s="3" t="s">
        <v>1178</v>
      </c>
      <c r="B316" s="3" t="str">
        <f>LOWER(VLOOKUP(A316,Xtal_Templ!A:B,2,FALSE))</f>
        <v>crfr1_human</v>
      </c>
      <c r="C316" s="3">
        <f>VLOOKUP($A316,'SegEnds_NonXtal_BW#'!$A:$Z,3,FALSE)+D316-50</f>
        <v>760</v>
      </c>
      <c r="D316" s="3">
        <v>787</v>
      </c>
      <c r="E316" s="3">
        <f>IF(ISERROR(VLOOKUP($A316,'SegEnds_NonXtal_BW#'!$A:$Z,4,FALSE)+VLOOKUP($A316,A:AL,4,FALSE)-50),"-",(VLOOKUP($A316,'SegEnds_NonXtal_BW#'!$A:$Z,4,FALSE)+VLOOKUP($A316,A:AL,4,FALSE)-50))</f>
        <v>797</v>
      </c>
      <c r="F316" s="3" t="s">
        <v>23</v>
      </c>
      <c r="G316" s="3" t="s">
        <v>23</v>
      </c>
      <c r="H316" s="3" t="s">
        <v>23</v>
      </c>
      <c r="I316" s="3">
        <f>VLOOKUP($A316,'SegEnds_NonXtal_BW#'!$A:$Z,7,FALSE)+J316-50</f>
        <v>800</v>
      </c>
      <c r="J316" s="3">
        <v>813</v>
      </c>
      <c r="K316" s="3">
        <f>VLOOKUP($A316,'SegEnds_NonXtal_BW#'!$A:$Z,8,FALSE)+VLOOKUP($A316,A:AL,10,FALSE)-50</f>
        <v>826</v>
      </c>
      <c r="L316" s="3" t="str">
        <f>IF(ISERROR(VLOOKUP($A316,'SegEnds_NonXtal_BW#'!$A:$Z,9,FALSE)+VLOOKUP($A316,A:AL,13,FALSE)-50),"-",(VLOOKUP($A316,'SegEnds_NonXtal_BW#'!$A:$Z,9,FALSE)+VLOOKUP($A316,A:AL,13,FALSE)-50))</f>
        <v>-</v>
      </c>
      <c r="M316" s="3" t="s">
        <v>23</v>
      </c>
      <c r="N316" s="3" t="str">
        <f>IF(ISERROR(VLOOKUP($A316,'SegEnds_NonXtal_BW#'!$A:$Z,10,FALSE)+VLOOKUP($A316,A:AL,13,FALSE)-50),"-",(VLOOKUP($A316,'SegEnds_NonXtal_BW#'!$A:$Z,10,FALSE)+VLOOKUP($A316,A:AL,13,FALSE)-50))</f>
        <v>-</v>
      </c>
      <c r="O316" s="3">
        <f>VLOOKUP($A316,'SegEnds_NonXtal_BW#'!$A:$Z,11,FALSE)+VLOOKUP($A316,A:AL,16,FALSE)-50</f>
        <v>833</v>
      </c>
      <c r="P316" s="3">
        <v>860</v>
      </c>
      <c r="Q316" s="3">
        <f>VLOOKUP($A316,'SegEnds_NonXtal_BW#'!$A:$Z,12,FALSE)+VLOOKUP($A316,A:AL,16,FALSE)-50</f>
        <v>866</v>
      </c>
      <c r="R316" s="3" t="str">
        <f>IF(ISERROR(VLOOKUP($A316,'SegEnds_NonXtal_BW#'!$A:$Z,13,FALSE)+VLOOKUP($A316,A:AL,19,FALSE)-50),"-",VLOOKUP($A316,'SegEnds_NonXtal_BW#'!$A:$Z,13,FALSE)+VLOOKUP($A316,A:AL,19,FALSE)-50)</f>
        <v>-</v>
      </c>
      <c r="S316" s="3" t="s">
        <v>23</v>
      </c>
      <c r="T316" s="100" t="str">
        <f>IF(ISERROR(VLOOKUP($A316,'SegEnds_NonXtal_BW#'!$A:$Z,14,FALSE)+VLOOKUP($A316,A:AL,19,FALSE)-50),"-",(VLOOKUP($A316,'SegEnds_NonXtal_BW#'!$A:$Z,14,FALSE)+VLOOKUP($A316,A:AL,19,FALSE)-50))</f>
        <v>-</v>
      </c>
      <c r="U316" s="9">
        <f>IF(ISERROR(VLOOKUP($A316,'SegEnds_NonXtal_BW#'!$A:$Z,15,FALSE)+VLOOKUP($A316,A:AL,22,FALSE)-50),"-",VLOOKUP($A316,'SegEnds_NonXtal_BW#'!$A:$Z,15,FALSE)+VLOOKUP($A316,A:AL,22,FALSE)-50)</f>
        <v>882</v>
      </c>
      <c r="V316" s="3">
        <v>892</v>
      </c>
      <c r="W316" s="3">
        <f>IF(ISERROR(VLOOKUP($A316,'SegEnds_NonXtal_BW#'!$A:$Z,16,FALSE)+VLOOKUP($A316,A:AL,22,FALSE)-50),"-",(VLOOKUP($A316,'SegEnds_NonXtal_BW#'!$A:$Z,16,FALSE)+VLOOKUP($A316,A:AL,22,FALSE)-50))</f>
        <v>910</v>
      </c>
      <c r="X316" s="3">
        <f>IF(ISERROR(VLOOKUP($A316,'SegEnds_NonXtal_BW#'!$A:$Z,17,FALSE)+VLOOKUP($A316,A:AL,25,FALSE)-50),"-",(VLOOKUP($A316,'SegEnds_NonXtal_BW#'!$A:$Z,17,FALSE)+VLOOKUP($A316,A:AL,25,FALSE)-50))</f>
        <v>917</v>
      </c>
      <c r="Y316" s="3">
        <v>917</v>
      </c>
      <c r="Z316" s="3">
        <f t="shared" si="176"/>
        <v>919</v>
      </c>
      <c r="AA316" s="3">
        <f>IF(ISERROR(VLOOKUP($A316,'SegEnds_NonXtal_BW#'!$A:$Z,19,FALSE)+VLOOKUP($A316,A:AL,28,FALSE)-50),"-",(VLOOKUP($A316,'SegEnds_NonXtal_BW#'!$A:$Z,19,FALSE)+VLOOKUP($A316,A:AL,28,FALSE)-50))</f>
        <v>921</v>
      </c>
      <c r="AB316" s="3">
        <v>935</v>
      </c>
      <c r="AC316" s="3">
        <f>IF(ISERROR((VLOOKUP($A316,'SegEnds_NonXtal_BW#'!$A:$Z,20,FALSE)+VLOOKUP($A316,A:AL,28,FALSE)-50)),"-",(VLOOKUP($A316,'SegEnds_NonXtal_BW#'!$A:$Z,20,FALSE)+VLOOKUP($A316,A:AL,28,FALSE)-50))</f>
        <v>954</v>
      </c>
      <c r="AD316" s="3">
        <f>IF(ISERROR(VLOOKUP($A316,'SegEnds_NonXtal_BW#'!$A:$Z,21,FALSE)+VLOOKUP($A316,A:AL,31,FALSE)-50),"-",(VLOOKUP($A316,'SegEnds_NonXtal_BW#'!$A:$Z,21,FALSE)+VLOOKUP($A316,A:AL,31,FALSE)-50))</f>
        <v>1014</v>
      </c>
      <c r="AE316" s="3">
        <v>1035</v>
      </c>
      <c r="AF316" s="3">
        <f>IF(ISERROR((VLOOKUP($A316,'SegEnds_NonXtal_BW#'!$A:$Z,22,FALSE)+VLOOKUP($A316,A:AL,31,FALSE)-50)),"-",(VLOOKUP($A316,'SegEnds_NonXtal_BW#'!$A:$Z,22,FALSE)+VLOOKUP($A316,A:AL,31,FALSE)-50))</f>
        <v>1038</v>
      </c>
      <c r="AG316" s="3">
        <f>IF(ISERROR(VLOOKUP($A316,'SegEnds_NonXtal_BW#'!$A:$Z,23,FALSE)+VLOOKUP($A316,A:AL,34,FALSE)-50),"-",(VLOOKUP($A316,'SegEnds_NonXtal_BW#'!$A:$Z,23,FALSE)+VLOOKUP($A316,A:AL,34,FALSE)-50))</f>
        <v>1045</v>
      </c>
      <c r="AH316" s="3">
        <v>1066</v>
      </c>
      <c r="AI316" s="3">
        <f>IF(ISERROR((VLOOKUP($A316,'SegEnds_NonXtal_BW#'!$A:$Z,24,FALSE)+VLOOKUP($A316,A:AL,34,FALSE)-50)),"-",(VLOOKUP($A316,'SegEnds_NonXtal_BW#'!$A:$Z,24,FALSE)+VLOOKUP($A316,A:AL,34,FALSE)-50))</f>
        <v>1072</v>
      </c>
      <c r="AJ316" s="3">
        <f>IF(ISERROR(VLOOKUP($A316,'SegEnds_NonXtal_BW#'!$A:$Z,25,FALSE)+VLOOKUP($A316,A:AL,37,FALSE)-50),"-",(VLOOKUP($A316,'SegEnds_NonXtal_BW#'!$A:$Z,25,FALSE)+VLOOKUP($A316,A:AL,37,FALSE)-50))</f>
        <v>1073</v>
      </c>
      <c r="AK316" s="3">
        <v>1076</v>
      </c>
      <c r="AL316" s="3">
        <f>IF(ISERROR((VLOOKUP($A316,'SegEnds_NonXtal_BW#'!$A:$Z,26,FALSE)+VLOOKUP($A316,A:AL,37,FALSE)-50)),"-",(VLOOKUP($A316,'SegEnds_NonXtal_BW#'!$A:$Z,26,FALSE)+VLOOKUP($A316,A:AL,37,FALSE)-50))</f>
        <v>1089</v>
      </c>
      <c r="AM316" s="28" t="str">
        <f>VLOOKUP(A316,Classification!A:B,2,FALSE)</f>
        <v>B2</v>
      </c>
      <c r="AN316" s="28" t="b">
        <f t="shared" si="167"/>
        <v>1</v>
      </c>
      <c r="AO316" s="3" t="str">
        <f>IF(ISERROR(MATCH(A316,'SegEnds_Xtal_Prot#'!B:B, 0)), "NoXtal", "Xtal")</f>
        <v>NoXtal</v>
      </c>
      <c r="AP316" s="3" t="str">
        <f t="shared" si="152"/>
        <v>-</v>
      </c>
      <c r="AQ316" s="3" t="str">
        <f t="shared" si="153"/>
        <v>-</v>
      </c>
      <c r="AR316" s="3" t="str">
        <f t="shared" si="154"/>
        <v>-</v>
      </c>
      <c r="AS316" s="3" t="str">
        <f t="shared" si="155"/>
        <v>-</v>
      </c>
      <c r="AT316" s="3" t="str">
        <f t="shared" si="156"/>
        <v>-</v>
      </c>
      <c r="AU316" s="3" t="str">
        <f t="shared" si="157"/>
        <v>-</v>
      </c>
      <c r="AV316" s="3">
        <f t="shared" si="158"/>
        <v>7</v>
      </c>
      <c r="AW316" s="3">
        <f t="shared" si="159"/>
        <v>2</v>
      </c>
      <c r="AX316" s="3">
        <f t="shared" si="160"/>
        <v>60</v>
      </c>
      <c r="AY316" s="3">
        <f t="shared" si="161"/>
        <v>7</v>
      </c>
      <c r="AZ316" s="3">
        <f t="shared" si="162"/>
        <v>1</v>
      </c>
      <c r="BA316" s="3">
        <f>IF(ISERROR(LEN(VLOOKUP(A316,Seqs!A:E,2,FALSE))-AL316),"-",LEN(VLOOKUP(A316,Seqs!A:E,2,FALSE))-AL316)</f>
        <v>249</v>
      </c>
      <c r="BB316" s="16">
        <f t="shared" si="163"/>
        <v>26</v>
      </c>
      <c r="BC316" s="9" t="str">
        <f t="shared" si="164"/>
        <v>-</v>
      </c>
      <c r="BD316" s="3">
        <f t="shared" si="165"/>
        <v>26</v>
      </c>
      <c r="BE316" s="3">
        <f t="shared" si="166"/>
        <v>100</v>
      </c>
    </row>
    <row r="317" spans="1:58" s="3" customFormat="1" x14ac:dyDescent="0.2">
      <c r="A317" s="3" t="s">
        <v>1179</v>
      </c>
      <c r="B317" s="3" t="str">
        <f>LOWER(VLOOKUP(A317,Xtal_Templ!A:B,2,FALSE))</f>
        <v>crfr1_human</v>
      </c>
      <c r="C317" s="3">
        <f>VLOOKUP($A317,'SegEnds_NonXtal_BW#'!$A:$Z,3,FALSE)+D317-50</f>
        <v>750</v>
      </c>
      <c r="D317" s="3">
        <v>777</v>
      </c>
      <c r="E317" s="3">
        <f>IF(ISERROR(VLOOKUP($A317,'SegEnds_NonXtal_BW#'!$A:$Z,4,FALSE)+VLOOKUP($A317,A:AL,4,FALSE)-50),"-",(VLOOKUP($A317,'SegEnds_NonXtal_BW#'!$A:$Z,4,FALSE)+VLOOKUP($A317,A:AL,4,FALSE)-50))</f>
        <v>787</v>
      </c>
      <c r="F317" s="3" t="s">
        <v>23</v>
      </c>
      <c r="G317" s="3" t="s">
        <v>23</v>
      </c>
      <c r="H317" s="3" t="s">
        <v>23</v>
      </c>
      <c r="I317" s="3">
        <f>VLOOKUP($A317,'SegEnds_NonXtal_BW#'!$A:$Z,7,FALSE)+J317-50</f>
        <v>790</v>
      </c>
      <c r="J317" s="3">
        <v>803</v>
      </c>
      <c r="K317" s="3">
        <f>VLOOKUP($A317,'SegEnds_NonXtal_BW#'!$A:$Z,8,FALSE)+VLOOKUP($A317,A:AL,10,FALSE)-50</f>
        <v>816</v>
      </c>
      <c r="L317" s="3" t="str">
        <f>IF(ISERROR(VLOOKUP($A317,'SegEnds_NonXtal_BW#'!$A:$Z,9,FALSE)+VLOOKUP($A317,A:AL,13,FALSE)-50),"-",(VLOOKUP($A317,'SegEnds_NonXtal_BW#'!$A:$Z,9,FALSE)+VLOOKUP($A317,A:AL,13,FALSE)-50))</f>
        <v>-</v>
      </c>
      <c r="M317" s="3" t="s">
        <v>23</v>
      </c>
      <c r="N317" s="3" t="str">
        <f>IF(ISERROR(VLOOKUP($A317,'SegEnds_NonXtal_BW#'!$A:$Z,10,FALSE)+VLOOKUP($A317,A:AL,13,FALSE)-50),"-",(VLOOKUP($A317,'SegEnds_NonXtal_BW#'!$A:$Z,10,FALSE)+VLOOKUP($A317,A:AL,13,FALSE)-50))</f>
        <v>-</v>
      </c>
      <c r="O317" s="3">
        <f>VLOOKUP($A317,'SegEnds_NonXtal_BW#'!$A:$Z,11,FALSE)+VLOOKUP($A317,A:AL,16,FALSE)-50</f>
        <v>823</v>
      </c>
      <c r="P317" s="3">
        <v>850</v>
      </c>
      <c r="Q317" s="3">
        <f>VLOOKUP($A317,'SegEnds_NonXtal_BW#'!$A:$Z,12,FALSE)+VLOOKUP($A317,A:AL,16,FALSE)-50</f>
        <v>856</v>
      </c>
      <c r="R317" s="3" t="str">
        <f>IF(ISERROR(VLOOKUP($A317,'SegEnds_NonXtal_BW#'!$A:$Z,13,FALSE)+VLOOKUP($A317,A:AL,19,FALSE)-50),"-",VLOOKUP($A317,'SegEnds_NonXtal_BW#'!$A:$Z,13,FALSE)+VLOOKUP($A317,A:AL,19,FALSE)-50)</f>
        <v>-</v>
      </c>
      <c r="S317" s="3" t="s">
        <v>23</v>
      </c>
      <c r="T317" s="100" t="str">
        <f>IF(ISERROR(VLOOKUP($A317,'SegEnds_NonXtal_BW#'!$A:$Z,14,FALSE)+VLOOKUP($A317,A:AL,19,FALSE)-50),"-",(VLOOKUP($A317,'SegEnds_NonXtal_BW#'!$A:$Z,14,FALSE)+VLOOKUP($A317,A:AL,19,FALSE)-50))</f>
        <v>-</v>
      </c>
      <c r="U317" s="9">
        <f>IF(ISERROR(VLOOKUP($A317,'SegEnds_NonXtal_BW#'!$A:$Z,15,FALSE)+VLOOKUP($A317,A:AL,22,FALSE)-50),"-",VLOOKUP($A317,'SegEnds_NonXtal_BW#'!$A:$Z,15,FALSE)+VLOOKUP($A317,A:AL,22,FALSE)-50)</f>
        <v>872</v>
      </c>
      <c r="V317" s="3">
        <v>882</v>
      </c>
      <c r="W317" s="3">
        <f>IF(ISERROR(VLOOKUP($A317,'SegEnds_NonXtal_BW#'!$A:$Z,16,FALSE)+VLOOKUP($A317,A:AL,22,FALSE)-50),"-",(VLOOKUP($A317,'SegEnds_NonXtal_BW#'!$A:$Z,16,FALSE)+VLOOKUP($A317,A:AL,22,FALSE)-50))</f>
        <v>900</v>
      </c>
      <c r="X317" s="3">
        <f>IF(ISERROR(VLOOKUP($A317,'SegEnds_NonXtal_BW#'!$A:$Z,17,FALSE)+VLOOKUP($A317,A:AL,25,FALSE)-50),"-",(VLOOKUP($A317,'SegEnds_NonXtal_BW#'!$A:$Z,17,FALSE)+VLOOKUP($A317,A:AL,25,FALSE)-50))</f>
        <v>909</v>
      </c>
      <c r="Y317" s="3">
        <v>909</v>
      </c>
      <c r="Z317" s="3">
        <f t="shared" si="176"/>
        <v>911</v>
      </c>
      <c r="AA317" s="3">
        <f>IF(ISERROR(VLOOKUP($A317,'SegEnds_NonXtal_BW#'!$A:$Z,19,FALSE)+VLOOKUP($A317,A:AL,28,FALSE)-50),"-",(VLOOKUP($A317,'SegEnds_NonXtal_BW#'!$A:$Z,19,FALSE)+VLOOKUP($A317,A:AL,28,FALSE)-50))</f>
        <v>913</v>
      </c>
      <c r="AB317" s="3">
        <v>927</v>
      </c>
      <c r="AC317" s="3">
        <f>IF(ISERROR((VLOOKUP($A317,'SegEnds_NonXtal_BW#'!$A:$Z,20,FALSE)+VLOOKUP($A317,A:AL,28,FALSE)-50)),"-",(VLOOKUP($A317,'SegEnds_NonXtal_BW#'!$A:$Z,20,FALSE)+VLOOKUP($A317,A:AL,28,FALSE)-50))</f>
        <v>946</v>
      </c>
      <c r="AD317" s="3">
        <f>IF(ISERROR(VLOOKUP($A317,'SegEnds_NonXtal_BW#'!$A:$Z,21,FALSE)+VLOOKUP($A317,A:AL,31,FALSE)-50),"-",(VLOOKUP($A317,'SegEnds_NonXtal_BW#'!$A:$Z,21,FALSE)+VLOOKUP($A317,A:AL,31,FALSE)-50))</f>
        <v>991</v>
      </c>
      <c r="AE317" s="3">
        <v>1012</v>
      </c>
      <c r="AF317" s="3">
        <f>IF(ISERROR((VLOOKUP($A317,'SegEnds_NonXtal_BW#'!$A:$Z,22,FALSE)+VLOOKUP($A317,A:AL,31,FALSE)-50)),"-",(VLOOKUP($A317,'SegEnds_NonXtal_BW#'!$A:$Z,22,FALSE)+VLOOKUP($A317,A:AL,31,FALSE)-50))</f>
        <v>1015</v>
      </c>
      <c r="AG317" s="3">
        <f>IF(ISERROR(VLOOKUP($A317,'SegEnds_NonXtal_BW#'!$A:$Z,23,FALSE)+VLOOKUP($A317,A:AL,34,FALSE)-50),"-",(VLOOKUP($A317,'SegEnds_NonXtal_BW#'!$A:$Z,23,FALSE)+VLOOKUP($A317,A:AL,34,FALSE)-50))</f>
        <v>1022</v>
      </c>
      <c r="AH317" s="3">
        <v>1043</v>
      </c>
      <c r="AI317" s="3">
        <f>IF(ISERROR((VLOOKUP($A317,'SegEnds_NonXtal_BW#'!$A:$Z,24,FALSE)+VLOOKUP($A317,A:AL,34,FALSE)-50)),"-",(VLOOKUP($A317,'SegEnds_NonXtal_BW#'!$A:$Z,24,FALSE)+VLOOKUP($A317,A:AL,34,FALSE)-50))</f>
        <v>1049</v>
      </c>
      <c r="AJ317" s="3">
        <f>IF(ISERROR(VLOOKUP($A317,'SegEnds_NonXtal_BW#'!$A:$Z,25,FALSE)+VLOOKUP($A317,A:AL,37,FALSE)-50),"-",(VLOOKUP($A317,'SegEnds_NonXtal_BW#'!$A:$Z,25,FALSE)+VLOOKUP($A317,A:AL,37,FALSE)-50))</f>
        <v>1050</v>
      </c>
      <c r="AK317" s="3">
        <v>1053</v>
      </c>
      <c r="AL317" s="3">
        <f>IF(ISERROR((VLOOKUP($A317,'SegEnds_NonXtal_BW#'!$A:$Z,26,FALSE)+VLOOKUP($A317,A:AL,37,FALSE)-50)),"-",(VLOOKUP($A317,'SegEnds_NonXtal_BW#'!$A:$Z,26,FALSE)+VLOOKUP($A317,A:AL,37,FALSE)-50))</f>
        <v>1066</v>
      </c>
      <c r="AM317" s="28" t="str">
        <f>VLOOKUP(A317,Classification!A:B,2,FALSE)</f>
        <v>B2</v>
      </c>
      <c r="AN317" s="28" t="b">
        <f t="shared" si="167"/>
        <v>1</v>
      </c>
      <c r="AO317" s="3" t="str">
        <f>IF(ISERROR(MATCH(A317,'SegEnds_Xtal_Prot#'!B:B, 0)), "NoXtal", "Xtal")</f>
        <v>NoXtal</v>
      </c>
      <c r="AP317" s="3" t="str">
        <f t="shared" si="152"/>
        <v>-</v>
      </c>
      <c r="AQ317" s="3" t="str">
        <f t="shared" si="153"/>
        <v>-</v>
      </c>
      <c r="AR317" s="3" t="str">
        <f t="shared" si="154"/>
        <v>-</v>
      </c>
      <c r="AS317" s="3" t="str">
        <f t="shared" si="155"/>
        <v>-</v>
      </c>
      <c r="AT317" s="3" t="str">
        <f t="shared" si="156"/>
        <v>-</v>
      </c>
      <c r="AU317" s="3" t="str">
        <f t="shared" si="157"/>
        <v>-</v>
      </c>
      <c r="AV317" s="3">
        <f t="shared" si="158"/>
        <v>9</v>
      </c>
      <c r="AW317" s="3">
        <f t="shared" si="159"/>
        <v>2</v>
      </c>
      <c r="AX317" s="3">
        <f t="shared" si="160"/>
        <v>45</v>
      </c>
      <c r="AY317" s="3">
        <f t="shared" si="161"/>
        <v>7</v>
      </c>
      <c r="AZ317" s="3">
        <f t="shared" si="162"/>
        <v>1</v>
      </c>
      <c r="BA317" s="3">
        <f>IF(ISERROR(LEN(VLOOKUP(A317,Seqs!A:E,2,FALSE))-AL317),"-",LEN(VLOOKUP(A317,Seqs!A:E,2,FALSE))-AL317)</f>
        <v>255</v>
      </c>
      <c r="BB317" s="16">
        <f t="shared" si="163"/>
        <v>26</v>
      </c>
      <c r="BC317" s="9" t="str">
        <f t="shared" si="164"/>
        <v>-</v>
      </c>
      <c r="BD317" s="3">
        <f t="shared" si="165"/>
        <v>26</v>
      </c>
      <c r="BE317" s="3">
        <f t="shared" si="166"/>
        <v>85</v>
      </c>
    </row>
    <row r="318" spans="1:58" s="3" customFormat="1" x14ac:dyDescent="0.2">
      <c r="A318" s="3" t="s">
        <v>1180</v>
      </c>
      <c r="B318" s="3" t="str">
        <f>LOWER(VLOOKUP(A318,Xtal_Templ!A:B,2,FALSE))</f>
        <v>crfr1_human</v>
      </c>
      <c r="C318" s="3">
        <f>VLOOKUP($A318,'SegEnds_NonXtal_BW#'!$A:$Z,3,FALSE)+D318-50</f>
        <v>920</v>
      </c>
      <c r="D318" s="3">
        <v>947</v>
      </c>
      <c r="E318" s="3">
        <f>IF(ISERROR(VLOOKUP($A318,'SegEnds_NonXtal_BW#'!$A:$Z,4,FALSE)+VLOOKUP($A318,A:AL,4,FALSE)-50),"-",(VLOOKUP($A318,'SegEnds_NonXtal_BW#'!$A:$Z,4,FALSE)+VLOOKUP($A318,A:AL,4,FALSE)-50))</f>
        <v>957</v>
      </c>
      <c r="F318" s="3" t="s">
        <v>23</v>
      </c>
      <c r="G318" s="3" t="s">
        <v>23</v>
      </c>
      <c r="H318" s="3" t="s">
        <v>23</v>
      </c>
      <c r="I318" s="3">
        <f>VLOOKUP($A318,'SegEnds_NonXtal_BW#'!$A:$Z,7,FALSE)+J318-50</f>
        <v>963</v>
      </c>
      <c r="J318" s="3">
        <v>976</v>
      </c>
      <c r="K318" s="3">
        <f>VLOOKUP($A318,'SegEnds_NonXtal_BW#'!$A:$Z,8,FALSE)+VLOOKUP($A318,A:AL,10,FALSE)-50</f>
        <v>989</v>
      </c>
      <c r="L318" s="3" t="str">
        <f>IF(ISERROR(VLOOKUP($A318,'SegEnds_NonXtal_BW#'!$A:$Z,9,FALSE)+VLOOKUP($A318,A:AL,13,FALSE)-50),"-",(VLOOKUP($A318,'SegEnds_NonXtal_BW#'!$A:$Z,9,FALSE)+VLOOKUP($A318,A:AL,13,FALSE)-50))</f>
        <v>-</v>
      </c>
      <c r="M318" s="3" t="s">
        <v>23</v>
      </c>
      <c r="N318" s="3" t="str">
        <f>IF(ISERROR(VLOOKUP($A318,'SegEnds_NonXtal_BW#'!$A:$Z,10,FALSE)+VLOOKUP($A318,A:AL,13,FALSE)-50),"-",(VLOOKUP($A318,'SegEnds_NonXtal_BW#'!$A:$Z,10,FALSE)+VLOOKUP($A318,A:AL,13,FALSE)-50))</f>
        <v>-</v>
      </c>
      <c r="O318" s="3">
        <f>VLOOKUP($A318,'SegEnds_NonXtal_BW#'!$A:$Z,11,FALSE)+VLOOKUP($A318,A:AL,16,FALSE)-50</f>
        <v>994</v>
      </c>
      <c r="P318" s="3">
        <v>1021</v>
      </c>
      <c r="Q318" s="3">
        <f>VLOOKUP($A318,'SegEnds_NonXtal_BW#'!$A:$Z,12,FALSE)+VLOOKUP($A318,A:AL,16,FALSE)-50</f>
        <v>1027</v>
      </c>
      <c r="R318" s="3" t="str">
        <f>IF(ISERROR(VLOOKUP($A318,'SegEnds_NonXtal_BW#'!$A:$Z,13,FALSE)+VLOOKUP($A318,A:AL,19,FALSE)-50),"-",VLOOKUP($A318,'SegEnds_NonXtal_BW#'!$A:$Z,13,FALSE)+VLOOKUP($A318,A:AL,19,FALSE)-50)</f>
        <v>-</v>
      </c>
      <c r="S318" s="3" t="s">
        <v>23</v>
      </c>
      <c r="T318" s="100" t="str">
        <f>IF(ISERROR(VLOOKUP($A318,'SegEnds_NonXtal_BW#'!$A:$Z,14,FALSE)+VLOOKUP($A318,A:AL,19,FALSE)-50),"-",(VLOOKUP($A318,'SegEnds_NonXtal_BW#'!$A:$Z,14,FALSE)+VLOOKUP($A318,A:AL,19,FALSE)-50))</f>
        <v>-</v>
      </c>
      <c r="U318" s="9">
        <f>IF(ISERROR(VLOOKUP($A318,'SegEnds_NonXtal_BW#'!$A:$Z,15,FALSE)+VLOOKUP($A318,A:AL,22,FALSE)-50),"-",VLOOKUP($A318,'SegEnds_NonXtal_BW#'!$A:$Z,15,FALSE)+VLOOKUP($A318,A:AL,22,FALSE)-50)</f>
        <v>1033</v>
      </c>
      <c r="V318" s="3">
        <v>1043</v>
      </c>
      <c r="W318" s="3">
        <f>IF(ISERROR(VLOOKUP($A318,'SegEnds_NonXtal_BW#'!$A:$Z,16,FALSE)+VLOOKUP($A318,A:AL,22,FALSE)-50),"-",(VLOOKUP($A318,'SegEnds_NonXtal_BW#'!$A:$Z,16,FALSE)+VLOOKUP($A318,A:AL,22,FALSE)-50))</f>
        <v>1061</v>
      </c>
      <c r="X318" s="3">
        <f>IF(ISERROR(VLOOKUP($A318,'SegEnds_NonXtal_BW#'!$A:$Z,17,FALSE)+VLOOKUP($A318,A:AL,25,FALSE)-50),"-",(VLOOKUP($A318,'SegEnds_NonXtal_BW#'!$A:$Z,17,FALSE)+VLOOKUP($A318,A:AL,25,FALSE)-50))</f>
        <v>1068</v>
      </c>
      <c r="Y318" s="3">
        <v>1068</v>
      </c>
      <c r="Z318" s="3">
        <f t="shared" si="176"/>
        <v>1070</v>
      </c>
      <c r="AA318" s="3">
        <f>IF(ISERROR(VLOOKUP($A318,'SegEnds_NonXtal_BW#'!$A:$Z,19,FALSE)+VLOOKUP($A318,A:AL,28,FALSE)-50),"-",(VLOOKUP($A318,'SegEnds_NonXtal_BW#'!$A:$Z,19,FALSE)+VLOOKUP($A318,A:AL,28,FALSE)-50))</f>
        <v>1073</v>
      </c>
      <c r="AB318" s="3">
        <v>1087</v>
      </c>
      <c r="AC318" s="3">
        <f>IF(ISERROR((VLOOKUP($A318,'SegEnds_NonXtal_BW#'!$A:$Z,20,FALSE)+VLOOKUP($A318,A:AL,28,FALSE)-50)),"-",(VLOOKUP($A318,'SegEnds_NonXtal_BW#'!$A:$Z,20,FALSE)+VLOOKUP($A318,A:AL,28,FALSE)-50))</f>
        <v>1106</v>
      </c>
      <c r="AD318" s="3">
        <f>IF(ISERROR(VLOOKUP($A318,'SegEnds_NonXtal_BW#'!$A:$Z,21,FALSE)+VLOOKUP($A318,A:AL,31,FALSE)-50),"-",(VLOOKUP($A318,'SegEnds_NonXtal_BW#'!$A:$Z,21,FALSE)+VLOOKUP($A318,A:AL,31,FALSE)-50))</f>
        <v>1149</v>
      </c>
      <c r="AE318" s="3">
        <v>1170</v>
      </c>
      <c r="AF318" s="3">
        <f>IF(ISERROR((VLOOKUP($A318,'SegEnds_NonXtal_BW#'!$A:$Z,22,FALSE)+VLOOKUP($A318,A:AL,31,FALSE)-50)),"-",(VLOOKUP($A318,'SegEnds_NonXtal_BW#'!$A:$Z,22,FALSE)+VLOOKUP($A318,A:AL,31,FALSE)-50))</f>
        <v>1173</v>
      </c>
      <c r="AG318" s="3">
        <f>IF(ISERROR(VLOOKUP($A318,'SegEnds_NonXtal_BW#'!$A:$Z,23,FALSE)+VLOOKUP($A318,A:AL,34,FALSE)-50),"-",(VLOOKUP($A318,'SegEnds_NonXtal_BW#'!$A:$Z,23,FALSE)+VLOOKUP($A318,A:AL,34,FALSE)-50))</f>
        <v>1180</v>
      </c>
      <c r="AH318" s="3">
        <v>1199</v>
      </c>
      <c r="AI318" s="3">
        <f>IF(ISERROR((VLOOKUP($A318,'SegEnds_NonXtal_BW#'!$A:$Z,24,FALSE)+VLOOKUP($A318,A:AL,34,FALSE)-50)),"-",(VLOOKUP($A318,'SegEnds_NonXtal_BW#'!$A:$Z,24,FALSE)+VLOOKUP($A318,A:AL,34,FALSE)-50))</f>
        <v>1205</v>
      </c>
      <c r="AJ318" s="3">
        <f>IF(ISERROR(VLOOKUP($A318,'SegEnds_NonXtal_BW#'!$A:$Z,25,FALSE)+VLOOKUP($A318,A:AL,37,FALSE)-50),"-",(VLOOKUP($A318,'SegEnds_NonXtal_BW#'!$A:$Z,25,FALSE)+VLOOKUP($A318,A:AL,37,FALSE)-50))</f>
        <v>1206</v>
      </c>
      <c r="AK318" s="3">
        <v>1209</v>
      </c>
      <c r="AL318" s="3">
        <f>IF(ISERROR((VLOOKUP($A318,'SegEnds_NonXtal_BW#'!$A:$Z,26,FALSE)+VLOOKUP($A318,A:AL,37,FALSE)-50)),"-",(VLOOKUP($A318,'SegEnds_NonXtal_BW#'!$A:$Z,26,FALSE)+VLOOKUP($A318,A:AL,37,FALSE)-50))</f>
        <v>1222</v>
      </c>
      <c r="AM318" s="28" t="str">
        <f>VLOOKUP(A318,Classification!A:B,2,FALSE)</f>
        <v>B2</v>
      </c>
      <c r="AN318" s="28" t="b">
        <f t="shared" si="167"/>
        <v>1</v>
      </c>
      <c r="AO318" s="3" t="str">
        <f>IF(ISERROR(MATCH(A318,'SegEnds_Xtal_Prot#'!B:B, 0)), "NoXtal", "Xtal")</f>
        <v>NoXtal</v>
      </c>
      <c r="AP318" s="3" t="str">
        <f t="shared" si="152"/>
        <v>-</v>
      </c>
      <c r="AQ318" s="3" t="str">
        <f t="shared" si="153"/>
        <v>-</v>
      </c>
      <c r="AR318" s="3" t="str">
        <f t="shared" si="154"/>
        <v>-</v>
      </c>
      <c r="AS318" s="3" t="str">
        <f t="shared" si="155"/>
        <v>-</v>
      </c>
      <c r="AT318" s="3" t="str">
        <f t="shared" si="156"/>
        <v>-</v>
      </c>
      <c r="AU318" s="3" t="str">
        <f t="shared" si="157"/>
        <v>-</v>
      </c>
      <c r="AV318" s="3">
        <f t="shared" si="158"/>
        <v>7</v>
      </c>
      <c r="AW318" s="3">
        <f t="shared" si="159"/>
        <v>3</v>
      </c>
      <c r="AX318" s="3">
        <f t="shared" si="160"/>
        <v>43</v>
      </c>
      <c r="AY318" s="3">
        <f t="shared" si="161"/>
        <v>7</v>
      </c>
      <c r="AZ318" s="3">
        <f t="shared" si="162"/>
        <v>1</v>
      </c>
      <c r="BA318" s="3">
        <f>IF(ISERROR(LEN(VLOOKUP(A318,Seqs!A:E,2,FALSE))-AL318),"-",LEN(VLOOKUP(A318,Seqs!A:E,2,FALSE))-AL318)</f>
        <v>363</v>
      </c>
      <c r="BB318" s="16">
        <f t="shared" si="163"/>
        <v>29</v>
      </c>
      <c r="BC318" s="9" t="str">
        <f t="shared" si="164"/>
        <v>-</v>
      </c>
      <c r="BD318" s="3">
        <f t="shared" si="165"/>
        <v>29</v>
      </c>
      <c r="BE318" s="3">
        <f t="shared" si="166"/>
        <v>83</v>
      </c>
    </row>
    <row r="319" spans="1:58" s="3" customFormat="1" x14ac:dyDescent="0.2">
      <c r="A319" s="3" t="s">
        <v>1181</v>
      </c>
      <c r="B319" s="3" t="str">
        <f>LOWER(VLOOKUP(A319,Xtal_Templ!A:B,2,FALSE))</f>
        <v>crfr1_human</v>
      </c>
      <c r="C319" s="3">
        <f>VLOOKUP($A319,'SegEnds_NonXtal_BW#'!$A:$Z,3,FALSE)+D319-50</f>
        <v>865</v>
      </c>
      <c r="D319" s="3">
        <v>892</v>
      </c>
      <c r="E319" s="3">
        <f>IF(ISERROR(VLOOKUP($A319,'SegEnds_NonXtal_BW#'!$A:$Z,4,FALSE)+VLOOKUP($A319,A:AL,4,FALSE)-50),"-",(VLOOKUP($A319,'SegEnds_NonXtal_BW#'!$A:$Z,4,FALSE)+VLOOKUP($A319,A:AL,4,FALSE)-50))</f>
        <v>902</v>
      </c>
      <c r="F319" s="3" t="s">
        <v>23</v>
      </c>
      <c r="G319" s="3" t="s">
        <v>23</v>
      </c>
      <c r="H319" s="3" t="s">
        <v>23</v>
      </c>
      <c r="I319" s="3">
        <f>VLOOKUP($A319,'SegEnds_NonXtal_BW#'!$A:$Z,7,FALSE)+J319-50</f>
        <v>908</v>
      </c>
      <c r="J319" s="3">
        <v>921</v>
      </c>
      <c r="K319" s="3">
        <f>VLOOKUP($A319,'SegEnds_NonXtal_BW#'!$A:$Z,8,FALSE)+VLOOKUP($A319,A:AL,10,FALSE)-50</f>
        <v>934</v>
      </c>
      <c r="L319" s="3" t="str">
        <f>IF(ISERROR(VLOOKUP($A319,'SegEnds_NonXtal_BW#'!$A:$Z,9,FALSE)+VLOOKUP($A319,A:AL,13,FALSE)-50),"-",(VLOOKUP($A319,'SegEnds_NonXtal_BW#'!$A:$Z,9,FALSE)+VLOOKUP($A319,A:AL,13,FALSE)-50))</f>
        <v>-</v>
      </c>
      <c r="M319" s="3" t="s">
        <v>23</v>
      </c>
      <c r="N319" s="3" t="str">
        <f>IF(ISERROR(VLOOKUP($A319,'SegEnds_NonXtal_BW#'!$A:$Z,10,FALSE)+VLOOKUP($A319,A:AL,13,FALSE)-50),"-",(VLOOKUP($A319,'SegEnds_NonXtal_BW#'!$A:$Z,10,FALSE)+VLOOKUP($A319,A:AL,13,FALSE)-50))</f>
        <v>-</v>
      </c>
      <c r="O319" s="3">
        <f>VLOOKUP($A319,'SegEnds_NonXtal_BW#'!$A:$Z,11,FALSE)+VLOOKUP($A319,A:AL,16,FALSE)-50</f>
        <v>939</v>
      </c>
      <c r="P319" s="3">
        <v>966</v>
      </c>
      <c r="Q319" s="3">
        <f>VLOOKUP($A319,'SegEnds_NonXtal_BW#'!$A:$Z,12,FALSE)+VLOOKUP($A319,A:AL,16,FALSE)-50</f>
        <v>972</v>
      </c>
      <c r="R319" s="3" t="str">
        <f>IF(ISERROR(VLOOKUP($A319,'SegEnds_NonXtal_BW#'!$A:$Z,13,FALSE)+VLOOKUP($A319,A:AL,19,FALSE)-50),"-",VLOOKUP($A319,'SegEnds_NonXtal_BW#'!$A:$Z,13,FALSE)+VLOOKUP($A319,A:AL,19,FALSE)-50)</f>
        <v>-</v>
      </c>
      <c r="S319" s="3" t="s">
        <v>23</v>
      </c>
      <c r="T319" s="100" t="str">
        <f>IF(ISERROR(VLOOKUP($A319,'SegEnds_NonXtal_BW#'!$A:$Z,14,FALSE)+VLOOKUP($A319,A:AL,19,FALSE)-50),"-",(VLOOKUP($A319,'SegEnds_NonXtal_BW#'!$A:$Z,14,FALSE)+VLOOKUP($A319,A:AL,19,FALSE)-50))</f>
        <v>-</v>
      </c>
      <c r="U319" s="9">
        <f>IF(ISERROR(VLOOKUP($A319,'SegEnds_NonXtal_BW#'!$A:$Z,15,FALSE)+VLOOKUP($A319,A:AL,22,FALSE)-50),"-",VLOOKUP($A319,'SegEnds_NonXtal_BW#'!$A:$Z,15,FALSE)+VLOOKUP($A319,A:AL,22,FALSE)-50)</f>
        <v>978</v>
      </c>
      <c r="V319" s="3">
        <v>988</v>
      </c>
      <c r="W319" s="3">
        <f>IF(ISERROR(VLOOKUP($A319,'SegEnds_NonXtal_BW#'!$A:$Z,16,FALSE)+VLOOKUP($A319,A:AL,22,FALSE)-50),"-",(VLOOKUP($A319,'SegEnds_NonXtal_BW#'!$A:$Z,16,FALSE)+VLOOKUP($A319,A:AL,22,FALSE)-50))</f>
        <v>1006</v>
      </c>
      <c r="X319" s="3">
        <f>IF(ISERROR(VLOOKUP($A319,'SegEnds_NonXtal_BW#'!$A:$Z,17,FALSE)+VLOOKUP($A319,A:AL,25,FALSE)-50),"-",(VLOOKUP($A319,'SegEnds_NonXtal_BW#'!$A:$Z,17,FALSE)+VLOOKUP($A319,A:AL,25,FALSE)-50))</f>
        <v>1013</v>
      </c>
      <c r="Y319" s="3">
        <v>1013</v>
      </c>
      <c r="Z319" s="3">
        <f t="shared" si="176"/>
        <v>1015</v>
      </c>
      <c r="AA319" s="3">
        <f>IF(ISERROR(VLOOKUP($A319,'SegEnds_NonXtal_BW#'!$A:$Z,19,FALSE)+VLOOKUP($A319,A:AL,28,FALSE)-50),"-",(VLOOKUP($A319,'SegEnds_NonXtal_BW#'!$A:$Z,19,FALSE)+VLOOKUP($A319,A:AL,28,FALSE)-50))</f>
        <v>1018</v>
      </c>
      <c r="AB319" s="3">
        <v>1032</v>
      </c>
      <c r="AC319" s="3">
        <f>IF(ISERROR((VLOOKUP($A319,'SegEnds_NonXtal_BW#'!$A:$Z,20,FALSE)+VLOOKUP($A319,A:AL,28,FALSE)-50)),"-",(VLOOKUP($A319,'SegEnds_NonXtal_BW#'!$A:$Z,20,FALSE)+VLOOKUP($A319,A:AL,28,FALSE)-50))</f>
        <v>1051</v>
      </c>
      <c r="AD319" s="3">
        <f>IF(ISERROR(VLOOKUP($A319,'SegEnds_NonXtal_BW#'!$A:$Z,21,FALSE)+VLOOKUP($A319,A:AL,31,FALSE)-50),"-",(VLOOKUP($A319,'SegEnds_NonXtal_BW#'!$A:$Z,21,FALSE)+VLOOKUP($A319,A:AL,31,FALSE)-50))</f>
        <v>1094</v>
      </c>
      <c r="AE319" s="3">
        <v>1115</v>
      </c>
      <c r="AF319" s="3">
        <f>IF(ISERROR((VLOOKUP($A319,'SegEnds_NonXtal_BW#'!$A:$Z,22,FALSE)+VLOOKUP($A319,A:AL,31,FALSE)-50)),"-",(VLOOKUP($A319,'SegEnds_NonXtal_BW#'!$A:$Z,22,FALSE)+VLOOKUP($A319,A:AL,31,FALSE)-50))</f>
        <v>1118</v>
      </c>
      <c r="AG319" s="3">
        <f>IF(ISERROR(VLOOKUP($A319,'SegEnds_NonXtal_BW#'!$A:$Z,23,FALSE)+VLOOKUP($A319,A:AL,34,FALSE)-50),"-",(VLOOKUP($A319,'SegEnds_NonXtal_BW#'!$A:$Z,23,FALSE)+VLOOKUP($A319,A:AL,34,FALSE)-50))</f>
        <v>1125</v>
      </c>
      <c r="AH319" s="3">
        <v>1144</v>
      </c>
      <c r="AI319" s="3">
        <f>IF(ISERROR((VLOOKUP($A319,'SegEnds_NonXtal_BW#'!$A:$Z,24,FALSE)+VLOOKUP($A319,A:AL,34,FALSE)-50)),"-",(VLOOKUP($A319,'SegEnds_NonXtal_BW#'!$A:$Z,24,FALSE)+VLOOKUP($A319,A:AL,34,FALSE)-50))</f>
        <v>1150</v>
      </c>
      <c r="AJ319" s="3">
        <f>IF(ISERROR(VLOOKUP($A319,'SegEnds_NonXtal_BW#'!$A:$Z,25,FALSE)+VLOOKUP($A319,A:AL,37,FALSE)-50),"-",(VLOOKUP($A319,'SegEnds_NonXtal_BW#'!$A:$Z,25,FALSE)+VLOOKUP($A319,A:AL,37,FALSE)-50))</f>
        <v>1151</v>
      </c>
      <c r="AK319" s="3">
        <v>1154</v>
      </c>
      <c r="AL319" s="3">
        <f>IF(ISERROR((VLOOKUP($A319,'SegEnds_NonXtal_BW#'!$A:$Z,26,FALSE)+VLOOKUP($A319,A:AL,37,FALSE)-50)),"-",(VLOOKUP($A319,'SegEnds_NonXtal_BW#'!$A:$Z,26,FALSE)+VLOOKUP($A319,A:AL,37,FALSE)-50))</f>
        <v>1167</v>
      </c>
      <c r="AM319" s="28" t="str">
        <f>VLOOKUP(A319,Classification!A:B,2,FALSE)</f>
        <v>B2</v>
      </c>
      <c r="AN319" s="28" t="b">
        <f t="shared" si="167"/>
        <v>1</v>
      </c>
      <c r="AO319" s="3" t="str">
        <f>IF(ISERROR(MATCH(A319,'SegEnds_Xtal_Prot#'!B:B, 0)), "NoXtal", "Xtal")</f>
        <v>NoXtal</v>
      </c>
      <c r="AP319" s="3" t="str">
        <f t="shared" si="152"/>
        <v>-</v>
      </c>
      <c r="AQ319" s="3" t="str">
        <f t="shared" si="153"/>
        <v>-</v>
      </c>
      <c r="AR319" s="3" t="str">
        <f t="shared" si="154"/>
        <v>-</v>
      </c>
      <c r="AS319" s="3" t="str">
        <f t="shared" si="155"/>
        <v>-</v>
      </c>
      <c r="AT319" s="3" t="str">
        <f t="shared" si="156"/>
        <v>-</v>
      </c>
      <c r="AU319" s="3" t="str">
        <f t="shared" si="157"/>
        <v>-</v>
      </c>
      <c r="AV319" s="3">
        <f t="shared" si="158"/>
        <v>7</v>
      </c>
      <c r="AW319" s="3">
        <f t="shared" si="159"/>
        <v>3</v>
      </c>
      <c r="AX319" s="3">
        <f t="shared" si="160"/>
        <v>43</v>
      </c>
      <c r="AY319" s="3">
        <f t="shared" si="161"/>
        <v>7</v>
      </c>
      <c r="AZ319" s="3">
        <f t="shared" si="162"/>
        <v>1</v>
      </c>
      <c r="BA319" s="3">
        <f>IF(ISERROR(LEN(VLOOKUP(A319,Seqs!A:E,2,FALSE))-AL319),"-",LEN(VLOOKUP(A319,Seqs!A:E,2,FALSE))-AL319)</f>
        <v>355</v>
      </c>
      <c r="BB319" s="16">
        <f t="shared" si="163"/>
        <v>29</v>
      </c>
      <c r="BC319" s="9" t="str">
        <f t="shared" si="164"/>
        <v>-</v>
      </c>
      <c r="BD319" s="3">
        <f t="shared" si="165"/>
        <v>29</v>
      </c>
      <c r="BE319" s="3">
        <f t="shared" si="166"/>
        <v>83</v>
      </c>
    </row>
    <row r="320" spans="1:58" s="3" customFormat="1" x14ac:dyDescent="0.2">
      <c r="A320" s="3" t="s">
        <v>1182</v>
      </c>
      <c r="B320" s="3" t="str">
        <f>LOWER(VLOOKUP(A320,Xtal_Templ!A:B,2,FALSE))</f>
        <v>crfr1_human</v>
      </c>
      <c r="C320" s="3">
        <f>VLOOKUP($A320,'SegEnds_NonXtal_BW#'!$A:$Z,3,FALSE)+D320-50</f>
        <v>554</v>
      </c>
      <c r="D320" s="3">
        <v>581</v>
      </c>
      <c r="E320" s="3">
        <f>IF(ISERROR(VLOOKUP($A320,'SegEnds_NonXtal_BW#'!$A:$Z,4,FALSE)+VLOOKUP($A320,A:AL,4,FALSE)-50),"-",(VLOOKUP($A320,'SegEnds_NonXtal_BW#'!$A:$Z,4,FALSE)+VLOOKUP($A320,A:AL,4,FALSE)-50))</f>
        <v>591</v>
      </c>
      <c r="F320" s="3">
        <f>G320-2</f>
        <v>592</v>
      </c>
      <c r="G320" s="3">
        <v>594</v>
      </c>
      <c r="H320" s="3">
        <f>G320+1</f>
        <v>595</v>
      </c>
      <c r="I320" s="3">
        <f>H320+1</f>
        <v>596</v>
      </c>
      <c r="J320" s="3">
        <v>612</v>
      </c>
      <c r="K320" s="3">
        <f>VLOOKUP($A320,'SegEnds_NonXtal_BW#'!$A:$Z,8,FALSE)+VLOOKUP($A320,A:AL,10,FALSE)-50</f>
        <v>625</v>
      </c>
      <c r="L320" s="3" t="str">
        <f>IF(ISERROR(VLOOKUP($A320,'SegEnds_NonXtal_BW#'!$A:$Z,9,FALSE)+VLOOKUP($A320,A:AL,13,FALSE)-50),"-",(VLOOKUP($A320,'SegEnds_NonXtal_BW#'!$A:$Z,9,FALSE)+VLOOKUP($A320,A:AL,13,FALSE)-50))</f>
        <v>-</v>
      </c>
      <c r="M320" s="3" t="s">
        <v>23</v>
      </c>
      <c r="N320" s="3" t="str">
        <f>IF(ISERROR(VLOOKUP($A320,'SegEnds_NonXtal_BW#'!$A:$Z,10,FALSE)+VLOOKUP($A320,A:AL,13,FALSE)-50),"-",(VLOOKUP($A320,'SegEnds_NonXtal_BW#'!$A:$Z,10,FALSE)+VLOOKUP($A320,A:AL,13,FALSE)-50))</f>
        <v>-</v>
      </c>
      <c r="O320" s="3">
        <f>VLOOKUP($A320,'SegEnds_NonXtal_BW#'!$A:$Z,11,FALSE)+VLOOKUP($A320,A:AL,16,FALSE)-50</f>
        <v>630</v>
      </c>
      <c r="P320" s="3">
        <v>657</v>
      </c>
      <c r="Q320" s="3">
        <f>VLOOKUP($A320,'SegEnds_NonXtal_BW#'!$A:$Z,12,FALSE)+VLOOKUP($A320,A:AL,16,FALSE)-50</f>
        <v>663</v>
      </c>
      <c r="R320" s="3" t="str">
        <f>IF(ISERROR(VLOOKUP($A320,'SegEnds_NonXtal_BW#'!$A:$Z,13,FALSE)+VLOOKUP($A320,A:AL,19,FALSE)-50),"-",VLOOKUP($A320,'SegEnds_NonXtal_BW#'!$A:$Z,13,FALSE)+VLOOKUP($A320,A:AL,19,FALSE)-50)</f>
        <v>-</v>
      </c>
      <c r="S320" s="3" t="s">
        <v>23</v>
      </c>
      <c r="T320" s="100" t="str">
        <f>IF(ISERROR(VLOOKUP($A320,'SegEnds_NonXtal_BW#'!$A:$Z,14,FALSE)+VLOOKUP($A320,A:AL,19,FALSE)-50),"-",(VLOOKUP($A320,'SegEnds_NonXtal_BW#'!$A:$Z,14,FALSE)+VLOOKUP($A320,A:AL,19,FALSE)-50))</f>
        <v>-</v>
      </c>
      <c r="U320" s="9">
        <f>IF(ISERROR(VLOOKUP($A320,'SegEnds_NonXtal_BW#'!$A:$Z,15,FALSE)+VLOOKUP($A320,A:AL,22,FALSE)-50),"-",VLOOKUP($A320,'SegEnds_NonXtal_BW#'!$A:$Z,15,FALSE)+VLOOKUP($A320,A:AL,22,FALSE)-50)</f>
        <v>670</v>
      </c>
      <c r="V320" s="3">
        <v>680</v>
      </c>
      <c r="W320" s="3">
        <f>IF(ISERROR(VLOOKUP($A320,'SegEnds_NonXtal_BW#'!$A:$Z,16,FALSE)+VLOOKUP($A320,A:AL,22,FALSE)-50),"-",(VLOOKUP($A320,'SegEnds_NonXtal_BW#'!$A:$Z,16,FALSE)+VLOOKUP($A320,A:AL,22,FALSE)-50))</f>
        <v>698</v>
      </c>
      <c r="X320" s="3">
        <f>IF(ISERROR(VLOOKUP($A320,'SegEnds_NonXtal_BW#'!$A:$Z,17,FALSE)+VLOOKUP($A320,A:AL,25,FALSE)-50),"-",(VLOOKUP($A320,'SegEnds_NonXtal_BW#'!$A:$Z,17,FALSE)+VLOOKUP($A320,A:AL,25,FALSE)-50))</f>
        <v>704</v>
      </c>
      <c r="Y320" s="3">
        <v>704</v>
      </c>
      <c r="Z320" s="3">
        <f t="shared" si="176"/>
        <v>706</v>
      </c>
      <c r="AA320" s="3">
        <f>IF(ISERROR(VLOOKUP($A320,'SegEnds_NonXtal_BW#'!$A:$Z,19,FALSE)+VLOOKUP($A320,A:AL,28,FALSE)-50),"-",(VLOOKUP($A320,'SegEnds_NonXtal_BW#'!$A:$Z,19,FALSE)+VLOOKUP($A320,A:AL,28,FALSE)-50))</f>
        <v>709</v>
      </c>
      <c r="AB320" s="3">
        <v>723</v>
      </c>
      <c r="AC320" s="3">
        <f>IF(ISERROR((VLOOKUP($A320,'SegEnds_NonXtal_BW#'!$A:$Z,20,FALSE)+VLOOKUP($A320,A:AL,28,FALSE)-50)),"-",(VLOOKUP($A320,'SegEnds_NonXtal_BW#'!$A:$Z,20,FALSE)+VLOOKUP($A320,A:AL,28,FALSE)-50))</f>
        <v>742</v>
      </c>
      <c r="AD320" s="3">
        <f>IF(ISERROR(VLOOKUP($A320,'SegEnds_NonXtal_BW#'!$A:$Z,21,FALSE)+VLOOKUP($A320,A:AL,31,FALSE)-50),"-",(VLOOKUP($A320,'SegEnds_NonXtal_BW#'!$A:$Z,21,FALSE)+VLOOKUP($A320,A:AL,31,FALSE)-50))</f>
        <v>754</v>
      </c>
      <c r="AE320" s="3">
        <v>775</v>
      </c>
      <c r="AF320" s="3">
        <f>IF(ISERROR((VLOOKUP($A320,'SegEnds_NonXtal_BW#'!$A:$Z,22,FALSE)+VLOOKUP($A320,A:AL,31,FALSE)-50)),"-",(VLOOKUP($A320,'SegEnds_NonXtal_BW#'!$A:$Z,22,FALSE)+VLOOKUP($A320,A:AL,31,FALSE)-50))</f>
        <v>778</v>
      </c>
      <c r="AG320" s="3">
        <f>IF(ISERROR(VLOOKUP($A320,'SegEnds_NonXtal_BW#'!$A:$Z,23,FALSE)+VLOOKUP($A320,A:AL,34,FALSE)-50),"-",(VLOOKUP($A320,'SegEnds_NonXtal_BW#'!$A:$Z,23,FALSE)+VLOOKUP($A320,A:AL,34,FALSE)-50))</f>
        <v>784</v>
      </c>
      <c r="AH320" s="3">
        <v>803</v>
      </c>
      <c r="AI320" s="3">
        <f>IF(ISERROR((VLOOKUP($A320,'SegEnds_NonXtal_BW#'!$A:$Z,24,FALSE)+VLOOKUP($A320,A:AL,34,FALSE)-50)),"-",(VLOOKUP($A320,'SegEnds_NonXtal_BW#'!$A:$Z,24,FALSE)+VLOOKUP($A320,A:AL,34,FALSE)-50))</f>
        <v>809</v>
      </c>
      <c r="AJ320" s="3">
        <f>IF(ISERROR(VLOOKUP($A320,'SegEnds_NonXtal_BW#'!$A:$Z,25,FALSE)+VLOOKUP($A320,A:AL,37,FALSE)-50),"-",(VLOOKUP($A320,'SegEnds_NonXtal_BW#'!$A:$Z,25,FALSE)+VLOOKUP($A320,A:AL,37,FALSE)-50))</f>
        <v>810</v>
      </c>
      <c r="AK320" s="3">
        <v>813</v>
      </c>
      <c r="AL320" s="3">
        <f>IF(ISERROR((VLOOKUP($A320,'SegEnds_NonXtal_BW#'!$A:$Z,26,FALSE)+VLOOKUP($A320,A:AL,37,FALSE)-50)),"-",(VLOOKUP($A320,'SegEnds_NonXtal_BW#'!$A:$Z,26,FALSE)+VLOOKUP($A320,A:AL,37,FALSE)-50))</f>
        <v>826</v>
      </c>
      <c r="AM320" s="28" t="str">
        <f>VLOOKUP(A320,Classification!A:B,2,FALSE)</f>
        <v>B2</v>
      </c>
      <c r="AN320" s="28" t="b">
        <f t="shared" si="167"/>
        <v>1</v>
      </c>
      <c r="AO320" s="3" t="str">
        <f>IF(ISERROR(MATCH(A320,'SegEnds_Xtal_Prot#'!B:B, 0)), "NoXtal", "Xtal")</f>
        <v>NoXtal</v>
      </c>
      <c r="AP320" s="3">
        <f t="shared" si="152"/>
        <v>1</v>
      </c>
      <c r="AQ320" s="3">
        <f t="shared" si="153"/>
        <v>1</v>
      </c>
      <c r="AR320" s="3" t="str">
        <f t="shared" si="154"/>
        <v>-</v>
      </c>
      <c r="AS320" s="3" t="str">
        <f t="shared" si="155"/>
        <v>-</v>
      </c>
      <c r="AT320" s="3" t="str">
        <f t="shared" si="156"/>
        <v>-</v>
      </c>
      <c r="AU320" s="3" t="str">
        <f t="shared" si="157"/>
        <v>-</v>
      </c>
      <c r="AV320" s="3">
        <f t="shared" si="158"/>
        <v>6</v>
      </c>
      <c r="AW320" s="3">
        <f t="shared" si="159"/>
        <v>3</v>
      </c>
      <c r="AX320" s="3">
        <f t="shared" si="160"/>
        <v>12</v>
      </c>
      <c r="AY320" s="3">
        <f t="shared" si="161"/>
        <v>6</v>
      </c>
      <c r="AZ320" s="3">
        <f t="shared" si="162"/>
        <v>1</v>
      </c>
      <c r="BA320" s="3">
        <f>IF(ISERROR(LEN(VLOOKUP(A320,Seqs!A:E,2,FALSE))-AL320),"-",LEN(VLOOKUP(A320,Seqs!A:E,2,FALSE))-AL320)</f>
        <v>48</v>
      </c>
      <c r="BB320" s="16">
        <f t="shared" si="163"/>
        <v>31</v>
      </c>
      <c r="BC320" s="9" t="str">
        <f t="shared" si="164"/>
        <v>-</v>
      </c>
      <c r="BD320" s="3">
        <f t="shared" si="165"/>
        <v>31</v>
      </c>
      <c r="BE320" s="3">
        <f t="shared" si="166"/>
        <v>52</v>
      </c>
    </row>
    <row r="321" spans="1:59" s="3" customFormat="1" x14ac:dyDescent="0.2">
      <c r="A321" s="3" t="s">
        <v>1183</v>
      </c>
      <c r="B321" s="3" t="str">
        <f>LOWER(VLOOKUP(A321,Xtal_Templ!A:B,2,FALSE))</f>
        <v>crfr1_human</v>
      </c>
      <c r="C321" s="3">
        <f>VLOOKUP($A321,'SegEnds_NonXtal_BW#'!$A:$Z,3,FALSE)+D321-50</f>
        <v>646</v>
      </c>
      <c r="D321" s="3">
        <v>673</v>
      </c>
      <c r="E321" s="3">
        <f>IF(ISERROR(VLOOKUP($A321,'SegEnds_NonXtal_BW#'!$A:$Z,4,FALSE)+VLOOKUP($A321,A:AL,4,FALSE)-50),"-",(VLOOKUP($A321,'SegEnds_NonXtal_BW#'!$A:$Z,4,FALSE)+VLOOKUP($A321,A:AL,4,FALSE)-50))</f>
        <v>683</v>
      </c>
      <c r="F321" s="3" t="s">
        <v>23</v>
      </c>
      <c r="G321" s="3" t="s">
        <v>23</v>
      </c>
      <c r="H321" s="3" t="s">
        <v>23</v>
      </c>
      <c r="I321" s="3">
        <f>VLOOKUP($A321,'SegEnds_NonXtal_BW#'!$A:$Z,7,FALSE)+J321-50</f>
        <v>688</v>
      </c>
      <c r="J321" s="3">
        <v>701</v>
      </c>
      <c r="K321" s="3">
        <f>VLOOKUP($A321,'SegEnds_NonXtal_BW#'!$A:$Z,8,FALSE)+VLOOKUP($A321,A:AL,10,FALSE)-50</f>
        <v>714</v>
      </c>
      <c r="L321" s="3" t="str">
        <f>IF(ISERROR(VLOOKUP($A321,'SegEnds_NonXtal_BW#'!$A:$Z,9,FALSE)+VLOOKUP($A321,A:AL,13,FALSE)-50),"-",(VLOOKUP($A321,'SegEnds_NonXtal_BW#'!$A:$Z,9,FALSE)+VLOOKUP($A321,A:AL,13,FALSE)-50))</f>
        <v>-</v>
      </c>
      <c r="M321" s="3" t="s">
        <v>23</v>
      </c>
      <c r="N321" s="3" t="str">
        <f>IF(ISERROR(VLOOKUP($A321,'SegEnds_NonXtal_BW#'!$A:$Z,10,FALSE)+VLOOKUP($A321,A:AL,13,FALSE)-50),"-",(VLOOKUP($A321,'SegEnds_NonXtal_BW#'!$A:$Z,10,FALSE)+VLOOKUP($A321,A:AL,13,FALSE)-50))</f>
        <v>-</v>
      </c>
      <c r="O321" s="3">
        <f>VLOOKUP($A321,'SegEnds_NonXtal_BW#'!$A:$Z,11,FALSE)+VLOOKUP($A321,A:AL,16,FALSE)-50</f>
        <v>719</v>
      </c>
      <c r="P321" s="3">
        <v>746</v>
      </c>
      <c r="Q321" s="3">
        <f>VLOOKUP($A321,'SegEnds_NonXtal_BW#'!$A:$Z,12,FALSE)+VLOOKUP($A321,A:AL,16,FALSE)-50</f>
        <v>752</v>
      </c>
      <c r="R321" s="3" t="str">
        <f>IF(ISERROR(VLOOKUP($A321,'SegEnds_NonXtal_BW#'!$A:$Z,13,FALSE)+VLOOKUP($A321,A:AL,19,FALSE)-50),"-",VLOOKUP($A321,'SegEnds_NonXtal_BW#'!$A:$Z,13,FALSE)+VLOOKUP($A321,A:AL,19,FALSE)-50)</f>
        <v>-</v>
      </c>
      <c r="S321" s="3" t="s">
        <v>23</v>
      </c>
      <c r="T321" s="100" t="str">
        <f>IF(ISERROR(VLOOKUP($A321,'SegEnds_NonXtal_BW#'!$A:$Z,14,FALSE)+VLOOKUP($A321,A:AL,19,FALSE)-50),"-",(VLOOKUP($A321,'SegEnds_NonXtal_BW#'!$A:$Z,14,FALSE)+VLOOKUP($A321,A:AL,19,FALSE)-50))</f>
        <v>-</v>
      </c>
      <c r="U321" s="9">
        <f>IF(ISERROR(VLOOKUP($A321,'SegEnds_NonXtal_BW#'!$A:$Z,15,FALSE)+VLOOKUP($A321,A:AL,22,FALSE)-50),"-",VLOOKUP($A321,'SegEnds_NonXtal_BW#'!$A:$Z,15,FALSE)+VLOOKUP($A321,A:AL,22,FALSE)-50)</f>
        <v>759</v>
      </c>
      <c r="V321" s="3">
        <v>769</v>
      </c>
      <c r="W321" s="3">
        <f>IF(ISERROR(VLOOKUP($A321,'SegEnds_NonXtal_BW#'!$A:$Z,16,FALSE)+VLOOKUP($A321,A:AL,22,FALSE)-50),"-",(VLOOKUP($A321,'SegEnds_NonXtal_BW#'!$A:$Z,16,FALSE)+VLOOKUP($A321,A:AL,22,FALSE)-50))</f>
        <v>787</v>
      </c>
      <c r="X321" s="3">
        <f>IF(ISERROR(VLOOKUP($A321,'SegEnds_NonXtal_BW#'!$A:$Z,17,FALSE)+VLOOKUP($A321,A:AL,25,FALSE)-50),"-",(VLOOKUP($A321,'SegEnds_NonXtal_BW#'!$A:$Z,17,FALSE)+VLOOKUP($A321,A:AL,25,FALSE)-50))</f>
        <v>793</v>
      </c>
      <c r="Y321" s="3">
        <v>793</v>
      </c>
      <c r="Z321" s="3">
        <f t="shared" si="176"/>
        <v>795</v>
      </c>
      <c r="AA321" s="3">
        <f>IF(ISERROR(VLOOKUP($A321,'SegEnds_NonXtal_BW#'!$A:$Z,19,FALSE)+VLOOKUP($A321,A:AL,28,FALSE)-50),"-",(VLOOKUP($A321,'SegEnds_NonXtal_BW#'!$A:$Z,19,FALSE)+VLOOKUP($A321,A:AL,28,FALSE)-50))</f>
        <v>798</v>
      </c>
      <c r="AB321" s="3">
        <v>812</v>
      </c>
      <c r="AC321" s="3">
        <f>IF(ISERROR((VLOOKUP($A321,'SegEnds_NonXtal_BW#'!$A:$Z,20,FALSE)+VLOOKUP($A321,A:AL,28,FALSE)-50)),"-",(VLOOKUP($A321,'SegEnds_NonXtal_BW#'!$A:$Z,20,FALSE)+VLOOKUP($A321,A:AL,28,FALSE)-50))</f>
        <v>831</v>
      </c>
      <c r="AD321" s="3">
        <f>IF(ISERROR(VLOOKUP($A321,'SegEnds_NonXtal_BW#'!$A:$Z,21,FALSE)+VLOOKUP($A321,A:AL,31,FALSE)-50),"-",(VLOOKUP($A321,'SegEnds_NonXtal_BW#'!$A:$Z,21,FALSE)+VLOOKUP($A321,A:AL,31,FALSE)-50))</f>
        <v>857</v>
      </c>
      <c r="AE321" s="3">
        <v>878</v>
      </c>
      <c r="AF321" s="3">
        <f>IF(ISERROR((VLOOKUP($A321,'SegEnds_NonXtal_BW#'!$A:$Z,22,FALSE)+VLOOKUP($A321,A:AL,31,FALSE)-50)),"-",(VLOOKUP($A321,'SegEnds_NonXtal_BW#'!$A:$Z,22,FALSE)+VLOOKUP($A321,A:AL,31,FALSE)-50))</f>
        <v>878</v>
      </c>
      <c r="AG321" s="3">
        <f>IF(ISERROR(VLOOKUP($A321,'SegEnds_NonXtal_BW#'!$A:$Z,23,FALSE)+VLOOKUP($A321,A:AL,34,FALSE)-50),"-",(VLOOKUP($A321,'SegEnds_NonXtal_BW#'!$A:$Z,23,FALSE)+VLOOKUP($A321,A:AL,34,FALSE)-50))</f>
        <v>881</v>
      </c>
      <c r="AH321" s="3">
        <v>898</v>
      </c>
      <c r="AI321" s="3">
        <f>IF(ISERROR((VLOOKUP($A321,'SegEnds_NonXtal_BW#'!$A:$Z,24,FALSE)+VLOOKUP($A321,A:AL,34,FALSE)-50)),"-",(VLOOKUP($A321,'SegEnds_NonXtal_BW#'!$A:$Z,24,FALSE)+VLOOKUP($A321,A:AL,34,FALSE)-50))</f>
        <v>904</v>
      </c>
      <c r="AJ321" s="3">
        <f>IF(ISERROR(VLOOKUP($A321,'SegEnds_NonXtal_BW#'!$A:$Z,25,FALSE)+VLOOKUP($A321,A:AL,37,FALSE)-50),"-",(VLOOKUP($A321,'SegEnds_NonXtal_BW#'!$A:$Z,25,FALSE)+VLOOKUP($A321,A:AL,37,FALSE)-50))</f>
        <v>905</v>
      </c>
      <c r="AK321" s="3">
        <v>908</v>
      </c>
      <c r="AL321" s="3">
        <f>IF(ISERROR((VLOOKUP($A321,'SegEnds_NonXtal_BW#'!$A:$Z,26,FALSE)+VLOOKUP($A321,A:AL,37,FALSE)-50)),"-",(VLOOKUP($A321,'SegEnds_NonXtal_BW#'!$A:$Z,26,FALSE)+VLOOKUP($A321,A:AL,37,FALSE)-50))</f>
        <v>921</v>
      </c>
      <c r="AM321" s="28" t="str">
        <f>VLOOKUP(A321,Classification!A:B,2,FALSE)</f>
        <v>B2</v>
      </c>
      <c r="AN321" s="28" t="b">
        <f t="shared" si="167"/>
        <v>1</v>
      </c>
      <c r="AO321" s="3" t="str">
        <f>IF(ISERROR(MATCH(A321,'SegEnds_Xtal_Prot#'!B:B, 0)), "NoXtal", "Xtal")</f>
        <v>NoXtal</v>
      </c>
      <c r="AP321" s="3" t="str">
        <f t="shared" si="152"/>
        <v>-</v>
      </c>
      <c r="AQ321" s="3" t="str">
        <f t="shared" si="153"/>
        <v>-</v>
      </c>
      <c r="AR321" s="3" t="str">
        <f t="shared" si="154"/>
        <v>-</v>
      </c>
      <c r="AS321" s="3" t="str">
        <f t="shared" si="155"/>
        <v>-</v>
      </c>
      <c r="AT321" s="3" t="str">
        <f t="shared" si="156"/>
        <v>-</v>
      </c>
      <c r="AU321" s="3" t="str">
        <f t="shared" si="157"/>
        <v>-</v>
      </c>
      <c r="AV321" s="3">
        <f t="shared" si="158"/>
        <v>6</v>
      </c>
      <c r="AW321" s="3">
        <f t="shared" si="159"/>
        <v>3</v>
      </c>
      <c r="AX321" s="3">
        <f t="shared" si="160"/>
        <v>26</v>
      </c>
      <c r="AY321" s="3">
        <f t="shared" si="161"/>
        <v>3</v>
      </c>
      <c r="AZ321" s="3">
        <f t="shared" si="162"/>
        <v>1</v>
      </c>
      <c r="BA321" s="3">
        <f>IF(ISERROR(LEN(VLOOKUP(A321,Seqs!A:E,2,FALSE))-AL321),"-",LEN(VLOOKUP(A321,Seqs!A:E,2,FALSE))-AL321)</f>
        <v>42</v>
      </c>
      <c r="BB321" s="16">
        <f t="shared" si="163"/>
        <v>28</v>
      </c>
      <c r="BC321" s="9" t="str">
        <f t="shared" si="164"/>
        <v>-</v>
      </c>
      <c r="BD321" s="3">
        <f t="shared" si="165"/>
        <v>28</v>
      </c>
      <c r="BE321" s="3">
        <f t="shared" si="166"/>
        <v>66</v>
      </c>
    </row>
    <row r="322" spans="1:59" s="3" customFormat="1" x14ac:dyDescent="0.2">
      <c r="A322" s="3" t="s">
        <v>1184</v>
      </c>
      <c r="B322" s="3" t="str">
        <f>LOWER(VLOOKUP(A322,Xtal_Templ!A:B,2,FALSE))</f>
        <v>pth1r_human</v>
      </c>
      <c r="C322" s="3">
        <f>VLOOKUP($A322,'SegEnds_NonXtal_BW#'!$A:$Z,3,FALSE)+D322-50</f>
        <v>590</v>
      </c>
      <c r="D322" s="3">
        <v>617</v>
      </c>
      <c r="E322" s="3">
        <f>IF(ISERROR(VLOOKUP($A322,'SegEnds_NonXtal_BW#'!$A:$Z,4,FALSE)+VLOOKUP($A322,A:AL,4,FALSE)-50),"-",(VLOOKUP($A322,'SegEnds_NonXtal_BW#'!$A:$Z,4,FALSE)+VLOOKUP($A322,A:AL,4,FALSE)-50))</f>
        <v>627</v>
      </c>
      <c r="F322" s="3" t="s">
        <v>23</v>
      </c>
      <c r="G322" s="3" t="s">
        <v>23</v>
      </c>
      <c r="H322" s="3" t="s">
        <v>23</v>
      </c>
      <c r="I322" s="3">
        <f>VLOOKUP($A322,'SegEnds_NonXtal_BW#'!$A:$Z,7,FALSE)+J322-50</f>
        <v>632</v>
      </c>
      <c r="J322" s="3">
        <v>645</v>
      </c>
      <c r="K322" s="3">
        <f>VLOOKUP($A322,'SegEnds_NonXtal_BW#'!$A:$Z,8,FALSE)+VLOOKUP($A322,A:AL,10,FALSE)-50</f>
        <v>658</v>
      </c>
      <c r="L322" s="3" t="str">
        <f>IF(ISERROR(VLOOKUP($A322,'SegEnds_NonXtal_BW#'!$A:$Z,9,FALSE)+VLOOKUP($A322,A:AL,13,FALSE)-50),"-",(VLOOKUP($A322,'SegEnds_NonXtal_BW#'!$A:$Z,9,FALSE)+VLOOKUP($A322,A:AL,13,FALSE)-50))</f>
        <v>-</v>
      </c>
      <c r="M322" s="3" t="s">
        <v>23</v>
      </c>
      <c r="N322" s="3" t="str">
        <f>IF(ISERROR(VLOOKUP($A322,'SegEnds_NonXtal_BW#'!$A:$Z,10,FALSE)+VLOOKUP($A322,A:AL,13,FALSE)-50),"-",(VLOOKUP($A322,'SegEnds_NonXtal_BW#'!$A:$Z,10,FALSE)+VLOOKUP($A322,A:AL,13,FALSE)-50))</f>
        <v>-</v>
      </c>
      <c r="O322" s="3">
        <f>VLOOKUP($A322,'SegEnds_NonXtal_BW#'!$A:$Z,11,FALSE)+VLOOKUP($A322,A:AL,16,FALSE)-50</f>
        <v>663</v>
      </c>
      <c r="P322" s="3">
        <v>690</v>
      </c>
      <c r="Q322" s="3">
        <f>VLOOKUP($A322,'SegEnds_NonXtal_BW#'!$A:$Z,12,FALSE)+VLOOKUP($A322,A:AL,16,FALSE)-50</f>
        <v>696</v>
      </c>
      <c r="R322" s="3" t="str">
        <f>IF(ISERROR(VLOOKUP($A322,'SegEnds_NonXtal_BW#'!$A:$Z,13,FALSE)+VLOOKUP($A322,A:AL,19,FALSE)-50),"-",VLOOKUP($A322,'SegEnds_NonXtal_BW#'!$A:$Z,13,FALSE)+VLOOKUP($A322,A:AL,19,FALSE)-50)</f>
        <v>-</v>
      </c>
      <c r="S322" s="3" t="s">
        <v>23</v>
      </c>
      <c r="T322" s="100" t="str">
        <f>IF(ISERROR(VLOOKUP($A322,'SegEnds_NonXtal_BW#'!$A:$Z,14,FALSE)+VLOOKUP($A322,A:AL,19,FALSE)-50),"-",(VLOOKUP($A322,'SegEnds_NonXtal_BW#'!$A:$Z,14,FALSE)+VLOOKUP($A322,A:AL,19,FALSE)-50))</f>
        <v>-</v>
      </c>
      <c r="U322" s="9">
        <f>IF(ISERROR(VLOOKUP($A322,'SegEnds_NonXtal_BW#'!$A:$Z,15,FALSE)+VLOOKUP($A322,A:AL,22,FALSE)-50),"-",VLOOKUP($A322,'SegEnds_NonXtal_BW#'!$A:$Z,15,FALSE)+VLOOKUP($A322,A:AL,22,FALSE)-50)</f>
        <v>705</v>
      </c>
      <c r="V322" s="3">
        <v>718</v>
      </c>
      <c r="W322" s="3">
        <f>IF(ISERROR(VLOOKUP($A322,'SegEnds_NonXtal_BW#'!$A:$Z,16,FALSE)+VLOOKUP($A322,A:AL,22,FALSE)-50),"-",(VLOOKUP($A322,'SegEnds_NonXtal_BW#'!$A:$Z,16,FALSE)+VLOOKUP($A322,A:AL,22,FALSE)-50))</f>
        <v>736</v>
      </c>
      <c r="X322" s="3">
        <f>IF(ISERROR(VLOOKUP($A322,'SegEnds_NonXtal_BW#'!$A:$Z,17,FALSE)+VLOOKUP($A322,A:AL,25,FALSE)-50),"-",(VLOOKUP($A322,'SegEnds_NonXtal_BW#'!$A:$Z,17,FALSE)+VLOOKUP($A322,A:AL,25,FALSE)-50))</f>
        <v>742</v>
      </c>
      <c r="Y322" s="3">
        <v>742</v>
      </c>
      <c r="Z322" s="3">
        <f t="shared" si="176"/>
        <v>744</v>
      </c>
      <c r="AA322" s="3">
        <f>IF(ISERROR(VLOOKUP($A322,'SegEnds_NonXtal_BW#'!$A:$Z,19,FALSE)+VLOOKUP($A322,A:AL,28,FALSE)-50),"-",(VLOOKUP($A322,'SegEnds_NonXtal_BW#'!$A:$Z,19,FALSE)+VLOOKUP($A322,A:AL,28,FALSE)-50))</f>
        <v>747</v>
      </c>
      <c r="AB322" s="3">
        <v>761</v>
      </c>
      <c r="AC322" s="3">
        <f>IF(ISERROR((VLOOKUP($A322,'SegEnds_NonXtal_BW#'!$A:$Z,20,FALSE)+VLOOKUP($A322,A:AL,28,FALSE)-50)),"-",(VLOOKUP($A322,'SegEnds_NonXtal_BW#'!$A:$Z,20,FALSE)+VLOOKUP($A322,A:AL,28,FALSE)-50))</f>
        <v>780</v>
      </c>
      <c r="AD322" s="3">
        <f>IF(ISERROR(VLOOKUP($A322,'SegEnds_NonXtal_BW#'!$A:$Z,21,FALSE)+VLOOKUP($A322,A:AL,31,FALSE)-50),"-",(VLOOKUP($A322,'SegEnds_NonXtal_BW#'!$A:$Z,21,FALSE)+VLOOKUP($A322,A:AL,31,FALSE)-50))</f>
        <v>792</v>
      </c>
      <c r="AE322" s="3">
        <v>813</v>
      </c>
      <c r="AF322" s="3">
        <f>IF(ISERROR((VLOOKUP($A322,'SegEnds_NonXtal_BW#'!$A:$Z,22,FALSE)+VLOOKUP($A322,A:AL,31,FALSE)-50)),"-",(VLOOKUP($A322,'SegEnds_NonXtal_BW#'!$A:$Z,22,FALSE)+VLOOKUP($A322,A:AL,31,FALSE)-50))</f>
        <v>817</v>
      </c>
      <c r="AG322" s="3">
        <f>IF(ISERROR(VLOOKUP($A322,'SegEnds_NonXtal_BW#'!$A:$Z,23,FALSE)+VLOOKUP($A322,A:AL,34,FALSE)-50),"-",(VLOOKUP($A322,'SegEnds_NonXtal_BW#'!$A:$Z,23,FALSE)+VLOOKUP($A322,A:AL,34,FALSE)-50))</f>
        <v>822</v>
      </c>
      <c r="AH322" s="3">
        <v>841</v>
      </c>
      <c r="AI322" s="3">
        <f>IF(ISERROR((VLOOKUP($A322,'SegEnds_NonXtal_BW#'!$A:$Z,24,FALSE)+VLOOKUP($A322,A:AL,34,FALSE)-50)),"-",(VLOOKUP($A322,'SegEnds_NonXtal_BW#'!$A:$Z,24,FALSE)+VLOOKUP($A322,A:AL,34,FALSE)-50))</f>
        <v>847</v>
      </c>
      <c r="AJ322" s="3">
        <f>IF(ISERROR(VLOOKUP($A322,'SegEnds_NonXtal_BW#'!$A:$Z,25,FALSE)+VLOOKUP($A322,A:AL,37,FALSE)-50),"-",(VLOOKUP($A322,'SegEnds_NonXtal_BW#'!$A:$Z,25,FALSE)+VLOOKUP($A322,A:AL,37,FALSE)-50))</f>
        <v>848</v>
      </c>
      <c r="AK322" s="3">
        <v>851</v>
      </c>
      <c r="AL322" s="3">
        <f>IF(ISERROR((VLOOKUP($A322,'SegEnds_NonXtal_BW#'!$A:$Z,26,FALSE)+VLOOKUP($A322,A:AL,37,FALSE)-50)),"-",(VLOOKUP($A322,'SegEnds_NonXtal_BW#'!$A:$Z,26,FALSE)+VLOOKUP($A322,A:AL,37,FALSE)-50))</f>
        <v>864</v>
      </c>
      <c r="AM322" s="28" t="str">
        <f>VLOOKUP(A322,Classification!A:B,2,FALSE)</f>
        <v>B2</v>
      </c>
      <c r="AN322" s="28" t="b">
        <f t="shared" si="167"/>
        <v>1</v>
      </c>
      <c r="AO322" s="3" t="str">
        <f>IF(ISERROR(MATCH(A322,'SegEnds_Xtal_Prot#'!B:B, 0)), "NoXtal", "Xtal")</f>
        <v>NoXtal</v>
      </c>
      <c r="AP322" s="3" t="str">
        <f t="shared" si="152"/>
        <v>-</v>
      </c>
      <c r="AQ322" s="3" t="str">
        <f t="shared" si="153"/>
        <v>-</v>
      </c>
      <c r="AR322" s="3" t="str">
        <f t="shared" si="154"/>
        <v>-</v>
      </c>
      <c r="AS322" s="3" t="str">
        <f t="shared" si="155"/>
        <v>-</v>
      </c>
      <c r="AT322" s="3" t="str">
        <f t="shared" si="156"/>
        <v>-</v>
      </c>
      <c r="AU322" s="3" t="str">
        <f t="shared" si="157"/>
        <v>-</v>
      </c>
      <c r="AV322" s="3">
        <f t="shared" si="158"/>
        <v>6</v>
      </c>
      <c r="AW322" s="3">
        <f t="shared" si="159"/>
        <v>3</v>
      </c>
      <c r="AX322" s="3">
        <f t="shared" si="160"/>
        <v>12</v>
      </c>
      <c r="AY322" s="3">
        <f t="shared" si="161"/>
        <v>5</v>
      </c>
      <c r="AZ322" s="3">
        <f t="shared" si="162"/>
        <v>1</v>
      </c>
      <c r="BA322" s="3">
        <f>IF(ISERROR(LEN(VLOOKUP(A322,Seqs!A:E,2,FALSE))-AL322),"-",LEN(VLOOKUP(A322,Seqs!A:E,2,FALSE))-AL322)</f>
        <v>22</v>
      </c>
      <c r="BB322" s="16">
        <f t="shared" si="163"/>
        <v>28</v>
      </c>
      <c r="BC322" s="9" t="str">
        <f t="shared" si="164"/>
        <v>-</v>
      </c>
      <c r="BD322" s="3">
        <f t="shared" si="165"/>
        <v>28</v>
      </c>
      <c r="BE322" s="3">
        <f t="shared" si="166"/>
        <v>52</v>
      </c>
      <c r="BF322" s="3">
        <f>AH322-AE322</f>
        <v>28</v>
      </c>
    </row>
    <row r="323" spans="1:59" s="3" customFormat="1" x14ac:dyDescent="0.2">
      <c r="A323" s="3" t="s">
        <v>1185</v>
      </c>
      <c r="B323" s="3" t="str">
        <f>LOWER(VLOOKUP(A323,Xtal_Templ!A:B,2,FALSE))</f>
        <v>glp1r_human</v>
      </c>
      <c r="C323" s="3">
        <f>VLOOKUP($A323,'SegEnds_NonXtal_BW#'!$A:$Z,3,FALSE)+D323-50</f>
        <v>524</v>
      </c>
      <c r="D323" s="3">
        <v>551</v>
      </c>
      <c r="E323" s="3">
        <f>IF(ISERROR(VLOOKUP($A323,'SegEnds_NonXtal_BW#'!$A:$Z,4,FALSE)+VLOOKUP($A323,A:AL,4,FALSE)-50),"-",(VLOOKUP($A323,'SegEnds_NonXtal_BW#'!$A:$Z,4,FALSE)+VLOOKUP($A323,A:AL,4,FALSE)-50))</f>
        <v>561</v>
      </c>
      <c r="F323" s="3">
        <f>G323-2</f>
        <v>562</v>
      </c>
      <c r="G323" s="3">
        <v>564</v>
      </c>
      <c r="H323" s="3">
        <f t="shared" ref="H323:I325" si="178">G323+1</f>
        <v>565</v>
      </c>
      <c r="I323" s="3">
        <f t="shared" si="178"/>
        <v>566</v>
      </c>
      <c r="J323" s="3">
        <v>579</v>
      </c>
      <c r="K323" s="3">
        <f>VLOOKUP($A323,'SegEnds_NonXtal_BW#'!$A:$Z,8,FALSE)+VLOOKUP($A323,A:AL,10,FALSE)-50</f>
        <v>592</v>
      </c>
      <c r="L323" s="3" t="str">
        <f>IF(ISERROR(VLOOKUP($A323,'SegEnds_NonXtal_BW#'!$A:$Z,9,FALSE)+VLOOKUP($A323,A:AL,13,FALSE)-50),"-",(VLOOKUP($A323,'SegEnds_NonXtal_BW#'!$A:$Z,9,FALSE)+VLOOKUP($A323,A:AL,13,FALSE)-50))</f>
        <v>-</v>
      </c>
      <c r="M323" s="3" t="s">
        <v>23</v>
      </c>
      <c r="N323" s="3" t="str">
        <f>IF(ISERROR(VLOOKUP($A323,'SegEnds_NonXtal_BW#'!$A:$Z,10,FALSE)+VLOOKUP($A323,A:AL,13,FALSE)-50),"-",(VLOOKUP($A323,'SegEnds_NonXtal_BW#'!$A:$Z,10,FALSE)+VLOOKUP($A323,A:AL,13,FALSE)-50))</f>
        <v>-</v>
      </c>
      <c r="O323" s="3">
        <f>VLOOKUP($A323,'SegEnds_NonXtal_BW#'!$A:$Z,11,FALSE)+VLOOKUP($A323,A:AL,16,FALSE)-50</f>
        <v>597</v>
      </c>
      <c r="P323" s="3">
        <v>624</v>
      </c>
      <c r="Q323" s="3">
        <f>VLOOKUP($A323,'SegEnds_NonXtal_BW#'!$A:$Z,12,FALSE)+VLOOKUP($A323,A:AL,16,FALSE)-50</f>
        <v>630</v>
      </c>
      <c r="R323" s="3" t="str">
        <f>IF(ISERROR(VLOOKUP($A323,'SegEnds_NonXtal_BW#'!$A:$Z,13,FALSE)+VLOOKUP($A323,A:AL,19,FALSE)-50),"-",VLOOKUP($A323,'SegEnds_NonXtal_BW#'!$A:$Z,13,FALSE)+VLOOKUP($A323,A:AL,19,FALSE)-50)</f>
        <v>-</v>
      </c>
      <c r="S323" s="3" t="s">
        <v>23</v>
      </c>
      <c r="T323" s="100" t="str">
        <f>IF(ISERROR(VLOOKUP($A323,'SegEnds_NonXtal_BW#'!$A:$Z,14,FALSE)+VLOOKUP($A323,A:AL,19,FALSE)-50),"-",(VLOOKUP($A323,'SegEnds_NonXtal_BW#'!$A:$Z,14,FALSE)+VLOOKUP($A323,A:AL,19,FALSE)-50))</f>
        <v>-</v>
      </c>
      <c r="U323" s="9">
        <f>IF(ISERROR(VLOOKUP($A323,'SegEnds_NonXtal_BW#'!$A:$Z,15,FALSE)+VLOOKUP($A323,A:AL,22,FALSE)-50),"-",VLOOKUP($A323,'SegEnds_NonXtal_BW#'!$A:$Z,15,FALSE)+VLOOKUP($A323,A:AL,22,FALSE)-50)</f>
        <v>640</v>
      </c>
      <c r="V323" s="3">
        <v>652</v>
      </c>
      <c r="W323" s="3">
        <f>IF(ISERROR(VLOOKUP($A323,'SegEnds_NonXtal_BW#'!$A:$Z,16,FALSE)+VLOOKUP($A323,A:AL,22,FALSE)-50),"-",(VLOOKUP($A323,'SegEnds_NonXtal_BW#'!$A:$Z,16,FALSE)+VLOOKUP($A323,A:AL,22,FALSE)-50))</f>
        <v>670</v>
      </c>
      <c r="X323" s="3">
        <f>IF(ISERROR(VLOOKUP($A323,'SegEnds_NonXtal_BW#'!$A:$Z,17,FALSE)+VLOOKUP($A323,A:AL,25,FALSE)-50),"-",(VLOOKUP($A323,'SegEnds_NonXtal_BW#'!$A:$Z,17,FALSE)+VLOOKUP($A323,A:AL,25,FALSE)-50))</f>
        <v>676</v>
      </c>
      <c r="Y323" s="3">
        <v>676</v>
      </c>
      <c r="Z323" s="3">
        <f t="shared" si="176"/>
        <v>678</v>
      </c>
      <c r="AA323" s="3">
        <f>IF(ISERROR(VLOOKUP($A323,'SegEnds_NonXtal_BW#'!$A:$Z,19,FALSE)+VLOOKUP($A323,A:AL,28,FALSE)-50),"-",(VLOOKUP($A323,'SegEnds_NonXtal_BW#'!$A:$Z,19,FALSE)+VLOOKUP($A323,A:AL,28,FALSE)-50))</f>
        <v>681</v>
      </c>
      <c r="AB323" s="3">
        <v>695</v>
      </c>
      <c r="AC323" s="3">
        <f>IF(ISERROR((VLOOKUP($A323,'SegEnds_NonXtal_BW#'!$A:$Z,20,FALSE)+VLOOKUP($A323,A:AL,28,FALSE)-50)),"-",(VLOOKUP($A323,'SegEnds_NonXtal_BW#'!$A:$Z,20,FALSE)+VLOOKUP($A323,A:AL,28,FALSE)-50))</f>
        <v>714</v>
      </c>
      <c r="AD323" s="3">
        <f>IF(ISERROR(VLOOKUP($A323,'SegEnds_NonXtal_BW#'!$A:$Z,21,FALSE)+VLOOKUP($A323,A:AL,31,FALSE)-50),"-",(VLOOKUP($A323,'SegEnds_NonXtal_BW#'!$A:$Z,21,FALSE)+VLOOKUP($A323,A:AL,31,FALSE)-50))</f>
        <v>726</v>
      </c>
      <c r="AE323" s="3">
        <v>747</v>
      </c>
      <c r="AF323" s="3">
        <f>IF(ISERROR((VLOOKUP($A323,'SegEnds_NonXtal_BW#'!$A:$Z,22,FALSE)+VLOOKUP($A323,A:AL,31,FALSE)-50)),"-",(VLOOKUP($A323,'SegEnds_NonXtal_BW#'!$A:$Z,22,FALSE)+VLOOKUP($A323,A:AL,31,FALSE)-50))</f>
        <v>750</v>
      </c>
      <c r="AG323" s="3">
        <f>IF(ISERROR(VLOOKUP($A323,'SegEnds_NonXtal_BW#'!$A:$Z,23,FALSE)+VLOOKUP($A323,A:AL,34,FALSE)-50),"-",(VLOOKUP($A323,'SegEnds_NonXtal_BW#'!$A:$Z,23,FALSE)+VLOOKUP($A323,A:AL,34,FALSE)-50))</f>
        <v>756</v>
      </c>
      <c r="AH323" s="3">
        <v>775</v>
      </c>
      <c r="AI323" s="3">
        <f>IF(ISERROR((VLOOKUP($A323,'SegEnds_NonXtal_BW#'!$A:$Z,24,FALSE)+VLOOKUP($A323,A:AL,34,FALSE)-50)),"-",(VLOOKUP($A323,'SegEnds_NonXtal_BW#'!$A:$Z,24,FALSE)+VLOOKUP($A323,A:AL,34,FALSE)-50))</f>
        <v>781</v>
      </c>
      <c r="AJ323" s="3">
        <f>IF(ISERROR(VLOOKUP($A323,'SegEnds_NonXtal_BW#'!$A:$Z,25,FALSE)+VLOOKUP($A323,A:AL,37,FALSE)-50),"-",(VLOOKUP($A323,'SegEnds_NonXtal_BW#'!$A:$Z,25,FALSE)+VLOOKUP($A323,A:AL,37,FALSE)-50))</f>
        <v>782</v>
      </c>
      <c r="AK323" s="3">
        <v>785</v>
      </c>
      <c r="AL323" s="3">
        <f>IF(ISERROR((VLOOKUP($A323,'SegEnds_NonXtal_BW#'!$A:$Z,26,FALSE)+VLOOKUP($A323,A:AL,37,FALSE)-50)),"-",(VLOOKUP($A323,'SegEnds_NonXtal_BW#'!$A:$Z,26,FALSE)+VLOOKUP($A323,A:AL,37,FALSE)-50))</f>
        <v>798</v>
      </c>
      <c r="AM323" s="28" t="str">
        <f>VLOOKUP(A323,Classification!A:B,2,FALSE)</f>
        <v>B2</v>
      </c>
      <c r="AN323" s="28" t="b">
        <f t="shared" si="167"/>
        <v>1</v>
      </c>
      <c r="AO323" s="3" t="str">
        <f>IF(ISERROR(MATCH(A323,'SegEnds_Xtal_Prot#'!B:B, 0)), "NoXtal", "Xtal")</f>
        <v>NoXtal</v>
      </c>
      <c r="AP323" s="3">
        <f t="shared" si="152"/>
        <v>1</v>
      </c>
      <c r="AQ323" s="3">
        <f t="shared" si="153"/>
        <v>1</v>
      </c>
      <c r="AR323" s="3" t="str">
        <f t="shared" si="154"/>
        <v>-</v>
      </c>
      <c r="AS323" s="3" t="str">
        <f t="shared" si="155"/>
        <v>-</v>
      </c>
      <c r="AT323" s="3" t="str">
        <f t="shared" si="156"/>
        <v>-</v>
      </c>
      <c r="AU323" s="3" t="str">
        <f t="shared" si="157"/>
        <v>-</v>
      </c>
      <c r="AV323" s="3">
        <f t="shared" si="158"/>
        <v>6</v>
      </c>
      <c r="AW323" s="3">
        <f t="shared" si="159"/>
        <v>3</v>
      </c>
      <c r="AX323" s="3">
        <f t="shared" si="160"/>
        <v>12</v>
      </c>
      <c r="AY323" s="3">
        <f t="shared" si="161"/>
        <v>6</v>
      </c>
      <c r="AZ323" s="3">
        <f t="shared" si="162"/>
        <v>1</v>
      </c>
      <c r="BA323" s="3">
        <f>IF(ISERROR(LEN(VLOOKUP(A323,Seqs!A:E,2,FALSE))-AL323),"-",LEN(VLOOKUP(A323,Seqs!A:E,2,FALSE))-AL323)</f>
        <v>25</v>
      </c>
      <c r="BB323" s="16">
        <f t="shared" si="163"/>
        <v>28</v>
      </c>
      <c r="BC323" s="9" t="str">
        <f t="shared" si="164"/>
        <v>-</v>
      </c>
      <c r="BD323" s="3">
        <f t="shared" si="165"/>
        <v>28</v>
      </c>
      <c r="BE323" s="3">
        <f t="shared" si="166"/>
        <v>52</v>
      </c>
      <c r="BF323" s="3">
        <f>AH323-AE323</f>
        <v>28</v>
      </c>
    </row>
    <row r="324" spans="1:59" s="3" customFormat="1" x14ac:dyDescent="0.2">
      <c r="A324" s="3" t="s">
        <v>1186</v>
      </c>
      <c r="B324" s="3" t="str">
        <f>LOWER(VLOOKUP(A324,Xtal_Templ!A:B,2,FALSE))</f>
        <v>pth1r_human</v>
      </c>
      <c r="C324" s="3">
        <f>VLOOKUP($A324,'SegEnds_NonXtal_BW#'!$A:$Z,3,FALSE)+D324-50</f>
        <v>344</v>
      </c>
      <c r="D324" s="3">
        <v>371</v>
      </c>
      <c r="E324" s="3">
        <f>IF(ISERROR(VLOOKUP($A324,'SegEnds_NonXtal_BW#'!$A:$Z,4,FALSE)+VLOOKUP($A324,A:AL,4,FALSE)-50),"-",(VLOOKUP($A324,'SegEnds_NonXtal_BW#'!$A:$Z,4,FALSE)+VLOOKUP($A324,A:AL,4,FALSE)-50))</f>
        <v>381</v>
      </c>
      <c r="F324" s="3">
        <f>G324-2</f>
        <v>382</v>
      </c>
      <c r="G324" s="3">
        <v>384</v>
      </c>
      <c r="H324" s="3">
        <f t="shared" si="178"/>
        <v>385</v>
      </c>
      <c r="I324" s="3">
        <f t="shared" si="178"/>
        <v>386</v>
      </c>
      <c r="J324" s="3">
        <v>399</v>
      </c>
      <c r="K324" s="3">
        <f>VLOOKUP($A324,'SegEnds_NonXtal_BW#'!$A:$Z,8,FALSE)+VLOOKUP($A324,A:AL,10,FALSE)-50</f>
        <v>412</v>
      </c>
      <c r="L324" s="3" t="str">
        <f>IF(ISERROR(VLOOKUP($A324,'SegEnds_NonXtal_BW#'!$A:$Z,9,FALSE)+VLOOKUP($A324,A:AL,13,FALSE)-50),"-",(VLOOKUP($A324,'SegEnds_NonXtal_BW#'!$A:$Z,9,FALSE)+VLOOKUP($A324,A:AL,13,FALSE)-50))</f>
        <v>-</v>
      </c>
      <c r="M324" s="3" t="s">
        <v>23</v>
      </c>
      <c r="N324" s="3" t="str">
        <f>IF(ISERROR(VLOOKUP($A324,'SegEnds_NonXtal_BW#'!$A:$Z,10,FALSE)+VLOOKUP($A324,A:AL,13,FALSE)-50),"-",(VLOOKUP($A324,'SegEnds_NonXtal_BW#'!$A:$Z,10,FALSE)+VLOOKUP($A324,A:AL,13,FALSE)-50))</f>
        <v>-</v>
      </c>
      <c r="O324" s="3">
        <f>VLOOKUP($A324,'SegEnds_NonXtal_BW#'!$A:$Z,11,FALSE)+VLOOKUP($A324,A:AL,16,FALSE)-50</f>
        <v>417</v>
      </c>
      <c r="P324" s="3">
        <v>444</v>
      </c>
      <c r="Q324" s="3">
        <f>VLOOKUP($A324,'SegEnds_NonXtal_BW#'!$A:$Z,12,FALSE)+VLOOKUP($A324,A:AL,16,FALSE)-50</f>
        <v>450</v>
      </c>
      <c r="R324" s="3" t="str">
        <f>IF(ISERROR(VLOOKUP($A324,'SegEnds_NonXtal_BW#'!$A:$Z,13,FALSE)+VLOOKUP($A324,A:AL,19,FALSE)-50),"-",VLOOKUP($A324,'SegEnds_NonXtal_BW#'!$A:$Z,13,FALSE)+VLOOKUP($A324,A:AL,19,FALSE)-50)</f>
        <v>-</v>
      </c>
      <c r="S324" s="3" t="s">
        <v>23</v>
      </c>
      <c r="T324" s="100" t="str">
        <f>IF(ISERROR(VLOOKUP($A324,'SegEnds_NonXtal_BW#'!$A:$Z,14,FALSE)+VLOOKUP($A324,A:AL,19,FALSE)-50),"-",(VLOOKUP($A324,'SegEnds_NonXtal_BW#'!$A:$Z,14,FALSE)+VLOOKUP($A324,A:AL,19,FALSE)-50))</f>
        <v>-</v>
      </c>
      <c r="U324" s="9">
        <f>IF(ISERROR(VLOOKUP($A324,'SegEnds_NonXtal_BW#'!$A:$Z,15,FALSE)+VLOOKUP($A324,A:AL,22,FALSE)-50),"-",VLOOKUP($A324,'SegEnds_NonXtal_BW#'!$A:$Z,15,FALSE)+VLOOKUP($A324,A:AL,22,FALSE)-50)</f>
        <v>459</v>
      </c>
      <c r="V324" s="3">
        <v>472</v>
      </c>
      <c r="W324" s="3">
        <f>IF(ISERROR(VLOOKUP($A324,'SegEnds_NonXtal_BW#'!$A:$Z,16,FALSE)+VLOOKUP($A324,A:AL,22,FALSE)-50),"-",(VLOOKUP($A324,'SegEnds_NonXtal_BW#'!$A:$Z,16,FALSE)+VLOOKUP($A324,A:AL,22,FALSE)-50))</f>
        <v>490</v>
      </c>
      <c r="X324" s="3">
        <f>IF(ISERROR(VLOOKUP($A324,'SegEnds_NonXtal_BW#'!$A:$Z,17,FALSE)+VLOOKUP($A324,A:AL,25,FALSE)-50),"-",(VLOOKUP($A324,'SegEnds_NonXtal_BW#'!$A:$Z,17,FALSE)+VLOOKUP($A324,A:AL,25,FALSE)-50))</f>
        <v>496</v>
      </c>
      <c r="Y324" s="3">
        <v>496</v>
      </c>
      <c r="Z324" s="3">
        <f t="shared" si="176"/>
        <v>498</v>
      </c>
      <c r="AA324" s="3">
        <f>IF(ISERROR(VLOOKUP($A324,'SegEnds_NonXtal_BW#'!$A:$Z,19,FALSE)+VLOOKUP($A324,A:AL,28,FALSE)-50),"-",(VLOOKUP($A324,'SegEnds_NonXtal_BW#'!$A:$Z,19,FALSE)+VLOOKUP($A324,A:AL,28,FALSE)-50))</f>
        <v>501</v>
      </c>
      <c r="AB324" s="3">
        <v>515</v>
      </c>
      <c r="AC324" s="3">
        <f>IF(ISERROR((VLOOKUP($A324,'SegEnds_NonXtal_BW#'!$A:$Z,20,FALSE)+VLOOKUP($A324,A:AL,28,FALSE)-50)),"-",(VLOOKUP($A324,'SegEnds_NonXtal_BW#'!$A:$Z,20,FALSE)+VLOOKUP($A324,A:AL,28,FALSE)-50))</f>
        <v>534</v>
      </c>
      <c r="AD324" s="3">
        <f>IF(ISERROR(VLOOKUP($A324,'SegEnds_NonXtal_BW#'!$A:$Z,21,FALSE)+VLOOKUP($A324,A:AL,31,FALSE)-50),"-",(VLOOKUP($A324,'SegEnds_NonXtal_BW#'!$A:$Z,21,FALSE)+VLOOKUP($A324,A:AL,31,FALSE)-50))</f>
        <v>546</v>
      </c>
      <c r="AE324" s="3">
        <v>567</v>
      </c>
      <c r="AF324" s="3">
        <f>IF(ISERROR((VLOOKUP($A324,'SegEnds_NonXtal_BW#'!$A:$Z,22,FALSE)+VLOOKUP($A324,A:AL,31,FALSE)-50)),"-",(VLOOKUP($A324,'SegEnds_NonXtal_BW#'!$A:$Z,22,FALSE)+VLOOKUP($A324,A:AL,31,FALSE)-50))</f>
        <v>571</v>
      </c>
      <c r="AG324" s="3">
        <f>IF(ISERROR(VLOOKUP($A324,'SegEnds_NonXtal_BW#'!$A:$Z,23,FALSE)+VLOOKUP($A324,A:AL,34,FALSE)-50),"-",(VLOOKUP($A324,'SegEnds_NonXtal_BW#'!$A:$Z,23,FALSE)+VLOOKUP($A324,A:AL,34,FALSE)-50))</f>
        <v>576</v>
      </c>
      <c r="AH324" s="3">
        <v>595</v>
      </c>
      <c r="AI324" s="3">
        <f>IF(ISERROR((VLOOKUP($A324,'SegEnds_NonXtal_BW#'!$A:$Z,24,FALSE)+VLOOKUP($A324,A:AL,34,FALSE)-50)),"-",(VLOOKUP($A324,'SegEnds_NonXtal_BW#'!$A:$Z,24,FALSE)+VLOOKUP($A324,A:AL,34,FALSE)-50))</f>
        <v>601</v>
      </c>
      <c r="AJ324" s="3">
        <f>IF(ISERROR(VLOOKUP($A324,'SegEnds_NonXtal_BW#'!$A:$Z,25,FALSE)+VLOOKUP($A324,A:AL,37,FALSE)-50),"-",(VLOOKUP($A324,'SegEnds_NonXtal_BW#'!$A:$Z,25,FALSE)+VLOOKUP($A324,A:AL,37,FALSE)-50))</f>
        <v>602</v>
      </c>
      <c r="AK324" s="3">
        <v>605</v>
      </c>
      <c r="AL324" s="3">
        <f>IF(ISERROR((VLOOKUP($A324,'SegEnds_NonXtal_BW#'!$A:$Z,26,FALSE)+VLOOKUP($A324,A:AL,37,FALSE)-50)),"-",(VLOOKUP($A324,'SegEnds_NonXtal_BW#'!$A:$Z,26,FALSE)+VLOOKUP($A324,A:AL,37,FALSE)-50))</f>
        <v>618</v>
      </c>
      <c r="AM324" s="28" t="str">
        <f>VLOOKUP(A324,Classification!A:B,2,FALSE)</f>
        <v>B2</v>
      </c>
      <c r="AN324" s="28" t="b">
        <f t="shared" si="167"/>
        <v>1</v>
      </c>
      <c r="AO324" s="3" t="str">
        <f>IF(ISERROR(MATCH(A324,'SegEnds_Xtal_Prot#'!B:B, 0)), "NoXtal", "Xtal")</f>
        <v>NoXtal</v>
      </c>
      <c r="AP324" s="3">
        <f t="shared" si="152"/>
        <v>1</v>
      </c>
      <c r="AQ324" s="3">
        <f t="shared" si="153"/>
        <v>1</v>
      </c>
      <c r="AR324" s="3" t="str">
        <f t="shared" si="154"/>
        <v>-</v>
      </c>
      <c r="AS324" s="3" t="str">
        <f t="shared" si="155"/>
        <v>-</v>
      </c>
      <c r="AT324" s="3" t="str">
        <f t="shared" si="156"/>
        <v>-</v>
      </c>
      <c r="AU324" s="3" t="str">
        <f t="shared" si="157"/>
        <v>-</v>
      </c>
      <c r="AV324" s="3">
        <f t="shared" si="158"/>
        <v>6</v>
      </c>
      <c r="AW324" s="3">
        <f t="shared" si="159"/>
        <v>3</v>
      </c>
      <c r="AX324" s="3">
        <f t="shared" si="160"/>
        <v>12</v>
      </c>
      <c r="AY324" s="3">
        <f t="shared" si="161"/>
        <v>5</v>
      </c>
      <c r="AZ324" s="3">
        <f t="shared" si="162"/>
        <v>1</v>
      </c>
      <c r="BA324" s="3">
        <f>IF(ISERROR(LEN(VLOOKUP(A324,Seqs!A:E,2,FALSE))-AL324),"-",LEN(VLOOKUP(A324,Seqs!A:E,2,FALSE))-AL324)</f>
        <v>34</v>
      </c>
      <c r="BB324" s="16">
        <f t="shared" si="163"/>
        <v>28</v>
      </c>
      <c r="BC324" s="9" t="str">
        <f t="shared" si="164"/>
        <v>-</v>
      </c>
      <c r="BD324" s="3">
        <f t="shared" si="165"/>
        <v>28</v>
      </c>
      <c r="BE324" s="3">
        <f t="shared" si="166"/>
        <v>52</v>
      </c>
      <c r="BF324" s="3">
        <f>AH324-AE324</f>
        <v>28</v>
      </c>
    </row>
    <row r="325" spans="1:59" s="3" customFormat="1" x14ac:dyDescent="0.2">
      <c r="A325" s="3" t="s">
        <v>1187</v>
      </c>
      <c r="B325" s="3" t="str">
        <f>LOWER(VLOOKUP(A325,Xtal_Templ!A:B,2,FALSE))</f>
        <v>glp1r_human</v>
      </c>
      <c r="C325" s="3">
        <f>VLOOKUP($A325,'SegEnds_NonXtal_BW#'!$A:$Z,3,FALSE)+D325-50</f>
        <v>178</v>
      </c>
      <c r="D325" s="3">
        <v>205</v>
      </c>
      <c r="E325" s="3">
        <f>IF(ISERROR(VLOOKUP($A325,'SegEnds_NonXtal_BW#'!$A:$Z,4,FALSE)+VLOOKUP($A325,A:AL,4,FALSE)-50),"-",(VLOOKUP($A325,'SegEnds_NonXtal_BW#'!$A:$Z,4,FALSE)+VLOOKUP($A325,A:AL,4,FALSE)-50))</f>
        <v>215</v>
      </c>
      <c r="F325" s="3">
        <f>G325-2</f>
        <v>216</v>
      </c>
      <c r="G325" s="3">
        <v>218</v>
      </c>
      <c r="H325" s="3">
        <f t="shared" si="178"/>
        <v>219</v>
      </c>
      <c r="I325" s="3">
        <f t="shared" si="178"/>
        <v>220</v>
      </c>
      <c r="J325" s="3">
        <v>233</v>
      </c>
      <c r="K325" s="3">
        <f>VLOOKUP($A325,'SegEnds_NonXtal_BW#'!$A:$Z,8,FALSE)+VLOOKUP($A325,A:AL,10,FALSE)-50</f>
        <v>246</v>
      </c>
      <c r="L325" s="3" t="str">
        <f>IF(ISERROR(VLOOKUP($A325,'SegEnds_NonXtal_BW#'!$A:$Z,9,FALSE)+VLOOKUP($A325,A:AL,13,FALSE)-50),"-",(VLOOKUP($A325,'SegEnds_NonXtal_BW#'!$A:$Z,9,FALSE)+VLOOKUP($A325,A:AL,13,FALSE)-50))</f>
        <v>-</v>
      </c>
      <c r="M325" s="3" t="s">
        <v>23</v>
      </c>
      <c r="N325" s="3" t="str">
        <f>IF(ISERROR(VLOOKUP($A325,'SegEnds_NonXtal_BW#'!$A:$Z,10,FALSE)+VLOOKUP($A325,A:AL,13,FALSE)-50),"-",(VLOOKUP($A325,'SegEnds_NonXtal_BW#'!$A:$Z,10,FALSE)+VLOOKUP($A325,A:AL,13,FALSE)-50))</f>
        <v>-</v>
      </c>
      <c r="O325" s="3">
        <f>VLOOKUP($A325,'SegEnds_NonXtal_BW#'!$A:$Z,11,FALSE)+VLOOKUP($A325,A:AL,16,FALSE)-50</f>
        <v>251</v>
      </c>
      <c r="P325" s="3">
        <v>278</v>
      </c>
      <c r="Q325" s="3">
        <f>VLOOKUP($A325,'SegEnds_NonXtal_BW#'!$A:$Z,12,FALSE)+VLOOKUP($A325,A:AL,16,FALSE)-50</f>
        <v>284</v>
      </c>
      <c r="R325" s="3" t="str">
        <f>IF(ISERROR(VLOOKUP($A325,'SegEnds_NonXtal_BW#'!$A:$Z,13,FALSE)+VLOOKUP($A325,A:AL,19,FALSE)-50),"-",VLOOKUP($A325,'SegEnds_NonXtal_BW#'!$A:$Z,13,FALSE)+VLOOKUP($A325,A:AL,19,FALSE)-50)</f>
        <v>-</v>
      </c>
      <c r="S325" s="3" t="s">
        <v>23</v>
      </c>
      <c r="T325" s="100" t="str">
        <f>IF(ISERROR(VLOOKUP($A325,'SegEnds_NonXtal_BW#'!$A:$Z,14,FALSE)+VLOOKUP($A325,A:AL,19,FALSE)-50),"-",(VLOOKUP($A325,'SegEnds_NonXtal_BW#'!$A:$Z,14,FALSE)+VLOOKUP($A325,A:AL,19,FALSE)-50))</f>
        <v>-</v>
      </c>
      <c r="U325" s="9">
        <f>IF(ISERROR(VLOOKUP($A325,'SegEnds_NonXtal_BW#'!$A:$Z,15,FALSE)+VLOOKUP($A325,A:AL,22,FALSE)-50),"-",VLOOKUP($A325,'SegEnds_NonXtal_BW#'!$A:$Z,15,FALSE)+VLOOKUP($A325,A:AL,22,FALSE)-50)</f>
        <v>294</v>
      </c>
      <c r="V325" s="3">
        <v>306</v>
      </c>
      <c r="W325" s="3">
        <f>IF(ISERROR(VLOOKUP($A325,'SegEnds_NonXtal_BW#'!$A:$Z,16,FALSE)+VLOOKUP($A325,A:AL,22,FALSE)-50),"-",(VLOOKUP($A325,'SegEnds_NonXtal_BW#'!$A:$Z,16,FALSE)+VLOOKUP($A325,A:AL,22,FALSE)-50))</f>
        <v>324</v>
      </c>
      <c r="X325" s="3">
        <f>IF(ISERROR(VLOOKUP($A325,'SegEnds_NonXtal_BW#'!$A:$Z,17,FALSE)+VLOOKUP($A325,A:AL,25,FALSE)-50),"-",(VLOOKUP($A325,'SegEnds_NonXtal_BW#'!$A:$Z,17,FALSE)+VLOOKUP($A325,A:AL,25,FALSE)-50))</f>
        <v>329</v>
      </c>
      <c r="Y325" s="3">
        <v>329</v>
      </c>
      <c r="Z325" s="3">
        <f t="shared" ref="Z325:Z350" si="179">Y325+2</f>
        <v>331</v>
      </c>
      <c r="AA325" s="3">
        <f>IF(ISERROR(VLOOKUP($A325,'SegEnds_NonXtal_BW#'!$A:$Z,19,FALSE)+VLOOKUP($A325,A:AL,28,FALSE)-50),"-",(VLOOKUP($A325,'SegEnds_NonXtal_BW#'!$A:$Z,19,FALSE)+VLOOKUP($A325,A:AL,28,FALSE)-50))</f>
        <v>334</v>
      </c>
      <c r="AB325" s="3">
        <v>348</v>
      </c>
      <c r="AC325" s="3">
        <f>IF(ISERROR((VLOOKUP($A325,'SegEnds_NonXtal_BW#'!$A:$Z,20,FALSE)+VLOOKUP($A325,A:AL,28,FALSE)-50)),"-",(VLOOKUP($A325,'SegEnds_NonXtal_BW#'!$A:$Z,20,FALSE)+VLOOKUP($A325,A:AL,28,FALSE)-50))</f>
        <v>367</v>
      </c>
      <c r="AD325" s="3">
        <f>IF(ISERROR(VLOOKUP($A325,'SegEnds_NonXtal_BW#'!$A:$Z,21,FALSE)+VLOOKUP($A325,A:AL,31,FALSE)-50),"-",(VLOOKUP($A325,'SegEnds_NonXtal_BW#'!$A:$Z,21,FALSE)+VLOOKUP($A325,A:AL,31,FALSE)-50))</f>
        <v>379</v>
      </c>
      <c r="AE325" s="3">
        <v>400</v>
      </c>
      <c r="AF325" s="3">
        <f>IF(ISERROR((VLOOKUP($A325,'SegEnds_NonXtal_BW#'!$A:$Z,22,FALSE)+VLOOKUP($A325,A:AL,31,FALSE)-50)),"-",(VLOOKUP($A325,'SegEnds_NonXtal_BW#'!$A:$Z,22,FALSE)+VLOOKUP($A325,A:AL,31,FALSE)-50))</f>
        <v>403</v>
      </c>
      <c r="AG325" s="3">
        <f>IF(ISERROR(VLOOKUP($A325,'SegEnds_NonXtal_BW#'!$A:$Z,23,FALSE)+VLOOKUP($A325,A:AL,34,FALSE)-50),"-",(VLOOKUP($A325,'SegEnds_NonXtal_BW#'!$A:$Z,23,FALSE)+VLOOKUP($A325,A:AL,34,FALSE)-50))</f>
        <v>410</v>
      </c>
      <c r="AH325" s="3">
        <v>432</v>
      </c>
      <c r="AI325" s="3">
        <f>IF(ISERROR((VLOOKUP($A325,'SegEnds_NonXtal_BW#'!$A:$Z,24,FALSE)+VLOOKUP($A325,A:AL,34,FALSE)-50)),"-",(VLOOKUP($A325,'SegEnds_NonXtal_BW#'!$A:$Z,24,FALSE)+VLOOKUP($A325,A:AL,34,FALSE)-50))</f>
        <v>438</v>
      </c>
      <c r="AJ325" s="3">
        <f>IF(ISERROR(VLOOKUP($A325,'SegEnds_NonXtal_BW#'!$A:$Z,25,FALSE)+VLOOKUP($A325,A:AL,37,FALSE)-50),"-",(VLOOKUP($A325,'SegEnds_NonXtal_BW#'!$A:$Z,25,FALSE)+VLOOKUP($A325,A:AL,37,FALSE)-50))</f>
        <v>439</v>
      </c>
      <c r="AK325" s="3">
        <v>442</v>
      </c>
      <c r="AL325" s="3">
        <f>IF(ISERROR((VLOOKUP($A325,'SegEnds_NonXtal_BW#'!$A:$Z,26,FALSE)+VLOOKUP($A325,A:AL,37,FALSE)-50)),"-",(VLOOKUP($A325,'SegEnds_NonXtal_BW#'!$A:$Z,26,FALSE)+VLOOKUP($A325,A:AL,37,FALSE)-50))</f>
        <v>455</v>
      </c>
      <c r="AM325" s="28" t="str">
        <f>VLOOKUP(A325,Classification!A:B,2,FALSE)</f>
        <v>B2</v>
      </c>
      <c r="AN325" s="28" t="b">
        <f t="shared" si="167"/>
        <v>1</v>
      </c>
      <c r="AO325" s="3" t="str">
        <f>IF(ISERROR(MATCH(A325,'SegEnds_Xtal_Prot#'!B:B, 0)), "NoXtal", "Xtal")</f>
        <v>NoXtal</v>
      </c>
      <c r="AP325" s="3">
        <f t="shared" ref="AP325:AP389" si="180">IF(ISERROR(F325-E325),"-",F325-E325)</f>
        <v>1</v>
      </c>
      <c r="AQ325" s="3">
        <f t="shared" ref="AQ325:AQ389" si="181">IF(ISERROR(I325-H325),"-",I325-H325)</f>
        <v>1</v>
      </c>
      <c r="AR325" s="3" t="str">
        <f t="shared" ref="AR325:AR389" si="182">IF(ISERROR(L325-K325),"-",L325-K325)</f>
        <v>-</v>
      </c>
      <c r="AS325" s="3" t="str">
        <f t="shared" ref="AS325:AS389" si="183">IF(ISERROR(O325-N325),"-",O325-N325)</f>
        <v>-</v>
      </c>
      <c r="AT325" s="3" t="str">
        <f t="shared" ref="AT325:AT389" si="184">IF(ISERROR(R325-Q325),"-",R325-Q325)</f>
        <v>-</v>
      </c>
      <c r="AU325" s="3" t="str">
        <f t="shared" ref="AU325:AU389" si="185">IF(ISERROR(U325-T325),"-",U325-T325)</f>
        <v>-</v>
      </c>
      <c r="AV325" s="3">
        <f t="shared" ref="AV325:AV389" si="186">IF(ISERROR(X325-W325),"-",X325-W325)</f>
        <v>5</v>
      </c>
      <c r="AW325" s="3">
        <f t="shared" ref="AW325:AW389" si="187">IF(ISERROR(AA325-Z325),"-",AA325-Z325)</f>
        <v>3</v>
      </c>
      <c r="AX325" s="3">
        <f t="shared" ref="AX325:AX389" si="188">IF(ISERROR(AD325-AC325),"-",AD325-AC325)</f>
        <v>12</v>
      </c>
      <c r="AY325" s="3">
        <f t="shared" ref="AY325:AY389" si="189">IF(ISERROR(AG325-AF325),"-",AG325-AF325)</f>
        <v>7</v>
      </c>
      <c r="AZ325" s="3">
        <f t="shared" ref="AZ325:AZ389" si="190">IF(ISERROR(AJ325-AI325),"-",AJ325-AI325)</f>
        <v>1</v>
      </c>
      <c r="BA325" s="3">
        <f>IF(ISERROR(LEN(VLOOKUP(A325,Seqs!A:E,2,FALSE))-AL325),"-",LEN(VLOOKUP(A325,Seqs!A:E,2,FALSE))-AL325)</f>
        <v>2</v>
      </c>
      <c r="BB325" s="16">
        <f t="shared" ref="BB325:BB389" si="191">J325-D325</f>
        <v>28</v>
      </c>
      <c r="BC325" s="9" t="str">
        <f t="shared" ref="BC325:BC389" si="192">IF(ISERROR(V325-S325),"-",V325-S325)</f>
        <v>-</v>
      </c>
      <c r="BD325" s="3">
        <f t="shared" ref="BD325:BD389" si="193">J325-D325</f>
        <v>28</v>
      </c>
      <c r="BE325" s="3">
        <f t="shared" ref="BE325:BE389" si="194">AE325-AB325</f>
        <v>52</v>
      </c>
      <c r="BF325" s="3">
        <f>AH325-AE325</f>
        <v>32</v>
      </c>
    </row>
    <row r="326" spans="1:59" s="3" customFormat="1" x14ac:dyDescent="0.2">
      <c r="A326" s="3" t="s">
        <v>1188</v>
      </c>
      <c r="B326" s="3" t="str">
        <f>LOWER(VLOOKUP(A326,Xtal_Templ!A:B,2,FALSE))</f>
        <v>pth1r_human</v>
      </c>
      <c r="C326" s="3">
        <f>VLOOKUP($A326,'SegEnds_NonXtal_BW#'!$A:$Z,3,FALSE)+D326-50</f>
        <v>573</v>
      </c>
      <c r="D326" s="3">
        <v>600</v>
      </c>
      <c r="E326" s="3">
        <f>IF(ISERROR(VLOOKUP($A326,'SegEnds_NonXtal_BW#'!$A:$Z,4,FALSE)+VLOOKUP($A326,A:AL,4,FALSE)-50),"-",(VLOOKUP($A326,'SegEnds_NonXtal_BW#'!$A:$Z,4,FALSE)+VLOOKUP($A326,A:AL,4,FALSE)-50))</f>
        <v>610</v>
      </c>
      <c r="F326" s="3" t="s">
        <v>23</v>
      </c>
      <c r="G326" s="3" t="s">
        <v>23</v>
      </c>
      <c r="H326" s="3" t="s">
        <v>23</v>
      </c>
      <c r="I326" s="3">
        <f>VLOOKUP($A326,'SegEnds_NonXtal_BW#'!$A:$Z,7,FALSE)+J326-50</f>
        <v>618</v>
      </c>
      <c r="J326" s="3">
        <v>631</v>
      </c>
      <c r="K326" s="3">
        <f>VLOOKUP($A326,'SegEnds_NonXtal_BW#'!$A:$Z,8,FALSE)+VLOOKUP($A326,A:AL,10,FALSE)-50</f>
        <v>644</v>
      </c>
      <c r="L326" s="3" t="str">
        <f>IF(ISERROR(VLOOKUP($A326,'SegEnds_NonXtal_BW#'!$A:$Z,9,FALSE)+VLOOKUP($A326,A:AL,13,FALSE)-50),"-",(VLOOKUP($A326,'SegEnds_NonXtal_BW#'!$A:$Z,9,FALSE)+VLOOKUP($A326,A:AL,13,FALSE)-50))</f>
        <v>-</v>
      </c>
      <c r="M326" s="3" t="s">
        <v>23</v>
      </c>
      <c r="N326" s="3" t="str">
        <f>IF(ISERROR(VLOOKUP($A326,'SegEnds_NonXtal_BW#'!$A:$Z,10,FALSE)+VLOOKUP($A326,A:AL,13,FALSE)-50),"-",(VLOOKUP($A326,'SegEnds_NonXtal_BW#'!$A:$Z,10,FALSE)+VLOOKUP($A326,A:AL,13,FALSE)-50))</f>
        <v>-</v>
      </c>
      <c r="O326" s="3">
        <f>VLOOKUP($A326,'SegEnds_NonXtal_BW#'!$A:$Z,11,FALSE)+VLOOKUP($A326,A:AL,16,FALSE)-50</f>
        <v>655</v>
      </c>
      <c r="P326" s="3">
        <v>682</v>
      </c>
      <c r="Q326" s="3">
        <f>VLOOKUP($A326,'SegEnds_NonXtal_BW#'!$A:$Z,12,FALSE)+VLOOKUP($A326,A:AL,16,FALSE)-50</f>
        <v>688</v>
      </c>
      <c r="R326" s="3" t="str">
        <f>IF(ISERROR(VLOOKUP($A326,'SegEnds_NonXtal_BW#'!$A:$Z,13,FALSE)+VLOOKUP($A326,A:AL,19,FALSE)-50),"-",VLOOKUP($A326,'SegEnds_NonXtal_BW#'!$A:$Z,13,FALSE)+VLOOKUP($A326,A:AL,19,FALSE)-50)</f>
        <v>-</v>
      </c>
      <c r="S326" s="3" t="s">
        <v>23</v>
      </c>
      <c r="T326" s="100" t="str">
        <f>IF(ISERROR(VLOOKUP($A326,'SegEnds_NonXtal_BW#'!$A:$Z,14,FALSE)+VLOOKUP($A326,A:AL,19,FALSE)-50),"-",(VLOOKUP($A326,'SegEnds_NonXtal_BW#'!$A:$Z,14,FALSE)+VLOOKUP($A326,A:AL,19,FALSE)-50))</f>
        <v>-</v>
      </c>
      <c r="U326" s="9">
        <f>IF(ISERROR(VLOOKUP($A326,'SegEnds_NonXtal_BW#'!$A:$Z,15,FALSE)+VLOOKUP($A326,A:AL,22,FALSE)-50),"-",VLOOKUP($A326,'SegEnds_NonXtal_BW#'!$A:$Z,15,FALSE)+VLOOKUP($A326,A:AL,22,FALSE)-50)</f>
        <v>694</v>
      </c>
      <c r="V326" s="3">
        <v>707</v>
      </c>
      <c r="W326" s="3">
        <f>IF(ISERROR(VLOOKUP($A326,'SegEnds_NonXtal_BW#'!$A:$Z,16,FALSE)+VLOOKUP($A326,A:AL,22,FALSE)-50),"-",(VLOOKUP($A326,'SegEnds_NonXtal_BW#'!$A:$Z,16,FALSE)+VLOOKUP($A326,A:AL,22,FALSE)-50))</f>
        <v>725</v>
      </c>
      <c r="X326" s="3">
        <f>IF(ISERROR(VLOOKUP($A326,'SegEnds_NonXtal_BW#'!$A:$Z,17,FALSE)+VLOOKUP($A326,A:AL,25,FALSE)-50),"-",(VLOOKUP($A326,'SegEnds_NonXtal_BW#'!$A:$Z,17,FALSE)+VLOOKUP($A326,A:AL,25,FALSE)-50))</f>
        <v>733</v>
      </c>
      <c r="Y326" s="3">
        <v>733</v>
      </c>
      <c r="Z326" s="3">
        <f t="shared" si="179"/>
        <v>735</v>
      </c>
      <c r="AA326" s="3">
        <f>IF(ISERROR(VLOOKUP($A326,'SegEnds_NonXtal_BW#'!$A:$Z,19,FALSE)+VLOOKUP($A326,A:AL,28,FALSE)-50),"-",(VLOOKUP($A326,'SegEnds_NonXtal_BW#'!$A:$Z,19,FALSE)+VLOOKUP($A326,A:AL,28,FALSE)-50))</f>
        <v>740</v>
      </c>
      <c r="AB326" s="3">
        <v>754</v>
      </c>
      <c r="AC326" s="3">
        <f>IF(ISERROR((VLOOKUP($A326,'SegEnds_NonXtal_BW#'!$A:$Z,20,FALSE)+VLOOKUP($A326,A:AL,28,FALSE)-50)),"-",(VLOOKUP($A326,'SegEnds_NonXtal_BW#'!$A:$Z,20,FALSE)+VLOOKUP($A326,A:AL,28,FALSE)-50))</f>
        <v>773</v>
      </c>
      <c r="AD326" s="3">
        <f>IF(ISERROR(VLOOKUP($A326,'SegEnds_NonXtal_BW#'!$A:$Z,21,FALSE)+VLOOKUP($A326,A:AL,31,FALSE)-50),"-",(VLOOKUP($A326,'SegEnds_NonXtal_BW#'!$A:$Z,21,FALSE)+VLOOKUP($A326,A:AL,31,FALSE)-50))</f>
        <v>785</v>
      </c>
      <c r="AE326" s="3">
        <v>806</v>
      </c>
      <c r="AF326" s="3">
        <f>IF(ISERROR((VLOOKUP($A326,'SegEnds_NonXtal_BW#'!$A:$Z,22,FALSE)+VLOOKUP($A326,A:AL,31,FALSE)-50)),"-",(VLOOKUP($A326,'SegEnds_NonXtal_BW#'!$A:$Z,22,FALSE)+VLOOKUP($A326,A:AL,31,FALSE)-50))</f>
        <v>810</v>
      </c>
      <c r="AG326" s="3">
        <f>IF(ISERROR(VLOOKUP($A326,'SegEnds_NonXtal_BW#'!$A:$Z,23,FALSE)+VLOOKUP($A326,A:AL,34,FALSE)-50),"-",(VLOOKUP($A326,'SegEnds_NonXtal_BW#'!$A:$Z,23,FALSE)+VLOOKUP($A326,A:AL,34,FALSE)-50))</f>
        <v>816</v>
      </c>
      <c r="AH326" s="3">
        <v>835</v>
      </c>
      <c r="AI326" s="3">
        <f>IF(ISERROR((VLOOKUP($A326,'SegEnds_NonXtal_BW#'!$A:$Z,24,FALSE)+VLOOKUP($A326,A:AL,34,FALSE)-50)),"-",(VLOOKUP($A326,'SegEnds_NonXtal_BW#'!$A:$Z,24,FALSE)+VLOOKUP($A326,A:AL,34,FALSE)-50))</f>
        <v>841</v>
      </c>
      <c r="AJ326" s="3">
        <f>IF(ISERROR(VLOOKUP($A326,'SegEnds_NonXtal_BW#'!$A:$Z,25,FALSE)+VLOOKUP($A326,A:AL,37,FALSE)-50),"-",(VLOOKUP($A326,'SegEnds_NonXtal_BW#'!$A:$Z,25,FALSE)+VLOOKUP($A326,A:AL,37,FALSE)-50))</f>
        <v>842</v>
      </c>
      <c r="AK326" s="3">
        <v>845</v>
      </c>
      <c r="AL326" s="3">
        <f>IF(ISERROR((VLOOKUP($A326,'SegEnds_NonXtal_BW#'!$A:$Z,26,FALSE)+VLOOKUP($A326,A:AL,37,FALSE)-50)),"-",(VLOOKUP($A326,'SegEnds_NonXtal_BW#'!$A:$Z,26,FALSE)+VLOOKUP($A326,A:AL,37,FALSE)-50))</f>
        <v>858</v>
      </c>
      <c r="AM326" s="28" t="str">
        <f>VLOOKUP(A326,Classification!A:B,2,FALSE)</f>
        <v>B2</v>
      </c>
      <c r="AN326" s="28" t="b">
        <f t="shared" ref="AN326:AN390" si="195">AND(IF(Y326="-",IF(AA326-W326&gt;3,TRUE,FALSE),TRUE),IF(M326="-",IF(O326-K326&gt;3,TRUE,FALSE),TRUE),IF(AG326-AF326&gt;1,TRUE,FALSE),C326&lt;E326,OR(E326&lt;F326,F326="-"),OR(F326&lt;H326,F326="-"),OR(H326&lt;I326,H326="-"),I326&lt;K326,OR(K326&lt;L326,L326="-"),OR(L326&lt;N326,L326="-"),OR(N326&lt;O326,N326="-"),O326&lt;Q326,OR(Q326&lt;R326,R326="-"),OR(R326&lt;T326,R326="-"),OR(T326&lt;U326,T326="-"),U326&lt;W326,OR(W326&lt;X326,X326="-"),OR(X326&lt;Z326,X326="-"),OR(Z326&lt;AA326,Z326="-"),AA326&lt;AC326,AC326&lt;AD326,AD326&lt;AF326,AF326&lt;AG326,AG326&lt;AI326,OR(AI326&lt;AJ326,AJ326="-"),OR(AJ326&lt;AL326,AJ326="-"))</f>
        <v>1</v>
      </c>
      <c r="AO326" s="3" t="str">
        <f>IF(ISERROR(MATCH(A326,'SegEnds_Xtal_Prot#'!B:B, 0)), "NoXtal", "Xtal")</f>
        <v>NoXtal</v>
      </c>
      <c r="AP326" s="3" t="str">
        <f t="shared" si="180"/>
        <v>-</v>
      </c>
      <c r="AQ326" s="3" t="str">
        <f t="shared" si="181"/>
        <v>-</v>
      </c>
      <c r="AR326" s="3" t="str">
        <f t="shared" si="182"/>
        <v>-</v>
      </c>
      <c r="AS326" s="3" t="str">
        <f t="shared" si="183"/>
        <v>-</v>
      </c>
      <c r="AT326" s="3" t="str">
        <f t="shared" si="184"/>
        <v>-</v>
      </c>
      <c r="AU326" s="3" t="str">
        <f t="shared" si="185"/>
        <v>-</v>
      </c>
      <c r="AV326" s="3">
        <f t="shared" si="186"/>
        <v>8</v>
      </c>
      <c r="AW326" s="3">
        <f t="shared" si="187"/>
        <v>5</v>
      </c>
      <c r="AX326" s="3">
        <f t="shared" si="188"/>
        <v>12</v>
      </c>
      <c r="AY326" s="3">
        <f t="shared" si="189"/>
        <v>6</v>
      </c>
      <c r="AZ326" s="3">
        <f t="shared" si="190"/>
        <v>1</v>
      </c>
      <c r="BA326" s="3">
        <f>IF(ISERROR(LEN(VLOOKUP(A326,Seqs!A:E,2,FALSE))-AL326),"-",LEN(VLOOKUP(A326,Seqs!A:E,2,FALSE))-AL326)</f>
        <v>52</v>
      </c>
      <c r="BB326" s="16">
        <f t="shared" si="191"/>
        <v>31</v>
      </c>
      <c r="BC326" s="9" t="str">
        <f t="shared" si="192"/>
        <v>-</v>
      </c>
      <c r="BD326" s="3">
        <f t="shared" si="193"/>
        <v>31</v>
      </c>
      <c r="BE326" s="3">
        <f t="shared" si="194"/>
        <v>52</v>
      </c>
    </row>
    <row r="327" spans="1:59" s="3" customFormat="1" x14ac:dyDescent="0.2">
      <c r="A327" s="3" t="s">
        <v>1189</v>
      </c>
      <c r="B327" s="3" t="str">
        <f>LOWER(VLOOKUP(A327,Xtal_Templ!A:B,2,FALSE))</f>
        <v>calrl_human</v>
      </c>
      <c r="C327" s="3">
        <f>VLOOKUP($A327,'SegEnds_NonXtal_BW#'!$A:$Z,3,FALSE)+D327-50</f>
        <v>434</v>
      </c>
      <c r="D327" s="3">
        <v>461</v>
      </c>
      <c r="E327" s="3">
        <f>IF(ISERROR(VLOOKUP($A327,'SegEnds_NonXtal_BW#'!$A:$Z,4,FALSE)+VLOOKUP($A327,A:AL,4,FALSE)-50),"-",(VLOOKUP($A327,'SegEnds_NonXtal_BW#'!$A:$Z,4,FALSE)+VLOOKUP($A327,A:AL,4,FALSE)-50))</f>
        <v>471</v>
      </c>
      <c r="F327" s="3" t="s">
        <v>23</v>
      </c>
      <c r="G327" s="3" t="s">
        <v>23</v>
      </c>
      <c r="H327" s="3" t="s">
        <v>23</v>
      </c>
      <c r="I327" s="3">
        <f>VLOOKUP($A327,'SegEnds_NonXtal_BW#'!$A:$Z,7,FALSE)+J327-50</f>
        <v>479</v>
      </c>
      <c r="J327" s="3">
        <v>492</v>
      </c>
      <c r="K327" s="3">
        <f>VLOOKUP($A327,'SegEnds_NonXtal_BW#'!$A:$Z,8,FALSE)+VLOOKUP($A327,A:AL,10,FALSE)-50</f>
        <v>505</v>
      </c>
      <c r="L327" s="3" t="str">
        <f>IF(ISERROR(VLOOKUP($A327,'SegEnds_NonXtal_BW#'!$A:$Z,9,FALSE)+VLOOKUP($A327,A:AL,13,FALSE)-50),"-",(VLOOKUP($A327,'SegEnds_NonXtal_BW#'!$A:$Z,9,FALSE)+VLOOKUP($A327,A:AL,13,FALSE)-50))</f>
        <v>-</v>
      </c>
      <c r="M327" s="3" t="s">
        <v>23</v>
      </c>
      <c r="N327" s="3" t="str">
        <f>IF(ISERROR(VLOOKUP($A327,'SegEnds_NonXtal_BW#'!$A:$Z,10,FALSE)+VLOOKUP($A327,A:AL,13,FALSE)-50),"-",(VLOOKUP($A327,'SegEnds_NonXtal_BW#'!$A:$Z,10,FALSE)+VLOOKUP($A327,A:AL,13,FALSE)-50))</f>
        <v>-</v>
      </c>
      <c r="O327" s="3">
        <f>VLOOKUP($A327,'SegEnds_NonXtal_BW#'!$A:$Z,11,FALSE)+VLOOKUP($A327,A:AL,16,FALSE)-50</f>
        <v>516</v>
      </c>
      <c r="P327" s="3">
        <v>543</v>
      </c>
      <c r="Q327" s="3">
        <f>VLOOKUP($A327,'SegEnds_NonXtal_BW#'!$A:$Z,12,FALSE)+VLOOKUP($A327,A:AL,16,FALSE)-50</f>
        <v>549</v>
      </c>
      <c r="R327" s="3" t="str">
        <f>IF(ISERROR(VLOOKUP($A327,'SegEnds_NonXtal_BW#'!$A:$Z,13,FALSE)+VLOOKUP($A327,A:AL,19,FALSE)-50),"-",VLOOKUP($A327,'SegEnds_NonXtal_BW#'!$A:$Z,13,FALSE)+VLOOKUP($A327,A:AL,19,FALSE)-50)</f>
        <v>-</v>
      </c>
      <c r="S327" s="3" t="s">
        <v>23</v>
      </c>
      <c r="T327" s="100" t="str">
        <f>IF(ISERROR(VLOOKUP($A327,'SegEnds_NonXtal_BW#'!$A:$Z,14,FALSE)+VLOOKUP($A327,A:AL,19,FALSE)-50),"-",(VLOOKUP($A327,'SegEnds_NonXtal_BW#'!$A:$Z,14,FALSE)+VLOOKUP($A327,A:AL,19,FALSE)-50))</f>
        <v>-</v>
      </c>
      <c r="U327" s="9">
        <f>IF(ISERROR(VLOOKUP($A327,'SegEnds_NonXtal_BW#'!$A:$Z,15,FALSE)+VLOOKUP($A327,A:AL,22,FALSE)-50),"-",VLOOKUP($A327,'SegEnds_NonXtal_BW#'!$A:$Z,15,FALSE)+VLOOKUP($A327,A:AL,22,FALSE)-50)</f>
        <v>559</v>
      </c>
      <c r="V327" s="3">
        <v>568</v>
      </c>
      <c r="W327" s="3">
        <f>IF(ISERROR(VLOOKUP($A327,'SegEnds_NonXtal_BW#'!$A:$Z,16,FALSE)+VLOOKUP($A327,A:AL,22,FALSE)-50),"-",(VLOOKUP($A327,'SegEnds_NonXtal_BW#'!$A:$Z,16,FALSE)+VLOOKUP($A327,A:AL,22,FALSE)-50))</f>
        <v>585</v>
      </c>
      <c r="X327" s="3">
        <f>IF(ISERROR(VLOOKUP($A327,'SegEnds_NonXtal_BW#'!$A:$Z,17,FALSE)+VLOOKUP($A327,A:AL,25,FALSE)-50),"-",(VLOOKUP($A327,'SegEnds_NonXtal_BW#'!$A:$Z,17,FALSE)+VLOOKUP($A327,A:AL,25,FALSE)-50))</f>
        <v>594</v>
      </c>
      <c r="Y327" s="3">
        <v>594</v>
      </c>
      <c r="Z327" s="3">
        <f t="shared" si="179"/>
        <v>596</v>
      </c>
      <c r="AA327" s="3">
        <f>IF(ISERROR(VLOOKUP($A327,'SegEnds_NonXtal_BW#'!$A:$Z,19,FALSE)+VLOOKUP($A327,A:AL,28,FALSE)-50),"-",(VLOOKUP($A327,'SegEnds_NonXtal_BW#'!$A:$Z,19,FALSE)+VLOOKUP($A327,A:AL,28,FALSE)-50))</f>
        <v>600</v>
      </c>
      <c r="AB327" s="3">
        <v>614</v>
      </c>
      <c r="AC327" s="3">
        <f>IF(ISERROR((VLOOKUP($A327,'SegEnds_NonXtal_BW#'!$A:$Z,20,FALSE)+VLOOKUP($A327,A:AL,28,FALSE)-50)),"-",(VLOOKUP($A327,'SegEnds_NonXtal_BW#'!$A:$Z,20,FALSE)+VLOOKUP($A327,A:AL,28,FALSE)-50))</f>
        <v>633</v>
      </c>
      <c r="AD327" s="3">
        <f>IF(ISERROR(VLOOKUP($A327,'SegEnds_NonXtal_BW#'!$A:$Z,21,FALSE)+VLOOKUP($A327,A:AL,31,FALSE)-50),"-",(VLOOKUP($A327,'SegEnds_NonXtal_BW#'!$A:$Z,21,FALSE)+VLOOKUP($A327,A:AL,31,FALSE)-50))</f>
        <v>650</v>
      </c>
      <c r="AE327" s="3">
        <v>671</v>
      </c>
      <c r="AF327" s="3">
        <f>IF(ISERROR((VLOOKUP($A327,'SegEnds_NonXtal_BW#'!$A:$Z,22,FALSE)+VLOOKUP($A327,A:AL,31,FALSE)-50)),"-",(VLOOKUP($A327,'SegEnds_NonXtal_BW#'!$A:$Z,22,FALSE)+VLOOKUP($A327,A:AL,31,FALSE)-50))</f>
        <v>671</v>
      </c>
      <c r="AG327" s="3">
        <f>IF(ISERROR(VLOOKUP($A327,'SegEnds_NonXtal_BW#'!$A:$Z,23,FALSE)+VLOOKUP($A327,A:AL,34,FALSE)-50),"-",(VLOOKUP($A327,'SegEnds_NonXtal_BW#'!$A:$Z,23,FALSE)+VLOOKUP($A327,A:AL,34,FALSE)-50))</f>
        <v>675</v>
      </c>
      <c r="AH327" s="3">
        <v>694</v>
      </c>
      <c r="AI327" s="3">
        <f>IF(ISERROR((VLOOKUP($A327,'SegEnds_NonXtal_BW#'!$A:$Z,24,FALSE)+VLOOKUP($A327,A:AL,34,FALSE)-50)),"-",(VLOOKUP($A327,'SegEnds_NonXtal_BW#'!$A:$Z,24,FALSE)+VLOOKUP($A327,A:AL,34,FALSE)-50))</f>
        <v>700</v>
      </c>
      <c r="AJ327" s="3" t="s">
        <v>23</v>
      </c>
      <c r="AK327" s="3" t="s">
        <v>23</v>
      </c>
      <c r="AL327" s="3" t="s">
        <v>23</v>
      </c>
      <c r="AM327" s="28" t="str">
        <f>VLOOKUP(A327,Classification!A:B,2,FALSE)</f>
        <v>B2</v>
      </c>
      <c r="AN327" s="28" t="b">
        <f t="shared" si="195"/>
        <v>1</v>
      </c>
      <c r="AO327" s="3" t="str">
        <f>IF(ISERROR(MATCH(A327,'SegEnds_Xtal_Prot#'!B:B, 0)), "NoXtal", "Xtal")</f>
        <v>NoXtal</v>
      </c>
      <c r="AP327" s="3" t="str">
        <f t="shared" si="180"/>
        <v>-</v>
      </c>
      <c r="AQ327" s="3" t="str">
        <f t="shared" si="181"/>
        <v>-</v>
      </c>
      <c r="AR327" s="3" t="str">
        <f t="shared" si="182"/>
        <v>-</v>
      </c>
      <c r="AS327" s="3" t="str">
        <f t="shared" si="183"/>
        <v>-</v>
      </c>
      <c r="AT327" s="3" t="str">
        <f t="shared" si="184"/>
        <v>-</v>
      </c>
      <c r="AU327" s="3" t="str">
        <f t="shared" si="185"/>
        <v>-</v>
      </c>
      <c r="AV327" s="3">
        <f t="shared" si="186"/>
        <v>9</v>
      </c>
      <c r="AW327" s="3">
        <f t="shared" si="187"/>
        <v>4</v>
      </c>
      <c r="AX327" s="3">
        <f t="shared" si="188"/>
        <v>17</v>
      </c>
      <c r="AY327" s="3">
        <f t="shared" si="189"/>
        <v>4</v>
      </c>
      <c r="AZ327" s="3" t="str">
        <f t="shared" si="190"/>
        <v>-</v>
      </c>
      <c r="BA327" s="3" t="str">
        <f>IF(ISERROR(LEN(VLOOKUP(A327,Seqs!A:E,2,FALSE))-AL327),"-",LEN(VLOOKUP(A327,Seqs!A:E,2,FALSE))-AL327)</f>
        <v>-</v>
      </c>
      <c r="BB327" s="16">
        <f t="shared" si="191"/>
        <v>31</v>
      </c>
      <c r="BC327" s="9" t="str">
        <f t="shared" si="192"/>
        <v>-</v>
      </c>
      <c r="BD327" s="3">
        <f t="shared" si="193"/>
        <v>31</v>
      </c>
      <c r="BE327" s="3">
        <f t="shared" si="194"/>
        <v>57</v>
      </c>
      <c r="BF327" s="3">
        <f>AH327-AE327</f>
        <v>23</v>
      </c>
      <c r="BG327" s="3" t="s">
        <v>1312</v>
      </c>
    </row>
    <row r="328" spans="1:59" s="3" customFormat="1" x14ac:dyDescent="0.2">
      <c r="A328" s="3" t="s">
        <v>1190</v>
      </c>
      <c r="B328" s="3" t="str">
        <f>LOWER(VLOOKUP(A328,Xtal_Templ!A:B,2,FALSE))</f>
        <v>calrl_human</v>
      </c>
      <c r="C328" s="3">
        <f>VLOOKUP($A328,'SegEnds_NonXtal_BW#'!$A:$Z,3,FALSE)+D328-50</f>
        <v>758</v>
      </c>
      <c r="D328" s="3">
        <v>785</v>
      </c>
      <c r="E328" s="3">
        <f>IF(ISERROR(VLOOKUP($A328,'SegEnds_NonXtal_BW#'!$A:$Z,4,FALSE)+VLOOKUP($A328,A:AL,4,FALSE)-50),"-",(VLOOKUP($A328,'SegEnds_NonXtal_BW#'!$A:$Z,4,FALSE)+VLOOKUP($A328,A:AL,4,FALSE)-50))</f>
        <v>795</v>
      </c>
      <c r="F328" s="3" t="s">
        <v>23</v>
      </c>
      <c r="G328" s="3" t="s">
        <v>23</v>
      </c>
      <c r="H328" s="3" t="s">
        <v>23</v>
      </c>
      <c r="I328" s="3">
        <f>VLOOKUP($A328,'SegEnds_NonXtal_BW#'!$A:$Z,7,FALSE)+J328-50</f>
        <v>803</v>
      </c>
      <c r="J328" s="3">
        <v>816</v>
      </c>
      <c r="K328" s="3">
        <f>VLOOKUP($A328,'SegEnds_NonXtal_BW#'!$A:$Z,8,FALSE)+VLOOKUP($A328,A:AL,10,FALSE)-50</f>
        <v>829</v>
      </c>
      <c r="L328" s="3" t="str">
        <f>IF(ISERROR(VLOOKUP($A328,'SegEnds_NonXtal_BW#'!$A:$Z,9,FALSE)+VLOOKUP($A328,A:AL,13,FALSE)-50),"-",(VLOOKUP($A328,'SegEnds_NonXtal_BW#'!$A:$Z,9,FALSE)+VLOOKUP($A328,A:AL,13,FALSE)-50))</f>
        <v>-</v>
      </c>
      <c r="M328" s="3" t="s">
        <v>23</v>
      </c>
      <c r="N328" s="3" t="str">
        <f>IF(ISERROR(VLOOKUP($A328,'SegEnds_NonXtal_BW#'!$A:$Z,10,FALSE)+VLOOKUP($A328,A:AL,13,FALSE)-50),"-",(VLOOKUP($A328,'SegEnds_NonXtal_BW#'!$A:$Z,10,FALSE)+VLOOKUP($A328,A:AL,13,FALSE)-50))</f>
        <v>-</v>
      </c>
      <c r="O328" s="3">
        <f>VLOOKUP($A328,'SegEnds_NonXtal_BW#'!$A:$Z,11,FALSE)+VLOOKUP($A328,A:AL,16,FALSE)-50</f>
        <v>839</v>
      </c>
      <c r="P328" s="3">
        <v>866</v>
      </c>
      <c r="Q328" s="3">
        <f>VLOOKUP($A328,'SegEnds_NonXtal_BW#'!$A:$Z,12,FALSE)+VLOOKUP($A328,A:AL,16,FALSE)-50</f>
        <v>872</v>
      </c>
      <c r="R328" s="3" t="str">
        <f>IF(ISERROR(VLOOKUP($A328,'SegEnds_NonXtal_BW#'!$A:$Z,13,FALSE)+VLOOKUP($A328,A:AL,19,FALSE)-50),"-",VLOOKUP($A328,'SegEnds_NonXtal_BW#'!$A:$Z,13,FALSE)+VLOOKUP($A328,A:AL,19,FALSE)-50)</f>
        <v>-</v>
      </c>
      <c r="S328" s="3" t="s">
        <v>23</v>
      </c>
      <c r="T328" s="100" t="str">
        <f>IF(ISERROR(VLOOKUP($A328,'SegEnds_NonXtal_BW#'!$A:$Z,14,FALSE)+VLOOKUP($A328,A:AL,19,FALSE)-50),"-",(VLOOKUP($A328,'SegEnds_NonXtal_BW#'!$A:$Z,14,FALSE)+VLOOKUP($A328,A:AL,19,FALSE)-50))</f>
        <v>-</v>
      </c>
      <c r="U328" s="9">
        <f>IF(ISERROR(VLOOKUP($A328,'SegEnds_NonXtal_BW#'!$A:$Z,15,FALSE)+VLOOKUP($A328,A:AL,22,FALSE)-50),"-",VLOOKUP($A328,'SegEnds_NonXtal_BW#'!$A:$Z,15,FALSE)+VLOOKUP($A328,A:AL,22,FALSE)-50)</f>
        <v>882</v>
      </c>
      <c r="V328" s="3">
        <v>891</v>
      </c>
      <c r="W328" s="3">
        <f>IF(ISERROR(VLOOKUP($A328,'SegEnds_NonXtal_BW#'!$A:$Z,16,FALSE)+VLOOKUP($A328,A:AL,22,FALSE)-50),"-",(VLOOKUP($A328,'SegEnds_NonXtal_BW#'!$A:$Z,16,FALSE)+VLOOKUP($A328,A:AL,22,FALSE)-50))</f>
        <v>908</v>
      </c>
      <c r="X328" s="3">
        <f>IF(ISERROR(VLOOKUP($A328,'SegEnds_NonXtal_BW#'!$A:$Z,17,FALSE)+VLOOKUP($A328,A:AL,25,FALSE)-50),"-",(VLOOKUP($A328,'SegEnds_NonXtal_BW#'!$A:$Z,17,FALSE)+VLOOKUP($A328,A:AL,25,FALSE)-50))</f>
        <v>917</v>
      </c>
      <c r="Y328" s="3">
        <v>917</v>
      </c>
      <c r="Z328" s="3">
        <f t="shared" si="179"/>
        <v>919</v>
      </c>
      <c r="AA328" s="3">
        <f>IF(ISERROR(VLOOKUP($A328,'SegEnds_NonXtal_BW#'!$A:$Z,19,FALSE)+VLOOKUP($A328,A:AL,28,FALSE)-50),"-",(VLOOKUP($A328,'SegEnds_NonXtal_BW#'!$A:$Z,19,FALSE)+VLOOKUP($A328,A:AL,28,FALSE)-50))</f>
        <v>922</v>
      </c>
      <c r="AB328" s="3">
        <v>936</v>
      </c>
      <c r="AC328" s="3">
        <f>IF(ISERROR((VLOOKUP($A328,'SegEnds_NonXtal_BW#'!$A:$Z,20,FALSE)+VLOOKUP($A328,A:AL,28,FALSE)-50)),"-",(VLOOKUP($A328,'SegEnds_NonXtal_BW#'!$A:$Z,20,FALSE)+VLOOKUP($A328,A:AL,28,FALSE)-50))</f>
        <v>955</v>
      </c>
      <c r="AD328" s="3">
        <f>IF(ISERROR(VLOOKUP($A328,'SegEnds_NonXtal_BW#'!$A:$Z,21,FALSE)+VLOOKUP($A328,A:AL,31,FALSE)-50),"-",(VLOOKUP($A328,'SegEnds_NonXtal_BW#'!$A:$Z,21,FALSE)+VLOOKUP($A328,A:AL,31,FALSE)-50))</f>
        <v>967</v>
      </c>
      <c r="AE328" s="3">
        <v>988</v>
      </c>
      <c r="AF328" s="3">
        <f>IF(ISERROR((VLOOKUP($A328,'SegEnds_NonXtal_BW#'!$A:$Z,22,FALSE)+VLOOKUP($A328,A:AL,31,FALSE)-50)),"-",(VLOOKUP($A328,'SegEnds_NonXtal_BW#'!$A:$Z,22,FALSE)+VLOOKUP($A328,A:AL,31,FALSE)-50))</f>
        <v>991</v>
      </c>
      <c r="AG328" s="3">
        <f>IF(ISERROR(VLOOKUP($A328,'SegEnds_NonXtal_BW#'!$A:$Z,23,FALSE)+VLOOKUP($A328,A:AL,34,FALSE)-50),"-",(VLOOKUP($A328,'SegEnds_NonXtal_BW#'!$A:$Z,23,FALSE)+VLOOKUP($A328,A:AL,34,FALSE)-50))</f>
        <v>998</v>
      </c>
      <c r="AH328" s="3">
        <v>1017</v>
      </c>
      <c r="AI328" s="3">
        <f>IF(ISERROR((VLOOKUP($A328,'SegEnds_NonXtal_BW#'!$A:$Z,24,FALSE)+VLOOKUP($A328,A:AL,34,FALSE)-50)),"-",(VLOOKUP($A328,'SegEnds_NonXtal_BW#'!$A:$Z,24,FALSE)+VLOOKUP($A328,A:AL,34,FALSE)-50))</f>
        <v>1023</v>
      </c>
      <c r="AJ328" s="3">
        <f>IF(ISERROR(VLOOKUP($A328,'SegEnds_NonXtal_BW#'!$A:$Z,25,FALSE)+VLOOKUP($A328,A:AL,37,FALSE)-50),"-",(VLOOKUP($A328,'SegEnds_NonXtal_BW#'!$A:$Z,25,FALSE)+VLOOKUP($A328,A:AL,37,FALSE)-50))</f>
        <v>1024</v>
      </c>
      <c r="AK328" s="3">
        <v>1027</v>
      </c>
      <c r="AL328" s="3">
        <f>IF(ISERROR((VLOOKUP($A328,'SegEnds_NonXtal_BW#'!$A:$Z,26,FALSE)+VLOOKUP($A328,A:AL,37,FALSE)-50)),"-",(VLOOKUP($A328,'SegEnds_NonXtal_BW#'!$A:$Z,26,FALSE)+VLOOKUP($A328,A:AL,37,FALSE)-50))</f>
        <v>1040</v>
      </c>
      <c r="AM328" s="28" t="str">
        <f>VLOOKUP(A328,Classification!A:B,2,FALSE)</f>
        <v>B2</v>
      </c>
      <c r="AN328" s="28" t="b">
        <f t="shared" si="195"/>
        <v>1</v>
      </c>
      <c r="AO328" s="3" t="str">
        <f>IF(ISERROR(MATCH(A328,'SegEnds_Xtal_Prot#'!B:B, 0)), "NoXtal", "Xtal")</f>
        <v>NoXtal</v>
      </c>
      <c r="AP328" s="3" t="str">
        <f t="shared" si="180"/>
        <v>-</v>
      </c>
      <c r="AQ328" s="3" t="str">
        <f t="shared" si="181"/>
        <v>-</v>
      </c>
      <c r="AR328" s="3" t="str">
        <f t="shared" si="182"/>
        <v>-</v>
      </c>
      <c r="AS328" s="3" t="str">
        <f t="shared" si="183"/>
        <v>-</v>
      </c>
      <c r="AT328" s="3" t="str">
        <f t="shared" si="184"/>
        <v>-</v>
      </c>
      <c r="AU328" s="3" t="str">
        <f t="shared" si="185"/>
        <v>-</v>
      </c>
      <c r="AV328" s="3">
        <f t="shared" si="186"/>
        <v>9</v>
      </c>
      <c r="AW328" s="3">
        <f t="shared" si="187"/>
        <v>3</v>
      </c>
      <c r="AX328" s="3">
        <f t="shared" si="188"/>
        <v>12</v>
      </c>
      <c r="AY328" s="3">
        <f t="shared" si="189"/>
        <v>7</v>
      </c>
      <c r="AZ328" s="3">
        <f t="shared" si="190"/>
        <v>1</v>
      </c>
      <c r="BA328" s="3">
        <f>IF(ISERROR(LEN(VLOOKUP(A328,Seqs!A:E,2,FALSE))-AL328),"-",LEN(VLOOKUP(A328,Seqs!A:E,2,FALSE))-AL328)</f>
        <v>39</v>
      </c>
      <c r="BB328" s="16">
        <f t="shared" si="191"/>
        <v>31</v>
      </c>
      <c r="BC328" s="9" t="str">
        <f t="shared" si="192"/>
        <v>-</v>
      </c>
      <c r="BD328" s="3">
        <f t="shared" si="193"/>
        <v>31</v>
      </c>
      <c r="BE328" s="3">
        <f t="shared" si="194"/>
        <v>52</v>
      </c>
    </row>
    <row r="329" spans="1:59" s="3" customFormat="1" x14ac:dyDescent="0.2">
      <c r="A329" s="3" t="s">
        <v>1191</v>
      </c>
      <c r="B329" s="3" t="str">
        <f>LOWER(VLOOKUP(A329,Xtal_Templ!A:B,2,FALSE))</f>
        <v>crfr1_human</v>
      </c>
      <c r="C329" s="3">
        <f>VLOOKUP($A329,'SegEnds_NonXtal_BW#'!$A:$Z,3,FALSE)+D329-50</f>
        <v>389</v>
      </c>
      <c r="D329" s="3">
        <v>416</v>
      </c>
      <c r="E329" s="3">
        <f>IF(ISERROR(VLOOKUP($A329,'SegEnds_NonXtal_BW#'!$A:$Z,4,FALSE)+VLOOKUP($A329,A:AL,4,FALSE)-50),"-",(VLOOKUP($A329,'SegEnds_NonXtal_BW#'!$A:$Z,4,FALSE)+VLOOKUP($A329,A:AL,4,FALSE)-50))</f>
        <v>426</v>
      </c>
      <c r="F329" s="3" t="s">
        <v>23</v>
      </c>
      <c r="G329" s="3" t="s">
        <v>23</v>
      </c>
      <c r="H329" s="3" t="s">
        <v>23</v>
      </c>
      <c r="I329" s="3">
        <f>VLOOKUP($A329,'SegEnds_NonXtal_BW#'!$A:$Z,7,FALSE)+J329-50</f>
        <v>434</v>
      </c>
      <c r="J329" s="3">
        <v>447</v>
      </c>
      <c r="K329" s="3">
        <f>VLOOKUP($A329,'SegEnds_NonXtal_BW#'!$A:$Z,8,FALSE)+VLOOKUP($A329,A:AL,10,FALSE)-50</f>
        <v>460</v>
      </c>
      <c r="L329" s="3" t="str">
        <f>IF(ISERROR(VLOOKUP($A329,'SegEnds_NonXtal_BW#'!$A:$Z,9,FALSE)+VLOOKUP($A329,A:AL,13,FALSE)-50),"-",(VLOOKUP($A329,'SegEnds_NonXtal_BW#'!$A:$Z,9,FALSE)+VLOOKUP($A329,A:AL,13,FALSE)-50))</f>
        <v>-</v>
      </c>
      <c r="M329" s="3" t="s">
        <v>23</v>
      </c>
      <c r="N329" s="3" t="str">
        <f>IF(ISERROR(VLOOKUP($A329,'SegEnds_NonXtal_BW#'!$A:$Z,10,FALSE)+VLOOKUP($A329,A:AL,13,FALSE)-50),"-",(VLOOKUP($A329,'SegEnds_NonXtal_BW#'!$A:$Z,10,FALSE)+VLOOKUP($A329,A:AL,13,FALSE)-50))</f>
        <v>-</v>
      </c>
      <c r="O329" s="3">
        <f>VLOOKUP($A329,'SegEnds_NonXtal_BW#'!$A:$Z,11,FALSE)+VLOOKUP($A329,A:AL,16,FALSE)-50</f>
        <v>471</v>
      </c>
      <c r="P329" s="3">
        <v>498</v>
      </c>
      <c r="Q329" s="3">
        <f>VLOOKUP($A329,'SegEnds_NonXtal_BW#'!$A:$Z,12,FALSE)+VLOOKUP($A329,A:AL,16,FALSE)-50</f>
        <v>504</v>
      </c>
      <c r="R329" s="3" t="str">
        <f>IF(ISERROR(VLOOKUP($A329,'SegEnds_NonXtal_BW#'!$A:$Z,13,FALSE)+VLOOKUP($A329,A:AL,19,FALSE)-50),"-",VLOOKUP($A329,'SegEnds_NonXtal_BW#'!$A:$Z,13,FALSE)+VLOOKUP($A329,A:AL,19,FALSE)-50)</f>
        <v>-</v>
      </c>
      <c r="S329" s="3" t="s">
        <v>23</v>
      </c>
      <c r="T329" s="100" t="str">
        <f>IF(ISERROR(VLOOKUP($A329,'SegEnds_NonXtal_BW#'!$A:$Z,14,FALSE)+VLOOKUP($A329,A:AL,19,FALSE)-50),"-",(VLOOKUP($A329,'SegEnds_NonXtal_BW#'!$A:$Z,14,FALSE)+VLOOKUP($A329,A:AL,19,FALSE)-50))</f>
        <v>-</v>
      </c>
      <c r="U329" s="9">
        <f>IF(ISERROR(VLOOKUP($A329,'SegEnds_NonXtal_BW#'!$A:$Z,15,FALSE)+VLOOKUP($A329,A:AL,22,FALSE)-50),"-",VLOOKUP($A329,'SegEnds_NonXtal_BW#'!$A:$Z,15,FALSE)+VLOOKUP($A329,A:AL,22,FALSE)-50)</f>
        <v>513</v>
      </c>
      <c r="V329" s="3">
        <v>523</v>
      </c>
      <c r="W329" s="3">
        <f>IF(ISERROR(VLOOKUP($A329,'SegEnds_NonXtal_BW#'!$A:$Z,16,FALSE)+VLOOKUP($A329,A:AL,22,FALSE)-50),"-",(VLOOKUP($A329,'SegEnds_NonXtal_BW#'!$A:$Z,16,FALSE)+VLOOKUP($A329,A:AL,22,FALSE)-50))</f>
        <v>541</v>
      </c>
      <c r="X329" s="3">
        <f>IF(ISERROR(VLOOKUP($A329,'SegEnds_NonXtal_BW#'!$A:$Z,17,FALSE)+VLOOKUP($A329,A:AL,25,FALSE)-50),"-",(VLOOKUP($A329,'SegEnds_NonXtal_BW#'!$A:$Z,17,FALSE)+VLOOKUP($A329,A:AL,25,FALSE)-50))</f>
        <v>549</v>
      </c>
      <c r="Y329" s="3">
        <v>549</v>
      </c>
      <c r="Z329" s="3">
        <f t="shared" si="179"/>
        <v>551</v>
      </c>
      <c r="AA329" s="3">
        <f>IF(ISERROR(VLOOKUP($A329,'SegEnds_NonXtal_BW#'!$A:$Z,19,FALSE)+VLOOKUP($A329,A:AL,28,FALSE)-50),"-",(VLOOKUP($A329,'SegEnds_NonXtal_BW#'!$A:$Z,19,FALSE)+VLOOKUP($A329,A:AL,28,FALSE)-50))</f>
        <v>555</v>
      </c>
      <c r="AB329" s="3">
        <v>569</v>
      </c>
      <c r="AC329" s="3">
        <f>IF(ISERROR((VLOOKUP($A329,'SegEnds_NonXtal_BW#'!$A:$Z,20,FALSE)+VLOOKUP($A329,A:AL,28,FALSE)-50)),"-",(VLOOKUP($A329,'SegEnds_NonXtal_BW#'!$A:$Z,20,FALSE)+VLOOKUP($A329,A:AL,28,FALSE)-50))</f>
        <v>588</v>
      </c>
      <c r="AD329" s="3">
        <f>IF(ISERROR(VLOOKUP($A329,'SegEnds_NonXtal_BW#'!$A:$Z,21,FALSE)+VLOOKUP($A329,A:AL,31,FALSE)-50),"-",(VLOOKUP($A329,'SegEnds_NonXtal_BW#'!$A:$Z,21,FALSE)+VLOOKUP($A329,A:AL,31,FALSE)-50))</f>
        <v>599</v>
      </c>
      <c r="AE329" s="3">
        <v>620</v>
      </c>
      <c r="AF329" s="3">
        <f>IF(ISERROR((VLOOKUP($A329,'SegEnds_NonXtal_BW#'!$A:$Z,22,FALSE)+VLOOKUP($A329,A:AL,31,FALSE)-50)),"-",(VLOOKUP($A329,'SegEnds_NonXtal_BW#'!$A:$Z,22,FALSE)+VLOOKUP($A329,A:AL,31,FALSE)-50))</f>
        <v>623</v>
      </c>
      <c r="AG329" s="3">
        <f>IF(ISERROR(VLOOKUP($A329,'SegEnds_NonXtal_BW#'!$A:$Z,23,FALSE)+VLOOKUP($A329,A:AL,34,FALSE)-50),"-",(VLOOKUP($A329,'SegEnds_NonXtal_BW#'!$A:$Z,23,FALSE)+VLOOKUP($A329,A:AL,34,FALSE)-50))</f>
        <v>630</v>
      </c>
      <c r="AH329" s="3">
        <v>649</v>
      </c>
      <c r="AI329" s="3">
        <f>IF(ISERROR((VLOOKUP($A329,'SegEnds_NonXtal_BW#'!$A:$Z,24,FALSE)+VLOOKUP($A329,A:AL,34,FALSE)-50)),"-",(VLOOKUP($A329,'SegEnds_NonXtal_BW#'!$A:$Z,24,FALSE)+VLOOKUP($A329,A:AL,34,FALSE)-50))</f>
        <v>655</v>
      </c>
      <c r="AJ329" s="3">
        <f>IF(ISERROR(VLOOKUP($A329,'SegEnds_NonXtal_BW#'!$A:$Z,25,FALSE)+VLOOKUP($A329,A:AL,37,FALSE)-50),"-",(VLOOKUP($A329,'SegEnds_NonXtal_BW#'!$A:$Z,25,FALSE)+VLOOKUP($A329,A:AL,37,FALSE)-50))</f>
        <v>656</v>
      </c>
      <c r="AK329" s="3">
        <v>659</v>
      </c>
      <c r="AL329" s="3">
        <f>IF(ISERROR((VLOOKUP($A329,'SegEnds_NonXtal_BW#'!$A:$Z,26,FALSE)+VLOOKUP($A329,A:AL,37,FALSE)-50)),"-",(VLOOKUP($A329,'SegEnds_NonXtal_BW#'!$A:$Z,26,FALSE)+VLOOKUP($A329,A:AL,37,FALSE)-50))</f>
        <v>672</v>
      </c>
      <c r="AM329" s="28" t="str">
        <f>VLOOKUP(A329,Classification!A:B,2,FALSE)</f>
        <v>B2</v>
      </c>
      <c r="AN329" s="28" t="b">
        <f t="shared" si="195"/>
        <v>1</v>
      </c>
      <c r="AO329" s="3" t="str">
        <f>IF(ISERROR(MATCH(A329,'SegEnds_Xtal_Prot#'!B:B, 0)), "NoXtal", "Xtal")</f>
        <v>NoXtal</v>
      </c>
      <c r="AP329" s="3" t="str">
        <f t="shared" si="180"/>
        <v>-</v>
      </c>
      <c r="AQ329" s="3" t="str">
        <f t="shared" si="181"/>
        <v>-</v>
      </c>
      <c r="AR329" s="3" t="str">
        <f t="shared" si="182"/>
        <v>-</v>
      </c>
      <c r="AS329" s="3" t="str">
        <f t="shared" si="183"/>
        <v>-</v>
      </c>
      <c r="AT329" s="3" t="str">
        <f t="shared" si="184"/>
        <v>-</v>
      </c>
      <c r="AU329" s="3" t="str">
        <f t="shared" si="185"/>
        <v>-</v>
      </c>
      <c r="AV329" s="3">
        <f t="shared" si="186"/>
        <v>8</v>
      </c>
      <c r="AW329" s="3">
        <f t="shared" si="187"/>
        <v>4</v>
      </c>
      <c r="AX329" s="3">
        <f t="shared" si="188"/>
        <v>11</v>
      </c>
      <c r="AY329" s="3">
        <f t="shared" si="189"/>
        <v>7</v>
      </c>
      <c r="AZ329" s="3">
        <f t="shared" si="190"/>
        <v>1</v>
      </c>
      <c r="BA329" s="3">
        <f>IF(ISERROR(LEN(VLOOKUP(A329,Seqs!A:E,2,FALSE))-AL329),"-",LEN(VLOOKUP(A329,Seqs!A:E,2,FALSE))-AL329)</f>
        <v>23</v>
      </c>
      <c r="BB329" s="16">
        <f t="shared" si="191"/>
        <v>31</v>
      </c>
      <c r="BC329" s="9" t="str">
        <f t="shared" si="192"/>
        <v>-</v>
      </c>
      <c r="BD329" s="3">
        <f t="shared" si="193"/>
        <v>31</v>
      </c>
      <c r="BE329" s="3">
        <f t="shared" si="194"/>
        <v>51</v>
      </c>
      <c r="BF329" s="3">
        <f>AH329-AE329</f>
        <v>29</v>
      </c>
    </row>
    <row r="330" spans="1:59" s="3" customFormat="1" x14ac:dyDescent="0.2">
      <c r="A330" s="3" t="s">
        <v>1192</v>
      </c>
      <c r="B330" s="3" t="str">
        <f>LOWER(VLOOKUP(A330,Xtal_Templ!A:B,2,FALSE))</f>
        <v>crfr1_human</v>
      </c>
      <c r="C330" s="3">
        <f>VLOOKUP($A330,'SegEnds_NonXtal_BW#'!$A:$Z,3,FALSE)+D330-50</f>
        <v>1000</v>
      </c>
      <c r="D330" s="3">
        <v>1027</v>
      </c>
      <c r="E330" s="3">
        <f>IF(ISERROR(VLOOKUP($A330,'SegEnds_NonXtal_BW#'!$A:$Z,4,FALSE)+VLOOKUP($A330,A:AL,4,FALSE)-50),"-",(VLOOKUP($A330,'SegEnds_NonXtal_BW#'!$A:$Z,4,FALSE)+VLOOKUP($A330,A:AL,4,FALSE)-50))</f>
        <v>1037</v>
      </c>
      <c r="F330" s="3">
        <f>G330-2</f>
        <v>1039</v>
      </c>
      <c r="G330" s="3">
        <v>1041</v>
      </c>
      <c r="H330" s="3">
        <f>G330+1</f>
        <v>1042</v>
      </c>
      <c r="I330" s="3">
        <f>H330+1</f>
        <v>1043</v>
      </c>
      <c r="J330" s="3">
        <v>1058</v>
      </c>
      <c r="K330" s="3">
        <f>VLOOKUP($A330,'SegEnds_NonXtal_BW#'!$A:$Z,8,FALSE)+VLOOKUP($A330,A:AL,10,FALSE)-50</f>
        <v>1071</v>
      </c>
      <c r="L330" s="3" t="str">
        <f>IF(ISERROR(VLOOKUP($A330,'SegEnds_NonXtal_BW#'!$A:$Z,9,FALSE)+VLOOKUP($A330,A:AL,13,FALSE)-50),"-",(VLOOKUP($A330,'SegEnds_NonXtal_BW#'!$A:$Z,9,FALSE)+VLOOKUP($A330,A:AL,13,FALSE)-50))</f>
        <v>-</v>
      </c>
      <c r="M330" s="3" t="s">
        <v>23</v>
      </c>
      <c r="N330" s="3" t="str">
        <f>IF(ISERROR(VLOOKUP($A330,'SegEnds_NonXtal_BW#'!$A:$Z,10,FALSE)+VLOOKUP($A330,A:AL,13,FALSE)-50),"-",(VLOOKUP($A330,'SegEnds_NonXtal_BW#'!$A:$Z,10,FALSE)+VLOOKUP($A330,A:AL,13,FALSE)-50))</f>
        <v>-</v>
      </c>
      <c r="O330" s="3">
        <f>VLOOKUP($A330,'SegEnds_NonXtal_BW#'!$A:$Z,11,FALSE)+VLOOKUP($A330,A:AL,16,FALSE)-50</f>
        <v>1084</v>
      </c>
      <c r="P330" s="3">
        <v>1111</v>
      </c>
      <c r="Q330" s="3">
        <f>VLOOKUP($A330,'SegEnds_NonXtal_BW#'!$A:$Z,12,FALSE)+VLOOKUP($A330,A:AL,16,FALSE)-50</f>
        <v>1117</v>
      </c>
      <c r="R330" s="3" t="str">
        <f>IF(ISERROR(VLOOKUP($A330,'SegEnds_NonXtal_BW#'!$A:$Z,13,FALSE)+VLOOKUP($A330,A:AL,19,FALSE)-50),"-",VLOOKUP($A330,'SegEnds_NonXtal_BW#'!$A:$Z,13,FALSE)+VLOOKUP($A330,A:AL,19,FALSE)-50)</f>
        <v>-</v>
      </c>
      <c r="S330" s="3" t="s">
        <v>23</v>
      </c>
      <c r="T330" s="100" t="str">
        <f>IF(ISERROR(VLOOKUP($A330,'SegEnds_NonXtal_BW#'!$A:$Z,14,FALSE)+VLOOKUP($A330,A:AL,19,FALSE)-50),"-",(VLOOKUP($A330,'SegEnds_NonXtal_BW#'!$A:$Z,14,FALSE)+VLOOKUP($A330,A:AL,19,FALSE)-50))</f>
        <v>-</v>
      </c>
      <c r="U330" s="9">
        <f>IF(ISERROR(VLOOKUP($A330,'SegEnds_NonXtal_BW#'!$A:$Z,15,FALSE)+VLOOKUP($A330,A:AL,22,FALSE)-50),"-",VLOOKUP($A330,'SegEnds_NonXtal_BW#'!$A:$Z,15,FALSE)+VLOOKUP($A330,A:AL,22,FALSE)-50)</f>
        <v>1126</v>
      </c>
      <c r="V330" s="3">
        <v>1136</v>
      </c>
      <c r="W330" s="3">
        <f>IF(ISERROR(VLOOKUP($A330,'SegEnds_NonXtal_BW#'!$A:$Z,16,FALSE)+VLOOKUP($A330,A:AL,22,FALSE)-50),"-",(VLOOKUP($A330,'SegEnds_NonXtal_BW#'!$A:$Z,16,FALSE)+VLOOKUP($A330,A:AL,22,FALSE)-50))</f>
        <v>1154</v>
      </c>
      <c r="X330" s="3">
        <f>IF(ISERROR(VLOOKUP($A330,'SegEnds_NonXtal_BW#'!$A:$Z,17,FALSE)+VLOOKUP($A330,A:AL,25,FALSE)-50),"-",(VLOOKUP($A330,'SegEnds_NonXtal_BW#'!$A:$Z,17,FALSE)+VLOOKUP($A330,A:AL,25,FALSE)-50))</f>
        <v>1162</v>
      </c>
      <c r="Y330" s="3">
        <v>1162</v>
      </c>
      <c r="Z330" s="3">
        <f t="shared" si="179"/>
        <v>1164</v>
      </c>
      <c r="AA330" s="3">
        <f>IF(ISERROR(VLOOKUP($A330,'SegEnds_NonXtal_BW#'!$A:$Z,19,FALSE)+VLOOKUP($A330,A:AL,28,FALSE)-50),"-",(VLOOKUP($A330,'SegEnds_NonXtal_BW#'!$A:$Z,19,FALSE)+VLOOKUP($A330,A:AL,28,FALSE)-50))</f>
        <v>1168</v>
      </c>
      <c r="AB330" s="3">
        <v>1182</v>
      </c>
      <c r="AC330" s="3">
        <f>IF(ISERROR((VLOOKUP($A330,'SegEnds_NonXtal_BW#'!$A:$Z,20,FALSE)+VLOOKUP($A330,A:AL,28,FALSE)-50)),"-",(VLOOKUP($A330,'SegEnds_NonXtal_BW#'!$A:$Z,20,FALSE)+VLOOKUP($A330,A:AL,28,FALSE)-50))</f>
        <v>1201</v>
      </c>
      <c r="AD330" s="3">
        <f>IF(ISERROR(VLOOKUP($A330,'SegEnds_NonXtal_BW#'!$A:$Z,21,FALSE)+VLOOKUP($A330,A:AL,31,FALSE)-50),"-",(VLOOKUP($A330,'SegEnds_NonXtal_BW#'!$A:$Z,21,FALSE)+VLOOKUP($A330,A:AL,31,FALSE)-50))</f>
        <v>1213</v>
      </c>
      <c r="AE330" s="3">
        <v>1234</v>
      </c>
      <c r="AF330" s="3">
        <f>IF(ISERROR((VLOOKUP($A330,'SegEnds_NonXtal_BW#'!$A:$Z,22,FALSE)+VLOOKUP($A330,A:AL,31,FALSE)-50)),"-",(VLOOKUP($A330,'SegEnds_NonXtal_BW#'!$A:$Z,22,FALSE)+VLOOKUP($A330,A:AL,31,FALSE)-50))</f>
        <v>1237</v>
      </c>
      <c r="AG330" s="3">
        <f>IF(ISERROR(VLOOKUP($A330,'SegEnds_NonXtal_BW#'!$A:$Z,23,FALSE)+VLOOKUP($A330,A:AL,34,FALSE)-50),"-",(VLOOKUP($A330,'SegEnds_NonXtal_BW#'!$A:$Z,23,FALSE)+VLOOKUP($A330,A:AL,34,FALSE)-50))</f>
        <v>1244</v>
      </c>
      <c r="AH330" s="3">
        <v>1263</v>
      </c>
      <c r="AI330" s="3">
        <f>IF(ISERROR((VLOOKUP($A330,'SegEnds_NonXtal_BW#'!$A:$Z,24,FALSE)+VLOOKUP($A330,A:AL,34,FALSE)-50)),"-",(VLOOKUP($A330,'SegEnds_NonXtal_BW#'!$A:$Z,24,FALSE)+VLOOKUP($A330,A:AL,34,FALSE)-50))</f>
        <v>1269</v>
      </c>
      <c r="AJ330" s="3">
        <f>IF(ISERROR(VLOOKUP($A330,'SegEnds_NonXtal_BW#'!$A:$Z,25,FALSE)+VLOOKUP($A330,A:AL,37,FALSE)-50),"-",(VLOOKUP($A330,'SegEnds_NonXtal_BW#'!$A:$Z,25,FALSE)+VLOOKUP($A330,A:AL,37,FALSE)-50))</f>
        <v>1270</v>
      </c>
      <c r="AK330" s="3">
        <v>1273</v>
      </c>
      <c r="AL330" s="3">
        <f>IF(ISERROR((VLOOKUP($A330,'SegEnds_NonXtal_BW#'!$A:$Z,26,FALSE)+VLOOKUP($A330,A:AL,37,FALSE)-50)),"-",(VLOOKUP($A330,'SegEnds_NonXtal_BW#'!$A:$Z,26,FALSE)+VLOOKUP($A330,A:AL,37,FALSE)-50))</f>
        <v>1286</v>
      </c>
      <c r="AM330" s="28" t="str">
        <f>VLOOKUP(A330,Classification!A:B,2,FALSE)</f>
        <v>B2</v>
      </c>
      <c r="AN330" s="28" t="b">
        <f t="shared" si="195"/>
        <v>1</v>
      </c>
      <c r="AO330" s="3" t="str">
        <f>IF(ISERROR(MATCH(A330,'SegEnds_Xtal_Prot#'!B:B, 0)), "NoXtal", "Xtal")</f>
        <v>NoXtal</v>
      </c>
      <c r="AP330" s="3">
        <f t="shared" si="180"/>
        <v>2</v>
      </c>
      <c r="AQ330" s="3">
        <f t="shared" si="181"/>
        <v>1</v>
      </c>
      <c r="AR330" s="3" t="str">
        <f t="shared" si="182"/>
        <v>-</v>
      </c>
      <c r="AS330" s="3" t="str">
        <f t="shared" si="183"/>
        <v>-</v>
      </c>
      <c r="AT330" s="3" t="str">
        <f t="shared" si="184"/>
        <v>-</v>
      </c>
      <c r="AU330" s="3" t="str">
        <f t="shared" si="185"/>
        <v>-</v>
      </c>
      <c r="AV330" s="3">
        <f t="shared" si="186"/>
        <v>8</v>
      </c>
      <c r="AW330" s="3">
        <f t="shared" si="187"/>
        <v>4</v>
      </c>
      <c r="AX330" s="3">
        <f t="shared" si="188"/>
        <v>12</v>
      </c>
      <c r="AY330" s="3">
        <f t="shared" si="189"/>
        <v>7</v>
      </c>
      <c r="AZ330" s="3">
        <f t="shared" si="190"/>
        <v>1</v>
      </c>
      <c r="BA330" s="3">
        <f>IF(ISERROR(LEN(VLOOKUP(A330,Seqs!A:E,2,FALSE))-AL330),"-",LEN(VLOOKUP(A330,Seqs!A:E,2,FALSE))-AL330)</f>
        <v>60</v>
      </c>
      <c r="BB330" s="16">
        <f t="shared" si="191"/>
        <v>31</v>
      </c>
      <c r="BC330" s="9" t="str">
        <f t="shared" si="192"/>
        <v>-</v>
      </c>
      <c r="BD330" s="3">
        <f t="shared" si="193"/>
        <v>31</v>
      </c>
      <c r="BE330" s="3">
        <f t="shared" si="194"/>
        <v>52</v>
      </c>
    </row>
    <row r="331" spans="1:59" s="3" customFormat="1" x14ac:dyDescent="0.2">
      <c r="A331" s="3" t="s">
        <v>1193</v>
      </c>
      <c r="B331" s="3" t="str">
        <f>LOWER(VLOOKUP(A331,Xtal_Templ!A:B,2,FALSE))</f>
        <v>crfr1_human</v>
      </c>
      <c r="C331" s="3">
        <f>VLOOKUP($A331,'SegEnds_NonXtal_BW#'!$A:$Z,3,FALSE)+D331-50</f>
        <v>391</v>
      </c>
      <c r="D331" s="3">
        <v>418</v>
      </c>
      <c r="E331" s="3">
        <f>IF(ISERROR(VLOOKUP($A331,'SegEnds_NonXtal_BW#'!$A:$Z,4,FALSE)+VLOOKUP($A331,A:AL,4,FALSE)-50),"-",(VLOOKUP($A331,'SegEnds_NonXtal_BW#'!$A:$Z,4,FALSE)+VLOOKUP($A331,A:AL,4,FALSE)-50))</f>
        <v>428</v>
      </c>
      <c r="F331" s="3">
        <f>G331-2</f>
        <v>430</v>
      </c>
      <c r="G331" s="3">
        <v>432</v>
      </c>
      <c r="H331" s="3">
        <f>G331+1</f>
        <v>433</v>
      </c>
      <c r="I331" s="3">
        <f>H331+1</f>
        <v>434</v>
      </c>
      <c r="J331" s="3">
        <v>453</v>
      </c>
      <c r="K331" s="3">
        <f>VLOOKUP($A331,'SegEnds_NonXtal_BW#'!$A:$Z,8,FALSE)+VLOOKUP($A331,A:AL,10,FALSE)-50</f>
        <v>466</v>
      </c>
      <c r="L331" s="3" t="str">
        <f>IF(ISERROR(VLOOKUP($A331,'SegEnds_NonXtal_BW#'!$A:$Z,9,FALSE)+VLOOKUP($A331,A:AL,13,FALSE)-50),"-",(VLOOKUP($A331,'SegEnds_NonXtal_BW#'!$A:$Z,9,FALSE)+VLOOKUP($A331,A:AL,13,FALSE)-50))</f>
        <v>-</v>
      </c>
      <c r="M331" s="3" t="s">
        <v>23</v>
      </c>
      <c r="N331" s="3" t="str">
        <f>IF(ISERROR(VLOOKUP($A331,'SegEnds_NonXtal_BW#'!$A:$Z,10,FALSE)+VLOOKUP($A331,A:AL,13,FALSE)-50),"-",(VLOOKUP($A331,'SegEnds_NonXtal_BW#'!$A:$Z,10,FALSE)+VLOOKUP($A331,A:AL,13,FALSE)-50))</f>
        <v>-</v>
      </c>
      <c r="O331" s="3">
        <f>VLOOKUP($A331,'SegEnds_NonXtal_BW#'!$A:$Z,11,FALSE)+VLOOKUP($A331,A:AL,16,FALSE)-50</f>
        <v>473</v>
      </c>
      <c r="P331" s="3">
        <v>500</v>
      </c>
      <c r="Q331" s="3">
        <f>VLOOKUP($A331,'SegEnds_NonXtal_BW#'!$A:$Z,12,FALSE)+VLOOKUP($A331,A:AL,16,FALSE)-50</f>
        <v>506</v>
      </c>
      <c r="R331" s="3" t="str">
        <f>IF(ISERROR(VLOOKUP($A331,'SegEnds_NonXtal_BW#'!$A:$Z,13,FALSE)+VLOOKUP($A331,A:AL,19,FALSE)-50),"-",VLOOKUP($A331,'SegEnds_NonXtal_BW#'!$A:$Z,13,FALSE)+VLOOKUP($A331,A:AL,19,FALSE)-50)</f>
        <v>-</v>
      </c>
      <c r="S331" s="3" t="s">
        <v>23</v>
      </c>
      <c r="T331" s="100" t="str">
        <f>IF(ISERROR(VLOOKUP($A331,'SegEnds_NonXtal_BW#'!$A:$Z,14,FALSE)+VLOOKUP($A331,A:AL,19,FALSE)-50),"-",(VLOOKUP($A331,'SegEnds_NonXtal_BW#'!$A:$Z,14,FALSE)+VLOOKUP($A331,A:AL,19,FALSE)-50))</f>
        <v>-</v>
      </c>
      <c r="U331" s="9">
        <f>IF(ISERROR(VLOOKUP($A331,'SegEnds_NonXtal_BW#'!$A:$Z,15,FALSE)+VLOOKUP($A331,A:AL,22,FALSE)-50),"-",VLOOKUP($A331,'SegEnds_NonXtal_BW#'!$A:$Z,15,FALSE)+VLOOKUP($A331,A:AL,22,FALSE)-50)</f>
        <v>514</v>
      </c>
      <c r="V331" s="3">
        <v>524</v>
      </c>
      <c r="W331" s="3">
        <f>IF(ISERROR(VLOOKUP($A331,'SegEnds_NonXtal_BW#'!$A:$Z,16,FALSE)+VLOOKUP($A331,A:AL,22,FALSE)-50),"-",(VLOOKUP($A331,'SegEnds_NonXtal_BW#'!$A:$Z,16,FALSE)+VLOOKUP($A331,A:AL,22,FALSE)-50))</f>
        <v>542</v>
      </c>
      <c r="X331" s="3">
        <f>IF(ISERROR(VLOOKUP($A331,'SegEnds_NonXtal_BW#'!$A:$Z,17,FALSE)+VLOOKUP($A331,A:AL,25,FALSE)-50),"-",(VLOOKUP($A331,'SegEnds_NonXtal_BW#'!$A:$Z,17,FALSE)+VLOOKUP($A331,A:AL,25,FALSE)-50))</f>
        <v>562</v>
      </c>
      <c r="Y331" s="3">
        <v>562</v>
      </c>
      <c r="Z331" s="3">
        <f t="shared" si="179"/>
        <v>564</v>
      </c>
      <c r="AA331" s="3">
        <f>IF(ISERROR(VLOOKUP($A331,'SegEnds_NonXtal_BW#'!$A:$Z,19,FALSE)+VLOOKUP($A331,A:AL,28,FALSE)-50),"-",(VLOOKUP($A331,'SegEnds_NonXtal_BW#'!$A:$Z,19,FALSE)+VLOOKUP($A331,A:AL,28,FALSE)-50))</f>
        <v>567</v>
      </c>
      <c r="AB331" s="3">
        <v>581</v>
      </c>
      <c r="AC331" s="3">
        <f>IF(ISERROR((VLOOKUP($A331,'SegEnds_NonXtal_BW#'!$A:$Z,20,FALSE)+VLOOKUP($A331,A:AL,28,FALSE)-50)),"-",(VLOOKUP($A331,'SegEnds_NonXtal_BW#'!$A:$Z,20,FALSE)+VLOOKUP($A331,A:AL,28,FALSE)-50))</f>
        <v>600</v>
      </c>
      <c r="AD331" s="3">
        <f>IF(ISERROR(VLOOKUP($A331,'SegEnds_NonXtal_BW#'!$A:$Z,21,FALSE)+VLOOKUP($A331,A:AL,31,FALSE)-50),"-",(VLOOKUP($A331,'SegEnds_NonXtal_BW#'!$A:$Z,21,FALSE)+VLOOKUP($A331,A:AL,31,FALSE)-50))</f>
        <v>604</v>
      </c>
      <c r="AE331" s="3">
        <v>625</v>
      </c>
      <c r="AF331" s="3">
        <f>IF(ISERROR((VLOOKUP($A331,'SegEnds_NonXtal_BW#'!$A:$Z,22,FALSE)+VLOOKUP($A331,A:AL,31,FALSE)-50)),"-",(VLOOKUP($A331,'SegEnds_NonXtal_BW#'!$A:$Z,22,FALSE)+VLOOKUP($A331,A:AL,31,FALSE)-50))</f>
        <v>628</v>
      </c>
      <c r="AG331" s="3">
        <f>IF(ISERROR(VLOOKUP($A331,'SegEnds_NonXtal_BW#'!$A:$Z,23,FALSE)+VLOOKUP($A331,A:AL,34,FALSE)-50),"-",(VLOOKUP($A331,'SegEnds_NonXtal_BW#'!$A:$Z,23,FALSE)+VLOOKUP($A331,A:AL,34,FALSE)-50))</f>
        <v>633</v>
      </c>
      <c r="AH331" s="3">
        <v>655</v>
      </c>
      <c r="AI331" s="3">
        <f>IF(ISERROR((VLOOKUP($A331,'SegEnds_NonXtal_BW#'!$A:$Z,24,FALSE)+VLOOKUP($A331,A:AL,34,FALSE)-50)),"-",(VLOOKUP($A331,'SegEnds_NonXtal_BW#'!$A:$Z,24,FALSE)+VLOOKUP($A331,A:AL,34,FALSE)-50))</f>
        <v>661</v>
      </c>
      <c r="AJ331" s="3">
        <f>IF(ISERROR(VLOOKUP($A331,'SegEnds_NonXtal_BW#'!$A:$Z,25,FALSE)+VLOOKUP($A331,A:AL,37,FALSE)-50),"-",(VLOOKUP($A331,'SegEnds_NonXtal_BW#'!$A:$Z,25,FALSE)+VLOOKUP($A331,A:AL,37,FALSE)-50))</f>
        <v>662</v>
      </c>
      <c r="AK331" s="3">
        <v>665</v>
      </c>
      <c r="AL331" s="3">
        <f>IF(ISERROR((VLOOKUP($A331,'SegEnds_NonXtal_BW#'!$A:$Z,26,FALSE)+VLOOKUP($A331,A:AL,37,FALSE)-50)),"-",(VLOOKUP($A331,'SegEnds_NonXtal_BW#'!$A:$Z,26,FALSE)+VLOOKUP($A331,A:AL,37,FALSE)-50))</f>
        <v>678</v>
      </c>
      <c r="AM331" s="28" t="str">
        <f>VLOOKUP(A331,Classification!A:B,2,FALSE)</f>
        <v>B2</v>
      </c>
      <c r="AN331" s="28" t="b">
        <f t="shared" si="195"/>
        <v>1</v>
      </c>
      <c r="AO331" s="3" t="str">
        <f>IF(ISERROR(MATCH(A331,'SegEnds_Xtal_Prot#'!B:B, 0)), "NoXtal", "Xtal")</f>
        <v>NoXtal</v>
      </c>
      <c r="AP331" s="3">
        <f t="shared" si="180"/>
        <v>2</v>
      </c>
      <c r="AQ331" s="3">
        <f t="shared" si="181"/>
        <v>1</v>
      </c>
      <c r="AR331" s="3" t="str">
        <f t="shared" si="182"/>
        <v>-</v>
      </c>
      <c r="AS331" s="3" t="str">
        <f t="shared" si="183"/>
        <v>-</v>
      </c>
      <c r="AT331" s="3" t="str">
        <f t="shared" si="184"/>
        <v>-</v>
      </c>
      <c r="AU331" s="3" t="str">
        <f t="shared" si="185"/>
        <v>-</v>
      </c>
      <c r="AV331" s="3">
        <f t="shared" si="186"/>
        <v>20</v>
      </c>
      <c r="AW331" s="3">
        <f t="shared" si="187"/>
        <v>3</v>
      </c>
      <c r="AX331" s="3">
        <f t="shared" si="188"/>
        <v>4</v>
      </c>
      <c r="AY331" s="3">
        <f t="shared" si="189"/>
        <v>5</v>
      </c>
      <c r="AZ331" s="3">
        <f t="shared" si="190"/>
        <v>1</v>
      </c>
      <c r="BA331" s="3">
        <f>IF(ISERROR(LEN(VLOOKUP(A331,Seqs!A:E,2,FALSE))-AL331),"-",LEN(VLOOKUP(A331,Seqs!A:E,2,FALSE))-AL331)</f>
        <v>15</v>
      </c>
      <c r="BB331" s="16">
        <f t="shared" si="191"/>
        <v>35</v>
      </c>
      <c r="BC331" s="9" t="str">
        <f t="shared" si="192"/>
        <v>-</v>
      </c>
      <c r="BD331" s="3">
        <f t="shared" si="193"/>
        <v>35</v>
      </c>
      <c r="BE331" s="3">
        <f t="shared" si="194"/>
        <v>44</v>
      </c>
      <c r="BF331" s="3">
        <f>AH331-AE331</f>
        <v>30</v>
      </c>
    </row>
    <row r="332" spans="1:59" s="3" customFormat="1" x14ac:dyDescent="0.2">
      <c r="A332" s="3" t="s">
        <v>1194</v>
      </c>
      <c r="B332" s="3" t="str">
        <f>LOWER(VLOOKUP(A332,Xtal_Templ!A:B,2,FALSE))</f>
        <v>pth1r_human</v>
      </c>
      <c r="C332" s="3">
        <f>VLOOKUP($A332,'SegEnds_NonXtal_BW#'!$A:$Z,3,FALSE)+D332-50</f>
        <v>616</v>
      </c>
      <c r="D332" s="3">
        <v>643</v>
      </c>
      <c r="E332" s="3">
        <f>IF(ISERROR(VLOOKUP($A332,'SegEnds_NonXtal_BW#'!$A:$Z,4,FALSE)+VLOOKUP($A332,A:AL,4,FALSE)-50),"-",(VLOOKUP($A332,'SegEnds_NonXtal_BW#'!$A:$Z,4,FALSE)+VLOOKUP($A332,A:AL,4,FALSE)-50))</f>
        <v>653</v>
      </c>
      <c r="F332" s="3" t="s">
        <v>23</v>
      </c>
      <c r="G332" s="3" t="s">
        <v>23</v>
      </c>
      <c r="H332" s="3" t="s">
        <v>23</v>
      </c>
      <c r="I332" s="3">
        <f>VLOOKUP($A332,'SegEnds_NonXtal_BW#'!$A:$Z,7,FALSE)+J332-50</f>
        <v>659</v>
      </c>
      <c r="J332" s="3">
        <v>672</v>
      </c>
      <c r="K332" s="3">
        <f>VLOOKUP($A332,'SegEnds_NonXtal_BW#'!$A:$Z,8,FALSE)+VLOOKUP($A332,A:AL,10,FALSE)-50</f>
        <v>685</v>
      </c>
      <c r="L332" s="3" t="str">
        <f>IF(ISERROR(VLOOKUP($A332,'SegEnds_NonXtal_BW#'!$A:$Z,9,FALSE)+VLOOKUP($A332,A:AL,13,FALSE)-50),"-",(VLOOKUP($A332,'SegEnds_NonXtal_BW#'!$A:$Z,9,FALSE)+VLOOKUP($A332,A:AL,13,FALSE)-50))</f>
        <v>-</v>
      </c>
      <c r="M332" s="3" t="s">
        <v>23</v>
      </c>
      <c r="N332" s="3" t="str">
        <f>IF(ISERROR(VLOOKUP($A332,'SegEnds_NonXtal_BW#'!$A:$Z,10,FALSE)+VLOOKUP($A332,A:AL,13,FALSE)-50),"-",(VLOOKUP($A332,'SegEnds_NonXtal_BW#'!$A:$Z,10,FALSE)+VLOOKUP($A332,A:AL,13,FALSE)-50))</f>
        <v>-</v>
      </c>
      <c r="O332" s="3">
        <f>VLOOKUP($A332,'SegEnds_NonXtal_BW#'!$A:$Z,11,FALSE)+VLOOKUP($A332,A:AL,16,FALSE)-50</f>
        <v>692</v>
      </c>
      <c r="P332" s="3">
        <v>719</v>
      </c>
      <c r="Q332" s="3">
        <f>VLOOKUP($A332,'SegEnds_NonXtal_BW#'!$A:$Z,12,FALSE)+VLOOKUP($A332,A:AL,16,FALSE)-50</f>
        <v>725</v>
      </c>
      <c r="R332" s="3" t="str">
        <f>IF(ISERROR(VLOOKUP($A332,'SegEnds_NonXtal_BW#'!$A:$Z,13,FALSE)+VLOOKUP($A332,A:AL,19,FALSE)-50),"-",VLOOKUP($A332,'SegEnds_NonXtal_BW#'!$A:$Z,13,FALSE)+VLOOKUP($A332,A:AL,19,FALSE)-50)</f>
        <v>-</v>
      </c>
      <c r="S332" s="3" t="s">
        <v>23</v>
      </c>
      <c r="T332" s="100" t="str">
        <f>IF(ISERROR(VLOOKUP($A332,'SegEnds_NonXtal_BW#'!$A:$Z,14,FALSE)+VLOOKUP($A332,A:AL,19,FALSE)-50),"-",(VLOOKUP($A332,'SegEnds_NonXtal_BW#'!$A:$Z,14,FALSE)+VLOOKUP($A332,A:AL,19,FALSE)-50))</f>
        <v>-</v>
      </c>
      <c r="U332" s="9">
        <f>IF(ISERROR(VLOOKUP($A332,'SegEnds_NonXtal_BW#'!$A:$Z,15,FALSE)+VLOOKUP($A332,A:AL,22,FALSE)-50),"-",VLOOKUP($A332,'SegEnds_NonXtal_BW#'!$A:$Z,15,FALSE)+VLOOKUP($A332,A:AL,22,FALSE)-50)</f>
        <v>730</v>
      </c>
      <c r="V332" s="3">
        <v>743</v>
      </c>
      <c r="W332" s="3">
        <f>IF(ISERROR(VLOOKUP($A332,'SegEnds_NonXtal_BW#'!$A:$Z,16,FALSE)+VLOOKUP($A332,A:AL,22,FALSE)-50),"-",(VLOOKUP($A332,'SegEnds_NonXtal_BW#'!$A:$Z,16,FALSE)+VLOOKUP($A332,A:AL,22,FALSE)-50))</f>
        <v>761</v>
      </c>
      <c r="X332" s="3">
        <f>IF(ISERROR(VLOOKUP($A332,'SegEnds_NonXtal_BW#'!$A:$Z,17,FALSE)+VLOOKUP($A332,A:AL,25,FALSE)-50),"-",(VLOOKUP($A332,'SegEnds_NonXtal_BW#'!$A:$Z,17,FALSE)+VLOOKUP($A332,A:AL,25,FALSE)-50))</f>
        <v>778</v>
      </c>
      <c r="Y332" s="3">
        <v>778</v>
      </c>
      <c r="Z332" s="3">
        <f t="shared" si="179"/>
        <v>780</v>
      </c>
      <c r="AA332" s="3">
        <f>IF(ISERROR(VLOOKUP($A332,'SegEnds_NonXtal_BW#'!$A:$Z,19,FALSE)+VLOOKUP($A332,A:AL,28,FALSE)-50),"-",(VLOOKUP($A332,'SegEnds_NonXtal_BW#'!$A:$Z,19,FALSE)+VLOOKUP($A332,A:AL,28,FALSE)-50))</f>
        <v>783</v>
      </c>
      <c r="AB332" s="3">
        <v>797</v>
      </c>
      <c r="AC332" s="3">
        <f>IF(ISERROR((VLOOKUP($A332,'SegEnds_NonXtal_BW#'!$A:$Z,20,FALSE)+VLOOKUP($A332,A:AL,28,FALSE)-50)),"-",(VLOOKUP($A332,'SegEnds_NonXtal_BW#'!$A:$Z,20,FALSE)+VLOOKUP($A332,A:AL,28,FALSE)-50))</f>
        <v>816</v>
      </c>
      <c r="AD332" s="3">
        <f>IF(ISERROR(VLOOKUP($A332,'SegEnds_NonXtal_BW#'!$A:$Z,21,FALSE)+VLOOKUP($A332,A:AL,31,FALSE)-50),"-",(VLOOKUP($A332,'SegEnds_NonXtal_BW#'!$A:$Z,21,FALSE)+VLOOKUP($A332,A:AL,31,FALSE)-50))</f>
        <v>827</v>
      </c>
      <c r="AE332" s="3">
        <v>848</v>
      </c>
      <c r="AF332" s="3">
        <f>IF(ISERROR((VLOOKUP($A332,'SegEnds_NonXtal_BW#'!$A:$Z,22,FALSE)+VLOOKUP($A332,A:AL,31,FALSE)-50)),"-",(VLOOKUP($A332,'SegEnds_NonXtal_BW#'!$A:$Z,22,FALSE)+VLOOKUP($A332,A:AL,31,FALSE)-50))</f>
        <v>852</v>
      </c>
      <c r="AG332" s="3">
        <f>IF(ISERROR(VLOOKUP($A332,'SegEnds_NonXtal_BW#'!$A:$Z,23,FALSE)+VLOOKUP($A332,A:AL,34,FALSE)-50),"-",(VLOOKUP($A332,'SegEnds_NonXtal_BW#'!$A:$Z,23,FALSE)+VLOOKUP($A332,A:AL,34,FALSE)-50))</f>
        <v>857</v>
      </c>
      <c r="AH332" s="3">
        <v>876</v>
      </c>
      <c r="AI332" s="3">
        <f>IF(ISERROR((VLOOKUP($A332,'SegEnds_NonXtal_BW#'!$A:$Z,24,FALSE)+VLOOKUP($A332,A:AL,34,FALSE)-50)),"-",(VLOOKUP($A332,'SegEnds_NonXtal_BW#'!$A:$Z,24,FALSE)+VLOOKUP($A332,A:AL,34,FALSE)-50))</f>
        <v>882</v>
      </c>
      <c r="AJ332" s="3">
        <f>IF(ISERROR(VLOOKUP($A332,'SegEnds_NonXtal_BW#'!$A:$Z,25,FALSE)+VLOOKUP($A332,A:AL,37,FALSE)-50),"-",(VLOOKUP($A332,'SegEnds_NonXtal_BW#'!$A:$Z,25,FALSE)+VLOOKUP($A332,A:AL,37,FALSE)-50))</f>
        <v>883</v>
      </c>
      <c r="AK332" s="3">
        <v>886</v>
      </c>
      <c r="AL332" s="3">
        <f>IF(ISERROR((VLOOKUP($A332,'SegEnds_NonXtal_BW#'!$A:$Z,26,FALSE)+VLOOKUP($A332,A:AL,37,FALSE)-50)),"-",(VLOOKUP($A332,'SegEnds_NonXtal_BW#'!$A:$Z,26,FALSE)+VLOOKUP($A332,A:AL,37,FALSE)-50))</f>
        <v>899</v>
      </c>
      <c r="AM332" s="28" t="str">
        <f>VLOOKUP(A332,Classification!A:B,2,FALSE)</f>
        <v>B2</v>
      </c>
      <c r="AN332" s="28" t="b">
        <f t="shared" si="195"/>
        <v>1</v>
      </c>
      <c r="AO332" s="3" t="str">
        <f>IF(ISERROR(MATCH(A332,'SegEnds_Xtal_Prot#'!B:B, 0)), "NoXtal", "Xtal")</f>
        <v>NoXtal</v>
      </c>
      <c r="AP332" s="3" t="str">
        <f t="shared" si="180"/>
        <v>-</v>
      </c>
      <c r="AQ332" s="3" t="str">
        <f t="shared" si="181"/>
        <v>-</v>
      </c>
      <c r="AR332" s="3" t="str">
        <f t="shared" si="182"/>
        <v>-</v>
      </c>
      <c r="AS332" s="3" t="str">
        <f t="shared" si="183"/>
        <v>-</v>
      </c>
      <c r="AT332" s="3" t="str">
        <f t="shared" si="184"/>
        <v>-</v>
      </c>
      <c r="AU332" s="3" t="str">
        <f t="shared" si="185"/>
        <v>-</v>
      </c>
      <c r="AV332" s="3">
        <f t="shared" si="186"/>
        <v>17</v>
      </c>
      <c r="AW332" s="3">
        <f t="shared" si="187"/>
        <v>3</v>
      </c>
      <c r="AX332" s="3">
        <f t="shared" si="188"/>
        <v>11</v>
      </c>
      <c r="AY332" s="3">
        <f t="shared" si="189"/>
        <v>5</v>
      </c>
      <c r="AZ332" s="3">
        <f t="shared" si="190"/>
        <v>1</v>
      </c>
      <c r="BA332" s="3">
        <f>IF(ISERROR(LEN(VLOOKUP(A332,Seqs!A:E,2,FALSE))-AL332),"-",LEN(VLOOKUP(A332,Seqs!A:E,2,FALSE))-AL332)</f>
        <v>118</v>
      </c>
      <c r="BB332" s="16">
        <f t="shared" si="191"/>
        <v>29</v>
      </c>
      <c r="BC332" s="9" t="str">
        <f t="shared" si="192"/>
        <v>-</v>
      </c>
      <c r="BD332" s="3">
        <f t="shared" si="193"/>
        <v>29</v>
      </c>
      <c r="BE332" s="3">
        <f t="shared" si="194"/>
        <v>51</v>
      </c>
    </row>
    <row r="333" spans="1:59" s="3" customFormat="1" x14ac:dyDescent="0.2">
      <c r="A333" s="3" t="s">
        <v>1195</v>
      </c>
      <c r="B333" s="3" t="str">
        <f>LOWER(VLOOKUP(A333,Xtal_Templ!A:B,2,FALSE))</f>
        <v>pth1r_human</v>
      </c>
      <c r="C333" s="3">
        <f>VLOOKUP($A333,'SegEnds_NonXtal_BW#'!$A:$Z,3,FALSE)+D333-50</f>
        <v>256</v>
      </c>
      <c r="D333" s="3">
        <v>283</v>
      </c>
      <c r="E333" s="3">
        <f>IF(ISERROR(VLOOKUP($A333,'SegEnds_NonXtal_BW#'!$A:$Z,4,FALSE)+VLOOKUP($A333,A:AL,4,FALSE)-50),"-",(VLOOKUP($A333,'SegEnds_NonXtal_BW#'!$A:$Z,4,FALSE)+VLOOKUP($A333,A:AL,4,FALSE)-50))</f>
        <v>293</v>
      </c>
      <c r="F333" s="3" t="s">
        <v>23</v>
      </c>
      <c r="G333" s="3" t="s">
        <v>23</v>
      </c>
      <c r="H333" s="3" t="s">
        <v>23</v>
      </c>
      <c r="I333" s="3">
        <f>VLOOKUP($A333,'SegEnds_NonXtal_BW#'!$A:$Z,7,FALSE)+J333-50</f>
        <v>303</v>
      </c>
      <c r="J333" s="3">
        <v>316</v>
      </c>
      <c r="K333" s="3">
        <f>VLOOKUP($A333,'SegEnds_NonXtal_BW#'!$A:$Z,8,FALSE)+VLOOKUP($A333,A:AL,10,FALSE)-50</f>
        <v>329</v>
      </c>
      <c r="L333" s="3" t="str">
        <f>IF(ISERROR(VLOOKUP($A333,'SegEnds_NonXtal_BW#'!$A:$Z,9,FALSE)+VLOOKUP($A333,A:AL,13,FALSE)-50),"-",(VLOOKUP($A333,'SegEnds_NonXtal_BW#'!$A:$Z,9,FALSE)+VLOOKUP($A333,A:AL,13,FALSE)-50))</f>
        <v>-</v>
      </c>
      <c r="M333" s="3" t="s">
        <v>23</v>
      </c>
      <c r="N333" s="3" t="str">
        <f>IF(ISERROR(VLOOKUP($A333,'SegEnds_NonXtal_BW#'!$A:$Z,10,FALSE)+VLOOKUP($A333,A:AL,13,FALSE)-50),"-",(VLOOKUP($A333,'SegEnds_NonXtal_BW#'!$A:$Z,10,FALSE)+VLOOKUP($A333,A:AL,13,FALSE)-50))</f>
        <v>-</v>
      </c>
      <c r="O333" s="3">
        <f>VLOOKUP($A333,'SegEnds_NonXtal_BW#'!$A:$Z,11,FALSE)+VLOOKUP($A333,A:AL,16,FALSE)-50</f>
        <v>336</v>
      </c>
      <c r="P333" s="3">
        <v>363</v>
      </c>
      <c r="Q333" s="3">
        <f>VLOOKUP($A333,'SegEnds_NonXtal_BW#'!$A:$Z,12,FALSE)+VLOOKUP($A333,A:AL,16,FALSE)-50</f>
        <v>369</v>
      </c>
      <c r="R333" s="3" t="str">
        <f>IF(ISERROR(VLOOKUP($A333,'SegEnds_NonXtal_BW#'!$A:$Z,13,FALSE)+VLOOKUP($A333,A:AL,19,FALSE)-50),"-",VLOOKUP($A333,'SegEnds_NonXtal_BW#'!$A:$Z,13,FALSE)+VLOOKUP($A333,A:AL,19,FALSE)-50)</f>
        <v>-</v>
      </c>
      <c r="S333" s="3" t="s">
        <v>23</v>
      </c>
      <c r="T333" s="100" t="str">
        <f>IF(ISERROR(VLOOKUP($A333,'SegEnds_NonXtal_BW#'!$A:$Z,14,FALSE)+VLOOKUP($A333,A:AL,19,FALSE)-50),"-",(VLOOKUP($A333,'SegEnds_NonXtal_BW#'!$A:$Z,14,FALSE)+VLOOKUP($A333,A:AL,19,FALSE)-50))</f>
        <v>-</v>
      </c>
      <c r="U333" s="9">
        <f>IF(ISERROR(VLOOKUP($A333,'SegEnds_NonXtal_BW#'!$A:$Z,15,FALSE)+VLOOKUP($A333,A:AL,22,FALSE)-50),"-",VLOOKUP($A333,'SegEnds_NonXtal_BW#'!$A:$Z,15,FALSE)+VLOOKUP($A333,A:AL,22,FALSE)-50)</f>
        <v>374</v>
      </c>
      <c r="V333" s="3">
        <v>387</v>
      </c>
      <c r="W333" s="3">
        <f>IF(ISERROR(VLOOKUP($A333,'SegEnds_NonXtal_BW#'!$A:$Z,16,FALSE)+VLOOKUP($A333,A:AL,22,FALSE)-50),"-",(VLOOKUP($A333,'SegEnds_NonXtal_BW#'!$A:$Z,16,FALSE)+VLOOKUP($A333,A:AL,22,FALSE)-50))</f>
        <v>405</v>
      </c>
      <c r="X333" s="3">
        <f>IF(ISERROR(VLOOKUP($A333,'SegEnds_NonXtal_BW#'!$A:$Z,17,FALSE)+VLOOKUP($A333,A:AL,25,FALSE)-50),"-",(VLOOKUP($A333,'SegEnds_NonXtal_BW#'!$A:$Z,17,FALSE)+VLOOKUP($A333,A:AL,25,FALSE)-50))</f>
        <v>420</v>
      </c>
      <c r="Y333" s="3">
        <v>420</v>
      </c>
      <c r="Z333" s="3">
        <f t="shared" si="179"/>
        <v>422</v>
      </c>
      <c r="AA333" s="3">
        <f>IF(ISERROR(VLOOKUP($A333,'SegEnds_NonXtal_BW#'!$A:$Z,19,FALSE)+VLOOKUP($A333,A:AL,28,FALSE)-50),"-",(VLOOKUP($A333,'SegEnds_NonXtal_BW#'!$A:$Z,19,FALSE)+VLOOKUP($A333,A:AL,28,FALSE)-50))</f>
        <v>424</v>
      </c>
      <c r="AB333" s="3">
        <v>438</v>
      </c>
      <c r="AC333" s="3">
        <f>IF(ISERROR((VLOOKUP($A333,'SegEnds_NonXtal_BW#'!$A:$Z,20,FALSE)+VLOOKUP($A333,A:AL,28,FALSE)-50)),"-",(VLOOKUP($A333,'SegEnds_NonXtal_BW#'!$A:$Z,20,FALSE)+VLOOKUP($A333,A:AL,28,FALSE)-50))</f>
        <v>457</v>
      </c>
      <c r="AD333" s="3">
        <f>IF(ISERROR(VLOOKUP($A333,'SegEnds_NonXtal_BW#'!$A:$Z,21,FALSE)+VLOOKUP($A333,A:AL,31,FALSE)-50),"-",(VLOOKUP($A333,'SegEnds_NonXtal_BW#'!$A:$Z,21,FALSE)+VLOOKUP($A333,A:AL,31,FALSE)-50))</f>
        <v>471</v>
      </c>
      <c r="AE333" s="3">
        <v>492</v>
      </c>
      <c r="AF333" s="3">
        <f>IF(ISERROR((VLOOKUP($A333,'SegEnds_NonXtal_BW#'!$A:$Z,22,FALSE)+VLOOKUP($A333,A:AL,31,FALSE)-50)),"-",(VLOOKUP($A333,'SegEnds_NonXtal_BW#'!$A:$Z,22,FALSE)+VLOOKUP($A333,A:AL,31,FALSE)-50))</f>
        <v>492</v>
      </c>
      <c r="AG333" s="3">
        <f>IF(ISERROR(VLOOKUP($A333,'SegEnds_NonXtal_BW#'!$A:$Z,23,FALSE)+VLOOKUP($A333,A:AL,34,FALSE)-50),"-",(VLOOKUP($A333,'SegEnds_NonXtal_BW#'!$A:$Z,23,FALSE)+VLOOKUP($A333,A:AL,34,FALSE)-50))</f>
        <v>499</v>
      </c>
      <c r="AH333" s="3">
        <v>518</v>
      </c>
      <c r="AI333" s="3">
        <f>IF(ISERROR((VLOOKUP($A333,'SegEnds_NonXtal_BW#'!$A:$Z,24,FALSE)+VLOOKUP($A333,A:AL,34,FALSE)-50)),"-",(VLOOKUP($A333,'SegEnds_NonXtal_BW#'!$A:$Z,24,FALSE)+VLOOKUP($A333,A:AL,34,FALSE)-50))</f>
        <v>524</v>
      </c>
      <c r="AJ333" s="3">
        <f>IF(ISERROR(VLOOKUP($A333,'SegEnds_NonXtal_BW#'!$A:$Z,25,FALSE)+VLOOKUP($A333,A:AL,37,FALSE)-50),"-",(VLOOKUP($A333,'SegEnds_NonXtal_BW#'!$A:$Z,25,FALSE)+VLOOKUP($A333,A:AL,37,FALSE)-50))</f>
        <v>525</v>
      </c>
      <c r="AK333" s="3">
        <v>528</v>
      </c>
      <c r="AL333" s="3">
        <f>IF(ISERROR((VLOOKUP($A333,'SegEnds_NonXtal_BW#'!$A:$Z,26,FALSE)+VLOOKUP($A333,A:AL,37,FALSE)-50)),"-",(VLOOKUP($A333,'SegEnds_NonXtal_BW#'!$A:$Z,26,FALSE)+VLOOKUP($A333,A:AL,37,FALSE)-50))</f>
        <v>541</v>
      </c>
      <c r="AM333" s="28" t="str">
        <f>VLOOKUP(A333,Classification!A:B,2,FALSE)</f>
        <v>B2</v>
      </c>
      <c r="AN333" s="28" t="b">
        <f t="shared" si="195"/>
        <v>1</v>
      </c>
      <c r="AO333" s="3" t="str">
        <f>IF(ISERROR(MATCH(A333,'SegEnds_Xtal_Prot#'!B:B, 0)), "NoXtal", "Xtal")</f>
        <v>NoXtal</v>
      </c>
      <c r="AP333" s="3" t="str">
        <f t="shared" si="180"/>
        <v>-</v>
      </c>
      <c r="AQ333" s="3" t="str">
        <f t="shared" si="181"/>
        <v>-</v>
      </c>
      <c r="AR333" s="3" t="str">
        <f t="shared" si="182"/>
        <v>-</v>
      </c>
      <c r="AS333" s="3" t="str">
        <f t="shared" si="183"/>
        <v>-</v>
      </c>
      <c r="AT333" s="3" t="str">
        <f t="shared" si="184"/>
        <v>-</v>
      </c>
      <c r="AU333" s="3" t="str">
        <f t="shared" si="185"/>
        <v>-</v>
      </c>
      <c r="AV333" s="3">
        <f t="shared" si="186"/>
        <v>15</v>
      </c>
      <c r="AW333" s="3">
        <f t="shared" si="187"/>
        <v>2</v>
      </c>
      <c r="AX333" s="3">
        <f t="shared" si="188"/>
        <v>14</v>
      </c>
      <c r="AY333" s="3">
        <f t="shared" si="189"/>
        <v>7</v>
      </c>
      <c r="AZ333" s="3">
        <f t="shared" si="190"/>
        <v>1</v>
      </c>
      <c r="BA333" s="3">
        <f>IF(ISERROR(LEN(VLOOKUP(A333,Seqs!A:E,2,FALSE))-AL333),"-",LEN(VLOOKUP(A333,Seqs!A:E,2,FALSE))-AL333)</f>
        <v>8</v>
      </c>
      <c r="BB333" s="16">
        <f t="shared" si="191"/>
        <v>33</v>
      </c>
      <c r="BC333" s="9" t="str">
        <f t="shared" si="192"/>
        <v>-</v>
      </c>
      <c r="BD333" s="3">
        <f t="shared" si="193"/>
        <v>33</v>
      </c>
      <c r="BE333" s="3">
        <f t="shared" si="194"/>
        <v>54</v>
      </c>
      <c r="BF333" s="3">
        <f>AH333-AE333</f>
        <v>26</v>
      </c>
    </row>
    <row r="334" spans="1:59" s="3" customFormat="1" x14ac:dyDescent="0.2">
      <c r="A334" s="3" t="s">
        <v>1196</v>
      </c>
      <c r="B334" s="3" t="str">
        <f>LOWER(VLOOKUP(A334,Xtal_Templ!A:B,2,FALSE))</f>
        <v>pth1r_human</v>
      </c>
      <c r="C334" s="3">
        <f>VLOOKUP($A334,'SegEnds_NonXtal_BW#'!$A:$Z,3,FALSE)+D334-50</f>
        <v>2731</v>
      </c>
      <c r="D334" s="3">
        <v>2758</v>
      </c>
      <c r="E334" s="3">
        <f>IF(ISERROR(VLOOKUP($A334,'SegEnds_NonXtal_BW#'!$A:$Z,4,FALSE)+VLOOKUP($A334,A:AL,4,FALSE)-50),"-",(VLOOKUP($A334,'SegEnds_NonXtal_BW#'!$A:$Z,4,FALSE)+VLOOKUP($A334,A:AL,4,FALSE)-50))</f>
        <v>2768</v>
      </c>
      <c r="F334" s="3" t="s">
        <v>23</v>
      </c>
      <c r="G334" s="3" t="s">
        <v>23</v>
      </c>
      <c r="H334" s="3" t="s">
        <v>23</v>
      </c>
      <c r="I334" s="3">
        <f>VLOOKUP($A334,'SegEnds_NonXtal_BW#'!$A:$Z,7,FALSE)+J334-50</f>
        <v>2774</v>
      </c>
      <c r="J334" s="3">
        <v>2787</v>
      </c>
      <c r="K334" s="3">
        <f>VLOOKUP($A334,'SegEnds_NonXtal_BW#'!$A:$Z,8,FALSE)+VLOOKUP($A334,A:AL,10,FALSE)-50</f>
        <v>2800</v>
      </c>
      <c r="L334" s="3" t="str">
        <f>IF(ISERROR(VLOOKUP($A334,'SegEnds_NonXtal_BW#'!$A:$Z,9,FALSE)+VLOOKUP($A334,A:AL,13,FALSE)-50),"-",(VLOOKUP($A334,'SegEnds_NonXtal_BW#'!$A:$Z,9,FALSE)+VLOOKUP($A334,A:AL,13,FALSE)-50))</f>
        <v>-</v>
      </c>
      <c r="M334" s="3" t="s">
        <v>23</v>
      </c>
      <c r="N334" s="3" t="str">
        <f>IF(ISERROR(VLOOKUP($A334,'SegEnds_NonXtal_BW#'!$A:$Z,10,FALSE)+VLOOKUP($A334,A:AL,13,FALSE)-50),"-",(VLOOKUP($A334,'SegEnds_NonXtal_BW#'!$A:$Z,10,FALSE)+VLOOKUP($A334,A:AL,13,FALSE)-50))</f>
        <v>-</v>
      </c>
      <c r="O334" s="3">
        <f>VLOOKUP($A334,'SegEnds_NonXtal_BW#'!$A:$Z,11,FALSE)+VLOOKUP($A334,A:AL,16,FALSE)-50</f>
        <v>2807</v>
      </c>
      <c r="P334" s="3">
        <v>2834</v>
      </c>
      <c r="Q334" s="3">
        <f>VLOOKUP($A334,'SegEnds_NonXtal_BW#'!$A:$Z,12,FALSE)+VLOOKUP($A334,A:AL,16,FALSE)-50</f>
        <v>2840</v>
      </c>
      <c r="R334" s="3" t="str">
        <f>IF(ISERROR(VLOOKUP($A334,'SegEnds_NonXtal_BW#'!$A:$Z,13,FALSE)+VLOOKUP($A334,A:AL,19,FALSE)-50),"-",VLOOKUP($A334,'SegEnds_NonXtal_BW#'!$A:$Z,13,FALSE)+VLOOKUP($A334,A:AL,19,FALSE)-50)</f>
        <v>-</v>
      </c>
      <c r="S334" s="3" t="s">
        <v>23</v>
      </c>
      <c r="T334" s="100" t="str">
        <f>IF(ISERROR(VLOOKUP($A334,'SegEnds_NonXtal_BW#'!$A:$Z,14,FALSE)+VLOOKUP($A334,A:AL,19,FALSE)-50),"-",(VLOOKUP($A334,'SegEnds_NonXtal_BW#'!$A:$Z,14,FALSE)+VLOOKUP($A334,A:AL,19,FALSE)-50))</f>
        <v>-</v>
      </c>
      <c r="U334" s="9">
        <f>IF(ISERROR(VLOOKUP($A334,'SegEnds_NonXtal_BW#'!$A:$Z,15,FALSE)+VLOOKUP($A334,A:AL,22,FALSE)-50),"-",VLOOKUP($A334,'SegEnds_NonXtal_BW#'!$A:$Z,15,FALSE)+VLOOKUP($A334,A:AL,22,FALSE)-50)</f>
        <v>2845</v>
      </c>
      <c r="V334" s="3">
        <v>2858</v>
      </c>
      <c r="W334" s="3">
        <f>IF(ISERROR(VLOOKUP($A334,'SegEnds_NonXtal_BW#'!$A:$Z,16,FALSE)+VLOOKUP($A334,A:AL,22,FALSE)-50),"-",(VLOOKUP($A334,'SegEnds_NonXtal_BW#'!$A:$Z,16,FALSE)+VLOOKUP($A334,A:AL,22,FALSE)-50))</f>
        <v>2876</v>
      </c>
      <c r="X334" s="3">
        <f>IF(ISERROR(VLOOKUP($A334,'SegEnds_NonXtal_BW#'!$A:$Z,17,FALSE)+VLOOKUP($A334,A:AL,25,FALSE)-50),"-",(VLOOKUP($A334,'SegEnds_NonXtal_BW#'!$A:$Z,17,FALSE)+VLOOKUP($A334,A:AL,25,FALSE)-50))</f>
        <v>2886</v>
      </c>
      <c r="Y334" s="3">
        <v>2886</v>
      </c>
      <c r="Z334" s="3">
        <f t="shared" si="179"/>
        <v>2888</v>
      </c>
      <c r="AA334" s="3">
        <f>IF(ISERROR(VLOOKUP($A334,'SegEnds_NonXtal_BW#'!$A:$Z,19,FALSE)+VLOOKUP($A334,A:AL,28,FALSE)-50),"-",(VLOOKUP($A334,'SegEnds_NonXtal_BW#'!$A:$Z,19,FALSE)+VLOOKUP($A334,A:AL,28,FALSE)-50))</f>
        <v>2891</v>
      </c>
      <c r="AB334" s="3">
        <v>2905</v>
      </c>
      <c r="AC334" s="3">
        <f>IF(ISERROR((VLOOKUP($A334,'SegEnds_NonXtal_BW#'!$A:$Z,20,FALSE)+VLOOKUP($A334,A:AL,28,FALSE)-50)),"-",(VLOOKUP($A334,'SegEnds_NonXtal_BW#'!$A:$Z,20,FALSE)+VLOOKUP($A334,A:AL,28,FALSE)-50))</f>
        <v>2924</v>
      </c>
      <c r="AD334" s="3">
        <f>IF(ISERROR(VLOOKUP($A334,'SegEnds_NonXtal_BW#'!$A:$Z,21,FALSE)+VLOOKUP($A334,A:AL,31,FALSE)-50),"-",(VLOOKUP($A334,'SegEnds_NonXtal_BW#'!$A:$Z,21,FALSE)+VLOOKUP($A334,A:AL,31,FALSE)-50))</f>
        <v>2934</v>
      </c>
      <c r="AE334" s="3">
        <v>2955</v>
      </c>
      <c r="AF334" s="3">
        <f>IF(ISERROR((VLOOKUP($A334,'SegEnds_NonXtal_BW#'!$A:$Z,22,FALSE)+VLOOKUP($A334,A:AL,31,FALSE)-50)),"-",(VLOOKUP($A334,'SegEnds_NonXtal_BW#'!$A:$Z,22,FALSE)+VLOOKUP($A334,A:AL,31,FALSE)-50))</f>
        <v>2959</v>
      </c>
      <c r="AG334" s="3">
        <f>IF(ISERROR(VLOOKUP($A334,'SegEnds_NonXtal_BW#'!$A:$Z,23,FALSE)+VLOOKUP($A334,A:AL,34,FALSE)-50),"-",(VLOOKUP($A334,'SegEnds_NonXtal_BW#'!$A:$Z,23,FALSE)+VLOOKUP($A334,A:AL,34,FALSE)-50))</f>
        <v>2964</v>
      </c>
      <c r="AH334" s="3">
        <v>2983</v>
      </c>
      <c r="AI334" s="3">
        <f>IF(ISERROR((VLOOKUP($A334,'SegEnds_NonXtal_BW#'!$A:$Z,24,FALSE)+VLOOKUP($A334,A:AL,34,FALSE)-50)),"-",(VLOOKUP($A334,'SegEnds_NonXtal_BW#'!$A:$Z,24,FALSE)+VLOOKUP($A334,A:AL,34,FALSE)-50))</f>
        <v>2989</v>
      </c>
      <c r="AJ334" s="3">
        <f>IF(ISERROR(VLOOKUP($A334,'SegEnds_NonXtal_BW#'!$A:$Z,25,FALSE)+VLOOKUP($A334,A:AL,37,FALSE)-50),"-",(VLOOKUP($A334,'SegEnds_NonXtal_BW#'!$A:$Z,25,FALSE)+VLOOKUP($A334,A:AL,37,FALSE)-50))</f>
        <v>2990</v>
      </c>
      <c r="AK334" s="3">
        <v>2993</v>
      </c>
      <c r="AL334" s="3">
        <f>IF(ISERROR((VLOOKUP($A334,'SegEnds_NonXtal_BW#'!$A:$Z,26,FALSE)+VLOOKUP($A334,A:AL,37,FALSE)-50)),"-",(VLOOKUP($A334,'SegEnds_NonXtal_BW#'!$A:$Z,26,FALSE)+VLOOKUP($A334,A:AL,37,FALSE)-50))</f>
        <v>3006</v>
      </c>
      <c r="AM334" s="28" t="str">
        <f>VLOOKUP(A334,Classification!A:B,2,FALSE)</f>
        <v>B2</v>
      </c>
      <c r="AN334" s="28" t="b">
        <f t="shared" si="195"/>
        <v>1</v>
      </c>
      <c r="AO334" s="3" t="str">
        <f>IF(ISERROR(MATCH(A334,'SegEnds_Xtal_Prot#'!B:B, 0)), "NoXtal", "Xtal")</f>
        <v>NoXtal</v>
      </c>
      <c r="AP334" s="3" t="str">
        <f t="shared" si="180"/>
        <v>-</v>
      </c>
      <c r="AQ334" s="3" t="str">
        <f t="shared" si="181"/>
        <v>-</v>
      </c>
      <c r="AR334" s="3" t="str">
        <f t="shared" si="182"/>
        <v>-</v>
      </c>
      <c r="AS334" s="3" t="str">
        <f t="shared" si="183"/>
        <v>-</v>
      </c>
      <c r="AT334" s="3" t="str">
        <f t="shared" si="184"/>
        <v>-</v>
      </c>
      <c r="AU334" s="3" t="str">
        <f t="shared" si="185"/>
        <v>-</v>
      </c>
      <c r="AV334" s="3">
        <f t="shared" si="186"/>
        <v>10</v>
      </c>
      <c r="AW334" s="3">
        <f t="shared" si="187"/>
        <v>3</v>
      </c>
      <c r="AX334" s="3">
        <f t="shared" si="188"/>
        <v>10</v>
      </c>
      <c r="AY334" s="3">
        <f t="shared" si="189"/>
        <v>5</v>
      </c>
      <c r="AZ334" s="3">
        <f t="shared" si="190"/>
        <v>1</v>
      </c>
      <c r="BA334" s="3">
        <f>IF(ISERROR(LEN(VLOOKUP(A334,Seqs!A:E,2,FALSE))-AL334),"-",LEN(VLOOKUP(A334,Seqs!A:E,2,FALSE))-AL334)</f>
        <v>74</v>
      </c>
      <c r="BB334" s="16">
        <f t="shared" si="191"/>
        <v>29</v>
      </c>
      <c r="BC334" s="9" t="str">
        <f t="shared" si="192"/>
        <v>-</v>
      </c>
      <c r="BD334" s="3">
        <f t="shared" si="193"/>
        <v>29</v>
      </c>
      <c r="BE334" s="3">
        <f t="shared" si="194"/>
        <v>50</v>
      </c>
    </row>
    <row r="335" spans="1:59" s="3" customFormat="1" x14ac:dyDescent="0.2">
      <c r="A335" s="3" t="s">
        <v>1197</v>
      </c>
      <c r="B335" s="3" t="str">
        <f>LOWER(VLOOKUP(A335,Xtal_Templ!A:B,2,FALSE))</f>
        <v>pth1r_human</v>
      </c>
      <c r="C335" s="3">
        <f>VLOOKUP($A335,'SegEnds_NonXtal_BW#'!$A:$Z,3,FALSE)+D335-50</f>
        <v>236</v>
      </c>
      <c r="D335" s="3">
        <v>263</v>
      </c>
      <c r="E335" s="3">
        <f>IF(ISERROR(VLOOKUP($A335,'SegEnds_NonXtal_BW#'!$A:$Z,4,FALSE)+VLOOKUP($A335,A:AL,4,FALSE)-50),"-",(VLOOKUP($A335,'SegEnds_NonXtal_BW#'!$A:$Z,4,FALSE)+VLOOKUP($A335,A:AL,4,FALSE)-50))</f>
        <v>273</v>
      </c>
      <c r="F335" s="3" t="s">
        <v>23</v>
      </c>
      <c r="G335" s="3" t="s">
        <v>23</v>
      </c>
      <c r="H335" s="3" t="s">
        <v>23</v>
      </c>
      <c r="I335" s="3">
        <f>VLOOKUP($A335,'SegEnds_NonXtal_BW#'!$A:$Z,7,FALSE)+J335-50</f>
        <v>278</v>
      </c>
      <c r="J335" s="3">
        <v>291</v>
      </c>
      <c r="K335" s="3">
        <f>VLOOKUP($A335,'SegEnds_NonXtal_BW#'!$A:$Z,8,FALSE)+VLOOKUP($A335,A:AL,10,FALSE)-50</f>
        <v>304</v>
      </c>
      <c r="L335" s="3" t="str">
        <f>IF(ISERROR(VLOOKUP($A335,'SegEnds_NonXtal_BW#'!$A:$Z,9,FALSE)+VLOOKUP($A335,A:AL,13,FALSE)-50),"-",(VLOOKUP($A335,'SegEnds_NonXtal_BW#'!$A:$Z,9,FALSE)+VLOOKUP($A335,A:AL,13,FALSE)-50))</f>
        <v>-</v>
      </c>
      <c r="M335" s="3" t="s">
        <v>23</v>
      </c>
      <c r="N335" s="3" t="str">
        <f>IF(ISERROR(VLOOKUP($A335,'SegEnds_NonXtal_BW#'!$A:$Z,10,FALSE)+VLOOKUP($A335,A:AL,13,FALSE)-50),"-",(VLOOKUP($A335,'SegEnds_NonXtal_BW#'!$A:$Z,10,FALSE)+VLOOKUP($A335,A:AL,13,FALSE)-50))</f>
        <v>-</v>
      </c>
      <c r="O335" s="3">
        <f>VLOOKUP($A335,'SegEnds_NonXtal_BW#'!$A:$Z,11,FALSE)+VLOOKUP($A335,A:AL,16,FALSE)-50</f>
        <v>312</v>
      </c>
      <c r="P335" s="3">
        <v>339</v>
      </c>
      <c r="Q335" s="3">
        <f>VLOOKUP($A335,'SegEnds_NonXtal_BW#'!$A:$Z,12,FALSE)+VLOOKUP($A335,A:AL,16,FALSE)-50</f>
        <v>345</v>
      </c>
      <c r="R335" s="3" t="str">
        <f>IF(ISERROR(VLOOKUP($A335,'SegEnds_NonXtal_BW#'!$A:$Z,13,FALSE)+VLOOKUP($A335,A:AL,19,FALSE)-50),"-",VLOOKUP($A335,'SegEnds_NonXtal_BW#'!$A:$Z,13,FALSE)+VLOOKUP($A335,A:AL,19,FALSE)-50)</f>
        <v>-</v>
      </c>
      <c r="S335" s="3" t="s">
        <v>23</v>
      </c>
      <c r="T335" s="100" t="str">
        <f>IF(ISERROR(VLOOKUP($A335,'SegEnds_NonXtal_BW#'!$A:$Z,14,FALSE)+VLOOKUP($A335,A:AL,19,FALSE)-50),"-",(VLOOKUP($A335,'SegEnds_NonXtal_BW#'!$A:$Z,14,FALSE)+VLOOKUP($A335,A:AL,19,FALSE)-50))</f>
        <v>-</v>
      </c>
      <c r="U335" s="9">
        <f>IF(ISERROR(VLOOKUP($A335,'SegEnds_NonXtal_BW#'!$A:$Z,15,FALSE)+VLOOKUP($A335,A:AL,22,FALSE)-50),"-",VLOOKUP($A335,'SegEnds_NonXtal_BW#'!$A:$Z,15,FALSE)+VLOOKUP($A335,A:AL,22,FALSE)-50)</f>
        <v>350</v>
      </c>
      <c r="V335" s="3">
        <v>363</v>
      </c>
      <c r="W335" s="3">
        <f>IF(ISERROR(VLOOKUP($A335,'SegEnds_NonXtal_BW#'!$A:$Z,16,FALSE)+VLOOKUP($A335,A:AL,22,FALSE)-50),"-",(VLOOKUP($A335,'SegEnds_NonXtal_BW#'!$A:$Z,16,FALSE)+VLOOKUP($A335,A:AL,22,FALSE)-50))</f>
        <v>381</v>
      </c>
      <c r="X335" s="3">
        <f>IF(ISERROR(VLOOKUP($A335,'SegEnds_NonXtal_BW#'!$A:$Z,17,FALSE)+VLOOKUP($A335,A:AL,25,FALSE)-50),"-",(VLOOKUP($A335,'SegEnds_NonXtal_BW#'!$A:$Z,17,FALSE)+VLOOKUP($A335,A:AL,25,FALSE)-50))</f>
        <v>404</v>
      </c>
      <c r="Y335" s="3">
        <v>404</v>
      </c>
      <c r="Z335" s="3">
        <f t="shared" si="179"/>
        <v>406</v>
      </c>
      <c r="AA335" s="3">
        <f>IF(ISERROR(VLOOKUP($A335,'SegEnds_NonXtal_BW#'!$A:$Z,19,FALSE)+VLOOKUP($A335,A:AL,28,FALSE)-50),"-",(VLOOKUP($A335,'SegEnds_NonXtal_BW#'!$A:$Z,19,FALSE)+VLOOKUP($A335,A:AL,28,FALSE)-50))</f>
        <v>409</v>
      </c>
      <c r="AB335" s="3">
        <v>423</v>
      </c>
      <c r="AC335" s="3">
        <f>IF(ISERROR((VLOOKUP($A335,'SegEnds_NonXtal_BW#'!$A:$Z,20,FALSE)+VLOOKUP($A335,A:AL,28,FALSE)-50)),"-",(VLOOKUP($A335,'SegEnds_NonXtal_BW#'!$A:$Z,20,FALSE)+VLOOKUP($A335,A:AL,28,FALSE)-50))</f>
        <v>442</v>
      </c>
      <c r="AD335" s="3">
        <f>IF(ISERROR(VLOOKUP($A335,'SegEnds_NonXtal_BW#'!$A:$Z,21,FALSE)+VLOOKUP($A335,A:AL,31,FALSE)-50),"-",(VLOOKUP($A335,'SegEnds_NonXtal_BW#'!$A:$Z,21,FALSE)+VLOOKUP($A335,A:AL,31,FALSE)-50))</f>
        <v>451</v>
      </c>
      <c r="AE335" s="3">
        <v>472</v>
      </c>
      <c r="AF335" s="3">
        <f>IF(ISERROR((VLOOKUP($A335,'SegEnds_NonXtal_BW#'!$A:$Z,22,FALSE)+VLOOKUP($A335,A:AL,31,FALSE)-50)),"-",(VLOOKUP($A335,'SegEnds_NonXtal_BW#'!$A:$Z,22,FALSE)+VLOOKUP($A335,A:AL,31,FALSE)-50))</f>
        <v>476</v>
      </c>
      <c r="AG335" s="3">
        <f>IF(ISERROR(VLOOKUP($A335,'SegEnds_NonXtal_BW#'!$A:$Z,23,FALSE)+VLOOKUP($A335,A:AL,34,FALSE)-50),"-",(VLOOKUP($A335,'SegEnds_NonXtal_BW#'!$A:$Z,23,FALSE)+VLOOKUP($A335,A:AL,34,FALSE)-50))</f>
        <v>481</v>
      </c>
      <c r="AH335" s="3">
        <v>500</v>
      </c>
      <c r="AI335" s="3">
        <f>IF(ISERROR((VLOOKUP($A335,'SegEnds_NonXtal_BW#'!$A:$Z,24,FALSE)+VLOOKUP($A335,A:AL,34,FALSE)-50)),"-",(VLOOKUP($A335,'SegEnds_NonXtal_BW#'!$A:$Z,24,FALSE)+VLOOKUP($A335,A:AL,34,FALSE)-50))</f>
        <v>506</v>
      </c>
      <c r="AJ335" s="3">
        <f>IF(ISERROR(VLOOKUP($A335,'SegEnds_NonXtal_BW#'!$A:$Z,25,FALSE)+VLOOKUP($A335,A:AL,37,FALSE)-50),"-",(VLOOKUP($A335,'SegEnds_NonXtal_BW#'!$A:$Z,25,FALSE)+VLOOKUP($A335,A:AL,37,FALSE)-50))</f>
        <v>507</v>
      </c>
      <c r="AK335" s="3">
        <v>510</v>
      </c>
      <c r="AL335" s="3">
        <f>IF(ISERROR((VLOOKUP($A335,'SegEnds_NonXtal_BW#'!$A:$Z,26,FALSE)+VLOOKUP($A335,A:AL,37,FALSE)-50)),"-",(VLOOKUP($A335,'SegEnds_NonXtal_BW#'!$A:$Z,26,FALSE)+VLOOKUP($A335,A:AL,37,FALSE)-50))</f>
        <v>523</v>
      </c>
      <c r="AM335" s="28" t="str">
        <f>VLOOKUP(A335,Classification!A:B,2,FALSE)</f>
        <v>B2</v>
      </c>
      <c r="AN335" s="28" t="b">
        <f t="shared" si="195"/>
        <v>1</v>
      </c>
      <c r="AO335" s="3" t="str">
        <f>IF(ISERROR(MATCH(A335,'SegEnds_Xtal_Prot#'!B:B, 0)), "NoXtal", "Xtal")</f>
        <v>NoXtal</v>
      </c>
      <c r="AP335" s="3" t="str">
        <f t="shared" si="180"/>
        <v>-</v>
      </c>
      <c r="AQ335" s="3" t="str">
        <f t="shared" si="181"/>
        <v>-</v>
      </c>
      <c r="AR335" s="3" t="str">
        <f t="shared" si="182"/>
        <v>-</v>
      </c>
      <c r="AS335" s="3" t="str">
        <f t="shared" si="183"/>
        <v>-</v>
      </c>
      <c r="AT335" s="3" t="str">
        <f t="shared" si="184"/>
        <v>-</v>
      </c>
      <c r="AU335" s="3" t="str">
        <f t="shared" si="185"/>
        <v>-</v>
      </c>
      <c r="AV335" s="3">
        <f t="shared" si="186"/>
        <v>23</v>
      </c>
      <c r="AW335" s="3">
        <f t="shared" si="187"/>
        <v>3</v>
      </c>
      <c r="AX335" s="3">
        <f t="shared" si="188"/>
        <v>9</v>
      </c>
      <c r="AY335" s="3">
        <f t="shared" si="189"/>
        <v>5</v>
      </c>
      <c r="AZ335" s="3">
        <f t="shared" si="190"/>
        <v>1</v>
      </c>
      <c r="BA335" s="3">
        <f>IF(ISERROR(LEN(VLOOKUP(A335,Seqs!A:E,2,FALSE))-AL335),"-",LEN(VLOOKUP(A335,Seqs!A:E,2,FALSE))-AL335)</f>
        <v>5</v>
      </c>
      <c r="BB335" s="16">
        <f t="shared" si="191"/>
        <v>28</v>
      </c>
      <c r="BC335" s="9" t="str">
        <f t="shared" si="192"/>
        <v>-</v>
      </c>
      <c r="BD335" s="3">
        <f t="shared" si="193"/>
        <v>28</v>
      </c>
      <c r="BE335" s="3">
        <f t="shared" si="194"/>
        <v>49</v>
      </c>
      <c r="BF335" s="3">
        <f>AH335-AE335</f>
        <v>28</v>
      </c>
    </row>
    <row r="336" spans="1:59" s="3" customFormat="1" x14ac:dyDescent="0.2">
      <c r="A336" s="3" t="s">
        <v>1422</v>
      </c>
      <c r="B336" s="3" t="str">
        <f>LOWER(VLOOKUP(A336,Xtal_Templ!A:B,2,FALSE))</f>
        <v>crfr1_human</v>
      </c>
      <c r="C336" s="3">
        <f>VLOOKUP($A336,'SegEnds_NonXtal_BW#'!$A:$Z,3,FALSE)+D336-50</f>
        <v>852</v>
      </c>
      <c r="D336" s="3">
        <v>879</v>
      </c>
      <c r="E336" s="3">
        <f>IF(ISERROR(VLOOKUP($A336,'SegEnds_NonXtal_BW#'!$A:$Z,4,FALSE)+VLOOKUP($A336,A:AL,4,FALSE)-50),"-",(VLOOKUP($A336,'SegEnds_NonXtal_BW#'!$A:$Z,4,FALSE)+VLOOKUP($A336,A:AL,4,FALSE)-50))</f>
        <v>889</v>
      </c>
      <c r="F336" s="3">
        <f>G336-2</f>
        <v>890</v>
      </c>
      <c r="G336" s="3">
        <v>892</v>
      </c>
      <c r="H336" s="3">
        <f>G336+1</f>
        <v>893</v>
      </c>
      <c r="I336" s="3">
        <f>H336+1</f>
        <v>894</v>
      </c>
      <c r="J336" s="3">
        <v>908</v>
      </c>
      <c r="K336" s="3">
        <f>VLOOKUP($A336,'SegEnds_NonXtal_BW#'!$A:$Z,8,FALSE)+VLOOKUP($A336,A:AL,10,FALSE)-50</f>
        <v>921</v>
      </c>
      <c r="L336" s="3" t="str">
        <f>IF(ISERROR(VLOOKUP($A336,'SegEnds_NonXtal_BW#'!$A:$Z,9,FALSE)+VLOOKUP($A336,A:AL,13,FALSE)-50),"-",(VLOOKUP($A336,'SegEnds_NonXtal_BW#'!$A:$Z,9,FALSE)+VLOOKUP($A336,A:AL,13,FALSE)-50))</f>
        <v>-</v>
      </c>
      <c r="M336" s="3" t="s">
        <v>23</v>
      </c>
      <c r="N336" s="3" t="str">
        <f>IF(ISERROR(VLOOKUP($A336,'SegEnds_NonXtal_BW#'!$A:$Z,10,FALSE)+VLOOKUP($A336,A:AL,13,FALSE)-50),"-",(VLOOKUP($A336,'SegEnds_NonXtal_BW#'!$A:$Z,10,FALSE)+VLOOKUP($A336,A:AL,13,FALSE)-50))</f>
        <v>-</v>
      </c>
      <c r="O336" s="3">
        <f>VLOOKUP($A336,'SegEnds_NonXtal_BW#'!$A:$Z,11,FALSE)+VLOOKUP($A336,A:AL,16,FALSE)-50</f>
        <v>928</v>
      </c>
      <c r="P336" s="3">
        <v>955</v>
      </c>
      <c r="Q336" s="3">
        <f>VLOOKUP($A336,'SegEnds_NonXtal_BW#'!$A:$Z,12,FALSE)+VLOOKUP($A336,A:AL,16,FALSE)-50</f>
        <v>961</v>
      </c>
      <c r="R336" s="3" t="str">
        <f>IF(ISERROR(VLOOKUP($A336,'SegEnds_NonXtal_BW#'!$A:$Z,13,FALSE)+VLOOKUP($A336,A:AL,19,FALSE)-50),"-",VLOOKUP($A336,'SegEnds_NonXtal_BW#'!$A:$Z,13,FALSE)+VLOOKUP($A336,A:AL,19,FALSE)-50)</f>
        <v>-</v>
      </c>
      <c r="S336" s="3" t="s">
        <v>23</v>
      </c>
      <c r="T336" s="100" t="str">
        <f>IF(ISERROR(VLOOKUP($A336,'SegEnds_NonXtal_BW#'!$A:$Z,14,FALSE)+VLOOKUP($A336,A:AL,19,FALSE)-50),"-",(VLOOKUP($A336,'SegEnds_NonXtal_BW#'!$A:$Z,14,FALSE)+VLOOKUP($A336,A:AL,19,FALSE)-50))</f>
        <v>-</v>
      </c>
      <c r="U336" s="9">
        <f>IF(ISERROR(VLOOKUP($A336,'SegEnds_NonXtal_BW#'!$A:$Z,15,FALSE)+VLOOKUP($A336,A:AL,22,FALSE)-50),"-",VLOOKUP($A336,'SegEnds_NonXtal_BW#'!$A:$Z,15,FALSE)+VLOOKUP($A336,A:AL,22,FALSE)-50)</f>
        <v>969</v>
      </c>
      <c r="V336" s="3">
        <v>979</v>
      </c>
      <c r="W336" s="3">
        <f>IF(ISERROR(VLOOKUP($A336,'SegEnds_NonXtal_BW#'!$A:$Z,16,FALSE)+VLOOKUP($A336,A:AL,22,FALSE)-50),"-",(VLOOKUP($A336,'SegEnds_NonXtal_BW#'!$A:$Z,16,FALSE)+VLOOKUP($A336,A:AL,22,FALSE)-50))</f>
        <v>997</v>
      </c>
      <c r="X336" s="3">
        <f>IF(ISERROR(VLOOKUP($A336,'SegEnds_NonXtal_BW#'!$A:$Z,17,FALSE)+VLOOKUP($A336,A:AL,25,FALSE)-50),"-",(VLOOKUP($A336,'SegEnds_NonXtal_BW#'!$A:$Z,17,FALSE)+VLOOKUP($A336,A:AL,25,FALSE)-50))</f>
        <v>1013</v>
      </c>
      <c r="Y336" s="3">
        <v>1013</v>
      </c>
      <c r="Z336" s="3">
        <f t="shared" si="179"/>
        <v>1015</v>
      </c>
      <c r="AA336" s="3">
        <f>IF(ISERROR(VLOOKUP($A336,'SegEnds_NonXtal_BW#'!$A:$Z,19,FALSE)+VLOOKUP($A336,A:AL,28,FALSE)-50),"-",(VLOOKUP($A336,'SegEnds_NonXtal_BW#'!$A:$Z,19,FALSE)+VLOOKUP($A336,A:AL,28,FALSE)-50))</f>
        <v>1018</v>
      </c>
      <c r="AB336" s="3">
        <v>1032</v>
      </c>
      <c r="AC336" s="3">
        <f>IF(ISERROR((VLOOKUP($A336,'SegEnds_NonXtal_BW#'!$A:$Z,20,FALSE)+VLOOKUP($A336,A:AL,28,FALSE)-50)),"-",(VLOOKUP($A336,'SegEnds_NonXtal_BW#'!$A:$Z,20,FALSE)+VLOOKUP($A336,A:AL,28,FALSE)-50))</f>
        <v>1051</v>
      </c>
      <c r="AD336" s="3">
        <f>IF(ISERROR(VLOOKUP($A336,'SegEnds_NonXtal_BW#'!$A:$Z,21,FALSE)+VLOOKUP($A336,A:AL,31,FALSE)-50),"-",(VLOOKUP($A336,'SegEnds_NonXtal_BW#'!$A:$Z,21,FALSE)+VLOOKUP($A336,A:AL,31,FALSE)-50))</f>
        <v>1062</v>
      </c>
      <c r="AE336" s="3">
        <v>1083</v>
      </c>
      <c r="AF336" s="3">
        <f>IF(ISERROR((VLOOKUP($A336,'SegEnds_NonXtal_BW#'!$A:$Z,22,FALSE)+VLOOKUP($A336,A:AL,31,FALSE)-50)),"-",(VLOOKUP($A336,'SegEnds_NonXtal_BW#'!$A:$Z,22,FALSE)+VLOOKUP($A336,A:AL,31,FALSE)-50))</f>
        <v>1086</v>
      </c>
      <c r="AG336" s="3">
        <f>IF(ISERROR(VLOOKUP($A336,'SegEnds_NonXtal_BW#'!$A:$Z,23,FALSE)+VLOOKUP($A336,A:AL,34,FALSE)-50),"-",(VLOOKUP($A336,'SegEnds_NonXtal_BW#'!$A:$Z,23,FALSE)+VLOOKUP($A336,A:AL,34,FALSE)-50))</f>
        <v>1092</v>
      </c>
      <c r="AH336" s="3">
        <v>1111</v>
      </c>
      <c r="AI336" s="3">
        <f>IF(ISERROR((VLOOKUP($A336,'SegEnds_NonXtal_BW#'!$A:$Z,24,FALSE)+VLOOKUP($A336,A:AL,34,FALSE)-50)),"-",(VLOOKUP($A336,'SegEnds_NonXtal_BW#'!$A:$Z,24,FALSE)+VLOOKUP($A336,A:AL,34,FALSE)-50))</f>
        <v>1117</v>
      </c>
      <c r="AJ336" s="3">
        <f>IF(ISERROR(VLOOKUP($A336,'SegEnds_NonXtal_BW#'!$A:$Z,25,FALSE)+VLOOKUP($A336,A:AL,37,FALSE)-50),"-",(VLOOKUP($A336,'SegEnds_NonXtal_BW#'!$A:$Z,25,FALSE)+VLOOKUP($A336,A:AL,37,FALSE)-50))</f>
        <v>1118</v>
      </c>
      <c r="AK336" s="3">
        <v>1121</v>
      </c>
      <c r="AL336" s="3">
        <f>IF(ISERROR((VLOOKUP($A336,'SegEnds_NonXtal_BW#'!$A:$Z,26,FALSE)+VLOOKUP($A336,A:AL,37,FALSE)-50)),"-",(VLOOKUP($A336,'SegEnds_NonXtal_BW#'!$A:$Z,26,FALSE)+VLOOKUP($A336,A:AL,37,FALSE)-50))</f>
        <v>1134</v>
      </c>
      <c r="AM336" s="28" t="str">
        <f>VLOOKUP(A336,Classification!A:B,2,FALSE)</f>
        <v>B2</v>
      </c>
      <c r="AN336" s="28" t="b">
        <f t="shared" si="195"/>
        <v>1</v>
      </c>
      <c r="AO336" s="3" t="str">
        <f>IF(ISERROR(MATCH(A336,'SegEnds_Xtal_Prot#'!B:B, 0)), "NoXtal", "Xtal")</f>
        <v>NoXtal</v>
      </c>
      <c r="AP336" s="3">
        <f t="shared" si="180"/>
        <v>1</v>
      </c>
      <c r="AQ336" s="3">
        <f t="shared" si="181"/>
        <v>1</v>
      </c>
      <c r="AR336" s="3" t="str">
        <f t="shared" si="182"/>
        <v>-</v>
      </c>
      <c r="AS336" s="3" t="str">
        <f t="shared" si="183"/>
        <v>-</v>
      </c>
      <c r="AT336" s="3" t="str">
        <f t="shared" si="184"/>
        <v>-</v>
      </c>
      <c r="AU336" s="3" t="str">
        <f t="shared" si="185"/>
        <v>-</v>
      </c>
      <c r="AV336" s="3">
        <f t="shared" si="186"/>
        <v>16</v>
      </c>
      <c r="AW336" s="3">
        <f t="shared" si="187"/>
        <v>3</v>
      </c>
      <c r="AX336" s="3">
        <f t="shared" si="188"/>
        <v>11</v>
      </c>
      <c r="AY336" s="3">
        <f t="shared" si="189"/>
        <v>6</v>
      </c>
      <c r="AZ336" s="3">
        <f t="shared" si="190"/>
        <v>1</v>
      </c>
      <c r="BA336" s="3">
        <f>IF(ISERROR(LEN(VLOOKUP(A336,Seqs!A:E,2,FALSE))-AL336),"-",LEN(VLOOKUP(A336,Seqs!A:E,2,FALSE))-AL336)</f>
        <v>87</v>
      </c>
      <c r="BB336" s="16">
        <f t="shared" si="191"/>
        <v>29</v>
      </c>
      <c r="BC336" s="9" t="str">
        <f t="shared" si="192"/>
        <v>-</v>
      </c>
      <c r="BD336" s="3">
        <f t="shared" si="193"/>
        <v>29</v>
      </c>
      <c r="BE336" s="3">
        <f t="shared" si="194"/>
        <v>51</v>
      </c>
    </row>
    <row r="337" spans="1:58" s="3" customFormat="1" x14ac:dyDescent="0.2">
      <c r="A337" s="3" t="s">
        <v>1198</v>
      </c>
      <c r="B337" s="3" t="str">
        <f>LOWER(VLOOKUP(A337,Xtal_Templ!A:B,2,FALSE))</f>
        <v>pth1r_human</v>
      </c>
      <c r="C337" s="3">
        <f>VLOOKUP($A337,'SegEnds_NonXtal_BW#'!$A:$Z,3,FALSE)+D337-50</f>
        <v>422</v>
      </c>
      <c r="D337" s="3">
        <v>449</v>
      </c>
      <c r="E337" s="3">
        <f>IF(ISERROR(VLOOKUP($A337,'SegEnds_NonXtal_BW#'!$A:$Z,4,FALSE)+VLOOKUP($A337,A:AL,4,FALSE)-50),"-",(VLOOKUP($A337,'SegEnds_NonXtal_BW#'!$A:$Z,4,FALSE)+VLOOKUP($A337,A:AL,4,FALSE)-50))</f>
        <v>459</v>
      </c>
      <c r="F337" s="3" t="s">
        <v>23</v>
      </c>
      <c r="G337" s="3" t="s">
        <v>23</v>
      </c>
      <c r="H337" s="3" t="s">
        <v>23</v>
      </c>
      <c r="I337" s="3">
        <f>VLOOKUP($A337,'SegEnds_NonXtal_BW#'!$A:$Z,7,FALSE)+J337-50</f>
        <v>465</v>
      </c>
      <c r="J337" s="3">
        <v>478</v>
      </c>
      <c r="K337" s="3">
        <f>VLOOKUP($A337,'SegEnds_NonXtal_BW#'!$A:$Z,8,FALSE)+VLOOKUP($A337,A:AL,10,FALSE)-50</f>
        <v>493</v>
      </c>
      <c r="L337" s="3" t="str">
        <f>IF(ISERROR(VLOOKUP($A337,'SegEnds_NonXtal_BW#'!$A:$Z,9,FALSE)+VLOOKUP($A337,A:AL,13,FALSE)-50),"-",(VLOOKUP($A337,'SegEnds_NonXtal_BW#'!$A:$Z,9,FALSE)+VLOOKUP($A337,A:AL,13,FALSE)-50))</f>
        <v>-</v>
      </c>
      <c r="M337" s="3" t="s">
        <v>23</v>
      </c>
      <c r="N337" s="3" t="str">
        <f>IF(ISERROR(VLOOKUP($A337,'SegEnds_NonXtal_BW#'!$A:$Z,10,FALSE)+VLOOKUP($A337,A:AL,13,FALSE)-50),"-",(VLOOKUP($A337,'SegEnds_NonXtal_BW#'!$A:$Z,10,FALSE)+VLOOKUP($A337,A:AL,13,FALSE)-50))</f>
        <v>-</v>
      </c>
      <c r="O337" s="3">
        <f>VLOOKUP($A337,'SegEnds_NonXtal_BW#'!$A:$Z,11,FALSE)+VLOOKUP($A337,A:AL,16,FALSE)-50</f>
        <v>519</v>
      </c>
      <c r="P337" s="3">
        <v>551</v>
      </c>
      <c r="Q337" s="3">
        <f>VLOOKUP($A337,'SegEnds_NonXtal_BW#'!$A:$Z,12,FALSE)+VLOOKUP($A337,A:AL,16,FALSE)-50</f>
        <v>557</v>
      </c>
      <c r="R337" s="3" t="str">
        <f>IF(ISERROR(VLOOKUP($A337,'SegEnds_NonXtal_BW#'!$A:$Z,13,FALSE)+VLOOKUP($A337,A:AL,19,FALSE)-50),"-",VLOOKUP($A337,'SegEnds_NonXtal_BW#'!$A:$Z,13,FALSE)+VLOOKUP($A337,A:AL,19,FALSE)-50)</f>
        <v>-</v>
      </c>
      <c r="S337" s="3" t="s">
        <v>23</v>
      </c>
      <c r="T337" s="100" t="str">
        <f>IF(ISERROR(VLOOKUP($A337,'SegEnds_NonXtal_BW#'!$A:$Z,14,FALSE)+VLOOKUP($A337,A:AL,19,FALSE)-50),"-",(VLOOKUP($A337,'SegEnds_NonXtal_BW#'!$A:$Z,14,FALSE)+VLOOKUP($A337,A:AL,19,FALSE)-50))</f>
        <v>-</v>
      </c>
      <c r="U337" s="9">
        <f>IF(ISERROR(VLOOKUP($A337,'SegEnds_NonXtal_BW#'!$A:$Z,15,FALSE)+VLOOKUP($A337,A:AL,22,FALSE)-50),"-",VLOOKUP($A337,'SegEnds_NonXtal_BW#'!$A:$Z,15,FALSE)+VLOOKUP($A337,A:AL,22,FALSE)-50)</f>
        <v>562</v>
      </c>
      <c r="V337" s="3">
        <v>575</v>
      </c>
      <c r="W337" s="3">
        <f>IF(ISERROR(VLOOKUP($A337,'SegEnds_NonXtal_BW#'!$A:$Z,16,FALSE)+VLOOKUP($A337,A:AL,22,FALSE)-50),"-",(VLOOKUP($A337,'SegEnds_NonXtal_BW#'!$A:$Z,16,FALSE)+VLOOKUP($A337,A:AL,22,FALSE)-50))</f>
        <v>593</v>
      </c>
      <c r="X337" s="3">
        <f>IF(ISERROR(VLOOKUP($A337,'SegEnds_NonXtal_BW#'!$A:$Z,17,FALSE)+VLOOKUP($A337,A:AL,25,FALSE)-50),"-",(VLOOKUP($A337,'SegEnds_NonXtal_BW#'!$A:$Z,17,FALSE)+VLOOKUP($A337,A:AL,25,FALSE)-50))</f>
        <v>609</v>
      </c>
      <c r="Y337" s="3">
        <v>609</v>
      </c>
      <c r="Z337" s="3">
        <f t="shared" si="179"/>
        <v>611</v>
      </c>
      <c r="AA337" s="3">
        <f>IF(ISERROR(VLOOKUP($A337,'SegEnds_NonXtal_BW#'!$A:$Z,19,FALSE)+VLOOKUP($A337,A:AL,28,FALSE)-50),"-",(VLOOKUP($A337,'SegEnds_NonXtal_BW#'!$A:$Z,19,FALSE)+VLOOKUP($A337,A:AL,28,FALSE)-50))</f>
        <v>621</v>
      </c>
      <c r="AB337" s="3">
        <v>635</v>
      </c>
      <c r="AC337" s="3">
        <f>IF(ISERROR((VLOOKUP($A337,'SegEnds_NonXtal_BW#'!$A:$Z,20,FALSE)+VLOOKUP($A337,A:AL,28,FALSE)-50)),"-",(VLOOKUP($A337,'SegEnds_NonXtal_BW#'!$A:$Z,20,FALSE)+VLOOKUP($A337,A:AL,28,FALSE)-50))</f>
        <v>654</v>
      </c>
      <c r="AD337" s="3">
        <f>IF(ISERROR(VLOOKUP($A337,'SegEnds_NonXtal_BW#'!$A:$Z,21,FALSE)+VLOOKUP($A337,A:AL,31,FALSE)-50),"-",(VLOOKUP($A337,'SegEnds_NonXtal_BW#'!$A:$Z,21,FALSE)+VLOOKUP($A337,A:AL,31,FALSE)-50))</f>
        <v>665</v>
      </c>
      <c r="AE337" s="3">
        <v>686</v>
      </c>
      <c r="AF337" s="3">
        <f>IF(ISERROR((VLOOKUP($A337,'SegEnds_NonXtal_BW#'!$A:$Z,22,FALSE)+VLOOKUP($A337,A:AL,31,FALSE)-50)),"-",(VLOOKUP($A337,'SegEnds_NonXtal_BW#'!$A:$Z,22,FALSE)+VLOOKUP($A337,A:AL,31,FALSE)-50))</f>
        <v>690</v>
      </c>
      <c r="AG337" s="3">
        <f>IF(ISERROR(VLOOKUP($A337,'SegEnds_NonXtal_BW#'!$A:$Z,23,FALSE)+VLOOKUP($A337,A:AL,34,FALSE)-50),"-",(VLOOKUP($A337,'SegEnds_NonXtal_BW#'!$A:$Z,23,FALSE)+VLOOKUP($A337,A:AL,34,FALSE)-50))</f>
        <v>696</v>
      </c>
      <c r="AH337" s="3">
        <v>717</v>
      </c>
      <c r="AI337" s="3">
        <f>IF(ISERROR((VLOOKUP($A337,'SegEnds_NonXtal_BW#'!$A:$Z,24,FALSE)+VLOOKUP($A337,A:AL,34,FALSE)-50)),"-",(VLOOKUP($A337,'SegEnds_NonXtal_BW#'!$A:$Z,24,FALSE)+VLOOKUP($A337,A:AL,34,FALSE)-50))</f>
        <v>723</v>
      </c>
      <c r="AJ337" s="3">
        <f>IF(ISERROR(VLOOKUP($A337,'SegEnds_NonXtal_BW#'!$A:$Z,25,FALSE)+VLOOKUP($A337,A:AL,37,FALSE)-50),"-",(VLOOKUP($A337,'SegEnds_NonXtal_BW#'!$A:$Z,25,FALSE)+VLOOKUP($A337,A:AL,37,FALSE)-50))</f>
        <v>724</v>
      </c>
      <c r="AK337" s="3">
        <v>727</v>
      </c>
      <c r="AL337" s="3">
        <f>IF(ISERROR((VLOOKUP($A337,'SegEnds_NonXtal_BW#'!$A:$Z,26,FALSE)+VLOOKUP($A337,A:AL,37,FALSE)-50)),"-",(VLOOKUP($A337,'SegEnds_NonXtal_BW#'!$A:$Z,26,FALSE)+VLOOKUP($A337,A:AL,37,FALSE)-50))</f>
        <v>740</v>
      </c>
      <c r="AM337" s="28" t="str">
        <f>VLOOKUP(A337,Classification!A:B,2,FALSE)</f>
        <v>B2</v>
      </c>
      <c r="AN337" s="28" t="b">
        <f t="shared" si="195"/>
        <v>1</v>
      </c>
      <c r="AO337" s="3" t="str">
        <f>IF(ISERROR(MATCH(A337,'SegEnds_Xtal_Prot#'!B:B, 0)), "NoXtal", "Xtal")</f>
        <v>NoXtal</v>
      </c>
      <c r="AP337" s="3" t="str">
        <f t="shared" si="180"/>
        <v>-</v>
      </c>
      <c r="AQ337" s="3" t="str">
        <f t="shared" si="181"/>
        <v>-</v>
      </c>
      <c r="AR337" s="3" t="str">
        <f t="shared" si="182"/>
        <v>-</v>
      </c>
      <c r="AS337" s="3" t="str">
        <f t="shared" si="183"/>
        <v>-</v>
      </c>
      <c r="AT337" s="3" t="str">
        <f t="shared" si="184"/>
        <v>-</v>
      </c>
      <c r="AU337" s="3" t="str">
        <f t="shared" si="185"/>
        <v>-</v>
      </c>
      <c r="AV337" s="3">
        <f t="shared" si="186"/>
        <v>16</v>
      </c>
      <c r="AW337" s="3">
        <f t="shared" si="187"/>
        <v>10</v>
      </c>
      <c r="AX337" s="3">
        <f t="shared" si="188"/>
        <v>11</v>
      </c>
      <c r="AY337" s="3">
        <f t="shared" si="189"/>
        <v>6</v>
      </c>
      <c r="AZ337" s="3">
        <f t="shared" si="190"/>
        <v>1</v>
      </c>
      <c r="BA337" s="3">
        <f>IF(ISERROR(LEN(VLOOKUP(A337,Seqs!A:E,2,FALSE))-AL337),"-",LEN(VLOOKUP(A337,Seqs!A:E,2,FALSE))-AL337)</f>
        <v>57</v>
      </c>
      <c r="BB337" s="16">
        <f t="shared" si="191"/>
        <v>29</v>
      </c>
      <c r="BC337" s="9" t="str">
        <f t="shared" si="192"/>
        <v>-</v>
      </c>
      <c r="BD337" s="3">
        <f t="shared" si="193"/>
        <v>29</v>
      </c>
      <c r="BE337" s="3">
        <f t="shared" si="194"/>
        <v>51</v>
      </c>
    </row>
    <row r="338" spans="1:58" s="3" customFormat="1" x14ac:dyDescent="0.2">
      <c r="A338" s="3" t="s">
        <v>1199</v>
      </c>
      <c r="B338" s="3" t="str">
        <f>LOWER(VLOOKUP(A338,Xtal_Templ!A:B,2,FALSE))</f>
        <v>calcr_human</v>
      </c>
      <c r="C338" s="3">
        <f>VLOOKUP($A338,'SegEnds_NonXtal_BW#'!$A:$Z,3,FALSE)+D338-50</f>
        <v>848</v>
      </c>
      <c r="D338" s="3">
        <v>875</v>
      </c>
      <c r="E338" s="3">
        <f>IF(ISERROR(VLOOKUP($A338,'SegEnds_NonXtal_BW#'!$A:$Z,4,FALSE)+VLOOKUP($A338,A:AL,4,FALSE)-50),"-",(VLOOKUP($A338,'SegEnds_NonXtal_BW#'!$A:$Z,4,FALSE)+VLOOKUP($A338,A:AL,4,FALSE)-50))</f>
        <v>885</v>
      </c>
      <c r="F338" s="3">
        <f>G338-2</f>
        <v>886</v>
      </c>
      <c r="G338" s="3">
        <v>888</v>
      </c>
      <c r="H338" s="3">
        <f>G338+1</f>
        <v>889</v>
      </c>
      <c r="I338" s="3">
        <f>H338+1</f>
        <v>890</v>
      </c>
      <c r="J338" s="3">
        <v>903</v>
      </c>
      <c r="K338" s="3">
        <f>VLOOKUP($A338,'SegEnds_NonXtal_BW#'!$A:$Z,8,FALSE)+VLOOKUP($A338,A:AL,10,FALSE)-50</f>
        <v>916</v>
      </c>
      <c r="L338" s="3" t="str">
        <f>IF(ISERROR(VLOOKUP($A338,'SegEnds_NonXtal_BW#'!$A:$Z,9,FALSE)+VLOOKUP($A338,A:AL,13,FALSE)-50),"-",(VLOOKUP($A338,'SegEnds_NonXtal_BW#'!$A:$Z,9,FALSE)+VLOOKUP($A338,A:AL,13,FALSE)-50))</f>
        <v>-</v>
      </c>
      <c r="M338" s="3" t="s">
        <v>23</v>
      </c>
      <c r="N338" s="3" t="str">
        <f>IF(ISERROR(VLOOKUP($A338,'SegEnds_NonXtal_BW#'!$A:$Z,10,FALSE)+VLOOKUP($A338,A:AL,13,FALSE)-50),"-",(VLOOKUP($A338,'SegEnds_NonXtal_BW#'!$A:$Z,10,FALSE)+VLOOKUP($A338,A:AL,13,FALSE)-50))</f>
        <v>-</v>
      </c>
      <c r="O338" s="3">
        <f>VLOOKUP($A338,'SegEnds_NonXtal_BW#'!$A:$Z,11,FALSE)+VLOOKUP($A338,A:AL,16,FALSE)-50</f>
        <v>921</v>
      </c>
      <c r="P338" s="3">
        <v>948</v>
      </c>
      <c r="Q338" s="3">
        <f>VLOOKUP($A338,'SegEnds_NonXtal_BW#'!$A:$Z,12,FALSE)+VLOOKUP($A338,A:AL,16,FALSE)-50</f>
        <v>954</v>
      </c>
      <c r="R338" s="3" t="str">
        <f>IF(ISERROR(VLOOKUP($A338,'SegEnds_NonXtal_BW#'!$A:$Z,13,FALSE)+VLOOKUP($A338,A:AL,19,FALSE)-50),"-",VLOOKUP($A338,'SegEnds_NonXtal_BW#'!$A:$Z,13,FALSE)+VLOOKUP($A338,A:AL,19,FALSE)-50)</f>
        <v>-</v>
      </c>
      <c r="S338" s="3" t="s">
        <v>23</v>
      </c>
      <c r="T338" s="100" t="str">
        <f>IF(ISERROR(VLOOKUP($A338,'SegEnds_NonXtal_BW#'!$A:$Z,14,FALSE)+VLOOKUP($A338,A:AL,19,FALSE)-50),"-",(VLOOKUP($A338,'SegEnds_NonXtal_BW#'!$A:$Z,14,FALSE)+VLOOKUP($A338,A:AL,19,FALSE)-50))</f>
        <v>-</v>
      </c>
      <c r="U338" s="9">
        <f>IF(ISERROR(VLOOKUP($A338,'SegEnds_NonXtal_BW#'!$A:$Z,15,FALSE)+VLOOKUP($A338,A:AL,22,FALSE)-50),"-",VLOOKUP($A338,'SegEnds_NonXtal_BW#'!$A:$Z,15,FALSE)+VLOOKUP($A338,A:AL,22,FALSE)-50)</f>
        <v>962</v>
      </c>
      <c r="V338" s="3">
        <v>971</v>
      </c>
      <c r="W338" s="3">
        <f>IF(ISERROR(VLOOKUP($A338,'SegEnds_NonXtal_BW#'!$A:$Z,16,FALSE)+VLOOKUP($A338,A:AL,22,FALSE)-50),"-",(VLOOKUP($A338,'SegEnds_NonXtal_BW#'!$A:$Z,16,FALSE)+VLOOKUP($A338,A:AL,22,FALSE)-50))</f>
        <v>989</v>
      </c>
      <c r="X338" s="3">
        <f>IF(ISERROR(VLOOKUP($A338,'SegEnds_NonXtal_BW#'!$A:$Z,17,FALSE)+VLOOKUP($A338,A:AL,25,FALSE)-50),"-",(VLOOKUP($A338,'SegEnds_NonXtal_BW#'!$A:$Z,17,FALSE)+VLOOKUP($A338,A:AL,25,FALSE)-50))</f>
        <v>995</v>
      </c>
      <c r="Y338" s="3">
        <v>995</v>
      </c>
      <c r="Z338" s="3">
        <f t="shared" si="179"/>
        <v>997</v>
      </c>
      <c r="AA338" s="3">
        <f>IF(ISERROR(VLOOKUP($A338,'SegEnds_NonXtal_BW#'!$A:$Z,19,FALSE)+VLOOKUP($A338,A:AL,28,FALSE)-50),"-",(VLOOKUP($A338,'SegEnds_NonXtal_BW#'!$A:$Z,19,FALSE)+VLOOKUP($A338,A:AL,28,FALSE)-50))</f>
        <v>1000</v>
      </c>
      <c r="AB338" s="3">
        <v>1014</v>
      </c>
      <c r="AC338" s="3">
        <f>IF(ISERROR((VLOOKUP($A338,'SegEnds_NonXtal_BW#'!$A:$Z,20,FALSE)+VLOOKUP($A338,A:AL,28,FALSE)-50)),"-",(VLOOKUP($A338,'SegEnds_NonXtal_BW#'!$A:$Z,20,FALSE)+VLOOKUP($A338,A:AL,28,FALSE)-50))</f>
        <v>1033</v>
      </c>
      <c r="AD338" s="3">
        <f>IF(ISERROR(VLOOKUP($A338,'SegEnds_NonXtal_BW#'!$A:$Z,21,FALSE)+VLOOKUP($A338,A:AL,31,FALSE)-50),"-",(VLOOKUP($A338,'SegEnds_NonXtal_BW#'!$A:$Z,21,FALSE)+VLOOKUP($A338,A:AL,31,FALSE)-50))</f>
        <v>1045</v>
      </c>
      <c r="AE338" s="3">
        <v>1066</v>
      </c>
      <c r="AF338" s="3">
        <f>IF(ISERROR((VLOOKUP($A338,'SegEnds_NonXtal_BW#'!$A:$Z,22,FALSE)+VLOOKUP($A338,A:AL,31,FALSE)-50)),"-",(VLOOKUP($A338,'SegEnds_NonXtal_BW#'!$A:$Z,22,FALSE)+VLOOKUP($A338,A:AL,31,FALSE)-50))</f>
        <v>1069</v>
      </c>
      <c r="AG338" s="3">
        <f>IF(ISERROR(VLOOKUP($A338,'SegEnds_NonXtal_BW#'!$A:$Z,23,FALSE)+VLOOKUP($A338,A:AL,34,FALSE)-50),"-",(VLOOKUP($A338,'SegEnds_NonXtal_BW#'!$A:$Z,23,FALSE)+VLOOKUP($A338,A:AL,34,FALSE)-50))</f>
        <v>1075</v>
      </c>
      <c r="AH338" s="3">
        <v>1094</v>
      </c>
      <c r="AI338" s="3">
        <f>IF(ISERROR((VLOOKUP($A338,'SegEnds_NonXtal_BW#'!$A:$Z,24,FALSE)+VLOOKUP($A338,A:AL,34,FALSE)-50)),"-",(VLOOKUP($A338,'SegEnds_NonXtal_BW#'!$A:$Z,24,FALSE)+VLOOKUP($A338,A:AL,34,FALSE)-50))</f>
        <v>1100</v>
      </c>
      <c r="AJ338" s="3">
        <f>IF(ISERROR(VLOOKUP($A338,'SegEnds_NonXtal_BW#'!$A:$Z,25,FALSE)+VLOOKUP($A338,A:AL,37,FALSE)-50),"-",(VLOOKUP($A338,'SegEnds_NonXtal_BW#'!$A:$Z,25,FALSE)+VLOOKUP($A338,A:AL,37,FALSE)-50))</f>
        <v>1101</v>
      </c>
      <c r="AK338" s="3">
        <v>1104</v>
      </c>
      <c r="AL338" s="3">
        <f>IF(ISERROR((VLOOKUP($A338,'SegEnds_NonXtal_BW#'!$A:$Z,26,FALSE)+VLOOKUP($A338,A:AL,37,FALSE)-50)),"-",(VLOOKUP($A338,'SegEnds_NonXtal_BW#'!$A:$Z,26,FALSE)+VLOOKUP($A338,A:AL,37,FALSE)-50))</f>
        <v>1117</v>
      </c>
      <c r="AM338" s="28" t="str">
        <f>VLOOKUP(A338,Classification!A:B,2,FALSE)</f>
        <v>B2</v>
      </c>
      <c r="AN338" s="28" t="b">
        <f t="shared" si="195"/>
        <v>1</v>
      </c>
      <c r="AO338" s="3" t="str">
        <f>IF(ISERROR(MATCH(A338,'SegEnds_Xtal_Prot#'!B:B, 0)), "NoXtal", "Xtal")</f>
        <v>NoXtal</v>
      </c>
      <c r="AP338" s="3">
        <f t="shared" si="180"/>
        <v>1</v>
      </c>
      <c r="AQ338" s="3">
        <f t="shared" si="181"/>
        <v>1</v>
      </c>
      <c r="AR338" s="3" t="str">
        <f t="shared" si="182"/>
        <v>-</v>
      </c>
      <c r="AS338" s="3" t="str">
        <f t="shared" si="183"/>
        <v>-</v>
      </c>
      <c r="AT338" s="3" t="str">
        <f t="shared" si="184"/>
        <v>-</v>
      </c>
      <c r="AU338" s="3" t="str">
        <f t="shared" si="185"/>
        <v>-</v>
      </c>
      <c r="AV338" s="3">
        <f t="shared" si="186"/>
        <v>6</v>
      </c>
      <c r="AW338" s="3">
        <f t="shared" si="187"/>
        <v>3</v>
      </c>
      <c r="AX338" s="3">
        <f t="shared" si="188"/>
        <v>12</v>
      </c>
      <c r="AY338" s="3">
        <f t="shared" si="189"/>
        <v>6</v>
      </c>
      <c r="AZ338" s="3">
        <f t="shared" si="190"/>
        <v>1</v>
      </c>
      <c r="BA338" s="3">
        <f>IF(ISERROR(LEN(VLOOKUP(A338,Seqs!A:E,2,FALSE))-AL338),"-",LEN(VLOOKUP(A338,Seqs!A:E,2,FALSE))-AL338)</f>
        <v>357</v>
      </c>
      <c r="BB338" s="16">
        <f t="shared" si="191"/>
        <v>28</v>
      </c>
      <c r="BC338" s="9" t="str">
        <f t="shared" si="192"/>
        <v>-</v>
      </c>
      <c r="BD338" s="3">
        <f t="shared" si="193"/>
        <v>28</v>
      </c>
      <c r="BE338" s="3">
        <f t="shared" si="194"/>
        <v>52</v>
      </c>
    </row>
    <row r="339" spans="1:58" s="3" customFormat="1" x14ac:dyDescent="0.2">
      <c r="A339" s="3" t="s">
        <v>1200</v>
      </c>
      <c r="B339" s="3" t="str">
        <f>LOWER(VLOOKUP(A339,Xtal_Templ!A:B,2,FALSE))</f>
        <v>calcr_human</v>
      </c>
      <c r="C339" s="3">
        <f>VLOOKUP($A339,'SegEnds_NonXtal_BW#'!$A:$Z,3,FALSE)+D339-50</f>
        <v>835</v>
      </c>
      <c r="D339" s="3">
        <v>862</v>
      </c>
      <c r="E339" s="3">
        <f>IF(ISERROR(VLOOKUP($A339,'SegEnds_NonXtal_BW#'!$A:$Z,4,FALSE)+VLOOKUP($A339,A:AL,4,FALSE)-50),"-",(VLOOKUP($A339,'SegEnds_NonXtal_BW#'!$A:$Z,4,FALSE)+VLOOKUP($A339,A:AL,4,FALSE)-50))</f>
        <v>872</v>
      </c>
      <c r="F339" s="3" t="s">
        <v>23</v>
      </c>
      <c r="G339" s="3" t="s">
        <v>23</v>
      </c>
      <c r="H339" s="3" t="s">
        <v>23</v>
      </c>
      <c r="I339" s="3">
        <f>VLOOKUP($A339,'SegEnds_NonXtal_BW#'!$A:$Z,7,FALSE)+J339-50</f>
        <v>877</v>
      </c>
      <c r="J339" s="3">
        <v>890</v>
      </c>
      <c r="K339" s="3">
        <f>VLOOKUP($A339,'SegEnds_NonXtal_BW#'!$A:$Z,8,FALSE)+VLOOKUP($A339,A:AL,10,FALSE)-50</f>
        <v>903</v>
      </c>
      <c r="L339" s="3" t="str">
        <f>IF(ISERROR(VLOOKUP($A339,'SegEnds_NonXtal_BW#'!$A:$Z,9,FALSE)+VLOOKUP($A339,A:AL,13,FALSE)-50),"-",(VLOOKUP($A339,'SegEnds_NonXtal_BW#'!$A:$Z,9,FALSE)+VLOOKUP($A339,A:AL,13,FALSE)-50))</f>
        <v>-</v>
      </c>
      <c r="M339" s="3" t="s">
        <v>23</v>
      </c>
      <c r="N339" s="3" t="str">
        <f>IF(ISERROR(VLOOKUP($A339,'SegEnds_NonXtal_BW#'!$A:$Z,10,FALSE)+VLOOKUP($A339,A:AL,13,FALSE)-50),"-",(VLOOKUP($A339,'SegEnds_NonXtal_BW#'!$A:$Z,10,FALSE)+VLOOKUP($A339,A:AL,13,FALSE)-50))</f>
        <v>-</v>
      </c>
      <c r="O339" s="3">
        <f>VLOOKUP($A339,'SegEnds_NonXtal_BW#'!$A:$Z,11,FALSE)+VLOOKUP($A339,A:AL,16,FALSE)-50</f>
        <v>908</v>
      </c>
      <c r="P339" s="3">
        <v>935</v>
      </c>
      <c r="Q339" s="3">
        <f>VLOOKUP($A339,'SegEnds_NonXtal_BW#'!$A:$Z,12,FALSE)+VLOOKUP($A339,A:AL,16,FALSE)-50</f>
        <v>941</v>
      </c>
      <c r="R339" s="3" t="str">
        <f>IF(ISERROR(VLOOKUP($A339,'SegEnds_NonXtal_BW#'!$A:$Z,13,FALSE)+VLOOKUP($A339,A:AL,19,FALSE)-50),"-",VLOOKUP($A339,'SegEnds_NonXtal_BW#'!$A:$Z,13,FALSE)+VLOOKUP($A339,A:AL,19,FALSE)-50)</f>
        <v>-</v>
      </c>
      <c r="S339" s="3" t="s">
        <v>23</v>
      </c>
      <c r="T339" s="100" t="str">
        <f>IF(ISERROR(VLOOKUP($A339,'SegEnds_NonXtal_BW#'!$A:$Z,14,FALSE)+VLOOKUP($A339,A:AL,19,FALSE)-50),"-",(VLOOKUP($A339,'SegEnds_NonXtal_BW#'!$A:$Z,14,FALSE)+VLOOKUP($A339,A:AL,19,FALSE)-50))</f>
        <v>-</v>
      </c>
      <c r="U339" s="9">
        <f>IF(ISERROR(VLOOKUP($A339,'SegEnds_NonXtal_BW#'!$A:$Z,15,FALSE)+VLOOKUP($A339,A:AL,22,FALSE)-50),"-",VLOOKUP($A339,'SegEnds_NonXtal_BW#'!$A:$Z,15,FALSE)+VLOOKUP($A339,A:AL,22,FALSE)-50)</f>
        <v>949</v>
      </c>
      <c r="V339" s="3">
        <v>958</v>
      </c>
      <c r="W339" s="3">
        <f>IF(ISERROR(VLOOKUP($A339,'SegEnds_NonXtal_BW#'!$A:$Z,16,FALSE)+VLOOKUP($A339,A:AL,22,FALSE)-50),"-",(VLOOKUP($A339,'SegEnds_NonXtal_BW#'!$A:$Z,16,FALSE)+VLOOKUP($A339,A:AL,22,FALSE)-50))</f>
        <v>976</v>
      </c>
      <c r="X339" s="3">
        <f>IF(ISERROR(VLOOKUP($A339,'SegEnds_NonXtal_BW#'!$A:$Z,17,FALSE)+VLOOKUP($A339,A:AL,25,FALSE)-50),"-",(VLOOKUP($A339,'SegEnds_NonXtal_BW#'!$A:$Z,17,FALSE)+VLOOKUP($A339,A:AL,25,FALSE)-50))</f>
        <v>982</v>
      </c>
      <c r="Y339" s="3">
        <v>982</v>
      </c>
      <c r="Z339" s="3">
        <f t="shared" si="179"/>
        <v>984</v>
      </c>
      <c r="AA339" s="3">
        <f>IF(ISERROR(VLOOKUP($A339,'SegEnds_NonXtal_BW#'!$A:$Z,19,FALSE)+VLOOKUP($A339,A:AL,28,FALSE)-50),"-",(VLOOKUP($A339,'SegEnds_NonXtal_BW#'!$A:$Z,19,FALSE)+VLOOKUP($A339,A:AL,28,FALSE)-50))</f>
        <v>987</v>
      </c>
      <c r="AB339" s="3">
        <v>1001</v>
      </c>
      <c r="AC339" s="3">
        <f>IF(ISERROR((VLOOKUP($A339,'SegEnds_NonXtal_BW#'!$A:$Z,20,FALSE)+VLOOKUP($A339,A:AL,28,FALSE)-50)),"-",(VLOOKUP($A339,'SegEnds_NonXtal_BW#'!$A:$Z,20,FALSE)+VLOOKUP($A339,A:AL,28,FALSE)-50))</f>
        <v>1020</v>
      </c>
      <c r="AD339" s="3">
        <f>IF(ISERROR(VLOOKUP($A339,'SegEnds_NonXtal_BW#'!$A:$Z,21,FALSE)+VLOOKUP($A339,A:AL,31,FALSE)-50),"-",(VLOOKUP($A339,'SegEnds_NonXtal_BW#'!$A:$Z,21,FALSE)+VLOOKUP($A339,A:AL,31,FALSE)-50))</f>
        <v>1032</v>
      </c>
      <c r="AE339" s="3">
        <v>1053</v>
      </c>
      <c r="AF339" s="3">
        <f>IF(ISERROR((VLOOKUP($A339,'SegEnds_NonXtal_BW#'!$A:$Z,22,FALSE)+VLOOKUP($A339,A:AL,31,FALSE)-50)),"-",(VLOOKUP($A339,'SegEnds_NonXtal_BW#'!$A:$Z,22,FALSE)+VLOOKUP($A339,A:AL,31,FALSE)-50))</f>
        <v>1056</v>
      </c>
      <c r="AG339" s="3">
        <f>IF(ISERROR(VLOOKUP($A339,'SegEnds_NonXtal_BW#'!$A:$Z,23,FALSE)+VLOOKUP($A339,A:AL,34,FALSE)-50),"-",(VLOOKUP($A339,'SegEnds_NonXtal_BW#'!$A:$Z,23,FALSE)+VLOOKUP($A339,A:AL,34,FALSE)-50))</f>
        <v>1062</v>
      </c>
      <c r="AH339" s="3">
        <v>1081</v>
      </c>
      <c r="AI339" s="3">
        <f>IF(ISERROR((VLOOKUP($A339,'SegEnds_NonXtal_BW#'!$A:$Z,24,FALSE)+VLOOKUP($A339,A:AL,34,FALSE)-50)),"-",(VLOOKUP($A339,'SegEnds_NonXtal_BW#'!$A:$Z,24,FALSE)+VLOOKUP($A339,A:AL,34,FALSE)-50))</f>
        <v>1087</v>
      </c>
      <c r="AJ339" s="3">
        <f>IF(ISERROR(VLOOKUP($A339,'SegEnds_NonXtal_BW#'!$A:$Z,25,FALSE)+VLOOKUP($A339,A:AL,37,FALSE)-50),"-",(VLOOKUP($A339,'SegEnds_NonXtal_BW#'!$A:$Z,25,FALSE)+VLOOKUP($A339,A:AL,37,FALSE)-50))</f>
        <v>1088</v>
      </c>
      <c r="AK339" s="3">
        <v>1091</v>
      </c>
      <c r="AL339" s="3">
        <f>IF(ISERROR((VLOOKUP($A339,'SegEnds_NonXtal_BW#'!$A:$Z,26,FALSE)+VLOOKUP($A339,A:AL,37,FALSE)-50)),"-",(VLOOKUP($A339,'SegEnds_NonXtal_BW#'!$A:$Z,26,FALSE)+VLOOKUP($A339,A:AL,37,FALSE)-50))</f>
        <v>1104</v>
      </c>
      <c r="AM339" s="28" t="str">
        <f>VLOOKUP(A339,Classification!A:B,2,FALSE)</f>
        <v>B2</v>
      </c>
      <c r="AN339" s="28" t="b">
        <f t="shared" si="195"/>
        <v>1</v>
      </c>
      <c r="AO339" s="3" t="str">
        <f>IF(ISERROR(MATCH(A339,'SegEnds_Xtal_Prot#'!B:B, 0)), "NoXtal", "Xtal")</f>
        <v>NoXtal</v>
      </c>
      <c r="AP339" s="3" t="str">
        <f t="shared" si="180"/>
        <v>-</v>
      </c>
      <c r="AQ339" s="3" t="str">
        <f t="shared" si="181"/>
        <v>-</v>
      </c>
      <c r="AR339" s="3" t="str">
        <f t="shared" si="182"/>
        <v>-</v>
      </c>
      <c r="AS339" s="3" t="str">
        <f t="shared" si="183"/>
        <v>-</v>
      </c>
      <c r="AT339" s="3" t="str">
        <f t="shared" si="184"/>
        <v>-</v>
      </c>
      <c r="AU339" s="3" t="str">
        <f t="shared" si="185"/>
        <v>-</v>
      </c>
      <c r="AV339" s="3">
        <f t="shared" si="186"/>
        <v>6</v>
      </c>
      <c r="AW339" s="3">
        <f t="shared" si="187"/>
        <v>3</v>
      </c>
      <c r="AX339" s="3">
        <f t="shared" si="188"/>
        <v>12</v>
      </c>
      <c r="AY339" s="3">
        <f t="shared" si="189"/>
        <v>6</v>
      </c>
      <c r="AZ339" s="3">
        <f t="shared" si="190"/>
        <v>1</v>
      </c>
      <c r="BA339" s="3">
        <f>IF(ISERROR(LEN(VLOOKUP(A339,Seqs!A:E,2,FALSE))-AL339),"-",LEN(VLOOKUP(A339,Seqs!A:E,2,FALSE))-AL339)</f>
        <v>355</v>
      </c>
      <c r="BB339" s="16">
        <f t="shared" si="191"/>
        <v>28</v>
      </c>
      <c r="BC339" s="9" t="str">
        <f t="shared" si="192"/>
        <v>-</v>
      </c>
      <c r="BD339" s="3">
        <f t="shared" si="193"/>
        <v>28</v>
      </c>
      <c r="BE339" s="3">
        <f t="shared" si="194"/>
        <v>52</v>
      </c>
    </row>
    <row r="340" spans="1:58" s="3" customFormat="1" x14ac:dyDescent="0.2">
      <c r="A340" s="3" t="s">
        <v>1201</v>
      </c>
      <c r="B340" s="3" t="str">
        <f>LOWER(VLOOKUP(A340,Xtal_Templ!A:B,2,FALSE))</f>
        <v>crfr1_human</v>
      </c>
      <c r="C340" s="3">
        <f>VLOOKUP($A340,'SegEnds_NonXtal_BW#'!$A:$Z,3,FALSE)+D340-50</f>
        <v>852</v>
      </c>
      <c r="D340" s="3">
        <v>879</v>
      </c>
      <c r="E340" s="3">
        <f>IF(ISERROR(VLOOKUP($A340,'SegEnds_NonXtal_BW#'!$A:$Z,4,FALSE)+VLOOKUP($A340,A:AL,4,FALSE)-50),"-",(VLOOKUP($A340,'SegEnds_NonXtal_BW#'!$A:$Z,4,FALSE)+VLOOKUP($A340,A:AL,4,FALSE)-50))</f>
        <v>889</v>
      </c>
      <c r="F340" s="3">
        <f>G340-2</f>
        <v>890</v>
      </c>
      <c r="G340" s="3">
        <v>892</v>
      </c>
      <c r="H340" s="3">
        <f>G340+1</f>
        <v>893</v>
      </c>
      <c r="I340" s="3">
        <f>H340+1</f>
        <v>894</v>
      </c>
      <c r="J340" s="3">
        <v>907</v>
      </c>
      <c r="K340" s="3">
        <f>VLOOKUP($A340,'SegEnds_NonXtal_BW#'!$A:$Z,8,FALSE)+VLOOKUP($A340,A:AL,10,FALSE)-50</f>
        <v>920</v>
      </c>
      <c r="L340" s="3" t="str">
        <f>IF(ISERROR(VLOOKUP($A340,'SegEnds_NonXtal_BW#'!$A:$Z,9,FALSE)+VLOOKUP($A340,A:AL,13,FALSE)-50),"-",(VLOOKUP($A340,'SegEnds_NonXtal_BW#'!$A:$Z,9,FALSE)+VLOOKUP($A340,A:AL,13,FALSE)-50))</f>
        <v>-</v>
      </c>
      <c r="M340" s="3" t="s">
        <v>23</v>
      </c>
      <c r="N340" s="3" t="str">
        <f>IF(ISERROR(VLOOKUP($A340,'SegEnds_NonXtal_BW#'!$A:$Z,10,FALSE)+VLOOKUP($A340,A:AL,13,FALSE)-50),"-",(VLOOKUP($A340,'SegEnds_NonXtal_BW#'!$A:$Z,10,FALSE)+VLOOKUP($A340,A:AL,13,FALSE)-50))</f>
        <v>-</v>
      </c>
      <c r="O340" s="3">
        <f>VLOOKUP($A340,'SegEnds_NonXtal_BW#'!$A:$Z,11,FALSE)+VLOOKUP($A340,A:AL,16,FALSE)-50</f>
        <v>925</v>
      </c>
      <c r="P340" s="3">
        <v>952</v>
      </c>
      <c r="Q340" s="3">
        <f>VLOOKUP($A340,'SegEnds_NonXtal_BW#'!$A:$Z,12,FALSE)+VLOOKUP($A340,A:AL,16,FALSE)-50</f>
        <v>958</v>
      </c>
      <c r="R340" s="3" t="str">
        <f>IF(ISERROR(VLOOKUP($A340,'SegEnds_NonXtal_BW#'!$A:$Z,13,FALSE)+VLOOKUP($A340,A:AL,19,FALSE)-50),"-",VLOOKUP($A340,'SegEnds_NonXtal_BW#'!$A:$Z,13,FALSE)+VLOOKUP($A340,A:AL,19,FALSE)-50)</f>
        <v>-</v>
      </c>
      <c r="S340" s="3" t="s">
        <v>23</v>
      </c>
      <c r="T340" s="100" t="str">
        <f>IF(ISERROR(VLOOKUP($A340,'SegEnds_NonXtal_BW#'!$A:$Z,14,FALSE)+VLOOKUP($A340,A:AL,19,FALSE)-50),"-",(VLOOKUP($A340,'SegEnds_NonXtal_BW#'!$A:$Z,14,FALSE)+VLOOKUP($A340,A:AL,19,FALSE)-50))</f>
        <v>-</v>
      </c>
      <c r="U340" s="9">
        <f>IF(ISERROR(VLOOKUP($A340,'SegEnds_NonXtal_BW#'!$A:$Z,15,FALSE)+VLOOKUP($A340,A:AL,22,FALSE)-50),"-",VLOOKUP($A340,'SegEnds_NonXtal_BW#'!$A:$Z,15,FALSE)+VLOOKUP($A340,A:AL,22,FALSE)-50)</f>
        <v>965</v>
      </c>
      <c r="V340" s="3">
        <v>975</v>
      </c>
      <c r="W340" s="3">
        <f>IF(ISERROR(VLOOKUP($A340,'SegEnds_NonXtal_BW#'!$A:$Z,16,FALSE)+VLOOKUP($A340,A:AL,22,FALSE)-50),"-",(VLOOKUP($A340,'SegEnds_NonXtal_BW#'!$A:$Z,16,FALSE)+VLOOKUP($A340,A:AL,22,FALSE)-50))</f>
        <v>993</v>
      </c>
      <c r="X340" s="3">
        <f>IF(ISERROR(VLOOKUP($A340,'SegEnds_NonXtal_BW#'!$A:$Z,17,FALSE)+VLOOKUP($A340,A:AL,25,FALSE)-50),"-",(VLOOKUP($A340,'SegEnds_NonXtal_BW#'!$A:$Z,17,FALSE)+VLOOKUP($A340,A:AL,25,FALSE)-50))</f>
        <v>999</v>
      </c>
      <c r="Y340" s="3">
        <v>999</v>
      </c>
      <c r="Z340" s="3">
        <f t="shared" si="179"/>
        <v>1001</v>
      </c>
      <c r="AA340" s="3">
        <f>IF(ISERROR(VLOOKUP($A340,'SegEnds_NonXtal_BW#'!$A:$Z,19,FALSE)+VLOOKUP($A340,A:AL,28,FALSE)-50),"-",(VLOOKUP($A340,'SegEnds_NonXtal_BW#'!$A:$Z,19,FALSE)+VLOOKUP($A340,A:AL,28,FALSE)-50))</f>
        <v>1004</v>
      </c>
      <c r="AB340" s="3">
        <v>1018</v>
      </c>
      <c r="AC340" s="3">
        <f>IF(ISERROR((VLOOKUP($A340,'SegEnds_NonXtal_BW#'!$A:$Z,20,FALSE)+VLOOKUP($A340,A:AL,28,FALSE)-50)),"-",(VLOOKUP($A340,'SegEnds_NonXtal_BW#'!$A:$Z,20,FALSE)+VLOOKUP($A340,A:AL,28,FALSE)-50))</f>
        <v>1037</v>
      </c>
      <c r="AD340" s="3">
        <f>IF(ISERROR(VLOOKUP($A340,'SegEnds_NonXtal_BW#'!$A:$Z,21,FALSE)+VLOOKUP($A340,A:AL,31,FALSE)-50),"-",(VLOOKUP($A340,'SegEnds_NonXtal_BW#'!$A:$Z,21,FALSE)+VLOOKUP($A340,A:AL,31,FALSE)-50))</f>
        <v>1049</v>
      </c>
      <c r="AE340" s="3">
        <v>1070</v>
      </c>
      <c r="AF340" s="3">
        <f>IF(ISERROR((VLOOKUP($A340,'SegEnds_NonXtal_BW#'!$A:$Z,22,FALSE)+VLOOKUP($A340,A:AL,31,FALSE)-50)),"-",(VLOOKUP($A340,'SegEnds_NonXtal_BW#'!$A:$Z,22,FALSE)+VLOOKUP($A340,A:AL,31,FALSE)-50))</f>
        <v>1073</v>
      </c>
      <c r="AG340" s="3">
        <f>IF(ISERROR(VLOOKUP($A340,'SegEnds_NonXtal_BW#'!$A:$Z,23,FALSE)+VLOOKUP($A340,A:AL,34,FALSE)-50),"-",(VLOOKUP($A340,'SegEnds_NonXtal_BW#'!$A:$Z,23,FALSE)+VLOOKUP($A340,A:AL,34,FALSE)-50))</f>
        <v>1079</v>
      </c>
      <c r="AH340" s="3">
        <v>1098</v>
      </c>
      <c r="AI340" s="3">
        <f>IF(ISERROR((VLOOKUP($A340,'SegEnds_NonXtal_BW#'!$A:$Z,24,FALSE)+VLOOKUP($A340,A:AL,34,FALSE)-50)),"-",(VLOOKUP($A340,'SegEnds_NonXtal_BW#'!$A:$Z,24,FALSE)+VLOOKUP($A340,A:AL,34,FALSE)-50))</f>
        <v>1104</v>
      </c>
      <c r="AJ340" s="3">
        <f>IF(ISERROR(VLOOKUP($A340,'SegEnds_NonXtal_BW#'!$A:$Z,25,FALSE)+VLOOKUP($A340,A:AL,37,FALSE)-50),"-",(VLOOKUP($A340,'SegEnds_NonXtal_BW#'!$A:$Z,25,FALSE)+VLOOKUP($A340,A:AL,37,FALSE)-50))</f>
        <v>1105</v>
      </c>
      <c r="AK340" s="3">
        <v>1108</v>
      </c>
      <c r="AL340" s="3">
        <f>IF(ISERROR((VLOOKUP($A340,'SegEnds_NonXtal_BW#'!$A:$Z,26,FALSE)+VLOOKUP($A340,A:AL,37,FALSE)-50)),"-",(VLOOKUP($A340,'SegEnds_NonXtal_BW#'!$A:$Z,26,FALSE)+VLOOKUP($A340,A:AL,37,FALSE)-50))</f>
        <v>1121</v>
      </c>
      <c r="AM340" s="28" t="str">
        <f>VLOOKUP(A340,Classification!A:B,2,FALSE)</f>
        <v>B2</v>
      </c>
      <c r="AN340" s="28" t="b">
        <f t="shared" si="195"/>
        <v>1</v>
      </c>
      <c r="AO340" s="3" t="str">
        <f>IF(ISERROR(MATCH(A340,'SegEnds_Xtal_Prot#'!B:B, 0)), "NoXtal", "Xtal")</f>
        <v>NoXtal</v>
      </c>
      <c r="AP340" s="3">
        <f t="shared" si="180"/>
        <v>1</v>
      </c>
      <c r="AQ340" s="3">
        <f t="shared" si="181"/>
        <v>1</v>
      </c>
      <c r="AR340" s="3" t="str">
        <f t="shared" si="182"/>
        <v>-</v>
      </c>
      <c r="AS340" s="3" t="str">
        <f t="shared" si="183"/>
        <v>-</v>
      </c>
      <c r="AT340" s="3" t="str">
        <f t="shared" si="184"/>
        <v>-</v>
      </c>
      <c r="AU340" s="3" t="str">
        <f t="shared" si="185"/>
        <v>-</v>
      </c>
      <c r="AV340" s="3">
        <f t="shared" si="186"/>
        <v>6</v>
      </c>
      <c r="AW340" s="3">
        <f t="shared" si="187"/>
        <v>3</v>
      </c>
      <c r="AX340" s="3">
        <f t="shared" si="188"/>
        <v>12</v>
      </c>
      <c r="AY340" s="3">
        <f t="shared" si="189"/>
        <v>6</v>
      </c>
      <c r="AZ340" s="3">
        <f t="shared" si="190"/>
        <v>1</v>
      </c>
      <c r="BA340" s="3">
        <f>IF(ISERROR(LEN(VLOOKUP(A340,Seqs!A:E,2,FALSE))-AL340),"-",LEN(VLOOKUP(A340,Seqs!A:E,2,FALSE))-AL340)</f>
        <v>326</v>
      </c>
      <c r="BB340" s="16">
        <f t="shared" si="191"/>
        <v>28</v>
      </c>
      <c r="BC340" s="9" t="str">
        <f t="shared" si="192"/>
        <v>-</v>
      </c>
      <c r="BD340" s="3">
        <f t="shared" si="193"/>
        <v>28</v>
      </c>
      <c r="BE340" s="3">
        <f t="shared" si="194"/>
        <v>52</v>
      </c>
    </row>
    <row r="341" spans="1:58" s="3" customFormat="1" x14ac:dyDescent="0.2">
      <c r="A341" s="3" t="s">
        <v>1202</v>
      </c>
      <c r="B341" s="3" t="str">
        <f>LOWER(VLOOKUP(A341,Xtal_Templ!A:B,2,FALSE))</f>
        <v>crfr1_human</v>
      </c>
      <c r="C341" s="3">
        <f>VLOOKUP($A341,'SegEnds_NonXtal_BW#'!$A:$Z,3,FALSE)+D341-50</f>
        <v>415</v>
      </c>
      <c r="D341" s="3">
        <v>442</v>
      </c>
      <c r="E341" s="3">
        <f>IF(ISERROR(VLOOKUP($A341,'SegEnds_NonXtal_BW#'!$A:$Z,4,FALSE)+VLOOKUP($A341,A:AL,4,FALSE)-50),"-",(VLOOKUP($A341,'SegEnds_NonXtal_BW#'!$A:$Z,4,FALSE)+VLOOKUP($A341,A:AL,4,FALSE)-50))</f>
        <v>452</v>
      </c>
      <c r="F341" s="3" t="s">
        <v>23</v>
      </c>
      <c r="G341" s="3" t="s">
        <v>23</v>
      </c>
      <c r="H341" s="3" t="s">
        <v>23</v>
      </c>
      <c r="I341" s="3">
        <f>VLOOKUP($A341,'SegEnds_NonXtal_BW#'!$A:$Z,7,FALSE)+J341-50</f>
        <v>457</v>
      </c>
      <c r="J341" s="3">
        <v>470</v>
      </c>
      <c r="K341" s="3">
        <f>VLOOKUP($A341,'SegEnds_NonXtal_BW#'!$A:$Z,8,FALSE)+VLOOKUP($A341,A:AL,10,FALSE)-50</f>
        <v>483</v>
      </c>
      <c r="L341" s="3" t="str">
        <f>IF(ISERROR(VLOOKUP($A341,'SegEnds_NonXtal_BW#'!$A:$Z,9,FALSE)+VLOOKUP($A341,A:AL,13,FALSE)-50),"-",(VLOOKUP($A341,'SegEnds_NonXtal_BW#'!$A:$Z,9,FALSE)+VLOOKUP($A341,A:AL,13,FALSE)-50))</f>
        <v>-</v>
      </c>
      <c r="M341" s="3" t="s">
        <v>23</v>
      </c>
      <c r="N341" s="3" t="str">
        <f>IF(ISERROR(VLOOKUP($A341,'SegEnds_NonXtal_BW#'!$A:$Z,10,FALSE)+VLOOKUP($A341,A:AL,13,FALSE)-50),"-",(VLOOKUP($A341,'SegEnds_NonXtal_BW#'!$A:$Z,10,FALSE)+VLOOKUP($A341,A:AL,13,FALSE)-50))</f>
        <v>-</v>
      </c>
      <c r="O341" s="3">
        <f>VLOOKUP($A341,'SegEnds_NonXtal_BW#'!$A:$Z,11,FALSE)+VLOOKUP($A341,A:AL,16,FALSE)-50</f>
        <v>488</v>
      </c>
      <c r="P341" s="3">
        <v>515</v>
      </c>
      <c r="Q341" s="3">
        <f>VLOOKUP($A341,'SegEnds_NonXtal_BW#'!$A:$Z,12,FALSE)+VLOOKUP($A341,A:AL,16,FALSE)-50</f>
        <v>521</v>
      </c>
      <c r="R341" s="3" t="str">
        <f>IF(ISERROR(VLOOKUP($A341,'SegEnds_NonXtal_BW#'!$A:$Z,13,FALSE)+VLOOKUP($A341,A:AL,19,FALSE)-50),"-",VLOOKUP($A341,'SegEnds_NonXtal_BW#'!$A:$Z,13,FALSE)+VLOOKUP($A341,A:AL,19,FALSE)-50)</f>
        <v>-</v>
      </c>
      <c r="S341" s="3" t="s">
        <v>23</v>
      </c>
      <c r="T341" s="100" t="str">
        <f>IF(ISERROR(VLOOKUP($A341,'SegEnds_NonXtal_BW#'!$A:$Z,14,FALSE)+VLOOKUP($A341,A:AL,19,FALSE)-50),"-",(VLOOKUP($A341,'SegEnds_NonXtal_BW#'!$A:$Z,14,FALSE)+VLOOKUP($A341,A:AL,19,FALSE)-50))</f>
        <v>-</v>
      </c>
      <c r="U341" s="9">
        <f>IF(ISERROR(VLOOKUP($A341,'SegEnds_NonXtal_BW#'!$A:$Z,15,FALSE)+VLOOKUP($A341,A:AL,22,FALSE)-50),"-",VLOOKUP($A341,'SegEnds_NonXtal_BW#'!$A:$Z,15,FALSE)+VLOOKUP($A341,A:AL,22,FALSE)-50)</f>
        <v>528</v>
      </c>
      <c r="V341" s="3">
        <v>538</v>
      </c>
      <c r="W341" s="3">
        <f>IF(ISERROR(VLOOKUP($A341,'SegEnds_NonXtal_BW#'!$A:$Z,16,FALSE)+VLOOKUP($A341,A:AL,22,FALSE)-50),"-",(VLOOKUP($A341,'SegEnds_NonXtal_BW#'!$A:$Z,16,FALSE)+VLOOKUP($A341,A:AL,22,FALSE)-50))</f>
        <v>556</v>
      </c>
      <c r="X341" s="3">
        <f>IF(ISERROR(VLOOKUP($A341,'SegEnds_NonXtal_BW#'!$A:$Z,17,FALSE)+VLOOKUP($A341,A:AL,25,FALSE)-50),"-",(VLOOKUP($A341,'SegEnds_NonXtal_BW#'!$A:$Z,17,FALSE)+VLOOKUP($A341,A:AL,25,FALSE)-50))</f>
        <v>562</v>
      </c>
      <c r="Y341" s="3">
        <v>562</v>
      </c>
      <c r="Z341" s="3">
        <f t="shared" si="179"/>
        <v>564</v>
      </c>
      <c r="AA341" s="3">
        <f>IF(ISERROR(VLOOKUP($A341,'SegEnds_NonXtal_BW#'!$A:$Z,19,FALSE)+VLOOKUP($A341,A:AL,28,FALSE)-50),"-",(VLOOKUP($A341,'SegEnds_NonXtal_BW#'!$A:$Z,19,FALSE)+VLOOKUP($A341,A:AL,28,FALSE)-50))</f>
        <v>567</v>
      </c>
      <c r="AB341" s="3">
        <v>581</v>
      </c>
      <c r="AC341" s="3">
        <f>IF(ISERROR((VLOOKUP($A341,'SegEnds_NonXtal_BW#'!$A:$Z,20,FALSE)+VLOOKUP($A341,A:AL,28,FALSE)-50)),"-",(VLOOKUP($A341,'SegEnds_NonXtal_BW#'!$A:$Z,20,FALSE)+VLOOKUP($A341,A:AL,28,FALSE)-50))</f>
        <v>600</v>
      </c>
      <c r="AD341" s="3">
        <f>IF(ISERROR(VLOOKUP($A341,'SegEnds_NonXtal_BW#'!$A:$Z,21,FALSE)+VLOOKUP($A341,A:AL,31,FALSE)-50),"-",(VLOOKUP($A341,'SegEnds_NonXtal_BW#'!$A:$Z,21,FALSE)+VLOOKUP($A341,A:AL,31,FALSE)-50))</f>
        <v>612</v>
      </c>
      <c r="AE341" s="3">
        <v>633</v>
      </c>
      <c r="AF341" s="3">
        <f>IF(ISERROR((VLOOKUP($A341,'SegEnds_NonXtal_BW#'!$A:$Z,22,FALSE)+VLOOKUP($A341,A:AL,31,FALSE)-50)),"-",(VLOOKUP($A341,'SegEnds_NonXtal_BW#'!$A:$Z,22,FALSE)+VLOOKUP($A341,A:AL,31,FALSE)-50))</f>
        <v>636</v>
      </c>
      <c r="AG341" s="3">
        <f>IF(ISERROR(VLOOKUP($A341,'SegEnds_NonXtal_BW#'!$A:$Z,23,FALSE)+VLOOKUP($A341,A:AL,34,FALSE)-50),"-",(VLOOKUP($A341,'SegEnds_NonXtal_BW#'!$A:$Z,23,FALSE)+VLOOKUP($A341,A:AL,34,FALSE)-50))</f>
        <v>642</v>
      </c>
      <c r="AH341" s="3">
        <v>661</v>
      </c>
      <c r="AI341" s="3">
        <f>IF(ISERROR((VLOOKUP($A341,'SegEnds_NonXtal_BW#'!$A:$Z,24,FALSE)+VLOOKUP($A341,A:AL,34,FALSE)-50)),"-",(VLOOKUP($A341,'SegEnds_NonXtal_BW#'!$A:$Z,24,FALSE)+VLOOKUP($A341,A:AL,34,FALSE)-50))</f>
        <v>667</v>
      </c>
      <c r="AJ341" s="3">
        <f>IF(ISERROR(VLOOKUP($A341,'SegEnds_NonXtal_BW#'!$A:$Z,25,FALSE)+VLOOKUP($A341,A:AL,37,FALSE)-50),"-",(VLOOKUP($A341,'SegEnds_NonXtal_BW#'!$A:$Z,25,FALSE)+VLOOKUP($A341,A:AL,37,FALSE)-50))</f>
        <v>668</v>
      </c>
      <c r="AK341" s="3">
        <v>671</v>
      </c>
      <c r="AL341" s="3">
        <f>IF(ISERROR((VLOOKUP($A341,'SegEnds_NonXtal_BW#'!$A:$Z,26,FALSE)+VLOOKUP($A341,A:AL,37,FALSE)-50)),"-",(VLOOKUP($A341,'SegEnds_NonXtal_BW#'!$A:$Z,26,FALSE)+VLOOKUP($A341,A:AL,37,FALSE)-50))</f>
        <v>684</v>
      </c>
      <c r="AM341" s="28" t="str">
        <f>VLOOKUP(A341,Classification!A:B,2,FALSE)</f>
        <v>B2</v>
      </c>
      <c r="AN341" s="28" t="b">
        <f t="shared" si="195"/>
        <v>1</v>
      </c>
      <c r="AO341" s="3" t="str">
        <f>IF(ISERROR(MATCH(A341,'SegEnds_Xtal_Prot#'!B:B, 0)), "NoXtal", "Xtal")</f>
        <v>NoXtal</v>
      </c>
      <c r="AP341" s="3" t="str">
        <f t="shared" si="180"/>
        <v>-</v>
      </c>
      <c r="AQ341" s="3" t="str">
        <f t="shared" si="181"/>
        <v>-</v>
      </c>
      <c r="AR341" s="3" t="str">
        <f t="shared" si="182"/>
        <v>-</v>
      </c>
      <c r="AS341" s="3" t="str">
        <f t="shared" si="183"/>
        <v>-</v>
      </c>
      <c r="AT341" s="3" t="str">
        <f t="shared" si="184"/>
        <v>-</v>
      </c>
      <c r="AU341" s="3" t="str">
        <f t="shared" si="185"/>
        <v>-</v>
      </c>
      <c r="AV341" s="3">
        <f t="shared" si="186"/>
        <v>6</v>
      </c>
      <c r="AW341" s="3">
        <f t="shared" si="187"/>
        <v>3</v>
      </c>
      <c r="AX341" s="3">
        <f t="shared" si="188"/>
        <v>12</v>
      </c>
      <c r="AY341" s="3">
        <f t="shared" si="189"/>
        <v>6</v>
      </c>
      <c r="AZ341" s="3">
        <f t="shared" si="190"/>
        <v>1</v>
      </c>
      <c r="BA341" s="3">
        <f>IF(ISERROR(LEN(VLOOKUP(A341,Seqs!A:E,2,FALSE))-AL341),"-",LEN(VLOOKUP(A341,Seqs!A:E,2,FALSE))-AL341)</f>
        <v>6</v>
      </c>
      <c r="BB341" s="16">
        <f t="shared" si="191"/>
        <v>28</v>
      </c>
      <c r="BC341" s="9" t="str">
        <f t="shared" si="192"/>
        <v>-</v>
      </c>
      <c r="BD341" s="3">
        <f t="shared" si="193"/>
        <v>28</v>
      </c>
      <c r="BE341" s="3">
        <f t="shared" si="194"/>
        <v>52</v>
      </c>
      <c r="BF341" s="3">
        <f>AH341-AE341</f>
        <v>28</v>
      </c>
    </row>
    <row r="342" spans="1:58" s="3" customFormat="1" x14ac:dyDescent="0.2">
      <c r="A342" s="3" t="s">
        <v>414</v>
      </c>
      <c r="B342" s="3" t="str">
        <f>LOWER(VLOOKUP(A342,Xtal_Templ!A:B,2,FALSE))</f>
        <v>crfr1_human</v>
      </c>
      <c r="C342" s="3">
        <f>VLOOKUP($A342,'SegEnds_NonXtal_BW#'!$A:$Z,3,FALSE)+D342-50</f>
        <v>935</v>
      </c>
      <c r="D342" s="3">
        <v>962</v>
      </c>
      <c r="E342" s="3">
        <f>IF(ISERROR(VLOOKUP($A342,'SegEnds_NonXtal_BW#'!$A:$Z,4,FALSE)+VLOOKUP($A342,A:AL,4,FALSE)-50),"-",(VLOOKUP($A342,'SegEnds_NonXtal_BW#'!$A:$Z,4,FALSE)+VLOOKUP($A342,A:AL,4,FALSE)-50))</f>
        <v>972</v>
      </c>
      <c r="F342" s="3" t="s">
        <v>23</v>
      </c>
      <c r="G342" s="3" t="s">
        <v>23</v>
      </c>
      <c r="H342" s="3" t="s">
        <v>23</v>
      </c>
      <c r="I342" s="3">
        <f>VLOOKUP($A342,'SegEnds_NonXtal_BW#'!$A:$Z,7,FALSE)+J342-50</f>
        <v>978</v>
      </c>
      <c r="J342" s="3">
        <v>991</v>
      </c>
      <c r="K342" s="3">
        <f>VLOOKUP($A342,'SegEnds_NonXtal_BW#'!$A:$Z,8,FALSE)+VLOOKUP($A342,A:AL,10,FALSE)-50</f>
        <v>1004</v>
      </c>
      <c r="L342" s="3" t="str">
        <f>IF(ISERROR(VLOOKUP($A342,'SegEnds_NonXtal_BW#'!$A:$Z,9,FALSE)+VLOOKUP($A342,A:AL,13,FALSE)-50),"-",(VLOOKUP($A342,'SegEnds_NonXtal_BW#'!$A:$Z,9,FALSE)+VLOOKUP($A342,A:AL,13,FALSE)-50))</f>
        <v>-</v>
      </c>
      <c r="M342" s="3" t="s">
        <v>23</v>
      </c>
      <c r="N342" s="3" t="str">
        <f>IF(ISERROR(VLOOKUP($A342,'SegEnds_NonXtal_BW#'!$A:$Z,10,FALSE)+VLOOKUP($A342,A:AL,13,FALSE)-50),"-",(VLOOKUP($A342,'SegEnds_NonXtal_BW#'!$A:$Z,10,FALSE)+VLOOKUP($A342,A:AL,13,FALSE)-50))</f>
        <v>-</v>
      </c>
      <c r="O342" s="3">
        <f>VLOOKUP($A342,'SegEnds_NonXtal_BW#'!$A:$Z,11,FALSE)+VLOOKUP($A342,A:AL,16,FALSE)-50</f>
        <v>1009</v>
      </c>
      <c r="P342" s="3">
        <v>1036</v>
      </c>
      <c r="Q342" s="3">
        <f>VLOOKUP($A342,'SegEnds_NonXtal_BW#'!$A:$Z,12,FALSE)+VLOOKUP($A342,A:AL,16,FALSE)-50</f>
        <v>1042</v>
      </c>
      <c r="R342" s="3" t="str">
        <f>IF(ISERROR(VLOOKUP($A342,'SegEnds_NonXtal_BW#'!$A:$Z,13,FALSE)+VLOOKUP($A342,A:AL,19,FALSE)-50),"-",VLOOKUP($A342,'SegEnds_NonXtal_BW#'!$A:$Z,13,FALSE)+VLOOKUP($A342,A:AL,19,FALSE)-50)</f>
        <v>-</v>
      </c>
      <c r="S342" s="3" t="s">
        <v>23</v>
      </c>
      <c r="T342" s="100" t="str">
        <f>IF(ISERROR(VLOOKUP($A342,'SegEnds_NonXtal_BW#'!$A:$Z,14,FALSE)+VLOOKUP($A342,A:AL,19,FALSE)-50),"-",(VLOOKUP($A342,'SegEnds_NonXtal_BW#'!$A:$Z,14,FALSE)+VLOOKUP($A342,A:AL,19,FALSE)-50))</f>
        <v>-</v>
      </c>
      <c r="U342" s="9">
        <f>IF(ISERROR(VLOOKUP($A342,'SegEnds_NonXtal_BW#'!$A:$Z,15,FALSE)+VLOOKUP($A342,A:AL,22,FALSE)-50),"-",VLOOKUP($A342,'SegEnds_NonXtal_BW#'!$A:$Z,15,FALSE)+VLOOKUP($A342,A:AL,22,FALSE)-50)</f>
        <v>1048</v>
      </c>
      <c r="V342" s="3">
        <v>1058</v>
      </c>
      <c r="W342" s="3">
        <f>IF(ISERROR(VLOOKUP($A342,'SegEnds_NonXtal_BW#'!$A:$Z,16,FALSE)+VLOOKUP($A342,A:AL,22,FALSE)-50),"-",(VLOOKUP($A342,'SegEnds_NonXtal_BW#'!$A:$Z,16,FALSE)+VLOOKUP($A342,A:AL,22,FALSE)-50))</f>
        <v>1076</v>
      </c>
      <c r="X342" s="3">
        <f>IF(ISERROR(VLOOKUP($A342,'SegEnds_NonXtal_BW#'!$A:$Z,17,FALSE)+VLOOKUP($A342,A:AL,25,FALSE)-50),"-",(VLOOKUP($A342,'SegEnds_NonXtal_BW#'!$A:$Z,17,FALSE)+VLOOKUP($A342,A:AL,25,FALSE)-50))</f>
        <v>1083</v>
      </c>
      <c r="Y342" s="3">
        <v>1083</v>
      </c>
      <c r="Z342" s="3">
        <f t="shared" si="179"/>
        <v>1085</v>
      </c>
      <c r="AA342" s="3">
        <f>IF(ISERROR(VLOOKUP($A342,'SegEnds_NonXtal_BW#'!$A:$Z,19,FALSE)+VLOOKUP($A342,A:AL,28,FALSE)-50),"-",(VLOOKUP($A342,'SegEnds_NonXtal_BW#'!$A:$Z,19,FALSE)+VLOOKUP($A342,A:AL,28,FALSE)-50))</f>
        <v>1088</v>
      </c>
      <c r="AB342" s="3">
        <v>1102</v>
      </c>
      <c r="AC342" s="3">
        <f>IF(ISERROR((VLOOKUP($A342,'SegEnds_NonXtal_BW#'!$A:$Z,20,FALSE)+VLOOKUP($A342,A:AL,28,FALSE)-50)),"-",(VLOOKUP($A342,'SegEnds_NonXtal_BW#'!$A:$Z,20,FALSE)+VLOOKUP($A342,A:AL,28,FALSE)-50))</f>
        <v>1121</v>
      </c>
      <c r="AD342" s="3">
        <f>IF(ISERROR(VLOOKUP($A342,'SegEnds_NonXtal_BW#'!$A:$Z,21,FALSE)+VLOOKUP($A342,A:AL,31,FALSE)-50),"-",(VLOOKUP($A342,'SegEnds_NonXtal_BW#'!$A:$Z,21,FALSE)+VLOOKUP($A342,A:AL,31,FALSE)-50))</f>
        <v>1131</v>
      </c>
      <c r="AE342" s="3">
        <v>1152</v>
      </c>
      <c r="AF342" s="3">
        <f>IF(ISERROR((VLOOKUP($A342,'SegEnds_NonXtal_BW#'!$A:$Z,22,FALSE)+VLOOKUP($A342,A:AL,31,FALSE)-50)),"-",(VLOOKUP($A342,'SegEnds_NonXtal_BW#'!$A:$Z,22,FALSE)+VLOOKUP($A342,A:AL,31,FALSE)-50))</f>
        <v>1155</v>
      </c>
      <c r="AG342" s="3">
        <f>IF(ISERROR(VLOOKUP($A342,'SegEnds_NonXtal_BW#'!$A:$Z,23,FALSE)+VLOOKUP($A342,A:AL,34,FALSE)-50),"-",(VLOOKUP($A342,'SegEnds_NonXtal_BW#'!$A:$Z,23,FALSE)+VLOOKUP($A342,A:AL,34,FALSE)-50))</f>
        <v>1162</v>
      </c>
      <c r="AH342" s="3">
        <v>1181</v>
      </c>
      <c r="AI342" s="3">
        <f>IF(ISERROR((VLOOKUP($A342,'SegEnds_NonXtal_BW#'!$A:$Z,24,FALSE)+VLOOKUP($A342,A:AL,34,FALSE)-50)),"-",(VLOOKUP($A342,'SegEnds_NonXtal_BW#'!$A:$Z,24,FALSE)+VLOOKUP($A342,A:AL,34,FALSE)-50))</f>
        <v>1187</v>
      </c>
      <c r="AJ342" s="3">
        <f>IF(ISERROR(VLOOKUP($A342,'SegEnds_NonXtal_BW#'!$A:$Z,25,FALSE)+VLOOKUP($A342,A:AL,37,FALSE)-50),"-",(VLOOKUP($A342,'SegEnds_NonXtal_BW#'!$A:$Z,25,FALSE)+VLOOKUP($A342,A:AL,37,FALSE)-50))</f>
        <v>1188</v>
      </c>
      <c r="AK342" s="3">
        <v>1191</v>
      </c>
      <c r="AL342" s="3">
        <f>IF(ISERROR((VLOOKUP($A342,'SegEnds_NonXtal_BW#'!$A:$Z,26,FALSE)+VLOOKUP($A342,A:AL,37,FALSE)-50)),"-",(VLOOKUP($A342,'SegEnds_NonXtal_BW#'!$A:$Z,26,FALSE)+VLOOKUP($A342,A:AL,37,FALSE)-50))</f>
        <v>1204</v>
      </c>
      <c r="AM342" s="28" t="str">
        <f>VLOOKUP(A342,Classification!A:B,2,FALSE)</f>
        <v>B2</v>
      </c>
      <c r="AN342" s="28" t="b">
        <f t="shared" si="195"/>
        <v>1</v>
      </c>
      <c r="AO342" s="3" t="str">
        <f>IF(ISERROR(MATCH(A342,'SegEnds_Xtal_Prot#'!B:B, 0)), "NoXtal", "Xtal")</f>
        <v>NoXtal</v>
      </c>
      <c r="AP342" s="3" t="str">
        <f t="shared" si="180"/>
        <v>-</v>
      </c>
      <c r="AQ342" s="3" t="str">
        <f t="shared" si="181"/>
        <v>-</v>
      </c>
      <c r="AR342" s="3" t="str">
        <f t="shared" si="182"/>
        <v>-</v>
      </c>
      <c r="AS342" s="3" t="str">
        <f t="shared" si="183"/>
        <v>-</v>
      </c>
      <c r="AT342" s="3" t="str">
        <f t="shared" si="184"/>
        <v>-</v>
      </c>
      <c r="AU342" s="3" t="str">
        <f t="shared" si="185"/>
        <v>-</v>
      </c>
      <c r="AV342" s="3">
        <f t="shared" si="186"/>
        <v>7</v>
      </c>
      <c r="AW342" s="3">
        <f t="shared" si="187"/>
        <v>3</v>
      </c>
      <c r="AX342" s="3">
        <f t="shared" si="188"/>
        <v>10</v>
      </c>
      <c r="AY342" s="3">
        <f t="shared" si="189"/>
        <v>7</v>
      </c>
      <c r="AZ342" s="3">
        <f t="shared" si="190"/>
        <v>1</v>
      </c>
      <c r="BA342" s="3">
        <f>IF(ISERROR(LEN(VLOOKUP(A342,Seqs!A:E,2,FALSE))-AL342),"-",LEN(VLOOKUP(A342,Seqs!A:E,2,FALSE))-AL342)</f>
        <v>380</v>
      </c>
      <c r="BB342" s="16">
        <f t="shared" si="191"/>
        <v>29</v>
      </c>
      <c r="BC342" s="9" t="str">
        <f t="shared" si="192"/>
        <v>-</v>
      </c>
      <c r="BD342" s="3">
        <f t="shared" si="193"/>
        <v>29</v>
      </c>
      <c r="BE342" s="3">
        <f t="shared" si="194"/>
        <v>50</v>
      </c>
    </row>
    <row r="343" spans="1:58" s="3" customFormat="1" x14ac:dyDescent="0.2">
      <c r="A343" s="3" t="s">
        <v>417</v>
      </c>
      <c r="B343" s="3" t="str">
        <f>LOWER(VLOOKUP(A343,Xtal_Templ!A:B,2,FALSE))</f>
        <v>glp1r_human</v>
      </c>
      <c r="C343" s="3">
        <f>VLOOKUP($A343,'SegEnds_NonXtal_BW#'!$A:$Z,3,FALSE)+D343-50</f>
        <v>535</v>
      </c>
      <c r="D343" s="3">
        <v>562</v>
      </c>
      <c r="E343" s="3">
        <f>IF(ISERROR(VLOOKUP($A343,'SegEnds_NonXtal_BW#'!$A:$Z,4,FALSE)+VLOOKUP($A343,A:AL,4,FALSE)-50),"-",(VLOOKUP($A343,'SegEnds_NonXtal_BW#'!$A:$Z,4,FALSE)+VLOOKUP($A343,A:AL,4,FALSE)-50))</f>
        <v>572</v>
      </c>
      <c r="F343" s="3" t="s">
        <v>23</v>
      </c>
      <c r="G343" s="3" t="s">
        <v>23</v>
      </c>
      <c r="H343" s="3" t="s">
        <v>23</v>
      </c>
      <c r="I343" s="3">
        <f>VLOOKUP($A343,'SegEnds_NonXtal_BW#'!$A:$Z,7,FALSE)+J343-50</f>
        <v>577</v>
      </c>
      <c r="J343" s="3">
        <v>590</v>
      </c>
      <c r="K343" s="3">
        <f>VLOOKUP($A343,'SegEnds_NonXtal_BW#'!$A:$Z,8,FALSE)+VLOOKUP($A343,A:AL,10,FALSE)-50</f>
        <v>603</v>
      </c>
      <c r="L343" s="3" t="str">
        <f>IF(ISERROR(VLOOKUP($A343,'SegEnds_NonXtal_BW#'!$A:$Z,9,FALSE)+VLOOKUP($A343,A:AL,13,FALSE)-50),"-",(VLOOKUP($A343,'SegEnds_NonXtal_BW#'!$A:$Z,9,FALSE)+VLOOKUP($A343,A:AL,13,FALSE)-50))</f>
        <v>-</v>
      </c>
      <c r="M343" s="3" t="s">
        <v>23</v>
      </c>
      <c r="N343" s="3" t="str">
        <f>IF(ISERROR(VLOOKUP($A343,'SegEnds_NonXtal_BW#'!$A:$Z,10,FALSE)+VLOOKUP($A343,A:AL,13,FALSE)-50),"-",(VLOOKUP($A343,'SegEnds_NonXtal_BW#'!$A:$Z,10,FALSE)+VLOOKUP($A343,A:AL,13,FALSE)-50))</f>
        <v>-</v>
      </c>
      <c r="O343" s="3">
        <f>VLOOKUP($A343,'SegEnds_NonXtal_BW#'!$A:$Z,11,FALSE)+VLOOKUP($A343,A:AL,16,FALSE)-50</f>
        <v>610</v>
      </c>
      <c r="P343" s="3">
        <v>637</v>
      </c>
      <c r="Q343" s="3">
        <f>VLOOKUP($A343,'SegEnds_NonXtal_BW#'!$A:$Z,12,FALSE)+VLOOKUP($A343,A:AL,16,FALSE)-50</f>
        <v>643</v>
      </c>
      <c r="R343" s="3" t="str">
        <f>IF(ISERROR(VLOOKUP($A343,'SegEnds_NonXtal_BW#'!$A:$Z,13,FALSE)+VLOOKUP($A343,A:AL,19,FALSE)-50),"-",VLOOKUP($A343,'SegEnds_NonXtal_BW#'!$A:$Z,13,FALSE)+VLOOKUP($A343,A:AL,19,FALSE)-50)</f>
        <v>-</v>
      </c>
      <c r="S343" s="3" t="s">
        <v>23</v>
      </c>
      <c r="T343" s="100" t="str">
        <f>IF(ISERROR(VLOOKUP($A343,'SegEnds_NonXtal_BW#'!$A:$Z,14,FALSE)+VLOOKUP($A343,A:AL,19,FALSE)-50),"-",(VLOOKUP($A343,'SegEnds_NonXtal_BW#'!$A:$Z,14,FALSE)+VLOOKUP($A343,A:AL,19,FALSE)-50))</f>
        <v>-</v>
      </c>
      <c r="U343" s="9">
        <f>IF(ISERROR(VLOOKUP($A343,'SegEnds_NonXtal_BW#'!$A:$Z,15,FALSE)+VLOOKUP($A343,A:AL,22,FALSE)-50),"-",VLOOKUP($A343,'SegEnds_NonXtal_BW#'!$A:$Z,15,FALSE)+VLOOKUP($A343,A:AL,22,FALSE)-50)</f>
        <v>648</v>
      </c>
      <c r="V343" s="3">
        <v>660</v>
      </c>
      <c r="W343" s="3">
        <f>IF(ISERROR(VLOOKUP($A343,'SegEnds_NonXtal_BW#'!$A:$Z,16,FALSE)+VLOOKUP($A343,A:AL,22,FALSE)-50),"-",(VLOOKUP($A343,'SegEnds_NonXtal_BW#'!$A:$Z,16,FALSE)+VLOOKUP($A343,A:AL,22,FALSE)-50))</f>
        <v>678</v>
      </c>
      <c r="X343" s="3">
        <f>IF(ISERROR(VLOOKUP($A343,'SegEnds_NonXtal_BW#'!$A:$Z,17,FALSE)+VLOOKUP($A343,A:AL,25,FALSE)-50),"-",(VLOOKUP($A343,'SegEnds_NonXtal_BW#'!$A:$Z,17,FALSE)+VLOOKUP($A343,A:AL,25,FALSE)-50))</f>
        <v>684</v>
      </c>
      <c r="Y343" s="3">
        <v>684</v>
      </c>
      <c r="Z343" s="3">
        <f t="shared" si="179"/>
        <v>686</v>
      </c>
      <c r="AA343" s="3">
        <f>IF(ISERROR(VLOOKUP($A343,'SegEnds_NonXtal_BW#'!$A:$Z,19,FALSE)+VLOOKUP($A343,A:AL,28,FALSE)-50),"-",(VLOOKUP($A343,'SegEnds_NonXtal_BW#'!$A:$Z,19,FALSE)+VLOOKUP($A343,A:AL,28,FALSE)-50))</f>
        <v>689</v>
      </c>
      <c r="AB343" s="3">
        <v>703</v>
      </c>
      <c r="AC343" s="3">
        <f>IF(ISERROR((VLOOKUP($A343,'SegEnds_NonXtal_BW#'!$A:$Z,20,FALSE)+VLOOKUP($A343,A:AL,28,FALSE)-50)),"-",(VLOOKUP($A343,'SegEnds_NonXtal_BW#'!$A:$Z,20,FALSE)+VLOOKUP($A343,A:AL,28,FALSE)-50))</f>
        <v>722</v>
      </c>
      <c r="AD343" s="3">
        <f>IF(ISERROR(VLOOKUP($A343,'SegEnds_NonXtal_BW#'!$A:$Z,21,FALSE)+VLOOKUP($A343,A:AL,31,FALSE)-50),"-",(VLOOKUP($A343,'SegEnds_NonXtal_BW#'!$A:$Z,21,FALSE)+VLOOKUP($A343,A:AL,31,FALSE)-50))</f>
        <v>734</v>
      </c>
      <c r="AE343" s="3">
        <v>755</v>
      </c>
      <c r="AF343" s="3">
        <f>IF(ISERROR((VLOOKUP($A343,'SegEnds_NonXtal_BW#'!$A:$Z,22,FALSE)+VLOOKUP($A343,A:AL,31,FALSE)-50)),"-",(VLOOKUP($A343,'SegEnds_NonXtal_BW#'!$A:$Z,22,FALSE)+VLOOKUP($A343,A:AL,31,FALSE)-50))</f>
        <v>758</v>
      </c>
      <c r="AG343" s="3">
        <f>IF(ISERROR(VLOOKUP($A343,'SegEnds_NonXtal_BW#'!$A:$Z,23,FALSE)+VLOOKUP($A343,A:AL,34,FALSE)-50),"-",(VLOOKUP($A343,'SegEnds_NonXtal_BW#'!$A:$Z,23,FALSE)+VLOOKUP($A343,A:AL,34,FALSE)-50))</f>
        <v>764</v>
      </c>
      <c r="AH343" s="3">
        <v>783</v>
      </c>
      <c r="AI343" s="3">
        <f>IF(ISERROR((VLOOKUP($A343,'SegEnds_NonXtal_BW#'!$A:$Z,24,FALSE)+VLOOKUP($A343,A:AL,34,FALSE)-50)),"-",(VLOOKUP($A343,'SegEnds_NonXtal_BW#'!$A:$Z,24,FALSE)+VLOOKUP($A343,A:AL,34,FALSE)-50))</f>
        <v>789</v>
      </c>
      <c r="AJ343" s="3">
        <f>IF(ISERROR(VLOOKUP($A343,'SegEnds_NonXtal_BW#'!$A:$Z,25,FALSE)+VLOOKUP($A343,A:AL,37,FALSE)-50),"-",(VLOOKUP($A343,'SegEnds_NonXtal_BW#'!$A:$Z,25,FALSE)+VLOOKUP($A343,A:AL,37,FALSE)-50))</f>
        <v>790</v>
      </c>
      <c r="AK343" s="3">
        <v>793</v>
      </c>
      <c r="AL343" s="3">
        <f>IF(ISERROR((VLOOKUP($A343,'SegEnds_NonXtal_BW#'!$A:$Z,26,FALSE)+VLOOKUP($A343,A:AL,37,FALSE)-50)),"-",(VLOOKUP($A343,'SegEnds_NonXtal_BW#'!$A:$Z,26,FALSE)+VLOOKUP($A343,A:AL,37,FALSE)-50))</f>
        <v>806</v>
      </c>
      <c r="AM343" s="28" t="str">
        <f>VLOOKUP(A343,Classification!A:B,2,FALSE)</f>
        <v>B2</v>
      </c>
      <c r="AN343" s="28" t="b">
        <f t="shared" si="195"/>
        <v>1</v>
      </c>
      <c r="AO343" s="3" t="str">
        <f>IF(ISERROR(MATCH(A343,'SegEnds_Xtal_Prot#'!B:B, 0)), "NoXtal", "Xtal")</f>
        <v>NoXtal</v>
      </c>
      <c r="AP343" s="3" t="str">
        <f t="shared" si="180"/>
        <v>-</v>
      </c>
      <c r="AQ343" s="3" t="str">
        <f t="shared" si="181"/>
        <v>-</v>
      </c>
      <c r="AR343" s="3" t="str">
        <f t="shared" si="182"/>
        <v>-</v>
      </c>
      <c r="AS343" s="3" t="str">
        <f t="shared" si="183"/>
        <v>-</v>
      </c>
      <c r="AT343" s="3" t="str">
        <f t="shared" si="184"/>
        <v>-</v>
      </c>
      <c r="AU343" s="3" t="str">
        <f t="shared" si="185"/>
        <v>-</v>
      </c>
      <c r="AV343" s="3">
        <f t="shared" si="186"/>
        <v>6</v>
      </c>
      <c r="AW343" s="3">
        <f t="shared" si="187"/>
        <v>3</v>
      </c>
      <c r="AX343" s="3">
        <f t="shared" si="188"/>
        <v>12</v>
      </c>
      <c r="AY343" s="3">
        <f t="shared" si="189"/>
        <v>6</v>
      </c>
      <c r="AZ343" s="3">
        <f t="shared" si="190"/>
        <v>1</v>
      </c>
      <c r="BA343" s="3">
        <f>IF(ISERROR(LEN(VLOOKUP(A343,Seqs!A:E,2,FALSE))-AL343),"-",LEN(VLOOKUP(A343,Seqs!A:E,2,FALSE))-AL343)</f>
        <v>29</v>
      </c>
      <c r="BB343" s="16">
        <f t="shared" si="191"/>
        <v>28</v>
      </c>
      <c r="BC343" s="9" t="str">
        <f t="shared" si="192"/>
        <v>-</v>
      </c>
      <c r="BD343" s="3">
        <f t="shared" si="193"/>
        <v>28</v>
      </c>
      <c r="BE343" s="3">
        <f t="shared" si="194"/>
        <v>52</v>
      </c>
      <c r="BF343" s="3">
        <f>AH343-AE343</f>
        <v>28</v>
      </c>
    </row>
    <row r="344" spans="1:58" s="3" customFormat="1" x14ac:dyDescent="0.2">
      <c r="A344" s="3" t="s">
        <v>418</v>
      </c>
      <c r="B344" s="3" t="str">
        <f>LOWER(VLOOKUP(A344,Xtal_Templ!A:B,2,FALSE))</f>
        <v>pth1r_human</v>
      </c>
      <c r="C344" s="3">
        <f>VLOOKUP($A344,'SegEnds_NonXtal_BW#'!$A:$Z,3,FALSE)+D344-50</f>
        <v>2456</v>
      </c>
      <c r="D344" s="3">
        <v>2483</v>
      </c>
      <c r="E344" s="3">
        <f>IF(ISERROR(VLOOKUP($A344,'SegEnds_NonXtal_BW#'!$A:$Z,4,FALSE)+VLOOKUP($A344,A:AL,4,FALSE)-50),"-",(VLOOKUP($A344,'SegEnds_NonXtal_BW#'!$A:$Z,4,FALSE)+VLOOKUP($A344,A:AL,4,FALSE)-50))</f>
        <v>2493</v>
      </c>
      <c r="F344" s="3">
        <f>G344-2</f>
        <v>2494</v>
      </c>
      <c r="G344" s="3">
        <v>2496</v>
      </c>
      <c r="H344" s="3">
        <f t="shared" ref="H344:I346" si="196">G344+1</f>
        <v>2497</v>
      </c>
      <c r="I344" s="3">
        <f t="shared" si="196"/>
        <v>2498</v>
      </c>
      <c r="J344" s="3">
        <v>2511</v>
      </c>
      <c r="K344" s="3">
        <f>VLOOKUP($A344,'SegEnds_NonXtal_BW#'!$A:$Z,8,FALSE)+VLOOKUP($A344,A:AL,10,FALSE)-50</f>
        <v>2524</v>
      </c>
      <c r="L344" s="3" t="str">
        <f>IF(ISERROR(VLOOKUP($A344,'SegEnds_NonXtal_BW#'!$A:$Z,9,FALSE)+VLOOKUP($A344,A:AL,13,FALSE)-50),"-",(VLOOKUP($A344,'SegEnds_NonXtal_BW#'!$A:$Z,9,FALSE)+VLOOKUP($A344,A:AL,13,FALSE)-50))</f>
        <v>-</v>
      </c>
      <c r="M344" s="3" t="s">
        <v>23</v>
      </c>
      <c r="N344" s="3" t="str">
        <f>IF(ISERROR(VLOOKUP($A344,'SegEnds_NonXtal_BW#'!$A:$Z,10,FALSE)+VLOOKUP($A344,A:AL,13,FALSE)-50),"-",(VLOOKUP($A344,'SegEnds_NonXtal_BW#'!$A:$Z,10,FALSE)+VLOOKUP($A344,A:AL,13,FALSE)-50))</f>
        <v>-</v>
      </c>
      <c r="O344" s="3">
        <f>VLOOKUP($A344,'SegEnds_NonXtal_BW#'!$A:$Z,11,FALSE)+VLOOKUP($A344,A:AL,16,FALSE)-50</f>
        <v>2529</v>
      </c>
      <c r="P344" s="3">
        <v>2556</v>
      </c>
      <c r="Q344" s="3">
        <f>VLOOKUP($A344,'SegEnds_NonXtal_BW#'!$A:$Z,12,FALSE)+VLOOKUP($A344,A:AL,16,FALSE)-50</f>
        <v>2562</v>
      </c>
      <c r="R344" s="3" t="str">
        <f>IF(ISERROR(VLOOKUP($A344,'SegEnds_NonXtal_BW#'!$A:$Z,13,FALSE)+VLOOKUP($A344,A:AL,19,FALSE)-50),"-",VLOOKUP($A344,'SegEnds_NonXtal_BW#'!$A:$Z,13,FALSE)+VLOOKUP($A344,A:AL,19,FALSE)-50)</f>
        <v>-</v>
      </c>
      <c r="S344" s="3" t="s">
        <v>23</v>
      </c>
      <c r="T344" s="100" t="str">
        <f>IF(ISERROR(VLOOKUP($A344,'SegEnds_NonXtal_BW#'!$A:$Z,14,FALSE)+VLOOKUP($A344,A:AL,19,FALSE)-50),"-",(VLOOKUP($A344,'SegEnds_NonXtal_BW#'!$A:$Z,14,FALSE)+VLOOKUP($A344,A:AL,19,FALSE)-50))</f>
        <v>-</v>
      </c>
      <c r="U344" s="9">
        <f>IF(ISERROR(VLOOKUP($A344,'SegEnds_NonXtal_BW#'!$A:$Z,15,FALSE)+VLOOKUP($A344,A:AL,22,FALSE)-50),"-",VLOOKUP($A344,'SegEnds_NonXtal_BW#'!$A:$Z,15,FALSE)+VLOOKUP($A344,A:AL,22,FALSE)-50)</f>
        <v>2566</v>
      </c>
      <c r="V344" s="3">
        <v>2579</v>
      </c>
      <c r="W344" s="3">
        <f>IF(ISERROR(VLOOKUP($A344,'SegEnds_NonXtal_BW#'!$A:$Z,16,FALSE)+VLOOKUP($A344,A:AL,22,FALSE)-50),"-",(VLOOKUP($A344,'SegEnds_NonXtal_BW#'!$A:$Z,16,FALSE)+VLOOKUP($A344,A:AL,22,FALSE)-50))</f>
        <v>2597</v>
      </c>
      <c r="X344" s="3">
        <f>IF(ISERROR(VLOOKUP($A344,'SegEnds_NonXtal_BW#'!$A:$Z,17,FALSE)+VLOOKUP($A344,A:AL,25,FALSE)-50),"-",(VLOOKUP($A344,'SegEnds_NonXtal_BW#'!$A:$Z,17,FALSE)+VLOOKUP($A344,A:AL,25,FALSE)-50))</f>
        <v>2603</v>
      </c>
      <c r="Y344" s="3">
        <v>2603</v>
      </c>
      <c r="Z344" s="3">
        <f t="shared" si="179"/>
        <v>2605</v>
      </c>
      <c r="AA344" s="3">
        <f>IF(ISERROR(VLOOKUP($A344,'SegEnds_NonXtal_BW#'!$A:$Z,19,FALSE)+VLOOKUP($A344,A:AL,28,FALSE)-50),"-",(VLOOKUP($A344,'SegEnds_NonXtal_BW#'!$A:$Z,19,FALSE)+VLOOKUP($A344,A:AL,28,FALSE)-50))</f>
        <v>2608</v>
      </c>
      <c r="AB344" s="3">
        <v>2622</v>
      </c>
      <c r="AC344" s="3">
        <f>IF(ISERROR((VLOOKUP($A344,'SegEnds_NonXtal_BW#'!$A:$Z,20,FALSE)+VLOOKUP($A344,A:AL,28,FALSE)-50)),"-",(VLOOKUP($A344,'SegEnds_NonXtal_BW#'!$A:$Z,20,FALSE)+VLOOKUP($A344,A:AL,28,FALSE)-50))</f>
        <v>2641</v>
      </c>
      <c r="AD344" s="3">
        <f>IF(ISERROR(VLOOKUP($A344,'SegEnds_NonXtal_BW#'!$A:$Z,21,FALSE)+VLOOKUP($A344,A:AL,31,FALSE)-50),"-",(VLOOKUP($A344,'SegEnds_NonXtal_BW#'!$A:$Z,21,FALSE)+VLOOKUP($A344,A:AL,31,FALSE)-50))</f>
        <v>2649</v>
      </c>
      <c r="AE344" s="3">
        <v>2670</v>
      </c>
      <c r="AF344" s="3">
        <f>IF(ISERROR((VLOOKUP($A344,'SegEnds_NonXtal_BW#'!$A:$Z,22,FALSE)+VLOOKUP($A344,A:AL,31,FALSE)-50)),"-",(VLOOKUP($A344,'SegEnds_NonXtal_BW#'!$A:$Z,22,FALSE)+VLOOKUP($A344,A:AL,31,FALSE)-50))</f>
        <v>2674</v>
      </c>
      <c r="AG344" s="3">
        <f>IF(ISERROR(VLOOKUP($A344,'SegEnds_NonXtal_BW#'!$A:$Z,23,FALSE)+VLOOKUP($A344,A:AL,34,FALSE)-50),"-",(VLOOKUP($A344,'SegEnds_NonXtal_BW#'!$A:$Z,23,FALSE)+VLOOKUP($A344,A:AL,34,FALSE)-50))</f>
        <v>2679</v>
      </c>
      <c r="AH344" s="3">
        <v>2698</v>
      </c>
      <c r="AI344" s="3">
        <f>IF(ISERROR((VLOOKUP($A344,'SegEnds_NonXtal_BW#'!$A:$Z,24,FALSE)+VLOOKUP($A344,A:AL,34,FALSE)-50)),"-",(VLOOKUP($A344,'SegEnds_NonXtal_BW#'!$A:$Z,24,FALSE)+VLOOKUP($A344,A:AL,34,FALSE)-50))</f>
        <v>2704</v>
      </c>
      <c r="AJ344" s="3">
        <f>IF(ISERROR(VLOOKUP($A344,'SegEnds_NonXtal_BW#'!$A:$Z,25,FALSE)+VLOOKUP($A344,A:AL,37,FALSE)-50),"-",(VLOOKUP($A344,'SegEnds_NonXtal_BW#'!$A:$Z,25,FALSE)+VLOOKUP($A344,A:AL,37,FALSE)-50))</f>
        <v>2705</v>
      </c>
      <c r="AK344" s="3">
        <v>2708</v>
      </c>
      <c r="AL344" s="3">
        <f>IF(ISERROR((VLOOKUP($A344,'SegEnds_NonXtal_BW#'!$A:$Z,26,FALSE)+VLOOKUP($A344,A:AL,37,FALSE)-50)),"-",(VLOOKUP($A344,'SegEnds_NonXtal_BW#'!$A:$Z,26,FALSE)+VLOOKUP($A344,A:AL,37,FALSE)-50))</f>
        <v>2721</v>
      </c>
      <c r="AM344" s="28" t="str">
        <f>VLOOKUP(A344,Classification!A:B,2,FALSE)</f>
        <v>B2</v>
      </c>
      <c r="AN344" s="28" t="b">
        <f t="shared" si="195"/>
        <v>1</v>
      </c>
      <c r="AO344" s="3" t="str">
        <f>IF(ISERROR(MATCH(A344,'SegEnds_Xtal_Prot#'!B:B, 0)), "NoXtal", "Xtal")</f>
        <v>NoXtal</v>
      </c>
      <c r="AP344" s="3">
        <f t="shared" si="180"/>
        <v>1</v>
      </c>
      <c r="AQ344" s="3">
        <f t="shared" si="181"/>
        <v>1</v>
      </c>
      <c r="AR344" s="3" t="str">
        <f t="shared" si="182"/>
        <v>-</v>
      </c>
      <c r="AS344" s="3" t="str">
        <f t="shared" si="183"/>
        <v>-</v>
      </c>
      <c r="AT344" s="3" t="str">
        <f t="shared" si="184"/>
        <v>-</v>
      </c>
      <c r="AU344" s="3" t="str">
        <f t="shared" si="185"/>
        <v>-</v>
      </c>
      <c r="AV344" s="3">
        <f t="shared" si="186"/>
        <v>6</v>
      </c>
      <c r="AW344" s="3">
        <f t="shared" si="187"/>
        <v>3</v>
      </c>
      <c r="AX344" s="3">
        <f t="shared" si="188"/>
        <v>8</v>
      </c>
      <c r="AY344" s="3">
        <f t="shared" si="189"/>
        <v>5</v>
      </c>
      <c r="AZ344" s="3">
        <f t="shared" si="190"/>
        <v>1</v>
      </c>
      <c r="BA344" s="3">
        <f>IF(ISERROR(LEN(VLOOKUP(A344,Seqs!A:E,2,FALSE))-AL344),"-",LEN(VLOOKUP(A344,Seqs!A:E,2,FALSE))-AL344)</f>
        <v>293</v>
      </c>
      <c r="BB344" s="16">
        <f t="shared" si="191"/>
        <v>28</v>
      </c>
      <c r="BC344" s="9" t="str">
        <f t="shared" si="192"/>
        <v>-</v>
      </c>
      <c r="BD344" s="3">
        <f t="shared" si="193"/>
        <v>28</v>
      </c>
      <c r="BE344" s="3">
        <f t="shared" si="194"/>
        <v>48</v>
      </c>
    </row>
    <row r="345" spans="1:58" s="3" customFormat="1" x14ac:dyDescent="0.2">
      <c r="A345" s="3" t="s">
        <v>419</v>
      </c>
      <c r="B345" s="3" t="str">
        <f>LOWER(VLOOKUP(A345,Xtal_Templ!A:B,2,FALSE))</f>
        <v>calrl_human</v>
      </c>
      <c r="C345" s="3">
        <f>VLOOKUP($A345,'SegEnds_NonXtal_BW#'!$A:$Z,3,FALSE)+D345-50</f>
        <v>2364</v>
      </c>
      <c r="D345" s="3">
        <v>2391</v>
      </c>
      <c r="E345" s="3">
        <f>IF(ISERROR(VLOOKUP($A345,'SegEnds_NonXtal_BW#'!$A:$Z,4,FALSE)+VLOOKUP($A345,A:AL,4,FALSE)-50),"-",(VLOOKUP($A345,'SegEnds_NonXtal_BW#'!$A:$Z,4,FALSE)+VLOOKUP($A345,A:AL,4,FALSE)-50))</f>
        <v>2401</v>
      </c>
      <c r="F345" s="3">
        <f>G345-2</f>
        <v>2402</v>
      </c>
      <c r="G345" s="3">
        <v>2404</v>
      </c>
      <c r="H345" s="3">
        <f t="shared" si="196"/>
        <v>2405</v>
      </c>
      <c r="I345" s="3">
        <f t="shared" si="196"/>
        <v>2406</v>
      </c>
      <c r="J345" s="3">
        <v>2419</v>
      </c>
      <c r="K345" s="3">
        <f>VLOOKUP($A345,'SegEnds_NonXtal_BW#'!$A:$Z,8,FALSE)+VLOOKUP($A345,A:AL,10,FALSE)-50</f>
        <v>2432</v>
      </c>
      <c r="L345" s="3" t="str">
        <f>IF(ISERROR(VLOOKUP($A345,'SegEnds_NonXtal_BW#'!$A:$Z,9,FALSE)+VLOOKUP($A345,A:AL,13,FALSE)-50),"-",(VLOOKUP($A345,'SegEnds_NonXtal_BW#'!$A:$Z,9,FALSE)+VLOOKUP($A345,A:AL,13,FALSE)-50))</f>
        <v>-</v>
      </c>
      <c r="M345" s="3" t="s">
        <v>23</v>
      </c>
      <c r="N345" s="3" t="str">
        <f>IF(ISERROR(VLOOKUP($A345,'SegEnds_NonXtal_BW#'!$A:$Z,10,FALSE)+VLOOKUP($A345,A:AL,13,FALSE)-50),"-",(VLOOKUP($A345,'SegEnds_NonXtal_BW#'!$A:$Z,10,FALSE)+VLOOKUP($A345,A:AL,13,FALSE)-50))</f>
        <v>-</v>
      </c>
      <c r="O345" s="3">
        <f>VLOOKUP($A345,'SegEnds_NonXtal_BW#'!$A:$Z,11,FALSE)+VLOOKUP($A345,A:AL,16,FALSE)-50</f>
        <v>2437</v>
      </c>
      <c r="P345" s="3">
        <v>2464</v>
      </c>
      <c r="Q345" s="3">
        <f>VLOOKUP($A345,'SegEnds_NonXtal_BW#'!$A:$Z,12,FALSE)+VLOOKUP($A345,A:AL,16,FALSE)-50</f>
        <v>2470</v>
      </c>
      <c r="R345" s="3" t="str">
        <f>IF(ISERROR(VLOOKUP($A345,'SegEnds_NonXtal_BW#'!$A:$Z,13,FALSE)+VLOOKUP($A345,A:AL,19,FALSE)-50),"-",VLOOKUP($A345,'SegEnds_NonXtal_BW#'!$A:$Z,13,FALSE)+VLOOKUP($A345,A:AL,19,FALSE)-50)</f>
        <v>-</v>
      </c>
      <c r="S345" s="3" t="s">
        <v>23</v>
      </c>
      <c r="T345" s="100" t="str">
        <f>IF(ISERROR(VLOOKUP($A345,'SegEnds_NonXtal_BW#'!$A:$Z,14,FALSE)+VLOOKUP($A345,A:AL,19,FALSE)-50),"-",(VLOOKUP($A345,'SegEnds_NonXtal_BW#'!$A:$Z,14,FALSE)+VLOOKUP($A345,A:AL,19,FALSE)-50))</f>
        <v>-</v>
      </c>
      <c r="U345" s="9">
        <f>IF(ISERROR(VLOOKUP($A345,'SegEnds_NonXtal_BW#'!$A:$Z,15,FALSE)+VLOOKUP($A345,A:AL,22,FALSE)-50),"-",VLOOKUP($A345,'SegEnds_NonXtal_BW#'!$A:$Z,15,FALSE)+VLOOKUP($A345,A:AL,22,FALSE)-50)</f>
        <v>2478</v>
      </c>
      <c r="V345" s="3">
        <v>2487</v>
      </c>
      <c r="W345" s="3">
        <f>IF(ISERROR(VLOOKUP($A345,'SegEnds_NonXtal_BW#'!$A:$Z,16,FALSE)+VLOOKUP($A345,A:AL,22,FALSE)-50),"-",(VLOOKUP($A345,'SegEnds_NonXtal_BW#'!$A:$Z,16,FALSE)+VLOOKUP($A345,A:AL,22,FALSE)-50))</f>
        <v>2504</v>
      </c>
      <c r="X345" s="3">
        <f>IF(ISERROR(VLOOKUP($A345,'SegEnds_NonXtal_BW#'!$A:$Z,17,FALSE)+VLOOKUP($A345,A:AL,25,FALSE)-50),"-",(VLOOKUP($A345,'SegEnds_NonXtal_BW#'!$A:$Z,17,FALSE)+VLOOKUP($A345,A:AL,25,FALSE)-50))</f>
        <v>2511</v>
      </c>
      <c r="Y345" s="3">
        <v>2511</v>
      </c>
      <c r="Z345" s="3">
        <f t="shared" si="179"/>
        <v>2513</v>
      </c>
      <c r="AA345" s="3">
        <f>IF(ISERROR(VLOOKUP($A345,'SegEnds_NonXtal_BW#'!$A:$Z,19,FALSE)+VLOOKUP($A345,A:AL,28,FALSE)-50),"-",(VLOOKUP($A345,'SegEnds_NonXtal_BW#'!$A:$Z,19,FALSE)+VLOOKUP($A345,A:AL,28,FALSE)-50))</f>
        <v>2516</v>
      </c>
      <c r="AB345" s="3">
        <v>2530</v>
      </c>
      <c r="AC345" s="3">
        <f>IF(ISERROR((VLOOKUP($A345,'SegEnds_NonXtal_BW#'!$A:$Z,20,FALSE)+VLOOKUP($A345,A:AL,28,FALSE)-50)),"-",(VLOOKUP($A345,'SegEnds_NonXtal_BW#'!$A:$Z,20,FALSE)+VLOOKUP($A345,A:AL,28,FALSE)-50))</f>
        <v>2549</v>
      </c>
      <c r="AD345" s="3">
        <f>IF(ISERROR(VLOOKUP($A345,'SegEnds_NonXtal_BW#'!$A:$Z,21,FALSE)+VLOOKUP($A345,A:AL,31,FALSE)-50),"-",(VLOOKUP($A345,'SegEnds_NonXtal_BW#'!$A:$Z,21,FALSE)+VLOOKUP($A345,A:AL,31,FALSE)-50))</f>
        <v>2557</v>
      </c>
      <c r="AE345" s="3">
        <v>2578</v>
      </c>
      <c r="AF345" s="3">
        <f>IF(ISERROR((VLOOKUP($A345,'SegEnds_NonXtal_BW#'!$A:$Z,22,FALSE)+VLOOKUP($A345,A:AL,31,FALSE)-50)),"-",(VLOOKUP($A345,'SegEnds_NonXtal_BW#'!$A:$Z,22,FALSE)+VLOOKUP($A345,A:AL,31,FALSE)-50))</f>
        <v>2581</v>
      </c>
      <c r="AG345" s="3">
        <f>IF(ISERROR(VLOOKUP($A345,'SegEnds_NonXtal_BW#'!$A:$Z,23,FALSE)+VLOOKUP($A345,A:AL,34,FALSE)-50),"-",(VLOOKUP($A345,'SegEnds_NonXtal_BW#'!$A:$Z,23,FALSE)+VLOOKUP($A345,A:AL,34,FALSE)-50))</f>
        <v>2587</v>
      </c>
      <c r="AH345" s="3">
        <v>2606</v>
      </c>
      <c r="AI345" s="3">
        <f>IF(ISERROR((VLOOKUP($A345,'SegEnds_NonXtal_BW#'!$A:$Z,24,FALSE)+VLOOKUP($A345,A:AL,34,FALSE)-50)),"-",(VLOOKUP($A345,'SegEnds_NonXtal_BW#'!$A:$Z,24,FALSE)+VLOOKUP($A345,A:AL,34,FALSE)-50))</f>
        <v>2612</v>
      </c>
      <c r="AJ345" s="3">
        <f>IF(ISERROR(VLOOKUP($A345,'SegEnds_NonXtal_BW#'!$A:$Z,25,FALSE)+VLOOKUP($A345,A:AL,37,FALSE)-50),"-",(VLOOKUP($A345,'SegEnds_NonXtal_BW#'!$A:$Z,25,FALSE)+VLOOKUP($A345,A:AL,37,FALSE)-50))</f>
        <v>2613</v>
      </c>
      <c r="AK345" s="3">
        <v>2616</v>
      </c>
      <c r="AL345" s="3">
        <f>IF(ISERROR((VLOOKUP($A345,'SegEnds_NonXtal_BW#'!$A:$Z,26,FALSE)+VLOOKUP($A345,A:AL,37,FALSE)-50)),"-",(VLOOKUP($A345,'SegEnds_NonXtal_BW#'!$A:$Z,26,FALSE)+VLOOKUP($A345,A:AL,37,FALSE)-50))</f>
        <v>2629</v>
      </c>
      <c r="AM345" s="28" t="str">
        <f>VLOOKUP(A345,Classification!A:B,2,FALSE)</f>
        <v>B2</v>
      </c>
      <c r="AN345" s="28" t="b">
        <f t="shared" si="195"/>
        <v>1</v>
      </c>
      <c r="AO345" s="3" t="str">
        <f>IF(ISERROR(MATCH(A345,'SegEnds_Xtal_Prot#'!B:B, 0)), "NoXtal", "Xtal")</f>
        <v>NoXtal</v>
      </c>
      <c r="AP345" s="3">
        <f t="shared" si="180"/>
        <v>1</v>
      </c>
      <c r="AQ345" s="3">
        <f t="shared" si="181"/>
        <v>1</v>
      </c>
      <c r="AR345" s="3" t="str">
        <f t="shared" si="182"/>
        <v>-</v>
      </c>
      <c r="AS345" s="3" t="str">
        <f t="shared" si="183"/>
        <v>-</v>
      </c>
      <c r="AT345" s="3" t="str">
        <f t="shared" si="184"/>
        <v>-</v>
      </c>
      <c r="AU345" s="3" t="str">
        <f t="shared" si="185"/>
        <v>-</v>
      </c>
      <c r="AV345" s="3">
        <f t="shared" si="186"/>
        <v>7</v>
      </c>
      <c r="AW345" s="3">
        <f t="shared" si="187"/>
        <v>3</v>
      </c>
      <c r="AX345" s="3">
        <f t="shared" si="188"/>
        <v>8</v>
      </c>
      <c r="AY345" s="3">
        <f t="shared" si="189"/>
        <v>6</v>
      </c>
      <c r="AZ345" s="3">
        <f t="shared" si="190"/>
        <v>1</v>
      </c>
      <c r="BA345" s="3">
        <f>IF(ISERROR(LEN(VLOOKUP(A345,Seqs!A:E,2,FALSE))-AL345),"-",LEN(VLOOKUP(A345,Seqs!A:E,2,FALSE))-AL345)</f>
        <v>294</v>
      </c>
      <c r="BB345" s="16">
        <f t="shared" si="191"/>
        <v>28</v>
      </c>
      <c r="BC345" s="9" t="str">
        <f t="shared" si="192"/>
        <v>-</v>
      </c>
      <c r="BD345" s="3">
        <f t="shared" si="193"/>
        <v>28</v>
      </c>
      <c r="BE345" s="3">
        <f t="shared" si="194"/>
        <v>48</v>
      </c>
    </row>
    <row r="346" spans="1:58" s="3" customFormat="1" x14ac:dyDescent="0.2">
      <c r="A346" s="3" t="s">
        <v>420</v>
      </c>
      <c r="B346" s="3" t="str">
        <f>LOWER(VLOOKUP(A346,Xtal_Templ!A:B,2,FALSE))</f>
        <v>crfr1_human</v>
      </c>
      <c r="C346" s="3">
        <f>VLOOKUP($A346,'SegEnds_NonXtal_BW#'!$A:$Z,3,FALSE)+D346-50</f>
        <v>2527</v>
      </c>
      <c r="D346" s="3">
        <v>2554</v>
      </c>
      <c r="E346" s="3">
        <f>IF(ISERROR(VLOOKUP($A346,'SegEnds_NonXtal_BW#'!$A:$Z,4,FALSE)+VLOOKUP($A346,A:AL,4,FALSE)-50),"-",(VLOOKUP($A346,'SegEnds_NonXtal_BW#'!$A:$Z,4,FALSE)+VLOOKUP($A346,A:AL,4,FALSE)-50))</f>
        <v>2564</v>
      </c>
      <c r="F346" s="3">
        <f>G346-2</f>
        <v>2565</v>
      </c>
      <c r="G346" s="3">
        <v>2567</v>
      </c>
      <c r="H346" s="3">
        <f t="shared" si="196"/>
        <v>2568</v>
      </c>
      <c r="I346" s="3">
        <f t="shared" si="196"/>
        <v>2569</v>
      </c>
      <c r="J346" s="3">
        <v>2582</v>
      </c>
      <c r="K346" s="3">
        <f>VLOOKUP($A346,'SegEnds_NonXtal_BW#'!$A:$Z,8,FALSE)+VLOOKUP($A346,A:AL,10,FALSE)-50</f>
        <v>2595</v>
      </c>
      <c r="L346" s="3" t="str">
        <f>IF(ISERROR(VLOOKUP($A346,'SegEnds_NonXtal_BW#'!$A:$Z,9,FALSE)+VLOOKUP($A346,A:AL,13,FALSE)-50),"-",(VLOOKUP($A346,'SegEnds_NonXtal_BW#'!$A:$Z,9,FALSE)+VLOOKUP($A346,A:AL,13,FALSE)-50))</f>
        <v>-</v>
      </c>
      <c r="M346" s="3" t="s">
        <v>23</v>
      </c>
      <c r="N346" s="3" t="str">
        <f>IF(ISERROR(VLOOKUP($A346,'SegEnds_NonXtal_BW#'!$A:$Z,10,FALSE)+VLOOKUP($A346,A:AL,13,FALSE)-50),"-",(VLOOKUP($A346,'SegEnds_NonXtal_BW#'!$A:$Z,10,FALSE)+VLOOKUP($A346,A:AL,13,FALSE)-50))</f>
        <v>-</v>
      </c>
      <c r="O346" s="3">
        <f>VLOOKUP($A346,'SegEnds_NonXtal_BW#'!$A:$Z,11,FALSE)+VLOOKUP($A346,A:AL,16,FALSE)-50</f>
        <v>2600</v>
      </c>
      <c r="P346" s="3">
        <v>2627</v>
      </c>
      <c r="Q346" s="3">
        <f>VLOOKUP($A346,'SegEnds_NonXtal_BW#'!$A:$Z,12,FALSE)+VLOOKUP($A346,A:AL,16,FALSE)-50</f>
        <v>2633</v>
      </c>
      <c r="R346" s="3" t="str">
        <f>IF(ISERROR(VLOOKUP($A346,'SegEnds_NonXtal_BW#'!$A:$Z,13,FALSE)+VLOOKUP($A346,A:AL,19,FALSE)-50),"-",VLOOKUP($A346,'SegEnds_NonXtal_BW#'!$A:$Z,13,FALSE)+VLOOKUP($A346,A:AL,19,FALSE)-50)</f>
        <v>-</v>
      </c>
      <c r="S346" s="3" t="s">
        <v>23</v>
      </c>
      <c r="T346" s="100" t="str">
        <f>IF(ISERROR(VLOOKUP($A346,'SegEnds_NonXtal_BW#'!$A:$Z,14,FALSE)+VLOOKUP($A346,A:AL,19,FALSE)-50),"-",(VLOOKUP($A346,'SegEnds_NonXtal_BW#'!$A:$Z,14,FALSE)+VLOOKUP($A346,A:AL,19,FALSE)-50))</f>
        <v>-</v>
      </c>
      <c r="U346" s="9">
        <f>IF(ISERROR(VLOOKUP($A346,'SegEnds_NonXtal_BW#'!$A:$Z,15,FALSE)+VLOOKUP($A346,A:AL,22,FALSE)-50),"-",VLOOKUP($A346,'SegEnds_NonXtal_BW#'!$A:$Z,15,FALSE)+VLOOKUP($A346,A:AL,22,FALSE)-50)</f>
        <v>2640</v>
      </c>
      <c r="V346" s="3">
        <v>2650</v>
      </c>
      <c r="W346" s="3">
        <f>IF(ISERROR(VLOOKUP($A346,'SegEnds_NonXtal_BW#'!$A:$Z,16,FALSE)+VLOOKUP($A346,A:AL,22,FALSE)-50),"-",(VLOOKUP($A346,'SegEnds_NonXtal_BW#'!$A:$Z,16,FALSE)+VLOOKUP($A346,A:AL,22,FALSE)-50))</f>
        <v>2668</v>
      </c>
      <c r="X346" s="3">
        <f>IF(ISERROR(VLOOKUP($A346,'SegEnds_NonXtal_BW#'!$A:$Z,17,FALSE)+VLOOKUP($A346,A:AL,25,FALSE)-50),"-",(VLOOKUP($A346,'SegEnds_NonXtal_BW#'!$A:$Z,17,FALSE)+VLOOKUP($A346,A:AL,25,FALSE)-50))</f>
        <v>2674</v>
      </c>
      <c r="Y346" s="3">
        <v>2674</v>
      </c>
      <c r="Z346" s="3">
        <f t="shared" si="179"/>
        <v>2676</v>
      </c>
      <c r="AA346" s="3">
        <f>IF(ISERROR(VLOOKUP($A346,'SegEnds_NonXtal_BW#'!$A:$Z,19,FALSE)+VLOOKUP($A346,A:AL,28,FALSE)-50),"-",(VLOOKUP($A346,'SegEnds_NonXtal_BW#'!$A:$Z,19,FALSE)+VLOOKUP($A346,A:AL,28,FALSE)-50))</f>
        <v>2679</v>
      </c>
      <c r="AB346" s="3">
        <v>2693</v>
      </c>
      <c r="AC346" s="3">
        <f>IF(ISERROR((VLOOKUP($A346,'SegEnds_NonXtal_BW#'!$A:$Z,20,FALSE)+VLOOKUP($A346,A:AL,28,FALSE)-50)),"-",(VLOOKUP($A346,'SegEnds_NonXtal_BW#'!$A:$Z,20,FALSE)+VLOOKUP($A346,A:AL,28,FALSE)-50))</f>
        <v>2712</v>
      </c>
      <c r="AD346" s="3">
        <f>IF(ISERROR(VLOOKUP($A346,'SegEnds_NonXtal_BW#'!$A:$Z,21,FALSE)+VLOOKUP($A346,A:AL,31,FALSE)-50),"-",(VLOOKUP($A346,'SegEnds_NonXtal_BW#'!$A:$Z,21,FALSE)+VLOOKUP($A346,A:AL,31,FALSE)-50))</f>
        <v>2719</v>
      </c>
      <c r="AE346" s="3">
        <v>2740</v>
      </c>
      <c r="AF346" s="3">
        <f>IF(ISERROR((VLOOKUP($A346,'SegEnds_NonXtal_BW#'!$A:$Z,22,FALSE)+VLOOKUP($A346,A:AL,31,FALSE)-50)),"-",(VLOOKUP($A346,'SegEnds_NonXtal_BW#'!$A:$Z,22,FALSE)+VLOOKUP($A346,A:AL,31,FALSE)-50))</f>
        <v>2743</v>
      </c>
      <c r="AG346" s="3">
        <f>IF(ISERROR(VLOOKUP($A346,'SegEnds_NonXtal_BW#'!$A:$Z,23,FALSE)+VLOOKUP($A346,A:AL,34,FALSE)-50),"-",(VLOOKUP($A346,'SegEnds_NonXtal_BW#'!$A:$Z,23,FALSE)+VLOOKUP($A346,A:AL,34,FALSE)-50))</f>
        <v>2749</v>
      </c>
      <c r="AH346" s="3">
        <v>2768</v>
      </c>
      <c r="AI346" s="3">
        <f>IF(ISERROR((VLOOKUP($A346,'SegEnds_NonXtal_BW#'!$A:$Z,24,FALSE)+VLOOKUP($A346,A:AL,34,FALSE)-50)),"-",(VLOOKUP($A346,'SegEnds_NonXtal_BW#'!$A:$Z,24,FALSE)+VLOOKUP($A346,A:AL,34,FALSE)-50))</f>
        <v>2774</v>
      </c>
      <c r="AJ346" s="3">
        <f>IF(ISERROR(VLOOKUP($A346,'SegEnds_NonXtal_BW#'!$A:$Z,25,FALSE)+VLOOKUP($A346,A:AL,37,FALSE)-50),"-",(VLOOKUP($A346,'SegEnds_NonXtal_BW#'!$A:$Z,25,FALSE)+VLOOKUP($A346,A:AL,37,FALSE)-50))</f>
        <v>2775</v>
      </c>
      <c r="AK346" s="3">
        <v>2778</v>
      </c>
      <c r="AL346" s="3">
        <f>IF(ISERROR((VLOOKUP($A346,'SegEnds_NonXtal_BW#'!$A:$Z,26,FALSE)+VLOOKUP($A346,A:AL,37,FALSE)-50)),"-",(VLOOKUP($A346,'SegEnds_NonXtal_BW#'!$A:$Z,26,FALSE)+VLOOKUP($A346,A:AL,37,FALSE)-50))</f>
        <v>2791</v>
      </c>
      <c r="AM346" s="28" t="str">
        <f>VLOOKUP(A346,Classification!A:B,2,FALSE)</f>
        <v>B2</v>
      </c>
      <c r="AN346" s="28" t="b">
        <f t="shared" si="195"/>
        <v>1</v>
      </c>
      <c r="AO346" s="3" t="str">
        <f>IF(ISERROR(MATCH(A346,'SegEnds_Xtal_Prot#'!B:B, 0)), "NoXtal", "Xtal")</f>
        <v>NoXtal</v>
      </c>
      <c r="AP346" s="3">
        <f t="shared" si="180"/>
        <v>1</v>
      </c>
      <c r="AQ346" s="3">
        <f t="shared" si="181"/>
        <v>1</v>
      </c>
      <c r="AR346" s="3" t="str">
        <f t="shared" si="182"/>
        <v>-</v>
      </c>
      <c r="AS346" s="3" t="str">
        <f t="shared" si="183"/>
        <v>-</v>
      </c>
      <c r="AT346" s="3" t="str">
        <f t="shared" si="184"/>
        <v>-</v>
      </c>
      <c r="AU346" s="3" t="str">
        <f t="shared" si="185"/>
        <v>-</v>
      </c>
      <c r="AV346" s="3">
        <f t="shared" si="186"/>
        <v>6</v>
      </c>
      <c r="AW346" s="3">
        <f t="shared" si="187"/>
        <v>3</v>
      </c>
      <c r="AX346" s="3">
        <f t="shared" si="188"/>
        <v>7</v>
      </c>
      <c r="AY346" s="3">
        <f t="shared" si="189"/>
        <v>6</v>
      </c>
      <c r="AZ346" s="3">
        <f t="shared" si="190"/>
        <v>1</v>
      </c>
      <c r="BA346" s="3">
        <f>IF(ISERROR(LEN(VLOOKUP(A346,Seqs!A:E,2,FALSE))-AL346),"-",LEN(VLOOKUP(A346,Seqs!A:E,2,FALSE))-AL346)</f>
        <v>521</v>
      </c>
      <c r="BB346" s="16">
        <f t="shared" si="191"/>
        <v>28</v>
      </c>
      <c r="BC346" s="9" t="str">
        <f t="shared" si="192"/>
        <v>-</v>
      </c>
      <c r="BD346" s="3">
        <f t="shared" si="193"/>
        <v>28</v>
      </c>
      <c r="BE346" s="3">
        <f t="shared" si="194"/>
        <v>47</v>
      </c>
    </row>
    <row r="347" spans="1:58" s="3" customFormat="1" x14ac:dyDescent="0.2">
      <c r="A347" s="3" t="s">
        <v>442</v>
      </c>
      <c r="B347" s="3" t="str">
        <f>LOWER(VLOOKUP(A347,Xtal_Templ!A:B,2,FALSE))</f>
        <v>crfr1_human</v>
      </c>
      <c r="C347" s="3">
        <f>VLOOKUP($A347,'SegEnds_NonXtal_BW#'!$A:$Z,3,FALSE)+D347-50</f>
        <v>5895</v>
      </c>
      <c r="D347" s="3">
        <v>5922</v>
      </c>
      <c r="E347" s="3">
        <f>IF(ISERROR(VLOOKUP($A347,'SegEnds_NonXtal_BW#'!$A:$Z,4,FALSE)+VLOOKUP($A347,A:AL,4,FALSE)-50),"-",(VLOOKUP($A347,'SegEnds_NonXtal_BW#'!$A:$Z,4,FALSE)+VLOOKUP($A347,A:AL,4,FALSE)-50))</f>
        <v>5932</v>
      </c>
      <c r="F347" s="3" t="s">
        <v>23</v>
      </c>
      <c r="G347" s="3" t="s">
        <v>23</v>
      </c>
      <c r="H347" s="3" t="s">
        <v>23</v>
      </c>
      <c r="I347" s="3">
        <f>VLOOKUP($A347,'SegEnds_NonXtal_BW#'!$A:$Z,7,FALSE)+J347-50</f>
        <v>5935</v>
      </c>
      <c r="J347" s="3">
        <v>5948</v>
      </c>
      <c r="K347" s="3">
        <f>VLOOKUP($A347,'SegEnds_NonXtal_BW#'!$A:$Z,8,FALSE)+VLOOKUP($A347,A:AL,10,FALSE)-50</f>
        <v>5961</v>
      </c>
      <c r="L347" s="3" t="str">
        <f>IF(ISERROR(VLOOKUP($A347,'SegEnds_NonXtal_BW#'!$A:$Z,9,FALSE)+VLOOKUP($A347,A:AL,13,FALSE)-50),"-",(VLOOKUP($A347,'SegEnds_NonXtal_BW#'!$A:$Z,9,FALSE)+VLOOKUP($A347,A:AL,13,FALSE)-50))</f>
        <v>-</v>
      </c>
      <c r="M347" s="3" t="s">
        <v>23</v>
      </c>
      <c r="N347" s="3" t="str">
        <f>IF(ISERROR(VLOOKUP($A347,'SegEnds_NonXtal_BW#'!$A:$Z,10,FALSE)+VLOOKUP($A347,A:AL,13,FALSE)-50),"-",(VLOOKUP($A347,'SegEnds_NonXtal_BW#'!$A:$Z,10,FALSE)+VLOOKUP($A347,A:AL,13,FALSE)-50))</f>
        <v>-</v>
      </c>
      <c r="O347" s="3">
        <f>VLOOKUP($A347,'SegEnds_NonXtal_BW#'!$A:$Z,11,FALSE)+VLOOKUP($A347,A:AL,16,FALSE)-50</f>
        <v>5968</v>
      </c>
      <c r="P347" s="3">
        <v>5995</v>
      </c>
      <c r="Q347" s="3">
        <f>VLOOKUP($A347,'SegEnds_NonXtal_BW#'!$A:$Z,12,FALSE)+VLOOKUP($A347,A:AL,16,FALSE)-50</f>
        <v>6001</v>
      </c>
      <c r="R347" s="3" t="str">
        <f>IF(ISERROR(VLOOKUP($A347,'SegEnds_NonXtal_BW#'!$A:$Z,13,FALSE)+VLOOKUP($A347,A:AL,19,FALSE)-50),"-",VLOOKUP($A347,'SegEnds_NonXtal_BW#'!$A:$Z,13,FALSE)+VLOOKUP($A347,A:AL,19,FALSE)-50)</f>
        <v>-</v>
      </c>
      <c r="S347" s="3" t="s">
        <v>23</v>
      </c>
      <c r="T347" s="100" t="str">
        <f>IF(ISERROR(VLOOKUP($A347,'SegEnds_NonXtal_BW#'!$A:$Z,14,FALSE)+VLOOKUP($A347,A:AL,19,FALSE)-50),"-",(VLOOKUP($A347,'SegEnds_NonXtal_BW#'!$A:$Z,14,FALSE)+VLOOKUP($A347,A:AL,19,FALSE)-50))</f>
        <v>-</v>
      </c>
      <c r="U347" s="9">
        <f>IF(ISERROR(VLOOKUP($A347,'SegEnds_NonXtal_BW#'!$A:$Z,15,FALSE)+VLOOKUP($A347,A:AL,22,FALSE)-50),"-",VLOOKUP($A347,'SegEnds_NonXtal_BW#'!$A:$Z,15,FALSE)+VLOOKUP($A347,A:AL,22,FALSE)-50)</f>
        <v>6008</v>
      </c>
      <c r="V347" s="3">
        <v>6018</v>
      </c>
      <c r="W347" s="3">
        <f>IF(ISERROR(VLOOKUP($A347,'SegEnds_NonXtal_BW#'!$A:$Z,16,FALSE)+VLOOKUP($A347,A:AL,22,FALSE)-50),"-",(VLOOKUP($A347,'SegEnds_NonXtal_BW#'!$A:$Z,16,FALSE)+VLOOKUP($A347,A:AL,22,FALSE)-50))</f>
        <v>6036</v>
      </c>
      <c r="X347" s="3">
        <f>IF(ISERROR(VLOOKUP($A347,'SegEnds_NonXtal_BW#'!$A:$Z,17,FALSE)+VLOOKUP($A347,A:AL,25,FALSE)-50),"-",(VLOOKUP($A347,'SegEnds_NonXtal_BW#'!$A:$Z,17,FALSE)+VLOOKUP($A347,A:AL,25,FALSE)-50))</f>
        <v>6052</v>
      </c>
      <c r="Y347" s="3">
        <v>6052</v>
      </c>
      <c r="Z347" s="3">
        <f t="shared" si="179"/>
        <v>6054</v>
      </c>
      <c r="AA347" s="3">
        <f>IF(ISERROR(VLOOKUP($A347,'SegEnds_NonXtal_BW#'!$A:$Z,19,FALSE)+VLOOKUP($A347,A:AL,28,FALSE)-50),"-",(VLOOKUP($A347,'SegEnds_NonXtal_BW#'!$A:$Z,19,FALSE)+VLOOKUP($A347,A:AL,28,FALSE)-50))</f>
        <v>6058</v>
      </c>
      <c r="AB347" s="3">
        <v>6072</v>
      </c>
      <c r="AC347" s="3">
        <f>IF(ISERROR((VLOOKUP($A347,'SegEnds_NonXtal_BW#'!$A:$Z,20,FALSE)+VLOOKUP($A347,A:AL,28,FALSE)-50)),"-",(VLOOKUP($A347,'SegEnds_NonXtal_BW#'!$A:$Z,20,FALSE)+VLOOKUP($A347,A:AL,28,FALSE)-50))</f>
        <v>6091</v>
      </c>
      <c r="AD347" s="3">
        <f>IF(ISERROR(VLOOKUP($A347,'SegEnds_NonXtal_BW#'!$A:$Z,21,FALSE)+VLOOKUP($A347,A:AL,31,FALSE)-50),"-",(VLOOKUP($A347,'SegEnds_NonXtal_BW#'!$A:$Z,21,FALSE)+VLOOKUP($A347,A:AL,31,FALSE)-50))</f>
        <v>6100</v>
      </c>
      <c r="AE347" s="3">
        <v>6121</v>
      </c>
      <c r="AF347" s="3">
        <f>IF(ISERROR((VLOOKUP($A347,'SegEnds_NonXtal_BW#'!$A:$Z,22,FALSE)+VLOOKUP($A347,A:AL,31,FALSE)-50)),"-",(VLOOKUP($A347,'SegEnds_NonXtal_BW#'!$A:$Z,22,FALSE)+VLOOKUP($A347,A:AL,31,FALSE)-50))</f>
        <v>6124</v>
      </c>
      <c r="AG347" s="3">
        <f>IF(ISERROR(VLOOKUP($A347,'SegEnds_NonXtal_BW#'!$A:$Z,23,FALSE)+VLOOKUP($A347,A:AL,34,FALSE)-50),"-",(VLOOKUP($A347,'SegEnds_NonXtal_BW#'!$A:$Z,23,FALSE)+VLOOKUP($A347,A:AL,34,FALSE)-50))</f>
        <v>6130</v>
      </c>
      <c r="AH347" s="3">
        <v>6149</v>
      </c>
      <c r="AI347" s="3">
        <f>IF(ISERROR((VLOOKUP($A347,'SegEnds_NonXtal_BW#'!$A:$Z,24,FALSE)+VLOOKUP($A347,A:AL,34,FALSE)-50)),"-",(VLOOKUP($A347,'SegEnds_NonXtal_BW#'!$A:$Z,24,FALSE)+VLOOKUP($A347,A:AL,34,FALSE)-50))</f>
        <v>6155</v>
      </c>
      <c r="AJ347" s="3">
        <f>IF(ISERROR(VLOOKUP($A347,'SegEnds_NonXtal_BW#'!$A:$Z,25,FALSE)+VLOOKUP($A347,A:AL,37,FALSE)-50),"-",(VLOOKUP($A347,'SegEnds_NonXtal_BW#'!$A:$Z,25,FALSE)+VLOOKUP($A347,A:AL,37,FALSE)-50))</f>
        <v>6156</v>
      </c>
      <c r="AK347" s="3">
        <v>6159</v>
      </c>
      <c r="AL347" s="3">
        <f>IF(ISERROR((VLOOKUP($A347,'SegEnds_NonXtal_BW#'!$A:$Z,26,FALSE)+VLOOKUP($A347,A:AL,37,FALSE)-50)),"-",(VLOOKUP($A347,'SegEnds_NonXtal_BW#'!$A:$Z,26,FALSE)+VLOOKUP($A347,A:AL,37,FALSE)-50))</f>
        <v>6172</v>
      </c>
      <c r="AM347" s="28" t="str">
        <f>VLOOKUP(A347,Classification!A:B,2,FALSE)</f>
        <v>B2</v>
      </c>
      <c r="AN347" s="28" t="b">
        <f t="shared" si="195"/>
        <v>1</v>
      </c>
      <c r="AO347" s="3" t="str">
        <f>IF(ISERROR(MATCH(A347,'SegEnds_Xtal_Prot#'!B:B, 0)), "NoXtal", "Xtal")</f>
        <v>NoXtal</v>
      </c>
      <c r="AP347" s="3" t="str">
        <f t="shared" si="180"/>
        <v>-</v>
      </c>
      <c r="AQ347" s="3" t="str">
        <f t="shared" si="181"/>
        <v>-</v>
      </c>
      <c r="AR347" s="3" t="str">
        <f t="shared" si="182"/>
        <v>-</v>
      </c>
      <c r="AS347" s="3" t="str">
        <f t="shared" si="183"/>
        <v>-</v>
      </c>
      <c r="AT347" s="3" t="str">
        <f t="shared" si="184"/>
        <v>-</v>
      </c>
      <c r="AU347" s="3" t="str">
        <f t="shared" si="185"/>
        <v>-</v>
      </c>
      <c r="AV347" s="3">
        <f t="shared" si="186"/>
        <v>16</v>
      </c>
      <c r="AW347" s="3">
        <f t="shared" si="187"/>
        <v>4</v>
      </c>
      <c r="AX347" s="3">
        <f t="shared" si="188"/>
        <v>9</v>
      </c>
      <c r="AY347" s="3">
        <f t="shared" si="189"/>
        <v>6</v>
      </c>
      <c r="AZ347" s="3">
        <f t="shared" si="190"/>
        <v>1</v>
      </c>
      <c r="BA347" s="3">
        <f>IF(ISERROR(LEN(VLOOKUP(A347,Seqs!A:E,2,FALSE))-AL347),"-",LEN(VLOOKUP(A347,Seqs!A:E,2,FALSE))-AL347)</f>
        <v>134</v>
      </c>
      <c r="BB347" s="16">
        <f t="shared" si="191"/>
        <v>26</v>
      </c>
      <c r="BC347" s="9" t="str">
        <f t="shared" si="192"/>
        <v>-</v>
      </c>
      <c r="BD347" s="3">
        <f t="shared" si="193"/>
        <v>26</v>
      </c>
      <c r="BE347" s="3">
        <f t="shared" si="194"/>
        <v>49</v>
      </c>
    </row>
    <row r="348" spans="1:58" s="3" customFormat="1" x14ac:dyDescent="0.2">
      <c r="A348" s="3" t="s">
        <v>105</v>
      </c>
      <c r="B348" s="3" t="str">
        <f>LOWER(VLOOKUP(A348,Xtal_Templ!A:B,2,FALSE))</f>
        <v>grm5_human</v>
      </c>
      <c r="C348" s="3">
        <f>VLOOKUP($A348,'SegEnds_NonXtal_BW#'!$A:$Z,3,FALSE)+D348-50</f>
        <v>611</v>
      </c>
      <c r="D348" s="3">
        <v>627</v>
      </c>
      <c r="E348" s="3">
        <f>IF(ISERROR(VLOOKUP($A348,'SegEnds_NonXtal_BW#'!$A:$Z,4,FALSE)+VLOOKUP($A348,A:AL,4,FALSE)-50),"-",(VLOOKUP($A348,'SegEnds_NonXtal_BW#'!$A:$Z,4,FALSE)+VLOOKUP($A348,A:AL,4,FALSE)-50))</f>
        <v>637</v>
      </c>
      <c r="F348" s="3">
        <f t="shared" ref="F348:F380" si="197">G348-3</f>
        <v>640</v>
      </c>
      <c r="G348" s="3">
        <v>643</v>
      </c>
      <c r="H348" s="3">
        <f t="shared" ref="H348:H369" si="198">G348+3</f>
        <v>646</v>
      </c>
      <c r="I348" s="3">
        <f t="shared" ref="I348:I380" si="199">H348+1</f>
        <v>647</v>
      </c>
      <c r="J348" s="3">
        <v>658</v>
      </c>
      <c r="K348" s="3">
        <f>VLOOKUP($A348,'SegEnds_NonXtal_BW#'!$A:$Z,8,FALSE)+VLOOKUP($A348,A:AL,10,FALSE)-50</f>
        <v>669</v>
      </c>
      <c r="L348" s="3" t="str">
        <f>IF(ISERROR(VLOOKUP($A348,'SegEnds_NonXtal_BW#'!$A:$Z,9,FALSE)+VLOOKUP($A348,A:AL,13,FALSE)-50),"-",(VLOOKUP($A348,'SegEnds_NonXtal_BW#'!$A:$Z,9,FALSE)+VLOOKUP($A348,A:AL,13,FALSE)-50))</f>
        <v>-</v>
      </c>
      <c r="M348" s="3" t="s">
        <v>23</v>
      </c>
      <c r="N348" s="3" t="str">
        <f>IF(ISERROR(VLOOKUP($A348,'SegEnds_NonXtal_BW#'!$A:$Z,10,FALSE)+VLOOKUP($A348,A:AL,13,FALSE)-50),"-",(VLOOKUP($A348,'SegEnds_NonXtal_BW#'!$A:$Z,10,FALSE)+VLOOKUP($A348,A:AL,13,FALSE)-50))</f>
        <v>-</v>
      </c>
      <c r="O348" s="3">
        <f>VLOOKUP($A348,'SegEnds_NonXtal_BW#'!$A:$Z,11,FALSE)+VLOOKUP($A348,A:AL,16,FALSE)-50</f>
        <v>673</v>
      </c>
      <c r="P348" s="3">
        <v>702</v>
      </c>
      <c r="Q348" s="3">
        <f>VLOOKUP($A348,'SegEnds_NonXtal_BW#'!$A:$Z,12,FALSE)+VLOOKUP($A348,A:AL,16,FALSE)-50</f>
        <v>706</v>
      </c>
      <c r="R348" s="3" t="str">
        <f>IF(ISERROR(VLOOKUP($A348,'SegEnds_NonXtal_BW#'!$A:$Z,13,FALSE)+VLOOKUP($A348,A:AL,19,FALSE)-50),"-",VLOOKUP($A348,'SegEnds_NonXtal_BW#'!$A:$Z,13,FALSE)+VLOOKUP($A348,A:AL,19,FALSE)-50)</f>
        <v>-</v>
      </c>
      <c r="S348" s="3" t="s">
        <v>23</v>
      </c>
      <c r="T348" s="100" t="str">
        <f>IF(ISERROR(VLOOKUP($A348,'SegEnds_NonXtal_BW#'!$A:$Z,14,FALSE)+VLOOKUP($A348,A:AL,19,FALSE)-50),"-",(VLOOKUP($A348,'SegEnds_NonXtal_BW#'!$A:$Z,14,FALSE)+VLOOKUP($A348,A:AL,19,FALSE)-50))</f>
        <v>-</v>
      </c>
      <c r="U348" s="9">
        <f>IF(ISERROR(VLOOKUP($A348,'SegEnds_NonXtal_BW#'!$A:$Z,15,FALSE)+VLOOKUP($A348,A:AL,22,FALSE)-50),"-",VLOOKUP($A348,'SegEnds_NonXtal_BW#'!$A:$Z,15,FALSE)+VLOOKUP($A348,A:AL,22,FALSE)-50)</f>
        <v>720</v>
      </c>
      <c r="V348" s="3">
        <v>732</v>
      </c>
      <c r="W348" s="3">
        <f>IF(ISERROR(VLOOKUP($A348,'SegEnds_NonXtal_BW#'!$A:$Z,16,FALSE)+VLOOKUP($A348,A:AL,22,FALSE)-50),"-",(VLOOKUP($A348,'SegEnds_NonXtal_BW#'!$A:$Z,16,FALSE)+VLOOKUP($A348,A:AL,22,FALSE)-50))</f>
        <v>746</v>
      </c>
      <c r="X348" s="3">
        <f>IF(ISERROR(VLOOKUP($A348,'SegEnds_NonXtal_BW#'!$A:$Z,17,FALSE)+VLOOKUP($A348,A:AL,25,FALSE)-50),"-",(VLOOKUP($A348,'SegEnds_NonXtal_BW#'!$A:$Z,17,FALSE)+VLOOKUP($A348,A:AL,25,FALSE)-50))</f>
        <v>765</v>
      </c>
      <c r="Y348" s="3">
        <v>765</v>
      </c>
      <c r="Z348" s="3">
        <f t="shared" si="179"/>
        <v>767</v>
      </c>
      <c r="AA348" s="3">
        <f>IF(ISERROR(VLOOKUP($A348,'SegEnds_NonXtal_BW#'!$A:$Z,19,FALSE)+VLOOKUP($A348,A:AL,28,FALSE)-50),"-",(VLOOKUP($A348,'SegEnds_NonXtal_BW#'!$A:$Z,19,FALSE)+VLOOKUP($A348,A:AL,28,FALSE)-50))</f>
        <v>769</v>
      </c>
      <c r="AB348" s="3">
        <v>783</v>
      </c>
      <c r="AC348" s="3">
        <f>IF(ISERROR((VLOOKUP($A348,'SegEnds_NonXtal_BW#'!$A:$Z,20,FALSE)+VLOOKUP($A348,A:AL,28,FALSE)-50)),"-",(VLOOKUP($A348,'SegEnds_NonXtal_BW#'!$A:$Z,20,FALSE)+VLOOKUP($A348,A:AL,28,FALSE)-50))</f>
        <v>794</v>
      </c>
      <c r="AD348" s="3">
        <f>IF(ISERROR(VLOOKUP($A348,'SegEnds_NonXtal_BW#'!$A:$Z,21,FALSE)+VLOOKUP($A348,A:AL,31,FALSE)-50),"-",(VLOOKUP($A348,'SegEnds_NonXtal_BW#'!$A:$Z,21,FALSE)+VLOOKUP($A348,A:AL,31,FALSE)-50))</f>
        <v>803</v>
      </c>
      <c r="AE348" s="3">
        <v>820</v>
      </c>
      <c r="AF348" s="3">
        <f>IF(ISERROR((VLOOKUP($A348,'SegEnds_NonXtal_BW#'!$A:$Z,22,FALSE)+VLOOKUP($A348,A:AL,31,FALSE)-50)),"-",(VLOOKUP($A348,'SegEnds_NonXtal_BW#'!$A:$Z,22,FALSE)+VLOOKUP($A348,A:AL,31,FALSE)-50))</f>
        <v>827</v>
      </c>
      <c r="AG348" s="3">
        <f>IF(ISERROR(VLOOKUP($A348,'SegEnds_NonXtal_BW#'!$A:$Z,23,FALSE)+VLOOKUP($A348,A:AL,34,FALSE)-50),"-",(VLOOKUP($A348,'SegEnds_NonXtal_BW#'!$A:$Z,23,FALSE)+VLOOKUP($A348,A:AL,34,FALSE)-50))</f>
        <v>832</v>
      </c>
      <c r="AH348" s="3">
        <v>849</v>
      </c>
      <c r="AI348" s="3">
        <f>IF(ISERROR((VLOOKUP($A348,'SegEnds_NonXtal_BW#'!$A:$Z,24,FALSE)+VLOOKUP($A348,A:AL,34,FALSE)-50)),"-",(VLOOKUP($A348,'SegEnds_NonXtal_BW#'!$A:$Z,24,FALSE)+VLOOKUP($A348,A:AL,34,FALSE)-50))</f>
        <v>863</v>
      </c>
      <c r="AJ348" s="3">
        <f>IF(ISERROR(VLOOKUP($A348,'SegEnds_NonXtal_BW#'!$A:$Z,25,FALSE)+VLOOKUP($A348,A:AL,37,FALSE)-50),"-",(VLOOKUP($A348,'SegEnds_NonXtal_BW#'!$A:$Z,25,FALSE)+VLOOKUP($A348,A:AL,37,FALSE)-50))</f>
        <v>864</v>
      </c>
      <c r="AK348" s="3">
        <v>868</v>
      </c>
      <c r="AL348" s="3">
        <f>IF(ISERROR((VLOOKUP($A348,'SegEnds_NonXtal_BW#'!$A:$Z,26,FALSE)+VLOOKUP($A348,A:AL,37,FALSE)-50)),"-",(VLOOKUP($A348,'SegEnds_NonXtal_BW#'!$A:$Z,26,FALSE)+VLOOKUP($A348,A:AL,37,FALSE)-50))</f>
        <v>875</v>
      </c>
      <c r="AM348" s="28" t="str">
        <f>VLOOKUP(A348,Classification!A:B,2,FALSE)</f>
        <v>C</v>
      </c>
      <c r="AN348" s="28" t="b">
        <f t="shared" si="195"/>
        <v>1</v>
      </c>
      <c r="AO348" s="3" t="str">
        <f>IF(ISERROR(MATCH(A348,'SegEnds_Xtal_Prot#'!B:B, 0)), "NoXtal", "Xtal")</f>
        <v>NoXtal</v>
      </c>
      <c r="AP348" s="3">
        <f t="shared" si="180"/>
        <v>3</v>
      </c>
      <c r="AQ348" s="3">
        <f t="shared" si="181"/>
        <v>1</v>
      </c>
      <c r="AR348" s="3" t="str">
        <f t="shared" si="182"/>
        <v>-</v>
      </c>
      <c r="AS348" s="3" t="str">
        <f t="shared" si="183"/>
        <v>-</v>
      </c>
      <c r="AT348" s="3" t="str">
        <f t="shared" si="184"/>
        <v>-</v>
      </c>
      <c r="AU348" s="3" t="str">
        <f t="shared" si="185"/>
        <v>-</v>
      </c>
      <c r="AV348" s="3">
        <f t="shared" si="186"/>
        <v>19</v>
      </c>
      <c r="AW348" s="3">
        <f t="shared" si="187"/>
        <v>2</v>
      </c>
      <c r="AX348" s="3">
        <f t="shared" si="188"/>
        <v>9</v>
      </c>
      <c r="AY348" s="3">
        <f t="shared" si="189"/>
        <v>5</v>
      </c>
      <c r="AZ348" s="3">
        <f t="shared" si="190"/>
        <v>1</v>
      </c>
      <c r="BA348" s="3">
        <f>IF(ISERROR(LEN(VLOOKUP(A348,Seqs!A:E,2,FALSE))-AL348),"-",LEN(VLOOKUP(A348,Seqs!A:E,2,FALSE))-AL348)</f>
        <v>203</v>
      </c>
      <c r="BB348" s="16">
        <f t="shared" si="191"/>
        <v>31</v>
      </c>
      <c r="BC348" s="9" t="str">
        <f t="shared" si="192"/>
        <v>-</v>
      </c>
      <c r="BD348" s="3">
        <f t="shared" si="193"/>
        <v>31</v>
      </c>
      <c r="BE348" s="3">
        <f t="shared" si="194"/>
        <v>37</v>
      </c>
    </row>
    <row r="349" spans="1:58" s="3" customFormat="1" x14ac:dyDescent="0.2">
      <c r="A349" s="3" t="s">
        <v>106</v>
      </c>
      <c r="B349" s="3" t="str">
        <f>LOWER(VLOOKUP(A349,Xtal_Templ!A:B,2,FALSE))</f>
        <v>grm1_human</v>
      </c>
      <c r="C349" s="3">
        <f>VLOOKUP($A349,'SegEnds_NonXtal_BW#'!$A:$Z,3,FALSE)+D349-50</f>
        <v>590</v>
      </c>
      <c r="D349" s="3">
        <v>606</v>
      </c>
      <c r="E349" s="3">
        <f>IF(ISERROR(VLOOKUP($A349,'SegEnds_NonXtal_BW#'!$A:$Z,4,FALSE)+VLOOKUP($A349,A:AL,4,FALSE)-50),"-",(VLOOKUP($A349,'SegEnds_NonXtal_BW#'!$A:$Z,4,FALSE)+VLOOKUP($A349,A:AL,4,FALSE)-50))</f>
        <v>616</v>
      </c>
      <c r="F349" s="3">
        <f t="shared" si="197"/>
        <v>619</v>
      </c>
      <c r="G349" s="3">
        <v>622</v>
      </c>
      <c r="H349" s="3">
        <f t="shared" si="198"/>
        <v>625</v>
      </c>
      <c r="I349" s="3">
        <f t="shared" si="199"/>
        <v>626</v>
      </c>
      <c r="J349" s="3">
        <v>637</v>
      </c>
      <c r="K349" s="3">
        <f>VLOOKUP($A349,'SegEnds_NonXtal_BW#'!$A:$Z,8,FALSE)+VLOOKUP($A349,A:AL,10,FALSE)-50</f>
        <v>648</v>
      </c>
      <c r="L349" s="3" t="str">
        <f>IF(ISERROR(VLOOKUP($A349,'SegEnds_NonXtal_BW#'!$A:$Z,9,FALSE)+VLOOKUP($A349,A:AL,13,FALSE)-50),"-",(VLOOKUP($A349,'SegEnds_NonXtal_BW#'!$A:$Z,9,FALSE)+VLOOKUP($A349,A:AL,13,FALSE)-50))</f>
        <v>-</v>
      </c>
      <c r="M349" s="3" t="s">
        <v>23</v>
      </c>
      <c r="N349" s="3" t="str">
        <f>IF(ISERROR(VLOOKUP($A349,'SegEnds_NonXtal_BW#'!$A:$Z,10,FALSE)+VLOOKUP($A349,A:AL,13,FALSE)-50),"-",(VLOOKUP($A349,'SegEnds_NonXtal_BW#'!$A:$Z,10,FALSE)+VLOOKUP($A349,A:AL,13,FALSE)-50))</f>
        <v>-</v>
      </c>
      <c r="O349" s="3">
        <f>VLOOKUP($A349,'SegEnds_NonXtal_BW#'!$A:$Z,11,FALSE)+VLOOKUP($A349,A:AL,16,FALSE)-50</f>
        <v>660</v>
      </c>
      <c r="P349" s="3">
        <v>688</v>
      </c>
      <c r="Q349" s="3">
        <f>VLOOKUP($A349,'SegEnds_NonXtal_BW#'!$A:$Z,12,FALSE)+VLOOKUP($A349,A:AL,16,FALSE)-50</f>
        <v>692</v>
      </c>
      <c r="R349" s="3" t="str">
        <f>IF(ISERROR(VLOOKUP($A349,'SegEnds_NonXtal_BW#'!$A:$Z,13,FALSE)+VLOOKUP($A349,A:AL,19,FALSE)-50),"-",VLOOKUP($A349,'SegEnds_NonXtal_BW#'!$A:$Z,13,FALSE)+VLOOKUP($A349,A:AL,19,FALSE)-50)</f>
        <v>-</v>
      </c>
      <c r="S349" s="3" t="s">
        <v>23</v>
      </c>
      <c r="T349" s="100" t="str">
        <f>IF(ISERROR(VLOOKUP($A349,'SegEnds_NonXtal_BW#'!$A:$Z,14,FALSE)+VLOOKUP($A349,A:AL,19,FALSE)-50),"-",(VLOOKUP($A349,'SegEnds_NonXtal_BW#'!$A:$Z,14,FALSE)+VLOOKUP($A349,A:AL,19,FALSE)-50))</f>
        <v>-</v>
      </c>
      <c r="U349" s="9">
        <f>IF(ISERROR(VLOOKUP($A349,'SegEnds_NonXtal_BW#'!$A:$Z,15,FALSE)+VLOOKUP($A349,A:AL,22,FALSE)-50),"-",VLOOKUP($A349,'SegEnds_NonXtal_BW#'!$A:$Z,15,FALSE)+VLOOKUP($A349,A:AL,22,FALSE)-50)</f>
        <v>706</v>
      </c>
      <c r="V349" s="3">
        <v>718</v>
      </c>
      <c r="W349" s="3">
        <f>IF(ISERROR(VLOOKUP($A349,'SegEnds_NonXtal_BW#'!$A:$Z,16,FALSE)+VLOOKUP($A349,A:AL,22,FALSE)-50),"-",(VLOOKUP($A349,'SegEnds_NonXtal_BW#'!$A:$Z,16,FALSE)+VLOOKUP($A349,A:AL,22,FALSE)-50))</f>
        <v>732</v>
      </c>
      <c r="X349" s="3">
        <f>IF(ISERROR(VLOOKUP($A349,'SegEnds_NonXtal_BW#'!$A:$Z,17,FALSE)+VLOOKUP($A349,A:AL,25,FALSE)-50),"-",(VLOOKUP($A349,'SegEnds_NonXtal_BW#'!$A:$Z,17,FALSE)+VLOOKUP($A349,A:AL,25,FALSE)-50))</f>
        <v>761</v>
      </c>
      <c r="Y349" s="3">
        <v>761</v>
      </c>
      <c r="Z349" s="3">
        <f t="shared" si="179"/>
        <v>763</v>
      </c>
      <c r="AA349" s="3">
        <f>IF(ISERROR(VLOOKUP($A349,'SegEnds_NonXtal_BW#'!$A:$Z,19,FALSE)+VLOOKUP($A349,A:AL,28,FALSE)-50),"-",(VLOOKUP($A349,'SegEnds_NonXtal_BW#'!$A:$Z,19,FALSE)+VLOOKUP($A349,A:AL,28,FALSE)-50))</f>
        <v>766</v>
      </c>
      <c r="AB349" s="3">
        <v>780</v>
      </c>
      <c r="AC349" s="3">
        <f>IF(ISERROR((VLOOKUP($A349,'SegEnds_NonXtal_BW#'!$A:$Z,20,FALSE)+VLOOKUP($A349,A:AL,28,FALSE)-50)),"-",(VLOOKUP($A349,'SegEnds_NonXtal_BW#'!$A:$Z,20,FALSE)+VLOOKUP($A349,A:AL,28,FALSE)-50))</f>
        <v>791</v>
      </c>
      <c r="AD349" s="3">
        <f>IF(ISERROR(VLOOKUP($A349,'SegEnds_NonXtal_BW#'!$A:$Z,21,FALSE)+VLOOKUP($A349,A:AL,31,FALSE)-50),"-",(VLOOKUP($A349,'SegEnds_NonXtal_BW#'!$A:$Z,21,FALSE)+VLOOKUP($A349,A:AL,31,FALSE)-50))</f>
        <v>801</v>
      </c>
      <c r="AE349" s="3">
        <v>818</v>
      </c>
      <c r="AF349" s="3">
        <f>IF(ISERROR((VLOOKUP($A349,'SegEnds_NonXtal_BW#'!$A:$Z,22,FALSE)+VLOOKUP($A349,A:AL,31,FALSE)-50)),"-",(VLOOKUP($A349,'SegEnds_NonXtal_BW#'!$A:$Z,22,FALSE)+VLOOKUP($A349,A:AL,31,FALSE)-50))</f>
        <v>825</v>
      </c>
      <c r="AG349" s="3">
        <f>IF(ISERROR(VLOOKUP($A349,'SegEnds_NonXtal_BW#'!$A:$Z,23,FALSE)+VLOOKUP($A349,A:AL,34,FALSE)-50),"-",(VLOOKUP($A349,'SegEnds_NonXtal_BW#'!$A:$Z,23,FALSE)+VLOOKUP($A349,A:AL,34,FALSE)-50))</f>
        <v>832</v>
      </c>
      <c r="AH349" s="3">
        <v>849</v>
      </c>
      <c r="AI349" s="3">
        <f>IF(ISERROR((VLOOKUP($A349,'SegEnds_NonXtal_BW#'!$A:$Z,24,FALSE)+VLOOKUP($A349,A:AL,34,FALSE)-50)),"-",(VLOOKUP($A349,'SegEnds_NonXtal_BW#'!$A:$Z,24,FALSE)+VLOOKUP($A349,A:AL,34,FALSE)-50))</f>
        <v>863</v>
      </c>
      <c r="AJ349" s="3">
        <f>IF(ISERROR(VLOOKUP($A349,'SegEnds_NonXtal_BW#'!$A:$Z,25,FALSE)+VLOOKUP($A349,A:AL,37,FALSE)-50),"-",(VLOOKUP($A349,'SegEnds_NonXtal_BW#'!$A:$Z,25,FALSE)+VLOOKUP($A349,A:AL,37,FALSE)-50))</f>
        <v>864</v>
      </c>
      <c r="AK349" s="3">
        <v>868</v>
      </c>
      <c r="AL349" s="3">
        <f>IF(ISERROR((VLOOKUP($A349,'SegEnds_NonXtal_BW#'!$A:$Z,26,FALSE)+VLOOKUP($A349,A:AL,37,FALSE)-50)),"-",(VLOOKUP($A349,'SegEnds_NonXtal_BW#'!$A:$Z,26,FALSE)+VLOOKUP($A349,A:AL,37,FALSE)-50))</f>
        <v>875</v>
      </c>
      <c r="AM349" s="28" t="str">
        <f>VLOOKUP(A349,Classification!A:B,2,FALSE)</f>
        <v>C</v>
      </c>
      <c r="AN349" s="28" t="b">
        <f t="shared" si="195"/>
        <v>1</v>
      </c>
      <c r="AO349" s="3" t="str">
        <f>IF(ISERROR(MATCH(A349,'SegEnds_Xtal_Prot#'!B:B, 0)), "NoXtal", "Xtal")</f>
        <v>NoXtal</v>
      </c>
      <c r="AP349" s="3">
        <f t="shared" si="180"/>
        <v>3</v>
      </c>
      <c r="AQ349" s="3">
        <f t="shared" si="181"/>
        <v>1</v>
      </c>
      <c r="AR349" s="3" t="str">
        <f t="shared" si="182"/>
        <v>-</v>
      </c>
      <c r="AS349" s="3" t="str">
        <f t="shared" si="183"/>
        <v>-</v>
      </c>
      <c r="AT349" s="3" t="str">
        <f t="shared" si="184"/>
        <v>-</v>
      </c>
      <c r="AU349" s="3" t="str">
        <f t="shared" si="185"/>
        <v>-</v>
      </c>
      <c r="AV349" s="3">
        <f t="shared" si="186"/>
        <v>29</v>
      </c>
      <c r="AW349" s="3">
        <f t="shared" si="187"/>
        <v>3</v>
      </c>
      <c r="AX349" s="3">
        <f t="shared" si="188"/>
        <v>10</v>
      </c>
      <c r="AY349" s="3">
        <f t="shared" si="189"/>
        <v>7</v>
      </c>
      <c r="AZ349" s="3">
        <f t="shared" si="190"/>
        <v>1</v>
      </c>
      <c r="BA349" s="3">
        <f>IF(ISERROR(LEN(VLOOKUP(A349,Seqs!A:E,2,FALSE))-AL349),"-",LEN(VLOOKUP(A349,Seqs!A:E,2,FALSE))-AL349)</f>
        <v>86</v>
      </c>
      <c r="BB349" s="16">
        <f t="shared" si="191"/>
        <v>31</v>
      </c>
      <c r="BC349" s="9" t="str">
        <f t="shared" si="192"/>
        <v>-</v>
      </c>
      <c r="BD349" s="3">
        <f t="shared" si="193"/>
        <v>31</v>
      </c>
      <c r="BE349" s="3">
        <f t="shared" si="194"/>
        <v>38</v>
      </c>
    </row>
    <row r="350" spans="1:58" s="3" customFormat="1" x14ac:dyDescent="0.2">
      <c r="A350" s="3" t="s">
        <v>107</v>
      </c>
      <c r="B350" s="3" t="str">
        <f>LOWER(VLOOKUP(A350,Xtal_Templ!A:B,2,FALSE))</f>
        <v>grm5_human</v>
      </c>
      <c r="C350" s="3">
        <f>VLOOKUP($A350,'SegEnds_NonXtal_BW#'!$A:$Z,3,FALSE)+D350-50</f>
        <v>480</v>
      </c>
      <c r="D350" s="3">
        <v>496</v>
      </c>
      <c r="E350" s="3">
        <f>IF(ISERROR(VLOOKUP($A350,'SegEnds_NonXtal_BW#'!$A:$Z,4,FALSE)+VLOOKUP($A350,A:AL,4,FALSE)-50),"-",(VLOOKUP($A350,'SegEnds_NonXtal_BW#'!$A:$Z,4,FALSE)+VLOOKUP($A350,A:AL,4,FALSE)-50))</f>
        <v>506</v>
      </c>
      <c r="F350" s="3">
        <f t="shared" si="197"/>
        <v>509</v>
      </c>
      <c r="G350" s="3">
        <v>512</v>
      </c>
      <c r="H350" s="3">
        <f t="shared" si="198"/>
        <v>515</v>
      </c>
      <c r="I350" s="3">
        <f t="shared" si="199"/>
        <v>516</v>
      </c>
      <c r="J350" s="3">
        <v>527</v>
      </c>
      <c r="K350" s="3">
        <f>VLOOKUP($A350,'SegEnds_NonXtal_BW#'!$A:$Z,8,FALSE)+VLOOKUP($A350,A:AL,10,FALSE)-50</f>
        <v>538</v>
      </c>
      <c r="L350" s="3" t="str">
        <f>IF(ISERROR(VLOOKUP($A350,'SegEnds_NonXtal_BW#'!$A:$Z,9,FALSE)+VLOOKUP($A350,A:AL,13,FALSE)-50),"-",(VLOOKUP($A350,'SegEnds_NonXtal_BW#'!$A:$Z,9,FALSE)+VLOOKUP($A350,A:AL,13,FALSE)-50))</f>
        <v>-</v>
      </c>
      <c r="M350" s="3" t="s">
        <v>23</v>
      </c>
      <c r="N350" s="3" t="str">
        <f>IF(ISERROR(VLOOKUP($A350,'SegEnds_NonXtal_BW#'!$A:$Z,10,FALSE)+VLOOKUP($A350,A:AL,13,FALSE)-50),"-",(VLOOKUP($A350,'SegEnds_NonXtal_BW#'!$A:$Z,10,FALSE)+VLOOKUP($A350,A:AL,13,FALSE)-50))</f>
        <v>-</v>
      </c>
      <c r="O350" s="3">
        <f>VLOOKUP($A350,'SegEnds_NonXtal_BW#'!$A:$Z,11,FALSE)+VLOOKUP($A350,A:AL,16,FALSE)-50</f>
        <v>549</v>
      </c>
      <c r="P350" s="3">
        <v>578</v>
      </c>
      <c r="Q350" s="3">
        <f>VLOOKUP($A350,'SegEnds_NonXtal_BW#'!$A:$Z,12,FALSE)+VLOOKUP($A350,A:AL,16,FALSE)-50</f>
        <v>582</v>
      </c>
      <c r="R350" s="3" t="str">
        <f>IF(ISERROR(VLOOKUP($A350,'SegEnds_NonXtal_BW#'!$A:$Z,13,FALSE)+VLOOKUP($A350,A:AL,19,FALSE)-50),"-",VLOOKUP($A350,'SegEnds_NonXtal_BW#'!$A:$Z,13,FALSE)+VLOOKUP($A350,A:AL,19,FALSE)-50)</f>
        <v>-</v>
      </c>
      <c r="S350" s="3" t="s">
        <v>23</v>
      </c>
      <c r="T350" s="100" t="str">
        <f>IF(ISERROR(VLOOKUP($A350,'SegEnds_NonXtal_BW#'!$A:$Z,14,FALSE)+VLOOKUP($A350,A:AL,19,FALSE)-50),"-",(VLOOKUP($A350,'SegEnds_NonXtal_BW#'!$A:$Z,14,FALSE)+VLOOKUP($A350,A:AL,19,FALSE)-50))</f>
        <v>-</v>
      </c>
      <c r="U350" s="9">
        <f>IF(ISERROR(VLOOKUP($A350,'SegEnds_NonXtal_BW#'!$A:$Z,15,FALSE)+VLOOKUP($A350,A:AL,22,FALSE)-50),"-",VLOOKUP($A350,'SegEnds_NonXtal_BW#'!$A:$Z,15,FALSE)+VLOOKUP($A350,A:AL,22,FALSE)-50)</f>
        <v>593</v>
      </c>
      <c r="V350" s="3">
        <v>605</v>
      </c>
      <c r="W350" s="3">
        <f>IF(ISERROR(VLOOKUP($A350,'SegEnds_NonXtal_BW#'!$A:$Z,16,FALSE)+VLOOKUP($A350,A:AL,22,FALSE)-50),"-",(VLOOKUP($A350,'SegEnds_NonXtal_BW#'!$A:$Z,16,FALSE)+VLOOKUP($A350,A:AL,22,FALSE)-50))</f>
        <v>619</v>
      </c>
      <c r="X350" s="3">
        <f>IF(ISERROR(VLOOKUP($A350,'SegEnds_NonXtal_BW#'!$A:$Z,17,FALSE)+VLOOKUP($A350,A:AL,25,FALSE)-50),"-",(VLOOKUP($A350,'SegEnds_NonXtal_BW#'!$A:$Z,17,FALSE)+VLOOKUP($A350,A:AL,25,FALSE)-50))</f>
        <v>648</v>
      </c>
      <c r="Y350" s="3">
        <v>648</v>
      </c>
      <c r="Z350" s="3">
        <f t="shared" si="179"/>
        <v>650</v>
      </c>
      <c r="AA350" s="3">
        <f>IF(ISERROR(VLOOKUP($A350,'SegEnds_NonXtal_BW#'!$A:$Z,19,FALSE)+VLOOKUP($A350,A:AL,28,FALSE)-50),"-",(VLOOKUP($A350,'SegEnds_NonXtal_BW#'!$A:$Z,19,FALSE)+VLOOKUP($A350,A:AL,28,FALSE)-50))</f>
        <v>653</v>
      </c>
      <c r="AB350" s="3">
        <v>667</v>
      </c>
      <c r="AC350" s="3">
        <f>IF(ISERROR((VLOOKUP($A350,'SegEnds_NonXtal_BW#'!$A:$Z,20,FALSE)+VLOOKUP($A350,A:AL,28,FALSE)-50)),"-",(VLOOKUP($A350,'SegEnds_NonXtal_BW#'!$A:$Z,20,FALSE)+VLOOKUP($A350,A:AL,28,FALSE)-50))</f>
        <v>678</v>
      </c>
      <c r="AD350" s="3">
        <f>IF(ISERROR(VLOOKUP($A350,'SegEnds_NonXtal_BW#'!$A:$Z,21,FALSE)+VLOOKUP($A350,A:AL,31,FALSE)-50),"-",(VLOOKUP($A350,'SegEnds_NonXtal_BW#'!$A:$Z,21,FALSE)+VLOOKUP($A350,A:AL,31,FALSE)-50))</f>
        <v>688</v>
      </c>
      <c r="AE350" s="3">
        <v>705</v>
      </c>
      <c r="AF350" s="3">
        <f>IF(ISERROR((VLOOKUP($A350,'SegEnds_NonXtal_BW#'!$A:$Z,22,FALSE)+VLOOKUP($A350,A:AL,31,FALSE)-50)),"-",(VLOOKUP($A350,'SegEnds_NonXtal_BW#'!$A:$Z,22,FALSE)+VLOOKUP($A350,A:AL,31,FALSE)-50))</f>
        <v>712</v>
      </c>
      <c r="AG350" s="3">
        <f>IF(ISERROR(VLOOKUP($A350,'SegEnds_NonXtal_BW#'!$A:$Z,23,FALSE)+VLOOKUP($A350,A:AL,34,FALSE)-50),"-",(VLOOKUP($A350,'SegEnds_NonXtal_BW#'!$A:$Z,23,FALSE)+VLOOKUP($A350,A:AL,34,FALSE)-50))</f>
        <v>719</v>
      </c>
      <c r="AH350" s="3">
        <v>736</v>
      </c>
      <c r="AI350" s="3">
        <f>IF(ISERROR((VLOOKUP($A350,'SegEnds_NonXtal_BW#'!$A:$Z,24,FALSE)+VLOOKUP($A350,A:AL,34,FALSE)-50)),"-",(VLOOKUP($A350,'SegEnds_NonXtal_BW#'!$A:$Z,24,FALSE)+VLOOKUP($A350,A:AL,34,FALSE)-50))</f>
        <v>750</v>
      </c>
      <c r="AJ350" s="3">
        <f>IF(ISERROR(VLOOKUP($A350,'SegEnds_NonXtal_BW#'!$A:$Z,25,FALSE)+VLOOKUP($A350,A:AL,37,FALSE)-50),"-",(VLOOKUP($A350,'SegEnds_NonXtal_BW#'!$A:$Z,25,FALSE)+VLOOKUP($A350,A:AL,37,FALSE)-50))</f>
        <v>751</v>
      </c>
      <c r="AK350" s="3">
        <v>755</v>
      </c>
      <c r="AL350" s="3">
        <f>IF(ISERROR((VLOOKUP($A350,'SegEnds_NonXtal_BW#'!$A:$Z,26,FALSE)+VLOOKUP($A350,A:AL,37,FALSE)-50)),"-",(VLOOKUP($A350,'SegEnds_NonXtal_BW#'!$A:$Z,26,FALSE)+VLOOKUP($A350,A:AL,37,FALSE)-50))</f>
        <v>762</v>
      </c>
      <c r="AM350" s="28" t="str">
        <f>VLOOKUP(A350,Classification!A:B,2,FALSE)</f>
        <v>C</v>
      </c>
      <c r="AN350" s="28" t="b">
        <f t="shared" si="195"/>
        <v>1</v>
      </c>
      <c r="AO350" s="3" t="str">
        <f>IF(ISERROR(MATCH(A350,'SegEnds_Xtal_Prot#'!B:B, 0)), "NoXtal", "Xtal")</f>
        <v>NoXtal</v>
      </c>
      <c r="AP350" s="3">
        <f t="shared" si="180"/>
        <v>3</v>
      </c>
      <c r="AQ350" s="3">
        <f t="shared" si="181"/>
        <v>1</v>
      </c>
      <c r="AR350" s="3" t="str">
        <f t="shared" si="182"/>
        <v>-</v>
      </c>
      <c r="AS350" s="3" t="str">
        <f t="shared" si="183"/>
        <v>-</v>
      </c>
      <c r="AT350" s="3" t="str">
        <f t="shared" si="184"/>
        <v>-</v>
      </c>
      <c r="AU350" s="3" t="str">
        <f t="shared" si="185"/>
        <v>-</v>
      </c>
      <c r="AV350" s="3">
        <f t="shared" si="186"/>
        <v>29</v>
      </c>
      <c r="AW350" s="3">
        <f t="shared" si="187"/>
        <v>3</v>
      </c>
      <c r="AX350" s="3">
        <f t="shared" si="188"/>
        <v>10</v>
      </c>
      <c r="AY350" s="3">
        <f t="shared" si="189"/>
        <v>7</v>
      </c>
      <c r="AZ350" s="3">
        <f t="shared" si="190"/>
        <v>1</v>
      </c>
      <c r="BA350" s="3">
        <f>IF(ISERROR(LEN(VLOOKUP(A350,Seqs!A:E,2,FALSE))-AL350),"-",LEN(VLOOKUP(A350,Seqs!A:E,2,FALSE))-AL350)</f>
        <v>179</v>
      </c>
      <c r="BB350" s="16">
        <f t="shared" si="191"/>
        <v>31</v>
      </c>
      <c r="BC350" s="9" t="str">
        <f t="shared" si="192"/>
        <v>-</v>
      </c>
      <c r="BD350" s="3">
        <f t="shared" si="193"/>
        <v>31</v>
      </c>
      <c r="BE350" s="3">
        <f t="shared" si="194"/>
        <v>38</v>
      </c>
    </row>
    <row r="351" spans="1:58" s="3" customFormat="1" x14ac:dyDescent="0.2">
      <c r="A351" s="3" t="s">
        <v>108</v>
      </c>
      <c r="B351" s="3" t="str">
        <f>LOWER(VLOOKUP(A351,Xtal_Templ!A:B,2,FALSE))</f>
        <v>grm1_human</v>
      </c>
      <c r="C351" s="3">
        <f>VLOOKUP($A351,'SegEnds_NonXtal_BW#'!$A:$Z,3,FALSE)+D351-50</f>
        <v>48</v>
      </c>
      <c r="D351" s="3">
        <v>64</v>
      </c>
      <c r="E351" s="3">
        <f>IF(ISERROR(VLOOKUP($A351,'SegEnds_NonXtal_BW#'!$A:$Z,4,FALSE)+VLOOKUP($A351,A:AL,4,FALSE)-50),"-",(VLOOKUP($A351,'SegEnds_NonXtal_BW#'!$A:$Z,4,FALSE)+VLOOKUP($A351,A:AL,4,FALSE)-50))</f>
        <v>74</v>
      </c>
      <c r="F351" s="3">
        <f t="shared" si="197"/>
        <v>77</v>
      </c>
      <c r="G351" s="3">
        <v>80</v>
      </c>
      <c r="H351" s="3">
        <f t="shared" si="198"/>
        <v>83</v>
      </c>
      <c r="I351" s="3">
        <f t="shared" si="199"/>
        <v>84</v>
      </c>
      <c r="J351" s="3">
        <v>95</v>
      </c>
      <c r="K351" s="3">
        <f>VLOOKUP($A351,'SegEnds_NonXtal_BW#'!$A:$Z,8,FALSE)+VLOOKUP($A351,A:AL,10,FALSE)-50</f>
        <v>106</v>
      </c>
      <c r="L351" s="3" t="str">
        <f>IF(ISERROR(VLOOKUP($A351,'SegEnds_NonXtal_BW#'!$A:$Z,9,FALSE)+VLOOKUP($A351,A:AL,13,FALSE)-50),"-",(VLOOKUP($A351,'SegEnds_NonXtal_BW#'!$A:$Z,9,FALSE)+VLOOKUP($A351,A:AL,13,FALSE)-50))</f>
        <v>-</v>
      </c>
      <c r="M351" s="3" t="s">
        <v>23</v>
      </c>
      <c r="N351" s="3" t="str">
        <f>IF(ISERROR(VLOOKUP($A351,'SegEnds_NonXtal_BW#'!$A:$Z,10,FALSE)+VLOOKUP($A351,A:AL,13,FALSE)-50),"-",(VLOOKUP($A351,'SegEnds_NonXtal_BW#'!$A:$Z,10,FALSE)+VLOOKUP($A351,A:AL,13,FALSE)-50))</f>
        <v>-</v>
      </c>
      <c r="O351" s="3">
        <f>VLOOKUP($A351,'SegEnds_NonXtal_BW#'!$A:$Z,11,FALSE)+VLOOKUP($A351,A:AL,16,FALSE)-50</f>
        <v>117</v>
      </c>
      <c r="P351" s="3">
        <v>145</v>
      </c>
      <c r="Q351" s="3">
        <f>VLOOKUP($A351,'SegEnds_NonXtal_BW#'!$A:$Z,12,FALSE)+VLOOKUP($A351,A:AL,16,FALSE)-50</f>
        <v>149</v>
      </c>
      <c r="R351" s="3" t="str">
        <f>IF(ISERROR(VLOOKUP($A351,'SegEnds_NonXtal_BW#'!$A:$Z,13,FALSE)+VLOOKUP($A351,A:AL,19,FALSE)-50),"-",VLOOKUP($A351,'SegEnds_NonXtal_BW#'!$A:$Z,13,FALSE)+VLOOKUP($A351,A:AL,19,FALSE)-50)</f>
        <v>-</v>
      </c>
      <c r="S351" s="3" t="s">
        <v>23</v>
      </c>
      <c r="T351" s="100" t="str">
        <f>IF(ISERROR(VLOOKUP($A351,'SegEnds_NonXtal_BW#'!$A:$Z,14,FALSE)+VLOOKUP($A351,A:AL,19,FALSE)-50),"-",(VLOOKUP($A351,'SegEnds_NonXtal_BW#'!$A:$Z,14,FALSE)+VLOOKUP($A351,A:AL,19,FALSE)-50))</f>
        <v>-</v>
      </c>
      <c r="U351" s="9">
        <f>IF(ISERROR(VLOOKUP($A351,'SegEnds_NonXtal_BW#'!$A:$Z,15,FALSE)+VLOOKUP($A351,A:AL,22,FALSE)-50),"-",VLOOKUP($A351,'SegEnds_NonXtal_BW#'!$A:$Z,15,FALSE)+VLOOKUP($A351,A:AL,22,FALSE)-50)</f>
        <v>161</v>
      </c>
      <c r="V351" s="3">
        <v>173</v>
      </c>
      <c r="W351" s="3">
        <f>IF(ISERROR(VLOOKUP($A351,'SegEnds_NonXtal_BW#'!$A:$Z,16,FALSE)+VLOOKUP($A351,A:AL,22,FALSE)-50),"-",(VLOOKUP($A351,'SegEnds_NonXtal_BW#'!$A:$Z,16,FALSE)+VLOOKUP($A351,A:AL,22,FALSE)-50))</f>
        <v>187</v>
      </c>
      <c r="X351" s="3">
        <f>IF(ISERROR(VLOOKUP($A351,'SegEnds_NonXtal_BW#'!$A:$Z,17,FALSE)+VLOOKUP($A351,A:AL,25,FALSE)-50),"-",(VLOOKUP($A351,'SegEnds_NonXtal_BW#'!$A:$Z,17,FALSE)+VLOOKUP($A351,A:AL,25,FALSE)-50))</f>
        <v>216</v>
      </c>
      <c r="Y351" s="105">
        <v>216</v>
      </c>
      <c r="Z351" s="3">
        <f>IF(ISERROR(VLOOKUP($A351,'SegEnds_NonXtal_BW#'!$A:$Z,18,FALSE)+VLOOKUP($A351,A:AL,25,FALSE)-50),"-",(VLOOKUP($A351,'SegEnds_NonXtal_BW#'!$A:$Z,18,FALSE)+VLOOKUP($A351,A:AL,25,FALSE)-50))</f>
        <v>218</v>
      </c>
      <c r="AA351" s="3">
        <f>IF(ISERROR(VLOOKUP($A351,'SegEnds_NonXtal_BW#'!$A:$Z,19,FALSE)+VLOOKUP($A351,A:AL,28,FALSE)-50),"-",(VLOOKUP($A351,'SegEnds_NonXtal_BW#'!$A:$Z,19,FALSE)+VLOOKUP($A351,A:AL,28,FALSE)-50))</f>
        <v>221</v>
      </c>
      <c r="AB351" s="3">
        <v>235</v>
      </c>
      <c r="AC351" s="3">
        <f>IF(ISERROR((VLOOKUP($A351,'SegEnds_NonXtal_BW#'!$A:$Z,20,FALSE)+VLOOKUP($A351,A:AL,28,FALSE)-50)),"-",(VLOOKUP($A351,'SegEnds_NonXtal_BW#'!$A:$Z,20,FALSE)+VLOOKUP($A351,A:AL,28,FALSE)-50))</f>
        <v>246</v>
      </c>
      <c r="AD351" s="3">
        <f>IF(ISERROR(VLOOKUP($A351,'SegEnds_NonXtal_BW#'!$A:$Z,21,FALSE)+VLOOKUP($A351,A:AL,31,FALSE)-50),"-",(VLOOKUP($A351,'SegEnds_NonXtal_BW#'!$A:$Z,21,FALSE)+VLOOKUP($A351,A:AL,31,FALSE)-50))</f>
        <v>257</v>
      </c>
      <c r="AE351" s="3">
        <v>274</v>
      </c>
      <c r="AF351" s="3">
        <f>IF(ISERROR((VLOOKUP($A351,'SegEnds_NonXtal_BW#'!$A:$Z,22,FALSE)+VLOOKUP($A351,A:AL,31,FALSE)-50)),"-",(VLOOKUP($A351,'SegEnds_NonXtal_BW#'!$A:$Z,22,FALSE)+VLOOKUP($A351,A:AL,31,FALSE)-50))</f>
        <v>281</v>
      </c>
      <c r="AG351" s="3">
        <f>IF(ISERROR(VLOOKUP($A351,'SegEnds_NonXtal_BW#'!$A:$Z,23,FALSE)+VLOOKUP($A351,A:AL,34,FALSE)-50),"-",(VLOOKUP($A351,'SegEnds_NonXtal_BW#'!$A:$Z,23,FALSE)+VLOOKUP($A351,A:AL,34,FALSE)-50))</f>
        <v>287</v>
      </c>
      <c r="AH351" s="3">
        <v>304</v>
      </c>
      <c r="AI351" s="3">
        <f>IF(ISERROR((VLOOKUP($A351,'SegEnds_NonXtal_BW#'!$A:$Z,24,FALSE)+VLOOKUP($A351,A:AL,34,FALSE)-50)),"-",(VLOOKUP($A351,'SegEnds_NonXtal_BW#'!$A:$Z,24,FALSE)+VLOOKUP($A351,A:AL,34,FALSE)-50))</f>
        <v>318</v>
      </c>
      <c r="AJ351" s="3">
        <f>IF(ISERROR(VLOOKUP($A351,'SegEnds_NonXtal_BW#'!$A:$Z,25,FALSE)+VLOOKUP($A351,A:AL,37,FALSE)-50),"-",(VLOOKUP($A351,'SegEnds_NonXtal_BW#'!$A:$Z,25,FALSE)+VLOOKUP($A351,A:AL,37,FALSE)-50))</f>
        <v>319</v>
      </c>
      <c r="AK351" s="3">
        <v>323</v>
      </c>
      <c r="AL351" s="3">
        <f>IF(ISERROR((VLOOKUP($A351,'SegEnds_NonXtal_BW#'!$A:$Z,26,FALSE)+VLOOKUP($A351,A:AL,37,FALSE)-50)),"-",(VLOOKUP($A351,'SegEnds_NonXtal_BW#'!$A:$Z,26,FALSE)+VLOOKUP($A351,A:AL,37,FALSE)-50))</f>
        <v>330</v>
      </c>
      <c r="AM351" s="28" t="str">
        <f>VLOOKUP(A351,Classification!A:B,2,FALSE)</f>
        <v>C</v>
      </c>
      <c r="AN351" s="28" t="b">
        <f t="shared" si="195"/>
        <v>1</v>
      </c>
      <c r="AO351" s="3" t="str">
        <f>IF(ISERROR(MATCH(A351,'SegEnds_Xtal_Prot#'!B:B, 0)), "NoXtal", "Xtal")</f>
        <v>NoXtal</v>
      </c>
      <c r="AP351" s="3">
        <f t="shared" si="180"/>
        <v>3</v>
      </c>
      <c r="AQ351" s="3">
        <f t="shared" si="181"/>
        <v>1</v>
      </c>
      <c r="AR351" s="3" t="str">
        <f t="shared" si="182"/>
        <v>-</v>
      </c>
      <c r="AS351" s="3" t="str">
        <f t="shared" si="183"/>
        <v>-</v>
      </c>
      <c r="AT351" s="3" t="str">
        <f t="shared" si="184"/>
        <v>-</v>
      </c>
      <c r="AU351" s="3" t="str">
        <f t="shared" si="185"/>
        <v>-</v>
      </c>
      <c r="AV351" s="3">
        <f t="shared" si="186"/>
        <v>29</v>
      </c>
      <c r="AW351" s="3">
        <f t="shared" si="187"/>
        <v>3</v>
      </c>
      <c r="AX351" s="3">
        <f t="shared" si="188"/>
        <v>11</v>
      </c>
      <c r="AY351" s="3">
        <f t="shared" si="189"/>
        <v>6</v>
      </c>
      <c r="AZ351" s="3">
        <f t="shared" si="190"/>
        <v>1</v>
      </c>
      <c r="BA351" s="3">
        <f>IF(ISERROR(LEN(VLOOKUP(A351,Seqs!A:E,2,FALSE))-AL351),"-",LEN(VLOOKUP(A351,Seqs!A:E,2,FALSE))-AL351)</f>
        <v>484</v>
      </c>
      <c r="BB351" s="16">
        <f t="shared" si="191"/>
        <v>31</v>
      </c>
      <c r="BC351" s="9" t="str">
        <f t="shared" si="192"/>
        <v>-</v>
      </c>
      <c r="BD351" s="3">
        <f t="shared" si="193"/>
        <v>31</v>
      </c>
      <c r="BE351" s="3">
        <f t="shared" si="194"/>
        <v>39</v>
      </c>
    </row>
    <row r="352" spans="1:58" s="3" customFormat="1" x14ac:dyDescent="0.2">
      <c r="A352" s="3" t="s">
        <v>109</v>
      </c>
      <c r="B352" s="3" t="str">
        <f>LOWER(VLOOKUP(A352,Xtal_Templ!A:B,2,FALSE))</f>
        <v>grm1_human</v>
      </c>
      <c r="C352" s="3">
        <f>VLOOKUP($A352,'SegEnds_NonXtal_BW#'!$A:$Z,3,FALSE)+D352-50</f>
        <v>415</v>
      </c>
      <c r="D352" s="3">
        <v>431</v>
      </c>
      <c r="E352" s="3">
        <f>IF(ISERROR(VLOOKUP($A352,'SegEnds_NonXtal_BW#'!$A:$Z,4,FALSE)+VLOOKUP($A352,A:AL,4,FALSE)-50),"-",(VLOOKUP($A352,'SegEnds_NonXtal_BW#'!$A:$Z,4,FALSE)+VLOOKUP($A352,A:AL,4,FALSE)-50))</f>
        <v>441</v>
      </c>
      <c r="F352" s="3">
        <f t="shared" si="197"/>
        <v>444</v>
      </c>
      <c r="G352" s="3">
        <v>447</v>
      </c>
      <c r="H352" s="3">
        <f t="shared" si="198"/>
        <v>450</v>
      </c>
      <c r="I352" s="3">
        <f t="shared" si="199"/>
        <v>451</v>
      </c>
      <c r="J352" s="3">
        <v>462</v>
      </c>
      <c r="K352" s="3">
        <f>VLOOKUP($A352,'SegEnds_NonXtal_BW#'!$A:$Z,8,FALSE)+VLOOKUP($A352,A:AL,10,FALSE)-50</f>
        <v>473</v>
      </c>
      <c r="L352" s="3" t="str">
        <f>IF(ISERROR(VLOOKUP($A352,'SegEnds_NonXtal_BW#'!$A:$Z,9,FALSE)+VLOOKUP($A352,A:AL,13,FALSE)-50),"-",(VLOOKUP($A352,'SegEnds_NonXtal_BW#'!$A:$Z,9,FALSE)+VLOOKUP($A352,A:AL,13,FALSE)-50))</f>
        <v>-</v>
      </c>
      <c r="M352" s="3" t="s">
        <v>23</v>
      </c>
      <c r="N352" s="3" t="str">
        <f>IF(ISERROR(VLOOKUP($A352,'SegEnds_NonXtal_BW#'!$A:$Z,10,FALSE)+VLOOKUP($A352,A:AL,13,FALSE)-50),"-",(VLOOKUP($A352,'SegEnds_NonXtal_BW#'!$A:$Z,10,FALSE)+VLOOKUP($A352,A:AL,13,FALSE)-50))</f>
        <v>-</v>
      </c>
      <c r="O352" s="3">
        <f>VLOOKUP($A352,'SegEnds_NonXtal_BW#'!$A:$Z,11,FALSE)+VLOOKUP($A352,A:AL,16,FALSE)-50</f>
        <v>478</v>
      </c>
      <c r="P352" s="3">
        <v>506</v>
      </c>
      <c r="Q352" s="3">
        <f>VLOOKUP($A352,'SegEnds_NonXtal_BW#'!$A:$Z,12,FALSE)+VLOOKUP($A352,A:AL,16,FALSE)-50</f>
        <v>510</v>
      </c>
      <c r="R352" s="3" t="str">
        <f>IF(ISERROR(VLOOKUP($A352,'SegEnds_NonXtal_BW#'!$A:$Z,13,FALSE)+VLOOKUP($A352,A:AL,19,FALSE)-50),"-",VLOOKUP($A352,'SegEnds_NonXtal_BW#'!$A:$Z,13,FALSE)+VLOOKUP($A352,A:AL,19,FALSE)-50)</f>
        <v>-</v>
      </c>
      <c r="S352" s="3" t="s">
        <v>23</v>
      </c>
      <c r="T352" s="100" t="str">
        <f>IF(ISERROR(VLOOKUP($A352,'SegEnds_NonXtal_BW#'!$A:$Z,14,FALSE)+VLOOKUP($A352,A:AL,19,FALSE)-50),"-",(VLOOKUP($A352,'SegEnds_NonXtal_BW#'!$A:$Z,14,FALSE)+VLOOKUP($A352,A:AL,19,FALSE)-50))</f>
        <v>-</v>
      </c>
      <c r="U352" s="9">
        <f>IF(ISERROR(VLOOKUP($A352,'SegEnds_NonXtal_BW#'!$A:$Z,15,FALSE)+VLOOKUP($A352,A:AL,22,FALSE)-50),"-",VLOOKUP($A352,'SegEnds_NonXtal_BW#'!$A:$Z,15,FALSE)+VLOOKUP($A352,A:AL,22,FALSE)-50)</f>
        <v>512</v>
      </c>
      <c r="V352" s="3">
        <v>524</v>
      </c>
      <c r="W352" s="3">
        <f>IF(ISERROR(VLOOKUP($A352,'SegEnds_NonXtal_BW#'!$A:$Z,16,FALSE)+VLOOKUP($A352,A:AL,22,FALSE)-50),"-",(VLOOKUP($A352,'SegEnds_NonXtal_BW#'!$A:$Z,16,FALSE)+VLOOKUP($A352,A:AL,22,FALSE)-50))</f>
        <v>538</v>
      </c>
      <c r="X352" s="3">
        <f>IF(ISERROR(VLOOKUP($A352,'SegEnds_NonXtal_BW#'!$A:$Z,17,FALSE)+VLOOKUP($A352,A:AL,25,FALSE)-50),"-",(VLOOKUP($A352,'SegEnds_NonXtal_BW#'!$A:$Z,17,FALSE)+VLOOKUP($A352,A:AL,25,FALSE)-50))</f>
        <v>573</v>
      </c>
      <c r="Y352" s="3">
        <v>573</v>
      </c>
      <c r="Z352" s="3">
        <f>Y352+2</f>
        <v>575</v>
      </c>
      <c r="AA352" s="105">
        <v>576</v>
      </c>
      <c r="AB352" s="3">
        <v>589</v>
      </c>
      <c r="AC352" s="3">
        <f>IF(ISERROR((VLOOKUP($A352,'SegEnds_NonXtal_BW#'!$A:$Z,20,FALSE)+VLOOKUP($A352,A:AL,28,FALSE)-50)),"-",(VLOOKUP($A352,'SegEnds_NonXtal_BW#'!$A:$Z,20,FALSE)+VLOOKUP($A352,A:AL,28,FALSE)-50))</f>
        <v>600</v>
      </c>
      <c r="AD352" s="3">
        <f>IF(ISERROR(VLOOKUP($A352,'SegEnds_NonXtal_BW#'!$A:$Z,21,FALSE)+VLOOKUP($A352,A:AL,31,FALSE)-50),"-",(VLOOKUP($A352,'SegEnds_NonXtal_BW#'!$A:$Z,21,FALSE)+VLOOKUP($A352,A:AL,31,FALSE)-50))</f>
        <v>609</v>
      </c>
      <c r="AE352" s="3">
        <v>626</v>
      </c>
      <c r="AF352" s="3">
        <f>IF(ISERROR((VLOOKUP($A352,'SegEnds_NonXtal_BW#'!$A:$Z,22,FALSE)+VLOOKUP($A352,A:AL,31,FALSE)-50)),"-",(VLOOKUP($A352,'SegEnds_NonXtal_BW#'!$A:$Z,22,FALSE)+VLOOKUP($A352,A:AL,31,FALSE)-50))</f>
        <v>633</v>
      </c>
      <c r="AG352" s="3">
        <f>IF(ISERROR(VLOOKUP($A352,'SegEnds_NonXtal_BW#'!$A:$Z,23,FALSE)+VLOOKUP($A352,A:AL,34,FALSE)-50),"-",(VLOOKUP($A352,'SegEnds_NonXtal_BW#'!$A:$Z,23,FALSE)+VLOOKUP($A352,A:AL,34,FALSE)-50))</f>
        <v>642</v>
      </c>
      <c r="AH352" s="3">
        <v>659</v>
      </c>
      <c r="AI352" s="3">
        <f>IF(ISERROR((VLOOKUP($A352,'SegEnds_NonXtal_BW#'!$A:$Z,24,FALSE)+VLOOKUP($A352,A:AL,34,FALSE)-50)),"-",(VLOOKUP($A352,'SegEnds_NonXtal_BW#'!$A:$Z,24,FALSE)+VLOOKUP($A352,A:AL,34,FALSE)-50))</f>
        <v>673</v>
      </c>
      <c r="AJ352" s="3">
        <f>IF(ISERROR(VLOOKUP($A352,'SegEnds_NonXtal_BW#'!$A:$Z,25,FALSE)+VLOOKUP($A352,A:AL,37,FALSE)-50),"-",(VLOOKUP($A352,'SegEnds_NonXtal_BW#'!$A:$Z,25,FALSE)+VLOOKUP($A352,A:AL,37,FALSE)-50))</f>
        <v>674</v>
      </c>
      <c r="AK352" s="3">
        <v>678</v>
      </c>
      <c r="AL352" s="3">
        <f>IF(ISERROR((VLOOKUP($A352,'SegEnds_NonXtal_BW#'!$A:$Z,26,FALSE)+VLOOKUP($A352,A:AL,37,FALSE)-50)),"-",(VLOOKUP($A352,'SegEnds_NonXtal_BW#'!$A:$Z,26,FALSE)+VLOOKUP($A352,A:AL,37,FALSE)-50))</f>
        <v>685</v>
      </c>
      <c r="AM352" s="28" t="str">
        <f>VLOOKUP(A352,Classification!A:B,2,FALSE)</f>
        <v>C</v>
      </c>
      <c r="AN352" s="28" t="b">
        <f t="shared" si="195"/>
        <v>1</v>
      </c>
      <c r="AO352" s="3" t="str">
        <f>IF(ISERROR(MATCH(A352,'SegEnds_Xtal_Prot#'!B:B, 0)), "NoXtal", "Xtal")</f>
        <v>NoXtal</v>
      </c>
      <c r="AP352" s="3">
        <f t="shared" si="180"/>
        <v>3</v>
      </c>
      <c r="AQ352" s="3">
        <f t="shared" si="181"/>
        <v>1</v>
      </c>
      <c r="AR352" s="3" t="str">
        <f t="shared" si="182"/>
        <v>-</v>
      </c>
      <c r="AS352" s="3" t="str">
        <f t="shared" si="183"/>
        <v>-</v>
      </c>
      <c r="AT352" s="3" t="str">
        <f t="shared" si="184"/>
        <v>-</v>
      </c>
      <c r="AU352" s="3" t="str">
        <f t="shared" si="185"/>
        <v>-</v>
      </c>
      <c r="AV352" s="3">
        <f t="shared" si="186"/>
        <v>35</v>
      </c>
      <c r="AW352" s="3">
        <f t="shared" si="187"/>
        <v>1</v>
      </c>
      <c r="AX352" s="3">
        <f t="shared" si="188"/>
        <v>9</v>
      </c>
      <c r="AY352" s="3">
        <f t="shared" si="189"/>
        <v>9</v>
      </c>
      <c r="AZ352" s="3">
        <f t="shared" si="190"/>
        <v>1</v>
      </c>
      <c r="BA352" s="3">
        <f>IF(ISERROR(LEN(VLOOKUP(A352,Seqs!A:E,2,FALSE))-AL352),"-",LEN(VLOOKUP(A352,Seqs!A:E,2,FALSE))-AL352)</f>
        <v>530</v>
      </c>
      <c r="BB352" s="16">
        <f t="shared" si="191"/>
        <v>31</v>
      </c>
      <c r="BC352" s="9" t="str">
        <f t="shared" si="192"/>
        <v>-</v>
      </c>
      <c r="BD352" s="3">
        <f t="shared" si="193"/>
        <v>31</v>
      </c>
      <c r="BE352" s="3">
        <f t="shared" si="194"/>
        <v>37</v>
      </c>
    </row>
    <row r="353" spans="1:58" s="3" customFormat="1" x14ac:dyDescent="0.2">
      <c r="A353" s="3" t="s">
        <v>110</v>
      </c>
      <c r="B353" s="3" t="str">
        <f>LOWER(VLOOKUP(A353,Xtal_Templ!A:B,2,FALSE))</f>
        <v>grm1_human</v>
      </c>
      <c r="C353" s="3">
        <f>VLOOKUP($A353,'SegEnds_NonXtal_BW#'!$A:$Z,3,FALSE)+D353-50</f>
        <v>379</v>
      </c>
      <c r="D353" s="3">
        <v>395</v>
      </c>
      <c r="E353" s="3">
        <f>IF(ISERROR(VLOOKUP($A353,'SegEnds_NonXtal_BW#'!$A:$Z,4,FALSE)+VLOOKUP($A353,A:AL,4,FALSE)-50),"-",(VLOOKUP($A353,'SegEnds_NonXtal_BW#'!$A:$Z,4,FALSE)+VLOOKUP($A353,A:AL,4,FALSE)-50))</f>
        <v>405</v>
      </c>
      <c r="F353" s="3">
        <f t="shared" si="197"/>
        <v>408</v>
      </c>
      <c r="G353" s="3">
        <v>411</v>
      </c>
      <c r="H353" s="3">
        <f t="shared" si="198"/>
        <v>414</v>
      </c>
      <c r="I353" s="3">
        <f t="shared" si="199"/>
        <v>415</v>
      </c>
      <c r="J353" s="3">
        <v>426</v>
      </c>
      <c r="K353" s="3">
        <f>VLOOKUP($A353,'SegEnds_NonXtal_BW#'!$A:$Z,8,FALSE)+VLOOKUP($A353,A:AL,10,FALSE)-50</f>
        <v>437</v>
      </c>
      <c r="L353" s="3" t="str">
        <f>IF(ISERROR(VLOOKUP($A353,'SegEnds_NonXtal_BW#'!$A:$Z,9,FALSE)+VLOOKUP($A353,A:AL,13,FALSE)-50),"-",(VLOOKUP($A353,'SegEnds_NonXtal_BW#'!$A:$Z,9,FALSE)+VLOOKUP($A353,A:AL,13,FALSE)-50))</f>
        <v>-</v>
      </c>
      <c r="M353" s="3" t="s">
        <v>23</v>
      </c>
      <c r="N353" s="3" t="str">
        <f>IF(ISERROR(VLOOKUP($A353,'SegEnds_NonXtal_BW#'!$A:$Z,10,FALSE)+VLOOKUP($A353,A:AL,13,FALSE)-50),"-",(VLOOKUP($A353,'SegEnds_NonXtal_BW#'!$A:$Z,10,FALSE)+VLOOKUP($A353,A:AL,13,FALSE)-50))</f>
        <v>-</v>
      </c>
      <c r="O353" s="3">
        <f>VLOOKUP($A353,'SegEnds_NonXtal_BW#'!$A:$Z,11,FALSE)+VLOOKUP($A353,A:AL,16,FALSE)-50</f>
        <v>442</v>
      </c>
      <c r="P353" s="3">
        <v>470</v>
      </c>
      <c r="Q353" s="3">
        <f>VLOOKUP($A353,'SegEnds_NonXtal_BW#'!$A:$Z,12,FALSE)+VLOOKUP($A353,A:AL,16,FALSE)-50</f>
        <v>474</v>
      </c>
      <c r="R353" s="3" t="str">
        <f>IF(ISERROR(VLOOKUP($A353,'SegEnds_NonXtal_BW#'!$A:$Z,13,FALSE)+VLOOKUP($A353,A:AL,19,FALSE)-50),"-",VLOOKUP($A353,'SegEnds_NonXtal_BW#'!$A:$Z,13,FALSE)+VLOOKUP($A353,A:AL,19,FALSE)-50)</f>
        <v>-</v>
      </c>
      <c r="S353" s="3" t="s">
        <v>23</v>
      </c>
      <c r="T353" s="100" t="str">
        <f>IF(ISERROR(VLOOKUP($A353,'SegEnds_NonXtal_BW#'!$A:$Z,14,FALSE)+VLOOKUP($A353,A:AL,19,FALSE)-50),"-",(VLOOKUP($A353,'SegEnds_NonXtal_BW#'!$A:$Z,14,FALSE)+VLOOKUP($A353,A:AL,19,FALSE)-50))</f>
        <v>-</v>
      </c>
      <c r="U353" s="9">
        <f>IF(ISERROR(VLOOKUP($A353,'SegEnds_NonXtal_BW#'!$A:$Z,15,FALSE)+VLOOKUP($A353,A:AL,22,FALSE)-50),"-",VLOOKUP($A353,'SegEnds_NonXtal_BW#'!$A:$Z,15,FALSE)+VLOOKUP($A353,A:AL,22,FALSE)-50)</f>
        <v>476</v>
      </c>
      <c r="V353" s="3">
        <v>488</v>
      </c>
      <c r="W353" s="3">
        <f>IF(ISERROR(VLOOKUP($A353,'SegEnds_NonXtal_BW#'!$A:$Z,16,FALSE)+VLOOKUP($A353,A:AL,22,FALSE)-50),"-",(VLOOKUP($A353,'SegEnds_NonXtal_BW#'!$A:$Z,16,FALSE)+VLOOKUP($A353,A:AL,22,FALSE)-50))</f>
        <v>502</v>
      </c>
      <c r="X353" s="3">
        <f>IF(ISERROR(VLOOKUP($A353,'SegEnds_NonXtal_BW#'!$A:$Z,17,FALSE)+VLOOKUP($A353,A:AL,25,FALSE)-50),"-",(VLOOKUP($A353,'SegEnds_NonXtal_BW#'!$A:$Z,17,FALSE)+VLOOKUP($A353,A:AL,25,FALSE)-50))</f>
        <v>537</v>
      </c>
      <c r="Y353" s="3">
        <v>537</v>
      </c>
      <c r="Z353" s="3">
        <f>Y353+2</f>
        <v>539</v>
      </c>
      <c r="AA353" s="105">
        <v>540</v>
      </c>
      <c r="AB353" s="3">
        <v>553</v>
      </c>
      <c r="AC353" s="3">
        <f>IF(ISERROR((VLOOKUP($A353,'SegEnds_NonXtal_BW#'!$A:$Z,20,FALSE)+VLOOKUP($A353,A:AL,28,FALSE)-50)),"-",(VLOOKUP($A353,'SegEnds_NonXtal_BW#'!$A:$Z,20,FALSE)+VLOOKUP($A353,A:AL,28,FALSE)-50))</f>
        <v>564</v>
      </c>
      <c r="AD353" s="3">
        <f>IF(ISERROR(VLOOKUP($A353,'SegEnds_NonXtal_BW#'!$A:$Z,21,FALSE)+VLOOKUP($A353,A:AL,31,FALSE)-50),"-",(VLOOKUP($A353,'SegEnds_NonXtal_BW#'!$A:$Z,21,FALSE)+VLOOKUP($A353,A:AL,31,FALSE)-50))</f>
        <v>573</v>
      </c>
      <c r="AE353" s="3">
        <v>590</v>
      </c>
      <c r="AF353" s="3">
        <f>IF(ISERROR((VLOOKUP($A353,'SegEnds_NonXtal_BW#'!$A:$Z,22,FALSE)+VLOOKUP($A353,A:AL,31,FALSE)-50)),"-",(VLOOKUP($A353,'SegEnds_NonXtal_BW#'!$A:$Z,22,FALSE)+VLOOKUP($A353,A:AL,31,FALSE)-50))</f>
        <v>597</v>
      </c>
      <c r="AG353" s="3">
        <f>IF(ISERROR(VLOOKUP($A353,'SegEnds_NonXtal_BW#'!$A:$Z,23,FALSE)+VLOOKUP($A353,A:AL,34,FALSE)-50),"-",(VLOOKUP($A353,'SegEnds_NonXtal_BW#'!$A:$Z,23,FALSE)+VLOOKUP($A353,A:AL,34,FALSE)-50))</f>
        <v>606</v>
      </c>
      <c r="AH353" s="3">
        <v>623</v>
      </c>
      <c r="AI353" s="3">
        <f>IF(ISERROR((VLOOKUP($A353,'SegEnds_NonXtal_BW#'!$A:$Z,24,FALSE)+VLOOKUP($A353,A:AL,34,FALSE)-50)),"-",(VLOOKUP($A353,'SegEnds_NonXtal_BW#'!$A:$Z,24,FALSE)+VLOOKUP($A353,A:AL,34,FALSE)-50))</f>
        <v>637</v>
      </c>
      <c r="AJ353" s="3">
        <f>IF(ISERROR(VLOOKUP($A353,'SegEnds_NonXtal_BW#'!$A:$Z,25,FALSE)+VLOOKUP($A353,A:AL,37,FALSE)-50),"-",(VLOOKUP($A353,'SegEnds_NonXtal_BW#'!$A:$Z,25,FALSE)+VLOOKUP($A353,A:AL,37,FALSE)-50))</f>
        <v>638</v>
      </c>
      <c r="AK353" s="3">
        <v>642</v>
      </c>
      <c r="AL353" s="3">
        <f>IF(ISERROR((VLOOKUP($A353,'SegEnds_NonXtal_BW#'!$A:$Z,26,FALSE)+VLOOKUP($A353,A:AL,37,FALSE)-50)),"-",(VLOOKUP($A353,'SegEnds_NonXtal_BW#'!$A:$Z,26,FALSE)+VLOOKUP($A353,A:AL,37,FALSE)-50))</f>
        <v>649</v>
      </c>
      <c r="AM353" s="28" t="str">
        <f>VLOOKUP(A353,Classification!A:B,2,FALSE)</f>
        <v>C</v>
      </c>
      <c r="AN353" s="28" t="b">
        <f t="shared" si="195"/>
        <v>1</v>
      </c>
      <c r="AO353" s="3" t="str">
        <f>IF(ISERROR(MATCH(A353,'SegEnds_Xtal_Prot#'!B:B, 0)), "NoXtal", "Xtal")</f>
        <v>NoXtal</v>
      </c>
      <c r="AP353" s="3">
        <f t="shared" si="180"/>
        <v>3</v>
      </c>
      <c r="AQ353" s="3">
        <f t="shared" si="181"/>
        <v>1</v>
      </c>
      <c r="AR353" s="3" t="str">
        <f t="shared" si="182"/>
        <v>-</v>
      </c>
      <c r="AS353" s="3" t="str">
        <f t="shared" si="183"/>
        <v>-</v>
      </c>
      <c r="AT353" s="3" t="str">
        <f t="shared" si="184"/>
        <v>-</v>
      </c>
      <c r="AU353" s="3" t="str">
        <f t="shared" si="185"/>
        <v>-</v>
      </c>
      <c r="AV353" s="3">
        <f t="shared" si="186"/>
        <v>35</v>
      </c>
      <c r="AW353" s="3">
        <f t="shared" si="187"/>
        <v>1</v>
      </c>
      <c r="AX353" s="3">
        <f t="shared" si="188"/>
        <v>9</v>
      </c>
      <c r="AY353" s="3">
        <f t="shared" si="189"/>
        <v>9</v>
      </c>
      <c r="AZ353" s="3">
        <f t="shared" si="190"/>
        <v>1</v>
      </c>
      <c r="BA353" s="3">
        <f>IF(ISERROR(LEN(VLOOKUP(A353,Seqs!A:E,2,FALSE))-AL353),"-",LEN(VLOOKUP(A353,Seqs!A:E,2,FALSE))-AL353)</f>
        <v>1718</v>
      </c>
      <c r="BB353" s="16">
        <f t="shared" si="191"/>
        <v>31</v>
      </c>
      <c r="BC353" s="9" t="str">
        <f t="shared" si="192"/>
        <v>-</v>
      </c>
      <c r="BD353" s="3">
        <f t="shared" si="193"/>
        <v>31</v>
      </c>
      <c r="BE353" s="3">
        <f t="shared" si="194"/>
        <v>37</v>
      </c>
    </row>
    <row r="354" spans="1:58" s="3" customFormat="1" x14ac:dyDescent="0.2">
      <c r="A354" s="3" t="s">
        <v>111</v>
      </c>
      <c r="B354" s="3" t="str">
        <f>LOWER(VLOOKUP(A354,Xtal_Templ!A:B,2,FALSE))</f>
        <v>grm1_human</v>
      </c>
      <c r="C354" s="3">
        <f>VLOOKUP($A354,'SegEnds_NonXtal_BW#'!$A:$Z,3,FALSE)+D354-50</f>
        <v>54</v>
      </c>
      <c r="D354" s="3">
        <v>70</v>
      </c>
      <c r="E354" s="3">
        <f>IF(ISERROR(VLOOKUP($A354,'SegEnds_NonXtal_BW#'!$A:$Z,4,FALSE)+VLOOKUP($A354,A:AL,4,FALSE)-50),"-",(VLOOKUP($A354,'SegEnds_NonXtal_BW#'!$A:$Z,4,FALSE)+VLOOKUP($A354,A:AL,4,FALSE)-50))</f>
        <v>80</v>
      </c>
      <c r="F354" s="3">
        <f t="shared" si="197"/>
        <v>81</v>
      </c>
      <c r="G354" s="3">
        <v>84</v>
      </c>
      <c r="H354" s="3">
        <f t="shared" si="198"/>
        <v>87</v>
      </c>
      <c r="I354" s="3">
        <f t="shared" si="199"/>
        <v>88</v>
      </c>
      <c r="J354" s="3">
        <v>103</v>
      </c>
      <c r="K354" s="3">
        <f>VLOOKUP($A354,'SegEnds_NonXtal_BW#'!$A:$Z,8,FALSE)+VLOOKUP($A354,A:AL,10,FALSE)-50</f>
        <v>114</v>
      </c>
      <c r="L354" s="3" t="str">
        <f>IF(ISERROR(VLOOKUP($A354,'SegEnds_NonXtal_BW#'!$A:$Z,9,FALSE)+VLOOKUP($A354,A:AL,13,FALSE)-50),"-",(VLOOKUP($A354,'SegEnds_NonXtal_BW#'!$A:$Z,9,FALSE)+VLOOKUP($A354,A:AL,13,FALSE)-50))</f>
        <v>-</v>
      </c>
      <c r="M354" s="3" t="s">
        <v>23</v>
      </c>
      <c r="N354" s="3" t="str">
        <f>IF(ISERROR(VLOOKUP($A354,'SegEnds_NonXtal_BW#'!$A:$Z,10,FALSE)+VLOOKUP($A354,A:AL,13,FALSE)-50),"-",(VLOOKUP($A354,'SegEnds_NonXtal_BW#'!$A:$Z,10,FALSE)+VLOOKUP($A354,A:AL,13,FALSE)-50))</f>
        <v>-</v>
      </c>
      <c r="O354" s="3">
        <f>VLOOKUP($A354,'SegEnds_NonXtal_BW#'!$A:$Z,11,FALSE)+VLOOKUP($A354,A:AL,16,FALSE)-50</f>
        <v>119</v>
      </c>
      <c r="P354" s="3">
        <v>147</v>
      </c>
      <c r="Q354" s="3">
        <f>VLOOKUP($A354,'SegEnds_NonXtal_BW#'!$A:$Z,12,FALSE)+VLOOKUP($A354,A:AL,16,FALSE)-50</f>
        <v>151</v>
      </c>
      <c r="R354" s="3" t="str">
        <f>IF(ISERROR(VLOOKUP($A354,'SegEnds_NonXtal_BW#'!$A:$Z,13,FALSE)+VLOOKUP($A354,A:AL,19,FALSE)-50),"-",VLOOKUP($A354,'SegEnds_NonXtal_BW#'!$A:$Z,13,FALSE)+VLOOKUP($A354,A:AL,19,FALSE)-50)</f>
        <v>-</v>
      </c>
      <c r="S354" s="3" t="s">
        <v>23</v>
      </c>
      <c r="T354" s="100" t="str">
        <f>IF(ISERROR(VLOOKUP($A354,'SegEnds_NonXtal_BW#'!$A:$Z,14,FALSE)+VLOOKUP($A354,A:AL,19,FALSE)-50),"-",(VLOOKUP($A354,'SegEnds_NonXtal_BW#'!$A:$Z,14,FALSE)+VLOOKUP($A354,A:AL,19,FALSE)-50))</f>
        <v>-</v>
      </c>
      <c r="U354" s="9">
        <f>IF(ISERROR(VLOOKUP($A354,'SegEnds_NonXtal_BW#'!$A:$Z,15,FALSE)+VLOOKUP($A354,A:AL,22,FALSE)-50),"-",VLOOKUP($A354,'SegEnds_NonXtal_BW#'!$A:$Z,15,FALSE)+VLOOKUP($A354,A:AL,22,FALSE)-50)</f>
        <v>158</v>
      </c>
      <c r="V354" s="3">
        <v>170</v>
      </c>
      <c r="W354" s="3">
        <f>IF(ISERROR(VLOOKUP($A354,'SegEnds_NonXtal_BW#'!$A:$Z,16,FALSE)+VLOOKUP($A354,A:AL,22,FALSE)-50),"-",(VLOOKUP($A354,'SegEnds_NonXtal_BW#'!$A:$Z,16,FALSE)+VLOOKUP($A354,A:AL,22,FALSE)-50))</f>
        <v>184</v>
      </c>
      <c r="X354" s="3">
        <f>IF(ISERROR(VLOOKUP($A354,'SegEnds_NonXtal_BW#'!$A:$Z,17,FALSE)+VLOOKUP($A354,A:AL,25,FALSE)-50),"-",(VLOOKUP($A354,'SegEnds_NonXtal_BW#'!$A:$Z,17,FALSE)+VLOOKUP($A354,A:AL,25,FALSE)-50))</f>
        <v>193</v>
      </c>
      <c r="Y354" s="3">
        <v>193</v>
      </c>
      <c r="Z354" s="3">
        <f>Y354+2</f>
        <v>195</v>
      </c>
      <c r="AA354" s="3">
        <f>IF(ISERROR(VLOOKUP($A354,'SegEnds_NonXtal_BW#'!$A:$Z,19,FALSE)+VLOOKUP($A354,A:AL,28,FALSE)-50),"-",(VLOOKUP($A354,'SegEnds_NonXtal_BW#'!$A:$Z,19,FALSE)+VLOOKUP($A354,A:AL,28,FALSE)-50))</f>
        <v>196</v>
      </c>
      <c r="AB354" s="3">
        <v>210</v>
      </c>
      <c r="AC354" s="3">
        <f>IF(ISERROR((VLOOKUP($A354,'SegEnds_NonXtal_BW#'!$A:$Z,20,FALSE)+VLOOKUP($A354,A:AL,28,FALSE)-50)),"-",(VLOOKUP($A354,'SegEnds_NonXtal_BW#'!$A:$Z,20,FALSE)+VLOOKUP($A354,A:AL,28,FALSE)-50))</f>
        <v>221</v>
      </c>
      <c r="AD354" s="3">
        <f>IF(ISERROR(VLOOKUP($A354,'SegEnds_NonXtal_BW#'!$A:$Z,21,FALSE)+VLOOKUP($A354,A:AL,31,FALSE)-50),"-",(VLOOKUP($A354,'SegEnds_NonXtal_BW#'!$A:$Z,21,FALSE)+VLOOKUP($A354,A:AL,31,FALSE)-50))</f>
        <v>232</v>
      </c>
      <c r="AE354" s="3">
        <v>249</v>
      </c>
      <c r="AF354" s="3">
        <f>IF(ISERROR((VLOOKUP($A354,'SegEnds_NonXtal_BW#'!$A:$Z,22,FALSE)+VLOOKUP($A354,A:AL,31,FALSE)-50)),"-",(VLOOKUP($A354,'SegEnds_NonXtal_BW#'!$A:$Z,22,FALSE)+VLOOKUP($A354,A:AL,31,FALSE)-50))</f>
        <v>256</v>
      </c>
      <c r="AG354" s="3">
        <f>IF(ISERROR(VLOOKUP($A354,'SegEnds_NonXtal_BW#'!$A:$Z,23,FALSE)+VLOOKUP($A354,A:AL,34,FALSE)-50),"-",(VLOOKUP($A354,'SegEnds_NonXtal_BW#'!$A:$Z,23,FALSE)+VLOOKUP($A354,A:AL,34,FALSE)-50))</f>
        <v>267</v>
      </c>
      <c r="AH354" s="3">
        <v>284</v>
      </c>
      <c r="AI354" s="3">
        <f>IF(ISERROR((VLOOKUP($A354,'SegEnds_NonXtal_BW#'!$A:$Z,24,FALSE)+VLOOKUP($A354,A:AL,34,FALSE)-50)),"-",(VLOOKUP($A354,'SegEnds_NonXtal_BW#'!$A:$Z,24,FALSE)+VLOOKUP($A354,A:AL,34,FALSE)-50))</f>
        <v>298</v>
      </c>
      <c r="AJ354" s="3">
        <f>IF(ISERROR(VLOOKUP($A354,'SegEnds_NonXtal_BW#'!$A:$Z,25,FALSE)+VLOOKUP($A354,A:AL,37,FALSE)-50),"-",(VLOOKUP($A354,'SegEnds_NonXtal_BW#'!$A:$Z,25,FALSE)+VLOOKUP($A354,A:AL,37,FALSE)-50))</f>
        <v>300</v>
      </c>
      <c r="AK354" s="3">
        <v>304</v>
      </c>
      <c r="AL354" s="3">
        <f>IF(ISERROR((VLOOKUP($A354,'SegEnds_NonXtal_BW#'!$A:$Z,26,FALSE)+VLOOKUP($A354,A:AL,37,FALSE)-50)),"-",(VLOOKUP($A354,'SegEnds_NonXtal_BW#'!$A:$Z,26,FALSE)+VLOOKUP($A354,A:AL,37,FALSE)-50))</f>
        <v>311</v>
      </c>
      <c r="AM354" s="28" t="str">
        <f>VLOOKUP(A354,Classification!A:B,2,FALSE)</f>
        <v>C</v>
      </c>
      <c r="AN354" s="28" t="b">
        <f t="shared" si="195"/>
        <v>1</v>
      </c>
      <c r="AO354" s="3" t="str">
        <f>IF(ISERROR(MATCH(A354,'SegEnds_Xtal_Prot#'!B:B, 0)), "NoXtal", "Xtal")</f>
        <v>NoXtal</v>
      </c>
      <c r="AP354" s="3">
        <f t="shared" si="180"/>
        <v>1</v>
      </c>
      <c r="AQ354" s="3">
        <f t="shared" si="181"/>
        <v>1</v>
      </c>
      <c r="AR354" s="3" t="str">
        <f t="shared" si="182"/>
        <v>-</v>
      </c>
      <c r="AS354" s="3" t="str">
        <f t="shared" si="183"/>
        <v>-</v>
      </c>
      <c r="AT354" s="3" t="str">
        <f t="shared" si="184"/>
        <v>-</v>
      </c>
      <c r="AU354" s="3" t="str">
        <f t="shared" si="185"/>
        <v>-</v>
      </c>
      <c r="AV354" s="3">
        <f t="shared" si="186"/>
        <v>9</v>
      </c>
      <c r="AW354" s="3">
        <f t="shared" si="187"/>
        <v>1</v>
      </c>
      <c r="AX354" s="3">
        <f t="shared" si="188"/>
        <v>11</v>
      </c>
      <c r="AY354" s="3">
        <f t="shared" si="189"/>
        <v>11</v>
      </c>
      <c r="AZ354" s="3">
        <f t="shared" si="190"/>
        <v>2</v>
      </c>
      <c r="BA354" s="3">
        <f>IF(ISERROR(LEN(VLOOKUP(A354,Seqs!A:E,2,FALSE))-AL354),"-",LEN(VLOOKUP(A354,Seqs!A:E,2,FALSE))-AL354)</f>
        <v>92</v>
      </c>
      <c r="BB354" s="16">
        <f t="shared" si="191"/>
        <v>33</v>
      </c>
      <c r="BC354" s="9" t="str">
        <f t="shared" si="192"/>
        <v>-</v>
      </c>
      <c r="BD354" s="3">
        <f t="shared" si="193"/>
        <v>33</v>
      </c>
      <c r="BE354" s="3">
        <f t="shared" si="194"/>
        <v>39</v>
      </c>
    </row>
    <row r="355" spans="1:58" s="3" customFormat="1" x14ac:dyDescent="0.2">
      <c r="A355" s="3" t="s">
        <v>112</v>
      </c>
      <c r="B355" s="3" t="str">
        <f>LOWER(VLOOKUP(A355,Xtal_Templ!A:B,2,FALSE))</f>
        <v>grm1_human</v>
      </c>
      <c r="C355" s="3">
        <f>VLOOKUP($A355,'SegEnds_NonXtal_BW#'!$A:$Z,3,FALSE)+D355-50</f>
        <v>48</v>
      </c>
      <c r="D355" s="3">
        <v>64</v>
      </c>
      <c r="E355" s="3">
        <f>IF(ISERROR(VLOOKUP($A355,'SegEnds_NonXtal_BW#'!$A:$Z,4,FALSE)+VLOOKUP($A355,A:AL,4,FALSE)-50),"-",(VLOOKUP($A355,'SegEnds_NonXtal_BW#'!$A:$Z,4,FALSE)+VLOOKUP($A355,A:AL,4,FALSE)-50))</f>
        <v>74</v>
      </c>
      <c r="F355" s="3">
        <f t="shared" si="197"/>
        <v>75</v>
      </c>
      <c r="G355" s="3">
        <v>78</v>
      </c>
      <c r="H355" s="3">
        <f t="shared" si="198"/>
        <v>81</v>
      </c>
      <c r="I355" s="3">
        <f t="shared" si="199"/>
        <v>82</v>
      </c>
      <c r="J355" s="3">
        <v>97</v>
      </c>
      <c r="K355" s="3">
        <f>VLOOKUP($A355,'SegEnds_NonXtal_BW#'!$A:$Z,8,FALSE)+VLOOKUP($A355,A:AL,10,FALSE)-50</f>
        <v>108</v>
      </c>
      <c r="L355" s="3" t="str">
        <f>IF(ISERROR(VLOOKUP($A355,'SegEnds_NonXtal_BW#'!$A:$Z,9,FALSE)+VLOOKUP($A355,A:AL,13,FALSE)-50),"-",(VLOOKUP($A355,'SegEnds_NonXtal_BW#'!$A:$Z,9,FALSE)+VLOOKUP($A355,A:AL,13,FALSE)-50))</f>
        <v>-</v>
      </c>
      <c r="M355" s="3" t="s">
        <v>23</v>
      </c>
      <c r="N355" s="3" t="str">
        <f>IF(ISERROR(VLOOKUP($A355,'SegEnds_NonXtal_BW#'!$A:$Z,10,FALSE)+VLOOKUP($A355,A:AL,13,FALSE)-50),"-",(VLOOKUP($A355,'SegEnds_NonXtal_BW#'!$A:$Z,10,FALSE)+VLOOKUP($A355,A:AL,13,FALSE)-50))</f>
        <v>-</v>
      </c>
      <c r="O355" s="3">
        <f>VLOOKUP($A355,'SegEnds_NonXtal_BW#'!$A:$Z,11,FALSE)+VLOOKUP($A355,A:AL,16,FALSE)-50</f>
        <v>113</v>
      </c>
      <c r="P355" s="3">
        <v>141</v>
      </c>
      <c r="Q355" s="3">
        <f>VLOOKUP($A355,'SegEnds_NonXtal_BW#'!$A:$Z,12,FALSE)+VLOOKUP($A355,A:AL,16,FALSE)-50</f>
        <v>145</v>
      </c>
      <c r="R355" s="3" t="str">
        <f>IF(ISERROR(VLOOKUP($A355,'SegEnds_NonXtal_BW#'!$A:$Z,13,FALSE)+VLOOKUP($A355,A:AL,19,FALSE)-50),"-",VLOOKUP($A355,'SegEnds_NonXtal_BW#'!$A:$Z,13,FALSE)+VLOOKUP($A355,A:AL,19,FALSE)-50)</f>
        <v>-</v>
      </c>
      <c r="S355" s="3" t="s">
        <v>23</v>
      </c>
      <c r="T355" s="100" t="str">
        <f>IF(ISERROR(VLOOKUP($A355,'SegEnds_NonXtal_BW#'!$A:$Z,14,FALSE)+VLOOKUP($A355,A:AL,19,FALSE)-50),"-",(VLOOKUP($A355,'SegEnds_NonXtal_BW#'!$A:$Z,14,FALSE)+VLOOKUP($A355,A:AL,19,FALSE)-50))</f>
        <v>-</v>
      </c>
      <c r="U355" s="9">
        <f>IF(ISERROR(VLOOKUP($A355,'SegEnds_NonXtal_BW#'!$A:$Z,15,FALSE)+VLOOKUP($A355,A:AL,22,FALSE)-50),"-",VLOOKUP($A355,'SegEnds_NonXtal_BW#'!$A:$Z,15,FALSE)+VLOOKUP($A355,A:AL,22,FALSE)-50)</f>
        <v>152</v>
      </c>
      <c r="V355" s="3">
        <v>164</v>
      </c>
      <c r="W355" s="3">
        <f>IF(ISERROR(VLOOKUP($A355,'SegEnds_NonXtal_BW#'!$A:$Z,16,FALSE)+VLOOKUP($A355,A:AL,22,FALSE)-50),"-",(VLOOKUP($A355,'SegEnds_NonXtal_BW#'!$A:$Z,16,FALSE)+VLOOKUP($A355,A:AL,22,FALSE)-50))</f>
        <v>178</v>
      </c>
      <c r="X355" s="3">
        <f>IF(ISERROR(VLOOKUP($A355,'SegEnds_NonXtal_BW#'!$A:$Z,17,FALSE)+VLOOKUP($A355,A:AL,25,FALSE)-50),"-",(VLOOKUP($A355,'SegEnds_NonXtal_BW#'!$A:$Z,17,FALSE)+VLOOKUP($A355,A:AL,25,FALSE)-50))</f>
        <v>202</v>
      </c>
      <c r="Y355" s="3">
        <v>202</v>
      </c>
      <c r="Z355" s="3">
        <f>Y355+2</f>
        <v>204</v>
      </c>
      <c r="AA355" s="3">
        <f>IF(ISERROR(VLOOKUP($A355,'SegEnds_NonXtal_BW#'!$A:$Z,19,FALSE)+VLOOKUP($A355,A:AL,28,FALSE)-50),"-",(VLOOKUP($A355,'SegEnds_NonXtal_BW#'!$A:$Z,19,FALSE)+VLOOKUP($A355,A:AL,28,FALSE)-50))</f>
        <v>205</v>
      </c>
      <c r="AB355" s="3">
        <v>219</v>
      </c>
      <c r="AC355" s="3">
        <f>IF(ISERROR((VLOOKUP($A355,'SegEnds_NonXtal_BW#'!$A:$Z,20,FALSE)+VLOOKUP($A355,A:AL,28,FALSE)-50)),"-",(VLOOKUP($A355,'SegEnds_NonXtal_BW#'!$A:$Z,20,FALSE)+VLOOKUP($A355,A:AL,28,FALSE)-50))</f>
        <v>230</v>
      </c>
      <c r="AD355" s="3">
        <f>IF(ISERROR(VLOOKUP($A355,'SegEnds_NonXtal_BW#'!$A:$Z,21,FALSE)+VLOOKUP($A355,A:AL,31,FALSE)-50),"-",(VLOOKUP($A355,'SegEnds_NonXtal_BW#'!$A:$Z,21,FALSE)+VLOOKUP($A355,A:AL,31,FALSE)-50))</f>
        <v>241</v>
      </c>
      <c r="AE355" s="3">
        <v>258</v>
      </c>
      <c r="AF355" s="3">
        <f>IF(ISERROR((VLOOKUP($A355,'SegEnds_NonXtal_BW#'!$A:$Z,22,FALSE)+VLOOKUP($A355,A:AL,31,FALSE)-50)),"-",(VLOOKUP($A355,'SegEnds_NonXtal_BW#'!$A:$Z,22,FALSE)+VLOOKUP($A355,A:AL,31,FALSE)-50))</f>
        <v>265</v>
      </c>
      <c r="AG355" s="3">
        <f>IF(ISERROR(VLOOKUP($A355,'SegEnds_NonXtal_BW#'!$A:$Z,23,FALSE)+VLOOKUP($A355,A:AL,34,FALSE)-50),"-",(VLOOKUP($A355,'SegEnds_NonXtal_BW#'!$A:$Z,23,FALSE)+VLOOKUP($A355,A:AL,34,FALSE)-50))</f>
        <v>275</v>
      </c>
      <c r="AH355" s="3">
        <v>292</v>
      </c>
      <c r="AI355" s="3">
        <f>IF(ISERROR((VLOOKUP($A355,'SegEnds_NonXtal_BW#'!$A:$Z,24,FALSE)+VLOOKUP($A355,A:AL,34,FALSE)-50)),"-",(VLOOKUP($A355,'SegEnds_NonXtal_BW#'!$A:$Z,24,FALSE)+VLOOKUP($A355,A:AL,34,FALSE)-50))</f>
        <v>306</v>
      </c>
      <c r="AJ355" s="3">
        <f>IF(ISERROR(VLOOKUP($A355,'SegEnds_NonXtal_BW#'!$A:$Z,25,FALSE)+VLOOKUP($A355,A:AL,37,FALSE)-50),"-",(VLOOKUP($A355,'SegEnds_NonXtal_BW#'!$A:$Z,25,FALSE)+VLOOKUP($A355,A:AL,37,FALSE)-50))</f>
        <v>308</v>
      </c>
      <c r="AK355" s="3">
        <v>312</v>
      </c>
      <c r="AL355" s="3">
        <v>319</v>
      </c>
      <c r="AM355" s="28" t="str">
        <f>VLOOKUP(A355,Classification!A:B,2,FALSE)</f>
        <v>C</v>
      </c>
      <c r="AN355" s="28" t="b">
        <f t="shared" si="195"/>
        <v>1</v>
      </c>
      <c r="AO355" s="3" t="str">
        <f>IF(ISERROR(MATCH(A355,'SegEnds_Xtal_Prot#'!B:B, 0)), "NoXtal", "Xtal")</f>
        <v>NoXtal</v>
      </c>
      <c r="AP355" s="3">
        <f t="shared" si="180"/>
        <v>1</v>
      </c>
      <c r="AQ355" s="3">
        <f t="shared" si="181"/>
        <v>1</v>
      </c>
      <c r="AR355" s="3" t="str">
        <f t="shared" si="182"/>
        <v>-</v>
      </c>
      <c r="AS355" s="3" t="str">
        <f t="shared" si="183"/>
        <v>-</v>
      </c>
      <c r="AT355" s="3" t="str">
        <f t="shared" si="184"/>
        <v>-</v>
      </c>
      <c r="AU355" s="3" t="str">
        <f t="shared" si="185"/>
        <v>-</v>
      </c>
      <c r="AV355" s="3">
        <f t="shared" si="186"/>
        <v>24</v>
      </c>
      <c r="AW355" s="3">
        <f t="shared" si="187"/>
        <v>1</v>
      </c>
      <c r="AX355" s="3">
        <f t="shared" si="188"/>
        <v>11</v>
      </c>
      <c r="AY355" s="3">
        <f t="shared" si="189"/>
        <v>10</v>
      </c>
      <c r="AZ355" s="3">
        <f t="shared" si="190"/>
        <v>2</v>
      </c>
      <c r="BA355" s="3">
        <f>IF(ISERROR(LEN(VLOOKUP(A355,Seqs!A:E,2,FALSE))-AL355),"-",LEN(VLOOKUP(A355,Seqs!A:E,2,FALSE))-AL355)</f>
        <v>122</v>
      </c>
      <c r="BB355" s="16">
        <f t="shared" si="191"/>
        <v>33</v>
      </c>
      <c r="BC355" s="9" t="str">
        <f t="shared" si="192"/>
        <v>-</v>
      </c>
      <c r="BD355" s="3">
        <f t="shared" si="193"/>
        <v>33</v>
      </c>
      <c r="BE355" s="3">
        <f t="shared" si="194"/>
        <v>39</v>
      </c>
    </row>
    <row r="356" spans="1:58" s="3" customFormat="1" x14ac:dyDescent="0.2">
      <c r="A356" s="3" t="s">
        <v>113</v>
      </c>
      <c r="B356" s="3" t="str">
        <f>LOWER(VLOOKUP(A356,Xtal_Templ!A:B,2,FALSE))</f>
        <v>grm1_human</v>
      </c>
      <c r="C356" s="3">
        <f>VLOOKUP($A356,'SegEnds_NonXtal_BW#'!$A:$Z,3,FALSE)+D356-50</f>
        <v>21</v>
      </c>
      <c r="D356" s="3">
        <v>37</v>
      </c>
      <c r="E356" s="3">
        <f>IF(ISERROR(VLOOKUP($A356,'SegEnds_NonXtal_BW#'!$A:$Z,4,FALSE)+VLOOKUP($A356,A:AL,4,FALSE)-50),"-",(VLOOKUP($A356,'SegEnds_NonXtal_BW#'!$A:$Z,4,FALSE)+VLOOKUP($A356,A:AL,4,FALSE)-50))</f>
        <v>47</v>
      </c>
      <c r="F356" s="3">
        <f t="shared" si="197"/>
        <v>48</v>
      </c>
      <c r="G356" s="3">
        <v>51</v>
      </c>
      <c r="H356" s="3">
        <f t="shared" si="198"/>
        <v>54</v>
      </c>
      <c r="I356" s="3">
        <f t="shared" si="199"/>
        <v>55</v>
      </c>
      <c r="J356" s="3">
        <v>70</v>
      </c>
      <c r="K356" s="3">
        <f>VLOOKUP($A356,'SegEnds_NonXtal_BW#'!$A:$Z,8,FALSE)+VLOOKUP($A356,A:AL,10,FALSE)-50</f>
        <v>81</v>
      </c>
      <c r="L356" s="3" t="str">
        <f>IF(ISERROR(VLOOKUP($A356,'SegEnds_NonXtal_BW#'!$A:$Z,9,FALSE)+VLOOKUP($A356,A:AL,13,FALSE)-50),"-",(VLOOKUP($A356,'SegEnds_NonXtal_BW#'!$A:$Z,9,FALSE)+VLOOKUP($A356,A:AL,13,FALSE)-50))</f>
        <v>-</v>
      </c>
      <c r="M356" s="3" t="s">
        <v>23</v>
      </c>
      <c r="N356" s="3" t="str">
        <f>IF(ISERROR(VLOOKUP($A356,'SegEnds_NonXtal_BW#'!$A:$Z,10,FALSE)+VLOOKUP($A356,A:AL,13,FALSE)-50),"-",(VLOOKUP($A356,'SegEnds_NonXtal_BW#'!$A:$Z,10,FALSE)+VLOOKUP($A356,A:AL,13,FALSE)-50))</f>
        <v>-</v>
      </c>
      <c r="O356" s="3">
        <f>VLOOKUP($A356,'SegEnds_NonXtal_BW#'!$A:$Z,11,FALSE)+VLOOKUP($A356,A:AL,16,FALSE)-50</f>
        <v>86</v>
      </c>
      <c r="P356" s="3">
        <v>114</v>
      </c>
      <c r="Q356" s="3">
        <f>VLOOKUP($A356,'SegEnds_NonXtal_BW#'!$A:$Z,12,FALSE)+VLOOKUP($A356,A:AL,16,FALSE)-50</f>
        <v>118</v>
      </c>
      <c r="R356" s="3" t="str">
        <f>IF(ISERROR(VLOOKUP($A356,'SegEnds_NonXtal_BW#'!$A:$Z,13,FALSE)+VLOOKUP($A356,A:AL,19,FALSE)-50),"-",VLOOKUP($A356,'SegEnds_NonXtal_BW#'!$A:$Z,13,FALSE)+VLOOKUP($A356,A:AL,19,FALSE)-50)</f>
        <v>-</v>
      </c>
      <c r="S356" s="3" t="s">
        <v>23</v>
      </c>
      <c r="T356" s="100" t="str">
        <f>IF(ISERROR(VLOOKUP($A356,'SegEnds_NonXtal_BW#'!$A:$Z,14,FALSE)+VLOOKUP($A356,A:AL,19,FALSE)-50),"-",(VLOOKUP($A356,'SegEnds_NonXtal_BW#'!$A:$Z,14,FALSE)+VLOOKUP($A356,A:AL,19,FALSE)-50))</f>
        <v>-</v>
      </c>
      <c r="U356" s="9">
        <f>IF(ISERROR(VLOOKUP($A356,'SegEnds_NonXtal_BW#'!$A:$Z,15,FALSE)+VLOOKUP($A356,A:AL,22,FALSE)-50),"-",VLOOKUP($A356,'SegEnds_NonXtal_BW#'!$A:$Z,15,FALSE)+VLOOKUP($A356,A:AL,22,FALSE)-50)</f>
        <v>125</v>
      </c>
      <c r="V356" s="3">
        <v>137</v>
      </c>
      <c r="W356" s="3">
        <f>IF(ISERROR(VLOOKUP($A356,'SegEnds_NonXtal_BW#'!$A:$Z,16,FALSE)+VLOOKUP($A356,A:AL,22,FALSE)-50),"-",(VLOOKUP($A356,'SegEnds_NonXtal_BW#'!$A:$Z,16,FALSE)+VLOOKUP($A356,A:AL,22,FALSE)-50))</f>
        <v>151</v>
      </c>
      <c r="X356" s="3">
        <f>IF(ISERROR(VLOOKUP($A356,'SegEnds_NonXtal_BW#'!$A:$Z,17,FALSE)+VLOOKUP($A356,A:AL,25,FALSE)-50),"-",(VLOOKUP($A356,'SegEnds_NonXtal_BW#'!$A:$Z,17,FALSE)+VLOOKUP($A356,A:AL,25,FALSE)-50))</f>
        <v>164</v>
      </c>
      <c r="Y356" s="105">
        <v>164</v>
      </c>
      <c r="Z356" s="3">
        <f>IF(ISERROR(VLOOKUP($A356,'SegEnds_NonXtal_BW#'!$A:$Z,18,FALSE)+VLOOKUP($A356,A:AL,25,FALSE)-50),"-",(VLOOKUP($A356,'SegEnds_NonXtal_BW#'!$A:$Z,18,FALSE)+VLOOKUP($A356,A:AL,25,FALSE)-50))</f>
        <v>166</v>
      </c>
      <c r="AA356" s="105">
        <v>167</v>
      </c>
      <c r="AB356" s="3">
        <v>180</v>
      </c>
      <c r="AC356" s="3">
        <f>IF(ISERROR((VLOOKUP($A356,'SegEnds_NonXtal_BW#'!$A:$Z,20,FALSE)+VLOOKUP($A356,A:AL,28,FALSE)-50)),"-",(VLOOKUP($A356,'SegEnds_NonXtal_BW#'!$A:$Z,20,FALSE)+VLOOKUP($A356,A:AL,28,FALSE)-50))</f>
        <v>191</v>
      </c>
      <c r="AD356" s="3">
        <f>IF(ISERROR(VLOOKUP($A356,'SegEnds_NonXtal_BW#'!$A:$Z,21,FALSE)+VLOOKUP($A356,A:AL,31,FALSE)-50),"-",(VLOOKUP($A356,'SegEnds_NonXtal_BW#'!$A:$Z,21,FALSE)+VLOOKUP($A356,A:AL,31,FALSE)-50))</f>
        <v>202</v>
      </c>
      <c r="AE356" s="3">
        <v>219</v>
      </c>
      <c r="AF356" s="3">
        <f>IF(ISERROR((VLOOKUP($A356,'SegEnds_NonXtal_BW#'!$A:$Z,22,FALSE)+VLOOKUP($A356,A:AL,31,FALSE)-50)),"-",(VLOOKUP($A356,'SegEnds_NonXtal_BW#'!$A:$Z,22,FALSE)+VLOOKUP($A356,A:AL,31,FALSE)-50))</f>
        <v>226</v>
      </c>
      <c r="AG356" s="3">
        <f>IF(ISERROR(VLOOKUP($A356,'SegEnds_NonXtal_BW#'!$A:$Z,23,FALSE)+VLOOKUP($A356,A:AL,34,FALSE)-50),"-",(VLOOKUP($A356,'SegEnds_NonXtal_BW#'!$A:$Z,23,FALSE)+VLOOKUP($A356,A:AL,34,FALSE)-50))</f>
        <v>237</v>
      </c>
      <c r="AH356" s="3">
        <v>254</v>
      </c>
      <c r="AI356" s="3">
        <f>IF(ISERROR((VLOOKUP($A356,'SegEnds_NonXtal_BW#'!$A:$Z,24,FALSE)+VLOOKUP($A356,A:AL,34,FALSE)-50)),"-",(VLOOKUP($A356,'SegEnds_NonXtal_BW#'!$A:$Z,24,FALSE)+VLOOKUP($A356,A:AL,34,FALSE)-50))</f>
        <v>268</v>
      </c>
      <c r="AJ356" s="3">
        <f>IF(ISERROR(VLOOKUP($A356,'SegEnds_NonXtal_BW#'!$A:$Z,25,FALSE)+VLOOKUP($A356,A:AL,37,FALSE)-50),"-",(VLOOKUP($A356,'SegEnds_NonXtal_BW#'!$A:$Z,25,FALSE)+VLOOKUP($A356,A:AL,37,FALSE)-50))</f>
        <v>271</v>
      </c>
      <c r="AK356" s="3">
        <v>275</v>
      </c>
      <c r="AL356" s="3">
        <v>281</v>
      </c>
      <c r="AM356" s="28" t="str">
        <f>VLOOKUP(A356,Classification!A:B,2,FALSE)</f>
        <v>C</v>
      </c>
      <c r="AN356" s="28" t="b">
        <f t="shared" si="195"/>
        <v>1</v>
      </c>
      <c r="AO356" s="3" t="str">
        <f>IF(ISERROR(MATCH(A356,'SegEnds_Xtal_Prot#'!B:B, 0)), "NoXtal", "Xtal")</f>
        <v>NoXtal</v>
      </c>
      <c r="AP356" s="3">
        <f t="shared" si="180"/>
        <v>1</v>
      </c>
      <c r="AQ356" s="3">
        <f t="shared" si="181"/>
        <v>1</v>
      </c>
      <c r="AR356" s="3" t="str">
        <f t="shared" si="182"/>
        <v>-</v>
      </c>
      <c r="AS356" s="3" t="str">
        <f t="shared" si="183"/>
        <v>-</v>
      </c>
      <c r="AT356" s="3" t="str">
        <f t="shared" si="184"/>
        <v>-</v>
      </c>
      <c r="AU356" s="3" t="str">
        <f t="shared" si="185"/>
        <v>-</v>
      </c>
      <c r="AV356" s="3">
        <f t="shared" si="186"/>
        <v>13</v>
      </c>
      <c r="AW356" s="3">
        <f t="shared" si="187"/>
        <v>1</v>
      </c>
      <c r="AX356" s="3">
        <f t="shared" si="188"/>
        <v>11</v>
      </c>
      <c r="AY356" s="3">
        <f t="shared" si="189"/>
        <v>11</v>
      </c>
      <c r="AZ356" s="3">
        <f t="shared" si="190"/>
        <v>3</v>
      </c>
      <c r="BA356" s="3">
        <f>IF(ISERROR(LEN(VLOOKUP(A356,Seqs!A:E,2,FALSE))-AL356),"-",LEN(VLOOKUP(A356,Seqs!A:E,2,FALSE))-AL356)</f>
        <v>64</v>
      </c>
      <c r="BB356" s="16">
        <f t="shared" si="191"/>
        <v>33</v>
      </c>
      <c r="BC356" s="9" t="str">
        <f t="shared" si="192"/>
        <v>-</v>
      </c>
      <c r="BD356" s="3">
        <f t="shared" si="193"/>
        <v>33</v>
      </c>
      <c r="BE356" s="3">
        <f t="shared" si="194"/>
        <v>39</v>
      </c>
    </row>
    <row r="357" spans="1:58" s="3" customFormat="1" x14ac:dyDescent="0.2">
      <c r="A357" s="3" t="s">
        <v>114</v>
      </c>
      <c r="B357" s="3" t="str">
        <f>LOWER(VLOOKUP(A357,Xtal_Templ!A:B,2,FALSE))</f>
        <v>grm1_human</v>
      </c>
      <c r="C357" s="3">
        <f>VLOOKUP($A357,'SegEnds_NonXtal_BW#'!$A:$Z,3,FALSE)+D357-50</f>
        <v>592</v>
      </c>
      <c r="D357" s="3">
        <v>608</v>
      </c>
      <c r="E357" s="3">
        <f>IF(ISERROR(VLOOKUP($A357,'SegEnds_NonXtal_BW#'!$A:$Z,4,FALSE)+VLOOKUP($A357,A:AL,4,FALSE)-50),"-",(VLOOKUP($A357,'SegEnds_NonXtal_BW#'!$A:$Z,4,FALSE)+VLOOKUP($A357,A:AL,4,FALSE)-50))</f>
        <v>618</v>
      </c>
      <c r="F357" s="3">
        <f t="shared" si="197"/>
        <v>621</v>
      </c>
      <c r="G357" s="3">
        <v>624</v>
      </c>
      <c r="H357" s="3">
        <f t="shared" si="198"/>
        <v>627</v>
      </c>
      <c r="I357" s="3">
        <f t="shared" si="199"/>
        <v>628</v>
      </c>
      <c r="J357" s="3">
        <v>640</v>
      </c>
      <c r="K357" s="3">
        <f>VLOOKUP($A357,'SegEnds_NonXtal_BW#'!$A:$Z,8,FALSE)+VLOOKUP($A357,A:AL,10,FALSE)-50</f>
        <v>651</v>
      </c>
      <c r="L357" s="3" t="str">
        <f>IF(ISERROR(VLOOKUP($A357,'SegEnds_NonXtal_BW#'!$A:$Z,9,FALSE)+VLOOKUP($A357,A:AL,13,FALSE)-50),"-",(VLOOKUP($A357,'SegEnds_NonXtal_BW#'!$A:$Z,9,FALSE)+VLOOKUP($A357,A:AL,13,FALSE)-50))</f>
        <v>-</v>
      </c>
      <c r="M357" s="3" t="s">
        <v>23</v>
      </c>
      <c r="N357" s="3" t="str">
        <f>IF(ISERROR(VLOOKUP($A357,'SegEnds_NonXtal_BW#'!$A:$Z,10,FALSE)+VLOOKUP($A357,A:AL,13,FALSE)-50),"-",(VLOOKUP($A357,'SegEnds_NonXtal_BW#'!$A:$Z,10,FALSE)+VLOOKUP($A357,A:AL,13,FALSE)-50))</f>
        <v>-</v>
      </c>
      <c r="O357" s="3">
        <f>VLOOKUP($A357,'SegEnds_NonXtal_BW#'!$A:$Z,11,FALSE)+VLOOKUP($A357,A:AL,16,FALSE)-50</f>
        <v>656</v>
      </c>
      <c r="P357" s="3">
        <v>684</v>
      </c>
      <c r="Q357" s="3">
        <f>VLOOKUP($A357,'SegEnds_NonXtal_BW#'!$A:$Z,12,FALSE)+VLOOKUP($A357,A:AL,16,FALSE)-50</f>
        <v>688</v>
      </c>
      <c r="R357" s="3" t="str">
        <f>IF(ISERROR(VLOOKUP($A357,'SegEnds_NonXtal_BW#'!$A:$Z,13,FALSE)+VLOOKUP($A357,A:AL,19,FALSE)-50),"-",VLOOKUP($A357,'SegEnds_NonXtal_BW#'!$A:$Z,13,FALSE)+VLOOKUP($A357,A:AL,19,FALSE)-50)</f>
        <v>-</v>
      </c>
      <c r="S357" s="3" t="s">
        <v>23</v>
      </c>
      <c r="T357" s="100" t="str">
        <f>IF(ISERROR(VLOOKUP($A357,'SegEnds_NonXtal_BW#'!$A:$Z,14,FALSE)+VLOOKUP($A357,A:AL,19,FALSE)-50),"-",(VLOOKUP($A357,'SegEnds_NonXtal_BW#'!$A:$Z,14,FALSE)+VLOOKUP($A357,A:AL,19,FALSE)-50))</f>
        <v>-</v>
      </c>
      <c r="U357" s="9">
        <f>IF(ISERROR(VLOOKUP($A357,'SegEnds_NonXtal_BW#'!$A:$Z,15,FALSE)+VLOOKUP($A357,A:AL,22,FALSE)-50),"-",VLOOKUP($A357,'SegEnds_NonXtal_BW#'!$A:$Z,15,FALSE)+VLOOKUP($A357,A:AL,22,FALSE)-50)</f>
        <v>700</v>
      </c>
      <c r="V357" s="3">
        <v>712</v>
      </c>
      <c r="W357" s="3">
        <f>IF(ISERROR(VLOOKUP($A357,'SegEnds_NonXtal_BW#'!$A:$Z,16,FALSE)+VLOOKUP($A357,A:AL,22,FALSE)-50),"-",(VLOOKUP($A357,'SegEnds_NonXtal_BW#'!$A:$Z,16,FALSE)+VLOOKUP($A357,A:AL,22,FALSE)-50))</f>
        <v>726</v>
      </c>
      <c r="X357" s="3">
        <f>IF(ISERROR(VLOOKUP($A357,'SegEnds_NonXtal_BW#'!$A:$Z,17,FALSE)+VLOOKUP($A357,A:AL,25,FALSE)-50),"-",(VLOOKUP($A357,'SegEnds_NonXtal_BW#'!$A:$Z,17,FALSE)+VLOOKUP($A357,A:AL,25,FALSE)-50))</f>
        <v>744</v>
      </c>
      <c r="Y357" s="3">
        <v>744</v>
      </c>
      <c r="Z357" s="3">
        <f t="shared" ref="Z357:Z365" si="200">Y357+2</f>
        <v>746</v>
      </c>
      <c r="AA357" s="3">
        <f>IF(ISERROR(VLOOKUP($A357,'SegEnds_NonXtal_BW#'!$A:$Z,19,FALSE)+VLOOKUP($A357,A:AL,28,FALSE)-50),"-",(VLOOKUP($A357,'SegEnds_NonXtal_BW#'!$A:$Z,19,FALSE)+VLOOKUP($A357,A:AL,28,FALSE)-50))</f>
        <v>748</v>
      </c>
      <c r="AB357" s="3">
        <v>762</v>
      </c>
      <c r="AC357" s="3">
        <f>IF(ISERROR((VLOOKUP($A357,'SegEnds_NonXtal_BW#'!$A:$Z,20,FALSE)+VLOOKUP($A357,A:AL,28,FALSE)-50)),"-",(VLOOKUP($A357,'SegEnds_NonXtal_BW#'!$A:$Z,20,FALSE)+VLOOKUP($A357,A:AL,28,FALSE)-50))</f>
        <v>773</v>
      </c>
      <c r="AD357" s="3">
        <f>IF(ISERROR(VLOOKUP($A357,'SegEnds_NonXtal_BW#'!$A:$Z,21,FALSE)+VLOOKUP($A357,A:AL,31,FALSE)-50),"-",(VLOOKUP($A357,'SegEnds_NonXtal_BW#'!$A:$Z,21,FALSE)+VLOOKUP($A357,A:AL,31,FALSE)-50))</f>
        <v>780</v>
      </c>
      <c r="AE357" s="3">
        <v>797</v>
      </c>
      <c r="AF357" s="3">
        <f>IF(ISERROR((VLOOKUP($A357,'SegEnds_NonXtal_BW#'!$A:$Z,22,FALSE)+VLOOKUP($A357,A:AL,31,FALSE)-50)),"-",(VLOOKUP($A357,'SegEnds_NonXtal_BW#'!$A:$Z,22,FALSE)+VLOOKUP($A357,A:AL,31,FALSE)-50))</f>
        <v>804</v>
      </c>
      <c r="AG357" s="3">
        <f>IF(ISERROR(VLOOKUP($A357,'SegEnds_NonXtal_BW#'!$A:$Z,23,FALSE)+VLOOKUP($A357,A:AL,34,FALSE)-50),"-",(VLOOKUP($A357,'SegEnds_NonXtal_BW#'!$A:$Z,23,FALSE)+VLOOKUP($A357,A:AL,34,FALSE)-50))</f>
        <v>809</v>
      </c>
      <c r="AH357" s="3">
        <v>826</v>
      </c>
      <c r="AI357" s="3">
        <f>IF(ISERROR((VLOOKUP($A357,'SegEnds_NonXtal_BW#'!$A:$Z,24,FALSE)+VLOOKUP($A357,A:AL,34,FALSE)-50)),"-",(VLOOKUP($A357,'SegEnds_NonXtal_BW#'!$A:$Z,24,FALSE)+VLOOKUP($A357,A:AL,34,FALSE)-50))</f>
        <v>840</v>
      </c>
      <c r="AJ357" s="3">
        <f>IF(ISERROR(VLOOKUP($A357,'SegEnds_NonXtal_BW#'!$A:$Z,25,FALSE)+VLOOKUP($A357,A:AL,37,FALSE)-50),"-",(VLOOKUP($A357,'SegEnds_NonXtal_BW#'!$A:$Z,25,FALSE)+VLOOKUP($A357,A:AL,37,FALSE)-50))</f>
        <v>841</v>
      </c>
      <c r="AK357" s="3">
        <v>845</v>
      </c>
      <c r="AL357" s="3">
        <f>IF(ISERROR((VLOOKUP($A357,'SegEnds_NonXtal_BW#'!$A:$Z,26,FALSE)+VLOOKUP($A357,A:AL,37,FALSE)-50)),"-",(VLOOKUP($A357,'SegEnds_NonXtal_BW#'!$A:$Z,26,FALSE)+VLOOKUP($A357,A:AL,37,FALSE)-50))</f>
        <v>852</v>
      </c>
      <c r="AM357" s="28" t="str">
        <f>VLOOKUP(A357,Classification!A:B,2,FALSE)</f>
        <v>C</v>
      </c>
      <c r="AN357" s="28" t="b">
        <f t="shared" si="195"/>
        <v>1</v>
      </c>
      <c r="AO357" s="3" t="str">
        <f>IF(ISERROR(MATCH(A357,'SegEnds_Xtal_Prot#'!B:B, 0)), "NoXtal", "Xtal")</f>
        <v>NoXtal</v>
      </c>
      <c r="AP357" s="3">
        <f t="shared" si="180"/>
        <v>3</v>
      </c>
      <c r="AQ357" s="3">
        <f t="shared" si="181"/>
        <v>1</v>
      </c>
      <c r="AR357" s="3" t="str">
        <f t="shared" si="182"/>
        <v>-</v>
      </c>
      <c r="AS357" s="3" t="str">
        <f t="shared" si="183"/>
        <v>-</v>
      </c>
      <c r="AT357" s="3" t="str">
        <f t="shared" si="184"/>
        <v>-</v>
      </c>
      <c r="AU357" s="3" t="str">
        <f t="shared" si="185"/>
        <v>-</v>
      </c>
      <c r="AV357" s="3">
        <f t="shared" si="186"/>
        <v>18</v>
      </c>
      <c r="AW357" s="3">
        <f t="shared" si="187"/>
        <v>2</v>
      </c>
      <c r="AX357" s="3">
        <f t="shared" si="188"/>
        <v>7</v>
      </c>
      <c r="AY357" s="3">
        <f t="shared" si="189"/>
        <v>5</v>
      </c>
      <c r="AZ357" s="3">
        <f t="shared" si="190"/>
        <v>1</v>
      </c>
      <c r="BA357" s="3">
        <f>IF(ISERROR(LEN(VLOOKUP(A357,Seqs!A:E,2,FALSE))-AL357),"-",LEN(VLOOKUP(A357,Seqs!A:E,2,FALSE))-AL357)</f>
        <v>74</v>
      </c>
      <c r="BB357" s="16">
        <f t="shared" si="191"/>
        <v>32</v>
      </c>
      <c r="BC357" s="9" t="str">
        <f t="shared" si="192"/>
        <v>-</v>
      </c>
      <c r="BD357" s="3">
        <f t="shared" si="193"/>
        <v>32</v>
      </c>
      <c r="BE357" s="3">
        <f t="shared" si="194"/>
        <v>35</v>
      </c>
    </row>
    <row r="358" spans="1:58" s="3" customFormat="1" x14ac:dyDescent="0.2">
      <c r="A358" s="3" t="s">
        <v>40</v>
      </c>
      <c r="B358" s="3" t="str">
        <f>LOWER(VLOOKUP(A358,Xtal_Templ!A:B,2,FALSE))</f>
        <v>grm1_human</v>
      </c>
      <c r="C358" s="3">
        <f>VLOOKUP($A358,'SegEnds_NonXtal_BW#'!$A:$Z,3,FALSE)+D358-50</f>
        <v>591</v>
      </c>
      <c r="D358" s="3">
        <v>607</v>
      </c>
      <c r="E358" s="3">
        <f>IF(ISERROR(VLOOKUP($A358,'SegEnds_NonXtal_BW#'!$A:$Z,4,FALSE)+VLOOKUP($A358,A:AL,4,FALSE)-50),"-",(VLOOKUP($A358,'SegEnds_NonXtal_BW#'!$A:$Z,4,FALSE)+VLOOKUP($A358,A:AL,4,FALSE)-50))</f>
        <v>617</v>
      </c>
      <c r="F358" s="3">
        <f t="shared" si="197"/>
        <v>620</v>
      </c>
      <c r="G358" s="3">
        <v>623</v>
      </c>
      <c r="H358" s="3">
        <f t="shared" si="198"/>
        <v>626</v>
      </c>
      <c r="I358" s="3">
        <f t="shared" si="199"/>
        <v>627</v>
      </c>
      <c r="J358" s="3">
        <v>638</v>
      </c>
      <c r="K358" s="3">
        <f>VLOOKUP($A358,'SegEnds_NonXtal_BW#'!$A:$Z,8,FALSE)+VLOOKUP($A358,A:AL,10,FALSE)-50</f>
        <v>649</v>
      </c>
      <c r="L358" s="3" t="str">
        <f>IF(ISERROR(VLOOKUP($A358,'SegEnds_NonXtal_BW#'!$A:$Z,9,FALSE)+VLOOKUP($A358,A:AL,13,FALSE)-50),"-",(VLOOKUP($A358,'SegEnds_NonXtal_BW#'!$A:$Z,9,FALSE)+VLOOKUP($A358,A:AL,13,FALSE)-50))</f>
        <v>-</v>
      </c>
      <c r="M358" s="3" t="s">
        <v>23</v>
      </c>
      <c r="N358" s="3" t="str">
        <f>IF(ISERROR(VLOOKUP($A358,'SegEnds_NonXtal_BW#'!$A:$Z,10,FALSE)+VLOOKUP($A358,A:AL,13,FALSE)-50),"-",(VLOOKUP($A358,'SegEnds_NonXtal_BW#'!$A:$Z,10,FALSE)+VLOOKUP($A358,A:AL,13,FALSE)-50))</f>
        <v>-</v>
      </c>
      <c r="O358" s="3">
        <f>VLOOKUP($A358,'SegEnds_NonXtal_BW#'!$A:$Z,11,FALSE)+VLOOKUP($A358,A:AL,16,FALSE)-50</f>
        <v>654</v>
      </c>
      <c r="P358" s="3">
        <v>682</v>
      </c>
      <c r="Q358" s="3">
        <f>VLOOKUP($A358,'SegEnds_NonXtal_BW#'!$A:$Z,12,FALSE)+VLOOKUP($A358,A:AL,16,FALSE)-50</f>
        <v>686</v>
      </c>
      <c r="R358" s="3" t="str">
        <f>IF(ISERROR(VLOOKUP($A358,'SegEnds_NonXtal_BW#'!$A:$Z,13,FALSE)+VLOOKUP($A358,A:AL,19,FALSE)-50),"-",VLOOKUP($A358,'SegEnds_NonXtal_BW#'!$A:$Z,13,FALSE)+VLOOKUP($A358,A:AL,19,FALSE)-50)</f>
        <v>-</v>
      </c>
      <c r="S358" s="3" t="s">
        <v>23</v>
      </c>
      <c r="T358" s="100" t="str">
        <f>IF(ISERROR(VLOOKUP($A358,'SegEnds_NonXtal_BW#'!$A:$Z,14,FALSE)+VLOOKUP($A358,A:AL,19,FALSE)-50),"-",(VLOOKUP($A358,'SegEnds_NonXtal_BW#'!$A:$Z,14,FALSE)+VLOOKUP($A358,A:AL,19,FALSE)-50))</f>
        <v>-</v>
      </c>
      <c r="U358" s="9">
        <f>IF(ISERROR(VLOOKUP($A358,'SegEnds_NonXtal_BW#'!$A:$Z,15,FALSE)+VLOOKUP($A358,A:AL,22,FALSE)-50),"-",VLOOKUP($A358,'SegEnds_NonXtal_BW#'!$A:$Z,15,FALSE)+VLOOKUP($A358,A:AL,22,FALSE)-50)</f>
        <v>702</v>
      </c>
      <c r="V358" s="3">
        <v>714</v>
      </c>
      <c r="W358" s="3">
        <f>IF(ISERROR(VLOOKUP($A358,'SegEnds_NonXtal_BW#'!$A:$Z,16,FALSE)+VLOOKUP($A358,A:AL,22,FALSE)-50),"-",(VLOOKUP($A358,'SegEnds_NonXtal_BW#'!$A:$Z,16,FALSE)+VLOOKUP($A358,A:AL,22,FALSE)-50))</f>
        <v>728</v>
      </c>
      <c r="X358" s="3">
        <f>IF(ISERROR(VLOOKUP($A358,'SegEnds_NonXtal_BW#'!$A:$Z,17,FALSE)+VLOOKUP($A358,A:AL,25,FALSE)-50),"-",(VLOOKUP($A358,'SegEnds_NonXtal_BW#'!$A:$Z,17,FALSE)+VLOOKUP($A358,A:AL,25,FALSE)-50))</f>
        <v>746</v>
      </c>
      <c r="Y358" s="3">
        <v>746</v>
      </c>
      <c r="Z358" s="3">
        <f t="shared" si="200"/>
        <v>748</v>
      </c>
      <c r="AA358" s="3">
        <f>IF(ISERROR(VLOOKUP($A358,'SegEnds_NonXtal_BW#'!$A:$Z,19,FALSE)+VLOOKUP($A358,A:AL,28,FALSE)-50),"-",(VLOOKUP($A358,'SegEnds_NonXtal_BW#'!$A:$Z,19,FALSE)+VLOOKUP($A358,A:AL,28,FALSE)-50))</f>
        <v>749</v>
      </c>
      <c r="AB358" s="3">
        <v>763</v>
      </c>
      <c r="AC358" s="3">
        <f>IF(ISERROR((VLOOKUP($A358,'SegEnds_NonXtal_BW#'!$A:$Z,20,FALSE)+VLOOKUP($A358,A:AL,28,FALSE)-50)),"-",(VLOOKUP($A358,'SegEnds_NonXtal_BW#'!$A:$Z,20,FALSE)+VLOOKUP($A358,A:AL,28,FALSE)-50))</f>
        <v>774</v>
      </c>
      <c r="AD358" s="3">
        <f>IF(ISERROR(VLOOKUP($A358,'SegEnds_NonXtal_BW#'!$A:$Z,21,FALSE)+VLOOKUP($A358,A:AL,31,FALSE)-50),"-",(VLOOKUP($A358,'SegEnds_NonXtal_BW#'!$A:$Z,21,FALSE)+VLOOKUP($A358,A:AL,31,FALSE)-50))</f>
        <v>783</v>
      </c>
      <c r="AE358" s="3">
        <v>800</v>
      </c>
      <c r="AF358" s="3">
        <f>IF(ISERROR((VLOOKUP($A358,'SegEnds_NonXtal_BW#'!$A:$Z,22,FALSE)+VLOOKUP($A358,A:AL,31,FALSE)-50)),"-",(VLOOKUP($A358,'SegEnds_NonXtal_BW#'!$A:$Z,22,FALSE)+VLOOKUP($A358,A:AL,31,FALSE)-50))</f>
        <v>807</v>
      </c>
      <c r="AG358" s="3">
        <f>IF(ISERROR(VLOOKUP($A358,'SegEnds_NonXtal_BW#'!$A:$Z,23,FALSE)+VLOOKUP($A358,A:AL,34,FALSE)-50),"-",(VLOOKUP($A358,'SegEnds_NonXtal_BW#'!$A:$Z,23,FALSE)+VLOOKUP($A358,A:AL,34,FALSE)-50))</f>
        <v>810</v>
      </c>
      <c r="AH358" s="3">
        <v>827</v>
      </c>
      <c r="AI358" s="3">
        <f>IF(ISERROR((VLOOKUP($A358,'SegEnds_NonXtal_BW#'!$A:$Z,24,FALSE)+VLOOKUP($A358,A:AL,34,FALSE)-50)),"-",(VLOOKUP($A358,'SegEnds_NonXtal_BW#'!$A:$Z,24,FALSE)+VLOOKUP($A358,A:AL,34,FALSE)-50))</f>
        <v>841</v>
      </c>
      <c r="AJ358" s="3">
        <f>IF(ISERROR(VLOOKUP($A358,'SegEnds_NonXtal_BW#'!$A:$Z,25,FALSE)+VLOOKUP($A358,A:AL,37,FALSE)-50),"-",(VLOOKUP($A358,'SegEnds_NonXtal_BW#'!$A:$Z,25,FALSE)+VLOOKUP($A358,A:AL,37,FALSE)-50))</f>
        <v>842</v>
      </c>
      <c r="AK358" s="3">
        <v>846</v>
      </c>
      <c r="AL358" s="3">
        <f>IF(ISERROR((VLOOKUP($A358,'SegEnds_NonXtal_BW#'!$A:$Z,26,FALSE)+VLOOKUP($A358,A:AL,37,FALSE)-50)),"-",(VLOOKUP($A358,'SegEnds_NonXtal_BW#'!$A:$Z,26,FALSE)+VLOOKUP($A358,A:AL,37,FALSE)-50))</f>
        <v>853</v>
      </c>
      <c r="AM358" s="28" t="str">
        <f>VLOOKUP(A358,Classification!A:B,2,FALSE)</f>
        <v>C</v>
      </c>
      <c r="AN358" s="28" t="b">
        <f t="shared" si="195"/>
        <v>1</v>
      </c>
      <c r="AO358" s="3" t="str">
        <f>IF(ISERROR(MATCH(A358,'SegEnds_Xtal_Prot#'!B:B, 0)), "NoXtal", "Xtal")</f>
        <v>Xtal</v>
      </c>
      <c r="AP358" s="3">
        <f t="shared" si="180"/>
        <v>3</v>
      </c>
      <c r="AQ358" s="3">
        <f t="shared" si="181"/>
        <v>1</v>
      </c>
      <c r="AR358" s="3" t="str">
        <f t="shared" si="182"/>
        <v>-</v>
      </c>
      <c r="AS358" s="3" t="str">
        <f t="shared" si="183"/>
        <v>-</v>
      </c>
      <c r="AT358" s="3" t="str">
        <f t="shared" si="184"/>
        <v>-</v>
      </c>
      <c r="AU358" s="3" t="str">
        <f t="shared" si="185"/>
        <v>-</v>
      </c>
      <c r="AV358" s="3">
        <f t="shared" si="186"/>
        <v>18</v>
      </c>
      <c r="AW358" s="3">
        <f t="shared" si="187"/>
        <v>1</v>
      </c>
      <c r="AX358" s="3">
        <f t="shared" si="188"/>
        <v>9</v>
      </c>
      <c r="AY358" s="3">
        <f t="shared" si="189"/>
        <v>3</v>
      </c>
      <c r="AZ358" s="3">
        <f t="shared" si="190"/>
        <v>1</v>
      </c>
      <c r="BA358" s="3">
        <f>IF(ISERROR(LEN(VLOOKUP(A358,Seqs!A:E,2,FALSE))-AL358),"-",LEN(VLOOKUP(A358,Seqs!A:E,2,FALSE))-AL358)</f>
        <v>341</v>
      </c>
      <c r="BB358" s="16">
        <f t="shared" si="191"/>
        <v>31</v>
      </c>
      <c r="BC358" s="9" t="str">
        <f t="shared" si="192"/>
        <v>-</v>
      </c>
      <c r="BD358" s="3">
        <f t="shared" si="193"/>
        <v>31</v>
      </c>
      <c r="BE358" s="3">
        <f t="shared" si="194"/>
        <v>37</v>
      </c>
    </row>
    <row r="359" spans="1:58" s="3" customFormat="1" x14ac:dyDescent="0.2">
      <c r="A359" s="3" t="s">
        <v>115</v>
      </c>
      <c r="B359" s="3" t="str">
        <f>LOWER(VLOOKUP(A359,Xtal_Templ!A:B,2,FALSE))</f>
        <v>grm1_human</v>
      </c>
      <c r="C359" s="3">
        <f>VLOOKUP($A359,'SegEnds_NonXtal_BW#'!$A:$Z,3,FALSE)+D359-50</f>
        <v>566</v>
      </c>
      <c r="D359" s="3">
        <v>582</v>
      </c>
      <c r="E359" s="3">
        <f>IF(ISERROR(VLOOKUP($A359,'SegEnds_NonXtal_BW#'!$A:$Z,4,FALSE)+VLOOKUP($A359,A:AL,4,FALSE)-50),"-",(VLOOKUP($A359,'SegEnds_NonXtal_BW#'!$A:$Z,4,FALSE)+VLOOKUP($A359,A:AL,4,FALSE)-50))</f>
        <v>592</v>
      </c>
      <c r="F359" s="3">
        <f t="shared" si="197"/>
        <v>595</v>
      </c>
      <c r="G359" s="3">
        <v>598</v>
      </c>
      <c r="H359" s="3">
        <f t="shared" si="198"/>
        <v>601</v>
      </c>
      <c r="I359" s="3">
        <f t="shared" si="199"/>
        <v>602</v>
      </c>
      <c r="J359" s="3">
        <v>613</v>
      </c>
      <c r="K359" s="3">
        <f>VLOOKUP($A359,'SegEnds_NonXtal_BW#'!$A:$Z,8,FALSE)+VLOOKUP($A359,A:AL,10,FALSE)-50</f>
        <v>624</v>
      </c>
      <c r="L359" s="3" t="str">
        <f>IF(ISERROR(VLOOKUP($A359,'SegEnds_NonXtal_BW#'!$A:$Z,9,FALSE)+VLOOKUP($A359,A:AL,13,FALSE)-50),"-",(VLOOKUP($A359,'SegEnds_NonXtal_BW#'!$A:$Z,9,FALSE)+VLOOKUP($A359,A:AL,13,FALSE)-50))</f>
        <v>-</v>
      </c>
      <c r="M359" s="3" t="s">
        <v>23</v>
      </c>
      <c r="N359" s="3" t="str">
        <f>IF(ISERROR(VLOOKUP($A359,'SegEnds_NonXtal_BW#'!$A:$Z,10,FALSE)+VLOOKUP($A359,A:AL,13,FALSE)-50),"-",(VLOOKUP($A359,'SegEnds_NonXtal_BW#'!$A:$Z,10,FALSE)+VLOOKUP($A359,A:AL,13,FALSE)-50))</f>
        <v>-</v>
      </c>
      <c r="O359" s="3">
        <f>VLOOKUP($A359,'SegEnds_NonXtal_BW#'!$A:$Z,11,FALSE)+VLOOKUP($A359,A:AL,16,FALSE)-50</f>
        <v>629</v>
      </c>
      <c r="P359" s="3">
        <v>657</v>
      </c>
      <c r="Q359" s="3">
        <f>VLOOKUP($A359,'SegEnds_NonXtal_BW#'!$A:$Z,12,FALSE)+VLOOKUP($A359,A:AL,16,FALSE)-50</f>
        <v>661</v>
      </c>
      <c r="R359" s="3" t="str">
        <f>IF(ISERROR(VLOOKUP($A359,'SegEnds_NonXtal_BW#'!$A:$Z,13,FALSE)+VLOOKUP($A359,A:AL,19,FALSE)-50),"-",VLOOKUP($A359,'SegEnds_NonXtal_BW#'!$A:$Z,13,FALSE)+VLOOKUP($A359,A:AL,19,FALSE)-50)</f>
        <v>-</v>
      </c>
      <c r="S359" s="3" t="s">
        <v>23</v>
      </c>
      <c r="T359" s="100" t="str">
        <f>IF(ISERROR(VLOOKUP($A359,'SegEnds_NonXtal_BW#'!$A:$Z,14,FALSE)+VLOOKUP($A359,A:AL,19,FALSE)-50),"-",(VLOOKUP($A359,'SegEnds_NonXtal_BW#'!$A:$Z,14,FALSE)+VLOOKUP($A359,A:AL,19,FALSE)-50))</f>
        <v>-</v>
      </c>
      <c r="U359" s="9">
        <f>IF(ISERROR(VLOOKUP($A359,'SegEnds_NonXtal_BW#'!$A:$Z,15,FALSE)+VLOOKUP($A359,A:AL,22,FALSE)-50),"-",VLOOKUP($A359,'SegEnds_NonXtal_BW#'!$A:$Z,15,FALSE)+VLOOKUP($A359,A:AL,22,FALSE)-50)</f>
        <v>675</v>
      </c>
      <c r="V359" s="3">
        <v>687</v>
      </c>
      <c r="W359" s="3">
        <f>IF(ISERROR(VLOOKUP($A359,'SegEnds_NonXtal_BW#'!$A:$Z,16,FALSE)+VLOOKUP($A359,A:AL,22,FALSE)-50),"-",(VLOOKUP($A359,'SegEnds_NonXtal_BW#'!$A:$Z,16,FALSE)+VLOOKUP($A359,A:AL,22,FALSE)-50))</f>
        <v>701</v>
      </c>
      <c r="X359" s="3">
        <f>IF(ISERROR(VLOOKUP($A359,'SegEnds_NonXtal_BW#'!$A:$Z,17,FALSE)+VLOOKUP($A359,A:AL,25,FALSE)-50),"-",(VLOOKUP($A359,'SegEnds_NonXtal_BW#'!$A:$Z,17,FALSE)+VLOOKUP($A359,A:AL,25,FALSE)-50))</f>
        <v>721</v>
      </c>
      <c r="Y359" s="3">
        <v>721</v>
      </c>
      <c r="Z359" s="3">
        <f t="shared" si="200"/>
        <v>723</v>
      </c>
      <c r="AA359" s="3">
        <f>IF(ISERROR(VLOOKUP($A359,'SegEnds_NonXtal_BW#'!$A:$Z,19,FALSE)+VLOOKUP($A359,A:AL,28,FALSE)-50),"-",(VLOOKUP($A359,'SegEnds_NonXtal_BW#'!$A:$Z,19,FALSE)+VLOOKUP($A359,A:AL,28,FALSE)-50))</f>
        <v>724</v>
      </c>
      <c r="AB359" s="3">
        <v>738</v>
      </c>
      <c r="AC359" s="3">
        <f>IF(ISERROR((VLOOKUP($A359,'SegEnds_NonXtal_BW#'!$A:$Z,20,FALSE)+VLOOKUP($A359,A:AL,28,FALSE)-50)),"-",(VLOOKUP($A359,'SegEnds_NonXtal_BW#'!$A:$Z,20,FALSE)+VLOOKUP($A359,A:AL,28,FALSE)-50))</f>
        <v>749</v>
      </c>
      <c r="AD359" s="3">
        <f>IF(ISERROR(VLOOKUP($A359,'SegEnds_NonXtal_BW#'!$A:$Z,21,FALSE)+VLOOKUP($A359,A:AL,31,FALSE)-50),"-",(VLOOKUP($A359,'SegEnds_NonXtal_BW#'!$A:$Z,21,FALSE)+VLOOKUP($A359,A:AL,31,FALSE)-50))</f>
        <v>758</v>
      </c>
      <c r="AE359" s="3">
        <v>775</v>
      </c>
      <c r="AF359" s="3">
        <f>IF(ISERROR((VLOOKUP($A359,'SegEnds_NonXtal_BW#'!$A:$Z,22,FALSE)+VLOOKUP($A359,A:AL,31,FALSE)-50)),"-",(VLOOKUP($A359,'SegEnds_NonXtal_BW#'!$A:$Z,22,FALSE)+VLOOKUP($A359,A:AL,31,FALSE)-50))</f>
        <v>782</v>
      </c>
      <c r="AG359" s="3">
        <f>IF(ISERROR(VLOOKUP($A359,'SegEnds_NonXtal_BW#'!$A:$Z,23,FALSE)+VLOOKUP($A359,A:AL,34,FALSE)-50),"-",(VLOOKUP($A359,'SegEnds_NonXtal_BW#'!$A:$Z,23,FALSE)+VLOOKUP($A359,A:AL,34,FALSE)-50))</f>
        <v>789</v>
      </c>
      <c r="AH359" s="3">
        <v>806</v>
      </c>
      <c r="AI359" s="3">
        <f>IF(ISERROR((VLOOKUP($A359,'SegEnds_NonXtal_BW#'!$A:$Z,24,FALSE)+VLOOKUP($A359,A:AL,34,FALSE)-50)),"-",(VLOOKUP($A359,'SegEnds_NonXtal_BW#'!$A:$Z,24,FALSE)+VLOOKUP($A359,A:AL,34,FALSE)-50))</f>
        <v>820</v>
      </c>
      <c r="AJ359" s="3">
        <f>IF(ISERROR(VLOOKUP($A359,'SegEnds_NonXtal_BW#'!$A:$Z,25,FALSE)+VLOOKUP($A359,A:AL,37,FALSE)-50),"-",(VLOOKUP($A359,'SegEnds_NonXtal_BW#'!$A:$Z,25,FALSE)+VLOOKUP($A359,A:AL,37,FALSE)-50))</f>
        <v>821</v>
      </c>
      <c r="AK359" s="3">
        <v>825</v>
      </c>
      <c r="AL359" s="3">
        <f>IF(ISERROR((VLOOKUP($A359,'SegEnds_NonXtal_BW#'!$A:$Z,26,FALSE)+VLOOKUP($A359,A:AL,37,FALSE)-50)),"-",(VLOOKUP($A359,'SegEnds_NonXtal_BW#'!$A:$Z,26,FALSE)+VLOOKUP($A359,A:AL,37,FALSE)-50))</f>
        <v>832</v>
      </c>
      <c r="AM359" s="28" t="str">
        <f>VLOOKUP(A359,Classification!A:B,2,FALSE)</f>
        <v>C</v>
      </c>
      <c r="AN359" s="28" t="b">
        <f t="shared" si="195"/>
        <v>1</v>
      </c>
      <c r="AO359" s="3" t="str">
        <f>IF(ISERROR(MATCH(A359,'SegEnds_Xtal_Prot#'!B:B, 0)), "NoXtal", "Xtal")</f>
        <v>NoXtal</v>
      </c>
      <c r="AP359" s="3">
        <f t="shared" si="180"/>
        <v>3</v>
      </c>
      <c r="AQ359" s="3">
        <f t="shared" si="181"/>
        <v>1</v>
      </c>
      <c r="AR359" s="3" t="str">
        <f t="shared" si="182"/>
        <v>-</v>
      </c>
      <c r="AS359" s="3" t="str">
        <f t="shared" si="183"/>
        <v>-</v>
      </c>
      <c r="AT359" s="3" t="str">
        <f t="shared" si="184"/>
        <v>-</v>
      </c>
      <c r="AU359" s="3" t="str">
        <f t="shared" si="185"/>
        <v>-</v>
      </c>
      <c r="AV359" s="3">
        <f t="shared" si="186"/>
        <v>20</v>
      </c>
      <c r="AW359" s="3">
        <f t="shared" si="187"/>
        <v>1</v>
      </c>
      <c r="AX359" s="3">
        <f t="shared" si="188"/>
        <v>9</v>
      </c>
      <c r="AY359" s="3">
        <f t="shared" si="189"/>
        <v>7</v>
      </c>
      <c r="AZ359" s="3">
        <f t="shared" si="190"/>
        <v>1</v>
      </c>
      <c r="BA359" s="3">
        <f>IF(ISERROR(LEN(VLOOKUP(A359,Seqs!A:E,2,FALSE))-AL359),"-",LEN(VLOOKUP(A359,Seqs!A:E,2,FALSE))-AL359)</f>
        <v>40</v>
      </c>
      <c r="BB359" s="16">
        <f t="shared" si="191"/>
        <v>31</v>
      </c>
      <c r="BC359" s="9" t="str">
        <f t="shared" si="192"/>
        <v>-</v>
      </c>
      <c r="BD359" s="3">
        <f t="shared" si="193"/>
        <v>31</v>
      </c>
      <c r="BE359" s="3">
        <f t="shared" si="194"/>
        <v>37</v>
      </c>
    </row>
    <row r="360" spans="1:58" s="3" customFormat="1" x14ac:dyDescent="0.2">
      <c r="A360" s="3" t="s">
        <v>116</v>
      </c>
      <c r="B360" s="3" t="str">
        <f>LOWER(VLOOKUP(A360,Xtal_Templ!A:B,2,FALSE))</f>
        <v>grm5_human</v>
      </c>
      <c r="C360" s="3">
        <f>VLOOKUP($A360,'SegEnds_NonXtal_BW#'!$A:$Z,3,FALSE)+D360-50</f>
        <v>575</v>
      </c>
      <c r="D360" s="3">
        <v>591</v>
      </c>
      <c r="E360" s="3">
        <f>IF(ISERROR(VLOOKUP($A360,'SegEnds_NonXtal_BW#'!$A:$Z,4,FALSE)+VLOOKUP($A360,A:AL,4,FALSE)-50),"-",(VLOOKUP($A360,'SegEnds_NonXtal_BW#'!$A:$Z,4,FALSE)+VLOOKUP($A360,A:AL,4,FALSE)-50))</f>
        <v>601</v>
      </c>
      <c r="F360" s="3">
        <f t="shared" si="197"/>
        <v>604</v>
      </c>
      <c r="G360" s="3">
        <v>607</v>
      </c>
      <c r="H360" s="3">
        <f t="shared" si="198"/>
        <v>610</v>
      </c>
      <c r="I360" s="3">
        <f t="shared" si="199"/>
        <v>611</v>
      </c>
      <c r="J360" s="3">
        <v>622</v>
      </c>
      <c r="K360" s="3">
        <f>VLOOKUP($A360,'SegEnds_NonXtal_BW#'!$A:$Z,8,FALSE)+VLOOKUP($A360,A:AL,10,FALSE)-50</f>
        <v>633</v>
      </c>
      <c r="L360" s="3" t="str">
        <f>IF(ISERROR(VLOOKUP($A360,'SegEnds_NonXtal_BW#'!$A:$Z,9,FALSE)+VLOOKUP($A360,A:AL,13,FALSE)-50),"-",(VLOOKUP($A360,'SegEnds_NonXtal_BW#'!$A:$Z,9,FALSE)+VLOOKUP($A360,A:AL,13,FALSE)-50))</f>
        <v>-</v>
      </c>
      <c r="M360" s="3" t="s">
        <v>23</v>
      </c>
      <c r="N360" s="3" t="str">
        <f>IF(ISERROR(VLOOKUP($A360,'SegEnds_NonXtal_BW#'!$A:$Z,10,FALSE)+VLOOKUP($A360,A:AL,13,FALSE)-50),"-",(VLOOKUP($A360,'SegEnds_NonXtal_BW#'!$A:$Z,10,FALSE)+VLOOKUP($A360,A:AL,13,FALSE)-50))</f>
        <v>-</v>
      </c>
      <c r="O360" s="3">
        <f>VLOOKUP($A360,'SegEnds_NonXtal_BW#'!$A:$Z,11,FALSE)+VLOOKUP($A360,A:AL,16,FALSE)-50</f>
        <v>637</v>
      </c>
      <c r="P360" s="3">
        <v>666</v>
      </c>
      <c r="Q360" s="3">
        <f>VLOOKUP($A360,'SegEnds_NonXtal_BW#'!$A:$Z,12,FALSE)+VLOOKUP($A360,A:AL,16,FALSE)-50</f>
        <v>670</v>
      </c>
      <c r="R360" s="3" t="str">
        <f>IF(ISERROR(VLOOKUP($A360,'SegEnds_NonXtal_BW#'!$A:$Z,13,FALSE)+VLOOKUP($A360,A:AL,19,FALSE)-50),"-",VLOOKUP($A360,'SegEnds_NonXtal_BW#'!$A:$Z,13,FALSE)+VLOOKUP($A360,A:AL,19,FALSE)-50)</f>
        <v>-</v>
      </c>
      <c r="S360" s="3" t="s">
        <v>23</v>
      </c>
      <c r="T360" s="100" t="str">
        <f>IF(ISERROR(VLOOKUP($A360,'SegEnds_NonXtal_BW#'!$A:$Z,14,FALSE)+VLOOKUP($A360,A:AL,19,FALSE)-50),"-",(VLOOKUP($A360,'SegEnds_NonXtal_BW#'!$A:$Z,14,FALSE)+VLOOKUP($A360,A:AL,19,FALSE)-50))</f>
        <v>-</v>
      </c>
      <c r="U360" s="9">
        <f>IF(ISERROR(VLOOKUP($A360,'SegEnds_NonXtal_BW#'!$A:$Z,15,FALSE)+VLOOKUP($A360,A:AL,22,FALSE)-50),"-",VLOOKUP($A360,'SegEnds_NonXtal_BW#'!$A:$Z,15,FALSE)+VLOOKUP($A360,A:AL,22,FALSE)-50)</f>
        <v>684</v>
      </c>
      <c r="V360" s="3">
        <v>696</v>
      </c>
      <c r="W360" s="3">
        <f>IF(ISERROR(VLOOKUP($A360,'SegEnds_NonXtal_BW#'!$A:$Z,16,FALSE)+VLOOKUP($A360,A:AL,22,FALSE)-50),"-",(VLOOKUP($A360,'SegEnds_NonXtal_BW#'!$A:$Z,16,FALSE)+VLOOKUP($A360,A:AL,22,FALSE)-50))</f>
        <v>710</v>
      </c>
      <c r="X360" s="3">
        <f>IF(ISERROR(VLOOKUP($A360,'SegEnds_NonXtal_BW#'!$A:$Z,17,FALSE)+VLOOKUP($A360,A:AL,25,FALSE)-50),"-",(VLOOKUP($A360,'SegEnds_NonXtal_BW#'!$A:$Z,17,FALSE)+VLOOKUP($A360,A:AL,25,FALSE)-50))</f>
        <v>730</v>
      </c>
      <c r="Y360" s="3">
        <v>730</v>
      </c>
      <c r="Z360" s="3">
        <f t="shared" si="200"/>
        <v>732</v>
      </c>
      <c r="AA360" s="3">
        <f>IF(ISERROR(VLOOKUP($A360,'SegEnds_NonXtal_BW#'!$A:$Z,19,FALSE)+VLOOKUP($A360,A:AL,28,FALSE)-50),"-",(VLOOKUP($A360,'SegEnds_NonXtal_BW#'!$A:$Z,19,FALSE)+VLOOKUP($A360,A:AL,28,FALSE)-50))</f>
        <v>733</v>
      </c>
      <c r="AB360" s="3">
        <v>747</v>
      </c>
      <c r="AC360" s="3">
        <f>IF(ISERROR((VLOOKUP($A360,'SegEnds_NonXtal_BW#'!$A:$Z,20,FALSE)+VLOOKUP($A360,A:AL,28,FALSE)-50)),"-",(VLOOKUP($A360,'SegEnds_NonXtal_BW#'!$A:$Z,20,FALSE)+VLOOKUP($A360,A:AL,28,FALSE)-50))</f>
        <v>758</v>
      </c>
      <c r="AD360" s="3">
        <f>IF(ISERROR(VLOOKUP($A360,'SegEnds_NonXtal_BW#'!$A:$Z,21,FALSE)+VLOOKUP($A360,A:AL,31,FALSE)-50),"-",(VLOOKUP($A360,'SegEnds_NonXtal_BW#'!$A:$Z,21,FALSE)+VLOOKUP($A360,A:AL,31,FALSE)-50))</f>
        <v>767</v>
      </c>
      <c r="AE360" s="3">
        <v>784</v>
      </c>
      <c r="AF360" s="3">
        <f>IF(ISERROR((VLOOKUP($A360,'SegEnds_NonXtal_BW#'!$A:$Z,22,FALSE)+VLOOKUP($A360,A:AL,31,FALSE)-50)),"-",(VLOOKUP($A360,'SegEnds_NonXtal_BW#'!$A:$Z,22,FALSE)+VLOOKUP($A360,A:AL,31,FALSE)-50))</f>
        <v>791</v>
      </c>
      <c r="AG360" s="3">
        <f>IF(ISERROR(VLOOKUP($A360,'SegEnds_NonXtal_BW#'!$A:$Z,23,FALSE)+VLOOKUP($A360,A:AL,34,FALSE)-50),"-",(VLOOKUP($A360,'SegEnds_NonXtal_BW#'!$A:$Z,23,FALSE)+VLOOKUP($A360,A:AL,34,FALSE)-50))</f>
        <v>798</v>
      </c>
      <c r="AH360" s="3">
        <v>815</v>
      </c>
      <c r="AI360" s="3">
        <f>IF(ISERROR((VLOOKUP($A360,'SegEnds_NonXtal_BW#'!$A:$Z,24,FALSE)+VLOOKUP($A360,A:AL,34,FALSE)-50)),"-",(VLOOKUP($A360,'SegEnds_NonXtal_BW#'!$A:$Z,24,FALSE)+VLOOKUP($A360,A:AL,34,FALSE)-50))</f>
        <v>829</v>
      </c>
      <c r="AJ360" s="3">
        <f>IF(ISERROR(VLOOKUP($A360,'SegEnds_NonXtal_BW#'!$A:$Z,25,FALSE)+VLOOKUP($A360,A:AL,37,FALSE)-50),"-",(VLOOKUP($A360,'SegEnds_NonXtal_BW#'!$A:$Z,25,FALSE)+VLOOKUP($A360,A:AL,37,FALSE)-50))</f>
        <v>830</v>
      </c>
      <c r="AK360" s="3">
        <v>834</v>
      </c>
      <c r="AL360" s="3">
        <f>IF(ISERROR((VLOOKUP($A360,'SegEnds_NonXtal_BW#'!$A:$Z,26,FALSE)+VLOOKUP($A360,A:AL,37,FALSE)-50)),"-",(VLOOKUP($A360,'SegEnds_NonXtal_BW#'!$A:$Z,26,FALSE)+VLOOKUP($A360,A:AL,37,FALSE)-50))</f>
        <v>841</v>
      </c>
      <c r="AM360" s="28" t="str">
        <f>VLOOKUP(A360,Classification!A:B,2,FALSE)</f>
        <v>C</v>
      </c>
      <c r="AN360" s="28" t="b">
        <f t="shared" si="195"/>
        <v>1</v>
      </c>
      <c r="AO360" s="3" t="str">
        <f>IF(ISERROR(MATCH(A360,'SegEnds_Xtal_Prot#'!B:B, 0)), "NoXtal", "Xtal")</f>
        <v>NoXtal</v>
      </c>
      <c r="AP360" s="3">
        <f t="shared" si="180"/>
        <v>3</v>
      </c>
      <c r="AQ360" s="3">
        <f t="shared" si="181"/>
        <v>1</v>
      </c>
      <c r="AR360" s="3" t="str">
        <f t="shared" si="182"/>
        <v>-</v>
      </c>
      <c r="AS360" s="3" t="str">
        <f t="shared" si="183"/>
        <v>-</v>
      </c>
      <c r="AT360" s="3" t="str">
        <f t="shared" si="184"/>
        <v>-</v>
      </c>
      <c r="AU360" s="3" t="str">
        <f t="shared" si="185"/>
        <v>-</v>
      </c>
      <c r="AV360" s="3">
        <f t="shared" si="186"/>
        <v>20</v>
      </c>
      <c r="AW360" s="3">
        <f t="shared" si="187"/>
        <v>1</v>
      </c>
      <c r="AX360" s="3">
        <f t="shared" si="188"/>
        <v>9</v>
      </c>
      <c r="AY360" s="3">
        <f t="shared" si="189"/>
        <v>7</v>
      </c>
      <c r="AZ360" s="3">
        <f t="shared" si="190"/>
        <v>1</v>
      </c>
      <c r="BA360" s="3">
        <f>IF(ISERROR(LEN(VLOOKUP(A360,Seqs!A:E,2,FALSE))-AL360),"-",LEN(VLOOKUP(A360,Seqs!A:E,2,FALSE))-AL360)</f>
        <v>38</v>
      </c>
      <c r="BB360" s="16">
        <f t="shared" si="191"/>
        <v>31</v>
      </c>
      <c r="BC360" s="9" t="str">
        <f t="shared" si="192"/>
        <v>-</v>
      </c>
      <c r="BD360" s="3">
        <f t="shared" si="193"/>
        <v>31</v>
      </c>
      <c r="BE360" s="3">
        <f t="shared" si="194"/>
        <v>37</v>
      </c>
    </row>
    <row r="361" spans="1:58" s="3" customFormat="1" x14ac:dyDescent="0.2">
      <c r="A361" s="3" t="s">
        <v>117</v>
      </c>
      <c r="B361" s="3" t="str">
        <f>LOWER(VLOOKUP(A361,Xtal_Templ!A:B,2,FALSE))</f>
        <v>grm5_human</v>
      </c>
      <c r="C361" s="3">
        <f>VLOOKUP($A361,'SegEnds_NonXtal_BW#'!$A:$Z,3,FALSE)+D361-50</f>
        <v>586</v>
      </c>
      <c r="D361" s="3">
        <v>602</v>
      </c>
      <c r="E361" s="3">
        <f>IF(ISERROR(VLOOKUP($A361,'SegEnds_NonXtal_BW#'!$A:$Z,4,FALSE)+VLOOKUP($A361,A:AL,4,FALSE)-50),"-",(VLOOKUP($A361,'SegEnds_NonXtal_BW#'!$A:$Z,4,FALSE)+VLOOKUP($A361,A:AL,4,FALSE)-50))</f>
        <v>612</v>
      </c>
      <c r="F361" s="3">
        <f t="shared" si="197"/>
        <v>615</v>
      </c>
      <c r="G361" s="3">
        <v>618</v>
      </c>
      <c r="H361" s="3">
        <f t="shared" si="198"/>
        <v>621</v>
      </c>
      <c r="I361" s="3">
        <f t="shared" si="199"/>
        <v>622</v>
      </c>
      <c r="J361" s="3">
        <v>633</v>
      </c>
      <c r="K361" s="3">
        <f>VLOOKUP($A361,'SegEnds_NonXtal_BW#'!$A:$Z,8,FALSE)+VLOOKUP($A361,A:AL,10,FALSE)-50</f>
        <v>644</v>
      </c>
      <c r="L361" s="3" t="str">
        <f>IF(ISERROR(VLOOKUP($A361,'SegEnds_NonXtal_BW#'!$A:$Z,9,FALSE)+VLOOKUP($A361,A:AL,13,FALSE)-50),"-",(VLOOKUP($A361,'SegEnds_NonXtal_BW#'!$A:$Z,9,FALSE)+VLOOKUP($A361,A:AL,13,FALSE)-50))</f>
        <v>-</v>
      </c>
      <c r="M361" s="3" t="s">
        <v>23</v>
      </c>
      <c r="N361" s="3" t="str">
        <f>IF(ISERROR(VLOOKUP($A361,'SegEnds_NonXtal_BW#'!$A:$Z,10,FALSE)+VLOOKUP($A361,A:AL,13,FALSE)-50),"-",(VLOOKUP($A361,'SegEnds_NonXtal_BW#'!$A:$Z,10,FALSE)+VLOOKUP($A361,A:AL,13,FALSE)-50))</f>
        <v>-</v>
      </c>
      <c r="O361" s="3">
        <f>VLOOKUP($A361,'SegEnds_NonXtal_BW#'!$A:$Z,11,FALSE)+VLOOKUP($A361,A:AL,16,FALSE)-50</f>
        <v>648</v>
      </c>
      <c r="P361" s="3">
        <v>677</v>
      </c>
      <c r="Q361" s="3">
        <f>VLOOKUP($A361,'SegEnds_NonXtal_BW#'!$A:$Z,12,FALSE)+VLOOKUP($A361,A:AL,16,FALSE)-50</f>
        <v>681</v>
      </c>
      <c r="R361" s="3" t="str">
        <f>IF(ISERROR(VLOOKUP($A361,'SegEnds_NonXtal_BW#'!$A:$Z,13,FALSE)+VLOOKUP($A361,A:AL,19,FALSE)-50),"-",VLOOKUP($A361,'SegEnds_NonXtal_BW#'!$A:$Z,13,FALSE)+VLOOKUP($A361,A:AL,19,FALSE)-50)</f>
        <v>-</v>
      </c>
      <c r="S361" s="3" t="s">
        <v>23</v>
      </c>
      <c r="T361" s="100" t="str">
        <f>IF(ISERROR(VLOOKUP($A361,'SegEnds_NonXtal_BW#'!$A:$Z,14,FALSE)+VLOOKUP($A361,A:AL,19,FALSE)-50),"-",(VLOOKUP($A361,'SegEnds_NonXtal_BW#'!$A:$Z,14,FALSE)+VLOOKUP($A361,A:AL,19,FALSE)-50))</f>
        <v>-</v>
      </c>
      <c r="U361" s="9">
        <f>IF(ISERROR(VLOOKUP($A361,'SegEnds_NonXtal_BW#'!$A:$Z,15,FALSE)+VLOOKUP($A361,A:AL,22,FALSE)-50),"-",VLOOKUP($A361,'SegEnds_NonXtal_BW#'!$A:$Z,15,FALSE)+VLOOKUP($A361,A:AL,22,FALSE)-50)</f>
        <v>695</v>
      </c>
      <c r="V361" s="3">
        <v>707</v>
      </c>
      <c r="W361" s="3">
        <f>IF(ISERROR(VLOOKUP($A361,'SegEnds_NonXtal_BW#'!$A:$Z,16,FALSE)+VLOOKUP($A361,A:AL,22,FALSE)-50),"-",(VLOOKUP($A361,'SegEnds_NonXtal_BW#'!$A:$Z,16,FALSE)+VLOOKUP($A361,A:AL,22,FALSE)-50))</f>
        <v>721</v>
      </c>
      <c r="X361" s="3">
        <f>IF(ISERROR(VLOOKUP($A361,'SegEnds_NonXtal_BW#'!$A:$Z,17,FALSE)+VLOOKUP($A361,A:AL,25,FALSE)-50),"-",(VLOOKUP($A361,'SegEnds_NonXtal_BW#'!$A:$Z,17,FALSE)+VLOOKUP($A361,A:AL,25,FALSE)-50))</f>
        <v>746</v>
      </c>
      <c r="Y361" s="3">
        <v>746</v>
      </c>
      <c r="Z361" s="3">
        <f t="shared" si="200"/>
        <v>748</v>
      </c>
      <c r="AA361" s="3">
        <f>IF(ISERROR(VLOOKUP($A361,'SegEnds_NonXtal_BW#'!$A:$Z,19,FALSE)+VLOOKUP($A361,A:AL,28,FALSE)-50),"-",(VLOOKUP($A361,'SegEnds_NonXtal_BW#'!$A:$Z,19,FALSE)+VLOOKUP($A361,A:AL,28,FALSE)-50))</f>
        <v>749</v>
      </c>
      <c r="AB361" s="3">
        <v>763</v>
      </c>
      <c r="AC361" s="3">
        <f>IF(ISERROR((VLOOKUP($A361,'SegEnds_NonXtal_BW#'!$A:$Z,20,FALSE)+VLOOKUP($A361,A:AL,28,FALSE)-50)),"-",(VLOOKUP($A361,'SegEnds_NonXtal_BW#'!$A:$Z,20,FALSE)+VLOOKUP($A361,A:AL,28,FALSE)-50))</f>
        <v>774</v>
      </c>
      <c r="AD361" s="3">
        <f>IF(ISERROR(VLOOKUP($A361,'SegEnds_NonXtal_BW#'!$A:$Z,21,FALSE)+VLOOKUP($A361,A:AL,31,FALSE)-50),"-",(VLOOKUP($A361,'SegEnds_NonXtal_BW#'!$A:$Z,21,FALSE)+VLOOKUP($A361,A:AL,31,FALSE)-50))</f>
        <v>783</v>
      </c>
      <c r="AE361" s="3">
        <v>800</v>
      </c>
      <c r="AF361" s="3">
        <f>IF(ISERROR((VLOOKUP($A361,'SegEnds_NonXtal_BW#'!$A:$Z,22,FALSE)+VLOOKUP($A361,A:AL,31,FALSE)-50)),"-",(VLOOKUP($A361,'SegEnds_NonXtal_BW#'!$A:$Z,22,FALSE)+VLOOKUP($A361,A:AL,31,FALSE)-50))</f>
        <v>807</v>
      </c>
      <c r="AG361" s="3">
        <f>IF(ISERROR(VLOOKUP($A361,'SegEnds_NonXtal_BW#'!$A:$Z,23,FALSE)+VLOOKUP($A361,A:AL,34,FALSE)-50),"-",(VLOOKUP($A361,'SegEnds_NonXtal_BW#'!$A:$Z,23,FALSE)+VLOOKUP($A361,A:AL,34,FALSE)-50))</f>
        <v>817</v>
      </c>
      <c r="AH361" s="3">
        <v>834</v>
      </c>
      <c r="AI361" s="3">
        <f>IF(ISERROR((VLOOKUP($A361,'SegEnds_NonXtal_BW#'!$A:$Z,24,FALSE)+VLOOKUP($A361,A:AL,34,FALSE)-50)),"-",(VLOOKUP($A361,'SegEnds_NonXtal_BW#'!$A:$Z,24,FALSE)+VLOOKUP($A361,A:AL,34,FALSE)-50))</f>
        <v>848</v>
      </c>
      <c r="AJ361" s="3">
        <f>IF(ISERROR(VLOOKUP($A361,'SegEnds_NonXtal_BW#'!$A:$Z,25,FALSE)+VLOOKUP($A361,A:AL,37,FALSE)-50),"-",(VLOOKUP($A361,'SegEnds_NonXtal_BW#'!$A:$Z,25,FALSE)+VLOOKUP($A361,A:AL,37,FALSE)-50))</f>
        <v>849</v>
      </c>
      <c r="AK361" s="3">
        <v>853</v>
      </c>
      <c r="AL361" s="3">
        <f>IF(ISERROR((VLOOKUP($A361,'SegEnds_NonXtal_BW#'!$A:$Z,26,FALSE)+VLOOKUP($A361,A:AL,37,FALSE)-50)),"-",(VLOOKUP($A361,'SegEnds_NonXtal_BW#'!$A:$Z,26,FALSE)+VLOOKUP($A361,A:AL,37,FALSE)-50))</f>
        <v>860</v>
      </c>
      <c r="AM361" s="28" t="str">
        <f>VLOOKUP(A361,Classification!A:B,2,FALSE)</f>
        <v>C</v>
      </c>
      <c r="AN361" s="28" t="b">
        <f t="shared" si="195"/>
        <v>1</v>
      </c>
      <c r="AO361" s="3" t="str">
        <f>IF(ISERROR(MATCH(A361,'SegEnds_Xtal_Prot#'!B:B, 0)), "NoXtal", "Xtal")</f>
        <v>NoXtal</v>
      </c>
      <c r="AP361" s="3">
        <f t="shared" si="180"/>
        <v>3</v>
      </c>
      <c r="AQ361" s="3">
        <f t="shared" si="181"/>
        <v>1</v>
      </c>
      <c r="AR361" s="3" t="str">
        <f t="shared" si="182"/>
        <v>-</v>
      </c>
      <c r="AS361" s="3" t="str">
        <f t="shared" si="183"/>
        <v>-</v>
      </c>
      <c r="AT361" s="3" t="str">
        <f t="shared" si="184"/>
        <v>-</v>
      </c>
      <c r="AU361" s="3" t="str">
        <f t="shared" si="185"/>
        <v>-</v>
      </c>
      <c r="AV361" s="3">
        <f t="shared" si="186"/>
        <v>25</v>
      </c>
      <c r="AW361" s="3">
        <f t="shared" si="187"/>
        <v>1</v>
      </c>
      <c r="AX361" s="3">
        <f t="shared" si="188"/>
        <v>9</v>
      </c>
      <c r="AY361" s="3">
        <f t="shared" si="189"/>
        <v>10</v>
      </c>
      <c r="AZ361" s="3">
        <f t="shared" si="190"/>
        <v>1</v>
      </c>
      <c r="BA361" s="3">
        <f>IF(ISERROR(LEN(VLOOKUP(A361,Seqs!A:E,2,FALSE))-AL361),"-",LEN(VLOOKUP(A361,Seqs!A:E,2,FALSE))-AL361)</f>
        <v>52</v>
      </c>
      <c r="BB361" s="16">
        <f t="shared" si="191"/>
        <v>31</v>
      </c>
      <c r="BC361" s="9" t="str">
        <f t="shared" si="192"/>
        <v>-</v>
      </c>
      <c r="BD361" s="3">
        <f t="shared" si="193"/>
        <v>31</v>
      </c>
      <c r="BE361" s="3">
        <f t="shared" si="194"/>
        <v>37</v>
      </c>
    </row>
    <row r="362" spans="1:58" s="3" customFormat="1" x14ac:dyDescent="0.2">
      <c r="A362" s="3" t="s">
        <v>41</v>
      </c>
      <c r="B362" s="3" t="str">
        <f>LOWER(VLOOKUP(A362,Xtal_Templ!A:B,2,FALSE))</f>
        <v>grm5_human</v>
      </c>
      <c r="C362" s="3">
        <f>VLOOKUP($A362,'SegEnds_NonXtal_BW#'!$A:$Z,3,FALSE)+D362-50</f>
        <v>578</v>
      </c>
      <c r="D362" s="3">
        <v>594</v>
      </c>
      <c r="E362" s="3">
        <f>IF(ISERROR(VLOOKUP($A362,'SegEnds_NonXtal_BW#'!$A:$Z,4,FALSE)+VLOOKUP($A362,A:AL,4,FALSE)-50),"-",(VLOOKUP($A362,'SegEnds_NonXtal_BW#'!$A:$Z,4,FALSE)+VLOOKUP($A362,A:AL,4,FALSE)-50))</f>
        <v>604</v>
      </c>
      <c r="F362" s="3">
        <f t="shared" si="197"/>
        <v>607</v>
      </c>
      <c r="G362" s="3">
        <v>610</v>
      </c>
      <c r="H362" s="3">
        <f t="shared" si="198"/>
        <v>613</v>
      </c>
      <c r="I362" s="3">
        <f t="shared" si="199"/>
        <v>614</v>
      </c>
      <c r="J362" s="3">
        <v>625</v>
      </c>
      <c r="K362" s="3">
        <f>VLOOKUP($A362,'SegEnds_NonXtal_BW#'!$A:$Z,8,FALSE)+VLOOKUP($A362,A:AL,10,FALSE)-50</f>
        <v>636</v>
      </c>
      <c r="L362" s="3" t="str">
        <f>IF(ISERROR(VLOOKUP($A362,'SegEnds_NonXtal_BW#'!$A:$Z,9,FALSE)+VLOOKUP($A362,A:AL,13,FALSE)-50),"-",(VLOOKUP($A362,'SegEnds_NonXtal_BW#'!$A:$Z,9,FALSE)+VLOOKUP($A362,A:AL,13,FALSE)-50))</f>
        <v>-</v>
      </c>
      <c r="M362" s="3" t="s">
        <v>23</v>
      </c>
      <c r="N362" s="3" t="str">
        <f>IF(ISERROR(VLOOKUP($A362,'SegEnds_NonXtal_BW#'!$A:$Z,10,FALSE)+VLOOKUP($A362,A:AL,13,FALSE)-50),"-",(VLOOKUP($A362,'SegEnds_NonXtal_BW#'!$A:$Z,10,FALSE)+VLOOKUP($A362,A:AL,13,FALSE)-50))</f>
        <v>-</v>
      </c>
      <c r="O362" s="3">
        <f>VLOOKUP($A362,'SegEnds_NonXtal_BW#'!$A:$Z,11,FALSE)+VLOOKUP($A362,A:AL,16,FALSE)-50</f>
        <v>640</v>
      </c>
      <c r="P362" s="3">
        <v>669</v>
      </c>
      <c r="Q362" s="3">
        <f>VLOOKUP($A362,'SegEnds_NonXtal_BW#'!$A:$Z,12,FALSE)+VLOOKUP($A362,A:AL,16,FALSE)-50</f>
        <v>673</v>
      </c>
      <c r="R362" s="3" t="str">
        <f>IF(ISERROR(VLOOKUP($A362,'SegEnds_NonXtal_BW#'!$A:$Z,13,FALSE)+VLOOKUP($A362,A:AL,19,FALSE)-50),"-",VLOOKUP($A362,'SegEnds_NonXtal_BW#'!$A:$Z,13,FALSE)+VLOOKUP($A362,A:AL,19,FALSE)-50)</f>
        <v>-</v>
      </c>
      <c r="S362" s="3" t="s">
        <v>23</v>
      </c>
      <c r="T362" s="100" t="str">
        <f>IF(ISERROR(VLOOKUP($A362,'SegEnds_NonXtal_BW#'!$A:$Z,14,FALSE)+VLOOKUP($A362,A:AL,19,FALSE)-50),"-",(VLOOKUP($A362,'SegEnds_NonXtal_BW#'!$A:$Z,14,FALSE)+VLOOKUP($A362,A:AL,19,FALSE)-50))</f>
        <v>-</v>
      </c>
      <c r="U362" s="9">
        <f>IF(ISERROR(VLOOKUP($A362,'SegEnds_NonXtal_BW#'!$A:$Z,15,FALSE)+VLOOKUP($A362,A:AL,22,FALSE)-50),"-",VLOOKUP($A362,'SegEnds_NonXtal_BW#'!$A:$Z,15,FALSE)+VLOOKUP($A362,A:AL,22,FALSE)-50)</f>
        <v>689</v>
      </c>
      <c r="V362" s="3">
        <v>701</v>
      </c>
      <c r="W362" s="3">
        <f>IF(ISERROR(VLOOKUP($A362,'SegEnds_NonXtal_BW#'!$A:$Z,16,FALSE)+VLOOKUP($A362,A:AL,22,FALSE)-50),"-",(VLOOKUP($A362,'SegEnds_NonXtal_BW#'!$A:$Z,16,FALSE)+VLOOKUP($A362,A:AL,22,FALSE)-50))</f>
        <v>715</v>
      </c>
      <c r="X362" s="3">
        <f>IF(ISERROR(VLOOKUP($A362,'SegEnds_NonXtal_BW#'!$A:$Z,17,FALSE)+VLOOKUP($A362,A:AL,25,FALSE)-50),"-",(VLOOKUP($A362,'SegEnds_NonXtal_BW#'!$A:$Z,17,FALSE)+VLOOKUP($A362,A:AL,25,FALSE)-50))</f>
        <v>733</v>
      </c>
      <c r="Y362" s="3">
        <v>733</v>
      </c>
      <c r="Z362" s="3">
        <f t="shared" si="200"/>
        <v>735</v>
      </c>
      <c r="AA362" s="3">
        <f>IF(ISERROR(VLOOKUP($A362,'SegEnds_NonXtal_BW#'!$A:$Z,19,FALSE)+VLOOKUP($A362,A:AL,28,FALSE)-50),"-",(VLOOKUP($A362,'SegEnds_NonXtal_BW#'!$A:$Z,19,FALSE)+VLOOKUP($A362,A:AL,28,FALSE)-50))</f>
        <v>736</v>
      </c>
      <c r="AB362" s="3">
        <v>750</v>
      </c>
      <c r="AC362" s="3">
        <f>IF(ISERROR((VLOOKUP($A362,'SegEnds_NonXtal_BW#'!$A:$Z,20,FALSE)+VLOOKUP($A362,A:AL,28,FALSE)-50)),"-",(VLOOKUP($A362,'SegEnds_NonXtal_BW#'!$A:$Z,20,FALSE)+VLOOKUP($A362,A:AL,28,FALSE)-50))</f>
        <v>761</v>
      </c>
      <c r="AD362" s="3">
        <f>IF(ISERROR(VLOOKUP($A362,'SegEnds_NonXtal_BW#'!$A:$Z,21,FALSE)+VLOOKUP($A362,A:AL,31,FALSE)-50),"-",(VLOOKUP($A362,'SegEnds_NonXtal_BW#'!$A:$Z,21,FALSE)+VLOOKUP($A362,A:AL,31,FALSE)-50))</f>
        <v>770</v>
      </c>
      <c r="AE362" s="3">
        <v>787</v>
      </c>
      <c r="AF362" s="3">
        <f>IF(ISERROR((VLOOKUP($A362,'SegEnds_NonXtal_BW#'!$A:$Z,22,FALSE)+VLOOKUP($A362,A:AL,31,FALSE)-50)),"-",(VLOOKUP($A362,'SegEnds_NonXtal_BW#'!$A:$Z,22,FALSE)+VLOOKUP($A362,A:AL,31,FALSE)-50))</f>
        <v>794</v>
      </c>
      <c r="AG362" s="3">
        <f>IF(ISERROR(VLOOKUP($A362,'SegEnds_NonXtal_BW#'!$A:$Z,23,FALSE)+VLOOKUP($A362,A:AL,34,FALSE)-50),"-",(VLOOKUP($A362,'SegEnds_NonXtal_BW#'!$A:$Z,23,FALSE)+VLOOKUP($A362,A:AL,34,FALSE)-50))</f>
        <v>797</v>
      </c>
      <c r="AH362" s="3">
        <v>814</v>
      </c>
      <c r="AI362" s="3">
        <f>IF(ISERROR((VLOOKUP($A362,'SegEnds_NonXtal_BW#'!$A:$Z,24,FALSE)+VLOOKUP($A362,A:AL,34,FALSE)-50)),"-",(VLOOKUP($A362,'SegEnds_NonXtal_BW#'!$A:$Z,24,FALSE)+VLOOKUP($A362,A:AL,34,FALSE)-50))</f>
        <v>828</v>
      </c>
      <c r="AJ362" s="3">
        <f>IF(ISERROR(VLOOKUP($A362,'SegEnds_NonXtal_BW#'!$A:$Z,25,FALSE)+VLOOKUP($A362,A:AL,37,FALSE)-50),"-",(VLOOKUP($A362,'SegEnds_NonXtal_BW#'!$A:$Z,25,FALSE)+VLOOKUP($A362,A:AL,37,FALSE)-50))</f>
        <v>829</v>
      </c>
      <c r="AK362" s="3">
        <v>833</v>
      </c>
      <c r="AL362" s="3">
        <f>IF(ISERROR((VLOOKUP($A362,'SegEnds_NonXtal_BW#'!$A:$Z,26,FALSE)+VLOOKUP($A362,A:AL,37,FALSE)-50)),"-",(VLOOKUP($A362,'SegEnds_NonXtal_BW#'!$A:$Z,26,FALSE)+VLOOKUP($A362,A:AL,37,FALSE)-50))</f>
        <v>840</v>
      </c>
      <c r="AM362" s="28" t="str">
        <f>VLOOKUP(A362,Classification!A:B,2,FALSE)</f>
        <v>C</v>
      </c>
      <c r="AN362" s="28" t="b">
        <f t="shared" si="195"/>
        <v>1</v>
      </c>
      <c r="AO362" s="3" t="str">
        <f>IF(ISERROR(MATCH(A362,'SegEnds_Xtal_Prot#'!B:B, 0)), "NoXtal", "Xtal")</f>
        <v>Xtal</v>
      </c>
      <c r="AP362" s="3">
        <f t="shared" si="180"/>
        <v>3</v>
      </c>
      <c r="AQ362" s="3">
        <f t="shared" si="181"/>
        <v>1</v>
      </c>
      <c r="AR362" s="3" t="str">
        <f t="shared" si="182"/>
        <v>-</v>
      </c>
      <c r="AS362" s="3" t="str">
        <f t="shared" si="183"/>
        <v>-</v>
      </c>
      <c r="AT362" s="3" t="str">
        <f t="shared" si="184"/>
        <v>-</v>
      </c>
      <c r="AU362" s="3" t="str">
        <f t="shared" si="185"/>
        <v>-</v>
      </c>
      <c r="AV362" s="3">
        <f t="shared" si="186"/>
        <v>18</v>
      </c>
      <c r="AW362" s="3">
        <f t="shared" si="187"/>
        <v>1</v>
      </c>
      <c r="AX362" s="3">
        <f t="shared" si="188"/>
        <v>9</v>
      </c>
      <c r="AY362" s="3">
        <f t="shared" si="189"/>
        <v>3</v>
      </c>
      <c r="AZ362" s="3">
        <f t="shared" si="190"/>
        <v>1</v>
      </c>
      <c r="BA362" s="3">
        <f>IF(ISERROR(LEN(VLOOKUP(A362,Seqs!A:E,2,FALSE))-AL362),"-",LEN(VLOOKUP(A362,Seqs!A:E,2,FALSE))-AL362)</f>
        <v>372</v>
      </c>
      <c r="BB362" s="16">
        <f t="shared" si="191"/>
        <v>31</v>
      </c>
      <c r="BC362" s="9" t="str">
        <f t="shared" si="192"/>
        <v>-</v>
      </c>
      <c r="BD362" s="3">
        <f t="shared" si="193"/>
        <v>31</v>
      </c>
      <c r="BE362" s="3">
        <f t="shared" si="194"/>
        <v>37</v>
      </c>
    </row>
    <row r="363" spans="1:58" s="3" customFormat="1" x14ac:dyDescent="0.2">
      <c r="A363" s="3" t="s">
        <v>118</v>
      </c>
      <c r="B363" s="3" t="str">
        <f>LOWER(VLOOKUP(A363,Xtal_Templ!A:B,2,FALSE))</f>
        <v>grm5_human</v>
      </c>
      <c r="C363" s="3">
        <f>VLOOKUP($A363,'SegEnds_NonXtal_BW#'!$A:$Z,3,FALSE)+D363-50</f>
        <v>584</v>
      </c>
      <c r="D363" s="3">
        <v>600</v>
      </c>
      <c r="E363" s="3">
        <f>IF(ISERROR(VLOOKUP($A363,'SegEnds_NonXtal_BW#'!$A:$Z,4,FALSE)+VLOOKUP($A363,A:AL,4,FALSE)-50),"-",(VLOOKUP($A363,'SegEnds_NonXtal_BW#'!$A:$Z,4,FALSE)+VLOOKUP($A363,A:AL,4,FALSE)-50))</f>
        <v>610</v>
      </c>
      <c r="F363" s="3">
        <f t="shared" si="197"/>
        <v>613</v>
      </c>
      <c r="G363" s="3">
        <v>616</v>
      </c>
      <c r="H363" s="3">
        <f t="shared" si="198"/>
        <v>619</v>
      </c>
      <c r="I363" s="3">
        <f t="shared" si="199"/>
        <v>620</v>
      </c>
      <c r="J363" s="3">
        <v>631</v>
      </c>
      <c r="K363" s="3">
        <f>VLOOKUP($A363,'SegEnds_NonXtal_BW#'!$A:$Z,8,FALSE)+VLOOKUP($A363,A:AL,10,FALSE)-50</f>
        <v>642</v>
      </c>
      <c r="L363" s="3" t="str">
        <f>IF(ISERROR(VLOOKUP($A363,'SegEnds_NonXtal_BW#'!$A:$Z,9,FALSE)+VLOOKUP($A363,A:AL,13,FALSE)-50),"-",(VLOOKUP($A363,'SegEnds_NonXtal_BW#'!$A:$Z,9,FALSE)+VLOOKUP($A363,A:AL,13,FALSE)-50))</f>
        <v>-</v>
      </c>
      <c r="M363" s="3" t="s">
        <v>23</v>
      </c>
      <c r="N363" s="3" t="str">
        <f>IF(ISERROR(VLOOKUP($A363,'SegEnds_NonXtal_BW#'!$A:$Z,10,FALSE)+VLOOKUP($A363,A:AL,13,FALSE)-50),"-",(VLOOKUP($A363,'SegEnds_NonXtal_BW#'!$A:$Z,10,FALSE)+VLOOKUP($A363,A:AL,13,FALSE)-50))</f>
        <v>-</v>
      </c>
      <c r="O363" s="3">
        <f>VLOOKUP($A363,'SegEnds_NonXtal_BW#'!$A:$Z,11,FALSE)+VLOOKUP($A363,A:AL,16,FALSE)-50</f>
        <v>646</v>
      </c>
      <c r="P363" s="3">
        <v>675</v>
      </c>
      <c r="Q363" s="3">
        <f>VLOOKUP($A363,'SegEnds_NonXtal_BW#'!$A:$Z,12,FALSE)+VLOOKUP($A363,A:AL,16,FALSE)-50</f>
        <v>679</v>
      </c>
      <c r="R363" s="3" t="str">
        <f>IF(ISERROR(VLOOKUP($A363,'SegEnds_NonXtal_BW#'!$A:$Z,13,FALSE)+VLOOKUP($A363,A:AL,19,FALSE)-50),"-",VLOOKUP($A363,'SegEnds_NonXtal_BW#'!$A:$Z,13,FALSE)+VLOOKUP($A363,A:AL,19,FALSE)-50)</f>
        <v>-</v>
      </c>
      <c r="S363" s="3" t="s">
        <v>23</v>
      </c>
      <c r="T363" s="100" t="str">
        <f>IF(ISERROR(VLOOKUP($A363,'SegEnds_NonXtal_BW#'!$A:$Z,14,FALSE)+VLOOKUP($A363,A:AL,19,FALSE)-50),"-",(VLOOKUP($A363,'SegEnds_NonXtal_BW#'!$A:$Z,14,FALSE)+VLOOKUP($A363,A:AL,19,FALSE)-50))</f>
        <v>-</v>
      </c>
      <c r="U363" s="9">
        <f>IF(ISERROR(VLOOKUP($A363,'SegEnds_NonXtal_BW#'!$A:$Z,15,FALSE)+VLOOKUP($A363,A:AL,22,FALSE)-50),"-",VLOOKUP($A363,'SegEnds_NonXtal_BW#'!$A:$Z,15,FALSE)+VLOOKUP($A363,A:AL,22,FALSE)-50)</f>
        <v>693</v>
      </c>
      <c r="V363" s="3">
        <v>705</v>
      </c>
      <c r="W363" s="3">
        <f>IF(ISERROR(VLOOKUP($A363,'SegEnds_NonXtal_BW#'!$A:$Z,16,FALSE)+VLOOKUP($A363,A:AL,22,FALSE)-50),"-",(VLOOKUP($A363,'SegEnds_NonXtal_BW#'!$A:$Z,16,FALSE)+VLOOKUP($A363,A:AL,22,FALSE)-50))</f>
        <v>719</v>
      </c>
      <c r="X363" s="3">
        <f>IF(ISERROR(VLOOKUP($A363,'SegEnds_NonXtal_BW#'!$A:$Z,17,FALSE)+VLOOKUP($A363,A:AL,25,FALSE)-50),"-",(VLOOKUP($A363,'SegEnds_NonXtal_BW#'!$A:$Z,17,FALSE)+VLOOKUP($A363,A:AL,25,FALSE)-50))</f>
        <v>744</v>
      </c>
      <c r="Y363" s="3">
        <v>744</v>
      </c>
      <c r="Z363" s="3">
        <f t="shared" si="200"/>
        <v>746</v>
      </c>
      <c r="AA363" s="3">
        <f>IF(ISERROR(VLOOKUP($A363,'SegEnds_NonXtal_BW#'!$A:$Z,19,FALSE)+VLOOKUP($A363,A:AL,28,FALSE)-50),"-",(VLOOKUP($A363,'SegEnds_NonXtal_BW#'!$A:$Z,19,FALSE)+VLOOKUP($A363,A:AL,28,FALSE)-50))</f>
        <v>747</v>
      </c>
      <c r="AB363" s="3">
        <v>761</v>
      </c>
      <c r="AC363" s="3">
        <f>IF(ISERROR((VLOOKUP($A363,'SegEnds_NonXtal_BW#'!$A:$Z,20,FALSE)+VLOOKUP($A363,A:AL,28,FALSE)-50)),"-",(VLOOKUP($A363,'SegEnds_NonXtal_BW#'!$A:$Z,20,FALSE)+VLOOKUP($A363,A:AL,28,FALSE)-50))</f>
        <v>772</v>
      </c>
      <c r="AD363" s="3">
        <f>IF(ISERROR(VLOOKUP($A363,'SegEnds_NonXtal_BW#'!$A:$Z,21,FALSE)+VLOOKUP($A363,A:AL,31,FALSE)-50),"-",(VLOOKUP($A363,'SegEnds_NonXtal_BW#'!$A:$Z,21,FALSE)+VLOOKUP($A363,A:AL,31,FALSE)-50))</f>
        <v>781</v>
      </c>
      <c r="AE363" s="3">
        <v>798</v>
      </c>
      <c r="AF363" s="3">
        <f>IF(ISERROR((VLOOKUP($A363,'SegEnds_NonXtal_BW#'!$A:$Z,22,FALSE)+VLOOKUP($A363,A:AL,31,FALSE)-50)),"-",(VLOOKUP($A363,'SegEnds_NonXtal_BW#'!$A:$Z,22,FALSE)+VLOOKUP($A363,A:AL,31,FALSE)-50))</f>
        <v>805</v>
      </c>
      <c r="AG363" s="3">
        <f>IF(ISERROR(VLOOKUP($A363,'SegEnds_NonXtal_BW#'!$A:$Z,23,FALSE)+VLOOKUP($A363,A:AL,34,FALSE)-50),"-",(VLOOKUP($A363,'SegEnds_NonXtal_BW#'!$A:$Z,23,FALSE)+VLOOKUP($A363,A:AL,34,FALSE)-50))</f>
        <v>815</v>
      </c>
      <c r="AH363" s="3">
        <v>832</v>
      </c>
      <c r="AI363" s="3">
        <f>IF(ISERROR((VLOOKUP($A363,'SegEnds_NonXtal_BW#'!$A:$Z,24,FALSE)+VLOOKUP($A363,A:AL,34,FALSE)-50)),"-",(VLOOKUP($A363,'SegEnds_NonXtal_BW#'!$A:$Z,24,FALSE)+VLOOKUP($A363,A:AL,34,FALSE)-50))</f>
        <v>846</v>
      </c>
      <c r="AJ363" s="3">
        <f>IF(ISERROR(VLOOKUP($A363,'SegEnds_NonXtal_BW#'!$A:$Z,25,FALSE)+VLOOKUP($A363,A:AL,37,FALSE)-50),"-",(VLOOKUP($A363,'SegEnds_NonXtal_BW#'!$A:$Z,25,FALSE)+VLOOKUP($A363,A:AL,37,FALSE)-50))</f>
        <v>847</v>
      </c>
      <c r="AK363" s="3">
        <v>851</v>
      </c>
      <c r="AL363" s="3">
        <f>IF(ISERROR((VLOOKUP($A363,'SegEnds_NonXtal_BW#'!$A:$Z,26,FALSE)+VLOOKUP($A363,A:AL,37,FALSE)-50)),"-",(VLOOKUP($A363,'SegEnds_NonXtal_BW#'!$A:$Z,26,FALSE)+VLOOKUP($A363,A:AL,37,FALSE)-50))</f>
        <v>858</v>
      </c>
      <c r="AM363" s="28" t="str">
        <f>VLOOKUP(A363,Classification!A:B,2,FALSE)</f>
        <v>C</v>
      </c>
      <c r="AN363" s="28" t="b">
        <f t="shared" si="195"/>
        <v>1</v>
      </c>
      <c r="AO363" s="3" t="str">
        <f>IF(ISERROR(MATCH(A363,'SegEnds_Xtal_Prot#'!B:B, 0)), "NoXtal", "Xtal")</f>
        <v>NoXtal</v>
      </c>
      <c r="AP363" s="3">
        <f t="shared" si="180"/>
        <v>3</v>
      </c>
      <c r="AQ363" s="3">
        <f t="shared" si="181"/>
        <v>1</v>
      </c>
      <c r="AR363" s="3" t="str">
        <f t="shared" si="182"/>
        <v>-</v>
      </c>
      <c r="AS363" s="3" t="str">
        <f t="shared" si="183"/>
        <v>-</v>
      </c>
      <c r="AT363" s="3" t="str">
        <f t="shared" si="184"/>
        <v>-</v>
      </c>
      <c r="AU363" s="3" t="str">
        <f t="shared" si="185"/>
        <v>-</v>
      </c>
      <c r="AV363" s="3">
        <f t="shared" si="186"/>
        <v>25</v>
      </c>
      <c r="AW363" s="3">
        <f t="shared" si="187"/>
        <v>1</v>
      </c>
      <c r="AX363" s="3">
        <f t="shared" si="188"/>
        <v>9</v>
      </c>
      <c r="AY363" s="3">
        <f t="shared" si="189"/>
        <v>10</v>
      </c>
      <c r="AZ363" s="3">
        <f t="shared" si="190"/>
        <v>1</v>
      </c>
      <c r="BA363" s="3">
        <f>IF(ISERROR(LEN(VLOOKUP(A363,Seqs!A:E,2,FALSE))-AL363),"-",LEN(VLOOKUP(A363,Seqs!A:E,2,FALSE))-AL363)</f>
        <v>19</v>
      </c>
      <c r="BB363" s="16">
        <f t="shared" si="191"/>
        <v>31</v>
      </c>
      <c r="BC363" s="9" t="str">
        <f t="shared" si="192"/>
        <v>-</v>
      </c>
      <c r="BD363" s="3">
        <f t="shared" si="193"/>
        <v>31</v>
      </c>
      <c r="BE363" s="3">
        <f t="shared" si="194"/>
        <v>37</v>
      </c>
      <c r="BF363" s="3">
        <f>AH363-AE363</f>
        <v>34</v>
      </c>
    </row>
    <row r="364" spans="1:58" s="3" customFormat="1" x14ac:dyDescent="0.2">
      <c r="A364" s="3" t="s">
        <v>119</v>
      </c>
      <c r="B364" s="3" t="str">
        <f>LOWER(VLOOKUP(A364,Xtal_Templ!A:B,2,FALSE))</f>
        <v>grm5_human</v>
      </c>
      <c r="C364" s="3">
        <f>VLOOKUP($A364,'SegEnds_NonXtal_BW#'!$A:$Z,3,FALSE)+D364-50</f>
        <v>589</v>
      </c>
      <c r="D364" s="3">
        <v>605</v>
      </c>
      <c r="E364" s="3">
        <f>IF(ISERROR(VLOOKUP($A364,'SegEnds_NonXtal_BW#'!$A:$Z,4,FALSE)+VLOOKUP($A364,A:AL,4,FALSE)-50),"-",(VLOOKUP($A364,'SegEnds_NonXtal_BW#'!$A:$Z,4,FALSE)+VLOOKUP($A364,A:AL,4,FALSE)-50))</f>
        <v>615</v>
      </c>
      <c r="F364" s="3">
        <f t="shared" si="197"/>
        <v>618</v>
      </c>
      <c r="G364" s="3">
        <v>621</v>
      </c>
      <c r="H364" s="3">
        <f t="shared" si="198"/>
        <v>624</v>
      </c>
      <c r="I364" s="3">
        <f t="shared" si="199"/>
        <v>625</v>
      </c>
      <c r="J364" s="3">
        <v>636</v>
      </c>
      <c r="K364" s="3">
        <f>VLOOKUP($A364,'SegEnds_NonXtal_BW#'!$A:$Z,8,FALSE)+VLOOKUP($A364,A:AL,10,FALSE)-50</f>
        <v>647</v>
      </c>
      <c r="L364" s="3" t="str">
        <f>IF(ISERROR(VLOOKUP($A364,'SegEnds_NonXtal_BW#'!$A:$Z,9,FALSE)+VLOOKUP($A364,A:AL,13,FALSE)-50),"-",(VLOOKUP($A364,'SegEnds_NonXtal_BW#'!$A:$Z,9,FALSE)+VLOOKUP($A364,A:AL,13,FALSE)-50))</f>
        <v>-</v>
      </c>
      <c r="M364" s="3" t="s">
        <v>23</v>
      </c>
      <c r="N364" s="3" t="str">
        <f>IF(ISERROR(VLOOKUP($A364,'SegEnds_NonXtal_BW#'!$A:$Z,10,FALSE)+VLOOKUP($A364,A:AL,13,FALSE)-50),"-",(VLOOKUP($A364,'SegEnds_NonXtal_BW#'!$A:$Z,10,FALSE)+VLOOKUP($A364,A:AL,13,FALSE)-50))</f>
        <v>-</v>
      </c>
      <c r="O364" s="3">
        <f>VLOOKUP($A364,'SegEnds_NonXtal_BW#'!$A:$Z,11,FALSE)+VLOOKUP($A364,A:AL,16,FALSE)-50</f>
        <v>651</v>
      </c>
      <c r="P364" s="3">
        <v>680</v>
      </c>
      <c r="Q364" s="3">
        <f>VLOOKUP($A364,'SegEnds_NonXtal_BW#'!$A:$Z,12,FALSE)+VLOOKUP($A364,A:AL,16,FALSE)-50</f>
        <v>684</v>
      </c>
      <c r="R364" s="3" t="str">
        <f>IF(ISERROR(VLOOKUP($A364,'SegEnds_NonXtal_BW#'!$A:$Z,13,FALSE)+VLOOKUP($A364,A:AL,19,FALSE)-50),"-",VLOOKUP($A364,'SegEnds_NonXtal_BW#'!$A:$Z,13,FALSE)+VLOOKUP($A364,A:AL,19,FALSE)-50)</f>
        <v>-</v>
      </c>
      <c r="S364" s="3" t="s">
        <v>23</v>
      </c>
      <c r="T364" s="100" t="str">
        <f>IF(ISERROR(VLOOKUP($A364,'SegEnds_NonXtal_BW#'!$A:$Z,14,FALSE)+VLOOKUP($A364,A:AL,19,FALSE)-50),"-",(VLOOKUP($A364,'SegEnds_NonXtal_BW#'!$A:$Z,14,FALSE)+VLOOKUP($A364,A:AL,19,FALSE)-50))</f>
        <v>-</v>
      </c>
      <c r="U364" s="9">
        <f>IF(ISERROR(VLOOKUP($A364,'SegEnds_NonXtal_BW#'!$A:$Z,15,FALSE)+VLOOKUP($A364,A:AL,22,FALSE)-50),"-",VLOOKUP($A364,'SegEnds_NonXtal_BW#'!$A:$Z,15,FALSE)+VLOOKUP($A364,A:AL,22,FALSE)-50)</f>
        <v>698</v>
      </c>
      <c r="V364" s="3">
        <v>710</v>
      </c>
      <c r="W364" s="3">
        <f>IF(ISERROR(VLOOKUP($A364,'SegEnds_NonXtal_BW#'!$A:$Z,16,FALSE)+VLOOKUP($A364,A:AL,22,FALSE)-50),"-",(VLOOKUP($A364,'SegEnds_NonXtal_BW#'!$A:$Z,16,FALSE)+VLOOKUP($A364,A:AL,22,FALSE)-50))</f>
        <v>724</v>
      </c>
      <c r="X364" s="3">
        <f>IF(ISERROR(VLOOKUP($A364,'SegEnds_NonXtal_BW#'!$A:$Z,17,FALSE)+VLOOKUP($A364,A:AL,25,FALSE)-50),"-",(VLOOKUP($A364,'SegEnds_NonXtal_BW#'!$A:$Z,17,FALSE)+VLOOKUP($A364,A:AL,25,FALSE)-50))</f>
        <v>749</v>
      </c>
      <c r="Y364" s="3">
        <v>749</v>
      </c>
      <c r="Z364" s="3">
        <f t="shared" si="200"/>
        <v>751</v>
      </c>
      <c r="AA364" s="3">
        <f>IF(ISERROR(VLOOKUP($A364,'SegEnds_NonXtal_BW#'!$A:$Z,19,FALSE)+VLOOKUP($A364,A:AL,28,FALSE)-50),"-",(VLOOKUP($A364,'SegEnds_NonXtal_BW#'!$A:$Z,19,FALSE)+VLOOKUP($A364,A:AL,28,FALSE)-50))</f>
        <v>752</v>
      </c>
      <c r="AB364" s="3">
        <v>766</v>
      </c>
      <c r="AC364" s="3">
        <f>IF(ISERROR((VLOOKUP($A364,'SegEnds_NonXtal_BW#'!$A:$Z,20,FALSE)+VLOOKUP($A364,A:AL,28,FALSE)-50)),"-",(VLOOKUP($A364,'SegEnds_NonXtal_BW#'!$A:$Z,20,FALSE)+VLOOKUP($A364,A:AL,28,FALSE)-50))</f>
        <v>777</v>
      </c>
      <c r="AD364" s="3">
        <f>IF(ISERROR(VLOOKUP($A364,'SegEnds_NonXtal_BW#'!$A:$Z,21,FALSE)+VLOOKUP($A364,A:AL,31,FALSE)-50),"-",(VLOOKUP($A364,'SegEnds_NonXtal_BW#'!$A:$Z,21,FALSE)+VLOOKUP($A364,A:AL,31,FALSE)-50))</f>
        <v>786</v>
      </c>
      <c r="AE364" s="3">
        <v>803</v>
      </c>
      <c r="AF364" s="3">
        <f>IF(ISERROR((VLOOKUP($A364,'SegEnds_NonXtal_BW#'!$A:$Z,22,FALSE)+VLOOKUP($A364,A:AL,31,FALSE)-50)),"-",(VLOOKUP($A364,'SegEnds_NonXtal_BW#'!$A:$Z,22,FALSE)+VLOOKUP($A364,A:AL,31,FALSE)-50))</f>
        <v>810</v>
      </c>
      <c r="AG364" s="3">
        <f>IF(ISERROR(VLOOKUP($A364,'SegEnds_NonXtal_BW#'!$A:$Z,23,FALSE)+VLOOKUP($A364,A:AL,34,FALSE)-50),"-",(VLOOKUP($A364,'SegEnds_NonXtal_BW#'!$A:$Z,23,FALSE)+VLOOKUP($A364,A:AL,34,FALSE)-50))</f>
        <v>820</v>
      </c>
      <c r="AH364" s="3">
        <v>837</v>
      </c>
      <c r="AI364" s="3">
        <f>IF(ISERROR((VLOOKUP($A364,'SegEnds_NonXtal_BW#'!$A:$Z,24,FALSE)+VLOOKUP($A364,A:AL,34,FALSE)-50)),"-",(VLOOKUP($A364,'SegEnds_NonXtal_BW#'!$A:$Z,24,FALSE)+VLOOKUP($A364,A:AL,34,FALSE)-50))</f>
        <v>851</v>
      </c>
      <c r="AJ364" s="3">
        <f>IF(ISERROR(VLOOKUP($A364,'SegEnds_NonXtal_BW#'!$A:$Z,25,FALSE)+VLOOKUP($A364,A:AL,37,FALSE)-50),"-",(VLOOKUP($A364,'SegEnds_NonXtal_BW#'!$A:$Z,25,FALSE)+VLOOKUP($A364,A:AL,37,FALSE)-50))</f>
        <v>852</v>
      </c>
      <c r="AK364" s="3">
        <v>856</v>
      </c>
      <c r="AL364" s="3">
        <f>IF(ISERROR((VLOOKUP($A364,'SegEnds_NonXtal_BW#'!$A:$Z,26,FALSE)+VLOOKUP($A364,A:AL,37,FALSE)-50)),"-",(VLOOKUP($A364,'SegEnds_NonXtal_BW#'!$A:$Z,26,FALSE)+VLOOKUP($A364,A:AL,37,FALSE)-50))</f>
        <v>863</v>
      </c>
      <c r="AM364" s="28" t="str">
        <f>VLOOKUP(A364,Classification!A:B,2,FALSE)</f>
        <v>C</v>
      </c>
      <c r="AN364" s="28" t="b">
        <f t="shared" si="195"/>
        <v>1</v>
      </c>
      <c r="AO364" s="3" t="str">
        <f>IF(ISERROR(MATCH(A364,'SegEnds_Xtal_Prot#'!B:B, 0)), "NoXtal", "Xtal")</f>
        <v>NoXtal</v>
      </c>
      <c r="AP364" s="3">
        <f t="shared" si="180"/>
        <v>3</v>
      </c>
      <c r="AQ364" s="3">
        <f t="shared" si="181"/>
        <v>1</v>
      </c>
      <c r="AR364" s="3" t="str">
        <f t="shared" si="182"/>
        <v>-</v>
      </c>
      <c r="AS364" s="3" t="str">
        <f t="shared" si="183"/>
        <v>-</v>
      </c>
      <c r="AT364" s="3" t="str">
        <f t="shared" si="184"/>
        <v>-</v>
      </c>
      <c r="AU364" s="3" t="str">
        <f t="shared" si="185"/>
        <v>-</v>
      </c>
      <c r="AV364" s="3">
        <f t="shared" si="186"/>
        <v>25</v>
      </c>
      <c r="AW364" s="3">
        <f t="shared" si="187"/>
        <v>1</v>
      </c>
      <c r="AX364" s="3">
        <f t="shared" si="188"/>
        <v>9</v>
      </c>
      <c r="AY364" s="3">
        <f t="shared" si="189"/>
        <v>10</v>
      </c>
      <c r="AZ364" s="3">
        <f t="shared" si="190"/>
        <v>1</v>
      </c>
      <c r="BA364" s="3">
        <f>IF(ISERROR(LEN(VLOOKUP(A364,Seqs!A:E,2,FALSE))-AL364),"-",LEN(VLOOKUP(A364,Seqs!A:E,2,FALSE))-AL364)</f>
        <v>52</v>
      </c>
      <c r="BB364" s="16">
        <f t="shared" si="191"/>
        <v>31</v>
      </c>
      <c r="BC364" s="9" t="str">
        <f t="shared" si="192"/>
        <v>-</v>
      </c>
      <c r="BD364" s="3">
        <f t="shared" si="193"/>
        <v>31</v>
      </c>
      <c r="BE364" s="3">
        <f t="shared" si="194"/>
        <v>37</v>
      </c>
    </row>
    <row r="365" spans="1:58" s="3" customFormat="1" x14ac:dyDescent="0.2">
      <c r="A365" s="3" t="s">
        <v>120</v>
      </c>
      <c r="B365" s="3" t="str">
        <f>LOWER(VLOOKUP(A365,Xtal_Templ!A:B,2,FALSE))</f>
        <v>grm5_human</v>
      </c>
      <c r="C365" s="3">
        <f>VLOOKUP($A365,'SegEnds_NonXtal_BW#'!$A:$Z,3,FALSE)+D365-50</f>
        <v>582</v>
      </c>
      <c r="D365" s="3">
        <v>598</v>
      </c>
      <c r="E365" s="3">
        <f>IF(ISERROR(VLOOKUP($A365,'SegEnds_NonXtal_BW#'!$A:$Z,4,FALSE)+VLOOKUP($A365,A:AL,4,FALSE)-50),"-",(VLOOKUP($A365,'SegEnds_NonXtal_BW#'!$A:$Z,4,FALSE)+VLOOKUP($A365,A:AL,4,FALSE)-50))</f>
        <v>608</v>
      </c>
      <c r="F365" s="3">
        <f t="shared" si="197"/>
        <v>611</v>
      </c>
      <c r="G365" s="3">
        <v>614</v>
      </c>
      <c r="H365" s="3">
        <f t="shared" si="198"/>
        <v>617</v>
      </c>
      <c r="I365" s="3">
        <f t="shared" si="199"/>
        <v>618</v>
      </c>
      <c r="J365" s="3">
        <v>629</v>
      </c>
      <c r="K365" s="3">
        <f>VLOOKUP($A365,'SegEnds_NonXtal_BW#'!$A:$Z,8,FALSE)+VLOOKUP($A365,A:AL,10,FALSE)-50</f>
        <v>640</v>
      </c>
      <c r="L365" s="3" t="str">
        <f>IF(ISERROR(VLOOKUP($A365,'SegEnds_NonXtal_BW#'!$A:$Z,9,FALSE)+VLOOKUP($A365,A:AL,13,FALSE)-50),"-",(VLOOKUP($A365,'SegEnds_NonXtal_BW#'!$A:$Z,9,FALSE)+VLOOKUP($A365,A:AL,13,FALSE)-50))</f>
        <v>-</v>
      </c>
      <c r="M365" s="3" t="s">
        <v>23</v>
      </c>
      <c r="N365" s="3" t="str">
        <f>IF(ISERROR(VLOOKUP($A365,'SegEnds_NonXtal_BW#'!$A:$Z,10,FALSE)+VLOOKUP($A365,A:AL,13,FALSE)-50),"-",(VLOOKUP($A365,'SegEnds_NonXtal_BW#'!$A:$Z,10,FALSE)+VLOOKUP($A365,A:AL,13,FALSE)-50))</f>
        <v>-</v>
      </c>
      <c r="O365" s="3">
        <f>VLOOKUP($A365,'SegEnds_NonXtal_BW#'!$A:$Z,11,FALSE)+VLOOKUP($A365,A:AL,16,FALSE)-50</f>
        <v>644</v>
      </c>
      <c r="P365" s="3">
        <v>673</v>
      </c>
      <c r="Q365" s="3">
        <f>VLOOKUP($A365,'SegEnds_NonXtal_BW#'!$A:$Z,12,FALSE)+VLOOKUP($A365,A:AL,16,FALSE)-50</f>
        <v>677</v>
      </c>
      <c r="R365" s="3" t="str">
        <f>IF(ISERROR(VLOOKUP($A365,'SegEnds_NonXtal_BW#'!$A:$Z,13,FALSE)+VLOOKUP($A365,A:AL,19,FALSE)-50),"-",VLOOKUP($A365,'SegEnds_NonXtal_BW#'!$A:$Z,13,FALSE)+VLOOKUP($A365,A:AL,19,FALSE)-50)</f>
        <v>-</v>
      </c>
      <c r="S365" s="3" t="s">
        <v>23</v>
      </c>
      <c r="T365" s="100" t="str">
        <f>IF(ISERROR(VLOOKUP($A365,'SegEnds_NonXtal_BW#'!$A:$Z,14,FALSE)+VLOOKUP($A365,A:AL,19,FALSE)-50),"-",(VLOOKUP($A365,'SegEnds_NonXtal_BW#'!$A:$Z,14,FALSE)+VLOOKUP($A365,A:AL,19,FALSE)-50))</f>
        <v>-</v>
      </c>
      <c r="U365" s="9">
        <f>IF(ISERROR(VLOOKUP($A365,'SegEnds_NonXtal_BW#'!$A:$Z,15,FALSE)+VLOOKUP($A365,A:AL,22,FALSE)-50),"-",VLOOKUP($A365,'SegEnds_NonXtal_BW#'!$A:$Z,15,FALSE)+VLOOKUP($A365,A:AL,22,FALSE)-50)</f>
        <v>691</v>
      </c>
      <c r="V365" s="3">
        <v>703</v>
      </c>
      <c r="W365" s="3">
        <f>IF(ISERROR(VLOOKUP($A365,'SegEnds_NonXtal_BW#'!$A:$Z,16,FALSE)+VLOOKUP($A365,A:AL,22,FALSE)-50),"-",(VLOOKUP($A365,'SegEnds_NonXtal_BW#'!$A:$Z,16,FALSE)+VLOOKUP($A365,A:AL,22,FALSE)-50))</f>
        <v>717</v>
      </c>
      <c r="X365" s="3">
        <f>IF(ISERROR(VLOOKUP($A365,'SegEnds_NonXtal_BW#'!$A:$Z,17,FALSE)+VLOOKUP($A365,A:AL,25,FALSE)-50),"-",(VLOOKUP($A365,'SegEnds_NonXtal_BW#'!$A:$Z,17,FALSE)+VLOOKUP($A365,A:AL,25,FALSE)-50))</f>
        <v>742</v>
      </c>
      <c r="Y365" s="3">
        <v>742</v>
      </c>
      <c r="Z365" s="3">
        <f t="shared" si="200"/>
        <v>744</v>
      </c>
      <c r="AA365" s="3">
        <f>IF(ISERROR(VLOOKUP($A365,'SegEnds_NonXtal_BW#'!$A:$Z,19,FALSE)+VLOOKUP($A365,A:AL,28,FALSE)-50),"-",(VLOOKUP($A365,'SegEnds_NonXtal_BW#'!$A:$Z,19,FALSE)+VLOOKUP($A365,A:AL,28,FALSE)-50))</f>
        <v>745</v>
      </c>
      <c r="AB365" s="3">
        <v>759</v>
      </c>
      <c r="AC365" s="3">
        <f>IF(ISERROR((VLOOKUP($A365,'SegEnds_NonXtal_BW#'!$A:$Z,20,FALSE)+VLOOKUP($A365,A:AL,28,FALSE)-50)),"-",(VLOOKUP($A365,'SegEnds_NonXtal_BW#'!$A:$Z,20,FALSE)+VLOOKUP($A365,A:AL,28,FALSE)-50))</f>
        <v>770</v>
      </c>
      <c r="AD365" s="3">
        <f>IF(ISERROR(VLOOKUP($A365,'SegEnds_NonXtal_BW#'!$A:$Z,21,FALSE)+VLOOKUP($A365,A:AL,31,FALSE)-50),"-",(VLOOKUP($A365,'SegEnds_NonXtal_BW#'!$A:$Z,21,FALSE)+VLOOKUP($A365,A:AL,31,FALSE)-50))</f>
        <v>779</v>
      </c>
      <c r="AE365" s="3">
        <v>796</v>
      </c>
      <c r="AF365" s="3">
        <f>IF(ISERROR((VLOOKUP($A365,'SegEnds_NonXtal_BW#'!$A:$Z,22,FALSE)+VLOOKUP($A365,A:AL,31,FALSE)-50)),"-",(VLOOKUP($A365,'SegEnds_NonXtal_BW#'!$A:$Z,22,FALSE)+VLOOKUP($A365,A:AL,31,FALSE)-50))</f>
        <v>803</v>
      </c>
      <c r="AG365" s="3">
        <f>IF(ISERROR(VLOOKUP($A365,'SegEnds_NonXtal_BW#'!$A:$Z,23,FALSE)+VLOOKUP($A365,A:AL,34,FALSE)-50),"-",(VLOOKUP($A365,'SegEnds_NonXtal_BW#'!$A:$Z,23,FALSE)+VLOOKUP($A365,A:AL,34,FALSE)-50))</f>
        <v>813</v>
      </c>
      <c r="AH365" s="3">
        <v>830</v>
      </c>
      <c r="AI365" s="3">
        <f>IF(ISERROR((VLOOKUP($A365,'SegEnds_NonXtal_BW#'!$A:$Z,24,FALSE)+VLOOKUP($A365,A:AL,34,FALSE)-50)),"-",(VLOOKUP($A365,'SegEnds_NonXtal_BW#'!$A:$Z,24,FALSE)+VLOOKUP($A365,A:AL,34,FALSE)-50))</f>
        <v>844</v>
      </c>
      <c r="AJ365" s="3">
        <f>IF(ISERROR(VLOOKUP($A365,'SegEnds_NonXtal_BW#'!$A:$Z,25,FALSE)+VLOOKUP($A365,A:AL,37,FALSE)-50),"-",(VLOOKUP($A365,'SegEnds_NonXtal_BW#'!$A:$Z,25,FALSE)+VLOOKUP($A365,A:AL,37,FALSE)-50))</f>
        <v>845</v>
      </c>
      <c r="AK365" s="3">
        <v>849</v>
      </c>
      <c r="AL365" s="3">
        <f>IF(ISERROR((VLOOKUP($A365,'SegEnds_NonXtal_BW#'!$A:$Z,26,FALSE)+VLOOKUP($A365,A:AL,37,FALSE)-50)),"-",(VLOOKUP($A365,'SegEnds_NonXtal_BW#'!$A:$Z,26,FALSE)+VLOOKUP($A365,A:AL,37,FALSE)-50))</f>
        <v>856</v>
      </c>
      <c r="AM365" s="28" t="str">
        <f>VLOOKUP(A365,Classification!A:B,2,FALSE)</f>
        <v>C</v>
      </c>
      <c r="AN365" s="28" t="b">
        <f t="shared" si="195"/>
        <v>1</v>
      </c>
      <c r="AO365" s="3" t="str">
        <f>IF(ISERROR(MATCH(A365,'SegEnds_Xtal_Prot#'!B:B, 0)), "NoXtal", "Xtal")</f>
        <v>NoXtal</v>
      </c>
      <c r="AP365" s="3">
        <f t="shared" si="180"/>
        <v>3</v>
      </c>
      <c r="AQ365" s="3">
        <f t="shared" si="181"/>
        <v>1</v>
      </c>
      <c r="AR365" s="3" t="str">
        <f t="shared" si="182"/>
        <v>-</v>
      </c>
      <c r="AS365" s="3" t="str">
        <f t="shared" si="183"/>
        <v>-</v>
      </c>
      <c r="AT365" s="3" t="str">
        <f t="shared" si="184"/>
        <v>-</v>
      </c>
      <c r="AU365" s="3" t="str">
        <f t="shared" si="185"/>
        <v>-</v>
      </c>
      <c r="AV365" s="3">
        <f t="shared" si="186"/>
        <v>25</v>
      </c>
      <c r="AW365" s="3">
        <f t="shared" si="187"/>
        <v>1</v>
      </c>
      <c r="AX365" s="3">
        <f t="shared" si="188"/>
        <v>9</v>
      </c>
      <c r="AY365" s="3">
        <f t="shared" si="189"/>
        <v>10</v>
      </c>
      <c r="AZ365" s="3">
        <f t="shared" si="190"/>
        <v>1</v>
      </c>
      <c r="BA365" s="3">
        <f>IF(ISERROR(LEN(VLOOKUP(A365,Seqs!A:E,2,FALSE))-AL365),"-",LEN(VLOOKUP(A365,Seqs!A:E,2,FALSE))-AL365)</f>
        <v>52</v>
      </c>
      <c r="BB365" s="16">
        <f t="shared" si="191"/>
        <v>31</v>
      </c>
      <c r="BC365" s="9" t="str">
        <f t="shared" si="192"/>
        <v>-</v>
      </c>
      <c r="BD365" s="3">
        <f t="shared" si="193"/>
        <v>31</v>
      </c>
      <c r="BE365" s="3">
        <f t="shared" si="194"/>
        <v>37</v>
      </c>
    </row>
    <row r="366" spans="1:58" s="3" customFormat="1" x14ac:dyDescent="0.2">
      <c r="A366" s="3" t="s">
        <v>121</v>
      </c>
      <c r="B366" s="3" t="str">
        <f>LOWER(VLOOKUP(A366,Xtal_Templ!A:B,2,FALSE))</f>
        <v>grm1_human</v>
      </c>
      <c r="C366" s="3">
        <f>VLOOKUP($A366,'SegEnds_NonXtal_BW#'!$A:$Z,3,FALSE)+D366-50</f>
        <v>26</v>
      </c>
      <c r="D366" s="3">
        <v>42</v>
      </c>
      <c r="E366" s="3">
        <f>IF(ISERROR(VLOOKUP($A366,'SegEnds_NonXtal_BW#'!$A:$Z,4,FALSE)+VLOOKUP($A366,A:AL,4,FALSE)-50),"-",(VLOOKUP($A366,'SegEnds_NonXtal_BW#'!$A:$Z,4,FALSE)+VLOOKUP($A366,A:AL,4,FALSE)-50))</f>
        <v>52</v>
      </c>
      <c r="F366" s="3">
        <f t="shared" si="197"/>
        <v>53</v>
      </c>
      <c r="G366" s="3">
        <v>56</v>
      </c>
      <c r="H366" s="3">
        <f t="shared" si="198"/>
        <v>59</v>
      </c>
      <c r="I366" s="3">
        <f t="shared" si="199"/>
        <v>60</v>
      </c>
      <c r="J366" s="3">
        <v>75</v>
      </c>
      <c r="K366" s="3">
        <f>VLOOKUP($A366,'SegEnds_NonXtal_BW#'!$A:$Z,8,FALSE)+VLOOKUP($A366,A:AL,10,FALSE)-50</f>
        <v>86</v>
      </c>
      <c r="L366" s="3" t="str">
        <f>IF(ISERROR(VLOOKUP($A366,'SegEnds_NonXtal_BW#'!$A:$Z,9,FALSE)+VLOOKUP($A366,A:AL,13,FALSE)-50),"-",(VLOOKUP($A366,'SegEnds_NonXtal_BW#'!$A:$Z,9,FALSE)+VLOOKUP($A366,A:AL,13,FALSE)-50))</f>
        <v>-</v>
      </c>
      <c r="M366" s="3" t="s">
        <v>23</v>
      </c>
      <c r="N366" s="3" t="str">
        <f>IF(ISERROR(VLOOKUP($A366,'SegEnds_NonXtal_BW#'!$A:$Z,10,FALSE)+VLOOKUP($A366,A:AL,13,FALSE)-50),"-",(VLOOKUP($A366,'SegEnds_NonXtal_BW#'!$A:$Z,10,FALSE)+VLOOKUP($A366,A:AL,13,FALSE)-50))</f>
        <v>-</v>
      </c>
      <c r="O366" s="3">
        <f>VLOOKUP($A366,'SegEnds_NonXtal_BW#'!$A:$Z,11,FALSE)+VLOOKUP($A366,A:AL,16,FALSE)-50</f>
        <v>91</v>
      </c>
      <c r="P366" s="3">
        <v>119</v>
      </c>
      <c r="Q366" s="3">
        <f>VLOOKUP($A366,'SegEnds_NonXtal_BW#'!$A:$Z,12,FALSE)+VLOOKUP($A366,A:AL,16,FALSE)-50</f>
        <v>123</v>
      </c>
      <c r="R366" s="3" t="str">
        <f>IF(ISERROR(VLOOKUP($A366,'SegEnds_NonXtal_BW#'!$A:$Z,13,FALSE)+VLOOKUP($A366,A:AL,19,FALSE)-50),"-",VLOOKUP($A366,'SegEnds_NonXtal_BW#'!$A:$Z,13,FALSE)+VLOOKUP($A366,A:AL,19,FALSE)-50)</f>
        <v>-</v>
      </c>
      <c r="S366" s="3" t="s">
        <v>23</v>
      </c>
      <c r="T366" s="100" t="str">
        <f>IF(ISERROR(VLOOKUP($A366,'SegEnds_NonXtal_BW#'!$A:$Z,14,FALSE)+VLOOKUP($A366,A:AL,19,FALSE)-50),"-",(VLOOKUP($A366,'SegEnds_NonXtal_BW#'!$A:$Z,14,FALSE)+VLOOKUP($A366,A:AL,19,FALSE)-50))</f>
        <v>-</v>
      </c>
      <c r="U366" s="9">
        <f>IF(ISERROR(VLOOKUP($A366,'SegEnds_NonXtal_BW#'!$A:$Z,15,FALSE)+VLOOKUP($A366,A:AL,22,FALSE)-50),"-",VLOOKUP($A366,'SegEnds_NonXtal_BW#'!$A:$Z,15,FALSE)+VLOOKUP($A366,A:AL,22,FALSE)-50)</f>
        <v>130</v>
      </c>
      <c r="V366" s="3">
        <v>142</v>
      </c>
      <c r="W366" s="3">
        <f>IF(ISERROR(VLOOKUP($A366,'SegEnds_NonXtal_BW#'!$A:$Z,16,FALSE)+VLOOKUP($A366,A:AL,22,FALSE)-50),"-",(VLOOKUP($A366,'SegEnds_NonXtal_BW#'!$A:$Z,16,FALSE)+VLOOKUP($A366,A:AL,22,FALSE)-50))</f>
        <v>156</v>
      </c>
      <c r="X366" s="3" t="str">
        <f>IF(ISERROR(VLOOKUP($A366,'SegEnds_NonXtal_BW#'!$A:$Z,17,FALSE)+VLOOKUP($A366,A:AL,25,FALSE)-50),"-",(VLOOKUP($A366,'SegEnds_NonXtal_BW#'!$A:$Z,17,FALSE)+VLOOKUP($A366,A:AL,25,FALSE)-50))</f>
        <v>-</v>
      </c>
      <c r="Y366" s="3" t="s">
        <v>23</v>
      </c>
      <c r="Z366" s="3" t="str">
        <f>IF(ISERROR(VLOOKUP($A366,'SegEnds_NonXtal_BW#'!$A:$Z,18,FALSE)+VLOOKUP($A366,A:AL,25,FALSE)-50),"-",(VLOOKUP($A366,'SegEnds_NonXtal_BW#'!$A:$Z,18,FALSE)+VLOOKUP($A366,A:AL,25,FALSE)-50))</f>
        <v>-</v>
      </c>
      <c r="AA366" s="3">
        <f>IF(ISERROR(VLOOKUP($A366,'SegEnds_NonXtal_BW#'!$A:$Z,19,FALSE)+VLOOKUP($A366,A:AL,28,FALSE)-50),"-",(VLOOKUP($A366,'SegEnds_NonXtal_BW#'!$A:$Z,19,FALSE)+VLOOKUP($A366,A:AL,28,FALSE)-50))</f>
        <v>173</v>
      </c>
      <c r="AB366" s="3">
        <v>187</v>
      </c>
      <c r="AC366" s="3">
        <f>IF(ISERROR((VLOOKUP($A366,'SegEnds_NonXtal_BW#'!$A:$Z,20,FALSE)+VLOOKUP($A366,A:AL,28,FALSE)-50)),"-",(VLOOKUP($A366,'SegEnds_NonXtal_BW#'!$A:$Z,20,FALSE)+VLOOKUP($A366,A:AL,28,FALSE)-50))</f>
        <v>198</v>
      </c>
      <c r="AD366" s="3">
        <f>IF(ISERROR(VLOOKUP($A366,'SegEnds_NonXtal_BW#'!$A:$Z,21,FALSE)+VLOOKUP($A366,A:AL,31,FALSE)-50),"-",(VLOOKUP($A366,'SegEnds_NonXtal_BW#'!$A:$Z,21,FALSE)+VLOOKUP($A366,A:AL,31,FALSE)-50))</f>
        <v>209</v>
      </c>
      <c r="AE366" s="3">
        <v>226</v>
      </c>
      <c r="AF366" s="3">
        <f>IF(ISERROR((VLOOKUP($A366,'SegEnds_NonXtal_BW#'!$A:$Z,22,FALSE)+VLOOKUP($A366,A:AL,31,FALSE)-50)),"-",(VLOOKUP($A366,'SegEnds_NonXtal_BW#'!$A:$Z,22,FALSE)+VLOOKUP($A366,A:AL,31,FALSE)-50))</f>
        <v>233</v>
      </c>
      <c r="AG366" s="3">
        <f>IF(ISERROR(VLOOKUP($A366,'SegEnds_NonXtal_BW#'!$A:$Z,23,FALSE)+VLOOKUP($A366,A:AL,34,FALSE)-50),"-",(VLOOKUP($A366,'SegEnds_NonXtal_BW#'!$A:$Z,23,FALSE)+VLOOKUP($A366,A:AL,34,FALSE)-50))</f>
        <v>240</v>
      </c>
      <c r="AH366" s="3">
        <v>257</v>
      </c>
      <c r="AI366" s="3">
        <f>IF(ISERROR((VLOOKUP($A366,'SegEnds_NonXtal_BW#'!$A:$Z,24,FALSE)+VLOOKUP($A366,A:AL,34,FALSE)-50)),"-",(VLOOKUP($A366,'SegEnds_NonXtal_BW#'!$A:$Z,24,FALSE)+VLOOKUP($A366,A:AL,34,FALSE)-50))</f>
        <v>271</v>
      </c>
      <c r="AJ366" s="3">
        <v>273</v>
      </c>
      <c r="AK366" s="3">
        <v>278</v>
      </c>
      <c r="AL366" s="3">
        <v>285</v>
      </c>
      <c r="AM366" s="28" t="str">
        <f>VLOOKUP(A366,Classification!A:B,2,FALSE)</f>
        <v>C</v>
      </c>
      <c r="AN366" s="28" t="b">
        <f t="shared" si="195"/>
        <v>1</v>
      </c>
      <c r="AO366" s="3" t="str">
        <f>IF(ISERROR(MATCH(A366,'SegEnds_Xtal_Prot#'!B:B, 0)), "NoXtal", "Xtal")</f>
        <v>NoXtal</v>
      </c>
      <c r="AP366" s="3">
        <f t="shared" si="180"/>
        <v>1</v>
      </c>
      <c r="AQ366" s="3">
        <f t="shared" si="181"/>
        <v>1</v>
      </c>
      <c r="AR366" s="3" t="str">
        <f t="shared" si="182"/>
        <v>-</v>
      </c>
      <c r="AS366" s="3" t="str">
        <f t="shared" si="183"/>
        <v>-</v>
      </c>
      <c r="AT366" s="3" t="str">
        <f t="shared" si="184"/>
        <v>-</v>
      </c>
      <c r="AU366" s="3" t="str">
        <f t="shared" si="185"/>
        <v>-</v>
      </c>
      <c r="AV366" s="3" t="str">
        <f t="shared" si="186"/>
        <v>-</v>
      </c>
      <c r="AW366" s="3" t="str">
        <f t="shared" si="187"/>
        <v>-</v>
      </c>
      <c r="AX366" s="3">
        <f t="shared" si="188"/>
        <v>11</v>
      </c>
      <c r="AY366" s="3">
        <f t="shared" si="189"/>
        <v>7</v>
      </c>
      <c r="AZ366" s="3">
        <f t="shared" si="190"/>
        <v>2</v>
      </c>
      <c r="BA366" s="3">
        <f>IF(ISERROR(LEN(VLOOKUP(A366,Seqs!A:E,2,FALSE))-AL366),"-",LEN(VLOOKUP(A366,Seqs!A:E,2,FALSE))-AL366)</f>
        <v>72</v>
      </c>
      <c r="BB366" s="16">
        <f t="shared" si="191"/>
        <v>33</v>
      </c>
      <c r="BC366" s="9" t="str">
        <f t="shared" si="192"/>
        <v>-</v>
      </c>
      <c r="BD366" s="3">
        <f t="shared" si="193"/>
        <v>33</v>
      </c>
      <c r="BE366" s="3">
        <f t="shared" si="194"/>
        <v>39</v>
      </c>
    </row>
    <row r="367" spans="1:58" s="3" customFormat="1" ht="17" customHeight="1" x14ac:dyDescent="0.2">
      <c r="A367" s="3" t="s">
        <v>122</v>
      </c>
      <c r="B367" s="3" t="str">
        <f>LOWER(VLOOKUP(A367,Xtal_Templ!A:B,2,FALSE))</f>
        <v>grm1_human</v>
      </c>
      <c r="C367" s="3">
        <f>VLOOKUP($A367,'SegEnds_NonXtal_BW#'!$A:$Z,3,FALSE)+D367-50</f>
        <v>565</v>
      </c>
      <c r="D367" s="3">
        <v>581</v>
      </c>
      <c r="E367" s="3">
        <f>IF(ISERROR(VLOOKUP($A367,'SegEnds_NonXtal_BW#'!$A:$Z,4,FALSE)+VLOOKUP($A367,A:AL,4,FALSE)-50),"-",(VLOOKUP($A367,'SegEnds_NonXtal_BW#'!$A:$Z,4,FALSE)+VLOOKUP($A367,A:AL,4,FALSE)-50))</f>
        <v>591</v>
      </c>
      <c r="F367" s="3">
        <f t="shared" si="197"/>
        <v>594</v>
      </c>
      <c r="G367" s="3">
        <v>597</v>
      </c>
      <c r="H367" s="3">
        <f t="shared" si="198"/>
        <v>600</v>
      </c>
      <c r="I367" s="3">
        <f t="shared" si="199"/>
        <v>601</v>
      </c>
      <c r="J367" s="3">
        <v>612</v>
      </c>
      <c r="K367" s="3">
        <f>VLOOKUP($A367,'SegEnds_NonXtal_BW#'!$A:$Z,8,FALSE)+VLOOKUP($A367,A:AL,10,FALSE)-50</f>
        <v>623</v>
      </c>
      <c r="L367" s="3" t="str">
        <f>IF(ISERROR(VLOOKUP($A367,'SegEnds_NonXtal_BW#'!$A:$Z,9,FALSE)+VLOOKUP($A367,A:AL,13,FALSE)-50),"-",(VLOOKUP($A367,'SegEnds_NonXtal_BW#'!$A:$Z,9,FALSE)+VLOOKUP($A367,A:AL,13,FALSE)-50))</f>
        <v>-</v>
      </c>
      <c r="M367" s="3" t="s">
        <v>23</v>
      </c>
      <c r="N367" s="3" t="str">
        <f>IF(ISERROR(VLOOKUP($A367,'SegEnds_NonXtal_BW#'!$A:$Z,10,FALSE)+VLOOKUP($A367,A:AL,13,FALSE)-50),"-",(VLOOKUP($A367,'SegEnds_NonXtal_BW#'!$A:$Z,10,FALSE)+VLOOKUP($A367,A:AL,13,FALSE)-50))</f>
        <v>-</v>
      </c>
      <c r="O367" s="3">
        <f>VLOOKUP($A367,'SegEnds_NonXtal_BW#'!$A:$Z,11,FALSE)+VLOOKUP($A367,A:AL,16,FALSE)-50</f>
        <v>628</v>
      </c>
      <c r="P367" s="3">
        <v>656</v>
      </c>
      <c r="Q367" s="3">
        <f>VLOOKUP($A367,'SegEnds_NonXtal_BW#'!$A:$Z,12,FALSE)+VLOOKUP($A367,A:AL,16,FALSE)-50</f>
        <v>660</v>
      </c>
      <c r="R367" s="3" t="str">
        <f>IF(ISERROR(VLOOKUP($A367,'SegEnds_NonXtal_BW#'!$A:$Z,13,FALSE)+VLOOKUP($A367,A:AL,19,FALSE)-50),"-",VLOOKUP($A367,'SegEnds_NonXtal_BW#'!$A:$Z,13,FALSE)+VLOOKUP($A367,A:AL,19,FALSE)-50)</f>
        <v>-</v>
      </c>
      <c r="S367" s="3" t="s">
        <v>23</v>
      </c>
      <c r="T367" s="100" t="str">
        <f>IF(ISERROR(VLOOKUP($A367,'SegEnds_NonXtal_BW#'!$A:$Z,14,FALSE)+VLOOKUP($A367,A:AL,19,FALSE)-50),"-",(VLOOKUP($A367,'SegEnds_NonXtal_BW#'!$A:$Z,14,FALSE)+VLOOKUP($A367,A:AL,19,FALSE)-50))</f>
        <v>-</v>
      </c>
      <c r="U367" s="9">
        <f>IF(ISERROR(VLOOKUP($A367,'SegEnds_NonXtal_BW#'!$A:$Z,15,FALSE)+VLOOKUP($A367,A:AL,22,FALSE)-50),"-",VLOOKUP($A367,'SegEnds_NonXtal_BW#'!$A:$Z,15,FALSE)+VLOOKUP($A367,A:AL,22,FALSE)-50)</f>
        <v>675</v>
      </c>
      <c r="V367" s="3">
        <v>687</v>
      </c>
      <c r="W367" s="3">
        <f>IF(ISERROR(VLOOKUP($A367,'SegEnds_NonXtal_BW#'!$A:$Z,16,FALSE)+VLOOKUP($A367,A:AL,22,FALSE)-50),"-",(VLOOKUP($A367,'SegEnds_NonXtal_BW#'!$A:$Z,16,FALSE)+VLOOKUP($A367,A:AL,22,FALSE)-50))</f>
        <v>701</v>
      </c>
      <c r="X367" s="3">
        <f>IF(ISERROR(VLOOKUP($A367,'SegEnds_NonXtal_BW#'!$A:$Z,17,FALSE)+VLOOKUP($A367,A:AL,25,FALSE)-50),"-",(VLOOKUP($A367,'SegEnds_NonXtal_BW#'!$A:$Z,17,FALSE)+VLOOKUP($A367,A:AL,25,FALSE)-50))</f>
        <v>720</v>
      </c>
      <c r="Y367" s="3">
        <v>720</v>
      </c>
      <c r="Z367" s="3">
        <f t="shared" ref="Z367:Z380" si="201">Y367+2</f>
        <v>722</v>
      </c>
      <c r="AA367" s="3">
        <f>IF(ISERROR(VLOOKUP($A367,'SegEnds_NonXtal_BW#'!$A:$Z,19,FALSE)+VLOOKUP($A367,A:AL,28,FALSE)-50),"-",(VLOOKUP($A367,'SegEnds_NonXtal_BW#'!$A:$Z,19,FALSE)+VLOOKUP($A367,A:AL,28,FALSE)-50))</f>
        <v>724</v>
      </c>
      <c r="AB367" s="3">
        <v>738</v>
      </c>
      <c r="AC367" s="3">
        <f>IF(ISERROR((VLOOKUP($A367,'SegEnds_NonXtal_BW#'!$A:$Z,20,FALSE)+VLOOKUP($A367,A:AL,28,FALSE)-50)),"-",(VLOOKUP($A367,'SegEnds_NonXtal_BW#'!$A:$Z,20,FALSE)+VLOOKUP($A367,A:AL,28,FALSE)-50))</f>
        <v>749</v>
      </c>
      <c r="AD367" s="3">
        <f>IF(ISERROR(VLOOKUP($A367,'SegEnds_NonXtal_BW#'!$A:$Z,21,FALSE)+VLOOKUP($A367,A:AL,31,FALSE)-50),"-",(VLOOKUP($A367,'SegEnds_NonXtal_BW#'!$A:$Z,21,FALSE)+VLOOKUP($A367,A:AL,31,FALSE)-50))</f>
        <v>758</v>
      </c>
      <c r="AE367" s="3">
        <v>775</v>
      </c>
      <c r="AF367" s="3">
        <f>IF(ISERROR((VLOOKUP($A367,'SegEnds_NonXtal_BW#'!$A:$Z,22,FALSE)+VLOOKUP($A367,A:AL,31,FALSE)-50)),"-",(VLOOKUP($A367,'SegEnds_NonXtal_BW#'!$A:$Z,22,FALSE)+VLOOKUP($A367,A:AL,31,FALSE)-50))</f>
        <v>782</v>
      </c>
      <c r="AG367" s="3">
        <f>IF(ISERROR(VLOOKUP($A367,'SegEnds_NonXtal_BW#'!$A:$Z,23,FALSE)+VLOOKUP($A367,A:AL,34,FALSE)-50),"-",(VLOOKUP($A367,'SegEnds_NonXtal_BW#'!$A:$Z,23,FALSE)+VLOOKUP($A367,A:AL,34,FALSE)-50))</f>
        <v>787</v>
      </c>
      <c r="AH367" s="3">
        <v>804</v>
      </c>
      <c r="AI367" s="3">
        <f>IF(ISERROR((VLOOKUP($A367,'SegEnds_NonXtal_BW#'!$A:$Z,24,FALSE)+VLOOKUP($A367,A:AL,34,FALSE)-50)),"-",(VLOOKUP($A367,'SegEnds_NonXtal_BW#'!$A:$Z,24,FALSE)+VLOOKUP($A367,A:AL,34,FALSE)-50))</f>
        <v>818</v>
      </c>
      <c r="AJ367" s="3">
        <f>IF(ISERROR(VLOOKUP($A367,'SegEnds_NonXtal_BW#'!$A:$Z,25,FALSE)+VLOOKUP($A367,A:AL,37,FALSE)-50),"-",(VLOOKUP($A367,'SegEnds_NonXtal_BW#'!$A:$Z,25,FALSE)+VLOOKUP($A367,A:AL,37,FALSE)-50))</f>
        <v>819</v>
      </c>
      <c r="AK367" s="3">
        <v>823</v>
      </c>
      <c r="AL367" s="3">
        <f>IF(ISERROR((VLOOKUP($A367,'SegEnds_NonXtal_BW#'!$A:$Z,26,FALSE)+VLOOKUP($A367,A:AL,37,FALSE)-50)),"-",(VLOOKUP($A367,'SegEnds_NonXtal_BW#'!$A:$Z,26,FALSE)+VLOOKUP($A367,A:AL,37,FALSE)-50))</f>
        <v>830</v>
      </c>
      <c r="AM367" s="28" t="str">
        <f>VLOOKUP(A367,Classification!A:B,2,FALSE)</f>
        <v>C</v>
      </c>
      <c r="AN367" s="28" t="b">
        <f t="shared" si="195"/>
        <v>1</v>
      </c>
      <c r="AO367" s="3" t="str">
        <f>IF(ISERROR(MATCH(A367,'SegEnds_Xtal_Prot#'!B:B, 0)), "NoXtal", "Xtal")</f>
        <v>NoXtal</v>
      </c>
      <c r="AP367" s="3">
        <f t="shared" si="180"/>
        <v>3</v>
      </c>
      <c r="AQ367" s="3">
        <f t="shared" si="181"/>
        <v>1</v>
      </c>
      <c r="AR367" s="3" t="str">
        <f t="shared" si="182"/>
        <v>-</v>
      </c>
      <c r="AS367" s="3" t="str">
        <f t="shared" si="183"/>
        <v>-</v>
      </c>
      <c r="AT367" s="3" t="str">
        <f t="shared" si="184"/>
        <v>-</v>
      </c>
      <c r="AU367" s="3" t="str">
        <f t="shared" si="185"/>
        <v>-</v>
      </c>
      <c r="AV367" s="3">
        <f t="shared" si="186"/>
        <v>19</v>
      </c>
      <c r="AW367" s="3">
        <f t="shared" si="187"/>
        <v>2</v>
      </c>
      <c r="AX367" s="3">
        <f t="shared" si="188"/>
        <v>9</v>
      </c>
      <c r="AY367" s="3">
        <f t="shared" si="189"/>
        <v>5</v>
      </c>
      <c r="AZ367" s="3">
        <f t="shared" si="190"/>
        <v>1</v>
      </c>
      <c r="BA367" s="3">
        <f>IF(ISERROR(LEN(VLOOKUP(A367,Seqs!A:E,2,FALSE))-AL367),"-",LEN(VLOOKUP(A367,Seqs!A:E,2,FALSE))-AL367)</f>
        <v>11</v>
      </c>
      <c r="BB367" s="16">
        <f t="shared" si="191"/>
        <v>31</v>
      </c>
      <c r="BC367" s="9" t="str">
        <f t="shared" si="192"/>
        <v>-</v>
      </c>
      <c r="BD367" s="3">
        <f t="shared" si="193"/>
        <v>31</v>
      </c>
      <c r="BE367" s="3">
        <f t="shared" si="194"/>
        <v>37</v>
      </c>
      <c r="BF367" s="3">
        <f>AH367-AE367</f>
        <v>29</v>
      </c>
    </row>
    <row r="368" spans="1:58" s="3" customFormat="1" x14ac:dyDescent="0.2">
      <c r="A368" s="3" t="s">
        <v>123</v>
      </c>
      <c r="B368" s="3" t="str">
        <f>LOWER(VLOOKUP(A368,Xtal_Templ!A:B,2,FALSE))</f>
        <v>grm1_human</v>
      </c>
      <c r="C368" s="3">
        <f>VLOOKUP($A368,'SegEnds_NonXtal_BW#'!$A:$Z,3,FALSE)+D368-50</f>
        <v>564</v>
      </c>
      <c r="D368" s="3">
        <v>580</v>
      </c>
      <c r="E368" s="3">
        <f>IF(ISERROR(VLOOKUP($A368,'SegEnds_NonXtal_BW#'!$A:$Z,4,FALSE)+VLOOKUP($A368,A:AL,4,FALSE)-50),"-",(VLOOKUP($A368,'SegEnds_NonXtal_BW#'!$A:$Z,4,FALSE)+VLOOKUP($A368,A:AL,4,FALSE)-50))</f>
        <v>590</v>
      </c>
      <c r="F368" s="3">
        <f t="shared" si="197"/>
        <v>593</v>
      </c>
      <c r="G368" s="3">
        <v>596</v>
      </c>
      <c r="H368" s="3">
        <f t="shared" si="198"/>
        <v>599</v>
      </c>
      <c r="I368" s="3">
        <f t="shared" si="199"/>
        <v>600</v>
      </c>
      <c r="J368" s="3">
        <v>611</v>
      </c>
      <c r="K368" s="3">
        <f>VLOOKUP($A368,'SegEnds_NonXtal_BW#'!$A:$Z,8,FALSE)+VLOOKUP($A368,A:AL,10,FALSE)-50</f>
        <v>622</v>
      </c>
      <c r="L368" s="3" t="str">
        <f>IF(ISERROR(VLOOKUP($A368,'SegEnds_NonXtal_BW#'!$A:$Z,9,FALSE)+VLOOKUP($A368,A:AL,13,FALSE)-50),"-",(VLOOKUP($A368,'SegEnds_NonXtal_BW#'!$A:$Z,9,FALSE)+VLOOKUP($A368,A:AL,13,FALSE)-50))</f>
        <v>-</v>
      </c>
      <c r="M368" s="3" t="s">
        <v>23</v>
      </c>
      <c r="N368" s="3" t="str">
        <f>IF(ISERROR(VLOOKUP($A368,'SegEnds_NonXtal_BW#'!$A:$Z,10,FALSE)+VLOOKUP($A368,A:AL,13,FALSE)-50),"-",(VLOOKUP($A368,'SegEnds_NonXtal_BW#'!$A:$Z,10,FALSE)+VLOOKUP($A368,A:AL,13,FALSE)-50))</f>
        <v>-</v>
      </c>
      <c r="O368" s="3">
        <f>VLOOKUP($A368,'SegEnds_NonXtal_BW#'!$A:$Z,11,FALSE)+VLOOKUP($A368,A:AL,16,FALSE)-50</f>
        <v>627</v>
      </c>
      <c r="P368" s="3">
        <v>655</v>
      </c>
      <c r="Q368" s="3">
        <f>VLOOKUP($A368,'SegEnds_NonXtal_BW#'!$A:$Z,12,FALSE)+VLOOKUP($A368,A:AL,16,FALSE)-50</f>
        <v>659</v>
      </c>
      <c r="R368" s="3" t="str">
        <f>IF(ISERROR(VLOOKUP($A368,'SegEnds_NonXtal_BW#'!$A:$Z,13,FALSE)+VLOOKUP($A368,A:AL,19,FALSE)-50),"-",VLOOKUP($A368,'SegEnds_NonXtal_BW#'!$A:$Z,13,FALSE)+VLOOKUP($A368,A:AL,19,FALSE)-50)</f>
        <v>-</v>
      </c>
      <c r="S368" s="3" t="s">
        <v>23</v>
      </c>
      <c r="T368" s="100" t="str">
        <f>IF(ISERROR(VLOOKUP($A368,'SegEnds_NonXtal_BW#'!$A:$Z,14,FALSE)+VLOOKUP($A368,A:AL,19,FALSE)-50),"-",(VLOOKUP($A368,'SegEnds_NonXtal_BW#'!$A:$Z,14,FALSE)+VLOOKUP($A368,A:AL,19,FALSE)-50))</f>
        <v>-</v>
      </c>
      <c r="U368" s="9">
        <f>IF(ISERROR(VLOOKUP($A368,'SegEnds_NonXtal_BW#'!$A:$Z,15,FALSE)+VLOOKUP($A368,A:AL,22,FALSE)-50),"-",VLOOKUP($A368,'SegEnds_NonXtal_BW#'!$A:$Z,15,FALSE)+VLOOKUP($A368,A:AL,22,FALSE)-50)</f>
        <v>674</v>
      </c>
      <c r="V368" s="3">
        <v>686</v>
      </c>
      <c r="W368" s="3">
        <f>IF(ISERROR(VLOOKUP($A368,'SegEnds_NonXtal_BW#'!$A:$Z,16,FALSE)+VLOOKUP($A368,A:AL,22,FALSE)-50),"-",(VLOOKUP($A368,'SegEnds_NonXtal_BW#'!$A:$Z,16,FALSE)+VLOOKUP($A368,A:AL,22,FALSE)-50))</f>
        <v>700</v>
      </c>
      <c r="X368" s="3">
        <f>IF(ISERROR(VLOOKUP($A368,'SegEnds_NonXtal_BW#'!$A:$Z,17,FALSE)+VLOOKUP($A368,A:AL,25,FALSE)-50),"-",(VLOOKUP($A368,'SegEnds_NonXtal_BW#'!$A:$Z,17,FALSE)+VLOOKUP($A368,A:AL,25,FALSE)-50))</f>
        <v>720</v>
      </c>
      <c r="Y368" s="3">
        <v>720</v>
      </c>
      <c r="Z368" s="3">
        <f t="shared" si="201"/>
        <v>722</v>
      </c>
      <c r="AA368" s="3">
        <f>IF(ISERROR(VLOOKUP($A368,'SegEnds_NonXtal_BW#'!$A:$Z,19,FALSE)+VLOOKUP($A368,A:AL,28,FALSE)-50),"-",(VLOOKUP($A368,'SegEnds_NonXtal_BW#'!$A:$Z,19,FALSE)+VLOOKUP($A368,A:AL,28,FALSE)-50))</f>
        <v>724</v>
      </c>
      <c r="AB368" s="3">
        <v>738</v>
      </c>
      <c r="AC368" s="3">
        <f>IF(ISERROR((VLOOKUP($A368,'SegEnds_NonXtal_BW#'!$A:$Z,20,FALSE)+VLOOKUP($A368,A:AL,28,FALSE)-50)),"-",(VLOOKUP($A368,'SegEnds_NonXtal_BW#'!$A:$Z,20,FALSE)+VLOOKUP($A368,A:AL,28,FALSE)-50))</f>
        <v>749</v>
      </c>
      <c r="AD368" s="3">
        <f>IF(ISERROR(VLOOKUP($A368,'SegEnds_NonXtal_BW#'!$A:$Z,21,FALSE)+VLOOKUP($A368,A:AL,31,FALSE)-50),"-",(VLOOKUP($A368,'SegEnds_NonXtal_BW#'!$A:$Z,21,FALSE)+VLOOKUP($A368,A:AL,31,FALSE)-50))</f>
        <v>758</v>
      </c>
      <c r="AE368" s="3">
        <v>775</v>
      </c>
      <c r="AF368" s="3">
        <f>IF(ISERROR((VLOOKUP($A368,'SegEnds_NonXtal_BW#'!$A:$Z,22,FALSE)+VLOOKUP($A368,A:AL,31,FALSE)-50)),"-",(VLOOKUP($A368,'SegEnds_NonXtal_BW#'!$A:$Z,22,FALSE)+VLOOKUP($A368,A:AL,31,FALSE)-50))</f>
        <v>782</v>
      </c>
      <c r="AG368" s="3">
        <f>IF(ISERROR(VLOOKUP($A368,'SegEnds_NonXtal_BW#'!$A:$Z,23,FALSE)+VLOOKUP($A368,A:AL,34,FALSE)-50),"-",(VLOOKUP($A368,'SegEnds_NonXtal_BW#'!$A:$Z,23,FALSE)+VLOOKUP($A368,A:AL,34,FALSE)-50))</f>
        <v>787</v>
      </c>
      <c r="AH368" s="3">
        <v>804</v>
      </c>
      <c r="AI368" s="3">
        <f>IF(ISERROR((VLOOKUP($A368,'SegEnds_NonXtal_BW#'!$A:$Z,24,FALSE)+VLOOKUP($A368,A:AL,34,FALSE)-50)),"-",(VLOOKUP($A368,'SegEnds_NonXtal_BW#'!$A:$Z,24,FALSE)+VLOOKUP($A368,A:AL,34,FALSE)-50))</f>
        <v>818</v>
      </c>
      <c r="AJ368" s="3">
        <f>IF(ISERROR(VLOOKUP($A368,'SegEnds_NonXtal_BW#'!$A:$Z,25,FALSE)+VLOOKUP($A368,A:AL,37,FALSE)-50),"-",(VLOOKUP($A368,'SegEnds_NonXtal_BW#'!$A:$Z,25,FALSE)+VLOOKUP($A368,A:AL,37,FALSE)-50))</f>
        <v>819</v>
      </c>
      <c r="AK368" s="3">
        <v>823</v>
      </c>
      <c r="AL368" s="3">
        <f>IF(ISERROR((VLOOKUP($A368,'SegEnds_NonXtal_BW#'!$A:$Z,26,FALSE)+VLOOKUP($A368,A:AL,37,FALSE)-50)),"-",(VLOOKUP($A368,'SegEnds_NonXtal_BW#'!$A:$Z,26,FALSE)+VLOOKUP($A368,A:AL,37,FALSE)-50))</f>
        <v>830</v>
      </c>
      <c r="AM368" s="28" t="str">
        <f>VLOOKUP(A368,Classification!A:B,2,FALSE)</f>
        <v>C</v>
      </c>
      <c r="AN368" s="28" t="b">
        <f t="shared" si="195"/>
        <v>1</v>
      </c>
      <c r="AO368" s="3" t="str">
        <f>IF(ISERROR(MATCH(A368,'SegEnds_Xtal_Prot#'!B:B, 0)), "NoXtal", "Xtal")</f>
        <v>NoXtal</v>
      </c>
      <c r="AP368" s="3">
        <f t="shared" si="180"/>
        <v>3</v>
      </c>
      <c r="AQ368" s="3">
        <f t="shared" si="181"/>
        <v>1</v>
      </c>
      <c r="AR368" s="3" t="str">
        <f t="shared" si="182"/>
        <v>-</v>
      </c>
      <c r="AS368" s="3" t="str">
        <f t="shared" si="183"/>
        <v>-</v>
      </c>
      <c r="AT368" s="3" t="str">
        <f t="shared" si="184"/>
        <v>-</v>
      </c>
      <c r="AU368" s="3" t="str">
        <f t="shared" si="185"/>
        <v>-</v>
      </c>
      <c r="AV368" s="3">
        <f t="shared" si="186"/>
        <v>20</v>
      </c>
      <c r="AW368" s="3">
        <f t="shared" si="187"/>
        <v>2</v>
      </c>
      <c r="AX368" s="3">
        <f t="shared" si="188"/>
        <v>9</v>
      </c>
      <c r="AY368" s="3">
        <f t="shared" si="189"/>
        <v>5</v>
      </c>
      <c r="AZ368" s="3">
        <f t="shared" si="190"/>
        <v>1</v>
      </c>
      <c r="BA368" s="3">
        <f>IF(ISERROR(LEN(VLOOKUP(A368,Seqs!A:E,2,FALSE))-AL368),"-",LEN(VLOOKUP(A368,Seqs!A:E,2,FALSE))-AL368)</f>
        <v>9</v>
      </c>
      <c r="BB368" s="16">
        <f t="shared" si="191"/>
        <v>31</v>
      </c>
      <c r="BC368" s="9" t="str">
        <f t="shared" si="192"/>
        <v>-</v>
      </c>
      <c r="BD368" s="3">
        <f t="shared" si="193"/>
        <v>31</v>
      </c>
      <c r="BE368" s="3">
        <f t="shared" si="194"/>
        <v>37</v>
      </c>
      <c r="BF368" s="3">
        <f>AH368-AE368</f>
        <v>29</v>
      </c>
    </row>
    <row r="369" spans="1:58" s="3" customFormat="1" x14ac:dyDescent="0.2">
      <c r="A369" s="3" t="s">
        <v>124</v>
      </c>
      <c r="B369" s="3" t="str">
        <f>LOWER(VLOOKUP(A369,Xtal_Templ!A:B,2,FALSE))</f>
        <v>grm1_human</v>
      </c>
      <c r="C369" s="3">
        <f>VLOOKUP($A369,'SegEnds_NonXtal_BW#'!$A:$Z,3,FALSE)+D369-50</f>
        <v>567</v>
      </c>
      <c r="D369" s="3">
        <v>583</v>
      </c>
      <c r="E369" s="3">
        <f>IF(ISERROR(VLOOKUP($A369,'SegEnds_NonXtal_BW#'!$A:$Z,4,FALSE)+VLOOKUP($A369,A:AL,4,FALSE)-50),"-",(VLOOKUP($A369,'SegEnds_NonXtal_BW#'!$A:$Z,4,FALSE)+VLOOKUP($A369,A:AL,4,FALSE)-50))</f>
        <v>593</v>
      </c>
      <c r="F369" s="3">
        <f t="shared" si="197"/>
        <v>596</v>
      </c>
      <c r="G369" s="3">
        <v>599</v>
      </c>
      <c r="H369" s="3">
        <f t="shared" si="198"/>
        <v>602</v>
      </c>
      <c r="I369" s="3">
        <f t="shared" si="199"/>
        <v>603</v>
      </c>
      <c r="J369" s="3">
        <v>614</v>
      </c>
      <c r="K369" s="3">
        <f>VLOOKUP($A369,'SegEnds_NonXtal_BW#'!$A:$Z,8,FALSE)+VLOOKUP($A369,A:AL,10,FALSE)-50</f>
        <v>625</v>
      </c>
      <c r="L369" s="3" t="str">
        <f>IF(ISERROR(VLOOKUP($A369,'SegEnds_NonXtal_BW#'!$A:$Z,9,FALSE)+VLOOKUP($A369,A:AL,13,FALSE)-50),"-",(VLOOKUP($A369,'SegEnds_NonXtal_BW#'!$A:$Z,9,FALSE)+VLOOKUP($A369,A:AL,13,FALSE)-50))</f>
        <v>-</v>
      </c>
      <c r="M369" s="3" t="s">
        <v>23</v>
      </c>
      <c r="N369" s="3" t="str">
        <f>IF(ISERROR(VLOOKUP($A369,'SegEnds_NonXtal_BW#'!$A:$Z,10,FALSE)+VLOOKUP($A369,A:AL,13,FALSE)-50),"-",(VLOOKUP($A369,'SegEnds_NonXtal_BW#'!$A:$Z,10,FALSE)+VLOOKUP($A369,A:AL,13,FALSE)-50))</f>
        <v>-</v>
      </c>
      <c r="O369" s="3">
        <f>VLOOKUP($A369,'SegEnds_NonXtal_BW#'!$A:$Z,11,FALSE)+VLOOKUP($A369,A:AL,16,FALSE)-50</f>
        <v>630</v>
      </c>
      <c r="P369" s="3">
        <v>658</v>
      </c>
      <c r="Q369" s="3">
        <f>VLOOKUP($A369,'SegEnds_NonXtal_BW#'!$A:$Z,12,FALSE)+VLOOKUP($A369,A:AL,16,FALSE)-50</f>
        <v>662</v>
      </c>
      <c r="R369" s="3" t="str">
        <f>IF(ISERROR(VLOOKUP($A369,'SegEnds_NonXtal_BW#'!$A:$Z,13,FALSE)+VLOOKUP($A369,A:AL,19,FALSE)-50),"-",VLOOKUP($A369,'SegEnds_NonXtal_BW#'!$A:$Z,13,FALSE)+VLOOKUP($A369,A:AL,19,FALSE)-50)</f>
        <v>-</v>
      </c>
      <c r="S369" s="3" t="s">
        <v>23</v>
      </c>
      <c r="T369" s="100" t="str">
        <f>IF(ISERROR(VLOOKUP($A369,'SegEnds_NonXtal_BW#'!$A:$Z,14,FALSE)+VLOOKUP($A369,A:AL,19,FALSE)-50),"-",(VLOOKUP($A369,'SegEnds_NonXtal_BW#'!$A:$Z,14,FALSE)+VLOOKUP($A369,A:AL,19,FALSE)-50))</f>
        <v>-</v>
      </c>
      <c r="U369" s="9">
        <f>IF(ISERROR(VLOOKUP($A369,'SegEnds_NonXtal_BW#'!$A:$Z,15,FALSE)+VLOOKUP($A369,A:AL,22,FALSE)-50),"-",VLOOKUP($A369,'SegEnds_NonXtal_BW#'!$A:$Z,15,FALSE)+VLOOKUP($A369,A:AL,22,FALSE)-50)</f>
        <v>677</v>
      </c>
      <c r="V369" s="3">
        <v>689</v>
      </c>
      <c r="W369" s="3">
        <f>IF(ISERROR(VLOOKUP($A369,'SegEnds_NonXtal_BW#'!$A:$Z,16,FALSE)+VLOOKUP($A369,A:AL,22,FALSE)-50),"-",(VLOOKUP($A369,'SegEnds_NonXtal_BW#'!$A:$Z,16,FALSE)+VLOOKUP($A369,A:AL,22,FALSE)-50))</f>
        <v>703</v>
      </c>
      <c r="X369" s="3">
        <f>IF(ISERROR(VLOOKUP($A369,'SegEnds_NonXtal_BW#'!$A:$Z,17,FALSE)+VLOOKUP($A369,A:AL,25,FALSE)-50),"-",(VLOOKUP($A369,'SegEnds_NonXtal_BW#'!$A:$Z,17,FALSE)+VLOOKUP($A369,A:AL,25,FALSE)-50))</f>
        <v>722</v>
      </c>
      <c r="Y369" s="3">
        <v>722</v>
      </c>
      <c r="Z369" s="3">
        <f t="shared" si="201"/>
        <v>724</v>
      </c>
      <c r="AA369" s="3">
        <f>IF(ISERROR(VLOOKUP($A369,'SegEnds_NonXtal_BW#'!$A:$Z,19,FALSE)+VLOOKUP($A369,A:AL,28,FALSE)-50),"-",(VLOOKUP($A369,'SegEnds_NonXtal_BW#'!$A:$Z,19,FALSE)+VLOOKUP($A369,A:AL,28,FALSE)-50))</f>
        <v>726</v>
      </c>
      <c r="AB369" s="3">
        <v>740</v>
      </c>
      <c r="AC369" s="3">
        <f>IF(ISERROR((VLOOKUP($A369,'SegEnds_NonXtal_BW#'!$A:$Z,20,FALSE)+VLOOKUP($A369,A:AL,28,FALSE)-50)),"-",(VLOOKUP($A369,'SegEnds_NonXtal_BW#'!$A:$Z,20,FALSE)+VLOOKUP($A369,A:AL,28,FALSE)-50))</f>
        <v>751</v>
      </c>
      <c r="AD369" s="3">
        <f>IF(ISERROR(VLOOKUP($A369,'SegEnds_NonXtal_BW#'!$A:$Z,21,FALSE)+VLOOKUP($A369,A:AL,31,FALSE)-50),"-",(VLOOKUP($A369,'SegEnds_NonXtal_BW#'!$A:$Z,21,FALSE)+VLOOKUP($A369,A:AL,31,FALSE)-50))</f>
        <v>760</v>
      </c>
      <c r="AE369" s="3">
        <v>777</v>
      </c>
      <c r="AF369" s="3">
        <f>IF(ISERROR((VLOOKUP($A369,'SegEnds_NonXtal_BW#'!$A:$Z,22,FALSE)+VLOOKUP($A369,A:AL,31,FALSE)-50)),"-",(VLOOKUP($A369,'SegEnds_NonXtal_BW#'!$A:$Z,22,FALSE)+VLOOKUP($A369,A:AL,31,FALSE)-50))</f>
        <v>784</v>
      </c>
      <c r="AG369" s="3">
        <f>IF(ISERROR(VLOOKUP($A369,'SegEnds_NonXtal_BW#'!$A:$Z,23,FALSE)+VLOOKUP($A369,A:AL,34,FALSE)-50),"-",(VLOOKUP($A369,'SegEnds_NonXtal_BW#'!$A:$Z,23,FALSE)+VLOOKUP($A369,A:AL,34,FALSE)-50))</f>
        <v>789</v>
      </c>
      <c r="AH369" s="3">
        <v>806</v>
      </c>
      <c r="AI369" s="3">
        <f>IF(ISERROR((VLOOKUP($A369,'SegEnds_NonXtal_BW#'!$A:$Z,24,FALSE)+VLOOKUP($A369,A:AL,34,FALSE)-50)),"-",(VLOOKUP($A369,'SegEnds_NonXtal_BW#'!$A:$Z,24,FALSE)+VLOOKUP($A369,A:AL,34,FALSE)-50))</f>
        <v>820</v>
      </c>
      <c r="AJ369" s="3">
        <f>IF(ISERROR(VLOOKUP($A369,'SegEnds_NonXtal_BW#'!$A:$Z,25,FALSE)+VLOOKUP($A369,A:AL,37,FALSE)-50),"-",(VLOOKUP($A369,'SegEnds_NonXtal_BW#'!$A:$Z,25,FALSE)+VLOOKUP($A369,A:AL,37,FALSE)-50))</f>
        <v>821</v>
      </c>
      <c r="AK369" s="3">
        <v>825</v>
      </c>
      <c r="AL369" s="3">
        <f>IF(ISERROR((VLOOKUP($A369,'SegEnds_NonXtal_BW#'!$A:$Z,26,FALSE)+VLOOKUP($A369,A:AL,37,FALSE)-50)),"-",(VLOOKUP($A369,'SegEnds_NonXtal_BW#'!$A:$Z,26,FALSE)+VLOOKUP($A369,A:AL,37,FALSE)-50))</f>
        <v>832</v>
      </c>
      <c r="AM369" s="28" t="str">
        <f>VLOOKUP(A369,Classification!A:B,2,FALSE)</f>
        <v>C</v>
      </c>
      <c r="AN369" s="28" t="b">
        <f t="shared" si="195"/>
        <v>1</v>
      </c>
      <c r="AO369" s="3" t="str">
        <f>IF(ISERROR(MATCH(A369,'SegEnds_Xtal_Prot#'!B:B, 0)), "NoXtal", "Xtal")</f>
        <v>NoXtal</v>
      </c>
      <c r="AP369" s="3">
        <f t="shared" si="180"/>
        <v>3</v>
      </c>
      <c r="AQ369" s="3">
        <f t="shared" si="181"/>
        <v>1</v>
      </c>
      <c r="AR369" s="3" t="str">
        <f t="shared" si="182"/>
        <v>-</v>
      </c>
      <c r="AS369" s="3" t="str">
        <f t="shared" si="183"/>
        <v>-</v>
      </c>
      <c r="AT369" s="3" t="str">
        <f t="shared" si="184"/>
        <v>-</v>
      </c>
      <c r="AU369" s="3" t="str">
        <f t="shared" si="185"/>
        <v>-</v>
      </c>
      <c r="AV369" s="3">
        <f t="shared" si="186"/>
        <v>19</v>
      </c>
      <c r="AW369" s="3">
        <f t="shared" si="187"/>
        <v>2</v>
      </c>
      <c r="AX369" s="3">
        <f t="shared" si="188"/>
        <v>9</v>
      </c>
      <c r="AY369" s="3">
        <f t="shared" si="189"/>
        <v>5</v>
      </c>
      <c r="AZ369" s="3">
        <f t="shared" si="190"/>
        <v>1</v>
      </c>
      <c r="BA369" s="3">
        <f>IF(ISERROR(LEN(VLOOKUP(A369,Seqs!A:E,2,FALSE))-AL369),"-",LEN(VLOOKUP(A369,Seqs!A:E,2,FALSE))-AL369)</f>
        <v>20</v>
      </c>
      <c r="BB369" s="16">
        <f t="shared" si="191"/>
        <v>31</v>
      </c>
      <c r="BC369" s="9" t="str">
        <f t="shared" si="192"/>
        <v>-</v>
      </c>
      <c r="BD369" s="3">
        <f t="shared" si="193"/>
        <v>31</v>
      </c>
      <c r="BE369" s="3">
        <f t="shared" si="194"/>
        <v>37</v>
      </c>
      <c r="BF369" s="3">
        <f>AH369-AE369</f>
        <v>29</v>
      </c>
    </row>
    <row r="370" spans="1:58" s="3" customFormat="1" x14ac:dyDescent="0.2">
      <c r="A370" s="3" t="s">
        <v>446</v>
      </c>
      <c r="B370" s="3" t="str">
        <f>LOWER(VLOOKUP(A370,Xtal_Templ!A:B,2,FALSE))</f>
        <v>fzd4_human</v>
      </c>
      <c r="C370" s="3">
        <f>VLOOKUP($A370,'SegEnds_NonXtal_BW#'!$A:$Z,3,FALSE)+D370-50</f>
        <v>312</v>
      </c>
      <c r="D370" s="3">
        <v>334</v>
      </c>
      <c r="E370" s="3">
        <f>IF(ISERROR(VLOOKUP($A370,'SegEnds_NonXtal_BW#'!$A:$Z,4,FALSE)+VLOOKUP($A370,A:AL,4,FALSE)-50),"-",(VLOOKUP($A370,'SegEnds_NonXtal_BW#'!$A:$Z,4,FALSE)+VLOOKUP($A370,A:AL,4,FALSE)-50))</f>
        <v>344</v>
      </c>
      <c r="F370" s="3">
        <f t="shared" si="197"/>
        <v>345</v>
      </c>
      <c r="G370" s="3">
        <v>348</v>
      </c>
      <c r="H370" s="3">
        <f t="shared" ref="H370:H380" si="202">G370+1</f>
        <v>349</v>
      </c>
      <c r="I370" s="3">
        <f t="shared" si="199"/>
        <v>350</v>
      </c>
      <c r="J370" s="3">
        <v>360</v>
      </c>
      <c r="K370" s="3">
        <f>VLOOKUP($A370,'SegEnds_NonXtal_BW#'!$A:$Z,8,FALSE)+VLOOKUP($A370,A:AL,10,FALSE)-50</f>
        <v>376</v>
      </c>
      <c r="L370" s="3" t="str">
        <f>IF(ISERROR(VLOOKUP($A370,'SegEnds_NonXtal_BW#'!$A:$Z,9,FALSE)+VLOOKUP($A370,A:AL,13,FALSE)-50),"-",(VLOOKUP($A370,'SegEnds_NonXtal_BW#'!$A:$Z,9,FALSE)+VLOOKUP($A370,A:AL,13,FALSE)-50))</f>
        <v>-</v>
      </c>
      <c r="M370" s="3" t="s">
        <v>23</v>
      </c>
      <c r="N370" s="3" t="str">
        <f>IF(ISERROR(VLOOKUP($A370,'SegEnds_NonXtal_BW#'!$A:$Z,10,FALSE)+VLOOKUP($A370,A:AL,13,FALSE)-50),"-",(VLOOKUP($A370,'SegEnds_NonXtal_BW#'!$A:$Z,10,FALSE)+VLOOKUP($A370,A:AL,13,FALSE)-50))</f>
        <v>-</v>
      </c>
      <c r="O370" s="3">
        <f>VLOOKUP($A370,'SegEnds_NonXtal_BW#'!$A:$Z,11,FALSE)+VLOOKUP($A370,A:AL,16,FALSE)-50</f>
        <v>399</v>
      </c>
      <c r="P370" s="3">
        <v>427</v>
      </c>
      <c r="Q370" s="3">
        <f>VLOOKUP($A370,'SegEnds_NonXtal_BW#'!$A:$Z,12,FALSE)+VLOOKUP($A370,A:AL,16,FALSE)-50</f>
        <v>432</v>
      </c>
      <c r="R370" s="3" t="str">
        <f>IF(ISERROR(VLOOKUP($A370,'SegEnds_NonXtal_BW#'!$A:$Z,13,FALSE)+VLOOKUP($A370,A:AL,19,FALSE)-50),"-",VLOOKUP($A370,'SegEnds_NonXtal_BW#'!$A:$Z,13,FALSE)+VLOOKUP($A370,A:AL,19,FALSE)-50)</f>
        <v>-</v>
      </c>
      <c r="S370" s="3" t="s">
        <v>23</v>
      </c>
      <c r="T370" s="100" t="str">
        <f>IF(ISERROR(VLOOKUP($A370,'SegEnds_NonXtal_BW#'!$A:$Z,14,FALSE)+VLOOKUP($A370,A:AL,19,FALSE)-50),"-",(VLOOKUP($A370,'SegEnds_NonXtal_BW#'!$A:$Z,14,FALSE)+VLOOKUP($A370,A:AL,19,FALSE)-50))</f>
        <v>-</v>
      </c>
      <c r="U370" s="9">
        <f>IF(ISERROR(VLOOKUP($A370,'SegEnds_NonXtal_BW#'!$A:$Z,15,FALSE)+VLOOKUP($A370,A:AL,22,FALSE)-50),"-",VLOOKUP($A370,'SegEnds_NonXtal_BW#'!$A:$Z,15,FALSE)+VLOOKUP($A370,A:AL,22,FALSE)-50)</f>
        <v>443</v>
      </c>
      <c r="V370" s="3">
        <v>452</v>
      </c>
      <c r="W370" s="3">
        <f>IF(ISERROR(VLOOKUP($A370,'SegEnds_NonXtal_BW#'!$A:$Z,16,FALSE)+VLOOKUP($A370,A:AL,22,FALSE)-50),"-",(VLOOKUP($A370,'SegEnds_NonXtal_BW#'!$A:$Z,16,FALSE)+VLOOKUP($A370,A:AL,22,FALSE)-50))</f>
        <v>466</v>
      </c>
      <c r="X370" s="3">
        <f>IF(ISERROR(VLOOKUP($A370,'SegEnds_NonXtal_BW#'!$A:$Z,17,FALSE)+VLOOKUP($A370,A:AL,25,FALSE)-50),"-",(VLOOKUP($A370,'SegEnds_NonXtal_BW#'!$A:$Z,17,FALSE)+VLOOKUP($A370,A:AL,25,FALSE)-50))</f>
        <v>477</v>
      </c>
      <c r="Y370" s="3">
        <v>477</v>
      </c>
      <c r="Z370" s="3">
        <f t="shared" si="201"/>
        <v>479</v>
      </c>
      <c r="AA370" s="3">
        <f>IF(ISERROR(VLOOKUP($A370,'SegEnds_NonXtal_BW#'!$A:$Z,19,FALSE)+VLOOKUP($A370,A:AL,28,FALSE)-50),"-",(VLOOKUP($A370,'SegEnds_NonXtal_BW#'!$A:$Z,19,FALSE)+VLOOKUP($A370,A:AL,28,FALSE)-50))</f>
        <v>483</v>
      </c>
      <c r="AB370" s="3">
        <v>498</v>
      </c>
      <c r="AC370" s="3">
        <f>IF(ISERROR((VLOOKUP($A370,'SegEnds_NonXtal_BW#'!$A:$Z,20,FALSE)+VLOOKUP($A370,A:AL,28,FALSE)-50)),"-",(VLOOKUP($A370,'SegEnds_NonXtal_BW#'!$A:$Z,20,FALSE)+VLOOKUP($A370,A:AL,28,FALSE)-50))</f>
        <v>520</v>
      </c>
      <c r="AD370" s="3">
        <f>IF(ISERROR(VLOOKUP($A370,'SegEnds_NonXtal_BW#'!$A:$Z,21,FALSE)+VLOOKUP($A370,A:AL,31,FALSE)-50),"-",(VLOOKUP($A370,'SegEnds_NonXtal_BW#'!$A:$Z,21,FALSE)+VLOOKUP($A370,A:AL,31,FALSE)-50))</f>
        <v>531</v>
      </c>
      <c r="AE370" s="3">
        <v>553</v>
      </c>
      <c r="AF370" s="3">
        <f>IF(ISERROR((VLOOKUP($A370,'SegEnds_NonXtal_BW#'!$A:$Z,22,FALSE)+VLOOKUP($A370,A:AL,31,FALSE)-50)),"-",(VLOOKUP($A370,'SegEnds_NonXtal_BW#'!$A:$Z,22,FALSE)+VLOOKUP($A370,A:AL,31,FALSE)-50))</f>
        <v>581</v>
      </c>
      <c r="AG370" s="3">
        <f>IF(ISERROR(VLOOKUP($A370,'SegEnds_NonXtal_BW#'!$A:$Z,23,FALSE)+VLOOKUP($A370,A:AL,34,FALSE)-50),"-",(VLOOKUP($A370,'SegEnds_NonXtal_BW#'!$A:$Z,23,FALSE)+VLOOKUP($A370,A:AL,34,FALSE)-50))</f>
        <v>599</v>
      </c>
      <c r="AH370" s="3">
        <v>615</v>
      </c>
      <c r="AI370" s="3">
        <f>IF(ISERROR((VLOOKUP($A370,'SegEnds_NonXtal_BW#'!$A:$Z,24,FALSE)+VLOOKUP($A370,A:AL,34,FALSE)-50)),"-",(VLOOKUP($A370,'SegEnds_NonXtal_BW#'!$A:$Z,24,FALSE)+VLOOKUP($A370,A:AL,34,FALSE)-50))</f>
        <v>622</v>
      </c>
      <c r="AJ370" s="3">
        <f>IF(ISERROR(VLOOKUP($A370,'SegEnds_NonXtal_BW#'!$A:$Z,25,FALSE)+VLOOKUP($A370,A:AL,37,FALSE)-50),"-",(VLOOKUP($A370,'SegEnds_NonXtal_BW#'!$A:$Z,25,FALSE)+VLOOKUP($A370,A:AL,37,FALSE)-50))</f>
        <v>623</v>
      </c>
      <c r="AK370" s="3">
        <v>626</v>
      </c>
      <c r="AL370" s="3">
        <f>IF(ISERROR((VLOOKUP($A370,'SegEnds_NonXtal_BW#'!$A:$Z,26,FALSE)+VLOOKUP($A370,A:AL,37,FALSE)-50)),"-",(VLOOKUP($A370,'SegEnds_NonXtal_BW#'!$A:$Z,26,FALSE)+VLOOKUP($A370,A:AL,37,FALSE)-50))</f>
        <v>638</v>
      </c>
      <c r="AM370" s="28" t="str">
        <f>VLOOKUP(A370,Classification!A:B,2,FALSE)</f>
        <v>F</v>
      </c>
      <c r="AN370" s="28" t="b">
        <f t="shared" si="195"/>
        <v>1</v>
      </c>
      <c r="AO370" s="3" t="str">
        <f>IF(ISERROR(MATCH(A370,'SegEnds_Xtal_Prot#'!B:B, 0)), "NoXtal", "Xtal")</f>
        <v>NoXtal</v>
      </c>
      <c r="AP370" s="3">
        <f t="shared" si="180"/>
        <v>1</v>
      </c>
      <c r="AQ370" s="3">
        <f t="shared" si="181"/>
        <v>1</v>
      </c>
      <c r="AR370" s="3" t="str">
        <f t="shared" si="182"/>
        <v>-</v>
      </c>
      <c r="AS370" s="3" t="str">
        <f t="shared" si="183"/>
        <v>-</v>
      </c>
      <c r="AT370" s="3" t="str">
        <f t="shared" si="184"/>
        <v>-</v>
      </c>
      <c r="AU370" s="3" t="str">
        <f t="shared" si="185"/>
        <v>-</v>
      </c>
      <c r="AV370" s="3">
        <f t="shared" si="186"/>
        <v>11</v>
      </c>
      <c r="AW370" s="3">
        <f t="shared" si="187"/>
        <v>4</v>
      </c>
      <c r="AX370" s="3">
        <f t="shared" si="188"/>
        <v>11</v>
      </c>
      <c r="AY370" s="3">
        <f t="shared" si="189"/>
        <v>18</v>
      </c>
      <c r="AZ370" s="3">
        <f t="shared" si="190"/>
        <v>1</v>
      </c>
      <c r="BA370" s="3">
        <f>IF(ISERROR(LEN(VLOOKUP(A370,Seqs!A:E,2,FALSE))-AL370),"-",LEN(VLOOKUP(A370,Seqs!A:E,2,FALSE))-AL370)</f>
        <v>9</v>
      </c>
      <c r="BB370" s="16">
        <f t="shared" si="191"/>
        <v>26</v>
      </c>
      <c r="BC370" s="9" t="str">
        <f t="shared" si="192"/>
        <v>-</v>
      </c>
      <c r="BD370" s="3">
        <f t="shared" si="193"/>
        <v>26</v>
      </c>
      <c r="BE370" s="3">
        <f t="shared" si="194"/>
        <v>55</v>
      </c>
      <c r="BF370" s="3">
        <f>AH370-AE370</f>
        <v>62</v>
      </c>
    </row>
    <row r="371" spans="1:58" s="3" customFormat="1" x14ac:dyDescent="0.2">
      <c r="A371" s="3" t="s">
        <v>447</v>
      </c>
      <c r="B371" s="3" t="str">
        <f>LOWER(VLOOKUP(A371,Xtal_Templ!A:B,2,FALSE))</f>
        <v>fzd4_human</v>
      </c>
      <c r="C371" s="3">
        <f>VLOOKUP($A371,'SegEnds_NonXtal_BW#'!$A:$Z,3,FALSE)+D371-50</f>
        <v>220</v>
      </c>
      <c r="D371" s="3">
        <v>242</v>
      </c>
      <c r="E371" s="3">
        <f>IF(ISERROR(VLOOKUP($A371,'SegEnds_NonXtal_BW#'!$A:$Z,4,FALSE)+VLOOKUP($A371,A:AL,4,FALSE)-50),"-",(VLOOKUP($A371,'SegEnds_NonXtal_BW#'!$A:$Z,4,FALSE)+VLOOKUP($A371,A:AL,4,FALSE)-50))</f>
        <v>252</v>
      </c>
      <c r="F371" s="3">
        <f t="shared" si="197"/>
        <v>253</v>
      </c>
      <c r="G371" s="3">
        <v>256</v>
      </c>
      <c r="H371" s="3">
        <f t="shared" si="202"/>
        <v>257</v>
      </c>
      <c r="I371" s="3">
        <f t="shared" si="199"/>
        <v>258</v>
      </c>
      <c r="J371" s="3">
        <v>268</v>
      </c>
      <c r="K371" s="3">
        <f>VLOOKUP($A371,'SegEnds_NonXtal_BW#'!$A:$Z,8,FALSE)+VLOOKUP($A371,A:AL,10,FALSE)-50</f>
        <v>284</v>
      </c>
      <c r="L371" s="3" t="str">
        <f>IF(ISERROR(VLOOKUP($A371,'SegEnds_NonXtal_BW#'!$A:$Z,9,FALSE)+VLOOKUP($A371,A:AL,13,FALSE)-50),"-",(VLOOKUP($A371,'SegEnds_NonXtal_BW#'!$A:$Z,9,FALSE)+VLOOKUP($A371,A:AL,13,FALSE)-50))</f>
        <v>-</v>
      </c>
      <c r="M371" s="3" t="s">
        <v>23</v>
      </c>
      <c r="N371" s="3" t="str">
        <f>IF(ISERROR(VLOOKUP($A371,'SegEnds_NonXtal_BW#'!$A:$Z,10,FALSE)+VLOOKUP($A371,A:AL,13,FALSE)-50),"-",(VLOOKUP($A371,'SegEnds_NonXtal_BW#'!$A:$Z,10,FALSE)+VLOOKUP($A371,A:AL,13,FALSE)-50))</f>
        <v>-</v>
      </c>
      <c r="O371" s="3">
        <f>VLOOKUP($A371,'SegEnds_NonXtal_BW#'!$A:$Z,11,FALSE)+VLOOKUP($A371,A:AL,16,FALSE)-50</f>
        <v>306</v>
      </c>
      <c r="P371" s="3">
        <v>334</v>
      </c>
      <c r="Q371" s="3">
        <f>VLOOKUP($A371,'SegEnds_NonXtal_BW#'!$A:$Z,12,FALSE)+VLOOKUP($A371,A:AL,16,FALSE)-50</f>
        <v>339</v>
      </c>
      <c r="R371" s="3" t="str">
        <f>IF(ISERROR(VLOOKUP($A371,'SegEnds_NonXtal_BW#'!$A:$Z,13,FALSE)+VLOOKUP($A371,A:AL,19,FALSE)-50),"-",VLOOKUP($A371,'SegEnds_NonXtal_BW#'!$A:$Z,13,FALSE)+VLOOKUP($A371,A:AL,19,FALSE)-50)</f>
        <v>-</v>
      </c>
      <c r="S371" s="3" t="s">
        <v>23</v>
      </c>
      <c r="T371" s="100" t="str">
        <f>IF(ISERROR(VLOOKUP($A371,'SegEnds_NonXtal_BW#'!$A:$Z,14,FALSE)+VLOOKUP($A371,A:AL,19,FALSE)-50),"-",(VLOOKUP($A371,'SegEnds_NonXtal_BW#'!$A:$Z,14,FALSE)+VLOOKUP($A371,A:AL,19,FALSE)-50))</f>
        <v>-</v>
      </c>
      <c r="U371" s="9">
        <f>IF(ISERROR(VLOOKUP($A371,'SegEnds_NonXtal_BW#'!$A:$Z,15,FALSE)+VLOOKUP($A371,A:AL,22,FALSE)-50),"-",VLOOKUP($A371,'SegEnds_NonXtal_BW#'!$A:$Z,15,FALSE)+VLOOKUP($A371,A:AL,22,FALSE)-50)</f>
        <v>350</v>
      </c>
      <c r="V371" s="3">
        <v>359</v>
      </c>
      <c r="W371" s="3">
        <f>IF(ISERROR(VLOOKUP($A371,'SegEnds_NonXtal_BW#'!$A:$Z,16,FALSE)+VLOOKUP($A371,A:AL,22,FALSE)-50),"-",(VLOOKUP($A371,'SegEnds_NonXtal_BW#'!$A:$Z,16,FALSE)+VLOOKUP($A371,A:AL,22,FALSE)-50))</f>
        <v>373</v>
      </c>
      <c r="X371" s="3">
        <f>IF(ISERROR(VLOOKUP($A371,'SegEnds_NonXtal_BW#'!$A:$Z,17,FALSE)+VLOOKUP($A371,A:AL,25,FALSE)-50),"-",(VLOOKUP($A371,'SegEnds_NonXtal_BW#'!$A:$Z,17,FALSE)+VLOOKUP($A371,A:AL,25,FALSE)-50))</f>
        <v>384</v>
      </c>
      <c r="Y371" s="3">
        <v>384</v>
      </c>
      <c r="Z371" s="3">
        <f t="shared" si="201"/>
        <v>386</v>
      </c>
      <c r="AA371" s="3">
        <f>IF(ISERROR(VLOOKUP($A371,'SegEnds_NonXtal_BW#'!$A:$Z,19,FALSE)+VLOOKUP($A371,A:AL,28,FALSE)-50),"-",(VLOOKUP($A371,'SegEnds_NonXtal_BW#'!$A:$Z,19,FALSE)+VLOOKUP($A371,A:AL,28,FALSE)-50))</f>
        <v>390</v>
      </c>
      <c r="AB371" s="3">
        <v>405</v>
      </c>
      <c r="AC371" s="3">
        <f>IF(ISERROR((VLOOKUP($A371,'SegEnds_NonXtal_BW#'!$A:$Z,20,FALSE)+VLOOKUP($A371,A:AL,28,FALSE)-50)),"-",(VLOOKUP($A371,'SegEnds_NonXtal_BW#'!$A:$Z,20,FALSE)+VLOOKUP($A371,A:AL,28,FALSE)-50))</f>
        <v>427</v>
      </c>
      <c r="AD371" s="3">
        <f>IF(ISERROR(VLOOKUP($A371,'SegEnds_NonXtal_BW#'!$A:$Z,21,FALSE)+VLOOKUP($A371,A:AL,31,FALSE)-50),"-",(VLOOKUP($A371,'SegEnds_NonXtal_BW#'!$A:$Z,21,FALSE)+VLOOKUP($A371,A:AL,31,FALSE)-50))</f>
        <v>438</v>
      </c>
      <c r="AE371" s="3">
        <v>460</v>
      </c>
      <c r="AF371" s="3">
        <f>IF(ISERROR((VLOOKUP($A371,'SegEnds_NonXtal_BW#'!$A:$Z,22,FALSE)+VLOOKUP($A371,A:AL,31,FALSE)-50)),"-",(VLOOKUP($A371,'SegEnds_NonXtal_BW#'!$A:$Z,22,FALSE)+VLOOKUP($A371,A:AL,31,FALSE)-50))</f>
        <v>488</v>
      </c>
      <c r="AG371" s="3">
        <f>IF(ISERROR(VLOOKUP($A371,'SegEnds_NonXtal_BW#'!$A:$Z,23,FALSE)+VLOOKUP($A371,A:AL,34,FALSE)-50),"-",(VLOOKUP($A371,'SegEnds_NonXtal_BW#'!$A:$Z,23,FALSE)+VLOOKUP($A371,A:AL,34,FALSE)-50))</f>
        <v>500</v>
      </c>
      <c r="AH371" s="3">
        <v>516</v>
      </c>
      <c r="AI371" s="3">
        <f>IF(ISERROR((VLOOKUP($A371,'SegEnds_NonXtal_BW#'!$A:$Z,24,FALSE)+VLOOKUP($A371,A:AL,34,FALSE)-50)),"-",(VLOOKUP($A371,'SegEnds_NonXtal_BW#'!$A:$Z,24,FALSE)+VLOOKUP($A371,A:AL,34,FALSE)-50))</f>
        <v>523</v>
      </c>
      <c r="AJ371" s="3">
        <f>IF(ISERROR(VLOOKUP($A371,'SegEnds_NonXtal_BW#'!$A:$Z,25,FALSE)+VLOOKUP($A371,A:AL,37,FALSE)-50),"-",(VLOOKUP($A371,'SegEnds_NonXtal_BW#'!$A:$Z,25,FALSE)+VLOOKUP($A371,A:AL,37,FALSE)-50))</f>
        <v>524</v>
      </c>
      <c r="AK371" s="3">
        <v>527</v>
      </c>
      <c r="AL371" s="3">
        <f>IF(ISERROR((VLOOKUP($A371,'SegEnds_NonXtal_BW#'!$A:$Z,26,FALSE)+VLOOKUP($A371,A:AL,37,FALSE)-50)),"-",(VLOOKUP($A371,'SegEnds_NonXtal_BW#'!$A:$Z,26,FALSE)+VLOOKUP($A371,A:AL,37,FALSE)-50))</f>
        <v>539</v>
      </c>
      <c r="AM371" s="28" t="str">
        <f>VLOOKUP(A371,Classification!A:B,2,FALSE)</f>
        <v>F</v>
      </c>
      <c r="AN371" s="28" t="b">
        <f t="shared" si="195"/>
        <v>1</v>
      </c>
      <c r="AO371" s="3" t="str">
        <f>IF(ISERROR(MATCH(A371,'SegEnds_Xtal_Prot#'!B:B, 0)), "NoXtal", "Xtal")</f>
        <v>NoXtal</v>
      </c>
      <c r="AP371" s="3">
        <f t="shared" si="180"/>
        <v>1</v>
      </c>
      <c r="AQ371" s="3">
        <f t="shared" si="181"/>
        <v>1</v>
      </c>
      <c r="AR371" s="3" t="str">
        <f t="shared" si="182"/>
        <v>-</v>
      </c>
      <c r="AS371" s="3" t="str">
        <f t="shared" si="183"/>
        <v>-</v>
      </c>
      <c r="AT371" s="3" t="str">
        <f t="shared" si="184"/>
        <v>-</v>
      </c>
      <c r="AU371" s="3" t="str">
        <f t="shared" si="185"/>
        <v>-</v>
      </c>
      <c r="AV371" s="3">
        <f t="shared" si="186"/>
        <v>11</v>
      </c>
      <c r="AW371" s="3">
        <f t="shared" si="187"/>
        <v>4</v>
      </c>
      <c r="AX371" s="3">
        <f t="shared" si="188"/>
        <v>11</v>
      </c>
      <c r="AY371" s="3">
        <f t="shared" si="189"/>
        <v>12</v>
      </c>
      <c r="AZ371" s="3">
        <f t="shared" si="190"/>
        <v>1</v>
      </c>
      <c r="BA371" s="3">
        <f>IF(ISERROR(LEN(VLOOKUP(A371,Seqs!A:E,2,FALSE))-AL371),"-",LEN(VLOOKUP(A371,Seqs!A:E,2,FALSE))-AL371)</f>
        <v>42</v>
      </c>
      <c r="BB371" s="16">
        <f t="shared" si="191"/>
        <v>26</v>
      </c>
      <c r="BC371" s="9" t="str">
        <f t="shared" si="192"/>
        <v>-</v>
      </c>
      <c r="BD371" s="3">
        <f t="shared" si="193"/>
        <v>26</v>
      </c>
      <c r="BE371" s="3">
        <f t="shared" si="194"/>
        <v>55</v>
      </c>
    </row>
    <row r="372" spans="1:58" s="3" customFormat="1" x14ac:dyDescent="0.2">
      <c r="A372" s="3" t="s">
        <v>448</v>
      </c>
      <c r="B372" s="3" t="str">
        <f>LOWER(VLOOKUP(A372,Xtal_Templ!A:B,2,FALSE))</f>
        <v>fzd4_human</v>
      </c>
      <c r="C372" s="3">
        <f>VLOOKUP($A372,'SegEnds_NonXtal_BW#'!$A:$Z,3,FALSE)+D372-50</f>
        <v>237</v>
      </c>
      <c r="D372" s="3">
        <v>259</v>
      </c>
      <c r="E372" s="3">
        <f>IF(ISERROR(VLOOKUP($A372,'SegEnds_NonXtal_BW#'!$A:$Z,4,FALSE)+VLOOKUP($A372,A:AL,4,FALSE)-50),"-",(VLOOKUP($A372,'SegEnds_NonXtal_BW#'!$A:$Z,4,FALSE)+VLOOKUP($A372,A:AL,4,FALSE)-50))</f>
        <v>269</v>
      </c>
      <c r="F372" s="3">
        <f t="shared" si="197"/>
        <v>270</v>
      </c>
      <c r="G372" s="3">
        <v>273</v>
      </c>
      <c r="H372" s="3">
        <f t="shared" si="202"/>
        <v>274</v>
      </c>
      <c r="I372" s="3">
        <f t="shared" si="199"/>
        <v>275</v>
      </c>
      <c r="J372" s="3">
        <v>285</v>
      </c>
      <c r="K372" s="3">
        <f>VLOOKUP($A372,'SegEnds_NonXtal_BW#'!$A:$Z,8,FALSE)+VLOOKUP($A372,A:AL,10,FALSE)-50</f>
        <v>301</v>
      </c>
      <c r="L372" s="3" t="str">
        <f>IF(ISERROR(VLOOKUP($A372,'SegEnds_NonXtal_BW#'!$A:$Z,9,FALSE)+VLOOKUP($A372,A:AL,13,FALSE)-50),"-",(VLOOKUP($A372,'SegEnds_NonXtal_BW#'!$A:$Z,9,FALSE)+VLOOKUP($A372,A:AL,13,FALSE)-50))</f>
        <v>-</v>
      </c>
      <c r="M372" s="3" t="s">
        <v>23</v>
      </c>
      <c r="N372" s="3" t="str">
        <f>IF(ISERROR(VLOOKUP($A372,'SegEnds_NonXtal_BW#'!$A:$Z,10,FALSE)+VLOOKUP($A372,A:AL,13,FALSE)-50),"-",(VLOOKUP($A372,'SegEnds_NonXtal_BW#'!$A:$Z,10,FALSE)+VLOOKUP($A372,A:AL,13,FALSE)-50))</f>
        <v>-</v>
      </c>
      <c r="O372" s="3">
        <f>VLOOKUP($A372,'SegEnds_NonXtal_BW#'!$A:$Z,11,FALSE)+VLOOKUP($A372,A:AL,16,FALSE)-50</f>
        <v>324</v>
      </c>
      <c r="P372" s="3">
        <v>352</v>
      </c>
      <c r="Q372" s="3">
        <f>VLOOKUP($A372,'SegEnds_NonXtal_BW#'!$A:$Z,12,FALSE)+VLOOKUP($A372,A:AL,16,FALSE)-50</f>
        <v>357</v>
      </c>
      <c r="R372" s="3" t="str">
        <f>IF(ISERROR(VLOOKUP($A372,'SegEnds_NonXtal_BW#'!$A:$Z,13,FALSE)+VLOOKUP($A372,A:AL,19,FALSE)-50),"-",VLOOKUP($A372,'SegEnds_NonXtal_BW#'!$A:$Z,13,FALSE)+VLOOKUP($A372,A:AL,19,FALSE)-50)</f>
        <v>-</v>
      </c>
      <c r="S372" s="3" t="s">
        <v>23</v>
      </c>
      <c r="T372" s="100" t="str">
        <f>IF(ISERROR(VLOOKUP($A372,'SegEnds_NonXtal_BW#'!$A:$Z,14,FALSE)+VLOOKUP($A372,A:AL,19,FALSE)-50),"-",(VLOOKUP($A372,'SegEnds_NonXtal_BW#'!$A:$Z,14,FALSE)+VLOOKUP($A372,A:AL,19,FALSE)-50))</f>
        <v>-</v>
      </c>
      <c r="U372" s="9">
        <f>IF(ISERROR(VLOOKUP($A372,'SegEnds_NonXtal_BW#'!$A:$Z,15,FALSE)+VLOOKUP($A372,A:AL,22,FALSE)-50),"-",VLOOKUP($A372,'SegEnds_NonXtal_BW#'!$A:$Z,15,FALSE)+VLOOKUP($A372,A:AL,22,FALSE)-50)</f>
        <v>368</v>
      </c>
      <c r="V372" s="3">
        <v>377</v>
      </c>
      <c r="W372" s="3">
        <f>IF(ISERROR(VLOOKUP($A372,'SegEnds_NonXtal_BW#'!$A:$Z,16,FALSE)+VLOOKUP($A372,A:AL,22,FALSE)-50),"-",(VLOOKUP($A372,'SegEnds_NonXtal_BW#'!$A:$Z,16,FALSE)+VLOOKUP($A372,A:AL,22,FALSE)-50))</f>
        <v>391</v>
      </c>
      <c r="X372" s="3">
        <f>IF(ISERROR(VLOOKUP($A372,'SegEnds_NonXtal_BW#'!$A:$Z,17,FALSE)+VLOOKUP($A372,A:AL,25,FALSE)-50),"-",(VLOOKUP($A372,'SegEnds_NonXtal_BW#'!$A:$Z,17,FALSE)+VLOOKUP($A372,A:AL,25,FALSE)-50))</f>
        <v>402</v>
      </c>
      <c r="Y372" s="3">
        <v>402</v>
      </c>
      <c r="Z372" s="3">
        <f t="shared" si="201"/>
        <v>404</v>
      </c>
      <c r="AA372" s="3">
        <f>IF(ISERROR(VLOOKUP($A372,'SegEnds_NonXtal_BW#'!$A:$Z,19,FALSE)+VLOOKUP($A372,A:AL,28,FALSE)-50),"-",(VLOOKUP($A372,'SegEnds_NonXtal_BW#'!$A:$Z,19,FALSE)+VLOOKUP($A372,A:AL,28,FALSE)-50))</f>
        <v>408</v>
      </c>
      <c r="AB372" s="3">
        <v>423</v>
      </c>
      <c r="AC372" s="3">
        <f>IF(ISERROR((VLOOKUP($A372,'SegEnds_NonXtal_BW#'!$A:$Z,20,FALSE)+VLOOKUP($A372,A:AL,28,FALSE)-50)),"-",(VLOOKUP($A372,'SegEnds_NonXtal_BW#'!$A:$Z,20,FALSE)+VLOOKUP($A372,A:AL,28,FALSE)-50))</f>
        <v>445</v>
      </c>
      <c r="AD372" s="3">
        <f>IF(ISERROR(VLOOKUP($A372,'SegEnds_NonXtal_BW#'!$A:$Z,21,FALSE)+VLOOKUP($A372,A:AL,31,FALSE)-50),"-",(VLOOKUP($A372,'SegEnds_NonXtal_BW#'!$A:$Z,21,FALSE)+VLOOKUP($A372,A:AL,31,FALSE)-50))</f>
        <v>456</v>
      </c>
      <c r="AE372" s="3">
        <v>478</v>
      </c>
      <c r="AF372" s="3">
        <f>IF(ISERROR((VLOOKUP($A372,'SegEnds_NonXtal_BW#'!$A:$Z,22,FALSE)+VLOOKUP($A372,A:AL,31,FALSE)-50)),"-",(VLOOKUP($A372,'SegEnds_NonXtal_BW#'!$A:$Z,22,FALSE)+VLOOKUP($A372,A:AL,31,FALSE)-50))</f>
        <v>506</v>
      </c>
      <c r="AG372" s="3">
        <f>IF(ISERROR(VLOOKUP($A372,'SegEnds_NonXtal_BW#'!$A:$Z,23,FALSE)+VLOOKUP($A372,A:AL,34,FALSE)-50),"-",(VLOOKUP($A372,'SegEnds_NonXtal_BW#'!$A:$Z,23,FALSE)+VLOOKUP($A372,A:AL,34,FALSE)-50))</f>
        <v>517</v>
      </c>
      <c r="AH372" s="3">
        <v>533</v>
      </c>
      <c r="AI372" s="3">
        <f>IF(ISERROR((VLOOKUP($A372,'SegEnds_NonXtal_BW#'!$A:$Z,24,FALSE)+VLOOKUP($A372,A:AL,34,FALSE)-50)),"-",(VLOOKUP($A372,'SegEnds_NonXtal_BW#'!$A:$Z,24,FALSE)+VLOOKUP($A372,A:AL,34,FALSE)-50))</f>
        <v>540</v>
      </c>
      <c r="AJ372" s="3">
        <f>IF(ISERROR(VLOOKUP($A372,'SegEnds_NonXtal_BW#'!$A:$Z,25,FALSE)+VLOOKUP($A372,A:AL,37,FALSE)-50),"-",(VLOOKUP($A372,'SegEnds_NonXtal_BW#'!$A:$Z,25,FALSE)+VLOOKUP($A372,A:AL,37,FALSE)-50))</f>
        <v>541</v>
      </c>
      <c r="AK372" s="3">
        <v>544</v>
      </c>
      <c r="AL372" s="3">
        <f>IF(ISERROR((VLOOKUP($A372,'SegEnds_NonXtal_BW#'!$A:$Z,26,FALSE)+VLOOKUP($A372,A:AL,37,FALSE)-50)),"-",(VLOOKUP($A372,'SegEnds_NonXtal_BW#'!$A:$Z,26,FALSE)+VLOOKUP($A372,A:AL,37,FALSE)-50))</f>
        <v>556</v>
      </c>
      <c r="AM372" s="28" t="str">
        <f>VLOOKUP(A372,Classification!A:B,2,FALSE)</f>
        <v>F</v>
      </c>
      <c r="AN372" s="28" t="b">
        <f t="shared" si="195"/>
        <v>1</v>
      </c>
      <c r="AO372" s="3" t="str">
        <f>IF(ISERROR(MATCH(A372,'SegEnds_Xtal_Prot#'!B:B, 0)), "NoXtal", "Xtal")</f>
        <v>NoXtal</v>
      </c>
      <c r="AP372" s="3">
        <f t="shared" si="180"/>
        <v>1</v>
      </c>
      <c r="AQ372" s="3">
        <f t="shared" si="181"/>
        <v>1</v>
      </c>
      <c r="AR372" s="3" t="str">
        <f t="shared" si="182"/>
        <v>-</v>
      </c>
      <c r="AS372" s="3" t="str">
        <f t="shared" si="183"/>
        <v>-</v>
      </c>
      <c r="AT372" s="3" t="str">
        <f t="shared" si="184"/>
        <v>-</v>
      </c>
      <c r="AU372" s="3" t="str">
        <f t="shared" si="185"/>
        <v>-</v>
      </c>
      <c r="AV372" s="3">
        <f t="shared" si="186"/>
        <v>11</v>
      </c>
      <c r="AW372" s="3">
        <f t="shared" si="187"/>
        <v>4</v>
      </c>
      <c r="AX372" s="3">
        <f t="shared" si="188"/>
        <v>11</v>
      </c>
      <c r="AY372" s="3">
        <f t="shared" si="189"/>
        <v>11</v>
      </c>
      <c r="AZ372" s="3">
        <f t="shared" si="190"/>
        <v>1</v>
      </c>
      <c r="BA372" s="3">
        <f>IF(ISERROR(LEN(VLOOKUP(A372,Seqs!A:E,2,FALSE))-AL372),"-",LEN(VLOOKUP(A372,Seqs!A:E,2,FALSE))-AL372)</f>
        <v>9</v>
      </c>
      <c r="BB372" s="16">
        <f t="shared" si="191"/>
        <v>26</v>
      </c>
      <c r="BC372" s="9" t="str">
        <f t="shared" si="192"/>
        <v>-</v>
      </c>
      <c r="BD372" s="3">
        <f t="shared" si="193"/>
        <v>26</v>
      </c>
      <c r="BE372" s="3">
        <f t="shared" si="194"/>
        <v>55</v>
      </c>
      <c r="BF372" s="3">
        <f>AH372-AE372</f>
        <v>55</v>
      </c>
    </row>
    <row r="373" spans="1:58" s="3" customFormat="1" x14ac:dyDescent="0.2">
      <c r="A373" s="3" t="s">
        <v>449</v>
      </c>
      <c r="B373" s="3" t="str">
        <f>LOWER(VLOOKUP(A373,Xtal_Templ!A:B,2,FALSE))</f>
        <v>fzd4_human</v>
      </c>
      <c r="C373" s="3">
        <f>VLOOKUP($A373,'SegEnds_NonXtal_BW#'!$A:$Z,3,FALSE)+D373-50</f>
        <v>195</v>
      </c>
      <c r="D373" s="3">
        <v>217</v>
      </c>
      <c r="E373" s="3">
        <f>IF(ISERROR(VLOOKUP($A373,'SegEnds_NonXtal_BW#'!$A:$Z,4,FALSE)+VLOOKUP($A373,A:AL,4,FALSE)-50),"-",(VLOOKUP($A373,'SegEnds_NonXtal_BW#'!$A:$Z,4,FALSE)+VLOOKUP($A373,A:AL,4,FALSE)-50))</f>
        <v>227</v>
      </c>
      <c r="F373" s="3">
        <f t="shared" si="197"/>
        <v>228</v>
      </c>
      <c r="G373" s="3">
        <v>231</v>
      </c>
      <c r="H373" s="3">
        <f t="shared" si="202"/>
        <v>232</v>
      </c>
      <c r="I373" s="3">
        <f t="shared" si="199"/>
        <v>233</v>
      </c>
      <c r="J373" s="3">
        <v>243</v>
      </c>
      <c r="K373" s="3">
        <f>VLOOKUP($A373,'SegEnds_NonXtal_BW#'!$A:$Z,8,FALSE)+VLOOKUP($A373,A:AL,10,FALSE)-50</f>
        <v>259</v>
      </c>
      <c r="L373" s="3" t="str">
        <f>IF(ISERROR(VLOOKUP($A373,'SegEnds_NonXtal_BW#'!$A:$Z,9,FALSE)+VLOOKUP($A373,A:AL,13,FALSE)-50),"-",(VLOOKUP($A373,'SegEnds_NonXtal_BW#'!$A:$Z,9,FALSE)+VLOOKUP($A373,A:AL,13,FALSE)-50))</f>
        <v>-</v>
      </c>
      <c r="M373" s="3" t="s">
        <v>23</v>
      </c>
      <c r="N373" s="3" t="str">
        <f>IF(ISERROR(VLOOKUP($A373,'SegEnds_NonXtal_BW#'!$A:$Z,10,FALSE)+VLOOKUP($A373,A:AL,13,FALSE)-50),"-",(VLOOKUP($A373,'SegEnds_NonXtal_BW#'!$A:$Z,10,FALSE)+VLOOKUP($A373,A:AL,13,FALSE)-50))</f>
        <v>-</v>
      </c>
      <c r="O373" s="3">
        <f>VLOOKUP($A373,'SegEnds_NonXtal_BW#'!$A:$Z,11,FALSE)+VLOOKUP($A373,A:AL,16,FALSE)-50</f>
        <v>283</v>
      </c>
      <c r="P373" s="3">
        <v>311</v>
      </c>
      <c r="Q373" s="3">
        <f>VLOOKUP($A373,'SegEnds_NonXtal_BW#'!$A:$Z,12,FALSE)+VLOOKUP($A373,A:AL,16,FALSE)-50</f>
        <v>316</v>
      </c>
      <c r="R373" s="3" t="str">
        <f>IF(ISERROR(VLOOKUP($A373,'SegEnds_NonXtal_BW#'!$A:$Z,13,FALSE)+VLOOKUP($A373,A:AL,19,FALSE)-50),"-",VLOOKUP($A373,'SegEnds_NonXtal_BW#'!$A:$Z,13,FALSE)+VLOOKUP($A373,A:AL,19,FALSE)-50)</f>
        <v>-</v>
      </c>
      <c r="S373" s="3" t="s">
        <v>23</v>
      </c>
      <c r="T373" s="100" t="str">
        <f>IF(ISERROR(VLOOKUP($A373,'SegEnds_NonXtal_BW#'!$A:$Z,14,FALSE)+VLOOKUP($A373,A:AL,19,FALSE)-50),"-",(VLOOKUP($A373,'SegEnds_NonXtal_BW#'!$A:$Z,14,FALSE)+VLOOKUP($A373,A:AL,19,FALSE)-50))</f>
        <v>-</v>
      </c>
      <c r="U373" s="9">
        <f>IF(ISERROR(VLOOKUP($A373,'SegEnds_NonXtal_BW#'!$A:$Z,15,FALSE)+VLOOKUP($A373,A:AL,22,FALSE)-50),"-",VLOOKUP($A373,'SegEnds_NonXtal_BW#'!$A:$Z,15,FALSE)+VLOOKUP($A373,A:AL,22,FALSE)-50)</f>
        <v>327</v>
      </c>
      <c r="V373" s="3">
        <v>336</v>
      </c>
      <c r="W373" s="3">
        <f>IF(ISERROR(VLOOKUP($A373,'SegEnds_NonXtal_BW#'!$A:$Z,16,FALSE)+VLOOKUP($A373,A:AL,22,FALSE)-50),"-",(VLOOKUP($A373,'SegEnds_NonXtal_BW#'!$A:$Z,16,FALSE)+VLOOKUP($A373,A:AL,22,FALSE)-50))</f>
        <v>350</v>
      </c>
      <c r="X373" s="3">
        <f>IF(ISERROR(VLOOKUP($A373,'SegEnds_NonXtal_BW#'!$A:$Z,17,FALSE)+VLOOKUP($A373,A:AL,25,FALSE)-50),"-",(VLOOKUP($A373,'SegEnds_NonXtal_BW#'!$A:$Z,17,FALSE)+VLOOKUP($A373,A:AL,25,FALSE)-50))</f>
        <v>361</v>
      </c>
      <c r="Y373" s="3">
        <v>361</v>
      </c>
      <c r="Z373" s="3">
        <f t="shared" si="201"/>
        <v>363</v>
      </c>
      <c r="AA373" s="3">
        <f>IF(ISERROR(VLOOKUP($A373,'SegEnds_NonXtal_BW#'!$A:$Z,19,FALSE)+VLOOKUP($A373,A:AL,28,FALSE)-50),"-",(VLOOKUP($A373,'SegEnds_NonXtal_BW#'!$A:$Z,19,FALSE)+VLOOKUP($A373,A:AL,28,FALSE)-50))</f>
        <v>367</v>
      </c>
      <c r="AB373" s="3">
        <v>382</v>
      </c>
      <c r="AC373" s="3">
        <f>IF(ISERROR((VLOOKUP($A373,'SegEnds_NonXtal_BW#'!$A:$Z,20,FALSE)+VLOOKUP($A373,A:AL,28,FALSE)-50)),"-",(VLOOKUP($A373,'SegEnds_NonXtal_BW#'!$A:$Z,20,FALSE)+VLOOKUP($A373,A:AL,28,FALSE)-50))</f>
        <v>404</v>
      </c>
      <c r="AD373" s="3">
        <f>IF(ISERROR(VLOOKUP($A373,'SegEnds_NonXtal_BW#'!$A:$Z,21,FALSE)+VLOOKUP($A373,A:AL,31,FALSE)-50),"-",(VLOOKUP($A373,'SegEnds_NonXtal_BW#'!$A:$Z,21,FALSE)+VLOOKUP($A373,A:AL,31,FALSE)-50))</f>
        <v>415</v>
      </c>
      <c r="AE373" s="3">
        <v>437</v>
      </c>
      <c r="AF373" s="3">
        <f>IF(ISERROR((VLOOKUP($A373,'SegEnds_NonXtal_BW#'!$A:$Z,22,FALSE)+VLOOKUP($A373,A:AL,31,FALSE)-50)),"-",(VLOOKUP($A373,'SegEnds_NonXtal_BW#'!$A:$Z,22,FALSE)+VLOOKUP($A373,A:AL,31,FALSE)-50))</f>
        <v>465</v>
      </c>
      <c r="AG373" s="3">
        <f>IF(ISERROR(VLOOKUP($A373,'SegEnds_NonXtal_BW#'!$A:$Z,23,FALSE)+VLOOKUP($A373,A:AL,34,FALSE)-50),"-",(VLOOKUP($A373,'SegEnds_NonXtal_BW#'!$A:$Z,23,FALSE)+VLOOKUP($A373,A:AL,34,FALSE)-50))</f>
        <v>476</v>
      </c>
      <c r="AH373" s="3">
        <v>492</v>
      </c>
      <c r="AI373" s="3">
        <f>IF(ISERROR((VLOOKUP($A373,'SegEnds_NonXtal_BW#'!$A:$Z,24,FALSE)+VLOOKUP($A373,A:AL,34,FALSE)-50)),"-",(VLOOKUP($A373,'SegEnds_NonXtal_BW#'!$A:$Z,24,FALSE)+VLOOKUP($A373,A:AL,34,FALSE)-50))</f>
        <v>499</v>
      </c>
      <c r="AJ373" s="3">
        <f>IF(ISERROR(VLOOKUP($A373,'SegEnds_NonXtal_BW#'!$A:$Z,25,FALSE)+VLOOKUP($A373,A:AL,37,FALSE)-50),"-",(VLOOKUP($A373,'SegEnds_NonXtal_BW#'!$A:$Z,25,FALSE)+VLOOKUP($A373,A:AL,37,FALSE)-50))</f>
        <v>500</v>
      </c>
      <c r="AK373" s="3">
        <v>503</v>
      </c>
      <c r="AL373" s="3">
        <f>IF(ISERROR((VLOOKUP($A373,'SegEnds_NonXtal_BW#'!$A:$Z,26,FALSE)+VLOOKUP($A373,A:AL,37,FALSE)-50)),"-",(VLOOKUP($A373,'SegEnds_NonXtal_BW#'!$A:$Z,26,FALSE)+VLOOKUP($A373,A:AL,37,FALSE)-50))</f>
        <v>515</v>
      </c>
      <c r="AM373" s="28" t="str">
        <f>VLOOKUP(A373,Classification!A:B,2,FALSE)</f>
        <v>F</v>
      </c>
      <c r="AN373" s="28" t="b">
        <f t="shared" si="195"/>
        <v>1</v>
      </c>
      <c r="AO373" s="3" t="str">
        <f>IF(ISERROR(MATCH(A373,'SegEnds_Xtal_Prot#'!B:B, 0)), "NoXtal", "Xtal")</f>
        <v>NoXtal</v>
      </c>
      <c r="AP373" s="3">
        <f t="shared" si="180"/>
        <v>1</v>
      </c>
      <c r="AQ373" s="3">
        <f t="shared" si="181"/>
        <v>1</v>
      </c>
      <c r="AR373" s="3" t="str">
        <f t="shared" si="182"/>
        <v>-</v>
      </c>
      <c r="AS373" s="3" t="str">
        <f t="shared" si="183"/>
        <v>-</v>
      </c>
      <c r="AT373" s="3" t="str">
        <f t="shared" si="184"/>
        <v>-</v>
      </c>
      <c r="AU373" s="3" t="str">
        <f t="shared" si="185"/>
        <v>-</v>
      </c>
      <c r="AV373" s="3">
        <f t="shared" si="186"/>
        <v>11</v>
      </c>
      <c r="AW373" s="3">
        <f t="shared" si="187"/>
        <v>4</v>
      </c>
      <c r="AX373" s="3">
        <f t="shared" si="188"/>
        <v>11</v>
      </c>
      <c r="AY373" s="3">
        <f t="shared" si="189"/>
        <v>11</v>
      </c>
      <c r="AZ373" s="3">
        <f t="shared" si="190"/>
        <v>1</v>
      </c>
      <c r="BA373" s="3">
        <f>IF(ISERROR(LEN(VLOOKUP(A373,Seqs!A:E,2,FALSE))-AL373),"-",LEN(VLOOKUP(A373,Seqs!A:E,2,FALSE))-AL373)</f>
        <v>151</v>
      </c>
      <c r="BB373" s="16">
        <f t="shared" si="191"/>
        <v>26</v>
      </c>
      <c r="BC373" s="9" t="str">
        <f t="shared" si="192"/>
        <v>-</v>
      </c>
      <c r="BD373" s="3">
        <f t="shared" si="193"/>
        <v>26</v>
      </c>
      <c r="BE373" s="3">
        <f t="shared" si="194"/>
        <v>55</v>
      </c>
    </row>
    <row r="374" spans="1:58" s="3" customFormat="1" x14ac:dyDescent="0.2">
      <c r="A374" s="3" t="s">
        <v>450</v>
      </c>
      <c r="B374" s="3" t="str">
        <f>LOWER(VLOOKUP(A374,Xtal_Templ!A:B,2,FALSE))</f>
        <v>fzd4_human</v>
      </c>
      <c r="C374" s="3">
        <f>VLOOKUP($A374,'SegEnds_NonXtal_BW#'!$A:$Z,3,FALSE)+D374-50</f>
        <v>212</v>
      </c>
      <c r="D374" s="3">
        <v>234</v>
      </c>
      <c r="E374" s="3">
        <f>IF(ISERROR(VLOOKUP($A374,'SegEnds_NonXtal_BW#'!$A:$Z,4,FALSE)+VLOOKUP($A374,A:AL,4,FALSE)-50),"-",(VLOOKUP($A374,'SegEnds_NonXtal_BW#'!$A:$Z,4,FALSE)+VLOOKUP($A374,A:AL,4,FALSE)-50))</f>
        <v>244</v>
      </c>
      <c r="F374" s="3">
        <f t="shared" si="197"/>
        <v>245</v>
      </c>
      <c r="G374" s="3">
        <v>248</v>
      </c>
      <c r="H374" s="3">
        <f t="shared" si="202"/>
        <v>249</v>
      </c>
      <c r="I374" s="3">
        <f t="shared" si="199"/>
        <v>250</v>
      </c>
      <c r="J374" s="3">
        <v>260</v>
      </c>
      <c r="K374" s="3">
        <f>VLOOKUP($A374,'SegEnds_NonXtal_BW#'!$A:$Z,8,FALSE)+VLOOKUP($A374,A:AL,10,FALSE)-50</f>
        <v>276</v>
      </c>
      <c r="L374" s="3" t="str">
        <f>IF(ISERROR(VLOOKUP($A374,'SegEnds_NonXtal_BW#'!$A:$Z,9,FALSE)+VLOOKUP($A374,A:AL,13,FALSE)-50),"-",(VLOOKUP($A374,'SegEnds_NonXtal_BW#'!$A:$Z,9,FALSE)+VLOOKUP($A374,A:AL,13,FALSE)-50))</f>
        <v>-</v>
      </c>
      <c r="M374" s="3" t="s">
        <v>23</v>
      </c>
      <c r="N374" s="3" t="str">
        <f>IF(ISERROR(VLOOKUP($A374,'SegEnds_NonXtal_BW#'!$A:$Z,10,FALSE)+VLOOKUP($A374,A:AL,13,FALSE)-50),"-",(VLOOKUP($A374,'SegEnds_NonXtal_BW#'!$A:$Z,10,FALSE)+VLOOKUP($A374,A:AL,13,FALSE)-50))</f>
        <v>-</v>
      </c>
      <c r="O374" s="3">
        <f>VLOOKUP($A374,'SegEnds_NonXtal_BW#'!$A:$Z,11,FALSE)+VLOOKUP($A374,A:AL,16,FALSE)-50</f>
        <v>299</v>
      </c>
      <c r="P374" s="3">
        <v>327</v>
      </c>
      <c r="Q374" s="3">
        <f>VLOOKUP($A374,'SegEnds_NonXtal_BW#'!$A:$Z,12,FALSE)+VLOOKUP($A374,A:AL,16,FALSE)-50</f>
        <v>332</v>
      </c>
      <c r="R374" s="3" t="str">
        <f>IF(ISERROR(VLOOKUP($A374,'SegEnds_NonXtal_BW#'!$A:$Z,13,FALSE)+VLOOKUP($A374,A:AL,19,FALSE)-50),"-",VLOOKUP($A374,'SegEnds_NonXtal_BW#'!$A:$Z,13,FALSE)+VLOOKUP($A374,A:AL,19,FALSE)-50)</f>
        <v>-</v>
      </c>
      <c r="S374" s="3" t="s">
        <v>23</v>
      </c>
      <c r="T374" s="100" t="str">
        <f>IF(ISERROR(VLOOKUP($A374,'SegEnds_NonXtal_BW#'!$A:$Z,14,FALSE)+VLOOKUP($A374,A:AL,19,FALSE)-50),"-",(VLOOKUP($A374,'SegEnds_NonXtal_BW#'!$A:$Z,14,FALSE)+VLOOKUP($A374,A:AL,19,FALSE)-50))</f>
        <v>-</v>
      </c>
      <c r="U374" s="9">
        <f>IF(ISERROR(VLOOKUP($A374,'SegEnds_NonXtal_BW#'!$A:$Z,15,FALSE)+VLOOKUP($A374,A:AL,22,FALSE)-50),"-",VLOOKUP($A374,'SegEnds_NonXtal_BW#'!$A:$Z,15,FALSE)+VLOOKUP($A374,A:AL,22,FALSE)-50)</f>
        <v>343</v>
      </c>
      <c r="V374" s="3">
        <v>352</v>
      </c>
      <c r="W374" s="3">
        <f>IF(ISERROR(VLOOKUP($A374,'SegEnds_NonXtal_BW#'!$A:$Z,16,FALSE)+VLOOKUP($A374,A:AL,22,FALSE)-50),"-",(VLOOKUP($A374,'SegEnds_NonXtal_BW#'!$A:$Z,16,FALSE)+VLOOKUP($A374,A:AL,22,FALSE)-50))</f>
        <v>366</v>
      </c>
      <c r="X374" s="3">
        <f>IF(ISERROR(VLOOKUP($A374,'SegEnds_NonXtal_BW#'!$A:$Z,17,FALSE)+VLOOKUP($A374,A:AL,25,FALSE)-50),"-",(VLOOKUP($A374,'SegEnds_NonXtal_BW#'!$A:$Z,17,FALSE)+VLOOKUP($A374,A:AL,25,FALSE)-50))</f>
        <v>377</v>
      </c>
      <c r="Y374" s="3">
        <v>377</v>
      </c>
      <c r="Z374" s="3">
        <f t="shared" si="201"/>
        <v>379</v>
      </c>
      <c r="AA374" s="3">
        <f>IF(ISERROR(VLOOKUP($A374,'SegEnds_NonXtal_BW#'!$A:$Z,19,FALSE)+VLOOKUP($A374,A:AL,28,FALSE)-50),"-",(VLOOKUP($A374,'SegEnds_NonXtal_BW#'!$A:$Z,19,FALSE)+VLOOKUP($A374,A:AL,28,FALSE)-50))</f>
        <v>383</v>
      </c>
      <c r="AB374" s="3">
        <v>398</v>
      </c>
      <c r="AC374" s="3">
        <f>IF(ISERROR((VLOOKUP($A374,'SegEnds_NonXtal_BW#'!$A:$Z,20,FALSE)+VLOOKUP($A374,A:AL,28,FALSE)-50)),"-",(VLOOKUP($A374,'SegEnds_NonXtal_BW#'!$A:$Z,20,FALSE)+VLOOKUP($A374,A:AL,28,FALSE)-50))</f>
        <v>420</v>
      </c>
      <c r="AD374" s="3">
        <f>IF(ISERROR(VLOOKUP($A374,'SegEnds_NonXtal_BW#'!$A:$Z,21,FALSE)+VLOOKUP($A374,A:AL,31,FALSE)-50),"-",(VLOOKUP($A374,'SegEnds_NonXtal_BW#'!$A:$Z,21,FALSE)+VLOOKUP($A374,A:AL,31,FALSE)-50))</f>
        <v>431</v>
      </c>
      <c r="AE374" s="3">
        <v>453</v>
      </c>
      <c r="AF374" s="3">
        <f>IF(ISERROR((VLOOKUP($A374,'SegEnds_NonXtal_BW#'!$A:$Z,22,FALSE)+VLOOKUP($A374,A:AL,31,FALSE)-50)),"-",(VLOOKUP($A374,'SegEnds_NonXtal_BW#'!$A:$Z,22,FALSE)+VLOOKUP($A374,A:AL,31,FALSE)-50))</f>
        <v>461</v>
      </c>
      <c r="AG374" s="3">
        <f>IF(ISERROR(VLOOKUP($A374,'SegEnds_NonXtal_BW#'!$A:$Z,23,FALSE)+VLOOKUP($A374,A:AL,34,FALSE)-50),"-",(VLOOKUP($A374,'SegEnds_NonXtal_BW#'!$A:$Z,23,FALSE)+VLOOKUP($A374,A:AL,34,FALSE)-50))</f>
        <v>473</v>
      </c>
      <c r="AH374" s="3">
        <v>489</v>
      </c>
      <c r="AI374" s="3">
        <f>IF(ISERROR((VLOOKUP($A374,'SegEnds_NonXtal_BW#'!$A:$Z,24,FALSE)+VLOOKUP($A374,A:AL,34,FALSE)-50)),"-",(VLOOKUP($A374,'SegEnds_NonXtal_BW#'!$A:$Z,24,FALSE)+VLOOKUP($A374,A:AL,34,FALSE)-50))</f>
        <v>496</v>
      </c>
      <c r="AJ374" s="3">
        <f>IF(ISERROR(VLOOKUP($A374,'SegEnds_NonXtal_BW#'!$A:$Z,25,FALSE)+VLOOKUP($A374,A:AL,37,FALSE)-50),"-",(VLOOKUP($A374,'SegEnds_NonXtal_BW#'!$A:$Z,25,FALSE)+VLOOKUP($A374,A:AL,37,FALSE)-50))</f>
        <v>497</v>
      </c>
      <c r="AK374" s="3">
        <v>500</v>
      </c>
      <c r="AL374" s="3">
        <f>IF(ISERROR((VLOOKUP($A374,'SegEnds_NonXtal_BW#'!$A:$Z,26,FALSE)+VLOOKUP($A374,A:AL,37,FALSE)-50)),"-",(VLOOKUP($A374,'SegEnds_NonXtal_BW#'!$A:$Z,26,FALSE)+VLOOKUP($A374,A:AL,37,FALSE)-50))</f>
        <v>512</v>
      </c>
      <c r="AM374" s="28" t="str">
        <f>VLOOKUP(A374,Classification!A:B,2,FALSE)</f>
        <v>F</v>
      </c>
      <c r="AN374" s="28" t="b">
        <f t="shared" si="195"/>
        <v>1</v>
      </c>
      <c r="AO374" s="3" t="str">
        <f>IF(ISERROR(MATCH(A374,'SegEnds_Xtal_Prot#'!B:B, 0)), "NoXtal", "Xtal")</f>
        <v>Xtal</v>
      </c>
      <c r="AP374" s="3">
        <f t="shared" si="180"/>
        <v>1</v>
      </c>
      <c r="AQ374" s="3">
        <f t="shared" si="181"/>
        <v>1</v>
      </c>
      <c r="AR374" s="3" t="str">
        <f t="shared" si="182"/>
        <v>-</v>
      </c>
      <c r="AS374" s="3" t="str">
        <f t="shared" si="183"/>
        <v>-</v>
      </c>
      <c r="AT374" s="3" t="str">
        <f t="shared" si="184"/>
        <v>-</v>
      </c>
      <c r="AU374" s="3" t="str">
        <f t="shared" si="185"/>
        <v>-</v>
      </c>
      <c r="AV374" s="3">
        <f t="shared" si="186"/>
        <v>11</v>
      </c>
      <c r="AW374" s="3">
        <f t="shared" si="187"/>
        <v>4</v>
      </c>
      <c r="AX374" s="3">
        <f t="shared" si="188"/>
        <v>11</v>
      </c>
      <c r="AY374" s="3">
        <f t="shared" si="189"/>
        <v>12</v>
      </c>
      <c r="AZ374" s="3">
        <f t="shared" si="190"/>
        <v>1</v>
      </c>
      <c r="BA374" s="3">
        <f>IF(ISERROR(LEN(VLOOKUP(A374,Seqs!A:E,2,FALSE))-AL374),"-",LEN(VLOOKUP(A374,Seqs!A:E,2,FALSE))-AL374)</f>
        <v>25</v>
      </c>
      <c r="BB374" s="16">
        <f t="shared" si="191"/>
        <v>26</v>
      </c>
      <c r="BC374" s="9" t="str">
        <f t="shared" si="192"/>
        <v>-</v>
      </c>
      <c r="BD374" s="3">
        <f t="shared" si="193"/>
        <v>26</v>
      </c>
      <c r="BE374" s="3">
        <f t="shared" si="194"/>
        <v>55</v>
      </c>
      <c r="BF374" s="3">
        <f>AH374-AE374</f>
        <v>36</v>
      </c>
    </row>
    <row r="375" spans="1:58" s="3" customFormat="1" x14ac:dyDescent="0.2">
      <c r="A375" s="3" t="s">
        <v>451</v>
      </c>
      <c r="B375" s="3" t="str">
        <f>LOWER(VLOOKUP(A375,Xtal_Templ!A:B,2,FALSE))</f>
        <v>fzd4_human</v>
      </c>
      <c r="C375" s="3">
        <f>VLOOKUP($A375,'SegEnds_NonXtal_BW#'!$A:$Z,3,FALSE)+D375-50</f>
        <v>228</v>
      </c>
      <c r="D375" s="3">
        <v>250</v>
      </c>
      <c r="E375" s="3">
        <f>IF(ISERROR(VLOOKUP($A375,'SegEnds_NonXtal_BW#'!$A:$Z,4,FALSE)+VLOOKUP($A375,A:AL,4,FALSE)-50),"-",(VLOOKUP($A375,'SegEnds_NonXtal_BW#'!$A:$Z,4,FALSE)+VLOOKUP($A375,A:AL,4,FALSE)-50))</f>
        <v>260</v>
      </c>
      <c r="F375" s="3">
        <f t="shared" si="197"/>
        <v>261</v>
      </c>
      <c r="G375" s="3">
        <v>264</v>
      </c>
      <c r="H375" s="3">
        <f t="shared" si="202"/>
        <v>265</v>
      </c>
      <c r="I375" s="3">
        <f t="shared" si="199"/>
        <v>266</v>
      </c>
      <c r="J375" s="3">
        <v>276</v>
      </c>
      <c r="K375" s="3">
        <f>VLOOKUP($A375,'SegEnds_NonXtal_BW#'!$A:$Z,8,FALSE)+VLOOKUP($A375,A:AL,10,FALSE)-50</f>
        <v>292</v>
      </c>
      <c r="L375" s="3" t="str">
        <f>IF(ISERROR(VLOOKUP($A375,'SegEnds_NonXtal_BW#'!$A:$Z,9,FALSE)+VLOOKUP($A375,A:AL,13,FALSE)-50),"-",(VLOOKUP($A375,'SegEnds_NonXtal_BW#'!$A:$Z,9,FALSE)+VLOOKUP($A375,A:AL,13,FALSE)-50))</f>
        <v>-</v>
      </c>
      <c r="M375" s="3" t="s">
        <v>23</v>
      </c>
      <c r="N375" s="3" t="str">
        <f>IF(ISERROR(VLOOKUP($A375,'SegEnds_NonXtal_BW#'!$A:$Z,10,FALSE)+VLOOKUP($A375,A:AL,13,FALSE)-50),"-",(VLOOKUP($A375,'SegEnds_NonXtal_BW#'!$A:$Z,10,FALSE)+VLOOKUP($A375,A:AL,13,FALSE)-50))</f>
        <v>-</v>
      </c>
      <c r="O375" s="3">
        <f>VLOOKUP($A375,'SegEnds_NonXtal_BW#'!$A:$Z,11,FALSE)+VLOOKUP($A375,A:AL,16,FALSE)-50</f>
        <v>312</v>
      </c>
      <c r="P375" s="3">
        <v>340</v>
      </c>
      <c r="Q375" s="3">
        <f>VLOOKUP($A375,'SegEnds_NonXtal_BW#'!$A:$Z,12,FALSE)+VLOOKUP($A375,A:AL,16,FALSE)-50</f>
        <v>345</v>
      </c>
      <c r="R375" s="3" t="str">
        <f>IF(ISERROR(VLOOKUP($A375,'SegEnds_NonXtal_BW#'!$A:$Z,13,FALSE)+VLOOKUP($A375,A:AL,19,FALSE)-50),"-",VLOOKUP($A375,'SegEnds_NonXtal_BW#'!$A:$Z,13,FALSE)+VLOOKUP($A375,A:AL,19,FALSE)-50)</f>
        <v>-</v>
      </c>
      <c r="S375" s="3" t="s">
        <v>23</v>
      </c>
      <c r="T375" s="100" t="str">
        <f>IF(ISERROR(VLOOKUP($A375,'SegEnds_NonXtal_BW#'!$A:$Z,14,FALSE)+VLOOKUP($A375,A:AL,19,FALSE)-50),"-",(VLOOKUP($A375,'SegEnds_NonXtal_BW#'!$A:$Z,14,FALSE)+VLOOKUP($A375,A:AL,19,FALSE)-50))</f>
        <v>-</v>
      </c>
      <c r="U375" s="9">
        <f>IF(ISERROR(VLOOKUP($A375,'SegEnds_NonXtal_BW#'!$A:$Z,15,FALSE)+VLOOKUP($A375,A:AL,22,FALSE)-50),"-",VLOOKUP($A375,'SegEnds_NonXtal_BW#'!$A:$Z,15,FALSE)+VLOOKUP($A375,A:AL,22,FALSE)-50)</f>
        <v>356</v>
      </c>
      <c r="V375" s="3">
        <v>365</v>
      </c>
      <c r="W375" s="3">
        <f>IF(ISERROR(VLOOKUP($A375,'SegEnds_NonXtal_BW#'!$A:$Z,16,FALSE)+VLOOKUP($A375,A:AL,22,FALSE)-50),"-",(VLOOKUP($A375,'SegEnds_NonXtal_BW#'!$A:$Z,16,FALSE)+VLOOKUP($A375,A:AL,22,FALSE)-50))</f>
        <v>379</v>
      </c>
      <c r="X375" s="3">
        <f>IF(ISERROR(VLOOKUP($A375,'SegEnds_NonXtal_BW#'!$A:$Z,17,FALSE)+VLOOKUP($A375,A:AL,25,FALSE)-50),"-",(VLOOKUP($A375,'SegEnds_NonXtal_BW#'!$A:$Z,17,FALSE)+VLOOKUP($A375,A:AL,25,FALSE)-50))</f>
        <v>390</v>
      </c>
      <c r="Y375" s="3">
        <v>390</v>
      </c>
      <c r="Z375" s="3">
        <f t="shared" si="201"/>
        <v>392</v>
      </c>
      <c r="AA375" s="3">
        <f>IF(ISERROR(VLOOKUP($A375,'SegEnds_NonXtal_BW#'!$A:$Z,19,FALSE)+VLOOKUP($A375,A:AL,28,FALSE)-50),"-",(VLOOKUP($A375,'SegEnds_NonXtal_BW#'!$A:$Z,19,FALSE)+VLOOKUP($A375,A:AL,28,FALSE)-50))</f>
        <v>396</v>
      </c>
      <c r="AB375" s="3">
        <v>411</v>
      </c>
      <c r="AC375" s="3">
        <f>IF(ISERROR((VLOOKUP($A375,'SegEnds_NonXtal_BW#'!$A:$Z,20,FALSE)+VLOOKUP($A375,A:AL,28,FALSE)-50)),"-",(VLOOKUP($A375,'SegEnds_NonXtal_BW#'!$A:$Z,20,FALSE)+VLOOKUP($A375,A:AL,28,FALSE)-50))</f>
        <v>433</v>
      </c>
      <c r="AD375" s="3">
        <f>IF(ISERROR(VLOOKUP($A375,'SegEnds_NonXtal_BW#'!$A:$Z,21,FALSE)+VLOOKUP($A375,A:AL,31,FALSE)-50),"-",(VLOOKUP($A375,'SegEnds_NonXtal_BW#'!$A:$Z,21,FALSE)+VLOOKUP($A375,A:AL,31,FALSE)-50))</f>
        <v>444</v>
      </c>
      <c r="AE375" s="3">
        <v>466</v>
      </c>
      <c r="AF375" s="3">
        <f>IF(ISERROR((VLOOKUP($A375,'SegEnds_NonXtal_BW#'!$A:$Z,22,FALSE)+VLOOKUP($A375,A:AL,31,FALSE)-50)),"-",(VLOOKUP($A375,'SegEnds_NonXtal_BW#'!$A:$Z,22,FALSE)+VLOOKUP($A375,A:AL,31,FALSE)-50))</f>
        <v>494</v>
      </c>
      <c r="AG375" s="3">
        <f>IF(ISERROR(VLOOKUP($A375,'SegEnds_NonXtal_BW#'!$A:$Z,23,FALSE)+VLOOKUP($A375,A:AL,34,FALSE)-50),"-",(VLOOKUP($A375,'SegEnds_NonXtal_BW#'!$A:$Z,23,FALSE)+VLOOKUP($A375,A:AL,34,FALSE)-50))</f>
        <v>499</v>
      </c>
      <c r="AH375" s="3">
        <v>515</v>
      </c>
      <c r="AI375" s="3">
        <f>IF(ISERROR((VLOOKUP($A375,'SegEnds_NonXtal_BW#'!$A:$Z,24,FALSE)+VLOOKUP($A375,A:AL,34,FALSE)-50)),"-",(VLOOKUP($A375,'SegEnds_NonXtal_BW#'!$A:$Z,24,FALSE)+VLOOKUP($A375,A:AL,34,FALSE)-50))</f>
        <v>522</v>
      </c>
      <c r="AJ375" s="3">
        <f>IF(ISERROR(VLOOKUP($A375,'SegEnds_NonXtal_BW#'!$A:$Z,25,FALSE)+VLOOKUP($A375,A:AL,37,FALSE)-50),"-",(VLOOKUP($A375,'SegEnds_NonXtal_BW#'!$A:$Z,25,FALSE)+VLOOKUP($A375,A:AL,37,FALSE)-50))</f>
        <v>523</v>
      </c>
      <c r="AK375" s="3">
        <v>526</v>
      </c>
      <c r="AL375" s="3">
        <f>IF(ISERROR((VLOOKUP($A375,'SegEnds_NonXtal_BW#'!$A:$Z,26,FALSE)+VLOOKUP($A375,A:AL,37,FALSE)-50)),"-",(VLOOKUP($A375,'SegEnds_NonXtal_BW#'!$A:$Z,26,FALSE)+VLOOKUP($A375,A:AL,37,FALSE)-50))</f>
        <v>538</v>
      </c>
      <c r="AM375" s="28" t="str">
        <f>VLOOKUP(A375,Classification!A:B,2,FALSE)</f>
        <v>F</v>
      </c>
      <c r="AN375" s="28" t="b">
        <f t="shared" si="195"/>
        <v>1</v>
      </c>
      <c r="AO375" s="3" t="str">
        <f>IF(ISERROR(MATCH(A375,'SegEnds_Xtal_Prot#'!B:B, 0)), "NoXtal", "Xtal")</f>
        <v>NoXtal</v>
      </c>
      <c r="AP375" s="3">
        <f t="shared" si="180"/>
        <v>1</v>
      </c>
      <c r="AQ375" s="3">
        <f t="shared" si="181"/>
        <v>1</v>
      </c>
      <c r="AR375" s="3" t="str">
        <f t="shared" si="182"/>
        <v>-</v>
      </c>
      <c r="AS375" s="3" t="str">
        <f t="shared" si="183"/>
        <v>-</v>
      </c>
      <c r="AT375" s="3" t="str">
        <f t="shared" si="184"/>
        <v>-</v>
      </c>
      <c r="AU375" s="3" t="str">
        <f t="shared" si="185"/>
        <v>-</v>
      </c>
      <c r="AV375" s="3">
        <f t="shared" si="186"/>
        <v>11</v>
      </c>
      <c r="AW375" s="3">
        <f t="shared" si="187"/>
        <v>4</v>
      </c>
      <c r="AX375" s="3">
        <f t="shared" si="188"/>
        <v>11</v>
      </c>
      <c r="AY375" s="3">
        <f t="shared" si="189"/>
        <v>5</v>
      </c>
      <c r="AZ375" s="3">
        <f t="shared" si="190"/>
        <v>1</v>
      </c>
      <c r="BA375" s="3">
        <f>IF(ISERROR(LEN(VLOOKUP(A375,Seqs!A:E,2,FALSE))-AL375),"-",LEN(VLOOKUP(A375,Seqs!A:E,2,FALSE))-AL375)</f>
        <v>47</v>
      </c>
      <c r="BB375" s="16">
        <f t="shared" si="191"/>
        <v>26</v>
      </c>
      <c r="BC375" s="9" t="str">
        <f t="shared" si="192"/>
        <v>-</v>
      </c>
      <c r="BD375" s="3">
        <f t="shared" si="193"/>
        <v>26</v>
      </c>
      <c r="BE375" s="3">
        <f t="shared" si="194"/>
        <v>55</v>
      </c>
    </row>
    <row r="376" spans="1:58" s="3" customFormat="1" x14ac:dyDescent="0.2">
      <c r="A376" s="3" t="s">
        <v>452</v>
      </c>
      <c r="B376" s="3" t="str">
        <f>LOWER(VLOOKUP(A376,Xtal_Templ!A:B,2,FALSE))</f>
        <v>fzd4_human</v>
      </c>
      <c r="C376" s="3">
        <f>VLOOKUP($A376,'SegEnds_NonXtal_BW#'!$A:$Z,3,FALSE)+D376-50</f>
        <v>191</v>
      </c>
      <c r="D376" s="3">
        <v>213</v>
      </c>
      <c r="E376" s="3">
        <f>IF(ISERROR(VLOOKUP($A376,'SegEnds_NonXtal_BW#'!$A:$Z,4,FALSE)+VLOOKUP($A376,A:AL,4,FALSE)-50),"-",(VLOOKUP($A376,'SegEnds_NonXtal_BW#'!$A:$Z,4,FALSE)+VLOOKUP($A376,A:AL,4,FALSE)-50))</f>
        <v>223</v>
      </c>
      <c r="F376" s="3">
        <f t="shared" si="197"/>
        <v>224</v>
      </c>
      <c r="G376" s="3">
        <v>227</v>
      </c>
      <c r="H376" s="3">
        <f t="shared" si="202"/>
        <v>228</v>
      </c>
      <c r="I376" s="3">
        <f t="shared" si="199"/>
        <v>229</v>
      </c>
      <c r="J376" s="3">
        <v>239</v>
      </c>
      <c r="K376" s="3">
        <f>VLOOKUP($A376,'SegEnds_NonXtal_BW#'!$A:$Z,8,FALSE)+VLOOKUP($A376,A:AL,10,FALSE)-50</f>
        <v>255</v>
      </c>
      <c r="L376" s="3" t="str">
        <f>IF(ISERROR(VLOOKUP($A376,'SegEnds_NonXtal_BW#'!$A:$Z,9,FALSE)+VLOOKUP($A376,A:AL,13,FALSE)-50),"-",(VLOOKUP($A376,'SegEnds_NonXtal_BW#'!$A:$Z,9,FALSE)+VLOOKUP($A376,A:AL,13,FALSE)-50))</f>
        <v>-</v>
      </c>
      <c r="M376" s="3" t="s">
        <v>23</v>
      </c>
      <c r="N376" s="3" t="str">
        <f>IF(ISERROR(VLOOKUP($A376,'SegEnds_NonXtal_BW#'!$A:$Z,10,FALSE)+VLOOKUP($A376,A:AL,13,FALSE)-50),"-",(VLOOKUP($A376,'SegEnds_NonXtal_BW#'!$A:$Z,10,FALSE)+VLOOKUP($A376,A:AL,13,FALSE)-50))</f>
        <v>-</v>
      </c>
      <c r="O376" s="3">
        <f>VLOOKUP($A376,'SegEnds_NonXtal_BW#'!$A:$Z,11,FALSE)+VLOOKUP($A376,A:AL,16,FALSE)-50</f>
        <v>279</v>
      </c>
      <c r="P376" s="3">
        <v>307</v>
      </c>
      <c r="Q376" s="3">
        <f>VLOOKUP($A376,'SegEnds_NonXtal_BW#'!$A:$Z,12,FALSE)+VLOOKUP($A376,A:AL,16,FALSE)-50</f>
        <v>312</v>
      </c>
      <c r="R376" s="3" t="str">
        <f>IF(ISERROR(VLOOKUP($A376,'SegEnds_NonXtal_BW#'!$A:$Z,13,FALSE)+VLOOKUP($A376,A:AL,19,FALSE)-50),"-",VLOOKUP($A376,'SegEnds_NonXtal_BW#'!$A:$Z,13,FALSE)+VLOOKUP($A376,A:AL,19,FALSE)-50)</f>
        <v>-</v>
      </c>
      <c r="S376" s="3" t="s">
        <v>23</v>
      </c>
      <c r="T376" s="100" t="str">
        <f>IF(ISERROR(VLOOKUP($A376,'SegEnds_NonXtal_BW#'!$A:$Z,14,FALSE)+VLOOKUP($A376,A:AL,19,FALSE)-50),"-",(VLOOKUP($A376,'SegEnds_NonXtal_BW#'!$A:$Z,14,FALSE)+VLOOKUP($A376,A:AL,19,FALSE)-50))</f>
        <v>-</v>
      </c>
      <c r="U376" s="9">
        <f>IF(ISERROR(VLOOKUP($A376,'SegEnds_NonXtal_BW#'!$A:$Z,15,FALSE)+VLOOKUP($A376,A:AL,22,FALSE)-50),"-",VLOOKUP($A376,'SegEnds_NonXtal_BW#'!$A:$Z,15,FALSE)+VLOOKUP($A376,A:AL,22,FALSE)-50)</f>
        <v>323</v>
      </c>
      <c r="V376" s="3">
        <v>332</v>
      </c>
      <c r="W376" s="3">
        <f>IF(ISERROR(VLOOKUP($A376,'SegEnds_NonXtal_BW#'!$A:$Z,16,FALSE)+VLOOKUP($A376,A:AL,22,FALSE)-50),"-",(VLOOKUP($A376,'SegEnds_NonXtal_BW#'!$A:$Z,16,FALSE)+VLOOKUP($A376,A:AL,22,FALSE)-50))</f>
        <v>346</v>
      </c>
      <c r="X376" s="3">
        <f>IF(ISERROR(VLOOKUP($A376,'SegEnds_NonXtal_BW#'!$A:$Z,17,FALSE)+VLOOKUP($A376,A:AL,25,FALSE)-50),"-",(VLOOKUP($A376,'SegEnds_NonXtal_BW#'!$A:$Z,17,FALSE)+VLOOKUP($A376,A:AL,25,FALSE)-50))</f>
        <v>357</v>
      </c>
      <c r="Y376" s="3">
        <v>357</v>
      </c>
      <c r="Z376" s="3">
        <f t="shared" si="201"/>
        <v>359</v>
      </c>
      <c r="AA376" s="3">
        <f>IF(ISERROR(VLOOKUP($A376,'SegEnds_NonXtal_BW#'!$A:$Z,19,FALSE)+VLOOKUP($A376,A:AL,28,FALSE)-50),"-",(VLOOKUP($A376,'SegEnds_NonXtal_BW#'!$A:$Z,19,FALSE)+VLOOKUP($A376,A:AL,28,FALSE)-50))</f>
        <v>363</v>
      </c>
      <c r="AB376" s="3">
        <v>378</v>
      </c>
      <c r="AC376" s="3">
        <f>IF(ISERROR((VLOOKUP($A376,'SegEnds_NonXtal_BW#'!$A:$Z,20,FALSE)+VLOOKUP($A376,A:AL,28,FALSE)-50)),"-",(VLOOKUP($A376,'SegEnds_NonXtal_BW#'!$A:$Z,20,FALSE)+VLOOKUP($A376,A:AL,28,FALSE)-50))</f>
        <v>400</v>
      </c>
      <c r="AD376" s="3">
        <f>IF(ISERROR(VLOOKUP($A376,'SegEnds_NonXtal_BW#'!$A:$Z,21,FALSE)+VLOOKUP($A376,A:AL,31,FALSE)-50),"-",(VLOOKUP($A376,'SegEnds_NonXtal_BW#'!$A:$Z,21,FALSE)+VLOOKUP($A376,A:AL,31,FALSE)-50))</f>
        <v>411</v>
      </c>
      <c r="AE376" s="3">
        <v>433</v>
      </c>
      <c r="AF376" s="3">
        <f>IF(ISERROR((VLOOKUP($A376,'SegEnds_NonXtal_BW#'!$A:$Z,22,FALSE)+VLOOKUP($A376,A:AL,31,FALSE)-50)),"-",(VLOOKUP($A376,'SegEnds_NonXtal_BW#'!$A:$Z,22,FALSE)+VLOOKUP($A376,A:AL,31,FALSE)-50))</f>
        <v>461</v>
      </c>
      <c r="AG376" s="3">
        <f>IF(ISERROR(VLOOKUP($A376,'SegEnds_NonXtal_BW#'!$A:$Z,23,FALSE)+VLOOKUP($A376,A:AL,34,FALSE)-50),"-",(VLOOKUP($A376,'SegEnds_NonXtal_BW#'!$A:$Z,23,FALSE)+VLOOKUP($A376,A:AL,34,FALSE)-50))</f>
        <v>472</v>
      </c>
      <c r="AH376" s="3">
        <v>488</v>
      </c>
      <c r="AI376" s="3">
        <f>IF(ISERROR((VLOOKUP($A376,'SegEnds_NonXtal_BW#'!$A:$Z,24,FALSE)+VLOOKUP($A376,A:AL,34,FALSE)-50)),"-",(VLOOKUP($A376,'SegEnds_NonXtal_BW#'!$A:$Z,24,FALSE)+VLOOKUP($A376,A:AL,34,FALSE)-50))</f>
        <v>495</v>
      </c>
      <c r="AJ376" s="3">
        <f>IF(ISERROR(VLOOKUP($A376,'SegEnds_NonXtal_BW#'!$A:$Z,25,FALSE)+VLOOKUP($A376,A:AL,37,FALSE)-50),"-",(VLOOKUP($A376,'SegEnds_NonXtal_BW#'!$A:$Z,25,FALSE)+VLOOKUP($A376,A:AL,37,FALSE)-50))</f>
        <v>496</v>
      </c>
      <c r="AK376" s="3">
        <v>499</v>
      </c>
      <c r="AL376" s="3">
        <f>IF(ISERROR((VLOOKUP($A376,'SegEnds_NonXtal_BW#'!$A:$Z,26,FALSE)+VLOOKUP($A376,A:AL,37,FALSE)-50)),"-",(VLOOKUP($A376,'SegEnds_NonXtal_BW#'!$A:$Z,26,FALSE)+VLOOKUP($A376,A:AL,37,FALSE)-50))</f>
        <v>511</v>
      </c>
      <c r="AM376" s="28" t="str">
        <f>VLOOKUP(A376,Classification!A:B,2,FALSE)</f>
        <v>F</v>
      </c>
      <c r="AN376" s="28" t="b">
        <f t="shared" si="195"/>
        <v>1</v>
      </c>
      <c r="AO376" s="3" t="str">
        <f>IF(ISERROR(MATCH(A376,'SegEnds_Xtal_Prot#'!B:B, 0)), "NoXtal", "Xtal")</f>
        <v>NoXtal</v>
      </c>
      <c r="AP376" s="3">
        <f t="shared" si="180"/>
        <v>1</v>
      </c>
      <c r="AQ376" s="3">
        <f t="shared" si="181"/>
        <v>1</v>
      </c>
      <c r="AR376" s="3" t="str">
        <f t="shared" si="182"/>
        <v>-</v>
      </c>
      <c r="AS376" s="3" t="str">
        <f t="shared" si="183"/>
        <v>-</v>
      </c>
      <c r="AT376" s="3" t="str">
        <f t="shared" si="184"/>
        <v>-</v>
      </c>
      <c r="AU376" s="3" t="str">
        <f t="shared" si="185"/>
        <v>-</v>
      </c>
      <c r="AV376" s="3">
        <f t="shared" si="186"/>
        <v>11</v>
      </c>
      <c r="AW376" s="3">
        <f t="shared" si="187"/>
        <v>4</v>
      </c>
      <c r="AX376" s="3">
        <f t="shared" si="188"/>
        <v>11</v>
      </c>
      <c r="AY376" s="3">
        <f t="shared" si="189"/>
        <v>11</v>
      </c>
      <c r="AZ376" s="3">
        <f t="shared" si="190"/>
        <v>1</v>
      </c>
      <c r="BA376" s="3">
        <f>IF(ISERROR(LEN(VLOOKUP(A376,Seqs!A:E,2,FALSE))-AL376),"-",LEN(VLOOKUP(A376,Seqs!A:E,2,FALSE))-AL376)</f>
        <v>195</v>
      </c>
      <c r="BB376" s="16">
        <f t="shared" si="191"/>
        <v>26</v>
      </c>
      <c r="BC376" s="9" t="str">
        <f t="shared" si="192"/>
        <v>-</v>
      </c>
      <c r="BD376" s="3">
        <f t="shared" si="193"/>
        <v>26</v>
      </c>
      <c r="BE376" s="3">
        <f t="shared" si="194"/>
        <v>55</v>
      </c>
    </row>
    <row r="377" spans="1:58" s="3" customFormat="1" x14ac:dyDescent="0.2">
      <c r="A377" s="3" t="s">
        <v>453</v>
      </c>
      <c r="B377" s="3" t="str">
        <f>LOWER(VLOOKUP(A377,Xtal_Templ!A:B,2,FALSE))</f>
        <v>fzd4_human</v>
      </c>
      <c r="C377" s="3">
        <f>VLOOKUP($A377,'SegEnds_NonXtal_BW#'!$A:$Z,3,FALSE)+D377-50</f>
        <v>246</v>
      </c>
      <c r="D377" s="3">
        <v>268</v>
      </c>
      <c r="E377" s="3">
        <f>IF(ISERROR(VLOOKUP($A377,'SegEnds_NonXtal_BW#'!$A:$Z,4,FALSE)+VLOOKUP($A377,A:AL,4,FALSE)-50),"-",(VLOOKUP($A377,'SegEnds_NonXtal_BW#'!$A:$Z,4,FALSE)+VLOOKUP($A377,A:AL,4,FALSE)-50))</f>
        <v>278</v>
      </c>
      <c r="F377" s="3">
        <f t="shared" si="197"/>
        <v>279</v>
      </c>
      <c r="G377" s="3">
        <v>282</v>
      </c>
      <c r="H377" s="3">
        <f t="shared" si="202"/>
        <v>283</v>
      </c>
      <c r="I377" s="3">
        <f t="shared" si="199"/>
        <v>284</v>
      </c>
      <c r="J377" s="3">
        <v>294</v>
      </c>
      <c r="K377" s="3">
        <f>VLOOKUP($A377,'SegEnds_NonXtal_BW#'!$A:$Z,8,FALSE)+VLOOKUP($A377,A:AL,10,FALSE)-50</f>
        <v>310</v>
      </c>
      <c r="L377" s="3" t="str">
        <f>IF(ISERROR(VLOOKUP($A377,'SegEnds_NonXtal_BW#'!$A:$Z,9,FALSE)+VLOOKUP($A377,A:AL,13,FALSE)-50),"-",(VLOOKUP($A377,'SegEnds_NonXtal_BW#'!$A:$Z,9,FALSE)+VLOOKUP($A377,A:AL,13,FALSE)-50))</f>
        <v>-</v>
      </c>
      <c r="M377" s="3" t="s">
        <v>23</v>
      </c>
      <c r="N377" s="3" t="str">
        <f>IF(ISERROR(VLOOKUP($A377,'SegEnds_NonXtal_BW#'!$A:$Z,10,FALSE)+VLOOKUP($A377,A:AL,13,FALSE)-50),"-",(VLOOKUP($A377,'SegEnds_NonXtal_BW#'!$A:$Z,10,FALSE)+VLOOKUP($A377,A:AL,13,FALSE)-50))</f>
        <v>-</v>
      </c>
      <c r="O377" s="3">
        <f>VLOOKUP($A377,'SegEnds_NonXtal_BW#'!$A:$Z,11,FALSE)+VLOOKUP($A377,A:AL,16,FALSE)-50</f>
        <v>333</v>
      </c>
      <c r="P377" s="3">
        <v>361</v>
      </c>
      <c r="Q377" s="3">
        <f>VLOOKUP($A377,'SegEnds_NonXtal_BW#'!$A:$Z,12,FALSE)+VLOOKUP($A377,A:AL,16,FALSE)-50</f>
        <v>366</v>
      </c>
      <c r="R377" s="3" t="str">
        <f>IF(ISERROR(VLOOKUP($A377,'SegEnds_NonXtal_BW#'!$A:$Z,13,FALSE)+VLOOKUP($A377,A:AL,19,FALSE)-50),"-",VLOOKUP($A377,'SegEnds_NonXtal_BW#'!$A:$Z,13,FALSE)+VLOOKUP($A377,A:AL,19,FALSE)-50)</f>
        <v>-</v>
      </c>
      <c r="S377" s="3" t="s">
        <v>23</v>
      </c>
      <c r="T377" s="100" t="str">
        <f>IF(ISERROR(VLOOKUP($A377,'SegEnds_NonXtal_BW#'!$A:$Z,14,FALSE)+VLOOKUP($A377,A:AL,19,FALSE)-50),"-",(VLOOKUP($A377,'SegEnds_NonXtal_BW#'!$A:$Z,14,FALSE)+VLOOKUP($A377,A:AL,19,FALSE)-50))</f>
        <v>-</v>
      </c>
      <c r="U377" s="9">
        <f>IF(ISERROR(VLOOKUP($A377,'SegEnds_NonXtal_BW#'!$A:$Z,15,FALSE)+VLOOKUP($A377,A:AL,22,FALSE)-50),"-",VLOOKUP($A377,'SegEnds_NonXtal_BW#'!$A:$Z,15,FALSE)+VLOOKUP($A377,A:AL,22,FALSE)-50)</f>
        <v>377</v>
      </c>
      <c r="V377" s="3">
        <v>386</v>
      </c>
      <c r="W377" s="3">
        <f>IF(ISERROR(VLOOKUP($A377,'SegEnds_NonXtal_BW#'!$A:$Z,16,FALSE)+VLOOKUP($A377,A:AL,22,FALSE)-50),"-",(VLOOKUP($A377,'SegEnds_NonXtal_BW#'!$A:$Z,16,FALSE)+VLOOKUP($A377,A:AL,22,FALSE)-50))</f>
        <v>400</v>
      </c>
      <c r="X377" s="3">
        <f>IF(ISERROR(VLOOKUP($A377,'SegEnds_NonXtal_BW#'!$A:$Z,17,FALSE)+VLOOKUP($A377,A:AL,25,FALSE)-50),"-",(VLOOKUP($A377,'SegEnds_NonXtal_BW#'!$A:$Z,17,FALSE)+VLOOKUP($A377,A:AL,25,FALSE)-50))</f>
        <v>411</v>
      </c>
      <c r="Y377" s="3">
        <v>411</v>
      </c>
      <c r="Z377" s="3">
        <f t="shared" si="201"/>
        <v>413</v>
      </c>
      <c r="AA377" s="3">
        <f>IF(ISERROR(VLOOKUP($A377,'SegEnds_NonXtal_BW#'!$A:$Z,19,FALSE)+VLOOKUP($A377,A:AL,28,FALSE)-50),"-",(VLOOKUP($A377,'SegEnds_NonXtal_BW#'!$A:$Z,19,FALSE)+VLOOKUP($A377,A:AL,28,FALSE)-50))</f>
        <v>417</v>
      </c>
      <c r="AB377" s="3">
        <v>432</v>
      </c>
      <c r="AC377" s="3">
        <f>IF(ISERROR((VLOOKUP($A377,'SegEnds_NonXtal_BW#'!$A:$Z,20,FALSE)+VLOOKUP($A377,A:AL,28,FALSE)-50)),"-",(VLOOKUP($A377,'SegEnds_NonXtal_BW#'!$A:$Z,20,FALSE)+VLOOKUP($A377,A:AL,28,FALSE)-50))</f>
        <v>454</v>
      </c>
      <c r="AD377" s="3">
        <f>IF(ISERROR(VLOOKUP($A377,'SegEnds_NonXtal_BW#'!$A:$Z,21,FALSE)+VLOOKUP($A377,A:AL,31,FALSE)-50),"-",(VLOOKUP($A377,'SegEnds_NonXtal_BW#'!$A:$Z,21,FALSE)+VLOOKUP($A377,A:AL,31,FALSE)-50))</f>
        <v>465</v>
      </c>
      <c r="AE377" s="3">
        <v>487</v>
      </c>
      <c r="AF377" s="3">
        <f>IF(ISERROR((VLOOKUP($A377,'SegEnds_NonXtal_BW#'!$A:$Z,22,FALSE)+VLOOKUP($A377,A:AL,31,FALSE)-50)),"-",(VLOOKUP($A377,'SegEnds_NonXtal_BW#'!$A:$Z,22,FALSE)+VLOOKUP($A377,A:AL,31,FALSE)-50))</f>
        <v>515</v>
      </c>
      <c r="AG377" s="3">
        <f>IF(ISERROR(VLOOKUP($A377,'SegEnds_NonXtal_BW#'!$A:$Z,23,FALSE)+VLOOKUP($A377,A:AL,34,FALSE)-50),"-",(VLOOKUP($A377,'SegEnds_NonXtal_BW#'!$A:$Z,23,FALSE)+VLOOKUP($A377,A:AL,34,FALSE)-50))</f>
        <v>526</v>
      </c>
      <c r="AH377" s="3">
        <v>542</v>
      </c>
      <c r="AI377" s="3">
        <f>IF(ISERROR((VLOOKUP($A377,'SegEnds_NonXtal_BW#'!$A:$Z,24,FALSE)+VLOOKUP($A377,A:AL,34,FALSE)-50)),"-",(VLOOKUP($A377,'SegEnds_NonXtal_BW#'!$A:$Z,24,FALSE)+VLOOKUP($A377,A:AL,34,FALSE)-50))</f>
        <v>549</v>
      </c>
      <c r="AJ377" s="3">
        <f>IF(ISERROR(VLOOKUP($A377,'SegEnds_NonXtal_BW#'!$A:$Z,25,FALSE)+VLOOKUP($A377,A:AL,37,FALSE)-50),"-",(VLOOKUP($A377,'SegEnds_NonXtal_BW#'!$A:$Z,25,FALSE)+VLOOKUP($A377,A:AL,37,FALSE)-50))</f>
        <v>550</v>
      </c>
      <c r="AK377" s="3">
        <v>553</v>
      </c>
      <c r="AL377" s="3">
        <f>IF(ISERROR((VLOOKUP($A377,'SegEnds_NonXtal_BW#'!$A:$Z,26,FALSE)+VLOOKUP($A377,A:AL,37,FALSE)-50)),"-",(VLOOKUP($A377,'SegEnds_NonXtal_BW#'!$A:$Z,26,FALSE)+VLOOKUP($A377,A:AL,37,FALSE)-50))</f>
        <v>565</v>
      </c>
      <c r="AM377" s="28" t="str">
        <f>VLOOKUP(A377,Classification!A:B,2,FALSE)</f>
        <v>F</v>
      </c>
      <c r="AN377" s="28" t="b">
        <f t="shared" si="195"/>
        <v>1</v>
      </c>
      <c r="AO377" s="3" t="str">
        <f>IF(ISERROR(MATCH(A377,'SegEnds_Xtal_Prot#'!B:B, 0)), "NoXtal", "Xtal")</f>
        <v>NoXtal</v>
      </c>
      <c r="AP377" s="3">
        <f t="shared" si="180"/>
        <v>1</v>
      </c>
      <c r="AQ377" s="3">
        <f t="shared" si="181"/>
        <v>1</v>
      </c>
      <c r="AR377" s="3" t="str">
        <f t="shared" si="182"/>
        <v>-</v>
      </c>
      <c r="AS377" s="3" t="str">
        <f t="shared" si="183"/>
        <v>-</v>
      </c>
      <c r="AT377" s="3" t="str">
        <f t="shared" si="184"/>
        <v>-</v>
      </c>
      <c r="AU377" s="3" t="str">
        <f t="shared" si="185"/>
        <v>-</v>
      </c>
      <c r="AV377" s="3">
        <f t="shared" si="186"/>
        <v>11</v>
      </c>
      <c r="AW377" s="3">
        <f t="shared" si="187"/>
        <v>4</v>
      </c>
      <c r="AX377" s="3">
        <f t="shared" si="188"/>
        <v>11</v>
      </c>
      <c r="AY377" s="3">
        <f t="shared" si="189"/>
        <v>11</v>
      </c>
      <c r="AZ377" s="3">
        <f t="shared" si="190"/>
        <v>1</v>
      </c>
      <c r="BA377" s="3">
        <f>IF(ISERROR(LEN(VLOOKUP(A377,Seqs!A:E,2,FALSE))-AL377),"-",LEN(VLOOKUP(A377,Seqs!A:E,2,FALSE))-AL377)</f>
        <v>9</v>
      </c>
      <c r="BB377" s="16">
        <f t="shared" si="191"/>
        <v>26</v>
      </c>
      <c r="BC377" s="9" t="str">
        <f t="shared" si="192"/>
        <v>-</v>
      </c>
      <c r="BD377" s="3">
        <f t="shared" si="193"/>
        <v>26</v>
      </c>
      <c r="BE377" s="3">
        <f t="shared" si="194"/>
        <v>55</v>
      </c>
      <c r="BF377" s="3">
        <f>AH377-AE377</f>
        <v>55</v>
      </c>
    </row>
    <row r="378" spans="1:58" s="3" customFormat="1" x14ac:dyDescent="0.2">
      <c r="A378" s="3" t="s">
        <v>454</v>
      </c>
      <c r="B378" s="3" t="str">
        <f>LOWER(VLOOKUP(A378,Xtal_Templ!A:B,2,FALSE))</f>
        <v>fzd4_human</v>
      </c>
      <c r="C378" s="3">
        <f>VLOOKUP($A378,'SegEnds_NonXtal_BW#'!$A:$Z,3,FALSE)+D378-50</f>
        <v>270</v>
      </c>
      <c r="D378" s="3">
        <v>292</v>
      </c>
      <c r="E378" s="3">
        <f>IF(ISERROR(VLOOKUP($A378,'SegEnds_NonXtal_BW#'!$A:$Z,4,FALSE)+VLOOKUP($A378,A:AL,4,FALSE)-50),"-",(VLOOKUP($A378,'SegEnds_NonXtal_BW#'!$A:$Z,4,FALSE)+VLOOKUP($A378,A:AL,4,FALSE)-50))</f>
        <v>302</v>
      </c>
      <c r="F378" s="3">
        <f t="shared" si="197"/>
        <v>303</v>
      </c>
      <c r="G378" s="3">
        <v>306</v>
      </c>
      <c r="H378" s="3">
        <f t="shared" si="202"/>
        <v>307</v>
      </c>
      <c r="I378" s="3">
        <f t="shared" si="199"/>
        <v>308</v>
      </c>
      <c r="J378" s="3">
        <v>318</v>
      </c>
      <c r="K378" s="3">
        <f>VLOOKUP($A378,'SegEnds_NonXtal_BW#'!$A:$Z,8,FALSE)+VLOOKUP($A378,A:AL,10,FALSE)-50</f>
        <v>334</v>
      </c>
      <c r="L378" s="3" t="str">
        <f>IF(ISERROR(VLOOKUP($A378,'SegEnds_NonXtal_BW#'!$A:$Z,9,FALSE)+VLOOKUP($A378,A:AL,13,FALSE)-50),"-",(VLOOKUP($A378,'SegEnds_NonXtal_BW#'!$A:$Z,9,FALSE)+VLOOKUP($A378,A:AL,13,FALSE)-50))</f>
        <v>-</v>
      </c>
      <c r="M378" s="3" t="s">
        <v>23</v>
      </c>
      <c r="N378" s="3" t="str">
        <f>IF(ISERROR(VLOOKUP($A378,'SegEnds_NonXtal_BW#'!$A:$Z,10,FALSE)+VLOOKUP($A378,A:AL,13,FALSE)-50),"-",(VLOOKUP($A378,'SegEnds_NonXtal_BW#'!$A:$Z,10,FALSE)+VLOOKUP($A378,A:AL,13,FALSE)-50))</f>
        <v>-</v>
      </c>
      <c r="O378" s="3">
        <f>VLOOKUP($A378,'SegEnds_NonXtal_BW#'!$A:$Z,11,FALSE)+VLOOKUP($A378,A:AL,16,FALSE)-50</f>
        <v>393</v>
      </c>
      <c r="P378" s="3">
        <v>421</v>
      </c>
      <c r="Q378" s="3">
        <f>VLOOKUP($A378,'SegEnds_NonXtal_BW#'!$A:$Z,12,FALSE)+VLOOKUP($A378,A:AL,16,FALSE)-50</f>
        <v>426</v>
      </c>
      <c r="R378" s="3" t="str">
        <f>IF(ISERROR(VLOOKUP($A378,'SegEnds_NonXtal_BW#'!$A:$Z,13,FALSE)+VLOOKUP($A378,A:AL,19,FALSE)-50),"-",VLOOKUP($A378,'SegEnds_NonXtal_BW#'!$A:$Z,13,FALSE)+VLOOKUP($A378,A:AL,19,FALSE)-50)</f>
        <v>-</v>
      </c>
      <c r="S378" s="3" t="s">
        <v>23</v>
      </c>
      <c r="T378" s="100" t="str">
        <f>IF(ISERROR(VLOOKUP($A378,'SegEnds_NonXtal_BW#'!$A:$Z,14,FALSE)+VLOOKUP($A378,A:AL,19,FALSE)-50),"-",(VLOOKUP($A378,'SegEnds_NonXtal_BW#'!$A:$Z,14,FALSE)+VLOOKUP($A378,A:AL,19,FALSE)-50))</f>
        <v>-</v>
      </c>
      <c r="U378" s="9">
        <f>IF(ISERROR(VLOOKUP($A378,'SegEnds_NonXtal_BW#'!$A:$Z,15,FALSE)+VLOOKUP($A378,A:AL,22,FALSE)-50),"-",VLOOKUP($A378,'SegEnds_NonXtal_BW#'!$A:$Z,15,FALSE)+VLOOKUP($A378,A:AL,22,FALSE)-50)</f>
        <v>437</v>
      </c>
      <c r="V378" s="3">
        <v>446</v>
      </c>
      <c r="W378" s="3">
        <f>IF(ISERROR(VLOOKUP($A378,'SegEnds_NonXtal_BW#'!$A:$Z,16,FALSE)+VLOOKUP($A378,A:AL,22,FALSE)-50),"-",(VLOOKUP($A378,'SegEnds_NonXtal_BW#'!$A:$Z,16,FALSE)+VLOOKUP($A378,A:AL,22,FALSE)-50))</f>
        <v>460</v>
      </c>
      <c r="X378" s="3">
        <f>IF(ISERROR(VLOOKUP($A378,'SegEnds_NonXtal_BW#'!$A:$Z,17,FALSE)+VLOOKUP($A378,A:AL,25,FALSE)-50),"-",(VLOOKUP($A378,'SegEnds_NonXtal_BW#'!$A:$Z,17,FALSE)+VLOOKUP($A378,A:AL,25,FALSE)-50))</f>
        <v>471</v>
      </c>
      <c r="Y378" s="3">
        <v>471</v>
      </c>
      <c r="Z378" s="3">
        <f t="shared" si="201"/>
        <v>473</v>
      </c>
      <c r="AA378" s="3">
        <f>IF(ISERROR(VLOOKUP($A378,'SegEnds_NonXtal_BW#'!$A:$Z,19,FALSE)+VLOOKUP($A378,A:AL,28,FALSE)-50),"-",(VLOOKUP($A378,'SegEnds_NonXtal_BW#'!$A:$Z,19,FALSE)+VLOOKUP($A378,A:AL,28,FALSE)-50))</f>
        <v>477</v>
      </c>
      <c r="AB378" s="3">
        <v>492</v>
      </c>
      <c r="AC378" s="3">
        <f>IF(ISERROR((VLOOKUP($A378,'SegEnds_NonXtal_BW#'!$A:$Z,20,FALSE)+VLOOKUP($A378,A:AL,28,FALSE)-50)),"-",(VLOOKUP($A378,'SegEnds_NonXtal_BW#'!$A:$Z,20,FALSE)+VLOOKUP($A378,A:AL,28,FALSE)-50))</f>
        <v>514</v>
      </c>
      <c r="AD378" s="3">
        <f>IF(ISERROR(VLOOKUP($A378,'SegEnds_NonXtal_BW#'!$A:$Z,21,FALSE)+VLOOKUP($A378,A:AL,31,FALSE)-50),"-",(VLOOKUP($A378,'SegEnds_NonXtal_BW#'!$A:$Z,21,FALSE)+VLOOKUP($A378,A:AL,31,FALSE)-50))</f>
        <v>527</v>
      </c>
      <c r="AE378" s="3">
        <v>549</v>
      </c>
      <c r="AF378" s="3">
        <f>IF(ISERROR((VLOOKUP($A378,'SegEnds_NonXtal_BW#'!$A:$Z,22,FALSE)+VLOOKUP($A378,A:AL,31,FALSE)-50)),"-",(VLOOKUP($A378,'SegEnds_NonXtal_BW#'!$A:$Z,22,FALSE)+VLOOKUP($A378,A:AL,31,FALSE)-50))</f>
        <v>577</v>
      </c>
      <c r="AG378" s="3">
        <f>IF(ISERROR(VLOOKUP($A378,'SegEnds_NonXtal_BW#'!$A:$Z,23,FALSE)+VLOOKUP($A378,A:AL,34,FALSE)-50),"-",(VLOOKUP($A378,'SegEnds_NonXtal_BW#'!$A:$Z,23,FALSE)+VLOOKUP($A378,A:AL,34,FALSE)-50))</f>
        <v>582</v>
      </c>
      <c r="AH378" s="3">
        <v>598</v>
      </c>
      <c r="AI378" s="3">
        <f>IF(ISERROR((VLOOKUP($A378,'SegEnds_NonXtal_BW#'!$A:$Z,24,FALSE)+VLOOKUP($A378,A:AL,34,FALSE)-50)),"-",(VLOOKUP($A378,'SegEnds_NonXtal_BW#'!$A:$Z,24,FALSE)+VLOOKUP($A378,A:AL,34,FALSE)-50))</f>
        <v>605</v>
      </c>
      <c r="AJ378" s="3">
        <f>IF(ISERROR(VLOOKUP($A378,'SegEnds_NonXtal_BW#'!$A:$Z,25,FALSE)+VLOOKUP($A378,A:AL,37,FALSE)-50),"-",(VLOOKUP($A378,'SegEnds_NonXtal_BW#'!$A:$Z,25,FALSE)+VLOOKUP($A378,A:AL,37,FALSE)-50))</f>
        <v>606</v>
      </c>
      <c r="AK378" s="3">
        <v>609</v>
      </c>
      <c r="AL378" s="3">
        <f>IF(ISERROR((VLOOKUP($A378,'SegEnds_NonXtal_BW#'!$A:$Z,26,FALSE)+VLOOKUP($A378,A:AL,37,FALSE)-50)),"-",(VLOOKUP($A378,'SegEnds_NonXtal_BW#'!$A:$Z,26,FALSE)+VLOOKUP($A378,A:AL,37,FALSE)-50))</f>
        <v>621</v>
      </c>
      <c r="AM378" s="28" t="str">
        <f>VLOOKUP(A378,Classification!A:B,2,FALSE)</f>
        <v>F</v>
      </c>
      <c r="AN378" s="28" t="b">
        <f t="shared" si="195"/>
        <v>1</v>
      </c>
      <c r="AO378" s="3" t="str">
        <f>IF(ISERROR(MATCH(A378,'SegEnds_Xtal_Prot#'!B:B, 0)), "NoXtal", "Xtal")</f>
        <v>NoXtal</v>
      </c>
      <c r="AP378" s="3">
        <f t="shared" si="180"/>
        <v>1</v>
      </c>
      <c r="AQ378" s="3">
        <f t="shared" si="181"/>
        <v>1</v>
      </c>
      <c r="AR378" s="3" t="str">
        <f t="shared" si="182"/>
        <v>-</v>
      </c>
      <c r="AS378" s="3" t="str">
        <f t="shared" si="183"/>
        <v>-</v>
      </c>
      <c r="AT378" s="3" t="str">
        <f t="shared" si="184"/>
        <v>-</v>
      </c>
      <c r="AU378" s="3" t="str">
        <f t="shared" si="185"/>
        <v>-</v>
      </c>
      <c r="AV378" s="3">
        <f t="shared" si="186"/>
        <v>11</v>
      </c>
      <c r="AW378" s="3">
        <f t="shared" si="187"/>
        <v>4</v>
      </c>
      <c r="AX378" s="3">
        <f t="shared" si="188"/>
        <v>13</v>
      </c>
      <c r="AY378" s="3">
        <f t="shared" si="189"/>
        <v>5</v>
      </c>
      <c r="AZ378" s="3">
        <f t="shared" si="190"/>
        <v>1</v>
      </c>
      <c r="BA378" s="3">
        <f>IF(ISERROR(LEN(VLOOKUP(A378,Seqs!A:E,2,FALSE))-AL378),"-",LEN(VLOOKUP(A378,Seqs!A:E,2,FALSE))-AL378)</f>
        <v>73</v>
      </c>
      <c r="BB378" s="16">
        <f t="shared" si="191"/>
        <v>26</v>
      </c>
      <c r="BC378" s="9" t="str">
        <f t="shared" si="192"/>
        <v>-</v>
      </c>
      <c r="BD378" s="3">
        <f t="shared" si="193"/>
        <v>26</v>
      </c>
      <c r="BE378" s="3">
        <f t="shared" si="194"/>
        <v>57</v>
      </c>
    </row>
    <row r="379" spans="1:58" s="3" customFormat="1" x14ac:dyDescent="0.2">
      <c r="A379" s="3" t="s">
        <v>455</v>
      </c>
      <c r="B379" s="3" t="str">
        <f>LOWER(VLOOKUP(A379,Xtal_Templ!A:B,2,FALSE))</f>
        <v>fzd4_human</v>
      </c>
      <c r="C379" s="3">
        <f>VLOOKUP($A379,'SegEnds_NonXtal_BW#'!$A:$Z,3,FALSE)+D379-50</f>
        <v>224</v>
      </c>
      <c r="D379" s="3">
        <v>246</v>
      </c>
      <c r="E379" s="3">
        <f>IF(ISERROR(VLOOKUP($A379,'SegEnds_NonXtal_BW#'!$A:$Z,4,FALSE)+VLOOKUP($A379,A:AL,4,FALSE)-50),"-",(VLOOKUP($A379,'SegEnds_NonXtal_BW#'!$A:$Z,4,FALSE)+VLOOKUP($A379,A:AL,4,FALSE)-50))</f>
        <v>256</v>
      </c>
      <c r="F379" s="3">
        <f t="shared" si="197"/>
        <v>257</v>
      </c>
      <c r="G379" s="3">
        <v>260</v>
      </c>
      <c r="H379" s="3">
        <f t="shared" si="202"/>
        <v>261</v>
      </c>
      <c r="I379" s="3">
        <f t="shared" si="199"/>
        <v>262</v>
      </c>
      <c r="J379" s="3">
        <v>272</v>
      </c>
      <c r="K379" s="3">
        <f>VLOOKUP($A379,'SegEnds_NonXtal_BW#'!$A:$Z,8,FALSE)+VLOOKUP($A379,A:AL,10,FALSE)-50</f>
        <v>288</v>
      </c>
      <c r="L379" s="3" t="str">
        <f>IF(ISERROR(VLOOKUP($A379,'SegEnds_NonXtal_BW#'!$A:$Z,9,FALSE)+VLOOKUP($A379,A:AL,13,FALSE)-50),"-",(VLOOKUP($A379,'SegEnds_NonXtal_BW#'!$A:$Z,9,FALSE)+VLOOKUP($A379,A:AL,13,FALSE)-50))</f>
        <v>-</v>
      </c>
      <c r="M379" s="3" t="s">
        <v>23</v>
      </c>
      <c r="N379" s="3" t="str">
        <f>IF(ISERROR(VLOOKUP($A379,'SegEnds_NonXtal_BW#'!$A:$Z,10,FALSE)+VLOOKUP($A379,A:AL,13,FALSE)-50),"-",(VLOOKUP($A379,'SegEnds_NonXtal_BW#'!$A:$Z,10,FALSE)+VLOOKUP($A379,A:AL,13,FALSE)-50))</f>
        <v>-</v>
      </c>
      <c r="O379" s="3">
        <f>VLOOKUP($A379,'SegEnds_NonXtal_BW#'!$A:$Z,11,FALSE)+VLOOKUP($A379,A:AL,16,FALSE)-50</f>
        <v>310</v>
      </c>
      <c r="P379" s="3">
        <v>338</v>
      </c>
      <c r="Q379" s="3">
        <f>VLOOKUP($A379,'SegEnds_NonXtal_BW#'!$A:$Z,12,FALSE)+VLOOKUP($A379,A:AL,16,FALSE)-50</f>
        <v>343</v>
      </c>
      <c r="R379" s="3" t="str">
        <f>IF(ISERROR(VLOOKUP($A379,'SegEnds_NonXtal_BW#'!$A:$Z,13,FALSE)+VLOOKUP($A379,A:AL,19,FALSE)-50),"-",VLOOKUP($A379,'SegEnds_NonXtal_BW#'!$A:$Z,13,FALSE)+VLOOKUP($A379,A:AL,19,FALSE)-50)</f>
        <v>-</v>
      </c>
      <c r="S379" s="3" t="s">
        <v>23</v>
      </c>
      <c r="T379" s="100" t="str">
        <f>IF(ISERROR(VLOOKUP($A379,'SegEnds_NonXtal_BW#'!$A:$Z,14,FALSE)+VLOOKUP($A379,A:AL,19,FALSE)-50),"-",(VLOOKUP($A379,'SegEnds_NonXtal_BW#'!$A:$Z,14,FALSE)+VLOOKUP($A379,A:AL,19,FALSE)-50))</f>
        <v>-</v>
      </c>
      <c r="U379" s="9">
        <f>IF(ISERROR(VLOOKUP($A379,'SegEnds_NonXtal_BW#'!$A:$Z,15,FALSE)+VLOOKUP($A379,A:AL,22,FALSE)-50),"-",VLOOKUP($A379,'SegEnds_NonXtal_BW#'!$A:$Z,15,FALSE)+VLOOKUP($A379,A:AL,22,FALSE)-50)</f>
        <v>354</v>
      </c>
      <c r="V379" s="3">
        <v>363</v>
      </c>
      <c r="W379" s="3">
        <f>IF(ISERROR(VLOOKUP($A379,'SegEnds_NonXtal_BW#'!$A:$Z,16,FALSE)+VLOOKUP($A379,A:AL,22,FALSE)-50),"-",(VLOOKUP($A379,'SegEnds_NonXtal_BW#'!$A:$Z,16,FALSE)+VLOOKUP($A379,A:AL,22,FALSE)-50))</f>
        <v>377</v>
      </c>
      <c r="X379" s="3">
        <f>IF(ISERROR(VLOOKUP($A379,'SegEnds_NonXtal_BW#'!$A:$Z,17,FALSE)+VLOOKUP($A379,A:AL,25,FALSE)-50),"-",(VLOOKUP($A379,'SegEnds_NonXtal_BW#'!$A:$Z,17,FALSE)+VLOOKUP($A379,A:AL,25,FALSE)-50))</f>
        <v>388</v>
      </c>
      <c r="Y379" s="3">
        <v>388</v>
      </c>
      <c r="Z379" s="3">
        <f t="shared" si="201"/>
        <v>390</v>
      </c>
      <c r="AA379" s="3">
        <f>IF(ISERROR(VLOOKUP($A379,'SegEnds_NonXtal_BW#'!$A:$Z,19,FALSE)+VLOOKUP($A379,A:AL,28,FALSE)-50),"-",(VLOOKUP($A379,'SegEnds_NonXtal_BW#'!$A:$Z,19,FALSE)+VLOOKUP($A379,A:AL,28,FALSE)-50))</f>
        <v>394</v>
      </c>
      <c r="AB379" s="3">
        <v>409</v>
      </c>
      <c r="AC379" s="3">
        <f>IF(ISERROR((VLOOKUP($A379,'SegEnds_NonXtal_BW#'!$A:$Z,20,FALSE)+VLOOKUP($A379,A:AL,28,FALSE)-50)),"-",(VLOOKUP($A379,'SegEnds_NonXtal_BW#'!$A:$Z,20,FALSE)+VLOOKUP($A379,A:AL,28,FALSE)-50))</f>
        <v>431</v>
      </c>
      <c r="AD379" s="3">
        <f>IF(ISERROR(VLOOKUP($A379,'SegEnds_NonXtal_BW#'!$A:$Z,21,FALSE)+VLOOKUP($A379,A:AL,31,FALSE)-50),"-",(VLOOKUP($A379,'SegEnds_NonXtal_BW#'!$A:$Z,21,FALSE)+VLOOKUP($A379,A:AL,31,FALSE)-50))</f>
        <v>442</v>
      </c>
      <c r="AE379" s="3">
        <v>464</v>
      </c>
      <c r="AF379" s="3">
        <f>IF(ISERROR((VLOOKUP($A379,'SegEnds_NonXtal_BW#'!$A:$Z,22,FALSE)+VLOOKUP($A379,A:AL,31,FALSE)-50)),"-",(VLOOKUP($A379,'SegEnds_NonXtal_BW#'!$A:$Z,22,FALSE)+VLOOKUP($A379,A:AL,31,FALSE)-50))</f>
        <v>492</v>
      </c>
      <c r="AG379" s="3">
        <f>IF(ISERROR(VLOOKUP($A379,'SegEnds_NonXtal_BW#'!$A:$Z,23,FALSE)+VLOOKUP($A379,A:AL,34,FALSE)-50),"-",(VLOOKUP($A379,'SegEnds_NonXtal_BW#'!$A:$Z,23,FALSE)+VLOOKUP($A379,A:AL,34,FALSE)-50))</f>
        <v>506</v>
      </c>
      <c r="AH379" s="3">
        <v>522</v>
      </c>
      <c r="AI379" s="3">
        <f>IF(ISERROR((VLOOKUP($A379,'SegEnds_NonXtal_BW#'!$A:$Z,24,FALSE)+VLOOKUP($A379,A:AL,34,FALSE)-50)),"-",(VLOOKUP($A379,'SegEnds_NonXtal_BW#'!$A:$Z,24,FALSE)+VLOOKUP($A379,A:AL,34,FALSE)-50))</f>
        <v>529</v>
      </c>
      <c r="AJ379" s="3">
        <f>IF(ISERROR(VLOOKUP($A379,'SegEnds_NonXtal_BW#'!$A:$Z,25,FALSE)+VLOOKUP($A379,A:AL,37,FALSE)-50),"-",(VLOOKUP($A379,'SegEnds_NonXtal_BW#'!$A:$Z,25,FALSE)+VLOOKUP($A379,A:AL,37,FALSE)-50))</f>
        <v>530</v>
      </c>
      <c r="AK379" s="3">
        <v>533</v>
      </c>
      <c r="AL379" s="3">
        <f>IF(ISERROR((VLOOKUP($A379,'SegEnds_NonXtal_BW#'!$A:$Z,26,FALSE)+VLOOKUP($A379,A:AL,37,FALSE)-50)),"-",(VLOOKUP($A379,'SegEnds_NonXtal_BW#'!$A:$Z,26,FALSE)+VLOOKUP($A379,A:AL,37,FALSE)-50))</f>
        <v>545</v>
      </c>
      <c r="AM379" s="28" t="str">
        <f>VLOOKUP(A379,Classification!A:B,2,FALSE)</f>
        <v>F</v>
      </c>
      <c r="AN379" s="28" t="b">
        <f t="shared" si="195"/>
        <v>1</v>
      </c>
      <c r="AO379" s="3" t="str">
        <f>IF(ISERROR(MATCH(A379,'SegEnds_Xtal_Prot#'!B:B, 0)), "NoXtal", "Xtal")</f>
        <v>NoXtal</v>
      </c>
      <c r="AP379" s="3">
        <f t="shared" si="180"/>
        <v>1</v>
      </c>
      <c r="AQ379" s="3">
        <f t="shared" si="181"/>
        <v>1</v>
      </c>
      <c r="AR379" s="3" t="str">
        <f t="shared" si="182"/>
        <v>-</v>
      </c>
      <c r="AS379" s="3" t="str">
        <f t="shared" si="183"/>
        <v>-</v>
      </c>
      <c r="AT379" s="3" t="str">
        <f t="shared" si="184"/>
        <v>-</v>
      </c>
      <c r="AU379" s="3" t="str">
        <f t="shared" si="185"/>
        <v>-</v>
      </c>
      <c r="AV379" s="3">
        <f t="shared" si="186"/>
        <v>11</v>
      </c>
      <c r="AW379" s="3">
        <f t="shared" si="187"/>
        <v>4</v>
      </c>
      <c r="AX379" s="3">
        <f t="shared" si="188"/>
        <v>11</v>
      </c>
      <c r="AY379" s="3">
        <f t="shared" si="189"/>
        <v>14</v>
      </c>
      <c r="AZ379" s="3">
        <f t="shared" si="190"/>
        <v>1</v>
      </c>
      <c r="BA379" s="3">
        <f>IF(ISERROR(LEN(VLOOKUP(A379,Seqs!A:E,2,FALSE))-AL379),"-",LEN(VLOOKUP(A379,Seqs!A:E,2,FALSE))-AL379)</f>
        <v>46</v>
      </c>
      <c r="BB379" s="16">
        <f t="shared" si="191"/>
        <v>26</v>
      </c>
      <c r="BC379" s="9" t="str">
        <f t="shared" si="192"/>
        <v>-</v>
      </c>
      <c r="BD379" s="3">
        <f t="shared" si="193"/>
        <v>26</v>
      </c>
      <c r="BE379" s="3">
        <f t="shared" si="194"/>
        <v>55</v>
      </c>
    </row>
    <row r="380" spans="1:58" s="3" customFormat="1" x14ac:dyDescent="0.2">
      <c r="A380" s="3" t="s">
        <v>33</v>
      </c>
      <c r="B380" s="3" t="str">
        <f>LOWER(VLOOKUP(A380,Xtal_Templ!A:B,2,FALSE))</f>
        <v>smo_human</v>
      </c>
      <c r="C380" s="3">
        <f>VLOOKUP($A380,'SegEnds_NonXtal_BW#'!$A:$Z,3,FALSE)+D380-50</f>
        <v>223</v>
      </c>
      <c r="D380" s="3">
        <v>245</v>
      </c>
      <c r="E380" s="3">
        <f>IF(ISERROR(VLOOKUP($A380,'SegEnds_NonXtal_BW#'!$A:$Z,4,FALSE)+VLOOKUP($A380,A:AL,4,FALSE)-50),"-",(VLOOKUP($A380,'SegEnds_NonXtal_BW#'!$A:$Z,4,FALSE)+VLOOKUP($A380,A:AL,4,FALSE)-50))</f>
        <v>255</v>
      </c>
      <c r="F380" s="3">
        <f t="shared" si="197"/>
        <v>256</v>
      </c>
      <c r="G380" s="3">
        <v>259</v>
      </c>
      <c r="H380" s="3">
        <f t="shared" si="202"/>
        <v>260</v>
      </c>
      <c r="I380" s="3">
        <f t="shared" si="199"/>
        <v>261</v>
      </c>
      <c r="J380" s="3">
        <v>272</v>
      </c>
      <c r="K380" s="3">
        <f>VLOOKUP($A380,'SegEnds_NonXtal_BW#'!$A:$Z,8,FALSE)+VLOOKUP($A380,A:AL,10,FALSE)-50</f>
        <v>285</v>
      </c>
      <c r="L380" s="3" t="str">
        <f>IF(ISERROR(VLOOKUP($A380,'SegEnds_NonXtal_BW#'!$A:$Z,9,FALSE)+VLOOKUP($A380,A:AL,13,FALSE)-50),"-",(VLOOKUP($A380,'SegEnds_NonXtal_BW#'!$A:$Z,9,FALSE)+VLOOKUP($A380,A:AL,13,FALSE)-50))</f>
        <v>-</v>
      </c>
      <c r="M380" s="3" t="s">
        <v>23</v>
      </c>
      <c r="N380" s="3" t="str">
        <f>IF(ISERROR(VLOOKUP($A380,'SegEnds_NonXtal_BW#'!$A:$Z,10,FALSE)+VLOOKUP($A380,A:AL,13,FALSE)-50),"-",(VLOOKUP($A380,'SegEnds_NonXtal_BW#'!$A:$Z,10,FALSE)+VLOOKUP($A380,A:AL,13,FALSE)-50))</f>
        <v>-</v>
      </c>
      <c r="O380" s="3">
        <f>VLOOKUP($A380,'SegEnds_NonXtal_BW#'!$A:$Z,11,FALSE)+VLOOKUP($A380,A:AL,16,FALSE)-50</f>
        <v>312</v>
      </c>
      <c r="P380" s="3">
        <v>339</v>
      </c>
      <c r="Q380" s="3">
        <f>VLOOKUP($A380,'SegEnds_NonXtal_BW#'!$A:$Z,12,FALSE)+VLOOKUP($A380,A:AL,16,FALSE)-50</f>
        <v>348</v>
      </c>
      <c r="R380" s="3" t="str">
        <f>IF(ISERROR(VLOOKUP($A380,'SegEnds_NonXtal_BW#'!$A:$Z,13,FALSE)+VLOOKUP($A380,A:AL,19,FALSE)-50),"-",VLOOKUP($A380,'SegEnds_NonXtal_BW#'!$A:$Z,13,FALSE)+VLOOKUP($A380,A:AL,19,FALSE)-50)</f>
        <v>-</v>
      </c>
      <c r="S380" s="3" t="s">
        <v>23</v>
      </c>
      <c r="T380" s="100" t="str">
        <f>IF(ISERROR(VLOOKUP($A380,'SegEnds_NonXtal_BW#'!$A:$Z,14,FALSE)+VLOOKUP($A380,A:AL,19,FALSE)-50),"-",(VLOOKUP($A380,'SegEnds_NonXtal_BW#'!$A:$Z,14,FALSE)+VLOOKUP($A380,A:AL,19,FALSE)-50))</f>
        <v>-</v>
      </c>
      <c r="U380" s="9">
        <f>IF(ISERROR(VLOOKUP($A380,'SegEnds_NonXtal_BW#'!$A:$Z,15,FALSE)+VLOOKUP($A380,A:AL,22,FALSE)-50),"-",VLOOKUP($A380,'SegEnds_NonXtal_BW#'!$A:$Z,15,FALSE)+VLOOKUP($A380,A:AL,22,FALSE)-50)</f>
        <v>353</v>
      </c>
      <c r="V380" s="3">
        <v>365</v>
      </c>
      <c r="W380" s="3">
        <f>IF(ISERROR(VLOOKUP($A380,'SegEnds_NonXtal_BW#'!$A:$Z,16,FALSE)+VLOOKUP($A380,A:AL,22,FALSE)-50),"-",(VLOOKUP($A380,'SegEnds_NonXtal_BW#'!$A:$Z,16,FALSE)+VLOOKUP($A380,A:AL,22,FALSE)-50))</f>
        <v>378</v>
      </c>
      <c r="X380" s="3">
        <f>IF(ISERROR(VLOOKUP($A380,'SegEnds_NonXtal_BW#'!$A:$Z,17,FALSE)+VLOOKUP($A380,A:AL,25,FALSE)-50),"-",(VLOOKUP($A380,'SegEnds_NonXtal_BW#'!$A:$Z,17,FALSE)+VLOOKUP($A380,A:AL,25,FALSE)-50))</f>
        <v>390</v>
      </c>
      <c r="Y380" s="3">
        <v>390</v>
      </c>
      <c r="Z380" s="3">
        <f t="shared" si="201"/>
        <v>392</v>
      </c>
      <c r="AA380" s="3">
        <f>IF(ISERROR(VLOOKUP($A380,'SegEnds_NonXtal_BW#'!$A:$Z,19,FALSE)+VLOOKUP($A380,A:AL,28,FALSE)-50),"-",(VLOOKUP($A380,'SegEnds_NonXtal_BW#'!$A:$Z,19,FALSE)+VLOOKUP($A380,A:AL,28,FALSE)-50))</f>
        <v>396</v>
      </c>
      <c r="AB380" s="3">
        <v>411</v>
      </c>
      <c r="AC380" s="3">
        <f>IF(ISERROR((VLOOKUP($A380,'SegEnds_NonXtal_BW#'!$A:$Z,20,FALSE)+VLOOKUP($A380,A:AL,28,FALSE)-50)),"-",(VLOOKUP($A380,'SegEnds_NonXtal_BW#'!$A:$Z,20,FALSE)+VLOOKUP($A380,A:AL,28,FALSE)-50))</f>
        <v>433</v>
      </c>
      <c r="AD380" s="3">
        <f>IF(ISERROR(VLOOKUP($A380,'SegEnds_NonXtal_BW#'!$A:$Z,21,FALSE)+VLOOKUP($A380,A:AL,31,FALSE)-50),"-",(VLOOKUP($A380,'SegEnds_NonXtal_BW#'!$A:$Z,21,FALSE)+VLOOKUP($A380,A:AL,31,FALSE)-50))</f>
        <v>442</v>
      </c>
      <c r="AE380" s="3">
        <v>468</v>
      </c>
      <c r="AF380" s="3">
        <f>IF(ISERROR((VLOOKUP($A380,'SegEnds_NonXtal_BW#'!$A:$Z,22,FALSE)+VLOOKUP($A380,A:AL,31,FALSE)-50)),"-",(VLOOKUP($A380,'SegEnds_NonXtal_BW#'!$A:$Z,22,FALSE)+VLOOKUP($A380,A:AL,31,FALSE)-50))</f>
        <v>496</v>
      </c>
      <c r="AG380" s="3">
        <f>IF(ISERROR(VLOOKUP($A380,'SegEnds_NonXtal_BW#'!$A:$Z,23,FALSE)+VLOOKUP($A380,A:AL,34,FALSE)-50),"-",(VLOOKUP($A380,'SegEnds_NonXtal_BW#'!$A:$Z,23,FALSE)+VLOOKUP($A380,A:AL,34,FALSE)-50))</f>
        <v>514</v>
      </c>
      <c r="AH380" s="3">
        <v>530</v>
      </c>
      <c r="AI380" s="3">
        <f>IF(ISERROR((VLOOKUP($A380,'SegEnds_NonXtal_BW#'!$A:$Z,24,FALSE)+VLOOKUP($A380,A:AL,34,FALSE)-50)),"-",(VLOOKUP($A380,'SegEnds_NonXtal_BW#'!$A:$Z,24,FALSE)+VLOOKUP($A380,A:AL,34,FALSE)-50))</f>
        <v>537</v>
      </c>
      <c r="AJ380" s="3">
        <f>IF(ISERROR(VLOOKUP($A380,'SegEnds_NonXtal_BW#'!$A:$Z,25,FALSE)+VLOOKUP($A380,A:AL,37,FALSE)-50),"-",(VLOOKUP($A380,'SegEnds_NonXtal_BW#'!$A:$Z,25,FALSE)+VLOOKUP($A380,A:AL,37,FALSE)-50))</f>
        <v>538</v>
      </c>
      <c r="AK380" s="3">
        <v>541</v>
      </c>
      <c r="AL380" s="3">
        <f>IF(ISERROR((VLOOKUP($A380,'SegEnds_NonXtal_BW#'!$A:$Z,26,FALSE)+VLOOKUP($A380,A:AL,37,FALSE)-50)),"-",(VLOOKUP($A380,'SegEnds_NonXtal_BW#'!$A:$Z,26,FALSE)+VLOOKUP($A380,A:AL,37,FALSE)-50))</f>
        <v>553</v>
      </c>
      <c r="AM380" s="28" t="str">
        <f>VLOOKUP(A380,Classification!A:B,2,FALSE)</f>
        <v>F</v>
      </c>
      <c r="AN380" s="28" t="b">
        <f t="shared" si="195"/>
        <v>1</v>
      </c>
      <c r="AO380" s="3" t="str">
        <f>IF(ISERROR(MATCH(A380,'SegEnds_Xtal_Prot#'!B:B, 0)), "NoXtal", "Xtal")</f>
        <v>Xtal</v>
      </c>
      <c r="AP380" s="3">
        <f t="shared" si="180"/>
        <v>1</v>
      </c>
      <c r="AQ380" s="3">
        <f t="shared" si="181"/>
        <v>1</v>
      </c>
      <c r="AR380" s="3" t="str">
        <f t="shared" si="182"/>
        <v>-</v>
      </c>
      <c r="AS380" s="3" t="str">
        <f t="shared" si="183"/>
        <v>-</v>
      </c>
      <c r="AT380" s="3" t="str">
        <f t="shared" si="184"/>
        <v>-</v>
      </c>
      <c r="AU380" s="3" t="str">
        <f t="shared" si="185"/>
        <v>-</v>
      </c>
      <c r="AV380" s="3">
        <f t="shared" si="186"/>
        <v>12</v>
      </c>
      <c r="AW380" s="3">
        <f t="shared" si="187"/>
        <v>4</v>
      </c>
      <c r="AX380" s="3">
        <f t="shared" si="188"/>
        <v>9</v>
      </c>
      <c r="AY380" s="3">
        <f t="shared" si="189"/>
        <v>18</v>
      </c>
      <c r="AZ380" s="3">
        <f t="shared" si="190"/>
        <v>1</v>
      </c>
      <c r="BA380" s="3">
        <f>IF(ISERROR(LEN(VLOOKUP(A380,Seqs!A:E,2,FALSE))-AL380),"-",LEN(VLOOKUP(A380,Seqs!A:E,2,FALSE))-AL380)</f>
        <v>234</v>
      </c>
      <c r="BB380" s="16">
        <f t="shared" si="191"/>
        <v>27</v>
      </c>
      <c r="BC380" s="9" t="str">
        <f t="shared" si="192"/>
        <v>-</v>
      </c>
      <c r="BD380" s="3">
        <f t="shared" si="193"/>
        <v>27</v>
      </c>
      <c r="BE380" s="3">
        <f t="shared" si="194"/>
        <v>57</v>
      </c>
    </row>
    <row r="381" spans="1:58" s="9" customFormat="1" x14ac:dyDescent="0.2">
      <c r="A381" s="128" t="s">
        <v>1509</v>
      </c>
      <c r="B381" s="9" t="str">
        <f>LOWER(VLOOKUP(A381,Xtal_Templ!A:B,2,FALSE))</f>
        <v>q98sw5_xenla</v>
      </c>
      <c r="C381" s="9">
        <f>VLOOKUP($A381,'SegEnds_NonXtal_BW#'!$A:$Z,3,FALSE)+D381-50</f>
        <v>196</v>
      </c>
      <c r="D381" s="9">
        <v>218</v>
      </c>
      <c r="E381" s="9">
        <f>IF(ISERROR(VLOOKUP($A381,'SegEnds_NonXtal_BW#'!$A:$Z,4,FALSE)+VLOOKUP($A381,A:AL,4,FALSE)-50),"-",(VLOOKUP($A381,'SegEnds_NonXtal_BW#'!$A:$Z,4,FALSE)+VLOOKUP($A381,A:AL,4,FALSE)-50))</f>
        <v>228</v>
      </c>
      <c r="F381" s="9">
        <f>G381-3</f>
        <v>229</v>
      </c>
      <c r="G381" s="9">
        <v>232</v>
      </c>
      <c r="H381" s="9">
        <f>G381+1</f>
        <v>233</v>
      </c>
      <c r="I381" s="9">
        <f>H381+1</f>
        <v>234</v>
      </c>
      <c r="J381" s="9">
        <v>245</v>
      </c>
      <c r="K381" s="9">
        <f>VLOOKUP($A381,'SegEnds_NonXtal_BW#'!$A:$Z,8,FALSE)+VLOOKUP($A381,A:AL,10,FALSE)-50</f>
        <v>256</v>
      </c>
      <c r="L381" s="9" t="str">
        <f>IF(ISERROR(VLOOKUP($A381,'SegEnds_NonXtal_BW#'!$A:$Z,9,FALSE)+VLOOKUP($A381,A:AL,13,FALSE)-50),"-",(VLOOKUP($A381,'SegEnds_NonXtal_BW#'!$A:$Z,9,FALSE)+VLOOKUP($A381,A:AL,13,FALSE)-50))</f>
        <v>-</v>
      </c>
      <c r="M381" s="9" t="s">
        <v>23</v>
      </c>
      <c r="N381" s="9" t="str">
        <f>IF(ISERROR(VLOOKUP($A381,'SegEnds_NonXtal_BW#'!$A:$Z,10,FALSE)+VLOOKUP($A381,A:AL,13,FALSE)-50),"-",(VLOOKUP($A381,'SegEnds_NonXtal_BW#'!$A:$Z,10,FALSE)+VLOOKUP($A381,A:AL,13,FALSE)-50))</f>
        <v>-</v>
      </c>
      <c r="O381" s="9">
        <f>VLOOKUP($A381,'SegEnds_NonXtal_BW#'!$A:$Z,11,FALSE)+VLOOKUP($A381,A:AL,16,FALSE)-50</f>
        <v>285</v>
      </c>
      <c r="P381" s="9">
        <v>312</v>
      </c>
      <c r="Q381" s="9">
        <f>VLOOKUP($A381,'SegEnds_NonXtal_BW#'!$A:$Z,12,FALSE)+VLOOKUP($A381,A:AL,16,FALSE)-50</f>
        <v>321</v>
      </c>
      <c r="R381" s="9" t="str">
        <f>IF(ISERROR(VLOOKUP($A381,'SegEnds_NonXtal_BW#'!$A:$Z,13,FALSE)+VLOOKUP($A381,A:AL,19,FALSE)-50),"-",VLOOKUP($A381,'SegEnds_NonXtal_BW#'!$A:$Z,13,FALSE)+VLOOKUP($A381,A:AL,19,FALSE)-50)</f>
        <v>-</v>
      </c>
      <c r="S381" s="9" t="s">
        <v>23</v>
      </c>
      <c r="T381" s="9" t="str">
        <f>IF(ISERROR(VLOOKUP($A381,'SegEnds_NonXtal_BW#'!$A:$Z,14,FALSE)+VLOOKUP($A381,A:AL,19,FALSE)-50),"-",(VLOOKUP($A381,'SegEnds_NonXtal_BW#'!$A:$Z,14,FALSE)+VLOOKUP($A381,A:AL,19,FALSE)-50))</f>
        <v>-</v>
      </c>
      <c r="U381" s="9">
        <f>IF(ISERROR(VLOOKUP($A381,'SegEnds_NonXtal_BW#'!$A:$Z,15,FALSE)+VLOOKUP($A381,A:AL,22,FALSE)-50),"-",VLOOKUP($A381,'SegEnds_NonXtal_BW#'!$A:$Z,15,FALSE)+VLOOKUP($A381,A:AL,22,FALSE)-50)</f>
        <v>326</v>
      </c>
      <c r="V381" s="9">
        <v>338</v>
      </c>
      <c r="W381" s="9">
        <f>IF(ISERROR(VLOOKUP($A381,'SegEnds_NonXtal_BW#'!$A:$Z,16,FALSE)+VLOOKUP($A381,A:AL,22,FALSE)-50),"-",(VLOOKUP($A381,'SegEnds_NonXtal_BW#'!$A:$Z,16,FALSE)+VLOOKUP($A381,A:AL,22,FALSE)-50))</f>
        <v>351</v>
      </c>
      <c r="X381" s="9">
        <f>IF(ISERROR(VLOOKUP($A381,'SegEnds_NonXtal_BW#'!$A:$Z,17,FALSE)+VLOOKUP($A381,A:AL,25,FALSE)-50),"-",(VLOOKUP($A381,'SegEnds_NonXtal_BW#'!$A:$Z,17,FALSE)+VLOOKUP($A381,A:AL,25,FALSE)-50))</f>
        <v>363</v>
      </c>
      <c r="Y381" s="9">
        <v>363</v>
      </c>
      <c r="Z381" s="9">
        <f>Y381+2</f>
        <v>365</v>
      </c>
      <c r="AA381" s="9">
        <f>IF(ISERROR(VLOOKUP($A381,'SegEnds_NonXtal_BW#'!$A:$Z,19,FALSE)+VLOOKUP($A381,A:AL,28,FALSE)-50),"-",(VLOOKUP($A381,'SegEnds_NonXtal_BW#'!$A:$Z,19,FALSE)+VLOOKUP($A381,A:AL,28,FALSE)-50))</f>
        <v>369</v>
      </c>
      <c r="AB381" s="9">
        <v>384</v>
      </c>
      <c r="AC381" s="9">
        <f>IF(ISERROR((VLOOKUP($A381,'SegEnds_NonXtal_BW#'!$A:$Z,20,FALSE)+VLOOKUP($A381,A:AL,28,FALSE)-50)),"-",(VLOOKUP($A381,'SegEnds_NonXtal_BW#'!$A:$Z,20,FALSE)+VLOOKUP($A381,A:AL,28,FALSE)-50))</f>
        <v>406</v>
      </c>
      <c r="AD381" s="9">
        <f>IF(ISERROR(VLOOKUP($A381,'SegEnds_NonXtal_BW#'!$A:$Z,21,FALSE)+VLOOKUP($A381,A:AL,31,FALSE)-50),"-",(VLOOKUP($A381,'SegEnds_NonXtal_BW#'!$A:$Z,21,FALSE)+VLOOKUP($A381,A:AL,31,FALSE)-50))</f>
        <v>415</v>
      </c>
      <c r="AE381" s="9">
        <v>441</v>
      </c>
      <c r="AF381" s="9">
        <f>IF(ISERROR((VLOOKUP($A381,'SegEnds_NonXtal_BW#'!$A:$Z,22,FALSE)+VLOOKUP($A381,A:AL,31,FALSE)-50)),"-",(VLOOKUP($A381,'SegEnds_NonXtal_BW#'!$A:$Z,22,FALSE)+VLOOKUP($A381,A:AL,31,FALSE)-50))</f>
        <v>472</v>
      </c>
      <c r="AG381" s="9">
        <f>IF(ISERROR(VLOOKUP($A381,'SegEnds_NonXtal_BW#'!$A:$Z,23,FALSE)+VLOOKUP($A381,A:AL,34,FALSE)-50),"-",(VLOOKUP($A381,'SegEnds_NonXtal_BW#'!$A:$Z,23,FALSE)+VLOOKUP($A381,A:AL,34,FALSE)-50))</f>
        <v>487</v>
      </c>
      <c r="AH381" s="9">
        <v>503</v>
      </c>
      <c r="AI381" s="9">
        <f>IF(ISERROR((VLOOKUP($A381,'SegEnds_NonXtal_BW#'!$A:$Z,24,FALSE)+VLOOKUP($A381,A:AL,34,FALSE)-50)),"-",(VLOOKUP($A381,'SegEnds_NonXtal_BW#'!$A:$Z,24,FALSE)+VLOOKUP($A381,A:AL,34,FALSE)-50))</f>
        <v>510</v>
      </c>
      <c r="AJ381" s="9">
        <f>IF(ISERROR(VLOOKUP($A381,'SegEnds_NonXtal_BW#'!$A:$Z,25,FALSE)+VLOOKUP($A381,A:AL,37,FALSE)-50),"-",(VLOOKUP($A381,'SegEnds_NonXtal_BW#'!$A:$Z,25,FALSE)+VLOOKUP($A381,A:AL,37,FALSE)-50))</f>
        <v>511</v>
      </c>
      <c r="AK381" s="9">
        <v>514</v>
      </c>
      <c r="AL381" s="9">
        <f>IF(ISERROR((VLOOKUP($A381,'SegEnds_NonXtal_BW#'!$A:$Z,26,FALSE)+VLOOKUP($A381,A:AL,37,FALSE)-50)),"-",(VLOOKUP($A381,'SegEnds_NonXtal_BW#'!$A:$Z,26,FALSE)+VLOOKUP($A381,A:AL,37,FALSE)-50))</f>
        <v>526</v>
      </c>
      <c r="AM381" s="58" t="str">
        <f>VLOOKUP(A381,Classification!A:B,2,FALSE)</f>
        <v>F</v>
      </c>
      <c r="AN381" s="58" t="b">
        <f>AND(IF(Y381="-",IF(AA381-W381&gt;3,TRUE,FALSE),TRUE),IF(M381="-",IF(O381-K381&gt;3,TRUE,FALSE),TRUE),IF(AG381-AF381&gt;1,TRUE,FALSE),C381&lt;E381,OR(E381&lt;F381,F381="-"),OR(F381&lt;H381,F381="-"),OR(H381&lt;I381,H381="-"),I381&lt;K381,OR(K381&lt;L381,L381="-"),OR(L381&lt;N381,L381="-"),OR(N381&lt;O381,N381="-"),O381&lt;Q381,OR(Q381&lt;R381,R381="-"),OR(R381&lt;T381,R381="-"),OR(T381&lt;U381,T381="-"),U381&lt;W381,OR(W381&lt;X381,X381="-"),OR(X381&lt;Z381,X381="-"),OR(Z381&lt;AA381,Z381="-"),AA381&lt;AC381,AC381&lt;AD381,AD381&lt;AF381,AF381&lt;AG381,AG381&lt;AI381,OR(AI381&lt;AJ381,AJ381="-"),OR(AJ381&lt;AL381,AJ381="-"))</f>
        <v>1</v>
      </c>
      <c r="AO381" s="9" t="str">
        <f>IF(ISERROR(MATCH(A381,'SegEnds_Xtal_Prot#'!B:B, 0)), "NoXtal", "Xtal")</f>
        <v>Xtal</v>
      </c>
      <c r="AP381" s="9">
        <f>IF(ISERROR(F381-E381),"-",F381-E381)</f>
        <v>1</v>
      </c>
      <c r="AQ381" s="9">
        <f>IF(ISERROR(I381-H381),"-",I381-H381)</f>
        <v>1</v>
      </c>
      <c r="AR381" s="9" t="str">
        <f>IF(ISERROR(L381-K381),"-",L381-K381)</f>
        <v>-</v>
      </c>
      <c r="AS381" s="9" t="str">
        <f>IF(ISERROR(O381-N381),"-",O381-N381)</f>
        <v>-</v>
      </c>
      <c r="AT381" s="9" t="str">
        <f>IF(ISERROR(R381-Q381),"-",R381-Q381)</f>
        <v>-</v>
      </c>
      <c r="AU381" s="9" t="str">
        <f>IF(ISERROR(U381-T381),"-",U381-T381)</f>
        <v>-</v>
      </c>
      <c r="AV381" s="9">
        <f>IF(ISERROR(X381-W381),"-",X381-W381)</f>
        <v>12</v>
      </c>
      <c r="AW381" s="9">
        <f>IF(ISERROR(AA381-Z381),"-",AA381-Z381)</f>
        <v>4</v>
      </c>
      <c r="AX381" s="9">
        <f>IF(ISERROR(AD381-AC381),"-",AD381-AC381)</f>
        <v>9</v>
      </c>
      <c r="AY381" s="9">
        <f>IF(ISERROR(AG381-AF381),"-",AG381-AF381)</f>
        <v>15</v>
      </c>
      <c r="AZ381" s="9">
        <f>IF(ISERROR(AJ381-AI381),"-",AJ381-AI381)</f>
        <v>1</v>
      </c>
      <c r="BA381" s="9">
        <f>IF(ISERROR(LEN(VLOOKUP(A381,Seqs!A:E,2,FALSE))-AL381),"-",LEN(VLOOKUP(A381,Seqs!A:E,2,FALSE))-AL381)</f>
        <v>288</v>
      </c>
      <c r="BB381" s="127">
        <f>J381-D381</f>
        <v>27</v>
      </c>
      <c r="BC381" s="9" t="str">
        <f>IF(ISERROR(V381-S381),"-",V381-S381)</f>
        <v>-</v>
      </c>
      <c r="BD381" s="9">
        <f>J381-D381</f>
        <v>27</v>
      </c>
      <c r="BE381" s="9">
        <f>AE381-AB381</f>
        <v>57</v>
      </c>
    </row>
    <row r="382" spans="1:58" s="3" customFormat="1" x14ac:dyDescent="0.2">
      <c r="A382" s="3" t="s">
        <v>481</v>
      </c>
      <c r="B382" s="3" t="str">
        <f>LOWER(VLOOKUP(A382,Xtal_Templ!A:B,2,FALSE))</f>
        <v>agtr1_human</v>
      </c>
      <c r="C382" s="3">
        <v>20</v>
      </c>
      <c r="D382" s="3">
        <v>53</v>
      </c>
      <c r="E382" s="3">
        <f>IF(ISERROR(VLOOKUP($A382,'SegEnds_NonXtal_BW#'!$A:$Z,4,FALSE)+VLOOKUP($A382,A:AL,4,FALSE)-50),"-",(VLOOKUP($A382,'SegEnds_NonXtal_BW#'!$A:$Z,4,FALSE)+VLOOKUP($A382,A:AL,4,FALSE)-50))</f>
        <v>63</v>
      </c>
      <c r="F382" s="3" t="str">
        <f>IF(ISERROR(VLOOKUP($A382,'SegEnds_NonXtal_BW#'!$A:$Z,5,FALSE)+VLOOKUP($A382,A:AL,7,FALSE)-50),"-",(VLOOKUP($A382,'SegEnds_NonXtal_BW#'!$A:$Z,5,FALSE)+VLOOKUP($A382,A:AL,7,FALSE)-50))</f>
        <v>-</v>
      </c>
      <c r="G382" s="3" t="s">
        <v>23</v>
      </c>
      <c r="H382" s="3" t="str">
        <f>IF(ISERROR(VLOOKUP($A382,'SegEnds_NonXtal_BW#'!$A:$Z,6,FALSE)+VLOOKUP($A382,A:AL,7,FALSE)-50),"-",(VLOOKUP($A382,'SegEnds_NonXtal_BW#'!$A:$Z,6,FALSE)+VLOOKUP($A382,A:AL,7,FALSE)-50))</f>
        <v>-</v>
      </c>
      <c r="I382" s="3">
        <f>VLOOKUP($A382,'SegEnds_NonXtal_BW#'!$A:$Z,7,FALSE)+J382-50</f>
        <v>60</v>
      </c>
      <c r="J382" s="3">
        <v>71</v>
      </c>
      <c r="K382" s="3">
        <f>VLOOKUP($A382,'SegEnds_NonXtal_BW#'!$A:$Z,8,FALSE)+VLOOKUP($A382,A:AL,10,FALSE)-50</f>
        <v>84</v>
      </c>
      <c r="L382" s="3" t="str">
        <f>IF(ISERROR(VLOOKUP($A382,'SegEnds_NonXtal_BW#'!$A:$Z,9,FALSE)+VLOOKUP($A382,A:AL,13,FALSE)-50),"-",(VLOOKUP($A382,'SegEnds_NonXtal_BW#'!$A:$Z,9,FALSE)+VLOOKUP($A382,A:AL,13,FALSE)-50))</f>
        <v>-</v>
      </c>
      <c r="M382" s="3" t="s">
        <v>23</v>
      </c>
      <c r="N382" s="3" t="str">
        <f>IF(ISERROR(VLOOKUP($A382,'SegEnds_NonXtal_BW#'!$A:$Z,10,FALSE)+VLOOKUP($A382,A:AL,13,FALSE)-50),"-",(VLOOKUP($A382,'SegEnds_NonXtal_BW#'!$A:$Z,10,FALSE)+VLOOKUP($A382,A:AL,13,FALSE)-50))</f>
        <v>-</v>
      </c>
      <c r="O382" s="3">
        <f>VLOOKUP($A382,'SegEnds_NonXtal_BW#'!$A:$Z,11,FALSE)+VLOOKUP($A382,A:AL,16,FALSE)-50</f>
        <v>125</v>
      </c>
      <c r="P382" s="3">
        <v>152</v>
      </c>
      <c r="Q382" s="3">
        <f>VLOOKUP($A382,'SegEnds_NonXtal_BW#'!$A:$Z,12,FALSE)+VLOOKUP($A382,A:AL,16,FALSE)-50</f>
        <v>158</v>
      </c>
      <c r="R382" s="3" t="str">
        <f>IF(ISERROR(VLOOKUP($A382,'SegEnds_NonXtal_BW#'!$A:$Z,13,FALSE)+VLOOKUP($A382,A:AL,19,FALSE)-50),"-",VLOOKUP($A382,'SegEnds_NonXtal_BW#'!$A:$Z,13,FALSE)+VLOOKUP($A382,A:AL,19,FALSE)-50)</f>
        <v>-</v>
      </c>
      <c r="S382" s="3" t="s">
        <v>23</v>
      </c>
      <c r="T382" s="100" t="str">
        <f>IF(ISERROR(VLOOKUP($A382,'SegEnds_NonXtal_BW#'!$A:$Z,14,FALSE)+VLOOKUP($A382,A:AL,19,FALSE)-50),"-",(VLOOKUP($A382,'SegEnds_NonXtal_BW#'!$A:$Z,14,FALSE)+VLOOKUP($A382,A:AL,19,FALSE)-50))</f>
        <v>-</v>
      </c>
      <c r="U382" s="9">
        <f>IF(ISERROR(VLOOKUP($A382,'SegEnds_NonXtal_BW#'!$A:$Z,15,FALSE)+VLOOKUP($A382,A:AL,22,FALSE)-50),"-",VLOOKUP($A382,'SegEnds_NonXtal_BW#'!$A:$Z,15,FALSE)+VLOOKUP($A382,A:AL,22,FALSE)-50)</f>
        <v>175</v>
      </c>
      <c r="V382" s="3">
        <v>185</v>
      </c>
      <c r="W382" s="3">
        <f>IF(ISERROR(VLOOKUP($A382,'SegEnds_NonXtal_BW#'!$A:$Z,16,FALSE)+VLOOKUP($A382,A:AL,22,FALSE)-50),"-",(VLOOKUP($A382,'SegEnds_NonXtal_BW#'!$A:$Z,16,FALSE)+VLOOKUP($A382,A:AL,22,FALSE)-50))</f>
        <v>199</v>
      </c>
      <c r="X382" s="3" t="str">
        <f>IF(ISERROR(VLOOKUP($A382,'SegEnds_NonXtal_BW#'!$A:$Z,17,FALSE)+VLOOKUP($A382,A:AL,25,FALSE)-50),"-",(VLOOKUP($A382,'SegEnds_NonXtal_BW#'!$A:$Z,17,FALSE)+VLOOKUP($A382,A:AL,25,FALSE)-50))</f>
        <v>-</v>
      </c>
      <c r="Y382" s="3" t="s">
        <v>23</v>
      </c>
      <c r="Z382" s="3" t="str">
        <f>IF(ISERROR(VLOOKUP($A382,'SegEnds_NonXtal_BW#'!$A:$Z,18,FALSE)+VLOOKUP($A382,A:AL,25,FALSE)-50),"-",(VLOOKUP($A382,'SegEnds_NonXtal_BW#'!$A:$Z,18,FALSE)+VLOOKUP($A382,A:AL,25,FALSE)-50))</f>
        <v>-</v>
      </c>
      <c r="AA382" s="3">
        <f>IF(ISERROR(VLOOKUP($A382,'SegEnds_NonXtal_BW#'!$A:$Z,19,FALSE)+VLOOKUP($A382,A:AL,28,FALSE)-50),"-",(VLOOKUP($A382,'SegEnds_NonXtal_BW#'!$A:$Z,19,FALSE)+VLOOKUP($A382,A:AL,28,FALSE)-50))</f>
        <v>257</v>
      </c>
      <c r="AB382" s="3">
        <v>268</v>
      </c>
      <c r="AC382" s="3">
        <f>IF(ISERROR((VLOOKUP($A382,'SegEnds_NonXtal_BW#'!$A:$Z,20,FALSE)+VLOOKUP($A382,A:AL,28,FALSE)-50)),"-",(VLOOKUP($A382,'SegEnds_NonXtal_BW#'!$A:$Z,20,FALSE)+VLOOKUP($A382,A:AL,28,FALSE)-50))</f>
        <v>279</v>
      </c>
      <c r="AD382" s="3">
        <f>IF(ISERROR(VLOOKUP($A382,'SegEnds_NonXtal_BW#'!$A:$Z,21,FALSE)+VLOOKUP($A382,A:AL,31,FALSE)-50),"-",(VLOOKUP($A382,'SegEnds_NonXtal_BW#'!$A:$Z,21,FALSE)+VLOOKUP($A382,A:AL,31,FALSE)-50))</f>
        <v>326</v>
      </c>
      <c r="AE382" s="3">
        <v>347</v>
      </c>
      <c r="AF382" s="3">
        <f>IF(ISERROR((VLOOKUP($A382,'SegEnds_NonXtal_BW#'!$A:$Z,22,FALSE)+VLOOKUP($A382,A:AL,31,FALSE)-50)),"-",(VLOOKUP($A382,'SegEnds_NonXtal_BW#'!$A:$Z,22,FALSE)+VLOOKUP($A382,A:AL,31,FALSE)-50))</f>
        <v>350</v>
      </c>
      <c r="AG382" s="3">
        <f>IF(ISERROR(VLOOKUP($A382,'SegEnds_NonXtal_BW#'!$A:$Z,23,FALSE)+VLOOKUP($A382,A:AL,34,FALSE)-50),"-",(VLOOKUP($A382,'SegEnds_NonXtal_BW#'!$A:$Z,23,FALSE)+VLOOKUP($A382,A:AL,34,FALSE)-50))</f>
        <v>365</v>
      </c>
      <c r="AH382" s="3">
        <v>380</v>
      </c>
      <c r="AI382" s="3">
        <f>IF(ISERROR((VLOOKUP($A382,'SegEnds_NonXtal_BW#'!$A:$Z,24,FALSE)+VLOOKUP($A382,A:AL,34,FALSE)-50)),"-",(VLOOKUP($A382,'SegEnds_NonXtal_BW#'!$A:$Z,24,FALSE)+VLOOKUP($A382,A:AL,34,FALSE)-50))</f>
        <v>386</v>
      </c>
      <c r="AJ382" s="3">
        <f>IF(ISERROR(VLOOKUP($A382,'SegEnds_NonXtal_BW#'!$A:$Z,25,FALSE)+VLOOKUP($A382,A:AL,37,FALSE)-50),"-",(VLOOKUP($A382,'SegEnds_NonXtal_BW#'!$A:$Z,25,FALSE)+VLOOKUP($A382,A:AL,37,FALSE)-50))</f>
        <v>387</v>
      </c>
      <c r="AK382" s="3">
        <v>390</v>
      </c>
      <c r="AL382" s="3">
        <f>IF(ISERROR((VLOOKUP($A382,'SegEnds_NonXtal_BW#'!$A:$Z,26,FALSE)+VLOOKUP($A382,A:AL,37,FALSE)-50)),"-",(VLOOKUP($A382,'SegEnds_NonXtal_BW#'!$A:$Z,26,FALSE)+VLOOKUP($A382,A:AL,37,FALSE)-50))</f>
        <v>397</v>
      </c>
      <c r="AM382" s="28" t="str">
        <f>VLOOKUP(A382,Classification!A:B,2,FALSE)</f>
        <v>O</v>
      </c>
      <c r="AN382" s="28" t="b">
        <f t="shared" si="195"/>
        <v>1</v>
      </c>
      <c r="AO382" s="3" t="str">
        <f>IF(ISERROR(MATCH(A382,'SegEnds_Xtal_Prot#'!B:B, 0)), "NoXtal", "Xtal")</f>
        <v>NoXtal</v>
      </c>
      <c r="AP382" s="3" t="str">
        <f t="shared" si="180"/>
        <v>-</v>
      </c>
      <c r="AQ382" s="3" t="str">
        <f t="shared" si="181"/>
        <v>-</v>
      </c>
      <c r="AR382" s="3" t="str">
        <f t="shared" si="182"/>
        <v>-</v>
      </c>
      <c r="AS382" s="3" t="str">
        <f t="shared" si="183"/>
        <v>-</v>
      </c>
      <c r="AT382" s="3" t="str">
        <f t="shared" si="184"/>
        <v>-</v>
      </c>
      <c r="AU382" s="3" t="str">
        <f t="shared" si="185"/>
        <v>-</v>
      </c>
      <c r="AV382" s="3" t="str">
        <f t="shared" si="186"/>
        <v>-</v>
      </c>
      <c r="AW382" s="3" t="str">
        <f t="shared" si="187"/>
        <v>-</v>
      </c>
      <c r="AX382" s="3">
        <f t="shared" si="188"/>
        <v>47</v>
      </c>
      <c r="AY382" s="3">
        <f t="shared" si="189"/>
        <v>15</v>
      </c>
      <c r="AZ382" s="3">
        <f t="shared" si="190"/>
        <v>1</v>
      </c>
      <c r="BA382" s="3">
        <f>IF(ISERROR(LEN(VLOOKUP(A382,Seqs!A:E,2,FALSE))-AL382),"-",LEN(VLOOKUP(A382,Seqs!A:E,2,FALSE))-AL382)</f>
        <v>20</v>
      </c>
      <c r="BB382" s="16">
        <f t="shared" si="191"/>
        <v>18</v>
      </c>
      <c r="BC382" s="9" t="str">
        <f t="shared" si="192"/>
        <v>-</v>
      </c>
      <c r="BD382" s="3">
        <f t="shared" si="193"/>
        <v>18</v>
      </c>
      <c r="BE382" s="3">
        <f t="shared" si="194"/>
        <v>79</v>
      </c>
      <c r="BF382" s="3">
        <f>AH382-AE382</f>
        <v>33</v>
      </c>
    </row>
    <row r="383" spans="1:58" s="3" customFormat="1" x14ac:dyDescent="0.2">
      <c r="A383" s="3" t="s">
        <v>482</v>
      </c>
      <c r="B383" s="3" t="str">
        <f>LOWER(VLOOKUP(A383,Xtal_Templ!A:B,2,FALSE))</f>
        <v>ccr9_human</v>
      </c>
      <c r="C383" s="3">
        <v>202</v>
      </c>
      <c r="D383" s="3">
        <v>231</v>
      </c>
      <c r="E383" s="3">
        <f>IF(ISERROR(VLOOKUP($A383,'SegEnds_NonXtal_BW#'!$A:$Z,4,FALSE)+VLOOKUP($A383,A:AL,4,FALSE)-50),"-",(VLOOKUP($A383,'SegEnds_NonXtal_BW#'!$A:$Z,4,FALSE)+VLOOKUP($A383,A:AL,4,FALSE)-50))</f>
        <v>241</v>
      </c>
      <c r="F383" s="3" t="str">
        <f>IF(ISERROR(VLOOKUP($A383,'SegEnds_NonXtal_BW#'!$A:$Z,5,FALSE)+VLOOKUP($A383,A:AL,7,FALSE)-50),"-",(VLOOKUP($A383,'SegEnds_NonXtal_BW#'!$A:$Z,5,FALSE)+VLOOKUP($A383,A:AL,7,FALSE)-50))</f>
        <v>-</v>
      </c>
      <c r="G383" s="3" t="s">
        <v>23</v>
      </c>
      <c r="H383" s="3" t="str">
        <f>IF(ISERROR(VLOOKUP($A383,'SegEnds_NonXtal_BW#'!$A:$Z,6,FALSE)+VLOOKUP($A383,A:AL,7,FALSE)-50),"-",(VLOOKUP($A383,'SegEnds_NonXtal_BW#'!$A:$Z,6,FALSE)+VLOOKUP($A383,A:AL,7,FALSE)-50))</f>
        <v>-</v>
      </c>
      <c r="I383" s="3">
        <f>VLOOKUP($A383,'SegEnds_NonXtal_BW#'!$A:$Z,7,FALSE)+J383-50</f>
        <v>269</v>
      </c>
      <c r="J383" s="3">
        <v>280</v>
      </c>
      <c r="K383" s="3">
        <f>VLOOKUP($A383,'SegEnds_NonXtal_BW#'!$A:$Z,8,FALSE)+VLOOKUP($A383,A:AL,10,FALSE)-50</f>
        <v>293</v>
      </c>
      <c r="L383" s="3" t="str">
        <f>IF(ISERROR(VLOOKUP($A383,'SegEnds_NonXtal_BW#'!$A:$Z,9,FALSE)+VLOOKUP($A383,A:AL,13,FALSE)-50),"-",(VLOOKUP($A383,'SegEnds_NonXtal_BW#'!$A:$Z,9,FALSE)+VLOOKUP($A383,A:AL,13,FALSE)-50))</f>
        <v>-</v>
      </c>
      <c r="M383" s="3" t="s">
        <v>23</v>
      </c>
      <c r="N383" s="3" t="str">
        <f>IF(ISERROR(VLOOKUP($A383,'SegEnds_NonXtal_BW#'!$A:$Z,10,FALSE)+VLOOKUP($A383,A:AL,13,FALSE)-50),"-",(VLOOKUP($A383,'SegEnds_NonXtal_BW#'!$A:$Z,10,FALSE)+VLOOKUP($A383,A:AL,13,FALSE)-50))</f>
        <v>-</v>
      </c>
      <c r="O383" s="3">
        <f>VLOOKUP($A383,'SegEnds_NonXtal_BW#'!$A:$Z,11,FALSE)+VLOOKUP($A383,A:AL,16,FALSE)-50</f>
        <v>327</v>
      </c>
      <c r="P383" s="3">
        <v>354</v>
      </c>
      <c r="Q383" s="3">
        <f>VLOOKUP($A383,'SegEnds_NonXtal_BW#'!$A:$Z,12,FALSE)+VLOOKUP($A383,A:AL,16,FALSE)-50</f>
        <v>360</v>
      </c>
      <c r="R383" s="3" t="str">
        <f>IF(ISERROR(VLOOKUP($A383,'SegEnds_NonXtal_BW#'!$A:$Z,13,FALSE)+VLOOKUP($A383,A:AL,19,FALSE)-50),"-",VLOOKUP($A383,'SegEnds_NonXtal_BW#'!$A:$Z,13,FALSE)+VLOOKUP($A383,A:AL,19,FALSE)-50)</f>
        <v>-</v>
      </c>
      <c r="S383" s="3" t="s">
        <v>23</v>
      </c>
      <c r="T383" s="100" t="str">
        <f>IF(ISERROR(VLOOKUP($A383,'SegEnds_NonXtal_BW#'!$A:$Z,14,FALSE)+VLOOKUP($A383,A:AL,19,FALSE)-50),"-",(VLOOKUP($A383,'SegEnds_NonXtal_BW#'!$A:$Z,14,FALSE)+VLOOKUP($A383,A:AL,19,FALSE)-50))</f>
        <v>-</v>
      </c>
      <c r="U383" s="9">
        <f>IF(ISERROR(VLOOKUP($A383,'SegEnds_NonXtal_BW#'!$A:$Z,15,FALSE)+VLOOKUP($A383,A:AL,22,FALSE)-50),"-",VLOOKUP($A383,'SegEnds_NonXtal_BW#'!$A:$Z,15,FALSE)+VLOOKUP($A383,A:AL,22,FALSE)-50)</f>
        <v>381</v>
      </c>
      <c r="V383" s="3">
        <v>391</v>
      </c>
      <c r="W383" s="3">
        <f>IF(ISERROR(VLOOKUP($A383,'SegEnds_NonXtal_BW#'!$A:$Z,16,FALSE)+VLOOKUP($A383,A:AL,22,FALSE)-50),"-",(VLOOKUP($A383,'SegEnds_NonXtal_BW#'!$A:$Z,16,FALSE)+VLOOKUP($A383,A:AL,22,FALSE)-50))</f>
        <v>405</v>
      </c>
      <c r="X383" s="3" t="str">
        <f>IF(ISERROR(VLOOKUP($A383,'SegEnds_NonXtal_BW#'!$A:$Z,17,FALSE)+VLOOKUP($A383,A:AL,25,FALSE)-50),"-",(VLOOKUP($A383,'SegEnds_NonXtal_BW#'!$A:$Z,17,FALSE)+VLOOKUP($A383,A:AL,25,FALSE)-50))</f>
        <v>-</v>
      </c>
      <c r="Y383" s="3" t="s">
        <v>23</v>
      </c>
      <c r="Z383" s="3" t="str">
        <f>IF(ISERROR(VLOOKUP($A383,'SegEnds_NonXtal_BW#'!$A:$Z,18,FALSE)+VLOOKUP($A383,A:AL,25,FALSE)-50),"-",(VLOOKUP($A383,'SegEnds_NonXtal_BW#'!$A:$Z,18,FALSE)+VLOOKUP($A383,A:AL,25,FALSE)-50))</f>
        <v>-</v>
      </c>
      <c r="AA383" s="3">
        <f>IF(ISERROR(VLOOKUP($A383,'SegEnds_NonXtal_BW#'!$A:$Z,19,FALSE)+VLOOKUP($A383,A:AL,28,FALSE)-50),"-",(VLOOKUP($A383,'SegEnds_NonXtal_BW#'!$A:$Z,19,FALSE)+VLOOKUP($A383,A:AL,28,FALSE)-50))</f>
        <v>461</v>
      </c>
      <c r="AB383" s="3">
        <v>472</v>
      </c>
      <c r="AC383" s="3">
        <f>IF(ISERROR((VLOOKUP($A383,'SegEnds_NonXtal_BW#'!$A:$Z,20,FALSE)+VLOOKUP($A383,A:AL,28,FALSE)-50)),"-",(VLOOKUP($A383,'SegEnds_NonXtal_BW#'!$A:$Z,20,FALSE)+VLOOKUP($A383,A:AL,28,FALSE)-50))</f>
        <v>483</v>
      </c>
      <c r="AD383" s="3">
        <f>IF(ISERROR(VLOOKUP($A383,'SegEnds_NonXtal_BW#'!$A:$Z,21,FALSE)+VLOOKUP($A383,A:AL,31,FALSE)-50),"-",(VLOOKUP($A383,'SegEnds_NonXtal_BW#'!$A:$Z,21,FALSE)+VLOOKUP($A383,A:AL,31,FALSE)-50))</f>
        <v>488</v>
      </c>
      <c r="AE383" s="3">
        <v>509</v>
      </c>
      <c r="AF383" s="3">
        <f>IF(ISERROR((VLOOKUP($A383,'SegEnds_NonXtal_BW#'!$A:$Z,22,FALSE)+VLOOKUP($A383,A:AL,31,FALSE)-50)),"-",(VLOOKUP($A383,'SegEnds_NonXtal_BW#'!$A:$Z,22,FALSE)+VLOOKUP($A383,A:AL,31,FALSE)-50))</f>
        <v>512</v>
      </c>
      <c r="AG383" s="3">
        <f>IF(ISERROR(VLOOKUP($A383,'SegEnds_NonXtal_BW#'!$A:$Z,23,FALSE)+VLOOKUP($A383,A:AL,34,FALSE)-50),"-",(VLOOKUP($A383,'SegEnds_NonXtal_BW#'!$A:$Z,23,FALSE)+VLOOKUP($A383,A:AL,34,FALSE)-50))</f>
        <v>538</v>
      </c>
      <c r="AH383" s="3">
        <v>553</v>
      </c>
      <c r="AI383" s="3">
        <f>IF(ISERROR((VLOOKUP($A383,'SegEnds_NonXtal_BW#'!$A:$Z,24,FALSE)+VLOOKUP($A383,A:AL,34,FALSE)-50)),"-",(VLOOKUP($A383,'SegEnds_NonXtal_BW#'!$A:$Z,24,FALSE)+VLOOKUP($A383,A:AL,34,FALSE)-50))</f>
        <v>559</v>
      </c>
      <c r="AJ383" s="3">
        <f>IF(ISERROR(VLOOKUP($A383,'SegEnds_NonXtal_BW#'!$A:$Z,25,FALSE)+VLOOKUP($A383,A:AL,37,FALSE)-50),"-",(VLOOKUP($A383,'SegEnds_NonXtal_BW#'!$A:$Z,25,FALSE)+VLOOKUP($A383,A:AL,37,FALSE)-50))</f>
        <v>561</v>
      </c>
      <c r="AK383" s="3">
        <v>564</v>
      </c>
      <c r="AL383" s="3">
        <f>IF(ISERROR((VLOOKUP($A383,'SegEnds_NonXtal_BW#'!$A:$Z,26,FALSE)+VLOOKUP($A383,A:AL,37,FALSE)-50)),"-",(VLOOKUP($A383,'SegEnds_NonXtal_BW#'!$A:$Z,26,FALSE)+VLOOKUP($A383,A:AL,37,FALSE)-50))</f>
        <v>571</v>
      </c>
      <c r="AM383" s="28" t="str">
        <f>VLOOKUP(A383,Classification!A:B,2,FALSE)</f>
        <v>O</v>
      </c>
      <c r="AN383" s="28" t="b">
        <f t="shared" si="195"/>
        <v>1</v>
      </c>
      <c r="AO383" s="3" t="str">
        <f>IF(ISERROR(MATCH(A383,'SegEnds_Xtal_Prot#'!B:B, 0)), "NoXtal", "Xtal")</f>
        <v>NoXtal</v>
      </c>
      <c r="AP383" s="3" t="str">
        <f t="shared" si="180"/>
        <v>-</v>
      </c>
      <c r="AQ383" s="3" t="str">
        <f t="shared" si="181"/>
        <v>-</v>
      </c>
      <c r="AR383" s="3" t="str">
        <f t="shared" si="182"/>
        <v>-</v>
      </c>
      <c r="AS383" s="3" t="str">
        <f t="shared" si="183"/>
        <v>-</v>
      </c>
      <c r="AT383" s="3" t="str">
        <f t="shared" si="184"/>
        <v>-</v>
      </c>
      <c r="AU383" s="3" t="str">
        <f t="shared" si="185"/>
        <v>-</v>
      </c>
      <c r="AV383" s="3" t="str">
        <f t="shared" si="186"/>
        <v>-</v>
      </c>
      <c r="AW383" s="3" t="str">
        <f t="shared" si="187"/>
        <v>-</v>
      </c>
      <c r="AX383" s="3">
        <f t="shared" si="188"/>
        <v>5</v>
      </c>
      <c r="AY383" s="3">
        <f t="shared" si="189"/>
        <v>26</v>
      </c>
      <c r="AZ383" s="3">
        <f t="shared" si="190"/>
        <v>2</v>
      </c>
      <c r="BA383" s="3">
        <f>IF(ISERROR(LEN(VLOOKUP(A383,Seqs!A:E,2,FALSE))-AL383),"-",LEN(VLOOKUP(A383,Seqs!A:E,2,FALSE))-AL383)</f>
        <v>29</v>
      </c>
      <c r="BB383" s="16">
        <f t="shared" si="191"/>
        <v>49</v>
      </c>
      <c r="BC383" s="9" t="str">
        <f t="shared" si="192"/>
        <v>-</v>
      </c>
      <c r="BD383" s="3">
        <f t="shared" si="193"/>
        <v>49</v>
      </c>
      <c r="BE383" s="3">
        <f t="shared" si="194"/>
        <v>37</v>
      </c>
      <c r="BF383" s="3">
        <f>AH383-AE383</f>
        <v>44</v>
      </c>
    </row>
    <row r="384" spans="1:58" s="3" customFormat="1" x14ac:dyDescent="0.2">
      <c r="A384" s="3" t="s">
        <v>485</v>
      </c>
      <c r="B384" s="3" t="str">
        <f>LOWER(VLOOKUP(A384,Xtal_Templ!A:B,2,FALSE))</f>
        <v>aa2ar_human</v>
      </c>
      <c r="C384" s="3">
        <v>12</v>
      </c>
      <c r="D384" s="3">
        <v>42</v>
      </c>
      <c r="E384" s="3">
        <f>IF(ISERROR(VLOOKUP($A384,'SegEnds_NonXtal_BW#'!$A:$Z,4,FALSE)+VLOOKUP($A384,A:AL,4,FALSE)-50),"-",(VLOOKUP($A384,'SegEnds_NonXtal_BW#'!$A:$Z,4,FALSE)+VLOOKUP($A384,A:AL,4,FALSE)-50))</f>
        <v>52</v>
      </c>
      <c r="F384" s="3" t="str">
        <f>IF(ISERROR(VLOOKUP($A384,'SegEnds_NonXtal_BW#'!$A:$Z,5,FALSE)+VLOOKUP($A384,A:AL,7,FALSE)-50),"-",(VLOOKUP($A384,'SegEnds_NonXtal_BW#'!$A:$Z,5,FALSE)+VLOOKUP($A384,A:AL,7,FALSE)-50))</f>
        <v>-</v>
      </c>
      <c r="G384" s="3" t="s">
        <v>23</v>
      </c>
      <c r="H384" s="3" t="str">
        <f>IF(ISERROR(VLOOKUP($A384,'SegEnds_NonXtal_BW#'!$A:$Z,6,FALSE)+VLOOKUP($A384,A:AL,7,FALSE)-50),"-",(VLOOKUP($A384,'SegEnds_NonXtal_BW#'!$A:$Z,6,FALSE)+VLOOKUP($A384,A:AL,7,FALSE)-50))</f>
        <v>-</v>
      </c>
      <c r="I384" s="3">
        <f>VLOOKUP($A384,'SegEnds_NonXtal_BW#'!$A:$Z,7,FALSE)+J384-50</f>
        <v>67</v>
      </c>
      <c r="J384" s="3">
        <v>78</v>
      </c>
      <c r="K384" s="3">
        <f>VLOOKUP($A384,'SegEnds_NonXtal_BW#'!$A:$Z,8,FALSE)+VLOOKUP($A384,A:AL,10,FALSE)-50</f>
        <v>91</v>
      </c>
      <c r="L384" s="3" t="str">
        <f>IF(ISERROR(VLOOKUP($A384,'SegEnds_NonXtal_BW#'!$A:$Z,9,FALSE)+VLOOKUP($A384,A:AL,13,FALSE)-50),"-",(VLOOKUP($A384,'SegEnds_NonXtal_BW#'!$A:$Z,9,FALSE)+VLOOKUP($A384,A:AL,13,FALSE)-50))</f>
        <v>-</v>
      </c>
      <c r="M384" s="3" t="s">
        <v>23</v>
      </c>
      <c r="N384" s="3" t="str">
        <f>IF(ISERROR(VLOOKUP($A384,'SegEnds_NonXtal_BW#'!$A:$Z,10,FALSE)+VLOOKUP($A384,A:AL,13,FALSE)-50),"-",(VLOOKUP($A384,'SegEnds_NonXtal_BW#'!$A:$Z,10,FALSE)+VLOOKUP($A384,A:AL,13,FALSE)-50))</f>
        <v>-</v>
      </c>
      <c r="O384" s="3">
        <f>VLOOKUP($A384,'SegEnds_NonXtal_BW#'!$A:$Z,11,FALSE)+VLOOKUP($A384,A:AL,16,FALSE)-50</f>
        <v>114</v>
      </c>
      <c r="P384" s="3">
        <v>141</v>
      </c>
      <c r="Q384" s="3">
        <f>VLOOKUP($A384,'SegEnds_NonXtal_BW#'!$A:$Z,12,FALSE)+VLOOKUP($A384,A:AL,16,FALSE)-50</f>
        <v>147</v>
      </c>
      <c r="R384" s="3" t="str">
        <f>IF(ISERROR(VLOOKUP($A384,'SegEnds_NonXtal_BW#'!$A:$Z,13,FALSE)+VLOOKUP($A384,A:AL,19,FALSE)-50),"-",VLOOKUP($A384,'SegEnds_NonXtal_BW#'!$A:$Z,13,FALSE)+VLOOKUP($A384,A:AL,19,FALSE)-50)</f>
        <v>-</v>
      </c>
      <c r="S384" s="3" t="s">
        <v>23</v>
      </c>
      <c r="T384" s="100" t="str">
        <f>IF(ISERROR(VLOOKUP($A384,'SegEnds_NonXtal_BW#'!$A:$Z,14,FALSE)+VLOOKUP($A384,A:AL,19,FALSE)-50),"-",(VLOOKUP($A384,'SegEnds_NonXtal_BW#'!$A:$Z,14,FALSE)+VLOOKUP($A384,A:AL,19,FALSE)-50))</f>
        <v>-</v>
      </c>
      <c r="U384" s="9">
        <f>IF(ISERROR(VLOOKUP($A384,'SegEnds_NonXtal_BW#'!$A:$Z,15,FALSE)+VLOOKUP($A384,A:AL,22,FALSE)-50),"-",VLOOKUP($A384,'SegEnds_NonXtal_BW#'!$A:$Z,15,FALSE)+VLOOKUP($A384,A:AL,22,FALSE)-50)</f>
        <v>152</v>
      </c>
      <c r="V384" s="3">
        <v>162</v>
      </c>
      <c r="W384" s="3">
        <f>IF(ISERROR(VLOOKUP($A384,'SegEnds_NonXtal_BW#'!$A:$Z,16,FALSE)+VLOOKUP($A384,A:AL,22,FALSE)-50),"-",(VLOOKUP($A384,'SegEnds_NonXtal_BW#'!$A:$Z,16,FALSE)+VLOOKUP($A384,A:AL,22,FALSE)-50))</f>
        <v>176</v>
      </c>
      <c r="X384" s="3" t="str">
        <f>IF(ISERROR(VLOOKUP($A384,'SegEnds_NonXtal_BW#'!$A:$Z,17,FALSE)+VLOOKUP($A384,A:AL,25,FALSE)-50),"-",(VLOOKUP($A384,'SegEnds_NonXtal_BW#'!$A:$Z,17,FALSE)+VLOOKUP($A384,A:AL,25,FALSE)-50))</f>
        <v>-</v>
      </c>
      <c r="Y384" s="3" t="s">
        <v>23</v>
      </c>
      <c r="Z384" s="3" t="str">
        <f>IF(ISERROR(VLOOKUP($A384,'SegEnds_NonXtal_BW#'!$A:$Z,18,FALSE)+VLOOKUP($A384,A:AL,25,FALSE)-50),"-",(VLOOKUP($A384,'SegEnds_NonXtal_BW#'!$A:$Z,18,FALSE)+VLOOKUP($A384,A:AL,25,FALSE)-50))</f>
        <v>-</v>
      </c>
      <c r="AA384" s="3">
        <f>IF(ISERROR(VLOOKUP($A384,'SegEnds_NonXtal_BW#'!$A:$Z,19,FALSE)+VLOOKUP($A384,A:AL,28,FALSE)-50),"-",(VLOOKUP($A384,'SegEnds_NonXtal_BW#'!$A:$Z,19,FALSE)+VLOOKUP($A384,A:AL,28,FALSE)-50))</f>
        <v>190</v>
      </c>
      <c r="AB384" s="3">
        <v>201</v>
      </c>
      <c r="AC384" s="3">
        <f>IF(ISERROR((VLOOKUP($A384,'SegEnds_NonXtal_BW#'!$A:$Z,20,FALSE)+VLOOKUP($A384,A:AL,28,FALSE)-50)),"-",(VLOOKUP($A384,'SegEnds_NonXtal_BW#'!$A:$Z,20,FALSE)+VLOOKUP($A384,A:AL,28,FALSE)-50))</f>
        <v>212</v>
      </c>
      <c r="AD384" s="3">
        <f>IF(ISERROR(VLOOKUP($A384,'SegEnds_NonXtal_BW#'!$A:$Z,21,FALSE)+VLOOKUP($A384,A:AL,31,FALSE)-50),"-",(VLOOKUP($A384,'SegEnds_NonXtal_BW#'!$A:$Z,21,FALSE)+VLOOKUP($A384,A:AL,31,FALSE)-50))</f>
        <v>238</v>
      </c>
      <c r="AE384" s="3">
        <v>259</v>
      </c>
      <c r="AF384" s="3">
        <f>IF(ISERROR((VLOOKUP($A384,'SegEnds_NonXtal_BW#'!$A:$Z,22,FALSE)+VLOOKUP($A384,A:AL,31,FALSE)-50)),"-",(VLOOKUP($A384,'SegEnds_NonXtal_BW#'!$A:$Z,22,FALSE)+VLOOKUP($A384,A:AL,31,FALSE)-50))</f>
        <v>262</v>
      </c>
      <c r="AG384" s="3">
        <f>IF(ISERROR(VLOOKUP($A384,'SegEnds_NonXtal_BW#'!$A:$Z,23,FALSE)+VLOOKUP($A384,A:AL,34,FALSE)-50),"-",(VLOOKUP($A384,'SegEnds_NonXtal_BW#'!$A:$Z,23,FALSE)+VLOOKUP($A384,A:AL,34,FALSE)-50))</f>
        <v>293</v>
      </c>
      <c r="AH384" s="3">
        <v>308</v>
      </c>
      <c r="AI384" s="3">
        <f>IF(ISERROR((VLOOKUP($A384,'SegEnds_NonXtal_BW#'!$A:$Z,24,FALSE)+VLOOKUP($A384,A:AL,34,FALSE)-50)),"-",(VLOOKUP($A384,'SegEnds_NonXtal_BW#'!$A:$Z,24,FALSE)+VLOOKUP($A384,A:AL,34,FALSE)-50))</f>
        <v>314</v>
      </c>
      <c r="AJ384" s="3">
        <f>IF(ISERROR(VLOOKUP($A384,'SegEnds_NonXtal_BW#'!$A:$Z,25,FALSE)+VLOOKUP($A384,A:AL,37,FALSE)-50),"-",(VLOOKUP($A384,'SegEnds_NonXtal_BW#'!$A:$Z,25,FALSE)+VLOOKUP($A384,A:AL,37,FALSE)-50))</f>
        <v>315</v>
      </c>
      <c r="AK384" s="3">
        <v>318</v>
      </c>
      <c r="AL384" s="3">
        <f>IF(ISERROR((VLOOKUP($A384,'SegEnds_NonXtal_BW#'!$A:$Z,26,FALSE)+VLOOKUP($A384,A:AL,37,FALSE)-50)),"-",(VLOOKUP($A384,'SegEnds_NonXtal_BW#'!$A:$Z,26,FALSE)+VLOOKUP($A384,A:AL,37,FALSE)-50))</f>
        <v>325</v>
      </c>
      <c r="AM384" s="28" t="str">
        <f>VLOOKUP(A384,Classification!A:B,2,FALSE)</f>
        <v>O</v>
      </c>
      <c r="AN384" s="28" t="b">
        <f t="shared" si="195"/>
        <v>1</v>
      </c>
      <c r="AO384" s="3" t="str">
        <f>IF(ISERROR(MATCH(A384,'SegEnds_Xtal_Prot#'!B:B, 0)), "NoXtal", "Xtal")</f>
        <v>NoXtal</v>
      </c>
      <c r="AP384" s="3" t="str">
        <f t="shared" si="180"/>
        <v>-</v>
      </c>
      <c r="AQ384" s="3" t="str">
        <f t="shared" si="181"/>
        <v>-</v>
      </c>
      <c r="AR384" s="3" t="str">
        <f t="shared" si="182"/>
        <v>-</v>
      </c>
      <c r="AS384" s="3" t="str">
        <f t="shared" si="183"/>
        <v>-</v>
      </c>
      <c r="AT384" s="3" t="str">
        <f t="shared" si="184"/>
        <v>-</v>
      </c>
      <c r="AU384" s="3" t="str">
        <f t="shared" si="185"/>
        <v>-</v>
      </c>
      <c r="AV384" s="3" t="str">
        <f t="shared" si="186"/>
        <v>-</v>
      </c>
      <c r="AW384" s="3" t="str">
        <f t="shared" si="187"/>
        <v>-</v>
      </c>
      <c r="AX384" s="3">
        <f t="shared" si="188"/>
        <v>26</v>
      </c>
      <c r="AY384" s="3">
        <f t="shared" si="189"/>
        <v>31</v>
      </c>
      <c r="AZ384" s="3">
        <f t="shared" si="190"/>
        <v>1</v>
      </c>
      <c r="BA384" s="3">
        <f>IF(ISERROR(LEN(VLOOKUP(A384,Seqs!A:E,2,FALSE))-AL384),"-",LEN(VLOOKUP(A384,Seqs!A:E,2,FALSE))-AL384)</f>
        <v>79</v>
      </c>
      <c r="BB384" s="16">
        <f t="shared" si="191"/>
        <v>36</v>
      </c>
      <c r="BC384" s="9" t="str">
        <f t="shared" si="192"/>
        <v>-</v>
      </c>
      <c r="BD384" s="3">
        <f t="shared" si="193"/>
        <v>36</v>
      </c>
      <c r="BE384" s="3">
        <f t="shared" si="194"/>
        <v>58</v>
      </c>
    </row>
    <row r="385" spans="1:58" s="3" customFormat="1" x14ac:dyDescent="0.2">
      <c r="A385" s="3" t="s">
        <v>486</v>
      </c>
      <c r="B385" s="3" t="str">
        <f>LOWER(VLOOKUP(A385,Xtal_Templ!A:B,2,FALSE))</f>
        <v>5ht2c_human</v>
      </c>
      <c r="C385" s="3">
        <f>VLOOKUP($A385,'SegEnds_NonXtal_BW#'!$A:$Z,3,FALSE)+D385-50</f>
        <v>12</v>
      </c>
      <c r="D385" s="3">
        <v>29</v>
      </c>
      <c r="E385" s="3">
        <f>IF(ISERROR(VLOOKUP($A385,'SegEnds_NonXtal_BW#'!$A:$Z,4,FALSE)+VLOOKUP($A385,A:AL,4,FALSE)-50),"-",(VLOOKUP($A385,'SegEnds_NonXtal_BW#'!$A:$Z,4,FALSE)+VLOOKUP($A385,A:AL,4,FALSE)-50))</f>
        <v>39</v>
      </c>
      <c r="F385" s="3" t="str">
        <f>IF(ISERROR(VLOOKUP($A385,'SegEnds_NonXtal_BW#'!$A:$Z,5,FALSE)+VLOOKUP($A385,A:AL,7,FALSE)-50),"-",(VLOOKUP($A385,'SegEnds_NonXtal_BW#'!$A:$Z,5,FALSE)+VLOOKUP($A385,A:AL,7,FALSE)-50))</f>
        <v>-</v>
      </c>
      <c r="G385" s="3" t="s">
        <v>23</v>
      </c>
      <c r="H385" s="3" t="str">
        <f>IF(ISERROR(VLOOKUP($A385,'SegEnds_NonXtal_BW#'!$A:$Z,6,FALSE)+VLOOKUP($A385,A:AL,7,FALSE)-50),"-",(VLOOKUP($A385,'SegEnds_NonXtal_BW#'!$A:$Z,6,FALSE)+VLOOKUP($A385,A:AL,7,FALSE)-50))</f>
        <v>-</v>
      </c>
      <c r="I385" s="3">
        <f>VLOOKUP($A385,'SegEnds_NonXtal_BW#'!$A:$Z,7,FALSE)+J385-50</f>
        <v>46</v>
      </c>
      <c r="J385" s="3">
        <v>57</v>
      </c>
      <c r="K385" s="3">
        <f>VLOOKUP($A385,'SegEnds_NonXtal_BW#'!$A:$Z,8,FALSE)+VLOOKUP($A385,A:AL,10,FALSE)-50</f>
        <v>70</v>
      </c>
      <c r="L385" s="3" t="str">
        <f>IF(ISERROR(VLOOKUP($A385,'SegEnds_NonXtal_BW#'!$A:$Z,9,FALSE)+VLOOKUP($A385,A:AL,13,FALSE)-50),"-",(VLOOKUP($A385,'SegEnds_NonXtal_BW#'!$A:$Z,9,FALSE)+VLOOKUP($A385,A:AL,13,FALSE)-50))</f>
        <v>-</v>
      </c>
      <c r="M385" s="3" t="s">
        <v>23</v>
      </c>
      <c r="N385" s="3" t="str">
        <f>IF(ISERROR(VLOOKUP($A385,'SegEnds_NonXtal_BW#'!$A:$Z,10,FALSE)+VLOOKUP($A385,A:AL,13,FALSE)-50),"-",(VLOOKUP($A385,'SegEnds_NonXtal_BW#'!$A:$Z,10,FALSE)+VLOOKUP($A385,A:AL,13,FALSE)-50))</f>
        <v>-</v>
      </c>
      <c r="O385" s="3">
        <f>VLOOKUP($A385,'SegEnds_NonXtal_BW#'!$A:$Z,11,FALSE)+VLOOKUP($A385,A:AL,16,FALSE)-50</f>
        <v>77</v>
      </c>
      <c r="P385" s="3">
        <v>104</v>
      </c>
      <c r="Q385" s="3">
        <f>VLOOKUP($A385,'SegEnds_NonXtal_BW#'!$A:$Z,12,FALSE)+VLOOKUP($A385,A:AL,16,FALSE)-50</f>
        <v>110</v>
      </c>
      <c r="R385" s="3" t="str">
        <f>IF(ISERROR(VLOOKUP($A385,'SegEnds_NonXtal_BW#'!$A:$Z,13,FALSE)+VLOOKUP($A385,A:AL,19,FALSE)-50),"-",VLOOKUP($A385,'SegEnds_NonXtal_BW#'!$A:$Z,13,FALSE)+VLOOKUP($A385,A:AL,19,FALSE)-50)</f>
        <v>-</v>
      </c>
      <c r="S385" s="3" t="s">
        <v>23</v>
      </c>
      <c r="T385" s="100" t="str">
        <f>IF(ISERROR(VLOOKUP($A385,'SegEnds_NonXtal_BW#'!$A:$Z,14,FALSE)+VLOOKUP($A385,A:AL,19,FALSE)-50),"-",(VLOOKUP($A385,'SegEnds_NonXtal_BW#'!$A:$Z,14,FALSE)+VLOOKUP($A385,A:AL,19,FALSE)-50))</f>
        <v>-</v>
      </c>
      <c r="U385" s="9">
        <f>IF(ISERROR(VLOOKUP($A385,'SegEnds_NonXtal_BW#'!$A:$Z,15,FALSE)+VLOOKUP($A385,A:AL,22,FALSE)-50),"-",VLOOKUP($A385,'SegEnds_NonXtal_BW#'!$A:$Z,15,FALSE)+VLOOKUP($A385,A:AL,22,FALSE)-50)</f>
        <v>125</v>
      </c>
      <c r="V385" s="3">
        <v>135</v>
      </c>
      <c r="W385" s="3">
        <f>IF(ISERROR(VLOOKUP($A385,'SegEnds_NonXtal_BW#'!$A:$Z,16,FALSE)+VLOOKUP($A385,A:AL,22,FALSE)-50),"-",(VLOOKUP($A385,'SegEnds_NonXtal_BW#'!$A:$Z,16,FALSE)+VLOOKUP($A385,A:AL,22,FALSE)-50))</f>
        <v>149</v>
      </c>
      <c r="X385" s="3" t="str">
        <f>IF(ISERROR(VLOOKUP($A385,'SegEnds_NonXtal_BW#'!$A:$Z,17,FALSE)+VLOOKUP($A385,A:AL,25,FALSE)-50),"-",(VLOOKUP($A385,'SegEnds_NonXtal_BW#'!$A:$Z,17,FALSE)+VLOOKUP($A385,A:AL,25,FALSE)-50))</f>
        <v>-</v>
      </c>
      <c r="Y385" s="3" t="s">
        <v>23</v>
      </c>
      <c r="Z385" s="3" t="str">
        <f>IF(ISERROR(VLOOKUP($A385,'SegEnds_NonXtal_BW#'!$A:$Z,18,FALSE)+VLOOKUP($A385,A:AL,25,FALSE)-50),"-",(VLOOKUP($A385,'SegEnds_NonXtal_BW#'!$A:$Z,18,FALSE)+VLOOKUP($A385,A:AL,25,FALSE)-50))</f>
        <v>-</v>
      </c>
      <c r="AA385" s="3">
        <f>IF(ISERROR(VLOOKUP($A385,'SegEnds_NonXtal_BW#'!$A:$Z,19,FALSE)+VLOOKUP($A385,A:AL,28,FALSE)-50),"-",(VLOOKUP($A385,'SegEnds_NonXtal_BW#'!$A:$Z,19,FALSE)+VLOOKUP($A385,A:AL,28,FALSE)-50))</f>
        <v>153</v>
      </c>
      <c r="AB385" s="3">
        <v>164</v>
      </c>
      <c r="AC385" s="3">
        <f>IF(ISERROR((VLOOKUP($A385,'SegEnds_NonXtal_BW#'!$A:$Z,20,FALSE)+VLOOKUP($A385,A:AL,28,FALSE)-50)),"-",(VLOOKUP($A385,'SegEnds_NonXtal_BW#'!$A:$Z,20,FALSE)+VLOOKUP($A385,A:AL,28,FALSE)-50))</f>
        <v>175</v>
      </c>
      <c r="AD385" s="3">
        <f>IF(ISERROR(VLOOKUP($A385,'SegEnds_NonXtal_BW#'!$A:$Z,21,FALSE)+VLOOKUP($A385,A:AL,31,FALSE)-50),"-",(VLOOKUP($A385,'SegEnds_NonXtal_BW#'!$A:$Z,21,FALSE)+VLOOKUP($A385,A:AL,31,FALSE)-50))</f>
        <v>210</v>
      </c>
      <c r="AE385" s="3">
        <v>231</v>
      </c>
      <c r="AF385" s="3">
        <f>IF(ISERROR((VLOOKUP($A385,'SegEnds_NonXtal_BW#'!$A:$Z,22,FALSE)+VLOOKUP($A385,A:AL,31,FALSE)-50)),"-",(VLOOKUP($A385,'SegEnds_NonXtal_BW#'!$A:$Z,22,FALSE)+VLOOKUP($A385,A:AL,31,FALSE)-50))</f>
        <v>234</v>
      </c>
      <c r="AG385" s="3">
        <f>IF(ISERROR(VLOOKUP($A385,'SegEnds_NonXtal_BW#'!$A:$Z,23,FALSE)+VLOOKUP($A385,A:AL,34,FALSE)-50),"-",(VLOOKUP($A385,'SegEnds_NonXtal_BW#'!$A:$Z,23,FALSE)+VLOOKUP($A385,A:AL,34,FALSE)-50))</f>
        <v>261</v>
      </c>
      <c r="AH385" s="3">
        <v>276</v>
      </c>
      <c r="AI385" s="3">
        <f>IF(ISERROR((VLOOKUP($A385,'SegEnds_NonXtal_BW#'!$A:$Z,24,FALSE)+VLOOKUP($A385,A:AL,34,FALSE)-50)),"-",(VLOOKUP($A385,'SegEnds_NonXtal_BW#'!$A:$Z,24,FALSE)+VLOOKUP($A385,A:AL,34,FALSE)-50))</f>
        <v>282</v>
      </c>
      <c r="AJ385" s="3">
        <v>286</v>
      </c>
      <c r="AK385" s="3">
        <v>294</v>
      </c>
      <c r="AL385" s="3">
        <f>IF(ISERROR((VLOOKUP($A385,'SegEnds_NonXtal_BW#'!$A:$Z,26,FALSE)+VLOOKUP($A385,A:AL,37,FALSE)-50)),"-",(VLOOKUP($A385,'SegEnds_NonXtal_BW#'!$A:$Z,26,FALSE)+VLOOKUP($A385,A:AL,37,FALSE)-50))</f>
        <v>301</v>
      </c>
      <c r="AM385" s="28" t="str">
        <f>VLOOKUP(A385,Classification!A:B,2,FALSE)</f>
        <v>O</v>
      </c>
      <c r="AN385" s="28" t="b">
        <f t="shared" si="195"/>
        <v>1</v>
      </c>
      <c r="AO385" s="3" t="str">
        <f>IF(ISERROR(MATCH(A385,'SegEnds_Xtal_Prot#'!B:B, 0)), "NoXtal", "Xtal")</f>
        <v>NoXtal</v>
      </c>
      <c r="AP385" s="3" t="str">
        <f t="shared" si="180"/>
        <v>-</v>
      </c>
      <c r="AQ385" s="3" t="str">
        <f t="shared" si="181"/>
        <v>-</v>
      </c>
      <c r="AR385" s="3" t="str">
        <f t="shared" si="182"/>
        <v>-</v>
      </c>
      <c r="AS385" s="3" t="str">
        <f t="shared" si="183"/>
        <v>-</v>
      </c>
      <c r="AT385" s="3" t="str">
        <f t="shared" si="184"/>
        <v>-</v>
      </c>
      <c r="AU385" s="3" t="str">
        <f t="shared" si="185"/>
        <v>-</v>
      </c>
      <c r="AV385" s="3" t="str">
        <f t="shared" si="186"/>
        <v>-</v>
      </c>
      <c r="AW385" s="3" t="str">
        <f t="shared" si="187"/>
        <v>-</v>
      </c>
      <c r="AX385" s="3">
        <f t="shared" si="188"/>
        <v>35</v>
      </c>
      <c r="AY385" s="3">
        <f t="shared" si="189"/>
        <v>27</v>
      </c>
      <c r="AZ385" s="3">
        <f t="shared" si="190"/>
        <v>4</v>
      </c>
      <c r="BA385" s="3">
        <f>IF(ISERROR(LEN(VLOOKUP(A385,Seqs!A:E,2,FALSE))-AL385),"-",LEN(VLOOKUP(A385,Seqs!A:E,2,FALSE))-AL385)</f>
        <v>34</v>
      </c>
      <c r="BB385" s="16">
        <f t="shared" si="191"/>
        <v>28</v>
      </c>
      <c r="BC385" s="9" t="str">
        <f t="shared" si="192"/>
        <v>-</v>
      </c>
      <c r="BD385" s="3">
        <f t="shared" si="193"/>
        <v>28</v>
      </c>
      <c r="BE385" s="3">
        <f t="shared" si="194"/>
        <v>67</v>
      </c>
    </row>
    <row r="386" spans="1:58" s="3" customFormat="1" x14ac:dyDescent="0.2">
      <c r="A386" s="3" t="s">
        <v>484</v>
      </c>
      <c r="B386" s="3" t="str">
        <f>LOWER(VLOOKUP(A386,Xtal_Templ!A:B,2,FALSE))</f>
        <v>pe2r4_human</v>
      </c>
      <c r="C386" s="3">
        <v>27</v>
      </c>
      <c r="D386" s="3">
        <v>64</v>
      </c>
      <c r="E386" s="3">
        <f>IF(ISERROR(VLOOKUP($A386,'SegEnds_NonXtal_BW#'!$A:$Z,4,FALSE)+VLOOKUP($A386,A:AL,4,FALSE)-50),"-",(VLOOKUP($A386,'SegEnds_NonXtal_BW#'!$A:$Z,4,FALSE)+VLOOKUP($A386,A:AL,4,FALSE)-50))</f>
        <v>74</v>
      </c>
      <c r="F386" s="3" t="str">
        <f>IF(ISERROR(VLOOKUP($A386,'SegEnds_NonXtal_BW#'!$A:$Z,5,FALSE)+VLOOKUP($A386,A:AL,7,FALSE)-50),"-",(VLOOKUP($A386,'SegEnds_NonXtal_BW#'!$A:$Z,5,FALSE)+VLOOKUP($A386,A:AL,7,FALSE)-50))</f>
        <v>-</v>
      </c>
      <c r="G386" s="3" t="s">
        <v>23</v>
      </c>
      <c r="H386" s="3" t="str">
        <f>IF(ISERROR(VLOOKUP($A386,'SegEnds_NonXtal_BW#'!$A:$Z,6,FALSE)+VLOOKUP($A386,A:AL,7,FALSE)-50),"-",(VLOOKUP($A386,'SegEnds_NonXtal_BW#'!$A:$Z,6,FALSE)+VLOOKUP($A386,A:AL,7,FALSE)-50))</f>
        <v>-</v>
      </c>
      <c r="I386" s="3">
        <f>VLOOKUP($A386,'SegEnds_NonXtal_BW#'!$A:$Z,7,FALSE)+J386-50</f>
        <v>85</v>
      </c>
      <c r="J386" s="3">
        <v>96</v>
      </c>
      <c r="K386" s="3">
        <f>VLOOKUP($A386,'SegEnds_NonXtal_BW#'!$A:$Z,8,FALSE)+VLOOKUP($A386,A:AL,10,FALSE)-50</f>
        <v>109</v>
      </c>
      <c r="L386" s="3" t="str">
        <f>IF(ISERROR(VLOOKUP($A386,'SegEnds_NonXtal_BW#'!$A:$Z,9,FALSE)+VLOOKUP($A386,A:AL,13,FALSE)-50),"-",(VLOOKUP($A386,'SegEnds_NonXtal_BW#'!$A:$Z,9,FALSE)+VLOOKUP($A386,A:AL,13,FALSE)-50))</f>
        <v>-</v>
      </c>
      <c r="M386" s="3" t="s">
        <v>23</v>
      </c>
      <c r="N386" s="3" t="str">
        <f>IF(ISERROR(VLOOKUP($A386,'SegEnds_NonXtal_BW#'!$A:$Z,10,FALSE)+VLOOKUP($A386,A:AL,13,FALSE)-50),"-",(VLOOKUP($A386,'SegEnds_NonXtal_BW#'!$A:$Z,10,FALSE)+VLOOKUP($A386,A:AL,13,FALSE)-50))</f>
        <v>-</v>
      </c>
      <c r="O386" s="3">
        <f>VLOOKUP($A386,'SegEnds_NonXtal_BW#'!$A:$Z,11,FALSE)+VLOOKUP($A386,A:AL,16,FALSE)-50</f>
        <v>114</v>
      </c>
      <c r="P386" s="3">
        <v>141</v>
      </c>
      <c r="Q386" s="3">
        <f>VLOOKUP($A386,'SegEnds_NonXtal_BW#'!$A:$Z,12,FALSE)+VLOOKUP($A386,A:AL,16,FALSE)-50</f>
        <v>147</v>
      </c>
      <c r="R386" s="3" t="str">
        <f>IF(ISERROR(VLOOKUP($A386,'SegEnds_NonXtal_BW#'!$A:$Z,13,FALSE)+VLOOKUP($A386,A:AL,19,FALSE)-50),"-",VLOOKUP($A386,'SegEnds_NonXtal_BW#'!$A:$Z,13,FALSE)+VLOOKUP($A386,A:AL,19,FALSE)-50)</f>
        <v>-</v>
      </c>
      <c r="S386" s="3" t="s">
        <v>23</v>
      </c>
      <c r="T386" s="100" t="str">
        <f>IF(ISERROR(VLOOKUP($A386,'SegEnds_NonXtal_BW#'!$A:$Z,14,FALSE)+VLOOKUP($A386,A:AL,19,FALSE)-50),"-",(VLOOKUP($A386,'SegEnds_NonXtal_BW#'!$A:$Z,14,FALSE)+VLOOKUP($A386,A:AL,19,FALSE)-50))</f>
        <v>-</v>
      </c>
      <c r="U386" s="9">
        <f>IF(ISERROR(VLOOKUP($A386,'SegEnds_NonXtal_BW#'!$A:$Z,15,FALSE)+VLOOKUP($A386,A:AL,22,FALSE)-50),"-",VLOOKUP($A386,'SegEnds_NonXtal_BW#'!$A:$Z,15,FALSE)+VLOOKUP($A386,A:AL,22,FALSE)-50)</f>
        <v>162</v>
      </c>
      <c r="V386" s="3">
        <v>172</v>
      </c>
      <c r="W386" s="3">
        <f>IF(ISERROR(VLOOKUP($A386,'SegEnds_NonXtal_BW#'!$A:$Z,16,FALSE)+VLOOKUP($A386,A:AL,22,FALSE)-50),"-",(VLOOKUP($A386,'SegEnds_NonXtal_BW#'!$A:$Z,16,FALSE)+VLOOKUP($A386,A:AL,22,FALSE)-50))</f>
        <v>183</v>
      </c>
      <c r="X386" s="3" t="str">
        <f>IF(ISERROR(VLOOKUP($A386,'SegEnds_NonXtal_BW#'!$A:$Z,17,FALSE)+VLOOKUP($A386,A:AL,25,FALSE)-50),"-",(VLOOKUP($A386,'SegEnds_NonXtal_BW#'!$A:$Z,17,FALSE)+VLOOKUP($A386,A:AL,25,FALSE)-50))</f>
        <v>-</v>
      </c>
      <c r="Y386" s="3" t="s">
        <v>23</v>
      </c>
      <c r="Z386" s="3" t="str">
        <f>IF(ISERROR(VLOOKUP($A386,'SegEnds_NonXtal_BW#'!$A:$Z,18,FALSE)+VLOOKUP($A386,A:AL,25,FALSE)-50),"-",(VLOOKUP($A386,'SegEnds_NonXtal_BW#'!$A:$Z,18,FALSE)+VLOOKUP($A386,A:AL,25,FALSE)-50))</f>
        <v>-</v>
      </c>
      <c r="AA386" s="3">
        <f>IF(ISERROR(VLOOKUP($A386,'SegEnds_NonXtal_BW#'!$A:$Z,19,FALSE)+VLOOKUP($A386,A:AL,28,FALSE)-50),"-",(VLOOKUP($A386,'SegEnds_NonXtal_BW#'!$A:$Z,19,FALSE)+VLOOKUP($A386,A:AL,28,FALSE)-50))</f>
        <v>187</v>
      </c>
      <c r="AB386" s="3">
        <v>197</v>
      </c>
      <c r="AC386" s="3">
        <f>IF(ISERROR((VLOOKUP($A386,'SegEnds_NonXtal_BW#'!$A:$Z,20,FALSE)+VLOOKUP($A386,A:AL,28,FALSE)-50)),"-",(VLOOKUP($A386,'SegEnds_NonXtal_BW#'!$A:$Z,20,FALSE)+VLOOKUP($A386,A:AL,28,FALSE)-50))</f>
        <v>208</v>
      </c>
      <c r="AD386" s="3">
        <f>IF(ISERROR(VLOOKUP($A386,'SegEnds_NonXtal_BW#'!$A:$Z,21,FALSE)+VLOOKUP($A386,A:AL,31,FALSE)-50),"-",(VLOOKUP($A386,'SegEnds_NonXtal_BW#'!$A:$Z,21,FALSE)+VLOOKUP($A386,A:AL,31,FALSE)-50))</f>
        <v>252</v>
      </c>
      <c r="AE386" s="3">
        <v>273</v>
      </c>
      <c r="AF386" s="3">
        <f>IF(ISERROR((VLOOKUP($A386,'SegEnds_NonXtal_BW#'!$A:$Z,22,FALSE)+VLOOKUP($A386,A:AL,31,FALSE)-50)),"-",(VLOOKUP($A386,'SegEnds_NonXtal_BW#'!$A:$Z,22,FALSE)+VLOOKUP($A386,A:AL,31,FALSE)-50))</f>
        <v>276</v>
      </c>
      <c r="AG386" s="3">
        <f>IF(ISERROR(VLOOKUP($A386,'SegEnds_NonXtal_BW#'!$A:$Z,23,FALSE)+VLOOKUP($A386,A:AL,34,FALSE)-50),"-",(VLOOKUP($A386,'SegEnds_NonXtal_BW#'!$A:$Z,23,FALSE)+VLOOKUP($A386,A:AL,34,FALSE)-50))</f>
        <v>294</v>
      </c>
      <c r="AH386" s="3">
        <v>309</v>
      </c>
      <c r="AI386" s="3">
        <f>IF(ISERROR((VLOOKUP($A386,'SegEnds_NonXtal_BW#'!$A:$Z,24,FALSE)+VLOOKUP($A386,A:AL,34,FALSE)-50)),"-",(VLOOKUP($A386,'SegEnds_NonXtal_BW#'!$A:$Z,24,FALSE)+VLOOKUP($A386,A:AL,34,FALSE)-50))</f>
        <v>315</v>
      </c>
      <c r="AJ386" s="105">
        <v>320</v>
      </c>
      <c r="AK386" s="3">
        <v>333</v>
      </c>
      <c r="AL386" s="3">
        <f>IF(ISERROR((VLOOKUP($A386,'SegEnds_NonXtal_BW#'!$A:$Z,26,FALSE)+VLOOKUP($A386,A:AL,37,FALSE)-50)),"-",(VLOOKUP($A386,'SegEnds_NonXtal_BW#'!$A:$Z,26,FALSE)+VLOOKUP($A386,A:AL,37,FALSE)-50))</f>
        <v>340</v>
      </c>
      <c r="AM386" s="28" t="str">
        <f>VLOOKUP(A386,Classification!A:B,2,FALSE)</f>
        <v>O</v>
      </c>
      <c r="AN386" s="28" t="b">
        <f t="shared" si="195"/>
        <v>1</v>
      </c>
      <c r="AO386" s="3" t="str">
        <f>IF(ISERROR(MATCH(A386,'SegEnds_Xtal_Prot#'!B:B, 0)), "NoXtal", "Xtal")</f>
        <v>NoXtal</v>
      </c>
      <c r="AP386" s="3" t="str">
        <f t="shared" si="180"/>
        <v>-</v>
      </c>
      <c r="AQ386" s="3" t="str">
        <f t="shared" si="181"/>
        <v>-</v>
      </c>
      <c r="AR386" s="3" t="str">
        <f t="shared" si="182"/>
        <v>-</v>
      </c>
      <c r="AS386" s="3" t="str">
        <f t="shared" si="183"/>
        <v>-</v>
      </c>
      <c r="AT386" s="3" t="str">
        <f t="shared" si="184"/>
        <v>-</v>
      </c>
      <c r="AU386" s="3" t="str">
        <f t="shared" si="185"/>
        <v>-</v>
      </c>
      <c r="AV386" s="3" t="str">
        <f t="shared" si="186"/>
        <v>-</v>
      </c>
      <c r="AW386" s="3" t="str">
        <f t="shared" si="187"/>
        <v>-</v>
      </c>
      <c r="AX386" s="3">
        <f t="shared" si="188"/>
        <v>44</v>
      </c>
      <c r="AY386" s="3">
        <f t="shared" si="189"/>
        <v>18</v>
      </c>
      <c r="AZ386" s="3">
        <f t="shared" si="190"/>
        <v>5</v>
      </c>
      <c r="BA386" s="3">
        <f>IF(ISERROR(LEN(VLOOKUP(A386,Seqs!A:E,2,FALSE))-AL386),"-",LEN(VLOOKUP(A386,Seqs!A:E,2,FALSE))-AL386)</f>
        <v>33</v>
      </c>
      <c r="BB386" s="16">
        <f t="shared" si="191"/>
        <v>32</v>
      </c>
      <c r="BC386" s="9" t="str">
        <f t="shared" si="192"/>
        <v>-</v>
      </c>
      <c r="BD386" s="3">
        <f t="shared" si="193"/>
        <v>32</v>
      </c>
      <c r="BE386" s="3">
        <f t="shared" si="194"/>
        <v>76</v>
      </c>
    </row>
    <row r="387" spans="1:58" s="3" customFormat="1" x14ac:dyDescent="0.2">
      <c r="A387" s="3" t="s">
        <v>456</v>
      </c>
      <c r="B387" s="3" t="str">
        <f>LOWER(VLOOKUP(A387,Xtal_Templ!A:B,2,FALSE))</f>
        <v>drd2_human</v>
      </c>
      <c r="C387" s="3">
        <f>VLOOKUP($A387,'SegEnds_NonXtal_BW#'!$A:$Z,3,FALSE)+D387-50</f>
        <v>6</v>
      </c>
      <c r="D387" s="3">
        <v>24</v>
      </c>
      <c r="E387" s="3">
        <f t="shared" ref="E387:E411" si="203">F387-1</f>
        <v>36</v>
      </c>
      <c r="F387" s="3">
        <f t="shared" ref="F387:F411" si="204">G387-2</f>
        <v>37</v>
      </c>
      <c r="G387" s="3">
        <v>39</v>
      </c>
      <c r="H387" s="3">
        <f t="shared" ref="H387:I411" si="205">G387+1</f>
        <v>40</v>
      </c>
      <c r="I387" s="3">
        <f t="shared" si="205"/>
        <v>41</v>
      </c>
      <c r="J387" s="3">
        <v>54</v>
      </c>
      <c r="K387" s="3">
        <f>VLOOKUP($A387,'SegEnds_NonXtal_BW#'!$A:$Z,8,FALSE)+VLOOKUP($A387,A:AL,10,FALSE)-50</f>
        <v>71</v>
      </c>
      <c r="L387" s="3" t="str">
        <f>IF(ISERROR(VLOOKUP($A387,'SegEnds_NonXtal_BW#'!$A:$Z,9,FALSE)+VLOOKUP($A387,A:AL,13,FALSE)-50),"-",(VLOOKUP($A387,'SegEnds_NonXtal_BW#'!$A:$Z,9,FALSE)+VLOOKUP($A387,A:AL,13,FALSE)-50))</f>
        <v>-</v>
      </c>
      <c r="M387" s="3" t="s">
        <v>23</v>
      </c>
      <c r="N387" s="3" t="str">
        <f>IF(ISERROR(VLOOKUP($A387,'SegEnds_NonXtal_BW#'!$A:$Z,10,FALSE)+VLOOKUP($A387,A:AL,13,FALSE)-50),"-",(VLOOKUP($A387,'SegEnds_NonXtal_BW#'!$A:$Z,10,FALSE)+VLOOKUP($A387,A:AL,13,FALSE)-50))</f>
        <v>-</v>
      </c>
      <c r="O387" s="3">
        <f>VLOOKUP($A387,'SegEnds_NonXtal_BW#'!$A:$Z,11,FALSE)+VLOOKUP($A387,A:AL,16,FALSE)-50</f>
        <v>77</v>
      </c>
      <c r="P387" s="3">
        <v>106</v>
      </c>
      <c r="Q387" s="3">
        <f>VLOOKUP($A387,'SegEnds_NonXtal_BW#'!$A:$Z,12,FALSE)+VLOOKUP($A387,A:AL,16,FALSE)-50</f>
        <v>112</v>
      </c>
      <c r="R387" s="3">
        <f t="shared" ref="R387:R411" si="206">S387</f>
        <v>115</v>
      </c>
      <c r="S387" s="3">
        <v>115</v>
      </c>
      <c r="T387" s="100">
        <f t="shared" ref="T387:T411" si="207">S387+7</f>
        <v>122</v>
      </c>
      <c r="U387" s="9">
        <f>IF(ISERROR(VLOOKUP($A387,'SegEnds_NonXtal_BW#'!$A:$Z,15,FALSE)+VLOOKUP($A387,A:AL,22,FALSE)-50),"-",VLOOKUP($A387,'SegEnds_NonXtal_BW#'!$A:$Z,15,FALSE)+VLOOKUP($A387,A:AL,22,FALSE)-50)</f>
        <v>123</v>
      </c>
      <c r="V387" s="3">
        <v>135</v>
      </c>
      <c r="W387" s="3">
        <f>IF(ISERROR(VLOOKUP($A387,'SegEnds_NonXtal_BW#'!$A:$Z,16,FALSE)+VLOOKUP($A387,A:AL,22,FALSE)-50),"-",(VLOOKUP($A387,'SegEnds_NonXtal_BW#'!$A:$Z,16,FALSE)+VLOOKUP($A387,A:AL,22,FALSE)-50))</f>
        <v>147</v>
      </c>
      <c r="X387" s="3" t="str">
        <f>IF(ISERROR(VLOOKUP($A387,'SegEnds_NonXtal_BW#'!$A:$Z,17,FALSE)+VLOOKUP($A387,A:AL,25,FALSE)-50),"-",(VLOOKUP($A387,'SegEnds_NonXtal_BW#'!$A:$Z,17,FALSE)+VLOOKUP($A387,A:AL,25,FALSE)-50))</f>
        <v>-</v>
      </c>
      <c r="Y387" s="3" t="s">
        <v>23</v>
      </c>
      <c r="Z387" s="3" t="str">
        <f>IF(ISERROR(VLOOKUP($A387,'SegEnds_NonXtal_BW#'!$A:$Z,18,FALSE)+VLOOKUP($A387,A:AL,25,FALSE)-50),"-",(VLOOKUP($A387,'SegEnds_NonXtal_BW#'!$A:$Z,18,FALSE)+VLOOKUP($A387,A:AL,25,FALSE)-50))</f>
        <v>-</v>
      </c>
      <c r="AA387" s="3">
        <f>IF(ISERROR(VLOOKUP($A387,'SegEnds_NonXtal_BW#'!$A:$Z,19,FALSE)+VLOOKUP($A387,A:AL,28,FALSE)-50),"-",(VLOOKUP($A387,'SegEnds_NonXtal_BW#'!$A:$Z,19,FALSE)+VLOOKUP($A387,A:AL,28,FALSE)-50))</f>
        <v>167</v>
      </c>
      <c r="AB387" s="3">
        <v>185</v>
      </c>
      <c r="AC387" s="3">
        <f>IF(ISERROR((VLOOKUP($A387,'SegEnds_NonXtal_BW#'!$A:$Z,20,FALSE)+VLOOKUP($A387,A:AL,28,FALSE)-50)),"-",(VLOOKUP($A387,'SegEnds_NonXtal_BW#'!$A:$Z,20,FALSE)+VLOOKUP($A387,A:AL,28,FALSE)-50))</f>
        <v>207</v>
      </c>
      <c r="AD387" s="3">
        <f>IF(ISERROR(VLOOKUP($A387,'SegEnds_NonXtal_BW#'!$A:$Z,21,FALSE)+VLOOKUP($A387,A:AL,31,FALSE)-50),"-",(VLOOKUP($A387,'SegEnds_NonXtal_BW#'!$A:$Z,21,FALSE)+VLOOKUP($A387,A:AL,31,FALSE)-50))</f>
        <v>217</v>
      </c>
      <c r="AE387" s="3">
        <v>238</v>
      </c>
      <c r="AF387" s="3">
        <f>IF(ISERROR((VLOOKUP($A387,'SegEnds_NonXtal_BW#'!$A:$Z,22,FALSE)+VLOOKUP($A387,A:AL,31,FALSE)-50)),"-",(VLOOKUP($A387,'SegEnds_NonXtal_BW#'!$A:$Z,22,FALSE)+VLOOKUP($A387,A:AL,31,FALSE)-50))</f>
        <v>249</v>
      </c>
      <c r="AG387" s="3">
        <f>IF(ISERROR(VLOOKUP($A387,'SegEnds_NonXtal_BW#'!$A:$Z,23,FALSE)+VLOOKUP($A387,A:AL,34,FALSE)-50),"-",(VLOOKUP($A387,'SegEnds_NonXtal_BW#'!$A:$Z,23,FALSE)+VLOOKUP($A387,A:AL,34,FALSE)-50))</f>
        <v>255</v>
      </c>
      <c r="AH387" s="3">
        <v>274</v>
      </c>
      <c r="AI387" s="3">
        <f>IF(ISERROR((VLOOKUP($A387,'SegEnds_NonXtal_BW#'!$A:$Z,24,FALSE)+VLOOKUP($A387,A:AL,34,FALSE)-50)),"-",(VLOOKUP($A387,'SegEnds_NonXtal_BW#'!$A:$Z,24,FALSE)+VLOOKUP($A387,A:AL,34,FALSE)-50))</f>
        <v>280</v>
      </c>
      <c r="AJ387" s="3">
        <f>IF(ISERROR(VLOOKUP($A387,'SegEnds_NonXtal_BW#'!$A:$Z,25,FALSE)+VLOOKUP($A387,A:AL,37,FALSE)-50),"-",(VLOOKUP($A387,'SegEnds_NonXtal_BW#'!$A:$Z,25,FALSE)+VLOOKUP($A387,A:AL,37,FALSE)-50))</f>
        <v>281</v>
      </c>
      <c r="AK387" s="3">
        <v>284</v>
      </c>
      <c r="AL387" s="3">
        <f>IF(ISERROR((VLOOKUP($A387,'SegEnds_NonXtal_BW#'!$A:$Z,26,FALSE)+VLOOKUP($A387,A:AL,37,FALSE)-50)),"-",(VLOOKUP($A387,'SegEnds_NonXtal_BW#'!$A:$Z,26,FALSE)+VLOOKUP($A387,A:AL,37,FALSE)-50))</f>
        <v>294</v>
      </c>
      <c r="AM387" s="28" t="str">
        <f>VLOOKUP(A387,Classification!A:B,2,FALSE)</f>
        <v>T</v>
      </c>
      <c r="AN387" s="28" t="b">
        <f t="shared" si="195"/>
        <v>1</v>
      </c>
      <c r="AO387" s="3" t="str">
        <f>IF(ISERROR(MATCH(A387,'SegEnds_Xtal_Prot#'!B:B, 0)), "NoXtal", "Xtal")</f>
        <v>NoXtal</v>
      </c>
      <c r="AP387" s="3">
        <f t="shared" si="180"/>
        <v>1</v>
      </c>
      <c r="AQ387" s="3">
        <f t="shared" si="181"/>
        <v>1</v>
      </c>
      <c r="AR387" s="3" t="str">
        <f t="shared" si="182"/>
        <v>-</v>
      </c>
      <c r="AS387" s="3" t="str">
        <f t="shared" si="183"/>
        <v>-</v>
      </c>
      <c r="AT387" s="3">
        <f t="shared" si="184"/>
        <v>3</v>
      </c>
      <c r="AU387" s="3">
        <f t="shared" si="185"/>
        <v>1</v>
      </c>
      <c r="AV387" s="3" t="str">
        <f t="shared" si="186"/>
        <v>-</v>
      </c>
      <c r="AW387" s="3" t="str">
        <f t="shared" si="187"/>
        <v>-</v>
      </c>
      <c r="AX387" s="3">
        <f t="shared" si="188"/>
        <v>10</v>
      </c>
      <c r="AY387" s="3">
        <f t="shared" si="189"/>
        <v>6</v>
      </c>
      <c r="AZ387" s="3">
        <f t="shared" si="190"/>
        <v>1</v>
      </c>
      <c r="BA387" s="3">
        <f>IF(ISERROR(LEN(VLOOKUP(A387,Seqs!A:E,2,FALSE))-AL387),"-",LEN(VLOOKUP(A387,Seqs!A:E,2,FALSE))-AL387)</f>
        <v>13</v>
      </c>
      <c r="BB387" s="16">
        <f t="shared" si="191"/>
        <v>30</v>
      </c>
      <c r="BC387" s="9">
        <f t="shared" si="192"/>
        <v>20</v>
      </c>
      <c r="BD387" s="3">
        <f t="shared" si="193"/>
        <v>30</v>
      </c>
      <c r="BE387" s="3">
        <f t="shared" si="194"/>
        <v>53</v>
      </c>
      <c r="BF387" s="3">
        <f t="shared" ref="BF387:BF411" si="208">AH387-AE387</f>
        <v>36</v>
      </c>
    </row>
    <row r="388" spans="1:58" s="3" customFormat="1" x14ac:dyDescent="0.2">
      <c r="A388" s="3" t="s">
        <v>457</v>
      </c>
      <c r="B388" s="3" t="str">
        <f>LOWER(VLOOKUP(A388,Xtal_Templ!A:B,2,FALSE))</f>
        <v>5ht2a_human</v>
      </c>
      <c r="C388" s="3">
        <f>VLOOKUP($A388,'SegEnds_NonXtal_BW#'!$A:$Z,3,FALSE)+D388-50</f>
        <v>6</v>
      </c>
      <c r="D388" s="3">
        <v>24</v>
      </c>
      <c r="E388" s="3">
        <f t="shared" si="203"/>
        <v>36</v>
      </c>
      <c r="F388" s="3">
        <f t="shared" si="204"/>
        <v>37</v>
      </c>
      <c r="G388" s="3">
        <v>39</v>
      </c>
      <c r="H388" s="3">
        <f t="shared" si="205"/>
        <v>40</v>
      </c>
      <c r="I388" s="3">
        <f t="shared" si="205"/>
        <v>41</v>
      </c>
      <c r="J388" s="3">
        <v>55</v>
      </c>
      <c r="K388" s="3">
        <f>VLOOKUP($A388,'SegEnds_NonXtal_BW#'!$A:$Z,8,FALSE)+VLOOKUP($A388,A:AL,10,FALSE)-50</f>
        <v>72</v>
      </c>
      <c r="L388" s="3" t="str">
        <f>IF(ISERROR(VLOOKUP($A388,'SegEnds_NonXtal_BW#'!$A:$Z,9,FALSE)+VLOOKUP($A388,A:AL,13,FALSE)-50),"-",(VLOOKUP($A388,'SegEnds_NonXtal_BW#'!$A:$Z,9,FALSE)+VLOOKUP($A388,A:AL,13,FALSE)-50))</f>
        <v>-</v>
      </c>
      <c r="M388" s="3" t="s">
        <v>23</v>
      </c>
      <c r="N388" s="3" t="str">
        <f>IF(ISERROR(VLOOKUP($A388,'SegEnds_NonXtal_BW#'!$A:$Z,10,FALSE)+VLOOKUP($A388,A:AL,13,FALSE)-50),"-",(VLOOKUP($A388,'SegEnds_NonXtal_BW#'!$A:$Z,10,FALSE)+VLOOKUP($A388,A:AL,13,FALSE)-50))</f>
        <v>-</v>
      </c>
      <c r="O388" s="3">
        <f>VLOOKUP($A388,'SegEnds_NonXtal_BW#'!$A:$Z,11,FALSE)+VLOOKUP($A388,A:AL,16,FALSE)-50</f>
        <v>78</v>
      </c>
      <c r="P388" s="3">
        <v>107</v>
      </c>
      <c r="Q388" s="3">
        <f>VLOOKUP($A388,'SegEnds_NonXtal_BW#'!$A:$Z,12,FALSE)+VLOOKUP($A388,A:AL,16,FALSE)-50</f>
        <v>113</v>
      </c>
      <c r="R388" s="3">
        <f t="shared" si="206"/>
        <v>116</v>
      </c>
      <c r="S388" s="3">
        <v>116</v>
      </c>
      <c r="T388" s="100">
        <f t="shared" si="207"/>
        <v>123</v>
      </c>
      <c r="U388" s="9">
        <f>IF(ISERROR(VLOOKUP($A388,'SegEnds_NonXtal_BW#'!$A:$Z,15,FALSE)+VLOOKUP($A388,A:AL,22,FALSE)-50),"-",VLOOKUP($A388,'SegEnds_NonXtal_BW#'!$A:$Z,15,FALSE)+VLOOKUP($A388,A:AL,22,FALSE)-50)</f>
        <v>124</v>
      </c>
      <c r="V388" s="3">
        <v>136</v>
      </c>
      <c r="W388" s="3">
        <f>IF(ISERROR(VLOOKUP($A388,'SegEnds_NonXtal_BW#'!$A:$Z,16,FALSE)+VLOOKUP($A388,A:AL,22,FALSE)-50),"-",(VLOOKUP($A388,'SegEnds_NonXtal_BW#'!$A:$Z,16,FALSE)+VLOOKUP($A388,A:AL,22,FALSE)-50))</f>
        <v>153</v>
      </c>
      <c r="X388" s="3" t="str">
        <f>IF(ISERROR(VLOOKUP($A388,'SegEnds_NonXtal_BW#'!$A:$Z,17,FALSE)+VLOOKUP($A388,A:AL,25,FALSE)-50),"-",(VLOOKUP($A388,'SegEnds_NonXtal_BW#'!$A:$Z,17,FALSE)+VLOOKUP($A388,A:AL,25,FALSE)-50))</f>
        <v>-</v>
      </c>
      <c r="Y388" s="3" t="s">
        <v>23</v>
      </c>
      <c r="Z388" s="3" t="str">
        <f>IF(ISERROR(VLOOKUP($A388,'SegEnds_NonXtal_BW#'!$A:$Z,18,FALSE)+VLOOKUP($A388,A:AL,25,FALSE)-50),"-",(VLOOKUP($A388,'SegEnds_NonXtal_BW#'!$A:$Z,18,FALSE)+VLOOKUP($A388,A:AL,25,FALSE)-50))</f>
        <v>-</v>
      </c>
      <c r="AA388" s="3">
        <f>IF(ISERROR(VLOOKUP($A388,'SegEnds_NonXtal_BW#'!$A:$Z,19,FALSE)+VLOOKUP($A388,A:AL,28,FALSE)-50),"-",(VLOOKUP($A388,'SegEnds_NonXtal_BW#'!$A:$Z,19,FALSE)+VLOOKUP($A388,A:AL,28,FALSE)-50))</f>
        <v>172</v>
      </c>
      <c r="AB388" s="3">
        <v>190</v>
      </c>
      <c r="AC388" s="3">
        <f>IF(ISERROR((VLOOKUP($A388,'SegEnds_NonXtal_BW#'!$A:$Z,20,FALSE)+VLOOKUP($A388,A:AL,28,FALSE)-50)),"-",(VLOOKUP($A388,'SegEnds_NonXtal_BW#'!$A:$Z,20,FALSE)+VLOOKUP($A388,A:AL,28,FALSE)-50))</f>
        <v>212</v>
      </c>
      <c r="AD388" s="3">
        <f>IF(ISERROR(VLOOKUP($A388,'SegEnds_NonXtal_BW#'!$A:$Z,21,FALSE)+VLOOKUP($A388,A:AL,31,FALSE)-50),"-",(VLOOKUP($A388,'SegEnds_NonXtal_BW#'!$A:$Z,21,FALSE)+VLOOKUP($A388,A:AL,31,FALSE)-50))</f>
        <v>222</v>
      </c>
      <c r="AE388" s="3">
        <v>243</v>
      </c>
      <c r="AF388" s="3">
        <f>IF(ISERROR((VLOOKUP($A388,'SegEnds_NonXtal_BW#'!$A:$Z,22,FALSE)+VLOOKUP($A388,A:AL,31,FALSE)-50)),"-",(VLOOKUP($A388,'SegEnds_NonXtal_BW#'!$A:$Z,22,FALSE)+VLOOKUP($A388,A:AL,31,FALSE)-50))</f>
        <v>254</v>
      </c>
      <c r="AG388" s="3">
        <f>IF(ISERROR(VLOOKUP($A388,'SegEnds_NonXtal_BW#'!$A:$Z,23,FALSE)+VLOOKUP($A388,A:AL,34,FALSE)-50),"-",(VLOOKUP($A388,'SegEnds_NonXtal_BW#'!$A:$Z,23,FALSE)+VLOOKUP($A388,A:AL,34,FALSE)-50))</f>
        <v>259</v>
      </c>
      <c r="AH388" s="3">
        <v>278</v>
      </c>
      <c r="AI388" s="3">
        <f>IF(ISERROR((VLOOKUP($A388,'SegEnds_NonXtal_BW#'!$A:$Z,24,FALSE)+VLOOKUP($A388,A:AL,34,FALSE)-50)),"-",(VLOOKUP($A388,'SegEnds_NonXtal_BW#'!$A:$Z,24,FALSE)+VLOOKUP($A388,A:AL,34,FALSE)-50))</f>
        <v>284</v>
      </c>
      <c r="AJ388" s="3">
        <f>IF(ISERROR(VLOOKUP($A388,'SegEnds_NonXtal_BW#'!$A:$Z,25,FALSE)+VLOOKUP($A388,A:AL,37,FALSE)-50),"-",(VLOOKUP($A388,'SegEnds_NonXtal_BW#'!$A:$Z,25,FALSE)+VLOOKUP($A388,A:AL,37,FALSE)-50))</f>
        <v>285</v>
      </c>
      <c r="AK388" s="3">
        <v>288</v>
      </c>
      <c r="AL388" s="3">
        <f>IF(ISERROR((VLOOKUP($A388,'SegEnds_NonXtal_BW#'!$A:$Z,26,FALSE)+VLOOKUP($A388,A:AL,37,FALSE)-50)),"-",(VLOOKUP($A388,'SegEnds_NonXtal_BW#'!$A:$Z,26,FALSE)+VLOOKUP($A388,A:AL,37,FALSE)-50))</f>
        <v>298</v>
      </c>
      <c r="AM388" s="28" t="str">
        <f>VLOOKUP(A388,Classification!A:B,2,FALSE)</f>
        <v>T</v>
      </c>
      <c r="AN388" s="28" t="b">
        <f t="shared" si="195"/>
        <v>1</v>
      </c>
      <c r="AO388" s="3" t="str">
        <f>IF(ISERROR(MATCH(A388,'SegEnds_Xtal_Prot#'!B:B, 0)), "NoXtal", "Xtal")</f>
        <v>NoXtal</v>
      </c>
      <c r="AP388" s="3">
        <f t="shared" si="180"/>
        <v>1</v>
      </c>
      <c r="AQ388" s="3">
        <f t="shared" si="181"/>
        <v>1</v>
      </c>
      <c r="AR388" s="3" t="str">
        <f t="shared" si="182"/>
        <v>-</v>
      </c>
      <c r="AS388" s="3" t="str">
        <f t="shared" si="183"/>
        <v>-</v>
      </c>
      <c r="AT388" s="3">
        <f t="shared" si="184"/>
        <v>3</v>
      </c>
      <c r="AU388" s="3">
        <f t="shared" si="185"/>
        <v>1</v>
      </c>
      <c r="AV388" s="3" t="str">
        <f t="shared" si="186"/>
        <v>-</v>
      </c>
      <c r="AW388" s="3" t="str">
        <f t="shared" si="187"/>
        <v>-</v>
      </c>
      <c r="AX388" s="3">
        <f t="shared" si="188"/>
        <v>10</v>
      </c>
      <c r="AY388" s="3">
        <f t="shared" si="189"/>
        <v>5</v>
      </c>
      <c r="AZ388" s="3">
        <f t="shared" si="190"/>
        <v>1</v>
      </c>
      <c r="BA388" s="3">
        <f>IF(ISERROR(LEN(VLOOKUP(A388,Seqs!A:E,2,FALSE))-AL388),"-",LEN(VLOOKUP(A388,Seqs!A:E,2,FALSE))-AL388)</f>
        <v>5</v>
      </c>
      <c r="BB388" s="16">
        <f t="shared" si="191"/>
        <v>31</v>
      </c>
      <c r="BC388" s="9">
        <f t="shared" si="192"/>
        <v>20</v>
      </c>
      <c r="BD388" s="3">
        <f t="shared" si="193"/>
        <v>31</v>
      </c>
      <c r="BE388" s="3">
        <f t="shared" si="194"/>
        <v>53</v>
      </c>
      <c r="BF388" s="3">
        <f t="shared" si="208"/>
        <v>35</v>
      </c>
    </row>
    <row r="389" spans="1:58" s="3" customFormat="1" x14ac:dyDescent="0.2">
      <c r="A389" s="3" t="s">
        <v>458</v>
      </c>
      <c r="B389" s="3" t="str">
        <f>LOWER(VLOOKUP(A389,Xtal_Templ!A:B,2,FALSE))</f>
        <v>5ht2c_human</v>
      </c>
      <c r="C389" s="3">
        <f>VLOOKUP($A389,'SegEnds_NonXtal_BW#'!$A:$Z,3,FALSE)+D389-50</f>
        <v>6</v>
      </c>
      <c r="D389" s="3">
        <v>24</v>
      </c>
      <c r="E389" s="3">
        <f t="shared" si="203"/>
        <v>36</v>
      </c>
      <c r="F389" s="3">
        <f t="shared" si="204"/>
        <v>37</v>
      </c>
      <c r="G389" s="3">
        <v>39</v>
      </c>
      <c r="H389" s="3">
        <f t="shared" si="205"/>
        <v>40</v>
      </c>
      <c r="I389" s="3">
        <f t="shared" si="205"/>
        <v>41</v>
      </c>
      <c r="J389" s="3">
        <v>55</v>
      </c>
      <c r="K389" s="3">
        <f>VLOOKUP($A389,'SegEnds_NonXtal_BW#'!$A:$Z,8,FALSE)+VLOOKUP($A389,A:AL,10,FALSE)-50</f>
        <v>72</v>
      </c>
      <c r="L389" s="3" t="str">
        <f>IF(ISERROR(VLOOKUP($A389,'SegEnds_NonXtal_BW#'!$A:$Z,9,FALSE)+VLOOKUP($A389,A:AL,13,FALSE)-50),"-",(VLOOKUP($A389,'SegEnds_NonXtal_BW#'!$A:$Z,9,FALSE)+VLOOKUP($A389,A:AL,13,FALSE)-50))</f>
        <v>-</v>
      </c>
      <c r="M389" s="3" t="s">
        <v>23</v>
      </c>
      <c r="N389" s="3" t="str">
        <f>IF(ISERROR(VLOOKUP($A389,'SegEnds_NonXtal_BW#'!$A:$Z,10,FALSE)+VLOOKUP($A389,A:AL,13,FALSE)-50),"-",(VLOOKUP($A389,'SegEnds_NonXtal_BW#'!$A:$Z,10,FALSE)+VLOOKUP($A389,A:AL,13,FALSE)-50))</f>
        <v>-</v>
      </c>
      <c r="O389" s="3">
        <f>VLOOKUP($A389,'SegEnds_NonXtal_BW#'!$A:$Z,11,FALSE)+VLOOKUP($A389,A:AL,16,FALSE)-50</f>
        <v>78</v>
      </c>
      <c r="P389" s="3">
        <v>107</v>
      </c>
      <c r="Q389" s="3">
        <f>VLOOKUP($A389,'SegEnds_NonXtal_BW#'!$A:$Z,12,FALSE)+VLOOKUP($A389,A:AL,16,FALSE)-50</f>
        <v>113</v>
      </c>
      <c r="R389" s="3">
        <f t="shared" si="206"/>
        <v>116</v>
      </c>
      <c r="S389" s="3">
        <v>116</v>
      </c>
      <c r="T389" s="100">
        <f t="shared" si="207"/>
        <v>123</v>
      </c>
      <c r="U389" s="9">
        <f>IF(ISERROR(VLOOKUP($A389,'SegEnds_NonXtal_BW#'!$A:$Z,15,FALSE)+VLOOKUP($A389,A:AL,22,FALSE)-50),"-",VLOOKUP($A389,'SegEnds_NonXtal_BW#'!$A:$Z,15,FALSE)+VLOOKUP($A389,A:AL,22,FALSE)-50)</f>
        <v>124</v>
      </c>
      <c r="V389" s="3">
        <v>136</v>
      </c>
      <c r="W389" s="3">
        <f>IF(ISERROR(VLOOKUP($A389,'SegEnds_NonXtal_BW#'!$A:$Z,16,FALSE)+VLOOKUP($A389,A:AL,22,FALSE)-50),"-",(VLOOKUP($A389,'SegEnds_NonXtal_BW#'!$A:$Z,16,FALSE)+VLOOKUP($A389,A:AL,22,FALSE)-50))</f>
        <v>153</v>
      </c>
      <c r="X389" s="3" t="str">
        <f>IF(ISERROR(VLOOKUP($A389,'SegEnds_NonXtal_BW#'!$A:$Z,17,FALSE)+VLOOKUP($A389,A:AL,25,FALSE)-50),"-",(VLOOKUP($A389,'SegEnds_NonXtal_BW#'!$A:$Z,17,FALSE)+VLOOKUP($A389,A:AL,25,FALSE)-50))</f>
        <v>-</v>
      </c>
      <c r="Y389" s="3" t="s">
        <v>23</v>
      </c>
      <c r="Z389" s="3" t="str">
        <f>IF(ISERROR(VLOOKUP($A389,'SegEnds_NonXtal_BW#'!$A:$Z,18,FALSE)+VLOOKUP($A389,A:AL,25,FALSE)-50),"-",(VLOOKUP($A389,'SegEnds_NonXtal_BW#'!$A:$Z,18,FALSE)+VLOOKUP($A389,A:AL,25,FALSE)-50))</f>
        <v>-</v>
      </c>
      <c r="AA389" s="3">
        <f>IF(ISERROR(VLOOKUP($A389,'SegEnds_NonXtal_BW#'!$A:$Z,19,FALSE)+VLOOKUP($A389,A:AL,28,FALSE)-50),"-",(VLOOKUP($A389,'SegEnds_NonXtal_BW#'!$A:$Z,19,FALSE)+VLOOKUP($A389,A:AL,28,FALSE)-50))</f>
        <v>172</v>
      </c>
      <c r="AB389" s="3">
        <v>190</v>
      </c>
      <c r="AC389" s="3">
        <f>IF(ISERROR((VLOOKUP($A389,'SegEnds_NonXtal_BW#'!$A:$Z,20,FALSE)+VLOOKUP($A389,A:AL,28,FALSE)-50)),"-",(VLOOKUP($A389,'SegEnds_NonXtal_BW#'!$A:$Z,20,FALSE)+VLOOKUP($A389,A:AL,28,FALSE)-50))</f>
        <v>212</v>
      </c>
      <c r="AD389" s="3">
        <f>IF(ISERROR(VLOOKUP($A389,'SegEnds_NonXtal_BW#'!$A:$Z,21,FALSE)+VLOOKUP($A389,A:AL,31,FALSE)-50),"-",(VLOOKUP($A389,'SegEnds_NonXtal_BW#'!$A:$Z,21,FALSE)+VLOOKUP($A389,A:AL,31,FALSE)-50))</f>
        <v>221</v>
      </c>
      <c r="AE389" s="3">
        <v>242</v>
      </c>
      <c r="AF389" s="3">
        <f>IF(ISERROR((VLOOKUP($A389,'SegEnds_NonXtal_BW#'!$A:$Z,22,FALSE)+VLOOKUP($A389,A:AL,31,FALSE)-50)),"-",(VLOOKUP($A389,'SegEnds_NonXtal_BW#'!$A:$Z,22,FALSE)+VLOOKUP($A389,A:AL,31,FALSE)-50))</f>
        <v>253</v>
      </c>
      <c r="AG389" s="3">
        <f>IF(ISERROR(VLOOKUP($A389,'SegEnds_NonXtal_BW#'!$A:$Z,23,FALSE)+VLOOKUP($A389,A:AL,34,FALSE)-50),"-",(VLOOKUP($A389,'SegEnds_NonXtal_BW#'!$A:$Z,23,FALSE)+VLOOKUP($A389,A:AL,34,FALSE)-50))</f>
        <v>258</v>
      </c>
      <c r="AH389" s="3">
        <v>277</v>
      </c>
      <c r="AI389" s="3">
        <f>IF(ISERROR((VLOOKUP($A389,'SegEnds_NonXtal_BW#'!$A:$Z,24,FALSE)+VLOOKUP($A389,A:AL,34,FALSE)-50)),"-",(VLOOKUP($A389,'SegEnds_NonXtal_BW#'!$A:$Z,24,FALSE)+VLOOKUP($A389,A:AL,34,FALSE)-50))</f>
        <v>283</v>
      </c>
      <c r="AJ389" s="3">
        <f>IF(ISERROR(VLOOKUP($A389,'SegEnds_NonXtal_BW#'!$A:$Z,25,FALSE)+VLOOKUP($A389,A:AL,37,FALSE)-50),"-",(VLOOKUP($A389,'SegEnds_NonXtal_BW#'!$A:$Z,25,FALSE)+VLOOKUP($A389,A:AL,37,FALSE)-50))</f>
        <v>284</v>
      </c>
      <c r="AK389" s="3">
        <v>287</v>
      </c>
      <c r="AL389" s="3">
        <f>IF(ISERROR((VLOOKUP($A389,'SegEnds_NonXtal_BW#'!$A:$Z,26,FALSE)+VLOOKUP($A389,A:AL,37,FALSE)-50)),"-",(VLOOKUP($A389,'SegEnds_NonXtal_BW#'!$A:$Z,26,FALSE)+VLOOKUP($A389,A:AL,37,FALSE)-50))</f>
        <v>297</v>
      </c>
      <c r="AM389" s="28" t="str">
        <f>VLOOKUP(A389,Classification!A:B,2,FALSE)</f>
        <v>T</v>
      </c>
      <c r="AN389" s="28" t="b">
        <f t="shared" si="195"/>
        <v>1</v>
      </c>
      <c r="AO389" s="3" t="str">
        <f>IF(ISERROR(MATCH(A389,'SegEnds_Xtal_Prot#'!B:B, 0)), "NoXtal", "Xtal")</f>
        <v>NoXtal</v>
      </c>
      <c r="AP389" s="3">
        <f t="shared" si="180"/>
        <v>1</v>
      </c>
      <c r="AQ389" s="3">
        <f t="shared" si="181"/>
        <v>1</v>
      </c>
      <c r="AR389" s="3" t="str">
        <f t="shared" si="182"/>
        <v>-</v>
      </c>
      <c r="AS389" s="3" t="str">
        <f t="shared" si="183"/>
        <v>-</v>
      </c>
      <c r="AT389" s="3">
        <f t="shared" si="184"/>
        <v>3</v>
      </c>
      <c r="AU389" s="3">
        <f t="shared" si="185"/>
        <v>1</v>
      </c>
      <c r="AV389" s="3" t="str">
        <f t="shared" si="186"/>
        <v>-</v>
      </c>
      <c r="AW389" s="3" t="str">
        <f t="shared" si="187"/>
        <v>-</v>
      </c>
      <c r="AX389" s="3">
        <f t="shared" si="188"/>
        <v>9</v>
      </c>
      <c r="AY389" s="3">
        <f t="shared" si="189"/>
        <v>5</v>
      </c>
      <c r="AZ389" s="3">
        <f t="shared" si="190"/>
        <v>1</v>
      </c>
      <c r="BA389" s="3">
        <f>IF(ISERROR(LEN(VLOOKUP(A389,Seqs!A:E,2,FALSE))-AL389),"-",LEN(VLOOKUP(A389,Seqs!A:E,2,FALSE))-AL389)</f>
        <v>20</v>
      </c>
      <c r="BB389" s="16">
        <f t="shared" si="191"/>
        <v>31</v>
      </c>
      <c r="BC389" s="9">
        <f t="shared" si="192"/>
        <v>20</v>
      </c>
      <c r="BD389" s="3">
        <f t="shared" si="193"/>
        <v>31</v>
      </c>
      <c r="BE389" s="3">
        <f t="shared" si="194"/>
        <v>52</v>
      </c>
      <c r="BF389" s="3">
        <f t="shared" si="208"/>
        <v>35</v>
      </c>
    </row>
    <row r="390" spans="1:58" s="3" customFormat="1" x14ac:dyDescent="0.2">
      <c r="A390" s="3" t="s">
        <v>459</v>
      </c>
      <c r="B390" s="3" t="str">
        <f>LOWER(VLOOKUP(A390,Xtal_Templ!A:B,2,FALSE))</f>
        <v>pd2r2_human</v>
      </c>
      <c r="C390" s="3">
        <f>VLOOKUP($A390,'SegEnds_NonXtal_BW#'!$A:$Z,3,FALSE)+D390-50</f>
        <v>7</v>
      </c>
      <c r="D390" s="3">
        <v>25</v>
      </c>
      <c r="E390" s="3">
        <f t="shared" si="203"/>
        <v>37</v>
      </c>
      <c r="F390" s="3">
        <f t="shared" si="204"/>
        <v>38</v>
      </c>
      <c r="G390" s="3">
        <v>40</v>
      </c>
      <c r="H390" s="3">
        <f t="shared" si="205"/>
        <v>41</v>
      </c>
      <c r="I390" s="3">
        <f t="shared" si="205"/>
        <v>42</v>
      </c>
      <c r="J390" s="3">
        <v>56</v>
      </c>
      <c r="K390" s="3">
        <f>VLOOKUP($A390,'SegEnds_NonXtal_BW#'!$A:$Z,8,FALSE)+VLOOKUP($A390,A:AL,10,FALSE)-50</f>
        <v>72</v>
      </c>
      <c r="L390" s="3" t="str">
        <f>IF(ISERROR(VLOOKUP($A390,'SegEnds_NonXtal_BW#'!$A:$Z,9,FALSE)+VLOOKUP($A390,A:AL,13,FALSE)-50),"-",(VLOOKUP($A390,'SegEnds_NonXtal_BW#'!$A:$Z,9,FALSE)+VLOOKUP($A390,A:AL,13,FALSE)-50))</f>
        <v>-</v>
      </c>
      <c r="M390" s="3" t="s">
        <v>23</v>
      </c>
      <c r="N390" s="3" t="str">
        <f>IF(ISERROR(VLOOKUP($A390,'SegEnds_NonXtal_BW#'!$A:$Z,10,FALSE)+VLOOKUP($A390,A:AL,13,FALSE)-50),"-",(VLOOKUP($A390,'SegEnds_NonXtal_BW#'!$A:$Z,10,FALSE)+VLOOKUP($A390,A:AL,13,FALSE)-50))</f>
        <v>-</v>
      </c>
      <c r="O390" s="3">
        <f>VLOOKUP($A390,'SegEnds_NonXtal_BW#'!$A:$Z,11,FALSE)+VLOOKUP($A390,A:AL,16,FALSE)-50</f>
        <v>77</v>
      </c>
      <c r="P390" s="3">
        <v>103</v>
      </c>
      <c r="Q390" s="3">
        <f>VLOOKUP($A390,'SegEnds_NonXtal_BW#'!$A:$Z,12,FALSE)+VLOOKUP($A390,A:AL,16,FALSE)-50</f>
        <v>109</v>
      </c>
      <c r="R390" s="3">
        <f t="shared" si="206"/>
        <v>112</v>
      </c>
      <c r="S390" s="3">
        <v>112</v>
      </c>
      <c r="T390" s="100">
        <f t="shared" si="207"/>
        <v>119</v>
      </c>
      <c r="U390" s="9">
        <f>IF(ISERROR(VLOOKUP($A390,'SegEnds_NonXtal_BW#'!$A:$Z,15,FALSE)+VLOOKUP($A390,A:AL,22,FALSE)-50),"-",VLOOKUP($A390,'SegEnds_NonXtal_BW#'!$A:$Z,15,FALSE)+VLOOKUP($A390,A:AL,22,FALSE)-50)</f>
        <v>120</v>
      </c>
      <c r="V390" s="3">
        <v>132</v>
      </c>
      <c r="W390" s="3">
        <f>IF(ISERROR(VLOOKUP($A390,'SegEnds_NonXtal_BW#'!$A:$Z,16,FALSE)+VLOOKUP($A390,A:AL,22,FALSE)-50),"-",(VLOOKUP($A390,'SegEnds_NonXtal_BW#'!$A:$Z,16,FALSE)+VLOOKUP($A390,A:AL,22,FALSE)-50))</f>
        <v>146</v>
      </c>
      <c r="X390" s="3" t="str">
        <f>IF(ISERROR(VLOOKUP($A390,'SegEnds_NonXtal_BW#'!$A:$Z,17,FALSE)+VLOOKUP($A390,A:AL,25,FALSE)-50),"-",(VLOOKUP($A390,'SegEnds_NonXtal_BW#'!$A:$Z,17,FALSE)+VLOOKUP($A390,A:AL,25,FALSE)-50))</f>
        <v>-</v>
      </c>
      <c r="Y390" s="3" t="s">
        <v>23</v>
      </c>
      <c r="Z390" s="3" t="str">
        <f>IF(ISERROR(VLOOKUP($A390,'SegEnds_NonXtal_BW#'!$A:$Z,18,FALSE)+VLOOKUP($A390,A:AL,25,FALSE)-50),"-",(VLOOKUP($A390,'SegEnds_NonXtal_BW#'!$A:$Z,18,FALSE)+VLOOKUP($A390,A:AL,25,FALSE)-50))</f>
        <v>-</v>
      </c>
      <c r="AA390" s="3">
        <f>IF(ISERROR(VLOOKUP($A390,'SegEnds_NonXtal_BW#'!$A:$Z,19,FALSE)+VLOOKUP($A390,A:AL,28,FALSE)-50),"-",(VLOOKUP($A390,'SegEnds_NonXtal_BW#'!$A:$Z,19,FALSE)+VLOOKUP($A390,A:AL,28,FALSE)-50))</f>
        <v>170</v>
      </c>
      <c r="AB390" s="3">
        <v>188</v>
      </c>
      <c r="AC390" s="3">
        <f>IF(ISERROR((VLOOKUP($A390,'SegEnds_NonXtal_BW#'!$A:$Z,20,FALSE)+VLOOKUP($A390,A:AL,28,FALSE)-50)),"-",(VLOOKUP($A390,'SegEnds_NonXtal_BW#'!$A:$Z,20,FALSE)+VLOOKUP($A390,A:AL,28,FALSE)-50))</f>
        <v>210</v>
      </c>
      <c r="AD390" s="3">
        <f>IF(ISERROR(VLOOKUP($A390,'SegEnds_NonXtal_BW#'!$A:$Z,21,FALSE)+VLOOKUP($A390,A:AL,31,FALSE)-50),"-",(VLOOKUP($A390,'SegEnds_NonXtal_BW#'!$A:$Z,21,FALSE)+VLOOKUP($A390,A:AL,31,FALSE)-50))</f>
        <v>217</v>
      </c>
      <c r="AE390" s="3">
        <v>238</v>
      </c>
      <c r="AF390" s="3">
        <f>IF(ISERROR((VLOOKUP($A390,'SegEnds_NonXtal_BW#'!$A:$Z,22,FALSE)+VLOOKUP($A390,A:AL,31,FALSE)-50)),"-",(VLOOKUP($A390,'SegEnds_NonXtal_BW#'!$A:$Z,22,FALSE)+VLOOKUP($A390,A:AL,31,FALSE)-50))</f>
        <v>249</v>
      </c>
      <c r="AG390" s="3">
        <f>IF(ISERROR(VLOOKUP($A390,'SegEnds_NonXtal_BW#'!$A:$Z,23,FALSE)+VLOOKUP($A390,A:AL,34,FALSE)-50),"-",(VLOOKUP($A390,'SegEnds_NonXtal_BW#'!$A:$Z,23,FALSE)+VLOOKUP($A390,A:AL,34,FALSE)-50))</f>
        <v>254</v>
      </c>
      <c r="AH390" s="3">
        <v>273</v>
      </c>
      <c r="AI390" s="3">
        <f>IF(ISERROR((VLOOKUP($A390,'SegEnds_NonXtal_BW#'!$A:$Z,24,FALSE)+VLOOKUP($A390,A:AL,34,FALSE)-50)),"-",(VLOOKUP($A390,'SegEnds_NonXtal_BW#'!$A:$Z,24,FALSE)+VLOOKUP($A390,A:AL,34,FALSE)-50))</f>
        <v>279</v>
      </c>
      <c r="AJ390" s="3">
        <f>IF(ISERROR(VLOOKUP($A390,'SegEnds_NonXtal_BW#'!$A:$Z,25,FALSE)+VLOOKUP($A390,A:AL,37,FALSE)-50),"-",(VLOOKUP($A390,'SegEnds_NonXtal_BW#'!$A:$Z,25,FALSE)+VLOOKUP($A390,A:AL,37,FALSE)-50))</f>
        <v>280</v>
      </c>
      <c r="AK390" s="3">
        <v>283</v>
      </c>
      <c r="AL390" s="3">
        <v>291</v>
      </c>
      <c r="AM390" s="28" t="str">
        <f>VLOOKUP(A390,Classification!A:B,2,FALSE)</f>
        <v>T</v>
      </c>
      <c r="AN390" s="28" t="b">
        <f t="shared" si="195"/>
        <v>1</v>
      </c>
      <c r="AO390" s="3" t="str">
        <f>IF(ISERROR(MATCH(A390,'SegEnds_Xtal_Prot#'!B:B, 0)), "NoXtal", "Xtal")</f>
        <v>NoXtal</v>
      </c>
      <c r="AP390" s="3">
        <f t="shared" ref="AP390:AP411" si="209">IF(ISERROR(F390-E390),"-",F390-E390)</f>
        <v>1</v>
      </c>
      <c r="AQ390" s="3">
        <f t="shared" ref="AQ390:AQ411" si="210">IF(ISERROR(I390-H390),"-",I390-H390)</f>
        <v>1</v>
      </c>
      <c r="AR390" s="3" t="str">
        <f t="shared" ref="AR390:AR411" si="211">IF(ISERROR(L390-K390),"-",L390-K390)</f>
        <v>-</v>
      </c>
      <c r="AS390" s="3" t="str">
        <f t="shared" ref="AS390:AS411" si="212">IF(ISERROR(O390-N390),"-",O390-N390)</f>
        <v>-</v>
      </c>
      <c r="AT390" s="3">
        <f t="shared" ref="AT390:AT411" si="213">IF(ISERROR(R390-Q390),"-",R390-Q390)</f>
        <v>3</v>
      </c>
      <c r="AU390" s="3">
        <f t="shared" ref="AU390:AU411" si="214">IF(ISERROR(U390-T390),"-",U390-T390)</f>
        <v>1</v>
      </c>
      <c r="AV390" s="3" t="str">
        <f t="shared" ref="AV390:AV411" si="215">IF(ISERROR(X390-W390),"-",X390-W390)</f>
        <v>-</v>
      </c>
      <c r="AW390" s="3" t="str">
        <f t="shared" ref="AW390:AW411" si="216">IF(ISERROR(AA390-Z390),"-",AA390-Z390)</f>
        <v>-</v>
      </c>
      <c r="AX390" s="3">
        <f t="shared" ref="AX390:AX411" si="217">IF(ISERROR(AD390-AC390),"-",AD390-AC390)</f>
        <v>7</v>
      </c>
      <c r="AY390" s="3">
        <f t="shared" ref="AY390:AY411" si="218">IF(ISERROR(AG390-AF390),"-",AG390-AF390)</f>
        <v>5</v>
      </c>
      <c r="AZ390" s="3">
        <f t="shared" ref="AZ390:AZ411" si="219">IF(ISERROR(AJ390-AI390),"-",AJ390-AI390)</f>
        <v>1</v>
      </c>
      <c r="BA390" s="3">
        <f>IF(ISERROR(LEN(VLOOKUP(A390,Seqs!A:E,2,FALSE))-AL390),"-",LEN(VLOOKUP(A390,Seqs!A:E,2,FALSE))-AL390)</f>
        <v>0</v>
      </c>
      <c r="BB390" s="16">
        <f t="shared" ref="BB390:BB411" si="220">J390-D390</f>
        <v>31</v>
      </c>
      <c r="BC390" s="9">
        <f t="shared" ref="BC390:BC411" si="221">IF(ISERROR(V390-S390),"-",V390-S390)</f>
        <v>20</v>
      </c>
      <c r="BD390" s="3">
        <f t="shared" ref="BD390:BD411" si="222">J390-D390</f>
        <v>31</v>
      </c>
      <c r="BE390" s="3">
        <f t="shared" ref="BE390:BE411" si="223">AE390-AB390</f>
        <v>50</v>
      </c>
      <c r="BF390" s="3">
        <f t="shared" si="208"/>
        <v>35</v>
      </c>
    </row>
    <row r="391" spans="1:58" s="3" customFormat="1" x14ac:dyDescent="0.2">
      <c r="A391" s="3" t="s">
        <v>460</v>
      </c>
      <c r="B391" s="3" t="str">
        <f>LOWER(VLOOKUP(A391,Xtal_Templ!A:B,2,FALSE))</f>
        <v>5ht2c_human</v>
      </c>
      <c r="C391" s="3">
        <f>VLOOKUP($A391,'SegEnds_NonXtal_BW#'!$A:$Z,3,FALSE)+D391-50</f>
        <v>6</v>
      </c>
      <c r="D391" s="3">
        <v>24</v>
      </c>
      <c r="E391" s="3">
        <f t="shared" si="203"/>
        <v>36</v>
      </c>
      <c r="F391" s="3">
        <f t="shared" si="204"/>
        <v>37</v>
      </c>
      <c r="G391" s="3">
        <v>39</v>
      </c>
      <c r="H391" s="3">
        <f t="shared" si="205"/>
        <v>40</v>
      </c>
      <c r="I391" s="3">
        <f t="shared" si="205"/>
        <v>41</v>
      </c>
      <c r="J391" s="3">
        <v>55</v>
      </c>
      <c r="K391" s="3">
        <f>VLOOKUP($A391,'SegEnds_NonXtal_BW#'!$A:$Z,8,FALSE)+VLOOKUP($A391,A:AL,10,FALSE)-50</f>
        <v>71</v>
      </c>
      <c r="L391" s="3" t="str">
        <f>IF(ISERROR(VLOOKUP($A391,'SegEnds_NonXtal_BW#'!$A:$Z,9,FALSE)+VLOOKUP($A391,A:AL,13,FALSE)-50),"-",(VLOOKUP($A391,'SegEnds_NonXtal_BW#'!$A:$Z,9,FALSE)+VLOOKUP($A391,A:AL,13,FALSE)-50))</f>
        <v>-</v>
      </c>
      <c r="M391" s="3" t="s">
        <v>23</v>
      </c>
      <c r="N391" s="3" t="str">
        <f>IF(ISERROR(VLOOKUP($A391,'SegEnds_NonXtal_BW#'!$A:$Z,10,FALSE)+VLOOKUP($A391,A:AL,13,FALSE)-50),"-",(VLOOKUP($A391,'SegEnds_NonXtal_BW#'!$A:$Z,10,FALSE)+VLOOKUP($A391,A:AL,13,FALSE)-50))</f>
        <v>-</v>
      </c>
      <c r="O391" s="3">
        <f>VLOOKUP($A391,'SegEnds_NonXtal_BW#'!$A:$Z,11,FALSE)+VLOOKUP($A391,A:AL,16,FALSE)-50</f>
        <v>77</v>
      </c>
      <c r="P391" s="3">
        <v>106</v>
      </c>
      <c r="Q391" s="3">
        <f>VLOOKUP($A391,'SegEnds_NonXtal_BW#'!$A:$Z,12,FALSE)+VLOOKUP($A391,A:AL,16,FALSE)-50</f>
        <v>112</v>
      </c>
      <c r="R391" s="3">
        <f t="shared" si="206"/>
        <v>115</v>
      </c>
      <c r="S391" s="3">
        <v>115</v>
      </c>
      <c r="T391" s="100">
        <f t="shared" si="207"/>
        <v>122</v>
      </c>
      <c r="U391" s="9">
        <f>IF(ISERROR(VLOOKUP($A391,'SegEnds_NonXtal_BW#'!$A:$Z,15,FALSE)+VLOOKUP($A391,A:AL,22,FALSE)-50),"-",VLOOKUP($A391,'SegEnds_NonXtal_BW#'!$A:$Z,15,FALSE)+VLOOKUP($A391,A:AL,22,FALSE)-50)</f>
        <v>123</v>
      </c>
      <c r="V391" s="3">
        <v>135</v>
      </c>
      <c r="W391" s="3">
        <f>IF(ISERROR(VLOOKUP($A391,'SegEnds_NonXtal_BW#'!$A:$Z,16,FALSE)+VLOOKUP($A391,A:AL,22,FALSE)-50),"-",(VLOOKUP($A391,'SegEnds_NonXtal_BW#'!$A:$Z,16,FALSE)+VLOOKUP($A391,A:AL,22,FALSE)-50))</f>
        <v>152</v>
      </c>
      <c r="X391" s="3" t="str">
        <f>IF(ISERROR(VLOOKUP($A391,'SegEnds_NonXtal_BW#'!$A:$Z,17,FALSE)+VLOOKUP($A391,A:AL,25,FALSE)-50),"-",(VLOOKUP($A391,'SegEnds_NonXtal_BW#'!$A:$Z,17,FALSE)+VLOOKUP($A391,A:AL,25,FALSE)-50))</f>
        <v>-</v>
      </c>
      <c r="Y391" s="3" t="s">
        <v>23</v>
      </c>
      <c r="Z391" s="3" t="str">
        <f>IF(ISERROR(VLOOKUP($A391,'SegEnds_NonXtal_BW#'!$A:$Z,18,FALSE)+VLOOKUP($A391,A:AL,25,FALSE)-50),"-",(VLOOKUP($A391,'SegEnds_NonXtal_BW#'!$A:$Z,18,FALSE)+VLOOKUP($A391,A:AL,25,FALSE)-50))</f>
        <v>-</v>
      </c>
      <c r="AA391" s="3">
        <f>IF(ISERROR(VLOOKUP($A391,'SegEnds_NonXtal_BW#'!$A:$Z,19,FALSE)+VLOOKUP($A391,A:AL,28,FALSE)-50),"-",(VLOOKUP($A391,'SegEnds_NonXtal_BW#'!$A:$Z,19,FALSE)+VLOOKUP($A391,A:AL,28,FALSE)-50))</f>
        <v>169</v>
      </c>
      <c r="AB391" s="3">
        <v>187</v>
      </c>
      <c r="AC391" s="3">
        <f>IF(ISERROR((VLOOKUP($A391,'SegEnds_NonXtal_BW#'!$A:$Z,20,FALSE)+VLOOKUP($A391,A:AL,28,FALSE)-50)),"-",(VLOOKUP($A391,'SegEnds_NonXtal_BW#'!$A:$Z,20,FALSE)+VLOOKUP($A391,A:AL,28,FALSE)-50))</f>
        <v>209</v>
      </c>
      <c r="AD391" s="3">
        <f>IF(ISERROR(VLOOKUP($A391,'SegEnds_NonXtal_BW#'!$A:$Z,21,FALSE)+VLOOKUP($A391,A:AL,31,FALSE)-50),"-",(VLOOKUP($A391,'SegEnds_NonXtal_BW#'!$A:$Z,21,FALSE)+VLOOKUP($A391,A:AL,31,FALSE)-50))</f>
        <v>219</v>
      </c>
      <c r="AE391" s="3">
        <v>240</v>
      </c>
      <c r="AF391" s="3">
        <f>IF(ISERROR((VLOOKUP($A391,'SegEnds_NonXtal_BW#'!$A:$Z,22,FALSE)+VLOOKUP($A391,A:AL,31,FALSE)-50)),"-",(VLOOKUP($A391,'SegEnds_NonXtal_BW#'!$A:$Z,22,FALSE)+VLOOKUP($A391,A:AL,31,FALSE)-50))</f>
        <v>251</v>
      </c>
      <c r="AG391" s="3">
        <f>IF(ISERROR(VLOOKUP($A391,'SegEnds_NonXtal_BW#'!$A:$Z,23,FALSE)+VLOOKUP($A391,A:AL,34,FALSE)-50),"-",(VLOOKUP($A391,'SegEnds_NonXtal_BW#'!$A:$Z,23,FALSE)+VLOOKUP($A391,A:AL,34,FALSE)-50))</f>
        <v>257</v>
      </c>
      <c r="AH391" s="3">
        <v>276</v>
      </c>
      <c r="AI391" s="3">
        <f>IF(ISERROR((VLOOKUP($A391,'SegEnds_NonXtal_BW#'!$A:$Z,24,FALSE)+VLOOKUP($A391,A:AL,34,FALSE)-50)),"-",(VLOOKUP($A391,'SegEnds_NonXtal_BW#'!$A:$Z,24,FALSE)+VLOOKUP($A391,A:AL,34,FALSE)-50))</f>
        <v>282</v>
      </c>
      <c r="AJ391" s="3">
        <f>IF(ISERROR(VLOOKUP($A391,'SegEnds_NonXtal_BW#'!$A:$Z,25,FALSE)+VLOOKUP($A391,A:AL,37,FALSE)-50),"-",(VLOOKUP($A391,'SegEnds_NonXtal_BW#'!$A:$Z,25,FALSE)+VLOOKUP($A391,A:AL,37,FALSE)-50))</f>
        <v>283</v>
      </c>
      <c r="AK391" s="3">
        <v>286</v>
      </c>
      <c r="AL391" s="3">
        <f>IF(ISERROR((VLOOKUP($A391,'SegEnds_NonXtal_BW#'!$A:$Z,26,FALSE)+VLOOKUP($A391,A:AL,37,FALSE)-50)),"-",(VLOOKUP($A391,'SegEnds_NonXtal_BW#'!$A:$Z,26,FALSE)+VLOOKUP($A391,A:AL,37,FALSE)-50))</f>
        <v>296</v>
      </c>
      <c r="AM391" s="28" t="str">
        <f>VLOOKUP(A391,Classification!A:B,2,FALSE)</f>
        <v>T</v>
      </c>
      <c r="AN391" s="28" t="b">
        <f t="shared" ref="AN391:AN411" si="224">AND(IF(Y391="-",IF(AA391-W391&gt;3,TRUE,FALSE),TRUE),IF(M391="-",IF(O391-K391&gt;3,TRUE,FALSE),TRUE),IF(AG391-AF391&gt;1,TRUE,FALSE),C391&lt;E391,OR(E391&lt;F391,F391="-"),OR(F391&lt;H391,F391="-"),OR(H391&lt;I391,H391="-"),I391&lt;K391,OR(K391&lt;L391,L391="-"),OR(L391&lt;N391,L391="-"),OR(N391&lt;O391,N391="-"),O391&lt;Q391,OR(Q391&lt;R391,R391="-"),OR(R391&lt;T391,R391="-"),OR(T391&lt;U391,T391="-"),U391&lt;W391,OR(W391&lt;X391,X391="-"),OR(X391&lt;Z391,X391="-"),OR(Z391&lt;AA391,Z391="-"),AA391&lt;AC391,AC391&lt;AD391,AD391&lt;AF391,AF391&lt;AG391,AG391&lt;AI391,OR(AI391&lt;AJ391,AJ391="-"),OR(AJ391&lt;AL391,AJ391="-"))</f>
        <v>1</v>
      </c>
      <c r="AO391" s="3" t="str">
        <f>IF(ISERROR(MATCH(A391,'SegEnds_Xtal_Prot#'!B:B, 0)), "NoXtal", "Xtal")</f>
        <v>NoXtal</v>
      </c>
      <c r="AP391" s="3">
        <f t="shared" si="209"/>
        <v>1</v>
      </c>
      <c r="AQ391" s="3">
        <f t="shared" si="210"/>
        <v>1</v>
      </c>
      <c r="AR391" s="3" t="str">
        <f t="shared" si="211"/>
        <v>-</v>
      </c>
      <c r="AS391" s="3" t="str">
        <f t="shared" si="212"/>
        <v>-</v>
      </c>
      <c r="AT391" s="3">
        <f t="shared" si="213"/>
        <v>3</v>
      </c>
      <c r="AU391" s="3">
        <f t="shared" si="214"/>
        <v>1</v>
      </c>
      <c r="AV391" s="3" t="str">
        <f t="shared" si="215"/>
        <v>-</v>
      </c>
      <c r="AW391" s="3" t="str">
        <f t="shared" si="216"/>
        <v>-</v>
      </c>
      <c r="AX391" s="3">
        <f t="shared" si="217"/>
        <v>10</v>
      </c>
      <c r="AY391" s="3">
        <f t="shared" si="218"/>
        <v>6</v>
      </c>
      <c r="AZ391" s="3">
        <f t="shared" si="219"/>
        <v>1</v>
      </c>
      <c r="BA391" s="3">
        <f>IF(ISERROR(LEN(VLOOKUP(A391,Seqs!A:E,2,FALSE))-AL391),"-",LEN(VLOOKUP(A391,Seqs!A:E,2,FALSE))-AL391)</f>
        <v>3</v>
      </c>
      <c r="BB391" s="16">
        <f t="shared" si="220"/>
        <v>31</v>
      </c>
      <c r="BC391" s="9">
        <f t="shared" si="221"/>
        <v>20</v>
      </c>
      <c r="BD391" s="3">
        <f t="shared" si="222"/>
        <v>31</v>
      </c>
      <c r="BE391" s="3">
        <f t="shared" si="223"/>
        <v>53</v>
      </c>
      <c r="BF391" s="3">
        <f t="shared" si="208"/>
        <v>36</v>
      </c>
    </row>
    <row r="392" spans="1:58" s="3" customFormat="1" x14ac:dyDescent="0.2">
      <c r="A392" s="3" t="s">
        <v>461</v>
      </c>
      <c r="B392" s="3" t="str">
        <f>LOWER(VLOOKUP(A392,Xtal_Templ!A:B,2,FALSE))</f>
        <v>5ht2c_human</v>
      </c>
      <c r="C392" s="3">
        <f>VLOOKUP($A392,'SegEnds_NonXtal_BW#'!$A:$Z,3,FALSE)+D392-50</f>
        <v>6</v>
      </c>
      <c r="D392" s="3">
        <v>24</v>
      </c>
      <c r="E392" s="3">
        <f t="shared" si="203"/>
        <v>36</v>
      </c>
      <c r="F392" s="3">
        <f t="shared" si="204"/>
        <v>37</v>
      </c>
      <c r="G392" s="3">
        <v>39</v>
      </c>
      <c r="H392" s="3">
        <f t="shared" si="205"/>
        <v>40</v>
      </c>
      <c r="I392" s="3">
        <f t="shared" si="205"/>
        <v>41</v>
      </c>
      <c r="J392" s="3">
        <v>55</v>
      </c>
      <c r="K392" s="3">
        <f>VLOOKUP($A392,'SegEnds_NonXtal_BW#'!$A:$Z,8,FALSE)+VLOOKUP($A392,A:AL,10,FALSE)-50</f>
        <v>71</v>
      </c>
      <c r="L392" s="3" t="str">
        <f>IF(ISERROR(VLOOKUP($A392,'SegEnds_NonXtal_BW#'!$A:$Z,9,FALSE)+VLOOKUP($A392,A:AL,13,FALSE)-50),"-",(VLOOKUP($A392,'SegEnds_NonXtal_BW#'!$A:$Z,9,FALSE)+VLOOKUP($A392,A:AL,13,FALSE)-50))</f>
        <v>-</v>
      </c>
      <c r="M392" s="3" t="s">
        <v>23</v>
      </c>
      <c r="N392" s="3" t="str">
        <f>IF(ISERROR(VLOOKUP($A392,'SegEnds_NonXtal_BW#'!$A:$Z,10,FALSE)+VLOOKUP($A392,A:AL,13,FALSE)-50),"-",(VLOOKUP($A392,'SegEnds_NonXtal_BW#'!$A:$Z,10,FALSE)+VLOOKUP($A392,A:AL,13,FALSE)-50))</f>
        <v>-</v>
      </c>
      <c r="O392" s="3">
        <f>VLOOKUP($A392,'SegEnds_NonXtal_BW#'!$A:$Z,11,FALSE)+VLOOKUP($A392,A:AL,16,FALSE)-50</f>
        <v>77</v>
      </c>
      <c r="P392" s="3">
        <v>106</v>
      </c>
      <c r="Q392" s="3">
        <f>VLOOKUP($A392,'SegEnds_NonXtal_BW#'!$A:$Z,12,FALSE)+VLOOKUP($A392,A:AL,16,FALSE)-50</f>
        <v>112</v>
      </c>
      <c r="R392" s="3">
        <f t="shared" si="206"/>
        <v>115</v>
      </c>
      <c r="S392" s="3">
        <v>115</v>
      </c>
      <c r="T392" s="100">
        <f t="shared" si="207"/>
        <v>122</v>
      </c>
      <c r="U392" s="9">
        <f>IF(ISERROR(VLOOKUP($A392,'SegEnds_NonXtal_BW#'!$A:$Z,15,FALSE)+VLOOKUP($A392,A:AL,22,FALSE)-50),"-",VLOOKUP($A392,'SegEnds_NonXtal_BW#'!$A:$Z,15,FALSE)+VLOOKUP($A392,A:AL,22,FALSE)-50)</f>
        <v>123</v>
      </c>
      <c r="V392" s="3">
        <v>135</v>
      </c>
      <c r="W392" s="3">
        <f>IF(ISERROR(VLOOKUP($A392,'SegEnds_NonXtal_BW#'!$A:$Z,16,FALSE)+VLOOKUP($A392,A:AL,22,FALSE)-50),"-",(VLOOKUP($A392,'SegEnds_NonXtal_BW#'!$A:$Z,16,FALSE)+VLOOKUP($A392,A:AL,22,FALSE)-50))</f>
        <v>152</v>
      </c>
      <c r="X392" s="3" t="str">
        <f>IF(ISERROR(VLOOKUP($A392,'SegEnds_NonXtal_BW#'!$A:$Z,17,FALSE)+VLOOKUP($A392,A:AL,25,FALSE)-50),"-",(VLOOKUP($A392,'SegEnds_NonXtal_BW#'!$A:$Z,17,FALSE)+VLOOKUP($A392,A:AL,25,FALSE)-50))</f>
        <v>-</v>
      </c>
      <c r="Y392" s="3" t="s">
        <v>23</v>
      </c>
      <c r="Z392" s="3" t="str">
        <f>IF(ISERROR(VLOOKUP($A392,'SegEnds_NonXtal_BW#'!$A:$Z,18,FALSE)+VLOOKUP($A392,A:AL,25,FALSE)-50),"-",(VLOOKUP($A392,'SegEnds_NonXtal_BW#'!$A:$Z,18,FALSE)+VLOOKUP($A392,A:AL,25,FALSE)-50))</f>
        <v>-</v>
      </c>
      <c r="AA392" s="3">
        <f>IF(ISERROR(VLOOKUP($A392,'SegEnds_NonXtal_BW#'!$A:$Z,19,FALSE)+VLOOKUP($A392,A:AL,28,FALSE)-50),"-",(VLOOKUP($A392,'SegEnds_NonXtal_BW#'!$A:$Z,19,FALSE)+VLOOKUP($A392,A:AL,28,FALSE)-50))</f>
        <v>169</v>
      </c>
      <c r="AB392" s="3">
        <v>187</v>
      </c>
      <c r="AC392" s="3">
        <f>IF(ISERROR((VLOOKUP($A392,'SegEnds_NonXtal_BW#'!$A:$Z,20,FALSE)+VLOOKUP($A392,A:AL,28,FALSE)-50)),"-",(VLOOKUP($A392,'SegEnds_NonXtal_BW#'!$A:$Z,20,FALSE)+VLOOKUP($A392,A:AL,28,FALSE)-50))</f>
        <v>209</v>
      </c>
      <c r="AD392" s="3">
        <f>IF(ISERROR(VLOOKUP($A392,'SegEnds_NonXtal_BW#'!$A:$Z,21,FALSE)+VLOOKUP($A392,A:AL,31,FALSE)-50),"-",(VLOOKUP($A392,'SegEnds_NonXtal_BW#'!$A:$Z,21,FALSE)+VLOOKUP($A392,A:AL,31,FALSE)-50))</f>
        <v>219</v>
      </c>
      <c r="AE392" s="3">
        <v>240</v>
      </c>
      <c r="AF392" s="3">
        <f>IF(ISERROR((VLOOKUP($A392,'SegEnds_NonXtal_BW#'!$A:$Z,22,FALSE)+VLOOKUP($A392,A:AL,31,FALSE)-50)),"-",(VLOOKUP($A392,'SegEnds_NonXtal_BW#'!$A:$Z,22,FALSE)+VLOOKUP($A392,A:AL,31,FALSE)-50))</f>
        <v>251</v>
      </c>
      <c r="AG392" s="3">
        <f>IF(ISERROR(VLOOKUP($A392,'SegEnds_NonXtal_BW#'!$A:$Z,23,FALSE)+VLOOKUP($A392,A:AL,34,FALSE)-50),"-",(VLOOKUP($A392,'SegEnds_NonXtal_BW#'!$A:$Z,23,FALSE)+VLOOKUP($A392,A:AL,34,FALSE)-50))</f>
        <v>257</v>
      </c>
      <c r="AH392" s="3">
        <v>276</v>
      </c>
      <c r="AI392" s="3">
        <f>IF(ISERROR((VLOOKUP($A392,'SegEnds_NonXtal_BW#'!$A:$Z,24,FALSE)+VLOOKUP($A392,A:AL,34,FALSE)-50)),"-",(VLOOKUP($A392,'SegEnds_NonXtal_BW#'!$A:$Z,24,FALSE)+VLOOKUP($A392,A:AL,34,FALSE)-50))</f>
        <v>282</v>
      </c>
      <c r="AJ392" s="3">
        <f>IF(ISERROR(VLOOKUP($A392,'SegEnds_NonXtal_BW#'!$A:$Z,25,FALSE)+VLOOKUP($A392,A:AL,37,FALSE)-50),"-",(VLOOKUP($A392,'SegEnds_NonXtal_BW#'!$A:$Z,25,FALSE)+VLOOKUP($A392,A:AL,37,FALSE)-50))</f>
        <v>283</v>
      </c>
      <c r="AK392" s="3">
        <v>286</v>
      </c>
      <c r="AL392" s="3">
        <f>IF(ISERROR((VLOOKUP($A392,'SegEnds_NonXtal_BW#'!$A:$Z,26,FALSE)+VLOOKUP($A392,A:AL,37,FALSE)-50)),"-",(VLOOKUP($A392,'SegEnds_NonXtal_BW#'!$A:$Z,26,FALSE)+VLOOKUP($A392,A:AL,37,FALSE)-50))</f>
        <v>296</v>
      </c>
      <c r="AM392" s="28" t="str">
        <f>VLOOKUP(A392,Classification!A:B,2,FALSE)</f>
        <v>T</v>
      </c>
      <c r="AN392" s="28" t="b">
        <f t="shared" si="224"/>
        <v>1</v>
      </c>
      <c r="AO392" s="3" t="str">
        <f>IF(ISERROR(MATCH(A392,'SegEnds_Xtal_Prot#'!B:B, 0)), "NoXtal", "Xtal")</f>
        <v>NoXtal</v>
      </c>
      <c r="AP392" s="3">
        <f t="shared" si="209"/>
        <v>1</v>
      </c>
      <c r="AQ392" s="3">
        <f t="shared" si="210"/>
        <v>1</v>
      </c>
      <c r="AR392" s="3" t="str">
        <f t="shared" si="211"/>
        <v>-</v>
      </c>
      <c r="AS392" s="3" t="str">
        <f t="shared" si="212"/>
        <v>-</v>
      </c>
      <c r="AT392" s="3">
        <f t="shared" si="213"/>
        <v>3</v>
      </c>
      <c r="AU392" s="3">
        <f t="shared" si="214"/>
        <v>1</v>
      </c>
      <c r="AV392" s="3" t="str">
        <f t="shared" si="215"/>
        <v>-</v>
      </c>
      <c r="AW392" s="3" t="str">
        <f t="shared" si="216"/>
        <v>-</v>
      </c>
      <c r="AX392" s="3">
        <f t="shared" si="217"/>
        <v>10</v>
      </c>
      <c r="AY392" s="3">
        <f t="shared" si="218"/>
        <v>6</v>
      </c>
      <c r="AZ392" s="3">
        <f t="shared" si="219"/>
        <v>1</v>
      </c>
      <c r="BA392" s="3">
        <f>IF(ISERROR(LEN(VLOOKUP(A392,Seqs!A:E,2,FALSE))-AL392),"-",LEN(VLOOKUP(A392,Seqs!A:E,2,FALSE))-AL392)</f>
        <v>13</v>
      </c>
      <c r="BB392" s="16">
        <f t="shared" si="220"/>
        <v>31</v>
      </c>
      <c r="BC392" s="9">
        <f t="shared" si="221"/>
        <v>20</v>
      </c>
      <c r="BD392" s="3">
        <f t="shared" si="222"/>
        <v>31</v>
      </c>
      <c r="BE392" s="3">
        <f t="shared" si="223"/>
        <v>53</v>
      </c>
      <c r="BF392" s="3">
        <f t="shared" si="208"/>
        <v>36</v>
      </c>
    </row>
    <row r="393" spans="1:58" s="3" customFormat="1" x14ac:dyDescent="0.2">
      <c r="A393" s="3" t="s">
        <v>462</v>
      </c>
      <c r="B393" s="3" t="str">
        <f>LOWER(VLOOKUP(A393,Xtal_Templ!A:B,2,FALSE))</f>
        <v>5ht2c_human</v>
      </c>
      <c r="C393" s="3">
        <f>VLOOKUP($A393,'SegEnds_NonXtal_BW#'!$A:$Z,3,FALSE)+D393-50</f>
        <v>6</v>
      </c>
      <c r="D393" s="3">
        <v>24</v>
      </c>
      <c r="E393" s="3">
        <f t="shared" si="203"/>
        <v>36</v>
      </c>
      <c r="F393" s="3">
        <f t="shared" si="204"/>
        <v>37</v>
      </c>
      <c r="G393" s="3">
        <v>39</v>
      </c>
      <c r="H393" s="3">
        <f t="shared" si="205"/>
        <v>40</v>
      </c>
      <c r="I393" s="3">
        <f t="shared" si="205"/>
        <v>41</v>
      </c>
      <c r="J393" s="3">
        <v>55</v>
      </c>
      <c r="K393" s="3">
        <f>VLOOKUP($A393,'SegEnds_NonXtal_BW#'!$A:$Z,8,FALSE)+VLOOKUP($A393,A:AL,10,FALSE)-50</f>
        <v>71</v>
      </c>
      <c r="L393" s="3" t="str">
        <f>IF(ISERROR(VLOOKUP($A393,'SegEnds_NonXtal_BW#'!$A:$Z,9,FALSE)+VLOOKUP($A393,A:AL,13,FALSE)-50),"-",(VLOOKUP($A393,'SegEnds_NonXtal_BW#'!$A:$Z,9,FALSE)+VLOOKUP($A393,A:AL,13,FALSE)-50))</f>
        <v>-</v>
      </c>
      <c r="M393" s="3" t="s">
        <v>23</v>
      </c>
      <c r="N393" s="3" t="str">
        <f>IF(ISERROR(VLOOKUP($A393,'SegEnds_NonXtal_BW#'!$A:$Z,10,FALSE)+VLOOKUP($A393,A:AL,13,FALSE)-50),"-",(VLOOKUP($A393,'SegEnds_NonXtal_BW#'!$A:$Z,10,FALSE)+VLOOKUP($A393,A:AL,13,FALSE)-50))</f>
        <v>-</v>
      </c>
      <c r="O393" s="3">
        <f>VLOOKUP($A393,'SegEnds_NonXtal_BW#'!$A:$Z,11,FALSE)+VLOOKUP($A393,A:AL,16,FALSE)-50</f>
        <v>77</v>
      </c>
      <c r="P393" s="3">
        <v>106</v>
      </c>
      <c r="Q393" s="3">
        <f>VLOOKUP($A393,'SegEnds_NonXtal_BW#'!$A:$Z,12,FALSE)+VLOOKUP($A393,A:AL,16,FALSE)-50</f>
        <v>112</v>
      </c>
      <c r="R393" s="3">
        <f t="shared" si="206"/>
        <v>115</v>
      </c>
      <c r="S393" s="3">
        <v>115</v>
      </c>
      <c r="T393" s="100">
        <f t="shared" si="207"/>
        <v>122</v>
      </c>
      <c r="U393" s="9">
        <f>IF(ISERROR(VLOOKUP($A393,'SegEnds_NonXtal_BW#'!$A:$Z,15,FALSE)+VLOOKUP($A393,A:AL,22,FALSE)-50),"-",VLOOKUP($A393,'SegEnds_NonXtal_BW#'!$A:$Z,15,FALSE)+VLOOKUP($A393,A:AL,22,FALSE)-50)</f>
        <v>123</v>
      </c>
      <c r="V393" s="3">
        <v>135</v>
      </c>
      <c r="W393" s="3">
        <f>IF(ISERROR(VLOOKUP($A393,'SegEnds_NonXtal_BW#'!$A:$Z,16,FALSE)+VLOOKUP($A393,A:AL,22,FALSE)-50),"-",(VLOOKUP($A393,'SegEnds_NonXtal_BW#'!$A:$Z,16,FALSE)+VLOOKUP($A393,A:AL,22,FALSE)-50))</f>
        <v>152</v>
      </c>
      <c r="X393" s="3" t="str">
        <f>IF(ISERROR(VLOOKUP($A393,'SegEnds_NonXtal_BW#'!$A:$Z,17,FALSE)+VLOOKUP($A393,A:AL,25,FALSE)-50),"-",(VLOOKUP($A393,'SegEnds_NonXtal_BW#'!$A:$Z,17,FALSE)+VLOOKUP($A393,A:AL,25,FALSE)-50))</f>
        <v>-</v>
      </c>
      <c r="Y393" s="3" t="s">
        <v>23</v>
      </c>
      <c r="Z393" s="3" t="str">
        <f>IF(ISERROR(VLOOKUP($A393,'SegEnds_NonXtal_BW#'!$A:$Z,18,FALSE)+VLOOKUP($A393,A:AL,25,FALSE)-50),"-",(VLOOKUP($A393,'SegEnds_NonXtal_BW#'!$A:$Z,18,FALSE)+VLOOKUP($A393,A:AL,25,FALSE)-50))</f>
        <v>-</v>
      </c>
      <c r="AA393" s="3">
        <f>IF(ISERROR(VLOOKUP($A393,'SegEnds_NonXtal_BW#'!$A:$Z,19,FALSE)+VLOOKUP($A393,A:AL,28,FALSE)-50),"-",(VLOOKUP($A393,'SegEnds_NonXtal_BW#'!$A:$Z,19,FALSE)+VLOOKUP($A393,A:AL,28,FALSE)-50))</f>
        <v>169</v>
      </c>
      <c r="AB393" s="3">
        <v>187</v>
      </c>
      <c r="AC393" s="3">
        <f>IF(ISERROR((VLOOKUP($A393,'SegEnds_NonXtal_BW#'!$A:$Z,20,FALSE)+VLOOKUP($A393,A:AL,28,FALSE)-50)),"-",(VLOOKUP($A393,'SegEnds_NonXtal_BW#'!$A:$Z,20,FALSE)+VLOOKUP($A393,A:AL,28,FALSE)-50))</f>
        <v>209</v>
      </c>
      <c r="AD393" s="3">
        <f>IF(ISERROR(VLOOKUP($A393,'SegEnds_NonXtal_BW#'!$A:$Z,21,FALSE)+VLOOKUP($A393,A:AL,31,FALSE)-50),"-",(VLOOKUP($A393,'SegEnds_NonXtal_BW#'!$A:$Z,21,FALSE)+VLOOKUP($A393,A:AL,31,FALSE)-50))</f>
        <v>219</v>
      </c>
      <c r="AE393" s="3">
        <v>240</v>
      </c>
      <c r="AF393" s="3">
        <f>IF(ISERROR((VLOOKUP($A393,'SegEnds_NonXtal_BW#'!$A:$Z,22,FALSE)+VLOOKUP($A393,A:AL,31,FALSE)-50)),"-",(VLOOKUP($A393,'SegEnds_NonXtal_BW#'!$A:$Z,22,FALSE)+VLOOKUP($A393,A:AL,31,FALSE)-50))</f>
        <v>251</v>
      </c>
      <c r="AG393" s="3">
        <f>IF(ISERROR(VLOOKUP($A393,'SegEnds_NonXtal_BW#'!$A:$Z,23,FALSE)+VLOOKUP($A393,A:AL,34,FALSE)-50),"-",(VLOOKUP($A393,'SegEnds_NonXtal_BW#'!$A:$Z,23,FALSE)+VLOOKUP($A393,A:AL,34,FALSE)-50))</f>
        <v>257</v>
      </c>
      <c r="AH393" s="3">
        <v>276</v>
      </c>
      <c r="AI393" s="3">
        <f>IF(ISERROR((VLOOKUP($A393,'SegEnds_NonXtal_BW#'!$A:$Z,24,FALSE)+VLOOKUP($A393,A:AL,34,FALSE)-50)),"-",(VLOOKUP($A393,'SegEnds_NonXtal_BW#'!$A:$Z,24,FALSE)+VLOOKUP($A393,A:AL,34,FALSE)-50))</f>
        <v>282</v>
      </c>
      <c r="AJ393" s="3">
        <f>IF(ISERROR(VLOOKUP($A393,'SegEnds_NonXtal_BW#'!$A:$Z,25,FALSE)+VLOOKUP($A393,A:AL,37,FALSE)-50),"-",(VLOOKUP($A393,'SegEnds_NonXtal_BW#'!$A:$Z,25,FALSE)+VLOOKUP($A393,A:AL,37,FALSE)-50))</f>
        <v>283</v>
      </c>
      <c r="AK393" s="3">
        <v>286</v>
      </c>
      <c r="AL393" s="3">
        <f>IF(ISERROR((VLOOKUP($A393,'SegEnds_NonXtal_BW#'!$A:$Z,26,FALSE)+VLOOKUP($A393,A:AL,37,FALSE)-50)),"-",(VLOOKUP($A393,'SegEnds_NonXtal_BW#'!$A:$Z,26,FALSE)+VLOOKUP($A393,A:AL,37,FALSE)-50))</f>
        <v>296</v>
      </c>
      <c r="AM393" s="28" t="str">
        <f>VLOOKUP(A393,Classification!A:B,2,FALSE)</f>
        <v>T</v>
      </c>
      <c r="AN393" s="28" t="b">
        <f t="shared" si="224"/>
        <v>1</v>
      </c>
      <c r="AO393" s="3" t="str">
        <f>IF(ISERROR(MATCH(A393,'SegEnds_Xtal_Prot#'!B:B, 0)), "NoXtal", "Xtal")</f>
        <v>NoXtal</v>
      </c>
      <c r="AP393" s="3">
        <f t="shared" si="209"/>
        <v>1</v>
      </c>
      <c r="AQ393" s="3">
        <f t="shared" si="210"/>
        <v>1</v>
      </c>
      <c r="AR393" s="3" t="str">
        <f t="shared" si="211"/>
        <v>-</v>
      </c>
      <c r="AS393" s="3" t="str">
        <f t="shared" si="212"/>
        <v>-</v>
      </c>
      <c r="AT393" s="3">
        <f t="shared" si="213"/>
        <v>3</v>
      </c>
      <c r="AU393" s="3">
        <f t="shared" si="214"/>
        <v>1</v>
      </c>
      <c r="AV393" s="3" t="str">
        <f t="shared" si="215"/>
        <v>-</v>
      </c>
      <c r="AW393" s="3" t="str">
        <f t="shared" si="216"/>
        <v>-</v>
      </c>
      <c r="AX393" s="3">
        <f t="shared" si="217"/>
        <v>10</v>
      </c>
      <c r="AY393" s="3">
        <f t="shared" si="218"/>
        <v>6</v>
      </c>
      <c r="AZ393" s="3">
        <f t="shared" si="219"/>
        <v>1</v>
      </c>
      <c r="BA393" s="3">
        <f>IF(ISERROR(LEN(VLOOKUP(A393,Seqs!A:E,2,FALSE))-AL393),"-",LEN(VLOOKUP(A393,Seqs!A:E,2,FALSE))-AL393)</f>
        <v>23</v>
      </c>
      <c r="BB393" s="16">
        <f t="shared" si="220"/>
        <v>31</v>
      </c>
      <c r="BC393" s="9">
        <f t="shared" si="221"/>
        <v>20</v>
      </c>
      <c r="BD393" s="3">
        <f t="shared" si="222"/>
        <v>31</v>
      </c>
      <c r="BE393" s="3">
        <f t="shared" si="223"/>
        <v>53</v>
      </c>
      <c r="BF393" s="3">
        <f t="shared" si="208"/>
        <v>36</v>
      </c>
    </row>
    <row r="394" spans="1:58" s="3" customFormat="1" x14ac:dyDescent="0.2">
      <c r="A394" s="3" t="s">
        <v>463</v>
      </c>
      <c r="B394" s="3" t="str">
        <f>LOWER(VLOOKUP(A394,Xtal_Templ!A:B,2,FALSE))</f>
        <v>drd2_human</v>
      </c>
      <c r="C394" s="3">
        <f>VLOOKUP($A394,'SegEnds_NonXtal_BW#'!$A:$Z,3,FALSE)+D394-50</f>
        <v>6</v>
      </c>
      <c r="D394" s="3">
        <v>24</v>
      </c>
      <c r="E394" s="3">
        <f t="shared" si="203"/>
        <v>36</v>
      </c>
      <c r="F394" s="3">
        <f t="shared" si="204"/>
        <v>37</v>
      </c>
      <c r="G394" s="3">
        <v>39</v>
      </c>
      <c r="H394" s="3">
        <f t="shared" si="205"/>
        <v>40</v>
      </c>
      <c r="I394" s="3">
        <f t="shared" si="205"/>
        <v>41</v>
      </c>
      <c r="J394" s="3">
        <v>55</v>
      </c>
      <c r="K394" s="3">
        <f>VLOOKUP($A394,'SegEnds_NonXtal_BW#'!$A:$Z,8,FALSE)+VLOOKUP($A394,A:AL,10,FALSE)-50</f>
        <v>71</v>
      </c>
      <c r="L394" s="3" t="str">
        <f>IF(ISERROR(VLOOKUP($A394,'SegEnds_NonXtal_BW#'!$A:$Z,9,FALSE)+VLOOKUP($A394,A:AL,13,FALSE)-50),"-",(VLOOKUP($A394,'SegEnds_NonXtal_BW#'!$A:$Z,9,FALSE)+VLOOKUP($A394,A:AL,13,FALSE)-50))</f>
        <v>-</v>
      </c>
      <c r="M394" s="3" t="s">
        <v>23</v>
      </c>
      <c r="N394" s="3" t="str">
        <f>IF(ISERROR(VLOOKUP($A394,'SegEnds_NonXtal_BW#'!$A:$Z,10,FALSE)+VLOOKUP($A394,A:AL,13,FALSE)-50),"-",(VLOOKUP($A394,'SegEnds_NonXtal_BW#'!$A:$Z,10,FALSE)+VLOOKUP($A394,A:AL,13,FALSE)-50))</f>
        <v>-</v>
      </c>
      <c r="O394" s="3">
        <f>VLOOKUP($A394,'SegEnds_NonXtal_BW#'!$A:$Z,11,FALSE)+VLOOKUP($A394,A:AL,16,FALSE)-50</f>
        <v>77</v>
      </c>
      <c r="P394" s="3">
        <v>106</v>
      </c>
      <c r="Q394" s="3">
        <f>VLOOKUP($A394,'SegEnds_NonXtal_BW#'!$A:$Z,12,FALSE)+VLOOKUP($A394,A:AL,16,FALSE)-50</f>
        <v>112</v>
      </c>
      <c r="R394" s="3">
        <f t="shared" si="206"/>
        <v>115</v>
      </c>
      <c r="S394" s="3">
        <v>115</v>
      </c>
      <c r="T394" s="100">
        <f t="shared" si="207"/>
        <v>122</v>
      </c>
      <c r="U394" s="9">
        <f>IF(ISERROR(VLOOKUP($A394,'SegEnds_NonXtal_BW#'!$A:$Z,15,FALSE)+VLOOKUP($A394,A:AL,22,FALSE)-50),"-",VLOOKUP($A394,'SegEnds_NonXtal_BW#'!$A:$Z,15,FALSE)+VLOOKUP($A394,A:AL,22,FALSE)-50)</f>
        <v>123</v>
      </c>
      <c r="V394" s="3">
        <v>135</v>
      </c>
      <c r="W394" s="3">
        <f>IF(ISERROR(VLOOKUP($A394,'SegEnds_NonXtal_BW#'!$A:$Z,16,FALSE)+VLOOKUP($A394,A:AL,22,FALSE)-50),"-",(VLOOKUP($A394,'SegEnds_NonXtal_BW#'!$A:$Z,16,FALSE)+VLOOKUP($A394,A:AL,22,FALSE)-50))</f>
        <v>147</v>
      </c>
      <c r="X394" s="3" t="str">
        <f>IF(ISERROR(VLOOKUP($A394,'SegEnds_NonXtal_BW#'!$A:$Z,17,FALSE)+VLOOKUP($A394,A:AL,25,FALSE)-50),"-",(VLOOKUP($A394,'SegEnds_NonXtal_BW#'!$A:$Z,17,FALSE)+VLOOKUP($A394,A:AL,25,FALSE)-50))</f>
        <v>-</v>
      </c>
      <c r="Y394" s="3" t="s">
        <v>23</v>
      </c>
      <c r="Z394" s="3" t="str">
        <f>IF(ISERROR(VLOOKUP($A394,'SegEnds_NonXtal_BW#'!$A:$Z,18,FALSE)+VLOOKUP($A394,A:AL,25,FALSE)-50),"-",(VLOOKUP($A394,'SegEnds_NonXtal_BW#'!$A:$Z,18,FALSE)+VLOOKUP($A394,A:AL,25,FALSE)-50))</f>
        <v>-</v>
      </c>
      <c r="AA394" s="3">
        <f>IF(ISERROR(VLOOKUP($A394,'SegEnds_NonXtal_BW#'!$A:$Z,19,FALSE)+VLOOKUP($A394,A:AL,28,FALSE)-50),"-",(VLOOKUP($A394,'SegEnds_NonXtal_BW#'!$A:$Z,19,FALSE)+VLOOKUP($A394,A:AL,28,FALSE)-50))</f>
        <v>169</v>
      </c>
      <c r="AB394" s="3">
        <v>187</v>
      </c>
      <c r="AC394" s="3">
        <f>IF(ISERROR((VLOOKUP($A394,'SegEnds_NonXtal_BW#'!$A:$Z,20,FALSE)+VLOOKUP($A394,A:AL,28,FALSE)-50)),"-",(VLOOKUP($A394,'SegEnds_NonXtal_BW#'!$A:$Z,20,FALSE)+VLOOKUP($A394,A:AL,28,FALSE)-50))</f>
        <v>209</v>
      </c>
      <c r="AD394" s="3">
        <f>IF(ISERROR(VLOOKUP($A394,'SegEnds_NonXtal_BW#'!$A:$Z,21,FALSE)+VLOOKUP($A394,A:AL,31,FALSE)-50),"-",(VLOOKUP($A394,'SegEnds_NonXtal_BW#'!$A:$Z,21,FALSE)+VLOOKUP($A394,A:AL,31,FALSE)-50))</f>
        <v>219</v>
      </c>
      <c r="AE394" s="3">
        <v>240</v>
      </c>
      <c r="AF394" s="3">
        <f>IF(ISERROR((VLOOKUP($A394,'SegEnds_NonXtal_BW#'!$A:$Z,22,FALSE)+VLOOKUP($A394,A:AL,31,FALSE)-50)),"-",(VLOOKUP($A394,'SegEnds_NonXtal_BW#'!$A:$Z,22,FALSE)+VLOOKUP($A394,A:AL,31,FALSE)-50))</f>
        <v>251</v>
      </c>
      <c r="AG394" s="3">
        <f>IF(ISERROR(VLOOKUP($A394,'SegEnds_NonXtal_BW#'!$A:$Z,23,FALSE)+VLOOKUP($A394,A:AL,34,FALSE)-50),"-",(VLOOKUP($A394,'SegEnds_NonXtal_BW#'!$A:$Z,23,FALSE)+VLOOKUP($A394,A:AL,34,FALSE)-50))</f>
        <v>257</v>
      </c>
      <c r="AH394" s="3">
        <v>276</v>
      </c>
      <c r="AI394" s="3">
        <f>IF(ISERROR((VLOOKUP($A394,'SegEnds_NonXtal_BW#'!$A:$Z,24,FALSE)+VLOOKUP($A394,A:AL,34,FALSE)-50)),"-",(VLOOKUP($A394,'SegEnds_NonXtal_BW#'!$A:$Z,24,FALSE)+VLOOKUP($A394,A:AL,34,FALSE)-50))</f>
        <v>282</v>
      </c>
      <c r="AJ394" s="3">
        <f>IF(ISERROR(VLOOKUP($A394,'SegEnds_NonXtal_BW#'!$A:$Z,25,FALSE)+VLOOKUP($A394,A:AL,37,FALSE)-50),"-",(VLOOKUP($A394,'SegEnds_NonXtal_BW#'!$A:$Z,25,FALSE)+VLOOKUP($A394,A:AL,37,FALSE)-50))</f>
        <v>283</v>
      </c>
      <c r="AK394" s="3">
        <v>286</v>
      </c>
      <c r="AL394" s="3">
        <f>IF(ISERROR((VLOOKUP($A394,'SegEnds_NonXtal_BW#'!$A:$Z,26,FALSE)+VLOOKUP($A394,A:AL,37,FALSE)-50)),"-",(VLOOKUP($A394,'SegEnds_NonXtal_BW#'!$A:$Z,26,FALSE)+VLOOKUP($A394,A:AL,37,FALSE)-50))</f>
        <v>296</v>
      </c>
      <c r="AM394" s="28" t="str">
        <f>VLOOKUP(A394,Classification!A:B,2,FALSE)</f>
        <v>T</v>
      </c>
      <c r="AN394" s="28" t="b">
        <f t="shared" si="224"/>
        <v>1</v>
      </c>
      <c r="AO394" s="3" t="str">
        <f>IF(ISERROR(MATCH(A394,'SegEnds_Xtal_Prot#'!B:B, 0)), "NoXtal", "Xtal")</f>
        <v>NoXtal</v>
      </c>
      <c r="AP394" s="3">
        <f t="shared" si="209"/>
        <v>1</v>
      </c>
      <c r="AQ394" s="3">
        <f t="shared" si="210"/>
        <v>1</v>
      </c>
      <c r="AR394" s="3" t="str">
        <f t="shared" si="211"/>
        <v>-</v>
      </c>
      <c r="AS394" s="3" t="str">
        <f t="shared" si="212"/>
        <v>-</v>
      </c>
      <c r="AT394" s="3">
        <f t="shared" si="213"/>
        <v>3</v>
      </c>
      <c r="AU394" s="3">
        <f t="shared" si="214"/>
        <v>1</v>
      </c>
      <c r="AV394" s="3" t="str">
        <f t="shared" si="215"/>
        <v>-</v>
      </c>
      <c r="AW394" s="3" t="str">
        <f t="shared" si="216"/>
        <v>-</v>
      </c>
      <c r="AX394" s="3">
        <f t="shared" si="217"/>
        <v>10</v>
      </c>
      <c r="AY394" s="3">
        <f t="shared" si="218"/>
        <v>6</v>
      </c>
      <c r="AZ394" s="3">
        <f t="shared" si="219"/>
        <v>1</v>
      </c>
      <c r="BA394" s="3">
        <f>IF(ISERROR(LEN(VLOOKUP(A394,Seqs!A:E,2,FALSE))-AL394),"-",LEN(VLOOKUP(A394,Seqs!A:E,2,FALSE))-AL394)</f>
        <v>13</v>
      </c>
      <c r="BB394" s="16">
        <f t="shared" si="220"/>
        <v>31</v>
      </c>
      <c r="BC394" s="9">
        <f t="shared" si="221"/>
        <v>20</v>
      </c>
      <c r="BD394" s="3">
        <f t="shared" si="222"/>
        <v>31</v>
      </c>
      <c r="BE394" s="3">
        <f t="shared" si="223"/>
        <v>53</v>
      </c>
      <c r="BF394" s="3">
        <f t="shared" si="208"/>
        <v>36</v>
      </c>
    </row>
    <row r="395" spans="1:58" s="3" customFormat="1" x14ac:dyDescent="0.2">
      <c r="A395" s="3" t="s">
        <v>464</v>
      </c>
      <c r="B395" s="3" t="str">
        <f>LOWER(VLOOKUP(A395,Xtal_Templ!A:B,2,FALSE))</f>
        <v>agtr1_human</v>
      </c>
      <c r="C395" s="3">
        <f>VLOOKUP($A395,'SegEnds_NonXtal_BW#'!$A:$Z,3,FALSE)+D395-50</f>
        <v>15</v>
      </c>
      <c r="D395" s="3">
        <v>33</v>
      </c>
      <c r="E395" s="3">
        <f t="shared" si="203"/>
        <v>45</v>
      </c>
      <c r="F395" s="3">
        <f t="shared" si="204"/>
        <v>46</v>
      </c>
      <c r="G395" s="3">
        <v>48</v>
      </c>
      <c r="H395" s="3">
        <f t="shared" si="205"/>
        <v>49</v>
      </c>
      <c r="I395" s="3">
        <f t="shared" si="205"/>
        <v>50</v>
      </c>
      <c r="J395" s="3">
        <v>64</v>
      </c>
      <c r="K395" s="3">
        <f>VLOOKUP($A395,'SegEnds_NonXtal_BW#'!$A:$Z,8,FALSE)+VLOOKUP($A395,A:AL,10,FALSE)-50</f>
        <v>81</v>
      </c>
      <c r="L395" s="3" t="str">
        <f>IF(ISERROR(VLOOKUP($A395,'SegEnds_NonXtal_BW#'!$A:$Z,9,FALSE)+VLOOKUP($A395,A:AL,13,FALSE)-50),"-",(VLOOKUP($A395,'SegEnds_NonXtal_BW#'!$A:$Z,9,FALSE)+VLOOKUP($A395,A:AL,13,FALSE)-50))</f>
        <v>-</v>
      </c>
      <c r="M395" s="3" t="s">
        <v>23</v>
      </c>
      <c r="N395" s="3" t="str">
        <f>IF(ISERROR(VLOOKUP($A395,'SegEnds_NonXtal_BW#'!$A:$Z,10,FALSE)+VLOOKUP($A395,A:AL,13,FALSE)-50),"-",(VLOOKUP($A395,'SegEnds_NonXtal_BW#'!$A:$Z,10,FALSE)+VLOOKUP($A395,A:AL,13,FALSE)-50))</f>
        <v>-</v>
      </c>
      <c r="O395" s="3">
        <f>VLOOKUP($A395,'SegEnds_NonXtal_BW#'!$A:$Z,11,FALSE)+VLOOKUP($A395,A:AL,16,FALSE)-50</f>
        <v>85</v>
      </c>
      <c r="P395" s="3">
        <v>117</v>
      </c>
      <c r="Q395" s="3">
        <f>VLOOKUP($A395,'SegEnds_NonXtal_BW#'!$A:$Z,12,FALSE)+VLOOKUP($A395,A:AL,16,FALSE)-50</f>
        <v>123</v>
      </c>
      <c r="R395" s="3">
        <f t="shared" si="206"/>
        <v>126</v>
      </c>
      <c r="S395" s="3">
        <v>126</v>
      </c>
      <c r="T395" s="100">
        <f t="shared" si="207"/>
        <v>133</v>
      </c>
      <c r="U395" s="9">
        <f>IF(ISERROR(VLOOKUP($A395,'SegEnds_NonXtal_BW#'!$A:$Z,15,FALSE)+VLOOKUP($A395,A:AL,22,FALSE)-50),"-",VLOOKUP($A395,'SegEnds_NonXtal_BW#'!$A:$Z,15,FALSE)+VLOOKUP($A395,A:AL,22,FALSE)-50)</f>
        <v>134</v>
      </c>
      <c r="V395" s="3">
        <v>146</v>
      </c>
      <c r="W395" s="3">
        <f>IF(ISERROR(VLOOKUP($A395,'SegEnds_NonXtal_BW#'!$A:$Z,16,FALSE)+VLOOKUP($A395,A:AL,22,FALSE)-50),"-",(VLOOKUP($A395,'SegEnds_NonXtal_BW#'!$A:$Z,16,FALSE)+VLOOKUP($A395,A:AL,22,FALSE)-50))</f>
        <v>160</v>
      </c>
      <c r="X395" s="3" t="str">
        <f>IF(ISERROR(VLOOKUP($A395,'SegEnds_NonXtal_BW#'!$A:$Z,17,FALSE)+VLOOKUP($A395,A:AL,25,FALSE)-50),"-",(VLOOKUP($A395,'SegEnds_NonXtal_BW#'!$A:$Z,17,FALSE)+VLOOKUP($A395,A:AL,25,FALSE)-50))</f>
        <v>-</v>
      </c>
      <c r="Y395" s="3" t="s">
        <v>23</v>
      </c>
      <c r="Z395" s="3" t="str">
        <f>IF(ISERROR(VLOOKUP($A395,'SegEnds_NonXtal_BW#'!$A:$Z,18,FALSE)+VLOOKUP($A395,A:AL,25,FALSE)-50),"-",(VLOOKUP($A395,'SegEnds_NonXtal_BW#'!$A:$Z,18,FALSE)+VLOOKUP($A395,A:AL,25,FALSE)-50))</f>
        <v>-</v>
      </c>
      <c r="AA395" s="3">
        <f>IF(ISERROR(VLOOKUP($A395,'SegEnds_NonXtal_BW#'!$A:$Z,19,FALSE)+VLOOKUP($A395,A:AL,28,FALSE)-50),"-",(VLOOKUP($A395,'SegEnds_NonXtal_BW#'!$A:$Z,19,FALSE)+VLOOKUP($A395,A:AL,28,FALSE)-50))</f>
        <v>187</v>
      </c>
      <c r="AB395" s="3">
        <v>205</v>
      </c>
      <c r="AC395" s="3">
        <f>IF(ISERROR((VLOOKUP($A395,'SegEnds_NonXtal_BW#'!$A:$Z,20,FALSE)+VLOOKUP($A395,A:AL,28,FALSE)-50)),"-",(VLOOKUP($A395,'SegEnds_NonXtal_BW#'!$A:$Z,20,FALSE)+VLOOKUP($A395,A:AL,28,FALSE)-50))</f>
        <v>227</v>
      </c>
      <c r="AD395" s="3">
        <f>IF(ISERROR(VLOOKUP($A395,'SegEnds_NonXtal_BW#'!$A:$Z,21,FALSE)+VLOOKUP($A395,A:AL,31,FALSE)-50),"-",(VLOOKUP($A395,'SegEnds_NonXtal_BW#'!$A:$Z,21,FALSE)+VLOOKUP($A395,A:AL,31,FALSE)-50))</f>
        <v>237</v>
      </c>
      <c r="AE395" s="3">
        <v>258</v>
      </c>
      <c r="AF395" s="3">
        <f>IF(ISERROR((VLOOKUP($A395,'SegEnds_NonXtal_BW#'!$A:$Z,22,FALSE)+VLOOKUP($A395,A:AL,31,FALSE)-50)),"-",(VLOOKUP($A395,'SegEnds_NonXtal_BW#'!$A:$Z,22,FALSE)+VLOOKUP($A395,A:AL,31,FALSE)-50))</f>
        <v>269</v>
      </c>
      <c r="AG395" s="3">
        <f>IF(ISERROR(VLOOKUP($A395,'SegEnds_NonXtal_BW#'!$A:$Z,23,FALSE)+VLOOKUP($A395,A:AL,34,FALSE)-50),"-",(VLOOKUP($A395,'SegEnds_NonXtal_BW#'!$A:$Z,23,FALSE)+VLOOKUP($A395,A:AL,34,FALSE)-50))</f>
        <v>275</v>
      </c>
      <c r="AH395" s="3">
        <v>294</v>
      </c>
      <c r="AI395" s="3">
        <f>IF(ISERROR((VLOOKUP($A395,'SegEnds_NonXtal_BW#'!$A:$Z,24,FALSE)+VLOOKUP($A395,A:AL,34,FALSE)-50)),"-",(VLOOKUP($A395,'SegEnds_NonXtal_BW#'!$A:$Z,24,FALSE)+VLOOKUP($A395,A:AL,34,FALSE)-50))</f>
        <v>300</v>
      </c>
      <c r="AJ395" s="3">
        <f>IF(ISERROR(VLOOKUP($A395,'SegEnds_NonXtal_BW#'!$A:$Z,25,FALSE)+VLOOKUP($A395,A:AL,37,FALSE)-50),"-",(VLOOKUP($A395,'SegEnds_NonXtal_BW#'!$A:$Z,25,FALSE)+VLOOKUP($A395,A:AL,37,FALSE)-50))</f>
        <v>301</v>
      </c>
      <c r="AK395" s="3">
        <v>304</v>
      </c>
      <c r="AL395" s="3">
        <f>IF(ISERROR((VLOOKUP($A395,'SegEnds_NonXtal_BW#'!$A:$Z,26,FALSE)+VLOOKUP($A395,A:AL,37,FALSE)-50)),"-",(VLOOKUP($A395,'SegEnds_NonXtal_BW#'!$A:$Z,26,FALSE)+VLOOKUP($A395,A:AL,37,FALSE)-50))</f>
        <v>314</v>
      </c>
      <c r="AM395" s="28" t="str">
        <f>VLOOKUP(A395,Classification!A:B,2,FALSE)</f>
        <v>T</v>
      </c>
      <c r="AN395" s="28" t="b">
        <f t="shared" si="224"/>
        <v>1</v>
      </c>
      <c r="AO395" s="3" t="str">
        <f>IF(ISERROR(MATCH(A395,'SegEnds_Xtal_Prot#'!B:B, 0)), "NoXtal", "Xtal")</f>
        <v>NoXtal</v>
      </c>
      <c r="AP395" s="3">
        <f t="shared" si="209"/>
        <v>1</v>
      </c>
      <c r="AQ395" s="3">
        <f t="shared" si="210"/>
        <v>1</v>
      </c>
      <c r="AR395" s="3" t="str">
        <f t="shared" si="211"/>
        <v>-</v>
      </c>
      <c r="AS395" s="3" t="str">
        <f t="shared" si="212"/>
        <v>-</v>
      </c>
      <c r="AT395" s="3">
        <f t="shared" si="213"/>
        <v>3</v>
      </c>
      <c r="AU395" s="3">
        <f t="shared" si="214"/>
        <v>1</v>
      </c>
      <c r="AV395" s="3" t="str">
        <f t="shared" si="215"/>
        <v>-</v>
      </c>
      <c r="AW395" s="3" t="str">
        <f t="shared" si="216"/>
        <v>-</v>
      </c>
      <c r="AX395" s="3">
        <f t="shared" si="217"/>
        <v>10</v>
      </c>
      <c r="AY395" s="3">
        <f t="shared" si="218"/>
        <v>6</v>
      </c>
      <c r="AZ395" s="3">
        <f t="shared" si="219"/>
        <v>1</v>
      </c>
      <c r="BA395" s="3">
        <f>IF(ISERROR(LEN(VLOOKUP(A395,Seqs!A:E,2,FALSE))-AL395),"-",LEN(VLOOKUP(A395,Seqs!A:E,2,FALSE))-AL395)</f>
        <v>19</v>
      </c>
      <c r="BB395" s="16">
        <f t="shared" si="220"/>
        <v>31</v>
      </c>
      <c r="BC395" s="9">
        <f t="shared" si="221"/>
        <v>20</v>
      </c>
      <c r="BD395" s="3">
        <f t="shared" si="222"/>
        <v>31</v>
      </c>
      <c r="BE395" s="3">
        <f t="shared" si="223"/>
        <v>53</v>
      </c>
      <c r="BF395" s="3">
        <f t="shared" si="208"/>
        <v>36</v>
      </c>
    </row>
    <row r="396" spans="1:58" s="3" customFormat="1" x14ac:dyDescent="0.2">
      <c r="A396" s="3" t="s">
        <v>465</v>
      </c>
      <c r="B396" s="3" t="str">
        <f>LOWER(VLOOKUP(A396,Xtal_Templ!A:B,2,FALSE))</f>
        <v>agtr1_human</v>
      </c>
      <c r="C396" s="3">
        <f>VLOOKUP($A396,'SegEnds_NonXtal_BW#'!$A:$Z,3,FALSE)+D396-50</f>
        <v>34</v>
      </c>
      <c r="D396" s="3">
        <v>52</v>
      </c>
      <c r="E396" s="3">
        <f t="shared" si="203"/>
        <v>64</v>
      </c>
      <c r="F396" s="3">
        <f t="shared" si="204"/>
        <v>65</v>
      </c>
      <c r="G396" s="3">
        <v>67</v>
      </c>
      <c r="H396" s="3">
        <f t="shared" si="205"/>
        <v>68</v>
      </c>
      <c r="I396" s="3">
        <f t="shared" si="205"/>
        <v>69</v>
      </c>
      <c r="J396" s="3">
        <v>83</v>
      </c>
      <c r="K396" s="3">
        <f>VLOOKUP($A396,'SegEnds_NonXtal_BW#'!$A:$Z,8,FALSE)+VLOOKUP($A396,A:AL,10,FALSE)-50</f>
        <v>99</v>
      </c>
      <c r="L396" s="3" t="str">
        <f>IF(ISERROR(VLOOKUP($A396,'SegEnds_NonXtal_BW#'!$A:$Z,9,FALSE)+VLOOKUP($A396,A:AL,13,FALSE)-50),"-",(VLOOKUP($A396,'SegEnds_NonXtal_BW#'!$A:$Z,9,FALSE)+VLOOKUP($A396,A:AL,13,FALSE)-50))</f>
        <v>-</v>
      </c>
      <c r="M396" s="3" t="s">
        <v>23</v>
      </c>
      <c r="N396" s="3" t="str">
        <f>IF(ISERROR(VLOOKUP($A396,'SegEnds_NonXtal_BW#'!$A:$Z,10,FALSE)+VLOOKUP($A396,A:AL,13,FALSE)-50),"-",(VLOOKUP($A396,'SegEnds_NonXtal_BW#'!$A:$Z,10,FALSE)+VLOOKUP($A396,A:AL,13,FALSE)-50))</f>
        <v>-</v>
      </c>
      <c r="O396" s="3">
        <f>VLOOKUP($A396,'SegEnds_NonXtal_BW#'!$A:$Z,11,FALSE)+VLOOKUP($A396,A:AL,16,FALSE)-50</f>
        <v>103</v>
      </c>
      <c r="P396" s="3">
        <v>135</v>
      </c>
      <c r="Q396" s="3">
        <f>VLOOKUP($A396,'SegEnds_NonXtal_BW#'!$A:$Z,12,FALSE)+VLOOKUP($A396,A:AL,16,FALSE)-50</f>
        <v>141</v>
      </c>
      <c r="R396" s="3">
        <f t="shared" si="206"/>
        <v>144</v>
      </c>
      <c r="S396" s="3">
        <v>144</v>
      </c>
      <c r="T396" s="100">
        <f t="shared" si="207"/>
        <v>151</v>
      </c>
      <c r="U396" s="9">
        <f>IF(ISERROR(VLOOKUP($A396,'SegEnds_NonXtal_BW#'!$A:$Z,15,FALSE)+VLOOKUP($A396,A:AL,22,FALSE)-50),"-",VLOOKUP($A396,'SegEnds_NonXtal_BW#'!$A:$Z,15,FALSE)+VLOOKUP($A396,A:AL,22,FALSE)-50)</f>
        <v>152</v>
      </c>
      <c r="V396" s="3">
        <v>164</v>
      </c>
      <c r="W396" s="3">
        <f>IF(ISERROR(VLOOKUP($A396,'SegEnds_NonXtal_BW#'!$A:$Z,16,FALSE)+VLOOKUP($A396,A:AL,22,FALSE)-50),"-",(VLOOKUP($A396,'SegEnds_NonXtal_BW#'!$A:$Z,16,FALSE)+VLOOKUP($A396,A:AL,22,FALSE)-50))</f>
        <v>178</v>
      </c>
      <c r="X396" s="3" t="str">
        <f>IF(ISERROR(VLOOKUP($A396,'SegEnds_NonXtal_BW#'!$A:$Z,17,FALSE)+VLOOKUP($A396,A:AL,25,FALSE)-50),"-",(VLOOKUP($A396,'SegEnds_NonXtal_BW#'!$A:$Z,17,FALSE)+VLOOKUP($A396,A:AL,25,FALSE)-50))</f>
        <v>-</v>
      </c>
      <c r="Y396" s="3" t="s">
        <v>23</v>
      </c>
      <c r="Z396" s="3" t="str">
        <f>IF(ISERROR(VLOOKUP($A396,'SegEnds_NonXtal_BW#'!$A:$Z,18,FALSE)+VLOOKUP($A396,A:AL,25,FALSE)-50),"-",(VLOOKUP($A396,'SegEnds_NonXtal_BW#'!$A:$Z,18,FALSE)+VLOOKUP($A396,A:AL,25,FALSE)-50))</f>
        <v>-</v>
      </c>
      <c r="AA396" s="3">
        <f>IF(ISERROR(VLOOKUP($A396,'SegEnds_NonXtal_BW#'!$A:$Z,19,FALSE)+VLOOKUP($A396,A:AL,28,FALSE)-50),"-",(VLOOKUP($A396,'SegEnds_NonXtal_BW#'!$A:$Z,19,FALSE)+VLOOKUP($A396,A:AL,28,FALSE)-50))</f>
        <v>202</v>
      </c>
      <c r="AB396" s="3">
        <v>220</v>
      </c>
      <c r="AC396" s="3">
        <f>IF(ISERROR((VLOOKUP($A396,'SegEnds_NonXtal_BW#'!$A:$Z,20,FALSE)+VLOOKUP($A396,A:AL,28,FALSE)-50)),"-",(VLOOKUP($A396,'SegEnds_NonXtal_BW#'!$A:$Z,20,FALSE)+VLOOKUP($A396,A:AL,28,FALSE)-50))</f>
        <v>242</v>
      </c>
      <c r="AD396" s="3">
        <f>IF(ISERROR(VLOOKUP($A396,'SegEnds_NonXtal_BW#'!$A:$Z,21,FALSE)+VLOOKUP($A396,A:AL,31,FALSE)-50),"-",(VLOOKUP($A396,'SegEnds_NonXtal_BW#'!$A:$Z,21,FALSE)+VLOOKUP($A396,A:AL,31,FALSE)-50))</f>
        <v>252</v>
      </c>
      <c r="AE396" s="3">
        <v>273</v>
      </c>
      <c r="AF396" s="3">
        <f>IF(ISERROR((VLOOKUP($A396,'SegEnds_NonXtal_BW#'!$A:$Z,22,FALSE)+VLOOKUP($A396,A:AL,31,FALSE)-50)),"-",(VLOOKUP($A396,'SegEnds_NonXtal_BW#'!$A:$Z,22,FALSE)+VLOOKUP($A396,A:AL,31,FALSE)-50))</f>
        <v>284</v>
      </c>
      <c r="AG396" s="3">
        <f>IF(ISERROR(VLOOKUP($A396,'SegEnds_NonXtal_BW#'!$A:$Z,23,FALSE)+VLOOKUP($A396,A:AL,34,FALSE)-50),"-",(VLOOKUP($A396,'SegEnds_NonXtal_BW#'!$A:$Z,23,FALSE)+VLOOKUP($A396,A:AL,34,FALSE)-50))</f>
        <v>289</v>
      </c>
      <c r="AH396" s="3">
        <v>308</v>
      </c>
      <c r="AI396" s="3">
        <f>IF(ISERROR((VLOOKUP($A396,'SegEnds_NonXtal_BW#'!$A:$Z,24,FALSE)+VLOOKUP($A396,A:AL,34,FALSE)-50)),"-",(VLOOKUP($A396,'SegEnds_NonXtal_BW#'!$A:$Z,24,FALSE)+VLOOKUP($A396,A:AL,34,FALSE)-50))</f>
        <v>314</v>
      </c>
      <c r="AJ396" s="3">
        <f>IF(ISERROR(VLOOKUP($A396,'SegEnds_NonXtal_BW#'!$A:$Z,25,FALSE)+VLOOKUP($A396,A:AL,37,FALSE)-50),"-",(VLOOKUP($A396,'SegEnds_NonXtal_BW#'!$A:$Z,25,FALSE)+VLOOKUP($A396,A:AL,37,FALSE)-50))</f>
        <v>315</v>
      </c>
      <c r="AK396" s="3">
        <v>318</v>
      </c>
      <c r="AL396" s="3">
        <f>IF(ISERROR((VLOOKUP($A396,'SegEnds_NonXtal_BW#'!$A:$Z,26,FALSE)+VLOOKUP($A396,A:AL,37,FALSE)-50)),"-",(VLOOKUP($A396,'SegEnds_NonXtal_BW#'!$A:$Z,26,FALSE)+VLOOKUP($A396,A:AL,37,FALSE)-50))</f>
        <v>328</v>
      </c>
      <c r="AM396" s="28" t="str">
        <f>VLOOKUP(A396,Classification!A:B,2,FALSE)</f>
        <v>T</v>
      </c>
      <c r="AN396" s="28" t="b">
        <f t="shared" si="224"/>
        <v>1</v>
      </c>
      <c r="AO396" s="3" t="str">
        <f>IF(ISERROR(MATCH(A396,'SegEnds_Xtal_Prot#'!B:B, 0)), "NoXtal", "Xtal")</f>
        <v>NoXtal</v>
      </c>
      <c r="AP396" s="3">
        <f t="shared" si="209"/>
        <v>1</v>
      </c>
      <c r="AQ396" s="3">
        <f t="shared" si="210"/>
        <v>1</v>
      </c>
      <c r="AR396" s="3" t="str">
        <f t="shared" si="211"/>
        <v>-</v>
      </c>
      <c r="AS396" s="3" t="str">
        <f t="shared" si="212"/>
        <v>-</v>
      </c>
      <c r="AT396" s="3">
        <f t="shared" si="213"/>
        <v>3</v>
      </c>
      <c r="AU396" s="3">
        <f t="shared" si="214"/>
        <v>1</v>
      </c>
      <c r="AV396" s="3" t="str">
        <f t="shared" si="215"/>
        <v>-</v>
      </c>
      <c r="AW396" s="3" t="str">
        <f t="shared" si="216"/>
        <v>-</v>
      </c>
      <c r="AX396" s="3">
        <f t="shared" si="217"/>
        <v>10</v>
      </c>
      <c r="AY396" s="3">
        <f t="shared" si="218"/>
        <v>5</v>
      </c>
      <c r="AZ396" s="3">
        <f t="shared" si="219"/>
        <v>1</v>
      </c>
      <c r="BA396" s="3">
        <f>IF(ISERROR(LEN(VLOOKUP(A396,Seqs!A:E,2,FALSE))-AL396),"-",LEN(VLOOKUP(A396,Seqs!A:E,2,FALSE))-AL396)</f>
        <v>10</v>
      </c>
      <c r="BB396" s="16">
        <f t="shared" si="220"/>
        <v>31</v>
      </c>
      <c r="BC396" s="9">
        <f t="shared" si="221"/>
        <v>20</v>
      </c>
      <c r="BD396" s="3">
        <f t="shared" si="222"/>
        <v>31</v>
      </c>
      <c r="BE396" s="3">
        <f t="shared" si="223"/>
        <v>53</v>
      </c>
      <c r="BF396" s="3">
        <f t="shared" si="208"/>
        <v>35</v>
      </c>
    </row>
    <row r="397" spans="1:58" s="3" customFormat="1" x14ac:dyDescent="0.2">
      <c r="A397" s="3" t="s">
        <v>466</v>
      </c>
      <c r="B397" s="3" t="str">
        <f>LOWER(VLOOKUP(A397,Xtal_Templ!A:B,2,FALSE))</f>
        <v>5ht2a_human</v>
      </c>
      <c r="C397" s="3">
        <f>VLOOKUP($A397,'SegEnds_NonXtal_BW#'!$A:$Z,3,FALSE)+D397-50</f>
        <v>18</v>
      </c>
      <c r="D397" s="3">
        <v>36</v>
      </c>
      <c r="E397" s="3">
        <f t="shared" si="203"/>
        <v>48</v>
      </c>
      <c r="F397" s="3">
        <f t="shared" si="204"/>
        <v>49</v>
      </c>
      <c r="G397" s="3">
        <v>51</v>
      </c>
      <c r="H397" s="3">
        <f t="shared" si="205"/>
        <v>52</v>
      </c>
      <c r="I397" s="3">
        <f t="shared" si="205"/>
        <v>53</v>
      </c>
      <c r="J397" s="3">
        <v>67</v>
      </c>
      <c r="K397" s="3">
        <f>VLOOKUP($A397,'SegEnds_NonXtal_BW#'!$A:$Z,8,FALSE)+VLOOKUP($A397,A:AL,10,FALSE)-50</f>
        <v>83</v>
      </c>
      <c r="L397" s="3" t="str">
        <f>IF(ISERROR(VLOOKUP($A397,'SegEnds_NonXtal_BW#'!$A:$Z,9,FALSE)+VLOOKUP($A397,A:AL,13,FALSE)-50),"-",(VLOOKUP($A397,'SegEnds_NonXtal_BW#'!$A:$Z,9,FALSE)+VLOOKUP($A397,A:AL,13,FALSE)-50))</f>
        <v>-</v>
      </c>
      <c r="M397" s="3" t="s">
        <v>23</v>
      </c>
      <c r="N397" s="3" t="str">
        <f>IF(ISERROR(VLOOKUP($A397,'SegEnds_NonXtal_BW#'!$A:$Z,10,FALSE)+VLOOKUP($A397,A:AL,13,FALSE)-50),"-",(VLOOKUP($A397,'SegEnds_NonXtal_BW#'!$A:$Z,10,FALSE)+VLOOKUP($A397,A:AL,13,FALSE)-50))</f>
        <v>-</v>
      </c>
      <c r="O397" s="3">
        <f>VLOOKUP($A397,'SegEnds_NonXtal_BW#'!$A:$Z,11,FALSE)+VLOOKUP($A397,A:AL,16,FALSE)-50</f>
        <v>87</v>
      </c>
      <c r="P397" s="3">
        <v>119</v>
      </c>
      <c r="Q397" s="3">
        <f>VLOOKUP($A397,'SegEnds_NonXtal_BW#'!$A:$Z,12,FALSE)+VLOOKUP($A397,A:AL,16,FALSE)-50</f>
        <v>125</v>
      </c>
      <c r="R397" s="3">
        <f t="shared" si="206"/>
        <v>128</v>
      </c>
      <c r="S397" s="3">
        <v>128</v>
      </c>
      <c r="T397" s="100">
        <f t="shared" si="207"/>
        <v>135</v>
      </c>
      <c r="U397" s="9">
        <f>IF(ISERROR(VLOOKUP($A397,'SegEnds_NonXtal_BW#'!$A:$Z,15,FALSE)+VLOOKUP($A397,A:AL,22,FALSE)-50),"-",VLOOKUP($A397,'SegEnds_NonXtal_BW#'!$A:$Z,15,FALSE)+VLOOKUP($A397,A:AL,22,FALSE)-50)</f>
        <v>136</v>
      </c>
      <c r="V397" s="3">
        <v>148</v>
      </c>
      <c r="W397" s="3">
        <f>IF(ISERROR(VLOOKUP($A397,'SegEnds_NonXtal_BW#'!$A:$Z,16,FALSE)+VLOOKUP($A397,A:AL,22,FALSE)-50),"-",(VLOOKUP($A397,'SegEnds_NonXtal_BW#'!$A:$Z,16,FALSE)+VLOOKUP($A397,A:AL,22,FALSE)-50))</f>
        <v>165</v>
      </c>
      <c r="X397" s="3" t="str">
        <f>IF(ISERROR(VLOOKUP($A397,'SegEnds_NonXtal_BW#'!$A:$Z,17,FALSE)+VLOOKUP($A397,A:AL,25,FALSE)-50),"-",(VLOOKUP($A397,'SegEnds_NonXtal_BW#'!$A:$Z,17,FALSE)+VLOOKUP($A397,A:AL,25,FALSE)-50))</f>
        <v>-</v>
      </c>
      <c r="Y397" s="3" t="s">
        <v>23</v>
      </c>
      <c r="Z397" s="3" t="str">
        <f>IF(ISERROR(VLOOKUP($A397,'SegEnds_NonXtal_BW#'!$A:$Z,18,FALSE)+VLOOKUP($A397,A:AL,25,FALSE)-50),"-",(VLOOKUP($A397,'SegEnds_NonXtal_BW#'!$A:$Z,18,FALSE)+VLOOKUP($A397,A:AL,25,FALSE)-50))</f>
        <v>-</v>
      </c>
      <c r="AA397" s="3">
        <f>IF(ISERROR(VLOOKUP($A397,'SegEnds_NonXtal_BW#'!$A:$Z,19,FALSE)+VLOOKUP($A397,A:AL,28,FALSE)-50),"-",(VLOOKUP($A397,'SegEnds_NonXtal_BW#'!$A:$Z,19,FALSE)+VLOOKUP($A397,A:AL,28,FALSE)-50))</f>
        <v>187</v>
      </c>
      <c r="AB397" s="3">
        <v>205</v>
      </c>
      <c r="AC397" s="3">
        <f>IF(ISERROR((VLOOKUP($A397,'SegEnds_NonXtal_BW#'!$A:$Z,20,FALSE)+VLOOKUP($A397,A:AL,28,FALSE)-50)),"-",(VLOOKUP($A397,'SegEnds_NonXtal_BW#'!$A:$Z,20,FALSE)+VLOOKUP($A397,A:AL,28,FALSE)-50))</f>
        <v>227</v>
      </c>
      <c r="AD397" s="3">
        <f>IF(ISERROR(VLOOKUP($A397,'SegEnds_NonXtal_BW#'!$A:$Z,21,FALSE)+VLOOKUP($A397,A:AL,31,FALSE)-50),"-",(VLOOKUP($A397,'SegEnds_NonXtal_BW#'!$A:$Z,21,FALSE)+VLOOKUP($A397,A:AL,31,FALSE)-50))</f>
        <v>237</v>
      </c>
      <c r="AE397" s="3">
        <v>258</v>
      </c>
      <c r="AF397" s="3">
        <f>IF(ISERROR((VLOOKUP($A397,'SegEnds_NonXtal_BW#'!$A:$Z,22,FALSE)+VLOOKUP($A397,A:AL,31,FALSE)-50)),"-",(VLOOKUP($A397,'SegEnds_NonXtal_BW#'!$A:$Z,22,FALSE)+VLOOKUP($A397,A:AL,31,FALSE)-50))</f>
        <v>269</v>
      </c>
      <c r="AG397" s="3">
        <f>IF(ISERROR(VLOOKUP($A397,'SegEnds_NonXtal_BW#'!$A:$Z,23,FALSE)+VLOOKUP($A397,A:AL,34,FALSE)-50),"-",(VLOOKUP($A397,'SegEnds_NonXtal_BW#'!$A:$Z,23,FALSE)+VLOOKUP($A397,A:AL,34,FALSE)-50))</f>
        <v>274</v>
      </c>
      <c r="AH397" s="3">
        <v>293</v>
      </c>
      <c r="AI397" s="3">
        <f>IF(ISERROR((VLOOKUP($A397,'SegEnds_NonXtal_BW#'!$A:$Z,24,FALSE)+VLOOKUP($A397,A:AL,34,FALSE)-50)),"-",(VLOOKUP($A397,'SegEnds_NonXtal_BW#'!$A:$Z,24,FALSE)+VLOOKUP($A397,A:AL,34,FALSE)-50))</f>
        <v>299</v>
      </c>
      <c r="AJ397" s="3">
        <f>IF(ISERROR(VLOOKUP($A397,'SegEnds_NonXtal_BW#'!$A:$Z,25,FALSE)+VLOOKUP($A397,A:AL,37,FALSE)-50),"-",(VLOOKUP($A397,'SegEnds_NonXtal_BW#'!$A:$Z,25,FALSE)+VLOOKUP($A397,A:AL,37,FALSE)-50))</f>
        <v>300</v>
      </c>
      <c r="AK397" s="3">
        <v>303</v>
      </c>
      <c r="AL397" s="3">
        <f>IF(ISERROR((VLOOKUP($A397,'SegEnds_NonXtal_BW#'!$A:$Z,26,FALSE)+VLOOKUP($A397,A:AL,37,FALSE)-50)),"-",(VLOOKUP($A397,'SegEnds_NonXtal_BW#'!$A:$Z,26,FALSE)+VLOOKUP($A397,A:AL,37,FALSE)-50))</f>
        <v>313</v>
      </c>
      <c r="AM397" s="28" t="str">
        <f>VLOOKUP(A397,Classification!A:B,2,FALSE)</f>
        <v>T</v>
      </c>
      <c r="AN397" s="28" t="b">
        <f t="shared" si="224"/>
        <v>1</v>
      </c>
      <c r="AO397" s="3" t="str">
        <f>IF(ISERROR(MATCH(A397,'SegEnds_Xtal_Prot#'!B:B, 0)), "NoXtal", "Xtal")</f>
        <v>NoXtal</v>
      </c>
      <c r="AP397" s="3">
        <f t="shared" si="209"/>
        <v>1</v>
      </c>
      <c r="AQ397" s="3">
        <f t="shared" si="210"/>
        <v>1</v>
      </c>
      <c r="AR397" s="3" t="str">
        <f t="shared" si="211"/>
        <v>-</v>
      </c>
      <c r="AS397" s="3" t="str">
        <f t="shared" si="212"/>
        <v>-</v>
      </c>
      <c r="AT397" s="3">
        <f t="shared" si="213"/>
        <v>3</v>
      </c>
      <c r="AU397" s="3">
        <f t="shared" si="214"/>
        <v>1</v>
      </c>
      <c r="AV397" s="3" t="str">
        <f t="shared" si="215"/>
        <v>-</v>
      </c>
      <c r="AW397" s="3" t="str">
        <f t="shared" si="216"/>
        <v>-</v>
      </c>
      <c r="AX397" s="3">
        <f t="shared" si="217"/>
        <v>10</v>
      </c>
      <c r="AY397" s="3">
        <f t="shared" si="218"/>
        <v>5</v>
      </c>
      <c r="AZ397" s="3">
        <f t="shared" si="219"/>
        <v>1</v>
      </c>
      <c r="BA397" s="3">
        <f>IF(ISERROR(LEN(VLOOKUP(A397,Seqs!A:E,2,FALSE))-AL397),"-",LEN(VLOOKUP(A397,Seqs!A:E,2,FALSE))-AL397)</f>
        <v>10</v>
      </c>
      <c r="BB397" s="16">
        <f t="shared" si="220"/>
        <v>31</v>
      </c>
      <c r="BC397" s="9">
        <f t="shared" si="221"/>
        <v>20</v>
      </c>
      <c r="BD397" s="3">
        <f t="shared" si="222"/>
        <v>31</v>
      </c>
      <c r="BE397" s="3">
        <f t="shared" si="223"/>
        <v>53</v>
      </c>
      <c r="BF397" s="3">
        <f t="shared" si="208"/>
        <v>35</v>
      </c>
    </row>
    <row r="398" spans="1:58" s="3" customFormat="1" x14ac:dyDescent="0.2">
      <c r="A398" s="3" t="s">
        <v>467</v>
      </c>
      <c r="B398" s="3" t="str">
        <f>LOWER(VLOOKUP(A398,Xtal_Templ!A:B,2,FALSE))</f>
        <v>drd2_human</v>
      </c>
      <c r="C398" s="3">
        <f>VLOOKUP($A398,'SegEnds_NonXtal_BW#'!$A:$Z,3,FALSE)+D398-50</f>
        <v>6</v>
      </c>
      <c r="D398" s="3">
        <v>24</v>
      </c>
      <c r="E398" s="3">
        <f t="shared" si="203"/>
        <v>36</v>
      </c>
      <c r="F398" s="3">
        <f t="shared" si="204"/>
        <v>37</v>
      </c>
      <c r="G398" s="3">
        <v>39</v>
      </c>
      <c r="H398" s="3">
        <f t="shared" si="205"/>
        <v>40</v>
      </c>
      <c r="I398" s="3">
        <f t="shared" si="205"/>
        <v>41</v>
      </c>
      <c r="J398" s="3">
        <v>55</v>
      </c>
      <c r="K398" s="3">
        <f>VLOOKUP($A398,'SegEnds_NonXtal_BW#'!$A:$Z,8,FALSE)+VLOOKUP($A398,A:AL,10,FALSE)-50</f>
        <v>72</v>
      </c>
      <c r="L398" s="3" t="str">
        <f>IF(ISERROR(VLOOKUP($A398,'SegEnds_NonXtal_BW#'!$A:$Z,9,FALSE)+VLOOKUP($A398,A:AL,13,FALSE)-50),"-",(VLOOKUP($A398,'SegEnds_NonXtal_BW#'!$A:$Z,9,FALSE)+VLOOKUP($A398,A:AL,13,FALSE)-50))</f>
        <v>-</v>
      </c>
      <c r="M398" s="3" t="s">
        <v>23</v>
      </c>
      <c r="N398" s="3" t="str">
        <f>IF(ISERROR(VLOOKUP($A398,'SegEnds_NonXtal_BW#'!$A:$Z,10,FALSE)+VLOOKUP($A398,A:AL,13,FALSE)-50),"-",(VLOOKUP($A398,'SegEnds_NonXtal_BW#'!$A:$Z,10,FALSE)+VLOOKUP($A398,A:AL,13,FALSE)-50))</f>
        <v>-</v>
      </c>
      <c r="O398" s="3">
        <f>VLOOKUP($A398,'SegEnds_NonXtal_BW#'!$A:$Z,11,FALSE)+VLOOKUP($A398,A:AL,16,FALSE)-50</f>
        <v>78</v>
      </c>
      <c r="P398" s="3">
        <v>107</v>
      </c>
      <c r="Q398" s="3">
        <f>VLOOKUP($A398,'SegEnds_NonXtal_BW#'!$A:$Z,12,FALSE)+VLOOKUP($A398,A:AL,16,FALSE)-50</f>
        <v>113</v>
      </c>
      <c r="R398" s="3">
        <f t="shared" si="206"/>
        <v>116</v>
      </c>
      <c r="S398" s="3">
        <v>116</v>
      </c>
      <c r="T398" s="100">
        <f t="shared" si="207"/>
        <v>123</v>
      </c>
      <c r="U398" s="9">
        <f>IF(ISERROR(VLOOKUP($A398,'SegEnds_NonXtal_BW#'!$A:$Z,15,FALSE)+VLOOKUP($A398,A:AL,22,FALSE)-50),"-",VLOOKUP($A398,'SegEnds_NonXtal_BW#'!$A:$Z,15,FALSE)+VLOOKUP($A398,A:AL,22,FALSE)-50)</f>
        <v>124</v>
      </c>
      <c r="V398" s="3">
        <v>136</v>
      </c>
      <c r="W398" s="3">
        <f>IF(ISERROR(VLOOKUP($A398,'SegEnds_NonXtal_BW#'!$A:$Z,16,FALSE)+VLOOKUP($A398,A:AL,22,FALSE)-50),"-",(VLOOKUP($A398,'SegEnds_NonXtal_BW#'!$A:$Z,16,FALSE)+VLOOKUP($A398,A:AL,22,FALSE)-50))</f>
        <v>148</v>
      </c>
      <c r="X398" s="3" t="str">
        <f>IF(ISERROR(VLOOKUP($A398,'SegEnds_NonXtal_BW#'!$A:$Z,17,FALSE)+VLOOKUP($A398,A:AL,25,FALSE)-50),"-",(VLOOKUP($A398,'SegEnds_NonXtal_BW#'!$A:$Z,17,FALSE)+VLOOKUP($A398,A:AL,25,FALSE)-50))</f>
        <v>-</v>
      </c>
      <c r="Y398" s="3" t="s">
        <v>23</v>
      </c>
      <c r="Z398" s="3" t="str">
        <f>IF(ISERROR(VLOOKUP($A398,'SegEnds_NonXtal_BW#'!$A:$Z,18,FALSE)+VLOOKUP($A398,A:AL,25,FALSE)-50),"-",(VLOOKUP($A398,'SegEnds_NonXtal_BW#'!$A:$Z,18,FALSE)+VLOOKUP($A398,A:AL,25,FALSE)-50))</f>
        <v>-</v>
      </c>
      <c r="AA398" s="3">
        <f>IF(ISERROR(VLOOKUP($A398,'SegEnds_NonXtal_BW#'!$A:$Z,19,FALSE)+VLOOKUP($A398,A:AL,28,FALSE)-50),"-",(VLOOKUP($A398,'SegEnds_NonXtal_BW#'!$A:$Z,19,FALSE)+VLOOKUP($A398,A:AL,28,FALSE)-50))</f>
        <v>174</v>
      </c>
      <c r="AB398" s="3">
        <v>192</v>
      </c>
      <c r="AC398" s="3">
        <f>IF(ISERROR((VLOOKUP($A398,'SegEnds_NonXtal_BW#'!$A:$Z,20,FALSE)+VLOOKUP($A398,A:AL,28,FALSE)-50)),"-",(VLOOKUP($A398,'SegEnds_NonXtal_BW#'!$A:$Z,20,FALSE)+VLOOKUP($A398,A:AL,28,FALSE)-50))</f>
        <v>214</v>
      </c>
      <c r="AD398" s="3">
        <f>IF(ISERROR(VLOOKUP($A398,'SegEnds_NonXtal_BW#'!$A:$Z,21,FALSE)+VLOOKUP($A398,A:AL,31,FALSE)-50),"-",(VLOOKUP($A398,'SegEnds_NonXtal_BW#'!$A:$Z,21,FALSE)+VLOOKUP($A398,A:AL,31,FALSE)-50))</f>
        <v>224</v>
      </c>
      <c r="AE398" s="3">
        <v>245</v>
      </c>
      <c r="AF398" s="3">
        <f>IF(ISERROR((VLOOKUP($A398,'SegEnds_NonXtal_BW#'!$A:$Z,22,FALSE)+VLOOKUP($A398,A:AL,31,FALSE)-50)),"-",(VLOOKUP($A398,'SegEnds_NonXtal_BW#'!$A:$Z,22,FALSE)+VLOOKUP($A398,A:AL,31,FALSE)-50))</f>
        <v>256</v>
      </c>
      <c r="AG398" s="3">
        <f>IF(ISERROR(VLOOKUP($A398,'SegEnds_NonXtal_BW#'!$A:$Z,23,FALSE)+VLOOKUP($A398,A:AL,34,FALSE)-50),"-",(VLOOKUP($A398,'SegEnds_NonXtal_BW#'!$A:$Z,23,FALSE)+VLOOKUP($A398,A:AL,34,FALSE)-50))</f>
        <v>261</v>
      </c>
      <c r="AH398" s="3">
        <v>280</v>
      </c>
      <c r="AI398" s="3">
        <f>IF(ISERROR((VLOOKUP($A398,'SegEnds_NonXtal_BW#'!$A:$Z,24,FALSE)+VLOOKUP($A398,A:AL,34,FALSE)-50)),"-",(VLOOKUP($A398,'SegEnds_NonXtal_BW#'!$A:$Z,24,FALSE)+VLOOKUP($A398,A:AL,34,FALSE)-50))</f>
        <v>286</v>
      </c>
      <c r="AJ398" s="3">
        <f>IF(ISERROR(VLOOKUP($A398,'SegEnds_NonXtal_BW#'!$A:$Z,25,FALSE)+VLOOKUP($A398,A:AL,37,FALSE)-50),"-",(VLOOKUP($A398,'SegEnds_NonXtal_BW#'!$A:$Z,25,FALSE)+VLOOKUP($A398,A:AL,37,FALSE)-50))</f>
        <v>287</v>
      </c>
      <c r="AK398" s="3">
        <v>290</v>
      </c>
      <c r="AL398" s="3">
        <f>IF(ISERROR((VLOOKUP($A398,'SegEnds_NonXtal_BW#'!$A:$Z,26,FALSE)+VLOOKUP($A398,A:AL,37,FALSE)-50)),"-",(VLOOKUP($A398,'SegEnds_NonXtal_BW#'!$A:$Z,26,FALSE)+VLOOKUP($A398,A:AL,37,FALSE)-50))</f>
        <v>300</v>
      </c>
      <c r="AM398" s="28" t="str">
        <f>VLOOKUP(A398,Classification!A:B,2,FALSE)</f>
        <v>T</v>
      </c>
      <c r="AN398" s="28" t="b">
        <f t="shared" si="224"/>
        <v>1</v>
      </c>
      <c r="AO398" s="3" t="str">
        <f>IF(ISERROR(MATCH(A398,'SegEnds_Xtal_Prot#'!B:B, 0)), "NoXtal", "Xtal")</f>
        <v>NoXtal</v>
      </c>
      <c r="AP398" s="3">
        <f t="shared" si="209"/>
        <v>1</v>
      </c>
      <c r="AQ398" s="3">
        <f t="shared" si="210"/>
        <v>1</v>
      </c>
      <c r="AR398" s="3" t="str">
        <f t="shared" si="211"/>
        <v>-</v>
      </c>
      <c r="AS398" s="3" t="str">
        <f t="shared" si="212"/>
        <v>-</v>
      </c>
      <c r="AT398" s="3">
        <f t="shared" si="213"/>
        <v>3</v>
      </c>
      <c r="AU398" s="3">
        <f t="shared" si="214"/>
        <v>1</v>
      </c>
      <c r="AV398" s="3" t="str">
        <f t="shared" si="215"/>
        <v>-</v>
      </c>
      <c r="AW398" s="3" t="str">
        <f t="shared" si="216"/>
        <v>-</v>
      </c>
      <c r="AX398" s="3">
        <f t="shared" si="217"/>
        <v>10</v>
      </c>
      <c r="AY398" s="3">
        <f t="shared" si="218"/>
        <v>5</v>
      </c>
      <c r="AZ398" s="3">
        <f t="shared" si="219"/>
        <v>1</v>
      </c>
      <c r="BA398" s="3">
        <f>IF(ISERROR(LEN(VLOOKUP(A398,Seqs!A:E,2,FALSE))-AL398),"-",LEN(VLOOKUP(A398,Seqs!A:E,2,FALSE))-AL398)</f>
        <v>7</v>
      </c>
      <c r="BB398" s="16">
        <f t="shared" si="220"/>
        <v>31</v>
      </c>
      <c r="BC398" s="9">
        <f t="shared" si="221"/>
        <v>20</v>
      </c>
      <c r="BD398" s="3">
        <f t="shared" si="222"/>
        <v>31</v>
      </c>
      <c r="BE398" s="3">
        <f t="shared" si="223"/>
        <v>53</v>
      </c>
      <c r="BF398" s="3">
        <f t="shared" si="208"/>
        <v>35</v>
      </c>
    </row>
    <row r="399" spans="1:58" s="3" customFormat="1" x14ac:dyDescent="0.2">
      <c r="A399" s="3" t="s">
        <v>468</v>
      </c>
      <c r="B399" s="3" t="str">
        <f>LOWER(VLOOKUP(A399,Xtal_Templ!A:B,2,FALSE))</f>
        <v>hrh1_human</v>
      </c>
      <c r="C399" s="3">
        <f>VLOOKUP($A399,'SegEnds_NonXtal_BW#'!$A:$Z,3,FALSE)+D399-50</f>
        <v>6</v>
      </c>
      <c r="D399" s="3">
        <v>24</v>
      </c>
      <c r="E399" s="3">
        <f t="shared" si="203"/>
        <v>36</v>
      </c>
      <c r="F399" s="3">
        <f t="shared" si="204"/>
        <v>37</v>
      </c>
      <c r="G399" s="3">
        <v>39</v>
      </c>
      <c r="H399" s="3">
        <f t="shared" si="205"/>
        <v>40</v>
      </c>
      <c r="I399" s="3">
        <f t="shared" si="205"/>
        <v>41</v>
      </c>
      <c r="J399" s="3">
        <v>55</v>
      </c>
      <c r="K399" s="3">
        <f>VLOOKUP($A399,'SegEnds_NonXtal_BW#'!$A:$Z,8,FALSE)+VLOOKUP($A399,A:AL,10,FALSE)-50</f>
        <v>72</v>
      </c>
      <c r="L399" s="3" t="str">
        <f>IF(ISERROR(VLOOKUP($A399,'SegEnds_NonXtal_BW#'!$A:$Z,9,FALSE)+VLOOKUP($A399,A:AL,13,FALSE)-50),"-",(VLOOKUP($A399,'SegEnds_NonXtal_BW#'!$A:$Z,9,FALSE)+VLOOKUP($A399,A:AL,13,FALSE)-50))</f>
        <v>-</v>
      </c>
      <c r="M399" s="3" t="s">
        <v>23</v>
      </c>
      <c r="N399" s="3" t="str">
        <f>IF(ISERROR(VLOOKUP($A399,'SegEnds_NonXtal_BW#'!$A:$Z,10,FALSE)+VLOOKUP($A399,A:AL,13,FALSE)-50),"-",(VLOOKUP($A399,'SegEnds_NonXtal_BW#'!$A:$Z,10,FALSE)+VLOOKUP($A399,A:AL,13,FALSE)-50))</f>
        <v>-</v>
      </c>
      <c r="O399" s="3">
        <f>VLOOKUP($A399,'SegEnds_NonXtal_BW#'!$A:$Z,11,FALSE)+VLOOKUP($A399,A:AL,16,FALSE)-50</f>
        <v>78</v>
      </c>
      <c r="P399" s="3">
        <v>107</v>
      </c>
      <c r="Q399" s="3">
        <f>VLOOKUP($A399,'SegEnds_NonXtal_BW#'!$A:$Z,12,FALSE)+VLOOKUP($A399,A:AL,16,FALSE)-50</f>
        <v>113</v>
      </c>
      <c r="R399" s="3">
        <f t="shared" si="206"/>
        <v>116</v>
      </c>
      <c r="S399" s="3">
        <v>116</v>
      </c>
      <c r="T399" s="100">
        <f t="shared" si="207"/>
        <v>123</v>
      </c>
      <c r="U399" s="9">
        <f>IF(ISERROR(VLOOKUP($A399,'SegEnds_NonXtal_BW#'!$A:$Z,15,FALSE)+VLOOKUP($A399,A:AL,22,FALSE)-50),"-",VLOOKUP($A399,'SegEnds_NonXtal_BW#'!$A:$Z,15,FALSE)+VLOOKUP($A399,A:AL,22,FALSE)-50)</f>
        <v>124</v>
      </c>
      <c r="V399" s="3">
        <v>136</v>
      </c>
      <c r="W399" s="3">
        <f>IF(ISERROR(VLOOKUP($A399,'SegEnds_NonXtal_BW#'!$A:$Z,16,FALSE)+VLOOKUP($A399,A:AL,22,FALSE)-50),"-",(VLOOKUP($A399,'SegEnds_NonXtal_BW#'!$A:$Z,16,FALSE)+VLOOKUP($A399,A:AL,22,FALSE)-50))</f>
        <v>148</v>
      </c>
      <c r="X399" s="3" t="str">
        <f>IF(ISERROR(VLOOKUP($A399,'SegEnds_NonXtal_BW#'!$A:$Z,17,FALSE)+VLOOKUP($A399,A:AL,25,FALSE)-50),"-",(VLOOKUP($A399,'SegEnds_NonXtal_BW#'!$A:$Z,17,FALSE)+VLOOKUP($A399,A:AL,25,FALSE)-50))</f>
        <v>-</v>
      </c>
      <c r="Y399" s="3" t="s">
        <v>23</v>
      </c>
      <c r="Z399" s="3" t="str">
        <f>IF(ISERROR(VLOOKUP($A399,'SegEnds_NonXtal_BW#'!$A:$Z,18,FALSE)+VLOOKUP($A399,A:AL,25,FALSE)-50),"-",(VLOOKUP($A399,'SegEnds_NonXtal_BW#'!$A:$Z,18,FALSE)+VLOOKUP($A399,A:AL,25,FALSE)-50))</f>
        <v>-</v>
      </c>
      <c r="AA399" s="3">
        <f>IF(ISERROR(VLOOKUP($A399,'SegEnds_NonXtal_BW#'!$A:$Z,19,FALSE)+VLOOKUP($A399,A:AL,28,FALSE)-50),"-",(VLOOKUP($A399,'SegEnds_NonXtal_BW#'!$A:$Z,19,FALSE)+VLOOKUP($A399,A:AL,28,FALSE)-50))</f>
        <v>174</v>
      </c>
      <c r="AB399" s="3">
        <v>192</v>
      </c>
      <c r="AC399" s="3">
        <f>IF(ISERROR((VLOOKUP($A399,'SegEnds_NonXtal_BW#'!$A:$Z,20,FALSE)+VLOOKUP($A399,A:AL,28,FALSE)-50)),"-",(VLOOKUP($A399,'SegEnds_NonXtal_BW#'!$A:$Z,20,FALSE)+VLOOKUP($A399,A:AL,28,FALSE)-50))</f>
        <v>214</v>
      </c>
      <c r="AD399" s="3">
        <f>IF(ISERROR(VLOOKUP($A399,'SegEnds_NonXtal_BW#'!$A:$Z,21,FALSE)+VLOOKUP($A399,A:AL,31,FALSE)-50),"-",(VLOOKUP($A399,'SegEnds_NonXtal_BW#'!$A:$Z,21,FALSE)+VLOOKUP($A399,A:AL,31,FALSE)-50))</f>
        <v>224</v>
      </c>
      <c r="AE399" s="3">
        <v>245</v>
      </c>
      <c r="AF399" s="3">
        <f>IF(ISERROR((VLOOKUP($A399,'SegEnds_NonXtal_BW#'!$A:$Z,22,FALSE)+VLOOKUP($A399,A:AL,31,FALSE)-50)),"-",(VLOOKUP($A399,'SegEnds_NonXtal_BW#'!$A:$Z,22,FALSE)+VLOOKUP($A399,A:AL,31,FALSE)-50))</f>
        <v>256</v>
      </c>
      <c r="AG399" s="3">
        <f>IF(ISERROR(VLOOKUP($A399,'SegEnds_NonXtal_BW#'!$A:$Z,23,FALSE)+VLOOKUP($A399,A:AL,34,FALSE)-50),"-",(VLOOKUP($A399,'SegEnds_NonXtal_BW#'!$A:$Z,23,FALSE)+VLOOKUP($A399,A:AL,34,FALSE)-50))</f>
        <v>262</v>
      </c>
      <c r="AH399" s="3">
        <v>281</v>
      </c>
      <c r="AI399" s="3">
        <f>IF(ISERROR((VLOOKUP($A399,'SegEnds_NonXtal_BW#'!$A:$Z,24,FALSE)+VLOOKUP($A399,A:AL,34,FALSE)-50)),"-",(VLOOKUP($A399,'SegEnds_NonXtal_BW#'!$A:$Z,24,FALSE)+VLOOKUP($A399,A:AL,34,FALSE)-50))</f>
        <v>287</v>
      </c>
      <c r="AJ399" s="3">
        <f>IF(ISERROR(VLOOKUP($A399,'SegEnds_NonXtal_BW#'!$A:$Z,25,FALSE)+VLOOKUP($A399,A:AL,37,FALSE)-50),"-",(VLOOKUP($A399,'SegEnds_NonXtal_BW#'!$A:$Z,25,FALSE)+VLOOKUP($A399,A:AL,37,FALSE)-50))</f>
        <v>288</v>
      </c>
      <c r="AK399" s="3">
        <v>291</v>
      </c>
      <c r="AL399" s="3">
        <f>IF(ISERROR((VLOOKUP($A399,'SegEnds_NonXtal_BW#'!$A:$Z,26,FALSE)+VLOOKUP($A399,A:AL,37,FALSE)-50)),"-",(VLOOKUP($A399,'SegEnds_NonXtal_BW#'!$A:$Z,26,FALSE)+VLOOKUP($A399,A:AL,37,FALSE)-50))</f>
        <v>301</v>
      </c>
      <c r="AM399" s="28" t="str">
        <f>VLOOKUP(A399,Classification!A:B,2,FALSE)</f>
        <v>T</v>
      </c>
      <c r="AN399" s="28" t="b">
        <f t="shared" si="224"/>
        <v>1</v>
      </c>
      <c r="AO399" s="3" t="str">
        <f>IF(ISERROR(MATCH(A399,'SegEnds_Xtal_Prot#'!B:B, 0)), "NoXtal", "Xtal")</f>
        <v>NoXtal</v>
      </c>
      <c r="AP399" s="3">
        <f t="shared" si="209"/>
        <v>1</v>
      </c>
      <c r="AQ399" s="3">
        <f t="shared" si="210"/>
        <v>1</v>
      </c>
      <c r="AR399" s="3" t="str">
        <f t="shared" si="211"/>
        <v>-</v>
      </c>
      <c r="AS399" s="3" t="str">
        <f t="shared" si="212"/>
        <v>-</v>
      </c>
      <c r="AT399" s="3">
        <f t="shared" si="213"/>
        <v>3</v>
      </c>
      <c r="AU399" s="3">
        <f t="shared" si="214"/>
        <v>1</v>
      </c>
      <c r="AV399" s="3" t="str">
        <f t="shared" si="215"/>
        <v>-</v>
      </c>
      <c r="AW399" s="3" t="str">
        <f t="shared" si="216"/>
        <v>-</v>
      </c>
      <c r="AX399" s="3">
        <f t="shared" si="217"/>
        <v>10</v>
      </c>
      <c r="AY399" s="3">
        <f t="shared" si="218"/>
        <v>6</v>
      </c>
      <c r="AZ399" s="3">
        <f t="shared" si="219"/>
        <v>1</v>
      </c>
      <c r="BA399" s="3">
        <f>IF(ISERROR(LEN(VLOOKUP(A399,Seqs!A:E,2,FALSE))-AL399),"-",LEN(VLOOKUP(A399,Seqs!A:E,2,FALSE))-AL399)</f>
        <v>13</v>
      </c>
      <c r="BB399" s="16">
        <f t="shared" si="220"/>
        <v>31</v>
      </c>
      <c r="BC399" s="9">
        <f t="shared" si="221"/>
        <v>20</v>
      </c>
      <c r="BD399" s="3">
        <f t="shared" si="222"/>
        <v>31</v>
      </c>
      <c r="BE399" s="3">
        <f t="shared" si="223"/>
        <v>53</v>
      </c>
      <c r="BF399" s="3">
        <f t="shared" si="208"/>
        <v>36</v>
      </c>
    </row>
    <row r="400" spans="1:58" s="3" customFormat="1" x14ac:dyDescent="0.2">
      <c r="A400" s="3" t="s">
        <v>469</v>
      </c>
      <c r="B400" s="3" t="str">
        <f>LOWER(VLOOKUP(A400,Xtal_Templ!A:B,2,FALSE))</f>
        <v>drd2_human</v>
      </c>
      <c r="C400" s="3">
        <f>VLOOKUP($A400,'SegEnds_NonXtal_BW#'!$A:$Z,3,FALSE)+D400-50</f>
        <v>6</v>
      </c>
      <c r="D400" s="3">
        <v>24</v>
      </c>
      <c r="E400" s="3">
        <f t="shared" si="203"/>
        <v>36</v>
      </c>
      <c r="F400" s="3">
        <f t="shared" si="204"/>
        <v>37</v>
      </c>
      <c r="G400" s="3">
        <v>39</v>
      </c>
      <c r="H400" s="3">
        <f t="shared" si="205"/>
        <v>40</v>
      </c>
      <c r="I400" s="3">
        <f t="shared" si="205"/>
        <v>41</v>
      </c>
      <c r="J400" s="3">
        <v>55</v>
      </c>
      <c r="K400" s="3">
        <f>VLOOKUP($A400,'SegEnds_NonXtal_BW#'!$A:$Z,8,FALSE)+VLOOKUP($A400,A:AL,10,FALSE)-50</f>
        <v>71</v>
      </c>
      <c r="L400" s="3" t="str">
        <f>IF(ISERROR(VLOOKUP($A400,'SegEnds_NonXtal_BW#'!$A:$Z,9,FALSE)+VLOOKUP($A400,A:AL,13,FALSE)-50),"-",(VLOOKUP($A400,'SegEnds_NonXtal_BW#'!$A:$Z,9,FALSE)+VLOOKUP($A400,A:AL,13,FALSE)-50))</f>
        <v>-</v>
      </c>
      <c r="M400" s="3" t="s">
        <v>23</v>
      </c>
      <c r="N400" s="3" t="str">
        <f>IF(ISERROR(VLOOKUP($A400,'SegEnds_NonXtal_BW#'!$A:$Z,10,FALSE)+VLOOKUP($A400,A:AL,13,FALSE)-50),"-",(VLOOKUP($A400,'SegEnds_NonXtal_BW#'!$A:$Z,10,FALSE)+VLOOKUP($A400,A:AL,13,FALSE)-50))</f>
        <v>-</v>
      </c>
      <c r="O400" s="3">
        <f>VLOOKUP($A400,'SegEnds_NonXtal_BW#'!$A:$Z,11,FALSE)+VLOOKUP($A400,A:AL,16,FALSE)-50</f>
        <v>77</v>
      </c>
      <c r="P400" s="3">
        <v>106</v>
      </c>
      <c r="Q400" s="3">
        <f>VLOOKUP($A400,'SegEnds_NonXtal_BW#'!$A:$Z,12,FALSE)+VLOOKUP($A400,A:AL,16,FALSE)-50</f>
        <v>112</v>
      </c>
      <c r="R400" s="3">
        <f t="shared" si="206"/>
        <v>115</v>
      </c>
      <c r="S400" s="3">
        <v>115</v>
      </c>
      <c r="T400" s="100">
        <f t="shared" si="207"/>
        <v>122</v>
      </c>
      <c r="U400" s="9">
        <f>IF(ISERROR(VLOOKUP($A400,'SegEnds_NonXtal_BW#'!$A:$Z,15,FALSE)+VLOOKUP($A400,A:AL,22,FALSE)-50),"-",VLOOKUP($A400,'SegEnds_NonXtal_BW#'!$A:$Z,15,FALSE)+VLOOKUP($A400,A:AL,22,FALSE)-50)</f>
        <v>123</v>
      </c>
      <c r="V400" s="3">
        <v>135</v>
      </c>
      <c r="W400" s="3">
        <f>IF(ISERROR(VLOOKUP($A400,'SegEnds_NonXtal_BW#'!$A:$Z,16,FALSE)+VLOOKUP($A400,A:AL,22,FALSE)-50),"-",(VLOOKUP($A400,'SegEnds_NonXtal_BW#'!$A:$Z,16,FALSE)+VLOOKUP($A400,A:AL,22,FALSE)-50))</f>
        <v>147</v>
      </c>
      <c r="X400" s="3" t="str">
        <f>IF(ISERROR(VLOOKUP($A400,'SegEnds_NonXtal_BW#'!$A:$Z,17,FALSE)+VLOOKUP($A400,A:AL,25,FALSE)-50),"-",(VLOOKUP($A400,'SegEnds_NonXtal_BW#'!$A:$Z,17,FALSE)+VLOOKUP($A400,A:AL,25,FALSE)-50))</f>
        <v>-</v>
      </c>
      <c r="Y400" s="3" t="s">
        <v>23</v>
      </c>
      <c r="Z400" s="3" t="str">
        <f>IF(ISERROR(VLOOKUP($A400,'SegEnds_NonXtal_BW#'!$A:$Z,18,FALSE)+VLOOKUP($A400,A:AL,25,FALSE)-50),"-",(VLOOKUP($A400,'SegEnds_NonXtal_BW#'!$A:$Z,18,FALSE)+VLOOKUP($A400,A:AL,25,FALSE)-50))</f>
        <v>-</v>
      </c>
      <c r="AA400" s="3">
        <f>IF(ISERROR(VLOOKUP($A400,'SegEnds_NonXtal_BW#'!$A:$Z,19,FALSE)+VLOOKUP($A400,A:AL,28,FALSE)-50),"-",(VLOOKUP($A400,'SegEnds_NonXtal_BW#'!$A:$Z,19,FALSE)+VLOOKUP($A400,A:AL,28,FALSE)-50))</f>
        <v>169</v>
      </c>
      <c r="AB400" s="3">
        <v>187</v>
      </c>
      <c r="AC400" s="3">
        <f>IF(ISERROR((VLOOKUP($A400,'SegEnds_NonXtal_BW#'!$A:$Z,20,FALSE)+VLOOKUP($A400,A:AL,28,FALSE)-50)),"-",(VLOOKUP($A400,'SegEnds_NonXtal_BW#'!$A:$Z,20,FALSE)+VLOOKUP($A400,A:AL,28,FALSE)-50))</f>
        <v>209</v>
      </c>
      <c r="AD400" s="3">
        <f>IF(ISERROR(VLOOKUP($A400,'SegEnds_NonXtal_BW#'!$A:$Z,21,FALSE)+VLOOKUP($A400,A:AL,31,FALSE)-50),"-",(VLOOKUP($A400,'SegEnds_NonXtal_BW#'!$A:$Z,21,FALSE)+VLOOKUP($A400,A:AL,31,FALSE)-50))</f>
        <v>219</v>
      </c>
      <c r="AE400" s="3">
        <v>240</v>
      </c>
      <c r="AF400" s="3">
        <f>IF(ISERROR((VLOOKUP($A400,'SegEnds_NonXtal_BW#'!$A:$Z,22,FALSE)+VLOOKUP($A400,A:AL,31,FALSE)-50)),"-",(VLOOKUP($A400,'SegEnds_NonXtal_BW#'!$A:$Z,22,FALSE)+VLOOKUP($A400,A:AL,31,FALSE)-50))</f>
        <v>251</v>
      </c>
      <c r="AG400" s="3">
        <f>IF(ISERROR(VLOOKUP($A400,'SegEnds_NonXtal_BW#'!$A:$Z,23,FALSE)+VLOOKUP($A400,A:AL,34,FALSE)-50),"-",(VLOOKUP($A400,'SegEnds_NonXtal_BW#'!$A:$Z,23,FALSE)+VLOOKUP($A400,A:AL,34,FALSE)-50))</f>
        <v>257</v>
      </c>
      <c r="AH400" s="3">
        <v>276</v>
      </c>
      <c r="AI400" s="3">
        <f>IF(ISERROR((VLOOKUP($A400,'SegEnds_NonXtal_BW#'!$A:$Z,24,FALSE)+VLOOKUP($A400,A:AL,34,FALSE)-50)),"-",(VLOOKUP($A400,'SegEnds_NonXtal_BW#'!$A:$Z,24,FALSE)+VLOOKUP($A400,A:AL,34,FALSE)-50))</f>
        <v>282</v>
      </c>
      <c r="AJ400" s="3">
        <f>IF(ISERROR(VLOOKUP($A400,'SegEnds_NonXtal_BW#'!$A:$Z,25,FALSE)+VLOOKUP($A400,A:AL,37,FALSE)-50),"-",(VLOOKUP($A400,'SegEnds_NonXtal_BW#'!$A:$Z,25,FALSE)+VLOOKUP($A400,A:AL,37,FALSE)-50))</f>
        <v>283</v>
      </c>
      <c r="AK400" s="3">
        <v>286</v>
      </c>
      <c r="AL400" s="3">
        <f>IF(ISERROR((VLOOKUP($A400,'SegEnds_NonXtal_BW#'!$A:$Z,26,FALSE)+VLOOKUP($A400,A:AL,37,FALSE)-50)),"-",(VLOOKUP($A400,'SegEnds_NonXtal_BW#'!$A:$Z,26,FALSE)+VLOOKUP($A400,A:AL,37,FALSE)-50))</f>
        <v>296</v>
      </c>
      <c r="AM400" s="28" t="str">
        <f>VLOOKUP(A400,Classification!A:B,2,FALSE)</f>
        <v>T</v>
      </c>
      <c r="AN400" s="28" t="b">
        <f t="shared" si="224"/>
        <v>1</v>
      </c>
      <c r="AO400" s="3" t="str">
        <f>IF(ISERROR(MATCH(A400,'SegEnds_Xtal_Prot#'!B:B, 0)), "NoXtal", "Xtal")</f>
        <v>NoXtal</v>
      </c>
      <c r="AP400" s="3">
        <f t="shared" si="209"/>
        <v>1</v>
      </c>
      <c r="AQ400" s="3">
        <f t="shared" si="210"/>
        <v>1</v>
      </c>
      <c r="AR400" s="3" t="str">
        <f t="shared" si="211"/>
        <v>-</v>
      </c>
      <c r="AS400" s="3" t="str">
        <f t="shared" si="212"/>
        <v>-</v>
      </c>
      <c r="AT400" s="3">
        <f t="shared" si="213"/>
        <v>3</v>
      </c>
      <c r="AU400" s="3">
        <f t="shared" si="214"/>
        <v>1</v>
      </c>
      <c r="AV400" s="3" t="str">
        <f t="shared" si="215"/>
        <v>-</v>
      </c>
      <c r="AW400" s="3" t="str">
        <f t="shared" si="216"/>
        <v>-</v>
      </c>
      <c r="AX400" s="3">
        <f t="shared" si="217"/>
        <v>10</v>
      </c>
      <c r="AY400" s="3">
        <f t="shared" si="218"/>
        <v>6</v>
      </c>
      <c r="AZ400" s="3">
        <f t="shared" si="219"/>
        <v>1</v>
      </c>
      <c r="BA400" s="3">
        <f>IF(ISERROR(LEN(VLOOKUP(A400,Seqs!A:E,2,FALSE))-AL400),"-",LEN(VLOOKUP(A400,Seqs!A:E,2,FALSE))-AL400)</f>
        <v>13</v>
      </c>
      <c r="BB400" s="16">
        <f t="shared" si="220"/>
        <v>31</v>
      </c>
      <c r="BC400" s="9">
        <f t="shared" si="221"/>
        <v>20</v>
      </c>
      <c r="BD400" s="3">
        <f t="shared" si="222"/>
        <v>31</v>
      </c>
      <c r="BE400" s="3">
        <f t="shared" si="223"/>
        <v>53</v>
      </c>
      <c r="BF400" s="3">
        <f t="shared" si="208"/>
        <v>36</v>
      </c>
    </row>
    <row r="401" spans="1:58" s="3" customFormat="1" x14ac:dyDescent="0.2">
      <c r="A401" s="3" t="s">
        <v>930</v>
      </c>
      <c r="B401" s="3" t="str">
        <f>LOWER(VLOOKUP(A401,Xtal_Templ!A:B,2,FALSE))</f>
        <v>5ht2c_human</v>
      </c>
      <c r="C401" s="3">
        <f>VLOOKUP($A401,'SegEnds_NonXtal_BW#'!$A:$Z,3,FALSE)+D401-50</f>
        <v>6</v>
      </c>
      <c r="D401" s="3">
        <v>24</v>
      </c>
      <c r="E401" s="3">
        <f t="shared" si="203"/>
        <v>36</v>
      </c>
      <c r="F401" s="3">
        <f t="shared" si="204"/>
        <v>37</v>
      </c>
      <c r="G401" s="3">
        <v>39</v>
      </c>
      <c r="H401" s="3">
        <f t="shared" si="205"/>
        <v>40</v>
      </c>
      <c r="I401" s="3">
        <f t="shared" si="205"/>
        <v>41</v>
      </c>
      <c r="J401" s="3">
        <v>55</v>
      </c>
      <c r="K401" s="3">
        <f>VLOOKUP($A401,'SegEnds_NonXtal_BW#'!$A:$Z,8,FALSE)+VLOOKUP($A401,A:AL,10,FALSE)-50</f>
        <v>71</v>
      </c>
      <c r="L401" s="3" t="str">
        <f>IF(ISERROR(VLOOKUP($A401,'SegEnds_NonXtal_BW#'!$A:$Z,9,FALSE)+VLOOKUP($A401,A:AL,13,FALSE)-50),"-",(VLOOKUP($A401,'SegEnds_NonXtal_BW#'!$A:$Z,9,FALSE)+VLOOKUP($A401,A:AL,13,FALSE)-50))</f>
        <v>-</v>
      </c>
      <c r="M401" s="3" t="s">
        <v>23</v>
      </c>
      <c r="N401" s="3" t="str">
        <f>IF(ISERROR(VLOOKUP($A401,'SegEnds_NonXtal_BW#'!$A:$Z,10,FALSE)+VLOOKUP($A401,A:AL,13,FALSE)-50),"-",(VLOOKUP($A401,'SegEnds_NonXtal_BW#'!$A:$Z,10,FALSE)+VLOOKUP($A401,A:AL,13,FALSE)-50))</f>
        <v>-</v>
      </c>
      <c r="O401" s="3">
        <f>VLOOKUP($A401,'SegEnds_NonXtal_BW#'!$A:$Z,11,FALSE)+VLOOKUP($A401,A:AL,16,FALSE)-50</f>
        <v>77</v>
      </c>
      <c r="P401" s="3">
        <v>106</v>
      </c>
      <c r="Q401" s="3">
        <f>VLOOKUP($A401,'SegEnds_NonXtal_BW#'!$A:$Z,12,FALSE)+VLOOKUP($A401,A:AL,16,FALSE)-50</f>
        <v>112</v>
      </c>
      <c r="R401" s="3">
        <f t="shared" si="206"/>
        <v>115</v>
      </c>
      <c r="S401" s="3">
        <v>115</v>
      </c>
      <c r="T401" s="100">
        <f t="shared" si="207"/>
        <v>122</v>
      </c>
      <c r="U401" s="9">
        <f>IF(ISERROR(VLOOKUP($A401,'SegEnds_NonXtal_BW#'!$A:$Z,15,FALSE)+VLOOKUP($A401,A:AL,22,FALSE)-50),"-",VLOOKUP($A401,'SegEnds_NonXtal_BW#'!$A:$Z,15,FALSE)+VLOOKUP($A401,A:AL,22,FALSE)-50)</f>
        <v>123</v>
      </c>
      <c r="V401" s="3">
        <v>135</v>
      </c>
      <c r="W401" s="3">
        <f>IF(ISERROR(VLOOKUP($A401,'SegEnds_NonXtal_BW#'!$A:$Z,16,FALSE)+VLOOKUP($A401,A:AL,22,FALSE)-50),"-",(VLOOKUP($A401,'SegEnds_NonXtal_BW#'!$A:$Z,16,FALSE)+VLOOKUP($A401,A:AL,22,FALSE)-50))</f>
        <v>152</v>
      </c>
      <c r="X401" s="3" t="str">
        <f>IF(ISERROR(VLOOKUP($A401,'SegEnds_NonXtal_BW#'!$A:$Z,17,FALSE)+VLOOKUP($A401,A:AL,25,FALSE)-50),"-",(VLOOKUP($A401,'SegEnds_NonXtal_BW#'!$A:$Z,17,FALSE)+VLOOKUP($A401,A:AL,25,FALSE)-50))</f>
        <v>-</v>
      </c>
      <c r="Y401" s="3" t="s">
        <v>23</v>
      </c>
      <c r="Z401" s="3" t="str">
        <f>IF(ISERROR(VLOOKUP($A401,'SegEnds_NonXtal_BW#'!$A:$Z,18,FALSE)+VLOOKUP($A401,A:AL,25,FALSE)-50),"-",(VLOOKUP($A401,'SegEnds_NonXtal_BW#'!$A:$Z,18,FALSE)+VLOOKUP($A401,A:AL,25,FALSE)-50))</f>
        <v>-</v>
      </c>
      <c r="AA401" s="3">
        <f>IF(ISERROR(VLOOKUP($A401,'SegEnds_NonXtal_BW#'!$A:$Z,19,FALSE)+VLOOKUP($A401,A:AL,28,FALSE)-50),"-",(VLOOKUP($A401,'SegEnds_NonXtal_BW#'!$A:$Z,19,FALSE)+VLOOKUP($A401,A:AL,28,FALSE)-50))</f>
        <v>169</v>
      </c>
      <c r="AB401" s="3">
        <v>187</v>
      </c>
      <c r="AC401" s="3">
        <f>IF(ISERROR((VLOOKUP($A401,'SegEnds_NonXtal_BW#'!$A:$Z,20,FALSE)+VLOOKUP($A401,A:AL,28,FALSE)-50)),"-",(VLOOKUP($A401,'SegEnds_NonXtal_BW#'!$A:$Z,20,FALSE)+VLOOKUP($A401,A:AL,28,FALSE)-50))</f>
        <v>209</v>
      </c>
      <c r="AD401" s="3">
        <f>IF(ISERROR(VLOOKUP($A401,'SegEnds_NonXtal_BW#'!$A:$Z,21,FALSE)+VLOOKUP($A401,A:AL,31,FALSE)-50),"-",(VLOOKUP($A401,'SegEnds_NonXtal_BW#'!$A:$Z,21,FALSE)+VLOOKUP($A401,A:AL,31,FALSE)-50))</f>
        <v>222</v>
      </c>
      <c r="AE401" s="3">
        <v>243</v>
      </c>
      <c r="AF401" s="3">
        <f>IF(ISERROR((VLOOKUP($A401,'SegEnds_NonXtal_BW#'!$A:$Z,22,FALSE)+VLOOKUP($A401,A:AL,31,FALSE)-50)),"-",(VLOOKUP($A401,'SegEnds_NonXtal_BW#'!$A:$Z,22,FALSE)+VLOOKUP($A401,A:AL,31,FALSE)-50))</f>
        <v>254</v>
      </c>
      <c r="AG401" s="3">
        <f>IF(ISERROR(VLOOKUP($A401,'SegEnds_NonXtal_BW#'!$A:$Z,23,FALSE)+VLOOKUP($A401,A:AL,34,FALSE)-50),"-",(VLOOKUP($A401,'SegEnds_NonXtal_BW#'!$A:$Z,23,FALSE)+VLOOKUP($A401,A:AL,34,FALSE)-50))</f>
        <v>259</v>
      </c>
      <c r="AH401" s="3">
        <v>276</v>
      </c>
      <c r="AI401" s="3">
        <f>IF(ISERROR((VLOOKUP($A401,'SegEnds_NonXtal_BW#'!$A:$Z,24,FALSE)+VLOOKUP($A401,A:AL,34,FALSE)-50)),"-",(VLOOKUP($A401,'SegEnds_NonXtal_BW#'!$A:$Z,24,FALSE)+VLOOKUP($A401,A:AL,34,FALSE)-50))</f>
        <v>282</v>
      </c>
      <c r="AJ401" s="3">
        <f>IF(ISERROR(VLOOKUP($A401,'SegEnds_NonXtal_BW#'!$A:$Z,25,FALSE)+VLOOKUP($A401,A:AL,37,FALSE)-50),"-",(VLOOKUP($A401,'SegEnds_NonXtal_BW#'!$A:$Z,25,FALSE)+VLOOKUP($A401,A:AL,37,FALSE)-50))</f>
        <v>283</v>
      </c>
      <c r="AK401" s="3">
        <v>286</v>
      </c>
      <c r="AL401" s="3">
        <f>IF(ISERROR((VLOOKUP($A401,'SegEnds_NonXtal_BW#'!$A:$Z,26,FALSE)+VLOOKUP($A401,A:AL,37,FALSE)-50)),"-",(VLOOKUP($A401,'SegEnds_NonXtal_BW#'!$A:$Z,26,FALSE)+VLOOKUP($A401,A:AL,37,FALSE)-50))</f>
        <v>296</v>
      </c>
      <c r="AM401" s="28" t="str">
        <f>VLOOKUP(A401,Classification!A:B,2,FALSE)</f>
        <v>T</v>
      </c>
      <c r="AN401" s="28" t="b">
        <f t="shared" si="224"/>
        <v>1</v>
      </c>
      <c r="AO401" s="3" t="str">
        <f>IF(ISERROR(MATCH(A401,'SegEnds_Xtal_Prot#'!B:B, 0)), "NoXtal", "Xtal")</f>
        <v>NoXtal</v>
      </c>
      <c r="AP401" s="3">
        <f t="shared" si="209"/>
        <v>1</v>
      </c>
      <c r="AQ401" s="3">
        <f t="shared" si="210"/>
        <v>1</v>
      </c>
      <c r="AR401" s="3" t="str">
        <f t="shared" si="211"/>
        <v>-</v>
      </c>
      <c r="AS401" s="3" t="str">
        <f t="shared" si="212"/>
        <v>-</v>
      </c>
      <c r="AT401" s="3">
        <f t="shared" si="213"/>
        <v>3</v>
      </c>
      <c r="AU401" s="3">
        <f t="shared" si="214"/>
        <v>1</v>
      </c>
      <c r="AV401" s="3" t="str">
        <f t="shared" si="215"/>
        <v>-</v>
      </c>
      <c r="AW401" s="3" t="str">
        <f t="shared" si="216"/>
        <v>-</v>
      </c>
      <c r="AX401" s="3">
        <f t="shared" si="217"/>
        <v>13</v>
      </c>
      <c r="AY401" s="3">
        <f t="shared" si="218"/>
        <v>5</v>
      </c>
      <c r="AZ401" s="3">
        <f t="shared" si="219"/>
        <v>1</v>
      </c>
      <c r="BA401" s="3">
        <f>IF(ISERROR(LEN(VLOOKUP(A401,Seqs!A:E,2,FALSE))-AL401),"-",LEN(VLOOKUP(A401,Seqs!A:E,2,FALSE))-AL401)</f>
        <v>3</v>
      </c>
      <c r="BB401" s="16">
        <f t="shared" si="220"/>
        <v>31</v>
      </c>
      <c r="BC401" s="9">
        <f t="shared" si="221"/>
        <v>20</v>
      </c>
      <c r="BD401" s="3">
        <f t="shared" si="222"/>
        <v>31</v>
      </c>
      <c r="BE401" s="3">
        <f t="shared" si="223"/>
        <v>56</v>
      </c>
      <c r="BF401" s="3">
        <f t="shared" si="208"/>
        <v>33</v>
      </c>
    </row>
    <row r="402" spans="1:58" s="3" customFormat="1" x14ac:dyDescent="0.2">
      <c r="A402" s="3" t="s">
        <v>470</v>
      </c>
      <c r="B402" s="3" t="str">
        <f>LOWER(VLOOKUP(A402,Xtal_Templ!A:B,2,FALSE))</f>
        <v>5ht2c_human</v>
      </c>
      <c r="C402" s="3">
        <f>VLOOKUP($A402,'SegEnds_NonXtal_BW#'!$A:$Z,3,FALSE)+D402-50</f>
        <v>6</v>
      </c>
      <c r="D402" s="3">
        <v>24</v>
      </c>
      <c r="E402" s="3">
        <f t="shared" si="203"/>
        <v>36</v>
      </c>
      <c r="F402" s="3">
        <f t="shared" si="204"/>
        <v>37</v>
      </c>
      <c r="G402" s="3">
        <v>39</v>
      </c>
      <c r="H402" s="3">
        <f t="shared" si="205"/>
        <v>40</v>
      </c>
      <c r="I402" s="3">
        <f t="shared" si="205"/>
        <v>41</v>
      </c>
      <c r="J402" s="3">
        <v>55</v>
      </c>
      <c r="K402" s="3">
        <f>VLOOKUP($A402,'SegEnds_NonXtal_BW#'!$A:$Z,8,FALSE)+VLOOKUP($A402,A:AL,10,FALSE)-50</f>
        <v>71</v>
      </c>
      <c r="L402" s="3" t="str">
        <f>IF(ISERROR(VLOOKUP($A402,'SegEnds_NonXtal_BW#'!$A:$Z,9,FALSE)+VLOOKUP($A402,A:AL,13,FALSE)-50),"-",(VLOOKUP($A402,'SegEnds_NonXtal_BW#'!$A:$Z,9,FALSE)+VLOOKUP($A402,A:AL,13,FALSE)-50))</f>
        <v>-</v>
      </c>
      <c r="M402" s="3" t="s">
        <v>23</v>
      </c>
      <c r="N402" s="3" t="str">
        <f>IF(ISERROR(VLOOKUP($A402,'SegEnds_NonXtal_BW#'!$A:$Z,10,FALSE)+VLOOKUP($A402,A:AL,13,FALSE)-50),"-",(VLOOKUP($A402,'SegEnds_NonXtal_BW#'!$A:$Z,10,FALSE)+VLOOKUP($A402,A:AL,13,FALSE)-50))</f>
        <v>-</v>
      </c>
      <c r="O402" s="3">
        <f>VLOOKUP($A402,'SegEnds_NonXtal_BW#'!$A:$Z,11,FALSE)+VLOOKUP($A402,A:AL,16,FALSE)-50</f>
        <v>77</v>
      </c>
      <c r="P402" s="3">
        <v>106</v>
      </c>
      <c r="Q402" s="3">
        <f>VLOOKUP($A402,'SegEnds_NonXtal_BW#'!$A:$Z,12,FALSE)+VLOOKUP($A402,A:AL,16,FALSE)-50</f>
        <v>112</v>
      </c>
      <c r="R402" s="3">
        <f t="shared" si="206"/>
        <v>115</v>
      </c>
      <c r="S402" s="3">
        <v>115</v>
      </c>
      <c r="T402" s="100">
        <f t="shared" si="207"/>
        <v>122</v>
      </c>
      <c r="U402" s="9">
        <f>IF(ISERROR(VLOOKUP($A402,'SegEnds_NonXtal_BW#'!$A:$Z,15,FALSE)+VLOOKUP($A402,A:AL,22,FALSE)-50),"-",VLOOKUP($A402,'SegEnds_NonXtal_BW#'!$A:$Z,15,FALSE)+VLOOKUP($A402,A:AL,22,FALSE)-50)</f>
        <v>123</v>
      </c>
      <c r="V402" s="3">
        <v>135</v>
      </c>
      <c r="W402" s="3">
        <f>IF(ISERROR(VLOOKUP($A402,'SegEnds_NonXtal_BW#'!$A:$Z,16,FALSE)+VLOOKUP($A402,A:AL,22,FALSE)-50),"-",(VLOOKUP($A402,'SegEnds_NonXtal_BW#'!$A:$Z,16,FALSE)+VLOOKUP($A402,A:AL,22,FALSE)-50))</f>
        <v>152</v>
      </c>
      <c r="X402" s="3" t="str">
        <f>IF(ISERROR(VLOOKUP($A402,'SegEnds_NonXtal_BW#'!$A:$Z,17,FALSE)+VLOOKUP($A402,A:AL,25,FALSE)-50),"-",(VLOOKUP($A402,'SegEnds_NonXtal_BW#'!$A:$Z,17,FALSE)+VLOOKUP($A402,A:AL,25,FALSE)-50))</f>
        <v>-</v>
      </c>
      <c r="Y402" s="3" t="s">
        <v>23</v>
      </c>
      <c r="Z402" s="3" t="str">
        <f>IF(ISERROR(VLOOKUP($A402,'SegEnds_NonXtal_BW#'!$A:$Z,18,FALSE)+VLOOKUP($A402,A:AL,25,FALSE)-50),"-",(VLOOKUP($A402,'SegEnds_NonXtal_BW#'!$A:$Z,18,FALSE)+VLOOKUP($A402,A:AL,25,FALSE)-50))</f>
        <v>-</v>
      </c>
      <c r="AA402" s="3">
        <f>IF(ISERROR(VLOOKUP($A402,'SegEnds_NonXtal_BW#'!$A:$Z,19,FALSE)+VLOOKUP($A402,A:AL,28,FALSE)-50),"-",(VLOOKUP($A402,'SegEnds_NonXtal_BW#'!$A:$Z,19,FALSE)+VLOOKUP($A402,A:AL,28,FALSE)-50))</f>
        <v>169</v>
      </c>
      <c r="AB402" s="3">
        <v>187</v>
      </c>
      <c r="AC402" s="3">
        <f>IF(ISERROR((VLOOKUP($A402,'SegEnds_NonXtal_BW#'!$A:$Z,20,FALSE)+VLOOKUP($A402,A:AL,28,FALSE)-50)),"-",(VLOOKUP($A402,'SegEnds_NonXtal_BW#'!$A:$Z,20,FALSE)+VLOOKUP($A402,A:AL,28,FALSE)-50))</f>
        <v>209</v>
      </c>
      <c r="AD402" s="3">
        <f>IF(ISERROR(VLOOKUP($A402,'SegEnds_NonXtal_BW#'!$A:$Z,21,FALSE)+VLOOKUP($A402,A:AL,31,FALSE)-50),"-",(VLOOKUP($A402,'SegEnds_NonXtal_BW#'!$A:$Z,21,FALSE)+VLOOKUP($A402,A:AL,31,FALSE)-50))</f>
        <v>219</v>
      </c>
      <c r="AE402" s="3">
        <v>240</v>
      </c>
      <c r="AF402" s="3">
        <f>IF(ISERROR((VLOOKUP($A402,'SegEnds_NonXtal_BW#'!$A:$Z,22,FALSE)+VLOOKUP($A402,A:AL,31,FALSE)-50)),"-",(VLOOKUP($A402,'SegEnds_NonXtal_BW#'!$A:$Z,22,FALSE)+VLOOKUP($A402,A:AL,31,FALSE)-50))</f>
        <v>251</v>
      </c>
      <c r="AG402" s="3">
        <f>IF(ISERROR(VLOOKUP($A402,'SegEnds_NonXtal_BW#'!$A:$Z,23,FALSE)+VLOOKUP($A402,A:AL,34,FALSE)-50),"-",(VLOOKUP($A402,'SegEnds_NonXtal_BW#'!$A:$Z,23,FALSE)+VLOOKUP($A402,A:AL,34,FALSE)-50))</f>
        <v>257</v>
      </c>
      <c r="AH402" s="3">
        <v>276</v>
      </c>
      <c r="AI402" s="3">
        <f>IF(ISERROR((VLOOKUP($A402,'SegEnds_NonXtal_BW#'!$A:$Z,24,FALSE)+VLOOKUP($A402,A:AL,34,FALSE)-50)),"-",(VLOOKUP($A402,'SegEnds_NonXtal_BW#'!$A:$Z,24,FALSE)+VLOOKUP($A402,A:AL,34,FALSE)-50))</f>
        <v>282</v>
      </c>
      <c r="AJ402" s="3">
        <f>IF(ISERROR(VLOOKUP($A402,'SegEnds_NonXtal_BW#'!$A:$Z,25,FALSE)+VLOOKUP($A402,A:AL,37,FALSE)-50),"-",(VLOOKUP($A402,'SegEnds_NonXtal_BW#'!$A:$Z,25,FALSE)+VLOOKUP($A402,A:AL,37,FALSE)-50))</f>
        <v>283</v>
      </c>
      <c r="AK402" s="3">
        <v>286</v>
      </c>
      <c r="AL402" s="3">
        <f>IF(ISERROR((VLOOKUP($A402,'SegEnds_NonXtal_BW#'!$A:$Z,26,FALSE)+VLOOKUP($A402,A:AL,37,FALSE)-50)),"-",(VLOOKUP($A402,'SegEnds_NonXtal_BW#'!$A:$Z,26,FALSE)+VLOOKUP($A402,A:AL,37,FALSE)-50))</f>
        <v>296</v>
      </c>
      <c r="AM402" s="28" t="str">
        <f>VLOOKUP(A402,Classification!A:B,2,FALSE)</f>
        <v>T</v>
      </c>
      <c r="AN402" s="28" t="b">
        <f t="shared" si="224"/>
        <v>1</v>
      </c>
      <c r="AO402" s="3" t="str">
        <f>IF(ISERROR(MATCH(A402,'SegEnds_Xtal_Prot#'!B:B, 0)), "NoXtal", "Xtal")</f>
        <v>NoXtal</v>
      </c>
      <c r="AP402" s="3">
        <f t="shared" si="209"/>
        <v>1</v>
      </c>
      <c r="AQ402" s="3">
        <f t="shared" si="210"/>
        <v>1</v>
      </c>
      <c r="AR402" s="3" t="str">
        <f t="shared" si="211"/>
        <v>-</v>
      </c>
      <c r="AS402" s="3" t="str">
        <f t="shared" si="212"/>
        <v>-</v>
      </c>
      <c r="AT402" s="3">
        <f t="shared" si="213"/>
        <v>3</v>
      </c>
      <c r="AU402" s="3">
        <f t="shared" si="214"/>
        <v>1</v>
      </c>
      <c r="AV402" s="3" t="str">
        <f t="shared" si="215"/>
        <v>-</v>
      </c>
      <c r="AW402" s="3" t="str">
        <f t="shared" si="216"/>
        <v>-</v>
      </c>
      <c r="AX402" s="3">
        <f t="shared" si="217"/>
        <v>10</v>
      </c>
      <c r="AY402" s="3">
        <f t="shared" si="218"/>
        <v>6</v>
      </c>
      <c r="AZ402" s="3">
        <f t="shared" si="219"/>
        <v>1</v>
      </c>
      <c r="BA402" s="3">
        <f>IF(ISERROR(LEN(VLOOKUP(A402,Seqs!A:E,2,FALSE))-AL402),"-",LEN(VLOOKUP(A402,Seqs!A:E,2,FALSE))-AL402)</f>
        <v>13</v>
      </c>
      <c r="BB402" s="16">
        <f t="shared" si="220"/>
        <v>31</v>
      </c>
      <c r="BC402" s="9">
        <f t="shared" si="221"/>
        <v>20</v>
      </c>
      <c r="BD402" s="3">
        <f t="shared" si="222"/>
        <v>31</v>
      </c>
      <c r="BE402" s="3">
        <f t="shared" si="223"/>
        <v>53</v>
      </c>
      <c r="BF402" s="3">
        <f t="shared" si="208"/>
        <v>36</v>
      </c>
    </row>
    <row r="403" spans="1:58" s="3" customFormat="1" x14ac:dyDescent="0.2">
      <c r="A403" s="3" t="s">
        <v>471</v>
      </c>
      <c r="B403" s="3" t="str">
        <f>LOWER(VLOOKUP(A403,Xtal_Templ!A:B,2,FALSE))</f>
        <v>drd2_human</v>
      </c>
      <c r="C403" s="3">
        <f>VLOOKUP($A403,'SegEnds_NonXtal_BW#'!$A:$Z,3,FALSE)+D403-50</f>
        <v>6</v>
      </c>
      <c r="D403" s="3">
        <v>24</v>
      </c>
      <c r="E403" s="3">
        <f t="shared" si="203"/>
        <v>36</v>
      </c>
      <c r="F403" s="3">
        <f t="shared" si="204"/>
        <v>37</v>
      </c>
      <c r="G403" s="3">
        <v>39</v>
      </c>
      <c r="H403" s="3">
        <f t="shared" si="205"/>
        <v>40</v>
      </c>
      <c r="I403" s="3">
        <f t="shared" si="205"/>
        <v>41</v>
      </c>
      <c r="J403" s="3">
        <v>55</v>
      </c>
      <c r="K403" s="3">
        <f>VLOOKUP($A403,'SegEnds_NonXtal_BW#'!$A:$Z,8,FALSE)+VLOOKUP($A403,A:AL,10,FALSE)-50</f>
        <v>71</v>
      </c>
      <c r="L403" s="3" t="str">
        <f>IF(ISERROR(VLOOKUP($A403,'SegEnds_NonXtal_BW#'!$A:$Z,9,FALSE)+VLOOKUP($A403,A:AL,13,FALSE)-50),"-",(VLOOKUP($A403,'SegEnds_NonXtal_BW#'!$A:$Z,9,FALSE)+VLOOKUP($A403,A:AL,13,FALSE)-50))</f>
        <v>-</v>
      </c>
      <c r="M403" s="3" t="s">
        <v>23</v>
      </c>
      <c r="N403" s="3" t="str">
        <f>IF(ISERROR(VLOOKUP($A403,'SegEnds_NonXtal_BW#'!$A:$Z,10,FALSE)+VLOOKUP($A403,A:AL,13,FALSE)-50),"-",(VLOOKUP($A403,'SegEnds_NonXtal_BW#'!$A:$Z,10,FALSE)+VLOOKUP($A403,A:AL,13,FALSE)-50))</f>
        <v>-</v>
      </c>
      <c r="O403" s="3">
        <f>VLOOKUP($A403,'SegEnds_NonXtal_BW#'!$A:$Z,11,FALSE)+VLOOKUP($A403,A:AL,16,FALSE)-50</f>
        <v>77</v>
      </c>
      <c r="P403" s="3">
        <v>106</v>
      </c>
      <c r="Q403" s="3">
        <f>VLOOKUP($A403,'SegEnds_NonXtal_BW#'!$A:$Z,12,FALSE)+VLOOKUP($A403,A:AL,16,FALSE)-50</f>
        <v>112</v>
      </c>
      <c r="R403" s="3">
        <f t="shared" si="206"/>
        <v>115</v>
      </c>
      <c r="S403" s="3">
        <v>115</v>
      </c>
      <c r="T403" s="100">
        <f t="shared" si="207"/>
        <v>122</v>
      </c>
      <c r="U403" s="9">
        <f>IF(ISERROR(VLOOKUP($A403,'SegEnds_NonXtal_BW#'!$A:$Z,15,FALSE)+VLOOKUP($A403,A:AL,22,FALSE)-50),"-",VLOOKUP($A403,'SegEnds_NonXtal_BW#'!$A:$Z,15,FALSE)+VLOOKUP($A403,A:AL,22,FALSE)-50)</f>
        <v>123</v>
      </c>
      <c r="V403" s="3">
        <v>135</v>
      </c>
      <c r="W403" s="3">
        <f>IF(ISERROR(VLOOKUP($A403,'SegEnds_NonXtal_BW#'!$A:$Z,16,FALSE)+VLOOKUP($A403,A:AL,22,FALSE)-50),"-",(VLOOKUP($A403,'SegEnds_NonXtal_BW#'!$A:$Z,16,FALSE)+VLOOKUP($A403,A:AL,22,FALSE)-50))</f>
        <v>147</v>
      </c>
      <c r="X403" s="3" t="str">
        <f>IF(ISERROR(VLOOKUP($A403,'SegEnds_NonXtal_BW#'!$A:$Z,17,FALSE)+VLOOKUP($A403,A:AL,25,FALSE)-50),"-",(VLOOKUP($A403,'SegEnds_NonXtal_BW#'!$A:$Z,17,FALSE)+VLOOKUP($A403,A:AL,25,FALSE)-50))</f>
        <v>-</v>
      </c>
      <c r="Y403" s="3" t="s">
        <v>23</v>
      </c>
      <c r="Z403" s="3" t="str">
        <f>IF(ISERROR(VLOOKUP($A403,'SegEnds_NonXtal_BW#'!$A:$Z,18,FALSE)+VLOOKUP($A403,A:AL,25,FALSE)-50),"-",(VLOOKUP($A403,'SegEnds_NonXtal_BW#'!$A:$Z,18,FALSE)+VLOOKUP($A403,A:AL,25,FALSE)-50))</f>
        <v>-</v>
      </c>
      <c r="AA403" s="3">
        <f>IF(ISERROR(VLOOKUP($A403,'SegEnds_NonXtal_BW#'!$A:$Z,19,FALSE)+VLOOKUP($A403,A:AL,28,FALSE)-50),"-",(VLOOKUP($A403,'SegEnds_NonXtal_BW#'!$A:$Z,19,FALSE)+VLOOKUP($A403,A:AL,28,FALSE)-50))</f>
        <v>169</v>
      </c>
      <c r="AB403" s="3">
        <v>187</v>
      </c>
      <c r="AC403" s="3">
        <f>IF(ISERROR((VLOOKUP($A403,'SegEnds_NonXtal_BW#'!$A:$Z,20,FALSE)+VLOOKUP($A403,A:AL,28,FALSE)-50)),"-",(VLOOKUP($A403,'SegEnds_NonXtal_BW#'!$A:$Z,20,FALSE)+VLOOKUP($A403,A:AL,28,FALSE)-50))</f>
        <v>209</v>
      </c>
      <c r="AD403" s="3">
        <f>IF(ISERROR(VLOOKUP($A403,'SegEnds_NonXtal_BW#'!$A:$Z,21,FALSE)+VLOOKUP($A403,A:AL,31,FALSE)-50),"-",(VLOOKUP($A403,'SegEnds_NonXtal_BW#'!$A:$Z,21,FALSE)+VLOOKUP($A403,A:AL,31,FALSE)-50))</f>
        <v>219</v>
      </c>
      <c r="AE403" s="3">
        <v>240</v>
      </c>
      <c r="AF403" s="3">
        <f>IF(ISERROR((VLOOKUP($A403,'SegEnds_NonXtal_BW#'!$A:$Z,22,FALSE)+VLOOKUP($A403,A:AL,31,FALSE)-50)),"-",(VLOOKUP($A403,'SegEnds_NonXtal_BW#'!$A:$Z,22,FALSE)+VLOOKUP($A403,A:AL,31,FALSE)-50))</f>
        <v>251</v>
      </c>
      <c r="AG403" s="3">
        <f>IF(ISERROR(VLOOKUP($A403,'SegEnds_NonXtal_BW#'!$A:$Z,23,FALSE)+VLOOKUP($A403,A:AL,34,FALSE)-50),"-",(VLOOKUP($A403,'SegEnds_NonXtal_BW#'!$A:$Z,23,FALSE)+VLOOKUP($A403,A:AL,34,FALSE)-50))</f>
        <v>257</v>
      </c>
      <c r="AH403" s="3">
        <v>276</v>
      </c>
      <c r="AI403" s="3">
        <f>IF(ISERROR((VLOOKUP($A403,'SegEnds_NonXtal_BW#'!$A:$Z,24,FALSE)+VLOOKUP($A403,A:AL,34,FALSE)-50)),"-",(VLOOKUP($A403,'SegEnds_NonXtal_BW#'!$A:$Z,24,FALSE)+VLOOKUP($A403,A:AL,34,FALSE)-50))</f>
        <v>282</v>
      </c>
      <c r="AJ403" s="3">
        <f>IF(ISERROR(VLOOKUP($A403,'SegEnds_NonXtal_BW#'!$A:$Z,25,FALSE)+VLOOKUP($A403,A:AL,37,FALSE)-50),"-",(VLOOKUP($A403,'SegEnds_NonXtal_BW#'!$A:$Z,25,FALSE)+VLOOKUP($A403,A:AL,37,FALSE)-50))</f>
        <v>283</v>
      </c>
      <c r="AK403" s="3">
        <v>286</v>
      </c>
      <c r="AL403" s="3">
        <f>IF(ISERROR((VLOOKUP($A403,'SegEnds_NonXtal_BW#'!$A:$Z,26,FALSE)+VLOOKUP($A403,A:AL,37,FALSE)-50)),"-",(VLOOKUP($A403,'SegEnds_NonXtal_BW#'!$A:$Z,26,FALSE)+VLOOKUP($A403,A:AL,37,FALSE)-50))</f>
        <v>296</v>
      </c>
      <c r="AM403" s="28" t="str">
        <f>VLOOKUP(A403,Classification!A:B,2,FALSE)</f>
        <v>T</v>
      </c>
      <c r="AN403" s="28" t="b">
        <f t="shared" si="224"/>
        <v>1</v>
      </c>
      <c r="AO403" s="3" t="str">
        <f>IF(ISERROR(MATCH(A403,'SegEnds_Xtal_Prot#'!B:B, 0)), "NoXtal", "Xtal")</f>
        <v>NoXtal</v>
      </c>
      <c r="AP403" s="3">
        <f t="shared" si="209"/>
        <v>1</v>
      </c>
      <c r="AQ403" s="3">
        <f t="shared" si="210"/>
        <v>1</v>
      </c>
      <c r="AR403" s="3" t="str">
        <f t="shared" si="211"/>
        <v>-</v>
      </c>
      <c r="AS403" s="3" t="str">
        <f t="shared" si="212"/>
        <v>-</v>
      </c>
      <c r="AT403" s="3">
        <f t="shared" si="213"/>
        <v>3</v>
      </c>
      <c r="AU403" s="3">
        <f t="shared" si="214"/>
        <v>1</v>
      </c>
      <c r="AV403" s="3" t="str">
        <f t="shared" si="215"/>
        <v>-</v>
      </c>
      <c r="AW403" s="3" t="str">
        <f t="shared" si="216"/>
        <v>-</v>
      </c>
      <c r="AX403" s="3">
        <f t="shared" si="217"/>
        <v>10</v>
      </c>
      <c r="AY403" s="3">
        <f t="shared" si="218"/>
        <v>6</v>
      </c>
      <c r="AZ403" s="3">
        <f t="shared" si="219"/>
        <v>1</v>
      </c>
      <c r="BA403" s="3">
        <f>IF(ISERROR(LEN(VLOOKUP(A403,Seqs!A:E,2,FALSE))-AL403),"-",LEN(VLOOKUP(A403,Seqs!A:E,2,FALSE))-AL403)</f>
        <v>3</v>
      </c>
      <c r="BB403" s="16">
        <f t="shared" si="220"/>
        <v>31</v>
      </c>
      <c r="BC403" s="9">
        <f t="shared" si="221"/>
        <v>20</v>
      </c>
      <c r="BD403" s="3">
        <f t="shared" si="222"/>
        <v>31</v>
      </c>
      <c r="BE403" s="3">
        <f t="shared" si="223"/>
        <v>53</v>
      </c>
      <c r="BF403" s="3">
        <f t="shared" si="208"/>
        <v>36</v>
      </c>
    </row>
    <row r="404" spans="1:58" s="3" customFormat="1" x14ac:dyDescent="0.2">
      <c r="A404" s="3" t="s">
        <v>472</v>
      </c>
      <c r="B404" s="3" t="str">
        <f>LOWER(VLOOKUP(A404,Xtal_Templ!A:B,2,FALSE))</f>
        <v>oprk_human</v>
      </c>
      <c r="C404" s="3">
        <f>VLOOKUP($A404,'SegEnds_NonXtal_BW#'!$A:$Z,3,FALSE)+D404-50</f>
        <v>17</v>
      </c>
      <c r="D404" s="3">
        <v>35</v>
      </c>
      <c r="E404" s="3">
        <f t="shared" si="203"/>
        <v>47</v>
      </c>
      <c r="F404" s="3">
        <f t="shared" si="204"/>
        <v>48</v>
      </c>
      <c r="G404" s="3">
        <v>50</v>
      </c>
      <c r="H404" s="3">
        <f t="shared" si="205"/>
        <v>51</v>
      </c>
      <c r="I404" s="3">
        <f t="shared" si="205"/>
        <v>52</v>
      </c>
      <c r="J404" s="3">
        <v>66</v>
      </c>
      <c r="K404" s="3">
        <f>VLOOKUP($A404,'SegEnds_NonXtal_BW#'!$A:$Z,8,FALSE)+VLOOKUP($A404,A:AL,10,FALSE)-50</f>
        <v>82</v>
      </c>
      <c r="L404" s="3" t="str">
        <f>IF(ISERROR(VLOOKUP($A404,'SegEnds_NonXtal_BW#'!$A:$Z,9,FALSE)+VLOOKUP($A404,A:AL,13,FALSE)-50),"-",(VLOOKUP($A404,'SegEnds_NonXtal_BW#'!$A:$Z,9,FALSE)+VLOOKUP($A404,A:AL,13,FALSE)-50))</f>
        <v>-</v>
      </c>
      <c r="M404" s="3" t="s">
        <v>23</v>
      </c>
      <c r="N404" s="3" t="str">
        <f>IF(ISERROR(VLOOKUP($A404,'SegEnds_NonXtal_BW#'!$A:$Z,10,FALSE)+VLOOKUP($A404,A:AL,13,FALSE)-50),"-",(VLOOKUP($A404,'SegEnds_NonXtal_BW#'!$A:$Z,10,FALSE)+VLOOKUP($A404,A:AL,13,FALSE)-50))</f>
        <v>-</v>
      </c>
      <c r="O404" s="3">
        <f>VLOOKUP($A404,'SegEnds_NonXtal_BW#'!$A:$Z,11,FALSE)+VLOOKUP($A404,A:AL,16,FALSE)-50</f>
        <v>86</v>
      </c>
      <c r="P404" s="3">
        <v>118</v>
      </c>
      <c r="Q404" s="3">
        <f>VLOOKUP($A404,'SegEnds_NonXtal_BW#'!$A:$Z,12,FALSE)+VLOOKUP($A404,A:AL,16,FALSE)-50</f>
        <v>124</v>
      </c>
      <c r="R404" s="3">
        <f t="shared" si="206"/>
        <v>127</v>
      </c>
      <c r="S404" s="3">
        <v>127</v>
      </c>
      <c r="T404" s="100">
        <f t="shared" si="207"/>
        <v>134</v>
      </c>
      <c r="U404" s="9">
        <f>IF(ISERROR(VLOOKUP($A404,'SegEnds_NonXtal_BW#'!$A:$Z,15,FALSE)+VLOOKUP($A404,A:AL,22,FALSE)-50),"-",VLOOKUP($A404,'SegEnds_NonXtal_BW#'!$A:$Z,15,FALSE)+VLOOKUP($A404,A:AL,22,FALSE)-50)</f>
        <v>135</v>
      </c>
      <c r="V404" s="3">
        <v>147</v>
      </c>
      <c r="W404" s="3">
        <f>IF(ISERROR(VLOOKUP($A404,'SegEnds_NonXtal_BW#'!$A:$Z,16,FALSE)+VLOOKUP($A404,A:AL,22,FALSE)-50),"-",(VLOOKUP($A404,'SegEnds_NonXtal_BW#'!$A:$Z,16,FALSE)+VLOOKUP($A404,A:AL,22,FALSE)-50))</f>
        <v>161</v>
      </c>
      <c r="X404" s="3" t="str">
        <f>IF(ISERROR(VLOOKUP($A404,'SegEnds_NonXtal_BW#'!$A:$Z,17,FALSE)+VLOOKUP($A404,A:AL,25,FALSE)-50),"-",(VLOOKUP($A404,'SegEnds_NonXtal_BW#'!$A:$Z,17,FALSE)+VLOOKUP($A404,A:AL,25,FALSE)-50))</f>
        <v>-</v>
      </c>
      <c r="Y404" s="3" t="s">
        <v>23</v>
      </c>
      <c r="Z404" s="3" t="str">
        <f>IF(ISERROR(VLOOKUP($A404,'SegEnds_NonXtal_BW#'!$A:$Z,18,FALSE)+VLOOKUP($A404,A:AL,25,FALSE)-50),"-",(VLOOKUP($A404,'SegEnds_NonXtal_BW#'!$A:$Z,18,FALSE)+VLOOKUP($A404,A:AL,25,FALSE)-50))</f>
        <v>-</v>
      </c>
      <c r="AA404" s="3">
        <f>IF(ISERROR(VLOOKUP($A404,'SegEnds_NonXtal_BW#'!$A:$Z,19,FALSE)+VLOOKUP($A404,A:AL,28,FALSE)-50),"-",(VLOOKUP($A404,'SegEnds_NonXtal_BW#'!$A:$Z,19,FALSE)+VLOOKUP($A404,A:AL,28,FALSE)-50))</f>
        <v>187</v>
      </c>
      <c r="AB404" s="3">
        <v>205</v>
      </c>
      <c r="AC404" s="3">
        <f>IF(ISERROR((VLOOKUP($A404,'SegEnds_NonXtal_BW#'!$A:$Z,20,FALSE)+VLOOKUP($A404,A:AL,28,FALSE)-50)),"-",(VLOOKUP($A404,'SegEnds_NonXtal_BW#'!$A:$Z,20,FALSE)+VLOOKUP($A404,A:AL,28,FALSE)-50))</f>
        <v>227</v>
      </c>
      <c r="AD404" s="3">
        <f>IF(ISERROR(VLOOKUP($A404,'SegEnds_NonXtal_BW#'!$A:$Z,21,FALSE)+VLOOKUP($A404,A:AL,31,FALSE)-50),"-",(VLOOKUP($A404,'SegEnds_NonXtal_BW#'!$A:$Z,21,FALSE)+VLOOKUP($A404,A:AL,31,FALSE)-50))</f>
        <v>237</v>
      </c>
      <c r="AE404" s="3">
        <v>258</v>
      </c>
      <c r="AF404" s="3">
        <f>IF(ISERROR((VLOOKUP($A404,'SegEnds_NonXtal_BW#'!$A:$Z,22,FALSE)+VLOOKUP($A404,A:AL,31,FALSE)-50)),"-",(VLOOKUP($A404,'SegEnds_NonXtal_BW#'!$A:$Z,22,FALSE)+VLOOKUP($A404,A:AL,31,FALSE)-50))</f>
        <v>269</v>
      </c>
      <c r="AG404" s="3">
        <f>IF(ISERROR(VLOOKUP($A404,'SegEnds_NonXtal_BW#'!$A:$Z,23,FALSE)+VLOOKUP($A404,A:AL,34,FALSE)-50),"-",(VLOOKUP($A404,'SegEnds_NonXtal_BW#'!$A:$Z,23,FALSE)+VLOOKUP($A404,A:AL,34,FALSE)-50))</f>
        <v>274</v>
      </c>
      <c r="AH404" s="3">
        <v>293</v>
      </c>
      <c r="AI404" s="3">
        <f>IF(ISERROR((VLOOKUP($A404,'SegEnds_NonXtal_BW#'!$A:$Z,24,FALSE)+VLOOKUP($A404,A:AL,34,FALSE)-50)),"-",(VLOOKUP($A404,'SegEnds_NonXtal_BW#'!$A:$Z,24,FALSE)+VLOOKUP($A404,A:AL,34,FALSE)-50))</f>
        <v>299</v>
      </c>
      <c r="AJ404" s="3">
        <f>IF(ISERROR(VLOOKUP($A404,'SegEnds_NonXtal_BW#'!$A:$Z,25,FALSE)+VLOOKUP($A404,A:AL,37,FALSE)-50),"-",(VLOOKUP($A404,'SegEnds_NonXtal_BW#'!$A:$Z,25,FALSE)+VLOOKUP($A404,A:AL,37,FALSE)-50))</f>
        <v>300</v>
      </c>
      <c r="AK404" s="3">
        <v>303</v>
      </c>
      <c r="AL404" s="3">
        <f>IF(ISERROR((VLOOKUP($A404,'SegEnds_NonXtal_BW#'!$A:$Z,26,FALSE)+VLOOKUP($A404,A:AL,37,FALSE)-50)),"-",(VLOOKUP($A404,'SegEnds_NonXtal_BW#'!$A:$Z,26,FALSE)+VLOOKUP($A404,A:AL,37,FALSE)-50))</f>
        <v>313</v>
      </c>
      <c r="AM404" s="28" t="str">
        <f>VLOOKUP(A404,Classification!A:B,2,FALSE)</f>
        <v>T</v>
      </c>
      <c r="AN404" s="28" t="b">
        <f t="shared" si="224"/>
        <v>1</v>
      </c>
      <c r="AO404" s="3" t="str">
        <f>IF(ISERROR(MATCH(A404,'SegEnds_Xtal_Prot#'!B:B, 0)), "NoXtal", "Xtal")</f>
        <v>NoXtal</v>
      </c>
      <c r="AP404" s="3">
        <f t="shared" si="209"/>
        <v>1</v>
      </c>
      <c r="AQ404" s="3">
        <f t="shared" si="210"/>
        <v>1</v>
      </c>
      <c r="AR404" s="3" t="str">
        <f t="shared" si="211"/>
        <v>-</v>
      </c>
      <c r="AS404" s="3" t="str">
        <f t="shared" si="212"/>
        <v>-</v>
      </c>
      <c r="AT404" s="3">
        <f t="shared" si="213"/>
        <v>3</v>
      </c>
      <c r="AU404" s="3">
        <f t="shared" si="214"/>
        <v>1</v>
      </c>
      <c r="AV404" s="3" t="str">
        <f t="shared" si="215"/>
        <v>-</v>
      </c>
      <c r="AW404" s="3" t="str">
        <f t="shared" si="216"/>
        <v>-</v>
      </c>
      <c r="AX404" s="3">
        <f t="shared" si="217"/>
        <v>10</v>
      </c>
      <c r="AY404" s="3">
        <f t="shared" si="218"/>
        <v>5</v>
      </c>
      <c r="AZ404" s="3">
        <f t="shared" si="219"/>
        <v>1</v>
      </c>
      <c r="BA404" s="3">
        <f>IF(ISERROR(LEN(VLOOKUP(A404,Seqs!A:E,2,FALSE))-AL404),"-",LEN(VLOOKUP(A404,Seqs!A:E,2,FALSE))-AL404)</f>
        <v>5</v>
      </c>
      <c r="BB404" s="16">
        <f t="shared" si="220"/>
        <v>31</v>
      </c>
      <c r="BC404" s="9">
        <f t="shared" si="221"/>
        <v>20</v>
      </c>
      <c r="BD404" s="3">
        <f t="shared" si="222"/>
        <v>31</v>
      </c>
      <c r="BE404" s="3">
        <f t="shared" si="223"/>
        <v>53</v>
      </c>
      <c r="BF404" s="3">
        <f t="shared" si="208"/>
        <v>35</v>
      </c>
    </row>
    <row r="405" spans="1:58" s="3" customFormat="1" x14ac:dyDescent="0.2">
      <c r="A405" s="3" t="s">
        <v>474</v>
      </c>
      <c r="B405" s="3" t="str">
        <f>LOWER(VLOOKUP(A405,Xtal_Templ!A:B,2,FALSE))</f>
        <v>cxcr4_human</v>
      </c>
      <c r="C405" s="3">
        <f>VLOOKUP($A405,'SegEnds_NonXtal_BW#'!$A:$Z,3,FALSE)+D405-50</f>
        <v>6</v>
      </c>
      <c r="D405" s="3">
        <v>24</v>
      </c>
      <c r="E405" s="3">
        <f t="shared" si="203"/>
        <v>36</v>
      </c>
      <c r="F405" s="3">
        <f t="shared" si="204"/>
        <v>37</v>
      </c>
      <c r="G405" s="3">
        <v>39</v>
      </c>
      <c r="H405" s="3">
        <f t="shared" si="205"/>
        <v>40</v>
      </c>
      <c r="I405" s="3">
        <f t="shared" si="205"/>
        <v>41</v>
      </c>
      <c r="J405" s="3">
        <v>55</v>
      </c>
      <c r="K405" s="3">
        <f>VLOOKUP($A405,'SegEnds_NonXtal_BW#'!$A:$Z,8,FALSE)+VLOOKUP($A405,A:AL,10,FALSE)-50</f>
        <v>71</v>
      </c>
      <c r="L405" s="3" t="str">
        <f>IF(ISERROR(VLOOKUP($A405,'SegEnds_NonXtal_BW#'!$A:$Z,9,FALSE)+VLOOKUP($A405,A:AL,13,FALSE)-50),"-",(VLOOKUP($A405,'SegEnds_NonXtal_BW#'!$A:$Z,9,FALSE)+VLOOKUP($A405,A:AL,13,FALSE)-50))</f>
        <v>-</v>
      </c>
      <c r="M405" s="3" t="s">
        <v>23</v>
      </c>
      <c r="N405" s="3" t="str">
        <f>IF(ISERROR(VLOOKUP($A405,'SegEnds_NonXtal_BW#'!$A:$Z,10,FALSE)+VLOOKUP($A405,A:AL,13,FALSE)-50),"-",(VLOOKUP($A405,'SegEnds_NonXtal_BW#'!$A:$Z,10,FALSE)+VLOOKUP($A405,A:AL,13,FALSE)-50))</f>
        <v>-</v>
      </c>
      <c r="O405" s="3">
        <f>VLOOKUP($A405,'SegEnds_NonXtal_BW#'!$A:$Z,11,FALSE)+VLOOKUP($A405,A:AL,16,FALSE)-50</f>
        <v>77</v>
      </c>
      <c r="P405" s="3">
        <v>103</v>
      </c>
      <c r="Q405" s="3">
        <f>VLOOKUP($A405,'SegEnds_NonXtal_BW#'!$A:$Z,12,FALSE)+VLOOKUP($A405,A:AL,16,FALSE)-50</f>
        <v>109</v>
      </c>
      <c r="R405" s="3">
        <f t="shared" si="206"/>
        <v>112</v>
      </c>
      <c r="S405" s="3">
        <v>112</v>
      </c>
      <c r="T405" s="100">
        <f t="shared" si="207"/>
        <v>119</v>
      </c>
      <c r="U405" s="9">
        <f>IF(ISERROR(VLOOKUP($A405,'SegEnds_NonXtal_BW#'!$A:$Z,15,FALSE)+VLOOKUP($A405,A:AL,22,FALSE)-50),"-",VLOOKUP($A405,'SegEnds_NonXtal_BW#'!$A:$Z,15,FALSE)+VLOOKUP($A405,A:AL,22,FALSE)-50)</f>
        <v>120</v>
      </c>
      <c r="V405" s="3">
        <v>132</v>
      </c>
      <c r="W405" s="3">
        <f>IF(ISERROR(VLOOKUP($A405,'SegEnds_NonXtal_BW#'!$A:$Z,16,FALSE)+VLOOKUP($A405,A:AL,22,FALSE)-50),"-",(VLOOKUP($A405,'SegEnds_NonXtal_BW#'!$A:$Z,16,FALSE)+VLOOKUP($A405,A:AL,22,FALSE)-50))</f>
        <v>146</v>
      </c>
      <c r="X405" s="3" t="str">
        <f>IF(ISERROR(VLOOKUP($A405,'SegEnds_NonXtal_BW#'!$A:$Z,17,FALSE)+VLOOKUP($A405,A:AL,25,FALSE)-50),"-",(VLOOKUP($A405,'SegEnds_NonXtal_BW#'!$A:$Z,17,FALSE)+VLOOKUP($A405,A:AL,25,FALSE)-50))</f>
        <v>-</v>
      </c>
      <c r="Y405" s="3" t="s">
        <v>23</v>
      </c>
      <c r="Z405" s="3" t="str">
        <f>IF(ISERROR(VLOOKUP($A405,'SegEnds_NonXtal_BW#'!$A:$Z,18,FALSE)+VLOOKUP($A405,A:AL,25,FALSE)-50),"-",(VLOOKUP($A405,'SegEnds_NonXtal_BW#'!$A:$Z,18,FALSE)+VLOOKUP($A405,A:AL,25,FALSE)-50))</f>
        <v>-</v>
      </c>
      <c r="AA405" s="3">
        <f>IF(ISERROR(VLOOKUP($A405,'SegEnds_NonXtal_BW#'!$A:$Z,19,FALSE)+VLOOKUP($A405,A:AL,28,FALSE)-50),"-",(VLOOKUP($A405,'SegEnds_NonXtal_BW#'!$A:$Z,19,FALSE)+VLOOKUP($A405,A:AL,28,FALSE)-50))</f>
        <v>168</v>
      </c>
      <c r="AB405" s="3">
        <v>186</v>
      </c>
      <c r="AC405" s="3">
        <f>IF(ISERROR((VLOOKUP($A405,'SegEnds_NonXtal_BW#'!$A:$Z,20,FALSE)+VLOOKUP($A405,A:AL,28,FALSE)-50)),"-",(VLOOKUP($A405,'SegEnds_NonXtal_BW#'!$A:$Z,20,FALSE)+VLOOKUP($A405,A:AL,28,FALSE)-50))</f>
        <v>208</v>
      </c>
      <c r="AD405" s="3">
        <f>IF(ISERROR(VLOOKUP($A405,'SegEnds_NonXtal_BW#'!$A:$Z,21,FALSE)+VLOOKUP($A405,A:AL,31,FALSE)-50),"-",(VLOOKUP($A405,'SegEnds_NonXtal_BW#'!$A:$Z,21,FALSE)+VLOOKUP($A405,A:AL,31,FALSE)-50))</f>
        <v>218</v>
      </c>
      <c r="AE405" s="3">
        <v>239</v>
      </c>
      <c r="AF405" s="3">
        <f>IF(ISERROR((VLOOKUP($A405,'SegEnds_NonXtal_BW#'!$A:$Z,22,FALSE)+VLOOKUP($A405,A:AL,31,FALSE)-50)),"-",(VLOOKUP($A405,'SegEnds_NonXtal_BW#'!$A:$Z,22,FALSE)+VLOOKUP($A405,A:AL,31,FALSE)-50))</f>
        <v>250</v>
      </c>
      <c r="AG405" s="3">
        <f>IF(ISERROR(VLOOKUP($A405,'SegEnds_NonXtal_BW#'!$A:$Z,23,FALSE)+VLOOKUP($A405,A:AL,34,FALSE)-50),"-",(VLOOKUP($A405,'SegEnds_NonXtal_BW#'!$A:$Z,23,FALSE)+VLOOKUP($A405,A:AL,34,FALSE)-50))</f>
        <v>255</v>
      </c>
      <c r="AH405" s="3">
        <v>274</v>
      </c>
      <c r="AI405" s="3">
        <f>IF(ISERROR((VLOOKUP($A405,'SegEnds_NonXtal_BW#'!$A:$Z,24,FALSE)+VLOOKUP($A405,A:AL,34,FALSE)-50)),"-",(VLOOKUP($A405,'SegEnds_NonXtal_BW#'!$A:$Z,24,FALSE)+VLOOKUP($A405,A:AL,34,FALSE)-50))</f>
        <v>280</v>
      </c>
      <c r="AJ405" s="3">
        <f>IF(ISERROR(VLOOKUP($A405,'SegEnds_NonXtal_BW#'!$A:$Z,25,FALSE)+VLOOKUP($A405,A:AL,37,FALSE)-50),"-",(VLOOKUP($A405,'SegEnds_NonXtal_BW#'!$A:$Z,25,FALSE)+VLOOKUP($A405,A:AL,37,FALSE)-50))</f>
        <v>281</v>
      </c>
      <c r="AK405" s="3">
        <v>284</v>
      </c>
      <c r="AL405" s="3">
        <f>IF(ISERROR((VLOOKUP($A405,'SegEnds_NonXtal_BW#'!$A:$Z,26,FALSE)+VLOOKUP($A405,A:AL,37,FALSE)-50)),"-",(VLOOKUP($A405,'SegEnds_NonXtal_BW#'!$A:$Z,26,FALSE)+VLOOKUP($A405,A:AL,37,FALSE)-50))</f>
        <v>294</v>
      </c>
      <c r="AM405" s="28" t="str">
        <f>VLOOKUP(A405,Classification!A:B,2,FALSE)</f>
        <v>T</v>
      </c>
      <c r="AN405" s="28" t="b">
        <f t="shared" si="224"/>
        <v>1</v>
      </c>
      <c r="AO405" s="3" t="str">
        <f>IF(ISERROR(MATCH(A405,'SegEnds_Xtal_Prot#'!B:B, 0)), "NoXtal", "Xtal")</f>
        <v>NoXtal</v>
      </c>
      <c r="AP405" s="3">
        <f t="shared" si="209"/>
        <v>1</v>
      </c>
      <c r="AQ405" s="3">
        <f t="shared" si="210"/>
        <v>1</v>
      </c>
      <c r="AR405" s="3" t="str">
        <f t="shared" si="211"/>
        <v>-</v>
      </c>
      <c r="AS405" s="3" t="str">
        <f t="shared" si="212"/>
        <v>-</v>
      </c>
      <c r="AT405" s="3">
        <f t="shared" si="213"/>
        <v>3</v>
      </c>
      <c r="AU405" s="3">
        <f t="shared" si="214"/>
        <v>1</v>
      </c>
      <c r="AV405" s="3" t="str">
        <f t="shared" si="215"/>
        <v>-</v>
      </c>
      <c r="AW405" s="3" t="str">
        <f t="shared" si="216"/>
        <v>-</v>
      </c>
      <c r="AX405" s="3">
        <f t="shared" si="217"/>
        <v>10</v>
      </c>
      <c r="AY405" s="3">
        <f t="shared" si="218"/>
        <v>5</v>
      </c>
      <c r="AZ405" s="3">
        <f t="shared" si="219"/>
        <v>1</v>
      </c>
      <c r="BA405" s="3">
        <f>IF(ISERROR(LEN(VLOOKUP(A405,Seqs!A:E,2,FALSE))-AL405),"-",LEN(VLOOKUP(A405,Seqs!A:E,2,FALSE))-AL405)</f>
        <v>5</v>
      </c>
      <c r="BB405" s="16">
        <f t="shared" si="220"/>
        <v>31</v>
      </c>
      <c r="BC405" s="9">
        <f t="shared" si="221"/>
        <v>20</v>
      </c>
      <c r="BD405" s="3">
        <f t="shared" si="222"/>
        <v>31</v>
      </c>
      <c r="BE405" s="3">
        <f t="shared" si="223"/>
        <v>53</v>
      </c>
      <c r="BF405" s="3">
        <f t="shared" si="208"/>
        <v>35</v>
      </c>
    </row>
    <row r="406" spans="1:58" s="3" customFormat="1" x14ac:dyDescent="0.2">
      <c r="A406" s="3" t="s">
        <v>475</v>
      </c>
      <c r="B406" s="3" t="str">
        <f>LOWER(VLOOKUP(A406,Xtal_Templ!A:B,2,FALSE))</f>
        <v>agtr1_human</v>
      </c>
      <c r="C406" s="3">
        <f>VLOOKUP($A406,'SegEnds_NonXtal_BW#'!$A:$Z,3,FALSE)+D406-50</f>
        <v>6</v>
      </c>
      <c r="D406" s="3">
        <v>24</v>
      </c>
      <c r="E406" s="3">
        <f t="shared" si="203"/>
        <v>36</v>
      </c>
      <c r="F406" s="3">
        <f t="shared" si="204"/>
        <v>37</v>
      </c>
      <c r="G406" s="3">
        <v>39</v>
      </c>
      <c r="H406" s="3">
        <f t="shared" si="205"/>
        <v>40</v>
      </c>
      <c r="I406" s="3">
        <f t="shared" si="205"/>
        <v>41</v>
      </c>
      <c r="J406" s="3">
        <v>55</v>
      </c>
      <c r="K406" s="3">
        <f>VLOOKUP($A406,'SegEnds_NonXtal_BW#'!$A:$Z,8,FALSE)+VLOOKUP($A406,A:AL,10,FALSE)-50</f>
        <v>72</v>
      </c>
      <c r="L406" s="3" t="str">
        <f>IF(ISERROR(VLOOKUP($A406,'SegEnds_NonXtal_BW#'!$A:$Z,9,FALSE)+VLOOKUP($A406,A:AL,13,FALSE)-50),"-",(VLOOKUP($A406,'SegEnds_NonXtal_BW#'!$A:$Z,9,FALSE)+VLOOKUP($A406,A:AL,13,FALSE)-50))</f>
        <v>-</v>
      </c>
      <c r="M406" s="3" t="s">
        <v>23</v>
      </c>
      <c r="N406" s="3" t="str">
        <f>IF(ISERROR(VLOOKUP($A406,'SegEnds_NonXtal_BW#'!$A:$Z,10,FALSE)+VLOOKUP($A406,A:AL,13,FALSE)-50),"-",(VLOOKUP($A406,'SegEnds_NonXtal_BW#'!$A:$Z,10,FALSE)+VLOOKUP($A406,A:AL,13,FALSE)-50))</f>
        <v>-</v>
      </c>
      <c r="O406" s="3">
        <f>VLOOKUP($A406,'SegEnds_NonXtal_BW#'!$A:$Z,11,FALSE)+VLOOKUP($A406,A:AL,16,FALSE)-50</f>
        <v>78</v>
      </c>
      <c r="P406" s="3">
        <v>107</v>
      </c>
      <c r="Q406" s="3">
        <f>VLOOKUP($A406,'SegEnds_NonXtal_BW#'!$A:$Z,12,FALSE)+VLOOKUP($A406,A:AL,16,FALSE)-50</f>
        <v>113</v>
      </c>
      <c r="R406" s="3">
        <f t="shared" si="206"/>
        <v>116</v>
      </c>
      <c r="S406" s="3">
        <v>116</v>
      </c>
      <c r="T406" s="100">
        <f t="shared" si="207"/>
        <v>123</v>
      </c>
      <c r="U406" s="9">
        <f>IF(ISERROR(VLOOKUP($A406,'SegEnds_NonXtal_BW#'!$A:$Z,15,FALSE)+VLOOKUP($A406,A:AL,22,FALSE)-50),"-",VLOOKUP($A406,'SegEnds_NonXtal_BW#'!$A:$Z,15,FALSE)+VLOOKUP($A406,A:AL,22,FALSE)-50)</f>
        <v>124</v>
      </c>
      <c r="V406" s="3">
        <v>136</v>
      </c>
      <c r="W406" s="3">
        <f>IF(ISERROR(VLOOKUP($A406,'SegEnds_NonXtal_BW#'!$A:$Z,16,FALSE)+VLOOKUP($A406,A:AL,22,FALSE)-50),"-",(VLOOKUP($A406,'SegEnds_NonXtal_BW#'!$A:$Z,16,FALSE)+VLOOKUP($A406,A:AL,22,FALSE)-50))</f>
        <v>150</v>
      </c>
      <c r="X406" s="3" t="str">
        <f>IF(ISERROR(VLOOKUP($A406,'SegEnds_NonXtal_BW#'!$A:$Z,17,FALSE)+VLOOKUP($A406,A:AL,25,FALSE)-50),"-",(VLOOKUP($A406,'SegEnds_NonXtal_BW#'!$A:$Z,17,FALSE)+VLOOKUP($A406,A:AL,25,FALSE)-50))</f>
        <v>-</v>
      </c>
      <c r="Y406" s="3" t="s">
        <v>23</v>
      </c>
      <c r="Z406" s="3" t="str">
        <f>IF(ISERROR(VLOOKUP($A406,'SegEnds_NonXtal_BW#'!$A:$Z,18,FALSE)+VLOOKUP($A406,A:AL,25,FALSE)-50),"-",(VLOOKUP($A406,'SegEnds_NonXtal_BW#'!$A:$Z,18,FALSE)+VLOOKUP($A406,A:AL,25,FALSE)-50))</f>
        <v>-</v>
      </c>
      <c r="AA406" s="3">
        <f>IF(ISERROR(VLOOKUP($A406,'SegEnds_NonXtal_BW#'!$A:$Z,19,FALSE)+VLOOKUP($A406,A:AL,28,FALSE)-50),"-",(VLOOKUP($A406,'SegEnds_NonXtal_BW#'!$A:$Z,19,FALSE)+VLOOKUP($A406,A:AL,28,FALSE)-50))</f>
        <v>174</v>
      </c>
      <c r="AB406" s="3">
        <v>192</v>
      </c>
      <c r="AC406" s="3">
        <f>IF(ISERROR((VLOOKUP($A406,'SegEnds_NonXtal_BW#'!$A:$Z,20,FALSE)+VLOOKUP($A406,A:AL,28,FALSE)-50)),"-",(VLOOKUP($A406,'SegEnds_NonXtal_BW#'!$A:$Z,20,FALSE)+VLOOKUP($A406,A:AL,28,FALSE)-50))</f>
        <v>214</v>
      </c>
      <c r="AD406" s="3">
        <f>IF(ISERROR(VLOOKUP($A406,'SegEnds_NonXtal_BW#'!$A:$Z,21,FALSE)+VLOOKUP($A406,A:AL,31,FALSE)-50),"-",(VLOOKUP($A406,'SegEnds_NonXtal_BW#'!$A:$Z,21,FALSE)+VLOOKUP($A406,A:AL,31,FALSE)-50))</f>
        <v>224</v>
      </c>
      <c r="AE406" s="3">
        <v>245</v>
      </c>
      <c r="AF406" s="3">
        <f>IF(ISERROR((VLOOKUP($A406,'SegEnds_NonXtal_BW#'!$A:$Z,22,FALSE)+VLOOKUP($A406,A:AL,31,FALSE)-50)),"-",(VLOOKUP($A406,'SegEnds_NonXtal_BW#'!$A:$Z,22,FALSE)+VLOOKUP($A406,A:AL,31,FALSE)-50))</f>
        <v>256</v>
      </c>
      <c r="AG406" s="3">
        <f>IF(ISERROR(VLOOKUP($A406,'SegEnds_NonXtal_BW#'!$A:$Z,23,FALSE)+VLOOKUP($A406,A:AL,34,FALSE)-50),"-",(VLOOKUP($A406,'SegEnds_NonXtal_BW#'!$A:$Z,23,FALSE)+VLOOKUP($A406,A:AL,34,FALSE)-50))</f>
        <v>262</v>
      </c>
      <c r="AH406" s="3">
        <v>281</v>
      </c>
      <c r="AI406" s="3">
        <f>IF(ISERROR((VLOOKUP($A406,'SegEnds_NonXtal_BW#'!$A:$Z,24,FALSE)+VLOOKUP($A406,A:AL,34,FALSE)-50)),"-",(VLOOKUP($A406,'SegEnds_NonXtal_BW#'!$A:$Z,24,FALSE)+VLOOKUP($A406,A:AL,34,FALSE)-50))</f>
        <v>287</v>
      </c>
      <c r="AJ406" s="3">
        <f>IF(ISERROR(VLOOKUP($A406,'SegEnds_NonXtal_BW#'!$A:$Z,25,FALSE)+VLOOKUP($A406,A:AL,37,FALSE)-50),"-",(VLOOKUP($A406,'SegEnds_NonXtal_BW#'!$A:$Z,25,FALSE)+VLOOKUP($A406,A:AL,37,FALSE)-50))</f>
        <v>288</v>
      </c>
      <c r="AK406" s="3">
        <v>291</v>
      </c>
      <c r="AL406" s="3">
        <f>IF(ISERROR((VLOOKUP($A406,'SegEnds_NonXtal_BW#'!$A:$Z,26,FALSE)+VLOOKUP($A406,A:AL,37,FALSE)-50)),"-",(VLOOKUP($A406,'SegEnds_NonXtal_BW#'!$A:$Z,26,FALSE)+VLOOKUP($A406,A:AL,37,FALSE)-50))</f>
        <v>301</v>
      </c>
      <c r="AM406" s="28" t="str">
        <f>VLOOKUP(A406,Classification!A:B,2,FALSE)</f>
        <v>T</v>
      </c>
      <c r="AN406" s="28" t="b">
        <f t="shared" si="224"/>
        <v>1</v>
      </c>
      <c r="AO406" s="3" t="str">
        <f>IF(ISERROR(MATCH(A406,'SegEnds_Xtal_Prot#'!B:B, 0)), "NoXtal", "Xtal")</f>
        <v>NoXtal</v>
      </c>
      <c r="AP406" s="3">
        <f t="shared" si="209"/>
        <v>1</v>
      </c>
      <c r="AQ406" s="3">
        <f t="shared" si="210"/>
        <v>1</v>
      </c>
      <c r="AR406" s="3" t="str">
        <f t="shared" si="211"/>
        <v>-</v>
      </c>
      <c r="AS406" s="3" t="str">
        <f t="shared" si="212"/>
        <v>-</v>
      </c>
      <c r="AT406" s="3">
        <f t="shared" si="213"/>
        <v>3</v>
      </c>
      <c r="AU406" s="3">
        <f t="shared" si="214"/>
        <v>1</v>
      </c>
      <c r="AV406" s="3" t="str">
        <f t="shared" si="215"/>
        <v>-</v>
      </c>
      <c r="AW406" s="3" t="str">
        <f t="shared" si="216"/>
        <v>-</v>
      </c>
      <c r="AX406" s="3">
        <f t="shared" si="217"/>
        <v>10</v>
      </c>
      <c r="AY406" s="3">
        <f t="shared" si="218"/>
        <v>6</v>
      </c>
      <c r="AZ406" s="3">
        <f t="shared" si="219"/>
        <v>1</v>
      </c>
      <c r="BA406" s="3">
        <f>IF(ISERROR(LEN(VLOOKUP(A406,Seqs!A:E,2,FALSE))-AL406),"-",LEN(VLOOKUP(A406,Seqs!A:E,2,FALSE))-AL406)</f>
        <v>15</v>
      </c>
      <c r="BB406" s="16">
        <f t="shared" si="220"/>
        <v>31</v>
      </c>
      <c r="BC406" s="9">
        <f t="shared" si="221"/>
        <v>20</v>
      </c>
      <c r="BD406" s="3">
        <f t="shared" si="222"/>
        <v>31</v>
      </c>
      <c r="BE406" s="3">
        <f t="shared" si="223"/>
        <v>53</v>
      </c>
      <c r="BF406" s="3">
        <f t="shared" si="208"/>
        <v>36</v>
      </c>
    </row>
    <row r="407" spans="1:58" s="3" customFormat="1" x14ac:dyDescent="0.2">
      <c r="A407" s="3" t="s">
        <v>476</v>
      </c>
      <c r="B407" s="3" t="str">
        <f>LOWER(VLOOKUP(A407,Xtal_Templ!A:B,2,FALSE))</f>
        <v>5ht1b_human</v>
      </c>
      <c r="C407" s="3">
        <f>VLOOKUP($A407,'SegEnds_NonXtal_BW#'!$A:$Z,3,FALSE)+D407-50</f>
        <v>6</v>
      </c>
      <c r="D407" s="3">
        <v>24</v>
      </c>
      <c r="E407" s="3">
        <f t="shared" si="203"/>
        <v>36</v>
      </c>
      <c r="F407" s="3">
        <f t="shared" si="204"/>
        <v>37</v>
      </c>
      <c r="G407" s="3">
        <v>39</v>
      </c>
      <c r="H407" s="3">
        <f t="shared" si="205"/>
        <v>40</v>
      </c>
      <c r="I407" s="3">
        <f t="shared" si="205"/>
        <v>41</v>
      </c>
      <c r="J407" s="3">
        <v>55</v>
      </c>
      <c r="K407" s="3">
        <f>VLOOKUP($A407,'SegEnds_NonXtal_BW#'!$A:$Z,8,FALSE)+VLOOKUP($A407,A:AL,10,FALSE)-50</f>
        <v>71</v>
      </c>
      <c r="L407" s="3" t="str">
        <f>IF(ISERROR(VLOOKUP($A407,'SegEnds_NonXtal_BW#'!$A:$Z,9,FALSE)+VLOOKUP($A407,A:AL,13,FALSE)-50),"-",(VLOOKUP($A407,'SegEnds_NonXtal_BW#'!$A:$Z,9,FALSE)+VLOOKUP($A407,A:AL,13,FALSE)-50))</f>
        <v>-</v>
      </c>
      <c r="M407" s="3" t="s">
        <v>23</v>
      </c>
      <c r="N407" s="3" t="str">
        <f>IF(ISERROR(VLOOKUP($A407,'SegEnds_NonXtal_BW#'!$A:$Z,10,FALSE)+VLOOKUP($A407,A:AL,13,FALSE)-50),"-",(VLOOKUP($A407,'SegEnds_NonXtal_BW#'!$A:$Z,10,FALSE)+VLOOKUP($A407,A:AL,13,FALSE)-50))</f>
        <v>-</v>
      </c>
      <c r="O407" s="3">
        <f>VLOOKUP($A407,'SegEnds_NonXtal_BW#'!$A:$Z,11,FALSE)+VLOOKUP($A407,A:AL,16,FALSE)-50</f>
        <v>77</v>
      </c>
      <c r="P407" s="3">
        <v>106</v>
      </c>
      <c r="Q407" s="3">
        <f>VLOOKUP($A407,'SegEnds_NonXtal_BW#'!$A:$Z,12,FALSE)+VLOOKUP($A407,A:AL,16,FALSE)-50</f>
        <v>112</v>
      </c>
      <c r="R407" s="3">
        <f t="shared" si="206"/>
        <v>115</v>
      </c>
      <c r="S407" s="3">
        <v>115</v>
      </c>
      <c r="T407" s="100">
        <f t="shared" si="207"/>
        <v>122</v>
      </c>
      <c r="U407" s="9">
        <f>IF(ISERROR(VLOOKUP($A407,'SegEnds_NonXtal_BW#'!$A:$Z,15,FALSE)+VLOOKUP($A407,A:AL,22,FALSE)-50),"-",VLOOKUP($A407,'SegEnds_NonXtal_BW#'!$A:$Z,15,FALSE)+VLOOKUP($A407,A:AL,22,FALSE)-50)</f>
        <v>123</v>
      </c>
      <c r="V407" s="3">
        <v>135</v>
      </c>
      <c r="W407" s="3">
        <f>IF(ISERROR(VLOOKUP($A407,'SegEnds_NonXtal_BW#'!$A:$Z,16,FALSE)+VLOOKUP($A407,A:AL,22,FALSE)-50),"-",(VLOOKUP($A407,'SegEnds_NonXtal_BW#'!$A:$Z,16,FALSE)+VLOOKUP($A407,A:AL,22,FALSE)-50))</f>
        <v>148</v>
      </c>
      <c r="X407" s="3" t="str">
        <f>IF(ISERROR(VLOOKUP($A407,'SegEnds_NonXtal_BW#'!$A:$Z,17,FALSE)+VLOOKUP($A407,A:AL,25,FALSE)-50),"-",(VLOOKUP($A407,'SegEnds_NonXtal_BW#'!$A:$Z,17,FALSE)+VLOOKUP($A407,A:AL,25,FALSE)-50))</f>
        <v>-</v>
      </c>
      <c r="Y407" s="3" t="s">
        <v>23</v>
      </c>
      <c r="Z407" s="3" t="str">
        <f>IF(ISERROR(VLOOKUP($A407,'SegEnds_NonXtal_BW#'!$A:$Z,18,FALSE)+VLOOKUP($A407,A:AL,25,FALSE)-50),"-",(VLOOKUP($A407,'SegEnds_NonXtal_BW#'!$A:$Z,18,FALSE)+VLOOKUP($A407,A:AL,25,FALSE)-50))</f>
        <v>-</v>
      </c>
      <c r="AA407" s="3">
        <f>IF(ISERROR(VLOOKUP($A407,'SegEnds_NonXtal_BW#'!$A:$Z,19,FALSE)+VLOOKUP($A407,A:AL,28,FALSE)-50),"-",(VLOOKUP($A407,'SegEnds_NonXtal_BW#'!$A:$Z,19,FALSE)+VLOOKUP($A407,A:AL,28,FALSE)-50))</f>
        <v>170</v>
      </c>
      <c r="AB407" s="3">
        <v>188</v>
      </c>
      <c r="AC407" s="3">
        <f>IF(ISERROR((VLOOKUP($A407,'SegEnds_NonXtal_BW#'!$A:$Z,20,FALSE)+VLOOKUP($A407,A:AL,28,FALSE)-50)),"-",(VLOOKUP($A407,'SegEnds_NonXtal_BW#'!$A:$Z,20,FALSE)+VLOOKUP($A407,A:AL,28,FALSE)-50))</f>
        <v>210</v>
      </c>
      <c r="AD407" s="3">
        <f>IF(ISERROR(VLOOKUP($A407,'SegEnds_NonXtal_BW#'!$A:$Z,21,FALSE)+VLOOKUP($A407,A:AL,31,FALSE)-50),"-",(VLOOKUP($A407,'SegEnds_NonXtal_BW#'!$A:$Z,21,FALSE)+VLOOKUP($A407,A:AL,31,FALSE)-50))</f>
        <v>220</v>
      </c>
      <c r="AE407" s="3">
        <v>241</v>
      </c>
      <c r="AF407" s="3">
        <f>IF(ISERROR((VLOOKUP($A407,'SegEnds_NonXtal_BW#'!$A:$Z,22,FALSE)+VLOOKUP($A407,A:AL,31,FALSE)-50)),"-",(VLOOKUP($A407,'SegEnds_NonXtal_BW#'!$A:$Z,22,FALSE)+VLOOKUP($A407,A:AL,31,FALSE)-50))</f>
        <v>252</v>
      </c>
      <c r="AG407" s="3">
        <f>IF(ISERROR(VLOOKUP($A407,'SegEnds_NonXtal_BW#'!$A:$Z,23,FALSE)+VLOOKUP($A407,A:AL,34,FALSE)-50),"-",(VLOOKUP($A407,'SegEnds_NonXtal_BW#'!$A:$Z,23,FALSE)+VLOOKUP($A407,A:AL,34,FALSE)-50))</f>
        <v>258</v>
      </c>
      <c r="AH407" s="3">
        <v>277</v>
      </c>
      <c r="AI407" s="3">
        <f>IF(ISERROR((VLOOKUP($A407,'SegEnds_NonXtal_BW#'!$A:$Z,24,FALSE)+VLOOKUP($A407,A:AL,34,FALSE)-50)),"-",(VLOOKUP($A407,'SegEnds_NonXtal_BW#'!$A:$Z,24,FALSE)+VLOOKUP($A407,A:AL,34,FALSE)-50))</f>
        <v>283</v>
      </c>
      <c r="AJ407" s="3">
        <f>IF(ISERROR(VLOOKUP($A407,'SegEnds_NonXtal_BW#'!$A:$Z,25,FALSE)+VLOOKUP($A407,A:AL,37,FALSE)-50),"-",(VLOOKUP($A407,'SegEnds_NonXtal_BW#'!$A:$Z,25,FALSE)+VLOOKUP($A407,A:AL,37,FALSE)-50))</f>
        <v>284</v>
      </c>
      <c r="AK407" s="3">
        <v>287</v>
      </c>
      <c r="AL407" s="3">
        <f>IF(ISERROR((VLOOKUP($A407,'SegEnds_NonXtal_BW#'!$A:$Z,26,FALSE)+VLOOKUP($A407,A:AL,37,FALSE)-50)),"-",(VLOOKUP($A407,'SegEnds_NonXtal_BW#'!$A:$Z,26,FALSE)+VLOOKUP($A407,A:AL,37,FALSE)-50))</f>
        <v>297</v>
      </c>
      <c r="AM407" s="28" t="str">
        <f>VLOOKUP(A407,Classification!A:B,2,FALSE)</f>
        <v>T</v>
      </c>
      <c r="AN407" s="28" t="b">
        <f t="shared" si="224"/>
        <v>1</v>
      </c>
      <c r="AO407" s="3" t="str">
        <f>IF(ISERROR(MATCH(A407,'SegEnds_Xtal_Prot#'!B:B, 0)), "NoXtal", "Xtal")</f>
        <v>NoXtal</v>
      </c>
      <c r="AP407" s="3">
        <f t="shared" si="209"/>
        <v>1</v>
      </c>
      <c r="AQ407" s="3">
        <f t="shared" si="210"/>
        <v>1</v>
      </c>
      <c r="AR407" s="3" t="str">
        <f t="shared" si="211"/>
        <v>-</v>
      </c>
      <c r="AS407" s="3" t="str">
        <f t="shared" si="212"/>
        <v>-</v>
      </c>
      <c r="AT407" s="3">
        <f t="shared" si="213"/>
        <v>3</v>
      </c>
      <c r="AU407" s="3">
        <f t="shared" si="214"/>
        <v>1</v>
      </c>
      <c r="AV407" s="3" t="str">
        <f t="shared" si="215"/>
        <v>-</v>
      </c>
      <c r="AW407" s="3" t="str">
        <f t="shared" si="216"/>
        <v>-</v>
      </c>
      <c r="AX407" s="3">
        <f t="shared" si="217"/>
        <v>10</v>
      </c>
      <c r="AY407" s="3">
        <f t="shared" si="218"/>
        <v>6</v>
      </c>
      <c r="AZ407" s="3">
        <f t="shared" si="219"/>
        <v>1</v>
      </c>
      <c r="BA407" s="3">
        <f>IF(ISERROR(LEN(VLOOKUP(A407,Seqs!A:E,2,FALSE))-AL407),"-",LEN(VLOOKUP(A407,Seqs!A:E,2,FALSE))-AL407)</f>
        <v>2</v>
      </c>
      <c r="BB407" s="16">
        <f t="shared" si="220"/>
        <v>31</v>
      </c>
      <c r="BC407" s="9">
        <f t="shared" si="221"/>
        <v>20</v>
      </c>
      <c r="BD407" s="3">
        <f t="shared" si="222"/>
        <v>31</v>
      </c>
      <c r="BE407" s="3">
        <f t="shared" si="223"/>
        <v>53</v>
      </c>
      <c r="BF407" s="3">
        <f t="shared" si="208"/>
        <v>36</v>
      </c>
    </row>
    <row r="408" spans="1:58" s="3" customFormat="1" x14ac:dyDescent="0.2">
      <c r="A408" s="3" t="s">
        <v>477</v>
      </c>
      <c r="B408" s="3" t="str">
        <f>LOWER(VLOOKUP(A408,Xtal_Templ!A:B,2,FALSE))</f>
        <v>hrh1_human</v>
      </c>
      <c r="C408" s="3">
        <f>VLOOKUP($A408,'SegEnds_NonXtal_BW#'!$A:$Z,3,FALSE)+D408-50</f>
        <v>6</v>
      </c>
      <c r="D408" s="3">
        <v>24</v>
      </c>
      <c r="E408" s="3">
        <f t="shared" si="203"/>
        <v>36</v>
      </c>
      <c r="F408" s="3">
        <f t="shared" si="204"/>
        <v>37</v>
      </c>
      <c r="G408" s="3">
        <v>39</v>
      </c>
      <c r="H408" s="3">
        <f t="shared" si="205"/>
        <v>40</v>
      </c>
      <c r="I408" s="3">
        <f t="shared" si="205"/>
        <v>41</v>
      </c>
      <c r="J408" s="3">
        <v>55</v>
      </c>
      <c r="K408" s="3">
        <f>VLOOKUP($A408,'SegEnds_NonXtal_BW#'!$A:$Z,8,FALSE)+VLOOKUP($A408,A:AL,10,FALSE)-50</f>
        <v>71</v>
      </c>
      <c r="L408" s="3" t="str">
        <f>IF(ISERROR(VLOOKUP($A408,'SegEnds_NonXtal_BW#'!$A:$Z,9,FALSE)+VLOOKUP($A408,A:AL,13,FALSE)-50),"-",(VLOOKUP($A408,'SegEnds_NonXtal_BW#'!$A:$Z,9,FALSE)+VLOOKUP($A408,A:AL,13,FALSE)-50))</f>
        <v>-</v>
      </c>
      <c r="M408" s="3" t="s">
        <v>23</v>
      </c>
      <c r="N408" s="3" t="str">
        <f>IF(ISERROR(VLOOKUP($A408,'SegEnds_NonXtal_BW#'!$A:$Z,10,FALSE)+VLOOKUP($A408,A:AL,13,FALSE)-50),"-",(VLOOKUP($A408,'SegEnds_NonXtal_BW#'!$A:$Z,10,FALSE)+VLOOKUP($A408,A:AL,13,FALSE)-50))</f>
        <v>-</v>
      </c>
      <c r="O408" s="3">
        <f>VLOOKUP($A408,'SegEnds_NonXtal_BW#'!$A:$Z,11,FALSE)+VLOOKUP($A408,A:AL,16,FALSE)-50</f>
        <v>77</v>
      </c>
      <c r="P408" s="3">
        <v>103</v>
      </c>
      <c r="Q408" s="3">
        <f>VLOOKUP($A408,'SegEnds_NonXtal_BW#'!$A:$Z,12,FALSE)+VLOOKUP($A408,A:AL,16,FALSE)-50</f>
        <v>109</v>
      </c>
      <c r="R408" s="3">
        <f t="shared" si="206"/>
        <v>112</v>
      </c>
      <c r="S408" s="3">
        <v>112</v>
      </c>
      <c r="T408" s="100">
        <f t="shared" si="207"/>
        <v>119</v>
      </c>
      <c r="U408" s="9">
        <f>IF(ISERROR(VLOOKUP($A408,'SegEnds_NonXtal_BW#'!$A:$Z,15,FALSE)+VLOOKUP($A408,A:AL,22,FALSE)-50),"-",VLOOKUP($A408,'SegEnds_NonXtal_BW#'!$A:$Z,15,FALSE)+VLOOKUP($A408,A:AL,22,FALSE)-50)</f>
        <v>120</v>
      </c>
      <c r="V408" s="3">
        <v>132</v>
      </c>
      <c r="W408" s="3">
        <f>IF(ISERROR(VLOOKUP($A408,'SegEnds_NonXtal_BW#'!$A:$Z,16,FALSE)+VLOOKUP($A408,A:AL,22,FALSE)-50),"-",(VLOOKUP($A408,'SegEnds_NonXtal_BW#'!$A:$Z,16,FALSE)+VLOOKUP($A408,A:AL,22,FALSE)-50))</f>
        <v>144</v>
      </c>
      <c r="X408" s="3" t="str">
        <f>IF(ISERROR(VLOOKUP($A408,'SegEnds_NonXtal_BW#'!$A:$Z,17,FALSE)+VLOOKUP($A408,A:AL,25,FALSE)-50),"-",(VLOOKUP($A408,'SegEnds_NonXtal_BW#'!$A:$Z,17,FALSE)+VLOOKUP($A408,A:AL,25,FALSE)-50))</f>
        <v>-</v>
      </c>
      <c r="Y408" s="3" t="s">
        <v>23</v>
      </c>
      <c r="Z408" s="3" t="str">
        <f>IF(ISERROR(VLOOKUP($A408,'SegEnds_NonXtal_BW#'!$A:$Z,18,FALSE)+VLOOKUP($A408,A:AL,25,FALSE)-50),"-",(VLOOKUP($A408,'SegEnds_NonXtal_BW#'!$A:$Z,18,FALSE)+VLOOKUP($A408,A:AL,25,FALSE)-50))</f>
        <v>-</v>
      </c>
      <c r="AA408" s="3">
        <f>IF(ISERROR(VLOOKUP($A408,'SegEnds_NonXtal_BW#'!$A:$Z,19,FALSE)+VLOOKUP($A408,A:AL,28,FALSE)-50),"-",(VLOOKUP($A408,'SegEnds_NonXtal_BW#'!$A:$Z,19,FALSE)+VLOOKUP($A408,A:AL,28,FALSE)-50))</f>
        <v>162</v>
      </c>
      <c r="AB408" s="3">
        <v>180</v>
      </c>
      <c r="AC408" s="3">
        <f>IF(ISERROR((VLOOKUP($A408,'SegEnds_NonXtal_BW#'!$A:$Z,20,FALSE)+VLOOKUP($A408,A:AL,28,FALSE)-50)),"-",(VLOOKUP($A408,'SegEnds_NonXtal_BW#'!$A:$Z,20,FALSE)+VLOOKUP($A408,A:AL,28,FALSE)-50))</f>
        <v>202</v>
      </c>
      <c r="AD408" s="3">
        <f>IF(ISERROR(VLOOKUP($A408,'SegEnds_NonXtal_BW#'!$A:$Z,21,FALSE)+VLOOKUP($A408,A:AL,31,FALSE)-50),"-",(VLOOKUP($A408,'SegEnds_NonXtal_BW#'!$A:$Z,21,FALSE)+VLOOKUP($A408,A:AL,31,FALSE)-50))</f>
        <v>212</v>
      </c>
      <c r="AE408" s="3">
        <v>233</v>
      </c>
      <c r="AF408" s="3">
        <f>IF(ISERROR((VLOOKUP($A408,'SegEnds_NonXtal_BW#'!$A:$Z,22,FALSE)+VLOOKUP($A408,A:AL,31,FALSE)-50)),"-",(VLOOKUP($A408,'SegEnds_NonXtal_BW#'!$A:$Z,22,FALSE)+VLOOKUP($A408,A:AL,31,FALSE)-50))</f>
        <v>244</v>
      </c>
      <c r="AG408" s="3">
        <f>IF(ISERROR(VLOOKUP($A408,'SegEnds_NonXtal_BW#'!$A:$Z,23,FALSE)+VLOOKUP($A408,A:AL,34,FALSE)-50),"-",(VLOOKUP($A408,'SegEnds_NonXtal_BW#'!$A:$Z,23,FALSE)+VLOOKUP($A408,A:AL,34,FALSE)-50))</f>
        <v>250</v>
      </c>
      <c r="AH408" s="3">
        <v>269</v>
      </c>
      <c r="AI408" s="3">
        <f>IF(ISERROR((VLOOKUP($A408,'SegEnds_NonXtal_BW#'!$A:$Z,24,FALSE)+VLOOKUP($A408,A:AL,34,FALSE)-50)),"-",(VLOOKUP($A408,'SegEnds_NonXtal_BW#'!$A:$Z,24,FALSE)+VLOOKUP($A408,A:AL,34,FALSE)-50))</f>
        <v>275</v>
      </c>
      <c r="AJ408" s="3">
        <f>IF(ISERROR(VLOOKUP($A408,'SegEnds_NonXtal_BW#'!$A:$Z,25,FALSE)+VLOOKUP($A408,A:AL,37,FALSE)-50),"-",(VLOOKUP($A408,'SegEnds_NonXtal_BW#'!$A:$Z,25,FALSE)+VLOOKUP($A408,A:AL,37,FALSE)-50))</f>
        <v>276</v>
      </c>
      <c r="AK408" s="3">
        <v>279</v>
      </c>
      <c r="AL408" s="3">
        <f>IF(ISERROR((VLOOKUP($A408,'SegEnds_NonXtal_BW#'!$A:$Z,26,FALSE)+VLOOKUP($A408,A:AL,37,FALSE)-50)),"-",(VLOOKUP($A408,'SegEnds_NonXtal_BW#'!$A:$Z,26,FALSE)+VLOOKUP($A408,A:AL,37,FALSE)-50))</f>
        <v>289</v>
      </c>
      <c r="AM408" s="28" t="str">
        <f>VLOOKUP(A408,Classification!A:B,2,FALSE)</f>
        <v>T</v>
      </c>
      <c r="AN408" s="28" t="b">
        <f t="shared" si="224"/>
        <v>1</v>
      </c>
      <c r="AO408" s="3" t="str">
        <f>IF(ISERROR(MATCH(A408,'SegEnds_Xtal_Prot#'!B:B, 0)), "NoXtal", "Xtal")</f>
        <v>NoXtal</v>
      </c>
      <c r="AP408" s="3">
        <f t="shared" si="209"/>
        <v>1</v>
      </c>
      <c r="AQ408" s="3">
        <f t="shared" si="210"/>
        <v>1</v>
      </c>
      <c r="AR408" s="3" t="str">
        <f t="shared" si="211"/>
        <v>-</v>
      </c>
      <c r="AS408" s="3" t="str">
        <f t="shared" si="212"/>
        <v>-</v>
      </c>
      <c r="AT408" s="3">
        <f t="shared" si="213"/>
        <v>3</v>
      </c>
      <c r="AU408" s="3">
        <f t="shared" si="214"/>
        <v>1</v>
      </c>
      <c r="AV408" s="3" t="str">
        <f t="shared" si="215"/>
        <v>-</v>
      </c>
      <c r="AW408" s="3" t="str">
        <f t="shared" si="216"/>
        <v>-</v>
      </c>
      <c r="AX408" s="3">
        <f t="shared" si="217"/>
        <v>10</v>
      </c>
      <c r="AY408" s="3">
        <f t="shared" si="218"/>
        <v>6</v>
      </c>
      <c r="AZ408" s="3">
        <f t="shared" si="219"/>
        <v>1</v>
      </c>
      <c r="BA408" s="3">
        <f>IF(ISERROR(LEN(VLOOKUP(A408,Seqs!A:E,2,FALSE))-AL408),"-",LEN(VLOOKUP(A408,Seqs!A:E,2,FALSE))-AL408)</f>
        <v>10</v>
      </c>
      <c r="BB408" s="16">
        <f t="shared" si="220"/>
        <v>31</v>
      </c>
      <c r="BC408" s="9">
        <f t="shared" si="221"/>
        <v>20</v>
      </c>
      <c r="BD408" s="3">
        <f t="shared" si="222"/>
        <v>31</v>
      </c>
      <c r="BE408" s="3">
        <f t="shared" si="223"/>
        <v>53</v>
      </c>
      <c r="BF408" s="3">
        <f t="shared" si="208"/>
        <v>36</v>
      </c>
    </row>
    <row r="409" spans="1:58" s="3" customFormat="1" x14ac:dyDescent="0.2">
      <c r="A409" s="3" t="s">
        <v>478</v>
      </c>
      <c r="B409" s="3" t="str">
        <f>LOWER(VLOOKUP(A409,Xtal_Templ!A:B,2,FALSE))</f>
        <v>drd2_human</v>
      </c>
      <c r="C409" s="3">
        <f>VLOOKUP($A409,'SegEnds_NonXtal_BW#'!$A:$Z,3,FALSE)+D409-50</f>
        <v>6</v>
      </c>
      <c r="D409" s="3">
        <v>24</v>
      </c>
      <c r="E409" s="3">
        <f t="shared" si="203"/>
        <v>36</v>
      </c>
      <c r="F409" s="3">
        <f t="shared" si="204"/>
        <v>37</v>
      </c>
      <c r="G409" s="3">
        <v>39</v>
      </c>
      <c r="H409" s="3">
        <f t="shared" si="205"/>
        <v>40</v>
      </c>
      <c r="I409" s="3">
        <f t="shared" si="205"/>
        <v>41</v>
      </c>
      <c r="J409" s="3">
        <v>55</v>
      </c>
      <c r="K409" s="3">
        <f>VLOOKUP($A409,'SegEnds_NonXtal_BW#'!$A:$Z,8,FALSE)+VLOOKUP($A409,A:AL,10,FALSE)-50</f>
        <v>72</v>
      </c>
      <c r="L409" s="3" t="str">
        <f>IF(ISERROR(VLOOKUP($A409,'SegEnds_NonXtal_BW#'!$A:$Z,9,FALSE)+VLOOKUP($A409,A:AL,13,FALSE)-50),"-",(VLOOKUP($A409,'SegEnds_NonXtal_BW#'!$A:$Z,9,FALSE)+VLOOKUP($A409,A:AL,13,FALSE)-50))</f>
        <v>-</v>
      </c>
      <c r="M409" s="3" t="s">
        <v>23</v>
      </c>
      <c r="N409" s="3" t="str">
        <f>IF(ISERROR(VLOOKUP($A409,'SegEnds_NonXtal_BW#'!$A:$Z,10,FALSE)+VLOOKUP($A409,A:AL,13,FALSE)-50),"-",(VLOOKUP($A409,'SegEnds_NonXtal_BW#'!$A:$Z,10,FALSE)+VLOOKUP($A409,A:AL,13,FALSE)-50))</f>
        <v>-</v>
      </c>
      <c r="O409" s="3">
        <f>VLOOKUP($A409,'SegEnds_NonXtal_BW#'!$A:$Z,11,FALSE)+VLOOKUP($A409,A:AL,16,FALSE)-50</f>
        <v>78</v>
      </c>
      <c r="P409" s="3">
        <v>107</v>
      </c>
      <c r="Q409" s="3">
        <f>VLOOKUP($A409,'SegEnds_NonXtal_BW#'!$A:$Z,12,FALSE)+VLOOKUP($A409,A:AL,16,FALSE)-50</f>
        <v>113</v>
      </c>
      <c r="R409" s="3">
        <f t="shared" si="206"/>
        <v>116</v>
      </c>
      <c r="S409" s="3">
        <v>116</v>
      </c>
      <c r="T409" s="100">
        <f t="shared" si="207"/>
        <v>123</v>
      </c>
      <c r="U409" s="9">
        <f>IF(ISERROR(VLOOKUP($A409,'SegEnds_NonXtal_BW#'!$A:$Z,15,FALSE)+VLOOKUP($A409,A:AL,22,FALSE)-50),"-",VLOOKUP($A409,'SegEnds_NonXtal_BW#'!$A:$Z,15,FALSE)+VLOOKUP($A409,A:AL,22,FALSE)-50)</f>
        <v>124</v>
      </c>
      <c r="V409" s="3">
        <v>136</v>
      </c>
      <c r="W409" s="3">
        <f>IF(ISERROR(VLOOKUP($A409,'SegEnds_NonXtal_BW#'!$A:$Z,16,FALSE)+VLOOKUP($A409,A:AL,22,FALSE)-50),"-",(VLOOKUP($A409,'SegEnds_NonXtal_BW#'!$A:$Z,16,FALSE)+VLOOKUP($A409,A:AL,22,FALSE)-50))</f>
        <v>148</v>
      </c>
      <c r="X409" s="3" t="str">
        <f>IF(ISERROR(VLOOKUP($A409,'SegEnds_NonXtal_BW#'!$A:$Z,17,FALSE)+VLOOKUP($A409,A:AL,25,FALSE)-50),"-",(VLOOKUP($A409,'SegEnds_NonXtal_BW#'!$A:$Z,17,FALSE)+VLOOKUP($A409,A:AL,25,FALSE)-50))</f>
        <v>-</v>
      </c>
      <c r="Y409" s="3" t="s">
        <v>23</v>
      </c>
      <c r="Z409" s="3" t="str">
        <f>IF(ISERROR(VLOOKUP($A409,'SegEnds_NonXtal_BW#'!$A:$Z,18,FALSE)+VLOOKUP($A409,A:AL,25,FALSE)-50),"-",(VLOOKUP($A409,'SegEnds_NonXtal_BW#'!$A:$Z,18,FALSE)+VLOOKUP($A409,A:AL,25,FALSE)-50))</f>
        <v>-</v>
      </c>
      <c r="AA409" s="3">
        <f>IF(ISERROR(VLOOKUP($A409,'SegEnds_NonXtal_BW#'!$A:$Z,19,FALSE)+VLOOKUP($A409,A:AL,28,FALSE)-50),"-",(VLOOKUP($A409,'SegEnds_NonXtal_BW#'!$A:$Z,19,FALSE)+VLOOKUP($A409,A:AL,28,FALSE)-50))</f>
        <v>175</v>
      </c>
      <c r="AB409" s="3">
        <v>193</v>
      </c>
      <c r="AC409" s="3">
        <f>IF(ISERROR((VLOOKUP($A409,'SegEnds_NonXtal_BW#'!$A:$Z,20,FALSE)+VLOOKUP($A409,A:AL,28,FALSE)-50)),"-",(VLOOKUP($A409,'SegEnds_NonXtal_BW#'!$A:$Z,20,FALSE)+VLOOKUP($A409,A:AL,28,FALSE)-50))</f>
        <v>215</v>
      </c>
      <c r="AD409" s="3">
        <f>IF(ISERROR(VLOOKUP($A409,'SegEnds_NonXtal_BW#'!$A:$Z,21,FALSE)+VLOOKUP($A409,A:AL,31,FALSE)-50),"-",(VLOOKUP($A409,'SegEnds_NonXtal_BW#'!$A:$Z,21,FALSE)+VLOOKUP($A409,A:AL,31,FALSE)-50))</f>
        <v>225</v>
      </c>
      <c r="AE409" s="3">
        <v>246</v>
      </c>
      <c r="AF409" s="3">
        <f>IF(ISERROR((VLOOKUP($A409,'SegEnds_NonXtal_BW#'!$A:$Z,22,FALSE)+VLOOKUP($A409,A:AL,31,FALSE)-50)),"-",(VLOOKUP($A409,'SegEnds_NonXtal_BW#'!$A:$Z,22,FALSE)+VLOOKUP($A409,A:AL,31,FALSE)-50))</f>
        <v>257</v>
      </c>
      <c r="AG409" s="3">
        <f>IF(ISERROR(VLOOKUP($A409,'SegEnds_NonXtal_BW#'!$A:$Z,23,FALSE)+VLOOKUP($A409,A:AL,34,FALSE)-50),"-",(VLOOKUP($A409,'SegEnds_NonXtal_BW#'!$A:$Z,23,FALSE)+VLOOKUP($A409,A:AL,34,FALSE)-50))</f>
        <v>263</v>
      </c>
      <c r="AH409" s="3">
        <v>282</v>
      </c>
      <c r="AI409" s="3">
        <f>IF(ISERROR((VLOOKUP($A409,'SegEnds_NonXtal_BW#'!$A:$Z,24,FALSE)+VLOOKUP($A409,A:AL,34,FALSE)-50)),"-",(VLOOKUP($A409,'SegEnds_NonXtal_BW#'!$A:$Z,24,FALSE)+VLOOKUP($A409,A:AL,34,FALSE)-50))</f>
        <v>288</v>
      </c>
      <c r="AJ409" s="3">
        <f>IF(ISERROR(VLOOKUP($A409,'SegEnds_NonXtal_BW#'!$A:$Z,25,FALSE)+VLOOKUP($A409,A:AL,37,FALSE)-50),"-",(VLOOKUP($A409,'SegEnds_NonXtal_BW#'!$A:$Z,25,FALSE)+VLOOKUP($A409,A:AL,37,FALSE)-50))</f>
        <v>289</v>
      </c>
      <c r="AK409" s="3">
        <v>292</v>
      </c>
      <c r="AL409" s="3">
        <f>IF(ISERROR((VLOOKUP($A409,'SegEnds_NonXtal_BW#'!$A:$Z,26,FALSE)+VLOOKUP($A409,A:AL,37,FALSE)-50)),"-",(VLOOKUP($A409,'SegEnds_NonXtal_BW#'!$A:$Z,26,FALSE)+VLOOKUP($A409,A:AL,37,FALSE)-50))</f>
        <v>302</v>
      </c>
      <c r="AM409" s="28" t="str">
        <f>VLOOKUP(A409,Classification!A:B,2,FALSE)</f>
        <v>T</v>
      </c>
      <c r="AN409" s="28" t="b">
        <f t="shared" si="224"/>
        <v>1</v>
      </c>
      <c r="AO409" s="3" t="str">
        <f>IF(ISERROR(MATCH(A409,'SegEnds_Xtal_Prot#'!B:B, 0)), "NoXtal", "Xtal")</f>
        <v>NoXtal</v>
      </c>
      <c r="AP409" s="3">
        <f t="shared" si="209"/>
        <v>1</v>
      </c>
      <c r="AQ409" s="3">
        <f t="shared" si="210"/>
        <v>1</v>
      </c>
      <c r="AR409" s="3" t="str">
        <f t="shared" si="211"/>
        <v>-</v>
      </c>
      <c r="AS409" s="3" t="str">
        <f t="shared" si="212"/>
        <v>-</v>
      </c>
      <c r="AT409" s="3">
        <f t="shared" si="213"/>
        <v>3</v>
      </c>
      <c r="AU409" s="3">
        <f t="shared" si="214"/>
        <v>1</v>
      </c>
      <c r="AV409" s="3" t="str">
        <f t="shared" si="215"/>
        <v>-</v>
      </c>
      <c r="AW409" s="3" t="str">
        <f t="shared" si="216"/>
        <v>-</v>
      </c>
      <c r="AX409" s="3">
        <f t="shared" si="217"/>
        <v>10</v>
      </c>
      <c r="AY409" s="3">
        <f t="shared" si="218"/>
        <v>6</v>
      </c>
      <c r="AZ409" s="3">
        <f t="shared" si="219"/>
        <v>1</v>
      </c>
      <c r="BA409" s="3">
        <f>IF(ISERROR(LEN(VLOOKUP(A409,Seqs!A:E,2,FALSE))-AL409),"-",LEN(VLOOKUP(A409,Seqs!A:E,2,FALSE))-AL409)</f>
        <v>16</v>
      </c>
      <c r="BB409" s="16">
        <f t="shared" si="220"/>
        <v>31</v>
      </c>
      <c r="BC409" s="9">
        <f t="shared" si="221"/>
        <v>20</v>
      </c>
      <c r="BD409" s="3">
        <f t="shared" si="222"/>
        <v>31</v>
      </c>
      <c r="BE409" s="3">
        <f t="shared" si="223"/>
        <v>53</v>
      </c>
      <c r="BF409" s="3">
        <f t="shared" si="208"/>
        <v>36</v>
      </c>
    </row>
    <row r="410" spans="1:58" s="3" customFormat="1" x14ac:dyDescent="0.2">
      <c r="A410" s="3" t="s">
        <v>479</v>
      </c>
      <c r="B410" s="3" t="str">
        <f>LOWER(VLOOKUP(A410,Xtal_Templ!A:B,2,FALSE))</f>
        <v>drd2_human</v>
      </c>
      <c r="C410" s="3">
        <f>VLOOKUP($A410,'SegEnds_NonXtal_BW#'!$A:$Z,3,FALSE)+D410-50</f>
        <v>6</v>
      </c>
      <c r="D410" s="3">
        <v>24</v>
      </c>
      <c r="E410" s="3">
        <f t="shared" si="203"/>
        <v>36</v>
      </c>
      <c r="F410" s="3">
        <f t="shared" si="204"/>
        <v>37</v>
      </c>
      <c r="G410" s="3">
        <v>39</v>
      </c>
      <c r="H410" s="3">
        <f t="shared" si="205"/>
        <v>40</v>
      </c>
      <c r="I410" s="3">
        <f t="shared" si="205"/>
        <v>41</v>
      </c>
      <c r="J410" s="3">
        <v>55</v>
      </c>
      <c r="K410" s="3">
        <f>VLOOKUP($A410,'SegEnds_NonXtal_BW#'!$A:$Z,8,FALSE)+VLOOKUP($A410,A:AL,10,FALSE)-50</f>
        <v>71</v>
      </c>
      <c r="L410" s="3" t="str">
        <f>IF(ISERROR(VLOOKUP($A410,'SegEnds_NonXtal_BW#'!$A:$Z,9,FALSE)+VLOOKUP($A410,A:AL,13,FALSE)-50),"-",(VLOOKUP($A410,'SegEnds_NonXtal_BW#'!$A:$Z,9,FALSE)+VLOOKUP($A410,A:AL,13,FALSE)-50))</f>
        <v>-</v>
      </c>
      <c r="M410" s="3" t="s">
        <v>23</v>
      </c>
      <c r="N410" s="3" t="str">
        <f>IF(ISERROR(VLOOKUP($A410,'SegEnds_NonXtal_BW#'!$A:$Z,10,FALSE)+VLOOKUP($A410,A:AL,13,FALSE)-50),"-",(VLOOKUP($A410,'SegEnds_NonXtal_BW#'!$A:$Z,10,FALSE)+VLOOKUP($A410,A:AL,13,FALSE)-50))</f>
        <v>-</v>
      </c>
      <c r="O410" s="3">
        <f>VLOOKUP($A410,'SegEnds_NonXtal_BW#'!$A:$Z,11,FALSE)+VLOOKUP($A410,A:AL,16,FALSE)-50</f>
        <v>75</v>
      </c>
      <c r="P410" s="3">
        <v>107</v>
      </c>
      <c r="Q410" s="3">
        <f>VLOOKUP($A410,'SegEnds_NonXtal_BW#'!$A:$Z,12,FALSE)+VLOOKUP($A410,A:AL,16,FALSE)-50</f>
        <v>113</v>
      </c>
      <c r="R410" s="3">
        <f t="shared" si="206"/>
        <v>116</v>
      </c>
      <c r="S410" s="3">
        <v>116</v>
      </c>
      <c r="T410" s="100">
        <f t="shared" si="207"/>
        <v>123</v>
      </c>
      <c r="U410" s="9">
        <f>IF(ISERROR(VLOOKUP($A410,'SegEnds_NonXtal_BW#'!$A:$Z,15,FALSE)+VLOOKUP($A410,A:AL,22,FALSE)-50),"-",VLOOKUP($A410,'SegEnds_NonXtal_BW#'!$A:$Z,15,FALSE)+VLOOKUP($A410,A:AL,22,FALSE)-50)</f>
        <v>124</v>
      </c>
      <c r="V410" s="3">
        <v>136</v>
      </c>
      <c r="W410" s="3">
        <f>IF(ISERROR(VLOOKUP($A410,'SegEnds_NonXtal_BW#'!$A:$Z,16,FALSE)+VLOOKUP($A410,A:AL,22,FALSE)-50),"-",(VLOOKUP($A410,'SegEnds_NonXtal_BW#'!$A:$Z,16,FALSE)+VLOOKUP($A410,A:AL,22,FALSE)-50))</f>
        <v>148</v>
      </c>
      <c r="X410" s="3" t="str">
        <f>IF(ISERROR(VLOOKUP($A410,'SegEnds_NonXtal_BW#'!$A:$Z,17,FALSE)+VLOOKUP($A410,A:AL,25,FALSE)-50),"-",(VLOOKUP($A410,'SegEnds_NonXtal_BW#'!$A:$Z,17,FALSE)+VLOOKUP($A410,A:AL,25,FALSE)-50))</f>
        <v>-</v>
      </c>
      <c r="Y410" s="3" t="s">
        <v>23</v>
      </c>
      <c r="Z410" s="3" t="str">
        <f>IF(ISERROR(VLOOKUP($A410,'SegEnds_NonXtal_BW#'!$A:$Z,18,FALSE)+VLOOKUP($A410,A:AL,25,FALSE)-50),"-",(VLOOKUP($A410,'SegEnds_NonXtal_BW#'!$A:$Z,18,FALSE)+VLOOKUP($A410,A:AL,25,FALSE)-50))</f>
        <v>-</v>
      </c>
      <c r="AA410" s="3">
        <f>IF(ISERROR(VLOOKUP($A410,'SegEnds_NonXtal_BW#'!$A:$Z,19,FALSE)+VLOOKUP($A410,A:AL,28,FALSE)-50),"-",(VLOOKUP($A410,'SegEnds_NonXtal_BW#'!$A:$Z,19,FALSE)+VLOOKUP($A410,A:AL,28,FALSE)-50))</f>
        <v>175</v>
      </c>
      <c r="AB410" s="3">
        <v>193</v>
      </c>
      <c r="AC410" s="3">
        <f>IF(ISERROR((VLOOKUP($A410,'SegEnds_NonXtal_BW#'!$A:$Z,20,FALSE)+VLOOKUP($A410,A:AL,28,FALSE)-50)),"-",(VLOOKUP($A410,'SegEnds_NonXtal_BW#'!$A:$Z,20,FALSE)+VLOOKUP($A410,A:AL,28,FALSE)-50))</f>
        <v>215</v>
      </c>
      <c r="AD410" s="3">
        <f>IF(ISERROR(VLOOKUP($A410,'SegEnds_NonXtal_BW#'!$A:$Z,21,FALSE)+VLOOKUP($A410,A:AL,31,FALSE)-50),"-",(VLOOKUP($A410,'SegEnds_NonXtal_BW#'!$A:$Z,21,FALSE)+VLOOKUP($A410,A:AL,31,FALSE)-50))</f>
        <v>225</v>
      </c>
      <c r="AE410" s="3">
        <v>246</v>
      </c>
      <c r="AF410" s="3">
        <f>IF(ISERROR((VLOOKUP($A410,'SegEnds_NonXtal_BW#'!$A:$Z,22,FALSE)+VLOOKUP($A410,A:AL,31,FALSE)-50)),"-",(VLOOKUP($A410,'SegEnds_NonXtal_BW#'!$A:$Z,22,FALSE)+VLOOKUP($A410,A:AL,31,FALSE)-50))</f>
        <v>257</v>
      </c>
      <c r="AG410" s="3">
        <f>IF(ISERROR(VLOOKUP($A410,'SegEnds_NonXtal_BW#'!$A:$Z,23,FALSE)+VLOOKUP($A410,A:AL,34,FALSE)-50),"-",(VLOOKUP($A410,'SegEnds_NonXtal_BW#'!$A:$Z,23,FALSE)+VLOOKUP($A410,A:AL,34,FALSE)-50))</f>
        <v>263</v>
      </c>
      <c r="AH410" s="3">
        <v>282</v>
      </c>
      <c r="AI410" s="3">
        <f>IF(ISERROR((VLOOKUP($A410,'SegEnds_NonXtal_BW#'!$A:$Z,24,FALSE)+VLOOKUP($A410,A:AL,34,FALSE)-50)),"-",(VLOOKUP($A410,'SegEnds_NonXtal_BW#'!$A:$Z,24,FALSE)+VLOOKUP($A410,A:AL,34,FALSE)-50))</f>
        <v>288</v>
      </c>
      <c r="AJ410" s="3">
        <f>IF(ISERROR(VLOOKUP($A410,'SegEnds_NonXtal_BW#'!$A:$Z,25,FALSE)+VLOOKUP($A410,A:AL,37,FALSE)-50),"-",(VLOOKUP($A410,'SegEnds_NonXtal_BW#'!$A:$Z,25,FALSE)+VLOOKUP($A410,A:AL,37,FALSE)-50))</f>
        <v>289</v>
      </c>
      <c r="AK410" s="3">
        <v>292</v>
      </c>
      <c r="AL410" s="3">
        <f>IF(ISERROR((VLOOKUP($A410,'SegEnds_NonXtal_BW#'!$A:$Z,26,FALSE)+VLOOKUP($A410,A:AL,37,FALSE)-50)),"-",(VLOOKUP($A410,'SegEnds_NonXtal_BW#'!$A:$Z,26,FALSE)+VLOOKUP($A410,A:AL,37,FALSE)-50))</f>
        <v>302</v>
      </c>
      <c r="AM410" s="28" t="str">
        <f>VLOOKUP(A410,Classification!A:B,2,FALSE)</f>
        <v>T</v>
      </c>
      <c r="AN410" s="28" t="b">
        <f t="shared" si="224"/>
        <v>1</v>
      </c>
      <c r="AO410" s="3" t="str">
        <f>IF(ISERROR(MATCH(A410,'SegEnds_Xtal_Prot#'!B:B, 0)), "NoXtal", "Xtal")</f>
        <v>NoXtal</v>
      </c>
      <c r="AP410" s="3">
        <f t="shared" si="209"/>
        <v>1</v>
      </c>
      <c r="AQ410" s="3">
        <f t="shared" si="210"/>
        <v>1</v>
      </c>
      <c r="AR410" s="3" t="str">
        <f t="shared" si="211"/>
        <v>-</v>
      </c>
      <c r="AS410" s="3" t="str">
        <f t="shared" si="212"/>
        <v>-</v>
      </c>
      <c r="AT410" s="3">
        <f t="shared" si="213"/>
        <v>3</v>
      </c>
      <c r="AU410" s="3">
        <f t="shared" si="214"/>
        <v>1</v>
      </c>
      <c r="AV410" s="3" t="str">
        <f t="shared" si="215"/>
        <v>-</v>
      </c>
      <c r="AW410" s="3" t="str">
        <f t="shared" si="216"/>
        <v>-</v>
      </c>
      <c r="AX410" s="3">
        <f t="shared" si="217"/>
        <v>10</v>
      </c>
      <c r="AY410" s="3">
        <f t="shared" si="218"/>
        <v>6</v>
      </c>
      <c r="AZ410" s="3">
        <f t="shared" si="219"/>
        <v>1</v>
      </c>
      <c r="BA410" s="3">
        <f>IF(ISERROR(LEN(VLOOKUP(A410,Seqs!A:E,2,FALSE))-AL410),"-",LEN(VLOOKUP(A410,Seqs!A:E,2,FALSE))-AL410)</f>
        <v>7</v>
      </c>
      <c r="BB410" s="16">
        <f t="shared" si="220"/>
        <v>31</v>
      </c>
      <c r="BC410" s="9">
        <f t="shared" si="221"/>
        <v>20</v>
      </c>
      <c r="BD410" s="3">
        <f t="shared" si="222"/>
        <v>31</v>
      </c>
      <c r="BE410" s="3">
        <f t="shared" si="223"/>
        <v>53</v>
      </c>
      <c r="BF410" s="3">
        <f t="shared" si="208"/>
        <v>36</v>
      </c>
    </row>
    <row r="411" spans="1:58" s="3" customFormat="1" x14ac:dyDescent="0.2">
      <c r="A411" s="3" t="s">
        <v>480</v>
      </c>
      <c r="B411" s="3" t="str">
        <f>LOWER(VLOOKUP(A411,Xtal_Templ!A:B,2,FALSE))</f>
        <v>agtr1_human</v>
      </c>
      <c r="C411" s="3">
        <f>VLOOKUP($A411,'SegEnds_NonXtal_BW#'!$A:$Z,3,FALSE)+D411-50</f>
        <v>6</v>
      </c>
      <c r="D411" s="3">
        <v>24</v>
      </c>
      <c r="E411" s="3">
        <f t="shared" si="203"/>
        <v>36</v>
      </c>
      <c r="F411" s="3">
        <f t="shared" si="204"/>
        <v>37</v>
      </c>
      <c r="G411" s="3">
        <v>39</v>
      </c>
      <c r="H411" s="3">
        <f t="shared" si="205"/>
        <v>40</v>
      </c>
      <c r="I411" s="3">
        <f t="shared" si="205"/>
        <v>41</v>
      </c>
      <c r="J411" s="3">
        <v>55</v>
      </c>
      <c r="K411" s="3">
        <f>VLOOKUP($A411,'SegEnds_NonXtal_BW#'!$A:$Z,8,FALSE)+VLOOKUP($A411,A:AL,10,FALSE)-50</f>
        <v>71</v>
      </c>
      <c r="L411" s="3" t="str">
        <f>IF(ISERROR(VLOOKUP($A411,'SegEnds_NonXtal_BW#'!$A:$Z,9,FALSE)+VLOOKUP($A411,A:AL,13,FALSE)-50),"-",(VLOOKUP($A411,'SegEnds_NonXtal_BW#'!$A:$Z,9,FALSE)+VLOOKUP($A411,A:AL,13,FALSE)-50))</f>
        <v>-</v>
      </c>
      <c r="M411" s="3" t="s">
        <v>23</v>
      </c>
      <c r="N411" s="3" t="str">
        <f>IF(ISERROR(VLOOKUP($A411,'SegEnds_NonXtal_BW#'!$A:$Z,10,FALSE)+VLOOKUP($A411,A:AL,13,FALSE)-50),"-",(VLOOKUP($A411,'SegEnds_NonXtal_BW#'!$A:$Z,10,FALSE)+VLOOKUP($A411,A:AL,13,FALSE)-50))</f>
        <v>-</v>
      </c>
      <c r="O411" s="3">
        <f>VLOOKUP($A411,'SegEnds_NonXtal_BW#'!$A:$Z,11,FALSE)+VLOOKUP($A411,A:AL,16,FALSE)-50</f>
        <v>75</v>
      </c>
      <c r="P411" s="3">
        <v>107</v>
      </c>
      <c r="Q411" s="3">
        <f>VLOOKUP($A411,'SegEnds_NonXtal_BW#'!$A:$Z,12,FALSE)+VLOOKUP($A411,A:AL,16,FALSE)-50</f>
        <v>113</v>
      </c>
      <c r="R411" s="3">
        <f t="shared" si="206"/>
        <v>116</v>
      </c>
      <c r="S411" s="3">
        <v>116</v>
      </c>
      <c r="T411" s="100">
        <f t="shared" si="207"/>
        <v>123</v>
      </c>
      <c r="U411" s="9">
        <f>IF(ISERROR(VLOOKUP($A411,'SegEnds_NonXtal_BW#'!$A:$Z,15,FALSE)+VLOOKUP($A411,A:AL,22,FALSE)-50),"-",VLOOKUP($A411,'SegEnds_NonXtal_BW#'!$A:$Z,15,FALSE)+VLOOKUP($A411,A:AL,22,FALSE)-50)</f>
        <v>124</v>
      </c>
      <c r="V411" s="3">
        <v>136</v>
      </c>
      <c r="W411" s="3">
        <f>IF(ISERROR(VLOOKUP($A411,'SegEnds_NonXtal_BW#'!$A:$Z,16,FALSE)+VLOOKUP($A411,A:AL,22,FALSE)-50),"-",(VLOOKUP($A411,'SegEnds_NonXtal_BW#'!$A:$Z,16,FALSE)+VLOOKUP($A411,A:AL,22,FALSE)-50))</f>
        <v>150</v>
      </c>
      <c r="X411" s="3" t="str">
        <f>IF(ISERROR(VLOOKUP($A411,'SegEnds_NonXtal_BW#'!$A:$Z,17,FALSE)+VLOOKUP($A411,A:AL,25,FALSE)-50),"-",(VLOOKUP($A411,'SegEnds_NonXtal_BW#'!$A:$Z,17,FALSE)+VLOOKUP($A411,A:AL,25,FALSE)-50))</f>
        <v>-</v>
      </c>
      <c r="Y411" s="3" t="s">
        <v>23</v>
      </c>
      <c r="Z411" s="3" t="str">
        <f>IF(ISERROR(VLOOKUP($A411,'SegEnds_NonXtal_BW#'!$A:$Z,18,FALSE)+VLOOKUP($A411,A:AL,25,FALSE)-50),"-",(VLOOKUP($A411,'SegEnds_NonXtal_BW#'!$A:$Z,18,FALSE)+VLOOKUP($A411,A:AL,25,FALSE)-50))</f>
        <v>-</v>
      </c>
      <c r="AA411" s="3">
        <f>IF(ISERROR(VLOOKUP($A411,'SegEnds_NonXtal_BW#'!$A:$Z,19,FALSE)+VLOOKUP($A411,A:AL,28,FALSE)-50),"-",(VLOOKUP($A411,'SegEnds_NonXtal_BW#'!$A:$Z,19,FALSE)+VLOOKUP($A411,A:AL,28,FALSE)-50))</f>
        <v>172</v>
      </c>
      <c r="AB411" s="3">
        <v>190</v>
      </c>
      <c r="AC411" s="3">
        <f>IF(ISERROR((VLOOKUP($A411,'SegEnds_NonXtal_BW#'!$A:$Z,20,FALSE)+VLOOKUP($A411,A:AL,28,FALSE)-50)),"-",(VLOOKUP($A411,'SegEnds_NonXtal_BW#'!$A:$Z,20,FALSE)+VLOOKUP($A411,A:AL,28,FALSE)-50))</f>
        <v>212</v>
      </c>
      <c r="AD411" s="3">
        <f>IF(ISERROR(VLOOKUP($A411,'SegEnds_NonXtal_BW#'!$A:$Z,21,FALSE)+VLOOKUP($A411,A:AL,31,FALSE)-50),"-",(VLOOKUP($A411,'SegEnds_NonXtal_BW#'!$A:$Z,21,FALSE)+VLOOKUP($A411,A:AL,31,FALSE)-50))</f>
        <v>222</v>
      </c>
      <c r="AE411" s="3">
        <v>243</v>
      </c>
      <c r="AF411" s="3">
        <f>IF(ISERROR((VLOOKUP($A411,'SegEnds_NonXtal_BW#'!$A:$Z,22,FALSE)+VLOOKUP($A411,A:AL,31,FALSE)-50)),"-",(VLOOKUP($A411,'SegEnds_NonXtal_BW#'!$A:$Z,22,FALSE)+VLOOKUP($A411,A:AL,31,FALSE)-50))</f>
        <v>254</v>
      </c>
      <c r="AG411" s="3">
        <f>IF(ISERROR(VLOOKUP($A411,'SegEnds_NonXtal_BW#'!$A:$Z,23,FALSE)+VLOOKUP($A411,A:AL,34,FALSE)-50),"-",(VLOOKUP($A411,'SegEnds_NonXtal_BW#'!$A:$Z,23,FALSE)+VLOOKUP($A411,A:AL,34,FALSE)-50))</f>
        <v>260</v>
      </c>
      <c r="AH411" s="3">
        <v>279</v>
      </c>
      <c r="AI411" s="3">
        <f>IF(ISERROR((VLOOKUP($A411,'SegEnds_NonXtal_BW#'!$A:$Z,24,FALSE)+VLOOKUP($A411,A:AL,34,FALSE)-50)),"-",(VLOOKUP($A411,'SegEnds_NonXtal_BW#'!$A:$Z,24,FALSE)+VLOOKUP($A411,A:AL,34,FALSE)-50))</f>
        <v>285</v>
      </c>
      <c r="AJ411" s="3">
        <f>IF(ISERROR(VLOOKUP($A411,'SegEnds_NonXtal_BW#'!$A:$Z,25,FALSE)+VLOOKUP($A411,A:AL,37,FALSE)-50),"-",(VLOOKUP($A411,'SegEnds_NonXtal_BW#'!$A:$Z,25,FALSE)+VLOOKUP($A411,A:AL,37,FALSE)-50))</f>
        <v>286</v>
      </c>
      <c r="AK411" s="3">
        <v>289</v>
      </c>
      <c r="AL411" s="3">
        <f>IF(ISERROR((VLOOKUP($A411,'SegEnds_NonXtal_BW#'!$A:$Z,26,FALSE)+VLOOKUP($A411,A:AL,37,FALSE)-50)),"-",(VLOOKUP($A411,'SegEnds_NonXtal_BW#'!$A:$Z,26,FALSE)+VLOOKUP($A411,A:AL,37,FALSE)-50))</f>
        <v>299</v>
      </c>
      <c r="AM411" s="28" t="str">
        <f>VLOOKUP(A411,Classification!A:B,2,FALSE)</f>
        <v>T</v>
      </c>
      <c r="AN411" s="28" t="b">
        <f t="shared" si="224"/>
        <v>1</v>
      </c>
      <c r="AO411" s="3" t="str">
        <f>IF(ISERROR(MATCH(A411,'SegEnds_Xtal_Prot#'!B:B, 0)), "NoXtal", "Xtal")</f>
        <v>NoXtal</v>
      </c>
      <c r="AP411" s="3">
        <f t="shared" si="209"/>
        <v>1</v>
      </c>
      <c r="AQ411" s="3">
        <f t="shared" si="210"/>
        <v>1</v>
      </c>
      <c r="AR411" s="3" t="str">
        <f t="shared" si="211"/>
        <v>-</v>
      </c>
      <c r="AS411" s="3" t="str">
        <f t="shared" si="212"/>
        <v>-</v>
      </c>
      <c r="AT411" s="3">
        <f t="shared" si="213"/>
        <v>3</v>
      </c>
      <c r="AU411" s="3">
        <f t="shared" si="214"/>
        <v>1</v>
      </c>
      <c r="AV411" s="3" t="str">
        <f t="shared" si="215"/>
        <v>-</v>
      </c>
      <c r="AW411" s="3" t="str">
        <f t="shared" si="216"/>
        <v>-</v>
      </c>
      <c r="AX411" s="3">
        <f t="shared" si="217"/>
        <v>10</v>
      </c>
      <c r="AY411" s="3">
        <f t="shared" si="218"/>
        <v>6</v>
      </c>
      <c r="AZ411" s="3">
        <f t="shared" si="219"/>
        <v>1</v>
      </c>
      <c r="BA411" s="3">
        <f>IF(ISERROR(LEN(VLOOKUP(A411,Seqs!A:E,2,FALSE))-AL411),"-",LEN(VLOOKUP(A411,Seqs!A:E,2,FALSE))-AL411)</f>
        <v>13</v>
      </c>
      <c r="BB411" s="16">
        <f t="shared" si="220"/>
        <v>31</v>
      </c>
      <c r="BC411" s="9">
        <f t="shared" si="221"/>
        <v>20</v>
      </c>
      <c r="BD411" s="3">
        <f t="shared" si="222"/>
        <v>31</v>
      </c>
      <c r="BE411" s="3">
        <f t="shared" si="223"/>
        <v>53</v>
      </c>
      <c r="BF411" s="3">
        <f t="shared" si="208"/>
        <v>36</v>
      </c>
    </row>
    <row r="412" spans="1:58" s="3" customFormat="1" x14ac:dyDescent="0.2">
      <c r="T412" s="100"/>
      <c r="U412" s="9"/>
      <c r="AM412" s="28"/>
      <c r="AN412" s="16"/>
      <c r="BB412" s="16"/>
      <c r="BC412" s="9"/>
    </row>
    <row r="413" spans="1:58" s="3" customFormat="1" x14ac:dyDescent="0.2">
      <c r="T413" s="100"/>
      <c r="U413" s="9"/>
      <c r="AM413" s="28"/>
      <c r="AN413" s="16"/>
      <c r="BB413" s="16"/>
      <c r="BC413" s="9"/>
    </row>
  </sheetData>
  <sortState ref="A2:BH409">
    <sortCondition ref="AM2:AM409"/>
    <sortCondition ref="BC2:BC409"/>
    <sortCondition ref="A2:A409"/>
  </sortState>
  <customSheetViews>
    <customSheetView guid="{3E3401AF-8459-8641-BD70-AD04F80E86ED}" scale="120">
      <pane ySplit="1" topLeftCell="A155" activePane="bottomLeft" state="frozenSplit"/>
      <selection pane="bottomLeft" activeCell="AB176" sqref="AB176"/>
      <pageMargins left="0.7" right="0.7" top="0.75" bottom="0.75" header="0.3" footer="0.3"/>
      <pageSetup paperSize="9" orientation="portrait" horizontalDpi="0" verticalDpi="0"/>
    </customSheetView>
  </customSheetViews>
  <conditionalFormatting sqref="AN2:AN411">
    <cfRule type="containsText" dxfId="24" priority="7" operator="containsText" text="FALSE">
      <formula>NOT(ISERROR(SEARCH("FALSE",AN2)))</formula>
    </cfRule>
  </conditionalFormatting>
  <conditionalFormatting sqref="AP1:BA1048576">
    <cfRule type="cellIs" dxfId="23" priority="5" operator="lessThan">
      <formula>1</formula>
    </cfRule>
  </conditionalFormatting>
  <conditionalFormatting sqref="E2:F411">
    <cfRule type="expression" dxfId="22" priority="25">
      <formula>NOT(OR(C2&lt;E2,C2="-",E2="-"))</formula>
    </cfRule>
  </conditionalFormatting>
  <conditionalFormatting sqref="K2:L2 K3 K4:L411">
    <cfRule type="expression" dxfId="21" priority="29">
      <formula>NOT(OR(G2&lt;K2,G2="-",K2="-"))</formula>
    </cfRule>
  </conditionalFormatting>
  <conditionalFormatting sqref="N2:O2 N4:N18 O3:O18 N19:O411">
    <cfRule type="expression" dxfId="20" priority="31">
      <formula>NOT(OR(I2&lt;N2,I2="-",N2="-"))</formula>
    </cfRule>
  </conditionalFormatting>
  <conditionalFormatting sqref="Q2:R411">
    <cfRule type="expression" dxfId="19" priority="33">
      <formula>NOT(OR(K2&lt;Q2,K2="-",Q2="-"))</formula>
    </cfRule>
  </conditionalFormatting>
  <conditionalFormatting sqref="T2:U411">
    <cfRule type="expression" dxfId="18" priority="35">
      <formula>NOT(OR(M2&lt;T2,M2="-",T2="-"))</formula>
    </cfRule>
  </conditionalFormatting>
  <conditionalFormatting sqref="W2:X411">
    <cfRule type="expression" dxfId="17" priority="37">
      <formula>NOT(OR(O2&lt;W2,O2="-",W2="-"))</formula>
    </cfRule>
  </conditionalFormatting>
  <conditionalFormatting sqref="Z2:AA411">
    <cfRule type="expression" dxfId="16" priority="39">
      <formula>NOT(OR(Q2&lt;Z2,Q2="-",Z2="-"))</formula>
    </cfRule>
  </conditionalFormatting>
  <conditionalFormatting sqref="AC2:AD411">
    <cfRule type="expression" dxfId="15" priority="41">
      <formula>NOT(OR(S2&lt;AC2,S2="-",AC2="-"))</formula>
    </cfRule>
  </conditionalFormatting>
  <conditionalFormatting sqref="AF2:AG411">
    <cfRule type="expression" dxfId="14" priority="43">
      <formula>NOT(OR(U2&lt;AF2,U2="-",AF2="-"))</formula>
    </cfRule>
  </conditionalFormatting>
  <conditionalFormatting sqref="AI2:AJ411">
    <cfRule type="expression" dxfId="13" priority="45">
      <formula>NOT(OR(W2&lt;AI2,W2="-",AI2="-"))</formula>
    </cfRule>
  </conditionalFormatting>
  <conditionalFormatting sqref="AL2:AL411">
    <cfRule type="expression" dxfId="12" priority="47">
      <formula>NOT(OR(Y2&lt;AL2,Y2="-",AL2="-"))</formula>
    </cfRule>
  </conditionalFormatting>
  <conditionalFormatting sqref="L3">
    <cfRule type="expression" dxfId="11" priority="3">
      <formula>NOT(OR(H3&lt;L3,H3="-",L3="-"))</formula>
    </cfRule>
  </conditionalFormatting>
  <conditionalFormatting sqref="N3">
    <cfRule type="expression" dxfId="10" priority="4">
      <formula>NOT(OR(I3&lt;N3,I3="-",N3="-"))</formula>
    </cfRule>
  </conditionalFormatting>
  <conditionalFormatting sqref="F2">
    <cfRule type="cellIs" dxfId="9" priority="2" operator="lessThan">
      <formula>$E$2</formula>
    </cfRule>
  </conditionalFormatting>
  <conditionalFormatting sqref="AN1:AN1048576">
    <cfRule type="cellIs" dxfId="8" priority="1" operator="equal">
      <formula>FALSE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AH414"/>
  <sheetViews>
    <sheetView zoomScale="120" zoomScaleNormal="120" zoomScalePageLayoutView="120" workbookViewId="0">
      <pane ySplit="1" topLeftCell="A2" activePane="bottomLeft" state="frozenSplit"/>
      <selection pane="bottomLeft" activeCell="A21" sqref="A21:XFD21"/>
    </sheetView>
  </sheetViews>
  <sheetFormatPr baseColWidth="10" defaultColWidth="10.83203125" defaultRowHeight="16" x14ac:dyDescent="0.2"/>
  <cols>
    <col min="1" max="1" width="13.33203125" style="4" bestFit="1" customWidth="1"/>
    <col min="2" max="2" width="12.83203125" style="4" bestFit="1" customWidth="1"/>
    <col min="3" max="3" width="3.1640625" style="4" bestFit="1" customWidth="1"/>
    <col min="4" max="4" width="7.33203125" style="4" customWidth="1"/>
    <col min="5" max="5" width="5" style="4" bestFit="1" customWidth="1"/>
    <col min="6" max="7" width="6" style="4" bestFit="1" customWidth="1"/>
    <col min="8" max="8" width="6" style="4" customWidth="1"/>
    <col min="9" max="9" width="7" style="4" bestFit="1" customWidth="1"/>
    <col min="10" max="10" width="6" style="4" bestFit="1" customWidth="1"/>
    <col min="11" max="14" width="5" style="4" bestFit="1" customWidth="1"/>
    <col min="15" max="15" width="6" style="4" bestFit="1" customWidth="1"/>
    <col min="16" max="17" width="6" style="4" customWidth="1"/>
    <col min="18" max="19" width="6" style="4" bestFit="1" customWidth="1"/>
    <col min="20" max="20" width="5" style="4" bestFit="1" customWidth="1"/>
    <col min="21" max="21" width="6" style="4" bestFit="1" customWidth="1"/>
    <col min="22" max="22" width="5" style="27" bestFit="1" customWidth="1"/>
    <col min="23" max="23" width="5" style="50" customWidth="1"/>
    <col min="24" max="25" width="5" style="50" bestFit="1" customWidth="1"/>
    <col min="26" max="26" width="4.1640625" style="50" customWidth="1"/>
    <col min="27" max="27" width="5" style="50" bestFit="1" customWidth="1"/>
    <col min="28" max="28" width="4.6640625" style="27" customWidth="1"/>
    <col min="29" max="31" width="4.6640625" style="50" customWidth="1"/>
    <col min="32" max="32" width="5" style="4" customWidth="1"/>
    <col min="33" max="33" width="4.6640625" style="5" customWidth="1"/>
    <col min="34" max="34" width="4.6640625" style="4" customWidth="1"/>
    <col min="35" max="16384" width="10.83203125" style="4"/>
  </cols>
  <sheetData>
    <row r="1" spans="1:34" s="30" customFormat="1" x14ac:dyDescent="0.2">
      <c r="A1" s="30" t="s">
        <v>31</v>
      </c>
      <c r="B1" s="54" t="s">
        <v>1204</v>
      </c>
      <c r="C1" s="30" t="s">
        <v>99</v>
      </c>
      <c r="D1" s="30" t="s">
        <v>1227</v>
      </c>
      <c r="E1" s="30" t="s">
        <v>1481</v>
      </c>
      <c r="F1" s="55" t="s">
        <v>13</v>
      </c>
      <c r="G1" s="20" t="s">
        <v>5</v>
      </c>
      <c r="H1" s="4" t="s">
        <v>1369</v>
      </c>
      <c r="I1" s="20" t="s">
        <v>21</v>
      </c>
      <c r="J1" s="53" t="s">
        <v>25</v>
      </c>
      <c r="K1" s="53" t="s">
        <v>26</v>
      </c>
      <c r="L1" s="20" t="s">
        <v>20</v>
      </c>
      <c r="M1" s="20" t="s">
        <v>18</v>
      </c>
      <c r="N1" s="20" t="s">
        <v>14</v>
      </c>
      <c r="O1" s="53" t="s">
        <v>1325</v>
      </c>
      <c r="P1" s="53" t="s">
        <v>1329</v>
      </c>
      <c r="Q1" s="53" t="s">
        <v>1372</v>
      </c>
      <c r="R1" s="20" t="s">
        <v>9</v>
      </c>
      <c r="S1" s="20" t="s">
        <v>1328</v>
      </c>
      <c r="T1" s="20" t="s">
        <v>12</v>
      </c>
      <c r="U1" s="20" t="s">
        <v>1330</v>
      </c>
      <c r="V1" s="26" t="s">
        <v>1315</v>
      </c>
      <c r="W1" s="30" t="s">
        <v>1316</v>
      </c>
      <c r="X1" s="30" t="s">
        <v>1317</v>
      </c>
      <c r="Y1" s="30" t="s">
        <v>1318</v>
      </c>
      <c r="Z1" s="30" t="s">
        <v>1319</v>
      </c>
      <c r="AA1" s="103" t="s">
        <v>1389</v>
      </c>
      <c r="AB1" s="26" t="s">
        <v>1320</v>
      </c>
      <c r="AC1" s="26" t="s">
        <v>1321</v>
      </c>
      <c r="AD1" s="26" t="s">
        <v>1322</v>
      </c>
      <c r="AE1" s="26" t="s">
        <v>1323</v>
      </c>
      <c r="AF1" s="30" t="s">
        <v>1324</v>
      </c>
      <c r="AG1" s="26" t="s">
        <v>1326</v>
      </c>
      <c r="AH1" s="30" t="s">
        <v>1327</v>
      </c>
    </row>
    <row r="2" spans="1:34" s="2" customFormat="1" x14ac:dyDescent="0.2">
      <c r="A2" s="2" t="s">
        <v>128</v>
      </c>
      <c r="B2" s="2" t="str">
        <f>LOWER(VLOOKUP(A2,Xtal_Templ!A:B,2,FALSE))</f>
        <v>5ht1b_human</v>
      </c>
      <c r="C2" s="2" t="str">
        <f>VLOOKUP(A2,Classification!A:D,2,FALSE)</f>
        <v>A</v>
      </c>
      <c r="D2" s="2" t="str">
        <f>IF(ISERROR(MATCH(A2,'SegEnds_Xtal_Prot#'!B:B, 0)), "NoXtal", "Xtal")</f>
        <v>NoXtal</v>
      </c>
      <c r="G2" s="2" t="s">
        <v>5</v>
      </c>
      <c r="H2" s="4"/>
      <c r="R2" s="2" t="s">
        <v>9</v>
      </c>
      <c r="T2" s="4" t="s">
        <v>12</v>
      </c>
      <c r="V2" s="28" t="str">
        <f>MID(VLOOKUP($A2,Seqs!$A:$B,2,FALSE),VLOOKUP($A2,'SegEnds_NonXtal_Prot#'!$A:$AL,10,FALSE),1)</f>
        <v>D</v>
      </c>
      <c r="W2" s="49" t="str">
        <f>MID(VLOOKUP($A2,Seqs!$A:$B,2,FALSE),VLOOKUP($A2,'SegEnds_NonXtal_Prot#'!$A:$AL,10,FALSE)+6,1)</f>
        <v>L</v>
      </c>
      <c r="X2" s="49" t="str">
        <f>MID(VLOOKUP($A2,Seqs!$A:$B,2,FALSE),VLOOKUP($A2,'SegEnds_NonXtal_Prot#'!$A:$AL,10,FALSE)+7,1)</f>
        <v>V</v>
      </c>
      <c r="Y2" s="49" t="str">
        <f>MID(VLOOKUP($A2,Seqs!$A:$B,2,FALSE),VLOOKUP($A2,'SegEnds_NonXtal_Prot#'!$A:$AL,10,FALSE)+8,1)</f>
        <v>L</v>
      </c>
      <c r="Z2" s="49" t="str">
        <f>MID(VLOOKUP($A2,Seqs!$A:$B,2,FALSE),VLOOKUP($A2,'SegEnds_NonXtal_Prot#'!A:AL,10,FALSE)+9,1)</f>
        <v>P</v>
      </c>
      <c r="AA2" s="49" t="str">
        <f>MID(VLOOKUP($A2,Seqs!$A:$B,2,FALSE),VLOOKUP($A2,'SegEnds_NonXtal_Prot#'!A:AL,10,FALSE)+10,1)</f>
        <v>M</v>
      </c>
      <c r="AB2" s="28" t="str">
        <f>MID(VLOOKUP($A2,Seqs!$A:$B,2,FALSE),VLOOKUP($A2,'SegEnds_NonXtal_Prot#'!$A:$AL,22,FALSE)+6,1)</f>
        <v>I</v>
      </c>
      <c r="AC2" s="49" t="str">
        <f>MID(VLOOKUP($A2,Seqs!$A:$B,2,FALSE),VLOOKUP($A2,'SegEnds_NonXtal_Prot#'!$A:$AL,22,FALSE)+7,1)</f>
        <v>S</v>
      </c>
      <c r="AD2" s="49" t="str">
        <f>MID(VLOOKUP($A2,Seqs!$A:$B,2,FALSE),VLOOKUP($A2,'SegEnds_NonXtal_Prot#'!$A:$AL,22,FALSE)+8,1)</f>
        <v>I</v>
      </c>
      <c r="AE2" s="49" t="str">
        <f>MID(VLOOKUP($A2,Seqs!$A:$B,2,FALSE),VLOOKUP($A2,'SegEnds_NonXtal_Prot#'!$A:$AL,22,FALSE)+9,1)</f>
        <v>P</v>
      </c>
      <c r="AF2" s="49" t="str">
        <f>MID(VLOOKUP($A2,Seqs!$A:$B,2,FALSE),VLOOKUP($A2,'SegEnds_NonXtal_Prot#'!$A:$AL,22,FALSE)+10,1)</f>
        <v>P</v>
      </c>
      <c r="AG2" s="28" t="str">
        <f>MID(VLOOKUP($A2,Seqs!$A:$B,2,FALSE),VLOOKUP($A2,'SegEnds_NonXtal_Prot#'!$A:$AL,28,FALSE)-4,1)</f>
        <v>A</v>
      </c>
      <c r="AH2" s="49" t="str">
        <f>MID(VLOOKUP($A2,Seqs!$A:$B,2,FALSE),VLOOKUP($A2,'SegEnds_NonXtal_Prot#'!$A:$AL,28,FALSE),1)</f>
        <v>P</v>
      </c>
    </row>
    <row r="3" spans="1:34" s="2" customFormat="1" x14ac:dyDescent="0.2">
      <c r="A3" s="2" t="s">
        <v>34</v>
      </c>
      <c r="B3" s="2" t="str">
        <f>LOWER(VLOOKUP(A3,Xtal_Templ!A:B,2,FALSE))</f>
        <v>5ht1b_human</v>
      </c>
      <c r="C3" s="2" t="str">
        <f>VLOOKUP(A3,Classification!A:D,2,FALSE)</f>
        <v>A</v>
      </c>
      <c r="D3" s="2" t="str">
        <f>IF(ISERROR(MATCH(A3,'SegEnds_Xtal_Prot#'!B:B, 0)), "NoXtal", "Xtal")</f>
        <v>Xtal</v>
      </c>
      <c r="G3" s="2" t="s">
        <v>5</v>
      </c>
      <c r="H3" s="4"/>
      <c r="R3" s="2" t="s">
        <v>9</v>
      </c>
      <c r="T3" s="4" t="s">
        <v>12</v>
      </c>
      <c r="V3" s="28" t="str">
        <f>MID(VLOOKUP($A3,Seqs!$A:$B,2,FALSE),VLOOKUP($A3,'SegEnds_NonXtal_Prot#'!A:AL,10,FALSE),1)</f>
        <v>D</v>
      </c>
      <c r="W3" s="49" t="str">
        <f>MID(VLOOKUP($A3,Seqs!$A:$B,2,FALSE),VLOOKUP($A3,'SegEnds_NonXtal_Prot#'!A:AL,10,FALSE)+6,1)</f>
        <v>L</v>
      </c>
      <c r="X3" s="49" t="str">
        <f>MID(VLOOKUP($A3,Seqs!$A:$B,2,FALSE),VLOOKUP($A3,'SegEnds_NonXtal_Prot#'!A:AL,10,FALSE)+7,1)</f>
        <v>V</v>
      </c>
      <c r="Y3" s="49" t="str">
        <f>MID(VLOOKUP($A3,Seqs!$A:$B,2,FALSE),VLOOKUP($A3,'SegEnds_NonXtal_Prot#'!A:AL,10,FALSE)+8,1)</f>
        <v>M</v>
      </c>
      <c r="Z3" s="49" t="str">
        <f>MID(VLOOKUP($A3,Seqs!$A:$B,2,FALSE),VLOOKUP($A3,'SegEnds_NonXtal_Prot#'!A:AL,10,FALSE)+9,1)</f>
        <v>P</v>
      </c>
      <c r="AA3" s="49" t="str">
        <f>MID(VLOOKUP($A3,Seqs!$A:$B,2,FALSE),VLOOKUP($A3,'SegEnds_NonXtal_Prot#'!A:AL,10,FALSE)+10,1)</f>
        <v>I</v>
      </c>
      <c r="AB3" s="28" t="str">
        <f>MID(VLOOKUP($A3,Seqs!$A:$B,2,FALSE),VLOOKUP($A3,'SegEnds_NonXtal_Prot#'!$A:$AL,22,FALSE)+6,1)</f>
        <v>I</v>
      </c>
      <c r="AC3" s="49" t="str">
        <f>MID(VLOOKUP($A3,Seqs!$A:$B,2,FALSE),VLOOKUP($A3,'SegEnds_NonXtal_Prot#'!$A:$AL,22,FALSE)+7,1)</f>
        <v>S</v>
      </c>
      <c r="AD3" s="49" t="str">
        <f>MID(VLOOKUP($A3,Seqs!$A:$B,2,FALSE),VLOOKUP($A3,'SegEnds_NonXtal_Prot#'!$A:$AL,22,FALSE)+8,1)</f>
        <v>L</v>
      </c>
      <c r="AE3" s="49" t="str">
        <f>MID(VLOOKUP($A3,Seqs!$A:$B,2,FALSE),VLOOKUP($A3,'SegEnds_NonXtal_Prot#'!$A:$AL,22,FALSE)+9,1)</f>
        <v>P</v>
      </c>
      <c r="AF3" s="49" t="str">
        <f>MID(VLOOKUP($A3,Seqs!$A:$B,2,FALSE),VLOOKUP($A3,'SegEnds_NonXtal_Prot#'!$A:$AL,22,FALSE)+10,1)</f>
        <v>P</v>
      </c>
      <c r="AG3" s="28" t="str">
        <f>MID(VLOOKUP($A3,Seqs!$A:$B,2,FALSE),VLOOKUP($A3,'SegEnds_NonXtal_Prot#'!$A:$AL,28,FALSE)-4,1)</f>
        <v>A</v>
      </c>
      <c r="AH3" s="49" t="str">
        <f>MID(VLOOKUP($A3,Seqs!$A:$B,2,FALSE),VLOOKUP($A3,'SegEnds_NonXtal_Prot#'!$A:$AL,28,FALSE),1)</f>
        <v>P</v>
      </c>
    </row>
    <row r="4" spans="1:34" s="2" customFormat="1" x14ac:dyDescent="0.2">
      <c r="A4" s="2" t="s">
        <v>129</v>
      </c>
      <c r="B4" s="2" t="str">
        <f>LOWER(VLOOKUP(A4,Xtal_Templ!A:B,2,FALSE))</f>
        <v>5ht1b_human</v>
      </c>
      <c r="C4" s="2" t="str">
        <f>VLOOKUP(A4,Classification!A:D,2,FALSE)</f>
        <v>A</v>
      </c>
      <c r="D4" s="2" t="str">
        <f>IF(ISERROR(MATCH(A4,'SegEnds_Xtal_Prot#'!B:B, 0)), "NoXtal", "Xtal")</f>
        <v>NoXtal</v>
      </c>
      <c r="G4" s="2" t="s">
        <v>5</v>
      </c>
      <c r="H4" s="4"/>
      <c r="R4" s="2" t="s">
        <v>9</v>
      </c>
      <c r="T4" s="4" t="s">
        <v>12</v>
      </c>
      <c r="V4" s="28" t="str">
        <f>MID(VLOOKUP($A4,Seqs!$A:$B,2,FALSE),VLOOKUP($A4,'SegEnds_NonXtal_Prot#'!A:AL,10,FALSE),1)</f>
        <v>D</v>
      </c>
      <c r="W4" s="49" t="str">
        <f>MID(VLOOKUP($A4,Seqs!$A:$B,2,FALSE),VLOOKUP($A4,'SegEnds_NonXtal_Prot#'!A:AL,10,FALSE)+6,1)</f>
        <v>L</v>
      </c>
      <c r="X4" s="49" t="str">
        <f>MID(VLOOKUP($A4,Seqs!$A:$B,2,FALSE),VLOOKUP($A4,'SegEnds_NonXtal_Prot#'!A:AL,10,FALSE)+7,1)</f>
        <v>V</v>
      </c>
      <c r="Y4" s="49" t="str">
        <f>MID(VLOOKUP($A4,Seqs!$A:$B,2,FALSE),VLOOKUP($A4,'SegEnds_NonXtal_Prot#'!A:AL,10,FALSE)+8,1)</f>
        <v>M</v>
      </c>
      <c r="Z4" s="49" t="str">
        <f>MID(VLOOKUP($A4,Seqs!$A:$B,2,FALSE),VLOOKUP($A4,'SegEnds_NonXtal_Prot#'!A:AL,10,FALSE)+9,1)</f>
        <v>P</v>
      </c>
      <c r="AA4" s="49" t="str">
        <f>MID(VLOOKUP($A4,Seqs!$A:$B,2,FALSE),VLOOKUP($A4,'SegEnds_NonXtal_Prot#'!A:AL,10,FALSE)+10,1)</f>
        <v>I</v>
      </c>
      <c r="AB4" s="28" t="str">
        <f>MID(VLOOKUP($A4,Seqs!$A:$B,2,FALSE),VLOOKUP($A4,'SegEnds_NonXtal_Prot#'!$A:$AL,22,FALSE)+6,1)</f>
        <v>I</v>
      </c>
      <c r="AC4" s="49" t="str">
        <f>MID(VLOOKUP($A4,Seqs!$A:$B,2,FALSE),VLOOKUP($A4,'SegEnds_NonXtal_Prot#'!$A:$AL,22,FALSE)+7,1)</f>
        <v>S</v>
      </c>
      <c r="AD4" s="49" t="str">
        <f>MID(VLOOKUP($A4,Seqs!$A:$B,2,FALSE),VLOOKUP($A4,'SegEnds_NonXtal_Prot#'!$A:$AL,22,FALSE)+8,1)</f>
        <v>I</v>
      </c>
      <c r="AE4" s="49" t="str">
        <f>MID(VLOOKUP($A4,Seqs!$A:$B,2,FALSE),VLOOKUP($A4,'SegEnds_NonXtal_Prot#'!$A:$AL,22,FALSE)+9,1)</f>
        <v>P</v>
      </c>
      <c r="AF4" s="49" t="str">
        <f>MID(VLOOKUP($A4,Seqs!$A:$B,2,FALSE),VLOOKUP($A4,'SegEnds_NonXtal_Prot#'!$A:$AL,22,FALSE)+10,1)</f>
        <v>P</v>
      </c>
      <c r="AG4" s="28" t="str">
        <f>MID(VLOOKUP($A4,Seqs!$A:$B,2,FALSE),VLOOKUP($A4,'SegEnds_NonXtal_Prot#'!$A:$AL,28,FALSE)-4,1)</f>
        <v>A</v>
      </c>
      <c r="AH4" s="49" t="str">
        <f>MID(VLOOKUP($A4,Seqs!$A:$B,2,FALSE),VLOOKUP($A4,'SegEnds_NonXtal_Prot#'!$A:$AL,28,FALSE),1)</f>
        <v>P</v>
      </c>
    </row>
    <row r="5" spans="1:34" s="2" customFormat="1" x14ac:dyDescent="0.2">
      <c r="A5" s="2" t="s">
        <v>130</v>
      </c>
      <c r="B5" s="2" t="str">
        <f>LOWER(VLOOKUP(A5,Xtal_Templ!A:B,2,FALSE))</f>
        <v>5ht1b_human</v>
      </c>
      <c r="C5" s="2" t="str">
        <f>VLOOKUP(A5,Classification!A:D,2,FALSE)</f>
        <v>A</v>
      </c>
      <c r="D5" s="2" t="str">
        <f>IF(ISERROR(MATCH(A5,'SegEnds_Xtal_Prot#'!B:B, 0)), "NoXtal", "Xtal")</f>
        <v>NoXtal</v>
      </c>
      <c r="G5" s="2" t="s">
        <v>5</v>
      </c>
      <c r="H5" s="4"/>
      <c r="R5" s="2" t="s">
        <v>9</v>
      </c>
      <c r="T5" s="4" t="s">
        <v>12</v>
      </c>
      <c r="V5" s="28" t="str">
        <f>MID(VLOOKUP($A5,Seqs!$A:$B,2,FALSE),VLOOKUP($A5,'SegEnds_NonXtal_Prot#'!A:AL,10,FALSE),1)</f>
        <v>D</v>
      </c>
      <c r="W5" s="49" t="str">
        <f>MID(VLOOKUP($A5,Seqs!$A:$B,2,FALSE),VLOOKUP($A5,'SegEnds_NonXtal_Prot#'!A:AL,10,FALSE)+6,1)</f>
        <v>L</v>
      </c>
      <c r="X5" s="49" t="str">
        <f>MID(VLOOKUP($A5,Seqs!$A:$B,2,FALSE),VLOOKUP($A5,'SegEnds_NonXtal_Prot#'!A:AL,10,FALSE)+7,1)</f>
        <v>V</v>
      </c>
      <c r="Y5" s="49" t="str">
        <f>MID(VLOOKUP($A5,Seqs!$A:$B,2,FALSE),VLOOKUP($A5,'SegEnds_NonXtal_Prot#'!A:AL,10,FALSE)+8,1)</f>
        <v>M</v>
      </c>
      <c r="Z5" s="49" t="str">
        <f>MID(VLOOKUP($A5,Seqs!$A:$B,2,FALSE),VLOOKUP($A5,'SegEnds_NonXtal_Prot#'!A:AL,10,FALSE)+9,1)</f>
        <v>P</v>
      </c>
      <c r="AA5" s="49" t="str">
        <f>MID(VLOOKUP($A5,Seqs!$A:$B,2,FALSE),VLOOKUP($A5,'SegEnds_NonXtal_Prot#'!A:AL,10,FALSE)+10,1)</f>
        <v>L</v>
      </c>
      <c r="AB5" s="28" t="str">
        <f>MID(VLOOKUP($A5,Seqs!$A:$B,2,FALSE),VLOOKUP($A5,'SegEnds_NonXtal_Prot#'!$A:$AL,22,FALSE)+6,1)</f>
        <v>I</v>
      </c>
      <c r="AC5" s="49" t="str">
        <f>MID(VLOOKUP($A5,Seqs!$A:$B,2,FALSE),VLOOKUP($A5,'SegEnds_NonXtal_Prot#'!$A:$AL,22,FALSE)+7,1)</f>
        <v>S</v>
      </c>
      <c r="AD5" s="49" t="str">
        <f>MID(VLOOKUP($A5,Seqs!$A:$B,2,FALSE),VLOOKUP($A5,'SegEnds_NonXtal_Prot#'!$A:$AL,22,FALSE)+8,1)</f>
        <v>M</v>
      </c>
      <c r="AE5" s="49" t="str">
        <f>MID(VLOOKUP($A5,Seqs!$A:$B,2,FALSE),VLOOKUP($A5,'SegEnds_NonXtal_Prot#'!$A:$AL,22,FALSE)+9,1)</f>
        <v>P</v>
      </c>
      <c r="AF5" s="49" t="str">
        <f>MID(VLOOKUP($A5,Seqs!$A:$B,2,FALSE),VLOOKUP($A5,'SegEnds_NonXtal_Prot#'!$A:$AL,22,FALSE)+10,1)</f>
        <v>P</v>
      </c>
      <c r="AG5" s="28" t="str">
        <f>MID(VLOOKUP($A5,Seqs!$A:$B,2,FALSE),VLOOKUP($A5,'SegEnds_NonXtal_Prot#'!$A:$AL,28,FALSE)-4,1)</f>
        <v>A</v>
      </c>
      <c r="AH5" s="49" t="str">
        <f>MID(VLOOKUP($A5,Seqs!$A:$B,2,FALSE),VLOOKUP($A5,'SegEnds_NonXtal_Prot#'!$A:$AL,28,FALSE),1)</f>
        <v>P</v>
      </c>
    </row>
    <row r="6" spans="1:34" s="2" customFormat="1" x14ac:dyDescent="0.2">
      <c r="A6" s="2" t="s">
        <v>131</v>
      </c>
      <c r="B6" s="2" t="str">
        <f>LOWER(VLOOKUP(A6,Xtal_Templ!A:B,2,FALSE))</f>
        <v>5ht1b_human</v>
      </c>
      <c r="C6" s="2" t="str">
        <f>VLOOKUP(A6,Classification!A:D,2,FALSE)</f>
        <v>A</v>
      </c>
      <c r="D6" s="2" t="str">
        <f>IF(ISERROR(MATCH(A6,'SegEnds_Xtal_Prot#'!B:B, 0)), "NoXtal", "Xtal")</f>
        <v>NoXtal</v>
      </c>
      <c r="G6" s="2" t="s">
        <v>5</v>
      </c>
      <c r="H6" s="4"/>
      <c r="R6" s="2" t="s">
        <v>9</v>
      </c>
      <c r="T6" s="4" t="s">
        <v>12</v>
      </c>
      <c r="V6" s="28" t="str">
        <f>MID(VLOOKUP($A6,Seqs!$A:$B,2,FALSE),VLOOKUP($A6,'SegEnds_NonXtal_Prot#'!A:AL,10,FALSE),1)</f>
        <v>D</v>
      </c>
      <c r="W6" s="49" t="str">
        <f>MID(VLOOKUP($A6,Seqs!$A:$B,2,FALSE),VLOOKUP($A6,'SegEnds_NonXtal_Prot#'!A:AL,10,FALSE)+6,1)</f>
        <v>L</v>
      </c>
      <c r="X6" s="49" t="str">
        <f>MID(VLOOKUP($A6,Seqs!$A:$B,2,FALSE),VLOOKUP($A6,'SegEnds_NonXtal_Prot#'!A:AL,10,FALSE)+7,1)</f>
        <v>V</v>
      </c>
      <c r="Y6" s="49" t="str">
        <f>MID(VLOOKUP($A6,Seqs!$A:$B,2,FALSE),VLOOKUP($A6,'SegEnds_NonXtal_Prot#'!A:AL,10,FALSE)+8,1)</f>
        <v>M</v>
      </c>
      <c r="Z6" s="49" t="str">
        <f>MID(VLOOKUP($A6,Seqs!$A:$B,2,FALSE),VLOOKUP($A6,'SegEnds_NonXtal_Prot#'!A:AL,10,FALSE)+9,1)</f>
        <v>P</v>
      </c>
      <c r="AA6" s="49" t="str">
        <f>MID(VLOOKUP($A6,Seqs!$A:$B,2,FALSE),VLOOKUP($A6,'SegEnds_NonXtal_Prot#'!A:AL,10,FALSE)+10,1)</f>
        <v>F</v>
      </c>
      <c r="AB6" s="28" t="str">
        <f>MID(VLOOKUP($A6,Seqs!$A:$B,2,FALSE),VLOOKUP($A6,'SegEnds_NonXtal_Prot#'!$A:$AL,22,FALSE)+6,1)</f>
        <v>I</v>
      </c>
      <c r="AC6" s="49" t="str">
        <f>MID(VLOOKUP($A6,Seqs!$A:$B,2,FALSE),VLOOKUP($A6,'SegEnds_NonXtal_Prot#'!$A:$AL,22,FALSE)+7,1)</f>
        <v>S</v>
      </c>
      <c r="AD6" s="49" t="str">
        <f>MID(VLOOKUP($A6,Seqs!$A:$B,2,FALSE),VLOOKUP($A6,'SegEnds_NonXtal_Prot#'!$A:$AL,22,FALSE)+8,1)</f>
        <v>M</v>
      </c>
      <c r="AE6" s="49" t="str">
        <f>MID(VLOOKUP($A6,Seqs!$A:$B,2,FALSE),VLOOKUP($A6,'SegEnds_NonXtal_Prot#'!$A:$AL,22,FALSE)+9,1)</f>
        <v>P</v>
      </c>
      <c r="AF6" s="49" t="str">
        <f>MID(VLOOKUP($A6,Seqs!$A:$B,2,FALSE),VLOOKUP($A6,'SegEnds_NonXtal_Prot#'!$A:$AL,22,FALSE)+10,1)</f>
        <v>P</v>
      </c>
      <c r="AG6" s="28" t="str">
        <f>MID(VLOOKUP($A6,Seqs!$A:$B,2,FALSE),VLOOKUP($A6,'SegEnds_NonXtal_Prot#'!$A:$AL,28,FALSE)-4,1)</f>
        <v>A</v>
      </c>
      <c r="AH6" s="49" t="str">
        <f>MID(VLOOKUP($A6,Seqs!$A:$B,2,FALSE),VLOOKUP($A6,'SegEnds_NonXtal_Prot#'!$A:$AL,28,FALSE),1)</f>
        <v>P</v>
      </c>
    </row>
    <row r="7" spans="1:34" s="2" customFormat="1" x14ac:dyDescent="0.2">
      <c r="A7" s="2" t="s">
        <v>135</v>
      </c>
      <c r="B7" s="2" t="str">
        <f>LOWER(VLOOKUP(A7,Xtal_Templ!A:B,2,FALSE))</f>
        <v>5ht1b_human</v>
      </c>
      <c r="C7" s="2" t="str">
        <f>VLOOKUP(A7,Classification!A:D,2,FALSE)</f>
        <v>A</v>
      </c>
      <c r="D7" s="2" t="str">
        <f>IF(ISERROR(MATCH(A7,'SegEnds_Xtal_Prot#'!B:B, 0)), "NoXtal", "Xtal")</f>
        <v>NoXtal</v>
      </c>
      <c r="G7" s="2" t="s">
        <v>5</v>
      </c>
      <c r="H7" s="4"/>
      <c r="R7" s="2" t="s">
        <v>9</v>
      </c>
      <c r="T7" s="4" t="s">
        <v>12</v>
      </c>
      <c r="V7" s="28" t="str">
        <f>MID(VLOOKUP($A7,Seqs!$A:$B,2,FALSE),VLOOKUP($A7,'SegEnds_NonXtal_Prot#'!A:AL,10,FALSE),1)</f>
        <v>D</v>
      </c>
      <c r="W7" s="49" t="str">
        <f>MID(VLOOKUP($A7,Seqs!$A:$B,2,FALSE),VLOOKUP($A7,'SegEnds_NonXtal_Prot#'!A:AL,10,FALSE)+6,1)</f>
        <v>L</v>
      </c>
      <c r="X7" s="49" t="str">
        <f>MID(VLOOKUP($A7,Seqs!$A:$B,2,FALSE),VLOOKUP($A7,'SegEnds_NonXtal_Prot#'!A:AL,10,FALSE)+7,1)</f>
        <v>V</v>
      </c>
      <c r="Y7" s="49" t="str">
        <f>MID(VLOOKUP($A7,Seqs!$A:$B,2,FALSE),VLOOKUP($A7,'SegEnds_NonXtal_Prot#'!A:AL,10,FALSE)+8,1)</f>
        <v>M</v>
      </c>
      <c r="Z7" s="49" t="str">
        <f>MID(VLOOKUP($A7,Seqs!$A:$B,2,FALSE),VLOOKUP($A7,'SegEnds_NonXtal_Prot#'!A:AL,10,FALSE)+9,1)</f>
        <v>P</v>
      </c>
      <c r="AA7" s="49" t="str">
        <f>MID(VLOOKUP($A7,Seqs!$A:$B,2,FALSE),VLOOKUP($A7,'SegEnds_NonXtal_Prot#'!A:AL,10,FALSE)+10,1)</f>
        <v>L</v>
      </c>
      <c r="AB7" s="28" t="str">
        <f>MID(VLOOKUP($A7,Seqs!$A:$B,2,FALSE),VLOOKUP($A7,'SegEnds_NonXtal_Prot#'!$A:$AL,22,FALSE)+6,1)</f>
        <v>I</v>
      </c>
      <c r="AC7" s="49" t="str">
        <f>MID(VLOOKUP($A7,Seqs!$A:$B,2,FALSE),VLOOKUP($A7,'SegEnds_NonXtal_Prot#'!$A:$AL,22,FALSE)+7,1)</f>
        <v>S</v>
      </c>
      <c r="AD7" s="49" t="str">
        <f>MID(VLOOKUP($A7,Seqs!$A:$B,2,FALSE),VLOOKUP($A7,'SegEnds_NonXtal_Prot#'!$A:$AL,22,FALSE)+8,1)</f>
        <v>L</v>
      </c>
      <c r="AE7" s="49" t="str">
        <f>MID(VLOOKUP($A7,Seqs!$A:$B,2,FALSE),VLOOKUP($A7,'SegEnds_NonXtal_Prot#'!$A:$AL,22,FALSE)+9,1)</f>
        <v>A</v>
      </c>
      <c r="AF7" s="49" t="str">
        <f>MID(VLOOKUP($A7,Seqs!$A:$B,2,FALSE),VLOOKUP($A7,'SegEnds_NonXtal_Prot#'!$A:$AL,22,FALSE)+10,1)</f>
        <v>P</v>
      </c>
      <c r="AG7" s="28" t="str">
        <f>MID(VLOOKUP($A7,Seqs!$A:$B,2,FALSE),VLOOKUP($A7,'SegEnds_NonXtal_Prot#'!$A:$AL,28,FALSE)-4,1)</f>
        <v>A</v>
      </c>
      <c r="AH7" s="49" t="str">
        <f>MID(VLOOKUP($A7,Seqs!$A:$B,2,FALSE),VLOOKUP($A7,'SegEnds_NonXtal_Prot#'!$A:$AL,28,FALSE),1)</f>
        <v>P</v>
      </c>
    </row>
    <row r="8" spans="1:34" s="2" customFormat="1" x14ac:dyDescent="0.2">
      <c r="A8" s="2" t="s">
        <v>137</v>
      </c>
      <c r="B8" s="2" t="str">
        <f>LOWER(VLOOKUP(A8,Xtal_Templ!A:B,2,FALSE))</f>
        <v>5ht1b_human</v>
      </c>
      <c r="C8" s="2" t="str">
        <f>VLOOKUP(A8,Classification!A:D,2,FALSE)</f>
        <v>A</v>
      </c>
      <c r="D8" s="2" t="str">
        <f>IF(ISERROR(MATCH(A8,'SegEnds_Xtal_Prot#'!B:B, 0)), "NoXtal", "Xtal")</f>
        <v>NoXtal</v>
      </c>
      <c r="G8" s="2" t="s">
        <v>5</v>
      </c>
      <c r="H8" s="4"/>
      <c r="R8" s="2" t="s">
        <v>9</v>
      </c>
      <c r="T8" s="4" t="s">
        <v>12</v>
      </c>
      <c r="V8" s="28" t="str">
        <f>MID(VLOOKUP($A8,Seqs!$A:$B,2,FALSE),VLOOKUP($A8,'SegEnds_NonXtal_Prot#'!A:AL,10,FALSE),1)</f>
        <v>D</v>
      </c>
      <c r="W8" s="49" t="str">
        <f>MID(VLOOKUP($A8,Seqs!$A:$B,2,FALSE),VLOOKUP($A8,'SegEnds_NonXtal_Prot#'!A:AL,10,FALSE)+6,1)</f>
        <v>A</v>
      </c>
      <c r="X8" s="49" t="str">
        <f>MID(VLOOKUP($A8,Seqs!$A:$B,2,FALSE),VLOOKUP($A8,'SegEnds_NonXtal_Prot#'!A:AL,10,FALSE)+7,1)</f>
        <v>V</v>
      </c>
      <c r="Y8" s="49" t="str">
        <f>MID(VLOOKUP($A8,Seqs!$A:$B,2,FALSE),VLOOKUP($A8,'SegEnds_NonXtal_Prot#'!A:AL,10,FALSE)+8,1)</f>
        <v>M</v>
      </c>
      <c r="Z8" s="49" t="str">
        <f>MID(VLOOKUP($A8,Seqs!$A:$B,2,FALSE),VLOOKUP($A8,'SegEnds_NonXtal_Prot#'!A:AL,10,FALSE)+9,1)</f>
        <v>P</v>
      </c>
      <c r="AA8" s="49" t="str">
        <f>MID(VLOOKUP($A8,Seqs!$A:$B,2,FALSE),VLOOKUP($A8,'SegEnds_NonXtal_Prot#'!A:AL,10,FALSE)+10,1)</f>
        <v>F</v>
      </c>
      <c r="AB8" s="28" t="str">
        <f>MID(VLOOKUP($A8,Seqs!$A:$B,2,FALSE),VLOOKUP($A8,'SegEnds_NonXtal_Prot#'!$A:$AL,22,FALSE)+6,1)</f>
        <v>I</v>
      </c>
      <c r="AC8" s="49" t="str">
        <f>MID(VLOOKUP($A8,Seqs!$A:$B,2,FALSE),VLOOKUP($A8,'SegEnds_NonXtal_Prot#'!$A:$AL,22,FALSE)+7,1)</f>
        <v>T</v>
      </c>
      <c r="AD8" s="49" t="str">
        <f>MID(VLOOKUP($A8,Seqs!$A:$B,2,FALSE),VLOOKUP($A8,'SegEnds_NonXtal_Prot#'!$A:$AL,22,FALSE)+8,1)</f>
        <v>L</v>
      </c>
      <c r="AE8" s="49" t="str">
        <f>MID(VLOOKUP($A8,Seqs!$A:$B,2,FALSE),VLOOKUP($A8,'SegEnds_NonXtal_Prot#'!$A:$AL,22,FALSE)+9,1)</f>
        <v>P</v>
      </c>
      <c r="AF8" s="49" t="str">
        <f>MID(VLOOKUP($A8,Seqs!$A:$B,2,FALSE),VLOOKUP($A8,'SegEnds_NonXtal_Prot#'!$A:$AL,22,FALSE)+10,1)</f>
        <v>P</v>
      </c>
      <c r="AG8" s="28" t="str">
        <f>MID(VLOOKUP($A8,Seqs!$A:$B,2,FALSE),VLOOKUP($A8,'SegEnds_NonXtal_Prot#'!$A:$AL,28,FALSE)-4,1)</f>
        <v>A</v>
      </c>
      <c r="AH8" s="49" t="str">
        <f>MID(VLOOKUP($A8,Seqs!$A:$B,2,FALSE),VLOOKUP($A8,'SegEnds_NonXtal_Prot#'!$A:$AL,28,FALSE),1)</f>
        <v>P</v>
      </c>
    </row>
    <row r="9" spans="1:34" s="2" customFormat="1" x14ac:dyDescent="0.2">
      <c r="A9" s="2" t="s">
        <v>152</v>
      </c>
      <c r="B9" s="2" t="str">
        <f>LOWER(VLOOKUP(A9,Xtal_Templ!A:B,2,FALSE))</f>
        <v>drd2_human</v>
      </c>
      <c r="C9" s="2" t="str">
        <f>VLOOKUP(A9,Classification!A:D,2,FALSE)</f>
        <v>A</v>
      </c>
      <c r="D9" s="2" t="str">
        <f>IF(ISERROR(MATCH(A9,'SegEnds_Xtal_Prot#'!B:B, 0)), "NoXtal", "Xtal")</f>
        <v>NoXtal</v>
      </c>
      <c r="G9" s="2" t="s">
        <v>5</v>
      </c>
      <c r="H9" s="4"/>
      <c r="R9" s="2" t="s">
        <v>9</v>
      </c>
      <c r="T9" s="4" t="s">
        <v>12</v>
      </c>
      <c r="V9" s="28" t="str">
        <f>MID(VLOOKUP($A9,Seqs!$A:$B,2,FALSE),VLOOKUP($A9,'SegEnds_NonXtal_Prot#'!A:AL,10,FALSE),1)</f>
        <v>D</v>
      </c>
      <c r="W9" s="49" t="str">
        <f>MID(VLOOKUP($A9,Seqs!$A:$B,2,FALSE),VLOOKUP($A9,'SegEnds_NonXtal_Prot#'!A:AL,10,FALSE)+6,1)</f>
        <v>T</v>
      </c>
      <c r="X9" s="49" t="str">
        <f>MID(VLOOKUP($A9,Seqs!$A:$B,2,FALSE),VLOOKUP($A9,'SegEnds_NonXtal_Prot#'!A:AL,10,FALSE)+7,1)</f>
        <v>V</v>
      </c>
      <c r="Y9" s="49" t="str">
        <f>MID(VLOOKUP($A9,Seqs!$A:$B,2,FALSE),VLOOKUP($A9,'SegEnds_NonXtal_Prot#'!A:AL,10,FALSE)+8,1)</f>
        <v>L</v>
      </c>
      <c r="Z9" s="49" t="str">
        <f>MID(VLOOKUP($A9,Seqs!$A:$B,2,FALSE),VLOOKUP($A9,'SegEnds_NonXtal_Prot#'!A:AL,10,FALSE)+9,1)</f>
        <v>P</v>
      </c>
      <c r="AA9" s="49" t="str">
        <f>MID(VLOOKUP($A9,Seqs!$A:$B,2,FALSE),VLOOKUP($A9,'SegEnds_NonXtal_Prot#'!A:AL,10,FALSE)+10,1)</f>
        <v>F</v>
      </c>
      <c r="AB9" s="28" t="str">
        <f>MID(VLOOKUP($A9,Seqs!$A:$B,2,FALSE),VLOOKUP($A9,'SegEnds_NonXtal_Prot#'!$A:$AL,22,FALSE)+6,1)</f>
        <v>I</v>
      </c>
      <c r="AC9" s="49" t="str">
        <f>MID(VLOOKUP($A9,Seqs!$A:$B,2,FALSE),VLOOKUP($A9,'SegEnds_NonXtal_Prot#'!$A:$AL,22,FALSE)+7,1)</f>
        <v>S</v>
      </c>
      <c r="AD9" s="49" t="str">
        <f>MID(VLOOKUP($A9,Seqs!$A:$B,2,FALSE),VLOOKUP($A9,'SegEnds_NonXtal_Prot#'!$A:$AL,22,FALSE)+8,1)</f>
        <v>I</v>
      </c>
      <c r="AE9" s="49" t="str">
        <f>MID(VLOOKUP($A9,Seqs!$A:$B,2,FALSE),VLOOKUP($A9,'SegEnds_NonXtal_Prot#'!$A:$AL,22,FALSE)+9,1)</f>
        <v>G</v>
      </c>
      <c r="AF9" s="49" t="str">
        <f>MID(VLOOKUP($A9,Seqs!$A:$B,2,FALSE),VLOOKUP($A9,'SegEnds_NonXtal_Prot#'!$A:$AL,22,FALSE)+10,1)</f>
        <v>P</v>
      </c>
      <c r="AG9" s="28" t="str">
        <f>MID(VLOOKUP($A9,Seqs!$A:$B,2,FALSE),VLOOKUP($A9,'SegEnds_NonXtal_Prot#'!$A:$AL,28,FALSE)-4,1)</f>
        <v>S</v>
      </c>
      <c r="AH9" s="49" t="str">
        <f>MID(VLOOKUP($A9,Seqs!$A:$B,2,FALSE),VLOOKUP($A9,'SegEnds_NonXtal_Prot#'!$A:$AL,28,FALSE),1)</f>
        <v>P</v>
      </c>
    </row>
    <row r="10" spans="1:34" s="2" customFormat="1" x14ac:dyDescent="0.2">
      <c r="A10" s="2" t="s">
        <v>155</v>
      </c>
      <c r="B10" s="2" t="str">
        <f>LOWER(VLOOKUP(A10,Xtal_Templ!A:B,2,FALSE))</f>
        <v>drd2_human</v>
      </c>
      <c r="C10" s="2" t="str">
        <f>VLOOKUP(A10,Classification!A:D,2,FALSE)</f>
        <v>A</v>
      </c>
      <c r="D10" s="2" t="str">
        <f>IF(ISERROR(MATCH(A10,'SegEnds_Xtal_Prot#'!B:B, 0)), "NoXtal", "Xtal")</f>
        <v>NoXtal</v>
      </c>
      <c r="G10" s="2" t="s">
        <v>5</v>
      </c>
      <c r="H10" s="4"/>
      <c r="R10" s="2" t="s">
        <v>9</v>
      </c>
      <c r="T10" s="4" t="s">
        <v>12</v>
      </c>
      <c r="V10" s="28" t="str">
        <f>MID(VLOOKUP($A10,Seqs!$A:$B,2,FALSE),VLOOKUP($A10,'SegEnds_NonXtal_Prot#'!A:AL,10,FALSE),1)</f>
        <v>D</v>
      </c>
      <c r="W10" s="49" t="str">
        <f>MID(VLOOKUP($A10,Seqs!$A:$B,2,FALSE),VLOOKUP($A10,'SegEnds_NonXtal_Prot#'!A:AL,10,FALSE)+6,1)</f>
        <v>L</v>
      </c>
      <c r="X10" s="49" t="str">
        <f>MID(VLOOKUP($A10,Seqs!$A:$B,2,FALSE),VLOOKUP($A10,'SegEnds_NonXtal_Prot#'!A:AL,10,FALSE)+7,1)</f>
        <v>V</v>
      </c>
      <c r="Y10" s="49" t="str">
        <f>MID(VLOOKUP($A10,Seqs!$A:$B,2,FALSE),VLOOKUP($A10,'SegEnds_NonXtal_Prot#'!A:AL,10,FALSE)+8,1)</f>
        <v>I</v>
      </c>
      <c r="Z10" s="49" t="str">
        <f>MID(VLOOKUP($A10,Seqs!$A:$B,2,FALSE),VLOOKUP($A10,'SegEnds_NonXtal_Prot#'!A:AL,10,FALSE)+9,1)</f>
        <v>P</v>
      </c>
      <c r="AA10" s="49" t="str">
        <f>MID(VLOOKUP($A10,Seqs!$A:$B,2,FALSE),VLOOKUP($A10,'SegEnds_NonXtal_Prot#'!A:AL,10,FALSE)+10,1)</f>
        <v>F</v>
      </c>
      <c r="AB10" s="28" t="str">
        <f>MID(VLOOKUP($A10,Seqs!$A:$B,2,FALSE),VLOOKUP($A10,'SegEnds_NonXtal_Prot#'!$A:$AL,22,FALSE)+6,1)</f>
        <v>I</v>
      </c>
      <c r="AC10" s="49" t="str">
        <f>MID(VLOOKUP($A10,Seqs!$A:$B,2,FALSE),VLOOKUP($A10,'SegEnds_NonXtal_Prot#'!$A:$AL,22,FALSE)+7,1)</f>
        <v>S</v>
      </c>
      <c r="AD10" s="49" t="str">
        <f>MID(VLOOKUP($A10,Seqs!$A:$B,2,FALSE),VLOOKUP($A10,'SegEnds_NonXtal_Prot#'!$A:$AL,22,FALSE)+8,1)</f>
        <v>F</v>
      </c>
      <c r="AE10" s="49" t="str">
        <f>MID(VLOOKUP($A10,Seqs!$A:$B,2,FALSE),VLOOKUP($A10,'SegEnds_NonXtal_Prot#'!$A:$AL,22,FALSE)+9,1)</f>
        <v>P</v>
      </c>
      <c r="AF10" s="49" t="str">
        <f>MID(VLOOKUP($A10,Seqs!$A:$B,2,FALSE),VLOOKUP($A10,'SegEnds_NonXtal_Prot#'!$A:$AL,22,FALSE)+10,1)</f>
        <v>P</v>
      </c>
      <c r="AG10" s="28" t="str">
        <f>MID(VLOOKUP($A10,Seqs!$A:$B,2,FALSE),VLOOKUP($A10,'SegEnds_NonXtal_Prot#'!$A:$AL,28,FALSE)-4,1)</f>
        <v>S</v>
      </c>
      <c r="AH10" s="49" t="str">
        <f>MID(VLOOKUP($A10,Seqs!$A:$B,2,FALSE),VLOOKUP($A10,'SegEnds_NonXtal_Prot#'!$A:$AL,28,FALSE),1)</f>
        <v>P</v>
      </c>
    </row>
    <row r="11" spans="1:34" s="2" customFormat="1" x14ac:dyDescent="0.2">
      <c r="A11" s="2" t="s">
        <v>157</v>
      </c>
      <c r="B11" s="2" t="str">
        <f>LOWER(VLOOKUP(A11,Xtal_Templ!A:B,2,FALSE))</f>
        <v>drd2_human</v>
      </c>
      <c r="C11" s="2" t="str">
        <f>VLOOKUP(A11,Classification!A:D,2,FALSE)</f>
        <v>A</v>
      </c>
      <c r="D11" s="2" t="str">
        <f>IF(ISERROR(MATCH(A11,'SegEnds_Xtal_Prot#'!B:B, 0)), "NoXtal", "Xtal")</f>
        <v>NoXtal</v>
      </c>
      <c r="G11" s="2" t="s">
        <v>5</v>
      </c>
      <c r="H11" s="4"/>
      <c r="R11" s="2" t="s">
        <v>9</v>
      </c>
      <c r="T11" s="4" t="s">
        <v>12</v>
      </c>
      <c r="V11" s="28" t="str">
        <f>MID(VLOOKUP($A11,Seqs!$A:$B,2,FALSE),VLOOKUP($A11,'SegEnds_NonXtal_Prot#'!A:AL,10,FALSE),1)</f>
        <v>D</v>
      </c>
      <c r="W11" s="49" t="str">
        <f>MID(VLOOKUP($A11,Seqs!$A:$B,2,FALSE),VLOOKUP($A11,'SegEnds_NonXtal_Prot#'!A:AL,10,FALSE)+6,1)</f>
        <v>L</v>
      </c>
      <c r="X11" s="49" t="str">
        <f>MID(VLOOKUP($A11,Seqs!$A:$B,2,FALSE),VLOOKUP($A11,'SegEnds_NonXtal_Prot#'!A:AL,10,FALSE)+7,1)</f>
        <v>V</v>
      </c>
      <c r="Y11" s="49" t="str">
        <f>MID(VLOOKUP($A11,Seqs!$A:$B,2,FALSE),VLOOKUP($A11,'SegEnds_NonXtal_Prot#'!A:AL,10,FALSE)+8,1)</f>
        <v>M</v>
      </c>
      <c r="Z11" s="49" t="str">
        <f>MID(VLOOKUP($A11,Seqs!$A:$B,2,FALSE),VLOOKUP($A11,'SegEnds_NonXtal_Prot#'!A:AL,10,FALSE)+9,1)</f>
        <v>P</v>
      </c>
      <c r="AA11" s="49" t="str">
        <f>MID(VLOOKUP($A11,Seqs!$A:$B,2,FALSE),VLOOKUP($A11,'SegEnds_NonXtal_Prot#'!A:AL,10,FALSE)+10,1)</f>
        <v>F</v>
      </c>
      <c r="AB11" s="28" t="str">
        <f>MID(VLOOKUP($A11,Seqs!$A:$B,2,FALSE),VLOOKUP($A11,'SegEnds_NonXtal_Prot#'!$A:$AL,22,FALSE)+6,1)</f>
        <v>I</v>
      </c>
      <c r="AC11" s="49" t="str">
        <f>MID(VLOOKUP($A11,Seqs!$A:$B,2,FALSE),VLOOKUP($A11,'SegEnds_NonXtal_Prot#'!$A:$AL,22,FALSE)+7,1)</f>
        <v>S</v>
      </c>
      <c r="AD11" s="49" t="str">
        <f>MID(VLOOKUP($A11,Seqs!$A:$B,2,FALSE),VLOOKUP($A11,'SegEnds_NonXtal_Prot#'!$A:$AL,22,FALSE)+8,1)</f>
        <v>F</v>
      </c>
      <c r="AE11" s="49" t="str">
        <f>MID(VLOOKUP($A11,Seqs!$A:$B,2,FALSE),VLOOKUP($A11,'SegEnds_NonXtal_Prot#'!$A:$AL,22,FALSE)+9,1)</f>
        <v>P</v>
      </c>
      <c r="AF11" s="49" t="str">
        <f>MID(VLOOKUP($A11,Seqs!$A:$B,2,FALSE),VLOOKUP($A11,'SegEnds_NonXtal_Prot#'!$A:$AL,22,FALSE)+10,1)</f>
        <v>P</v>
      </c>
      <c r="AG11" s="28" t="str">
        <f>MID(VLOOKUP($A11,Seqs!$A:$B,2,FALSE),VLOOKUP($A11,'SegEnds_NonXtal_Prot#'!$A:$AL,28,FALSE)-4,1)</f>
        <v>S</v>
      </c>
      <c r="AH11" s="49" t="str">
        <f>MID(VLOOKUP($A11,Seqs!$A:$B,2,FALSE),VLOOKUP($A11,'SegEnds_NonXtal_Prot#'!$A:$AL,28,FALSE),1)</f>
        <v>P</v>
      </c>
    </row>
    <row r="12" spans="1:34" s="2" customFormat="1" x14ac:dyDescent="0.2">
      <c r="A12" s="2" t="s">
        <v>220</v>
      </c>
      <c r="B12" s="2" t="str">
        <f>LOWER(VLOOKUP(A12,Xtal_Templ!A:B,2,FALSE))</f>
        <v>aa1r_human</v>
      </c>
      <c r="C12" s="2" t="str">
        <f>VLOOKUP(A12,Classification!A:D,2,FALSE)</f>
        <v>A</v>
      </c>
      <c r="D12" s="2" t="str">
        <f>IF(ISERROR(MATCH(A12,'SegEnds_Xtal_Prot#'!B:B, 0)), "NoXtal", "Xtal")</f>
        <v>NoXtal</v>
      </c>
      <c r="H12" s="4"/>
      <c r="R12" s="2" t="s">
        <v>9</v>
      </c>
      <c r="T12" s="4" t="s">
        <v>12</v>
      </c>
      <c r="V12" s="28" t="str">
        <f>MID(VLOOKUP($A12,Seqs!$A:$B,2,FALSE),VLOOKUP($A12,'SegEnds_NonXtal_Prot#'!A:AL,10,FALSE),1)</f>
        <v>D</v>
      </c>
      <c r="W12" s="49" t="str">
        <f>MID(VLOOKUP($A12,Seqs!$A:$B,2,FALSE),VLOOKUP($A12,'SegEnds_NonXtal_Prot#'!A:AL,10,FALSE)+6,1)</f>
        <v>L</v>
      </c>
      <c r="X12" s="49" t="str">
        <f>MID(VLOOKUP($A12,Seqs!$A:$B,2,FALSE),VLOOKUP($A12,'SegEnds_NonXtal_Prot#'!A:AL,10,FALSE)+7,1)</f>
        <v>H</v>
      </c>
      <c r="Y12" s="49" t="str">
        <f>MID(VLOOKUP($A12,Seqs!$A:$B,2,FALSE),VLOOKUP($A12,'SegEnds_NonXtal_Prot#'!A:AL,10,FALSE)+8,1)</f>
        <v>M</v>
      </c>
      <c r="Z12" s="49" t="str">
        <f>MID(VLOOKUP($A12,Seqs!$A:$B,2,FALSE),VLOOKUP($A12,'SegEnds_NonXtal_Prot#'!A:AL,10,FALSE)+9,1)</f>
        <v>L</v>
      </c>
      <c r="AA12" s="49" t="str">
        <f>MID(VLOOKUP($A12,Seqs!$A:$B,2,FALSE),VLOOKUP($A12,'SegEnds_NonXtal_Prot#'!A:AL,10,FALSE)+10,1)</f>
        <v>I</v>
      </c>
      <c r="AB12" s="28" t="str">
        <f>MID(VLOOKUP($A12,Seqs!$A:$B,2,FALSE),VLOOKUP($A12,'SegEnds_NonXtal_Prot#'!$A:$AL,22,FALSE)+6,1)</f>
        <v>F</v>
      </c>
      <c r="AC12" s="49" t="str">
        <f>MID(VLOOKUP($A12,Seqs!$A:$B,2,FALSE),VLOOKUP($A12,'SegEnds_NonXtal_Prot#'!$A:$AL,22,FALSE)+7,1)</f>
        <v>P</v>
      </c>
      <c r="AD12" s="49" t="str">
        <f>MID(VLOOKUP($A12,Seqs!$A:$B,2,FALSE),VLOOKUP($A12,'SegEnds_NonXtal_Prot#'!$A:$AL,22,FALSE)+8,1)</f>
        <v>T</v>
      </c>
      <c r="AE12" s="49" t="str">
        <f>MID(VLOOKUP($A12,Seqs!$A:$B,2,FALSE),VLOOKUP($A12,'SegEnds_NonXtal_Prot#'!$A:$AL,22,FALSE)+9,1)</f>
        <v>F</v>
      </c>
      <c r="AF12" s="49" t="str">
        <f>MID(VLOOKUP($A12,Seqs!$A:$B,2,FALSE),VLOOKUP($A12,'SegEnds_NonXtal_Prot#'!$A:$AL,22,FALSE)+10,1)</f>
        <v>L</v>
      </c>
      <c r="AG12" s="28" t="str">
        <f>MID(VLOOKUP($A12,Seqs!$A:$B,2,FALSE),VLOOKUP($A12,'SegEnds_NonXtal_Prot#'!$A:$AL,28,FALSE)-4,1)</f>
        <v>M</v>
      </c>
      <c r="AH12" s="49" t="str">
        <f>MID(VLOOKUP($A12,Seqs!$A:$B,2,FALSE),VLOOKUP($A12,'SegEnds_NonXtal_Prot#'!$A:$AL,28,FALSE),1)</f>
        <v>P</v>
      </c>
    </row>
    <row r="13" spans="1:34" s="2" customFormat="1" x14ac:dyDescent="0.2">
      <c r="A13" s="2" t="s">
        <v>227</v>
      </c>
      <c r="B13" s="2" t="str">
        <f>LOWER(VLOOKUP(A13,Xtal_Templ!A:B,2,FALSE))</f>
        <v>5ht1b_human</v>
      </c>
      <c r="C13" s="2" t="str">
        <f>VLOOKUP(A13,Classification!A:D,2,FALSE)</f>
        <v>A</v>
      </c>
      <c r="D13" s="2" t="str">
        <f>IF(ISERROR(MATCH(A13,'SegEnds_Xtal_Prot#'!B:B, 0)), "NoXtal", "Xtal")</f>
        <v>NoXtal</v>
      </c>
      <c r="G13" s="2" t="s">
        <v>5</v>
      </c>
      <c r="H13" s="4"/>
      <c r="R13" s="2" t="s">
        <v>9</v>
      </c>
      <c r="T13" s="4" t="s">
        <v>12</v>
      </c>
      <c r="V13" s="28" t="str">
        <f>MID(VLOOKUP($A13,Seqs!$A:$B,2,FALSE),VLOOKUP($A13,'SegEnds_NonXtal_Prot#'!A:AL,10,FALSE),1)</f>
        <v>N</v>
      </c>
      <c r="W13" s="49" t="str">
        <f>MID(VLOOKUP($A13,Seqs!$A:$B,2,FALSE),VLOOKUP($A13,'SegEnds_NonXtal_Prot#'!A:AL,10,FALSE)+6,1)</f>
        <v>L</v>
      </c>
      <c r="X13" s="49" t="str">
        <f>MID(VLOOKUP($A13,Seqs!$A:$B,2,FALSE),VLOOKUP($A13,'SegEnds_NonXtal_Prot#'!A:AL,10,FALSE)+7,1)</f>
        <v>V</v>
      </c>
      <c r="Y13" s="49" t="str">
        <f>MID(VLOOKUP($A13,Seqs!$A:$B,2,FALSE),VLOOKUP($A13,'SegEnds_NonXtal_Prot#'!A:AL,10,FALSE)+8,1)</f>
        <v>L</v>
      </c>
      <c r="Z13" s="49" t="str">
        <f>MID(VLOOKUP($A13,Seqs!$A:$B,2,FALSE),VLOOKUP($A13,'SegEnds_NonXtal_Prot#'!A:AL,10,FALSE)+9,1)</f>
        <v>P</v>
      </c>
      <c r="AA13" s="49" t="str">
        <f>MID(VLOOKUP($A13,Seqs!$A:$B,2,FALSE),VLOOKUP($A13,'SegEnds_NonXtal_Prot#'!A:AL,10,FALSE)+10,1)</f>
        <v>F</v>
      </c>
      <c r="AB13" s="28" t="str">
        <f>MID(VLOOKUP($A13,Seqs!$A:$B,2,FALSE),VLOOKUP($A13,'SegEnds_NonXtal_Prot#'!$A:$AL,22,FALSE)+6,1)</f>
        <v>G</v>
      </c>
      <c r="AC13" s="49" t="str">
        <f>MID(VLOOKUP($A13,Seqs!$A:$B,2,FALSE),VLOOKUP($A13,'SegEnds_NonXtal_Prot#'!$A:$AL,22,FALSE)+7,1)</f>
        <v>C</v>
      </c>
      <c r="AD13" s="49" t="str">
        <f>MID(VLOOKUP($A13,Seqs!$A:$B,2,FALSE),VLOOKUP($A13,'SegEnds_NonXtal_Prot#'!$A:$AL,22,FALSE)+8,1)</f>
        <v>L</v>
      </c>
      <c r="AE13" s="49" t="str">
        <f>MID(VLOOKUP($A13,Seqs!$A:$B,2,FALSE),VLOOKUP($A13,'SegEnds_NonXtal_Prot#'!$A:$AL,22,FALSE)+9,1)</f>
        <v>P</v>
      </c>
      <c r="AF13" s="49" t="str">
        <f>MID(VLOOKUP($A13,Seqs!$A:$B,2,FALSE),VLOOKUP($A13,'SegEnds_NonXtal_Prot#'!$A:$AL,22,FALSE)+10,1)</f>
        <v>P</v>
      </c>
      <c r="AG13" s="28" t="str">
        <f>MID(VLOOKUP($A13,Seqs!$A:$B,2,FALSE),VLOOKUP($A13,'SegEnds_NonXtal_Prot#'!$A:$AL,28,FALSE)-4,1)</f>
        <v>C</v>
      </c>
      <c r="AH13" s="49" t="str">
        <f>MID(VLOOKUP($A13,Seqs!$A:$B,2,FALSE),VLOOKUP($A13,'SegEnds_NonXtal_Prot#'!$A:$AL,28,FALSE),1)</f>
        <v>P</v>
      </c>
    </row>
    <row r="14" spans="1:34" s="2" customFormat="1" x14ac:dyDescent="0.2">
      <c r="A14" s="2" t="s">
        <v>265</v>
      </c>
      <c r="B14" s="2" t="str">
        <f>LOWER(VLOOKUP(A14,Xtal_Templ!A:B,2,FALSE))</f>
        <v>5ht2c_human</v>
      </c>
      <c r="C14" s="2" t="str">
        <f>VLOOKUP(A14,Classification!A:D,2,FALSE)</f>
        <v>A</v>
      </c>
      <c r="D14" s="2" t="str">
        <f>IF(ISERROR(MATCH(A14,'SegEnds_Xtal_Prot#'!B:B, 0)), "NoXtal", "Xtal")</f>
        <v>NoXtal</v>
      </c>
      <c r="G14" s="2" t="s">
        <v>5</v>
      </c>
      <c r="H14" s="4"/>
      <c r="N14" s="2" t="s">
        <v>14</v>
      </c>
      <c r="R14" s="2" t="s">
        <v>9</v>
      </c>
      <c r="T14" s="4" t="s">
        <v>12</v>
      </c>
      <c r="V14" s="28" t="str">
        <f>MID(VLOOKUP($A14,Seqs!$A:$B,2,FALSE),VLOOKUP($A14,'SegEnds_NonXtal_Prot#'!A:AL,10,FALSE),1)</f>
        <v>D</v>
      </c>
      <c r="W14" s="49" t="str">
        <f>MID(VLOOKUP($A14,Seqs!$A:$B,2,FALSE),VLOOKUP($A14,'SegEnds_NonXtal_Prot#'!A:AL,10,FALSE)+6,1)</f>
        <v>L</v>
      </c>
      <c r="X14" s="49" t="str">
        <f>MID(VLOOKUP($A14,Seqs!$A:$B,2,FALSE),VLOOKUP($A14,'SegEnds_NonXtal_Prot#'!A:AL,10,FALSE)+7,1)</f>
        <v>N</v>
      </c>
      <c r="Y14" s="49" t="str">
        <f>MID(VLOOKUP($A14,Seqs!$A:$B,2,FALSE),VLOOKUP($A14,'SegEnds_NonXtal_Prot#'!A:AL,10,FALSE)+8,1)</f>
        <v>M</v>
      </c>
      <c r="Z14" s="49" t="str">
        <f>MID(VLOOKUP($A14,Seqs!$A:$B,2,FALSE),VLOOKUP($A14,'SegEnds_NonXtal_Prot#'!A:AL,10,FALSE)+9,1)</f>
        <v>P</v>
      </c>
      <c r="AA14" s="49" t="str">
        <f>MID(VLOOKUP($A14,Seqs!$A:$B,2,FALSE),VLOOKUP($A14,'SegEnds_NonXtal_Prot#'!A:AL,10,FALSE)+10,1)</f>
        <v>F</v>
      </c>
      <c r="AB14" s="28" t="str">
        <f>MID(VLOOKUP($A14,Seqs!$A:$B,2,FALSE),VLOOKUP($A14,'SegEnds_NonXtal_Prot#'!$A:$AL,22,FALSE)+6,1)</f>
        <v>V</v>
      </c>
      <c r="AC14" s="49" t="str">
        <f>MID(VLOOKUP($A14,Seqs!$A:$B,2,FALSE),VLOOKUP($A14,'SegEnds_NonXtal_Prot#'!$A:$AL,22,FALSE)+7,1)</f>
        <v>A</v>
      </c>
      <c r="AD14" s="49" t="str">
        <f>MID(VLOOKUP($A14,Seqs!$A:$B,2,FALSE),VLOOKUP($A14,'SegEnds_NonXtal_Prot#'!$A:$AL,22,FALSE)+8,1)</f>
        <v>F</v>
      </c>
      <c r="AE14" s="49" t="str">
        <f>MID(VLOOKUP($A14,Seqs!$A:$B,2,FALSE),VLOOKUP($A14,'SegEnds_NonXtal_Prot#'!$A:$AL,22,FALSE)+9,1)</f>
        <v>P</v>
      </c>
      <c r="AF14" s="49" t="str">
        <f>MID(VLOOKUP($A14,Seqs!$A:$B,2,FALSE),VLOOKUP($A14,'SegEnds_NonXtal_Prot#'!$A:$AL,22,FALSE)+10,1)</f>
        <v>L</v>
      </c>
      <c r="AG14" s="28" t="str">
        <f>MID(VLOOKUP($A14,Seqs!$A:$B,2,FALSE),VLOOKUP($A14,'SegEnds_NonXtal_Prot#'!$A:$AL,28,FALSE)-4,1)</f>
        <v>S</v>
      </c>
      <c r="AH14" s="49" t="str">
        <f>MID(VLOOKUP($A14,Seqs!$A:$B,2,FALSE),VLOOKUP($A14,'SegEnds_NonXtal_Prot#'!$A:$AL,28,FALSE),1)</f>
        <v>P</v>
      </c>
    </row>
    <row r="15" spans="1:34" s="2" customFormat="1" x14ac:dyDescent="0.2">
      <c r="A15" s="2" t="s">
        <v>388</v>
      </c>
      <c r="B15" s="2" t="str">
        <f>LOWER(VLOOKUP(A15,Xtal_Templ!A:B,2,FALSE))</f>
        <v>drd2_human</v>
      </c>
      <c r="C15" s="2" t="str">
        <f>VLOOKUP(A15,Classification!A:D,2,FALSE)</f>
        <v>A</v>
      </c>
      <c r="D15" s="2" t="str">
        <f>IF(ISERROR(MATCH(A15,'SegEnds_Xtal_Prot#'!B:B, 0)), "NoXtal", "Xtal")</f>
        <v>NoXtal</v>
      </c>
      <c r="G15" s="2" t="s">
        <v>5</v>
      </c>
      <c r="H15" s="4"/>
      <c r="R15" s="2" t="s">
        <v>9</v>
      </c>
      <c r="T15" s="4" t="s">
        <v>12</v>
      </c>
      <c r="V15" s="28" t="str">
        <f>MID(VLOOKUP($A15,Seqs!$A:$B,2,FALSE),VLOOKUP($A15,'SegEnds_NonXtal_Prot#'!A:AL,10,FALSE),1)</f>
        <v>D</v>
      </c>
      <c r="W15" s="49" t="str">
        <f>MID(VLOOKUP($A15,Seqs!$A:$B,2,FALSE),VLOOKUP($A15,'SegEnds_NonXtal_Prot#'!A:AL,10,FALSE)+6,1)</f>
        <v>T</v>
      </c>
      <c r="X15" s="49" t="str">
        <f>MID(VLOOKUP($A15,Seqs!$A:$B,2,FALSE),VLOOKUP($A15,'SegEnds_NonXtal_Prot#'!A:AL,10,FALSE)+7,1)</f>
        <v>I</v>
      </c>
      <c r="Y15" s="49" t="str">
        <f>MID(VLOOKUP($A15,Seqs!$A:$B,2,FALSE),VLOOKUP($A15,'SegEnds_NonXtal_Prot#'!A:AL,10,FALSE)+8,1)</f>
        <v>M</v>
      </c>
      <c r="Z15" s="49" t="str">
        <f>MID(VLOOKUP($A15,Seqs!$A:$B,2,FALSE),VLOOKUP($A15,'SegEnds_NonXtal_Prot#'!A:AL,10,FALSE)+9,1)</f>
        <v>P</v>
      </c>
      <c r="AA15" s="49" t="str">
        <f>MID(VLOOKUP($A15,Seqs!$A:$B,2,FALSE),VLOOKUP($A15,'SegEnds_NonXtal_Prot#'!A:AL,10,FALSE)+10,1)</f>
        <v>Y</v>
      </c>
      <c r="AB15" s="28" t="str">
        <f>MID(VLOOKUP($A15,Seqs!$A:$B,2,FALSE),VLOOKUP($A15,'SegEnds_NonXtal_Prot#'!$A:$AL,22,FALSE)+6,1)</f>
        <v>F</v>
      </c>
      <c r="AC15" s="49" t="str">
        <f>MID(VLOOKUP($A15,Seqs!$A:$B,2,FALSE),VLOOKUP($A15,'SegEnds_NonXtal_Prot#'!$A:$AL,22,FALSE)+7,1)</f>
        <v>A</v>
      </c>
      <c r="AD15" s="49" t="str">
        <f>MID(VLOOKUP($A15,Seqs!$A:$B,2,FALSE),VLOOKUP($A15,'SegEnds_NonXtal_Prot#'!$A:$AL,22,FALSE)+8,1)</f>
        <v>F</v>
      </c>
      <c r="AE15" s="49" t="str">
        <f>MID(VLOOKUP($A15,Seqs!$A:$B,2,FALSE),VLOOKUP($A15,'SegEnds_NonXtal_Prot#'!$A:$AL,22,FALSE)+9,1)</f>
        <v>G</v>
      </c>
      <c r="AF15" s="49" t="str">
        <f>MID(VLOOKUP($A15,Seqs!$A:$B,2,FALSE),VLOOKUP($A15,'SegEnds_NonXtal_Prot#'!$A:$AL,22,FALSE)+10,1)</f>
        <v>V</v>
      </c>
      <c r="AG15" s="28" t="str">
        <f>MID(VLOOKUP($A15,Seqs!$A:$B,2,FALSE),VLOOKUP($A15,'SegEnds_NonXtal_Prot#'!$A:$AL,28,FALSE)-4,1)</f>
        <v>G</v>
      </c>
      <c r="AH15" s="49" t="str">
        <f>MID(VLOOKUP($A15,Seqs!$A:$B,2,FALSE),VLOOKUP($A15,'SegEnds_NonXtal_Prot#'!$A:$AL,28,FALSE),1)</f>
        <v>P</v>
      </c>
    </row>
    <row r="16" spans="1:34" s="2" customFormat="1" x14ac:dyDescent="0.2">
      <c r="A16" s="2" t="s">
        <v>389</v>
      </c>
      <c r="B16" s="2" t="str">
        <f>LOWER(VLOOKUP(A16,Xtal_Templ!A:B,2,FALSE))</f>
        <v>drd2_human</v>
      </c>
      <c r="C16" s="2" t="str">
        <f>VLOOKUP(A16,Classification!A:D,2,FALSE)</f>
        <v>A</v>
      </c>
      <c r="D16" s="2" t="str">
        <f>IF(ISERROR(MATCH(A16,'SegEnds_Xtal_Prot#'!B:B, 0)), "NoXtal", "Xtal")</f>
        <v>NoXtal</v>
      </c>
      <c r="G16" s="2" t="s">
        <v>5</v>
      </c>
      <c r="H16" s="4"/>
      <c r="R16" s="2" t="s">
        <v>9</v>
      </c>
      <c r="T16" s="4" t="s">
        <v>12</v>
      </c>
      <c r="V16" s="28" t="str">
        <f>MID(VLOOKUP($A16,Seqs!$A:$B,2,FALSE),VLOOKUP($A16,'SegEnds_NonXtal_Prot#'!A:AL,10,FALSE),1)</f>
        <v>D</v>
      </c>
      <c r="W16" s="49" t="str">
        <f>MID(VLOOKUP($A16,Seqs!$A:$B,2,FALSE),VLOOKUP($A16,'SegEnds_NonXtal_Prot#'!A:AL,10,FALSE)+6,1)</f>
        <v>V</v>
      </c>
      <c r="X16" s="49" t="str">
        <f>MID(VLOOKUP($A16,Seqs!$A:$B,2,FALSE),VLOOKUP($A16,'SegEnds_NonXtal_Prot#'!A:AL,10,FALSE)+7,1)</f>
        <v>I</v>
      </c>
      <c r="Y16" s="49" t="str">
        <f>MID(VLOOKUP($A16,Seqs!$A:$B,2,FALSE),VLOOKUP($A16,'SegEnds_NonXtal_Prot#'!A:AL,10,FALSE)+8,1)</f>
        <v>M</v>
      </c>
      <c r="Z16" s="49" t="str">
        <f>MID(VLOOKUP($A16,Seqs!$A:$B,2,FALSE),VLOOKUP($A16,'SegEnds_NonXtal_Prot#'!A:AL,10,FALSE)+9,1)</f>
        <v>P</v>
      </c>
      <c r="AA16" s="49" t="str">
        <f>MID(VLOOKUP($A16,Seqs!$A:$B,2,FALSE),VLOOKUP($A16,'SegEnds_NonXtal_Prot#'!A:AL,10,FALSE)+10,1)</f>
        <v>Y</v>
      </c>
      <c r="AB16" s="28" t="str">
        <f>MID(VLOOKUP($A16,Seqs!$A:$B,2,FALSE),VLOOKUP($A16,'SegEnds_NonXtal_Prot#'!$A:$AL,22,FALSE)+6,1)</f>
        <v>F</v>
      </c>
      <c r="AC16" s="49" t="str">
        <f>MID(VLOOKUP($A16,Seqs!$A:$B,2,FALSE),VLOOKUP($A16,'SegEnds_NonXtal_Prot#'!$A:$AL,22,FALSE)+7,1)</f>
        <v>S</v>
      </c>
      <c r="AD16" s="49" t="str">
        <f>MID(VLOOKUP($A16,Seqs!$A:$B,2,FALSE),VLOOKUP($A16,'SegEnds_NonXtal_Prot#'!$A:$AL,22,FALSE)+8,1)</f>
        <v>F</v>
      </c>
      <c r="AE16" s="49" t="str">
        <f>MID(VLOOKUP($A16,Seqs!$A:$B,2,FALSE),VLOOKUP($A16,'SegEnds_NonXtal_Prot#'!$A:$AL,22,FALSE)+9,1)</f>
        <v>G</v>
      </c>
      <c r="AF16" s="49" t="str">
        <f>MID(VLOOKUP($A16,Seqs!$A:$B,2,FALSE),VLOOKUP($A16,'SegEnds_NonXtal_Prot#'!$A:$AL,22,FALSE)+10,1)</f>
        <v>L</v>
      </c>
      <c r="AG16" s="28" t="str">
        <f>MID(VLOOKUP($A16,Seqs!$A:$B,2,FALSE),VLOOKUP($A16,'SegEnds_NonXtal_Prot#'!$A:$AL,28,FALSE)-4,1)</f>
        <v>C</v>
      </c>
      <c r="AH16" s="49" t="str">
        <f>MID(VLOOKUP($A16,Seqs!$A:$B,2,FALSE),VLOOKUP($A16,'SegEnds_NonXtal_Prot#'!$A:$AL,28,FALSE),1)</f>
        <v>P</v>
      </c>
    </row>
    <row r="17" spans="1:34" s="2" customFormat="1" x14ac:dyDescent="0.2">
      <c r="A17" s="2" t="s">
        <v>390</v>
      </c>
      <c r="B17" s="2" t="str">
        <f>LOWER(VLOOKUP(A17,Xtal_Templ!A:B,2,FALSE))</f>
        <v>5ht1b_human</v>
      </c>
      <c r="C17" s="2" t="str">
        <f>VLOOKUP(A17,Classification!A:D,2,FALSE)</f>
        <v>A</v>
      </c>
      <c r="D17" s="2" t="str">
        <f>IF(ISERROR(MATCH(A17,'SegEnds_Xtal_Prot#'!B:B, 0)), "NoXtal", "Xtal")</f>
        <v>NoXtal</v>
      </c>
      <c r="G17" s="2" t="s">
        <v>5</v>
      </c>
      <c r="H17" s="4"/>
      <c r="R17" s="2" t="s">
        <v>9</v>
      </c>
      <c r="T17" s="4" t="s">
        <v>12</v>
      </c>
      <c r="V17" s="28" t="str">
        <f>MID(VLOOKUP($A17,Seqs!$A:$B,2,FALSE),VLOOKUP($A17,'SegEnds_NonXtal_Prot#'!A:AL,10,FALSE),1)</f>
        <v>D</v>
      </c>
      <c r="W17" s="49" t="str">
        <f>MID(VLOOKUP($A17,Seqs!$A:$B,2,FALSE),VLOOKUP($A17,'SegEnds_NonXtal_Prot#'!A:AL,10,FALSE)+6,1)</f>
        <v>L</v>
      </c>
      <c r="X17" s="49" t="str">
        <f>MID(VLOOKUP($A17,Seqs!$A:$B,2,FALSE),VLOOKUP($A17,'SegEnds_NonXtal_Prot#'!A:AL,10,FALSE)+7,1)</f>
        <v>V</v>
      </c>
      <c r="Y17" s="49" t="str">
        <f>MID(VLOOKUP($A17,Seqs!$A:$B,2,FALSE),VLOOKUP($A17,'SegEnds_NonXtal_Prot#'!A:AL,10,FALSE)+8,1)</f>
        <v>L</v>
      </c>
      <c r="Z17" s="49" t="str">
        <f>MID(VLOOKUP($A17,Seqs!$A:$B,2,FALSE),VLOOKUP($A17,'SegEnds_NonXtal_Prot#'!A:AL,10,FALSE)+9,1)</f>
        <v>P</v>
      </c>
      <c r="AA17" s="49" t="str">
        <f>MID(VLOOKUP($A17,Seqs!$A:$B,2,FALSE),VLOOKUP($A17,'SegEnds_NonXtal_Prot#'!A:AL,10,FALSE)+10,1)</f>
        <v>L</v>
      </c>
      <c r="AB17" s="28" t="str">
        <f>MID(VLOOKUP($A17,Seqs!$A:$B,2,FALSE),VLOOKUP($A17,'SegEnds_NonXtal_Prot#'!$A:$AL,22,FALSE)+6,1)</f>
        <v>Y</v>
      </c>
      <c r="AC17" s="49" t="str">
        <f>MID(VLOOKUP($A17,Seqs!$A:$B,2,FALSE),VLOOKUP($A17,'SegEnds_NonXtal_Prot#'!$A:$AL,22,FALSE)+7,1)</f>
        <v>T</v>
      </c>
      <c r="AD17" s="49" t="str">
        <f>MID(VLOOKUP($A17,Seqs!$A:$B,2,FALSE),VLOOKUP($A17,'SegEnds_NonXtal_Prot#'!$A:$AL,22,FALSE)+8,1)</f>
        <v>S</v>
      </c>
      <c r="AE17" s="49" t="str">
        <f>MID(VLOOKUP($A17,Seqs!$A:$B,2,FALSE),VLOOKUP($A17,'SegEnds_NonXtal_Prot#'!$A:$AL,22,FALSE)+9,1)</f>
        <v>L</v>
      </c>
      <c r="AF17" s="49" t="str">
        <f>MID(VLOOKUP($A17,Seqs!$A:$B,2,FALSE),VLOOKUP($A17,'SegEnds_NonXtal_Prot#'!$A:$AL,22,FALSE)+10,1)</f>
        <v>F</v>
      </c>
      <c r="AG17" s="28" t="str">
        <f>MID(VLOOKUP($A17,Seqs!$A:$B,2,FALSE),VLOOKUP($A17,'SegEnds_NonXtal_Prot#'!$A:$AL,28,FALSE)-4,1)</f>
        <v>L</v>
      </c>
      <c r="AH17" s="49" t="str">
        <f>MID(VLOOKUP($A17,Seqs!$A:$B,2,FALSE),VLOOKUP($A17,'SegEnds_NonXtal_Prot#'!$A:$AL,28,FALSE),1)</f>
        <v>P</v>
      </c>
    </row>
    <row r="18" spans="1:34" s="2" customFormat="1" x14ac:dyDescent="0.2">
      <c r="A18" s="2" t="s">
        <v>391</v>
      </c>
      <c r="B18" s="2" t="str">
        <f>LOWER(VLOOKUP(A18,Xtal_Templ!A:B,2,FALSE))</f>
        <v>5ht1b_human</v>
      </c>
      <c r="C18" s="2" t="str">
        <f>VLOOKUP(A18,Classification!A:D,2,FALSE)</f>
        <v>A</v>
      </c>
      <c r="D18" s="2" t="str">
        <f>IF(ISERROR(MATCH(A18,'SegEnds_Xtal_Prot#'!B:B, 0)), "NoXtal", "Xtal")</f>
        <v>NoXtal</v>
      </c>
      <c r="G18" s="2" t="s">
        <v>5</v>
      </c>
      <c r="H18" s="4"/>
      <c r="R18" s="2" t="s">
        <v>9</v>
      </c>
      <c r="T18" s="4" t="s">
        <v>12</v>
      </c>
      <c r="V18" s="28" t="str">
        <f>MID(VLOOKUP($A18,Seqs!$A:$B,2,FALSE),VLOOKUP($A18,'SegEnds_NonXtal_Prot#'!A:AL,10,FALSE),1)</f>
        <v>D</v>
      </c>
      <c r="W18" s="49" t="str">
        <f>MID(VLOOKUP($A18,Seqs!$A:$B,2,FALSE),VLOOKUP($A18,'SegEnds_NonXtal_Prot#'!A:AL,10,FALSE)+6,1)</f>
        <v>T</v>
      </c>
      <c r="X18" s="49" t="str">
        <f>MID(VLOOKUP($A18,Seqs!$A:$B,2,FALSE),VLOOKUP($A18,'SegEnds_NonXtal_Prot#'!A:AL,10,FALSE)+7,1)</f>
        <v>V</v>
      </c>
      <c r="Y18" s="49" t="str">
        <f>MID(VLOOKUP($A18,Seqs!$A:$B,2,FALSE),VLOOKUP($A18,'SegEnds_NonXtal_Prot#'!A:AL,10,FALSE)+8,1)</f>
        <v>M</v>
      </c>
      <c r="Z18" s="49" t="str">
        <f>MID(VLOOKUP($A18,Seqs!$A:$B,2,FALSE),VLOOKUP($A18,'SegEnds_NonXtal_Prot#'!A:AL,10,FALSE)+9,1)</f>
        <v>P</v>
      </c>
      <c r="AA18" s="49" t="str">
        <f>MID(VLOOKUP($A18,Seqs!$A:$B,2,FALSE),VLOOKUP($A18,'SegEnds_NonXtal_Prot#'!A:AL,10,FALSE)+10,1)</f>
        <v>F</v>
      </c>
      <c r="AB18" s="28" t="str">
        <f>MID(VLOOKUP($A18,Seqs!$A:$B,2,FALSE),VLOOKUP($A18,'SegEnds_NonXtal_Prot#'!$A:$AL,22,FALSE)+6,1)</f>
        <v>Y</v>
      </c>
      <c r="AC18" s="49" t="str">
        <f>MID(VLOOKUP($A18,Seqs!$A:$B,2,FALSE),VLOOKUP($A18,'SegEnds_NonXtal_Prot#'!$A:$AL,22,FALSE)+7,1)</f>
        <v>S</v>
      </c>
      <c r="AD18" s="49" t="str">
        <f>MID(VLOOKUP($A18,Seqs!$A:$B,2,FALSE),VLOOKUP($A18,'SegEnds_NonXtal_Prot#'!$A:$AL,22,FALSE)+8,1)</f>
        <v>G</v>
      </c>
      <c r="AE18" s="49" t="str">
        <f>MID(VLOOKUP($A18,Seqs!$A:$B,2,FALSE),VLOOKUP($A18,'SegEnds_NonXtal_Prot#'!$A:$AL,22,FALSE)+9,1)</f>
        <v>A</v>
      </c>
      <c r="AF18" s="49" t="str">
        <f>MID(VLOOKUP($A18,Seqs!$A:$B,2,FALSE),VLOOKUP($A18,'SegEnds_NonXtal_Prot#'!$A:$AL,22,FALSE)+10,1)</f>
        <v>V</v>
      </c>
      <c r="AG18" s="28" t="str">
        <f>MID(VLOOKUP($A18,Seqs!$A:$B,2,FALSE),VLOOKUP($A18,'SegEnds_NonXtal_Prot#'!$A:$AL,28,FALSE)-4,1)</f>
        <v>S</v>
      </c>
      <c r="AH18" s="49" t="str">
        <f>MID(VLOOKUP($A18,Seqs!$A:$B,2,FALSE),VLOOKUP($A18,'SegEnds_NonXtal_Prot#'!$A:$AL,28,FALSE),1)</f>
        <v>P</v>
      </c>
    </row>
    <row r="19" spans="1:34" s="2" customFormat="1" x14ac:dyDescent="0.2">
      <c r="A19" s="2" t="s">
        <v>392</v>
      </c>
      <c r="B19" s="2" t="str">
        <f>LOWER(VLOOKUP(A19,Xtal_Templ!A:B,2,FALSE))</f>
        <v>5ht1b_human</v>
      </c>
      <c r="C19" s="2" t="str">
        <f>VLOOKUP(A19,Classification!A:D,2,FALSE)</f>
        <v>A</v>
      </c>
      <c r="D19" s="2" t="str">
        <f>IF(ISERROR(MATCH(A19,'SegEnds_Xtal_Prot#'!B:B, 0)), "NoXtal", "Xtal")</f>
        <v>NoXtal</v>
      </c>
      <c r="H19" s="4"/>
      <c r="R19" s="2" t="s">
        <v>9</v>
      </c>
      <c r="T19" s="4" t="s">
        <v>12</v>
      </c>
      <c r="V19" s="28" t="str">
        <f>MID(VLOOKUP($A19,Seqs!$A:$B,2,FALSE),VLOOKUP($A19,'SegEnds_NonXtal_Prot#'!A:AL,10,FALSE),1)</f>
        <v>D</v>
      </c>
      <c r="W19" s="49" t="str">
        <f>MID(VLOOKUP($A19,Seqs!$A:$B,2,FALSE),VLOOKUP($A19,'SegEnds_NonXtal_Prot#'!A:AL,10,FALSE)+6,1)</f>
        <v>T</v>
      </c>
      <c r="X19" s="49" t="str">
        <f>MID(VLOOKUP($A19,Seqs!$A:$B,2,FALSE),VLOOKUP($A19,'SegEnds_NonXtal_Prot#'!A:AL,10,FALSE)+7,1)</f>
        <v>V</v>
      </c>
      <c r="Y19" s="49" t="str">
        <f>MID(VLOOKUP($A19,Seqs!$A:$B,2,FALSE),VLOOKUP($A19,'SegEnds_NonXtal_Prot#'!A:AL,10,FALSE)+8,1)</f>
        <v>M</v>
      </c>
      <c r="Z19" s="49" t="str">
        <f>MID(VLOOKUP($A19,Seqs!$A:$B,2,FALSE),VLOOKUP($A19,'SegEnds_NonXtal_Prot#'!A:AL,10,FALSE)+9,1)</f>
        <v>L</v>
      </c>
      <c r="AA19" s="49" t="str">
        <f>MID(VLOOKUP($A19,Seqs!$A:$B,2,FALSE),VLOOKUP($A19,'SegEnds_NonXtal_Prot#'!A:AL,10,FALSE)+10,1)</f>
        <v>F</v>
      </c>
      <c r="AB19" s="28" t="str">
        <f>MID(VLOOKUP($A19,Seqs!$A:$B,2,FALSE),VLOOKUP($A19,'SegEnds_NonXtal_Prot#'!$A:$AL,22,FALSE)+6,1)</f>
        <v>Y</v>
      </c>
      <c r="AC19" s="49" t="str">
        <f>MID(VLOOKUP($A19,Seqs!$A:$B,2,FALSE),VLOOKUP($A19,'SegEnds_NonXtal_Prot#'!$A:$AL,22,FALSE)+7,1)</f>
        <v>S</v>
      </c>
      <c r="AD19" s="49" t="str">
        <f>MID(VLOOKUP($A19,Seqs!$A:$B,2,FALSE),VLOOKUP($A19,'SegEnds_NonXtal_Prot#'!$A:$AL,22,FALSE)+8,1)</f>
        <v>G</v>
      </c>
      <c r="AE19" s="49" t="str">
        <f>MID(VLOOKUP($A19,Seqs!$A:$B,2,FALSE),VLOOKUP($A19,'SegEnds_NonXtal_Prot#'!$A:$AL,22,FALSE)+9,1)</f>
        <v>A</v>
      </c>
      <c r="AF19" s="49" t="str">
        <f>MID(VLOOKUP($A19,Seqs!$A:$B,2,FALSE),VLOOKUP($A19,'SegEnds_NonXtal_Prot#'!$A:$AL,22,FALSE)+10,1)</f>
        <v>V</v>
      </c>
      <c r="AG19" s="28" t="str">
        <f>MID(VLOOKUP($A19,Seqs!$A:$B,2,FALSE),VLOOKUP($A19,'SegEnds_NonXtal_Prot#'!$A:$AL,28,FALSE)-4,1)</f>
        <v>L</v>
      </c>
      <c r="AH19" s="49" t="str">
        <f>MID(VLOOKUP($A19,Seqs!$A:$B,2,FALSE),VLOOKUP($A19,'SegEnds_NonXtal_Prot#'!$A:$AL,28,FALSE),1)</f>
        <v>P</v>
      </c>
    </row>
    <row r="20" spans="1:34" s="2" customFormat="1" x14ac:dyDescent="0.2">
      <c r="A20" s="2" t="s">
        <v>393</v>
      </c>
      <c r="B20" s="2" t="str">
        <f>LOWER(VLOOKUP(A20,Xtal_Templ!A:B,2,FALSE))</f>
        <v>5ht1b_human</v>
      </c>
      <c r="C20" s="2" t="str">
        <f>VLOOKUP(A20,Classification!A:D,2,FALSE)</f>
        <v>A</v>
      </c>
      <c r="D20" s="2" t="str">
        <f>IF(ISERROR(MATCH(A20,'SegEnds_Xtal_Prot#'!B:B, 0)), "NoXtal", "Xtal")</f>
        <v>NoXtal</v>
      </c>
      <c r="G20" s="2" t="s">
        <v>5</v>
      </c>
      <c r="H20" s="4"/>
      <c r="R20" s="2" t="s">
        <v>9</v>
      </c>
      <c r="T20" s="4" t="s">
        <v>12</v>
      </c>
      <c r="V20" s="28" t="str">
        <f>MID(VLOOKUP($A20,Seqs!$A:$B,2,FALSE),VLOOKUP($A20,'SegEnds_NonXtal_Prot#'!A:AL,10,FALSE),1)</f>
        <v>D</v>
      </c>
      <c r="W20" s="49" t="str">
        <f>MID(VLOOKUP($A20,Seqs!$A:$B,2,FALSE),VLOOKUP($A20,'SegEnds_NonXtal_Prot#'!A:AL,10,FALSE)+6,1)</f>
        <v>T</v>
      </c>
      <c r="X20" s="49" t="str">
        <f>MID(VLOOKUP($A20,Seqs!$A:$B,2,FALSE),VLOOKUP($A20,'SegEnds_NonXtal_Prot#'!A:AL,10,FALSE)+7,1)</f>
        <v>V</v>
      </c>
      <c r="Y20" s="49" t="str">
        <f>MID(VLOOKUP($A20,Seqs!$A:$B,2,FALSE),VLOOKUP($A20,'SegEnds_NonXtal_Prot#'!A:AL,10,FALSE)+8,1)</f>
        <v>M</v>
      </c>
      <c r="Z20" s="49" t="str">
        <f>MID(VLOOKUP($A20,Seqs!$A:$B,2,FALSE),VLOOKUP($A20,'SegEnds_NonXtal_Prot#'!A:AL,10,FALSE)+9,1)</f>
        <v>P</v>
      </c>
      <c r="AA20" s="49" t="str">
        <f>MID(VLOOKUP($A20,Seqs!$A:$B,2,FALSE),VLOOKUP($A20,'SegEnds_NonXtal_Prot#'!A:AL,10,FALSE)+10,1)</f>
        <v>F</v>
      </c>
      <c r="AB20" s="28" t="str">
        <f>MID(VLOOKUP($A20,Seqs!$A:$B,2,FALSE),VLOOKUP($A20,'SegEnds_NonXtal_Prot#'!$A:$AL,22,FALSE)+6,1)</f>
        <v>Y</v>
      </c>
      <c r="AC20" s="49" t="str">
        <f>MID(VLOOKUP($A20,Seqs!$A:$B,2,FALSE),VLOOKUP($A20,'SegEnds_NonXtal_Prot#'!$A:$AL,22,FALSE)+7,1)</f>
        <v>S</v>
      </c>
      <c r="AD20" s="49" t="str">
        <f>MID(VLOOKUP($A20,Seqs!$A:$B,2,FALSE),VLOOKUP($A20,'SegEnds_NonXtal_Prot#'!$A:$AL,22,FALSE)+8,1)</f>
        <v>F</v>
      </c>
      <c r="AE20" s="49" t="str">
        <f>MID(VLOOKUP($A20,Seqs!$A:$B,2,FALSE),VLOOKUP($A20,'SegEnds_NonXtal_Prot#'!$A:$AL,22,FALSE)+9,1)</f>
        <v>S</v>
      </c>
      <c r="AF20" s="49" t="str">
        <f>MID(VLOOKUP($A20,Seqs!$A:$B,2,FALSE),VLOOKUP($A20,'SegEnds_NonXtal_Prot#'!$A:$AL,22,FALSE)+10,1)</f>
        <v>I</v>
      </c>
      <c r="AG20" s="28" t="str">
        <f>MID(VLOOKUP($A20,Seqs!$A:$B,2,FALSE),VLOOKUP($A20,'SegEnds_NonXtal_Prot#'!$A:$AL,28,FALSE)-4,1)</f>
        <v>L</v>
      </c>
      <c r="AH20" s="49" t="str">
        <f>MID(VLOOKUP($A20,Seqs!$A:$B,2,FALSE),VLOOKUP($A20,'SegEnds_NonXtal_Prot#'!$A:$AL,28,FALSE),1)</f>
        <v>P</v>
      </c>
    </row>
    <row r="21" spans="1:34" s="2" customFormat="1" x14ac:dyDescent="0.2">
      <c r="A21" s="2" t="s">
        <v>132</v>
      </c>
      <c r="B21" s="2" t="str">
        <f>LOWER(VLOOKUP(A21,Xtal_Templ!A:B,2,FALSE))</f>
        <v>5ht2a_human</v>
      </c>
      <c r="C21" s="2" t="str">
        <f>VLOOKUP(A21,Classification!A:D,2,FALSE)</f>
        <v>A</v>
      </c>
      <c r="D21" s="2" t="str">
        <f>IF(ISERROR(MATCH(A21,'SegEnds_Xtal_Prot#'!B:B, 0)), "NoXtal", "Xtal")</f>
        <v>Xtal</v>
      </c>
      <c r="G21" s="2" t="s">
        <v>5</v>
      </c>
      <c r="H21" s="4"/>
      <c r="N21" s="2" t="s">
        <v>14</v>
      </c>
      <c r="R21" s="2" t="s">
        <v>9</v>
      </c>
      <c r="T21" s="4" t="s">
        <v>12</v>
      </c>
      <c r="V21" s="28" t="str">
        <f>MID(VLOOKUP($A21,Seqs!$A:$B,2,FALSE),VLOOKUP($A21,'SegEnds_NonXtal_Prot#'!A:AL,10,FALSE),1)</f>
        <v>D</v>
      </c>
      <c r="W21" s="49" t="str">
        <f>MID(VLOOKUP($A21,Seqs!$A:$B,2,FALSE),VLOOKUP($A21,'SegEnds_NonXtal_Prot#'!A:AL,10,FALSE)+6,1)</f>
        <v>L</v>
      </c>
      <c r="X21" s="49" t="str">
        <f>MID(VLOOKUP($A21,Seqs!$A:$B,2,FALSE),VLOOKUP($A21,'SegEnds_NonXtal_Prot#'!A:AL,10,FALSE)+7,1)</f>
        <v>V</v>
      </c>
      <c r="Y21" s="49" t="str">
        <f>MID(VLOOKUP($A21,Seqs!$A:$B,2,FALSE),VLOOKUP($A21,'SegEnds_NonXtal_Prot#'!A:AL,10,FALSE)+8,1)</f>
        <v>M</v>
      </c>
      <c r="Z21" s="49" t="str">
        <f>MID(VLOOKUP($A21,Seqs!$A:$B,2,FALSE),VLOOKUP($A21,'SegEnds_NonXtal_Prot#'!A:AL,10,FALSE)+9,1)</f>
        <v>P</v>
      </c>
      <c r="AA21" s="49" t="str">
        <f>MID(VLOOKUP($A21,Seqs!$A:$B,2,FALSE),VLOOKUP($A21,'SegEnds_NonXtal_Prot#'!A:AL,10,FALSE)+10,1)</f>
        <v>V</v>
      </c>
      <c r="AB21" s="28" t="str">
        <f>MID(VLOOKUP($A21,Seqs!$A:$B,2,FALSE),VLOOKUP($A21,'SegEnds_NonXtal_Prot#'!$A:$AL,22,FALSE)+6,1)</f>
        <v>I</v>
      </c>
      <c r="AC21" s="49" t="str">
        <f>MID(VLOOKUP($A21,Seqs!$A:$B,2,FALSE),VLOOKUP($A21,'SegEnds_NonXtal_Prot#'!$A:$AL,22,FALSE)+7,1)</f>
        <v>S</v>
      </c>
      <c r="AD21" s="49" t="str">
        <f>MID(VLOOKUP($A21,Seqs!$A:$B,2,FALSE),VLOOKUP($A21,'SegEnds_NonXtal_Prot#'!$A:$AL,22,FALSE)+8,1)</f>
        <v>M</v>
      </c>
      <c r="AE21" s="49" t="str">
        <f>MID(VLOOKUP($A21,Seqs!$A:$B,2,FALSE),VLOOKUP($A21,'SegEnds_NonXtal_Prot#'!$A:$AL,22,FALSE)+9,1)</f>
        <v>P</v>
      </c>
      <c r="AF21" s="49" t="str">
        <f>MID(VLOOKUP($A21,Seqs!$A:$B,2,FALSE),VLOOKUP($A21,'SegEnds_NonXtal_Prot#'!$A:$AL,22,FALSE)+10,1)</f>
        <v>I</v>
      </c>
      <c r="AG21" s="28" t="str">
        <f>MID(VLOOKUP($A21,Seqs!$A:$B,2,FALSE),VLOOKUP($A21,'SegEnds_NonXtal_Prot#'!$A:$AL,28,FALSE)-4,1)</f>
        <v>S</v>
      </c>
      <c r="AH21" s="49" t="str">
        <f>MID(VLOOKUP($A21,Seqs!$A:$B,2,FALSE),VLOOKUP($A21,'SegEnds_NonXtal_Prot#'!$A:$AL,28,FALSE),1)</f>
        <v>P</v>
      </c>
    </row>
    <row r="22" spans="1:34" s="2" customFormat="1" x14ac:dyDescent="0.2">
      <c r="A22" s="2" t="s">
        <v>35</v>
      </c>
      <c r="B22" s="2" t="str">
        <f>LOWER(VLOOKUP(A22,Xtal_Templ!A:B,2,FALSE))</f>
        <v>5ht2b_human</v>
      </c>
      <c r="C22" s="2" t="str">
        <f>VLOOKUP(A22,Classification!A:D,2,FALSE)</f>
        <v>A</v>
      </c>
      <c r="D22" s="2" t="str">
        <f>IF(ISERROR(MATCH(A22,'SegEnds_Xtal_Prot#'!B:B, 0)), "NoXtal", "Xtal")</f>
        <v>Xtal</v>
      </c>
      <c r="F22" s="2" t="s">
        <v>13</v>
      </c>
      <c r="G22" s="2" t="s">
        <v>5</v>
      </c>
      <c r="H22" s="4"/>
      <c r="N22" s="2" t="s">
        <v>14</v>
      </c>
      <c r="R22" s="2" t="s">
        <v>9</v>
      </c>
      <c r="T22" s="4" t="s">
        <v>12</v>
      </c>
      <c r="V22" s="28" t="str">
        <f>MID(VLOOKUP($A22,Seqs!$A:$B,2,FALSE),VLOOKUP($A22,'SegEnds_NonXtal_Prot#'!A:AL,10,FALSE),1)</f>
        <v>D</v>
      </c>
      <c r="W22" s="49" t="str">
        <f>MID(VLOOKUP($A22,Seqs!$A:$B,2,FALSE),VLOOKUP($A22,'SegEnds_NonXtal_Prot#'!A:AL,10,FALSE)+6,1)</f>
        <v>F</v>
      </c>
      <c r="X22" s="49" t="str">
        <f>MID(VLOOKUP($A22,Seqs!$A:$B,2,FALSE),VLOOKUP($A22,'SegEnds_NonXtal_Prot#'!A:AL,10,FALSE)+7,1)</f>
        <v>V</v>
      </c>
      <c r="Y22" s="49" t="str">
        <f>MID(VLOOKUP($A22,Seqs!$A:$B,2,FALSE),VLOOKUP($A22,'SegEnds_NonXtal_Prot#'!A:AL,10,FALSE)+8,1)</f>
        <v>M</v>
      </c>
      <c r="Z22" s="49" t="str">
        <f>MID(VLOOKUP($A22,Seqs!$A:$B,2,FALSE),VLOOKUP($A22,'SegEnds_NonXtal_Prot#'!A:AL,10,FALSE)+9,1)</f>
        <v>P</v>
      </c>
      <c r="AA22" s="49" t="str">
        <f>MID(VLOOKUP($A22,Seqs!$A:$B,2,FALSE),VLOOKUP($A22,'SegEnds_NonXtal_Prot#'!A:AL,10,FALSE)+10,1)</f>
        <v>I</v>
      </c>
      <c r="AB22" s="28" t="str">
        <f>MID(VLOOKUP($A22,Seqs!$A:$B,2,FALSE),VLOOKUP($A22,'SegEnds_NonXtal_Prot#'!$A:$AL,22,FALSE)+6,1)</f>
        <v>I</v>
      </c>
      <c r="AC22" s="49" t="str">
        <f>MID(VLOOKUP($A22,Seqs!$A:$B,2,FALSE),VLOOKUP($A22,'SegEnds_NonXtal_Prot#'!$A:$AL,22,FALSE)+7,1)</f>
        <v>A</v>
      </c>
      <c r="AD22" s="49" t="str">
        <f>MID(VLOOKUP($A22,Seqs!$A:$B,2,FALSE),VLOOKUP($A22,'SegEnds_NonXtal_Prot#'!$A:$AL,22,FALSE)+8,1)</f>
        <v>I</v>
      </c>
      <c r="AE22" s="49" t="str">
        <f>MID(VLOOKUP($A22,Seqs!$A:$B,2,FALSE),VLOOKUP($A22,'SegEnds_NonXtal_Prot#'!$A:$AL,22,FALSE)+9,1)</f>
        <v>P</v>
      </c>
      <c r="AF22" s="49" t="str">
        <f>MID(VLOOKUP($A22,Seqs!$A:$B,2,FALSE),VLOOKUP($A22,'SegEnds_NonXtal_Prot#'!$A:$AL,22,FALSE)+10,1)</f>
        <v>V</v>
      </c>
      <c r="AG22" s="28" t="str">
        <f>MID(VLOOKUP($A22,Seqs!$A:$B,2,FALSE),VLOOKUP($A22,'SegEnds_NonXtal_Prot#'!$A:$AL,28,FALSE)-4,1)</f>
        <v>A</v>
      </c>
      <c r="AH22" s="49" t="str">
        <f>MID(VLOOKUP($A22,Seqs!$A:$B,2,FALSE),VLOOKUP($A22,'SegEnds_NonXtal_Prot#'!$A:$AL,28,FALSE),1)</f>
        <v>P</v>
      </c>
    </row>
    <row r="23" spans="1:34" s="2" customFormat="1" x14ac:dyDescent="0.2">
      <c r="A23" s="2" t="s">
        <v>133</v>
      </c>
      <c r="B23" s="2" t="str">
        <f>LOWER(VLOOKUP(A23,Xtal_Templ!A:B,2,FALSE))</f>
        <v>5ht2c_human</v>
      </c>
      <c r="C23" s="2" t="str">
        <f>VLOOKUP(A23,Classification!A:D,2,FALSE)</f>
        <v>A</v>
      </c>
      <c r="D23" s="2" t="str">
        <f>IF(ISERROR(MATCH(A23,'SegEnds_Xtal_Prot#'!B:B, 0)), "NoXtal", "Xtal")</f>
        <v>Xtal</v>
      </c>
      <c r="E23" s="2" t="s">
        <v>1481</v>
      </c>
      <c r="G23" s="2" t="s">
        <v>5</v>
      </c>
      <c r="H23" s="4"/>
      <c r="N23" s="2" t="s">
        <v>14</v>
      </c>
      <c r="R23" s="2" t="s">
        <v>9</v>
      </c>
      <c r="T23" s="4" t="s">
        <v>12</v>
      </c>
      <c r="V23" s="28" t="str">
        <f>MID(VLOOKUP($A23,Seqs!$A:$B,2,FALSE),VLOOKUP($A23,'SegEnds_NonXtal_Prot#'!A:AL,10,FALSE),1)</f>
        <v>D</v>
      </c>
      <c r="W23" s="49" t="str">
        <f>MID(VLOOKUP($A23,Seqs!$A:$B,2,FALSE),VLOOKUP($A23,'SegEnds_NonXtal_Prot#'!A:AL,10,FALSE)+6,1)</f>
        <v>L</v>
      </c>
      <c r="X23" s="49" t="str">
        <f>MID(VLOOKUP($A23,Seqs!$A:$B,2,FALSE),VLOOKUP($A23,'SegEnds_NonXtal_Prot#'!A:AL,10,FALSE)+7,1)</f>
        <v>V</v>
      </c>
      <c r="Y23" s="49" t="str">
        <f>MID(VLOOKUP($A23,Seqs!$A:$B,2,FALSE),VLOOKUP($A23,'SegEnds_NonXtal_Prot#'!A:AL,10,FALSE)+8,1)</f>
        <v>M</v>
      </c>
      <c r="Z23" s="49" t="str">
        <f>MID(VLOOKUP($A23,Seqs!$A:$B,2,FALSE),VLOOKUP($A23,'SegEnds_NonXtal_Prot#'!A:AL,10,FALSE)+9,1)</f>
        <v>P</v>
      </c>
      <c r="AA23" s="49" t="str">
        <f>MID(VLOOKUP($A23,Seqs!$A:$B,2,FALSE),VLOOKUP($A23,'SegEnds_NonXtal_Prot#'!A:AL,10,FALSE)+10,1)</f>
        <v>L</v>
      </c>
      <c r="AB23" s="28" t="str">
        <f>MID(VLOOKUP($A23,Seqs!$A:$B,2,FALSE),VLOOKUP($A23,'SegEnds_NonXtal_Prot#'!$A:$AL,22,FALSE)+6,1)</f>
        <v>V</v>
      </c>
      <c r="AC23" s="49" t="str">
        <f>MID(VLOOKUP($A23,Seqs!$A:$B,2,FALSE),VLOOKUP($A23,'SegEnds_NonXtal_Prot#'!$A:$AL,22,FALSE)+7,1)</f>
        <v>S</v>
      </c>
      <c r="AD23" s="49" t="str">
        <f>MID(VLOOKUP($A23,Seqs!$A:$B,2,FALSE),VLOOKUP($A23,'SegEnds_NonXtal_Prot#'!$A:$AL,22,FALSE)+8,1)</f>
        <v>V</v>
      </c>
      <c r="AE23" s="49" t="str">
        <f>MID(VLOOKUP($A23,Seqs!$A:$B,2,FALSE),VLOOKUP($A23,'SegEnds_NonXtal_Prot#'!$A:$AL,22,FALSE)+9,1)</f>
        <v>P</v>
      </c>
      <c r="AF23" s="49" t="str">
        <f>MID(VLOOKUP($A23,Seqs!$A:$B,2,FALSE),VLOOKUP($A23,'SegEnds_NonXtal_Prot#'!$A:$AL,22,FALSE)+10,1)</f>
        <v>I</v>
      </c>
      <c r="AG23" s="28" t="str">
        <f>MID(VLOOKUP($A23,Seqs!$A:$B,2,FALSE),VLOOKUP($A23,'SegEnds_NonXtal_Prot#'!$A:$AL,28,FALSE)-4,1)</f>
        <v>A</v>
      </c>
      <c r="AH23" s="49" t="str">
        <f>MID(VLOOKUP($A23,Seqs!$A:$B,2,FALSE),VLOOKUP($A23,'SegEnds_NonXtal_Prot#'!$A:$AL,28,FALSE),1)</f>
        <v>P</v>
      </c>
    </row>
    <row r="24" spans="1:34" s="2" customFormat="1" x14ac:dyDescent="0.2">
      <c r="A24" s="2" t="s">
        <v>230</v>
      </c>
      <c r="B24" s="2" t="str">
        <f>LOWER(VLOOKUP(A24,Xtal_Templ!A:B,2,FALSE))</f>
        <v>5ht2a_human</v>
      </c>
      <c r="C24" s="2" t="str">
        <f>VLOOKUP(A24,Classification!A:D,2,FALSE)</f>
        <v>A</v>
      </c>
      <c r="D24" s="2" t="str">
        <f>IF(ISERROR(MATCH(A24,'SegEnds_Xtal_Prot#'!B:B, 0)), "NoXtal", "Xtal")</f>
        <v>NoXtal</v>
      </c>
      <c r="G24" s="2" t="s">
        <v>5</v>
      </c>
      <c r="H24" s="4"/>
      <c r="R24" s="2" t="s">
        <v>9</v>
      </c>
      <c r="T24" s="4" t="s">
        <v>12</v>
      </c>
      <c r="V24" s="28" t="str">
        <f>MID(VLOOKUP($A24,Seqs!$A:$B,2,FALSE),VLOOKUP($A24,'SegEnds_NonXtal_Prot#'!A:AL,10,FALSE),1)</f>
        <v>D</v>
      </c>
      <c r="W24" s="49" t="str">
        <f>MID(VLOOKUP($A24,Seqs!$A:$B,2,FALSE),VLOOKUP($A24,'SegEnds_NonXtal_Prot#'!A:AL,10,FALSE)+6,1)</f>
        <v>V</v>
      </c>
      <c r="X24" s="49" t="str">
        <f>MID(VLOOKUP($A24,Seqs!$A:$B,2,FALSE),VLOOKUP($A24,'SegEnds_NonXtal_Prot#'!A:AL,10,FALSE)+7,1)</f>
        <v>C</v>
      </c>
      <c r="Y24" s="49" t="str">
        <f>MID(VLOOKUP($A24,Seqs!$A:$B,2,FALSE),VLOOKUP($A24,'SegEnds_NonXtal_Prot#'!A:AL,10,FALSE)+8,1)</f>
        <v>F</v>
      </c>
      <c r="Z24" s="49" t="str">
        <f>MID(VLOOKUP($A24,Seqs!$A:$B,2,FALSE),VLOOKUP($A24,'SegEnds_NonXtal_Prot#'!A:AL,10,FALSE)+9,1)</f>
        <v>P</v>
      </c>
      <c r="AA24" s="49" t="str">
        <f>MID(VLOOKUP($A24,Seqs!$A:$B,2,FALSE),VLOOKUP($A24,'SegEnds_NonXtal_Prot#'!A:AL,10,FALSE)+10,1)</f>
        <v>F</v>
      </c>
      <c r="AB24" s="28" t="str">
        <f>MID(VLOOKUP($A24,Seqs!$A:$B,2,FALSE),VLOOKUP($A24,'SegEnds_NonXtal_Prot#'!$A:$AL,22,FALSE)+6,1)</f>
        <v>M</v>
      </c>
      <c r="AC24" s="49" t="str">
        <f>MID(VLOOKUP($A24,Seqs!$A:$B,2,FALSE),VLOOKUP($A24,'SegEnds_NonXtal_Prot#'!$A:$AL,22,FALSE)+7,1)</f>
        <v>A</v>
      </c>
      <c r="AD24" s="49" t="str">
        <f>MID(VLOOKUP($A24,Seqs!$A:$B,2,FALSE),VLOOKUP($A24,'SegEnds_NonXtal_Prot#'!$A:$AL,22,FALSE)+8,1)</f>
        <v>F</v>
      </c>
      <c r="AE24" s="49" t="str">
        <f>MID(VLOOKUP($A24,Seqs!$A:$B,2,FALSE),VLOOKUP($A24,'SegEnds_NonXtal_Prot#'!$A:$AL,22,FALSE)+9,1)</f>
        <v>P</v>
      </c>
      <c r="AF24" s="49" t="str">
        <f>MID(VLOOKUP($A24,Seqs!$A:$B,2,FALSE),VLOOKUP($A24,'SegEnds_NonXtal_Prot#'!$A:$AL,22,FALSE)+10,1)</f>
        <v>P</v>
      </c>
      <c r="AG24" s="28" t="str">
        <f>MID(VLOOKUP($A24,Seqs!$A:$B,2,FALSE),VLOOKUP($A24,'SegEnds_NonXtal_Prot#'!$A:$AL,28,FALSE)-4,1)</f>
        <v>T</v>
      </c>
      <c r="AH24" s="49" t="str">
        <f>MID(VLOOKUP($A24,Seqs!$A:$B,2,FALSE),VLOOKUP($A24,'SegEnds_NonXtal_Prot#'!$A:$AL,28,FALSE),1)</f>
        <v>P</v>
      </c>
    </row>
    <row r="25" spans="1:34" s="2" customFormat="1" x14ac:dyDescent="0.2">
      <c r="A25" s="2" t="s">
        <v>248</v>
      </c>
      <c r="B25" s="2" t="str">
        <f>LOWER(VLOOKUP(A25,Xtal_Templ!A:B,2,FALSE))</f>
        <v>ox1r_human</v>
      </c>
      <c r="C25" s="2" t="str">
        <f>VLOOKUP(A25,Classification!A:D,2,FALSE)</f>
        <v>A</v>
      </c>
      <c r="D25" s="2" t="str">
        <f>IF(ISERROR(MATCH(A25,'SegEnds_Xtal_Prot#'!B:B, 0)), "NoXtal", "Xtal")</f>
        <v>NoXtal</v>
      </c>
      <c r="G25" s="2" t="s">
        <v>5</v>
      </c>
      <c r="H25" s="4"/>
      <c r="T25" s="4" t="s">
        <v>12</v>
      </c>
      <c r="V25" s="28" t="str">
        <f>MID(VLOOKUP($A25,Seqs!$A:$B,2,FALSE),VLOOKUP($A25,'SegEnds_NonXtal_Prot#'!A:AL,10,FALSE),1)</f>
        <v>D</v>
      </c>
      <c r="W25" s="49" t="str">
        <f>MID(VLOOKUP($A25,Seqs!$A:$B,2,FALSE),VLOOKUP($A25,'SegEnds_NonXtal_Prot#'!A:AL,10,FALSE)+6,1)</f>
        <v>A</v>
      </c>
      <c r="X25" s="49" t="str">
        <f>MID(VLOOKUP($A25,Seqs!$A:$B,2,FALSE),VLOOKUP($A25,'SegEnds_NonXtal_Prot#'!A:AL,10,FALSE)+7,1)</f>
        <v>C</v>
      </c>
      <c r="Y25" s="49" t="str">
        <f>MID(VLOOKUP($A25,Seqs!$A:$B,2,FALSE),VLOOKUP($A25,'SegEnds_NonXtal_Prot#'!A:AL,10,FALSE)+8,1)</f>
        <v>L</v>
      </c>
      <c r="Z25" s="49" t="str">
        <f>MID(VLOOKUP($A25,Seqs!$A:$B,2,FALSE),VLOOKUP($A25,'SegEnds_NonXtal_Prot#'!A:AL,10,FALSE)+9,1)</f>
        <v>P</v>
      </c>
      <c r="AA25" s="49" t="str">
        <f>MID(VLOOKUP($A25,Seqs!$A:$B,2,FALSE),VLOOKUP($A25,'SegEnds_NonXtal_Prot#'!A:AL,10,FALSE)+10,1)</f>
        <v>A</v>
      </c>
      <c r="AB25" s="28" t="str">
        <f>MID(VLOOKUP($A25,Seqs!$A:$B,2,FALSE),VLOOKUP($A25,'SegEnds_NonXtal_Prot#'!$A:$AL,22,FALSE)+6,1)</f>
        <v>A</v>
      </c>
      <c r="AC25" s="49" t="str">
        <f>MID(VLOOKUP($A25,Seqs!$A:$B,2,FALSE),VLOOKUP($A25,'SegEnds_NonXtal_Prot#'!$A:$AL,22,FALSE)+7,1)</f>
        <v>A</v>
      </c>
      <c r="AD25" s="49" t="str">
        <f>MID(VLOOKUP($A25,Seqs!$A:$B,2,FALSE),VLOOKUP($A25,'SegEnds_NonXtal_Prot#'!$A:$AL,22,FALSE)+8,1)</f>
        <v>F</v>
      </c>
      <c r="AE25" s="49" t="str">
        <f>MID(VLOOKUP($A25,Seqs!$A:$B,2,FALSE),VLOOKUP($A25,'SegEnds_NonXtal_Prot#'!$A:$AL,22,FALSE)+9,1)</f>
        <v>P</v>
      </c>
      <c r="AF25" s="49" t="str">
        <f>MID(VLOOKUP($A25,Seqs!$A:$B,2,FALSE),VLOOKUP($A25,'SegEnds_NonXtal_Prot#'!$A:$AL,22,FALSE)+10,1)</f>
        <v>P</v>
      </c>
      <c r="AG25" s="28" t="str">
        <f>MID(VLOOKUP($A25,Seqs!$A:$B,2,FALSE),VLOOKUP($A25,'SegEnds_NonXtal_Prot#'!$A:$AL,28,FALSE)-4,1)</f>
        <v>G</v>
      </c>
      <c r="AH25" s="49" t="str">
        <f>MID(VLOOKUP($A25,Seqs!$A:$B,2,FALSE),VLOOKUP($A25,'SegEnds_NonXtal_Prot#'!$A:$AL,28,FALSE),1)</f>
        <v>L</v>
      </c>
    </row>
    <row r="26" spans="1:34" s="2" customFormat="1" x14ac:dyDescent="0.2">
      <c r="A26" s="2" t="s">
        <v>271</v>
      </c>
      <c r="B26" s="2" t="str">
        <f>LOWER(VLOOKUP(A26,Xtal_Templ!A:B,2,FALSE))</f>
        <v>5ht2c_human</v>
      </c>
      <c r="C26" s="2" t="str">
        <f>VLOOKUP(A26,Classification!A:D,2,FALSE)</f>
        <v>A</v>
      </c>
      <c r="D26" s="2" t="str">
        <f>IF(ISERROR(MATCH(A26,'SegEnds_Xtal_Prot#'!B:B, 0)), "NoXtal", "Xtal")</f>
        <v>NoXtal</v>
      </c>
      <c r="G26" s="2" t="s">
        <v>5</v>
      </c>
      <c r="H26" s="4"/>
      <c r="R26" s="2" t="s">
        <v>9</v>
      </c>
      <c r="T26" s="4" t="s">
        <v>12</v>
      </c>
      <c r="V26" s="28" t="str">
        <f>MID(VLOOKUP($A26,Seqs!$A:$B,2,FALSE),VLOOKUP($A26,'SegEnds_NonXtal_Prot#'!A:AL,10,FALSE),1)</f>
        <v>D</v>
      </c>
      <c r="W26" s="49" t="str">
        <f>MID(VLOOKUP($A26,Seqs!$A:$B,2,FALSE),VLOOKUP($A26,'SegEnds_NonXtal_Prot#'!A:AL,10,FALSE)+6,1)</f>
        <v>I</v>
      </c>
      <c r="X26" s="49" t="str">
        <f>MID(VLOOKUP($A26,Seqs!$A:$B,2,FALSE),VLOOKUP($A26,'SegEnds_NonXtal_Prot#'!A:AL,10,FALSE)+7,1)</f>
        <v>C</v>
      </c>
      <c r="Y26" s="49" t="str">
        <f>MID(VLOOKUP($A26,Seqs!$A:$B,2,FALSE),VLOOKUP($A26,'SegEnds_NonXtal_Prot#'!A:AL,10,FALSE)+8,1)</f>
        <v>F</v>
      </c>
      <c r="Z26" s="49" t="str">
        <f>MID(VLOOKUP($A26,Seqs!$A:$B,2,FALSE),VLOOKUP($A26,'SegEnds_NonXtal_Prot#'!A:AL,10,FALSE)+9,1)</f>
        <v>P</v>
      </c>
      <c r="AA26" s="49" t="str">
        <f>MID(VLOOKUP($A26,Seqs!$A:$B,2,FALSE),VLOOKUP($A26,'SegEnds_NonXtal_Prot#'!A:AL,10,FALSE)+10,1)</f>
        <v>F</v>
      </c>
      <c r="AB26" s="28" t="str">
        <f>MID(VLOOKUP($A26,Seqs!$A:$B,2,FALSE),VLOOKUP($A26,'SegEnds_NonXtal_Prot#'!$A:$AL,22,FALSE)+6,1)</f>
        <v>M</v>
      </c>
      <c r="AC26" s="49" t="str">
        <f>MID(VLOOKUP($A26,Seqs!$A:$B,2,FALSE),VLOOKUP($A26,'SegEnds_NonXtal_Prot#'!$A:$AL,22,FALSE)+7,1)</f>
        <v>A</v>
      </c>
      <c r="AD26" s="49" t="str">
        <f>MID(VLOOKUP($A26,Seqs!$A:$B,2,FALSE),VLOOKUP($A26,'SegEnds_NonXtal_Prot#'!$A:$AL,22,FALSE)+8,1)</f>
        <v>F</v>
      </c>
      <c r="AE26" s="49" t="str">
        <f>MID(VLOOKUP($A26,Seqs!$A:$B,2,FALSE),VLOOKUP($A26,'SegEnds_NonXtal_Prot#'!$A:$AL,22,FALSE)+9,1)</f>
        <v>P</v>
      </c>
      <c r="AF26" s="49" t="str">
        <f>MID(VLOOKUP($A26,Seqs!$A:$B,2,FALSE),VLOOKUP($A26,'SegEnds_NonXtal_Prot#'!$A:$AL,22,FALSE)+10,1)</f>
        <v>P</v>
      </c>
      <c r="AG26" s="28" t="str">
        <f>MID(VLOOKUP($A26,Seqs!$A:$B,2,FALSE),VLOOKUP($A26,'SegEnds_NonXtal_Prot#'!$A:$AL,28,FALSE)-4,1)</f>
        <v>T</v>
      </c>
      <c r="AH26" s="49" t="str">
        <f>MID(VLOOKUP($A26,Seqs!$A:$B,2,FALSE),VLOOKUP($A26,'SegEnds_NonXtal_Prot#'!$A:$AL,28,FALSE),1)</f>
        <v>P</v>
      </c>
    </row>
    <row r="27" spans="1:34" s="2" customFormat="1" x14ac:dyDescent="0.2">
      <c r="A27" s="2" t="s">
        <v>138</v>
      </c>
      <c r="B27" s="2" t="str">
        <f>LOWER(VLOOKUP(A27,Xtal_Templ!A:B,2,FALSE))</f>
        <v>aa1r_human</v>
      </c>
      <c r="C27" s="2" t="str">
        <f>VLOOKUP(A27,Classification!A:D,2,FALSE)</f>
        <v>A</v>
      </c>
      <c r="D27" s="2" t="str">
        <f>IF(ISERROR(MATCH(A27,'SegEnds_Xtal_Prot#'!B:B, 0)), "NoXtal", "Xtal")</f>
        <v>Xtal</v>
      </c>
      <c r="G27" s="2" t="s">
        <v>5</v>
      </c>
      <c r="H27" s="4"/>
      <c r="O27" s="2" t="s">
        <v>1325</v>
      </c>
      <c r="R27" s="2" t="s">
        <v>9</v>
      </c>
      <c r="T27" s="4" t="s">
        <v>12</v>
      </c>
      <c r="V27" s="28" t="str">
        <f>MID(VLOOKUP($A27,Seqs!$A:$B,2,FALSE),VLOOKUP($A27,'SegEnds_NonXtal_Prot#'!A:AL,10,FALSE),1)</f>
        <v>D</v>
      </c>
      <c r="W27" s="49" t="str">
        <f>MID(VLOOKUP($A27,Seqs!$A:$B,2,FALSE),VLOOKUP($A27,'SegEnds_NonXtal_Prot#'!A:AL,10,FALSE)+6,1)</f>
        <v>L</v>
      </c>
      <c r="X27" s="49" t="str">
        <f>MID(VLOOKUP($A27,Seqs!$A:$B,2,FALSE),VLOOKUP($A27,'SegEnds_NonXtal_Prot#'!A:AL,10,FALSE)+7,1)</f>
        <v>V</v>
      </c>
      <c r="Y27" s="49" t="str">
        <f>MID(VLOOKUP($A27,Seqs!$A:$B,2,FALSE),VLOOKUP($A27,'SegEnds_NonXtal_Prot#'!A:AL,10,FALSE)+8,1)</f>
        <v>I</v>
      </c>
      <c r="Z27" s="49" t="str">
        <f>MID(VLOOKUP($A27,Seqs!$A:$B,2,FALSE),VLOOKUP($A27,'SegEnds_NonXtal_Prot#'!A:AL,10,FALSE)+9,1)</f>
        <v>P</v>
      </c>
      <c r="AA27" s="49" t="str">
        <f>MID(VLOOKUP($A27,Seqs!$A:$B,2,FALSE),VLOOKUP($A27,'SegEnds_NonXtal_Prot#'!A:AL,10,FALSE)+10,1)</f>
        <v>L</v>
      </c>
      <c r="AB27" s="28" t="str">
        <f>MID(VLOOKUP($A27,Seqs!$A:$B,2,FALSE),VLOOKUP($A27,'SegEnds_NonXtal_Prot#'!$A:$AL,22,FALSE)+6,1)</f>
        <v>V</v>
      </c>
      <c r="AC27" s="49" t="str">
        <f>MID(VLOOKUP($A27,Seqs!$A:$B,2,FALSE),VLOOKUP($A27,'SegEnds_NonXtal_Prot#'!$A:$AL,22,FALSE)+7,1)</f>
        <v>G</v>
      </c>
      <c r="AD27" s="49" t="str">
        <f>MID(VLOOKUP($A27,Seqs!$A:$B,2,FALSE),VLOOKUP($A27,'SegEnds_NonXtal_Prot#'!$A:$AL,22,FALSE)+8,1)</f>
        <v>L</v>
      </c>
      <c r="AE27" s="49" t="str">
        <f>MID(VLOOKUP($A27,Seqs!$A:$B,2,FALSE),VLOOKUP($A27,'SegEnds_NonXtal_Prot#'!$A:$AL,22,FALSE)+9,1)</f>
        <v>T</v>
      </c>
      <c r="AF27" s="49" t="str">
        <f>MID(VLOOKUP($A27,Seqs!$A:$B,2,FALSE),VLOOKUP($A27,'SegEnds_NonXtal_Prot#'!$A:$AL,22,FALSE)+10,1)</f>
        <v>P</v>
      </c>
      <c r="AG27" s="28" t="str">
        <f>MID(VLOOKUP($A27,Seqs!$A:$B,2,FALSE),VLOOKUP($A27,'SegEnds_NonXtal_Prot#'!$A:$AL,28,FALSE)-4,1)</f>
        <v>W</v>
      </c>
      <c r="AH27" s="49" t="str">
        <f>MID(VLOOKUP($A27,Seqs!$A:$B,2,FALSE),VLOOKUP($A27,'SegEnds_NonXtal_Prot#'!$A:$AL,28,FALSE),1)</f>
        <v>P</v>
      </c>
    </row>
    <row r="28" spans="1:34" s="2" customFormat="1" x14ac:dyDescent="0.2">
      <c r="A28" s="2" t="s">
        <v>139</v>
      </c>
      <c r="B28" s="2" t="str">
        <f>LOWER(VLOOKUP(A28,Xtal_Templ!A:B,2,FALSE))</f>
        <v>aa2ar_human</v>
      </c>
      <c r="C28" s="2" t="str">
        <f>VLOOKUP(A28,Classification!A:D,2,FALSE)</f>
        <v>A</v>
      </c>
      <c r="D28" s="2" t="str">
        <f>IF(ISERROR(MATCH(A28,'SegEnds_Xtal_Prot#'!B:B, 0)), "NoXtal", "Xtal")</f>
        <v>Xtal</v>
      </c>
      <c r="G28" s="2" t="s">
        <v>5</v>
      </c>
      <c r="H28" s="4"/>
      <c r="O28" s="2" t="s">
        <v>1325</v>
      </c>
      <c r="R28" s="2" t="s">
        <v>9</v>
      </c>
      <c r="T28" s="4" t="s">
        <v>12</v>
      </c>
      <c r="V28" s="28" t="str">
        <f>MID(VLOOKUP($A28,Seqs!$A:$B,2,FALSE),VLOOKUP($A28,'SegEnds_NonXtal_Prot#'!A:AL,10,FALSE),1)</f>
        <v>D</v>
      </c>
      <c r="W28" s="49" t="str">
        <f>MID(VLOOKUP($A28,Seqs!$A:$B,2,FALSE),VLOOKUP($A28,'SegEnds_NonXtal_Prot#'!A:AL,10,FALSE)+6,1)</f>
        <v>L</v>
      </c>
      <c r="X28" s="49" t="str">
        <f>MID(VLOOKUP($A28,Seqs!$A:$B,2,FALSE),VLOOKUP($A28,'SegEnds_NonXtal_Prot#'!A:AL,10,FALSE)+7,1)</f>
        <v>A</v>
      </c>
      <c r="Y28" s="49" t="str">
        <f>MID(VLOOKUP($A28,Seqs!$A:$B,2,FALSE),VLOOKUP($A28,'SegEnds_NonXtal_Prot#'!A:AL,10,FALSE)+8,1)</f>
        <v>I</v>
      </c>
      <c r="Z28" s="49" t="str">
        <f>MID(VLOOKUP($A28,Seqs!$A:$B,2,FALSE),VLOOKUP($A28,'SegEnds_NonXtal_Prot#'!A:AL,10,FALSE)+9,1)</f>
        <v>P</v>
      </c>
      <c r="AA28" s="49" t="str">
        <f>MID(VLOOKUP($A28,Seqs!$A:$B,2,FALSE),VLOOKUP($A28,'SegEnds_NonXtal_Prot#'!A:AL,10,FALSE)+10,1)</f>
        <v>F</v>
      </c>
      <c r="AB28" s="28" t="str">
        <f>MID(VLOOKUP($A28,Seqs!$A:$B,2,FALSE),VLOOKUP($A28,'SegEnds_NonXtal_Prot#'!$A:$AL,22,FALSE)+6,1)</f>
        <v>I</v>
      </c>
      <c r="AC28" s="49" t="str">
        <f>MID(VLOOKUP($A28,Seqs!$A:$B,2,FALSE),VLOOKUP($A28,'SegEnds_NonXtal_Prot#'!$A:$AL,22,FALSE)+7,1)</f>
        <v>G</v>
      </c>
      <c r="AD28" s="49" t="str">
        <f>MID(VLOOKUP($A28,Seqs!$A:$B,2,FALSE),VLOOKUP($A28,'SegEnds_NonXtal_Prot#'!$A:$AL,22,FALSE)+8,1)</f>
        <v>L</v>
      </c>
      <c r="AE28" s="49" t="str">
        <f>MID(VLOOKUP($A28,Seqs!$A:$B,2,FALSE),VLOOKUP($A28,'SegEnds_NonXtal_Prot#'!$A:$AL,22,FALSE)+9,1)</f>
        <v>T</v>
      </c>
      <c r="AF28" s="49" t="str">
        <f>MID(VLOOKUP($A28,Seqs!$A:$B,2,FALSE),VLOOKUP($A28,'SegEnds_NonXtal_Prot#'!$A:$AL,22,FALSE)+10,1)</f>
        <v>P</v>
      </c>
      <c r="AG28" s="28" t="str">
        <f>MID(VLOOKUP($A28,Seqs!$A:$B,2,FALSE),VLOOKUP($A28,'SegEnds_NonXtal_Prot#'!$A:$AL,28,FALSE)-4,1)</f>
        <v>C</v>
      </c>
      <c r="AH28" s="49" t="str">
        <f>MID(VLOOKUP($A28,Seqs!$A:$B,2,FALSE),VLOOKUP($A28,'SegEnds_NonXtal_Prot#'!$A:$AL,28,FALSE),1)</f>
        <v>P</v>
      </c>
    </row>
    <row r="29" spans="1:34" s="2" customFormat="1" x14ac:dyDescent="0.2">
      <c r="A29" s="2" t="s">
        <v>140</v>
      </c>
      <c r="B29" s="2" t="str">
        <f>LOWER(VLOOKUP(A29,Xtal_Templ!A:B,2,FALSE))</f>
        <v>aa2ar_human</v>
      </c>
      <c r="C29" s="2" t="str">
        <f>VLOOKUP(A29,Classification!A:D,2,FALSE)</f>
        <v>A</v>
      </c>
      <c r="D29" s="2" t="str">
        <f>IF(ISERROR(MATCH(A29,'SegEnds_Xtal_Prot#'!B:B, 0)), "NoXtal", "Xtal")</f>
        <v>NoXtal</v>
      </c>
      <c r="G29" s="2" t="s">
        <v>5</v>
      </c>
      <c r="H29" s="4"/>
      <c r="O29" s="2" t="s">
        <v>1325</v>
      </c>
      <c r="R29" s="2" t="s">
        <v>9</v>
      </c>
      <c r="T29" s="4" t="s">
        <v>12</v>
      </c>
      <c r="V29" s="28" t="str">
        <f>MID(VLOOKUP($A29,Seqs!$A:$B,2,FALSE),VLOOKUP($A29,'SegEnds_NonXtal_Prot#'!A:AL,10,FALSE),1)</f>
        <v>D</v>
      </c>
      <c r="W29" s="49" t="str">
        <f>MID(VLOOKUP($A29,Seqs!$A:$B,2,FALSE),VLOOKUP($A29,'SegEnds_NonXtal_Prot#'!A:AL,10,FALSE)+6,1)</f>
        <v>F</v>
      </c>
      <c r="X29" s="49" t="str">
        <f>MID(VLOOKUP($A29,Seqs!$A:$B,2,FALSE),VLOOKUP($A29,'SegEnds_NonXtal_Prot#'!A:AL,10,FALSE)+7,1)</f>
        <v>A</v>
      </c>
      <c r="Y29" s="49" t="str">
        <f>MID(VLOOKUP($A29,Seqs!$A:$B,2,FALSE),VLOOKUP($A29,'SegEnds_NonXtal_Prot#'!A:AL,10,FALSE)+8,1)</f>
        <v>I</v>
      </c>
      <c r="Z29" s="49" t="str">
        <f>MID(VLOOKUP($A29,Seqs!$A:$B,2,FALSE),VLOOKUP($A29,'SegEnds_NonXtal_Prot#'!A:AL,10,FALSE)+9,1)</f>
        <v>P</v>
      </c>
      <c r="AA29" s="49" t="str">
        <f>MID(VLOOKUP($A29,Seqs!$A:$B,2,FALSE),VLOOKUP($A29,'SegEnds_NonXtal_Prot#'!A:AL,10,FALSE)+10,1)</f>
        <v>F</v>
      </c>
      <c r="AB29" s="28" t="str">
        <f>MID(VLOOKUP($A29,Seqs!$A:$B,2,FALSE),VLOOKUP($A29,'SegEnds_NonXtal_Prot#'!$A:$AL,22,FALSE)+6,1)</f>
        <v>I</v>
      </c>
      <c r="AC29" s="49" t="str">
        <f>MID(VLOOKUP($A29,Seqs!$A:$B,2,FALSE),VLOOKUP($A29,'SegEnds_NonXtal_Prot#'!$A:$AL,22,FALSE)+7,1)</f>
        <v>G</v>
      </c>
      <c r="AD29" s="49" t="str">
        <f>MID(VLOOKUP($A29,Seqs!$A:$B,2,FALSE),VLOOKUP($A29,'SegEnds_NonXtal_Prot#'!$A:$AL,22,FALSE)+8,1)</f>
        <v>L</v>
      </c>
      <c r="AE29" s="49" t="str">
        <f>MID(VLOOKUP($A29,Seqs!$A:$B,2,FALSE),VLOOKUP($A29,'SegEnds_NonXtal_Prot#'!$A:$AL,22,FALSE)+9,1)</f>
        <v>T</v>
      </c>
      <c r="AF29" s="49" t="str">
        <f>MID(VLOOKUP($A29,Seqs!$A:$B,2,FALSE),VLOOKUP($A29,'SegEnds_NonXtal_Prot#'!$A:$AL,22,FALSE)+10,1)</f>
        <v>P</v>
      </c>
      <c r="AG29" s="28" t="str">
        <f>MID(VLOOKUP($A29,Seqs!$A:$B,2,FALSE),VLOOKUP($A29,'SegEnds_NonXtal_Prot#'!$A:$AL,28,FALSE)-4,1)</f>
        <v>C</v>
      </c>
      <c r="AH29" s="49" t="str">
        <f>MID(VLOOKUP($A29,Seqs!$A:$B,2,FALSE),VLOOKUP($A29,'SegEnds_NonXtal_Prot#'!$A:$AL,28,FALSE),1)</f>
        <v>P</v>
      </c>
    </row>
    <row r="30" spans="1:34" s="2" customFormat="1" x14ac:dyDescent="0.2">
      <c r="A30" s="2" t="s">
        <v>141</v>
      </c>
      <c r="B30" s="2" t="str">
        <f>LOWER(VLOOKUP(A30,Xtal_Templ!A:B,2,FALSE))</f>
        <v>aa1r_human</v>
      </c>
      <c r="C30" s="2" t="str">
        <f>VLOOKUP(A30,Classification!A:D,2,FALSE)</f>
        <v>A</v>
      </c>
      <c r="D30" s="2" t="str">
        <f>IF(ISERROR(MATCH(A30,'SegEnds_Xtal_Prot#'!B:B, 0)), "NoXtal", "Xtal")</f>
        <v>NoXtal</v>
      </c>
      <c r="G30" s="2" t="s">
        <v>5</v>
      </c>
      <c r="H30" s="4"/>
      <c r="O30" s="2" t="s">
        <v>1325</v>
      </c>
      <c r="R30" s="2" t="s">
        <v>9</v>
      </c>
      <c r="T30" s="4" t="s">
        <v>12</v>
      </c>
      <c r="V30" s="28" t="str">
        <f>MID(VLOOKUP($A30,Seqs!$A:$B,2,FALSE),VLOOKUP($A30,'SegEnds_NonXtal_Prot#'!A:AL,10,FALSE),1)</f>
        <v>D</v>
      </c>
      <c r="W30" s="49" t="str">
        <f>MID(VLOOKUP($A30,Seqs!$A:$B,2,FALSE),VLOOKUP($A30,'SegEnds_NonXtal_Prot#'!A:AL,10,FALSE)+6,1)</f>
        <v>L</v>
      </c>
      <c r="X30" s="49" t="str">
        <f>MID(VLOOKUP($A30,Seqs!$A:$B,2,FALSE),VLOOKUP($A30,'SegEnds_NonXtal_Prot#'!A:AL,10,FALSE)+7,1)</f>
        <v>V</v>
      </c>
      <c r="Y30" s="49" t="str">
        <f>MID(VLOOKUP($A30,Seqs!$A:$B,2,FALSE),VLOOKUP($A30,'SegEnds_NonXtal_Prot#'!A:AL,10,FALSE)+8,1)</f>
        <v>M</v>
      </c>
      <c r="Z30" s="49" t="str">
        <f>MID(VLOOKUP($A30,Seqs!$A:$B,2,FALSE),VLOOKUP($A30,'SegEnds_NonXtal_Prot#'!A:AL,10,FALSE)+9,1)</f>
        <v>P</v>
      </c>
      <c r="AA30" s="49" t="str">
        <f>MID(VLOOKUP($A30,Seqs!$A:$B,2,FALSE),VLOOKUP($A30,'SegEnds_NonXtal_Prot#'!A:AL,10,FALSE)+10,1)</f>
        <v>L</v>
      </c>
      <c r="AB30" s="28" t="str">
        <f>MID(VLOOKUP($A30,Seqs!$A:$B,2,FALSE),VLOOKUP($A30,'SegEnds_NonXtal_Prot#'!$A:$AL,22,FALSE)+6,1)</f>
        <v>V</v>
      </c>
      <c r="AC30" s="49" t="str">
        <f>MID(VLOOKUP($A30,Seqs!$A:$B,2,FALSE),VLOOKUP($A30,'SegEnds_NonXtal_Prot#'!$A:$AL,22,FALSE)+7,1)</f>
        <v>G</v>
      </c>
      <c r="AD30" s="49" t="str">
        <f>MID(VLOOKUP($A30,Seqs!$A:$B,2,FALSE),VLOOKUP($A30,'SegEnds_NonXtal_Prot#'!$A:$AL,22,FALSE)+8,1)</f>
        <v>L</v>
      </c>
      <c r="AE30" s="49" t="str">
        <f>MID(VLOOKUP($A30,Seqs!$A:$B,2,FALSE),VLOOKUP($A30,'SegEnds_NonXtal_Prot#'!$A:$AL,22,FALSE)+9,1)</f>
        <v>T</v>
      </c>
      <c r="AF30" s="49" t="str">
        <f>MID(VLOOKUP($A30,Seqs!$A:$B,2,FALSE),VLOOKUP($A30,'SegEnds_NonXtal_Prot#'!$A:$AL,22,FALSE)+10,1)</f>
        <v>P</v>
      </c>
      <c r="AG30" s="28" t="str">
        <f>MID(VLOOKUP($A30,Seqs!$A:$B,2,FALSE),VLOOKUP($A30,'SegEnds_NonXtal_Prot#'!$A:$AL,28,FALSE)-4,1)</f>
        <v>W</v>
      </c>
      <c r="AH30" s="49" t="str">
        <f>MID(VLOOKUP($A30,Seqs!$A:$B,2,FALSE),VLOOKUP($A30,'SegEnds_NonXtal_Prot#'!$A:$AL,28,FALSE),1)</f>
        <v>P</v>
      </c>
    </row>
    <row r="31" spans="1:34" s="2" customFormat="1" x14ac:dyDescent="0.2">
      <c r="A31" s="2" t="s">
        <v>204</v>
      </c>
      <c r="B31" s="2" t="str">
        <f>LOWER(VLOOKUP(A31,Xtal_Templ!A:B,2,FALSE))</f>
        <v>aa2ar_human</v>
      </c>
      <c r="C31" s="2" t="str">
        <f>VLOOKUP(A31,Classification!A:D,2,FALSE)</f>
        <v>A</v>
      </c>
      <c r="D31" s="2" t="str">
        <f>IF(ISERROR(MATCH(A31,'SegEnds_Xtal_Prot#'!B:B, 0)), "NoXtal", "Xtal")</f>
        <v>NoXtal</v>
      </c>
      <c r="H31" s="4"/>
      <c r="T31" s="4" t="s">
        <v>12</v>
      </c>
      <c r="V31" s="28" t="str">
        <f>MID(VLOOKUP($A31,Seqs!$A:$B,2,FALSE),VLOOKUP($A31,'SegEnds_NonXtal_Prot#'!A:AL,10,FALSE),1)</f>
        <v>D</v>
      </c>
      <c r="W31" s="49" t="str">
        <f>MID(VLOOKUP($A31,Seqs!$A:$B,2,FALSE),VLOOKUP($A31,'SegEnds_NonXtal_Prot#'!A:AL,10,FALSE)+6,1)</f>
        <v>Y</v>
      </c>
      <c r="X31" s="49" t="str">
        <f>MID(VLOOKUP($A31,Seqs!$A:$B,2,FALSE),VLOOKUP($A31,'SegEnds_NonXtal_Prot#'!A:AL,10,FALSE)+7,1)</f>
        <v>L</v>
      </c>
      <c r="Y31" s="49" t="str">
        <f>MID(VLOOKUP($A31,Seqs!$A:$B,2,FALSE),VLOOKUP($A31,'SegEnds_NonXtal_Prot#'!A:AL,10,FALSE)+8,1)</f>
        <v>L</v>
      </c>
      <c r="Z31" s="49" t="str">
        <f>MID(VLOOKUP($A31,Seqs!$A:$B,2,FALSE),VLOOKUP($A31,'SegEnds_NonXtal_Prot#'!A:AL,10,FALSE)+9,1)</f>
        <v>L</v>
      </c>
      <c r="AA31" s="49" t="str">
        <f>MID(VLOOKUP($A31,Seqs!$A:$B,2,FALSE),VLOOKUP($A31,'SegEnds_NonXtal_Prot#'!A:AL,10,FALSE)+10,1)</f>
        <v>I</v>
      </c>
      <c r="AB31" s="28" t="str">
        <f>MID(VLOOKUP($A31,Seqs!$A:$B,2,FALSE),VLOOKUP($A31,'SegEnds_NonXtal_Prot#'!$A:$AL,22,FALSE)+6,1)</f>
        <v>A</v>
      </c>
      <c r="AC31" s="49" t="str">
        <f>MID(VLOOKUP($A31,Seqs!$A:$B,2,FALSE),VLOOKUP($A31,'SegEnds_NonXtal_Prot#'!$A:$AL,22,FALSE)+7,1)</f>
        <v>A</v>
      </c>
      <c r="AD31" s="49" t="str">
        <f>MID(VLOOKUP($A31,Seqs!$A:$B,2,FALSE),VLOOKUP($A31,'SegEnds_NonXtal_Prot#'!$A:$AL,22,FALSE)+8,1)</f>
        <v>L</v>
      </c>
      <c r="AE31" s="49" t="str">
        <f>MID(VLOOKUP($A31,Seqs!$A:$B,2,FALSE),VLOOKUP($A31,'SegEnds_NonXtal_Prot#'!$A:$AL,22,FALSE)+9,1)</f>
        <v>F</v>
      </c>
      <c r="AF31" s="49" t="str">
        <f>MID(VLOOKUP($A31,Seqs!$A:$B,2,FALSE),VLOOKUP($A31,'SegEnds_NonXtal_Prot#'!$A:$AL,22,FALSE)+10,1)</f>
        <v>P</v>
      </c>
      <c r="AG31" s="28" t="str">
        <f>MID(VLOOKUP($A31,Seqs!$A:$B,2,FALSE),VLOOKUP($A31,'SegEnds_NonXtal_Prot#'!$A:$AL,28,FALSE)-4,1)</f>
        <v>L</v>
      </c>
      <c r="AH31" s="49" t="str">
        <f>MID(VLOOKUP($A31,Seqs!$A:$B,2,FALSE),VLOOKUP($A31,'SegEnds_NonXtal_Prot#'!$A:$AL,28,FALSE),1)</f>
        <v>A</v>
      </c>
    </row>
    <row r="32" spans="1:34" s="2" customFormat="1" x14ac:dyDescent="0.2">
      <c r="A32" s="2" t="s">
        <v>284</v>
      </c>
      <c r="B32" s="2" t="str">
        <f>LOWER(VLOOKUP(A32,Xtal_Templ!A:B,2,FALSE))</f>
        <v>aa2ar_human</v>
      </c>
      <c r="C32" s="2" t="str">
        <f>VLOOKUP(A32,Classification!A:D,2,FALSE)</f>
        <v>A</v>
      </c>
      <c r="D32" s="2" t="str">
        <f>IF(ISERROR(MATCH(A32,'SegEnds_Xtal_Prot#'!B:B, 0)), "NoXtal", "Xtal")</f>
        <v>NoXtal</v>
      </c>
      <c r="H32" s="4"/>
      <c r="T32" s="4" t="s">
        <v>12</v>
      </c>
      <c r="V32" s="28" t="str">
        <f>MID(VLOOKUP($A32,Seqs!$A:$B,2,FALSE),VLOOKUP($A32,'SegEnds_NonXtal_Prot#'!A:AL,10,FALSE),1)</f>
        <v>N</v>
      </c>
      <c r="W32" s="49" t="str">
        <f>MID(VLOOKUP($A32,Seqs!$A:$B,2,FALSE),VLOOKUP($A32,'SegEnds_NonXtal_Prot#'!A:AL,10,FALSE)+6,1)</f>
        <v>S</v>
      </c>
      <c r="X32" s="49" t="str">
        <f>MID(VLOOKUP($A32,Seqs!$A:$B,2,FALSE),VLOOKUP($A32,'SegEnds_NonXtal_Prot#'!A:AL,10,FALSE)+7,1)</f>
        <v>S</v>
      </c>
      <c r="Y32" s="49" t="str">
        <f>MID(VLOOKUP($A32,Seqs!$A:$B,2,FALSE),VLOOKUP($A32,'SegEnds_NonXtal_Prot#'!A:AL,10,FALSE)+8,1)</f>
        <v>A</v>
      </c>
      <c r="Z32" s="49" t="str">
        <f>MID(VLOOKUP($A32,Seqs!$A:$B,2,FALSE),VLOOKUP($A32,'SegEnds_NonXtal_Prot#'!A:AL,10,FALSE)+9,1)</f>
        <v>V</v>
      </c>
      <c r="AA32" s="49" t="str">
        <f>MID(VLOOKUP($A32,Seqs!$A:$B,2,FALSE),VLOOKUP($A32,'SegEnds_NonXtal_Prot#'!A:AL,10,FALSE)+10,1)</f>
        <v>L</v>
      </c>
      <c r="AB32" s="28" t="str">
        <f>MID(VLOOKUP($A32,Seqs!$A:$B,2,FALSE),VLOOKUP($A32,'SegEnds_NonXtal_Prot#'!$A:$AL,22,FALSE)+6,1)</f>
        <v>M</v>
      </c>
      <c r="AC32" s="49" t="str">
        <f>MID(VLOOKUP($A32,Seqs!$A:$B,2,FALSE),VLOOKUP($A32,'SegEnds_NonXtal_Prot#'!$A:$AL,22,FALSE)+7,1)</f>
        <v>A</v>
      </c>
      <c r="AD32" s="49" t="str">
        <f>MID(VLOOKUP($A32,Seqs!$A:$B,2,FALSE),VLOOKUP($A32,'SegEnds_NonXtal_Prot#'!$A:$AL,22,FALSE)+8,1)</f>
        <v>A</v>
      </c>
      <c r="AE32" s="49" t="str">
        <f>MID(VLOOKUP($A32,Seqs!$A:$B,2,FALSE),VLOOKUP($A32,'SegEnds_NonXtal_Prot#'!$A:$AL,22,FALSE)+9,1)</f>
        <v>V</v>
      </c>
      <c r="AF32" s="49" t="str">
        <f>MID(VLOOKUP($A32,Seqs!$A:$B,2,FALSE),VLOOKUP($A32,'SegEnds_NonXtal_Prot#'!$A:$AL,22,FALSE)+10,1)</f>
        <v>P</v>
      </c>
      <c r="AG32" s="28" t="str">
        <f>MID(VLOOKUP($A32,Seqs!$A:$B,2,FALSE),VLOOKUP($A32,'SegEnds_NonXtal_Prot#'!$A:$AL,28,FALSE)-4,1)</f>
        <v>L</v>
      </c>
      <c r="AH32" s="49" t="str">
        <f>MID(VLOOKUP($A32,Seqs!$A:$B,2,FALSE),VLOOKUP($A32,'SegEnds_NonXtal_Prot#'!$A:$AL,28,FALSE),1)</f>
        <v>C</v>
      </c>
    </row>
    <row r="33" spans="1:34" s="2" customFormat="1" x14ac:dyDescent="0.2">
      <c r="A33" s="2" t="s">
        <v>291</v>
      </c>
      <c r="B33" s="2" t="str">
        <f>LOWER(VLOOKUP(A33,Xtal_Templ!A:B,2,FALSE))</f>
        <v>hrh1_human</v>
      </c>
      <c r="C33" s="2" t="str">
        <f>VLOOKUP(A33,Classification!A:D,2,FALSE)</f>
        <v>A</v>
      </c>
      <c r="D33" s="2" t="str">
        <f>IF(ISERROR(MATCH(A33,'SegEnds_Xtal_Prot#'!B:B, 0)), "NoXtal", "Xtal")</f>
        <v>NoXtal</v>
      </c>
      <c r="H33" s="4"/>
      <c r="T33" s="4" t="s">
        <v>12</v>
      </c>
      <c r="V33" s="28" t="str">
        <f>MID(VLOOKUP($A33,Seqs!$A:$B,2,FALSE),VLOOKUP($A33,'SegEnds_NonXtal_Prot#'!A:AL,10,FALSE),1)</f>
        <v>D</v>
      </c>
      <c r="W33" s="49" t="str">
        <f>MID(VLOOKUP($A33,Seqs!$A:$B,2,FALSE),VLOOKUP($A33,'SegEnds_NonXtal_Prot#'!A:AL,10,FALSE)+6,1)</f>
        <v>Y</v>
      </c>
      <c r="X33" s="49" t="str">
        <f>MID(VLOOKUP($A33,Seqs!$A:$B,2,FALSE),VLOOKUP($A33,'SegEnds_NonXtal_Prot#'!A:AL,10,FALSE)+7,1)</f>
        <v>L</v>
      </c>
      <c r="Y33" s="49" t="str">
        <f>MID(VLOOKUP($A33,Seqs!$A:$B,2,FALSE),VLOOKUP($A33,'SegEnds_NonXtal_Prot#'!A:AL,10,FALSE)+8,1)</f>
        <v>L</v>
      </c>
      <c r="Z33" s="49" t="str">
        <f>MID(VLOOKUP($A33,Seqs!$A:$B,2,FALSE),VLOOKUP($A33,'SegEnds_NonXtal_Prot#'!A:AL,10,FALSE)+9,1)</f>
        <v>L</v>
      </c>
      <c r="AA33" s="49" t="str">
        <f>MID(VLOOKUP($A33,Seqs!$A:$B,2,FALSE),VLOOKUP($A33,'SegEnds_NonXtal_Prot#'!A:AL,10,FALSE)+10,1)</f>
        <v>I</v>
      </c>
      <c r="AB33" s="28" t="str">
        <f>MID(VLOOKUP($A33,Seqs!$A:$B,2,FALSE),VLOOKUP($A33,'SegEnds_NonXtal_Prot#'!$A:$AL,22,FALSE)+6,1)</f>
        <v>I</v>
      </c>
      <c r="AC33" s="49" t="str">
        <f>MID(VLOOKUP($A33,Seqs!$A:$B,2,FALSE),VLOOKUP($A33,'SegEnds_NonXtal_Prot#'!$A:$AL,22,FALSE)+7,1)</f>
        <v>A</v>
      </c>
      <c r="AD33" s="49" t="str">
        <f>MID(VLOOKUP($A33,Seqs!$A:$B,2,FALSE),VLOOKUP($A33,'SegEnds_NonXtal_Prot#'!$A:$AL,22,FALSE)+8,1)</f>
        <v>M</v>
      </c>
      <c r="AE33" s="49" t="str">
        <f>MID(VLOOKUP($A33,Seqs!$A:$B,2,FALSE),VLOOKUP($A33,'SegEnds_NonXtal_Prot#'!$A:$AL,22,FALSE)+9,1)</f>
        <v>L</v>
      </c>
      <c r="AF33" s="49" t="str">
        <f>MID(VLOOKUP($A33,Seqs!$A:$B,2,FALSE),VLOOKUP($A33,'SegEnds_NonXtal_Prot#'!$A:$AL,22,FALSE)+10,1)</f>
        <v>P</v>
      </c>
      <c r="AG33" s="28" t="str">
        <f>MID(VLOOKUP($A33,Seqs!$A:$B,2,FALSE),VLOOKUP($A33,'SegEnds_NonXtal_Prot#'!$A:$AL,28,FALSE)-4,1)</f>
        <v>L</v>
      </c>
      <c r="AH33" s="49" t="str">
        <f>MID(VLOOKUP($A33,Seqs!$A:$B,2,FALSE),VLOOKUP($A33,'SegEnds_NonXtal_Prot#'!$A:$AL,28,FALSE),1)</f>
        <v>A</v>
      </c>
    </row>
    <row r="34" spans="1:34" s="2" customFormat="1" x14ac:dyDescent="0.2">
      <c r="A34" s="2" t="s">
        <v>298</v>
      </c>
      <c r="B34" s="2" t="str">
        <f>LOWER(VLOOKUP(A34,Xtal_Templ!A:B,2,FALSE))</f>
        <v>lpar1_human</v>
      </c>
      <c r="C34" s="2" t="str">
        <f>VLOOKUP(A34,Classification!A:D,2,FALSE)</f>
        <v>A</v>
      </c>
      <c r="D34" s="2" t="str">
        <f>IF(ISERROR(MATCH(A34,'SegEnds_Xtal_Prot#'!B:B, 0)), "NoXtal", "Xtal")</f>
        <v>NoXtal</v>
      </c>
      <c r="H34" s="4"/>
      <c r="T34" s="4" t="s">
        <v>12</v>
      </c>
      <c r="V34" s="28" t="str">
        <f>MID(VLOOKUP($A34,Seqs!$A:$B,2,FALSE),VLOOKUP($A34,'SegEnds_NonXtal_Prot#'!A:AL,10,FALSE),1)</f>
        <v>D</v>
      </c>
      <c r="W34" s="49" t="str">
        <f>MID(VLOOKUP($A34,Seqs!$A:$B,2,FALSE),VLOOKUP($A34,'SegEnds_NonXtal_Prot#'!A:AL,10,FALSE)+6,1)</f>
        <v>S</v>
      </c>
      <c r="X34" s="49" t="str">
        <f>MID(VLOOKUP($A34,Seqs!$A:$B,2,FALSE),VLOOKUP($A34,'SegEnds_NonXtal_Prot#'!A:AL,10,FALSE)+7,1)</f>
        <v>S</v>
      </c>
      <c r="Y34" s="49" t="str">
        <f>MID(VLOOKUP($A34,Seqs!$A:$B,2,FALSE),VLOOKUP($A34,'SegEnds_NonXtal_Prot#'!A:AL,10,FALSE)+8,1)</f>
        <v>A</v>
      </c>
      <c r="Z34" s="49" t="str">
        <f>MID(VLOOKUP($A34,Seqs!$A:$B,2,FALSE),VLOOKUP($A34,'SegEnds_NonXtal_Prot#'!A:AL,10,FALSE)+9,1)</f>
        <v>W</v>
      </c>
      <c r="AA34" s="49" t="str">
        <f>MID(VLOOKUP($A34,Seqs!$A:$B,2,FALSE),VLOOKUP($A34,'SegEnds_NonXtal_Prot#'!A:AL,10,FALSE)+10,1)</f>
        <v>E</v>
      </c>
      <c r="AB34" s="28" t="str">
        <f>MID(VLOOKUP($A34,Seqs!$A:$B,2,FALSE),VLOOKUP($A34,'SegEnds_NonXtal_Prot#'!$A:$AL,22,FALSE)+6,1)</f>
        <v>C</v>
      </c>
      <c r="AC34" s="49" t="str">
        <f>MID(VLOOKUP($A34,Seqs!$A:$B,2,FALSE),VLOOKUP($A34,'SegEnds_NonXtal_Prot#'!$A:$AL,22,FALSE)+7,1)</f>
        <v>G</v>
      </c>
      <c r="AD34" s="49" t="str">
        <f>MID(VLOOKUP($A34,Seqs!$A:$B,2,FALSE),VLOOKUP($A34,'SegEnds_NonXtal_Prot#'!$A:$AL,22,FALSE)+8,1)</f>
        <v>I</v>
      </c>
      <c r="AE34" s="49" t="str">
        <f>MID(VLOOKUP($A34,Seqs!$A:$B,2,FALSE),VLOOKUP($A34,'SegEnds_NonXtal_Prot#'!$A:$AL,22,FALSE)+9,1)</f>
        <v>V</v>
      </c>
      <c r="AF34" s="49" t="str">
        <f>MID(VLOOKUP($A34,Seqs!$A:$B,2,FALSE),VLOOKUP($A34,'SegEnds_NonXtal_Prot#'!$A:$AL,22,FALSE)+10,1)</f>
        <v>F</v>
      </c>
      <c r="AG34" s="28" t="str">
        <f>MID(VLOOKUP($A34,Seqs!$A:$B,2,FALSE),VLOOKUP($A34,'SegEnds_NonXtal_Prot#'!$A:$AL,28,FALSE)-4,1)</f>
        <v>S</v>
      </c>
      <c r="AH34" s="49" t="str">
        <f>MID(VLOOKUP($A34,Seqs!$A:$B,2,FALSE),VLOOKUP($A34,'SegEnds_NonXtal_Prot#'!$A:$AL,28,FALSE),1)</f>
        <v>H</v>
      </c>
    </row>
    <row r="35" spans="1:34" s="2" customFormat="1" x14ac:dyDescent="0.2">
      <c r="A35" s="2" t="s">
        <v>361</v>
      </c>
      <c r="B35" s="2" t="str">
        <f>LOWER(VLOOKUP(A35,Xtal_Templ!A:B,2,FALSE))</f>
        <v>ta2r_human</v>
      </c>
      <c r="C35" s="2" t="str">
        <f>VLOOKUP(A35,Classification!A:D,2,FALSE)</f>
        <v>A</v>
      </c>
      <c r="D35" s="2" t="str">
        <f>IF(ISERROR(MATCH(A35,'SegEnds_Xtal_Prot#'!B:B, 0)), "NoXtal", "Xtal")</f>
        <v>NoXtal</v>
      </c>
      <c r="H35" s="4"/>
      <c r="T35" s="4" t="s">
        <v>12</v>
      </c>
      <c r="V35" s="28" t="str">
        <f>MID(VLOOKUP($A35,Seqs!$A:$B,2,FALSE),VLOOKUP($A35,'SegEnds_NonXtal_Prot#'!A:AL,10,FALSE),1)</f>
        <v>D</v>
      </c>
      <c r="W35" s="49" t="str">
        <f>MID(VLOOKUP($A35,Seqs!$A:$B,2,FALSE),VLOOKUP($A35,'SegEnds_NonXtal_Prot#'!A:AL,10,FALSE)+6,1)</f>
        <v>I</v>
      </c>
      <c r="X35" s="49" t="str">
        <f>MID(VLOOKUP($A35,Seqs!$A:$B,2,FALSE),VLOOKUP($A35,'SegEnds_NonXtal_Prot#'!A:AL,10,FALSE)+7,1)</f>
        <v>P</v>
      </c>
      <c r="Y35" s="49" t="str">
        <f>MID(VLOOKUP($A35,Seqs!$A:$B,2,FALSE),VLOOKUP($A35,'SegEnds_NonXtal_Prot#'!A:AL,10,FALSE)+8,1)</f>
        <v>G</v>
      </c>
      <c r="Z35" s="49" t="str">
        <f>MID(VLOOKUP($A35,Seqs!$A:$B,2,FALSE),VLOOKUP($A35,'SegEnds_NonXtal_Prot#'!A:AL,10,FALSE)+9,1)</f>
        <v>A</v>
      </c>
      <c r="AA35" s="49" t="str">
        <f>MID(VLOOKUP($A35,Seqs!$A:$B,2,FALSE),VLOOKUP($A35,'SegEnds_NonXtal_Prot#'!A:AL,10,FALSE)+10,1)</f>
        <v>L</v>
      </c>
      <c r="AB35" s="28" t="str">
        <f>MID(VLOOKUP($A35,Seqs!$A:$B,2,FALSE),VLOOKUP($A35,'SegEnds_NonXtal_Prot#'!$A:$AL,22,FALSE)+6,1)</f>
        <v>V</v>
      </c>
      <c r="AC35" s="49" t="str">
        <f>MID(VLOOKUP($A35,Seqs!$A:$B,2,FALSE),VLOOKUP($A35,'SegEnds_NonXtal_Prot#'!$A:$AL,22,FALSE)+7,1)</f>
        <v>A</v>
      </c>
      <c r="AD35" s="49" t="str">
        <f>MID(VLOOKUP($A35,Seqs!$A:$B,2,FALSE),VLOOKUP($A35,'SegEnds_NonXtal_Prot#'!$A:$AL,22,FALSE)+8,1)</f>
        <v>L</v>
      </c>
      <c r="AE35" s="49" t="str">
        <f>MID(VLOOKUP($A35,Seqs!$A:$B,2,FALSE),VLOOKUP($A35,'SegEnds_NonXtal_Prot#'!$A:$AL,22,FALSE)+9,1)</f>
        <v>L</v>
      </c>
      <c r="AF35" s="49" t="str">
        <f>MID(VLOOKUP($A35,Seqs!$A:$B,2,FALSE),VLOOKUP($A35,'SegEnds_NonXtal_Prot#'!$A:$AL,22,FALSE)+10,1)</f>
        <v>P</v>
      </c>
      <c r="AG35" s="28" t="str">
        <f>MID(VLOOKUP($A35,Seqs!$A:$B,2,FALSE),VLOOKUP($A35,'SegEnds_NonXtal_Prot#'!$A:$AL,28,FALSE)-4,1)</f>
        <v>L</v>
      </c>
      <c r="AH35" s="49" t="str">
        <f>MID(VLOOKUP($A35,Seqs!$A:$B,2,FALSE),VLOOKUP($A35,'SegEnds_NonXtal_Prot#'!$A:$AL,28,FALSE),1)</f>
        <v>L</v>
      </c>
    </row>
    <row r="36" spans="1:34" s="2" customFormat="1" x14ac:dyDescent="0.2">
      <c r="A36" s="2" t="s">
        <v>395</v>
      </c>
      <c r="B36" s="2" t="str">
        <f>LOWER(VLOOKUP(A36,Xtal_Templ!A:B,2,FALSE))</f>
        <v>aa2ar_human</v>
      </c>
      <c r="C36" s="2" t="str">
        <f>VLOOKUP(A36,Classification!A:D,2,FALSE)</f>
        <v>A</v>
      </c>
      <c r="D36" s="2" t="str">
        <f>IF(ISERROR(MATCH(A36,'SegEnds_Xtal_Prot#'!B:B, 0)), "NoXtal", "Xtal")</f>
        <v>NoXtal</v>
      </c>
      <c r="H36" s="4"/>
      <c r="T36" s="4" t="s">
        <v>12</v>
      </c>
      <c r="V36" s="28" t="str">
        <f>MID(VLOOKUP($A36,Seqs!$A:$B,2,FALSE),VLOOKUP($A36,'SegEnds_NonXtal_Prot#'!A:AL,10,FALSE),1)</f>
        <v>D</v>
      </c>
      <c r="W36" s="49" t="str">
        <f>MID(VLOOKUP($A36,Seqs!$A:$B,2,FALSE),VLOOKUP($A36,'SegEnds_NonXtal_Prot#'!A:AL,10,FALSE)+6,1)</f>
        <v>Y</v>
      </c>
      <c r="X36" s="49" t="str">
        <f>MID(VLOOKUP($A36,Seqs!$A:$B,2,FALSE),VLOOKUP($A36,'SegEnds_NonXtal_Prot#'!A:AL,10,FALSE)+7,1)</f>
        <v>L</v>
      </c>
      <c r="Y36" s="49" t="str">
        <f>MID(VLOOKUP($A36,Seqs!$A:$B,2,FALSE),VLOOKUP($A36,'SegEnds_NonXtal_Prot#'!A:AL,10,FALSE)+8,1)</f>
        <v>L</v>
      </c>
      <c r="Z36" s="49" t="str">
        <f>MID(VLOOKUP($A36,Seqs!$A:$B,2,FALSE),VLOOKUP($A36,'SegEnds_NonXtal_Prot#'!A:AL,10,FALSE)+9,1)</f>
        <v>L</v>
      </c>
      <c r="AA36" s="49" t="str">
        <f>MID(VLOOKUP($A36,Seqs!$A:$B,2,FALSE),VLOOKUP($A36,'SegEnds_NonXtal_Prot#'!A:AL,10,FALSE)+10,1)</f>
        <v>I</v>
      </c>
      <c r="AB36" s="28" t="str">
        <f>MID(VLOOKUP($A36,Seqs!$A:$B,2,FALSE),VLOOKUP($A36,'SegEnds_NonXtal_Prot#'!$A:$AL,22,FALSE)+6,1)</f>
        <v>L</v>
      </c>
      <c r="AC36" s="49" t="str">
        <f>MID(VLOOKUP($A36,Seqs!$A:$B,2,FALSE),VLOOKUP($A36,'SegEnds_NonXtal_Prot#'!$A:$AL,22,FALSE)+7,1)</f>
        <v>A</v>
      </c>
      <c r="AD36" s="49" t="str">
        <f>MID(VLOOKUP($A36,Seqs!$A:$B,2,FALSE),VLOOKUP($A36,'SegEnds_NonXtal_Prot#'!$A:$AL,22,FALSE)+8,1)</f>
        <v>L</v>
      </c>
      <c r="AE36" s="49" t="str">
        <f>MID(VLOOKUP($A36,Seqs!$A:$B,2,FALSE),VLOOKUP($A36,'SegEnds_NonXtal_Prot#'!$A:$AL,22,FALSE)+9,1)</f>
        <v>L</v>
      </c>
      <c r="AF36" s="49" t="str">
        <f>MID(VLOOKUP($A36,Seqs!$A:$B,2,FALSE),VLOOKUP($A36,'SegEnds_NonXtal_Prot#'!$A:$AL,22,FALSE)+10,1)</f>
        <v>P</v>
      </c>
      <c r="AG36" s="28" t="str">
        <f>MID(VLOOKUP($A36,Seqs!$A:$B,2,FALSE),VLOOKUP($A36,'SegEnds_NonXtal_Prot#'!$A:$AL,28,FALSE)-4,1)</f>
        <v>L</v>
      </c>
      <c r="AH36" s="49" t="str">
        <f>MID(VLOOKUP($A36,Seqs!$A:$B,2,FALSE),VLOOKUP($A36,'SegEnds_NonXtal_Prot#'!$A:$AL,28,FALSE),1)</f>
        <v>A</v>
      </c>
    </row>
    <row r="37" spans="1:34" s="2" customFormat="1" x14ac:dyDescent="0.2">
      <c r="A37" s="2" t="s">
        <v>146</v>
      </c>
      <c r="B37" s="2" t="str">
        <f>LOWER(VLOOKUP(A37,Xtal_Templ!A:B,2,FALSE))</f>
        <v>acm1_human</v>
      </c>
      <c r="C37" s="2" t="str">
        <f>VLOOKUP(A37,Classification!A:D,2,FALSE)</f>
        <v>A</v>
      </c>
      <c r="D37" s="2" t="str">
        <f>IF(ISERROR(MATCH(A37,'SegEnds_Xtal_Prot#'!B:B, 0)), "NoXtal", "Xtal")</f>
        <v>Xtal</v>
      </c>
      <c r="G37" s="2" t="s">
        <v>5</v>
      </c>
      <c r="H37" s="4"/>
      <c r="R37" s="2" t="s">
        <v>9</v>
      </c>
      <c r="T37" s="4" t="s">
        <v>12</v>
      </c>
      <c r="V37" s="28" t="str">
        <f>MID(VLOOKUP($A37,Seqs!$A:$B,2,FALSE),VLOOKUP($A37,'SegEnds_NonXtal_Prot#'!A:AL,10,FALSE),1)</f>
        <v>D</v>
      </c>
      <c r="W37" s="49" t="str">
        <f>MID(VLOOKUP($A37,Seqs!$A:$B,2,FALSE),VLOOKUP($A37,'SegEnds_NonXtal_Prot#'!A:AL,10,FALSE)+6,1)</f>
        <v>F</v>
      </c>
      <c r="X37" s="49" t="str">
        <f>MID(VLOOKUP($A37,Seqs!$A:$B,2,FALSE),VLOOKUP($A37,'SegEnds_NonXtal_Prot#'!A:AL,10,FALSE)+7,1)</f>
        <v>S</v>
      </c>
      <c r="Y37" s="49" t="str">
        <f>MID(VLOOKUP($A37,Seqs!$A:$B,2,FALSE),VLOOKUP($A37,'SegEnds_NonXtal_Prot#'!A:AL,10,FALSE)+8,1)</f>
        <v>M</v>
      </c>
      <c r="Z37" s="49" t="str">
        <f>MID(VLOOKUP($A37,Seqs!$A:$B,2,FALSE),VLOOKUP($A37,'SegEnds_NonXtal_Prot#'!A:AL,10,FALSE)+9,1)</f>
        <v>N</v>
      </c>
      <c r="AA37" s="49" t="str">
        <f>MID(VLOOKUP($A37,Seqs!$A:$B,2,FALSE),VLOOKUP($A37,'SegEnds_NonXtal_Prot#'!A:AL,10,FALSE)+10,1)</f>
        <v>L</v>
      </c>
      <c r="AB37" s="28" t="str">
        <f>MID(VLOOKUP($A37,Seqs!$A:$B,2,FALSE),VLOOKUP($A37,'SegEnds_NonXtal_Prot#'!$A:$AL,22,FALSE)+6,1)</f>
        <v>L</v>
      </c>
      <c r="AC37" s="49" t="str">
        <f>MID(VLOOKUP($A37,Seqs!$A:$B,2,FALSE),VLOOKUP($A37,'SegEnds_NonXtal_Prot#'!$A:$AL,22,FALSE)+7,1)</f>
        <v>W</v>
      </c>
      <c r="AD37" s="49" t="str">
        <f>MID(VLOOKUP($A37,Seqs!$A:$B,2,FALSE),VLOOKUP($A37,'SegEnds_NonXtal_Prot#'!$A:$AL,22,FALSE)+8,1)</f>
        <v>A</v>
      </c>
      <c r="AE37" s="49" t="str">
        <f>MID(VLOOKUP($A37,Seqs!$A:$B,2,FALSE),VLOOKUP($A37,'SegEnds_NonXtal_Prot#'!$A:$AL,22,FALSE)+9,1)</f>
        <v>P</v>
      </c>
      <c r="AF37" s="49" t="str">
        <f>MID(VLOOKUP($A37,Seqs!$A:$B,2,FALSE),VLOOKUP($A37,'SegEnds_NonXtal_Prot#'!$A:$AL,22,FALSE)+10,1)</f>
        <v>A</v>
      </c>
      <c r="AG37" s="28" t="str">
        <f>MID(VLOOKUP($A37,Seqs!$A:$B,2,FALSE),VLOOKUP($A37,'SegEnds_NonXtal_Prot#'!$A:$AL,28,FALSE)-4,1)</f>
        <v>A</v>
      </c>
      <c r="AH37" s="49" t="str">
        <f>MID(VLOOKUP($A37,Seqs!$A:$B,2,FALSE),VLOOKUP($A37,'SegEnds_NonXtal_Prot#'!$A:$AL,28,FALSE),1)</f>
        <v>P</v>
      </c>
    </row>
    <row r="38" spans="1:34" s="2" customFormat="1" x14ac:dyDescent="0.2">
      <c r="A38" s="2" t="s">
        <v>235</v>
      </c>
      <c r="B38" s="2" t="str">
        <f>LOWER(VLOOKUP(A38,Xtal_Templ!A:B,2,FALSE))</f>
        <v>lpar1_human</v>
      </c>
      <c r="C38" s="2" t="str">
        <f>VLOOKUP(A38,Classification!A:D,2,FALSE)</f>
        <v>A</v>
      </c>
      <c r="D38" s="2" t="str">
        <f>IF(ISERROR(MATCH(A38,'SegEnds_Xtal_Prot#'!B:B, 0)), "NoXtal", "Xtal")</f>
        <v>NoXtal</v>
      </c>
      <c r="H38" s="4"/>
      <c r="R38" s="2" t="s">
        <v>9</v>
      </c>
      <c r="T38" s="4" t="s">
        <v>12</v>
      </c>
      <c r="V38" s="28" t="str">
        <f>MID(VLOOKUP($A38,Seqs!$A:$B,2,FALSE),VLOOKUP($A38,'SegEnds_NonXtal_Prot#'!A:AL,10,FALSE),1)</f>
        <v>G</v>
      </c>
      <c r="W38" s="49" t="str">
        <f>MID(VLOOKUP($A38,Seqs!$A:$B,2,FALSE),VLOOKUP($A38,'SegEnds_NonXtal_Prot#'!A:AL,10,FALSE)+6,1)</f>
        <v>A</v>
      </c>
      <c r="X38" s="49" t="str">
        <f>MID(VLOOKUP($A38,Seqs!$A:$B,2,FALSE),VLOOKUP($A38,'SegEnds_NonXtal_Prot#'!A:AL,10,FALSE)+7,1)</f>
        <v>L</v>
      </c>
      <c r="Y38" s="49" t="str">
        <f>MID(VLOOKUP($A38,Seqs!$A:$B,2,FALSE),VLOOKUP($A38,'SegEnds_NonXtal_Prot#'!A:AL,10,FALSE)+8,1)</f>
        <v>P</v>
      </c>
      <c r="Z38" s="49" t="str">
        <f>MID(VLOOKUP($A38,Seqs!$A:$B,2,FALSE),VLOOKUP($A38,'SegEnds_NonXtal_Prot#'!A:AL,10,FALSE)+9,1)</f>
        <v>T</v>
      </c>
      <c r="AA38" s="49" t="str">
        <f>MID(VLOOKUP($A38,Seqs!$A:$B,2,FALSE),VLOOKUP($A38,'SegEnds_NonXtal_Prot#'!A:AL,10,FALSE)+10,1)</f>
        <v>L</v>
      </c>
      <c r="AB38" s="28" t="str">
        <f>MID(VLOOKUP($A38,Seqs!$A:$B,2,FALSE),VLOOKUP($A38,'SegEnds_NonXtal_Prot#'!$A:$AL,22,FALSE)+6,1)</f>
        <v>F</v>
      </c>
      <c r="AC38" s="49" t="str">
        <f>MID(VLOOKUP($A38,Seqs!$A:$B,2,FALSE),VLOOKUP($A38,'SegEnds_NonXtal_Prot#'!$A:$AL,22,FALSE)+7,1)</f>
        <v>A</v>
      </c>
      <c r="AD38" s="49" t="str">
        <f>MID(VLOOKUP($A38,Seqs!$A:$B,2,FALSE),VLOOKUP($A38,'SegEnds_NonXtal_Prot#'!$A:$AL,22,FALSE)+8,1)</f>
        <v>S</v>
      </c>
      <c r="AE38" s="49" t="str">
        <f>MID(VLOOKUP($A38,Seqs!$A:$B,2,FALSE),VLOOKUP($A38,'SegEnds_NonXtal_Prot#'!$A:$AL,22,FALSE)+9,1)</f>
        <v>L</v>
      </c>
      <c r="AF38" s="49" t="str">
        <f>MID(VLOOKUP($A38,Seqs!$A:$B,2,FALSE),VLOOKUP($A38,'SegEnds_NonXtal_Prot#'!$A:$AL,22,FALSE)+10,1)</f>
        <v>P</v>
      </c>
      <c r="AG38" s="28" t="str">
        <f>MID(VLOOKUP($A38,Seqs!$A:$B,2,FALSE),VLOOKUP($A38,'SegEnds_NonXtal_Prot#'!$A:$AL,28,FALSE)-4,1)</f>
        <v>G</v>
      </c>
      <c r="AH38" s="49" t="str">
        <f>MID(VLOOKUP($A38,Seqs!$A:$B,2,FALSE),VLOOKUP($A38,'SegEnds_NonXtal_Prot#'!$A:$AL,28,FALSE),1)</f>
        <v>P</v>
      </c>
    </row>
    <row r="39" spans="1:34" s="2" customFormat="1" x14ac:dyDescent="0.2">
      <c r="A39" s="2" t="s">
        <v>280</v>
      </c>
      <c r="B39" s="2" t="str">
        <f>LOWER(VLOOKUP(A39,Xtal_Templ!A:B,2,FALSE))</f>
        <v>hrh1_human</v>
      </c>
      <c r="C39" s="2" t="str">
        <f>VLOOKUP(A39,Classification!A:D,2,FALSE)</f>
        <v>A</v>
      </c>
      <c r="D39" s="2" t="str">
        <f>IF(ISERROR(MATCH(A39,'SegEnds_Xtal_Prot#'!B:B, 0)), "NoXtal", "Xtal")</f>
        <v>NoXtal</v>
      </c>
      <c r="G39" s="2" t="s">
        <v>5</v>
      </c>
      <c r="H39" s="4"/>
      <c r="N39" s="2" t="s">
        <v>14</v>
      </c>
      <c r="R39" s="2" t="s">
        <v>9</v>
      </c>
      <c r="T39" s="4" t="s">
        <v>12</v>
      </c>
      <c r="V39" s="28" t="str">
        <f>MID(VLOOKUP($A39,Seqs!$A:$B,2,FALSE),VLOOKUP($A39,'SegEnds_NonXtal_Prot#'!A:AL,10,FALSE),1)</f>
        <v>D</v>
      </c>
      <c r="W39" s="49" t="str">
        <f>MID(VLOOKUP($A39,Seqs!$A:$B,2,FALSE),VLOOKUP($A39,'SegEnds_NonXtal_Prot#'!A:AL,10,FALSE)+6,1)</f>
        <v>F</v>
      </c>
      <c r="X39" s="49" t="str">
        <f>MID(VLOOKUP($A39,Seqs!$A:$B,2,FALSE),VLOOKUP($A39,'SegEnds_NonXtal_Prot#'!A:AL,10,FALSE)+7,1)</f>
        <v>C</v>
      </c>
      <c r="Y39" s="49" t="str">
        <f>MID(VLOOKUP($A39,Seqs!$A:$B,2,FALSE),VLOOKUP($A39,'SegEnds_NonXtal_Prot#'!A:AL,10,FALSE)+8,1)</f>
        <v>I</v>
      </c>
      <c r="Z39" s="49" t="str">
        <f>MID(VLOOKUP($A39,Seqs!$A:$B,2,FALSE),VLOOKUP($A39,'SegEnds_NonXtal_Prot#'!A:AL,10,FALSE)+9,1)</f>
        <v>P</v>
      </c>
      <c r="AA39" s="49" t="str">
        <f>MID(VLOOKUP($A39,Seqs!$A:$B,2,FALSE),VLOOKUP($A39,'SegEnds_NonXtal_Prot#'!A:AL,10,FALSE)+10,1)</f>
        <v>L</v>
      </c>
      <c r="AB39" s="28" t="str">
        <f>MID(VLOOKUP($A39,Seqs!$A:$B,2,FALSE),VLOOKUP($A39,'SegEnds_NonXtal_Prot#'!$A:$AL,22,FALSE)+6,1)</f>
        <v>L</v>
      </c>
      <c r="AC39" s="49" t="str">
        <f>MID(VLOOKUP($A39,Seqs!$A:$B,2,FALSE),VLOOKUP($A39,'SegEnds_NonXtal_Prot#'!$A:$AL,22,FALSE)+7,1)</f>
        <v>Y</v>
      </c>
      <c r="AD39" s="49" t="str">
        <f>MID(VLOOKUP($A39,Seqs!$A:$B,2,FALSE),VLOOKUP($A39,'SegEnds_NonXtal_Prot#'!$A:$AL,22,FALSE)+8,1)</f>
        <v>G</v>
      </c>
      <c r="AE39" s="49" t="str">
        <f>MID(VLOOKUP($A39,Seqs!$A:$B,2,FALSE),VLOOKUP($A39,'SegEnds_NonXtal_Prot#'!$A:$AL,22,FALSE)+9,1)</f>
        <v>P</v>
      </c>
      <c r="AF39" s="49" t="str">
        <f>MID(VLOOKUP($A39,Seqs!$A:$B,2,FALSE),VLOOKUP($A39,'SegEnds_NonXtal_Prot#'!$A:$AL,22,FALSE)+10,1)</f>
        <v>A</v>
      </c>
      <c r="AG39" s="28" t="str">
        <f>MID(VLOOKUP($A39,Seqs!$A:$B,2,FALSE),VLOOKUP($A39,'SegEnds_NonXtal_Prot#'!$A:$AL,28,FALSE)-4,1)</f>
        <v>E</v>
      </c>
      <c r="AH39" s="49" t="str">
        <f>MID(VLOOKUP($A39,Seqs!$A:$B,2,FALSE),VLOOKUP($A39,'SegEnds_NonXtal_Prot#'!$A:$AL,28,FALSE),1)</f>
        <v>P</v>
      </c>
    </row>
    <row r="40" spans="1:34" s="2" customFormat="1" x14ac:dyDescent="0.2">
      <c r="A40" s="2" t="s">
        <v>147</v>
      </c>
      <c r="B40" s="2" t="str">
        <f>LOWER(VLOOKUP(A40,Xtal_Templ!A:B,2,FALSE))</f>
        <v>acm2_human</v>
      </c>
      <c r="C40" s="2" t="str">
        <f>VLOOKUP(A40,Classification!A:D,2,FALSE)</f>
        <v>A</v>
      </c>
      <c r="D40" s="2" t="str">
        <f>IF(ISERROR(MATCH(A40,'SegEnds_Xtal_Prot#'!B:B, 0)), "NoXtal", "Xtal")</f>
        <v>Xtal</v>
      </c>
      <c r="G40" s="2" t="s">
        <v>5</v>
      </c>
      <c r="H40" s="4"/>
      <c r="R40" s="2" t="s">
        <v>9</v>
      </c>
      <c r="T40" s="4" t="s">
        <v>12</v>
      </c>
      <c r="V40" s="28" t="str">
        <f>MID(VLOOKUP($A40,Seqs!$A:$B,2,FALSE),VLOOKUP($A40,'SegEnds_NonXtal_Prot#'!A:AL,10,FALSE),1)</f>
        <v>D</v>
      </c>
      <c r="W40" s="49" t="str">
        <f>MID(VLOOKUP($A40,Seqs!$A:$B,2,FALSE),VLOOKUP($A40,'SegEnds_NonXtal_Prot#'!A:AL,10,FALSE)+6,1)</f>
        <v>F</v>
      </c>
      <c r="X40" s="49" t="str">
        <f>MID(VLOOKUP($A40,Seqs!$A:$B,2,FALSE),VLOOKUP($A40,'SegEnds_NonXtal_Prot#'!A:AL,10,FALSE)+7,1)</f>
        <v>S</v>
      </c>
      <c r="Y40" s="49" t="str">
        <f>MID(VLOOKUP($A40,Seqs!$A:$B,2,FALSE),VLOOKUP($A40,'SegEnds_NonXtal_Prot#'!A:AL,10,FALSE)+8,1)</f>
        <v>M</v>
      </c>
      <c r="Z40" s="49" t="str">
        <f>MID(VLOOKUP($A40,Seqs!$A:$B,2,FALSE),VLOOKUP($A40,'SegEnds_NonXtal_Prot#'!A:AL,10,FALSE)+9,1)</f>
        <v>N</v>
      </c>
      <c r="AA40" s="49" t="str">
        <f>MID(VLOOKUP($A40,Seqs!$A:$B,2,FALSE),VLOOKUP($A40,'SegEnds_NonXtal_Prot#'!A:AL,10,FALSE)+10,1)</f>
        <v>L</v>
      </c>
      <c r="AB40" s="28" t="str">
        <f>MID(VLOOKUP($A40,Seqs!$A:$B,2,FALSE),VLOOKUP($A40,'SegEnds_NonXtal_Prot#'!$A:$AL,22,FALSE)+6,1)</f>
        <v>L</v>
      </c>
      <c r="AC40" s="49" t="str">
        <f>MID(VLOOKUP($A40,Seqs!$A:$B,2,FALSE),VLOOKUP($A40,'SegEnds_NonXtal_Prot#'!$A:$AL,22,FALSE)+7,1)</f>
        <v>W</v>
      </c>
      <c r="AD40" s="49" t="str">
        <f>MID(VLOOKUP($A40,Seqs!$A:$B,2,FALSE),VLOOKUP($A40,'SegEnds_NonXtal_Prot#'!$A:$AL,22,FALSE)+8,1)</f>
        <v>A</v>
      </c>
      <c r="AE40" s="49" t="str">
        <f>MID(VLOOKUP($A40,Seqs!$A:$B,2,FALSE),VLOOKUP($A40,'SegEnds_NonXtal_Prot#'!$A:$AL,22,FALSE)+9,1)</f>
        <v>P</v>
      </c>
      <c r="AF40" s="49" t="str">
        <f>MID(VLOOKUP($A40,Seqs!$A:$B,2,FALSE),VLOOKUP($A40,'SegEnds_NonXtal_Prot#'!$A:$AL,22,FALSE)+10,1)</f>
        <v>A</v>
      </c>
      <c r="AG40" s="28" t="str">
        <f>MID(VLOOKUP($A40,Seqs!$A:$B,2,FALSE),VLOOKUP($A40,'SegEnds_NonXtal_Prot#'!$A:$AL,28,FALSE)-4,1)</f>
        <v>A</v>
      </c>
      <c r="AH40" s="49" t="str">
        <f>MID(VLOOKUP($A40,Seqs!$A:$B,2,FALSE),VLOOKUP($A40,'SegEnds_NonXtal_Prot#'!$A:$AL,28,FALSE),1)</f>
        <v>P</v>
      </c>
    </row>
    <row r="41" spans="1:34" s="2" customFormat="1" x14ac:dyDescent="0.2">
      <c r="A41" s="2" t="s">
        <v>148</v>
      </c>
      <c r="B41" s="2" t="str">
        <f>LOWER(VLOOKUP(A41,Xtal_Templ!A:B,2,FALSE))</f>
        <v>acm3_rat</v>
      </c>
      <c r="C41" s="2" t="str">
        <f>VLOOKUP(A41,Classification!A:D,2,FALSE)</f>
        <v>A</v>
      </c>
      <c r="D41" s="2" t="str">
        <f>IF(ISERROR(MATCH(A41,'SegEnds_Xtal_Prot#'!B:B, 0)), "NoXtal", "Xtal")</f>
        <v>NoXtal</v>
      </c>
      <c r="G41" s="2" t="s">
        <v>5</v>
      </c>
      <c r="H41" s="4"/>
      <c r="R41" s="2" t="s">
        <v>9</v>
      </c>
      <c r="T41" s="4" t="s">
        <v>12</v>
      </c>
      <c r="V41" s="28" t="str">
        <f>MID(VLOOKUP($A41,Seqs!$A:$B,2,FALSE),VLOOKUP($A41,'SegEnds_NonXtal_Prot#'!A:AL,10,FALSE),1)</f>
        <v>D</v>
      </c>
      <c r="W41" s="49" t="str">
        <f>MID(VLOOKUP($A41,Seqs!$A:$B,2,FALSE),VLOOKUP($A41,'SegEnds_NonXtal_Prot#'!A:AL,10,FALSE)+6,1)</f>
        <v>I</v>
      </c>
      <c r="X41" s="49" t="str">
        <f>MID(VLOOKUP($A41,Seqs!$A:$B,2,FALSE),VLOOKUP($A41,'SegEnds_NonXtal_Prot#'!A:AL,10,FALSE)+7,1)</f>
        <v>S</v>
      </c>
      <c r="Y41" s="49" t="str">
        <f>MID(VLOOKUP($A41,Seqs!$A:$B,2,FALSE),VLOOKUP($A41,'SegEnds_NonXtal_Prot#'!A:AL,10,FALSE)+8,1)</f>
        <v>M</v>
      </c>
      <c r="Z41" s="49" t="str">
        <f>MID(VLOOKUP($A41,Seqs!$A:$B,2,FALSE),VLOOKUP($A41,'SegEnds_NonXtal_Prot#'!A:AL,10,FALSE)+9,1)</f>
        <v>N</v>
      </c>
      <c r="AA41" s="49" t="str">
        <f>MID(VLOOKUP($A41,Seqs!$A:$B,2,FALSE),VLOOKUP($A41,'SegEnds_NonXtal_Prot#'!A:AL,10,FALSE)+10,1)</f>
        <v>L</v>
      </c>
      <c r="AB41" s="28" t="str">
        <f>MID(VLOOKUP($A41,Seqs!$A:$B,2,FALSE),VLOOKUP($A41,'SegEnds_NonXtal_Prot#'!$A:$AL,22,FALSE)+6,1)</f>
        <v>L</v>
      </c>
      <c r="AC41" s="49" t="str">
        <f>MID(VLOOKUP($A41,Seqs!$A:$B,2,FALSE),VLOOKUP($A41,'SegEnds_NonXtal_Prot#'!$A:$AL,22,FALSE)+7,1)</f>
        <v>W</v>
      </c>
      <c r="AD41" s="49" t="str">
        <f>MID(VLOOKUP($A41,Seqs!$A:$B,2,FALSE),VLOOKUP($A41,'SegEnds_NonXtal_Prot#'!$A:$AL,22,FALSE)+8,1)</f>
        <v>A</v>
      </c>
      <c r="AE41" s="49" t="str">
        <f>MID(VLOOKUP($A41,Seqs!$A:$B,2,FALSE),VLOOKUP($A41,'SegEnds_NonXtal_Prot#'!$A:$AL,22,FALSE)+9,1)</f>
        <v>P</v>
      </c>
      <c r="AF41" s="49" t="str">
        <f>MID(VLOOKUP($A41,Seqs!$A:$B,2,FALSE),VLOOKUP($A41,'SegEnds_NonXtal_Prot#'!$A:$AL,22,FALSE)+10,1)</f>
        <v>A</v>
      </c>
      <c r="AG41" s="28" t="str">
        <f>MID(VLOOKUP($A41,Seqs!$A:$B,2,FALSE),VLOOKUP($A41,'SegEnds_NonXtal_Prot#'!$A:$AL,28,FALSE)-4,1)</f>
        <v>A</v>
      </c>
      <c r="AH41" s="49" t="str">
        <f>MID(VLOOKUP($A41,Seqs!$A:$B,2,FALSE),VLOOKUP($A41,'SegEnds_NonXtal_Prot#'!$A:$AL,28,FALSE),1)</f>
        <v>P</v>
      </c>
    </row>
    <row r="42" spans="1:34" s="2" customFormat="1" x14ac:dyDescent="0.2">
      <c r="A42" s="2" t="s">
        <v>910</v>
      </c>
      <c r="B42" s="2" t="str">
        <f>LOWER(VLOOKUP(A42,Xtal_Templ!A:B,2,FALSE))</f>
        <v>acm3_rat</v>
      </c>
      <c r="C42" s="2" t="str">
        <f>VLOOKUP(A42,Classification!A:D,2,FALSE)</f>
        <v>A</v>
      </c>
      <c r="D42" s="2" t="str">
        <f>IF(ISERROR(MATCH(A42,'SegEnds_Xtal_Prot#'!B:B, 0)), "NoXtal", "Xtal")</f>
        <v>Xtal</v>
      </c>
      <c r="G42" s="2" t="s">
        <v>5</v>
      </c>
      <c r="H42" s="4"/>
      <c r="R42" s="2" t="s">
        <v>9</v>
      </c>
      <c r="T42" s="4" t="s">
        <v>12</v>
      </c>
      <c r="V42" s="28" t="str">
        <f>MID(VLOOKUP($A42,Seqs!$A:$B,2,FALSE),VLOOKUP($A42,'SegEnds_NonXtal_Prot#'!A:AL,10,FALSE),1)</f>
        <v>D</v>
      </c>
      <c r="W42" s="49" t="str">
        <f>MID(VLOOKUP($A42,Seqs!$A:$B,2,FALSE),VLOOKUP($A42,'SegEnds_NonXtal_Prot#'!A:AL,10,FALSE)+6,1)</f>
        <v>I</v>
      </c>
      <c r="X42" s="49" t="str">
        <f>MID(VLOOKUP($A42,Seqs!$A:$B,2,FALSE),VLOOKUP($A42,'SegEnds_NonXtal_Prot#'!A:AL,10,FALSE)+7,1)</f>
        <v>S</v>
      </c>
      <c r="Y42" s="49" t="str">
        <f>MID(VLOOKUP($A42,Seqs!$A:$B,2,FALSE),VLOOKUP($A42,'SegEnds_NonXtal_Prot#'!A:AL,10,FALSE)+8,1)</f>
        <v>M</v>
      </c>
      <c r="Z42" s="49" t="str">
        <f>MID(VLOOKUP($A42,Seqs!$A:$B,2,FALSE),VLOOKUP($A42,'SegEnds_NonXtal_Prot#'!A:AL,10,FALSE)+9,1)</f>
        <v>N</v>
      </c>
      <c r="AA42" s="49" t="str">
        <f>MID(VLOOKUP($A42,Seqs!$A:$B,2,FALSE),VLOOKUP($A42,'SegEnds_NonXtal_Prot#'!A:AL,10,FALSE)+10,1)</f>
        <v>L</v>
      </c>
      <c r="AB42" s="28" t="str">
        <f>MID(VLOOKUP($A42,Seqs!$A:$B,2,FALSE),VLOOKUP($A42,'SegEnds_NonXtal_Prot#'!$A:$AL,22,FALSE)+6,1)</f>
        <v>L</v>
      </c>
      <c r="AC42" s="49" t="str">
        <f>MID(VLOOKUP($A42,Seqs!$A:$B,2,FALSE),VLOOKUP($A42,'SegEnds_NonXtal_Prot#'!$A:$AL,22,FALSE)+7,1)</f>
        <v>W</v>
      </c>
      <c r="AD42" s="49" t="str">
        <f>MID(VLOOKUP($A42,Seqs!$A:$B,2,FALSE),VLOOKUP($A42,'SegEnds_NonXtal_Prot#'!$A:$AL,22,FALSE)+8,1)</f>
        <v>A</v>
      </c>
      <c r="AE42" s="49" t="str">
        <f>MID(VLOOKUP($A42,Seqs!$A:$B,2,FALSE),VLOOKUP($A42,'SegEnds_NonXtal_Prot#'!$A:$AL,22,FALSE)+9,1)</f>
        <v>P</v>
      </c>
      <c r="AF42" s="49" t="str">
        <f>MID(VLOOKUP($A42,Seqs!$A:$B,2,FALSE),VLOOKUP($A42,'SegEnds_NonXtal_Prot#'!$A:$AL,22,FALSE)+10,1)</f>
        <v>A</v>
      </c>
      <c r="AG42" s="28" t="str">
        <f>MID(VLOOKUP($A42,Seqs!$A:$B,2,FALSE),VLOOKUP($A42,'SegEnds_NonXtal_Prot#'!$A:$AL,28,FALSE)-4,1)</f>
        <v>A</v>
      </c>
      <c r="AH42" s="49" t="str">
        <f>MID(VLOOKUP($A42,Seqs!$A:$B,2,FALSE),VLOOKUP($A42,'SegEnds_NonXtal_Prot#'!$A:$AL,28,FALSE),1)</f>
        <v>P</v>
      </c>
    </row>
    <row r="43" spans="1:34" s="2" customFormat="1" x14ac:dyDescent="0.2">
      <c r="A43" s="2" t="s">
        <v>150</v>
      </c>
      <c r="B43" s="2" t="str">
        <f>LOWER(VLOOKUP(A43,Xtal_Templ!A:B,2,FALSE))</f>
        <v>acm3_rat</v>
      </c>
      <c r="C43" s="2" t="str">
        <f>VLOOKUP(A43,Classification!A:D,2,FALSE)</f>
        <v>A</v>
      </c>
      <c r="D43" s="2" t="str">
        <f>IF(ISERROR(MATCH(A43,'SegEnds_Xtal_Prot#'!B:B, 0)), "NoXtal", "Xtal")</f>
        <v>NoXtal</v>
      </c>
      <c r="G43" s="2" t="s">
        <v>5</v>
      </c>
      <c r="H43" s="4"/>
      <c r="R43" s="2" t="s">
        <v>9</v>
      </c>
      <c r="T43" s="4" t="s">
        <v>12</v>
      </c>
      <c r="V43" s="28" t="str">
        <f>MID(VLOOKUP($A43,Seqs!$A:$B,2,FALSE),VLOOKUP($A43,'SegEnds_NonXtal_Prot#'!A:AL,10,FALSE),1)</f>
        <v>D</v>
      </c>
      <c r="W43" s="49" t="str">
        <f>MID(VLOOKUP($A43,Seqs!$A:$B,2,FALSE),VLOOKUP($A43,'SegEnds_NonXtal_Prot#'!A:AL,10,FALSE)+6,1)</f>
        <v>F</v>
      </c>
      <c r="X43" s="49" t="str">
        <f>MID(VLOOKUP($A43,Seqs!$A:$B,2,FALSE),VLOOKUP($A43,'SegEnds_NonXtal_Prot#'!A:AL,10,FALSE)+7,1)</f>
        <v>S</v>
      </c>
      <c r="Y43" s="49" t="str">
        <f>MID(VLOOKUP($A43,Seqs!$A:$B,2,FALSE),VLOOKUP($A43,'SegEnds_NonXtal_Prot#'!A:AL,10,FALSE)+8,1)</f>
        <v>M</v>
      </c>
      <c r="Z43" s="49" t="str">
        <f>MID(VLOOKUP($A43,Seqs!$A:$B,2,FALSE),VLOOKUP($A43,'SegEnds_NonXtal_Prot#'!A:AL,10,FALSE)+9,1)</f>
        <v>N</v>
      </c>
      <c r="AA43" s="49" t="str">
        <f>MID(VLOOKUP($A43,Seqs!$A:$B,2,FALSE),VLOOKUP($A43,'SegEnds_NonXtal_Prot#'!A:AL,10,FALSE)+10,1)</f>
        <v>L</v>
      </c>
      <c r="AB43" s="28" t="str">
        <f>MID(VLOOKUP($A43,Seqs!$A:$B,2,FALSE),VLOOKUP($A43,'SegEnds_NonXtal_Prot#'!$A:$AL,22,FALSE)+6,1)</f>
        <v>L</v>
      </c>
      <c r="AC43" s="49" t="str">
        <f>MID(VLOOKUP($A43,Seqs!$A:$B,2,FALSE),VLOOKUP($A43,'SegEnds_NonXtal_Prot#'!$A:$AL,22,FALSE)+7,1)</f>
        <v>W</v>
      </c>
      <c r="AD43" s="49" t="str">
        <f>MID(VLOOKUP($A43,Seqs!$A:$B,2,FALSE),VLOOKUP($A43,'SegEnds_NonXtal_Prot#'!$A:$AL,22,FALSE)+8,1)</f>
        <v>A</v>
      </c>
      <c r="AE43" s="49" t="str">
        <f>MID(VLOOKUP($A43,Seqs!$A:$B,2,FALSE),VLOOKUP($A43,'SegEnds_NonXtal_Prot#'!$A:$AL,22,FALSE)+9,1)</f>
        <v>P</v>
      </c>
      <c r="AF43" s="49" t="str">
        <f>MID(VLOOKUP($A43,Seqs!$A:$B,2,FALSE),VLOOKUP($A43,'SegEnds_NonXtal_Prot#'!$A:$AL,22,FALSE)+10,1)</f>
        <v>A</v>
      </c>
      <c r="AG43" s="28" t="str">
        <f>MID(VLOOKUP($A43,Seqs!$A:$B,2,FALSE),VLOOKUP($A43,'SegEnds_NonXtal_Prot#'!$A:$AL,28,FALSE)-4,1)</f>
        <v>A</v>
      </c>
      <c r="AH43" s="49" t="str">
        <f>MID(VLOOKUP($A43,Seqs!$A:$B,2,FALSE),VLOOKUP($A43,'SegEnds_NonXtal_Prot#'!$A:$AL,28,FALSE),1)</f>
        <v>P</v>
      </c>
    </row>
    <row r="44" spans="1:34" s="2" customFormat="1" ht="17" customHeight="1" x14ac:dyDescent="0.2">
      <c r="A44" s="2" t="s">
        <v>281</v>
      </c>
      <c r="B44" s="2" t="str">
        <f>LOWER(VLOOKUP(A44,Xtal_Templ!A:B,2,FALSE))</f>
        <v>acm3_rat</v>
      </c>
      <c r="C44" s="2" t="str">
        <f>VLOOKUP(A44,Classification!A:D,2,FALSE)</f>
        <v>A</v>
      </c>
      <c r="D44" s="2" t="str">
        <f>IF(ISERROR(MATCH(A44,'SegEnds_Xtal_Prot#'!B:B, 0)), "NoXtal", "Xtal")</f>
        <v>NoXtal</v>
      </c>
      <c r="G44" s="2" t="s">
        <v>5</v>
      </c>
      <c r="H44" s="4"/>
      <c r="N44" s="2" t="s">
        <v>14</v>
      </c>
      <c r="R44" s="2" t="s">
        <v>9</v>
      </c>
      <c r="T44" s="4" t="s">
        <v>12</v>
      </c>
      <c r="V44" s="28" t="str">
        <f>MID(VLOOKUP($A44,Seqs!$A:$B,2,FALSE),VLOOKUP($A44,'SegEnds_NonXtal_Prot#'!A:AL,10,FALSE),1)</f>
        <v>D</v>
      </c>
      <c r="W44" s="49" t="str">
        <f>MID(VLOOKUP($A44,Seqs!$A:$B,2,FALSE),VLOOKUP($A44,'SegEnds_NonXtal_Prot#'!A:AL,10,FALSE)+6,1)</f>
        <v>I</v>
      </c>
      <c r="X44" s="49" t="str">
        <f>MID(VLOOKUP($A44,Seqs!$A:$B,2,FALSE),VLOOKUP($A44,'SegEnds_NonXtal_Prot#'!A:AL,10,FALSE)+7,1)</f>
        <v>S</v>
      </c>
      <c r="Y44" s="49" t="str">
        <f>MID(VLOOKUP($A44,Seqs!$A:$B,2,FALSE),VLOOKUP($A44,'SegEnds_NonXtal_Prot#'!A:AL,10,FALSE)+8,1)</f>
        <v>I</v>
      </c>
      <c r="Z44" s="49" t="str">
        <f>MID(VLOOKUP($A44,Seqs!$A:$B,2,FALSE),VLOOKUP($A44,'SegEnds_NonXtal_Prot#'!A:AL,10,FALSE)+9,1)</f>
        <v>P</v>
      </c>
      <c r="AA44" s="49" t="str">
        <f>MID(VLOOKUP($A44,Seqs!$A:$B,2,FALSE),VLOOKUP($A44,'SegEnds_NonXtal_Prot#'!A:AL,10,FALSE)+10,1)</f>
        <v>L</v>
      </c>
      <c r="AB44" s="28" t="str">
        <f>MID(VLOOKUP($A44,Seqs!$A:$B,2,FALSE),VLOOKUP($A44,'SegEnds_NonXtal_Prot#'!$A:$AL,22,FALSE)+6,1)</f>
        <v>V</v>
      </c>
      <c r="AC44" s="49" t="str">
        <f>MID(VLOOKUP($A44,Seqs!$A:$B,2,FALSE),VLOOKUP($A44,'SegEnds_NonXtal_Prot#'!$A:$AL,22,FALSE)+7,1)</f>
        <v>N</v>
      </c>
      <c r="AD44" s="49" t="str">
        <f>MID(VLOOKUP($A44,Seqs!$A:$B,2,FALSE),VLOOKUP($A44,'SegEnds_NonXtal_Prot#'!$A:$AL,22,FALSE)+8,1)</f>
        <v>G</v>
      </c>
      <c r="AE44" s="49" t="str">
        <f>MID(VLOOKUP($A44,Seqs!$A:$B,2,FALSE),VLOOKUP($A44,'SegEnds_NonXtal_Prot#'!$A:$AL,22,FALSE)+9,1)</f>
        <v>P</v>
      </c>
      <c r="AF44" s="49" t="str">
        <f>MID(VLOOKUP($A44,Seqs!$A:$B,2,FALSE),VLOOKUP($A44,'SegEnds_NonXtal_Prot#'!$A:$AL,22,FALSE)+10,1)</f>
        <v>M</v>
      </c>
      <c r="AG44" s="28" t="str">
        <f>MID(VLOOKUP($A44,Seqs!$A:$B,2,FALSE),VLOOKUP($A44,'SegEnds_NonXtal_Prot#'!$A:$AL,28,FALSE)-4,1)</f>
        <v>E</v>
      </c>
      <c r="AH44" s="49" t="str">
        <f>MID(VLOOKUP($A44,Seqs!$A:$B,2,FALSE),VLOOKUP($A44,'SegEnds_NonXtal_Prot#'!$A:$AL,28,FALSE),1)</f>
        <v>P</v>
      </c>
    </row>
    <row r="45" spans="1:34" s="2" customFormat="1" x14ac:dyDescent="0.2">
      <c r="A45" s="2" t="s">
        <v>149</v>
      </c>
      <c r="B45" s="2" t="str">
        <f>LOWER(VLOOKUP(A45,Xtal_Templ!A:B,2,FALSE))</f>
        <v>acm4_human</v>
      </c>
      <c r="C45" s="2" t="str">
        <f>VLOOKUP(A45,Classification!A:D,2,FALSE)</f>
        <v>A</v>
      </c>
      <c r="D45" s="2" t="str">
        <f>IF(ISERROR(MATCH(A45,'SegEnds_Xtal_Prot#'!B:B, 0)), "NoXtal", "Xtal")</f>
        <v>Xtal</v>
      </c>
      <c r="G45" s="2" t="s">
        <v>5</v>
      </c>
      <c r="H45" s="4"/>
      <c r="R45" s="2" t="s">
        <v>9</v>
      </c>
      <c r="T45" s="4" t="s">
        <v>12</v>
      </c>
      <c r="V45" s="28" t="str">
        <f>MID(VLOOKUP($A45,Seqs!$A:$B,2,FALSE),VLOOKUP($A45,'SegEnds_NonXtal_Prot#'!A:AL,10,FALSE),1)</f>
        <v>D</v>
      </c>
      <c r="W45" s="49" t="str">
        <f>MID(VLOOKUP($A45,Seqs!$A:$B,2,FALSE),VLOOKUP($A45,'SegEnds_NonXtal_Prot#'!A:AL,10,FALSE)+6,1)</f>
        <v>F</v>
      </c>
      <c r="X45" s="49" t="str">
        <f>MID(VLOOKUP($A45,Seqs!$A:$B,2,FALSE),VLOOKUP($A45,'SegEnds_NonXtal_Prot#'!A:AL,10,FALSE)+7,1)</f>
        <v>S</v>
      </c>
      <c r="Y45" s="49" t="str">
        <f>MID(VLOOKUP($A45,Seqs!$A:$B,2,FALSE),VLOOKUP($A45,'SegEnds_NonXtal_Prot#'!A:AL,10,FALSE)+8,1)</f>
        <v>M</v>
      </c>
      <c r="Z45" s="49" t="str">
        <f>MID(VLOOKUP($A45,Seqs!$A:$B,2,FALSE),VLOOKUP($A45,'SegEnds_NonXtal_Prot#'!A:AL,10,FALSE)+9,1)</f>
        <v>N</v>
      </c>
      <c r="AA45" s="49" t="str">
        <f>MID(VLOOKUP($A45,Seqs!$A:$B,2,FALSE),VLOOKUP($A45,'SegEnds_NonXtal_Prot#'!A:AL,10,FALSE)+10,1)</f>
        <v>L</v>
      </c>
      <c r="AB45" s="28" t="str">
        <f>MID(VLOOKUP($A45,Seqs!$A:$B,2,FALSE),VLOOKUP($A45,'SegEnds_NonXtal_Prot#'!$A:$AL,22,FALSE)+6,1)</f>
        <v>L</v>
      </c>
      <c r="AC45" s="49" t="str">
        <f>MID(VLOOKUP($A45,Seqs!$A:$B,2,FALSE),VLOOKUP($A45,'SegEnds_NonXtal_Prot#'!$A:$AL,22,FALSE)+7,1)</f>
        <v>W</v>
      </c>
      <c r="AD45" s="49" t="str">
        <f>MID(VLOOKUP($A45,Seqs!$A:$B,2,FALSE),VLOOKUP($A45,'SegEnds_NonXtal_Prot#'!$A:$AL,22,FALSE)+8,1)</f>
        <v>A</v>
      </c>
      <c r="AE45" s="49" t="str">
        <f>MID(VLOOKUP($A45,Seqs!$A:$B,2,FALSE),VLOOKUP($A45,'SegEnds_NonXtal_Prot#'!$A:$AL,22,FALSE)+9,1)</f>
        <v>P</v>
      </c>
      <c r="AF45" s="49" t="str">
        <f>MID(VLOOKUP($A45,Seqs!$A:$B,2,FALSE),VLOOKUP($A45,'SegEnds_NonXtal_Prot#'!$A:$AL,22,FALSE)+10,1)</f>
        <v>A</v>
      </c>
      <c r="AG45" s="28" t="str">
        <f>MID(VLOOKUP($A45,Seqs!$A:$B,2,FALSE),VLOOKUP($A45,'SegEnds_NonXtal_Prot#'!$A:$AL,28,FALSE)-4,1)</f>
        <v>A</v>
      </c>
      <c r="AH45" s="49" t="str">
        <f>MID(VLOOKUP($A45,Seqs!$A:$B,2,FALSE),VLOOKUP($A45,'SegEnds_NonXtal_Prot#'!$A:$AL,28,FALSE),1)</f>
        <v>P</v>
      </c>
    </row>
    <row r="46" spans="1:34" s="2" customFormat="1" x14ac:dyDescent="0.2">
      <c r="A46" s="2" t="s">
        <v>228</v>
      </c>
      <c r="B46" s="2" t="str">
        <f>LOWER(VLOOKUP(A46,Xtal_Templ!A:B,2,FALSE))</f>
        <v>npy1r_human</v>
      </c>
      <c r="C46" s="2" t="str">
        <f>VLOOKUP(A46,Classification!A:D,2,FALSE)</f>
        <v>A</v>
      </c>
      <c r="D46" s="2" t="str">
        <f>IF(ISERROR(MATCH(A46,'SegEnds_Xtal_Prot#'!B:B, 0)), "NoXtal", "Xtal")</f>
        <v>NoXtal</v>
      </c>
      <c r="H46" s="4"/>
      <c r="T46" s="4" t="s">
        <v>12</v>
      </c>
      <c r="V46" s="28" t="str">
        <f>MID(VLOOKUP($A46,Seqs!$A:$B,2,FALSE),VLOOKUP($A46,'SegEnds_NonXtal_Prot#'!A:AL,10,FALSE),1)</f>
        <v>T</v>
      </c>
      <c r="W46" s="49" t="str">
        <f>MID(VLOOKUP($A46,Seqs!$A:$B,2,FALSE),VLOOKUP($A46,'SegEnds_NonXtal_Prot#'!A:AL,10,FALSE)+6,1)</f>
        <v>A</v>
      </c>
      <c r="X46" s="49" t="str">
        <f>MID(VLOOKUP($A46,Seqs!$A:$B,2,FALSE),VLOOKUP($A46,'SegEnds_NonXtal_Prot#'!A:AL,10,FALSE)+7,1)</f>
        <v>V</v>
      </c>
      <c r="Y46" s="49" t="str">
        <f>MID(VLOOKUP($A46,Seqs!$A:$B,2,FALSE),VLOOKUP($A46,'SegEnds_NonXtal_Prot#'!A:AL,10,FALSE)+8,1)</f>
        <v>P</v>
      </c>
      <c r="Z46" s="49" t="str">
        <f>MID(VLOOKUP($A46,Seqs!$A:$B,2,FALSE),VLOOKUP($A46,'SegEnds_NonXtal_Prot#'!A:AL,10,FALSE)+9,1)</f>
        <v>L</v>
      </c>
      <c r="AA46" s="49" t="str">
        <f>MID(VLOOKUP($A46,Seqs!$A:$B,2,FALSE),VLOOKUP($A46,'SegEnds_NonXtal_Prot#'!A:AL,10,FALSE)+10,1)</f>
        <v>T</v>
      </c>
      <c r="AB46" s="28" t="str">
        <f>MID(VLOOKUP($A46,Seqs!$A:$B,2,FALSE),VLOOKUP($A46,'SegEnds_NonXtal_Prot#'!$A:$AL,22,FALSE)+6,1)</f>
        <v>L</v>
      </c>
      <c r="AC46" s="49" t="str">
        <f>MID(VLOOKUP($A46,Seqs!$A:$B,2,FALSE),VLOOKUP($A46,'SegEnds_NonXtal_Prot#'!$A:$AL,22,FALSE)+7,1)</f>
        <v>S</v>
      </c>
      <c r="AD46" s="49" t="str">
        <f>MID(VLOOKUP($A46,Seqs!$A:$B,2,FALSE),VLOOKUP($A46,'SegEnds_NonXtal_Prot#'!$A:$AL,22,FALSE)+8,1)</f>
        <v>T</v>
      </c>
      <c r="AE46" s="49" t="str">
        <f>MID(VLOOKUP($A46,Seqs!$A:$B,2,FALSE),VLOOKUP($A46,'SegEnds_NonXtal_Prot#'!$A:$AL,22,FALSE)+9,1)</f>
        <v>L</v>
      </c>
      <c r="AF46" s="49" t="str">
        <f>MID(VLOOKUP($A46,Seqs!$A:$B,2,FALSE),VLOOKUP($A46,'SegEnds_NonXtal_Prot#'!$A:$AL,22,FALSE)+10,1)</f>
        <v>P</v>
      </c>
      <c r="AG46" s="28" t="str">
        <f>MID(VLOOKUP($A46,Seqs!$A:$B,2,FALSE),VLOOKUP($A46,'SegEnds_NonXtal_Prot#'!$A:$AL,28,FALSE)-4,1)</f>
        <v>L</v>
      </c>
      <c r="AH46" s="49" t="str">
        <f>MID(VLOOKUP($A46,Seqs!$A:$B,2,FALSE),VLOOKUP($A46,'SegEnds_NonXtal_Prot#'!$A:$AL,28,FALSE),1)</f>
        <v>I</v>
      </c>
    </row>
    <row r="47" spans="1:34" s="2" customFormat="1" x14ac:dyDescent="0.2">
      <c r="A47" s="2" t="s">
        <v>134</v>
      </c>
      <c r="B47" s="2" t="str">
        <f>LOWER(VLOOKUP(A47,Xtal_Templ!A:B,2,FALSE))</f>
        <v>drd2_human</v>
      </c>
      <c r="C47" s="2" t="str">
        <f>VLOOKUP(A47,Classification!A:D,2,FALSE)</f>
        <v>A</v>
      </c>
      <c r="D47" s="2" t="str">
        <f>IF(ISERROR(MATCH(A47,'SegEnds_Xtal_Prot#'!B:B, 0)), "NoXtal", "Xtal")</f>
        <v>NoXtal</v>
      </c>
      <c r="G47" s="2" t="s">
        <v>5</v>
      </c>
      <c r="H47" s="4"/>
      <c r="R47" s="2" t="s">
        <v>9</v>
      </c>
      <c r="T47" s="4" t="s">
        <v>12</v>
      </c>
      <c r="V47" s="28" t="str">
        <f>MID(VLOOKUP($A47,Seqs!$A:$B,2,FALSE),VLOOKUP($A47,'SegEnds_NonXtal_Prot#'!A:AL,10,FALSE),1)</f>
        <v>D</v>
      </c>
      <c r="W47" s="49" t="str">
        <f>MID(VLOOKUP($A47,Seqs!$A:$B,2,FALSE),VLOOKUP($A47,'SegEnds_NonXtal_Prot#'!A:AL,10,FALSE)+6,1)</f>
        <v>L</v>
      </c>
      <c r="X47" s="49" t="str">
        <f>MID(VLOOKUP($A47,Seqs!$A:$B,2,FALSE),VLOOKUP($A47,'SegEnds_NonXtal_Prot#'!A:AL,10,FALSE)+7,1)</f>
        <v>V</v>
      </c>
      <c r="Y47" s="49" t="str">
        <f>MID(VLOOKUP($A47,Seqs!$A:$B,2,FALSE),VLOOKUP($A47,'SegEnds_NonXtal_Prot#'!A:AL,10,FALSE)+8,1)</f>
        <v>M</v>
      </c>
      <c r="Z47" s="49" t="str">
        <f>MID(VLOOKUP($A47,Seqs!$A:$B,2,FALSE),VLOOKUP($A47,'SegEnds_NonXtal_Prot#'!A:AL,10,FALSE)+9,1)</f>
        <v>P</v>
      </c>
      <c r="AA47" s="49" t="str">
        <f>MID(VLOOKUP($A47,Seqs!$A:$B,2,FALSE),VLOOKUP($A47,'SegEnds_NonXtal_Prot#'!A:AL,10,FALSE)+10,1)</f>
        <v>F</v>
      </c>
      <c r="AB47" s="28" t="str">
        <f>MID(VLOOKUP($A47,Seqs!$A:$B,2,FALSE),VLOOKUP($A47,'SegEnds_NonXtal_Prot#'!$A:$AL,22,FALSE)+6,1)</f>
        <v>I</v>
      </c>
      <c r="AC47" s="49" t="str">
        <f>MID(VLOOKUP($A47,Seqs!$A:$B,2,FALSE),VLOOKUP($A47,'SegEnds_NonXtal_Prot#'!$A:$AL,22,FALSE)+7,1)</f>
        <v>S</v>
      </c>
      <c r="AD47" s="49" t="str">
        <f>MID(VLOOKUP($A47,Seqs!$A:$B,2,FALSE),VLOOKUP($A47,'SegEnds_NonXtal_Prot#'!$A:$AL,22,FALSE)+8,1)</f>
        <v>F</v>
      </c>
      <c r="AE47" s="49" t="str">
        <f>MID(VLOOKUP($A47,Seqs!$A:$B,2,FALSE),VLOOKUP($A47,'SegEnds_NonXtal_Prot#'!$A:$AL,22,FALSE)+9,1)</f>
        <v>L</v>
      </c>
      <c r="AF47" s="49" t="str">
        <f>MID(VLOOKUP($A47,Seqs!$A:$B,2,FALSE),VLOOKUP($A47,'SegEnds_NonXtal_Prot#'!$A:$AL,22,FALSE)+10,1)</f>
        <v>P</v>
      </c>
      <c r="AG47" s="28" t="str">
        <f>MID(VLOOKUP($A47,Seqs!$A:$B,2,FALSE),VLOOKUP($A47,'SegEnds_NonXtal_Prot#'!$A:$AL,28,FALSE)-4,1)</f>
        <v>A</v>
      </c>
      <c r="AH47" s="49" t="str">
        <f>MID(VLOOKUP($A47,Seqs!$A:$B,2,FALSE),VLOOKUP($A47,'SegEnds_NonXtal_Prot#'!$A:$AL,28,FALSE),1)</f>
        <v>P</v>
      </c>
    </row>
    <row r="48" spans="1:34" s="2" customFormat="1" x14ac:dyDescent="0.2">
      <c r="A48" s="2" t="s">
        <v>136</v>
      </c>
      <c r="B48" s="2" t="str">
        <f>LOWER(VLOOKUP(A48,Xtal_Templ!A:B,2,FALSE))</f>
        <v>5ht2c_human</v>
      </c>
      <c r="C48" s="2" t="str">
        <f>VLOOKUP(A48,Classification!A:D,2,FALSE)</f>
        <v>A</v>
      </c>
      <c r="D48" s="2" t="str">
        <f>IF(ISERROR(MATCH(A48,'SegEnds_Xtal_Prot#'!B:B, 0)), "NoXtal", "Xtal")</f>
        <v>NoXtal</v>
      </c>
      <c r="G48" s="2" t="s">
        <v>5</v>
      </c>
      <c r="H48" s="4"/>
      <c r="R48" s="2" t="s">
        <v>9</v>
      </c>
      <c r="T48" s="4" t="s">
        <v>12</v>
      </c>
      <c r="V48" s="28" t="str">
        <f>MID(VLOOKUP($A48,Seqs!$A:$B,2,FALSE),VLOOKUP($A48,'SegEnds_NonXtal_Prot#'!A:AL,10,FALSE),1)</f>
        <v>D</v>
      </c>
      <c r="W48" s="49" t="str">
        <f>MID(VLOOKUP($A48,Seqs!$A:$B,2,FALSE),VLOOKUP($A48,'SegEnds_NonXtal_Prot#'!A:AL,10,FALSE)+6,1)</f>
        <v>V</v>
      </c>
      <c r="X48" s="49" t="str">
        <f>MID(VLOOKUP($A48,Seqs!$A:$B,2,FALSE),VLOOKUP($A48,'SegEnds_NonXtal_Prot#'!A:AL,10,FALSE)+7,1)</f>
        <v>V</v>
      </c>
      <c r="Y48" s="49" t="str">
        <f>MID(VLOOKUP($A48,Seqs!$A:$B,2,FALSE),VLOOKUP($A48,'SegEnds_NonXtal_Prot#'!A:AL,10,FALSE)+8,1)</f>
        <v>M</v>
      </c>
      <c r="Z48" s="49" t="str">
        <f>MID(VLOOKUP($A48,Seqs!$A:$B,2,FALSE),VLOOKUP($A48,'SegEnds_NonXtal_Prot#'!A:AL,10,FALSE)+9,1)</f>
        <v>P</v>
      </c>
      <c r="AA48" s="49" t="str">
        <f>MID(VLOOKUP($A48,Seqs!$A:$B,2,FALSE),VLOOKUP($A48,'SegEnds_NonXtal_Prot#'!A:AL,10,FALSE)+10,1)</f>
        <v>P</v>
      </c>
      <c r="AB48" s="28" t="str">
        <f>MID(VLOOKUP($A48,Seqs!$A:$B,2,FALSE),VLOOKUP($A48,'SegEnds_NonXtal_Prot#'!$A:$AL,22,FALSE)+6,1)</f>
        <v>A</v>
      </c>
      <c r="AC48" s="49" t="str">
        <f>MID(VLOOKUP($A48,Seqs!$A:$B,2,FALSE),VLOOKUP($A48,'SegEnds_NonXtal_Prot#'!$A:$AL,22,FALSE)+7,1)</f>
        <v>S</v>
      </c>
      <c r="AD48" s="49" t="str">
        <f>MID(VLOOKUP($A48,Seqs!$A:$B,2,FALSE),VLOOKUP($A48,'SegEnds_NonXtal_Prot#'!$A:$AL,22,FALSE)+8,1)</f>
        <v>F</v>
      </c>
      <c r="AE48" s="49" t="str">
        <f>MID(VLOOKUP($A48,Seqs!$A:$B,2,FALSE),VLOOKUP($A48,'SegEnds_NonXtal_Prot#'!$A:$AL,22,FALSE)+9,1)</f>
        <v>L</v>
      </c>
      <c r="AF48" s="49" t="str">
        <f>MID(VLOOKUP($A48,Seqs!$A:$B,2,FALSE),VLOOKUP($A48,'SegEnds_NonXtal_Prot#'!$A:$AL,22,FALSE)+10,1)</f>
        <v>P</v>
      </c>
      <c r="AG48" s="28" t="str">
        <f>MID(VLOOKUP($A48,Seqs!$A:$B,2,FALSE),VLOOKUP($A48,'SegEnds_NonXtal_Prot#'!$A:$AL,28,FALSE)-4,1)</f>
        <v>T</v>
      </c>
      <c r="AH48" s="49" t="str">
        <f>MID(VLOOKUP($A48,Seqs!$A:$B,2,FALSE),VLOOKUP($A48,'SegEnds_NonXtal_Prot#'!$A:$AL,28,FALSE),1)</f>
        <v>P</v>
      </c>
    </row>
    <row r="49" spans="1:34" s="2" customFormat="1" x14ac:dyDescent="0.2">
      <c r="A49" s="2" t="s">
        <v>153</v>
      </c>
      <c r="B49" s="2" t="str">
        <f>LOWER(VLOOKUP(A49,Xtal_Templ!A:B,2,FALSE))</f>
        <v>drd2_human</v>
      </c>
      <c r="C49" s="2" t="str">
        <f>VLOOKUP(A49,Classification!A:D,2,FALSE)</f>
        <v>A</v>
      </c>
      <c r="D49" s="2" t="str">
        <f>IF(ISERROR(MATCH(A49,'SegEnds_Xtal_Prot#'!B:B, 0)), "NoXtal", "Xtal")</f>
        <v>NoXtal</v>
      </c>
      <c r="G49" s="2" t="s">
        <v>5</v>
      </c>
      <c r="H49" s="4"/>
      <c r="R49" s="2" t="s">
        <v>9</v>
      </c>
      <c r="T49" s="4" t="s">
        <v>12</v>
      </c>
      <c r="V49" s="28" t="str">
        <f>MID(VLOOKUP($A49,Seqs!$A:$B,2,FALSE),VLOOKUP($A49,'SegEnds_NonXtal_Prot#'!A:AL,10,FALSE),1)</f>
        <v>D</v>
      </c>
      <c r="W49" s="49" t="str">
        <f>MID(VLOOKUP($A49,Seqs!$A:$B,2,FALSE),VLOOKUP($A49,'SegEnds_NonXtal_Prot#'!A:AL,10,FALSE)+6,1)</f>
        <v>T</v>
      </c>
      <c r="X49" s="49" t="str">
        <f>MID(VLOOKUP($A49,Seqs!$A:$B,2,FALSE),VLOOKUP($A49,'SegEnds_NonXtal_Prot#'!A:AL,10,FALSE)+7,1)</f>
        <v>V</v>
      </c>
      <c r="Y49" s="49" t="str">
        <f>MID(VLOOKUP($A49,Seqs!$A:$B,2,FALSE),VLOOKUP($A49,'SegEnds_NonXtal_Prot#'!A:AL,10,FALSE)+8,1)</f>
        <v>L</v>
      </c>
      <c r="Z49" s="49" t="str">
        <f>MID(VLOOKUP($A49,Seqs!$A:$B,2,FALSE),VLOOKUP($A49,'SegEnds_NonXtal_Prot#'!A:AL,10,FALSE)+9,1)</f>
        <v>P</v>
      </c>
      <c r="AA49" s="49" t="str">
        <f>MID(VLOOKUP($A49,Seqs!$A:$B,2,FALSE),VLOOKUP($A49,'SegEnds_NonXtal_Prot#'!A:AL,10,FALSE)+10,1)</f>
        <v>F</v>
      </c>
      <c r="AB49" s="28" t="str">
        <f>MID(VLOOKUP($A49,Seqs!$A:$B,2,FALSE),VLOOKUP($A49,'SegEnds_NonXtal_Prot#'!$A:$AL,22,FALSE)+6,1)</f>
        <v>I</v>
      </c>
      <c r="AC49" s="49" t="str">
        <f>MID(VLOOKUP($A49,Seqs!$A:$B,2,FALSE),VLOOKUP($A49,'SegEnds_NonXtal_Prot#'!$A:$AL,22,FALSE)+7,1)</f>
        <v>S</v>
      </c>
      <c r="AD49" s="49" t="str">
        <f>MID(VLOOKUP($A49,Seqs!$A:$B,2,FALSE),VLOOKUP($A49,'SegEnds_NonXtal_Prot#'!$A:$AL,22,FALSE)+8,1)</f>
        <v>I</v>
      </c>
      <c r="AE49" s="49" t="str">
        <f>MID(VLOOKUP($A49,Seqs!$A:$B,2,FALSE),VLOOKUP($A49,'SegEnds_NonXtal_Prot#'!$A:$AL,22,FALSE)+9,1)</f>
        <v>G</v>
      </c>
      <c r="AF49" s="49" t="str">
        <f>MID(VLOOKUP($A49,Seqs!$A:$B,2,FALSE),VLOOKUP($A49,'SegEnds_NonXtal_Prot#'!$A:$AL,22,FALSE)+10,1)</f>
        <v>P</v>
      </c>
      <c r="AG49" s="28" t="str">
        <f>MID(VLOOKUP($A49,Seqs!$A:$B,2,FALSE),VLOOKUP($A49,'SegEnds_NonXtal_Prot#'!$A:$AL,28,FALSE)-4,1)</f>
        <v>S</v>
      </c>
      <c r="AH49" s="49" t="str">
        <f>MID(VLOOKUP($A49,Seqs!$A:$B,2,FALSE),VLOOKUP($A49,'SegEnds_NonXtal_Prot#'!$A:$AL,28,FALSE),1)</f>
        <v>P</v>
      </c>
    </row>
    <row r="50" spans="1:34" s="2" customFormat="1" x14ac:dyDescent="0.2">
      <c r="A50" s="2" t="s">
        <v>154</v>
      </c>
      <c r="B50" s="2" t="str">
        <f>LOWER(VLOOKUP(A50,Xtal_Templ!A:B,2,FALSE))</f>
        <v>drd2_human</v>
      </c>
      <c r="C50" s="2" t="str">
        <f>VLOOKUP(A50,Classification!A:D,2,FALSE)</f>
        <v>A</v>
      </c>
      <c r="D50" s="2" t="str">
        <f>IF(ISERROR(MATCH(A50,'SegEnds_Xtal_Prot#'!B:B, 0)), "NoXtal", "Xtal")</f>
        <v>NoXtal</v>
      </c>
      <c r="G50" s="2" t="s">
        <v>5</v>
      </c>
      <c r="H50" s="4"/>
      <c r="R50" s="2" t="s">
        <v>9</v>
      </c>
      <c r="T50" s="4" t="s">
        <v>12</v>
      </c>
      <c r="V50" s="28" t="str">
        <f>MID(VLOOKUP($A50,Seqs!$A:$B,2,FALSE),VLOOKUP($A50,'SegEnds_NonXtal_Prot#'!A:AL,10,FALSE),1)</f>
        <v>D</v>
      </c>
      <c r="W50" s="49" t="str">
        <f>MID(VLOOKUP($A50,Seqs!$A:$B,2,FALSE),VLOOKUP($A50,'SegEnds_NonXtal_Prot#'!A:AL,10,FALSE)+6,1)</f>
        <v>T</v>
      </c>
      <c r="X50" s="49" t="str">
        <f>MID(VLOOKUP($A50,Seqs!$A:$B,2,FALSE),VLOOKUP($A50,'SegEnds_NonXtal_Prot#'!A:AL,10,FALSE)+7,1)</f>
        <v>V</v>
      </c>
      <c r="Y50" s="49" t="str">
        <f>MID(VLOOKUP($A50,Seqs!$A:$B,2,FALSE),VLOOKUP($A50,'SegEnds_NonXtal_Prot#'!A:AL,10,FALSE)+8,1)</f>
        <v>L</v>
      </c>
      <c r="Z50" s="49" t="str">
        <f>MID(VLOOKUP($A50,Seqs!$A:$B,2,FALSE),VLOOKUP($A50,'SegEnds_NonXtal_Prot#'!A:AL,10,FALSE)+9,1)</f>
        <v>P</v>
      </c>
      <c r="AA50" s="49" t="str">
        <f>MID(VLOOKUP($A50,Seqs!$A:$B,2,FALSE),VLOOKUP($A50,'SegEnds_NonXtal_Prot#'!A:AL,10,FALSE)+10,1)</f>
        <v>F</v>
      </c>
      <c r="AB50" s="28" t="str">
        <f>MID(VLOOKUP($A50,Seqs!$A:$B,2,FALSE),VLOOKUP($A50,'SegEnds_NonXtal_Prot#'!$A:$AL,22,FALSE)+6,1)</f>
        <v>V</v>
      </c>
      <c r="AC50" s="49" t="str">
        <f>MID(VLOOKUP($A50,Seqs!$A:$B,2,FALSE),VLOOKUP($A50,'SegEnds_NonXtal_Prot#'!$A:$AL,22,FALSE)+7,1)</f>
        <v>S</v>
      </c>
      <c r="AD50" s="49" t="str">
        <f>MID(VLOOKUP($A50,Seqs!$A:$B,2,FALSE),VLOOKUP($A50,'SegEnds_NonXtal_Prot#'!$A:$AL,22,FALSE)+8,1)</f>
        <v>V</v>
      </c>
      <c r="AE50" s="49" t="str">
        <f>MID(VLOOKUP($A50,Seqs!$A:$B,2,FALSE),VLOOKUP($A50,'SegEnds_NonXtal_Prot#'!$A:$AL,22,FALSE)+9,1)</f>
        <v>G</v>
      </c>
      <c r="AF50" s="49" t="str">
        <f>MID(VLOOKUP($A50,Seqs!$A:$B,2,FALSE),VLOOKUP($A50,'SegEnds_NonXtal_Prot#'!$A:$AL,22,FALSE)+10,1)</f>
        <v>P</v>
      </c>
      <c r="AG50" s="28" t="str">
        <f>MID(VLOOKUP($A50,Seqs!$A:$B,2,FALSE),VLOOKUP($A50,'SegEnds_NonXtal_Prot#'!$A:$AL,28,FALSE)-4,1)</f>
        <v>S</v>
      </c>
      <c r="AH50" s="49" t="str">
        <f>MID(VLOOKUP($A50,Seqs!$A:$B,2,FALSE),VLOOKUP($A50,'SegEnds_NonXtal_Prot#'!$A:$AL,28,FALSE),1)</f>
        <v>P</v>
      </c>
    </row>
    <row r="51" spans="1:34" s="2" customFormat="1" x14ac:dyDescent="0.2">
      <c r="A51" s="2" t="s">
        <v>125</v>
      </c>
      <c r="B51" s="2" t="str">
        <f>LOWER(VLOOKUP(A51,Xtal_Templ!A:B,2,FALSE))</f>
        <v>adrb2_human</v>
      </c>
      <c r="C51" s="2" t="str">
        <f>VLOOKUP(A51,Classification!A:D,2,FALSE)</f>
        <v>A</v>
      </c>
      <c r="D51" s="2" t="str">
        <f>IF(ISERROR(MATCH(A51,'SegEnds_Xtal_Prot#'!B:B, 0)), "NoXtal", "Xtal")</f>
        <v>NoXtal</v>
      </c>
      <c r="G51" s="2" t="s">
        <v>5</v>
      </c>
      <c r="H51" s="4"/>
      <c r="R51" s="2" t="s">
        <v>9</v>
      </c>
      <c r="T51" s="4" t="s">
        <v>12</v>
      </c>
      <c r="V51" s="28" t="str">
        <f>MID(VLOOKUP($A51,Seqs!$A:$B,2,FALSE),VLOOKUP($A51,'SegEnds_NonXtal_Prot#'!A:AL,10,FALSE),1)</f>
        <v>D</v>
      </c>
      <c r="W51" s="49" t="str">
        <f>MID(VLOOKUP($A51,Seqs!$A:$B,2,FALSE),VLOOKUP($A51,'SegEnds_NonXtal_Prot#'!A:AL,10,FALSE)+6,1)</f>
        <v>L</v>
      </c>
      <c r="X51" s="49" t="str">
        <f>MID(VLOOKUP($A51,Seqs!$A:$B,2,FALSE),VLOOKUP($A51,'SegEnds_NonXtal_Prot#'!A:AL,10,FALSE)+7,1)</f>
        <v>V</v>
      </c>
      <c r="Y51" s="49" t="str">
        <f>MID(VLOOKUP($A51,Seqs!$A:$B,2,FALSE),VLOOKUP($A51,'SegEnds_NonXtal_Prot#'!A:AL,10,FALSE)+8,1)</f>
        <v>V</v>
      </c>
      <c r="Z51" s="49" t="str">
        <f>MID(VLOOKUP($A51,Seqs!$A:$B,2,FALSE),VLOOKUP($A51,'SegEnds_NonXtal_Prot#'!A:AL,10,FALSE)+9,1)</f>
        <v>P</v>
      </c>
      <c r="AA51" s="49" t="str">
        <f>MID(VLOOKUP($A51,Seqs!$A:$B,2,FALSE),VLOOKUP($A51,'SegEnds_NonXtal_Prot#'!A:AL,10,FALSE)+10,1)</f>
        <v>F</v>
      </c>
      <c r="AB51" s="28" t="str">
        <f>MID(VLOOKUP($A51,Seqs!$A:$B,2,FALSE),VLOOKUP($A51,'SegEnds_NonXtal_Prot#'!$A:$AL,22,FALSE)+6,1)</f>
        <v>V</v>
      </c>
      <c r="AC51" s="49" t="str">
        <f>MID(VLOOKUP($A51,Seqs!$A:$B,2,FALSE),VLOOKUP($A51,'SegEnds_NonXtal_Prot#'!$A:$AL,22,FALSE)+7,1)</f>
        <v>S</v>
      </c>
      <c r="AD51" s="49" t="str">
        <f>MID(VLOOKUP($A51,Seqs!$A:$B,2,FALSE),VLOOKUP($A51,'SegEnds_NonXtal_Prot#'!$A:$AL,22,FALSE)+8,1)</f>
        <v>F</v>
      </c>
      <c r="AE51" s="49" t="str">
        <f>MID(VLOOKUP($A51,Seqs!$A:$B,2,FALSE),VLOOKUP($A51,'SegEnds_NonXtal_Prot#'!$A:$AL,22,FALSE)+9,1)</f>
        <v>L</v>
      </c>
      <c r="AF51" s="49" t="str">
        <f>MID(VLOOKUP($A51,Seqs!$A:$B,2,FALSE),VLOOKUP($A51,'SegEnds_NonXtal_Prot#'!$A:$AL,22,FALSE)+10,1)</f>
        <v>P</v>
      </c>
      <c r="AG51" s="28" t="str">
        <f>MID(VLOOKUP($A51,Seqs!$A:$B,2,FALSE),VLOOKUP($A51,'SegEnds_NonXtal_Prot#'!$A:$AL,28,FALSE)-4,1)</f>
        <v>S</v>
      </c>
      <c r="AH51" s="49" t="str">
        <f>MID(VLOOKUP($A51,Seqs!$A:$B,2,FALSE),VLOOKUP($A51,'SegEnds_NonXtal_Prot#'!$A:$AL,28,FALSE),1)</f>
        <v>P</v>
      </c>
    </row>
    <row r="52" spans="1:34" s="2" customFormat="1" x14ac:dyDescent="0.2">
      <c r="A52" s="2" t="s">
        <v>912</v>
      </c>
      <c r="B52" s="2" t="str">
        <f>LOWER(VLOOKUP(A52,Xtal_Templ!A:B,2,FALSE))</f>
        <v>adrb1_melga</v>
      </c>
      <c r="C52" s="2" t="str">
        <f>VLOOKUP(A52,Classification!A:D,2,FALSE)</f>
        <v>A</v>
      </c>
      <c r="D52" s="2" t="str">
        <f>IF(ISERROR(MATCH(A52,'SegEnds_Xtal_Prot#'!B:B, 0)), "NoXtal", "Xtal")</f>
        <v>Xtal</v>
      </c>
      <c r="G52" s="2" t="s">
        <v>5</v>
      </c>
      <c r="H52" s="4"/>
      <c r="R52" s="2" t="s">
        <v>9</v>
      </c>
      <c r="T52" s="4" t="s">
        <v>12</v>
      </c>
      <c r="V52" s="28" t="str">
        <f>MID(VLOOKUP($A52,Seqs!$A:$B,2,FALSE),VLOOKUP($A52,'SegEnds_NonXtal_Prot#'!A:AL,10,FALSE),1)</f>
        <v>D</v>
      </c>
      <c r="W52" s="49" t="str">
        <f>MID(VLOOKUP($A52,Seqs!$A:$B,2,FALSE),VLOOKUP($A52,'SegEnds_NonXtal_Prot#'!A:AL,10,FALSE)+6,1)</f>
        <v>L</v>
      </c>
      <c r="X52" s="49" t="str">
        <f>MID(VLOOKUP($A52,Seqs!$A:$B,2,FALSE),VLOOKUP($A52,'SegEnds_NonXtal_Prot#'!A:AL,10,FALSE)+7,1)</f>
        <v>V</v>
      </c>
      <c r="Y52" s="49" t="str">
        <f>MID(VLOOKUP($A52,Seqs!$A:$B,2,FALSE),VLOOKUP($A52,'SegEnds_NonXtal_Prot#'!A:AL,10,FALSE)+8,1)</f>
        <v>V</v>
      </c>
      <c r="Z52" s="49" t="str">
        <f>MID(VLOOKUP($A52,Seqs!$A:$B,2,FALSE),VLOOKUP($A52,'SegEnds_NonXtal_Prot#'!A:AL,10,FALSE)+9,1)</f>
        <v>P</v>
      </c>
      <c r="AA52" s="49" t="str">
        <f>MID(VLOOKUP($A52,Seqs!$A:$B,2,FALSE),VLOOKUP($A52,'SegEnds_NonXtal_Prot#'!A:AL,10,FALSE)+10,1)</f>
        <v>F</v>
      </c>
      <c r="AB52" s="28" t="str">
        <f>MID(VLOOKUP($A52,Seqs!$A:$B,2,FALSE),VLOOKUP($A52,'SegEnds_NonXtal_Prot#'!$A:$AL,22,FALSE)+6,1)</f>
        <v>V</v>
      </c>
      <c r="AC52" s="49" t="str">
        <f>MID(VLOOKUP($A52,Seqs!$A:$B,2,FALSE),VLOOKUP($A52,'SegEnds_NonXtal_Prot#'!$A:$AL,22,FALSE)+7,1)</f>
        <v>S</v>
      </c>
      <c r="AD52" s="49" t="str">
        <f>MID(VLOOKUP($A52,Seqs!$A:$B,2,FALSE),VLOOKUP($A52,'SegEnds_NonXtal_Prot#'!$A:$AL,22,FALSE)+8,1)</f>
        <v>F</v>
      </c>
      <c r="AE52" s="49" t="str">
        <f>MID(VLOOKUP($A52,Seqs!$A:$B,2,FALSE),VLOOKUP($A52,'SegEnds_NonXtal_Prot#'!$A:$AL,22,FALSE)+9,1)</f>
        <v>L</v>
      </c>
      <c r="AF52" s="49" t="str">
        <f>MID(VLOOKUP($A52,Seqs!$A:$B,2,FALSE),VLOOKUP($A52,'SegEnds_NonXtal_Prot#'!$A:$AL,22,FALSE)+10,1)</f>
        <v>P</v>
      </c>
      <c r="AG52" s="28" t="str">
        <f>MID(VLOOKUP($A52,Seqs!$A:$B,2,FALSE),VLOOKUP($A52,'SegEnds_NonXtal_Prot#'!$A:$AL,28,FALSE)-4,1)</f>
        <v>S</v>
      </c>
      <c r="AH52" s="49" t="str">
        <f>MID(VLOOKUP($A52,Seqs!$A:$B,2,FALSE),VLOOKUP($A52,'SegEnds_NonXtal_Prot#'!$A:$AL,28,FALSE),1)</f>
        <v>P</v>
      </c>
    </row>
    <row r="53" spans="1:34" s="2" customFormat="1" x14ac:dyDescent="0.2">
      <c r="A53" s="2" t="s">
        <v>102</v>
      </c>
      <c r="B53" s="2" t="str">
        <f>LOWER(VLOOKUP(A53,Xtal_Templ!A:B,2,FALSE))</f>
        <v>adrb2_human</v>
      </c>
      <c r="C53" s="2" t="str">
        <f>VLOOKUP(A53,Classification!A:D,2,FALSE)</f>
        <v>A</v>
      </c>
      <c r="D53" s="2" t="str">
        <f>IF(ISERROR(MATCH(A53,'SegEnds_Xtal_Prot#'!B:B, 0)), "NoXtal", "Xtal")</f>
        <v>NoXtal</v>
      </c>
      <c r="G53" s="2" t="s">
        <v>5</v>
      </c>
      <c r="H53" s="4"/>
      <c r="R53" s="2" t="s">
        <v>9</v>
      </c>
      <c r="T53" s="4" t="s">
        <v>12</v>
      </c>
      <c r="V53" s="28" t="str">
        <f>MID(VLOOKUP($A53,Seqs!$A:$B,2,FALSE),VLOOKUP($A53,'SegEnds_NonXtal_Prot#'!A:AL,10,FALSE),1)</f>
        <v>D</v>
      </c>
      <c r="W53" s="49" t="str">
        <f>MID(VLOOKUP($A53,Seqs!$A:$B,2,FALSE),VLOOKUP($A53,'SegEnds_NonXtal_Prot#'!A:AL,10,FALSE)+6,1)</f>
        <v>L</v>
      </c>
      <c r="X53" s="49" t="str">
        <f>MID(VLOOKUP($A53,Seqs!$A:$B,2,FALSE),VLOOKUP($A53,'SegEnds_NonXtal_Prot#'!A:AL,10,FALSE)+7,1)</f>
        <v>V</v>
      </c>
      <c r="Y53" s="49" t="str">
        <f>MID(VLOOKUP($A53,Seqs!$A:$B,2,FALSE),VLOOKUP($A53,'SegEnds_NonXtal_Prot#'!A:AL,10,FALSE)+8,1)</f>
        <v>V</v>
      </c>
      <c r="Z53" s="49" t="str">
        <f>MID(VLOOKUP($A53,Seqs!$A:$B,2,FALSE),VLOOKUP($A53,'SegEnds_NonXtal_Prot#'!A:AL,10,FALSE)+9,1)</f>
        <v>P</v>
      </c>
      <c r="AA53" s="49" t="str">
        <f>MID(VLOOKUP($A53,Seqs!$A:$B,2,FALSE),VLOOKUP($A53,'SegEnds_NonXtal_Prot#'!A:AL,10,FALSE)+10,1)</f>
        <v>P</v>
      </c>
      <c r="AB53" s="28" t="str">
        <f>MID(VLOOKUP($A53,Seqs!$A:$B,2,FALSE),VLOOKUP($A53,'SegEnds_NonXtal_Prot#'!$A:$AL,22,FALSE)+6,1)</f>
        <v>V</v>
      </c>
      <c r="AC53" s="49" t="str">
        <f>MID(VLOOKUP($A53,Seqs!$A:$B,2,FALSE),VLOOKUP($A53,'SegEnds_NonXtal_Prot#'!$A:$AL,22,FALSE)+7,1)</f>
        <v>S</v>
      </c>
      <c r="AD53" s="49" t="str">
        <f>MID(VLOOKUP($A53,Seqs!$A:$B,2,FALSE),VLOOKUP($A53,'SegEnds_NonXtal_Prot#'!$A:$AL,22,FALSE)+8,1)</f>
        <v>F</v>
      </c>
      <c r="AE53" s="49" t="str">
        <f>MID(VLOOKUP($A53,Seqs!$A:$B,2,FALSE),VLOOKUP($A53,'SegEnds_NonXtal_Prot#'!$A:$AL,22,FALSE)+9,1)</f>
        <v>A</v>
      </c>
      <c r="AF53" s="49" t="str">
        <f>MID(VLOOKUP($A53,Seqs!$A:$B,2,FALSE),VLOOKUP($A53,'SegEnds_NonXtal_Prot#'!$A:$AL,22,FALSE)+10,1)</f>
        <v>P</v>
      </c>
      <c r="AG53" s="28" t="str">
        <f>MID(VLOOKUP($A53,Seqs!$A:$B,2,FALSE),VLOOKUP($A53,'SegEnds_NonXtal_Prot#'!$A:$AL,28,FALSE)-4,1)</f>
        <v>S</v>
      </c>
      <c r="AH53" s="49" t="str">
        <f>MID(VLOOKUP($A53,Seqs!$A:$B,2,FALSE),VLOOKUP($A53,'SegEnds_NonXtal_Prot#'!$A:$AL,28,FALSE),1)</f>
        <v>P</v>
      </c>
    </row>
    <row r="54" spans="1:34" s="2" customFormat="1" x14ac:dyDescent="0.2">
      <c r="A54" s="2" t="s">
        <v>190</v>
      </c>
      <c r="B54" s="2" t="str">
        <f>LOWER(VLOOKUP(A54,Xtal_Templ!A:B,2,FALSE))</f>
        <v>adrb2_human</v>
      </c>
      <c r="C54" s="2" t="str">
        <f>VLOOKUP(A54,Classification!A:D,2,FALSE)</f>
        <v>A</v>
      </c>
      <c r="D54" s="2" t="str">
        <f>IF(ISERROR(MATCH(A54,'SegEnds_Xtal_Prot#'!B:B, 0)), "NoXtal", "Xtal")</f>
        <v>NoXtal</v>
      </c>
      <c r="G54" s="2" t="s">
        <v>5</v>
      </c>
      <c r="H54" s="4"/>
      <c r="R54" s="2" t="s">
        <v>9</v>
      </c>
      <c r="T54" s="4" t="s">
        <v>12</v>
      </c>
      <c r="V54" s="28" t="str">
        <f>MID(VLOOKUP($A54,Seqs!$A:$B,2,FALSE),VLOOKUP($A54,'SegEnds_NonXtal_Prot#'!A:AL,10,FALSE),1)</f>
        <v>D</v>
      </c>
      <c r="W54" s="49" t="str">
        <f>MID(VLOOKUP($A54,Seqs!$A:$B,2,FALSE),VLOOKUP($A54,'SegEnds_NonXtal_Prot#'!A:AL,10,FALSE)+6,1)</f>
        <v>L</v>
      </c>
      <c r="X54" s="49" t="str">
        <f>MID(VLOOKUP($A54,Seqs!$A:$B,2,FALSE),VLOOKUP($A54,'SegEnds_NonXtal_Prot#'!A:AL,10,FALSE)+7,1)</f>
        <v>V</v>
      </c>
      <c r="Y54" s="49" t="str">
        <f>MID(VLOOKUP($A54,Seqs!$A:$B,2,FALSE),VLOOKUP($A54,'SegEnds_NonXtal_Prot#'!A:AL,10,FALSE)+8,1)</f>
        <v>M</v>
      </c>
      <c r="Z54" s="49" t="str">
        <f>MID(VLOOKUP($A54,Seqs!$A:$B,2,FALSE),VLOOKUP($A54,'SegEnds_NonXtal_Prot#'!A:AL,10,FALSE)+9,1)</f>
        <v>P</v>
      </c>
      <c r="AA54" s="49" t="str">
        <f>MID(VLOOKUP($A54,Seqs!$A:$B,2,FALSE),VLOOKUP($A54,'SegEnds_NonXtal_Prot#'!A:AL,10,FALSE)+10,1)</f>
        <v>W</v>
      </c>
      <c r="AB54" s="28" t="str">
        <f>MID(VLOOKUP($A54,Seqs!$A:$B,2,FALSE),VLOOKUP($A54,'SegEnds_NonXtal_Prot#'!$A:$AL,22,FALSE)+6,1)</f>
        <v>I</v>
      </c>
      <c r="AC54" s="49" t="str">
        <f>MID(VLOOKUP($A54,Seqs!$A:$B,2,FALSE),VLOOKUP($A54,'SegEnds_NonXtal_Prot#'!$A:$AL,22,FALSE)+7,1)</f>
        <v>S</v>
      </c>
      <c r="AD54" s="49" t="str">
        <f>MID(VLOOKUP($A54,Seqs!$A:$B,2,FALSE),VLOOKUP($A54,'SegEnds_NonXtal_Prot#'!$A:$AL,22,FALSE)+8,1)</f>
        <v>F</v>
      </c>
      <c r="AE54" s="49" t="str">
        <f>MID(VLOOKUP($A54,Seqs!$A:$B,2,FALSE),VLOOKUP($A54,'SegEnds_NonXtal_Prot#'!$A:$AL,22,FALSE)+9,1)</f>
        <v>I</v>
      </c>
      <c r="AF54" s="49" t="str">
        <f>MID(VLOOKUP($A54,Seqs!$A:$B,2,FALSE),VLOOKUP($A54,'SegEnds_NonXtal_Prot#'!$A:$AL,22,FALSE)+10,1)</f>
        <v>P</v>
      </c>
      <c r="AG54" s="28" t="str">
        <f>MID(VLOOKUP($A54,Seqs!$A:$B,2,FALSE),VLOOKUP($A54,'SegEnds_NonXtal_Prot#'!$A:$AL,28,FALSE)-4,1)</f>
        <v>S</v>
      </c>
      <c r="AH54" s="49" t="str">
        <f>MID(VLOOKUP($A54,Seqs!$A:$B,2,FALSE),VLOOKUP($A54,'SegEnds_NonXtal_Prot#'!$A:$AL,28,FALSE),1)</f>
        <v>P</v>
      </c>
    </row>
    <row r="55" spans="1:34" s="2" customFormat="1" x14ac:dyDescent="0.2">
      <c r="A55" s="2" t="s">
        <v>194</v>
      </c>
      <c r="B55" s="2" t="str">
        <f>LOWER(VLOOKUP(A55,Xtal_Templ!A:B,2,FALSE))</f>
        <v>adrb2_human</v>
      </c>
      <c r="C55" s="2" t="str">
        <f>VLOOKUP(A55,Classification!A:D,2,FALSE)</f>
        <v>A</v>
      </c>
      <c r="D55" s="2" t="str">
        <f>IF(ISERROR(MATCH(A55,'SegEnds_Xtal_Prot#'!B:B, 0)), "NoXtal", "Xtal")</f>
        <v>NoXtal</v>
      </c>
      <c r="G55" s="2" t="s">
        <v>5</v>
      </c>
      <c r="H55" s="4"/>
      <c r="R55" s="2" t="s">
        <v>9</v>
      </c>
      <c r="T55" s="4" t="s">
        <v>12</v>
      </c>
      <c r="V55" s="28" t="str">
        <f>MID(VLOOKUP($A55,Seqs!$A:$B,2,FALSE),VLOOKUP($A55,'SegEnds_NonXtal_Prot#'!A:AL,10,FALSE),1)</f>
        <v>D</v>
      </c>
      <c r="W55" s="49" t="str">
        <f>MID(VLOOKUP($A55,Seqs!$A:$B,2,FALSE),VLOOKUP($A55,'SegEnds_NonXtal_Prot#'!A:AL,10,FALSE)+6,1)</f>
        <v>L</v>
      </c>
      <c r="X55" s="49" t="str">
        <f>MID(VLOOKUP($A55,Seqs!$A:$B,2,FALSE),VLOOKUP($A55,'SegEnds_NonXtal_Prot#'!A:AL,10,FALSE)+7,1)</f>
        <v>V</v>
      </c>
      <c r="Y55" s="49" t="str">
        <f>MID(VLOOKUP($A55,Seqs!$A:$B,2,FALSE),VLOOKUP($A55,'SegEnds_NonXtal_Prot#'!A:AL,10,FALSE)+8,1)</f>
        <v>M</v>
      </c>
      <c r="Z55" s="49" t="str">
        <f>MID(VLOOKUP($A55,Seqs!$A:$B,2,FALSE),VLOOKUP($A55,'SegEnds_NonXtal_Prot#'!A:AL,10,FALSE)+9,1)</f>
        <v>P</v>
      </c>
      <c r="AA55" s="49" t="str">
        <f>MID(VLOOKUP($A55,Seqs!$A:$B,2,FALSE),VLOOKUP($A55,'SegEnds_NonXtal_Prot#'!A:AL,10,FALSE)+10,1)</f>
        <v>W</v>
      </c>
      <c r="AB55" s="28" t="str">
        <f>MID(VLOOKUP($A55,Seqs!$A:$B,2,FALSE),VLOOKUP($A55,'SegEnds_NonXtal_Prot#'!$A:$AL,22,FALSE)+6,1)</f>
        <v>I</v>
      </c>
      <c r="AC55" s="49" t="str">
        <f>MID(VLOOKUP($A55,Seqs!$A:$B,2,FALSE),VLOOKUP($A55,'SegEnds_NonXtal_Prot#'!$A:$AL,22,FALSE)+7,1)</f>
        <v>S</v>
      </c>
      <c r="AD55" s="49" t="str">
        <f>MID(VLOOKUP($A55,Seqs!$A:$B,2,FALSE),VLOOKUP($A55,'SegEnds_NonXtal_Prot#'!$A:$AL,22,FALSE)+8,1)</f>
        <v>F</v>
      </c>
      <c r="AE55" s="49" t="str">
        <f>MID(VLOOKUP($A55,Seqs!$A:$B,2,FALSE),VLOOKUP($A55,'SegEnds_NonXtal_Prot#'!$A:$AL,22,FALSE)+9,1)</f>
        <v>I</v>
      </c>
      <c r="AF55" s="49" t="str">
        <f>MID(VLOOKUP($A55,Seqs!$A:$B,2,FALSE),VLOOKUP($A55,'SegEnds_NonXtal_Prot#'!$A:$AL,22,FALSE)+10,1)</f>
        <v>P</v>
      </c>
      <c r="AG55" s="28" t="str">
        <f>MID(VLOOKUP($A55,Seqs!$A:$B,2,FALSE),VLOOKUP($A55,'SegEnds_NonXtal_Prot#'!$A:$AL,28,FALSE)-4,1)</f>
        <v>S</v>
      </c>
      <c r="AH55" s="49" t="str">
        <f>MID(VLOOKUP($A55,Seqs!$A:$B,2,FALSE),VLOOKUP($A55,'SegEnds_NonXtal_Prot#'!$A:$AL,28,FALSE),1)</f>
        <v>P</v>
      </c>
    </row>
    <row r="56" spans="1:34" s="2" customFormat="1" x14ac:dyDescent="0.2">
      <c r="A56" s="2" t="s">
        <v>212</v>
      </c>
      <c r="B56" s="2" t="str">
        <f>LOWER(VLOOKUP(A56,Xtal_Templ!A:B,2,FALSE))</f>
        <v>5ht2c_human</v>
      </c>
      <c r="C56" s="2" t="str">
        <f>VLOOKUP(A56,Classification!A:D,2,FALSE)</f>
        <v>A</v>
      </c>
      <c r="D56" s="2" t="str">
        <f>IF(ISERROR(MATCH(A56,'SegEnds_Xtal_Prot#'!B:B, 0)), "NoXtal", "Xtal")</f>
        <v>NoXtal</v>
      </c>
      <c r="G56" s="2" t="s">
        <v>5</v>
      </c>
      <c r="H56" s="4"/>
      <c r="T56" s="4" t="s">
        <v>12</v>
      </c>
      <c r="V56" s="28" t="str">
        <f>MID(VLOOKUP($A56,Seqs!$A:$B,2,FALSE),VLOOKUP($A56,'SegEnds_NonXtal_Prot#'!A:AL,10,FALSE),1)</f>
        <v>D</v>
      </c>
      <c r="W56" s="49" t="str">
        <f>MID(VLOOKUP($A56,Seqs!$A:$B,2,FALSE),VLOOKUP($A56,'SegEnds_NonXtal_Prot#'!A:AL,10,FALSE)+6,1)</f>
        <v>L</v>
      </c>
      <c r="X56" s="49" t="str">
        <f>MID(VLOOKUP($A56,Seqs!$A:$B,2,FALSE),VLOOKUP($A56,'SegEnds_NonXtal_Prot#'!A:AL,10,FALSE)+7,1)</f>
        <v>V</v>
      </c>
      <c r="Y56" s="49" t="str">
        <f>MID(VLOOKUP($A56,Seqs!$A:$B,2,FALSE),VLOOKUP($A56,'SegEnds_NonXtal_Prot#'!A:AL,10,FALSE)+8,1)</f>
        <v>A</v>
      </c>
      <c r="Z56" s="49" t="str">
        <f>MID(VLOOKUP($A56,Seqs!$A:$B,2,FALSE),VLOOKUP($A56,'SegEnds_NonXtal_Prot#'!A:AL,10,FALSE)+9,1)</f>
        <v>P</v>
      </c>
      <c r="AA56" s="49" t="str">
        <f>MID(VLOOKUP($A56,Seqs!$A:$B,2,FALSE),VLOOKUP($A56,'SegEnds_NonXtal_Prot#'!A:AL,10,FALSE)+10,1)</f>
        <v>W</v>
      </c>
      <c r="AB56" s="28" t="str">
        <f>MID(VLOOKUP($A56,Seqs!$A:$B,2,FALSE),VLOOKUP($A56,'SegEnds_NonXtal_Prot#'!$A:$AL,22,FALSE)+6,1)</f>
        <v>Q</v>
      </c>
      <c r="AC56" s="49" t="str">
        <f>MID(VLOOKUP($A56,Seqs!$A:$B,2,FALSE),VLOOKUP($A56,'SegEnds_NonXtal_Prot#'!$A:$AL,22,FALSE)+7,1)</f>
        <v>S</v>
      </c>
      <c r="AD56" s="49" t="str">
        <f>MID(VLOOKUP($A56,Seqs!$A:$B,2,FALSE),VLOOKUP($A56,'SegEnds_NonXtal_Prot#'!$A:$AL,22,FALSE)+8,1)</f>
        <v>T</v>
      </c>
      <c r="AE56" s="49" t="str">
        <f>MID(VLOOKUP($A56,Seqs!$A:$B,2,FALSE),VLOOKUP($A56,'SegEnds_NonXtal_Prot#'!$A:$AL,22,FALSE)+9,1)</f>
        <v>P</v>
      </c>
      <c r="AF56" s="49" t="str">
        <f>MID(VLOOKUP($A56,Seqs!$A:$B,2,FALSE),VLOOKUP($A56,'SegEnds_NonXtal_Prot#'!$A:$AL,22,FALSE)+10,1)</f>
        <v>P</v>
      </c>
      <c r="AG56" s="28" t="str">
        <f>MID(VLOOKUP($A56,Seqs!$A:$B,2,FALSE),VLOOKUP($A56,'SegEnds_NonXtal_Prot#'!$A:$AL,28,FALSE)-4,1)</f>
        <v>F</v>
      </c>
      <c r="AH56" s="49" t="str">
        <f>MID(VLOOKUP($A56,Seqs!$A:$B,2,FALSE),VLOOKUP($A56,'SegEnds_NonXtal_Prot#'!$A:$AL,28,FALSE),1)</f>
        <v>P</v>
      </c>
    </row>
    <row r="57" spans="1:34" s="2" customFormat="1" x14ac:dyDescent="0.2">
      <c r="A57" s="2" t="s">
        <v>259</v>
      </c>
      <c r="B57" s="2" t="str">
        <f>LOWER(VLOOKUP(A57,Xtal_Templ!A:B,2,FALSE))</f>
        <v>drd2_human</v>
      </c>
      <c r="C57" s="2" t="str">
        <f>VLOOKUP(A57,Classification!A:D,2,FALSE)</f>
        <v>A</v>
      </c>
      <c r="D57" s="2" t="str">
        <f>IF(ISERROR(MATCH(A57,'SegEnds_Xtal_Prot#'!B:B, 0)), "NoXtal", "Xtal")</f>
        <v>NoXtal</v>
      </c>
      <c r="G57" s="2" t="s">
        <v>5</v>
      </c>
      <c r="H57" s="4"/>
      <c r="N57" s="2" t="s">
        <v>14</v>
      </c>
      <c r="R57" s="2" t="s">
        <v>9</v>
      </c>
      <c r="T57" s="4" t="s">
        <v>12</v>
      </c>
      <c r="V57" s="28" t="str">
        <f>MID(VLOOKUP($A57,Seqs!$A:$B,2,FALSE),VLOOKUP($A57,'SegEnds_NonXtal_Prot#'!A:AL,10,FALSE),1)</f>
        <v>D</v>
      </c>
      <c r="W57" s="49" t="str">
        <f>MID(VLOOKUP($A57,Seqs!$A:$B,2,FALSE),VLOOKUP($A57,'SegEnds_NonXtal_Prot#'!A:AL,10,FALSE)+6,1)</f>
        <v>C</v>
      </c>
      <c r="X57" s="49" t="str">
        <f>MID(VLOOKUP($A57,Seqs!$A:$B,2,FALSE),VLOOKUP($A57,'SegEnds_NonXtal_Prot#'!A:AL,10,FALSE)+7,1)</f>
        <v>C</v>
      </c>
      <c r="Y57" s="49" t="str">
        <f>MID(VLOOKUP($A57,Seqs!$A:$B,2,FALSE),VLOOKUP($A57,'SegEnds_NonXtal_Prot#'!A:AL,10,FALSE)+8,1)</f>
        <v>M</v>
      </c>
      <c r="Z57" s="49" t="str">
        <f>MID(VLOOKUP($A57,Seqs!$A:$B,2,FALSE),VLOOKUP($A57,'SegEnds_NonXtal_Prot#'!A:AL,10,FALSE)+9,1)</f>
        <v>P</v>
      </c>
      <c r="AA57" s="49" t="str">
        <f>MID(VLOOKUP($A57,Seqs!$A:$B,2,FALSE),VLOOKUP($A57,'SegEnds_NonXtal_Prot#'!A:AL,10,FALSE)+10,1)</f>
        <v>F</v>
      </c>
      <c r="AB57" s="28" t="str">
        <f>MID(VLOOKUP($A57,Seqs!$A:$B,2,FALSE),VLOOKUP($A57,'SegEnds_NonXtal_Prot#'!$A:$AL,22,FALSE)+6,1)</f>
        <v>I</v>
      </c>
      <c r="AC57" s="49" t="str">
        <f>MID(VLOOKUP($A57,Seqs!$A:$B,2,FALSE),VLOOKUP($A57,'SegEnds_NonXtal_Prot#'!$A:$AL,22,FALSE)+7,1)</f>
        <v>A</v>
      </c>
      <c r="AD57" s="49" t="str">
        <f>MID(VLOOKUP($A57,Seqs!$A:$B,2,FALSE),VLOOKUP($A57,'SegEnds_NonXtal_Prot#'!$A:$AL,22,FALSE)+8,1)</f>
        <v>G</v>
      </c>
      <c r="AE57" s="49" t="str">
        <f>MID(VLOOKUP($A57,Seqs!$A:$B,2,FALSE),VLOOKUP($A57,'SegEnds_NonXtal_Prot#'!$A:$AL,22,FALSE)+9,1)</f>
        <v>P</v>
      </c>
      <c r="AF57" s="49" t="str">
        <f>MID(VLOOKUP($A57,Seqs!$A:$B,2,FALSE),VLOOKUP($A57,'SegEnds_NonXtal_Prot#'!$A:$AL,22,FALSE)+10,1)</f>
        <v>S</v>
      </c>
      <c r="AG57" s="28" t="str">
        <f>MID(VLOOKUP($A57,Seqs!$A:$B,2,FALSE),VLOOKUP($A57,'SegEnds_NonXtal_Prot#'!$A:$AL,28,FALSE)-4,1)</f>
        <v>V</v>
      </c>
      <c r="AH57" s="49" t="str">
        <f>MID(VLOOKUP($A57,Seqs!$A:$B,2,FALSE),VLOOKUP($A57,'SegEnds_NonXtal_Prot#'!$A:$AL,28,FALSE),1)</f>
        <v>P</v>
      </c>
    </row>
    <row r="58" spans="1:34" s="2" customFormat="1" x14ac:dyDescent="0.2">
      <c r="A58" s="2" t="s">
        <v>279</v>
      </c>
      <c r="B58" s="2" t="str">
        <f>LOWER(VLOOKUP(A58,Xtal_Templ!A:B,2,FALSE))</f>
        <v>adrb2_human</v>
      </c>
      <c r="C58" s="2" t="str">
        <f>VLOOKUP(A58,Classification!A:D,2,FALSE)</f>
        <v>A</v>
      </c>
      <c r="D58" s="2" t="str">
        <f>IF(ISERROR(MATCH(A58,'SegEnds_Xtal_Prot#'!B:B, 0)), "NoXtal", "Xtal")</f>
        <v>NoXtal</v>
      </c>
      <c r="G58" s="2" t="s">
        <v>5</v>
      </c>
      <c r="H58" s="4"/>
      <c r="R58" s="2" t="s">
        <v>9</v>
      </c>
      <c r="T58" s="4" t="s">
        <v>12</v>
      </c>
      <c r="V58" s="28" t="str">
        <f>MID(VLOOKUP($A58,Seqs!$A:$B,2,FALSE),VLOOKUP($A58,'SegEnds_NonXtal_Prot#'!A:AL,10,FALSE),1)</f>
        <v>D</v>
      </c>
      <c r="W58" s="49" t="str">
        <f>MID(VLOOKUP($A58,Seqs!$A:$B,2,FALSE),VLOOKUP($A58,'SegEnds_NonXtal_Prot#'!A:AL,10,FALSE)+6,1)</f>
        <v>L</v>
      </c>
      <c r="X58" s="49" t="str">
        <f>MID(VLOOKUP($A58,Seqs!$A:$B,2,FALSE),VLOOKUP($A58,'SegEnds_NonXtal_Prot#'!A:AL,10,FALSE)+7,1)</f>
        <v>V</v>
      </c>
      <c r="Y58" s="49" t="str">
        <f>MID(VLOOKUP($A58,Seqs!$A:$B,2,FALSE),VLOOKUP($A58,'SegEnds_NonXtal_Prot#'!A:AL,10,FALSE)+8,1)</f>
        <v>L</v>
      </c>
      <c r="Z58" s="49" t="str">
        <f>MID(VLOOKUP($A58,Seqs!$A:$B,2,FALSE),VLOOKUP($A58,'SegEnds_NonXtal_Prot#'!A:AL,10,FALSE)+9,1)</f>
        <v>P</v>
      </c>
      <c r="AA58" s="49" t="str">
        <f>MID(VLOOKUP($A58,Seqs!$A:$B,2,FALSE),VLOOKUP($A58,'SegEnds_NonXtal_Prot#'!A:AL,10,FALSE)+10,1)</f>
        <v>F</v>
      </c>
      <c r="AB58" s="28" t="str">
        <f>MID(VLOOKUP($A58,Seqs!$A:$B,2,FALSE),VLOOKUP($A58,'SegEnds_NonXtal_Prot#'!$A:$AL,22,FALSE)+6,1)</f>
        <v>L</v>
      </c>
      <c r="AC58" s="49" t="str">
        <f>MID(VLOOKUP($A58,Seqs!$A:$B,2,FALSE),VLOOKUP($A58,'SegEnds_NonXtal_Prot#'!$A:$AL,22,FALSE)+7,1)</f>
        <v>S</v>
      </c>
      <c r="AD58" s="49" t="str">
        <f>MID(VLOOKUP($A58,Seqs!$A:$B,2,FALSE),VLOOKUP($A58,'SegEnds_NonXtal_Prot#'!$A:$AL,22,FALSE)+8,1)</f>
        <v>F</v>
      </c>
      <c r="AE58" s="49" t="str">
        <f>MID(VLOOKUP($A58,Seqs!$A:$B,2,FALSE),VLOOKUP($A58,'SegEnds_NonXtal_Prot#'!$A:$AL,22,FALSE)+9,1)</f>
        <v>L</v>
      </c>
      <c r="AF58" s="49" t="str">
        <f>MID(VLOOKUP($A58,Seqs!$A:$B,2,FALSE),VLOOKUP($A58,'SegEnds_NonXtal_Prot#'!$A:$AL,22,FALSE)+10,1)</f>
        <v>S</v>
      </c>
      <c r="AG58" s="28" t="str">
        <f>MID(VLOOKUP($A58,Seqs!$A:$B,2,FALSE),VLOOKUP($A58,'SegEnds_NonXtal_Prot#'!$A:$AL,28,FALSE)-4,1)</f>
        <v>T</v>
      </c>
      <c r="AH58" s="49" t="str">
        <f>MID(VLOOKUP($A58,Seqs!$A:$B,2,FALSE),VLOOKUP($A58,'SegEnds_NonXtal_Prot#'!$A:$AL,28,FALSE),1)</f>
        <v>P</v>
      </c>
    </row>
    <row r="59" spans="1:34" s="2" customFormat="1" x14ac:dyDescent="0.2">
      <c r="A59" s="2" t="s">
        <v>311</v>
      </c>
      <c r="B59" s="2" t="str">
        <f>LOWER(VLOOKUP(A59,Xtal_Templ!A:B,2,FALSE))</f>
        <v>npy1r_human</v>
      </c>
      <c r="C59" s="2" t="str">
        <f>VLOOKUP(A59,Classification!A:D,2,FALSE)</f>
        <v>A</v>
      </c>
      <c r="D59" s="2" t="str">
        <f>IF(ISERROR(MATCH(A59,'SegEnds_Xtal_Prot#'!B:B, 0)), "NoXtal", "Xtal")</f>
        <v>NoXtal</v>
      </c>
      <c r="H59" s="4"/>
      <c r="N59" s="2" t="s">
        <v>14</v>
      </c>
      <c r="R59" s="2" t="s">
        <v>9</v>
      </c>
      <c r="T59" s="4" t="s">
        <v>12</v>
      </c>
      <c r="V59" s="28" t="str">
        <f>MID(VLOOKUP($A59,Seqs!$A:$B,2,FALSE),VLOOKUP($A59,'SegEnds_NonXtal_Prot#'!A:AL,10,FALSE),1)</f>
        <v>D</v>
      </c>
      <c r="W59" s="49" t="str">
        <f>MID(VLOOKUP($A59,Seqs!$A:$B,2,FALSE),VLOOKUP($A59,'SegEnds_NonXtal_Prot#'!A:AL,10,FALSE)+6,1)</f>
        <v>Y</v>
      </c>
      <c r="X59" s="49" t="str">
        <f>MID(VLOOKUP($A59,Seqs!$A:$B,2,FALSE),VLOOKUP($A59,'SegEnds_NonXtal_Prot#'!A:AL,10,FALSE)+7,1)</f>
        <v>P</v>
      </c>
      <c r="Y59" s="49" t="str">
        <f>MID(VLOOKUP($A59,Seqs!$A:$B,2,FALSE),VLOOKUP($A59,'SegEnds_NonXtal_Prot#'!A:AL,10,FALSE)+8,1)</f>
        <v>Y</v>
      </c>
      <c r="Z59" s="49" t="str">
        <f>MID(VLOOKUP($A59,Seqs!$A:$B,2,FALSE),VLOOKUP($A59,'SegEnds_NonXtal_Prot#'!A:AL,10,FALSE)+9,1)</f>
        <v>P</v>
      </c>
      <c r="AA59" s="49" t="str">
        <f>MID(VLOOKUP($A59,Seqs!$A:$B,2,FALSE),VLOOKUP($A59,'SegEnds_NonXtal_Prot#'!A:AL,10,FALSE)+10,1)</f>
        <v>L</v>
      </c>
      <c r="AB59" s="28" t="str">
        <f>MID(VLOOKUP($A59,Seqs!$A:$B,2,FALSE),VLOOKUP($A59,'SegEnds_NonXtal_Prot#'!$A:$AL,22,FALSE)+6,1)</f>
        <v>A</v>
      </c>
      <c r="AC59" s="49" t="str">
        <f>MID(VLOOKUP($A59,Seqs!$A:$B,2,FALSE),VLOOKUP($A59,'SegEnds_NonXtal_Prot#'!$A:$AL,22,FALSE)+7,1)</f>
        <v>V</v>
      </c>
      <c r="AD59" s="49" t="str">
        <f>MID(VLOOKUP($A59,Seqs!$A:$B,2,FALSE),VLOOKUP($A59,'SegEnds_NonXtal_Prot#'!$A:$AL,22,FALSE)+8,1)</f>
        <v>L</v>
      </c>
      <c r="AE59" s="49" t="str">
        <f>MID(VLOOKUP($A59,Seqs!$A:$B,2,FALSE),VLOOKUP($A59,'SegEnds_NonXtal_Prot#'!$A:$AL,22,FALSE)+9,1)</f>
        <v>P</v>
      </c>
      <c r="AF59" s="49" t="str">
        <f>MID(VLOOKUP($A59,Seqs!$A:$B,2,FALSE),VLOOKUP($A59,'SegEnds_NonXtal_Prot#'!$A:$AL,22,FALSE)+10,1)</f>
        <v>N</v>
      </c>
      <c r="AG59" s="28" t="str">
        <f>MID(VLOOKUP($A59,Seqs!$A:$B,2,FALSE),VLOOKUP($A59,'SegEnds_NonXtal_Prot#'!$A:$AL,28,FALSE)-4,1)</f>
        <v>H</v>
      </c>
      <c r="AH59" s="49" t="str">
        <f>MID(VLOOKUP($A59,Seqs!$A:$B,2,FALSE),VLOOKUP($A59,'SegEnds_NonXtal_Prot#'!$A:$AL,28,FALSE),1)</f>
        <v>P</v>
      </c>
    </row>
    <row r="60" spans="1:34" s="2" customFormat="1" x14ac:dyDescent="0.2">
      <c r="A60" s="2" t="s">
        <v>376</v>
      </c>
      <c r="B60" s="2" t="str">
        <f>LOWER(VLOOKUP(A60,Xtal_Templ!A:B,2,FALSE))</f>
        <v>aa1r_human</v>
      </c>
      <c r="C60" s="2" t="str">
        <f>VLOOKUP(A60,Classification!A:D,2,FALSE)</f>
        <v>A</v>
      </c>
      <c r="D60" s="2" t="str">
        <f>IF(ISERROR(MATCH(A60,'SegEnds_Xtal_Prot#'!B:B, 0)), "NoXtal", "Xtal")</f>
        <v>NoXtal</v>
      </c>
      <c r="H60" s="4"/>
      <c r="T60" s="4" t="s">
        <v>12</v>
      </c>
      <c r="V60" s="28" t="str">
        <f>MID(VLOOKUP($A60,Seqs!$A:$B,2,FALSE),VLOOKUP($A60,'SegEnds_NonXtal_Prot#'!A:AL,10,FALSE),1)</f>
        <v>D</v>
      </c>
      <c r="W60" s="49" t="str">
        <f>MID(VLOOKUP($A60,Seqs!$A:$B,2,FALSE),VLOOKUP($A60,'SegEnds_NonXtal_Prot#'!A:AL,10,FALSE)+6,1)</f>
        <v>Y</v>
      </c>
      <c r="X60" s="49" t="str">
        <f>MID(VLOOKUP($A60,Seqs!$A:$B,2,FALSE),VLOOKUP($A60,'SegEnds_NonXtal_Prot#'!A:AL,10,FALSE)+7,1)</f>
        <v>L</v>
      </c>
      <c r="Y60" s="49" t="str">
        <f>MID(VLOOKUP($A60,Seqs!$A:$B,2,FALSE),VLOOKUP($A60,'SegEnds_NonXtal_Prot#'!A:AL,10,FALSE)+8,1)</f>
        <v>F</v>
      </c>
      <c r="Z60" s="49" t="str">
        <f>MID(VLOOKUP($A60,Seqs!$A:$B,2,FALSE),VLOOKUP($A60,'SegEnds_NonXtal_Prot#'!A:AL,10,FALSE)+9,1)</f>
        <v>F</v>
      </c>
      <c r="AA60" s="49" t="str">
        <f>MID(VLOOKUP($A60,Seqs!$A:$B,2,FALSE),VLOOKUP($A60,'SegEnds_NonXtal_Prot#'!A:AL,10,FALSE)+10,1)</f>
        <v>V</v>
      </c>
      <c r="AB60" s="28" t="str">
        <f>MID(VLOOKUP($A60,Seqs!$A:$B,2,FALSE),VLOOKUP($A60,'SegEnds_NonXtal_Prot#'!$A:$AL,22,FALSE)+6,1)</f>
        <v>I</v>
      </c>
      <c r="AC60" s="49" t="str">
        <f>MID(VLOOKUP($A60,Seqs!$A:$B,2,FALSE),VLOOKUP($A60,'SegEnds_NonXtal_Prot#'!$A:$AL,22,FALSE)+7,1)</f>
        <v>A</v>
      </c>
      <c r="AD60" s="49" t="str">
        <f>MID(VLOOKUP($A60,Seqs!$A:$B,2,FALSE),VLOOKUP($A60,'SegEnds_NonXtal_Prot#'!$A:$AL,22,FALSE)+8,1)</f>
        <v>V</v>
      </c>
      <c r="AE60" s="49" t="str">
        <f>MID(VLOOKUP($A60,Seqs!$A:$B,2,FALSE),VLOOKUP($A60,'SegEnds_NonXtal_Prot#'!$A:$AL,22,FALSE)+9,1)</f>
        <v>I</v>
      </c>
      <c r="AF60" s="49" t="str">
        <f>MID(VLOOKUP($A60,Seqs!$A:$B,2,FALSE),VLOOKUP($A60,'SegEnds_NonXtal_Prot#'!$A:$AL,22,FALSE)+10,1)</f>
        <v>P</v>
      </c>
      <c r="AG60" s="28" t="str">
        <f>MID(VLOOKUP($A60,Seqs!$A:$B,2,FALSE),VLOOKUP($A60,'SegEnds_NonXtal_Prot#'!$A:$AL,28,FALSE)-4,1)</f>
        <v>V</v>
      </c>
      <c r="AH60" s="49" t="str">
        <f>MID(VLOOKUP($A60,Seqs!$A:$B,2,FALSE),VLOOKUP($A60,'SegEnds_NonXtal_Prot#'!$A:$AL,28,FALSE),1)</f>
        <v>A</v>
      </c>
    </row>
    <row r="61" spans="1:34" s="2" customFormat="1" x14ac:dyDescent="0.2">
      <c r="A61" s="2" t="s">
        <v>387</v>
      </c>
      <c r="B61" s="2" t="str">
        <f>LOWER(VLOOKUP(A61,Xtal_Templ!A:B,2,FALSE))</f>
        <v>drd2_human</v>
      </c>
      <c r="C61" s="2" t="str">
        <f>VLOOKUP(A61,Classification!A:D,2,FALSE)</f>
        <v>A</v>
      </c>
      <c r="D61" s="2" t="str">
        <f>IF(ISERROR(MATCH(A61,'SegEnds_Xtal_Prot#'!B:B, 0)), "NoXtal", "Xtal")</f>
        <v>NoXtal</v>
      </c>
      <c r="G61" s="2" t="s">
        <v>5</v>
      </c>
      <c r="H61" s="4"/>
      <c r="R61" s="2" t="s">
        <v>9</v>
      </c>
      <c r="T61" s="4" t="s">
        <v>12</v>
      </c>
      <c r="V61" s="28" t="str">
        <f>MID(VLOOKUP($A61,Seqs!$A:$B,2,FALSE),VLOOKUP($A61,'SegEnds_NonXtal_Prot#'!A:AL,10,FALSE),1)</f>
        <v>D</v>
      </c>
      <c r="W61" s="49" t="str">
        <f>MID(VLOOKUP($A61,Seqs!$A:$B,2,FALSE),VLOOKUP($A61,'SegEnds_NonXtal_Prot#'!A:AL,10,FALSE)+6,1)</f>
        <v>L</v>
      </c>
      <c r="X61" s="49" t="str">
        <f>MID(VLOOKUP($A61,Seqs!$A:$B,2,FALSE),VLOOKUP($A61,'SegEnds_NonXtal_Prot#'!A:AL,10,FALSE)+7,1)</f>
        <v>V</v>
      </c>
      <c r="Y61" s="49" t="str">
        <f>MID(VLOOKUP($A61,Seqs!$A:$B,2,FALSE),VLOOKUP($A61,'SegEnds_NonXtal_Prot#'!A:AL,10,FALSE)+8,1)</f>
        <v>M</v>
      </c>
      <c r="Z61" s="49" t="str">
        <f>MID(VLOOKUP($A61,Seqs!$A:$B,2,FALSE),VLOOKUP($A61,'SegEnds_NonXtal_Prot#'!A:AL,10,FALSE)+9,1)</f>
        <v>P</v>
      </c>
      <c r="AA61" s="49" t="str">
        <f>MID(VLOOKUP($A61,Seqs!$A:$B,2,FALSE),VLOOKUP($A61,'SegEnds_NonXtal_Prot#'!A:AL,10,FALSE)+10,1)</f>
        <v>Y</v>
      </c>
      <c r="AB61" s="28" t="str">
        <f>MID(VLOOKUP($A61,Seqs!$A:$B,2,FALSE),VLOOKUP($A61,'SegEnds_NonXtal_Prot#'!$A:$AL,22,FALSE)+6,1)</f>
        <v>F</v>
      </c>
      <c r="AC61" s="49" t="str">
        <f>MID(VLOOKUP($A61,Seqs!$A:$B,2,FALSE),VLOOKUP($A61,'SegEnds_NonXtal_Prot#'!$A:$AL,22,FALSE)+7,1)</f>
        <v>A</v>
      </c>
      <c r="AD61" s="49" t="str">
        <f>MID(VLOOKUP($A61,Seqs!$A:$B,2,FALSE),VLOOKUP($A61,'SegEnds_NonXtal_Prot#'!$A:$AL,22,FALSE)+8,1)</f>
        <v>F</v>
      </c>
      <c r="AE61" s="49" t="str">
        <f>MID(VLOOKUP($A61,Seqs!$A:$B,2,FALSE),VLOOKUP($A61,'SegEnds_NonXtal_Prot#'!$A:$AL,22,FALSE)+9,1)</f>
        <v>G</v>
      </c>
      <c r="AF61" s="49" t="str">
        <f>MID(VLOOKUP($A61,Seqs!$A:$B,2,FALSE),VLOOKUP($A61,'SegEnds_NonXtal_Prot#'!$A:$AL,22,FALSE)+10,1)</f>
        <v>M</v>
      </c>
      <c r="AG61" s="28" t="str">
        <f>MID(VLOOKUP($A61,Seqs!$A:$B,2,FALSE),VLOOKUP($A61,'SegEnds_NonXtal_Prot#'!$A:$AL,28,FALSE)-4,1)</f>
        <v>S</v>
      </c>
      <c r="AH61" s="49" t="str">
        <f>MID(VLOOKUP($A61,Seqs!$A:$B,2,FALSE),VLOOKUP($A61,'SegEnds_NonXtal_Prot#'!$A:$AL,28,FALSE),1)</f>
        <v>P</v>
      </c>
    </row>
    <row r="62" spans="1:34" s="2" customFormat="1" x14ac:dyDescent="0.2">
      <c r="A62" s="2" t="s">
        <v>126</v>
      </c>
      <c r="B62" s="2" t="str">
        <f>LOWER(VLOOKUP(A62,Xtal_Templ!A:B,2,FALSE))</f>
        <v>adrb2_human</v>
      </c>
      <c r="C62" s="2" t="str">
        <f>VLOOKUP(A62,Classification!A:D,2,FALSE)</f>
        <v>A</v>
      </c>
      <c r="D62" s="2" t="str">
        <f>IF(ISERROR(MATCH(A62,'SegEnds_Xtal_Prot#'!B:B, 0)), "NoXtal", "Xtal")</f>
        <v>Xtal</v>
      </c>
      <c r="G62" s="2" t="s">
        <v>5</v>
      </c>
      <c r="H62" s="4"/>
      <c r="R62" s="2" t="s">
        <v>9</v>
      </c>
      <c r="T62" s="4" t="s">
        <v>12</v>
      </c>
      <c r="V62" s="28" t="str">
        <f>MID(VLOOKUP($A62,Seqs!$A:$B,2,FALSE),VLOOKUP($A62,'SegEnds_NonXtal_Prot#'!A:AL,10,FALSE),1)</f>
        <v>D</v>
      </c>
      <c r="W62" s="49" t="str">
        <f>MID(VLOOKUP($A62,Seqs!$A:$B,2,FALSE),VLOOKUP($A62,'SegEnds_NonXtal_Prot#'!A:AL,10,FALSE)+6,1)</f>
        <v>A</v>
      </c>
      <c r="X62" s="49" t="str">
        <f>MID(VLOOKUP($A62,Seqs!$A:$B,2,FALSE),VLOOKUP($A62,'SegEnds_NonXtal_Prot#'!A:AL,10,FALSE)+7,1)</f>
        <v>V</v>
      </c>
      <c r="Y62" s="49" t="str">
        <f>MID(VLOOKUP($A62,Seqs!$A:$B,2,FALSE),VLOOKUP($A62,'SegEnds_NonXtal_Prot#'!A:AL,10,FALSE)+8,1)</f>
        <v>V</v>
      </c>
      <c r="Z62" s="49" t="str">
        <f>MID(VLOOKUP($A62,Seqs!$A:$B,2,FALSE),VLOOKUP($A62,'SegEnds_NonXtal_Prot#'!A:AL,10,FALSE)+9,1)</f>
        <v>P</v>
      </c>
      <c r="AA62" s="49" t="str">
        <f>MID(VLOOKUP($A62,Seqs!$A:$B,2,FALSE),VLOOKUP($A62,'SegEnds_NonXtal_Prot#'!A:AL,10,FALSE)+10,1)</f>
        <v>F</v>
      </c>
      <c r="AB62" s="28" t="str">
        <f>MID(VLOOKUP($A62,Seqs!$A:$B,2,FALSE),VLOOKUP($A62,'SegEnds_NonXtal_Prot#'!$A:$AL,22,FALSE)+6,1)</f>
        <v>T</v>
      </c>
      <c r="AC62" s="49" t="str">
        <f>MID(VLOOKUP($A62,Seqs!$A:$B,2,FALSE),VLOOKUP($A62,'SegEnds_NonXtal_Prot#'!$A:$AL,22,FALSE)+7,1)</f>
        <v>S</v>
      </c>
      <c r="AD62" s="49" t="str">
        <f>MID(VLOOKUP($A62,Seqs!$A:$B,2,FALSE),VLOOKUP($A62,'SegEnds_NonXtal_Prot#'!$A:$AL,22,FALSE)+8,1)</f>
        <v>F</v>
      </c>
      <c r="AE62" s="49" t="str">
        <f>MID(VLOOKUP($A62,Seqs!$A:$B,2,FALSE),VLOOKUP($A62,'SegEnds_NonXtal_Prot#'!$A:$AL,22,FALSE)+9,1)</f>
        <v>L</v>
      </c>
      <c r="AF62" s="49" t="str">
        <f>MID(VLOOKUP($A62,Seqs!$A:$B,2,FALSE),VLOOKUP($A62,'SegEnds_NonXtal_Prot#'!$A:$AL,22,FALSE)+10,1)</f>
        <v>P</v>
      </c>
      <c r="AG62" s="28" t="str">
        <f>MID(VLOOKUP($A62,Seqs!$A:$B,2,FALSE),VLOOKUP($A62,'SegEnds_NonXtal_Prot#'!$A:$AL,28,FALSE)-4,1)</f>
        <v>S</v>
      </c>
      <c r="AH62" s="49" t="str">
        <f>MID(VLOOKUP($A62,Seqs!$A:$B,2,FALSE),VLOOKUP($A62,'SegEnds_NonXtal_Prot#'!$A:$AL,28,FALSE),1)</f>
        <v>P</v>
      </c>
    </row>
    <row r="63" spans="1:34" s="2" customFormat="1" x14ac:dyDescent="0.2">
      <c r="A63" s="2" t="s">
        <v>375</v>
      </c>
      <c r="B63" s="2" t="str">
        <f>LOWER(VLOOKUP(A63,Xtal_Templ!A:B,2,FALSE))</f>
        <v>aa1r_human</v>
      </c>
      <c r="C63" s="2" t="str">
        <f>VLOOKUP(A63,Classification!A:D,2,FALSE)</f>
        <v>A</v>
      </c>
      <c r="D63" s="2" t="str">
        <f>IF(ISERROR(MATCH(A63,'SegEnds_Xtal_Prot#'!B:B, 0)), "NoXtal", "Xtal")</f>
        <v>NoXtal</v>
      </c>
      <c r="H63" s="4"/>
      <c r="T63" s="4" t="s">
        <v>12</v>
      </c>
      <c r="V63" s="28" t="str">
        <f>MID(VLOOKUP($A63,Seqs!$A:$B,2,FALSE),VLOOKUP($A63,'SegEnds_NonXtal_Prot#'!A:AL,10,FALSE),1)</f>
        <v>D</v>
      </c>
      <c r="W63" s="49" t="str">
        <f>MID(VLOOKUP($A63,Seqs!$A:$B,2,FALSE),VLOOKUP($A63,'SegEnds_NonXtal_Prot#'!A:AL,10,FALSE)+6,1)</f>
        <v>Y</v>
      </c>
      <c r="X63" s="49" t="str">
        <f>MID(VLOOKUP($A63,Seqs!$A:$B,2,FALSE),VLOOKUP($A63,'SegEnds_NonXtal_Prot#'!A:AL,10,FALSE)+7,1)</f>
        <v>L</v>
      </c>
      <c r="Y63" s="49" t="str">
        <f>MID(VLOOKUP($A63,Seqs!$A:$B,2,FALSE),VLOOKUP($A63,'SegEnds_NonXtal_Prot#'!A:AL,10,FALSE)+8,1)</f>
        <v>F</v>
      </c>
      <c r="Z63" s="49" t="str">
        <f>MID(VLOOKUP($A63,Seqs!$A:$B,2,FALSE),VLOOKUP($A63,'SegEnds_NonXtal_Prot#'!A:AL,10,FALSE)+9,1)</f>
        <v>V</v>
      </c>
      <c r="AA63" s="49" t="str">
        <f>MID(VLOOKUP($A63,Seqs!$A:$B,2,FALSE),VLOOKUP($A63,'SegEnds_NonXtal_Prot#'!A:AL,10,FALSE)+10,1)</f>
        <v>I</v>
      </c>
      <c r="AB63" s="28" t="str">
        <f>MID(VLOOKUP($A63,Seqs!$A:$B,2,FALSE),VLOOKUP($A63,'SegEnds_NonXtal_Prot#'!$A:$AL,22,FALSE)+6,1)</f>
        <v>V</v>
      </c>
      <c r="AC63" s="49" t="str">
        <f>MID(VLOOKUP($A63,Seqs!$A:$B,2,FALSE),VLOOKUP($A63,'SegEnds_NonXtal_Prot#'!$A:$AL,22,FALSE)+7,1)</f>
        <v>A</v>
      </c>
      <c r="AD63" s="49" t="str">
        <f>MID(VLOOKUP($A63,Seqs!$A:$B,2,FALSE),VLOOKUP($A63,'SegEnds_NonXtal_Prot#'!$A:$AL,22,FALSE)+8,1)</f>
        <v>F</v>
      </c>
      <c r="AE63" s="49" t="str">
        <f>MID(VLOOKUP($A63,Seqs!$A:$B,2,FALSE),VLOOKUP($A63,'SegEnds_NonXtal_Prot#'!$A:$AL,22,FALSE)+9,1)</f>
        <v>I</v>
      </c>
      <c r="AF63" s="49" t="str">
        <f>MID(VLOOKUP($A63,Seqs!$A:$B,2,FALSE),VLOOKUP($A63,'SegEnds_NonXtal_Prot#'!$A:$AL,22,FALSE)+10,1)</f>
        <v>P</v>
      </c>
      <c r="AG63" s="28" t="str">
        <f>MID(VLOOKUP($A63,Seqs!$A:$B,2,FALSE),VLOOKUP($A63,'SegEnds_NonXtal_Prot#'!$A:$AL,28,FALSE)-4,1)</f>
        <v>I</v>
      </c>
      <c r="AH63" s="49" t="str">
        <f>MID(VLOOKUP($A63,Seqs!$A:$B,2,FALSE),VLOOKUP($A63,'SegEnds_NonXtal_Prot#'!$A:$AL,28,FALSE),1)</f>
        <v>A</v>
      </c>
    </row>
    <row r="64" spans="1:34" s="2" customFormat="1" x14ac:dyDescent="0.2">
      <c r="A64" s="2" t="s">
        <v>144</v>
      </c>
      <c r="B64" s="2" t="str">
        <f>LOWER(VLOOKUP(A64,Xtal_Templ!A:B,2,FALSE))</f>
        <v>agtr1_human</v>
      </c>
      <c r="C64" s="2" t="str">
        <f>VLOOKUP(A64,Classification!A:D,2,FALSE)</f>
        <v>A</v>
      </c>
      <c r="D64" s="2" t="str">
        <f>IF(ISERROR(MATCH(A64,'SegEnds_Xtal_Prot#'!B:B, 0)), "NoXtal", "Xtal")</f>
        <v>NoXtal</v>
      </c>
      <c r="H64" s="4"/>
      <c r="N64" s="2" t="s">
        <v>14</v>
      </c>
      <c r="R64" s="2" t="s">
        <v>9</v>
      </c>
      <c r="T64" s="4" t="s">
        <v>12</v>
      </c>
      <c r="V64" s="28" t="str">
        <f>MID(VLOOKUP($A64,Seqs!$A:$B,2,FALSE),VLOOKUP($A64,'SegEnds_NonXtal_Prot#'!A:AL,10,FALSE),1)</f>
        <v>D</v>
      </c>
      <c r="W64" s="49" t="str">
        <f>MID(VLOOKUP($A64,Seqs!$A:$B,2,FALSE),VLOOKUP($A64,'SegEnds_NonXtal_Prot#'!A:AL,10,FALSE)+6,1)</f>
        <v>T</v>
      </c>
      <c r="X64" s="49" t="str">
        <f>MID(VLOOKUP($A64,Seqs!$A:$B,2,FALSE),VLOOKUP($A64,'SegEnds_NonXtal_Prot#'!A:AL,10,FALSE)+7,1)</f>
        <v>I</v>
      </c>
      <c r="Y64" s="49" t="str">
        <f>MID(VLOOKUP($A64,Seqs!$A:$B,2,FALSE),VLOOKUP($A64,'SegEnds_NonXtal_Prot#'!A:AL,10,FALSE)+8,1)</f>
        <v>P</v>
      </c>
      <c r="Z64" s="49" t="str">
        <f>MID(VLOOKUP($A64,Seqs!$A:$B,2,FALSE),VLOOKUP($A64,'SegEnds_NonXtal_Prot#'!A:AL,10,FALSE)+9,1)</f>
        <v>V</v>
      </c>
      <c r="AA64" s="49" t="str">
        <f>MID(VLOOKUP($A64,Seqs!$A:$B,2,FALSE),VLOOKUP($A64,'SegEnds_NonXtal_Prot#'!A:AL,10,FALSE)+10,1)</f>
        <v>W</v>
      </c>
      <c r="AB64" s="28" t="str">
        <f>MID(VLOOKUP($A64,Seqs!$A:$B,2,FALSE),VLOOKUP($A64,'SegEnds_NonXtal_Prot#'!$A:$AL,22,FALSE)+6,1)</f>
        <v>V</v>
      </c>
      <c r="AC64" s="49" t="str">
        <f>MID(VLOOKUP($A64,Seqs!$A:$B,2,FALSE),VLOOKUP($A64,'SegEnds_NonXtal_Prot#'!$A:$AL,22,FALSE)+7,1)</f>
        <v>S</v>
      </c>
      <c r="AD64" s="49" t="str">
        <f>MID(VLOOKUP($A64,Seqs!$A:$B,2,FALSE),VLOOKUP($A64,'SegEnds_NonXtal_Prot#'!$A:$AL,22,FALSE)+8,1)</f>
        <v>L</v>
      </c>
      <c r="AE64" s="49" t="str">
        <f>MID(VLOOKUP($A64,Seqs!$A:$B,2,FALSE),VLOOKUP($A64,'SegEnds_NonXtal_Prot#'!$A:$AL,22,FALSE)+9,1)</f>
        <v>P</v>
      </c>
      <c r="AF64" s="49" t="str">
        <f>MID(VLOOKUP($A64,Seqs!$A:$B,2,FALSE),VLOOKUP($A64,'SegEnds_NonXtal_Prot#'!$A:$AL,22,FALSE)+10,1)</f>
        <v>D</v>
      </c>
      <c r="AG64" s="28" t="str">
        <f>MID(VLOOKUP($A64,Seqs!$A:$B,2,FALSE),VLOOKUP($A64,'SegEnds_NonXtal_Prot#'!$A:$AL,28,FALSE)-4,1)</f>
        <v>G</v>
      </c>
      <c r="AH64" s="49" t="str">
        <f>MID(VLOOKUP($A64,Seqs!$A:$B,2,FALSE),VLOOKUP($A64,'SegEnds_NonXtal_Prot#'!$A:$AL,28,FALSE),1)</f>
        <v>P</v>
      </c>
    </row>
    <row r="65" spans="1:34" s="2" customFormat="1" x14ac:dyDescent="0.2">
      <c r="A65" s="2" t="s">
        <v>158</v>
      </c>
      <c r="B65" s="2" t="str">
        <f>LOWER(VLOOKUP(A65,Xtal_Templ!A:B,2,FALSE))</f>
        <v>agtr1_human</v>
      </c>
      <c r="C65" s="2" t="str">
        <f>VLOOKUP(A65,Classification!A:D,2,FALSE)</f>
        <v>A</v>
      </c>
      <c r="D65" s="2" t="str">
        <f>IF(ISERROR(MATCH(A65,'SegEnds_Xtal_Prot#'!B:B, 0)), "NoXtal", "Xtal")</f>
        <v>Xtal</v>
      </c>
      <c r="H65" s="4"/>
      <c r="N65" s="106" t="s">
        <v>14</v>
      </c>
      <c r="R65" s="2" t="s">
        <v>9</v>
      </c>
      <c r="T65" s="4" t="s">
        <v>12</v>
      </c>
      <c r="V65" s="28" t="str">
        <f>MID(VLOOKUP($A65,Seqs!$A:$B,2,FALSE),VLOOKUP($A65,'SegEnds_NonXtal_Prot#'!A:AL,10,FALSE),1)</f>
        <v>D</v>
      </c>
      <c r="W65" s="49" t="str">
        <f>MID(VLOOKUP($A65,Seqs!$A:$B,2,FALSE),VLOOKUP($A65,'SegEnds_NonXtal_Prot#'!A:AL,10,FALSE)+6,1)</f>
        <v>T</v>
      </c>
      <c r="X65" s="49" t="str">
        <f>MID(VLOOKUP($A65,Seqs!$A:$B,2,FALSE),VLOOKUP($A65,'SegEnds_NonXtal_Prot#'!A:AL,10,FALSE)+7,1)</f>
        <v>L</v>
      </c>
      <c r="Y65" s="49" t="str">
        <f>MID(VLOOKUP($A65,Seqs!$A:$B,2,FALSE),VLOOKUP($A65,'SegEnds_NonXtal_Prot#'!A:AL,10,FALSE)+8,1)</f>
        <v>P</v>
      </c>
      <c r="Z65" s="49" t="str">
        <f>MID(VLOOKUP($A65,Seqs!$A:$B,2,FALSE),VLOOKUP($A65,'SegEnds_NonXtal_Prot#'!A:AL,10,FALSE)+9,1)</f>
        <v>L</v>
      </c>
      <c r="AA65" s="49" t="str">
        <f>MID(VLOOKUP($A65,Seqs!$A:$B,2,FALSE),VLOOKUP($A65,'SegEnds_NonXtal_Prot#'!A:AL,10,FALSE)+10,1)</f>
        <v>W</v>
      </c>
      <c r="AB65" s="28" t="str">
        <f>MID(VLOOKUP($A65,Seqs!$A:$B,2,FALSE),VLOOKUP($A65,'SegEnds_NonXtal_Prot#'!$A:$AL,22,FALSE)+6,1)</f>
        <v>A</v>
      </c>
      <c r="AC65" s="49" t="str">
        <f>MID(VLOOKUP($A65,Seqs!$A:$B,2,FALSE),VLOOKUP($A65,'SegEnds_NonXtal_Prot#'!$A:$AL,22,FALSE)+7,1)</f>
        <v>S</v>
      </c>
      <c r="AD65" s="49" t="str">
        <f>MID(VLOOKUP($A65,Seqs!$A:$B,2,FALSE),VLOOKUP($A65,'SegEnds_NonXtal_Prot#'!$A:$AL,22,FALSE)+8,1)</f>
        <v>L</v>
      </c>
      <c r="AE65" s="49" t="str">
        <f>MID(VLOOKUP($A65,Seqs!$A:$B,2,FALSE),VLOOKUP($A65,'SegEnds_NonXtal_Prot#'!$A:$AL,22,FALSE)+9,1)</f>
        <v>P</v>
      </c>
      <c r="AF65" s="49" t="str">
        <f>MID(VLOOKUP($A65,Seqs!$A:$B,2,FALSE),VLOOKUP($A65,'SegEnds_NonXtal_Prot#'!$A:$AL,22,FALSE)+10,1)</f>
        <v>A</v>
      </c>
      <c r="AG65" s="28" t="str">
        <f>MID(VLOOKUP($A65,Seqs!$A:$B,2,FALSE),VLOOKUP($A65,'SegEnds_NonXtal_Prot#'!$A:$AL,28,FALSE)-4,1)</f>
        <v>G</v>
      </c>
      <c r="AH65" s="49" t="str">
        <f>MID(VLOOKUP($A65,Seqs!$A:$B,2,FALSE),VLOOKUP($A65,'SegEnds_NonXtal_Prot#'!$A:$AL,28,FALSE),1)</f>
        <v>P</v>
      </c>
    </row>
    <row r="66" spans="1:34" s="2" customFormat="1" x14ac:dyDescent="0.2">
      <c r="A66" s="2" t="s">
        <v>159</v>
      </c>
      <c r="B66" s="2" t="s">
        <v>159</v>
      </c>
      <c r="C66" s="2" t="str">
        <f>VLOOKUP(A66,Classification!A:D,2,FALSE)</f>
        <v>A</v>
      </c>
      <c r="D66" s="2" t="str">
        <f>IF(ISERROR(MATCH(A66,'SegEnds_Xtal_Prot#'!B:B, 0)), "NoXtal", "Xtal")</f>
        <v>Xtal</v>
      </c>
      <c r="H66" s="4"/>
      <c r="N66" s="106" t="s">
        <v>14</v>
      </c>
      <c r="R66" s="2" t="s">
        <v>9</v>
      </c>
      <c r="T66" s="4" t="s">
        <v>12</v>
      </c>
      <c r="V66" s="28" t="str">
        <f>MID(VLOOKUP($A66,Seqs!$A:$B,2,FALSE),VLOOKUP($A66,'SegEnds_NonXtal_Prot#'!A:AL,10,FALSE),1)</f>
        <v>D</v>
      </c>
      <c r="W66" s="49" t="str">
        <f>MID(VLOOKUP($A66,Seqs!$A:$B,2,FALSE),VLOOKUP($A66,'SegEnds_NonXtal_Prot#'!A:AL,10,FALSE)+6,1)</f>
        <v>T</v>
      </c>
      <c r="X66" s="49" t="str">
        <f>MID(VLOOKUP($A66,Seqs!$A:$B,2,FALSE),VLOOKUP($A66,'SegEnds_NonXtal_Prot#'!A:AL,10,FALSE)+7,1)</f>
        <v>L</v>
      </c>
      <c r="Y66" s="49" t="str">
        <f>MID(VLOOKUP($A66,Seqs!$A:$B,2,FALSE),VLOOKUP($A66,'SegEnds_NonXtal_Prot#'!A:AL,10,FALSE)+8,1)</f>
        <v>P</v>
      </c>
      <c r="Z66" s="49" t="str">
        <f>MID(VLOOKUP($A66,Seqs!$A:$B,2,FALSE),VLOOKUP($A66,'SegEnds_NonXtal_Prot#'!A:AL,10,FALSE)+9,1)</f>
        <v>L</v>
      </c>
      <c r="AA66" s="49" t="str">
        <f>MID(VLOOKUP($A66,Seqs!$A:$B,2,FALSE),VLOOKUP($A66,'SegEnds_NonXtal_Prot#'!A:AL,10,FALSE)+10,1)</f>
        <v>W</v>
      </c>
      <c r="AB66" s="28" t="str">
        <f>MID(VLOOKUP($A66,Seqs!$A:$B,2,FALSE),VLOOKUP($A66,'SegEnds_NonXtal_Prot#'!$A:$AL,22,FALSE)+6,1)</f>
        <v>S</v>
      </c>
      <c r="AC66" s="49" t="str">
        <f>MID(VLOOKUP($A66,Seqs!$A:$B,2,FALSE),VLOOKUP($A66,'SegEnds_NonXtal_Prot#'!$A:$AL,22,FALSE)+7,1)</f>
        <v>S</v>
      </c>
      <c r="AD66" s="49" t="str">
        <f>MID(VLOOKUP($A66,Seqs!$A:$B,2,FALSE),VLOOKUP($A66,'SegEnds_NonXtal_Prot#'!$A:$AL,22,FALSE)+8,1)</f>
        <v>L</v>
      </c>
      <c r="AE66" s="49" t="str">
        <f>MID(VLOOKUP($A66,Seqs!$A:$B,2,FALSE),VLOOKUP($A66,'SegEnds_NonXtal_Prot#'!$A:$AL,22,FALSE)+9,1)</f>
        <v>P</v>
      </c>
      <c r="AF66" s="49" t="str">
        <f>MID(VLOOKUP($A66,Seqs!$A:$B,2,FALSE),VLOOKUP($A66,'SegEnds_NonXtal_Prot#'!$A:$AL,22,FALSE)+10,1)</f>
        <v>T</v>
      </c>
      <c r="AG66" s="28" t="str">
        <f>MID(VLOOKUP($A66,Seqs!$A:$B,2,FALSE),VLOOKUP($A66,'SegEnds_NonXtal_Prot#'!$A:$AL,28,FALSE)-4,1)</f>
        <v>G</v>
      </c>
      <c r="AH66" s="49" t="str">
        <f>MID(VLOOKUP($A66,Seqs!$A:$B,2,FALSE),VLOOKUP($A66,'SegEnds_NonXtal_Prot#'!$A:$AL,28,FALSE),1)</f>
        <v>P</v>
      </c>
    </row>
    <row r="67" spans="1:34" s="2" customFormat="1" ht="17" customHeight="1" x14ac:dyDescent="0.2">
      <c r="A67" s="2" t="s">
        <v>160</v>
      </c>
      <c r="B67" s="2" t="str">
        <f>LOWER(VLOOKUP(A67,Xtal_Templ!A:B,2,FALSE))</f>
        <v>apj_human</v>
      </c>
      <c r="C67" s="2" t="str">
        <f>VLOOKUP(A67,Classification!A:D,2,FALSE)</f>
        <v>A</v>
      </c>
      <c r="D67" s="2" t="str">
        <f>IF(ISERROR(MATCH(A67,'SegEnds_Xtal_Prot#'!B:B, 0)), "NoXtal", "Xtal")</f>
        <v>Xtal</v>
      </c>
      <c r="H67" s="50"/>
      <c r="N67" s="2" t="s">
        <v>14</v>
      </c>
      <c r="R67" s="2" t="s">
        <v>9</v>
      </c>
      <c r="T67" s="4" t="s">
        <v>12</v>
      </c>
      <c r="V67" s="28" t="str">
        <f>MID(VLOOKUP($A67,Seqs!$A:$B,2,FALSE),VLOOKUP($A67,'SegEnds_NonXtal_Prot#'!A:AL,10,FALSE),1)</f>
        <v>D</v>
      </c>
      <c r="W67" s="49" t="str">
        <f>MID(VLOOKUP($A67,Seqs!$A:$B,2,FALSE),VLOOKUP($A67,'SegEnds_NonXtal_Prot#'!A:AL,10,FALSE)+6,1)</f>
        <v>T</v>
      </c>
      <c r="X67" s="49" t="str">
        <f>MID(VLOOKUP($A67,Seqs!$A:$B,2,FALSE),VLOOKUP($A67,'SegEnds_NonXtal_Prot#'!A:AL,10,FALSE)+7,1)</f>
        <v>L</v>
      </c>
      <c r="Y67" s="49" t="str">
        <f>MID(VLOOKUP($A67,Seqs!$A:$B,2,FALSE),VLOOKUP($A67,'SegEnds_NonXtal_Prot#'!A:AL,10,FALSE)+8,1)</f>
        <v>P</v>
      </c>
      <c r="Z67" s="49" t="str">
        <f>MID(VLOOKUP($A67,Seqs!$A:$B,2,FALSE),VLOOKUP($A67,'SegEnds_NonXtal_Prot#'!A:AL,10,FALSE)+9,1)</f>
        <v>L</v>
      </c>
      <c r="AA67" s="49" t="str">
        <f>MID(VLOOKUP($A67,Seqs!$A:$B,2,FALSE),VLOOKUP($A67,'SegEnds_NonXtal_Prot#'!A:AL,10,FALSE)+10,1)</f>
        <v>W</v>
      </c>
      <c r="AB67" s="28" t="str">
        <f>MID(VLOOKUP($A67,Seqs!$A:$B,2,FALSE),VLOOKUP($A67,'SegEnds_NonXtal_Prot#'!$A:$AL,22,FALSE)+6,1)</f>
        <v>L</v>
      </c>
      <c r="AC67" s="49" t="str">
        <f>MID(VLOOKUP($A67,Seqs!$A:$B,2,FALSE),VLOOKUP($A67,'SegEnds_NonXtal_Prot#'!$A:$AL,22,FALSE)+7,1)</f>
        <v>A</v>
      </c>
      <c r="AD67" s="49" t="str">
        <f>MID(VLOOKUP($A67,Seqs!$A:$B,2,FALSE),VLOOKUP($A67,'SegEnds_NonXtal_Prot#'!$A:$AL,22,FALSE)+8,1)</f>
        <v>M</v>
      </c>
      <c r="AE67" s="49" t="str">
        <f>MID(VLOOKUP($A67,Seqs!$A:$B,2,FALSE),VLOOKUP($A67,'SegEnds_NonXtal_Prot#'!$A:$AL,22,FALSE)+9,1)</f>
        <v>P</v>
      </c>
      <c r="AF67" s="49" t="str">
        <f>MID(VLOOKUP($A67,Seqs!$A:$B,2,FALSE),VLOOKUP($A67,'SegEnds_NonXtal_Prot#'!$A:$AL,22,FALSE)+10,1)</f>
        <v>V</v>
      </c>
      <c r="AG67" s="28" t="str">
        <f>MID(VLOOKUP($A67,Seqs!$A:$B,2,FALSE),VLOOKUP($A67,'SegEnds_NonXtal_Prot#'!$A:$AL,28,FALSE)-4,1)</f>
        <v>G</v>
      </c>
      <c r="AH67" s="49" t="str">
        <f>MID(VLOOKUP($A67,Seqs!$A:$B,2,FALSE),VLOOKUP($A67,'SegEnds_NonXtal_Prot#'!$A:$AL,28,FALSE),1)</f>
        <v>P</v>
      </c>
    </row>
    <row r="68" spans="1:34" s="2" customFormat="1" x14ac:dyDescent="0.2">
      <c r="A68" s="2" t="s">
        <v>161</v>
      </c>
      <c r="B68" s="2" t="str">
        <f>LOWER(VLOOKUP(A68,Xtal_Templ!A:B,2,FALSE))</f>
        <v>agtr1_human</v>
      </c>
      <c r="C68" s="2" t="str">
        <f>VLOOKUP(A68,Classification!A:D,2,FALSE)</f>
        <v>A</v>
      </c>
      <c r="D68" s="2" t="str">
        <f>IF(ISERROR(MATCH(A68,'SegEnds_Xtal_Prot#'!B:B, 0)), "NoXtal", "Xtal")</f>
        <v>NoXtal</v>
      </c>
      <c r="H68" s="4"/>
      <c r="N68" s="2" t="s">
        <v>14</v>
      </c>
      <c r="R68" s="2" t="s">
        <v>9</v>
      </c>
      <c r="T68" s="4" t="s">
        <v>12</v>
      </c>
      <c r="V68" s="28" t="str">
        <f>MID(VLOOKUP($A68,Seqs!$A:$B,2,FALSE),VLOOKUP($A68,'SegEnds_NonXtal_Prot#'!A:AL,10,FALSE),1)</f>
        <v>D</v>
      </c>
      <c r="W68" s="49" t="str">
        <f>MID(VLOOKUP($A68,Seqs!$A:$B,2,FALSE),VLOOKUP($A68,'SegEnds_NonXtal_Prot#'!A:AL,10,FALSE)+6,1)</f>
        <v>G</v>
      </c>
      <c r="X68" s="49" t="str">
        <f>MID(VLOOKUP($A68,Seqs!$A:$B,2,FALSE),VLOOKUP($A68,'SegEnds_NonXtal_Prot#'!A:AL,10,FALSE)+7,1)</f>
        <v>L</v>
      </c>
      <c r="Y68" s="49" t="str">
        <f>MID(VLOOKUP($A68,Seqs!$A:$B,2,FALSE),VLOOKUP($A68,'SegEnds_NonXtal_Prot#'!A:AL,10,FALSE)+8,1)</f>
        <v>P</v>
      </c>
      <c r="Z68" s="49" t="str">
        <f>MID(VLOOKUP($A68,Seqs!$A:$B,2,FALSE),VLOOKUP($A68,'SegEnds_NonXtal_Prot#'!A:AL,10,FALSE)+9,1)</f>
        <v>F</v>
      </c>
      <c r="AA68" s="49" t="str">
        <f>MID(VLOOKUP($A68,Seqs!$A:$B,2,FALSE),VLOOKUP($A68,'SegEnds_NonXtal_Prot#'!A:AL,10,FALSE)+10,1)</f>
        <v>W</v>
      </c>
      <c r="AB68" s="28" t="str">
        <f>MID(VLOOKUP($A68,Seqs!$A:$B,2,FALSE),VLOOKUP($A68,'SegEnds_NonXtal_Prot#'!$A:$AL,22,FALSE)+6,1)</f>
        <v>L</v>
      </c>
      <c r="AC68" s="49" t="str">
        <f>MID(VLOOKUP($A68,Seqs!$A:$B,2,FALSE),VLOOKUP($A68,'SegEnds_NonXtal_Prot#'!$A:$AL,22,FALSE)+7,1)</f>
        <v>S</v>
      </c>
      <c r="AD68" s="49" t="str">
        <f>MID(VLOOKUP($A68,Seqs!$A:$B,2,FALSE),VLOOKUP($A68,'SegEnds_NonXtal_Prot#'!$A:$AL,22,FALSE)+8,1)</f>
        <v>I</v>
      </c>
      <c r="AE68" s="49" t="str">
        <f>MID(VLOOKUP($A68,Seqs!$A:$B,2,FALSE),VLOOKUP($A68,'SegEnds_NonXtal_Prot#'!$A:$AL,22,FALSE)+9,1)</f>
        <v>P</v>
      </c>
      <c r="AF68" s="49" t="str">
        <f>MID(VLOOKUP($A68,Seqs!$A:$B,2,FALSE),VLOOKUP($A68,'SegEnds_NonXtal_Prot#'!$A:$AL,22,FALSE)+10,1)</f>
        <v>T</v>
      </c>
      <c r="AG68" s="28" t="str">
        <f>MID(VLOOKUP($A68,Seqs!$A:$B,2,FALSE),VLOOKUP($A68,'SegEnds_NonXtal_Prot#'!$A:$AL,28,FALSE)-4,1)</f>
        <v>G</v>
      </c>
      <c r="AH68" s="49" t="str">
        <f>MID(VLOOKUP($A68,Seqs!$A:$B,2,FALSE),VLOOKUP($A68,'SegEnds_NonXtal_Prot#'!$A:$AL,28,FALSE),1)</f>
        <v>P</v>
      </c>
    </row>
    <row r="69" spans="1:34" s="40" customFormat="1" x14ac:dyDescent="0.2">
      <c r="A69" s="2" t="s">
        <v>162</v>
      </c>
      <c r="B69" s="2" t="str">
        <f>LOWER(VLOOKUP(A69,Xtal_Templ!A:B,2,FALSE))</f>
        <v>agtr2_human</v>
      </c>
      <c r="C69" s="2" t="str">
        <f>VLOOKUP(A69,Classification!A:D,2,FALSE)</f>
        <v>A</v>
      </c>
      <c r="D69" s="2" t="str">
        <f>IF(ISERROR(MATCH(A69,'SegEnds_Xtal_Prot#'!B:B, 0)), "NoXtal", "Xtal")</f>
        <v>NoXtal</v>
      </c>
      <c r="E69" s="2"/>
      <c r="F69" s="2"/>
      <c r="G69" s="2"/>
      <c r="H69" s="4"/>
      <c r="I69" s="2"/>
      <c r="J69" s="2"/>
      <c r="K69" s="2"/>
      <c r="L69" s="2"/>
      <c r="M69" s="2"/>
      <c r="N69" s="2" t="s">
        <v>14</v>
      </c>
      <c r="O69" s="2"/>
      <c r="P69" s="2"/>
      <c r="Q69" s="2"/>
      <c r="R69" s="2" t="s">
        <v>9</v>
      </c>
      <c r="S69" s="2"/>
      <c r="T69" s="4" t="s">
        <v>12</v>
      </c>
      <c r="U69" s="2"/>
      <c r="V69" s="28" t="str">
        <f>MID(VLOOKUP($A69,Seqs!$A:$B,2,FALSE),VLOOKUP($A69,'SegEnds_NonXtal_Prot#'!A:AL,10,FALSE),1)</f>
        <v>D</v>
      </c>
      <c r="W69" s="49" t="str">
        <f>MID(VLOOKUP($A69,Seqs!$A:$B,2,FALSE),VLOOKUP($A69,'SegEnds_NonXtal_Prot#'!A:AL,10,FALSE)+6,1)</f>
        <v>G</v>
      </c>
      <c r="X69" s="49" t="str">
        <f>MID(VLOOKUP($A69,Seqs!$A:$B,2,FALSE),VLOOKUP($A69,'SegEnds_NonXtal_Prot#'!A:AL,10,FALSE)+7,1)</f>
        <v>L</v>
      </c>
      <c r="Y69" s="49" t="str">
        <f>MID(VLOOKUP($A69,Seqs!$A:$B,2,FALSE),VLOOKUP($A69,'SegEnds_NonXtal_Prot#'!A:AL,10,FALSE)+8,1)</f>
        <v>P</v>
      </c>
      <c r="Z69" s="49" t="str">
        <f>MID(VLOOKUP($A69,Seqs!$A:$B,2,FALSE),VLOOKUP($A69,'SegEnds_NonXtal_Prot#'!A:AL,10,FALSE)+9,1)</f>
        <v>F</v>
      </c>
      <c r="AA69" s="49" t="str">
        <f>MID(VLOOKUP($A69,Seqs!$A:$B,2,FALSE),VLOOKUP($A69,'SegEnds_NonXtal_Prot#'!A:AL,10,FALSE)+10,1)</f>
        <v>W</v>
      </c>
      <c r="AB69" s="28" t="str">
        <f>MID(VLOOKUP($A69,Seqs!$A:$B,2,FALSE),VLOOKUP($A69,'SegEnds_NonXtal_Prot#'!$A:$AL,22,FALSE)+6,1)</f>
        <v>L</v>
      </c>
      <c r="AC69" s="49" t="str">
        <f>MID(VLOOKUP($A69,Seqs!$A:$B,2,FALSE),VLOOKUP($A69,'SegEnds_NonXtal_Prot#'!$A:$AL,22,FALSE)+7,1)</f>
        <v>S</v>
      </c>
      <c r="AD69" s="49" t="str">
        <f>MID(VLOOKUP($A69,Seqs!$A:$B,2,FALSE),VLOOKUP($A69,'SegEnds_NonXtal_Prot#'!$A:$AL,22,FALSE)+8,1)</f>
        <v>S</v>
      </c>
      <c r="AE69" s="49" t="str">
        <f>MID(VLOOKUP($A69,Seqs!$A:$B,2,FALSE),VLOOKUP($A69,'SegEnds_NonXtal_Prot#'!$A:$AL,22,FALSE)+9,1)</f>
        <v>P</v>
      </c>
      <c r="AF69" s="49" t="str">
        <f>MID(VLOOKUP($A69,Seqs!$A:$B,2,FALSE),VLOOKUP($A69,'SegEnds_NonXtal_Prot#'!$A:$AL,22,FALSE)+10,1)</f>
        <v>M</v>
      </c>
      <c r="AG69" s="28" t="str">
        <f>MID(VLOOKUP($A69,Seqs!$A:$B,2,FALSE),VLOOKUP($A69,'SegEnds_NonXtal_Prot#'!$A:$AL,28,FALSE)-4,1)</f>
        <v>G</v>
      </c>
      <c r="AH69" s="49" t="str">
        <f>MID(VLOOKUP($A69,Seqs!$A:$B,2,FALSE),VLOOKUP($A69,'SegEnds_NonXtal_Prot#'!$A:$AL,28,FALSE),1)</f>
        <v>P</v>
      </c>
    </row>
    <row r="70" spans="1:34" s="2" customFormat="1" x14ac:dyDescent="0.2">
      <c r="A70" s="2" t="s">
        <v>165</v>
      </c>
      <c r="B70" s="2" t="str">
        <f>LOWER(VLOOKUP(A70,Xtal_Templ!A:B,2,FALSE))</f>
        <v>c5ar1_human</v>
      </c>
      <c r="C70" s="2" t="str">
        <f>VLOOKUP(A70,Classification!A:D,2,FALSE)</f>
        <v>A</v>
      </c>
      <c r="D70" s="2" t="str">
        <f>IF(ISERROR(MATCH(A70,'SegEnds_Xtal_Prot#'!B:B, 0)), "NoXtal", "Xtal")</f>
        <v>Xtal</v>
      </c>
      <c r="H70" s="4"/>
      <c r="N70" s="2" t="s">
        <v>14</v>
      </c>
      <c r="R70" s="2" t="s">
        <v>9</v>
      </c>
      <c r="T70" s="4" t="s">
        <v>12</v>
      </c>
      <c r="V70" s="28" t="str">
        <f>MID(VLOOKUP($A70,Seqs!$A:$B,2,FALSE),VLOOKUP($A70,'SegEnds_NonXtal_Prot#'!A:AL,10,FALSE),1)</f>
        <v>D</v>
      </c>
      <c r="W70" s="49" t="str">
        <f>MID(VLOOKUP($A70,Seqs!$A:$B,2,FALSE),VLOOKUP($A70,'SegEnds_NonXtal_Prot#'!A:AL,10,FALSE)+6,1)</f>
        <v>A</v>
      </c>
      <c r="X70" s="49" t="str">
        <f>MID(VLOOKUP($A70,Seqs!$A:$B,2,FALSE),VLOOKUP($A70,'SegEnds_NonXtal_Prot#'!A:AL,10,FALSE)+7,1)</f>
        <v>L</v>
      </c>
      <c r="Y70" s="49" t="str">
        <f>MID(VLOOKUP($A70,Seqs!$A:$B,2,FALSE),VLOOKUP($A70,'SegEnds_NonXtal_Prot#'!A:AL,10,FALSE)+8,1)</f>
        <v>P</v>
      </c>
      <c r="Z70" s="49" t="str">
        <f>MID(VLOOKUP($A70,Seqs!$A:$B,2,FALSE),VLOOKUP($A70,'SegEnds_NonXtal_Prot#'!A:AL,10,FALSE)+9,1)</f>
        <v>I</v>
      </c>
      <c r="AA70" s="49" t="str">
        <f>MID(VLOOKUP($A70,Seqs!$A:$B,2,FALSE),VLOOKUP($A70,'SegEnds_NonXtal_Prot#'!A:AL,10,FALSE)+10,1)</f>
        <v>L</v>
      </c>
      <c r="AB70" s="28" t="str">
        <f>MID(VLOOKUP($A70,Seqs!$A:$B,2,FALSE),VLOOKUP($A70,'SegEnds_NonXtal_Prot#'!$A:$AL,22,FALSE)+6,1)</f>
        <v>L</v>
      </c>
      <c r="AC70" s="49" t="str">
        <f>MID(VLOOKUP($A70,Seqs!$A:$B,2,FALSE),VLOOKUP($A70,'SegEnds_NonXtal_Prot#'!$A:$AL,22,FALSE)+7,1)</f>
        <v>T</v>
      </c>
      <c r="AD70" s="49" t="str">
        <f>MID(VLOOKUP($A70,Seqs!$A:$B,2,FALSE),VLOOKUP($A70,'SegEnds_NonXtal_Prot#'!$A:$AL,22,FALSE)+8,1)</f>
        <v>I</v>
      </c>
      <c r="AE70" s="49" t="str">
        <f>MID(VLOOKUP($A70,Seqs!$A:$B,2,FALSE),VLOOKUP($A70,'SegEnds_NonXtal_Prot#'!$A:$AL,22,FALSE)+9,1)</f>
        <v>P</v>
      </c>
      <c r="AF70" s="49" t="str">
        <f>MID(VLOOKUP($A70,Seqs!$A:$B,2,FALSE),VLOOKUP($A70,'SegEnds_NonXtal_Prot#'!$A:$AL,22,FALSE)+10,1)</f>
        <v>S</v>
      </c>
      <c r="AG70" s="28" t="str">
        <f>MID(VLOOKUP($A70,Seqs!$A:$B,2,FALSE),VLOOKUP($A70,'SegEnds_NonXtal_Prot#'!$A:$AL,28,FALSE)-4,1)</f>
        <v>G</v>
      </c>
      <c r="AH70" s="49" t="str">
        <f>MID(VLOOKUP($A70,Seqs!$A:$B,2,FALSE),VLOOKUP($A70,'SegEnds_NonXtal_Prot#'!$A:$AL,28,FALSE),1)</f>
        <v>P</v>
      </c>
    </row>
    <row r="71" spans="1:34" s="2" customFormat="1" x14ac:dyDescent="0.2">
      <c r="A71" s="2" t="s">
        <v>181</v>
      </c>
      <c r="B71" s="2" t="str">
        <f>LOWER(VLOOKUP(A71,Xtal_Templ!A:B,2,FALSE))</f>
        <v>agtr1_human</v>
      </c>
      <c r="C71" s="2" t="str">
        <f>VLOOKUP(A71,Classification!A:D,2,FALSE)</f>
        <v>A</v>
      </c>
      <c r="D71" s="2" t="str">
        <f>IF(ISERROR(MATCH(A71,'SegEnds_Xtal_Prot#'!B:B, 0)), "NoXtal", "Xtal")</f>
        <v>NoXtal</v>
      </c>
      <c r="H71" s="4"/>
      <c r="N71" s="2" t="s">
        <v>14</v>
      </c>
      <c r="R71" s="2" t="s">
        <v>9</v>
      </c>
      <c r="T71" s="4" t="s">
        <v>12</v>
      </c>
      <c r="V71" s="28" t="str">
        <f>MID(VLOOKUP($A71,Seqs!$A:$B,2,FALSE),VLOOKUP($A71,'SegEnds_NonXtal_Prot#'!A:AL,10,FALSE),1)</f>
        <v>D</v>
      </c>
      <c r="W71" s="49" t="str">
        <f>MID(VLOOKUP($A71,Seqs!$A:$B,2,FALSE),VLOOKUP($A71,'SegEnds_NonXtal_Prot#'!A:AL,10,FALSE)+6,1)</f>
        <v>F</v>
      </c>
      <c r="X71" s="49" t="str">
        <f>MID(VLOOKUP($A71,Seqs!$A:$B,2,FALSE),VLOOKUP($A71,'SegEnds_NonXtal_Prot#'!A:AL,10,FALSE)+7,1)</f>
        <v>L</v>
      </c>
      <c r="Y71" s="49" t="str">
        <f>MID(VLOOKUP($A71,Seqs!$A:$B,2,FALSE),VLOOKUP($A71,'SegEnds_NonXtal_Prot#'!A:AL,10,FALSE)+8,1)</f>
        <v>P</v>
      </c>
      <c r="Z71" s="49" t="str">
        <f>MID(VLOOKUP($A71,Seqs!$A:$B,2,FALSE),VLOOKUP($A71,'SegEnds_NonXtal_Prot#'!A:AL,10,FALSE)+9,1)</f>
        <v>I</v>
      </c>
      <c r="AA71" s="49" t="str">
        <f>MID(VLOOKUP($A71,Seqs!$A:$B,2,FALSE),VLOOKUP($A71,'SegEnds_NonXtal_Prot#'!A:AL,10,FALSE)+10,1)</f>
        <v>H</v>
      </c>
      <c r="AB71" s="28" t="str">
        <f>MID(VLOOKUP($A71,Seqs!$A:$B,2,FALSE),VLOOKUP($A71,'SegEnds_NonXtal_Prot#'!$A:$AL,22,FALSE)+6,1)</f>
        <v>L</v>
      </c>
      <c r="AC71" s="49" t="str">
        <f>MID(VLOOKUP($A71,Seqs!$A:$B,2,FALSE),VLOOKUP($A71,'SegEnds_NonXtal_Prot#'!$A:$AL,22,FALSE)+7,1)</f>
        <v>S</v>
      </c>
      <c r="AD71" s="49" t="str">
        <f>MID(VLOOKUP($A71,Seqs!$A:$B,2,FALSE),VLOOKUP($A71,'SegEnds_NonXtal_Prot#'!$A:$AL,22,FALSE)+8,1)</f>
        <v>S</v>
      </c>
      <c r="AE71" s="49" t="str">
        <f>MID(VLOOKUP($A71,Seqs!$A:$B,2,FALSE),VLOOKUP($A71,'SegEnds_NonXtal_Prot#'!$A:$AL,22,FALSE)+9,1)</f>
        <v>P</v>
      </c>
      <c r="AF71" s="49" t="str">
        <f>MID(VLOOKUP($A71,Seqs!$A:$B,2,FALSE),VLOOKUP($A71,'SegEnds_NonXtal_Prot#'!$A:$AL,22,FALSE)+10,1)</f>
        <v>S</v>
      </c>
      <c r="AG71" s="28" t="str">
        <f>MID(VLOOKUP($A71,Seqs!$A:$B,2,FALSE),VLOOKUP($A71,'SegEnds_NonXtal_Prot#'!$A:$AL,28,FALSE)-4,1)</f>
        <v>G</v>
      </c>
      <c r="AH71" s="49" t="str">
        <f>MID(VLOOKUP($A71,Seqs!$A:$B,2,FALSE),VLOOKUP($A71,'SegEnds_NonXtal_Prot#'!$A:$AL,28,FALSE),1)</f>
        <v>P</v>
      </c>
    </row>
    <row r="72" spans="1:34" s="2" customFormat="1" x14ac:dyDescent="0.2">
      <c r="A72" s="2" t="s">
        <v>233</v>
      </c>
      <c r="B72" s="2" t="str">
        <f>LOWER(VLOOKUP(A72,Xtal_Templ!A:B,2,FALSE))</f>
        <v>apj_human</v>
      </c>
      <c r="C72" s="2" t="str">
        <f>VLOOKUP(A72,Classification!A:D,2,FALSE)</f>
        <v>A</v>
      </c>
      <c r="D72" s="2" t="str">
        <f>IF(ISERROR(MATCH(A72,'SegEnds_Xtal_Prot#'!B:B, 0)), "NoXtal", "Xtal")</f>
        <v>NoXtal</v>
      </c>
      <c r="H72" s="4"/>
      <c r="N72" s="2" t="s">
        <v>14</v>
      </c>
      <c r="R72" s="2" t="s">
        <v>9</v>
      </c>
      <c r="T72" s="4" t="s">
        <v>12</v>
      </c>
      <c r="V72" s="28" t="str">
        <f>MID(VLOOKUP($A72,Seqs!$A:$B,2,FALSE),VLOOKUP($A72,'SegEnds_NonXtal_Prot#'!A:AL,10,FALSE),1)</f>
        <v>D</v>
      </c>
      <c r="W72" s="49" t="str">
        <f>MID(VLOOKUP($A72,Seqs!$A:$B,2,FALSE),VLOOKUP($A72,'SegEnds_NonXtal_Prot#'!A:AL,10,FALSE)+6,1)</f>
        <v>S</v>
      </c>
      <c r="X72" s="49" t="str">
        <f>MID(VLOOKUP($A72,Seqs!$A:$B,2,FALSE),VLOOKUP($A72,'SegEnds_NonXtal_Prot#'!A:AL,10,FALSE)+7,1)</f>
        <v>L</v>
      </c>
      <c r="Y72" s="49" t="str">
        <f>MID(VLOOKUP($A72,Seqs!$A:$B,2,FALSE),VLOOKUP($A72,'SegEnds_NonXtal_Prot#'!A:AL,10,FALSE)+8,1)</f>
        <v>P</v>
      </c>
      <c r="Z72" s="49" t="str">
        <f>MID(VLOOKUP($A72,Seqs!$A:$B,2,FALSE),VLOOKUP($A72,'SegEnds_NonXtal_Prot#'!A:AL,10,FALSE)+9,1)</f>
        <v>V</v>
      </c>
      <c r="AA72" s="49" t="str">
        <f>MID(VLOOKUP($A72,Seqs!$A:$B,2,FALSE),VLOOKUP($A72,'SegEnds_NonXtal_Prot#'!A:AL,10,FALSE)+10,1)</f>
        <v>W</v>
      </c>
      <c r="AB72" s="28" t="str">
        <f>MID(VLOOKUP($A72,Seqs!$A:$B,2,FALSE),VLOOKUP($A72,'SegEnds_NonXtal_Prot#'!$A:$AL,22,FALSE)+6,1)</f>
        <v>I</v>
      </c>
      <c r="AC72" s="49" t="str">
        <f>MID(VLOOKUP($A72,Seqs!$A:$B,2,FALSE),VLOOKUP($A72,'SegEnds_NonXtal_Prot#'!$A:$AL,22,FALSE)+7,1)</f>
        <v>P</v>
      </c>
      <c r="AD72" s="49" t="str">
        <f>MID(VLOOKUP($A72,Seqs!$A:$B,2,FALSE),VLOOKUP($A72,'SegEnds_NonXtal_Prot#'!$A:$AL,22,FALSE)+8,1)</f>
        <v>L</v>
      </c>
      <c r="AE72" s="49" t="str">
        <f>MID(VLOOKUP($A72,Seqs!$A:$B,2,FALSE),VLOOKUP($A72,'SegEnds_NonXtal_Prot#'!$A:$AL,22,FALSE)+9,1)</f>
        <v>P</v>
      </c>
      <c r="AF72" s="49" t="str">
        <f>MID(VLOOKUP($A72,Seqs!$A:$B,2,FALSE),VLOOKUP($A72,'SegEnds_NonXtal_Prot#'!$A:$AL,22,FALSE)+10,1)</f>
        <v>E</v>
      </c>
      <c r="AG72" s="28" t="str">
        <f>MID(VLOOKUP($A72,Seqs!$A:$B,2,FALSE),VLOOKUP($A72,'SegEnds_NonXtal_Prot#'!$A:$AL,28,FALSE)-4,1)</f>
        <v>G</v>
      </c>
      <c r="AH72" s="49" t="str">
        <f>MID(VLOOKUP($A72,Seqs!$A:$B,2,FALSE),VLOOKUP($A72,'SegEnds_NonXtal_Prot#'!$A:$AL,28,FALSE),1)</f>
        <v>P</v>
      </c>
    </row>
    <row r="73" spans="1:34" s="2" customFormat="1" x14ac:dyDescent="0.2">
      <c r="A73" s="2" t="s">
        <v>236</v>
      </c>
      <c r="B73" s="2" t="str">
        <f>LOWER(VLOOKUP(A73,Xtal_Templ!A:B,2,FALSE))</f>
        <v>ccr5_human</v>
      </c>
      <c r="C73" s="2" t="str">
        <f>VLOOKUP(A73,Classification!A:D,2,FALSE)</f>
        <v>A</v>
      </c>
      <c r="D73" s="2" t="str">
        <f>IF(ISERROR(MATCH(A73,'SegEnds_Xtal_Prot#'!B:B, 0)), "NoXtal", "Xtal")</f>
        <v>NoXtal</v>
      </c>
      <c r="H73" s="4"/>
      <c r="R73" s="2" t="s">
        <v>9</v>
      </c>
      <c r="T73" s="4" t="s">
        <v>12</v>
      </c>
      <c r="V73" s="28" t="str">
        <f>MID(VLOOKUP($A73,Seqs!$A:$B,2,FALSE),VLOOKUP($A73,'SegEnds_NonXtal_Prot#'!A:AL,10,FALSE),1)</f>
        <v>D</v>
      </c>
      <c r="W73" s="49" t="str">
        <f>MID(VLOOKUP($A73,Seqs!$A:$B,2,FALSE),VLOOKUP($A73,'SegEnds_NonXtal_Prot#'!A:AL,10,FALSE)+6,1)</f>
        <v>D</v>
      </c>
      <c r="X73" s="49" t="str">
        <f>MID(VLOOKUP($A73,Seqs!$A:$B,2,FALSE),VLOOKUP($A73,'SegEnds_NonXtal_Prot#'!A:AL,10,FALSE)+7,1)</f>
        <v>S</v>
      </c>
      <c r="Y73" s="49" t="str">
        <f>MID(VLOOKUP($A73,Seqs!$A:$B,2,FALSE),VLOOKUP($A73,'SegEnds_NonXtal_Prot#'!A:AL,10,FALSE)+8,1)</f>
        <v>L</v>
      </c>
      <c r="Z73" s="49" t="str">
        <f>MID(VLOOKUP($A73,Seqs!$A:$B,2,FALSE),VLOOKUP($A73,'SegEnds_NonXtal_Prot#'!A:AL,10,FALSE)+9,1)</f>
        <v>I</v>
      </c>
      <c r="AA73" s="49" t="str">
        <f>MID(VLOOKUP($A73,Seqs!$A:$B,2,FALSE),VLOOKUP($A73,'SegEnds_NonXtal_Prot#'!A:AL,10,FALSE)+10,1)</f>
        <v>E</v>
      </c>
      <c r="AB73" s="28" t="str">
        <f>MID(VLOOKUP($A73,Seqs!$A:$B,2,FALSE),VLOOKUP($A73,'SegEnds_NonXtal_Prot#'!$A:$AL,22,FALSE)+6,1)</f>
        <v>A</v>
      </c>
      <c r="AC73" s="49" t="str">
        <f>MID(VLOOKUP($A73,Seqs!$A:$B,2,FALSE),VLOOKUP($A73,'SegEnds_NonXtal_Prot#'!$A:$AL,22,FALSE)+7,1)</f>
        <v>T</v>
      </c>
      <c r="AD73" s="49" t="str">
        <f>MID(VLOOKUP($A73,Seqs!$A:$B,2,FALSE),VLOOKUP($A73,'SegEnds_NonXtal_Prot#'!$A:$AL,22,FALSE)+8,1)</f>
        <v>L</v>
      </c>
      <c r="AE73" s="49" t="str">
        <f>MID(VLOOKUP($A73,Seqs!$A:$B,2,FALSE),VLOOKUP($A73,'SegEnds_NonXtal_Prot#'!$A:$AL,22,FALSE)+9,1)</f>
        <v>V</v>
      </c>
      <c r="AF73" s="49" t="str">
        <f>MID(VLOOKUP($A73,Seqs!$A:$B,2,FALSE),VLOOKUP($A73,'SegEnds_NonXtal_Prot#'!$A:$AL,22,FALSE)+10,1)</f>
        <v>P</v>
      </c>
      <c r="AG73" s="28" t="str">
        <f>MID(VLOOKUP($A73,Seqs!$A:$B,2,FALSE),VLOOKUP($A73,'SegEnds_NonXtal_Prot#'!$A:$AL,28,FALSE)-4,1)</f>
        <v>G</v>
      </c>
      <c r="AH73" s="49" t="str">
        <f>MID(VLOOKUP($A73,Seqs!$A:$B,2,FALSE),VLOOKUP($A73,'SegEnds_NonXtal_Prot#'!$A:$AL,28,FALSE),1)</f>
        <v>P</v>
      </c>
    </row>
    <row r="74" spans="1:34" s="2" customFormat="1" x14ac:dyDescent="0.2">
      <c r="A74" s="2" t="s">
        <v>237</v>
      </c>
      <c r="B74" s="2" t="str">
        <f>LOWER(VLOOKUP(A74,Xtal_Templ!A:B,2,FALSE))</f>
        <v>agtr1_human</v>
      </c>
      <c r="C74" s="2" t="str">
        <f>VLOOKUP(A74,Classification!A:D,2,FALSE)</f>
        <v>A</v>
      </c>
      <c r="D74" s="2" t="str">
        <f>IF(ISERROR(MATCH(A74,'SegEnds_Xtal_Prot#'!B:B, 0)), "NoXtal", "Xtal")</f>
        <v>NoXtal</v>
      </c>
      <c r="H74" s="4"/>
      <c r="R74" s="2" t="s">
        <v>9</v>
      </c>
      <c r="T74" s="4" t="s">
        <v>12</v>
      </c>
      <c r="V74" s="28" t="str">
        <f>MID(VLOOKUP($A74,Seqs!$A:$B,2,FALSE),VLOOKUP($A74,'SegEnds_NonXtal_Prot#'!A:AL,10,FALSE),1)</f>
        <v>D</v>
      </c>
      <c r="W74" s="49" t="str">
        <f>MID(VLOOKUP($A74,Seqs!$A:$B,2,FALSE),VLOOKUP($A74,'SegEnds_NonXtal_Prot#'!A:AL,10,FALSE)+6,1)</f>
        <v>F</v>
      </c>
      <c r="X74" s="49" t="str">
        <f>MID(VLOOKUP($A74,Seqs!$A:$B,2,FALSE),VLOOKUP($A74,'SegEnds_NonXtal_Prot#'!A:AL,10,FALSE)+7,1)</f>
        <v>L</v>
      </c>
      <c r="Y74" s="49" t="str">
        <f>MID(VLOOKUP($A74,Seqs!$A:$B,2,FALSE),VLOOKUP($A74,'SegEnds_NonXtal_Prot#'!A:AL,10,FALSE)+8,1)</f>
        <v>P</v>
      </c>
      <c r="Z74" s="49" t="str">
        <f>MID(VLOOKUP($A74,Seqs!$A:$B,2,FALSE),VLOOKUP($A74,'SegEnds_NonXtal_Prot#'!A:AL,10,FALSE)+9,1)</f>
        <v>L</v>
      </c>
      <c r="AA74" s="49" t="str">
        <f>MID(VLOOKUP($A74,Seqs!$A:$B,2,FALSE),VLOOKUP($A74,'SegEnds_NonXtal_Prot#'!A:AL,10,FALSE)+10,1)</f>
        <v>Y</v>
      </c>
      <c r="AB74" s="28" t="str">
        <f>MID(VLOOKUP($A74,Seqs!$A:$B,2,FALSE),VLOOKUP($A74,'SegEnds_NonXtal_Prot#'!$A:$AL,22,FALSE)+6,1)</f>
        <v>I</v>
      </c>
      <c r="AC74" s="49" t="str">
        <f>MID(VLOOKUP($A74,Seqs!$A:$B,2,FALSE),VLOOKUP($A74,'SegEnds_NonXtal_Prot#'!$A:$AL,22,FALSE)+7,1)</f>
        <v>G</v>
      </c>
      <c r="AD74" s="49" t="str">
        <f>MID(VLOOKUP($A74,Seqs!$A:$B,2,FALSE),VLOOKUP($A74,'SegEnds_NonXtal_Prot#'!$A:$AL,22,FALSE)+8,1)</f>
        <v>G</v>
      </c>
      <c r="AE74" s="49" t="str">
        <f>MID(VLOOKUP($A74,Seqs!$A:$B,2,FALSE),VLOOKUP($A74,'SegEnds_NonXtal_Prot#'!$A:$AL,22,FALSE)+9,1)</f>
        <v>P</v>
      </c>
      <c r="AF74" s="49" t="str">
        <f>MID(VLOOKUP($A74,Seqs!$A:$B,2,FALSE),VLOOKUP($A74,'SegEnds_NonXtal_Prot#'!$A:$AL,22,FALSE)+10,1)</f>
        <v>A</v>
      </c>
      <c r="AG74" s="28" t="str">
        <f>MID(VLOOKUP($A74,Seqs!$A:$B,2,FALSE),VLOOKUP($A74,'SegEnds_NonXtal_Prot#'!$A:$AL,28,FALSE)-4,1)</f>
        <v>G</v>
      </c>
      <c r="AH74" s="49" t="str">
        <f>MID(VLOOKUP($A74,Seqs!$A:$B,2,FALSE),VLOOKUP($A74,'SegEnds_NonXtal_Prot#'!$A:$AL,28,FALSE),1)</f>
        <v>P</v>
      </c>
    </row>
    <row r="75" spans="1:34" s="2" customFormat="1" x14ac:dyDescent="0.2">
      <c r="A75" s="2" t="s">
        <v>239</v>
      </c>
      <c r="B75" s="2" t="str">
        <f>LOWER(VLOOKUP(A75,Xtal_Templ!A:B,2,FALSE))</f>
        <v>agtr1_human</v>
      </c>
      <c r="C75" s="2" t="str">
        <f>VLOOKUP(A75,Classification!A:D,2,FALSE)</f>
        <v>A</v>
      </c>
      <c r="D75" s="2" t="str">
        <f>IF(ISERROR(MATCH(A75,'SegEnds_Xtal_Prot#'!B:B, 0)), "NoXtal", "Xtal")</f>
        <v>NoXtal</v>
      </c>
      <c r="H75" s="4"/>
      <c r="R75" s="2" t="s">
        <v>9</v>
      </c>
      <c r="T75" s="4" t="s">
        <v>12</v>
      </c>
      <c r="V75" s="28" t="str">
        <f>MID(VLOOKUP($A75,Seqs!$A:$B,2,FALSE),VLOOKUP($A75,'SegEnds_NonXtal_Prot#'!A:AL,10,FALSE),1)</f>
        <v>D</v>
      </c>
      <c r="W75" s="49" t="str">
        <f>MID(VLOOKUP($A75,Seqs!$A:$B,2,FALSE),VLOOKUP($A75,'SegEnds_NonXtal_Prot#'!A:AL,10,FALSE)+6,1)</f>
        <v>T</v>
      </c>
      <c r="X75" s="49" t="str">
        <f>MID(VLOOKUP($A75,Seqs!$A:$B,2,FALSE),VLOOKUP($A75,'SegEnds_NonXtal_Prot#'!A:AL,10,FALSE)+7,1)</f>
        <v>L</v>
      </c>
      <c r="Y75" s="49" t="str">
        <f>MID(VLOOKUP($A75,Seqs!$A:$B,2,FALSE),VLOOKUP($A75,'SegEnds_NonXtal_Prot#'!A:AL,10,FALSE)+8,1)</f>
        <v>P</v>
      </c>
      <c r="Z75" s="49" t="str">
        <f>MID(VLOOKUP($A75,Seqs!$A:$B,2,FALSE),VLOOKUP($A75,'SegEnds_NonXtal_Prot#'!A:AL,10,FALSE)+9,1)</f>
        <v>L</v>
      </c>
      <c r="AA75" s="49" t="str">
        <f>MID(VLOOKUP($A75,Seqs!$A:$B,2,FALSE),VLOOKUP($A75,'SegEnds_NonXtal_Prot#'!A:AL,10,FALSE)+10,1)</f>
        <v>W</v>
      </c>
      <c r="AB75" s="28" t="str">
        <f>MID(VLOOKUP($A75,Seqs!$A:$B,2,FALSE),VLOOKUP($A75,'SegEnds_NonXtal_Prot#'!$A:$AL,22,FALSE)+6,1)</f>
        <v>L</v>
      </c>
      <c r="AC75" s="49" t="str">
        <f>MID(VLOOKUP($A75,Seqs!$A:$B,2,FALSE),VLOOKUP($A75,'SegEnds_NonXtal_Prot#'!$A:$AL,22,FALSE)+7,1)</f>
        <v>G</v>
      </c>
      <c r="AD75" s="49" t="str">
        <f>MID(VLOOKUP($A75,Seqs!$A:$B,2,FALSE),VLOOKUP($A75,'SegEnds_NonXtal_Prot#'!$A:$AL,22,FALSE)+8,1)</f>
        <v>L</v>
      </c>
      <c r="AE75" s="49" t="str">
        <f>MID(VLOOKUP($A75,Seqs!$A:$B,2,FALSE),VLOOKUP($A75,'SegEnds_NonXtal_Prot#'!$A:$AL,22,FALSE)+9,1)</f>
        <v>P</v>
      </c>
      <c r="AF75" s="49" t="str">
        <f>MID(VLOOKUP($A75,Seqs!$A:$B,2,FALSE),VLOOKUP($A75,'SegEnds_NonXtal_Prot#'!$A:$AL,22,FALSE)+10,1)</f>
        <v>T</v>
      </c>
      <c r="AG75" s="28" t="str">
        <f>MID(VLOOKUP($A75,Seqs!$A:$B,2,FALSE),VLOOKUP($A75,'SegEnds_NonXtal_Prot#'!$A:$AL,28,FALSE)-4,1)</f>
        <v>T</v>
      </c>
      <c r="AH75" s="49" t="str">
        <f>MID(VLOOKUP($A75,Seqs!$A:$B,2,FALSE),VLOOKUP($A75,'SegEnds_NonXtal_Prot#'!$A:$AL,28,FALSE),1)</f>
        <v>P</v>
      </c>
    </row>
    <row r="76" spans="1:34" s="2" customFormat="1" x14ac:dyDescent="0.2">
      <c r="A76" s="2" t="s">
        <v>246</v>
      </c>
      <c r="B76" s="2" t="str">
        <f>LOWER(VLOOKUP(A76,Xtal_Templ!A:B,2,FALSE))</f>
        <v>agtr1_human</v>
      </c>
      <c r="C76" s="2" t="str">
        <f>VLOOKUP(A76,Classification!A:D,2,FALSE)</f>
        <v>A</v>
      </c>
      <c r="D76" s="2" t="str">
        <f>IF(ISERROR(MATCH(A76,'SegEnds_Xtal_Prot#'!B:B, 0)), "NoXtal", "Xtal")</f>
        <v>NoXtal</v>
      </c>
      <c r="H76" s="4"/>
      <c r="R76" s="2" t="s">
        <v>9</v>
      </c>
      <c r="T76" s="4" t="s">
        <v>12</v>
      </c>
      <c r="V76" s="28" t="str">
        <f>MID(VLOOKUP($A76,Seqs!$A:$B,2,FALSE),VLOOKUP($A76,'SegEnds_NonXtal_Prot#'!A:AL,10,FALSE),1)</f>
        <v>D</v>
      </c>
      <c r="W76" s="49" t="str">
        <f>MID(VLOOKUP($A76,Seqs!$A:$B,2,FALSE),VLOOKUP($A76,'SegEnds_NonXtal_Prot#'!A:AL,10,FALSE)+6,1)</f>
        <v>T</v>
      </c>
      <c r="X76" s="49" t="str">
        <f>MID(VLOOKUP($A76,Seqs!$A:$B,2,FALSE),VLOOKUP($A76,'SegEnds_NonXtal_Prot#'!A:AL,10,FALSE)+7,1)</f>
        <v>L</v>
      </c>
      <c r="Y76" s="49" t="str">
        <f>MID(VLOOKUP($A76,Seqs!$A:$B,2,FALSE),VLOOKUP($A76,'SegEnds_NonXtal_Prot#'!A:AL,10,FALSE)+8,1)</f>
        <v>P</v>
      </c>
      <c r="Z76" s="49" t="str">
        <f>MID(VLOOKUP($A76,Seqs!$A:$B,2,FALSE),VLOOKUP($A76,'SegEnds_NonXtal_Prot#'!A:AL,10,FALSE)+9,1)</f>
        <v>L</v>
      </c>
      <c r="AA76" s="49" t="str">
        <f>MID(VLOOKUP($A76,Seqs!$A:$B,2,FALSE),VLOOKUP($A76,'SegEnds_NonXtal_Prot#'!A:AL,10,FALSE)+10,1)</f>
        <v>W</v>
      </c>
      <c r="AB76" s="28" t="str">
        <f>MID(VLOOKUP($A76,Seqs!$A:$B,2,FALSE),VLOOKUP($A76,'SegEnds_NonXtal_Prot#'!$A:$AL,22,FALSE)+6,1)</f>
        <v>A</v>
      </c>
      <c r="AC76" s="49" t="str">
        <f>MID(VLOOKUP($A76,Seqs!$A:$B,2,FALSE),VLOOKUP($A76,'SegEnds_NonXtal_Prot#'!$A:$AL,22,FALSE)+7,1)</f>
        <v>G</v>
      </c>
      <c r="AD76" s="49" t="str">
        <f>MID(VLOOKUP($A76,Seqs!$A:$B,2,FALSE),VLOOKUP($A76,'SegEnds_NonXtal_Prot#'!$A:$AL,22,FALSE)+8,1)</f>
        <v>L</v>
      </c>
      <c r="AE76" s="49" t="str">
        <f>MID(VLOOKUP($A76,Seqs!$A:$B,2,FALSE),VLOOKUP($A76,'SegEnds_NonXtal_Prot#'!$A:$AL,22,FALSE)+9,1)</f>
        <v>P</v>
      </c>
      <c r="AF76" s="49" t="str">
        <f>MID(VLOOKUP($A76,Seqs!$A:$B,2,FALSE),VLOOKUP($A76,'SegEnds_NonXtal_Prot#'!$A:$AL,22,FALSE)+10,1)</f>
        <v>S</v>
      </c>
      <c r="AG76" s="28" t="str">
        <f>MID(VLOOKUP($A76,Seqs!$A:$B,2,FALSE),VLOOKUP($A76,'SegEnds_NonXtal_Prot#'!$A:$AL,28,FALSE)-4,1)</f>
        <v>T</v>
      </c>
      <c r="AH76" s="49" t="str">
        <f>MID(VLOOKUP($A76,Seqs!$A:$B,2,FALSE),VLOOKUP($A76,'SegEnds_NonXtal_Prot#'!$A:$AL,28,FALSE),1)</f>
        <v>P</v>
      </c>
    </row>
    <row r="77" spans="1:34" s="2" customFormat="1" x14ac:dyDescent="0.2">
      <c r="A77" s="2" t="s">
        <v>252</v>
      </c>
      <c r="B77" s="2" t="str">
        <f>LOWER(VLOOKUP(A77,Xtal_Templ!A:B,2,FALSE))</f>
        <v>agtr1_human</v>
      </c>
      <c r="C77" s="2" t="str">
        <f>VLOOKUP(A77,Classification!A:D,2,FALSE)</f>
        <v>A</v>
      </c>
      <c r="D77" s="2" t="str">
        <f>IF(ISERROR(MATCH(A77,'SegEnds_Xtal_Prot#'!B:B, 0)), "NoXtal", "Xtal")</f>
        <v>NoXtal</v>
      </c>
      <c r="H77" s="4"/>
      <c r="N77" s="2" t="s">
        <v>14</v>
      </c>
      <c r="R77" s="2" t="s">
        <v>9</v>
      </c>
      <c r="T77" s="4" t="s">
        <v>12</v>
      </c>
      <c r="V77" s="28" t="str">
        <f>MID(VLOOKUP($A77,Seqs!$A:$B,2,FALSE),VLOOKUP($A77,'SegEnds_NonXtal_Prot#'!A:AL,10,FALSE),1)</f>
        <v>Y</v>
      </c>
      <c r="W77" s="49" t="str">
        <f>MID(VLOOKUP($A77,Seqs!$A:$B,2,FALSE),VLOOKUP($A77,'SegEnds_NonXtal_Prot#'!A:AL,10,FALSE)+6,1)</f>
        <v>I</v>
      </c>
      <c r="X77" s="49" t="str">
        <f>MID(VLOOKUP($A77,Seqs!$A:$B,2,FALSE),VLOOKUP($A77,'SegEnds_NonXtal_Prot#'!A:AL,10,FALSE)+7,1)</f>
        <v>L</v>
      </c>
      <c r="Y77" s="49" t="str">
        <f>MID(VLOOKUP($A77,Seqs!$A:$B,2,FALSE),VLOOKUP($A77,'SegEnds_NonXtal_Prot#'!A:AL,10,FALSE)+8,1)</f>
        <v>P</v>
      </c>
      <c r="Z77" s="49" t="str">
        <f>MID(VLOOKUP($A77,Seqs!$A:$B,2,FALSE),VLOOKUP($A77,'SegEnds_NonXtal_Prot#'!A:AL,10,FALSE)+9,1)</f>
        <v>F</v>
      </c>
      <c r="AA77" s="49" t="str">
        <f>MID(VLOOKUP($A77,Seqs!$A:$B,2,FALSE),VLOOKUP($A77,'SegEnds_NonXtal_Prot#'!A:AL,10,FALSE)+10,1)</f>
        <v>M</v>
      </c>
      <c r="AB77" s="28" t="str">
        <f>MID(VLOOKUP($A77,Seqs!$A:$B,2,FALSE),VLOOKUP($A77,'SegEnds_NonXtal_Prot#'!$A:$AL,22,FALSE)+6,1)</f>
        <v>L</v>
      </c>
      <c r="AC77" s="49" t="str">
        <f>MID(VLOOKUP($A77,Seqs!$A:$B,2,FALSE),VLOOKUP($A77,'SegEnds_NonXtal_Prot#'!$A:$AL,22,FALSE)+7,1)</f>
        <v>S</v>
      </c>
      <c r="AD77" s="49" t="str">
        <f>MID(VLOOKUP($A77,Seqs!$A:$B,2,FALSE),VLOOKUP($A77,'SegEnds_NonXtal_Prot#'!$A:$AL,22,FALSE)+8,1)</f>
        <v>I</v>
      </c>
      <c r="AE77" s="49" t="str">
        <f>MID(VLOOKUP($A77,Seqs!$A:$B,2,FALSE),VLOOKUP($A77,'SegEnds_NonXtal_Prot#'!$A:$AL,22,FALSE)+9,1)</f>
        <v>P</v>
      </c>
      <c r="AF77" s="49" t="str">
        <f>MID(VLOOKUP($A77,Seqs!$A:$B,2,FALSE),VLOOKUP($A77,'SegEnds_NonXtal_Prot#'!$A:$AL,22,FALSE)+10,1)</f>
        <v>Y</v>
      </c>
      <c r="AG77" s="28" t="str">
        <f>MID(VLOOKUP($A77,Seqs!$A:$B,2,FALSE),VLOOKUP($A77,'SegEnds_NonXtal_Prot#'!$A:$AL,28,FALSE)-4,1)</f>
        <v>G</v>
      </c>
      <c r="AH77" s="49" t="str">
        <f>MID(VLOOKUP($A77,Seqs!$A:$B,2,FALSE),VLOOKUP($A77,'SegEnds_NonXtal_Prot#'!$A:$AL,28,FALSE),1)</f>
        <v>P</v>
      </c>
    </row>
    <row r="78" spans="1:34" s="2" customFormat="1" x14ac:dyDescent="0.2">
      <c r="A78" s="2" t="s">
        <v>283</v>
      </c>
      <c r="B78" s="2" t="str">
        <f>LOWER(VLOOKUP(A78,Xtal_Templ!A:B,2,FALSE))</f>
        <v>agtr1_human</v>
      </c>
      <c r="C78" s="2" t="str">
        <f>VLOOKUP(A78,Classification!A:D,2,FALSE)</f>
        <v>A</v>
      </c>
      <c r="D78" s="2" t="str">
        <f>IF(ISERROR(MATCH(A78,'SegEnds_Xtal_Prot#'!B:B, 0)), "NoXtal", "Xtal")</f>
        <v>NoXtal</v>
      </c>
      <c r="H78" s="4"/>
      <c r="T78" s="4" t="s">
        <v>12</v>
      </c>
      <c r="V78" s="28" t="str">
        <f>MID(VLOOKUP($A78,Seqs!$A:$B,2,FALSE),VLOOKUP($A78,'SegEnds_NonXtal_Prot#'!A:AL,10,FALSE),1)</f>
        <v>N</v>
      </c>
      <c r="W78" s="49" t="str">
        <f>MID(VLOOKUP($A78,Seqs!$A:$B,2,FALSE),VLOOKUP($A78,'SegEnds_NonXtal_Prot#'!A:AL,10,FALSE)+6,1)</f>
        <v>Y</v>
      </c>
      <c r="X78" s="49" t="str">
        <f>MID(VLOOKUP($A78,Seqs!$A:$B,2,FALSE),VLOOKUP($A78,'SegEnds_NonXtal_Prot#'!A:AL,10,FALSE)+7,1)</f>
        <v>T</v>
      </c>
      <c r="Y78" s="49" t="str">
        <f>MID(VLOOKUP($A78,Seqs!$A:$B,2,FALSE),VLOOKUP($A78,'SegEnds_NonXtal_Prot#'!A:AL,10,FALSE)+8,1)</f>
        <v>G</v>
      </c>
      <c r="Z78" s="49" t="str">
        <f>MID(VLOOKUP($A78,Seqs!$A:$B,2,FALSE),VLOOKUP($A78,'SegEnds_NonXtal_Prot#'!A:AL,10,FALSE)+9,1)</f>
        <v>I</v>
      </c>
      <c r="AA78" s="49" t="str">
        <f>MID(VLOOKUP($A78,Seqs!$A:$B,2,FALSE),VLOOKUP($A78,'SegEnds_NonXtal_Prot#'!A:AL,10,FALSE)+10,1)</f>
        <v>L</v>
      </c>
      <c r="AB78" s="28" t="str">
        <f>MID(VLOOKUP($A78,Seqs!$A:$B,2,FALSE),VLOOKUP($A78,'SegEnds_NonXtal_Prot#'!$A:$AL,22,FALSE)+6,1)</f>
        <v>A</v>
      </c>
      <c r="AC78" s="49" t="str">
        <f>MID(VLOOKUP($A78,Seqs!$A:$B,2,FALSE),VLOOKUP($A78,'SegEnds_NonXtal_Prot#'!$A:$AL,22,FALSE)+7,1)</f>
        <v>G</v>
      </c>
      <c r="AD78" s="49" t="str">
        <f>MID(VLOOKUP($A78,Seqs!$A:$B,2,FALSE),VLOOKUP($A78,'SegEnds_NonXtal_Prot#'!$A:$AL,22,FALSE)+8,1)</f>
        <v>C</v>
      </c>
      <c r="AE78" s="49" t="str">
        <f>MID(VLOOKUP($A78,Seqs!$A:$B,2,FALSE),VLOOKUP($A78,'SegEnds_NonXtal_Prot#'!$A:$AL,22,FALSE)+9,1)</f>
        <v>F</v>
      </c>
      <c r="AF78" s="49" t="str">
        <f>MID(VLOOKUP($A78,Seqs!$A:$B,2,FALSE),VLOOKUP($A78,'SegEnds_NonXtal_Prot#'!$A:$AL,22,FALSE)+10,1)</f>
        <v>P</v>
      </c>
      <c r="AG78" s="28" t="str">
        <f>MID(VLOOKUP($A78,Seqs!$A:$B,2,FALSE),VLOOKUP($A78,'SegEnds_NonXtal_Prot#'!$A:$AL,28,FALSE)-4,1)</f>
        <v>L</v>
      </c>
      <c r="AH78" s="49" t="str">
        <f>MID(VLOOKUP($A78,Seqs!$A:$B,2,FALSE),VLOOKUP($A78,'SegEnds_NonXtal_Prot#'!$A:$AL,28,FALSE),1)</f>
        <v>A</v>
      </c>
    </row>
    <row r="79" spans="1:34" s="2" customFormat="1" x14ac:dyDescent="0.2">
      <c r="A79" s="2" t="s">
        <v>292</v>
      </c>
      <c r="B79" s="2" t="str">
        <f>LOWER(VLOOKUP(A79,Xtal_Templ!A:B,2,FALSE))</f>
        <v>pd2r2_human</v>
      </c>
      <c r="C79" s="2" t="str">
        <f>VLOOKUP(A79,Classification!A:D,2,FALSE)</f>
        <v>A</v>
      </c>
      <c r="D79" s="2" t="str">
        <f>IF(ISERROR(MATCH(A79,'SegEnds_Xtal_Prot#'!B:B, 0)), "NoXtal", "Xtal")</f>
        <v>NoXtal</v>
      </c>
      <c r="H79" s="4"/>
      <c r="N79" s="2" t="s">
        <v>14</v>
      </c>
      <c r="R79" s="2" t="s">
        <v>9</v>
      </c>
      <c r="T79" s="4" t="s">
        <v>12</v>
      </c>
      <c r="V79" s="28" t="str">
        <f>MID(VLOOKUP($A79,Seqs!$A:$B,2,FALSE),VLOOKUP($A79,'SegEnds_NonXtal_Prot#'!A:AL,10,FALSE),1)</f>
        <v>D</v>
      </c>
      <c r="W79" s="49" t="str">
        <f>MID(VLOOKUP($A79,Seqs!$A:$B,2,FALSE),VLOOKUP($A79,'SegEnds_NonXtal_Prot#'!A:AL,10,FALSE)+6,1)</f>
        <v>T</v>
      </c>
      <c r="X79" s="49" t="str">
        <f>MID(VLOOKUP($A79,Seqs!$A:$B,2,FALSE),VLOOKUP($A79,'SegEnds_NonXtal_Prot#'!A:AL,10,FALSE)+7,1)</f>
        <v>A</v>
      </c>
      <c r="Y79" s="49" t="str">
        <f>MID(VLOOKUP($A79,Seqs!$A:$B,2,FALSE),VLOOKUP($A79,'SegEnds_NonXtal_Prot#'!A:AL,10,FALSE)+8,1)</f>
        <v>P</v>
      </c>
      <c r="Z79" s="49" t="str">
        <f>MID(VLOOKUP($A79,Seqs!$A:$B,2,FALSE),VLOOKUP($A79,'SegEnds_NonXtal_Prot#'!A:AL,10,FALSE)+9,1)</f>
        <v>F</v>
      </c>
      <c r="AA79" s="49" t="str">
        <f>MID(VLOOKUP($A79,Seqs!$A:$B,2,FALSE),VLOOKUP($A79,'SegEnds_NonXtal_Prot#'!A:AL,10,FALSE)+10,1)</f>
        <v>F</v>
      </c>
      <c r="AB79" s="28" t="str">
        <f>MID(VLOOKUP($A79,Seqs!$A:$B,2,FALSE),VLOOKUP($A79,'SegEnds_NonXtal_Prot#'!$A:$AL,22,FALSE)+6,1)</f>
        <v>L</v>
      </c>
      <c r="AC79" s="49" t="str">
        <f>MID(VLOOKUP($A79,Seqs!$A:$B,2,FALSE),VLOOKUP($A79,'SegEnds_NonXtal_Prot#'!$A:$AL,22,FALSE)+7,1)</f>
        <v>A</v>
      </c>
      <c r="AD79" s="49" t="str">
        <f>MID(VLOOKUP($A79,Seqs!$A:$B,2,FALSE),VLOOKUP($A79,'SegEnds_NonXtal_Prot#'!$A:$AL,22,FALSE)+8,1)</f>
        <v>T</v>
      </c>
      <c r="AE79" s="49" t="str">
        <f>MID(VLOOKUP($A79,Seqs!$A:$B,2,FALSE),VLOOKUP($A79,'SegEnds_NonXtal_Prot#'!$A:$AL,22,FALSE)+9,1)</f>
        <v>P</v>
      </c>
      <c r="AF79" s="49" t="str">
        <f>MID(VLOOKUP($A79,Seqs!$A:$B,2,FALSE),VLOOKUP($A79,'SegEnds_NonXtal_Prot#'!$A:$AL,22,FALSE)+10,1)</f>
        <v>V</v>
      </c>
      <c r="AG79" s="28" t="str">
        <f>MID(VLOOKUP($A79,Seqs!$A:$B,2,FALSE),VLOOKUP($A79,'SegEnds_NonXtal_Prot#'!$A:$AL,28,FALSE)-4,1)</f>
        <v>G</v>
      </c>
      <c r="AH79" s="49" t="str">
        <f>MID(VLOOKUP($A79,Seqs!$A:$B,2,FALSE),VLOOKUP($A79,'SegEnds_NonXtal_Prot#'!$A:$AL,28,FALSE),1)</f>
        <v>P</v>
      </c>
    </row>
    <row r="80" spans="1:34" s="2" customFormat="1" x14ac:dyDescent="0.2">
      <c r="A80" s="2" t="s">
        <v>304</v>
      </c>
      <c r="B80" s="2" t="str">
        <f>LOWER(VLOOKUP(A80,Xtal_Templ!A:B,2,FALSE))</f>
        <v>pd2r2_human</v>
      </c>
      <c r="C80" s="2" t="str">
        <f>VLOOKUP(A80,Classification!A:D,2,FALSE)</f>
        <v>A</v>
      </c>
      <c r="D80" s="2" t="str">
        <f>IF(ISERROR(MATCH(A80,'SegEnds_Xtal_Prot#'!B:B, 0)), "NoXtal", "Xtal")</f>
        <v>NoXtal</v>
      </c>
      <c r="H80" s="4"/>
      <c r="T80" s="4" t="s">
        <v>12</v>
      </c>
      <c r="V80" s="28" t="str">
        <f>MID(VLOOKUP($A80,Seqs!$A:$B,2,FALSE),VLOOKUP($A80,'SegEnds_NonXtal_Prot#'!A:AL,10,FALSE),1)</f>
        <v>D</v>
      </c>
      <c r="W80" s="49" t="str">
        <f>MID(VLOOKUP($A80,Seqs!$A:$B,2,FALSE),VLOOKUP($A80,'SegEnds_NonXtal_Prot#'!A:AL,10,FALSE)+6,1)</f>
        <v>C</v>
      </c>
      <c r="X80" s="49" t="str">
        <f>MID(VLOOKUP($A80,Seqs!$A:$B,2,FALSE),VLOOKUP($A80,'SegEnds_NonXtal_Prot#'!A:AL,10,FALSE)+7,1)</f>
        <v>R</v>
      </c>
      <c r="Y80" s="49" t="str">
        <f>MID(VLOOKUP($A80,Seqs!$A:$B,2,FALSE),VLOOKUP($A80,'SegEnds_NonXtal_Prot#'!A:AL,10,FALSE)+8,1)</f>
        <v>V</v>
      </c>
      <c r="Z80" s="49" t="str">
        <f>MID(VLOOKUP($A80,Seqs!$A:$B,2,FALSE),VLOOKUP($A80,'SegEnds_NonXtal_Prot#'!A:AL,10,FALSE)+9,1)</f>
        <v>G</v>
      </c>
      <c r="AA80" s="49" t="str">
        <f>MID(VLOOKUP($A80,Seqs!$A:$B,2,FALSE),VLOOKUP($A80,'SegEnds_NonXtal_Prot#'!A:AL,10,FALSE)+10,1)</f>
        <v>F</v>
      </c>
      <c r="AB80" s="28" t="str">
        <f>MID(VLOOKUP($A80,Seqs!$A:$B,2,FALSE),VLOOKUP($A80,'SegEnds_NonXtal_Prot#'!$A:$AL,22,FALSE)+6,1)</f>
        <v>A</v>
      </c>
      <c r="AC80" s="49" t="str">
        <f>MID(VLOOKUP($A80,Seqs!$A:$B,2,FALSE),VLOOKUP($A80,'SegEnds_NonXtal_Prot#'!$A:$AL,22,FALSE)+7,1)</f>
        <v>V</v>
      </c>
      <c r="AD80" s="49" t="str">
        <f>MID(VLOOKUP($A80,Seqs!$A:$B,2,FALSE),VLOOKUP($A80,'SegEnds_NonXtal_Prot#'!$A:$AL,22,FALSE)+8,1)</f>
        <v>P</v>
      </c>
      <c r="AE80" s="49" t="str">
        <f>MID(VLOOKUP($A80,Seqs!$A:$B,2,FALSE),VLOOKUP($A80,'SegEnds_NonXtal_Prot#'!$A:$AL,22,FALSE)+9,1)</f>
        <v>L</v>
      </c>
      <c r="AF80" s="49" t="str">
        <f>MID(VLOOKUP($A80,Seqs!$A:$B,2,FALSE),VLOOKUP($A80,'SegEnds_NonXtal_Prot#'!$A:$AL,22,FALSE)+10,1)</f>
        <v>P</v>
      </c>
      <c r="AG80" s="28" t="str">
        <f>MID(VLOOKUP($A80,Seqs!$A:$B,2,FALSE),VLOOKUP($A80,'SegEnds_NonXtal_Prot#'!$A:$AL,28,FALSE)-4,1)</f>
        <v>L</v>
      </c>
      <c r="AH80" s="49" t="str">
        <f>MID(VLOOKUP($A80,Seqs!$A:$B,2,FALSE),VLOOKUP($A80,'SegEnds_NonXtal_Prot#'!$A:$AL,28,FALSE),1)</f>
        <v>R</v>
      </c>
    </row>
    <row r="81" spans="1:34" s="2" customFormat="1" x14ac:dyDescent="0.2">
      <c r="A81" s="2" t="s">
        <v>306</v>
      </c>
      <c r="B81" s="2" t="str">
        <f>LOWER(VLOOKUP(A81,Xtal_Templ!A:B,2,FALSE))</f>
        <v>c5ar1_human</v>
      </c>
      <c r="C81" s="2" t="str">
        <f>VLOOKUP(A81,Classification!A:D,2,FALSE)</f>
        <v>A</v>
      </c>
      <c r="D81" s="2" t="str">
        <f>IF(ISERROR(MATCH(A81,'SegEnds_Xtal_Prot#'!B:B, 0)), "NoXtal", "Xtal")</f>
        <v>NoXtal</v>
      </c>
      <c r="H81" s="4"/>
      <c r="T81" s="4" t="s">
        <v>12</v>
      </c>
      <c r="V81" s="28" t="str">
        <f>MID(VLOOKUP($A81,Seqs!$A:$B,2,FALSE),VLOOKUP($A81,'SegEnds_NonXtal_Prot#'!A:AL,10,FALSE),1)</f>
        <v>D</v>
      </c>
      <c r="W81" s="49" t="str">
        <f>MID(VLOOKUP($A81,Seqs!$A:$B,2,FALSE),VLOOKUP($A81,'SegEnds_NonXtal_Prot#'!A:AL,10,FALSE)+6,1)</f>
        <v>F</v>
      </c>
      <c r="X81" s="49" t="str">
        <f>MID(VLOOKUP($A81,Seqs!$A:$B,2,FALSE),VLOOKUP($A81,'SegEnds_NonXtal_Prot#'!A:AL,10,FALSE)+7,1)</f>
        <v>Q</v>
      </c>
      <c r="Y81" s="49" t="str">
        <f>MID(VLOOKUP($A81,Seqs!$A:$B,2,FALSE),VLOOKUP($A81,'SegEnds_NonXtal_Prot#'!A:AL,10,FALSE)+8,1)</f>
        <v>I</v>
      </c>
      <c r="Z81" s="49" t="str">
        <f>MID(VLOOKUP($A81,Seqs!$A:$B,2,FALSE),VLOOKUP($A81,'SegEnds_NonXtal_Prot#'!A:AL,10,FALSE)+9,1)</f>
        <v>I</v>
      </c>
      <c r="AA81" s="49" t="str">
        <f>MID(VLOOKUP($A81,Seqs!$A:$B,2,FALSE),VLOOKUP($A81,'SegEnds_NonXtal_Prot#'!A:AL,10,FALSE)+10,1)</f>
        <v>N</v>
      </c>
      <c r="AB81" s="28" t="str">
        <f>MID(VLOOKUP($A81,Seqs!$A:$B,2,FALSE),VLOOKUP($A81,'SegEnds_NonXtal_Prot#'!$A:$AL,22,FALSE)+6,1)</f>
        <v>L</v>
      </c>
      <c r="AC81" s="49" t="str">
        <f>MID(VLOOKUP($A81,Seqs!$A:$B,2,FALSE),VLOOKUP($A81,'SegEnds_NonXtal_Prot#'!$A:$AL,22,FALSE)+7,1)</f>
        <v>S</v>
      </c>
      <c r="AD81" s="49" t="str">
        <f>MID(VLOOKUP($A81,Seqs!$A:$B,2,FALSE),VLOOKUP($A81,'SegEnds_NonXtal_Prot#'!$A:$AL,22,FALSE)+8,1)</f>
        <v>I</v>
      </c>
      <c r="AE81" s="49" t="str">
        <f>MID(VLOOKUP($A81,Seqs!$A:$B,2,FALSE),VLOOKUP($A81,'SegEnds_NonXtal_Prot#'!$A:$AL,22,FALSE)+9,1)</f>
        <v>L</v>
      </c>
      <c r="AF81" s="49" t="str">
        <f>MID(VLOOKUP($A81,Seqs!$A:$B,2,FALSE),VLOOKUP($A81,'SegEnds_NonXtal_Prot#'!$A:$AL,22,FALSE)+10,1)</f>
        <v>E</v>
      </c>
      <c r="AG81" s="28" t="str">
        <f>MID(VLOOKUP($A81,Seqs!$A:$B,2,FALSE),VLOOKUP($A81,'SegEnds_NonXtal_Prot#'!$A:$AL,28,FALSE)-4,1)</f>
        <v>I</v>
      </c>
      <c r="AH81" s="49" t="str">
        <f>MID(VLOOKUP($A81,Seqs!$A:$B,2,FALSE),VLOOKUP($A81,'SegEnds_NonXtal_Prot#'!$A:$AL,28,FALSE),1)</f>
        <v>M</v>
      </c>
    </row>
    <row r="82" spans="1:34" s="2" customFormat="1" x14ac:dyDescent="0.2">
      <c r="A82" s="2" t="s">
        <v>331</v>
      </c>
      <c r="B82" s="2" t="str">
        <f>LOWER(VLOOKUP(A82,Xtal_Templ!A:B,2,FALSE))</f>
        <v>agtr2_human</v>
      </c>
      <c r="C82" s="2" t="str">
        <f>VLOOKUP(A82,Classification!A:D,2,FALSE)</f>
        <v>A</v>
      </c>
      <c r="D82" s="2" t="str">
        <f>IF(ISERROR(MATCH(A82,'SegEnds_Xtal_Prot#'!B:B, 0)), "NoXtal", "Xtal")</f>
        <v>NoXtal</v>
      </c>
      <c r="H82" s="4"/>
      <c r="R82" s="2" t="s">
        <v>9</v>
      </c>
      <c r="S82" s="106"/>
      <c r="T82" s="4" t="s">
        <v>12</v>
      </c>
      <c r="V82" s="28" t="str">
        <f>MID(VLOOKUP($A82,Seqs!$A:$B,2,FALSE),VLOOKUP($A82,'SegEnds_NonXtal_Prot#'!A:AL,10,FALSE),1)</f>
        <v>D</v>
      </c>
      <c r="W82" s="49" t="str">
        <f>MID(VLOOKUP($A82,Seqs!$A:$B,2,FALSE),VLOOKUP($A82,'SegEnds_NonXtal_Prot#'!A:AL,10,FALSE)+6,1)</f>
        <v>S</v>
      </c>
      <c r="X82" s="49" t="str">
        <f>MID(VLOOKUP($A82,Seqs!$A:$B,2,FALSE),VLOOKUP($A82,'SegEnds_NonXtal_Prot#'!A:AL,10,FALSE)+7,1)</f>
        <v>L</v>
      </c>
      <c r="Y82" s="49" t="str">
        <f>MID(VLOOKUP($A82,Seqs!$A:$B,2,FALSE),VLOOKUP($A82,'SegEnds_NonXtal_Prot#'!A:AL,10,FALSE)+8,1)</f>
        <v>P</v>
      </c>
      <c r="Z82" s="49" t="str">
        <f>MID(VLOOKUP($A82,Seqs!$A:$B,2,FALSE),VLOOKUP($A82,'SegEnds_NonXtal_Prot#'!A:AL,10,FALSE)+9,1)</f>
        <v>F</v>
      </c>
      <c r="AA82" s="49" t="str">
        <f>MID(VLOOKUP($A82,Seqs!$A:$B,2,FALSE),VLOOKUP($A82,'SegEnds_NonXtal_Prot#'!A:AL,10,FALSE)+10,1)</f>
        <v>W</v>
      </c>
      <c r="AB82" s="28" t="str">
        <f>MID(VLOOKUP($A82,Seqs!$A:$B,2,FALSE),VLOOKUP($A82,'SegEnds_NonXtal_Prot#'!$A:$AL,22,FALSE)+6,1)</f>
        <v>T</v>
      </c>
      <c r="AC82" s="49" t="str">
        <f>MID(VLOOKUP($A82,Seqs!$A:$B,2,FALSE),VLOOKUP($A82,'SegEnds_NonXtal_Prot#'!$A:$AL,22,FALSE)+7,1)</f>
        <v>S</v>
      </c>
      <c r="AD82" s="49" t="str">
        <f>MID(VLOOKUP($A82,Seqs!$A:$B,2,FALSE),VLOOKUP($A82,'SegEnds_NonXtal_Prot#'!$A:$AL,22,FALSE)+8,1)</f>
        <v>I</v>
      </c>
      <c r="AE82" s="49" t="str">
        <f>MID(VLOOKUP($A82,Seqs!$A:$B,2,FALSE),VLOOKUP($A82,'SegEnds_NonXtal_Prot#'!$A:$AL,22,FALSE)+9,1)</f>
        <v>Y</v>
      </c>
      <c r="AF82" s="49" t="str">
        <f>MID(VLOOKUP($A82,Seqs!$A:$B,2,FALSE),VLOOKUP($A82,'SegEnds_NonXtal_Prot#'!$A:$AL,22,FALSE)+10,1)</f>
        <v>F</v>
      </c>
      <c r="AG82" s="28" t="str">
        <f>MID(VLOOKUP($A82,Seqs!$A:$B,2,FALSE),VLOOKUP($A82,'SegEnds_NonXtal_Prot#'!$A:$AL,28,FALSE)-4,1)</f>
        <v>G</v>
      </c>
      <c r="AH82" s="49" t="str">
        <f>MID(VLOOKUP($A82,Seqs!$A:$B,2,FALSE),VLOOKUP($A82,'SegEnds_NonXtal_Prot#'!$A:$AL,28,FALSE),1)</f>
        <v>P</v>
      </c>
    </row>
    <row r="83" spans="1:34" s="2" customFormat="1" x14ac:dyDescent="0.2">
      <c r="A83" s="2" t="s">
        <v>373</v>
      </c>
      <c r="B83" s="2" t="str">
        <f>LOWER(VLOOKUP(A83,Xtal_Templ!A:B,2,FALSE))</f>
        <v>agtr1_human</v>
      </c>
      <c r="C83" s="2" t="str">
        <f>VLOOKUP(A83,Classification!A:D,2,FALSE)</f>
        <v>A</v>
      </c>
      <c r="D83" s="2" t="str">
        <f>IF(ISERROR(MATCH(A83,'SegEnds_Xtal_Prot#'!B:B, 0)), "NoXtal", "Xtal")</f>
        <v>NoXtal</v>
      </c>
      <c r="H83" s="4"/>
      <c r="N83" s="2" t="s">
        <v>14</v>
      </c>
      <c r="R83" s="2" t="s">
        <v>9</v>
      </c>
      <c r="T83" s="4" t="s">
        <v>12</v>
      </c>
      <c r="V83" s="28" t="str">
        <f>MID(VLOOKUP($A83,Seqs!$A:$B,2,FALSE),VLOOKUP($A83,'SegEnds_NonXtal_Prot#'!A:AL,10,FALSE),1)</f>
        <v>D</v>
      </c>
      <c r="W83" s="49" t="str">
        <f>MID(VLOOKUP($A83,Seqs!$A:$B,2,FALSE),VLOOKUP($A83,'SegEnds_NonXtal_Prot#'!A:AL,10,FALSE)+6,1)</f>
        <v>T</v>
      </c>
      <c r="X83" s="49" t="str">
        <f>MID(VLOOKUP($A83,Seqs!$A:$B,2,FALSE),VLOOKUP($A83,'SegEnds_NonXtal_Prot#'!A:AL,10,FALSE)+7,1)</f>
        <v>L</v>
      </c>
      <c r="Y83" s="49" t="str">
        <f>MID(VLOOKUP($A83,Seqs!$A:$B,2,FALSE),VLOOKUP($A83,'SegEnds_NonXtal_Prot#'!A:AL,10,FALSE)+8,1)</f>
        <v>P</v>
      </c>
      <c r="Z83" s="49" t="str">
        <f>MID(VLOOKUP($A83,Seqs!$A:$B,2,FALSE),VLOOKUP($A83,'SegEnds_NonXtal_Prot#'!A:AL,10,FALSE)+9,1)</f>
        <v>F</v>
      </c>
      <c r="AA83" s="49" t="str">
        <f>MID(VLOOKUP($A83,Seqs!$A:$B,2,FALSE),VLOOKUP($A83,'SegEnds_NonXtal_Prot#'!A:AL,10,FALSE)+10,1)</f>
        <v>W</v>
      </c>
      <c r="AB83" s="28" t="str">
        <f>MID(VLOOKUP($A83,Seqs!$A:$B,2,FALSE),VLOOKUP($A83,'SegEnds_NonXtal_Prot#'!$A:$AL,22,FALSE)+6,1)</f>
        <v>A</v>
      </c>
      <c r="AC83" s="49" t="str">
        <f>MID(VLOOKUP($A83,Seqs!$A:$B,2,FALSE),VLOOKUP($A83,'SegEnds_NonXtal_Prot#'!$A:$AL,22,FALSE)+7,1)</f>
        <v>S</v>
      </c>
      <c r="AD83" s="49" t="str">
        <f>MID(VLOOKUP($A83,Seqs!$A:$B,2,FALSE),VLOOKUP($A83,'SegEnds_NonXtal_Prot#'!$A:$AL,22,FALSE)+8,1)</f>
        <v>L</v>
      </c>
      <c r="AE83" s="49" t="str">
        <f>MID(VLOOKUP($A83,Seqs!$A:$B,2,FALSE),VLOOKUP($A83,'SegEnds_NonXtal_Prot#'!$A:$AL,22,FALSE)+9,1)</f>
        <v>P</v>
      </c>
      <c r="AF83" s="49" t="str">
        <f>MID(VLOOKUP($A83,Seqs!$A:$B,2,FALSE),VLOOKUP($A83,'SegEnds_NonXtal_Prot#'!$A:$AL,22,FALSE)+10,1)</f>
        <v>S</v>
      </c>
      <c r="AG83" s="28" t="str">
        <f>MID(VLOOKUP($A83,Seqs!$A:$B,2,FALSE),VLOOKUP($A83,'SegEnds_NonXtal_Prot#'!$A:$AL,28,FALSE)-4,1)</f>
        <v>G</v>
      </c>
      <c r="AH83" s="49" t="str">
        <f>MID(VLOOKUP($A83,Seqs!$A:$B,2,FALSE),VLOOKUP($A83,'SegEnds_NonXtal_Prot#'!$A:$AL,28,FALSE),1)</f>
        <v>P</v>
      </c>
    </row>
    <row r="84" spans="1:34" s="2" customFormat="1" x14ac:dyDescent="0.2">
      <c r="A84" s="2" t="s">
        <v>374</v>
      </c>
      <c r="B84" s="2" t="str">
        <f>LOWER(VLOOKUP(A84,Xtal_Templ!A:B,2,FALSE))</f>
        <v>oprk_human</v>
      </c>
      <c r="C84" s="2" t="str">
        <f>VLOOKUP(A84,Classification!A:D,2,FALSE)</f>
        <v>A</v>
      </c>
      <c r="D84" s="2" t="str">
        <f>IF(ISERROR(MATCH(A84,'SegEnds_Xtal_Prot#'!B:B, 0)), "NoXtal", "Xtal")</f>
        <v>NoXtal</v>
      </c>
      <c r="H84" s="4"/>
      <c r="N84" s="2" t="s">
        <v>14</v>
      </c>
      <c r="R84" s="2" t="s">
        <v>9</v>
      </c>
      <c r="T84" s="4" t="s">
        <v>12</v>
      </c>
      <c r="V84" s="28" t="str">
        <f>MID(VLOOKUP($A84,Seqs!$A:$B,2,FALSE),VLOOKUP($A84,'SegEnds_NonXtal_Prot#'!A:AL,10,FALSE),1)</f>
        <v>D</v>
      </c>
      <c r="W84" s="49" t="str">
        <f>MID(VLOOKUP($A84,Seqs!$A:$B,2,FALSE),VLOOKUP($A84,'SegEnds_NonXtal_Prot#'!A:AL,10,FALSE)+6,1)</f>
        <v>T</v>
      </c>
      <c r="X84" s="49" t="str">
        <f>MID(VLOOKUP($A84,Seqs!$A:$B,2,FALSE),VLOOKUP($A84,'SegEnds_NonXtal_Prot#'!A:AL,10,FALSE)+7,1)</f>
        <v>L</v>
      </c>
      <c r="Y84" s="49" t="str">
        <f>MID(VLOOKUP($A84,Seqs!$A:$B,2,FALSE),VLOOKUP($A84,'SegEnds_NonXtal_Prot#'!A:AL,10,FALSE)+8,1)</f>
        <v>P</v>
      </c>
      <c r="Z84" s="49" t="str">
        <f>MID(VLOOKUP($A84,Seqs!$A:$B,2,FALSE),VLOOKUP($A84,'SegEnds_NonXtal_Prot#'!A:AL,10,FALSE)+9,1)</f>
        <v>F</v>
      </c>
      <c r="AA84" s="49" t="str">
        <f>MID(VLOOKUP($A84,Seqs!$A:$B,2,FALSE),VLOOKUP($A84,'SegEnds_NonXtal_Prot#'!A:AL,10,FALSE)+10,1)</f>
        <v>W</v>
      </c>
      <c r="AB84" s="28" t="str">
        <f>MID(VLOOKUP($A84,Seqs!$A:$B,2,FALSE),VLOOKUP($A84,'SegEnds_NonXtal_Prot#'!$A:$AL,22,FALSE)+6,1)</f>
        <v>V</v>
      </c>
      <c r="AC84" s="49" t="str">
        <f>MID(VLOOKUP($A84,Seqs!$A:$B,2,FALSE),VLOOKUP($A84,'SegEnds_NonXtal_Prot#'!$A:$AL,22,FALSE)+7,1)</f>
        <v>T</v>
      </c>
      <c r="AD84" s="49" t="str">
        <f>MID(VLOOKUP($A84,Seqs!$A:$B,2,FALSE),VLOOKUP($A84,'SegEnds_NonXtal_Prot#'!$A:$AL,22,FALSE)+8,1)</f>
        <v>V</v>
      </c>
      <c r="AE84" s="49" t="str">
        <f>MID(VLOOKUP($A84,Seqs!$A:$B,2,FALSE),VLOOKUP($A84,'SegEnds_NonXtal_Prot#'!$A:$AL,22,FALSE)+9,1)</f>
        <v>P</v>
      </c>
      <c r="AF84" s="49" t="str">
        <f>MID(VLOOKUP($A84,Seqs!$A:$B,2,FALSE),VLOOKUP($A84,'SegEnds_NonXtal_Prot#'!$A:$AL,22,FALSE)+10,1)</f>
        <v>T</v>
      </c>
      <c r="AG84" s="28" t="str">
        <f>MID(VLOOKUP($A84,Seqs!$A:$B,2,FALSE),VLOOKUP($A84,'SegEnds_NonXtal_Prot#'!$A:$AL,28,FALSE)-4,1)</f>
        <v>A</v>
      </c>
      <c r="AH84" s="49" t="str">
        <f>MID(VLOOKUP($A84,Seqs!$A:$B,2,FALSE),VLOOKUP($A84,'SegEnds_NonXtal_Prot#'!$A:$AL,28,FALSE),1)</f>
        <v>P</v>
      </c>
    </row>
    <row r="85" spans="1:34" s="2" customFormat="1" x14ac:dyDescent="0.2">
      <c r="A85" s="2" t="s">
        <v>170</v>
      </c>
      <c r="B85" s="2" t="str">
        <f>LOWER(VLOOKUP(A85,Xtal_Templ!A:B,2,FALSE))</f>
        <v>ccr2_human</v>
      </c>
      <c r="C85" s="2" t="str">
        <f>VLOOKUP(A85,Classification!A:D,2,FALSE)</f>
        <v>A</v>
      </c>
      <c r="D85" s="2" t="str">
        <f>IF(ISERROR(MATCH(A85,'SegEnds_Xtal_Prot#'!B:B, 0)), "NoXtal", "Xtal")</f>
        <v>Xtal</v>
      </c>
      <c r="H85" s="4"/>
      <c r="N85" s="2" t="s">
        <v>14</v>
      </c>
      <c r="R85" s="2" t="s">
        <v>9</v>
      </c>
      <c r="T85" s="4" t="s">
        <v>12</v>
      </c>
      <c r="V85" s="28" t="str">
        <f>MID(VLOOKUP($A85,Seqs!$A:$B,2,FALSE),VLOOKUP($A85,'SegEnds_NonXtal_Prot#'!A:AL,10,FALSE),1)</f>
        <v>D</v>
      </c>
      <c r="W85" s="49" t="str">
        <f>MID(VLOOKUP($A85,Seqs!$A:$B,2,FALSE),VLOOKUP($A85,'SegEnds_NonXtal_Prot#'!A:AL,10,FALSE)+6,1)</f>
        <v>T</v>
      </c>
      <c r="X85" s="49" t="str">
        <f>MID(VLOOKUP($A85,Seqs!$A:$B,2,FALSE),VLOOKUP($A85,'SegEnds_NonXtal_Prot#'!A:AL,10,FALSE)+7,1)</f>
        <v>L</v>
      </c>
      <c r="Y85" s="49" t="str">
        <f>MID(VLOOKUP($A85,Seqs!$A:$B,2,FALSE),VLOOKUP($A85,'SegEnds_NonXtal_Prot#'!A:AL,10,FALSE)+8,1)</f>
        <v>P</v>
      </c>
      <c r="Z85" s="49" t="str">
        <f>MID(VLOOKUP($A85,Seqs!$A:$B,2,FALSE),VLOOKUP($A85,'SegEnds_NonXtal_Prot#'!A:AL,10,FALSE)+9,1)</f>
        <v>L</v>
      </c>
      <c r="AA85" s="49" t="str">
        <f>MID(VLOOKUP($A85,Seqs!$A:$B,2,FALSE),VLOOKUP($A85,'SegEnds_NonXtal_Prot#'!A:AL,10,FALSE)+10,1)</f>
        <v>W</v>
      </c>
      <c r="AB85" s="28" t="str">
        <f>MID(VLOOKUP($A85,Seqs!$A:$B,2,FALSE),VLOOKUP($A85,'SegEnds_NonXtal_Prot#'!$A:$AL,22,FALSE)+6,1)</f>
        <v>A</v>
      </c>
      <c r="AC85" s="49" t="str">
        <f>MID(VLOOKUP($A85,Seqs!$A:$B,2,FALSE),VLOOKUP($A85,'SegEnds_NonXtal_Prot#'!$A:$AL,22,FALSE)+7,1)</f>
        <v>S</v>
      </c>
      <c r="AD85" s="49" t="str">
        <f>MID(VLOOKUP($A85,Seqs!$A:$B,2,FALSE),VLOOKUP($A85,'SegEnds_NonXtal_Prot#'!$A:$AL,22,FALSE)+8,1)</f>
        <v>V</v>
      </c>
      <c r="AE85" s="49" t="str">
        <f>MID(VLOOKUP($A85,Seqs!$A:$B,2,FALSE),VLOOKUP($A85,'SegEnds_NonXtal_Prot#'!$A:$AL,22,FALSE)+9,1)</f>
        <v>P</v>
      </c>
      <c r="AF85" s="49" t="str">
        <f>MID(VLOOKUP($A85,Seqs!$A:$B,2,FALSE),VLOOKUP($A85,'SegEnds_NonXtal_Prot#'!$A:$AL,22,FALSE)+10,1)</f>
        <v>G</v>
      </c>
      <c r="AG85" s="28" t="str">
        <f>MID(VLOOKUP($A85,Seqs!$A:$B,2,FALSE),VLOOKUP($A85,'SegEnds_NonXtal_Prot#'!$A:$AL,28,FALSE)-4,1)</f>
        <v>G</v>
      </c>
      <c r="AH85" s="49" t="str">
        <f>MID(VLOOKUP($A85,Seqs!$A:$B,2,FALSE),VLOOKUP($A85,'SegEnds_NonXtal_Prot#'!$A:$AL,28,FALSE),1)</f>
        <v>P</v>
      </c>
    </row>
    <row r="86" spans="1:34" s="2" customFormat="1" x14ac:dyDescent="0.2">
      <c r="A86" s="2" t="s">
        <v>142</v>
      </c>
      <c r="B86" s="2" t="str">
        <f>LOWER(VLOOKUP(A86,Xtal_Templ!A:B,2,FALSE))</f>
        <v>c5ar1_human</v>
      </c>
      <c r="C86" s="2" t="str">
        <f>VLOOKUP(A86,Classification!A:D,2,FALSE)</f>
        <v>A</v>
      </c>
      <c r="D86" s="2" t="str">
        <f>IF(ISERROR(MATCH(A86,'SegEnds_Xtal_Prot#'!B:B, 0)), "NoXtal", "Xtal")</f>
        <v>NoXtal</v>
      </c>
      <c r="H86" s="4"/>
      <c r="N86" s="2" t="s">
        <v>14</v>
      </c>
      <c r="T86" s="4" t="s">
        <v>12</v>
      </c>
      <c r="V86" s="28" t="str">
        <f>MID(VLOOKUP($A86,Seqs!$A:$B,2,FALSE),VLOOKUP($A86,'SegEnds_NonXtal_Prot#'!A:AL,10,FALSE),1)</f>
        <v>S</v>
      </c>
      <c r="W86" s="49" t="str">
        <f>MID(VLOOKUP($A86,Seqs!$A:$B,2,FALSE),VLOOKUP($A86,'SegEnds_NonXtal_Prot#'!A:AL,10,FALSE)+6,1)</f>
        <v>V</v>
      </c>
      <c r="X86" s="49" t="str">
        <f>MID(VLOOKUP($A86,Seqs!$A:$B,2,FALSE),VLOOKUP($A86,'SegEnds_NonXtal_Prot#'!A:AL,10,FALSE)+7,1)</f>
        <v>V</v>
      </c>
      <c r="Y86" s="49" t="str">
        <f>MID(VLOOKUP($A86,Seqs!$A:$B,2,FALSE),VLOOKUP($A86,'SegEnds_NonXtal_Prot#'!A:AL,10,FALSE)+8,1)</f>
        <v>P</v>
      </c>
      <c r="Z86" s="49" t="str">
        <f>MID(VLOOKUP($A86,Seqs!$A:$B,2,FALSE),VLOOKUP($A86,'SegEnds_NonXtal_Prot#'!A:AL,10,FALSE)+9,1)</f>
        <v>V</v>
      </c>
      <c r="AA86" s="49" t="str">
        <f>MID(VLOOKUP($A86,Seqs!$A:$B,2,FALSE),VLOOKUP($A86,'SegEnds_NonXtal_Prot#'!A:AL,10,FALSE)+10,1)</f>
        <v>L</v>
      </c>
      <c r="AB86" s="28" t="str">
        <f>MID(VLOOKUP($A86,Seqs!$A:$B,2,FALSE),VLOOKUP($A86,'SegEnds_NonXtal_Prot#'!$A:$AL,22,FALSE)+6,1)</f>
        <v>L</v>
      </c>
      <c r="AC86" s="49" t="str">
        <f>MID(VLOOKUP($A86,Seqs!$A:$B,2,FALSE),VLOOKUP($A86,'SegEnds_NonXtal_Prot#'!$A:$AL,22,FALSE)+7,1)</f>
        <v>T</v>
      </c>
      <c r="AD86" s="49" t="str">
        <f>MID(VLOOKUP($A86,Seqs!$A:$B,2,FALSE),VLOOKUP($A86,'SegEnds_NonXtal_Prot#'!$A:$AL,22,FALSE)+8,1)</f>
        <v>L</v>
      </c>
      <c r="AE86" s="49" t="str">
        <f>MID(VLOOKUP($A86,Seqs!$A:$B,2,FALSE),VLOOKUP($A86,'SegEnds_NonXtal_Prot#'!$A:$AL,22,FALSE)+9,1)</f>
        <v>P</v>
      </c>
      <c r="AF86" s="49" t="str">
        <f>MID(VLOOKUP($A86,Seqs!$A:$B,2,FALSE),VLOOKUP($A86,'SegEnds_NonXtal_Prot#'!$A:$AL,22,FALSE)+10,1)</f>
        <v>V</v>
      </c>
      <c r="AG86" s="28" t="str">
        <f>MID(VLOOKUP($A86,Seqs!$A:$B,2,FALSE),VLOOKUP($A86,'SegEnds_NonXtal_Prot#'!$A:$AL,28,FALSE)-4,1)</f>
        <v>C</v>
      </c>
      <c r="AH86" s="49" t="str">
        <f>MID(VLOOKUP($A86,Seqs!$A:$B,2,FALSE),VLOOKUP($A86,'SegEnds_NonXtal_Prot#'!$A:$AL,28,FALSE),1)</f>
        <v>F</v>
      </c>
    </row>
    <row r="87" spans="1:34" s="2" customFormat="1" x14ac:dyDescent="0.2">
      <c r="A87" s="2" t="s">
        <v>143</v>
      </c>
      <c r="B87" s="2" t="str">
        <f>LOWER(VLOOKUP(A87,Xtal_Templ!A:B,2,FALSE))</f>
        <v>ccr5_human</v>
      </c>
      <c r="C87" s="2" t="str">
        <f>VLOOKUP(A87,Classification!A:D,2,FALSE)</f>
        <v>A</v>
      </c>
      <c r="D87" s="2" t="str">
        <f>IF(ISERROR(MATCH(A87,'SegEnds_Xtal_Prot#'!B:B, 0)), "NoXtal", "Xtal")</f>
        <v>NoXtal</v>
      </c>
      <c r="H87" s="4"/>
      <c r="N87" s="2" t="s">
        <v>14</v>
      </c>
      <c r="R87" s="2" t="s">
        <v>9</v>
      </c>
      <c r="T87" s="4" t="s">
        <v>12</v>
      </c>
      <c r="V87" s="28" t="str">
        <f>MID(VLOOKUP($A87,Seqs!$A:$B,2,FALSE),VLOOKUP($A87,'SegEnds_NonXtal_Prot#'!A:AL,10,FALSE),1)</f>
        <v>N</v>
      </c>
      <c r="W87" s="49" t="str">
        <f>MID(VLOOKUP($A87,Seqs!$A:$B,2,FALSE),VLOOKUP($A87,'SegEnds_NonXtal_Prot#'!A:AL,10,FALSE)+6,1)</f>
        <v>T</v>
      </c>
      <c r="X87" s="49" t="str">
        <f>MID(VLOOKUP($A87,Seqs!$A:$B,2,FALSE),VLOOKUP($A87,'SegEnds_NonXtal_Prot#'!A:AL,10,FALSE)+7,1)</f>
        <v>L</v>
      </c>
      <c r="Y87" s="49" t="str">
        <f>MID(VLOOKUP($A87,Seqs!$A:$B,2,FALSE),VLOOKUP($A87,'SegEnds_NonXtal_Prot#'!A:AL,10,FALSE)+8,1)</f>
        <v>P</v>
      </c>
      <c r="Z87" s="49" t="str">
        <f>MID(VLOOKUP($A87,Seqs!$A:$B,2,FALSE),VLOOKUP($A87,'SegEnds_NonXtal_Prot#'!A:AL,10,FALSE)+9,1)</f>
        <v>F</v>
      </c>
      <c r="AA87" s="49" t="str">
        <f>MID(VLOOKUP($A87,Seqs!$A:$B,2,FALSE),VLOOKUP($A87,'SegEnds_NonXtal_Prot#'!A:AL,10,FALSE)+10,1)</f>
        <v>W</v>
      </c>
      <c r="AB87" s="28" t="str">
        <f>MID(VLOOKUP($A87,Seqs!$A:$B,2,FALSE),VLOOKUP($A87,'SegEnds_NonXtal_Prot#'!$A:$AL,22,FALSE)+6,1)</f>
        <v>V</v>
      </c>
      <c r="AC87" s="49" t="str">
        <f>MID(VLOOKUP($A87,Seqs!$A:$B,2,FALSE),VLOOKUP($A87,'SegEnds_NonXtal_Prot#'!$A:$AL,22,FALSE)+7,1)</f>
        <v>S</v>
      </c>
      <c r="AD87" s="49" t="str">
        <f>MID(VLOOKUP($A87,Seqs!$A:$B,2,FALSE),VLOOKUP($A87,'SegEnds_NonXtal_Prot#'!$A:$AL,22,FALSE)+8,1)</f>
        <v>I</v>
      </c>
      <c r="AE87" s="49" t="str">
        <f>MID(VLOOKUP($A87,Seqs!$A:$B,2,FALSE),VLOOKUP($A87,'SegEnds_NonXtal_Prot#'!$A:$AL,22,FALSE)+9,1)</f>
        <v>P</v>
      </c>
      <c r="AF87" s="49" t="str">
        <f>MID(VLOOKUP($A87,Seqs!$A:$B,2,FALSE),VLOOKUP($A87,'SegEnds_NonXtal_Prot#'!$A:$AL,22,FALSE)+10,1)</f>
        <v>D</v>
      </c>
      <c r="AG87" s="28" t="str">
        <f>MID(VLOOKUP($A87,Seqs!$A:$B,2,FALSE),VLOOKUP($A87,'SegEnds_NonXtal_Prot#'!$A:$AL,28,FALSE)-4,1)</f>
        <v>G</v>
      </c>
      <c r="AH87" s="49" t="str">
        <f>MID(VLOOKUP($A87,Seqs!$A:$B,2,FALSE),VLOOKUP($A87,'SegEnds_NonXtal_Prot#'!$A:$AL,28,FALSE),1)</f>
        <v>P</v>
      </c>
    </row>
    <row r="88" spans="1:34" s="2" customFormat="1" x14ac:dyDescent="0.2">
      <c r="A88" s="2" t="s">
        <v>145</v>
      </c>
      <c r="B88" s="2" t="str">
        <f>LOWER(VLOOKUP(A88,Xtal_Templ!A:B,2,FALSE))</f>
        <v>ccr9_human</v>
      </c>
      <c r="C88" s="2" t="str">
        <f>VLOOKUP(A88,Classification!A:D,2,FALSE)</f>
        <v>A</v>
      </c>
      <c r="D88" s="2" t="str">
        <f>IF(ISERROR(MATCH(A88,'SegEnds_Xtal_Prot#'!B:B, 0)), "NoXtal", "Xtal")</f>
        <v>NoXtal</v>
      </c>
      <c r="H88" s="4"/>
      <c r="N88" s="2" t="s">
        <v>14</v>
      </c>
      <c r="R88" s="2" t="s">
        <v>9</v>
      </c>
      <c r="T88" s="4" t="s">
        <v>12</v>
      </c>
      <c r="V88" s="28" t="str">
        <f>MID(VLOOKUP($A88,Seqs!$A:$B,2,FALSE),VLOOKUP($A88,'SegEnds_NonXtal_Prot#'!A:AL,10,FALSE),1)</f>
        <v>D</v>
      </c>
      <c r="W88" s="49" t="str">
        <f>MID(VLOOKUP($A88,Seqs!$A:$B,2,FALSE),VLOOKUP($A88,'SegEnds_NonXtal_Prot#'!A:AL,10,FALSE)+6,1)</f>
        <v>T</v>
      </c>
      <c r="X88" s="49" t="str">
        <f>MID(VLOOKUP($A88,Seqs!$A:$B,2,FALSE),VLOOKUP($A88,'SegEnds_NonXtal_Prot#'!A:AL,10,FALSE)+7,1)</f>
        <v>L</v>
      </c>
      <c r="Y88" s="49" t="str">
        <f>MID(VLOOKUP($A88,Seqs!$A:$B,2,FALSE),VLOOKUP($A88,'SegEnds_NonXtal_Prot#'!A:AL,10,FALSE)+8,1)</f>
        <v>P</v>
      </c>
      <c r="Z88" s="49" t="str">
        <f>MID(VLOOKUP($A88,Seqs!$A:$B,2,FALSE),VLOOKUP($A88,'SegEnds_NonXtal_Prot#'!A:AL,10,FALSE)+9,1)</f>
        <v>F</v>
      </c>
      <c r="AA88" s="49" t="str">
        <f>MID(VLOOKUP($A88,Seqs!$A:$B,2,FALSE),VLOOKUP($A88,'SegEnds_NonXtal_Prot#'!A:AL,10,FALSE)+10,1)</f>
        <v>W</v>
      </c>
      <c r="AB88" s="28" t="str">
        <f>MID(VLOOKUP($A88,Seqs!$A:$B,2,FALSE),VLOOKUP($A88,'SegEnds_NonXtal_Prot#'!$A:$AL,22,FALSE)+6,1)</f>
        <v>L</v>
      </c>
      <c r="AC88" s="49" t="str">
        <f>MID(VLOOKUP($A88,Seqs!$A:$B,2,FALSE),VLOOKUP($A88,'SegEnds_NonXtal_Prot#'!$A:$AL,22,FALSE)+7,1)</f>
        <v>S</v>
      </c>
      <c r="AD88" s="49" t="str">
        <f>MID(VLOOKUP($A88,Seqs!$A:$B,2,FALSE),VLOOKUP($A88,'SegEnds_NonXtal_Prot#'!$A:$AL,22,FALSE)+8,1)</f>
        <v>I</v>
      </c>
      <c r="AE88" s="49" t="str">
        <f>MID(VLOOKUP($A88,Seqs!$A:$B,2,FALSE),VLOOKUP($A88,'SegEnds_NonXtal_Prot#'!$A:$AL,22,FALSE)+9,1)</f>
        <v>P</v>
      </c>
      <c r="AF88" s="49" t="str">
        <f>MID(VLOOKUP($A88,Seqs!$A:$B,2,FALSE),VLOOKUP($A88,'SegEnds_NonXtal_Prot#'!$A:$AL,22,FALSE)+10,1)</f>
        <v>Q</v>
      </c>
      <c r="AG88" s="28" t="str">
        <f>MID(VLOOKUP($A88,Seqs!$A:$B,2,FALSE),VLOOKUP($A88,'SegEnds_NonXtal_Prot#'!$A:$AL,28,FALSE)-4,1)</f>
        <v>G</v>
      </c>
      <c r="AH88" s="49" t="str">
        <f>MID(VLOOKUP($A88,Seqs!$A:$B,2,FALSE),VLOOKUP($A88,'SegEnds_NonXtal_Prot#'!$A:$AL,28,FALSE),1)</f>
        <v>P</v>
      </c>
    </row>
    <row r="89" spans="1:34" s="2" customFormat="1" x14ac:dyDescent="0.2">
      <c r="A89" s="2" t="s">
        <v>168</v>
      </c>
      <c r="B89" s="2" t="str">
        <f>LOWER(VLOOKUP(A89,Xtal_Templ!A:B,2,FALSE))</f>
        <v>ccr5_human</v>
      </c>
      <c r="C89" s="2" t="str">
        <f>VLOOKUP(A89,Classification!A:D,2,FALSE)</f>
        <v>A</v>
      </c>
      <c r="D89" s="2" t="str">
        <f>IF(ISERROR(MATCH(A89,'SegEnds_Xtal_Prot#'!B:B, 0)), "NoXtal", "Xtal")</f>
        <v>NoXtal</v>
      </c>
      <c r="H89" s="4"/>
      <c r="N89" s="2" t="s">
        <v>14</v>
      </c>
      <c r="R89" s="2" t="s">
        <v>9</v>
      </c>
      <c r="T89" s="4" t="s">
        <v>12</v>
      </c>
      <c r="V89" s="28" t="str">
        <f>MID(VLOOKUP($A89,Seqs!$A:$B,2,FALSE),VLOOKUP($A89,'SegEnds_NonXtal_Prot#'!A:AL,10,FALSE),1)</f>
        <v>D</v>
      </c>
      <c r="W89" s="49" t="str">
        <f>MID(VLOOKUP($A89,Seqs!$A:$B,2,FALSE),VLOOKUP($A89,'SegEnds_NonXtal_Prot#'!A:AL,10,FALSE)+6,1)</f>
        <v>T</v>
      </c>
      <c r="X89" s="49" t="str">
        <f>MID(VLOOKUP($A89,Seqs!$A:$B,2,FALSE),VLOOKUP($A89,'SegEnds_NonXtal_Prot#'!A:AL,10,FALSE)+7,1)</f>
        <v>L</v>
      </c>
      <c r="Y89" s="49" t="str">
        <f>MID(VLOOKUP($A89,Seqs!$A:$B,2,FALSE),VLOOKUP($A89,'SegEnds_NonXtal_Prot#'!A:AL,10,FALSE)+8,1)</f>
        <v>P</v>
      </c>
      <c r="Z89" s="49" t="str">
        <f>MID(VLOOKUP($A89,Seqs!$A:$B,2,FALSE),VLOOKUP($A89,'SegEnds_NonXtal_Prot#'!A:AL,10,FALSE)+9,1)</f>
        <v>F</v>
      </c>
      <c r="AA89" s="49" t="str">
        <f>MID(VLOOKUP($A89,Seqs!$A:$B,2,FALSE),VLOOKUP($A89,'SegEnds_NonXtal_Prot#'!A:AL,10,FALSE)+10,1)</f>
        <v>W</v>
      </c>
      <c r="AB89" s="28" t="str">
        <f>MID(VLOOKUP($A89,Seqs!$A:$B,2,FALSE),VLOOKUP($A89,'SegEnds_NonXtal_Prot#'!$A:$AL,22,FALSE)+6,1)</f>
        <v>A</v>
      </c>
      <c r="AC89" s="49" t="str">
        <f>MID(VLOOKUP($A89,Seqs!$A:$B,2,FALSE),VLOOKUP($A89,'SegEnds_NonXtal_Prot#'!$A:$AL,22,FALSE)+7,1)</f>
        <v>S</v>
      </c>
      <c r="AD89" s="49" t="str">
        <f>MID(VLOOKUP($A89,Seqs!$A:$B,2,FALSE),VLOOKUP($A89,'SegEnds_NonXtal_Prot#'!$A:$AL,22,FALSE)+8,1)</f>
        <v>M</v>
      </c>
      <c r="AE89" s="49" t="str">
        <f>MID(VLOOKUP($A89,Seqs!$A:$B,2,FALSE),VLOOKUP($A89,'SegEnds_NonXtal_Prot#'!$A:$AL,22,FALSE)+9,1)</f>
        <v>P</v>
      </c>
      <c r="AF89" s="49" t="str">
        <f>MID(VLOOKUP($A89,Seqs!$A:$B,2,FALSE),VLOOKUP($A89,'SegEnds_NonXtal_Prot#'!$A:$AL,22,FALSE)+10,1)</f>
        <v>G</v>
      </c>
      <c r="AG89" s="28" t="str">
        <f>MID(VLOOKUP($A89,Seqs!$A:$B,2,FALSE),VLOOKUP($A89,'SegEnds_NonXtal_Prot#'!$A:$AL,28,FALSE)-4,1)</f>
        <v>G</v>
      </c>
      <c r="AH89" s="49" t="str">
        <f>MID(VLOOKUP($A89,Seqs!$A:$B,2,FALSE),VLOOKUP($A89,'SegEnds_NonXtal_Prot#'!$A:$AL,28,FALSE),1)</f>
        <v>P</v>
      </c>
    </row>
    <row r="90" spans="1:34" s="2" customFormat="1" x14ac:dyDescent="0.2">
      <c r="A90" s="2" t="s">
        <v>169</v>
      </c>
      <c r="B90" s="2" t="str">
        <f>LOWER(VLOOKUP(A90,Xtal_Templ!A:B,2,FALSE))</f>
        <v>ccr9_human</v>
      </c>
      <c r="C90" s="2" t="str">
        <f>VLOOKUP(A90,Classification!A:D,2,FALSE)</f>
        <v>A</v>
      </c>
      <c r="D90" s="2" t="str">
        <f>IF(ISERROR(MATCH(A90,'SegEnds_Xtal_Prot#'!B:B, 0)), "NoXtal", "Xtal")</f>
        <v>NoXtal</v>
      </c>
      <c r="H90" s="4"/>
      <c r="N90" s="2" t="s">
        <v>14</v>
      </c>
      <c r="R90" s="2" t="s">
        <v>9</v>
      </c>
      <c r="T90" s="4" t="s">
        <v>12</v>
      </c>
      <c r="V90" s="28" t="str">
        <f>MID(VLOOKUP($A90,Seqs!$A:$B,2,FALSE),VLOOKUP($A90,'SegEnds_NonXtal_Prot#'!A:AL,10,FALSE),1)</f>
        <v>D</v>
      </c>
      <c r="W90" s="49" t="str">
        <f>MID(VLOOKUP($A90,Seqs!$A:$B,2,FALSE),VLOOKUP($A90,'SegEnds_NonXtal_Prot#'!A:AL,10,FALSE)+6,1)</f>
        <v>T</v>
      </c>
      <c r="X90" s="49" t="str">
        <f>MID(VLOOKUP($A90,Seqs!$A:$B,2,FALSE),VLOOKUP($A90,'SegEnds_NonXtal_Prot#'!A:AL,10,FALSE)+7,1)</f>
        <v>L</v>
      </c>
      <c r="Y90" s="49" t="str">
        <f>MID(VLOOKUP($A90,Seqs!$A:$B,2,FALSE),VLOOKUP($A90,'SegEnds_NonXtal_Prot#'!A:AL,10,FALSE)+8,1)</f>
        <v>P</v>
      </c>
      <c r="Z90" s="49" t="str">
        <f>MID(VLOOKUP($A90,Seqs!$A:$B,2,FALSE),VLOOKUP($A90,'SegEnds_NonXtal_Prot#'!A:AL,10,FALSE)+9,1)</f>
        <v>F</v>
      </c>
      <c r="AA90" s="49" t="str">
        <f>MID(VLOOKUP($A90,Seqs!$A:$B,2,FALSE),VLOOKUP($A90,'SegEnds_NonXtal_Prot#'!A:AL,10,FALSE)+10,1)</f>
        <v>A</v>
      </c>
      <c r="AB90" s="28" t="str">
        <f>MID(VLOOKUP($A90,Seqs!$A:$B,2,FALSE),VLOOKUP($A90,'SegEnds_NonXtal_Prot#'!$A:$AL,22,FALSE)+6,1)</f>
        <v>L</v>
      </c>
      <c r="AC90" s="49" t="str">
        <f>MID(VLOOKUP($A90,Seqs!$A:$B,2,FALSE),VLOOKUP($A90,'SegEnds_NonXtal_Prot#'!$A:$AL,22,FALSE)+7,1)</f>
        <v>A</v>
      </c>
      <c r="AD90" s="49" t="str">
        <f>MID(VLOOKUP($A90,Seqs!$A:$B,2,FALSE),VLOOKUP($A90,'SegEnds_NonXtal_Prot#'!$A:$AL,22,FALSE)+8,1)</f>
        <v>L</v>
      </c>
      <c r="AE90" s="49" t="str">
        <f>MID(VLOOKUP($A90,Seqs!$A:$B,2,FALSE),VLOOKUP($A90,'SegEnds_NonXtal_Prot#'!$A:$AL,22,FALSE)+9,1)</f>
        <v>P</v>
      </c>
      <c r="AF90" s="49" t="str">
        <f>MID(VLOOKUP($A90,Seqs!$A:$B,2,FALSE),VLOOKUP($A90,'SegEnds_NonXtal_Prot#'!$A:$AL,22,FALSE)+10,1)</f>
        <v>A</v>
      </c>
      <c r="AG90" s="28" t="str">
        <f>MID(VLOOKUP($A90,Seqs!$A:$B,2,FALSE),VLOOKUP($A90,'SegEnds_NonXtal_Prot#'!$A:$AL,28,FALSE)-4,1)</f>
        <v>G</v>
      </c>
      <c r="AH90" s="49" t="str">
        <f>MID(VLOOKUP($A90,Seqs!$A:$B,2,FALSE),VLOOKUP($A90,'SegEnds_NonXtal_Prot#'!$A:$AL,28,FALSE),1)</f>
        <v>P</v>
      </c>
    </row>
    <row r="91" spans="1:34" s="2" customFormat="1" x14ac:dyDescent="0.2">
      <c r="A91" s="2" t="s">
        <v>171</v>
      </c>
      <c r="B91" s="2" t="str">
        <f>LOWER(VLOOKUP(A91,Xtal_Templ!A:B,2,FALSE))</f>
        <v>ccr5_human</v>
      </c>
      <c r="C91" s="2" t="str">
        <f>VLOOKUP(A91,Classification!A:D,2,FALSE)</f>
        <v>A</v>
      </c>
      <c r="D91" s="2" t="str">
        <f>IF(ISERROR(MATCH(A91,'SegEnds_Xtal_Prot#'!B:B, 0)), "NoXtal", "Xtal")</f>
        <v>NoXtal</v>
      </c>
      <c r="H91" s="4"/>
      <c r="N91" s="2" t="s">
        <v>14</v>
      </c>
      <c r="R91" s="2" t="s">
        <v>9</v>
      </c>
      <c r="T91" s="4" t="s">
        <v>12</v>
      </c>
      <c r="V91" s="28" t="str">
        <f>MID(VLOOKUP($A91,Seqs!$A:$B,2,FALSE),VLOOKUP($A91,'SegEnds_NonXtal_Prot#'!A:AL,10,FALSE),1)</f>
        <v>D</v>
      </c>
      <c r="W91" s="49" t="str">
        <f>MID(VLOOKUP($A91,Seqs!$A:$B,2,FALSE),VLOOKUP($A91,'SegEnds_NonXtal_Prot#'!A:AL,10,FALSE)+6,1)</f>
        <v>T</v>
      </c>
      <c r="X91" s="49" t="str">
        <f>MID(VLOOKUP($A91,Seqs!$A:$B,2,FALSE),VLOOKUP($A91,'SegEnds_NonXtal_Prot#'!A:AL,10,FALSE)+7,1)</f>
        <v>L</v>
      </c>
      <c r="Y91" s="49" t="str">
        <f>MID(VLOOKUP($A91,Seqs!$A:$B,2,FALSE),VLOOKUP($A91,'SegEnds_NonXtal_Prot#'!A:AL,10,FALSE)+8,1)</f>
        <v>P</v>
      </c>
      <c r="Z91" s="49" t="str">
        <f>MID(VLOOKUP($A91,Seqs!$A:$B,2,FALSE),VLOOKUP($A91,'SegEnds_NonXtal_Prot#'!A:AL,10,FALSE)+9,1)</f>
        <v>F</v>
      </c>
      <c r="AA91" s="49" t="str">
        <f>MID(VLOOKUP($A91,Seqs!$A:$B,2,FALSE),VLOOKUP($A91,'SegEnds_NonXtal_Prot#'!A:AL,10,FALSE)+10,1)</f>
        <v>W</v>
      </c>
      <c r="AB91" s="28" t="str">
        <f>MID(VLOOKUP($A91,Seqs!$A:$B,2,FALSE),VLOOKUP($A91,'SegEnds_NonXtal_Prot#'!$A:$AL,22,FALSE)+6,1)</f>
        <v>A</v>
      </c>
      <c r="AC91" s="49" t="str">
        <f>MID(VLOOKUP($A91,Seqs!$A:$B,2,FALSE),VLOOKUP($A91,'SegEnds_NonXtal_Prot#'!$A:$AL,22,FALSE)+7,1)</f>
        <v>A</v>
      </c>
      <c r="AD91" s="49" t="str">
        <f>MID(VLOOKUP($A91,Seqs!$A:$B,2,FALSE),VLOOKUP($A91,'SegEnds_NonXtal_Prot#'!$A:$AL,22,FALSE)+8,1)</f>
        <v>L</v>
      </c>
      <c r="AE91" s="49" t="str">
        <f>MID(VLOOKUP($A91,Seqs!$A:$B,2,FALSE),VLOOKUP($A91,'SegEnds_NonXtal_Prot#'!$A:$AL,22,FALSE)+9,1)</f>
        <v>P</v>
      </c>
      <c r="AF91" s="49" t="str">
        <f>MID(VLOOKUP($A91,Seqs!$A:$B,2,FALSE),VLOOKUP($A91,'SegEnds_NonXtal_Prot#'!$A:$AL,22,FALSE)+10,1)</f>
        <v>E</v>
      </c>
      <c r="AG91" s="28" t="str">
        <f>MID(VLOOKUP($A91,Seqs!$A:$B,2,FALSE),VLOOKUP($A91,'SegEnds_NonXtal_Prot#'!$A:$AL,28,FALSE)-4,1)</f>
        <v>C</v>
      </c>
      <c r="AH91" s="49" t="str">
        <f>MID(VLOOKUP($A91,Seqs!$A:$B,2,FALSE),VLOOKUP($A91,'SegEnds_NonXtal_Prot#'!$A:$AL,28,FALSE),1)</f>
        <v>P</v>
      </c>
    </row>
    <row r="92" spans="1:34" s="2" customFormat="1" x14ac:dyDescent="0.2">
      <c r="A92" s="2" t="s">
        <v>172</v>
      </c>
      <c r="B92" s="2" t="str">
        <f>LOWER(VLOOKUP(A92,Xtal_Templ!A:B,2,FALSE))</f>
        <v>ccr5_human</v>
      </c>
      <c r="C92" s="2" t="str">
        <f>VLOOKUP(A92,Classification!A:D,2,FALSE)</f>
        <v>A</v>
      </c>
      <c r="D92" s="2" t="str">
        <f>IF(ISERROR(MATCH(A92,'SegEnds_Xtal_Prot#'!B:B, 0)), "NoXtal", "Xtal")</f>
        <v>NoXtal</v>
      </c>
      <c r="H92" s="4"/>
      <c r="N92" s="2" t="s">
        <v>14</v>
      </c>
      <c r="R92" s="2" t="s">
        <v>9</v>
      </c>
      <c r="T92" s="4" t="s">
        <v>12</v>
      </c>
      <c r="V92" s="28" t="str">
        <f>MID(VLOOKUP($A92,Seqs!$A:$B,2,FALSE),VLOOKUP($A92,'SegEnds_NonXtal_Prot#'!A:AL,10,FALSE),1)</f>
        <v>D</v>
      </c>
      <c r="W92" s="49" t="str">
        <f>MID(VLOOKUP($A92,Seqs!$A:$B,2,FALSE),VLOOKUP($A92,'SegEnds_NonXtal_Prot#'!A:AL,10,FALSE)+6,1)</f>
        <v>S</v>
      </c>
      <c r="X92" s="49" t="str">
        <f>MID(VLOOKUP($A92,Seqs!$A:$B,2,FALSE),VLOOKUP($A92,'SegEnds_NonXtal_Prot#'!A:AL,10,FALSE)+7,1)</f>
        <v>L</v>
      </c>
      <c r="Y92" s="49" t="str">
        <f>MID(VLOOKUP($A92,Seqs!$A:$B,2,FALSE),VLOOKUP($A92,'SegEnds_NonXtal_Prot#'!A:AL,10,FALSE)+8,1)</f>
        <v>P</v>
      </c>
      <c r="Z92" s="49" t="str">
        <f>MID(VLOOKUP($A92,Seqs!$A:$B,2,FALSE),VLOOKUP($A92,'SegEnds_NonXtal_Prot#'!A:AL,10,FALSE)+9,1)</f>
        <v>F</v>
      </c>
      <c r="AA92" s="49" t="str">
        <f>MID(VLOOKUP($A92,Seqs!$A:$B,2,FALSE),VLOOKUP($A92,'SegEnds_NonXtal_Prot#'!A:AL,10,FALSE)+10,1)</f>
        <v>W</v>
      </c>
      <c r="AB92" s="28" t="str">
        <f>MID(VLOOKUP($A92,Seqs!$A:$B,2,FALSE),VLOOKUP($A92,'SegEnds_NonXtal_Prot#'!$A:$AL,22,FALSE)+6,1)</f>
        <v>A</v>
      </c>
      <c r="AC92" s="49" t="str">
        <f>MID(VLOOKUP($A92,Seqs!$A:$B,2,FALSE),VLOOKUP($A92,'SegEnds_NonXtal_Prot#'!$A:$AL,22,FALSE)+7,1)</f>
        <v>S</v>
      </c>
      <c r="AD92" s="49" t="str">
        <f>MID(VLOOKUP($A92,Seqs!$A:$B,2,FALSE),VLOOKUP($A92,'SegEnds_NonXtal_Prot#'!$A:$AL,22,FALSE)+8,1)</f>
        <v>L</v>
      </c>
      <c r="AE92" s="49" t="str">
        <f>MID(VLOOKUP($A92,Seqs!$A:$B,2,FALSE),VLOOKUP($A92,'SegEnds_NonXtal_Prot#'!$A:$AL,22,FALSE)+9,1)</f>
        <v>P</v>
      </c>
      <c r="AF92" s="49" t="str">
        <f>MID(VLOOKUP($A92,Seqs!$A:$B,2,FALSE),VLOOKUP($A92,'SegEnds_NonXtal_Prot#'!$A:$AL,22,FALSE)+10,1)</f>
        <v>G</v>
      </c>
      <c r="AG92" s="28" t="str">
        <f>MID(VLOOKUP($A92,Seqs!$A:$B,2,FALSE),VLOOKUP($A92,'SegEnds_NonXtal_Prot#'!$A:$AL,28,FALSE)-4,1)</f>
        <v>G</v>
      </c>
      <c r="AH92" s="49" t="str">
        <f>MID(VLOOKUP($A92,Seqs!$A:$B,2,FALSE),VLOOKUP($A92,'SegEnds_NonXtal_Prot#'!$A:$AL,28,FALSE),1)</f>
        <v>P</v>
      </c>
    </row>
    <row r="93" spans="1:34" s="2" customFormat="1" x14ac:dyDescent="0.2">
      <c r="A93" s="2" t="s">
        <v>173</v>
      </c>
      <c r="B93" s="2" t="str">
        <f>LOWER(VLOOKUP(A93,Xtal_Templ!A:B,2,FALSE))</f>
        <v>ccr5_human</v>
      </c>
      <c r="C93" s="2" t="str">
        <f>VLOOKUP(A93,Classification!A:D,2,FALSE)</f>
        <v>A</v>
      </c>
      <c r="D93" s="2" t="str">
        <f>IF(ISERROR(MATCH(A93,'SegEnds_Xtal_Prot#'!B:B, 0)), "NoXtal", "Xtal")</f>
        <v>Xtal</v>
      </c>
      <c r="H93" s="4"/>
      <c r="N93" s="2" t="s">
        <v>14</v>
      </c>
      <c r="R93" s="2" t="s">
        <v>9</v>
      </c>
      <c r="T93" s="4" t="s">
        <v>12</v>
      </c>
      <c r="V93" s="28" t="str">
        <f>MID(VLOOKUP($A93,Seqs!$A:$B,2,FALSE),VLOOKUP($A93,'SegEnds_NonXtal_Prot#'!A:AL,10,FALSE),1)</f>
        <v>D</v>
      </c>
      <c r="W93" s="49" t="str">
        <f>MID(VLOOKUP($A93,Seqs!$A:$B,2,FALSE),VLOOKUP($A93,'SegEnds_NonXtal_Prot#'!A:AL,10,FALSE)+6,1)</f>
        <v>T</v>
      </c>
      <c r="X93" s="49" t="str">
        <f>MID(VLOOKUP($A93,Seqs!$A:$B,2,FALSE),VLOOKUP($A93,'SegEnds_NonXtal_Prot#'!A:AL,10,FALSE)+7,1)</f>
        <v>V</v>
      </c>
      <c r="Y93" s="49" t="str">
        <f>MID(VLOOKUP($A93,Seqs!$A:$B,2,FALSE),VLOOKUP($A93,'SegEnds_NonXtal_Prot#'!A:AL,10,FALSE)+8,1)</f>
        <v>P</v>
      </c>
      <c r="Z93" s="49" t="str">
        <f>MID(VLOOKUP($A93,Seqs!$A:$B,2,FALSE),VLOOKUP($A93,'SegEnds_NonXtal_Prot#'!A:AL,10,FALSE)+9,1)</f>
        <v>F</v>
      </c>
      <c r="AA93" s="49" t="str">
        <f>MID(VLOOKUP($A93,Seqs!$A:$B,2,FALSE),VLOOKUP($A93,'SegEnds_NonXtal_Prot#'!A:AL,10,FALSE)+10,1)</f>
        <v>W</v>
      </c>
      <c r="AB93" s="28" t="str">
        <f>MID(VLOOKUP($A93,Seqs!$A:$B,2,FALSE),VLOOKUP($A93,'SegEnds_NonXtal_Prot#'!$A:$AL,22,FALSE)+6,1)</f>
        <v>A</v>
      </c>
      <c r="AC93" s="49" t="str">
        <f>MID(VLOOKUP($A93,Seqs!$A:$B,2,FALSE),VLOOKUP($A93,'SegEnds_NonXtal_Prot#'!$A:$AL,22,FALSE)+7,1)</f>
        <v>S</v>
      </c>
      <c r="AD93" s="49" t="str">
        <f>MID(VLOOKUP($A93,Seqs!$A:$B,2,FALSE),VLOOKUP($A93,'SegEnds_NonXtal_Prot#'!$A:$AL,22,FALSE)+8,1)</f>
        <v>L</v>
      </c>
      <c r="AE93" s="49" t="str">
        <f>MID(VLOOKUP($A93,Seqs!$A:$B,2,FALSE),VLOOKUP($A93,'SegEnds_NonXtal_Prot#'!$A:$AL,22,FALSE)+9,1)</f>
        <v>P</v>
      </c>
      <c r="AF93" s="49" t="str">
        <f>MID(VLOOKUP($A93,Seqs!$A:$B,2,FALSE),VLOOKUP($A93,'SegEnds_NonXtal_Prot#'!$A:$AL,22,FALSE)+10,1)</f>
        <v>G</v>
      </c>
      <c r="AG93" s="28" t="str">
        <f>MID(VLOOKUP($A93,Seqs!$A:$B,2,FALSE),VLOOKUP($A93,'SegEnds_NonXtal_Prot#'!$A:$AL,28,FALSE)-4,1)</f>
        <v>G</v>
      </c>
      <c r="AH93" s="49" t="str">
        <f>MID(VLOOKUP($A93,Seqs!$A:$B,2,FALSE),VLOOKUP($A93,'SegEnds_NonXtal_Prot#'!$A:$AL,28,FALSE),1)</f>
        <v>P</v>
      </c>
    </row>
    <row r="94" spans="1:34" s="2" customFormat="1" x14ac:dyDescent="0.2">
      <c r="A94" s="2" t="s">
        <v>174</v>
      </c>
      <c r="B94" s="2" t="str">
        <f>LOWER(VLOOKUP(A94,Xtal_Templ!A:B,2,FALSE))</f>
        <v>ccr9_human</v>
      </c>
      <c r="C94" s="2" t="str">
        <f>VLOOKUP(A94,Classification!A:D,2,FALSE)</f>
        <v>A</v>
      </c>
      <c r="D94" s="2" t="str">
        <f>IF(ISERROR(MATCH(A94,'SegEnds_Xtal_Prot#'!B:B, 0)), "NoXtal", "Xtal")</f>
        <v>NoXtal</v>
      </c>
      <c r="H94" s="4"/>
      <c r="R94" s="2" t="s">
        <v>9</v>
      </c>
      <c r="T94" s="4" t="s">
        <v>12</v>
      </c>
      <c r="V94" s="28" t="str">
        <f>MID(VLOOKUP($A94,Seqs!$A:$B,2,FALSE),VLOOKUP($A94,'SegEnds_NonXtal_Prot#'!A:AL,10,FALSE),1)</f>
        <v>D</v>
      </c>
      <c r="W94" s="49" t="str">
        <f>MID(VLOOKUP($A94,Seqs!$A:$B,2,FALSE),VLOOKUP($A94,'SegEnds_NonXtal_Prot#'!A:AL,10,FALSE)+6,1)</f>
        <v>T</v>
      </c>
      <c r="X94" s="49" t="str">
        <f>MID(VLOOKUP($A94,Seqs!$A:$B,2,FALSE),VLOOKUP($A94,'SegEnds_NonXtal_Prot#'!A:AL,10,FALSE)+7,1)</f>
        <v>L</v>
      </c>
      <c r="Y94" s="49" t="str">
        <f>MID(VLOOKUP($A94,Seqs!$A:$B,2,FALSE),VLOOKUP($A94,'SegEnds_NonXtal_Prot#'!A:AL,10,FALSE)+8,1)</f>
        <v>P</v>
      </c>
      <c r="Z94" s="49" t="str">
        <f>MID(VLOOKUP($A94,Seqs!$A:$B,2,FALSE),VLOOKUP($A94,'SegEnds_NonXtal_Prot#'!A:AL,10,FALSE)+9,1)</f>
        <v>F</v>
      </c>
      <c r="AA94" s="49" t="str">
        <f>MID(VLOOKUP($A94,Seqs!$A:$B,2,FALSE),VLOOKUP($A94,'SegEnds_NonXtal_Prot#'!A:AL,10,FALSE)+10,1)</f>
        <v>W</v>
      </c>
      <c r="AB94" s="28" t="str">
        <f>MID(VLOOKUP($A94,Seqs!$A:$B,2,FALSE),VLOOKUP($A94,'SegEnds_NonXtal_Prot#'!$A:$AL,22,FALSE)+6,1)</f>
        <v>I</v>
      </c>
      <c r="AC94" s="49" t="str">
        <f>MID(VLOOKUP($A94,Seqs!$A:$B,2,FALSE),VLOOKUP($A94,'SegEnds_NonXtal_Prot#'!$A:$AL,22,FALSE)+7,1)</f>
        <v>S</v>
      </c>
      <c r="AD94" s="49" t="str">
        <f>MID(VLOOKUP($A94,Seqs!$A:$B,2,FALSE),VLOOKUP($A94,'SegEnds_NonXtal_Prot#'!$A:$AL,22,FALSE)+8,1)</f>
        <v>S</v>
      </c>
      <c r="AE94" s="49" t="str">
        <f>MID(VLOOKUP($A94,Seqs!$A:$B,2,FALSE),VLOOKUP($A94,'SegEnds_NonXtal_Prot#'!$A:$AL,22,FALSE)+9,1)</f>
        <v>S</v>
      </c>
      <c r="AF94" s="49" t="str">
        <f>MID(VLOOKUP($A94,Seqs!$A:$B,2,FALSE),VLOOKUP($A94,'SegEnds_NonXtal_Prot#'!$A:$AL,22,FALSE)+10,1)</f>
        <v>T</v>
      </c>
      <c r="AG94" s="28" t="str">
        <f>MID(VLOOKUP($A94,Seqs!$A:$B,2,FALSE),VLOOKUP($A94,'SegEnds_NonXtal_Prot#'!$A:$AL,28,FALSE)-4,1)</f>
        <v>G</v>
      </c>
      <c r="AH94" s="49" t="str">
        <f>MID(VLOOKUP($A94,Seqs!$A:$B,2,FALSE),VLOOKUP($A94,'SegEnds_NonXtal_Prot#'!$A:$AL,28,FALSE),1)</f>
        <v>P</v>
      </c>
    </row>
    <row r="95" spans="1:34" s="2" customFormat="1" x14ac:dyDescent="0.2">
      <c r="A95" s="2" t="s">
        <v>175</v>
      </c>
      <c r="B95" s="2" t="str">
        <f>LOWER(VLOOKUP(A95,Xtal_Templ!A:B,2,FALSE))</f>
        <v>ccr9_human</v>
      </c>
      <c r="C95" s="2" t="str">
        <f>VLOOKUP(A95,Classification!A:D,2,FALSE)</f>
        <v>A</v>
      </c>
      <c r="D95" s="2" t="str">
        <f>IF(ISERROR(MATCH(A95,'SegEnds_Xtal_Prot#'!B:B, 0)), "NoXtal", "Xtal")</f>
        <v>NoXtal</v>
      </c>
      <c r="H95" s="4"/>
      <c r="N95" s="2" t="s">
        <v>14</v>
      </c>
      <c r="R95" s="2" t="s">
        <v>9</v>
      </c>
      <c r="T95" s="4" t="s">
        <v>12</v>
      </c>
      <c r="V95" s="28" t="str">
        <f>MID(VLOOKUP($A95,Seqs!$A:$B,2,FALSE),VLOOKUP($A95,'SegEnds_NonXtal_Prot#'!A:AL,10,FALSE),1)</f>
        <v>D</v>
      </c>
      <c r="W95" s="49" t="str">
        <f>MID(VLOOKUP($A95,Seqs!$A:$B,2,FALSE),VLOOKUP($A95,'SegEnds_NonXtal_Prot#'!A:AL,10,FALSE)+6,1)</f>
        <v>T</v>
      </c>
      <c r="X95" s="49" t="str">
        <f>MID(VLOOKUP($A95,Seqs!$A:$B,2,FALSE),VLOOKUP($A95,'SegEnds_NonXtal_Prot#'!A:AL,10,FALSE)+7,1)</f>
        <v>L</v>
      </c>
      <c r="Y95" s="49" t="str">
        <f>MID(VLOOKUP($A95,Seqs!$A:$B,2,FALSE),VLOOKUP($A95,'SegEnds_NonXtal_Prot#'!A:AL,10,FALSE)+8,1)</f>
        <v>P</v>
      </c>
      <c r="Z95" s="49" t="str">
        <f>MID(VLOOKUP($A95,Seqs!$A:$B,2,FALSE),VLOOKUP($A95,'SegEnds_NonXtal_Prot#'!A:AL,10,FALSE)+9,1)</f>
        <v>F</v>
      </c>
      <c r="AA95" s="49" t="str">
        <f>MID(VLOOKUP($A95,Seqs!$A:$B,2,FALSE),VLOOKUP($A95,'SegEnds_NonXtal_Prot#'!A:AL,10,FALSE)+10,1)</f>
        <v>W</v>
      </c>
      <c r="AB95" s="28" t="str">
        <f>MID(VLOOKUP($A95,Seqs!$A:$B,2,FALSE),VLOOKUP($A95,'SegEnds_NonXtal_Prot#'!$A:$AL,22,FALSE)+6,1)</f>
        <v>L</v>
      </c>
      <c r="AC95" s="49" t="str">
        <f>MID(VLOOKUP($A95,Seqs!$A:$B,2,FALSE),VLOOKUP($A95,'SegEnds_NonXtal_Prot#'!$A:$AL,22,FALSE)+7,1)</f>
        <v>S</v>
      </c>
      <c r="AD95" s="49" t="str">
        <f>MID(VLOOKUP($A95,Seqs!$A:$B,2,FALSE),VLOOKUP($A95,'SegEnds_NonXtal_Prot#'!$A:$AL,22,FALSE)+8,1)</f>
        <v>I</v>
      </c>
      <c r="AE95" s="49" t="str">
        <f>MID(VLOOKUP($A95,Seqs!$A:$B,2,FALSE),VLOOKUP($A95,'SegEnds_NonXtal_Prot#'!$A:$AL,22,FALSE)+9,1)</f>
        <v>P</v>
      </c>
      <c r="AF95" s="49" t="str">
        <f>MID(VLOOKUP($A95,Seqs!$A:$B,2,FALSE),VLOOKUP($A95,'SegEnds_NonXtal_Prot#'!$A:$AL,22,FALSE)+10,1)</f>
        <v>E</v>
      </c>
      <c r="AG95" s="28" t="str">
        <f>MID(VLOOKUP($A95,Seqs!$A:$B,2,FALSE),VLOOKUP($A95,'SegEnds_NonXtal_Prot#'!$A:$AL,28,FALSE)-4,1)</f>
        <v>G</v>
      </c>
      <c r="AH95" s="49" t="str">
        <f>MID(VLOOKUP($A95,Seqs!$A:$B,2,FALSE),VLOOKUP($A95,'SegEnds_NonXtal_Prot#'!$A:$AL,28,FALSE),1)</f>
        <v>P</v>
      </c>
    </row>
    <row r="96" spans="1:34" s="2" customFormat="1" x14ac:dyDescent="0.2">
      <c r="A96" s="2" t="s">
        <v>176</v>
      </c>
      <c r="B96" s="2" t="str">
        <f>LOWER(VLOOKUP(A96,Xtal_Templ!A:B,2,FALSE))</f>
        <v>ccr5_human</v>
      </c>
      <c r="C96" s="2" t="str">
        <f>VLOOKUP(A96,Classification!A:D,2,FALSE)</f>
        <v>A</v>
      </c>
      <c r="D96" s="2" t="str">
        <f>IF(ISERROR(MATCH(A96,'SegEnds_Xtal_Prot#'!B:B, 0)), "NoXtal", "Xtal")</f>
        <v>NoXtal</v>
      </c>
      <c r="H96" s="4"/>
      <c r="N96" s="2" t="s">
        <v>14</v>
      </c>
      <c r="R96" s="2" t="s">
        <v>9</v>
      </c>
      <c r="T96" s="4" t="s">
        <v>12</v>
      </c>
      <c r="V96" s="28" t="str">
        <f>MID(VLOOKUP($A96,Seqs!$A:$B,2,FALSE),VLOOKUP($A96,'SegEnds_NonXtal_Prot#'!A:AL,10,FALSE),1)</f>
        <v>D</v>
      </c>
      <c r="W96" s="49" t="str">
        <f>MID(VLOOKUP($A96,Seqs!$A:$B,2,FALSE),VLOOKUP($A96,'SegEnds_NonXtal_Prot#'!A:AL,10,FALSE)+6,1)</f>
        <v>S</v>
      </c>
      <c r="X96" s="49" t="str">
        <f>MID(VLOOKUP($A96,Seqs!$A:$B,2,FALSE),VLOOKUP($A96,'SegEnds_NonXtal_Prot#'!A:AL,10,FALSE)+7,1)</f>
        <v>F</v>
      </c>
      <c r="Y96" s="49" t="str">
        <f>MID(VLOOKUP($A96,Seqs!$A:$B,2,FALSE),VLOOKUP($A96,'SegEnds_NonXtal_Prot#'!A:AL,10,FALSE)+8,1)</f>
        <v>P</v>
      </c>
      <c r="Z96" s="49" t="str">
        <f>MID(VLOOKUP($A96,Seqs!$A:$B,2,FALSE),VLOOKUP($A96,'SegEnds_NonXtal_Prot#'!A:AL,10,FALSE)+9,1)</f>
        <v>F</v>
      </c>
      <c r="AA96" s="49" t="str">
        <f>MID(VLOOKUP($A96,Seqs!$A:$B,2,FALSE),VLOOKUP($A96,'SegEnds_NonXtal_Prot#'!A:AL,10,FALSE)+10,1)</f>
        <v>Q</v>
      </c>
      <c r="AB96" s="28" t="str">
        <f>MID(VLOOKUP($A96,Seqs!$A:$B,2,FALSE),VLOOKUP($A96,'SegEnds_NonXtal_Prot#'!$A:$AL,22,FALSE)+6,1)</f>
        <v>A</v>
      </c>
      <c r="AC96" s="49" t="str">
        <f>MID(VLOOKUP($A96,Seqs!$A:$B,2,FALSE),VLOOKUP($A96,'SegEnds_NonXtal_Prot#'!$A:$AL,22,FALSE)+7,1)</f>
        <v>T</v>
      </c>
      <c r="AD96" s="49" t="str">
        <f>MID(VLOOKUP($A96,Seqs!$A:$B,2,FALSE),VLOOKUP($A96,'SegEnds_NonXtal_Prot#'!$A:$AL,22,FALSE)+8,1)</f>
        <v>I</v>
      </c>
      <c r="AE96" s="49" t="str">
        <f>MID(VLOOKUP($A96,Seqs!$A:$B,2,FALSE),VLOOKUP($A96,'SegEnds_NonXtal_Prot#'!$A:$AL,22,FALSE)+9,1)</f>
        <v>P</v>
      </c>
      <c r="AF96" s="49" t="str">
        <f>MID(VLOOKUP($A96,Seqs!$A:$B,2,FALSE),VLOOKUP($A96,'SegEnds_NonXtal_Prot#'!$A:$AL,22,FALSE)+10,1)</f>
        <v>L</v>
      </c>
      <c r="AG96" s="28" t="str">
        <f>MID(VLOOKUP($A96,Seqs!$A:$B,2,FALSE),VLOOKUP($A96,'SegEnds_NonXtal_Prot#'!$A:$AL,28,FALSE)-4,1)</f>
        <v>G</v>
      </c>
      <c r="AH96" s="49" t="str">
        <f>MID(VLOOKUP($A96,Seqs!$A:$B,2,FALSE),VLOOKUP($A96,'SegEnds_NonXtal_Prot#'!$A:$AL,28,FALSE),1)</f>
        <v>P</v>
      </c>
    </row>
    <row r="97" spans="1:34" s="2" customFormat="1" x14ac:dyDescent="0.2">
      <c r="A97" s="2" t="s">
        <v>178</v>
      </c>
      <c r="B97" s="2" t="str">
        <f>LOWER(VLOOKUP(A97,Xtal_Templ!A:B,2,FALSE))</f>
        <v>ccr5_human</v>
      </c>
      <c r="C97" s="2" t="str">
        <f>VLOOKUP(A97,Classification!A:D,2,FALSE)</f>
        <v>A</v>
      </c>
      <c r="D97" s="2" t="str">
        <f>IF(ISERROR(MATCH(A97,'SegEnds_Xtal_Prot#'!B:B, 0)), "NoXtal", "Xtal")</f>
        <v>NoXtal</v>
      </c>
      <c r="H97" s="4"/>
      <c r="N97" s="2" t="s">
        <v>14</v>
      </c>
      <c r="R97" s="2" t="s">
        <v>9</v>
      </c>
      <c r="T97" s="4" t="s">
        <v>12</v>
      </c>
      <c r="V97" s="28" t="str">
        <f>MID(VLOOKUP($A97,Seqs!$A:$B,2,FALSE),VLOOKUP($A97,'SegEnds_NonXtal_Prot#'!A:AL,10,FALSE),1)</f>
        <v>N</v>
      </c>
      <c r="W97" s="49" t="str">
        <f>MID(VLOOKUP($A97,Seqs!$A:$B,2,FALSE),VLOOKUP($A97,'SegEnds_NonXtal_Prot#'!A:AL,10,FALSE)+6,1)</f>
        <v>T</v>
      </c>
      <c r="X97" s="49" t="str">
        <f>MID(VLOOKUP($A97,Seqs!$A:$B,2,FALSE),VLOOKUP($A97,'SegEnds_NonXtal_Prot#'!A:AL,10,FALSE)+7,1)</f>
        <v>L</v>
      </c>
      <c r="Y97" s="49" t="str">
        <f>MID(VLOOKUP($A97,Seqs!$A:$B,2,FALSE),VLOOKUP($A97,'SegEnds_NonXtal_Prot#'!A:AL,10,FALSE)+8,1)</f>
        <v>P</v>
      </c>
      <c r="Z97" s="49" t="str">
        <f>MID(VLOOKUP($A97,Seqs!$A:$B,2,FALSE),VLOOKUP($A97,'SegEnds_NonXtal_Prot#'!A:AL,10,FALSE)+9,1)</f>
        <v>F</v>
      </c>
      <c r="AA97" s="49" t="str">
        <f>MID(VLOOKUP($A97,Seqs!$A:$B,2,FALSE),VLOOKUP($A97,'SegEnds_NonXtal_Prot#'!A:AL,10,FALSE)+10,1)</f>
        <v>W</v>
      </c>
      <c r="AB97" s="28" t="str">
        <f>MID(VLOOKUP($A97,Seqs!$A:$B,2,FALSE),VLOOKUP($A97,'SegEnds_NonXtal_Prot#'!$A:$AL,22,FALSE)+6,1)</f>
        <v>A</v>
      </c>
      <c r="AC97" s="49" t="str">
        <f>MID(VLOOKUP($A97,Seqs!$A:$B,2,FALSE),VLOOKUP($A97,'SegEnds_NonXtal_Prot#'!$A:$AL,22,FALSE)+7,1)</f>
        <v>T</v>
      </c>
      <c r="AD97" s="49" t="str">
        <f>MID(VLOOKUP($A97,Seqs!$A:$B,2,FALSE),VLOOKUP($A97,'SegEnds_NonXtal_Prot#'!$A:$AL,22,FALSE)+8,1)</f>
        <v>L</v>
      </c>
      <c r="AE97" s="49" t="str">
        <f>MID(VLOOKUP($A97,Seqs!$A:$B,2,FALSE),VLOOKUP($A97,'SegEnds_NonXtal_Prot#'!$A:$AL,22,FALSE)+9,1)</f>
        <v>P</v>
      </c>
      <c r="AF97" s="49" t="str">
        <f>MID(VLOOKUP($A97,Seqs!$A:$B,2,FALSE),VLOOKUP($A97,'SegEnds_NonXtal_Prot#'!$A:$AL,22,FALSE)+10,1)</f>
        <v>E</v>
      </c>
      <c r="AG97" s="28" t="str">
        <f>MID(VLOOKUP($A97,Seqs!$A:$B,2,FALSE),VLOOKUP($A97,'SegEnds_NonXtal_Prot#'!$A:$AL,28,FALSE)-4,1)</f>
        <v>V</v>
      </c>
      <c r="AH97" s="49" t="str">
        <f>MID(VLOOKUP($A97,Seqs!$A:$B,2,FALSE),VLOOKUP($A97,'SegEnds_NonXtal_Prot#'!$A:$AL,28,FALSE),1)</f>
        <v>P</v>
      </c>
    </row>
    <row r="98" spans="1:34" s="2" customFormat="1" x14ac:dyDescent="0.2">
      <c r="A98" s="2" t="s">
        <v>184</v>
      </c>
      <c r="B98" s="2" t="str">
        <f>LOWER(VLOOKUP(A98,Xtal_Templ!A:B,2,FALSE))</f>
        <v>ccr5_human</v>
      </c>
      <c r="C98" s="2" t="str">
        <f>VLOOKUP(A98,Classification!A:D,2,FALSE)</f>
        <v>A</v>
      </c>
      <c r="D98" s="2" t="str">
        <f>IF(ISERROR(MATCH(A98,'SegEnds_Xtal_Prot#'!B:B, 0)), "NoXtal", "Xtal")</f>
        <v>NoXtal</v>
      </c>
      <c r="H98" s="4"/>
      <c r="N98" s="2" t="s">
        <v>14</v>
      </c>
      <c r="R98" s="2" t="s">
        <v>9</v>
      </c>
      <c r="T98" s="4" t="s">
        <v>12</v>
      </c>
      <c r="V98" s="28" t="str">
        <f>MID(VLOOKUP($A98,Seqs!$A:$B,2,FALSE),VLOOKUP($A98,'SegEnds_NonXtal_Prot#'!A:AL,10,FALSE),1)</f>
        <v>D</v>
      </c>
      <c r="W98" s="49" t="str">
        <f>MID(VLOOKUP($A98,Seqs!$A:$B,2,FALSE),VLOOKUP($A98,'SegEnds_NonXtal_Prot#'!A:AL,10,FALSE)+6,1)</f>
        <v>T</v>
      </c>
      <c r="X98" s="49" t="str">
        <f>MID(VLOOKUP($A98,Seqs!$A:$B,2,FALSE),VLOOKUP($A98,'SegEnds_NonXtal_Prot#'!A:AL,10,FALSE)+7,1)</f>
        <v>L</v>
      </c>
      <c r="Y98" s="49" t="str">
        <f>MID(VLOOKUP($A98,Seqs!$A:$B,2,FALSE),VLOOKUP($A98,'SegEnds_NonXtal_Prot#'!A:AL,10,FALSE)+8,1)</f>
        <v>P</v>
      </c>
      <c r="Z98" s="49" t="str">
        <f>MID(VLOOKUP($A98,Seqs!$A:$B,2,FALSE),VLOOKUP($A98,'SegEnds_NonXtal_Prot#'!A:AL,10,FALSE)+9,1)</f>
        <v>F</v>
      </c>
      <c r="AA98" s="49" t="str">
        <f>MID(VLOOKUP($A98,Seqs!$A:$B,2,FALSE),VLOOKUP($A98,'SegEnds_NonXtal_Prot#'!A:AL,10,FALSE)+10,1)</f>
        <v>W</v>
      </c>
      <c r="AB98" s="28" t="str">
        <f>MID(VLOOKUP($A98,Seqs!$A:$B,2,FALSE),VLOOKUP($A98,'SegEnds_NonXtal_Prot#'!$A:$AL,22,FALSE)+6,1)</f>
        <v>V</v>
      </c>
      <c r="AC98" s="49" t="str">
        <f>MID(VLOOKUP($A98,Seqs!$A:$B,2,FALSE),VLOOKUP($A98,'SegEnds_NonXtal_Prot#'!$A:$AL,22,FALSE)+7,1)</f>
        <v>A</v>
      </c>
      <c r="AD98" s="49" t="str">
        <f>MID(VLOOKUP($A98,Seqs!$A:$B,2,FALSE),VLOOKUP($A98,'SegEnds_NonXtal_Prot#'!$A:$AL,22,FALSE)+8,1)</f>
        <v>A</v>
      </c>
      <c r="AE98" s="49" t="str">
        <f>MID(VLOOKUP($A98,Seqs!$A:$B,2,FALSE),VLOOKUP($A98,'SegEnds_NonXtal_Prot#'!$A:$AL,22,FALSE)+9,1)</f>
        <v>P</v>
      </c>
      <c r="AF98" s="49" t="str">
        <f>MID(VLOOKUP($A98,Seqs!$A:$B,2,FALSE),VLOOKUP($A98,'SegEnds_NonXtal_Prot#'!$A:$AL,22,FALSE)+10,1)</f>
        <v>Q</v>
      </c>
      <c r="AG98" s="28" t="str">
        <f>MID(VLOOKUP($A98,Seqs!$A:$B,2,FALSE),VLOOKUP($A98,'SegEnds_NonXtal_Prot#'!$A:$AL,28,FALSE)-4,1)</f>
        <v>G</v>
      </c>
      <c r="AH98" s="49" t="str">
        <f>MID(VLOOKUP($A98,Seqs!$A:$B,2,FALSE),VLOOKUP($A98,'SegEnds_NonXtal_Prot#'!$A:$AL,28,FALSE),1)</f>
        <v>P</v>
      </c>
    </row>
    <row r="99" spans="1:34" s="2" customFormat="1" x14ac:dyDescent="0.2">
      <c r="A99" s="2" t="s">
        <v>185</v>
      </c>
      <c r="B99" s="2" t="str">
        <f>LOWER(VLOOKUP(A99,Xtal_Templ!A:B,2,FALSE))</f>
        <v>ccr2_human</v>
      </c>
      <c r="C99" s="2" t="str">
        <f>VLOOKUP(A99,Classification!A:D,2,FALSE)</f>
        <v>A</v>
      </c>
      <c r="D99" s="2" t="str">
        <f>IF(ISERROR(MATCH(A99,'SegEnds_Xtal_Prot#'!B:B, 0)), "NoXtal", "Xtal")</f>
        <v>NoXtal</v>
      </c>
      <c r="H99" s="4"/>
      <c r="N99" s="2" t="s">
        <v>14</v>
      </c>
      <c r="R99" s="2" t="s">
        <v>9</v>
      </c>
      <c r="T99" s="4" t="s">
        <v>12</v>
      </c>
      <c r="V99" s="28" t="str">
        <f>MID(VLOOKUP($A99,Seqs!$A:$B,2,FALSE),VLOOKUP($A99,'SegEnds_NonXtal_Prot#'!A:AL,10,FALSE),1)</f>
        <v>D</v>
      </c>
      <c r="W99" s="49" t="str">
        <f>MID(VLOOKUP($A99,Seqs!$A:$B,2,FALSE),VLOOKUP($A99,'SegEnds_NonXtal_Prot#'!A:AL,10,FALSE)+6,1)</f>
        <v>T</v>
      </c>
      <c r="X99" s="49" t="str">
        <f>MID(VLOOKUP($A99,Seqs!$A:$B,2,FALSE),VLOOKUP($A99,'SegEnds_NonXtal_Prot#'!A:AL,10,FALSE)+7,1)</f>
        <v>L</v>
      </c>
      <c r="Y99" s="49" t="str">
        <f>MID(VLOOKUP($A99,Seqs!$A:$B,2,FALSE),VLOOKUP($A99,'SegEnds_NonXtal_Prot#'!A:AL,10,FALSE)+8,1)</f>
        <v>P</v>
      </c>
      <c r="Z99" s="49" t="str">
        <f>MID(VLOOKUP($A99,Seqs!$A:$B,2,FALSE),VLOOKUP($A99,'SegEnds_NonXtal_Prot#'!A:AL,10,FALSE)+9,1)</f>
        <v>I</v>
      </c>
      <c r="AA99" s="49" t="str">
        <f>MID(VLOOKUP($A99,Seqs!$A:$B,2,FALSE),VLOOKUP($A99,'SegEnds_NonXtal_Prot#'!A:AL,10,FALSE)+10,1)</f>
        <v>W</v>
      </c>
      <c r="AB99" s="28" t="str">
        <f>MID(VLOOKUP($A99,Seqs!$A:$B,2,FALSE),VLOOKUP($A99,'SegEnds_NonXtal_Prot#'!$A:$AL,22,FALSE)+6,1)</f>
        <v>L</v>
      </c>
      <c r="AC99" s="49" t="str">
        <f>MID(VLOOKUP($A99,Seqs!$A:$B,2,FALSE),VLOOKUP($A99,'SegEnds_NonXtal_Prot#'!$A:$AL,22,FALSE)+7,1)</f>
        <v>S</v>
      </c>
      <c r="AD99" s="49" t="str">
        <f>MID(VLOOKUP($A99,Seqs!$A:$B,2,FALSE),VLOOKUP($A99,'SegEnds_NonXtal_Prot#'!$A:$AL,22,FALSE)+8,1)</f>
        <v>L</v>
      </c>
      <c r="AE99" s="49" t="str">
        <f>MID(VLOOKUP($A99,Seqs!$A:$B,2,FALSE),VLOOKUP($A99,'SegEnds_NonXtal_Prot#'!$A:$AL,22,FALSE)+9,1)</f>
        <v>P</v>
      </c>
      <c r="AF99" s="49" t="str">
        <f>MID(VLOOKUP($A99,Seqs!$A:$B,2,FALSE),VLOOKUP($A99,'SegEnds_NonXtal_Prot#'!$A:$AL,22,FALSE)+10,1)</f>
        <v>F</v>
      </c>
      <c r="AG99" s="28" t="str">
        <f>MID(VLOOKUP($A99,Seqs!$A:$B,2,FALSE),VLOOKUP($A99,'SegEnds_NonXtal_Prot#'!$A:$AL,28,FALSE)-4,1)</f>
        <v>G</v>
      </c>
      <c r="AH99" s="49" t="str">
        <f>MID(VLOOKUP($A99,Seqs!$A:$B,2,FALSE),VLOOKUP($A99,'SegEnds_NonXtal_Prot#'!$A:$AL,28,FALSE),1)</f>
        <v>P</v>
      </c>
    </row>
    <row r="100" spans="1:34" s="2" customFormat="1" x14ac:dyDescent="0.2">
      <c r="A100" s="2" t="s">
        <v>186</v>
      </c>
      <c r="B100" s="2" t="str">
        <f>LOWER(VLOOKUP(A100,Xtal_Templ!A:B,2,FALSE))</f>
        <v>ccr9_human</v>
      </c>
      <c r="C100" s="2" t="str">
        <f>VLOOKUP(A100,Classification!A:D,2,FALSE)</f>
        <v>A</v>
      </c>
      <c r="D100" s="2" t="str">
        <f>IF(ISERROR(MATCH(A100,'SegEnds_Xtal_Prot#'!B:B, 0)), "NoXtal", "Xtal")</f>
        <v>NoXtal</v>
      </c>
      <c r="H100" s="4"/>
      <c r="N100" s="2" t="s">
        <v>14</v>
      </c>
      <c r="R100" s="2" t="s">
        <v>9</v>
      </c>
      <c r="T100" s="4" t="s">
        <v>12</v>
      </c>
      <c r="V100" s="28" t="str">
        <f>MID(VLOOKUP($A100,Seqs!$A:$B,2,FALSE),VLOOKUP($A100,'SegEnds_NonXtal_Prot#'!A:AL,10,FALSE),1)</f>
        <v>D</v>
      </c>
      <c r="W100" s="49" t="str">
        <f>MID(VLOOKUP($A100,Seqs!$A:$B,2,FALSE),VLOOKUP($A100,'SegEnds_NonXtal_Prot#'!A:AL,10,FALSE)+6,1)</f>
        <v>T</v>
      </c>
      <c r="X100" s="49" t="str">
        <f>MID(VLOOKUP($A100,Seqs!$A:$B,2,FALSE),VLOOKUP($A100,'SegEnds_NonXtal_Prot#'!A:AL,10,FALSE)+7,1)</f>
        <v>L</v>
      </c>
      <c r="Y100" s="49" t="str">
        <f>MID(VLOOKUP($A100,Seqs!$A:$B,2,FALSE),VLOOKUP($A100,'SegEnds_NonXtal_Prot#'!A:AL,10,FALSE)+8,1)</f>
        <v>P</v>
      </c>
      <c r="Z100" s="49" t="str">
        <f>MID(VLOOKUP($A100,Seqs!$A:$B,2,FALSE),VLOOKUP($A100,'SegEnds_NonXtal_Prot#'!A:AL,10,FALSE)+9,1)</f>
        <v>I</v>
      </c>
      <c r="AA100" s="49" t="str">
        <f>MID(VLOOKUP($A100,Seqs!$A:$B,2,FALSE),VLOOKUP($A100,'SegEnds_NonXtal_Prot#'!A:AL,10,FALSE)+10,1)</f>
        <v>W</v>
      </c>
      <c r="AB100" s="28" t="str">
        <f>MID(VLOOKUP($A100,Seqs!$A:$B,2,FALSE),VLOOKUP($A100,'SegEnds_NonXtal_Prot#'!$A:$AL,22,FALSE)+6,1)</f>
        <v>L</v>
      </c>
      <c r="AC100" s="49" t="str">
        <f>MID(VLOOKUP($A100,Seqs!$A:$B,2,FALSE),VLOOKUP($A100,'SegEnds_NonXtal_Prot#'!$A:$AL,22,FALSE)+7,1)</f>
        <v>A</v>
      </c>
      <c r="AD100" s="49" t="str">
        <f>MID(VLOOKUP($A100,Seqs!$A:$B,2,FALSE),VLOOKUP($A100,'SegEnds_NonXtal_Prot#'!$A:$AL,22,FALSE)+8,1)</f>
        <v>L</v>
      </c>
      <c r="AE100" s="49" t="str">
        <f>MID(VLOOKUP($A100,Seqs!$A:$B,2,FALSE),VLOOKUP($A100,'SegEnds_NonXtal_Prot#'!$A:$AL,22,FALSE)+9,1)</f>
        <v>P</v>
      </c>
      <c r="AF100" s="49" t="str">
        <f>MID(VLOOKUP($A100,Seqs!$A:$B,2,FALSE),VLOOKUP($A100,'SegEnds_NonXtal_Prot#'!$A:$AL,22,FALSE)+10,1)</f>
        <v>V</v>
      </c>
      <c r="AG100" s="28" t="str">
        <f>MID(VLOOKUP($A100,Seqs!$A:$B,2,FALSE),VLOOKUP($A100,'SegEnds_NonXtal_Prot#'!$A:$AL,28,FALSE)-4,1)</f>
        <v>G</v>
      </c>
      <c r="AH100" s="49" t="str">
        <f>MID(VLOOKUP($A100,Seqs!$A:$B,2,FALSE),VLOOKUP($A100,'SegEnds_NonXtal_Prot#'!$A:$AL,28,FALSE),1)</f>
        <v>P</v>
      </c>
    </row>
    <row r="101" spans="1:34" s="2" customFormat="1" x14ac:dyDescent="0.2">
      <c r="A101" s="2" t="s">
        <v>189</v>
      </c>
      <c r="B101" s="2" t="str">
        <f>LOWER(VLOOKUP(A101,Xtal_Templ!A:B,2,FALSE))</f>
        <v>ccr9_human</v>
      </c>
      <c r="C101" s="2" t="str">
        <f>VLOOKUP(A101,Classification!A:D,2,FALSE)</f>
        <v>A</v>
      </c>
      <c r="D101" s="2" t="str">
        <f>IF(ISERROR(MATCH(A101,'SegEnds_Xtal_Prot#'!B:B, 0)), "NoXtal", "Xtal")</f>
        <v>NoXtal</v>
      </c>
      <c r="H101" s="4"/>
      <c r="N101" s="2" t="s">
        <v>14</v>
      </c>
      <c r="R101" s="2" t="s">
        <v>9</v>
      </c>
      <c r="T101" s="4" t="s">
        <v>12</v>
      </c>
      <c r="V101" s="28" t="str">
        <f>MID(VLOOKUP($A101,Seqs!$A:$B,2,FALSE),VLOOKUP($A101,'SegEnds_NonXtal_Prot#'!A:AL,10,FALSE),1)</f>
        <v>D</v>
      </c>
      <c r="W101" s="49" t="str">
        <f>MID(VLOOKUP($A101,Seqs!$A:$B,2,FALSE),VLOOKUP($A101,'SegEnds_NonXtal_Prot#'!A:AL,10,FALSE)+6,1)</f>
        <v>T</v>
      </c>
      <c r="X101" s="49" t="str">
        <f>MID(VLOOKUP($A101,Seqs!$A:$B,2,FALSE),VLOOKUP($A101,'SegEnds_NonXtal_Prot#'!A:AL,10,FALSE)+7,1)</f>
        <v>L</v>
      </c>
      <c r="Y101" s="49" t="str">
        <f>MID(VLOOKUP($A101,Seqs!$A:$B,2,FALSE),VLOOKUP($A101,'SegEnds_NonXtal_Prot#'!A:AL,10,FALSE)+8,1)</f>
        <v>P</v>
      </c>
      <c r="Z101" s="49" t="str">
        <f>MID(VLOOKUP($A101,Seqs!$A:$B,2,FALSE),VLOOKUP($A101,'SegEnds_NonXtal_Prot#'!A:AL,10,FALSE)+9,1)</f>
        <v>F</v>
      </c>
      <c r="AA101" s="49" t="str">
        <f>MID(VLOOKUP($A101,Seqs!$A:$B,2,FALSE),VLOOKUP($A101,'SegEnds_NonXtal_Prot#'!A:AL,10,FALSE)+10,1)</f>
        <v>W</v>
      </c>
      <c r="AB101" s="28" t="str">
        <f>MID(VLOOKUP($A101,Seqs!$A:$B,2,FALSE),VLOOKUP($A101,'SegEnds_NonXtal_Prot#'!$A:$AL,22,FALSE)+6,1)</f>
        <v>V</v>
      </c>
      <c r="AC101" s="49" t="str">
        <f>MID(VLOOKUP($A101,Seqs!$A:$B,2,FALSE),VLOOKUP($A101,'SegEnds_NonXtal_Prot#'!$A:$AL,22,FALSE)+7,1)</f>
        <v>S</v>
      </c>
      <c r="AD101" s="49" t="str">
        <f>MID(VLOOKUP($A101,Seqs!$A:$B,2,FALSE),VLOOKUP($A101,'SegEnds_NonXtal_Prot#'!$A:$AL,22,FALSE)+8,1)</f>
        <v>L</v>
      </c>
      <c r="AE101" s="49" t="str">
        <f>MID(VLOOKUP($A101,Seqs!$A:$B,2,FALSE),VLOOKUP($A101,'SegEnds_NonXtal_Prot#'!$A:$AL,22,FALSE)+9,1)</f>
        <v>P</v>
      </c>
      <c r="AF101" s="49" t="str">
        <f>MID(VLOOKUP($A101,Seqs!$A:$B,2,FALSE),VLOOKUP($A101,'SegEnds_NonXtal_Prot#'!$A:$AL,22,FALSE)+10,1)</f>
        <v>Q</v>
      </c>
      <c r="AG101" s="28" t="str">
        <f>MID(VLOOKUP($A101,Seqs!$A:$B,2,FALSE),VLOOKUP($A101,'SegEnds_NonXtal_Prot#'!$A:$AL,28,FALSE)-4,1)</f>
        <v>G</v>
      </c>
      <c r="AH101" s="49" t="str">
        <f>MID(VLOOKUP($A101,Seqs!$A:$B,2,FALSE),VLOOKUP($A101,'SegEnds_NonXtal_Prot#'!$A:$AL,28,FALSE),1)</f>
        <v>P</v>
      </c>
    </row>
    <row r="102" spans="1:34" s="2" customFormat="1" x14ac:dyDescent="0.2">
      <c r="A102" s="2" t="s">
        <v>400</v>
      </c>
      <c r="B102" s="2" t="str">
        <f>LOWER(VLOOKUP(A102,Xtal_Templ!A:B,2,FALSE))</f>
        <v>ccr5_human</v>
      </c>
      <c r="C102" s="2" t="str">
        <f>VLOOKUP(A102,Classification!A:D,2,FALSE)</f>
        <v>A</v>
      </c>
      <c r="D102" s="2" t="str">
        <f>IF(ISERROR(MATCH(A102,'SegEnds_Xtal_Prot#'!B:B, 0)), "NoXtal", "Xtal")</f>
        <v>NoXtal</v>
      </c>
      <c r="H102" s="4"/>
      <c r="T102" s="4" t="s">
        <v>12</v>
      </c>
      <c r="V102" s="28" t="str">
        <f>MID(VLOOKUP($A102,Seqs!$A:$B,2,FALSE),VLOOKUP($A102,'SegEnds_NonXtal_Prot#'!A:AL,10,FALSE),1)</f>
        <v>D</v>
      </c>
      <c r="W102" s="49" t="str">
        <f>MID(VLOOKUP($A102,Seqs!$A:$B,2,FALSE),VLOOKUP($A102,'SegEnds_NonXtal_Prot#'!A:AL,10,FALSE)+6,1)</f>
        <v>L</v>
      </c>
      <c r="X102" s="49" t="str">
        <f>MID(VLOOKUP($A102,Seqs!$A:$B,2,FALSE),VLOOKUP($A102,'SegEnds_NonXtal_Prot#'!A:AL,10,FALSE)+7,1)</f>
        <v>L</v>
      </c>
      <c r="Y102" s="49" t="str">
        <f>MID(VLOOKUP($A102,Seqs!$A:$B,2,FALSE),VLOOKUP($A102,'SegEnds_NonXtal_Prot#'!A:AL,10,FALSE)+8,1)</f>
        <v>P</v>
      </c>
      <c r="Z102" s="49" t="str">
        <f>MID(VLOOKUP($A102,Seqs!$A:$B,2,FALSE),VLOOKUP($A102,'SegEnds_NonXtal_Prot#'!A:AL,10,FALSE)+9,1)</f>
        <v>V</v>
      </c>
      <c r="AA102" s="49" t="str">
        <f>MID(VLOOKUP($A102,Seqs!$A:$B,2,FALSE),VLOOKUP($A102,'SegEnds_NonXtal_Prot#'!A:AL,10,FALSE)+10,1)</f>
        <v>W</v>
      </c>
      <c r="AB102" s="28" t="str">
        <f>MID(VLOOKUP($A102,Seqs!$A:$B,2,FALSE),VLOOKUP($A102,'SegEnds_NonXtal_Prot#'!$A:$AL,22,FALSE)+6,1)</f>
        <v>S</v>
      </c>
      <c r="AC102" s="49" t="str">
        <f>MID(VLOOKUP($A102,Seqs!$A:$B,2,FALSE),VLOOKUP($A102,'SegEnds_NonXtal_Prot#'!$A:$AL,22,FALSE)+7,1)</f>
        <v>S</v>
      </c>
      <c r="AD102" s="49" t="str">
        <f>MID(VLOOKUP($A102,Seqs!$A:$B,2,FALSE),VLOOKUP($A102,'SegEnds_NonXtal_Prot#'!$A:$AL,22,FALSE)+8,1)</f>
        <v>I</v>
      </c>
      <c r="AE102" s="49" t="str">
        <f>MID(VLOOKUP($A102,Seqs!$A:$B,2,FALSE),VLOOKUP($A102,'SegEnds_NonXtal_Prot#'!$A:$AL,22,FALSE)+9,1)</f>
        <v>L</v>
      </c>
      <c r="AF102" s="49" t="str">
        <f>MID(VLOOKUP($A102,Seqs!$A:$B,2,FALSE),VLOOKUP($A102,'SegEnds_NonXtal_Prot#'!$A:$AL,22,FALSE)+10,1)</f>
        <v>D</v>
      </c>
      <c r="AG102" s="28" t="str">
        <f>MID(VLOOKUP($A102,Seqs!$A:$B,2,FALSE),VLOOKUP($A102,'SegEnds_NonXtal_Prot#'!$A:$AL,28,FALSE)-4,1)</f>
        <v>F</v>
      </c>
      <c r="AH102" s="49" t="str">
        <f>MID(VLOOKUP($A102,Seqs!$A:$B,2,FALSE),VLOOKUP($A102,'SegEnds_NonXtal_Prot#'!$A:$AL,28,FALSE),1)</f>
        <v>S</v>
      </c>
    </row>
    <row r="103" spans="1:34" s="2" customFormat="1" x14ac:dyDescent="0.2">
      <c r="A103" s="40" t="s">
        <v>177</v>
      </c>
      <c r="B103" s="40" t="str">
        <f>LOWER(VLOOKUP(A103,Xtal_Templ!A:B,2,FALSE))</f>
        <v>ccr9_human</v>
      </c>
      <c r="C103" s="40" t="str">
        <f>VLOOKUP(A103,Classification!A:D,2,FALSE)</f>
        <v>A</v>
      </c>
      <c r="D103" s="40" t="str">
        <f>IF(ISERROR(MATCH(A103,'SegEnds_Xtal_Prot#'!B:B, 0)), "NoXtal", "Xtal")</f>
        <v>Xtal</v>
      </c>
      <c r="E103" s="40"/>
      <c r="F103" s="40"/>
      <c r="G103" s="40"/>
      <c r="H103" s="11"/>
      <c r="I103" s="40"/>
      <c r="J103" s="40"/>
      <c r="K103" s="40"/>
      <c r="L103" s="40"/>
      <c r="M103" s="40"/>
      <c r="N103" s="40" t="s">
        <v>14</v>
      </c>
      <c r="O103" s="40"/>
      <c r="P103" s="40"/>
      <c r="Q103" s="40"/>
      <c r="R103" s="40" t="s">
        <v>9</v>
      </c>
      <c r="S103" s="40"/>
      <c r="T103" s="11" t="s">
        <v>12</v>
      </c>
      <c r="U103" s="40"/>
      <c r="V103" s="58" t="str">
        <f>MID(VLOOKUP($A103,Seqs!$A:$B,2,FALSE),VLOOKUP($A103,'SegEnds_NonXtal_Prot#'!A:AL,10,FALSE),1)</f>
        <v>D</v>
      </c>
      <c r="W103" s="51" t="str">
        <f>MID(VLOOKUP($A103,Seqs!$A:$B,2,FALSE),VLOOKUP($A103,'SegEnds_NonXtal_Prot#'!A:AL,10,FALSE)+6,1)</f>
        <v>T</v>
      </c>
      <c r="X103" s="51" t="str">
        <f>MID(VLOOKUP($A103,Seqs!$A:$B,2,FALSE),VLOOKUP($A103,'SegEnds_NonXtal_Prot#'!A:AL,10,FALSE)+7,1)</f>
        <v>L</v>
      </c>
      <c r="Y103" s="51" t="str">
        <f>MID(VLOOKUP($A103,Seqs!$A:$B,2,FALSE),VLOOKUP($A103,'SegEnds_NonXtal_Prot#'!A:AL,10,FALSE)+8,1)</f>
        <v>P</v>
      </c>
      <c r="Z103" s="49" t="str">
        <f>MID(VLOOKUP($A103,Seqs!$A:$B,2,FALSE),VLOOKUP($A103,'SegEnds_NonXtal_Prot#'!A:AL,10,FALSE)+9,1)</f>
        <v>F</v>
      </c>
      <c r="AA103" s="49" t="str">
        <f>MID(VLOOKUP($A103,Seqs!$A:$B,2,FALSE),VLOOKUP($A103,'SegEnds_NonXtal_Prot#'!A:AL,10,FALSE)+10,1)</f>
        <v>W</v>
      </c>
      <c r="AB103" s="58" t="str">
        <f>MID(VLOOKUP($A103,Seqs!$A:$B,2,FALSE),VLOOKUP($A103,'SegEnds_NonXtal_Prot#'!$A:$AL,22,FALSE)+6,1)</f>
        <v>L</v>
      </c>
      <c r="AC103" s="51" t="str">
        <f>MID(VLOOKUP($A103,Seqs!$A:$B,2,FALSE),VLOOKUP($A103,'SegEnds_NonXtal_Prot#'!$A:$AL,22,FALSE)+7,1)</f>
        <v>C</v>
      </c>
      <c r="AD103" s="51" t="str">
        <f>MID(VLOOKUP($A103,Seqs!$A:$B,2,FALSE),VLOOKUP($A103,'SegEnds_NonXtal_Prot#'!$A:$AL,22,FALSE)+8,1)</f>
        <v>I</v>
      </c>
      <c r="AE103" s="51" t="str">
        <f>MID(VLOOKUP($A103,Seqs!$A:$B,2,FALSE),VLOOKUP($A103,'SegEnds_NonXtal_Prot#'!$A:$AL,22,FALSE)+9,1)</f>
        <v>P</v>
      </c>
      <c r="AF103" s="51" t="str">
        <f>MID(VLOOKUP($A103,Seqs!$A:$B,2,FALSE),VLOOKUP($A103,'SegEnds_NonXtal_Prot#'!$A:$AL,22,FALSE)+10,1)</f>
        <v>E</v>
      </c>
      <c r="AG103" s="58" t="str">
        <f>MID(VLOOKUP($A103,Seqs!$A:$B,2,FALSE),VLOOKUP($A103,'SegEnds_NonXtal_Prot#'!$A:$AL,28,FALSE)-4,1)</f>
        <v>G</v>
      </c>
      <c r="AH103" s="51" t="str">
        <f>MID(VLOOKUP($A103,Seqs!$A:$B,2,FALSE),VLOOKUP($A103,'SegEnds_NonXtal_Prot#'!$A:$AL,28,FALSE),1)</f>
        <v>P</v>
      </c>
    </row>
    <row r="104" spans="1:34" s="2" customFormat="1" x14ac:dyDescent="0.2">
      <c r="A104" s="2" t="s">
        <v>182</v>
      </c>
      <c r="B104" s="2" t="str">
        <f>LOWER(VLOOKUP(A104,Xtal_Templ!A:B,2,FALSE))</f>
        <v>cnr1_human</v>
      </c>
      <c r="C104" s="2" t="str">
        <f>VLOOKUP(A104,Classification!A:D,2,FALSE)</f>
        <v>A</v>
      </c>
      <c r="D104" s="2" t="str">
        <f>IF(ISERROR(MATCH(A104,'SegEnds_Xtal_Prot#'!B:B, 0)), "NoXtal", "Xtal")</f>
        <v>Xtal</v>
      </c>
      <c r="H104" s="4"/>
      <c r="T104" s="4" t="s">
        <v>12</v>
      </c>
      <c r="V104" s="28" t="str">
        <f>MID(VLOOKUP($A104,Seqs!$A:$B,2,FALSE),VLOOKUP($A104,'SegEnds_NonXtal_Prot#'!A:AL,10,FALSE),1)</f>
        <v>D</v>
      </c>
      <c r="W104" s="49" t="str">
        <f>MID(VLOOKUP($A104,Seqs!$A:$B,2,FALSE),VLOOKUP($A104,'SegEnds_NonXtal_Prot#'!A:AL,10,FALSE)+6,1)</f>
        <v>I</v>
      </c>
      <c r="X104" s="49" t="str">
        <f>MID(VLOOKUP($A104,Seqs!$A:$B,2,FALSE),VLOOKUP($A104,'SegEnds_NonXtal_Prot#'!A:AL,10,FALSE)+7,1)</f>
        <v>F</v>
      </c>
      <c r="Y104" s="49" t="str">
        <f>MID(VLOOKUP($A104,Seqs!$A:$B,2,FALSE),VLOOKUP($A104,'SegEnds_NonXtal_Prot#'!A:AL,10,FALSE)+8,1)</f>
        <v>V</v>
      </c>
      <c r="Z104" s="49" t="str">
        <f>MID(VLOOKUP($A104,Seqs!$A:$B,2,FALSE),VLOOKUP($A104,'SegEnds_NonXtal_Prot#'!A:AL,10,FALSE)+9,1)</f>
        <v>Y</v>
      </c>
      <c r="AA104" s="49" t="str">
        <f>MID(VLOOKUP($A104,Seqs!$A:$B,2,FALSE),VLOOKUP($A104,'SegEnds_NonXtal_Prot#'!A:AL,10,FALSE)+10,1)</f>
        <v>S</v>
      </c>
      <c r="AB104" s="28" t="str">
        <f>MID(VLOOKUP($A104,Seqs!$A:$B,2,FALSE),VLOOKUP($A104,'SegEnds_NonXtal_Prot#'!$A:$AL,22,FALSE)+6,1)</f>
        <v>I</v>
      </c>
      <c r="AC104" s="49" t="str">
        <f>MID(VLOOKUP($A104,Seqs!$A:$B,2,FALSE),VLOOKUP($A104,'SegEnds_NonXtal_Prot#'!$A:$AL,22,FALSE)+7,1)</f>
        <v>A</v>
      </c>
      <c r="AD104" s="49" t="str">
        <f>MID(VLOOKUP($A104,Seqs!$A:$B,2,FALSE),VLOOKUP($A104,'SegEnds_NonXtal_Prot#'!$A:$AL,22,FALSE)+8,1)</f>
        <v>V</v>
      </c>
      <c r="AE104" s="49" t="str">
        <f>MID(VLOOKUP($A104,Seqs!$A:$B,2,FALSE),VLOOKUP($A104,'SegEnds_NonXtal_Prot#'!$A:$AL,22,FALSE)+9,1)</f>
        <v>L</v>
      </c>
      <c r="AF104" s="49" t="str">
        <f>MID(VLOOKUP($A104,Seqs!$A:$B,2,FALSE),VLOOKUP($A104,'SegEnds_NonXtal_Prot#'!$A:$AL,22,FALSE)+10,1)</f>
        <v>P</v>
      </c>
      <c r="AG104" s="28" t="str">
        <f>MID(VLOOKUP($A104,Seqs!$A:$B,2,FALSE),VLOOKUP($A104,'SegEnds_NonXtal_Prot#'!$A:$AL,28,FALSE)-4,1)</f>
        <v>V</v>
      </c>
      <c r="AH104" s="49" t="str">
        <f>MID(VLOOKUP($A104,Seqs!$A:$B,2,FALSE),VLOOKUP($A104,'SegEnds_NonXtal_Prot#'!$A:$AL,28,FALSE),1)</f>
        <v>L</v>
      </c>
    </row>
    <row r="105" spans="1:34" s="2" customFormat="1" ht="17" customHeight="1" x14ac:dyDescent="0.2">
      <c r="A105" s="2" t="s">
        <v>183</v>
      </c>
      <c r="B105" s="2" t="str">
        <f>LOWER(VLOOKUP(A105,Xtal_Templ!A:B,2,FALSE))</f>
        <v>cnr2_human</v>
      </c>
      <c r="C105" s="2" t="str">
        <f>VLOOKUP(A105,Classification!A:D,2,FALSE)</f>
        <v>A</v>
      </c>
      <c r="D105" s="2" t="str">
        <f>IF(ISERROR(MATCH(A105,'SegEnds_Xtal_Prot#'!B:B, 0)), "NoXtal", "Xtal")</f>
        <v>Xtal</v>
      </c>
      <c r="H105" s="4"/>
      <c r="T105" s="4" t="s">
        <v>12</v>
      </c>
      <c r="V105" s="28" t="str">
        <f>MID(VLOOKUP($A105,Seqs!$A:$B,2,FALSE),VLOOKUP($A105,'SegEnds_NonXtal_Prot#'!A:AL,10,FALSE),1)</f>
        <v>D</v>
      </c>
      <c r="W105" s="49" t="str">
        <f>MID(VLOOKUP($A105,Seqs!$A:$B,2,FALSE),VLOOKUP($A105,'SegEnds_NonXtal_Prot#'!A:AL,10,FALSE)+6,1)</f>
        <v>V</v>
      </c>
      <c r="X105" s="49" t="str">
        <f>MID(VLOOKUP($A105,Seqs!$A:$B,2,FALSE),VLOOKUP($A105,'SegEnds_NonXtal_Prot#'!A:AL,10,FALSE)+7,1)</f>
        <v>F</v>
      </c>
      <c r="Y105" s="49" t="str">
        <f>MID(VLOOKUP($A105,Seqs!$A:$B,2,FALSE),VLOOKUP($A105,'SegEnds_NonXtal_Prot#'!A:AL,10,FALSE)+8,1)</f>
        <v>A</v>
      </c>
      <c r="Z105" s="49" t="str">
        <f>MID(VLOOKUP($A105,Seqs!$A:$B,2,FALSE),VLOOKUP($A105,'SegEnds_NonXtal_Prot#'!A:AL,10,FALSE)+9,1)</f>
        <v>C</v>
      </c>
      <c r="AA105" s="49" t="str">
        <f>MID(VLOOKUP($A105,Seqs!$A:$B,2,FALSE),VLOOKUP($A105,'SegEnds_NonXtal_Prot#'!A:AL,10,FALSE)+10,1)</f>
        <v>S</v>
      </c>
      <c r="AB105" s="28" t="str">
        <f>MID(VLOOKUP($A105,Seqs!$A:$B,2,FALSE),VLOOKUP($A105,'SegEnds_NonXtal_Prot#'!$A:$AL,22,FALSE)+6,1)</f>
        <v>V</v>
      </c>
      <c r="AC105" s="49" t="str">
        <f>MID(VLOOKUP($A105,Seqs!$A:$B,2,FALSE),VLOOKUP($A105,'SegEnds_NonXtal_Prot#'!$A:$AL,22,FALSE)+7,1)</f>
        <v>S</v>
      </c>
      <c r="AD105" s="49" t="str">
        <f>MID(VLOOKUP($A105,Seqs!$A:$B,2,FALSE),VLOOKUP($A105,'SegEnds_NonXtal_Prot#'!$A:$AL,22,FALSE)+8,1)</f>
        <v>Y</v>
      </c>
      <c r="AE105" s="49" t="str">
        <f>MID(VLOOKUP($A105,Seqs!$A:$B,2,FALSE),VLOOKUP($A105,'SegEnds_NonXtal_Prot#'!$A:$AL,22,FALSE)+9,1)</f>
        <v>L</v>
      </c>
      <c r="AF105" s="49" t="str">
        <f>MID(VLOOKUP($A105,Seqs!$A:$B,2,FALSE),VLOOKUP($A105,'SegEnds_NonXtal_Prot#'!$A:$AL,22,FALSE)+10,1)</f>
        <v>P</v>
      </c>
      <c r="AG105" s="28" t="str">
        <f>MID(VLOOKUP($A105,Seqs!$A:$B,2,FALSE),VLOOKUP($A105,'SegEnds_NonXtal_Prot#'!$A:$AL,28,FALSE)-4,1)</f>
        <v>F</v>
      </c>
      <c r="AH105" s="49" t="str">
        <f>MID(VLOOKUP($A105,Seqs!$A:$B,2,FALSE),VLOOKUP($A105,'SegEnds_NonXtal_Prot#'!$A:$AL,28,FALSE),1)</f>
        <v>L</v>
      </c>
    </row>
    <row r="106" spans="1:34" s="2" customFormat="1" x14ac:dyDescent="0.2">
      <c r="A106" s="2" t="s">
        <v>166</v>
      </c>
      <c r="B106" s="2" t="str">
        <f>LOWER(VLOOKUP(A106,Xtal_Templ!A:B,2,FALSE))</f>
        <v>c5ar1_human</v>
      </c>
      <c r="C106" s="2" t="str">
        <f>VLOOKUP(A106,Classification!A:D,2,FALSE)</f>
        <v>A</v>
      </c>
      <c r="D106" s="2" t="str">
        <f>IF(ISERROR(MATCH(A106,'SegEnds_Xtal_Prot#'!B:B, 0)), "NoXtal", "Xtal")</f>
        <v>NoXtal</v>
      </c>
      <c r="H106" s="4"/>
      <c r="N106" s="2" t="s">
        <v>14</v>
      </c>
      <c r="R106" s="2" t="s">
        <v>9</v>
      </c>
      <c r="T106" s="4" t="s">
        <v>12</v>
      </c>
      <c r="V106" s="28" t="str">
        <f>MID(VLOOKUP($A106,Seqs!$A:$B,2,FALSE),VLOOKUP($A106,'SegEnds_NonXtal_Prot#'!A:AL,10,FALSE),1)</f>
        <v>D</v>
      </c>
      <c r="W106" s="49" t="str">
        <f>MID(VLOOKUP($A106,Seqs!$A:$B,2,FALSE),VLOOKUP($A106,'SegEnds_NonXtal_Prot#'!A:AL,10,FALSE)+6,1)</f>
        <v>S</v>
      </c>
      <c r="X106" s="49" t="str">
        <f>MID(VLOOKUP($A106,Seqs!$A:$B,2,FALSE),VLOOKUP($A106,'SegEnds_NonXtal_Prot#'!A:AL,10,FALSE)+7,1)</f>
        <v>L</v>
      </c>
      <c r="Y106" s="49" t="str">
        <f>MID(VLOOKUP($A106,Seqs!$A:$B,2,FALSE),VLOOKUP($A106,'SegEnds_NonXtal_Prot#'!A:AL,10,FALSE)+8,1)</f>
        <v>P</v>
      </c>
      <c r="Z106" s="49" t="str">
        <f>MID(VLOOKUP($A106,Seqs!$A:$B,2,FALSE),VLOOKUP($A106,'SegEnds_NonXtal_Prot#'!A:AL,10,FALSE)+9,1)</f>
        <v>I</v>
      </c>
      <c r="AA106" s="49" t="str">
        <f>MID(VLOOKUP($A106,Seqs!$A:$B,2,FALSE),VLOOKUP($A106,'SegEnds_NonXtal_Prot#'!A:AL,10,FALSE)+10,1)</f>
        <v>L</v>
      </c>
      <c r="AB106" s="28" t="str">
        <f>MID(VLOOKUP($A106,Seqs!$A:$B,2,FALSE),VLOOKUP($A106,'SegEnds_NonXtal_Prot#'!$A:$AL,22,FALSE)+6,1)</f>
        <v>L</v>
      </c>
      <c r="AC106" s="49" t="str">
        <f>MID(VLOOKUP($A106,Seqs!$A:$B,2,FALSE),VLOOKUP($A106,'SegEnds_NonXtal_Prot#'!$A:$AL,22,FALSE)+7,1)</f>
        <v>T</v>
      </c>
      <c r="AD106" s="49" t="str">
        <f>MID(VLOOKUP($A106,Seqs!$A:$B,2,FALSE),VLOOKUP($A106,'SegEnds_NonXtal_Prot#'!$A:$AL,22,FALSE)+8,1)</f>
        <v>V</v>
      </c>
      <c r="AE106" s="49" t="str">
        <f>MID(VLOOKUP($A106,Seqs!$A:$B,2,FALSE),VLOOKUP($A106,'SegEnds_NonXtal_Prot#'!$A:$AL,22,FALSE)+9,1)</f>
        <v>P</v>
      </c>
      <c r="AF106" s="49" t="str">
        <f>MID(VLOOKUP($A106,Seqs!$A:$B,2,FALSE),VLOOKUP($A106,'SegEnds_NonXtal_Prot#'!$A:$AL,22,FALSE)+10,1)</f>
        <v>S</v>
      </c>
      <c r="AG106" s="28" t="str">
        <f>MID(VLOOKUP($A106,Seqs!$A:$B,2,FALSE),VLOOKUP($A106,'SegEnds_NonXtal_Prot#'!$A:$AL,28,FALSE)-4,1)</f>
        <v>G</v>
      </c>
      <c r="AH106" s="49" t="str">
        <f>MID(VLOOKUP($A106,Seqs!$A:$B,2,FALSE),VLOOKUP($A106,'SegEnds_NonXtal_Prot#'!$A:$AL,28,FALSE),1)</f>
        <v>P</v>
      </c>
    </row>
    <row r="107" spans="1:34" s="2" customFormat="1" x14ac:dyDescent="0.2">
      <c r="A107" s="2" t="s">
        <v>187</v>
      </c>
      <c r="B107" s="2" t="str">
        <f>LOWER(VLOOKUP(A107,Xtal_Templ!A:B,2,FALSE))</f>
        <v>cxcr4_human</v>
      </c>
      <c r="C107" s="2" t="str">
        <f>VLOOKUP(A107,Classification!A:D,2,FALSE)</f>
        <v>A</v>
      </c>
      <c r="D107" s="2" t="str">
        <f>IF(ISERROR(MATCH(A107,'SegEnds_Xtal_Prot#'!B:B, 0)), "NoXtal", "Xtal")</f>
        <v>NoXtal</v>
      </c>
      <c r="H107" s="4"/>
      <c r="N107" s="2" t="s">
        <v>14</v>
      </c>
      <c r="R107" s="2" t="s">
        <v>9</v>
      </c>
      <c r="T107" s="4" t="s">
        <v>12</v>
      </c>
      <c r="V107" s="28" t="str">
        <f>MID(VLOOKUP($A107,Seqs!$A:$B,2,FALSE),VLOOKUP($A107,'SegEnds_NonXtal_Prot#'!A:AL,10,FALSE),1)</f>
        <v>D</v>
      </c>
      <c r="W107" s="49" t="str">
        <f>MID(VLOOKUP($A107,Seqs!$A:$B,2,FALSE),VLOOKUP($A107,'SegEnds_NonXtal_Prot#'!A:AL,10,FALSE)+6,1)</f>
        <v>T</v>
      </c>
      <c r="X107" s="49" t="str">
        <f>MID(VLOOKUP($A107,Seqs!$A:$B,2,FALSE),VLOOKUP($A107,'SegEnds_NonXtal_Prot#'!A:AL,10,FALSE)+7,1)</f>
        <v>L</v>
      </c>
      <c r="Y107" s="49" t="str">
        <f>MID(VLOOKUP($A107,Seqs!$A:$B,2,FALSE),VLOOKUP($A107,'SegEnds_NonXtal_Prot#'!A:AL,10,FALSE)+8,1)</f>
        <v>P</v>
      </c>
      <c r="Z107" s="49" t="str">
        <f>MID(VLOOKUP($A107,Seqs!$A:$B,2,FALSE),VLOOKUP($A107,'SegEnds_NonXtal_Prot#'!A:AL,10,FALSE)+9,1)</f>
        <v>L</v>
      </c>
      <c r="AA107" s="49" t="str">
        <f>MID(VLOOKUP($A107,Seqs!$A:$B,2,FALSE),VLOOKUP($A107,'SegEnds_NonXtal_Prot#'!A:AL,10,FALSE)+10,1)</f>
        <v>W</v>
      </c>
      <c r="AB107" s="28" t="str">
        <f>MID(VLOOKUP($A107,Seqs!$A:$B,2,FALSE),VLOOKUP($A107,'SegEnds_NonXtal_Prot#'!$A:$AL,22,FALSE)+6,1)</f>
        <v>F</v>
      </c>
      <c r="AC107" s="49" t="str">
        <f>MID(VLOOKUP($A107,Seqs!$A:$B,2,FALSE),VLOOKUP($A107,'SegEnds_NonXtal_Prot#'!$A:$AL,22,FALSE)+7,1)</f>
        <v>A</v>
      </c>
      <c r="AD107" s="49" t="str">
        <f>MID(VLOOKUP($A107,Seqs!$A:$B,2,FALSE),VLOOKUP($A107,'SegEnds_NonXtal_Prot#'!$A:$AL,22,FALSE)+8,1)</f>
        <v>L</v>
      </c>
      <c r="AE107" s="49" t="str">
        <f>MID(VLOOKUP($A107,Seqs!$A:$B,2,FALSE),VLOOKUP($A107,'SegEnds_NonXtal_Prot#'!$A:$AL,22,FALSE)+9,1)</f>
        <v>P</v>
      </c>
      <c r="AF107" s="49" t="str">
        <f>MID(VLOOKUP($A107,Seqs!$A:$B,2,FALSE),VLOOKUP($A107,'SegEnds_NonXtal_Prot#'!$A:$AL,22,FALSE)+10,1)</f>
        <v>D</v>
      </c>
      <c r="AG107" s="28" t="str">
        <f>MID(VLOOKUP($A107,Seqs!$A:$B,2,FALSE),VLOOKUP($A107,'SegEnds_NonXtal_Prot#'!$A:$AL,28,FALSE)-4,1)</f>
        <v>G</v>
      </c>
      <c r="AH107" s="49" t="str">
        <f>MID(VLOOKUP($A107,Seqs!$A:$B,2,FALSE),VLOOKUP($A107,'SegEnds_NonXtal_Prot#'!$A:$AL,28,FALSE),1)</f>
        <v>P</v>
      </c>
    </row>
    <row r="108" spans="1:34" s="2" customFormat="1" x14ac:dyDescent="0.2">
      <c r="A108" s="2" t="s">
        <v>1172</v>
      </c>
      <c r="B108" s="2" t="str">
        <f>LOWER(VLOOKUP(A108,Xtal_Templ!A:B,2,FALSE))</f>
        <v>cxcr4_human</v>
      </c>
      <c r="C108" s="2" t="str">
        <f>VLOOKUP(A108,Classification!A:D,2,FALSE)</f>
        <v>A</v>
      </c>
      <c r="D108" s="2" t="str">
        <f>IF(ISERROR(MATCH(A108,'SegEnds_Xtal_Prot#'!B:B, 0)), "NoXtal", "Xtal")</f>
        <v>Xtal</v>
      </c>
      <c r="H108" s="4"/>
      <c r="N108" s="2" t="s">
        <v>14</v>
      </c>
      <c r="R108" s="2" t="s">
        <v>9</v>
      </c>
      <c r="T108" s="4" t="s">
        <v>12</v>
      </c>
      <c r="V108" s="28" t="str">
        <f>MID(VLOOKUP($A108,Seqs!$A:$B,2,FALSE),VLOOKUP($A108,'SegEnds_NonXtal_Prot#'!A:AL,10,FALSE),1)</f>
        <v>D</v>
      </c>
      <c r="W108" s="49" t="str">
        <f>MID(VLOOKUP($A108,Seqs!$A:$B,2,FALSE),VLOOKUP($A108,'SegEnds_NonXtal_Prot#'!A:AL,10,FALSE)+6,1)</f>
        <v>T</v>
      </c>
      <c r="X108" s="49" t="str">
        <f>MID(VLOOKUP($A108,Seqs!$A:$B,2,FALSE),VLOOKUP($A108,'SegEnds_NonXtal_Prot#'!A:AL,10,FALSE)+7,1)</f>
        <v>L</v>
      </c>
      <c r="Y108" s="49" t="str">
        <f>MID(VLOOKUP($A108,Seqs!$A:$B,2,FALSE),VLOOKUP($A108,'SegEnds_NonXtal_Prot#'!A:AL,10,FALSE)+8,1)</f>
        <v>P</v>
      </c>
      <c r="Z108" s="49" t="str">
        <f>MID(VLOOKUP($A108,Seqs!$A:$B,2,FALSE),VLOOKUP($A108,'SegEnds_NonXtal_Prot#'!A:AL,10,FALSE)+9,1)</f>
        <v>F</v>
      </c>
      <c r="AA108" s="49" t="str">
        <f>MID(VLOOKUP($A108,Seqs!$A:$B,2,FALSE),VLOOKUP($A108,'SegEnds_NonXtal_Prot#'!A:AL,10,FALSE)+10,1)</f>
        <v>W</v>
      </c>
      <c r="AB108" s="28" t="str">
        <f>MID(VLOOKUP($A108,Seqs!$A:$B,2,FALSE),VLOOKUP($A108,'SegEnds_NonXtal_Prot#'!$A:$AL,22,FALSE)+6,1)</f>
        <v>L</v>
      </c>
      <c r="AC108" s="49" t="str">
        <f>MID(VLOOKUP($A108,Seqs!$A:$B,2,FALSE),VLOOKUP($A108,'SegEnds_NonXtal_Prot#'!$A:$AL,22,FALSE)+7,1)</f>
        <v>T</v>
      </c>
      <c r="AD108" s="49" t="str">
        <f>MID(VLOOKUP($A108,Seqs!$A:$B,2,FALSE),VLOOKUP($A108,'SegEnds_NonXtal_Prot#'!$A:$AL,22,FALSE)+8,1)</f>
        <v>I</v>
      </c>
      <c r="AE108" s="49" t="str">
        <f>MID(VLOOKUP($A108,Seqs!$A:$B,2,FALSE),VLOOKUP($A108,'SegEnds_NonXtal_Prot#'!$A:$AL,22,FALSE)+9,1)</f>
        <v>P</v>
      </c>
      <c r="AF108" s="49" t="str">
        <f>MID(VLOOKUP($A108,Seqs!$A:$B,2,FALSE),VLOOKUP($A108,'SegEnds_NonXtal_Prot#'!$A:$AL,22,FALSE)+10,1)</f>
        <v>D</v>
      </c>
      <c r="AG108" s="28" t="str">
        <f>MID(VLOOKUP($A108,Seqs!$A:$B,2,FALSE),VLOOKUP($A108,'SegEnds_NonXtal_Prot#'!$A:$AL,28,FALSE)-4,1)</f>
        <v>G</v>
      </c>
      <c r="AH108" s="49" t="str">
        <f>MID(VLOOKUP($A108,Seqs!$A:$B,2,FALSE),VLOOKUP($A108,'SegEnds_NonXtal_Prot#'!$A:$AL,28,FALSE),1)</f>
        <v>P</v>
      </c>
    </row>
    <row r="109" spans="1:34" s="2" customFormat="1" x14ac:dyDescent="0.2">
      <c r="A109" s="2" t="s">
        <v>188</v>
      </c>
      <c r="B109" s="2" t="str">
        <f>LOWER(VLOOKUP(A109,Xtal_Templ!A:B,2,FALSE))</f>
        <v>cxcr4_human</v>
      </c>
      <c r="C109" s="2" t="str">
        <f>VLOOKUP(A109,Classification!A:D,2,FALSE)</f>
        <v>A</v>
      </c>
      <c r="D109" s="2" t="str">
        <f>IF(ISERROR(MATCH(A109,'SegEnds_Xtal_Prot#'!B:B, 0)), "NoXtal", "Xtal")</f>
        <v>NoXtal</v>
      </c>
      <c r="H109" s="4"/>
      <c r="N109" s="2" t="s">
        <v>14</v>
      </c>
      <c r="R109" s="2" t="s">
        <v>9</v>
      </c>
      <c r="T109" s="4" t="s">
        <v>12</v>
      </c>
      <c r="V109" s="28" t="str">
        <f>MID(VLOOKUP($A109,Seqs!$A:$B,2,FALSE),VLOOKUP($A109,'SegEnds_NonXtal_Prot#'!A:AL,10,FALSE),1)</f>
        <v>D</v>
      </c>
      <c r="W109" s="49" t="str">
        <f>MID(VLOOKUP($A109,Seqs!$A:$B,2,FALSE),VLOOKUP($A109,'SegEnds_NonXtal_Prot#'!A:AL,10,FALSE)+6,1)</f>
        <v>I</v>
      </c>
      <c r="X109" s="49" t="str">
        <f>MID(VLOOKUP($A109,Seqs!$A:$B,2,FALSE),VLOOKUP($A109,'SegEnds_NonXtal_Prot#'!A:AL,10,FALSE)+7,1)</f>
        <v>L</v>
      </c>
      <c r="Y109" s="49" t="str">
        <f>MID(VLOOKUP($A109,Seqs!$A:$B,2,FALSE),VLOOKUP($A109,'SegEnds_NonXtal_Prot#'!A:AL,10,FALSE)+8,1)</f>
        <v>P</v>
      </c>
      <c r="Z109" s="49" t="str">
        <f>MID(VLOOKUP($A109,Seqs!$A:$B,2,FALSE),VLOOKUP($A109,'SegEnds_NonXtal_Prot#'!A:AL,10,FALSE)+9,1)</f>
        <v>F</v>
      </c>
      <c r="AA109" s="49" t="str">
        <f>MID(VLOOKUP($A109,Seqs!$A:$B,2,FALSE),VLOOKUP($A109,'SegEnds_NonXtal_Prot#'!A:AL,10,FALSE)+10,1)</f>
        <v>A</v>
      </c>
      <c r="AB109" s="28" t="str">
        <f>MID(VLOOKUP($A109,Seqs!$A:$B,2,FALSE),VLOOKUP($A109,'SegEnds_NonXtal_Prot#'!$A:$AL,22,FALSE)+6,1)</f>
        <v>L</v>
      </c>
      <c r="AC109" s="49" t="str">
        <f>MID(VLOOKUP($A109,Seqs!$A:$B,2,FALSE),VLOOKUP($A109,'SegEnds_NonXtal_Prot#'!$A:$AL,22,FALSE)+7,1)</f>
        <v>A</v>
      </c>
      <c r="AD109" s="49" t="str">
        <f>MID(VLOOKUP($A109,Seqs!$A:$B,2,FALSE),VLOOKUP($A109,'SegEnds_NonXtal_Prot#'!$A:$AL,22,FALSE)+8,1)</f>
        <v>L</v>
      </c>
      <c r="AE109" s="49" t="str">
        <f>MID(VLOOKUP($A109,Seqs!$A:$B,2,FALSE),VLOOKUP($A109,'SegEnds_NonXtal_Prot#'!$A:$AL,22,FALSE)+9,1)</f>
        <v>P</v>
      </c>
      <c r="AF109" s="49" t="str">
        <f>MID(VLOOKUP($A109,Seqs!$A:$B,2,FALSE),VLOOKUP($A109,'SegEnds_NonXtal_Prot#'!$A:$AL,22,FALSE)+10,1)</f>
        <v>E</v>
      </c>
      <c r="AG109" s="28" t="str">
        <f>MID(VLOOKUP($A109,Seqs!$A:$B,2,FALSE),VLOOKUP($A109,'SegEnds_NonXtal_Prot#'!$A:$AL,28,FALSE)-4,1)</f>
        <v>G</v>
      </c>
      <c r="AH109" s="49" t="str">
        <f>MID(VLOOKUP($A109,Seqs!$A:$B,2,FALSE),VLOOKUP($A109,'SegEnds_NonXtal_Prot#'!$A:$AL,28,FALSE),1)</f>
        <v>P</v>
      </c>
    </row>
    <row r="110" spans="1:34" s="2" customFormat="1" x14ac:dyDescent="0.2">
      <c r="A110" s="2" t="s">
        <v>201</v>
      </c>
      <c r="B110" s="2" t="str">
        <f>LOWER(VLOOKUP(A110,Xtal_Templ!A:B,2,FALSE))</f>
        <v>pd2r2_human</v>
      </c>
      <c r="C110" s="2" t="str">
        <f>VLOOKUP(A110,Classification!A:D,2,FALSE)</f>
        <v>A</v>
      </c>
      <c r="D110" s="2" t="str">
        <f>IF(ISERROR(MATCH(A110,'SegEnds_Xtal_Prot#'!B:B, 0)), "NoXtal", "Xtal")</f>
        <v>NoXtal</v>
      </c>
      <c r="H110" s="4"/>
      <c r="N110" s="2" t="s">
        <v>14</v>
      </c>
      <c r="R110" s="2" t="s">
        <v>9</v>
      </c>
      <c r="T110" s="4" t="s">
        <v>12</v>
      </c>
      <c r="V110" s="28" t="str">
        <f>MID(VLOOKUP($A110,Seqs!$A:$B,2,FALSE),VLOOKUP($A110,'SegEnds_NonXtal_Prot#'!A:AL,10,FALSE),1)</f>
        <v>D</v>
      </c>
      <c r="W110" s="49" t="str">
        <f>MID(VLOOKUP($A110,Seqs!$A:$B,2,FALSE),VLOOKUP($A110,'SegEnds_NonXtal_Prot#'!A:AL,10,FALSE)+6,1)</f>
        <v>T</v>
      </c>
      <c r="X110" s="49" t="str">
        <f>MID(VLOOKUP($A110,Seqs!$A:$B,2,FALSE),VLOOKUP($A110,'SegEnds_NonXtal_Prot#'!A:AL,10,FALSE)+7,1)</f>
        <v>L</v>
      </c>
      <c r="Y110" s="49" t="str">
        <f>MID(VLOOKUP($A110,Seqs!$A:$B,2,FALSE),VLOOKUP($A110,'SegEnds_NonXtal_Prot#'!A:AL,10,FALSE)+8,1)</f>
        <v>P</v>
      </c>
      <c r="Z110" s="49" t="str">
        <f>MID(VLOOKUP($A110,Seqs!$A:$B,2,FALSE),VLOOKUP($A110,'SegEnds_NonXtal_Prot#'!A:AL,10,FALSE)+9,1)</f>
        <v>F</v>
      </c>
      <c r="AA110" s="49" t="str">
        <f>MID(VLOOKUP($A110,Seqs!$A:$B,2,FALSE),VLOOKUP($A110,'SegEnds_NonXtal_Prot#'!A:AL,10,FALSE)+10,1)</f>
        <v>F</v>
      </c>
      <c r="AB110" s="28" t="str">
        <f>MID(VLOOKUP($A110,Seqs!$A:$B,2,FALSE),VLOOKUP($A110,'SegEnds_NonXtal_Prot#'!$A:$AL,22,FALSE)+6,1)</f>
        <v>L</v>
      </c>
      <c r="AC110" s="49" t="str">
        <f>MID(VLOOKUP($A110,Seqs!$A:$B,2,FALSE),VLOOKUP($A110,'SegEnds_NonXtal_Prot#'!$A:$AL,22,FALSE)+7,1)</f>
        <v>T</v>
      </c>
      <c r="AD110" s="49" t="str">
        <f>MID(VLOOKUP($A110,Seqs!$A:$B,2,FALSE),VLOOKUP($A110,'SegEnds_NonXtal_Prot#'!$A:$AL,22,FALSE)+8,1)</f>
        <v>L</v>
      </c>
      <c r="AE110" s="49" t="str">
        <f>MID(VLOOKUP($A110,Seqs!$A:$B,2,FALSE),VLOOKUP($A110,'SegEnds_NonXtal_Prot#'!$A:$AL,22,FALSE)+9,1)</f>
        <v>P</v>
      </c>
      <c r="AF110" s="49" t="str">
        <f>MID(VLOOKUP($A110,Seqs!$A:$B,2,FALSE),VLOOKUP($A110,'SegEnds_NonXtal_Prot#'!$A:$AL,22,FALSE)+10,1)</f>
        <v>V</v>
      </c>
      <c r="AG110" s="28" t="str">
        <f>MID(VLOOKUP($A110,Seqs!$A:$B,2,FALSE),VLOOKUP($A110,'SegEnds_NonXtal_Prot#'!$A:$AL,28,FALSE)-4,1)</f>
        <v>G</v>
      </c>
      <c r="AH110" s="49" t="str">
        <f>MID(VLOOKUP($A110,Seqs!$A:$B,2,FALSE),VLOOKUP($A110,'SegEnds_NonXtal_Prot#'!$A:$AL,28,FALSE),1)</f>
        <v>P</v>
      </c>
    </row>
    <row r="111" spans="1:34" s="2" customFormat="1" x14ac:dyDescent="0.2">
      <c r="A111" s="2" t="s">
        <v>202</v>
      </c>
      <c r="B111" s="2" t="str">
        <f>LOWER(VLOOKUP(A111,Xtal_Templ!A:B,2,FALSE))</f>
        <v>pd2r2_human</v>
      </c>
      <c r="C111" s="2" t="str">
        <f>VLOOKUP(A111,Classification!A:D,2,FALSE)</f>
        <v>A</v>
      </c>
      <c r="D111" s="2" t="str">
        <f>IF(ISERROR(MATCH(A111,'SegEnds_Xtal_Prot#'!B:B, 0)), "NoXtal", "Xtal")</f>
        <v>NoXtal</v>
      </c>
      <c r="H111" s="4"/>
      <c r="N111" s="2" t="s">
        <v>14</v>
      </c>
      <c r="R111" s="2" t="s">
        <v>9</v>
      </c>
      <c r="T111" s="4" t="s">
        <v>12</v>
      </c>
      <c r="V111" s="28" t="str">
        <f>MID(VLOOKUP($A111,Seqs!$A:$B,2,FALSE),VLOOKUP($A111,'SegEnds_NonXtal_Prot#'!A:AL,10,FALSE),1)</f>
        <v>D</v>
      </c>
      <c r="W111" s="49" t="str">
        <f>MID(VLOOKUP($A111,Seqs!$A:$B,2,FALSE),VLOOKUP($A111,'SegEnds_NonXtal_Prot#'!A:AL,10,FALSE)+6,1)</f>
        <v>T</v>
      </c>
      <c r="X111" s="49" t="str">
        <f>MID(VLOOKUP($A111,Seqs!$A:$B,2,FALSE),VLOOKUP($A111,'SegEnds_NonXtal_Prot#'!A:AL,10,FALSE)+7,1)</f>
        <v>L</v>
      </c>
      <c r="Y111" s="49" t="str">
        <f>MID(VLOOKUP($A111,Seqs!$A:$B,2,FALSE),VLOOKUP($A111,'SegEnds_NonXtal_Prot#'!A:AL,10,FALSE)+8,1)</f>
        <v>P</v>
      </c>
      <c r="Z111" s="49" t="str">
        <f>MID(VLOOKUP($A111,Seqs!$A:$B,2,FALSE),VLOOKUP($A111,'SegEnds_NonXtal_Prot#'!A:AL,10,FALSE)+9,1)</f>
        <v>F</v>
      </c>
      <c r="AA111" s="49" t="str">
        <f>MID(VLOOKUP($A111,Seqs!$A:$B,2,FALSE),VLOOKUP($A111,'SegEnds_NonXtal_Prot#'!A:AL,10,FALSE)+10,1)</f>
        <v>L</v>
      </c>
      <c r="AB111" s="28" t="str">
        <f>MID(VLOOKUP($A111,Seqs!$A:$B,2,FALSE),VLOOKUP($A111,'SegEnds_NonXtal_Prot#'!$A:$AL,22,FALSE)+6,1)</f>
        <v>L</v>
      </c>
      <c r="AC111" s="49" t="str">
        <f>MID(VLOOKUP($A111,Seqs!$A:$B,2,FALSE),VLOOKUP($A111,'SegEnds_NonXtal_Prot#'!$A:$AL,22,FALSE)+7,1)</f>
        <v>T</v>
      </c>
      <c r="AD111" s="49" t="str">
        <f>MID(VLOOKUP($A111,Seqs!$A:$B,2,FALSE),VLOOKUP($A111,'SegEnds_NonXtal_Prot#'!$A:$AL,22,FALSE)+8,1)</f>
        <v>L</v>
      </c>
      <c r="AE111" s="49" t="str">
        <f>MID(VLOOKUP($A111,Seqs!$A:$B,2,FALSE),VLOOKUP($A111,'SegEnds_NonXtal_Prot#'!$A:$AL,22,FALSE)+9,1)</f>
        <v>P</v>
      </c>
      <c r="AF111" s="49" t="str">
        <f>MID(VLOOKUP($A111,Seqs!$A:$B,2,FALSE),VLOOKUP($A111,'SegEnds_NonXtal_Prot#'!$A:$AL,22,FALSE)+10,1)</f>
        <v>V</v>
      </c>
      <c r="AG111" s="28" t="str">
        <f>MID(VLOOKUP($A111,Seqs!$A:$B,2,FALSE),VLOOKUP($A111,'SegEnds_NonXtal_Prot#'!$A:$AL,28,FALSE)-4,1)</f>
        <v>G</v>
      </c>
      <c r="AH111" s="49" t="str">
        <f>MID(VLOOKUP($A111,Seqs!$A:$B,2,FALSE),VLOOKUP($A111,'SegEnds_NonXtal_Prot#'!$A:$AL,28,FALSE),1)</f>
        <v>P</v>
      </c>
    </row>
    <row r="112" spans="1:34" s="2" customFormat="1" x14ac:dyDescent="0.2">
      <c r="A112" s="2" t="s">
        <v>203</v>
      </c>
      <c r="B112" s="2" t="str">
        <f>LOWER(VLOOKUP(A112,Xtal_Templ!A:B,2,FALSE))</f>
        <v>pd2r2_human</v>
      </c>
      <c r="C112" s="2" t="str">
        <f>VLOOKUP(A112,Classification!A:D,2,FALSE)</f>
        <v>A</v>
      </c>
      <c r="D112" s="2" t="str">
        <f>IF(ISERROR(MATCH(A112,'SegEnds_Xtal_Prot#'!B:B, 0)), "NoXtal", "Xtal")</f>
        <v>NoXtal</v>
      </c>
      <c r="H112" s="4"/>
      <c r="N112" s="2" t="s">
        <v>14</v>
      </c>
      <c r="R112" s="2" t="s">
        <v>9</v>
      </c>
      <c r="T112" s="4" t="s">
        <v>12</v>
      </c>
      <c r="V112" s="28" t="str">
        <f>MID(VLOOKUP($A112,Seqs!$A:$B,2,FALSE),VLOOKUP($A112,'SegEnds_NonXtal_Prot#'!A:AL,10,FALSE),1)</f>
        <v>D</v>
      </c>
      <c r="W112" s="49" t="str">
        <f>MID(VLOOKUP($A112,Seqs!$A:$B,2,FALSE),VLOOKUP($A112,'SegEnds_NonXtal_Prot#'!A:AL,10,FALSE)+6,1)</f>
        <v>I</v>
      </c>
      <c r="X112" s="49" t="str">
        <f>MID(VLOOKUP($A112,Seqs!$A:$B,2,FALSE),VLOOKUP($A112,'SegEnds_NonXtal_Prot#'!A:AL,10,FALSE)+7,1)</f>
        <v>L</v>
      </c>
      <c r="Y112" s="49" t="str">
        <f>MID(VLOOKUP($A112,Seqs!$A:$B,2,FALSE),VLOOKUP($A112,'SegEnds_NonXtal_Prot#'!A:AL,10,FALSE)+8,1)</f>
        <v>P</v>
      </c>
      <c r="Z112" s="49" t="str">
        <f>MID(VLOOKUP($A112,Seqs!$A:$B,2,FALSE),VLOOKUP($A112,'SegEnds_NonXtal_Prot#'!A:AL,10,FALSE)+9,1)</f>
        <v>F</v>
      </c>
      <c r="AA112" s="49" t="str">
        <f>MID(VLOOKUP($A112,Seqs!$A:$B,2,FALSE),VLOOKUP($A112,'SegEnds_NonXtal_Prot#'!A:AL,10,FALSE)+10,1)</f>
        <v>R</v>
      </c>
      <c r="AB112" s="28" t="str">
        <f>MID(VLOOKUP($A112,Seqs!$A:$B,2,FALSE),VLOOKUP($A112,'SegEnds_NonXtal_Prot#'!$A:$AL,22,FALSE)+6,1)</f>
        <v>L</v>
      </c>
      <c r="AC112" s="49" t="str">
        <f>MID(VLOOKUP($A112,Seqs!$A:$B,2,FALSE),VLOOKUP($A112,'SegEnds_NonXtal_Prot#'!$A:$AL,22,FALSE)+7,1)</f>
        <v>T</v>
      </c>
      <c r="AD112" s="49" t="str">
        <f>MID(VLOOKUP($A112,Seqs!$A:$B,2,FALSE),VLOOKUP($A112,'SegEnds_NonXtal_Prot#'!$A:$AL,22,FALSE)+8,1)</f>
        <v>L</v>
      </c>
      <c r="AE112" s="49" t="str">
        <f>MID(VLOOKUP($A112,Seqs!$A:$B,2,FALSE),VLOOKUP($A112,'SegEnds_NonXtal_Prot#'!$A:$AL,22,FALSE)+9,1)</f>
        <v>P</v>
      </c>
      <c r="AF112" s="49" t="str">
        <f>MID(VLOOKUP($A112,Seqs!$A:$B,2,FALSE),VLOOKUP($A112,'SegEnds_NonXtal_Prot#'!$A:$AL,22,FALSE)+10,1)</f>
        <v>N</v>
      </c>
      <c r="AG112" s="28" t="str">
        <f>MID(VLOOKUP($A112,Seqs!$A:$B,2,FALSE),VLOOKUP($A112,'SegEnds_NonXtal_Prot#'!$A:$AL,28,FALSE)-4,1)</f>
        <v>G</v>
      </c>
      <c r="AH112" s="49" t="str">
        <f>MID(VLOOKUP($A112,Seqs!$A:$B,2,FALSE),VLOOKUP($A112,'SegEnds_NonXtal_Prot#'!$A:$AL,28,FALSE),1)</f>
        <v>P</v>
      </c>
    </row>
    <row r="113" spans="1:34" s="2" customFormat="1" x14ac:dyDescent="0.2">
      <c r="A113" s="2" t="s">
        <v>293</v>
      </c>
      <c r="B113" s="2" t="str">
        <f>LOWER(VLOOKUP(A113,Xtal_Templ!A:B,2,FALSE))</f>
        <v>pd2r2_human</v>
      </c>
      <c r="C113" s="2" t="str">
        <f>VLOOKUP(A113,Classification!A:D,2,FALSE)</f>
        <v>A</v>
      </c>
      <c r="D113" s="2" t="str">
        <f>IF(ISERROR(MATCH(A113,'SegEnds_Xtal_Prot#'!B:B, 0)), "NoXtal", "Xtal")</f>
        <v>NoXtal</v>
      </c>
      <c r="H113" s="4"/>
      <c r="N113" s="2" t="s">
        <v>14</v>
      </c>
      <c r="R113" s="2" t="s">
        <v>9</v>
      </c>
      <c r="T113" s="4" t="s">
        <v>12</v>
      </c>
      <c r="V113" s="28" t="str">
        <f>MID(VLOOKUP($A113,Seqs!$A:$B,2,FALSE),VLOOKUP($A113,'SegEnds_NonXtal_Prot#'!A:AL,10,FALSE),1)</f>
        <v>D</v>
      </c>
      <c r="W113" s="49" t="str">
        <f>MID(VLOOKUP($A113,Seqs!$A:$B,2,FALSE),VLOOKUP($A113,'SegEnds_NonXtal_Prot#'!A:AL,10,FALSE)+6,1)</f>
        <v>L</v>
      </c>
      <c r="X113" s="49" t="str">
        <f>MID(VLOOKUP($A113,Seqs!$A:$B,2,FALSE),VLOOKUP($A113,'SegEnds_NonXtal_Prot#'!A:AL,10,FALSE)+7,1)</f>
        <v>T</v>
      </c>
      <c r="Y113" s="49" t="str">
        <f>MID(VLOOKUP($A113,Seqs!$A:$B,2,FALSE),VLOOKUP($A113,'SegEnds_NonXtal_Prot#'!A:AL,10,FALSE)+8,1)</f>
        <v>P</v>
      </c>
      <c r="Z113" s="49" t="str">
        <f>MID(VLOOKUP($A113,Seqs!$A:$B,2,FALSE),VLOOKUP($A113,'SegEnds_NonXtal_Prot#'!A:AL,10,FALSE)+9,1)</f>
        <v>L</v>
      </c>
      <c r="AA113" s="49" t="str">
        <f>MID(VLOOKUP($A113,Seqs!$A:$B,2,FALSE),VLOOKUP($A113,'SegEnds_NonXtal_Prot#'!A:AL,10,FALSE)+10,1)</f>
        <v>F</v>
      </c>
      <c r="AB113" s="28" t="str">
        <f>MID(VLOOKUP($A113,Seqs!$A:$B,2,FALSE),VLOOKUP($A113,'SegEnds_NonXtal_Prot#'!$A:$AL,22,FALSE)+6,1)</f>
        <v>L</v>
      </c>
      <c r="AC113" s="49" t="str">
        <f>MID(VLOOKUP($A113,Seqs!$A:$B,2,FALSE),VLOOKUP($A113,'SegEnds_NonXtal_Prot#'!$A:$AL,22,FALSE)+7,1)</f>
        <v>A</v>
      </c>
      <c r="AD113" s="49" t="str">
        <f>MID(VLOOKUP($A113,Seqs!$A:$B,2,FALSE),VLOOKUP($A113,'SegEnds_NonXtal_Prot#'!$A:$AL,22,FALSE)+8,1)</f>
        <v>V</v>
      </c>
      <c r="AE113" s="49" t="str">
        <f>MID(VLOOKUP($A113,Seqs!$A:$B,2,FALSE),VLOOKUP($A113,'SegEnds_NonXtal_Prot#'!$A:$AL,22,FALSE)+9,1)</f>
        <v>P</v>
      </c>
      <c r="AF113" s="49" t="str">
        <f>MID(VLOOKUP($A113,Seqs!$A:$B,2,FALSE),VLOOKUP($A113,'SegEnds_NonXtal_Prot#'!$A:$AL,22,FALSE)+10,1)</f>
        <v>A</v>
      </c>
      <c r="AG113" s="28" t="str">
        <f>MID(VLOOKUP($A113,Seqs!$A:$B,2,FALSE),VLOOKUP($A113,'SegEnds_NonXtal_Prot#'!$A:$AL,28,FALSE)-4,1)</f>
        <v>A</v>
      </c>
      <c r="AH113" s="49" t="str">
        <f>MID(VLOOKUP($A113,Seqs!$A:$B,2,FALSE),VLOOKUP($A113,'SegEnds_NonXtal_Prot#'!$A:$AL,28,FALSE),1)</f>
        <v>P</v>
      </c>
    </row>
    <row r="114" spans="1:34" s="2" customFormat="1" x14ac:dyDescent="0.2">
      <c r="A114" s="2" t="s">
        <v>156</v>
      </c>
      <c r="B114" s="2" t="str">
        <f>LOWER(VLOOKUP(A114,Xtal_Templ!A:B,2,FALSE))</f>
        <v>drd2_human</v>
      </c>
      <c r="C114" s="2" t="str">
        <f>VLOOKUP(A114,Classification!A:D,2,FALSE)</f>
        <v>A</v>
      </c>
      <c r="D114" s="2" t="str">
        <f>IF(ISERROR(MATCH(A114,'SegEnds_Xtal_Prot#'!B:B, 0)), "NoXtal", "Xtal")</f>
        <v>NoXtal</v>
      </c>
      <c r="G114" s="2" t="s">
        <v>5</v>
      </c>
      <c r="H114" s="4"/>
      <c r="R114" s="2" t="s">
        <v>9</v>
      </c>
      <c r="T114" s="4" t="s">
        <v>12</v>
      </c>
      <c r="V114" s="28" t="str">
        <f>MID(VLOOKUP($A114,Seqs!$A:$B,2,FALSE),VLOOKUP($A114,'SegEnds_NonXtal_Prot#'!A:AL,10,FALSE),1)</f>
        <v>D</v>
      </c>
      <c r="W114" s="49" t="str">
        <f>MID(VLOOKUP($A114,Seqs!$A:$B,2,FALSE),VLOOKUP($A114,'SegEnds_NonXtal_Prot#'!A:AL,10,FALSE)+6,1)</f>
        <v>L</v>
      </c>
      <c r="X114" s="49" t="str">
        <f>MID(VLOOKUP($A114,Seqs!$A:$B,2,FALSE),VLOOKUP($A114,'SegEnds_NonXtal_Prot#'!A:AL,10,FALSE)+7,1)</f>
        <v>I</v>
      </c>
      <c r="Y114" s="49" t="str">
        <f>MID(VLOOKUP($A114,Seqs!$A:$B,2,FALSE),VLOOKUP($A114,'SegEnds_NonXtal_Prot#'!A:AL,10,FALSE)+8,1)</f>
        <v>I</v>
      </c>
      <c r="Z114" s="49" t="str">
        <f>MID(VLOOKUP($A114,Seqs!$A:$B,2,FALSE),VLOOKUP($A114,'SegEnds_NonXtal_Prot#'!A:AL,10,FALSE)+9,1)</f>
        <v>P</v>
      </c>
      <c r="AA114" s="49" t="str">
        <f>MID(VLOOKUP($A114,Seqs!$A:$B,2,FALSE),VLOOKUP($A114,'SegEnds_NonXtal_Prot#'!A:AL,10,FALSE)+10,1)</f>
        <v>F</v>
      </c>
      <c r="AB114" s="28" t="str">
        <f>MID(VLOOKUP($A114,Seqs!$A:$B,2,FALSE),VLOOKUP($A114,'SegEnds_NonXtal_Prot#'!$A:$AL,22,FALSE)+6,1)</f>
        <v>I</v>
      </c>
      <c r="AC114" s="49" t="str">
        <f>MID(VLOOKUP($A114,Seqs!$A:$B,2,FALSE),VLOOKUP($A114,'SegEnds_NonXtal_Prot#'!$A:$AL,22,FALSE)+7,1)</f>
        <v>S</v>
      </c>
      <c r="AD114" s="49" t="str">
        <f>MID(VLOOKUP($A114,Seqs!$A:$B,2,FALSE),VLOOKUP($A114,'SegEnds_NonXtal_Prot#'!$A:$AL,22,FALSE)+8,1)</f>
        <v>L</v>
      </c>
      <c r="AE114" s="49" t="str">
        <f>MID(VLOOKUP($A114,Seqs!$A:$B,2,FALSE),VLOOKUP($A114,'SegEnds_NonXtal_Prot#'!$A:$AL,22,FALSE)+9,1)</f>
        <v>P</v>
      </c>
      <c r="AF114" s="49" t="str">
        <f>MID(VLOOKUP($A114,Seqs!$A:$B,2,FALSE),VLOOKUP($A114,'SegEnds_NonXtal_Prot#'!$A:$AL,22,FALSE)+10,1)</f>
        <v>P</v>
      </c>
      <c r="AG114" s="28" t="str">
        <f>MID(VLOOKUP($A114,Seqs!$A:$B,2,FALSE),VLOOKUP($A114,'SegEnds_NonXtal_Prot#'!$A:$AL,28,FALSE)-4,1)</f>
        <v>S</v>
      </c>
      <c r="AH114" s="49" t="str">
        <f>MID(VLOOKUP($A114,Seqs!$A:$B,2,FALSE),VLOOKUP($A114,'SegEnds_NonXtal_Prot#'!$A:$AL,28,FALSE),1)</f>
        <v>P</v>
      </c>
    </row>
    <row r="115" spans="1:34" s="2" customFormat="1" x14ac:dyDescent="0.2">
      <c r="A115" s="2" t="s">
        <v>191</v>
      </c>
      <c r="B115" s="2" t="str">
        <f>LOWER(VLOOKUP(A115,Xtal_Templ!A:B,2,FALSE))</f>
        <v>drd2_human</v>
      </c>
      <c r="C115" s="2" t="str">
        <f>VLOOKUP(A115,Classification!A:D,2,FALSE)</f>
        <v>A</v>
      </c>
      <c r="D115" s="2" t="str">
        <f>IF(ISERROR(MATCH(A115,'SegEnds_Xtal_Prot#'!B:B, 0)), "NoXtal", "Xtal")</f>
        <v>Xtal</v>
      </c>
      <c r="G115" s="2" t="s">
        <v>5</v>
      </c>
      <c r="H115" s="4"/>
      <c r="N115" s="2" t="s">
        <v>14</v>
      </c>
      <c r="R115" s="2" t="s">
        <v>9</v>
      </c>
      <c r="T115" s="4" t="s">
        <v>12</v>
      </c>
      <c r="V115" s="28" t="str">
        <f>MID(VLOOKUP($A115,Seqs!$A:$B,2,FALSE),VLOOKUP($A115,'SegEnds_NonXtal_Prot#'!A:AL,10,FALSE),1)</f>
        <v>D</v>
      </c>
      <c r="W115" s="49" t="str">
        <f>MID(VLOOKUP($A115,Seqs!$A:$B,2,FALSE),VLOOKUP($A115,'SegEnds_NonXtal_Prot#'!A:AL,10,FALSE)+6,1)</f>
        <v>L</v>
      </c>
      <c r="X115" s="49" t="str">
        <f>MID(VLOOKUP($A115,Seqs!$A:$B,2,FALSE),VLOOKUP($A115,'SegEnds_NonXtal_Prot#'!A:AL,10,FALSE)+7,1)</f>
        <v>V</v>
      </c>
      <c r="Y115" s="49" t="str">
        <f>MID(VLOOKUP($A115,Seqs!$A:$B,2,FALSE),VLOOKUP($A115,'SegEnds_NonXtal_Prot#'!A:AL,10,FALSE)+8,1)</f>
        <v>M</v>
      </c>
      <c r="Z115" s="49" t="str">
        <f>MID(VLOOKUP($A115,Seqs!$A:$B,2,FALSE),VLOOKUP($A115,'SegEnds_NonXtal_Prot#'!A:AL,10,FALSE)+9,1)</f>
        <v>P</v>
      </c>
      <c r="AA115" s="49" t="str">
        <f>MID(VLOOKUP($A115,Seqs!$A:$B,2,FALSE),VLOOKUP($A115,'SegEnds_NonXtal_Prot#'!A:AL,10,FALSE)+10,1)</f>
        <v>W</v>
      </c>
      <c r="AB115" s="28" t="str">
        <f>MID(VLOOKUP($A115,Seqs!$A:$B,2,FALSE),VLOOKUP($A115,'SegEnds_NonXtal_Prot#'!$A:$AL,22,FALSE)+6,1)</f>
        <v>I</v>
      </c>
      <c r="AC115" s="49" t="str">
        <f>MID(VLOOKUP($A115,Seqs!$A:$B,2,FALSE),VLOOKUP($A115,'SegEnds_NonXtal_Prot#'!$A:$AL,22,FALSE)+7,1)</f>
        <v>S</v>
      </c>
      <c r="AD115" s="49" t="str">
        <f>MID(VLOOKUP($A115,Seqs!$A:$B,2,FALSE),VLOOKUP($A115,'SegEnds_NonXtal_Prot#'!$A:$AL,22,FALSE)+8,1)</f>
        <v>C</v>
      </c>
      <c r="AE115" s="49" t="str">
        <f>MID(VLOOKUP($A115,Seqs!$A:$B,2,FALSE),VLOOKUP($A115,'SegEnds_NonXtal_Prot#'!$A:$AL,22,FALSE)+9,1)</f>
        <v>P</v>
      </c>
      <c r="AF115" s="49" t="str">
        <f>MID(VLOOKUP($A115,Seqs!$A:$B,2,FALSE),VLOOKUP($A115,'SegEnds_NonXtal_Prot#'!$A:$AL,22,FALSE)+10,1)</f>
        <v>L</v>
      </c>
      <c r="AG115" s="28" t="str">
        <f>MID(VLOOKUP($A115,Seqs!$A:$B,2,FALSE),VLOOKUP($A115,'SegEnds_NonXtal_Prot#'!$A:$AL,28,FALSE)-4,1)</f>
        <v>S</v>
      </c>
      <c r="AH115" s="49" t="str">
        <f>MID(VLOOKUP($A115,Seqs!$A:$B,2,FALSE),VLOOKUP($A115,'SegEnds_NonXtal_Prot#'!$A:$AL,28,FALSE),1)</f>
        <v>P</v>
      </c>
    </row>
    <row r="116" spans="1:34" s="2" customFormat="1" x14ac:dyDescent="0.2">
      <c r="A116" s="2" t="s">
        <v>192</v>
      </c>
      <c r="B116" s="2" t="str">
        <f>LOWER(VLOOKUP(A116,Xtal_Templ!A:B,2,FALSE))</f>
        <v>drd3_human</v>
      </c>
      <c r="C116" s="2" t="str">
        <f>VLOOKUP(A116,Classification!A:D,2,FALSE)</f>
        <v>A</v>
      </c>
      <c r="D116" s="2" t="str">
        <f>IF(ISERROR(MATCH(A116,'SegEnds_Xtal_Prot#'!B:B, 0)), "NoXtal", "Xtal")</f>
        <v>Xtal</v>
      </c>
      <c r="G116" s="2" t="s">
        <v>5</v>
      </c>
      <c r="H116" s="4"/>
      <c r="N116" s="2" t="s">
        <v>14</v>
      </c>
      <c r="R116" s="2" t="s">
        <v>9</v>
      </c>
      <c r="T116" s="4" t="s">
        <v>12</v>
      </c>
      <c r="V116" s="28" t="str">
        <f>MID(VLOOKUP($A116,Seqs!$A:$B,2,FALSE),VLOOKUP($A116,'SegEnds_NonXtal_Prot#'!A:AL,10,FALSE),1)</f>
        <v>D</v>
      </c>
      <c r="W116" s="49" t="str">
        <f>MID(VLOOKUP($A116,Seqs!$A:$B,2,FALSE),VLOOKUP($A116,'SegEnds_NonXtal_Prot#'!A:AL,10,FALSE)+6,1)</f>
        <v>L</v>
      </c>
      <c r="X116" s="49" t="str">
        <f>MID(VLOOKUP($A116,Seqs!$A:$B,2,FALSE),VLOOKUP($A116,'SegEnds_NonXtal_Prot#'!A:AL,10,FALSE)+7,1)</f>
        <v>V</v>
      </c>
      <c r="Y116" s="49" t="str">
        <f>MID(VLOOKUP($A116,Seqs!$A:$B,2,FALSE),VLOOKUP($A116,'SegEnds_NonXtal_Prot#'!A:AL,10,FALSE)+8,1)</f>
        <v>M</v>
      </c>
      <c r="Z116" s="49" t="str">
        <f>MID(VLOOKUP($A116,Seqs!$A:$B,2,FALSE),VLOOKUP($A116,'SegEnds_NonXtal_Prot#'!A:AL,10,FALSE)+9,1)</f>
        <v>P</v>
      </c>
      <c r="AA116" s="49" t="str">
        <f>MID(VLOOKUP($A116,Seqs!$A:$B,2,FALSE),VLOOKUP($A116,'SegEnds_NonXtal_Prot#'!A:AL,10,FALSE)+10,1)</f>
        <v>W</v>
      </c>
      <c r="AB116" s="28" t="str">
        <f>MID(VLOOKUP($A116,Seqs!$A:$B,2,FALSE),VLOOKUP($A116,'SegEnds_NonXtal_Prot#'!$A:$AL,22,FALSE)+6,1)</f>
        <v>V</v>
      </c>
      <c r="AC116" s="49" t="str">
        <f>MID(VLOOKUP($A116,Seqs!$A:$B,2,FALSE),VLOOKUP($A116,'SegEnds_NonXtal_Prot#'!$A:$AL,22,FALSE)+7,1)</f>
        <v>S</v>
      </c>
      <c r="AD116" s="49" t="str">
        <f>MID(VLOOKUP($A116,Seqs!$A:$B,2,FALSE),VLOOKUP($A116,'SegEnds_NonXtal_Prot#'!$A:$AL,22,FALSE)+8,1)</f>
        <v>C</v>
      </c>
      <c r="AE116" s="49" t="str">
        <f>MID(VLOOKUP($A116,Seqs!$A:$B,2,FALSE),VLOOKUP($A116,'SegEnds_NonXtal_Prot#'!$A:$AL,22,FALSE)+9,1)</f>
        <v>P</v>
      </c>
      <c r="AF116" s="49" t="str">
        <f>MID(VLOOKUP($A116,Seqs!$A:$B,2,FALSE),VLOOKUP($A116,'SegEnds_NonXtal_Prot#'!$A:$AL,22,FALSE)+10,1)</f>
        <v>L</v>
      </c>
      <c r="AG116" s="28" t="str">
        <f>MID(VLOOKUP($A116,Seqs!$A:$B,2,FALSE),VLOOKUP($A116,'SegEnds_NonXtal_Prot#'!$A:$AL,28,FALSE)-4,1)</f>
        <v>S</v>
      </c>
      <c r="AH116" s="49" t="str">
        <f>MID(VLOOKUP($A116,Seqs!$A:$B,2,FALSE),VLOOKUP($A116,'SegEnds_NonXtal_Prot#'!$A:$AL,28,FALSE),1)</f>
        <v>P</v>
      </c>
    </row>
    <row r="117" spans="1:34" s="2" customFormat="1" x14ac:dyDescent="0.2">
      <c r="A117" s="2" t="s">
        <v>193</v>
      </c>
      <c r="B117" s="2" t="str">
        <f>LOWER(VLOOKUP(A117,Xtal_Templ!A:B,2,FALSE))</f>
        <v>drd4_human</v>
      </c>
      <c r="C117" s="2" t="str">
        <f>VLOOKUP(A117,Classification!A:D,2,FALSE)</f>
        <v>A</v>
      </c>
      <c r="D117" s="2" t="str">
        <f>IF(ISERROR(MATCH(A117,'SegEnds_Xtal_Prot#'!B:B, 0)), "NoXtal", "Xtal")</f>
        <v>Xtal</v>
      </c>
      <c r="G117" s="2" t="s">
        <v>5</v>
      </c>
      <c r="H117" s="4"/>
      <c r="N117" s="2" t="s">
        <v>14</v>
      </c>
      <c r="R117" s="2" t="s">
        <v>9</v>
      </c>
      <c r="T117" s="4" t="s">
        <v>12</v>
      </c>
      <c r="V117" s="28" t="str">
        <f>MID(VLOOKUP($A117,Seqs!$A:$B,2,FALSE),VLOOKUP($A117,'SegEnds_NonXtal_Prot#'!A:AL,10,FALSE),1)</f>
        <v>D</v>
      </c>
      <c r="W117" s="49" t="str">
        <f>MID(VLOOKUP($A117,Seqs!$A:$B,2,FALSE),VLOOKUP($A117,'SegEnds_NonXtal_Prot#'!A:AL,10,FALSE)+6,1)</f>
        <v>L</v>
      </c>
      <c r="X117" s="49" t="str">
        <f>MID(VLOOKUP($A117,Seqs!$A:$B,2,FALSE),VLOOKUP($A117,'SegEnds_NonXtal_Prot#'!A:AL,10,FALSE)+7,1)</f>
        <v>V</v>
      </c>
      <c r="Y117" s="49" t="str">
        <f>MID(VLOOKUP($A117,Seqs!$A:$B,2,FALSE),VLOOKUP($A117,'SegEnds_NonXtal_Prot#'!A:AL,10,FALSE)+8,1)</f>
        <v>L</v>
      </c>
      <c r="Z117" s="49" t="str">
        <f>MID(VLOOKUP($A117,Seqs!$A:$B,2,FALSE),VLOOKUP($A117,'SegEnds_NonXtal_Prot#'!A:AL,10,FALSE)+9,1)</f>
        <v>P</v>
      </c>
      <c r="AA117" s="49" t="str">
        <f>MID(VLOOKUP($A117,Seqs!$A:$B,2,FALSE),VLOOKUP($A117,'SegEnds_NonXtal_Prot#'!A:AL,10,FALSE)+10,1)</f>
        <v>L</v>
      </c>
      <c r="AB117" s="28" t="str">
        <f>MID(VLOOKUP($A117,Seqs!$A:$B,2,FALSE),VLOOKUP($A117,'SegEnds_NonXtal_Prot#'!$A:$AL,22,FALSE)+6,1)</f>
        <v>V</v>
      </c>
      <c r="AC117" s="49" t="str">
        <f>MID(VLOOKUP($A117,Seqs!$A:$B,2,FALSE),VLOOKUP($A117,'SegEnds_NonXtal_Prot#'!$A:$AL,22,FALSE)+7,1)</f>
        <v>A</v>
      </c>
      <c r="AD117" s="49" t="str">
        <f>MID(VLOOKUP($A117,Seqs!$A:$B,2,FALSE),VLOOKUP($A117,'SegEnds_NonXtal_Prot#'!$A:$AL,22,FALSE)+8,1)</f>
        <v>A</v>
      </c>
      <c r="AE117" s="49" t="str">
        <f>MID(VLOOKUP($A117,Seqs!$A:$B,2,FALSE),VLOOKUP($A117,'SegEnds_NonXtal_Prot#'!$A:$AL,22,FALSE)+9,1)</f>
        <v>P</v>
      </c>
      <c r="AF117" s="49" t="str">
        <f>MID(VLOOKUP($A117,Seqs!$A:$B,2,FALSE),VLOOKUP($A117,'SegEnds_NonXtal_Prot#'!$A:$AL,22,FALSE)+10,1)</f>
        <v>V</v>
      </c>
      <c r="AG117" s="28" t="str">
        <f>MID(VLOOKUP($A117,Seqs!$A:$B,2,FALSE),VLOOKUP($A117,'SegEnds_NonXtal_Prot#'!$A:$AL,28,FALSE)-4,1)</f>
        <v>S</v>
      </c>
      <c r="AH117" s="49" t="str">
        <f>MID(VLOOKUP($A117,Seqs!$A:$B,2,FALSE),VLOOKUP($A117,'SegEnds_NonXtal_Prot#'!$A:$AL,28,FALSE),1)</f>
        <v>P</v>
      </c>
    </row>
    <row r="118" spans="1:34" s="2" customFormat="1" x14ac:dyDescent="0.2">
      <c r="A118" s="2" t="s">
        <v>263</v>
      </c>
      <c r="B118" s="2" t="str">
        <f>LOWER(VLOOKUP(A118,Xtal_Templ!A:B,2,FALSE))</f>
        <v>ox2r_human</v>
      </c>
      <c r="C118" s="2" t="str">
        <f>VLOOKUP(A118,Classification!A:D,2,FALSE)</f>
        <v>A</v>
      </c>
      <c r="D118" s="2" t="str">
        <f>IF(ISERROR(MATCH(A118,'SegEnds_Xtal_Prot#'!B:B, 0)), "NoXtal", "Xtal")</f>
        <v>NoXtal</v>
      </c>
      <c r="G118" s="2" t="s">
        <v>5</v>
      </c>
      <c r="H118" s="4"/>
      <c r="R118" s="2" t="s">
        <v>9</v>
      </c>
      <c r="T118" s="4" t="s">
        <v>12</v>
      </c>
      <c r="V118" s="28" t="str">
        <f>MID(VLOOKUP($A118,Seqs!$A:$B,2,FALSE),VLOOKUP($A118,'SegEnds_NonXtal_Prot#'!A:AL,10,FALSE),1)</f>
        <v>D</v>
      </c>
      <c r="W118" s="49" t="str">
        <f>MID(VLOOKUP($A118,Seqs!$A:$B,2,FALSE),VLOOKUP($A118,'SegEnds_NonXtal_Prot#'!A:AL,10,FALSE)+6,1)</f>
        <v>T</v>
      </c>
      <c r="X118" s="49" t="str">
        <f>MID(VLOOKUP($A118,Seqs!$A:$B,2,FALSE),VLOOKUP($A118,'SegEnds_NonXtal_Prot#'!A:AL,10,FALSE)+7,1)</f>
        <v>L</v>
      </c>
      <c r="Y118" s="49" t="str">
        <f>MID(VLOOKUP($A118,Seqs!$A:$B,2,FALSE),VLOOKUP($A118,'SegEnds_NonXtal_Prot#'!A:AL,10,FALSE)+8,1)</f>
        <v>M</v>
      </c>
      <c r="Z118" s="49" t="str">
        <f>MID(VLOOKUP($A118,Seqs!$A:$B,2,FALSE),VLOOKUP($A118,'SegEnds_NonXtal_Prot#'!A:AL,10,FALSE)+9,1)</f>
        <v>P</v>
      </c>
      <c r="AA118" s="49" t="str">
        <f>MID(VLOOKUP($A118,Seqs!$A:$B,2,FALSE),VLOOKUP($A118,'SegEnds_NonXtal_Prot#'!A:AL,10,FALSE)+10,1)</f>
        <v>L</v>
      </c>
      <c r="AB118" s="28" t="str">
        <f>MID(VLOOKUP($A118,Seqs!$A:$B,2,FALSE),VLOOKUP($A118,'SegEnds_NonXtal_Prot#'!$A:$AL,22,FALSE)+6,1)</f>
        <v>M</v>
      </c>
      <c r="AC118" s="49" t="str">
        <f>MID(VLOOKUP($A118,Seqs!$A:$B,2,FALSE),VLOOKUP($A118,'SegEnds_NonXtal_Prot#'!$A:$AL,22,FALSE)+7,1)</f>
        <v>A</v>
      </c>
      <c r="AD118" s="49" t="str">
        <f>MID(VLOOKUP($A118,Seqs!$A:$B,2,FALSE),VLOOKUP($A118,'SegEnds_NonXtal_Prot#'!$A:$AL,22,FALSE)+8,1)</f>
        <v>S</v>
      </c>
      <c r="AE118" s="49" t="str">
        <f>MID(VLOOKUP($A118,Seqs!$A:$B,2,FALSE),VLOOKUP($A118,'SegEnds_NonXtal_Prot#'!$A:$AL,22,FALSE)+9,1)</f>
        <v>V</v>
      </c>
      <c r="AF118" s="49" t="str">
        <f>MID(VLOOKUP($A118,Seqs!$A:$B,2,FALSE),VLOOKUP($A118,'SegEnds_NonXtal_Prot#'!$A:$AL,22,FALSE)+10,1)</f>
        <v>P</v>
      </c>
      <c r="AG118" s="28" t="str">
        <f>MID(VLOOKUP($A118,Seqs!$A:$B,2,FALSE),VLOOKUP($A118,'SegEnds_NonXtal_Prot#'!$A:$AL,28,FALSE)-4,1)</f>
        <v>Y</v>
      </c>
      <c r="AH118" s="49" t="str">
        <f>MID(VLOOKUP($A118,Seqs!$A:$B,2,FALSE),VLOOKUP($A118,'SegEnds_NonXtal_Prot#'!$A:$AL,28,FALSE),1)</f>
        <v>P</v>
      </c>
    </row>
    <row r="119" spans="1:34" s="2" customFormat="1" x14ac:dyDescent="0.2">
      <c r="A119" s="2" t="s">
        <v>264</v>
      </c>
      <c r="B119" s="2" t="str">
        <f>LOWER(VLOOKUP(A119,Xtal_Templ!A:B,2,FALSE))</f>
        <v>drd3_human</v>
      </c>
      <c r="C119" s="2" t="str">
        <f>VLOOKUP(A119,Classification!A:D,2,FALSE)</f>
        <v>A</v>
      </c>
      <c r="D119" s="2" t="str">
        <f>IF(ISERROR(MATCH(A119,'SegEnds_Xtal_Prot#'!B:B, 0)), "NoXtal", "Xtal")</f>
        <v>NoXtal</v>
      </c>
      <c r="G119" s="2" t="s">
        <v>5</v>
      </c>
      <c r="H119" s="4"/>
      <c r="R119" s="2" t="s">
        <v>9</v>
      </c>
      <c r="T119" s="4" t="s">
        <v>12</v>
      </c>
      <c r="V119" s="28" t="str">
        <f>MID(VLOOKUP($A119,Seqs!$A:$B,2,FALSE),VLOOKUP($A119,'SegEnds_NonXtal_Prot#'!A:AL,10,FALSE),1)</f>
        <v>D</v>
      </c>
      <c r="W119" s="49" t="str">
        <f>MID(VLOOKUP($A119,Seqs!$A:$B,2,FALSE),VLOOKUP($A119,'SegEnds_NonXtal_Prot#'!A:AL,10,FALSE)+6,1)</f>
        <v>S</v>
      </c>
      <c r="X119" s="49" t="str">
        <f>MID(VLOOKUP($A119,Seqs!$A:$B,2,FALSE),VLOOKUP($A119,'SegEnds_NonXtal_Prot#'!A:AL,10,FALSE)+7,1)</f>
        <v>I</v>
      </c>
      <c r="Y119" s="49" t="str">
        <f>MID(VLOOKUP($A119,Seqs!$A:$B,2,FALSE),VLOOKUP($A119,'SegEnds_NonXtal_Prot#'!A:AL,10,FALSE)+8,1)</f>
        <v>M</v>
      </c>
      <c r="Z119" s="49" t="str">
        <f>MID(VLOOKUP($A119,Seqs!$A:$B,2,FALSE),VLOOKUP($A119,'SegEnds_NonXtal_Prot#'!A:AL,10,FALSE)+9,1)</f>
        <v>P</v>
      </c>
      <c r="AA119" s="49" t="str">
        <f>MID(VLOOKUP($A119,Seqs!$A:$B,2,FALSE),VLOOKUP($A119,'SegEnds_NonXtal_Prot#'!A:AL,10,FALSE)+10,1)</f>
        <v>L</v>
      </c>
      <c r="AB119" s="28" t="str">
        <f>MID(VLOOKUP($A119,Seqs!$A:$B,2,FALSE),VLOOKUP($A119,'SegEnds_NonXtal_Prot#'!$A:$AL,22,FALSE)+6,1)</f>
        <v>L</v>
      </c>
      <c r="AC119" s="49" t="str">
        <f>MID(VLOOKUP($A119,Seqs!$A:$B,2,FALSE),VLOOKUP($A119,'SegEnds_NonXtal_Prot#'!$A:$AL,22,FALSE)+7,1)</f>
        <v>G</v>
      </c>
      <c r="AD119" s="49" t="str">
        <f>MID(VLOOKUP($A119,Seqs!$A:$B,2,FALSE),VLOOKUP($A119,'SegEnds_NonXtal_Prot#'!$A:$AL,22,FALSE)+8,1)</f>
        <v>A</v>
      </c>
      <c r="AE119" s="49" t="str">
        <f>MID(VLOOKUP($A119,Seqs!$A:$B,2,FALSE),VLOOKUP($A119,'SegEnds_NonXtal_Prot#'!$A:$AL,22,FALSE)+9,1)</f>
        <v>L</v>
      </c>
      <c r="AF119" s="49" t="str">
        <f>MID(VLOOKUP($A119,Seqs!$A:$B,2,FALSE),VLOOKUP($A119,'SegEnds_NonXtal_Prot#'!$A:$AL,22,FALSE)+10,1)</f>
        <v>S</v>
      </c>
      <c r="AG119" s="28" t="str">
        <f>MID(VLOOKUP($A119,Seqs!$A:$B,2,FALSE),VLOOKUP($A119,'SegEnds_NonXtal_Prot#'!$A:$AL,28,FALSE)-4,1)</f>
        <v>A</v>
      </c>
      <c r="AH119" s="49" t="str">
        <f>MID(VLOOKUP($A119,Seqs!$A:$B,2,FALSE),VLOOKUP($A119,'SegEnds_NonXtal_Prot#'!$A:$AL,28,FALSE),1)</f>
        <v>P</v>
      </c>
    </row>
    <row r="120" spans="1:34" s="2" customFormat="1" x14ac:dyDescent="0.2">
      <c r="A120" s="2" t="s">
        <v>266</v>
      </c>
      <c r="B120" s="2" t="str">
        <f>LOWER(VLOOKUP(A120,Xtal_Templ!A:B,2,FALSE))</f>
        <v>drd2_human</v>
      </c>
      <c r="C120" s="2" t="str">
        <f>VLOOKUP(A120,Classification!A:D,2,FALSE)</f>
        <v>A</v>
      </c>
      <c r="D120" s="2" t="str">
        <f>IF(ISERROR(MATCH(A120,'SegEnds_Xtal_Prot#'!B:B, 0)), "NoXtal", "Xtal")</f>
        <v>NoXtal</v>
      </c>
      <c r="G120" s="2" t="s">
        <v>5</v>
      </c>
      <c r="H120" s="4"/>
      <c r="T120" s="4" t="s">
        <v>12</v>
      </c>
      <c r="V120" s="28" t="str">
        <f>MID(VLOOKUP($A120,Seqs!$A:$B,2,FALSE),VLOOKUP($A120,'SegEnds_NonXtal_Prot#'!A:AL,10,FALSE),1)</f>
        <v>D</v>
      </c>
      <c r="W120" s="49" t="str">
        <f>MID(VLOOKUP($A120,Seqs!$A:$B,2,FALSE),VLOOKUP($A120,'SegEnds_NonXtal_Prot#'!A:AL,10,FALSE)+6,1)</f>
        <v>V</v>
      </c>
      <c r="X120" s="49" t="str">
        <f>MID(VLOOKUP($A120,Seqs!$A:$B,2,FALSE),VLOOKUP($A120,'SegEnds_NonXtal_Prot#'!A:AL,10,FALSE)+7,1)</f>
        <v>T</v>
      </c>
      <c r="Y120" s="49" t="str">
        <f>MID(VLOOKUP($A120,Seqs!$A:$B,2,FALSE),VLOOKUP($A120,'SegEnds_NonXtal_Prot#'!A:AL,10,FALSE)+8,1)</f>
        <v>A</v>
      </c>
      <c r="Z120" s="49" t="str">
        <f>MID(VLOOKUP($A120,Seqs!$A:$B,2,FALSE),VLOOKUP($A120,'SegEnds_NonXtal_Prot#'!A:AL,10,FALSE)+9,1)</f>
        <v>P</v>
      </c>
      <c r="AA120" s="49" t="str">
        <f>MID(VLOOKUP($A120,Seqs!$A:$B,2,FALSE),VLOOKUP($A120,'SegEnds_NonXtal_Prot#'!A:AL,10,FALSE)+10,1)</f>
        <v>M</v>
      </c>
      <c r="AB120" s="28" t="str">
        <f>MID(VLOOKUP($A120,Seqs!$A:$B,2,FALSE),VLOOKUP($A120,'SegEnds_NonXtal_Prot#'!$A:$AL,22,FALSE)+6,1)</f>
        <v>L</v>
      </c>
      <c r="AC120" s="49" t="str">
        <f>MID(VLOOKUP($A120,Seqs!$A:$B,2,FALSE),VLOOKUP($A120,'SegEnds_NonXtal_Prot#'!$A:$AL,22,FALSE)+7,1)</f>
        <v>A</v>
      </c>
      <c r="AD120" s="49" t="str">
        <f>MID(VLOOKUP($A120,Seqs!$A:$B,2,FALSE),VLOOKUP($A120,'SegEnds_NonXtal_Prot#'!$A:$AL,22,FALSE)+8,1)</f>
        <v>T</v>
      </c>
      <c r="AE120" s="49" t="str">
        <f>MID(VLOOKUP($A120,Seqs!$A:$B,2,FALSE),VLOOKUP($A120,'SegEnds_NonXtal_Prot#'!$A:$AL,22,FALSE)+9,1)</f>
        <v>L</v>
      </c>
      <c r="AF120" s="49" t="str">
        <f>MID(VLOOKUP($A120,Seqs!$A:$B,2,FALSE),VLOOKUP($A120,'SegEnds_NonXtal_Prot#'!$A:$AL,22,FALSE)+10,1)</f>
        <v>A</v>
      </c>
      <c r="AG120" s="28" t="str">
        <f>MID(VLOOKUP($A120,Seqs!$A:$B,2,FALSE),VLOOKUP($A120,'SegEnds_NonXtal_Prot#'!$A:$AL,28,FALSE)-4,1)</f>
        <v>D</v>
      </c>
      <c r="AH120" s="49" t="str">
        <f>MID(VLOOKUP($A120,Seqs!$A:$B,2,FALSE),VLOOKUP($A120,'SegEnds_NonXtal_Prot#'!$A:$AL,28,FALSE),1)</f>
        <v>C</v>
      </c>
    </row>
    <row r="121" spans="1:34" s="2" customFormat="1" x14ac:dyDescent="0.2">
      <c r="A121" s="2" t="s">
        <v>273</v>
      </c>
      <c r="B121" s="2" t="str">
        <f>LOWER(VLOOKUP(A121,Xtal_Templ!A:B,2,FALSE))</f>
        <v>ox1r_human</v>
      </c>
      <c r="C121" s="2" t="str">
        <f>VLOOKUP(A121,Classification!A:D,2,FALSE)</f>
        <v>A</v>
      </c>
      <c r="D121" s="2" t="str">
        <f>IF(ISERROR(MATCH(A121,'SegEnds_Xtal_Prot#'!B:B, 0)), "NoXtal", "Xtal")</f>
        <v>NoXtal</v>
      </c>
      <c r="G121" s="2" t="s">
        <v>5</v>
      </c>
      <c r="H121" s="4"/>
      <c r="R121" s="2" t="s">
        <v>9</v>
      </c>
      <c r="T121" s="4" t="s">
        <v>12</v>
      </c>
      <c r="V121" s="28" t="str">
        <f>MID(VLOOKUP($A121,Seqs!$A:$B,2,FALSE),VLOOKUP($A121,'SegEnds_NonXtal_Prot#'!A:AL,10,FALSE),1)</f>
        <v>D</v>
      </c>
      <c r="W121" s="49" t="str">
        <f>MID(VLOOKUP($A121,Seqs!$A:$B,2,FALSE),VLOOKUP($A121,'SegEnds_NonXtal_Prot#'!A:AL,10,FALSE)+6,1)</f>
        <v>L</v>
      </c>
      <c r="X121" s="49" t="str">
        <f>MID(VLOOKUP($A121,Seqs!$A:$B,2,FALSE),VLOOKUP($A121,'SegEnds_NonXtal_Prot#'!A:AL,10,FALSE)+7,1)</f>
        <v>W</v>
      </c>
      <c r="Y121" s="49" t="str">
        <f>MID(VLOOKUP($A121,Seqs!$A:$B,2,FALSE),VLOOKUP($A121,'SegEnds_NonXtal_Prot#'!A:AL,10,FALSE)+8,1)</f>
        <v>M</v>
      </c>
      <c r="Z121" s="49" t="str">
        <f>MID(VLOOKUP($A121,Seqs!$A:$B,2,FALSE),VLOOKUP($A121,'SegEnds_NonXtal_Prot#'!A:AL,10,FALSE)+9,1)</f>
        <v>P</v>
      </c>
      <c r="AA121" s="49" t="str">
        <f>MID(VLOOKUP($A121,Seqs!$A:$B,2,FALSE),VLOOKUP($A121,'SegEnds_NonXtal_Prot#'!A:AL,10,FALSE)+10,1)</f>
        <v>Q</v>
      </c>
      <c r="AB121" s="28" t="str">
        <f>MID(VLOOKUP($A121,Seqs!$A:$B,2,FALSE),VLOOKUP($A121,'SegEnds_NonXtal_Prot#'!$A:$AL,22,FALSE)+6,1)</f>
        <v>L</v>
      </c>
      <c r="AC121" s="49" t="str">
        <f>MID(VLOOKUP($A121,Seqs!$A:$B,2,FALSE),VLOOKUP($A121,'SegEnds_NonXtal_Prot#'!$A:$AL,22,FALSE)+7,1)</f>
        <v>V</v>
      </c>
      <c r="AD121" s="49" t="str">
        <f>MID(VLOOKUP($A121,Seqs!$A:$B,2,FALSE),VLOOKUP($A121,'SegEnds_NonXtal_Prot#'!$A:$AL,22,FALSE)+8,1)</f>
        <v>L</v>
      </c>
      <c r="AE121" s="49" t="str">
        <f>MID(VLOOKUP($A121,Seqs!$A:$B,2,FALSE),VLOOKUP($A121,'SegEnds_NonXtal_Prot#'!$A:$AL,22,FALSE)+9,1)</f>
        <v>L</v>
      </c>
      <c r="AF121" s="49" t="str">
        <f>MID(VLOOKUP($A121,Seqs!$A:$B,2,FALSE),VLOOKUP($A121,'SegEnds_NonXtal_Prot#'!$A:$AL,22,FALSE)+10,1)</f>
        <v>L</v>
      </c>
      <c r="AG121" s="28" t="str">
        <f>MID(VLOOKUP($A121,Seqs!$A:$B,2,FALSE),VLOOKUP($A121,'SegEnds_NonXtal_Prot#'!$A:$AL,28,FALSE)-4,1)</f>
        <v>L</v>
      </c>
      <c r="AH121" s="49" t="str">
        <f>MID(VLOOKUP($A121,Seqs!$A:$B,2,FALSE),VLOOKUP($A121,'SegEnds_NonXtal_Prot#'!$A:$AL,28,FALSE),1)</f>
        <v>P</v>
      </c>
    </row>
    <row r="122" spans="1:34" s="2" customFormat="1" x14ac:dyDescent="0.2">
      <c r="A122" s="2" t="s">
        <v>366</v>
      </c>
      <c r="B122" s="2" t="str">
        <f>LOWER(VLOOKUP(A122,Xtal_Templ!A:B,2,FALSE))</f>
        <v>pe2r4_human</v>
      </c>
      <c r="C122" s="2" t="str">
        <f>VLOOKUP(A122,Classification!A:D,2,FALSE)</f>
        <v>A</v>
      </c>
      <c r="D122" s="2" t="str">
        <f>IF(ISERROR(MATCH(A122,'SegEnds_Xtal_Prot#'!B:B, 0)), "NoXtal", "Xtal")</f>
        <v>NoXtal</v>
      </c>
      <c r="G122" s="2" t="s">
        <v>5</v>
      </c>
      <c r="H122" s="4"/>
      <c r="T122" s="4" t="s">
        <v>12</v>
      </c>
      <c r="V122" s="28" t="str">
        <f>MID(VLOOKUP($A122,Seqs!$A:$B,2,FALSE),VLOOKUP($A122,'SegEnds_NonXtal_Prot#'!A:AL,10,FALSE),1)</f>
        <v>D</v>
      </c>
      <c r="W122" s="49" t="str">
        <f>MID(VLOOKUP($A122,Seqs!$A:$B,2,FALSE),VLOOKUP($A122,'SegEnds_NonXtal_Prot#'!A:AL,10,FALSE)+6,1)</f>
        <v>F</v>
      </c>
      <c r="X122" s="49" t="str">
        <f>MID(VLOOKUP($A122,Seqs!$A:$B,2,FALSE),VLOOKUP($A122,'SegEnds_NonXtal_Prot#'!A:AL,10,FALSE)+7,1)</f>
        <v>L</v>
      </c>
      <c r="Y122" s="49" t="str">
        <f>MID(VLOOKUP($A122,Seqs!$A:$B,2,FALSE),VLOOKUP($A122,'SegEnds_NonXtal_Prot#'!A:AL,10,FALSE)+8,1)</f>
        <v>S</v>
      </c>
      <c r="Z122" s="49" t="str">
        <f>MID(VLOOKUP($A122,Seqs!$A:$B,2,FALSE),VLOOKUP($A122,'SegEnds_NonXtal_Prot#'!A:AL,10,FALSE)+9,1)</f>
        <v>P</v>
      </c>
      <c r="AA122" s="49" t="str">
        <f>MID(VLOOKUP($A122,Seqs!$A:$B,2,FALSE),VLOOKUP($A122,'SegEnds_NonXtal_Prot#'!A:AL,10,FALSE)+10,1)</f>
        <v>A</v>
      </c>
      <c r="AB122" s="28" t="str">
        <f>MID(VLOOKUP($A122,Seqs!$A:$B,2,FALSE),VLOOKUP($A122,'SegEnds_NonXtal_Prot#'!$A:$AL,22,FALSE)+6,1)</f>
        <v>F</v>
      </c>
      <c r="AC122" s="49" t="str">
        <f>MID(VLOOKUP($A122,Seqs!$A:$B,2,FALSE),VLOOKUP($A122,'SegEnds_NonXtal_Prot#'!$A:$AL,22,FALSE)+7,1)</f>
        <v>C</v>
      </c>
      <c r="AD122" s="49" t="str">
        <f>MID(VLOOKUP($A122,Seqs!$A:$B,2,FALSE),VLOOKUP($A122,'SegEnds_NonXtal_Prot#'!$A:$AL,22,FALSE)+8,1)</f>
        <v>A</v>
      </c>
      <c r="AE122" s="49" t="str">
        <f>MID(VLOOKUP($A122,Seqs!$A:$B,2,FALSE),VLOOKUP($A122,'SegEnds_NonXtal_Prot#'!$A:$AL,22,FALSE)+9,1)</f>
        <v>L</v>
      </c>
      <c r="AF122" s="49" t="str">
        <f>MID(VLOOKUP($A122,Seqs!$A:$B,2,FALSE),VLOOKUP($A122,'SegEnds_NonXtal_Prot#'!$A:$AL,22,FALSE)+10,1)</f>
        <v>P</v>
      </c>
      <c r="AG122" s="28" t="str">
        <f>MID(VLOOKUP($A122,Seqs!$A:$B,2,FALSE),VLOOKUP($A122,'SegEnds_NonXtal_Prot#'!$A:$AL,28,FALSE)-4,1)</f>
        <v>A</v>
      </c>
      <c r="AH122" s="49" t="str">
        <f>MID(VLOOKUP($A122,Seqs!$A:$B,2,FALSE),VLOOKUP($A122,'SegEnds_NonXtal_Prot#'!$A:$AL,28,FALSE),1)</f>
        <v>A</v>
      </c>
    </row>
    <row r="123" spans="1:34" s="2" customFormat="1" x14ac:dyDescent="0.2">
      <c r="A123" s="2" t="s">
        <v>195</v>
      </c>
      <c r="B123" s="2" t="str">
        <f>LOWER(VLOOKUP(A123,Xtal_Templ!A:B,2,FALSE))</f>
        <v>ednrb_human</v>
      </c>
      <c r="C123" s="2" t="str">
        <f>VLOOKUP(A123,Classification!A:D,2,FALSE)</f>
        <v>A</v>
      </c>
      <c r="D123" s="2" t="str">
        <f>IF(ISERROR(MATCH(A123,'SegEnds_Xtal_Prot#'!B:B, 0)), "NoXtal", "Xtal")</f>
        <v>NoXtal</v>
      </c>
      <c r="G123" s="2" t="s">
        <v>5</v>
      </c>
      <c r="H123" s="4"/>
      <c r="N123" s="2" t="s">
        <v>14</v>
      </c>
      <c r="R123" s="2" t="s">
        <v>9</v>
      </c>
      <c r="T123" s="4" t="s">
        <v>12</v>
      </c>
      <c r="V123" s="28" t="str">
        <f>MID(VLOOKUP($A123,Seqs!$A:$B,2,FALSE),VLOOKUP($A123,'SegEnds_NonXtal_Prot#'!A:AL,10,FALSE),1)</f>
        <v>D</v>
      </c>
      <c r="W123" s="49" t="str">
        <f>MID(VLOOKUP($A123,Seqs!$A:$B,2,FALSE),VLOOKUP($A123,'SegEnds_NonXtal_Prot#'!A:AL,10,FALSE)+6,1)</f>
        <v>I</v>
      </c>
      <c r="X123" s="49" t="str">
        <f>MID(VLOOKUP($A123,Seqs!$A:$B,2,FALSE),VLOOKUP($A123,'SegEnds_NonXtal_Prot#'!A:AL,10,FALSE)+7,1)</f>
        <v>D</v>
      </c>
      <c r="Y123" s="49" t="str">
        <f>MID(VLOOKUP($A123,Seqs!$A:$B,2,FALSE),VLOOKUP($A123,'SegEnds_NonXtal_Prot#'!A:AL,10,FALSE)+8,1)</f>
        <v>L</v>
      </c>
      <c r="Z123" s="49" t="str">
        <f>MID(VLOOKUP($A123,Seqs!$A:$B,2,FALSE),VLOOKUP($A123,'SegEnds_NonXtal_Prot#'!A:AL,10,FALSE)+9,1)</f>
        <v>P</v>
      </c>
      <c r="AA123" s="49" t="str">
        <f>MID(VLOOKUP($A123,Seqs!$A:$B,2,FALSE),VLOOKUP($A123,'SegEnds_NonXtal_Prot#'!A:AL,10,FALSE)+10,1)</f>
        <v>I</v>
      </c>
      <c r="AB123" s="28" t="str">
        <f>MID(VLOOKUP($A123,Seqs!$A:$B,2,FALSE),VLOOKUP($A123,'SegEnds_NonXtal_Prot#'!$A:$AL,22,FALSE)+6,1)</f>
        <v>L</v>
      </c>
      <c r="AC123" s="49" t="str">
        <f>MID(VLOOKUP($A123,Seqs!$A:$B,2,FALSE),VLOOKUP($A123,'SegEnds_NonXtal_Prot#'!$A:$AL,22,FALSE)+7,1)</f>
        <v>A</v>
      </c>
      <c r="AD123" s="49" t="str">
        <f>MID(VLOOKUP($A123,Seqs!$A:$B,2,FALSE),VLOOKUP($A123,'SegEnds_NonXtal_Prot#'!$A:$AL,22,FALSE)+8,1)</f>
        <v>I</v>
      </c>
      <c r="AE123" s="49" t="str">
        <f>MID(VLOOKUP($A123,Seqs!$A:$B,2,FALSE),VLOOKUP($A123,'SegEnds_NonXtal_Prot#'!$A:$AL,22,FALSE)+9,1)</f>
        <v>P</v>
      </c>
      <c r="AF123" s="49" t="str">
        <f>MID(VLOOKUP($A123,Seqs!$A:$B,2,FALSE),VLOOKUP($A123,'SegEnds_NonXtal_Prot#'!$A:$AL,22,FALSE)+10,1)</f>
        <v>E</v>
      </c>
      <c r="AG123" s="28" t="str">
        <f>MID(VLOOKUP($A123,Seqs!$A:$B,2,FALSE),VLOOKUP($A123,'SegEnds_NonXtal_Prot#'!$A:$AL,28,FALSE)-4,1)</f>
        <v>Y</v>
      </c>
      <c r="AH123" s="49" t="str">
        <f>MID(VLOOKUP($A123,Seqs!$A:$B,2,FALSE),VLOOKUP($A123,'SegEnds_NonXtal_Prot#'!$A:$AL,28,FALSE),1)</f>
        <v>P</v>
      </c>
    </row>
    <row r="124" spans="1:34" s="2" customFormat="1" x14ac:dyDescent="0.2">
      <c r="A124" s="2" t="s">
        <v>196</v>
      </c>
      <c r="B124" s="2" t="str">
        <f>LOWER(VLOOKUP(A124,Xtal_Templ!A:B,2,FALSE))</f>
        <v>ednrb_human</v>
      </c>
      <c r="C124" s="2" t="str">
        <f>VLOOKUP(A124,Classification!A:D,2,FALSE)</f>
        <v>A</v>
      </c>
      <c r="D124" s="2" t="str">
        <f>IF(ISERROR(MATCH(A124,'SegEnds_Xtal_Prot#'!B:B, 0)), "NoXtal", "Xtal")</f>
        <v>Xtal</v>
      </c>
      <c r="G124" s="2" t="s">
        <v>5</v>
      </c>
      <c r="H124" s="4"/>
      <c r="N124" s="2" t="s">
        <v>14</v>
      </c>
      <c r="R124" s="2" t="s">
        <v>9</v>
      </c>
      <c r="T124" s="4" t="s">
        <v>12</v>
      </c>
      <c r="V124" s="28" t="str">
        <f>MID(VLOOKUP($A124,Seqs!$A:$B,2,FALSE),VLOOKUP($A124,'SegEnds_NonXtal_Prot#'!A:AL,10,FALSE),1)</f>
        <v>D</v>
      </c>
      <c r="W124" s="49" t="str">
        <f>MID(VLOOKUP($A124,Seqs!$A:$B,2,FALSE),VLOOKUP($A124,'SegEnds_NonXtal_Prot#'!A:AL,10,FALSE)+6,1)</f>
        <v>I</v>
      </c>
      <c r="X124" s="49" t="str">
        <f>MID(VLOOKUP($A124,Seqs!$A:$B,2,FALSE),VLOOKUP($A124,'SegEnds_NonXtal_Prot#'!A:AL,10,FALSE)+7,1)</f>
        <v>D</v>
      </c>
      <c r="Y124" s="49" t="str">
        <f>MID(VLOOKUP($A124,Seqs!$A:$B,2,FALSE),VLOOKUP($A124,'SegEnds_NonXtal_Prot#'!A:AL,10,FALSE)+8,1)</f>
        <v>I</v>
      </c>
      <c r="Z124" s="49" t="str">
        <f>MID(VLOOKUP($A124,Seqs!$A:$B,2,FALSE),VLOOKUP($A124,'SegEnds_NonXtal_Prot#'!A:AL,10,FALSE)+9,1)</f>
        <v>P</v>
      </c>
      <c r="AA124" s="49" t="str">
        <f>MID(VLOOKUP($A124,Seqs!$A:$B,2,FALSE),VLOOKUP($A124,'SegEnds_NonXtal_Prot#'!A:AL,10,FALSE)+10,1)</f>
        <v>I</v>
      </c>
      <c r="AB124" s="28" t="str">
        <f>MID(VLOOKUP($A124,Seqs!$A:$B,2,FALSE),VLOOKUP($A124,'SegEnds_NonXtal_Prot#'!$A:$AL,22,FALSE)+6,1)</f>
        <v>L</v>
      </c>
      <c r="AC124" s="49" t="str">
        <f>MID(VLOOKUP($A124,Seqs!$A:$B,2,FALSE),VLOOKUP($A124,'SegEnds_NonXtal_Prot#'!$A:$AL,22,FALSE)+7,1)</f>
        <v>A</v>
      </c>
      <c r="AD124" s="49" t="str">
        <f>MID(VLOOKUP($A124,Seqs!$A:$B,2,FALSE),VLOOKUP($A124,'SegEnds_NonXtal_Prot#'!$A:$AL,22,FALSE)+8,1)</f>
        <v>V</v>
      </c>
      <c r="AE124" s="49" t="str">
        <f>MID(VLOOKUP($A124,Seqs!$A:$B,2,FALSE),VLOOKUP($A124,'SegEnds_NonXtal_Prot#'!$A:$AL,22,FALSE)+9,1)</f>
        <v>P</v>
      </c>
      <c r="AF124" s="49" t="str">
        <f>MID(VLOOKUP($A124,Seqs!$A:$B,2,FALSE),VLOOKUP($A124,'SegEnds_NonXtal_Prot#'!$A:$AL,22,FALSE)+10,1)</f>
        <v>E</v>
      </c>
      <c r="AG124" s="28" t="str">
        <f>MID(VLOOKUP($A124,Seqs!$A:$B,2,FALSE),VLOOKUP($A124,'SegEnds_NonXtal_Prot#'!$A:$AL,28,FALSE)-4,1)</f>
        <v>Y</v>
      </c>
      <c r="AH124" s="49" t="str">
        <f>MID(VLOOKUP($A124,Seqs!$A:$B,2,FALSE),VLOOKUP($A124,'SegEnds_NonXtal_Prot#'!$A:$AL,28,FALSE),1)</f>
        <v>P</v>
      </c>
    </row>
    <row r="125" spans="1:34" s="2" customFormat="1" x14ac:dyDescent="0.2">
      <c r="A125" s="2" t="s">
        <v>197</v>
      </c>
      <c r="B125" s="2" t="str">
        <f>LOWER(VLOOKUP(A125,Xtal_Templ!A:B,2,FALSE))</f>
        <v>ednrb_human</v>
      </c>
      <c r="C125" s="2" t="str">
        <f>VLOOKUP(A125,Classification!A:D,2,FALSE)</f>
        <v>A</v>
      </c>
      <c r="D125" s="2" t="str">
        <f>IF(ISERROR(MATCH(A125,'SegEnds_Xtal_Prot#'!B:B, 0)), "NoXtal", "Xtal")</f>
        <v>NoXtal</v>
      </c>
      <c r="G125" s="2" t="s">
        <v>5</v>
      </c>
      <c r="H125" s="4"/>
      <c r="N125" s="2" t="s">
        <v>14</v>
      </c>
      <c r="R125" s="2" t="s">
        <v>9</v>
      </c>
      <c r="T125" s="4" t="s">
        <v>12</v>
      </c>
      <c r="V125" s="28" t="str">
        <f>MID(VLOOKUP($A125,Seqs!$A:$B,2,FALSE),VLOOKUP($A125,'SegEnds_NonXtal_Prot#'!A:AL,10,FALSE),1)</f>
        <v>D</v>
      </c>
      <c r="W125" s="49" t="str">
        <f>MID(VLOOKUP($A125,Seqs!$A:$B,2,FALSE),VLOOKUP($A125,'SegEnds_NonXtal_Prot#'!A:AL,10,FALSE)+6,1)</f>
        <v>F</v>
      </c>
      <c r="X125" s="49" t="str">
        <f>MID(VLOOKUP($A125,Seqs!$A:$B,2,FALSE),VLOOKUP($A125,'SegEnds_NonXtal_Prot#'!A:AL,10,FALSE)+7,1)</f>
        <v>C</v>
      </c>
      <c r="Y125" s="49" t="str">
        <f>MID(VLOOKUP($A125,Seqs!$A:$B,2,FALSE),VLOOKUP($A125,'SegEnds_NonXtal_Prot#'!A:AL,10,FALSE)+8,1)</f>
        <v>L</v>
      </c>
      <c r="Z125" s="49" t="str">
        <f>MID(VLOOKUP($A125,Seqs!$A:$B,2,FALSE),VLOOKUP($A125,'SegEnds_NonXtal_Prot#'!A:AL,10,FALSE)+9,1)</f>
        <v>P</v>
      </c>
      <c r="AA125" s="49" t="str">
        <f>MID(VLOOKUP($A125,Seqs!$A:$B,2,FALSE),VLOOKUP($A125,'SegEnds_NonXtal_Prot#'!A:AL,10,FALSE)+10,1)</f>
        <v>I</v>
      </c>
      <c r="AB125" s="28" t="str">
        <f>MID(VLOOKUP($A125,Seqs!$A:$B,2,FALSE),VLOOKUP($A125,'SegEnds_NonXtal_Prot#'!$A:$AL,22,FALSE)+6,1)</f>
        <v>L</v>
      </c>
      <c r="AC125" s="49" t="str">
        <f>MID(VLOOKUP($A125,Seqs!$A:$B,2,FALSE),VLOOKUP($A125,'SegEnds_NonXtal_Prot#'!$A:$AL,22,FALSE)+7,1)</f>
        <v>A</v>
      </c>
      <c r="AD125" s="49" t="str">
        <f>MID(VLOOKUP($A125,Seqs!$A:$B,2,FALSE),VLOOKUP($A125,'SegEnds_NonXtal_Prot#'!$A:$AL,22,FALSE)+8,1)</f>
        <v>V</v>
      </c>
      <c r="AE125" s="49" t="str">
        <f>MID(VLOOKUP($A125,Seqs!$A:$B,2,FALSE),VLOOKUP($A125,'SegEnds_NonXtal_Prot#'!$A:$AL,22,FALSE)+9,1)</f>
        <v>P</v>
      </c>
      <c r="AF125" s="49" t="str">
        <f>MID(VLOOKUP($A125,Seqs!$A:$B,2,FALSE),VLOOKUP($A125,'SegEnds_NonXtal_Prot#'!$A:$AL,22,FALSE)+10,1)</f>
        <v>E</v>
      </c>
      <c r="AG125" s="28" t="str">
        <f>MID(VLOOKUP($A125,Seqs!$A:$B,2,FALSE),VLOOKUP($A125,'SegEnds_NonXtal_Prot#'!$A:$AL,28,FALSE)-4,1)</f>
        <v>Y</v>
      </c>
      <c r="AH125" s="49" t="str">
        <f>MID(VLOOKUP($A125,Seqs!$A:$B,2,FALSE),VLOOKUP($A125,'SegEnds_NonXtal_Prot#'!$A:$AL,28,FALSE),1)</f>
        <v>P</v>
      </c>
    </row>
    <row r="126" spans="1:34" s="2" customFormat="1" x14ac:dyDescent="0.2">
      <c r="A126" s="2" t="s">
        <v>255</v>
      </c>
      <c r="B126" s="2" t="str">
        <f>LOWER(VLOOKUP(A126,Xtal_Templ!A:B,2,FALSE))</f>
        <v>ednrb_human</v>
      </c>
      <c r="C126" s="2" t="str">
        <f>VLOOKUP(A126,Classification!A:D,2,FALSE)</f>
        <v>A</v>
      </c>
      <c r="D126" s="2" t="str">
        <f>IF(ISERROR(MATCH(A126,'SegEnds_Xtal_Prot#'!B:B, 0)), "NoXtal", "Xtal")</f>
        <v>NoXtal</v>
      </c>
      <c r="G126" s="2" t="s">
        <v>5</v>
      </c>
      <c r="H126" s="4"/>
      <c r="N126" s="2" t="s">
        <v>14</v>
      </c>
      <c r="R126" s="2" t="s">
        <v>9</v>
      </c>
      <c r="T126" s="4" t="s">
        <v>12</v>
      </c>
      <c r="V126" s="28" t="str">
        <f>MID(VLOOKUP($A126,Seqs!$A:$B,2,FALSE),VLOOKUP($A126,'SegEnds_NonXtal_Prot#'!A:AL,10,FALSE),1)</f>
        <v>D</v>
      </c>
      <c r="W126" s="49" t="str">
        <f>MID(VLOOKUP($A126,Seqs!$A:$B,2,FALSE),VLOOKUP($A126,'SegEnds_NonXtal_Prot#'!A:AL,10,FALSE)+6,1)</f>
        <v>F</v>
      </c>
      <c r="X126" s="49" t="str">
        <f>MID(VLOOKUP($A126,Seqs!$A:$B,2,FALSE),VLOOKUP($A126,'SegEnds_NonXtal_Prot#'!A:AL,10,FALSE)+7,1)</f>
        <v>C</v>
      </c>
      <c r="Y126" s="49" t="str">
        <f>MID(VLOOKUP($A126,Seqs!$A:$B,2,FALSE),VLOOKUP($A126,'SegEnds_NonXtal_Prot#'!A:AL,10,FALSE)+8,1)</f>
        <v>L</v>
      </c>
      <c r="Z126" s="49" t="str">
        <f>MID(VLOOKUP($A126,Seqs!$A:$B,2,FALSE),VLOOKUP($A126,'SegEnds_NonXtal_Prot#'!A:AL,10,FALSE)+9,1)</f>
        <v>P</v>
      </c>
      <c r="AA126" s="49" t="str">
        <f>MID(VLOOKUP($A126,Seqs!$A:$B,2,FALSE),VLOOKUP($A126,'SegEnds_NonXtal_Prot#'!A:AL,10,FALSE)+10,1)</f>
        <v>L</v>
      </c>
      <c r="AB126" s="28" t="str">
        <f>MID(VLOOKUP($A126,Seqs!$A:$B,2,FALSE),VLOOKUP($A126,'SegEnds_NonXtal_Prot#'!$A:$AL,22,FALSE)+6,1)</f>
        <v>L</v>
      </c>
      <c r="AC126" s="49" t="str">
        <f>MID(VLOOKUP($A126,Seqs!$A:$B,2,FALSE),VLOOKUP($A126,'SegEnds_NonXtal_Prot#'!$A:$AL,22,FALSE)+7,1)</f>
        <v>A</v>
      </c>
      <c r="AD126" s="49" t="str">
        <f>MID(VLOOKUP($A126,Seqs!$A:$B,2,FALSE),VLOOKUP($A126,'SegEnds_NonXtal_Prot#'!$A:$AL,22,FALSE)+8,1)</f>
        <v>L</v>
      </c>
      <c r="AE126" s="49" t="str">
        <f>MID(VLOOKUP($A126,Seqs!$A:$B,2,FALSE),VLOOKUP($A126,'SegEnds_NonXtal_Prot#'!$A:$AL,22,FALSE)+9,1)</f>
        <v>P</v>
      </c>
      <c r="AF126" s="49" t="str">
        <f>MID(VLOOKUP($A126,Seqs!$A:$B,2,FALSE),VLOOKUP($A126,'SegEnds_NonXtal_Prot#'!$A:$AL,22,FALSE)+10,1)</f>
        <v>E</v>
      </c>
      <c r="AG126" s="28" t="str">
        <f>MID(VLOOKUP($A126,Seqs!$A:$B,2,FALSE),VLOOKUP($A126,'SegEnds_NonXtal_Prot#'!$A:$AL,28,FALSE)-4,1)</f>
        <v>Y</v>
      </c>
      <c r="AH126" s="49" t="str">
        <f>MID(VLOOKUP($A126,Seqs!$A:$B,2,FALSE),VLOOKUP($A126,'SegEnds_NonXtal_Prot#'!$A:$AL,28,FALSE),1)</f>
        <v>P</v>
      </c>
    </row>
    <row r="127" spans="1:34" s="2" customFormat="1" x14ac:dyDescent="0.2">
      <c r="A127" s="2" t="s">
        <v>274</v>
      </c>
      <c r="B127" s="2" t="str">
        <f>LOWER(VLOOKUP(A127,Xtal_Templ!A:B,2,FALSE))</f>
        <v>ednrb_human</v>
      </c>
      <c r="C127" s="2" t="str">
        <f>VLOOKUP(A127,Classification!A:D,2,FALSE)</f>
        <v>A</v>
      </c>
      <c r="D127" s="2" t="str">
        <f>IF(ISERROR(MATCH(A127,'SegEnds_Xtal_Prot#'!B:B, 0)), "NoXtal", "Xtal")</f>
        <v>NoXtal</v>
      </c>
      <c r="G127" s="2" t="s">
        <v>5</v>
      </c>
      <c r="H127" s="4"/>
      <c r="N127" s="2" t="s">
        <v>14</v>
      </c>
      <c r="T127" s="4" t="s">
        <v>12</v>
      </c>
      <c r="V127" s="28" t="str">
        <f>MID(VLOOKUP($A127,Seqs!$A:$B,2,FALSE),VLOOKUP($A127,'SegEnds_NonXtal_Prot#'!A:AL,10,FALSE),1)</f>
        <v>D</v>
      </c>
      <c r="W127" s="49" t="str">
        <f>MID(VLOOKUP($A127,Seqs!$A:$B,2,FALSE),VLOOKUP($A127,'SegEnds_NonXtal_Prot#'!A:AL,10,FALSE)+6,1)</f>
        <v>T</v>
      </c>
      <c r="X127" s="49" t="str">
        <f>MID(VLOOKUP($A127,Seqs!$A:$B,2,FALSE),VLOOKUP($A127,'SegEnds_NonXtal_Prot#'!A:AL,10,FALSE)+7,1)</f>
        <v>C</v>
      </c>
      <c r="Y127" s="49" t="str">
        <f>MID(VLOOKUP($A127,Seqs!$A:$B,2,FALSE),VLOOKUP($A127,'SegEnds_NonXtal_Prot#'!A:AL,10,FALSE)+8,1)</f>
        <v>A</v>
      </c>
      <c r="Z127" s="49" t="str">
        <f>MID(VLOOKUP($A127,Seqs!$A:$B,2,FALSE),VLOOKUP($A127,'SegEnds_NonXtal_Prot#'!A:AL,10,FALSE)+9,1)</f>
        <v>P</v>
      </c>
      <c r="AA127" s="49" t="str">
        <f>MID(VLOOKUP($A127,Seqs!$A:$B,2,FALSE),VLOOKUP($A127,'SegEnds_NonXtal_Prot#'!A:AL,10,FALSE)+10,1)</f>
        <v>V</v>
      </c>
      <c r="AB127" s="28" t="str">
        <f>MID(VLOOKUP($A127,Seqs!$A:$B,2,FALSE),VLOOKUP($A127,'SegEnds_NonXtal_Prot#'!$A:$AL,22,FALSE)+6,1)</f>
        <v>L</v>
      </c>
      <c r="AC127" s="49" t="str">
        <f>MID(VLOOKUP($A127,Seqs!$A:$B,2,FALSE),VLOOKUP($A127,'SegEnds_NonXtal_Prot#'!$A:$AL,22,FALSE)+7,1)</f>
        <v>A</v>
      </c>
      <c r="AD127" s="49" t="str">
        <f>MID(VLOOKUP($A127,Seqs!$A:$B,2,FALSE),VLOOKUP($A127,'SegEnds_NonXtal_Prot#'!$A:$AL,22,FALSE)+8,1)</f>
        <v>I</v>
      </c>
      <c r="AE127" s="49" t="str">
        <f>MID(VLOOKUP($A127,Seqs!$A:$B,2,FALSE),VLOOKUP($A127,'SegEnds_NonXtal_Prot#'!$A:$AL,22,FALSE)+9,1)</f>
        <v>P</v>
      </c>
      <c r="AF127" s="49" t="str">
        <f>MID(VLOOKUP($A127,Seqs!$A:$B,2,FALSE),VLOOKUP($A127,'SegEnds_NonXtal_Prot#'!$A:$AL,22,FALSE)+10,1)</f>
        <v>E</v>
      </c>
      <c r="AG127" s="28" t="str">
        <f>MID(VLOOKUP($A127,Seqs!$A:$B,2,FALSE),VLOOKUP($A127,'SegEnds_NonXtal_Prot#'!$A:$AL,28,FALSE)-4,1)</f>
        <v>F</v>
      </c>
      <c r="AH127" s="49" t="str">
        <f>MID(VLOOKUP($A127,Seqs!$A:$B,2,FALSE),VLOOKUP($A127,'SegEnds_NonXtal_Prot#'!$A:$AL,28,FALSE),1)</f>
        <v>P</v>
      </c>
    </row>
    <row r="128" spans="1:34" s="2" customFormat="1" x14ac:dyDescent="0.2">
      <c r="A128" s="2" t="s">
        <v>317</v>
      </c>
      <c r="B128" s="2" t="str">
        <f>LOWER(VLOOKUP(A128,Xtal_Templ!A:B,2,FALSE))</f>
        <v>ednrb_human</v>
      </c>
      <c r="C128" s="2" t="str">
        <f>VLOOKUP(A128,Classification!A:D,2,FALSE)</f>
        <v>A</v>
      </c>
      <c r="D128" s="2" t="str">
        <f>IF(ISERROR(MATCH(A128,'SegEnds_Xtal_Prot#'!B:B, 0)), "NoXtal", "Xtal")</f>
        <v>NoXtal</v>
      </c>
      <c r="G128" s="2" t="s">
        <v>5</v>
      </c>
      <c r="H128" s="4"/>
      <c r="N128" s="2" t="s">
        <v>14</v>
      </c>
      <c r="R128" s="2" t="s">
        <v>9</v>
      </c>
      <c r="T128" s="4" t="s">
        <v>12</v>
      </c>
      <c r="V128" s="28" t="str">
        <f>MID(VLOOKUP($A128,Seqs!$A:$B,2,FALSE),VLOOKUP($A128,'SegEnds_NonXtal_Prot#'!A:AL,10,FALSE),1)</f>
        <v>D</v>
      </c>
      <c r="W128" s="49" t="str">
        <f>MID(VLOOKUP($A128,Seqs!$A:$B,2,FALSE),VLOOKUP($A128,'SegEnds_NonXtal_Prot#'!A:AL,10,FALSE)+6,1)</f>
        <v>T</v>
      </c>
      <c r="X128" s="49" t="str">
        <f>MID(VLOOKUP($A128,Seqs!$A:$B,2,FALSE),VLOOKUP($A128,'SegEnds_NonXtal_Prot#'!A:AL,10,FALSE)+7,1)</f>
        <v>C</v>
      </c>
      <c r="Y128" s="49" t="str">
        <f>MID(VLOOKUP($A128,Seqs!$A:$B,2,FALSE),VLOOKUP($A128,'SegEnds_NonXtal_Prot#'!A:AL,10,FALSE)+8,1)</f>
        <v>V</v>
      </c>
      <c r="Z128" s="49" t="str">
        <f>MID(VLOOKUP($A128,Seqs!$A:$B,2,FALSE),VLOOKUP($A128,'SegEnds_NonXtal_Prot#'!A:AL,10,FALSE)+9,1)</f>
        <v>P</v>
      </c>
      <c r="AA128" s="49" t="str">
        <f>MID(VLOOKUP($A128,Seqs!$A:$B,2,FALSE),VLOOKUP($A128,'SegEnds_NonXtal_Prot#'!A:AL,10,FALSE)+10,1)</f>
        <v>V</v>
      </c>
      <c r="AB128" s="28" t="str">
        <f>MID(VLOOKUP($A128,Seqs!$A:$B,2,FALSE),VLOOKUP($A128,'SegEnds_NonXtal_Prot#'!$A:$AL,22,FALSE)+6,1)</f>
        <v>L</v>
      </c>
      <c r="AC128" s="49" t="str">
        <f>MID(VLOOKUP($A128,Seqs!$A:$B,2,FALSE),VLOOKUP($A128,'SegEnds_NonXtal_Prot#'!$A:$AL,22,FALSE)+7,1)</f>
        <v>A</v>
      </c>
      <c r="AD128" s="49" t="str">
        <f>MID(VLOOKUP($A128,Seqs!$A:$B,2,FALSE),VLOOKUP($A128,'SegEnds_NonXtal_Prot#'!$A:$AL,22,FALSE)+8,1)</f>
        <v>V</v>
      </c>
      <c r="AE128" s="49" t="str">
        <f>MID(VLOOKUP($A128,Seqs!$A:$B,2,FALSE),VLOOKUP($A128,'SegEnds_NonXtal_Prot#'!$A:$AL,22,FALSE)+9,1)</f>
        <v>P</v>
      </c>
      <c r="AF128" s="49" t="str">
        <f>MID(VLOOKUP($A128,Seqs!$A:$B,2,FALSE),VLOOKUP($A128,'SegEnds_NonXtal_Prot#'!$A:$AL,22,FALSE)+10,1)</f>
        <v>E</v>
      </c>
      <c r="AG128" s="28" t="str">
        <f>MID(VLOOKUP($A128,Seqs!$A:$B,2,FALSE),VLOOKUP($A128,'SegEnds_NonXtal_Prot#'!$A:$AL,28,FALSE)-4,1)</f>
        <v>Y</v>
      </c>
      <c r="AH128" s="49" t="str">
        <f>MID(VLOOKUP($A128,Seqs!$A:$B,2,FALSE),VLOOKUP($A128,'SegEnds_NonXtal_Prot#'!$A:$AL,28,FALSE),1)</f>
        <v>P</v>
      </c>
    </row>
    <row r="129" spans="1:34" s="2" customFormat="1" x14ac:dyDescent="0.2">
      <c r="A129" s="2" t="s">
        <v>1173</v>
      </c>
      <c r="B129" s="2" t="str">
        <f>LOWER(VLOOKUP(A129,Xtal_Templ!A:B,2,FALSE))</f>
        <v>ffar1_human</v>
      </c>
      <c r="C129" s="2" t="str">
        <f>VLOOKUP(A129,Classification!A:D,2,FALSE)</f>
        <v>A</v>
      </c>
      <c r="D129" s="2" t="str">
        <f>IF(ISERROR(MATCH(A129,'SegEnds_Xtal_Prot#'!B:B, 0)), "NoXtal", "Xtal")</f>
        <v>Xtal</v>
      </c>
      <c r="H129" s="4"/>
      <c r="R129" s="2" t="s">
        <v>9</v>
      </c>
      <c r="S129" s="2" t="s">
        <v>1328</v>
      </c>
      <c r="T129" s="4" t="s">
        <v>12</v>
      </c>
      <c r="V129" s="28" t="str">
        <f>MID(VLOOKUP($A129,Seqs!$A:$B,2,FALSE),VLOOKUP($A129,'SegEnds_NonXtal_Prot#'!A:AL,10,FALSE),1)</f>
        <v>D</v>
      </c>
      <c r="W129" s="49" t="str">
        <f>MID(VLOOKUP($A129,Seqs!$A:$B,2,FALSE),VLOOKUP($A129,'SegEnds_NonXtal_Prot#'!A:AL,10,FALSE)+6,1)</f>
        <v>S</v>
      </c>
      <c r="X129" s="49" t="str">
        <f>MID(VLOOKUP($A129,Seqs!$A:$B,2,FALSE),VLOOKUP($A129,'SegEnds_NonXtal_Prot#'!A:AL,10,FALSE)+7,1)</f>
        <v>L</v>
      </c>
      <c r="Y129" s="49" t="str">
        <f>MID(VLOOKUP($A129,Seqs!$A:$B,2,FALSE),VLOOKUP($A129,'SegEnds_NonXtal_Prot#'!A:AL,10,FALSE)+8,1)</f>
        <v>P</v>
      </c>
      <c r="Z129" s="49" t="str">
        <f>MID(VLOOKUP($A129,Seqs!$A:$B,2,FALSE),VLOOKUP($A129,'SegEnds_NonXtal_Prot#'!A:AL,10,FALSE)+9,1)</f>
        <v>L</v>
      </c>
      <c r="AA129" s="49" t="str">
        <f>MID(VLOOKUP($A129,Seqs!$A:$B,2,FALSE),VLOOKUP($A129,'SegEnds_NonXtal_Prot#'!A:AL,10,FALSE)+10,1)</f>
        <v>K</v>
      </c>
      <c r="AB129" s="28" t="str">
        <f>MID(VLOOKUP($A129,Seqs!$A:$B,2,FALSE),VLOOKUP($A129,'SegEnds_NonXtal_Prot#'!$A:$AL,22,FALSE)+6,1)</f>
        <v>H</v>
      </c>
      <c r="AC129" s="49" t="str">
        <f>MID(VLOOKUP($A129,Seqs!$A:$B,2,FALSE),VLOOKUP($A129,'SegEnds_NonXtal_Prot#'!$A:$AL,22,FALSE)+7,1)</f>
        <v>L</v>
      </c>
      <c r="AD129" s="49" t="str">
        <f>MID(VLOOKUP($A129,Seqs!$A:$B,2,FALSE),VLOOKUP($A129,'SegEnds_NonXtal_Prot#'!$A:$AL,22,FALSE)+8,1)</f>
        <v>G</v>
      </c>
      <c r="AE129" s="49" t="str">
        <f>MID(VLOOKUP($A129,Seqs!$A:$B,2,FALSE),VLOOKUP($A129,'SegEnds_NonXtal_Prot#'!$A:$AL,22,FALSE)+9,1)</f>
        <v>L</v>
      </c>
      <c r="AF129" s="49" t="str">
        <f>MID(VLOOKUP($A129,Seqs!$A:$B,2,FALSE),VLOOKUP($A129,'SegEnds_NonXtal_Prot#'!$A:$AL,22,FALSE)+10,1)</f>
        <v>V</v>
      </c>
      <c r="AG129" s="28" t="str">
        <f>MID(VLOOKUP($A129,Seqs!$A:$B,2,FALSE),VLOOKUP($A129,'SegEnds_NonXtal_Prot#'!$A:$AL,28,FALSE)-4,1)</f>
        <v>L</v>
      </c>
      <c r="AH129" s="49" t="str">
        <f>MID(VLOOKUP($A129,Seqs!$A:$B,2,FALSE),VLOOKUP($A129,'SegEnds_NonXtal_Prot#'!$A:$AL,28,FALSE),1)</f>
        <v>P</v>
      </c>
    </row>
    <row r="130" spans="1:34" s="2" customFormat="1" x14ac:dyDescent="0.2">
      <c r="A130" s="2" t="s">
        <v>198</v>
      </c>
      <c r="B130" s="2" t="str">
        <f>LOWER(VLOOKUP(A130,Xtal_Templ!A:B,2,FALSE))</f>
        <v>par2_human</v>
      </c>
      <c r="C130" s="2" t="str">
        <f>VLOOKUP(A130,Classification!A:D,2,FALSE)</f>
        <v>A</v>
      </c>
      <c r="D130" s="2" t="str">
        <f>IF(ISERROR(MATCH(A130,'SegEnds_Xtal_Prot#'!B:B, 0)), "NoXtal", "Xtal")</f>
        <v>NoXtal</v>
      </c>
      <c r="H130" s="4"/>
      <c r="R130" s="2" t="s">
        <v>9</v>
      </c>
      <c r="S130" s="2" t="s">
        <v>1328</v>
      </c>
      <c r="T130" s="4" t="s">
        <v>12</v>
      </c>
      <c r="V130" s="28" t="str">
        <f>MID(VLOOKUP($A130,Seqs!$A:$B,2,FALSE),VLOOKUP($A130,'SegEnds_NonXtal_Prot#'!A:AL,10,FALSE),1)</f>
        <v>D</v>
      </c>
      <c r="W130" s="49" t="str">
        <f>MID(VLOOKUP($A130,Seqs!$A:$B,2,FALSE),VLOOKUP($A130,'SegEnds_NonXtal_Prot#'!A:AL,10,FALSE)+6,1)</f>
        <v>L</v>
      </c>
      <c r="X130" s="49" t="str">
        <f>MID(VLOOKUP($A130,Seqs!$A:$B,2,FALSE),VLOOKUP($A130,'SegEnds_NonXtal_Prot#'!A:AL,10,FALSE)+7,1)</f>
        <v>L</v>
      </c>
      <c r="Y130" s="49" t="str">
        <f>MID(VLOOKUP($A130,Seqs!$A:$B,2,FALSE),VLOOKUP($A130,'SegEnds_NonXtal_Prot#'!A:AL,10,FALSE)+8,1)</f>
        <v>P</v>
      </c>
      <c r="Z130" s="49" t="str">
        <f>MID(VLOOKUP($A130,Seqs!$A:$B,2,FALSE),VLOOKUP($A130,'SegEnds_NonXtal_Prot#'!A:AL,10,FALSE)+9,1)</f>
        <v>F</v>
      </c>
      <c r="AA130" s="49" t="str">
        <f>MID(VLOOKUP($A130,Seqs!$A:$B,2,FALSE),VLOOKUP($A130,'SegEnds_NonXtal_Prot#'!A:AL,10,FALSE)+10,1)</f>
        <v>K</v>
      </c>
      <c r="AB130" s="28" t="str">
        <f>MID(VLOOKUP($A130,Seqs!$A:$B,2,FALSE),VLOOKUP($A130,'SegEnds_NonXtal_Prot#'!$A:$AL,22,FALSE)+6,1)</f>
        <v>H</v>
      </c>
      <c r="AC130" s="49" t="str">
        <f>MID(VLOOKUP($A130,Seqs!$A:$B,2,FALSE),VLOOKUP($A130,'SegEnds_NonXtal_Prot#'!$A:$AL,22,FALSE)+7,1)</f>
        <v>C</v>
      </c>
      <c r="AD130" s="49" t="str">
        <f>MID(VLOOKUP($A130,Seqs!$A:$B,2,FALSE),VLOOKUP($A130,'SegEnds_NonXtal_Prot#'!$A:$AL,22,FALSE)+8,1)</f>
        <v>T</v>
      </c>
      <c r="AE130" s="49" t="str">
        <f>MID(VLOOKUP($A130,Seqs!$A:$B,2,FALSE),VLOOKUP($A130,'SegEnds_NonXtal_Prot#'!$A:$AL,22,FALSE)+9,1)</f>
        <v>I</v>
      </c>
      <c r="AF130" s="49" t="str">
        <f>MID(VLOOKUP($A130,Seqs!$A:$B,2,FALSE),VLOOKUP($A130,'SegEnds_NonXtal_Prot#'!$A:$AL,22,FALSE)+10,1)</f>
        <v>V</v>
      </c>
      <c r="AG130" s="28" t="str">
        <f>MID(VLOOKUP($A130,Seqs!$A:$B,2,FALSE),VLOOKUP($A130,'SegEnds_NonXtal_Prot#'!$A:$AL,28,FALSE)-4,1)</f>
        <v>L</v>
      </c>
      <c r="AH130" s="49" t="str">
        <f>MID(VLOOKUP($A130,Seqs!$A:$B,2,FALSE),VLOOKUP($A130,'SegEnds_NonXtal_Prot#'!$A:$AL,28,FALSE),1)</f>
        <v>P</v>
      </c>
    </row>
    <row r="131" spans="1:34" s="2" customFormat="1" x14ac:dyDescent="0.2">
      <c r="A131" s="2" t="s">
        <v>219</v>
      </c>
      <c r="B131" s="2" t="str">
        <f>LOWER(VLOOKUP(A131,Xtal_Templ!A:B,2,FALSE))</f>
        <v>agtr1_human</v>
      </c>
      <c r="C131" s="2" t="str">
        <f>VLOOKUP(A131,Classification!A:D,2,FALSE)</f>
        <v>A</v>
      </c>
      <c r="D131" s="2" t="str">
        <f>IF(ISERROR(MATCH(A131,'SegEnds_Xtal_Prot#'!B:B, 0)), "NoXtal", "Xtal")</f>
        <v>NoXtal</v>
      </c>
      <c r="G131" s="2" t="s">
        <v>5</v>
      </c>
      <c r="H131" s="4"/>
      <c r="R131" s="2" t="s">
        <v>9</v>
      </c>
      <c r="T131" s="4" t="s">
        <v>12</v>
      </c>
      <c r="V131" s="28" t="str">
        <f>MID(VLOOKUP($A131,Seqs!$A:$B,2,FALSE),VLOOKUP($A131,'SegEnds_NonXtal_Prot#'!A:AL,10,FALSE),1)</f>
        <v>A</v>
      </c>
      <c r="W131" s="49" t="str">
        <f>MID(VLOOKUP($A131,Seqs!$A:$B,2,FALSE),VLOOKUP($A131,'SegEnds_NonXtal_Prot#'!A:AL,10,FALSE)+6,1)</f>
        <v>L</v>
      </c>
      <c r="X131" s="49" t="str">
        <f>MID(VLOOKUP($A131,Seqs!$A:$B,2,FALSE),VLOOKUP($A131,'SegEnds_NonXtal_Prot#'!A:AL,10,FALSE)+7,1)</f>
        <v>L</v>
      </c>
      <c r="Y131" s="49" t="str">
        <f>MID(VLOOKUP($A131,Seqs!$A:$B,2,FALSE),VLOOKUP($A131,'SegEnds_NonXtal_Prot#'!A:AL,10,FALSE)+8,1)</f>
        <v>G</v>
      </c>
      <c r="Z131" s="49" t="str">
        <f>MID(VLOOKUP($A131,Seqs!$A:$B,2,FALSE),VLOOKUP($A131,'SegEnds_NonXtal_Prot#'!A:AL,10,FALSE)+9,1)</f>
        <v>P</v>
      </c>
      <c r="AA131" s="49" t="str">
        <f>MID(VLOOKUP($A131,Seqs!$A:$B,2,FALSE),VLOOKUP($A131,'SegEnds_NonXtal_Prot#'!A:AL,10,FALSE)+10,1)</f>
        <v>P</v>
      </c>
      <c r="AB131" s="28" t="str">
        <f>MID(VLOOKUP($A131,Seqs!$A:$B,2,FALSE),VLOOKUP($A131,'SegEnds_NonXtal_Prot#'!$A:$AL,22,FALSE)+6,1)</f>
        <v>T</v>
      </c>
      <c r="AC131" s="49" t="str">
        <f>MID(VLOOKUP($A131,Seqs!$A:$B,2,FALSE),VLOOKUP($A131,'SegEnds_NonXtal_Prot#'!$A:$AL,22,FALSE)+7,1)</f>
        <v>S</v>
      </c>
      <c r="AD131" s="49" t="str">
        <f>MID(VLOOKUP($A131,Seqs!$A:$B,2,FALSE),VLOOKUP($A131,'SegEnds_NonXtal_Prot#'!$A:$AL,22,FALSE)+8,1)</f>
        <v>F</v>
      </c>
      <c r="AE131" s="49" t="str">
        <f>MID(VLOOKUP($A131,Seqs!$A:$B,2,FALSE),VLOOKUP($A131,'SegEnds_NonXtal_Prot#'!$A:$AL,22,FALSE)+9,1)</f>
        <v>S</v>
      </c>
      <c r="AF131" s="49" t="str">
        <f>MID(VLOOKUP($A131,Seqs!$A:$B,2,FALSE),VLOOKUP($A131,'SegEnds_NonXtal_Prot#'!$A:$AL,22,FALSE)+10,1)</f>
        <v>S</v>
      </c>
      <c r="AG131" s="28" t="str">
        <f>MID(VLOOKUP($A131,Seqs!$A:$B,2,FALSE),VLOOKUP($A131,'SegEnds_NonXtal_Prot#'!$A:$AL,28,FALSE)-4,1)</f>
        <v>G</v>
      </c>
      <c r="AH131" s="49" t="str">
        <f>MID(VLOOKUP($A131,Seqs!$A:$B,2,FALSE),VLOOKUP($A131,'SegEnds_NonXtal_Prot#'!$A:$AL,28,FALSE),1)</f>
        <v>P</v>
      </c>
    </row>
    <row r="132" spans="1:34" s="2" customFormat="1" x14ac:dyDescent="0.2">
      <c r="A132" s="2" t="s">
        <v>226</v>
      </c>
      <c r="B132" s="2" t="str">
        <f>LOWER(VLOOKUP(A132,Xtal_Templ!A:B,2,FALSE))</f>
        <v>par1_human</v>
      </c>
      <c r="C132" s="2" t="str">
        <f>VLOOKUP(A132,Classification!A:D,2,FALSE)</f>
        <v>A</v>
      </c>
      <c r="D132" s="2" t="str">
        <f>IF(ISERROR(MATCH(A132,'SegEnds_Xtal_Prot#'!B:B, 0)), "NoXtal", "Xtal")</f>
        <v>NoXtal</v>
      </c>
      <c r="H132" s="4"/>
      <c r="T132" s="4" t="s">
        <v>12</v>
      </c>
      <c r="V132" s="28" t="str">
        <f>MID(VLOOKUP($A132,Seqs!$A:$B,2,FALSE),VLOOKUP($A132,'SegEnds_NonXtal_Prot#'!A:AL,10,FALSE),1)</f>
        <v>D</v>
      </c>
      <c r="W132" s="49" t="str">
        <f>MID(VLOOKUP($A132,Seqs!$A:$B,2,FALSE),VLOOKUP($A132,'SegEnds_NonXtal_Prot#'!A:AL,10,FALSE)+6,1)</f>
        <v>N</v>
      </c>
      <c r="X132" s="49" t="str">
        <f>MID(VLOOKUP($A132,Seqs!$A:$B,2,FALSE),VLOOKUP($A132,'SegEnds_NonXtal_Prot#'!A:AL,10,FALSE)+7,1)</f>
        <v>I</v>
      </c>
      <c r="Y132" s="49" t="str">
        <f>MID(VLOOKUP($A132,Seqs!$A:$B,2,FALSE),VLOOKUP($A132,'SegEnds_NonXtal_Prot#'!A:AL,10,FALSE)+8,1)</f>
        <v>S</v>
      </c>
      <c r="Z132" s="49" t="str">
        <f>MID(VLOOKUP($A132,Seqs!$A:$B,2,FALSE),VLOOKUP($A132,'SegEnds_NonXtal_Prot#'!A:AL,10,FALSE)+9,1)</f>
        <v>I</v>
      </c>
      <c r="AA132" s="49" t="str">
        <f>MID(VLOOKUP($A132,Seqs!$A:$B,2,FALSE),VLOOKUP($A132,'SegEnds_NonXtal_Prot#'!A:AL,10,FALSE)+10,1)</f>
        <v>I</v>
      </c>
      <c r="AB132" s="28" t="str">
        <f>MID(VLOOKUP($A132,Seqs!$A:$B,2,FALSE),VLOOKUP($A132,'SegEnds_NonXtal_Prot#'!$A:$AL,22,FALSE)+6,1)</f>
        <v>Y</v>
      </c>
      <c r="AC132" s="49" t="str">
        <f>MID(VLOOKUP($A132,Seqs!$A:$B,2,FALSE),VLOOKUP($A132,'SegEnds_NonXtal_Prot#'!$A:$AL,22,FALSE)+7,1)</f>
        <v>V</v>
      </c>
      <c r="AD132" s="49" t="str">
        <f>MID(VLOOKUP($A132,Seqs!$A:$B,2,FALSE),VLOOKUP($A132,'SegEnds_NonXtal_Prot#'!$A:$AL,22,FALSE)+8,1)</f>
        <v>L</v>
      </c>
      <c r="AE132" s="49" t="str">
        <f>MID(VLOOKUP($A132,Seqs!$A:$B,2,FALSE),VLOOKUP($A132,'SegEnds_NonXtal_Prot#'!$A:$AL,22,FALSE)+9,1)</f>
        <v>G</v>
      </c>
      <c r="AF132" s="49" t="str">
        <f>MID(VLOOKUP($A132,Seqs!$A:$B,2,FALSE),VLOOKUP($A132,'SegEnds_NonXtal_Prot#'!$A:$AL,22,FALSE)+10,1)</f>
        <v>D</v>
      </c>
      <c r="AG132" s="28" t="str">
        <f>MID(VLOOKUP($A132,Seqs!$A:$B,2,FALSE),VLOOKUP($A132,'SegEnds_NonXtal_Prot#'!$A:$AL,28,FALSE)-4,1)</f>
        <v>I</v>
      </c>
      <c r="AH132" s="49" t="str">
        <f>MID(VLOOKUP($A132,Seqs!$A:$B,2,FALSE),VLOOKUP($A132,'SegEnds_NonXtal_Prot#'!$A:$AL,28,FALSE),1)</f>
        <v>A</v>
      </c>
    </row>
    <row r="133" spans="1:34" s="2" customFormat="1" x14ac:dyDescent="0.2">
      <c r="A133" s="2" t="s">
        <v>245</v>
      </c>
      <c r="B133" s="2" t="str">
        <f>LOWER(VLOOKUP(A133,Xtal_Templ!A:B,2,FALSE))</f>
        <v>hrh1_human</v>
      </c>
      <c r="C133" s="2" t="str">
        <f>VLOOKUP(A133,Classification!A:D,2,FALSE)</f>
        <v>A</v>
      </c>
      <c r="D133" s="2" t="str">
        <f>IF(ISERROR(MATCH(A133,'SegEnds_Xtal_Prot#'!B:B, 0)), "NoXtal", "Xtal")</f>
        <v>NoXtal</v>
      </c>
      <c r="G133" s="2" t="s">
        <v>5</v>
      </c>
      <c r="H133" s="4"/>
      <c r="T133" s="4" t="s">
        <v>12</v>
      </c>
      <c r="V133" s="28" t="str">
        <f>MID(VLOOKUP($A133,Seqs!$A:$B,2,FALSE),VLOOKUP($A133,'SegEnds_NonXtal_Prot#'!A:AL,10,FALSE),1)</f>
        <v>D</v>
      </c>
      <c r="W133" s="49" t="str">
        <f>MID(VLOOKUP($A133,Seqs!$A:$B,2,FALSE),VLOOKUP($A133,'SegEnds_NonXtal_Prot#'!A:AL,10,FALSE)+6,1)</f>
        <v>G</v>
      </c>
      <c r="X133" s="49" t="str">
        <f>MID(VLOOKUP($A133,Seqs!$A:$B,2,FALSE),VLOOKUP($A133,'SegEnds_NonXtal_Prot#'!A:AL,10,FALSE)+7,1)</f>
        <v>C</v>
      </c>
      <c r="Y133" s="49" t="str">
        <f>MID(VLOOKUP($A133,Seqs!$A:$B,2,FALSE),VLOOKUP($A133,'SegEnds_NonXtal_Prot#'!A:AL,10,FALSE)+8,1)</f>
        <v>I</v>
      </c>
      <c r="Z133" s="49" t="str">
        <f>MID(VLOOKUP($A133,Seqs!$A:$B,2,FALSE),VLOOKUP($A133,'SegEnds_NonXtal_Prot#'!A:AL,10,FALSE)+9,1)</f>
        <v>P</v>
      </c>
      <c r="AA133" s="49" t="str">
        <f>MID(VLOOKUP($A133,Seqs!$A:$B,2,FALSE),VLOOKUP($A133,'SegEnds_NonXtal_Prot#'!A:AL,10,FALSE)+10,1)</f>
        <v>L</v>
      </c>
      <c r="AB133" s="28" t="str">
        <f>MID(VLOOKUP($A133,Seqs!$A:$B,2,FALSE),VLOOKUP($A133,'SegEnds_NonXtal_Prot#'!$A:$AL,22,FALSE)+6,1)</f>
        <v>S</v>
      </c>
      <c r="AC133" s="49" t="str">
        <f>MID(VLOOKUP($A133,Seqs!$A:$B,2,FALSE),VLOOKUP($A133,'SegEnds_NonXtal_Prot#'!$A:$AL,22,FALSE)+7,1)</f>
        <v>F</v>
      </c>
      <c r="AD133" s="49" t="str">
        <f>MID(VLOOKUP($A133,Seqs!$A:$B,2,FALSE),VLOOKUP($A133,'SegEnds_NonXtal_Prot#'!$A:$AL,22,FALSE)+8,1)</f>
        <v>L</v>
      </c>
      <c r="AE133" s="49" t="str">
        <f>MID(VLOOKUP($A133,Seqs!$A:$B,2,FALSE),VLOOKUP($A133,'SegEnds_NonXtal_Prot#'!$A:$AL,22,FALSE)+9,1)</f>
        <v>I</v>
      </c>
      <c r="AF133" s="49" t="str">
        <f>MID(VLOOKUP($A133,Seqs!$A:$B,2,FALSE),VLOOKUP($A133,'SegEnds_NonXtal_Prot#'!$A:$AL,22,FALSE)+10,1)</f>
        <v>P</v>
      </c>
      <c r="AG133" s="28" t="str">
        <f>MID(VLOOKUP($A133,Seqs!$A:$B,2,FALSE),VLOOKUP($A133,'SegEnds_NonXtal_Prot#'!$A:$AL,28,FALSE)-4,1)</f>
        <v>I</v>
      </c>
      <c r="AH133" s="49" t="str">
        <f>MID(VLOOKUP($A133,Seqs!$A:$B,2,FALSE),VLOOKUP($A133,'SegEnds_NonXtal_Prot#'!$A:$AL,28,FALSE),1)</f>
        <v>T</v>
      </c>
    </row>
    <row r="134" spans="1:34" s="2" customFormat="1" x14ac:dyDescent="0.2">
      <c r="A134" s="2" t="s">
        <v>278</v>
      </c>
      <c r="B134" s="2" t="str">
        <f>LOWER(VLOOKUP(A134,Xtal_Templ!A:B,2,FALSE))</f>
        <v>hrh1_human</v>
      </c>
      <c r="C134" s="2" t="str">
        <f>VLOOKUP(A134,Classification!A:D,2,FALSE)</f>
        <v>A</v>
      </c>
      <c r="D134" s="2" t="str">
        <f>IF(ISERROR(MATCH(A134,'SegEnds_Xtal_Prot#'!B:B, 0)), "NoXtal", "Xtal")</f>
        <v>Xtal</v>
      </c>
      <c r="G134" s="2" t="s">
        <v>5</v>
      </c>
      <c r="H134" s="4"/>
      <c r="L134" s="2" t="s">
        <v>20</v>
      </c>
      <c r="R134" s="2" t="s">
        <v>9</v>
      </c>
      <c r="T134" s="4" t="s">
        <v>12</v>
      </c>
      <c r="V134" s="28" t="str">
        <f>MID(VLOOKUP($A134,Seqs!$A:$B,2,FALSE),VLOOKUP($A134,'SegEnds_NonXtal_Prot#'!A:AL,10,FALSE),1)</f>
        <v>D</v>
      </c>
      <c r="W134" s="49" t="str">
        <f>MID(VLOOKUP($A134,Seqs!$A:$B,2,FALSE),VLOOKUP($A134,'SegEnds_NonXtal_Prot#'!A:AL,10,FALSE)+6,1)</f>
        <v>V</v>
      </c>
      <c r="X134" s="49" t="str">
        <f>MID(VLOOKUP($A134,Seqs!$A:$B,2,FALSE),VLOOKUP($A134,'SegEnds_NonXtal_Prot#'!A:AL,10,FALSE)+7,1)</f>
        <v>V</v>
      </c>
      <c r="Y134" s="49" t="str">
        <f>MID(VLOOKUP($A134,Seqs!$A:$B,2,FALSE),VLOOKUP($A134,'SegEnds_NonXtal_Prot#'!A:AL,10,FALSE)+8,1)</f>
        <v>M</v>
      </c>
      <c r="Z134" s="49" t="str">
        <f>MID(VLOOKUP($A134,Seqs!$A:$B,2,FALSE),VLOOKUP($A134,'SegEnds_NonXtal_Prot#'!A:AL,10,FALSE)+9,1)</f>
        <v>P</v>
      </c>
      <c r="AA134" s="49" t="str">
        <f>MID(VLOOKUP($A134,Seqs!$A:$B,2,FALSE),VLOOKUP($A134,'SegEnds_NonXtal_Prot#'!A:AL,10,FALSE)+10,1)</f>
        <v>M</v>
      </c>
      <c r="AB134" s="28" t="str">
        <f>MID(VLOOKUP($A134,Seqs!$A:$B,2,FALSE),VLOOKUP($A134,'SegEnds_NonXtal_Prot#'!$A:$AL,22,FALSE)+6,1)</f>
        <v>W</v>
      </c>
      <c r="AC134" s="49" t="str">
        <f>MID(VLOOKUP($A134,Seqs!$A:$B,2,FALSE),VLOOKUP($A134,'SegEnds_NonXtal_Prot#'!$A:$AL,22,FALSE)+7,1)</f>
        <v>V</v>
      </c>
      <c r="AD134" s="49" t="str">
        <f>MID(VLOOKUP($A134,Seqs!$A:$B,2,FALSE),VLOOKUP($A134,'SegEnds_NonXtal_Prot#'!$A:$AL,22,FALSE)+8,1)</f>
        <v>I</v>
      </c>
      <c r="AE134" s="49" t="str">
        <f>MID(VLOOKUP($A134,Seqs!$A:$B,2,FALSE),VLOOKUP($A134,'SegEnds_NonXtal_Prot#'!$A:$AL,22,FALSE)+9,1)</f>
        <v>P</v>
      </c>
      <c r="AF134" s="49" t="str">
        <f>MID(VLOOKUP($A134,Seqs!$A:$B,2,FALSE),VLOOKUP($A134,'SegEnds_NonXtal_Prot#'!$A:$AL,22,FALSE)+10,1)</f>
        <v>I</v>
      </c>
      <c r="AG134" s="28" t="str">
        <f>MID(VLOOKUP($A134,Seqs!$A:$B,2,FALSE),VLOOKUP($A134,'SegEnds_NonXtal_Prot#'!$A:$AL,28,FALSE)-4,1)</f>
        <v>N</v>
      </c>
      <c r="AH134" s="49" t="str">
        <f>MID(VLOOKUP($A134,Seqs!$A:$B,2,FALSE),VLOOKUP($A134,'SegEnds_NonXtal_Prot#'!$A:$AL,28,FALSE),1)</f>
        <v>P</v>
      </c>
    </row>
    <row r="135" spans="1:34" s="2" customFormat="1" x14ac:dyDescent="0.2">
      <c r="A135" s="2" t="s">
        <v>249</v>
      </c>
      <c r="B135" s="2" t="str">
        <f>LOWER(VLOOKUP(A135,Xtal_Templ!A:B,2,FALSE))</f>
        <v>lpar1_human</v>
      </c>
      <c r="C135" s="2" t="str">
        <f>VLOOKUP(A135,Classification!A:D,2,FALSE)</f>
        <v>A</v>
      </c>
      <c r="D135" s="2" t="str">
        <f>IF(ISERROR(MATCH(A135,'SegEnds_Xtal_Prot#'!B:B, 0)), "NoXtal", "Xtal")</f>
        <v>NoXtal</v>
      </c>
      <c r="H135" s="4"/>
      <c r="T135" s="4" t="s">
        <v>12</v>
      </c>
      <c r="V135" s="28" t="str">
        <f>MID(VLOOKUP($A135,Seqs!$A:$B,2,FALSE),VLOOKUP($A135,'SegEnds_NonXtal_Prot#'!A:AL,10,FALSE),1)</f>
        <v>D</v>
      </c>
      <c r="W135" s="49" t="str">
        <f>MID(VLOOKUP($A135,Seqs!$A:$B,2,FALSE),VLOOKUP($A135,'SegEnds_NonXtal_Prot#'!A:AL,10,FALSE)+6,1)</f>
        <v>G</v>
      </c>
      <c r="X135" s="49" t="str">
        <f>MID(VLOOKUP($A135,Seqs!$A:$B,2,FALSE),VLOOKUP($A135,'SegEnds_NonXtal_Prot#'!A:AL,10,FALSE)+7,1)</f>
        <v>L</v>
      </c>
      <c r="Y135" s="49" t="str">
        <f>MID(VLOOKUP($A135,Seqs!$A:$B,2,FALSE),VLOOKUP($A135,'SegEnds_NonXtal_Prot#'!A:AL,10,FALSE)+8,1)</f>
        <v>V</v>
      </c>
      <c r="Z135" s="49" t="str">
        <f>MID(VLOOKUP($A135,Seqs!$A:$B,2,FALSE),VLOOKUP($A135,'SegEnds_NonXtal_Prot#'!A:AL,10,FALSE)+9,1)</f>
        <v>L</v>
      </c>
      <c r="AA135" s="49" t="str">
        <f>MID(VLOOKUP($A135,Seqs!$A:$B,2,FALSE),VLOOKUP($A135,'SegEnds_NonXtal_Prot#'!A:AL,10,FALSE)+10,1)</f>
        <v>H</v>
      </c>
      <c r="AB135" s="28" t="str">
        <f>MID(VLOOKUP($A135,Seqs!$A:$B,2,FALSE),VLOOKUP($A135,'SegEnds_NonXtal_Prot#'!$A:$AL,22,FALSE)+6,1)</f>
        <v>L</v>
      </c>
      <c r="AC135" s="49" t="str">
        <f>MID(VLOOKUP($A135,Seqs!$A:$B,2,FALSE),VLOOKUP($A135,'SegEnds_NonXtal_Prot#'!$A:$AL,22,FALSE)+7,1)</f>
        <v>G</v>
      </c>
      <c r="AD135" s="49" t="str">
        <f>MID(VLOOKUP($A135,Seqs!$A:$B,2,FALSE),VLOOKUP($A135,'SegEnds_NonXtal_Prot#'!$A:$AL,22,FALSE)+8,1)</f>
        <v>L</v>
      </c>
      <c r="AE135" s="49" t="str">
        <f>MID(VLOOKUP($A135,Seqs!$A:$B,2,FALSE),VLOOKUP($A135,'SegEnds_NonXtal_Prot#'!$A:$AL,22,FALSE)+9,1)</f>
        <v>L</v>
      </c>
      <c r="AF135" s="49" t="str">
        <f>MID(VLOOKUP($A135,Seqs!$A:$B,2,FALSE),VLOOKUP($A135,'SegEnds_NonXtal_Prot#'!$A:$AL,22,FALSE)+10,1)</f>
        <v>P</v>
      </c>
      <c r="AG135" s="28" t="str">
        <f>MID(VLOOKUP($A135,Seqs!$A:$B,2,FALSE),VLOOKUP($A135,'SegEnds_NonXtal_Prot#'!$A:$AL,28,FALSE)-4,1)</f>
        <v>A</v>
      </c>
      <c r="AH135" s="49" t="str">
        <f>MID(VLOOKUP($A135,Seqs!$A:$B,2,FALSE),VLOOKUP($A135,'SegEnds_NonXtal_Prot#'!$A:$AL,28,FALSE),1)</f>
        <v>V</v>
      </c>
    </row>
    <row r="136" spans="1:34" s="2" customFormat="1" x14ac:dyDescent="0.2">
      <c r="A136" s="2" t="s">
        <v>103</v>
      </c>
      <c r="B136" s="2" t="str">
        <f>LOWER(VLOOKUP(A136,Xtal_Templ!A:B,2,FALSE))</f>
        <v>lpar1_human</v>
      </c>
      <c r="C136" s="2" t="str">
        <f>VLOOKUP(A136,Classification!A:D,2,FALSE)</f>
        <v>A</v>
      </c>
      <c r="D136" s="2" t="str">
        <f>IF(ISERROR(MATCH(A136,'SegEnds_Xtal_Prot#'!B:B, 0)), "NoXtal", "Xtal")</f>
        <v>Xtal</v>
      </c>
      <c r="H136" s="4"/>
      <c r="I136" s="2" t="s">
        <v>21</v>
      </c>
      <c r="T136" s="4" t="s">
        <v>12</v>
      </c>
      <c r="V136" s="28" t="str">
        <f>MID(VLOOKUP($A136,Seqs!$A:$B,2,FALSE),VLOOKUP($A136,'SegEnds_NonXtal_Prot#'!A:AL,10,FALSE),1)</f>
        <v>D</v>
      </c>
      <c r="W136" s="49" t="str">
        <f>MID(VLOOKUP($A136,Seqs!$A:$B,2,FALSE),VLOOKUP($A136,'SegEnds_NonXtal_Prot#'!A:AL,10,FALSE)+6,1)</f>
        <v>A</v>
      </c>
      <c r="X136" s="49" t="str">
        <f>MID(VLOOKUP($A136,Seqs!$A:$B,2,FALSE),VLOOKUP($A136,'SegEnds_NonXtal_Prot#'!A:AL,10,FALSE)+7,1)</f>
        <v>Y</v>
      </c>
      <c r="Y136" s="49" t="str">
        <f>MID(VLOOKUP($A136,Seqs!$A:$B,2,FALSE),VLOOKUP($A136,'SegEnds_NonXtal_Prot#'!A:AL,10,FALSE)+8,1)</f>
        <v>F</v>
      </c>
      <c r="Z136" s="49" t="str">
        <f>MID(VLOOKUP($A136,Seqs!$A:$B,2,FALSE),VLOOKUP($A136,'SegEnds_NonXtal_Prot#'!A:AL,10,FALSE)+9,1)</f>
        <v>Y</v>
      </c>
      <c r="AA136" s="49" t="str">
        <f>MID(VLOOKUP($A136,Seqs!$A:$B,2,FALSE),VLOOKUP($A136,'SegEnds_NonXtal_Prot#'!A:AL,10,FALSE)+10,1)</f>
        <v>L</v>
      </c>
      <c r="AB136" s="28" t="str">
        <f>MID(VLOOKUP($A136,Seqs!$A:$B,2,FALSE),VLOOKUP($A136,'SegEnds_NonXtal_Prot#'!$A:$AL,22,FALSE)+6,1)</f>
        <v>M</v>
      </c>
      <c r="AC136" s="49" t="str">
        <f>MID(VLOOKUP($A136,Seqs!$A:$B,2,FALSE),VLOOKUP($A136,'SegEnds_NonXtal_Prot#'!$A:$AL,22,FALSE)+7,1)</f>
        <v>G</v>
      </c>
      <c r="AD136" s="49" t="str">
        <f>MID(VLOOKUP($A136,Seqs!$A:$B,2,FALSE),VLOOKUP($A136,'SegEnds_NonXtal_Prot#'!$A:$AL,22,FALSE)+8,1)</f>
        <v>A</v>
      </c>
      <c r="AE136" s="49" t="str">
        <f>MID(VLOOKUP($A136,Seqs!$A:$B,2,FALSE),VLOOKUP($A136,'SegEnds_NonXtal_Prot#'!$A:$AL,22,FALSE)+9,1)</f>
        <v>I</v>
      </c>
      <c r="AF136" s="49" t="str">
        <f>MID(VLOOKUP($A136,Seqs!$A:$B,2,FALSE),VLOOKUP($A136,'SegEnds_NonXtal_Prot#'!$A:$AL,22,FALSE)+10,1)</f>
        <v>P</v>
      </c>
      <c r="AG136" s="28" t="str">
        <f>MID(VLOOKUP($A136,Seqs!$A:$B,2,FALSE),VLOOKUP($A136,'SegEnds_NonXtal_Prot#'!$A:$AL,28,FALSE)-4,1)</f>
        <v>F</v>
      </c>
      <c r="AH136" s="49" t="str">
        <f>MID(VLOOKUP($A136,Seqs!$A:$B,2,FALSE),VLOOKUP($A136,'SegEnds_NonXtal_Prot#'!$A:$AL,28,FALSE),1)</f>
        <v>T</v>
      </c>
    </row>
    <row r="137" spans="1:34" s="2" customFormat="1" x14ac:dyDescent="0.2">
      <c r="A137" s="2" t="s">
        <v>286</v>
      </c>
      <c r="B137" s="2" t="str">
        <f>LOWER(VLOOKUP(A137,Xtal_Templ!A:B,2,FALSE))</f>
        <v>lpar1_human</v>
      </c>
      <c r="C137" s="2" t="str">
        <f>VLOOKUP(A137,Classification!A:D,2,FALSE)</f>
        <v>A</v>
      </c>
      <c r="D137" s="2" t="str">
        <f>IF(ISERROR(MATCH(A137,'SegEnds_Xtal_Prot#'!B:B, 0)), "NoXtal", "Xtal")</f>
        <v>NoXtal</v>
      </c>
      <c r="H137" s="4"/>
      <c r="I137" s="2" t="s">
        <v>21</v>
      </c>
      <c r="T137" s="4" t="s">
        <v>12</v>
      </c>
      <c r="V137" s="28" t="str">
        <f>MID(VLOOKUP($A137,Seqs!$A:$B,2,FALSE),VLOOKUP($A137,'SegEnds_NonXtal_Prot#'!A:AL,10,FALSE),1)</f>
        <v>D</v>
      </c>
      <c r="W137" s="49" t="str">
        <f>MID(VLOOKUP($A137,Seqs!$A:$B,2,FALSE),VLOOKUP($A137,'SegEnds_NonXtal_Prot#'!A:AL,10,FALSE)+6,1)</f>
        <v>A</v>
      </c>
      <c r="X137" s="49" t="str">
        <f>MID(VLOOKUP($A137,Seqs!$A:$B,2,FALSE),VLOOKUP($A137,'SegEnds_NonXtal_Prot#'!A:AL,10,FALSE)+7,1)</f>
        <v>Y</v>
      </c>
      <c r="Y137" s="49" t="str">
        <f>MID(VLOOKUP($A137,Seqs!$A:$B,2,FALSE),VLOOKUP($A137,'SegEnds_NonXtal_Prot#'!A:AL,10,FALSE)+8,1)</f>
        <v>L</v>
      </c>
      <c r="Z137" s="49" t="str">
        <f>MID(VLOOKUP($A137,Seqs!$A:$B,2,FALSE),VLOOKUP($A137,'SegEnds_NonXtal_Prot#'!A:AL,10,FALSE)+9,1)</f>
        <v>F</v>
      </c>
      <c r="AA137" s="49" t="str">
        <f>MID(VLOOKUP($A137,Seqs!$A:$B,2,FALSE),VLOOKUP($A137,'SegEnds_NonXtal_Prot#'!A:AL,10,FALSE)+10,1)</f>
        <v>L</v>
      </c>
      <c r="AB137" s="28" t="str">
        <f>MID(VLOOKUP($A137,Seqs!$A:$B,2,FALSE),VLOOKUP($A137,'SegEnds_NonXtal_Prot#'!$A:$AL,22,FALSE)+6,1)</f>
        <v>L</v>
      </c>
      <c r="AC137" s="49" t="str">
        <f>MID(VLOOKUP($A137,Seqs!$A:$B,2,FALSE),VLOOKUP($A137,'SegEnds_NonXtal_Prot#'!$A:$AL,22,FALSE)+7,1)</f>
        <v>G</v>
      </c>
      <c r="AD137" s="49" t="str">
        <f>MID(VLOOKUP($A137,Seqs!$A:$B,2,FALSE),VLOOKUP($A137,'SegEnds_NonXtal_Prot#'!$A:$AL,22,FALSE)+8,1)</f>
        <v>L</v>
      </c>
      <c r="AE137" s="49" t="str">
        <f>MID(VLOOKUP($A137,Seqs!$A:$B,2,FALSE),VLOOKUP($A137,'SegEnds_NonXtal_Prot#'!$A:$AL,22,FALSE)+9,1)</f>
        <v>L</v>
      </c>
      <c r="AF137" s="49" t="str">
        <f>MID(VLOOKUP($A137,Seqs!$A:$B,2,FALSE),VLOOKUP($A137,'SegEnds_NonXtal_Prot#'!$A:$AL,22,FALSE)+10,1)</f>
        <v>P</v>
      </c>
      <c r="AG137" s="28" t="str">
        <f>MID(VLOOKUP($A137,Seqs!$A:$B,2,FALSE),VLOOKUP($A137,'SegEnds_NonXtal_Prot#'!$A:$AL,28,FALSE)-4,1)</f>
        <v>S</v>
      </c>
      <c r="AH137" s="49" t="str">
        <f>MID(VLOOKUP($A137,Seqs!$A:$B,2,FALSE),VLOOKUP($A137,'SegEnds_NonXtal_Prot#'!$A:$AL,28,FALSE),1)</f>
        <v>V</v>
      </c>
    </row>
    <row r="138" spans="1:34" s="2" customFormat="1" x14ac:dyDescent="0.2">
      <c r="A138" s="2" t="s">
        <v>287</v>
      </c>
      <c r="B138" s="2" t="str">
        <f>LOWER(VLOOKUP(A138,Xtal_Templ!A:B,2,FALSE))</f>
        <v>lpar1_human</v>
      </c>
      <c r="C138" s="2" t="str">
        <f>VLOOKUP(A138,Classification!A:D,2,FALSE)</f>
        <v>A</v>
      </c>
      <c r="D138" s="2" t="str">
        <f>IF(ISERROR(MATCH(A138,'SegEnds_Xtal_Prot#'!B:B, 0)), "NoXtal", "Xtal")</f>
        <v>NoXtal</v>
      </c>
      <c r="H138" s="4"/>
      <c r="I138" s="2" t="s">
        <v>21</v>
      </c>
      <c r="T138" s="4" t="s">
        <v>12</v>
      </c>
      <c r="V138" s="28" t="str">
        <f>MID(VLOOKUP($A138,Seqs!$A:$B,2,FALSE),VLOOKUP($A138,'SegEnds_NonXtal_Prot#'!A:AL,10,FALSE),1)</f>
        <v>D</v>
      </c>
      <c r="W138" s="49" t="str">
        <f>MID(VLOOKUP($A138,Seqs!$A:$B,2,FALSE),VLOOKUP($A138,'SegEnds_NonXtal_Prot#'!A:AL,10,FALSE)+6,1)</f>
        <v>A</v>
      </c>
      <c r="X138" s="49" t="str">
        <f>MID(VLOOKUP($A138,Seqs!$A:$B,2,FALSE),VLOOKUP($A138,'SegEnds_NonXtal_Prot#'!A:AL,10,FALSE)+7,1)</f>
        <v>Y</v>
      </c>
      <c r="Y138" s="49" t="str">
        <f>MID(VLOOKUP($A138,Seqs!$A:$B,2,FALSE),VLOOKUP($A138,'SegEnds_NonXtal_Prot#'!A:AL,10,FALSE)+8,1)</f>
        <v>V</v>
      </c>
      <c r="Z138" s="49" t="str">
        <f>MID(VLOOKUP($A138,Seqs!$A:$B,2,FALSE),VLOOKUP($A138,'SegEnds_NonXtal_Prot#'!A:AL,10,FALSE)+9,1)</f>
        <v>F</v>
      </c>
      <c r="AA138" s="49" t="str">
        <f>MID(VLOOKUP($A138,Seqs!$A:$B,2,FALSE),VLOOKUP($A138,'SegEnds_NonXtal_Prot#'!A:AL,10,FALSE)+10,1)</f>
        <v>L</v>
      </c>
      <c r="AB138" s="28" t="str">
        <f>MID(VLOOKUP($A138,Seqs!$A:$B,2,FALSE),VLOOKUP($A138,'SegEnds_NonXtal_Prot#'!$A:$AL,22,FALSE)+6,1)</f>
        <v>M</v>
      </c>
      <c r="AC138" s="49" t="str">
        <f>MID(VLOOKUP($A138,Seqs!$A:$B,2,FALSE),VLOOKUP($A138,'SegEnds_NonXtal_Prot#'!$A:$AL,22,FALSE)+7,1)</f>
        <v>G</v>
      </c>
      <c r="AD138" s="49" t="str">
        <f>MID(VLOOKUP($A138,Seqs!$A:$B,2,FALSE),VLOOKUP($A138,'SegEnds_NonXtal_Prot#'!$A:$AL,22,FALSE)+8,1)</f>
        <v>A</v>
      </c>
      <c r="AE138" s="49" t="str">
        <f>MID(VLOOKUP($A138,Seqs!$A:$B,2,FALSE),VLOOKUP($A138,'SegEnds_NonXtal_Prot#'!$A:$AL,22,FALSE)+9,1)</f>
        <v>V</v>
      </c>
      <c r="AF138" s="49" t="str">
        <f>MID(VLOOKUP($A138,Seqs!$A:$B,2,FALSE),VLOOKUP($A138,'SegEnds_NonXtal_Prot#'!$A:$AL,22,FALSE)+10,1)</f>
        <v>P</v>
      </c>
      <c r="AG138" s="28" t="str">
        <f>MID(VLOOKUP($A138,Seqs!$A:$B,2,FALSE),VLOOKUP($A138,'SegEnds_NonXtal_Prot#'!$A:$AL,28,FALSE)-4,1)</f>
        <v>S</v>
      </c>
      <c r="AH138" s="49" t="str">
        <f>MID(VLOOKUP($A138,Seqs!$A:$B,2,FALSE),VLOOKUP($A138,'SegEnds_NonXtal_Prot#'!$A:$AL,28,FALSE),1)</f>
        <v>A</v>
      </c>
    </row>
    <row r="139" spans="1:34" s="2" customFormat="1" x14ac:dyDescent="0.2">
      <c r="A139" s="2" t="s">
        <v>1450</v>
      </c>
      <c r="B139" s="2" t="str">
        <f>LOWER(VLOOKUP(A139,Xtal_Templ!A:B,2,FALSE))</f>
        <v>q08bg4_danre</v>
      </c>
      <c r="C139" s="2" t="str">
        <f>VLOOKUP(A139,Classification!A:D,2,FALSE)</f>
        <v>A</v>
      </c>
      <c r="D139" s="2" t="str">
        <f>IF(ISERROR(MATCH(A139,'SegEnds_Xtal_Prot#'!B:B, 0)), "NoXtal", "Xtal")</f>
        <v>Xtal</v>
      </c>
      <c r="H139" s="4"/>
      <c r="R139" s="2" t="s">
        <v>9</v>
      </c>
      <c r="T139" s="4" t="s">
        <v>12</v>
      </c>
      <c r="V139" s="28" t="str">
        <f>MID(VLOOKUP($A139,Seqs!$A:$B,2,FALSE),VLOOKUP($A139,'SegEnds_NonXtal_Prot#'!A:AL,10,FALSE),1)</f>
        <v>D</v>
      </c>
      <c r="W139" s="49" t="str">
        <f>MID(VLOOKUP($A139,Seqs!$A:$B,2,FALSE),VLOOKUP($A139,'SegEnds_NonXtal_Prot#'!A:AL,10,FALSE)+6,1)</f>
        <v>T</v>
      </c>
      <c r="X139" s="49" t="str">
        <f>MID(VLOOKUP($A139,Seqs!$A:$B,2,FALSE),VLOOKUP($A139,'SegEnds_NonXtal_Prot#'!A:AL,10,FALSE)+7,1)</f>
        <v>L</v>
      </c>
      <c r="Y139" s="49" t="str">
        <f>MID(VLOOKUP($A139,Seqs!$A:$B,2,FALSE),VLOOKUP($A139,'SegEnds_NonXtal_Prot#'!A:AL,10,FALSE)+8,1)</f>
        <v>P</v>
      </c>
      <c r="Z139" s="49" t="str">
        <f>MID(VLOOKUP($A139,Seqs!$A:$B,2,FALSE),VLOOKUP($A139,'SegEnds_NonXtal_Prot#'!A:AL,10,FALSE)+9,1)</f>
        <v>L</v>
      </c>
      <c r="AA139" s="49" t="str">
        <f>MID(VLOOKUP($A139,Seqs!$A:$B,2,FALSE),VLOOKUP($A139,'SegEnds_NonXtal_Prot#'!A:AL,10,FALSE)+10,1)</f>
        <v>R</v>
      </c>
      <c r="AB139" s="28" t="str">
        <f>MID(VLOOKUP($A139,Seqs!$A:$B,2,FALSE),VLOOKUP($A139,'SegEnds_NonXtal_Prot#'!$A:$AL,22,FALSE)+6,1)</f>
        <v>G</v>
      </c>
      <c r="AC139" s="49" t="str">
        <f>MID(VLOOKUP($A139,Seqs!$A:$B,2,FALSE),VLOOKUP($A139,'SegEnds_NonXtal_Prot#'!$A:$AL,22,FALSE)+7,1)</f>
        <v>S</v>
      </c>
      <c r="AD139" s="49" t="str">
        <f>MID(VLOOKUP($A139,Seqs!$A:$B,2,FALSE),VLOOKUP($A139,'SegEnds_NonXtal_Prot#'!$A:$AL,22,FALSE)+8,1)</f>
        <v>L</v>
      </c>
      <c r="AE139" s="49" t="str">
        <f>MID(VLOOKUP($A139,Seqs!$A:$B,2,FALSE),VLOOKUP($A139,'SegEnds_NonXtal_Prot#'!$A:$AL,22,FALSE)+9,1)</f>
        <v>P</v>
      </c>
      <c r="AF139" s="49" t="str">
        <f>MID(VLOOKUP($A139,Seqs!$A:$B,2,FALSE),VLOOKUP($A139,'SegEnds_NonXtal_Prot#'!$A:$AL,22,FALSE)+10,1)</f>
        <v>T</v>
      </c>
      <c r="AG139" s="28" t="str">
        <f>MID(VLOOKUP($A139,Seqs!$A:$B,2,FALSE),VLOOKUP($A139,'SegEnds_NonXtal_Prot#'!$A:$AL,28,FALSE)-4,1)</f>
        <v>G</v>
      </c>
      <c r="AH139" s="49" t="str">
        <f>MID(VLOOKUP($A139,Seqs!$A:$B,2,FALSE),VLOOKUP($A139,'SegEnds_NonXtal_Prot#'!$A:$AL,28,FALSE),1)</f>
        <v>P</v>
      </c>
    </row>
    <row r="140" spans="1:34" s="2" customFormat="1" x14ac:dyDescent="0.2">
      <c r="A140" s="2" t="s">
        <v>1462</v>
      </c>
      <c r="B140" s="2" t="str">
        <f>LOWER(VLOOKUP(A140,Xtal_Templ!A:B,2,FALSE))</f>
        <v>q9wtk1_cavpo</v>
      </c>
      <c r="C140" s="2" t="str">
        <f>VLOOKUP(A140,Classification!A:D,2,FALSE)</f>
        <v>A</v>
      </c>
      <c r="D140" s="2" t="str">
        <f>IF(ISERROR(MATCH(A140,'SegEnds_Xtal_Prot#'!B:B, 0)), "NoXtal", "Xtal")</f>
        <v>Xtal</v>
      </c>
      <c r="F140" s="122"/>
      <c r="G140" s="122"/>
      <c r="H140" s="122"/>
      <c r="I140" s="122"/>
      <c r="J140" s="122"/>
      <c r="K140" s="122"/>
      <c r="L140" s="122"/>
      <c r="M140" s="122"/>
      <c r="N140" s="123" t="s">
        <v>14</v>
      </c>
      <c r="O140" s="122"/>
      <c r="P140" s="122"/>
      <c r="Q140" s="122"/>
      <c r="R140" s="122" t="s">
        <v>9</v>
      </c>
      <c r="S140" s="122"/>
      <c r="T140" s="122" t="s">
        <v>12</v>
      </c>
      <c r="U140" s="122"/>
      <c r="V140" s="28" t="str">
        <f>MID(VLOOKUP($A140,Seqs!$A:$B,2,FALSE),VLOOKUP($A140,'SegEnds_NonXtal_Prot#'!A:AL,10,FALSE),1)</f>
        <v>D</v>
      </c>
      <c r="W140" s="49" t="str">
        <f>MID(VLOOKUP($A140,Seqs!$A:$B,2,FALSE),VLOOKUP($A140,'SegEnds_NonXtal_Prot#'!A:AL,10,FALSE)+6,1)</f>
        <v>T</v>
      </c>
      <c r="X140" s="49" t="str">
        <f>MID(VLOOKUP($A140,Seqs!$A:$B,2,FALSE),VLOOKUP($A140,'SegEnds_NonXtal_Prot#'!A:AL,10,FALSE)+7,1)</f>
        <v>A</v>
      </c>
      <c r="Y140" s="49" t="str">
        <f>MID(VLOOKUP($A140,Seqs!$A:$B,2,FALSE),VLOOKUP($A140,'SegEnds_NonXtal_Prot#'!A:AL,10,FALSE)+8,1)</f>
        <v>P</v>
      </c>
      <c r="Z140" s="49" t="str">
        <f>MID(VLOOKUP($A140,Seqs!$A:$B,2,FALSE),VLOOKUP($A140,'SegEnds_NonXtal_Prot#'!A:AL,10,FALSE)+9,1)</f>
        <v>F</v>
      </c>
      <c r="AA140" s="49" t="str">
        <f>MID(VLOOKUP($A140,Seqs!$A:$B,2,FALSE),VLOOKUP($A140,'SegEnds_NonXtal_Prot#'!A:AL,10,FALSE)+10,1)</f>
        <v>F</v>
      </c>
      <c r="AB140" s="28" t="str">
        <f>MID(VLOOKUP($A140,Seqs!$A:$B,2,FALSE),VLOOKUP($A140,'SegEnds_NonXtal_Prot#'!$A:$AL,22,FALSE)+6,1)</f>
        <v>L</v>
      </c>
      <c r="AC140" s="49" t="str">
        <f>MID(VLOOKUP($A140,Seqs!$A:$B,2,FALSE),VLOOKUP($A140,'SegEnds_NonXtal_Prot#'!$A:$AL,22,FALSE)+7,1)</f>
        <v>A</v>
      </c>
      <c r="AD140" s="49" t="str">
        <f>MID(VLOOKUP($A140,Seqs!$A:$B,2,FALSE),VLOOKUP($A140,'SegEnds_NonXtal_Prot#'!$A:$AL,22,FALSE)+8,1)</f>
        <v>T</v>
      </c>
      <c r="AE140" s="49" t="str">
        <f>MID(VLOOKUP($A140,Seqs!$A:$B,2,FALSE),VLOOKUP($A140,'SegEnds_NonXtal_Prot#'!$A:$AL,22,FALSE)+9,1)</f>
        <v>P</v>
      </c>
      <c r="AF140" s="49" t="str">
        <f>MID(VLOOKUP($A140,Seqs!$A:$B,2,FALSE),VLOOKUP($A140,'SegEnds_NonXtal_Prot#'!$A:$AL,22,FALSE)+10,1)</f>
        <v>V</v>
      </c>
      <c r="AG140" s="28" t="str">
        <f>MID(VLOOKUP($A140,Seqs!$A:$B,2,FALSE),VLOOKUP($A140,'SegEnds_NonXtal_Prot#'!$A:$AL,28,FALSE)-4,1)</f>
        <v>G</v>
      </c>
      <c r="AH140" s="49" t="str">
        <f>MID(VLOOKUP($A140,Seqs!$A:$B,2,FALSE),VLOOKUP($A140,'SegEnds_NonXtal_Prot#'!$A:$AL,28,FALSE),1)</f>
        <v>P</v>
      </c>
    </row>
    <row r="141" spans="1:34" s="2" customFormat="1" x14ac:dyDescent="0.2">
      <c r="A141" s="2" t="s">
        <v>209</v>
      </c>
      <c r="B141" s="2" t="str">
        <f>LOWER(VLOOKUP(A141,Xtal_Templ!A:B,2,FALSE))</f>
        <v>ntr1_rat</v>
      </c>
      <c r="C141" s="2" t="str">
        <f>VLOOKUP(A141,Classification!A:D,2,FALSE)</f>
        <v>A</v>
      </c>
      <c r="D141" s="2" t="str">
        <f>IF(ISERROR(MATCH(A141,'SegEnds_Xtal_Prot#'!B:B, 0)), "NoXtal", "Xtal")</f>
        <v>NoXtal</v>
      </c>
      <c r="H141" s="4"/>
      <c r="N141" s="2" t="s">
        <v>14</v>
      </c>
      <c r="T141" s="4" t="s">
        <v>12</v>
      </c>
      <c r="V141" s="28" t="str">
        <f>MID(VLOOKUP($A141,Seqs!$A:$B,2,FALSE),VLOOKUP($A141,'SegEnds_NonXtal_Prot#'!A:AL,10,FALSE),1)</f>
        <v>D</v>
      </c>
      <c r="W141" s="49" t="str">
        <f>MID(VLOOKUP($A141,Seqs!$A:$B,2,FALSE),VLOOKUP($A141,'SegEnds_NonXtal_Prot#'!A:AL,10,FALSE)+6,1)</f>
        <v>C</v>
      </c>
      <c r="X141" s="49" t="str">
        <f>MID(VLOOKUP($A141,Seqs!$A:$B,2,FALSE),VLOOKUP($A141,'SegEnds_NonXtal_Prot#'!A:AL,10,FALSE)+7,1)</f>
        <v>M</v>
      </c>
      <c r="Y141" s="49" t="str">
        <f>MID(VLOOKUP($A141,Seqs!$A:$B,2,FALSE),VLOOKUP($A141,'SegEnds_NonXtal_Prot#'!A:AL,10,FALSE)+8,1)</f>
        <v>P</v>
      </c>
      <c r="Z141" s="49" t="str">
        <f>MID(VLOOKUP($A141,Seqs!$A:$B,2,FALSE),VLOOKUP($A141,'SegEnds_NonXtal_Prot#'!A:AL,10,FALSE)+9,1)</f>
        <v>L</v>
      </c>
      <c r="AA141" s="49" t="str">
        <f>MID(VLOOKUP($A141,Seqs!$A:$B,2,FALSE),VLOOKUP($A141,'SegEnds_NonXtal_Prot#'!A:AL,10,FALSE)+10,1)</f>
        <v>D</v>
      </c>
      <c r="AB141" s="28" t="str">
        <f>MID(VLOOKUP($A141,Seqs!$A:$B,2,FALSE),VLOOKUP($A141,'SegEnds_NonXtal_Prot#'!$A:$AL,22,FALSE)+6,1)</f>
        <v>S</v>
      </c>
      <c r="AC141" s="49" t="str">
        <f>MID(VLOOKUP($A141,Seqs!$A:$B,2,FALSE),VLOOKUP($A141,'SegEnds_NonXtal_Prot#'!$A:$AL,22,FALSE)+7,1)</f>
        <v>A</v>
      </c>
      <c r="AD141" s="49" t="str">
        <f>MID(VLOOKUP($A141,Seqs!$A:$B,2,FALSE),VLOOKUP($A141,'SegEnds_NonXtal_Prot#'!$A:$AL,22,FALSE)+8,1)</f>
        <v>G</v>
      </c>
      <c r="AE141" s="49" t="str">
        <f>MID(VLOOKUP($A141,Seqs!$A:$B,2,FALSE),VLOOKUP($A141,'SegEnds_NonXtal_Prot#'!$A:$AL,22,FALSE)+9,1)</f>
        <v>P</v>
      </c>
      <c r="AF141" s="49" t="str">
        <f>MID(VLOOKUP($A141,Seqs!$A:$B,2,FALSE),VLOOKUP($A141,'SegEnds_NonXtal_Prot#'!$A:$AL,22,FALSE)+10,1)</f>
        <v>I</v>
      </c>
      <c r="AG141" s="28" t="str">
        <f>MID(VLOOKUP($A141,Seqs!$A:$B,2,FALSE),VLOOKUP($A141,'SegEnds_NonXtal_Prot#'!$A:$AL,28,FALSE)-4,1)</f>
        <v>F</v>
      </c>
      <c r="AH141" s="49" t="str">
        <f>MID(VLOOKUP($A141,Seqs!$A:$B,2,FALSE),VLOOKUP($A141,'SegEnds_NonXtal_Prot#'!$A:$AL,28,FALSE),1)</f>
        <v>P</v>
      </c>
    </row>
    <row r="142" spans="1:34" s="2" customFormat="1" x14ac:dyDescent="0.2">
      <c r="A142" s="2" t="s">
        <v>216</v>
      </c>
      <c r="B142" s="2" t="str">
        <f>LOWER(VLOOKUP(A142,Xtal_Templ!A:B,2,FALSE))</f>
        <v>5ht2c_human</v>
      </c>
      <c r="C142" s="2" t="str">
        <f>VLOOKUP(A142,Classification!A:D,2,FALSE)</f>
        <v>A</v>
      </c>
      <c r="D142" s="2" t="str">
        <f>IF(ISERROR(MATCH(A142,'SegEnds_Xtal_Prot#'!B:B, 0)), "NoXtal", "Xtal")</f>
        <v>NoXtal</v>
      </c>
      <c r="H142" s="4"/>
      <c r="R142" s="2" t="s">
        <v>9</v>
      </c>
      <c r="T142" s="4" t="s">
        <v>12</v>
      </c>
      <c r="V142" s="28" t="str">
        <f>MID(VLOOKUP($A142,Seqs!$A:$B,2,FALSE),VLOOKUP($A142,'SegEnds_NonXtal_Prot#'!A:AL,10,FALSE),1)</f>
        <v>D</v>
      </c>
      <c r="W142" s="49" t="str">
        <f>MID(VLOOKUP($A142,Seqs!$A:$B,2,FALSE),VLOOKUP($A142,'SegEnds_NonXtal_Prot#'!A:AL,10,FALSE)+6,1)</f>
        <v>F</v>
      </c>
      <c r="X142" s="49" t="str">
        <f>MID(VLOOKUP($A142,Seqs!$A:$B,2,FALSE),VLOOKUP($A142,'SegEnds_NonXtal_Prot#'!A:AL,10,FALSE)+7,1)</f>
        <v>I</v>
      </c>
      <c r="Y142" s="49" t="str">
        <f>MID(VLOOKUP($A142,Seqs!$A:$B,2,FALSE),VLOOKUP($A142,'SegEnds_NonXtal_Prot#'!A:AL,10,FALSE)+8,1)</f>
        <v>V</v>
      </c>
      <c r="Z142" s="49" t="str">
        <f>MID(VLOOKUP($A142,Seqs!$A:$B,2,FALSE),VLOOKUP($A142,'SegEnds_NonXtal_Prot#'!A:AL,10,FALSE)+9,1)</f>
        <v>F</v>
      </c>
      <c r="AA142" s="49" t="str">
        <f>MID(VLOOKUP($A142,Seqs!$A:$B,2,FALSE),VLOOKUP($A142,'SegEnds_NonXtal_Prot#'!A:AL,10,FALSE)+10,1)</f>
        <v>V</v>
      </c>
      <c r="AB142" s="28" t="str">
        <f>MID(VLOOKUP($A142,Seqs!$A:$B,2,FALSE),VLOOKUP($A142,'SegEnds_NonXtal_Prot#'!$A:$AL,22,FALSE)+6,1)</f>
        <v>L</v>
      </c>
      <c r="AC142" s="49" t="str">
        <f>MID(VLOOKUP($A142,Seqs!$A:$B,2,FALSE),VLOOKUP($A142,'SegEnds_NonXtal_Prot#'!$A:$AL,22,FALSE)+7,1)</f>
        <v>T</v>
      </c>
      <c r="AD142" s="49" t="str">
        <f>MID(VLOOKUP($A142,Seqs!$A:$B,2,FALSE),VLOOKUP($A142,'SegEnds_NonXtal_Prot#'!$A:$AL,22,FALSE)+8,1)</f>
        <v>S</v>
      </c>
      <c r="AE142" s="49" t="str">
        <f>MID(VLOOKUP($A142,Seqs!$A:$B,2,FALSE),VLOOKUP($A142,'SegEnds_NonXtal_Prot#'!$A:$AL,22,FALSE)+9,1)</f>
        <v>I</v>
      </c>
      <c r="AF142" s="49" t="str">
        <f>MID(VLOOKUP($A142,Seqs!$A:$B,2,FALSE),VLOOKUP($A142,'SegEnds_NonXtal_Prot#'!$A:$AL,22,FALSE)+10,1)</f>
        <v>P</v>
      </c>
      <c r="AG142" s="28" t="str">
        <f>MID(VLOOKUP($A142,Seqs!$A:$B,2,FALSE),VLOOKUP($A142,'SegEnds_NonXtal_Prot#'!$A:$AL,28,FALSE)-4,1)</f>
        <v>V</v>
      </c>
      <c r="AH142" s="49" t="str">
        <f>MID(VLOOKUP($A142,Seqs!$A:$B,2,FALSE),VLOOKUP($A142,'SegEnds_NonXtal_Prot#'!$A:$AL,28,FALSE),1)</f>
        <v>P</v>
      </c>
    </row>
    <row r="143" spans="1:34" s="2" customFormat="1" x14ac:dyDescent="0.2">
      <c r="A143" s="2" t="s">
        <v>224</v>
      </c>
      <c r="B143" s="2" t="str">
        <f>LOWER(VLOOKUP(A143,Xtal_Templ!A:B,2,FALSE))</f>
        <v>pd2r2_human</v>
      </c>
      <c r="C143" s="2" t="str">
        <f>VLOOKUP(A143,Classification!A:D,2,FALSE)</f>
        <v>A</v>
      </c>
      <c r="D143" s="2" t="str">
        <f>IF(ISERROR(MATCH(A143,'SegEnds_Xtal_Prot#'!B:B, 0)), "NoXtal", "Xtal")</f>
        <v>NoXtal</v>
      </c>
      <c r="H143" s="4"/>
      <c r="N143" s="2" t="s">
        <v>14</v>
      </c>
      <c r="R143" s="2" t="s">
        <v>9</v>
      </c>
      <c r="T143" s="4" t="s">
        <v>12</v>
      </c>
      <c r="V143" s="28" t="str">
        <f>MID(VLOOKUP($A143,Seqs!$A:$B,2,FALSE),VLOOKUP($A143,'SegEnds_NonXtal_Prot#'!A:AL,10,FALSE),1)</f>
        <v>D</v>
      </c>
      <c r="W143" s="49" t="str">
        <f>MID(VLOOKUP($A143,Seqs!$A:$B,2,FALSE),VLOOKUP($A143,'SegEnds_NonXtal_Prot#'!A:AL,10,FALSE)+6,1)</f>
        <v>A</v>
      </c>
      <c r="X143" s="49" t="str">
        <f>MID(VLOOKUP($A143,Seqs!$A:$B,2,FALSE),VLOOKUP($A143,'SegEnds_NonXtal_Prot#'!A:AL,10,FALSE)+7,1)</f>
        <v>A</v>
      </c>
      <c r="Y143" s="49" t="str">
        <f>MID(VLOOKUP($A143,Seqs!$A:$B,2,FALSE),VLOOKUP($A143,'SegEnds_NonXtal_Prot#'!A:AL,10,FALSE)+8,1)</f>
        <v>A</v>
      </c>
      <c r="Z143" s="49" t="str">
        <f>MID(VLOOKUP($A143,Seqs!$A:$B,2,FALSE),VLOOKUP($A143,'SegEnds_NonXtal_Prot#'!A:AL,10,FALSE)+9,1)</f>
        <v>F</v>
      </c>
      <c r="AA143" s="49" t="str">
        <f>MID(VLOOKUP($A143,Seqs!$A:$B,2,FALSE),VLOOKUP($A143,'SegEnds_NonXtal_Prot#'!A:AL,10,FALSE)+10,1)</f>
        <v>Q</v>
      </c>
      <c r="AB143" s="28" t="str">
        <f>MID(VLOOKUP($A143,Seqs!$A:$B,2,FALSE),VLOOKUP($A143,'SegEnds_NonXtal_Prot#'!$A:$AL,22,FALSE)+6,1)</f>
        <v>F</v>
      </c>
      <c r="AC143" s="49" t="str">
        <f>MID(VLOOKUP($A143,Seqs!$A:$B,2,FALSE),VLOOKUP($A143,'SegEnds_NonXtal_Prot#'!$A:$AL,22,FALSE)+7,1)</f>
        <v>S</v>
      </c>
      <c r="AD143" s="49" t="str">
        <f>MID(VLOOKUP($A143,Seqs!$A:$B,2,FALSE),VLOOKUP($A143,'SegEnds_NonXtal_Prot#'!$A:$AL,22,FALSE)+8,1)</f>
        <v>V</v>
      </c>
      <c r="AE143" s="49" t="str">
        <f>MID(VLOOKUP($A143,Seqs!$A:$B,2,FALSE),VLOOKUP($A143,'SegEnds_NonXtal_Prot#'!$A:$AL,22,FALSE)+9,1)</f>
        <v>P</v>
      </c>
      <c r="AF143" s="49" t="str">
        <f>MID(VLOOKUP($A143,Seqs!$A:$B,2,FALSE),VLOOKUP($A143,'SegEnds_NonXtal_Prot#'!$A:$AL,22,FALSE)+10,1)</f>
        <v>W</v>
      </c>
      <c r="AG143" s="28" t="str">
        <f>MID(VLOOKUP($A143,Seqs!$A:$B,2,FALSE),VLOOKUP($A143,'SegEnds_NonXtal_Prot#'!$A:$AL,28,FALSE)-4,1)</f>
        <v>G</v>
      </c>
      <c r="AH143" s="49" t="str">
        <f>MID(VLOOKUP($A143,Seqs!$A:$B,2,FALSE),VLOOKUP($A143,'SegEnds_NonXtal_Prot#'!$A:$AL,28,FALSE),1)</f>
        <v>P</v>
      </c>
    </row>
    <row r="144" spans="1:34" s="2" customFormat="1" x14ac:dyDescent="0.2">
      <c r="A144" s="2" t="s">
        <v>256</v>
      </c>
      <c r="B144" s="2" t="str">
        <f>LOWER(VLOOKUP(A144,Xtal_Templ!A:B,2,FALSE))</f>
        <v>ntr1_rat</v>
      </c>
      <c r="C144" s="2" t="str">
        <f>VLOOKUP(A144,Classification!A:D,2,FALSE)</f>
        <v>A</v>
      </c>
      <c r="D144" s="2" t="str">
        <f>IF(ISERROR(MATCH(A144,'SegEnds_Xtal_Prot#'!B:B, 0)), "NoXtal", "Xtal")</f>
        <v>NoXtal</v>
      </c>
      <c r="G144" s="2" t="s">
        <v>5</v>
      </c>
      <c r="H144" s="4"/>
      <c r="N144" s="2" t="s">
        <v>14</v>
      </c>
      <c r="T144" s="4" t="s">
        <v>12</v>
      </c>
      <c r="V144" s="28" t="str">
        <f>MID(VLOOKUP($A144,Seqs!$A:$B,2,FALSE),VLOOKUP($A144,'SegEnds_NonXtal_Prot#'!A:AL,10,FALSE),1)</f>
        <v>D</v>
      </c>
      <c r="W144" s="49" t="str">
        <f>MID(VLOOKUP($A144,Seqs!$A:$B,2,FALSE),VLOOKUP($A144,'SegEnds_NonXtal_Prot#'!A:AL,10,FALSE)+6,1)</f>
        <v>I</v>
      </c>
      <c r="X144" s="49" t="str">
        <f>MID(VLOOKUP($A144,Seqs!$A:$B,2,FALSE),VLOOKUP($A144,'SegEnds_NonXtal_Prot#'!A:AL,10,FALSE)+7,1)</f>
        <v>G</v>
      </c>
      <c r="Y144" s="49" t="str">
        <f>MID(VLOOKUP($A144,Seqs!$A:$B,2,FALSE),VLOOKUP($A144,'SegEnds_NonXtal_Prot#'!A:AL,10,FALSE)+8,1)</f>
        <v>M</v>
      </c>
      <c r="Z144" s="49" t="str">
        <f>MID(VLOOKUP($A144,Seqs!$A:$B,2,FALSE),VLOOKUP($A144,'SegEnds_NonXtal_Prot#'!A:AL,10,FALSE)+9,1)</f>
        <v>P</v>
      </c>
      <c r="AA144" s="49" t="str">
        <f>MID(VLOOKUP($A144,Seqs!$A:$B,2,FALSE),VLOOKUP($A144,'SegEnds_NonXtal_Prot#'!A:AL,10,FALSE)+10,1)</f>
        <v>M</v>
      </c>
      <c r="AB144" s="28" t="str">
        <f>MID(VLOOKUP($A144,Seqs!$A:$B,2,FALSE),VLOOKUP($A144,'SegEnds_NonXtal_Prot#'!$A:$AL,22,FALSE)+6,1)</f>
        <v>V</v>
      </c>
      <c r="AC144" s="49" t="str">
        <f>MID(VLOOKUP($A144,Seqs!$A:$B,2,FALSE),VLOOKUP($A144,'SegEnds_NonXtal_Prot#'!$A:$AL,22,FALSE)+7,1)</f>
        <v>A</v>
      </c>
      <c r="AD144" s="49" t="str">
        <f>MID(VLOOKUP($A144,Seqs!$A:$B,2,FALSE),VLOOKUP($A144,'SegEnds_NonXtal_Prot#'!$A:$AL,22,FALSE)+8,1)</f>
        <v>L</v>
      </c>
      <c r="AE144" s="49" t="str">
        <f>MID(VLOOKUP($A144,Seqs!$A:$B,2,FALSE),VLOOKUP($A144,'SegEnds_NonXtal_Prot#'!$A:$AL,22,FALSE)+9,1)</f>
        <v>P</v>
      </c>
      <c r="AF144" s="49" t="str">
        <f>MID(VLOOKUP($A144,Seqs!$A:$B,2,FALSE),VLOOKUP($A144,'SegEnds_NonXtal_Prot#'!$A:$AL,22,FALSE)+10,1)</f>
        <v>L</v>
      </c>
      <c r="AG144" s="28" t="str">
        <f>MID(VLOOKUP($A144,Seqs!$A:$B,2,FALSE),VLOOKUP($A144,'SegEnds_NonXtal_Prot#'!$A:$AL,28,FALSE)-4,1)</f>
        <v>A</v>
      </c>
      <c r="AH144" s="49" t="str">
        <f>MID(VLOOKUP($A144,Seqs!$A:$B,2,FALSE),VLOOKUP($A144,'SegEnds_NonXtal_Prot#'!$A:$AL,28,FALSE),1)</f>
        <v>Y</v>
      </c>
    </row>
    <row r="145" spans="1:34" s="2" customFormat="1" x14ac:dyDescent="0.2">
      <c r="A145" s="2" t="s">
        <v>310</v>
      </c>
      <c r="B145" s="2" t="str">
        <f>LOWER(VLOOKUP(A145,Xtal_Templ!A:B,2,FALSE))</f>
        <v>ntr1_rat</v>
      </c>
      <c r="C145" s="2" t="str">
        <f>VLOOKUP(A145,Classification!A:D,2,FALSE)</f>
        <v>A</v>
      </c>
      <c r="D145" s="2" t="str">
        <f>IF(ISERROR(MATCH(A145,'SegEnds_Xtal_Prot#'!B:B, 0)), "NoXtal", "Xtal")</f>
        <v>NoXtal</v>
      </c>
      <c r="H145" s="4"/>
      <c r="N145" s="2" t="s">
        <v>14</v>
      </c>
      <c r="R145" s="2" t="s">
        <v>9</v>
      </c>
      <c r="T145" s="4" t="s">
        <v>12</v>
      </c>
      <c r="V145" s="28" t="str">
        <f>MID(VLOOKUP($A145,Seqs!$A:$B,2,FALSE),VLOOKUP($A145,'SegEnds_NonXtal_Prot#'!A:AL,10,FALSE),1)</f>
        <v>D</v>
      </c>
      <c r="W145" s="49" t="str">
        <f>MID(VLOOKUP($A145,Seqs!$A:$B,2,FALSE),VLOOKUP($A145,'SegEnds_NonXtal_Prot#'!A:AL,10,FALSE)+6,1)</f>
        <v>G</v>
      </c>
      <c r="X145" s="49" t="str">
        <f>MID(VLOOKUP($A145,Seqs!$A:$B,2,FALSE),VLOOKUP($A145,'SegEnds_NonXtal_Prot#'!A:AL,10,FALSE)+7,1)</f>
        <v>L</v>
      </c>
      <c r="Y145" s="49" t="str">
        <f>MID(VLOOKUP($A145,Seqs!$A:$B,2,FALSE),VLOOKUP($A145,'SegEnds_NonXtal_Prot#'!A:AL,10,FALSE)+8,1)</f>
        <v>P</v>
      </c>
      <c r="Z145" s="49" t="str">
        <f>MID(VLOOKUP($A145,Seqs!$A:$B,2,FALSE),VLOOKUP($A145,'SegEnds_NonXtal_Prot#'!A:AL,10,FALSE)+9,1)</f>
        <v>F</v>
      </c>
      <c r="AA145" s="49" t="str">
        <f>MID(VLOOKUP($A145,Seqs!$A:$B,2,FALSE),VLOOKUP($A145,'SegEnds_NonXtal_Prot#'!A:AL,10,FALSE)+10,1)</f>
        <v>D</v>
      </c>
      <c r="AB145" s="28" t="str">
        <f>MID(VLOOKUP($A145,Seqs!$A:$B,2,FALSE),VLOOKUP($A145,'SegEnds_NonXtal_Prot#'!$A:$AL,22,FALSE)+6,1)</f>
        <v>S</v>
      </c>
      <c r="AC145" s="49" t="str">
        <f>MID(VLOOKUP($A145,Seqs!$A:$B,2,FALSE),VLOOKUP($A145,'SegEnds_NonXtal_Prot#'!$A:$AL,22,FALSE)+7,1)</f>
        <v>A</v>
      </c>
      <c r="AD145" s="49" t="str">
        <f>MID(VLOOKUP($A145,Seqs!$A:$B,2,FALSE),VLOOKUP($A145,'SegEnds_NonXtal_Prot#'!$A:$AL,22,FALSE)+8,1)</f>
        <v>G</v>
      </c>
      <c r="AE145" s="49" t="str">
        <f>MID(VLOOKUP($A145,Seqs!$A:$B,2,FALSE),VLOOKUP($A145,'SegEnds_NonXtal_Prot#'!$A:$AL,22,FALSE)+9,1)</f>
        <v>P</v>
      </c>
      <c r="AF145" s="49" t="str">
        <f>MID(VLOOKUP($A145,Seqs!$A:$B,2,FALSE),VLOOKUP($A145,'SegEnds_NonXtal_Prot#'!$A:$AL,22,FALSE)+10,1)</f>
        <v>F</v>
      </c>
      <c r="AG145" s="28" t="str">
        <f>MID(VLOOKUP($A145,Seqs!$A:$B,2,FALSE),VLOOKUP($A145,'SegEnds_NonXtal_Prot#'!$A:$AL,28,FALSE)-4,1)</f>
        <v>Y</v>
      </c>
      <c r="AH145" s="49" t="str">
        <f>MID(VLOOKUP($A145,Seqs!$A:$B,2,FALSE),VLOOKUP($A145,'SegEnds_NonXtal_Prot#'!$A:$AL,28,FALSE),1)</f>
        <v>P</v>
      </c>
    </row>
    <row r="146" spans="1:34" s="2" customFormat="1" x14ac:dyDescent="0.2">
      <c r="A146" s="2" t="s">
        <v>318</v>
      </c>
      <c r="B146" s="2" t="str">
        <f>LOWER(VLOOKUP(A146,Xtal_Templ!A:B,2,FALSE))</f>
        <v>ntr1_rat</v>
      </c>
      <c r="C146" s="2" t="str">
        <f>VLOOKUP(A146,Classification!A:D,2,FALSE)</f>
        <v>A</v>
      </c>
      <c r="D146" s="2" t="str">
        <f>IF(ISERROR(MATCH(A146,'SegEnds_Xtal_Prot#'!B:B, 0)), "NoXtal", "Xtal")</f>
        <v>NoXtal</v>
      </c>
      <c r="G146" s="2" t="s">
        <v>5</v>
      </c>
      <c r="H146" s="4"/>
      <c r="N146" s="2" t="s">
        <v>14</v>
      </c>
      <c r="T146" s="4" t="s">
        <v>12</v>
      </c>
      <c r="V146" s="28" t="str">
        <f>MID(VLOOKUP($A146,Seqs!$A:$B,2,FALSE),VLOOKUP($A146,'SegEnds_NonXtal_Prot#'!A:AL,10,FALSE),1)</f>
        <v>D</v>
      </c>
      <c r="W146" s="49" t="str">
        <f>MID(VLOOKUP($A146,Seqs!$A:$B,2,FALSE),VLOOKUP($A146,'SegEnds_NonXtal_Prot#'!A:AL,10,FALSE)+6,1)</f>
        <v>V</v>
      </c>
      <c r="X146" s="49" t="str">
        <f>MID(VLOOKUP($A146,Seqs!$A:$B,2,FALSE),VLOOKUP($A146,'SegEnds_NonXtal_Prot#'!A:AL,10,FALSE)+7,1)</f>
        <v>G</v>
      </c>
      <c r="Y146" s="49" t="str">
        <f>MID(VLOOKUP($A146,Seqs!$A:$B,2,FALSE),VLOOKUP($A146,'SegEnds_NonXtal_Prot#'!A:AL,10,FALSE)+8,1)</f>
        <v>L</v>
      </c>
      <c r="Z146" s="49" t="str">
        <f>MID(VLOOKUP($A146,Seqs!$A:$B,2,FALSE),VLOOKUP($A146,'SegEnds_NonXtal_Prot#'!A:AL,10,FALSE)+9,1)</f>
        <v>P</v>
      </c>
      <c r="AA146" s="49" t="str">
        <f>MID(VLOOKUP($A146,Seqs!$A:$B,2,FALSE),VLOOKUP($A146,'SegEnds_NonXtal_Prot#'!A:AL,10,FALSE)+10,1)</f>
        <v>L</v>
      </c>
      <c r="AB146" s="28" t="str">
        <f>MID(VLOOKUP($A146,Seqs!$A:$B,2,FALSE),VLOOKUP($A146,'SegEnds_NonXtal_Prot#'!$A:$AL,22,FALSE)+6,1)</f>
        <v>C</v>
      </c>
      <c r="AC146" s="49" t="str">
        <f>MID(VLOOKUP($A146,Seqs!$A:$B,2,FALSE),VLOOKUP($A146,'SegEnds_NonXtal_Prot#'!$A:$AL,22,FALSE)+7,1)</f>
        <v>S</v>
      </c>
      <c r="AD146" s="49" t="str">
        <f>MID(VLOOKUP($A146,Seqs!$A:$B,2,FALSE),VLOOKUP($A146,'SegEnds_NonXtal_Prot#'!$A:$AL,22,FALSE)+8,1)</f>
        <v>L</v>
      </c>
      <c r="AE146" s="49" t="str">
        <f>MID(VLOOKUP($A146,Seqs!$A:$B,2,FALSE),VLOOKUP($A146,'SegEnds_NonXtal_Prot#'!$A:$AL,22,FALSE)+9,1)</f>
        <v>P</v>
      </c>
      <c r="AF146" s="49" t="str">
        <f>MID(VLOOKUP($A146,Seqs!$A:$B,2,FALSE),VLOOKUP($A146,'SegEnds_NonXtal_Prot#'!$A:$AL,22,FALSE)+10,1)</f>
        <v>N</v>
      </c>
      <c r="AG146" s="28" t="str">
        <f>MID(VLOOKUP($A146,Seqs!$A:$B,2,FALSE),VLOOKUP($A146,'SegEnds_NonXtal_Prot#'!$A:$AL,28,FALSE)-4,1)</f>
        <v>F</v>
      </c>
      <c r="AH146" s="49" t="str">
        <f>MID(VLOOKUP($A146,Seqs!$A:$B,2,FALSE),VLOOKUP($A146,'SegEnds_NonXtal_Prot#'!$A:$AL,28,FALSE),1)</f>
        <v>P</v>
      </c>
    </row>
    <row r="147" spans="1:34" s="2" customFormat="1" x14ac:dyDescent="0.2">
      <c r="A147" s="2" t="s">
        <v>319</v>
      </c>
      <c r="B147" s="2" t="str">
        <f>LOWER(VLOOKUP(A147,Xtal_Templ!A:B,2,FALSE))</f>
        <v>ntr1_rat</v>
      </c>
      <c r="C147" s="2" t="str">
        <f>VLOOKUP(A147,Classification!A:D,2,FALSE)</f>
        <v>A</v>
      </c>
      <c r="D147" s="2" t="str">
        <f>IF(ISERROR(MATCH(A147,'SegEnds_Xtal_Prot#'!B:B, 0)), "NoXtal", "Xtal")</f>
        <v>NoXtal</v>
      </c>
      <c r="G147" s="2" t="s">
        <v>5</v>
      </c>
      <c r="H147" s="4"/>
      <c r="N147" s="2" t="s">
        <v>14</v>
      </c>
      <c r="T147" s="4" t="s">
        <v>12</v>
      </c>
      <c r="V147" s="28" t="str">
        <f>MID(VLOOKUP($A147,Seqs!$A:$B,2,FALSE),VLOOKUP($A147,'SegEnds_NonXtal_Prot#'!A:AL,10,FALSE),1)</f>
        <v>D</v>
      </c>
      <c r="W147" s="49" t="str">
        <f>MID(VLOOKUP($A147,Seqs!$A:$B,2,FALSE),VLOOKUP($A147,'SegEnds_NonXtal_Prot#'!A:AL,10,FALSE)+6,1)</f>
        <v>L</v>
      </c>
      <c r="X147" s="49" t="str">
        <f>MID(VLOOKUP($A147,Seqs!$A:$B,2,FALSE),VLOOKUP($A147,'SegEnds_NonXtal_Prot#'!A:AL,10,FALSE)+7,1)</f>
        <v>G</v>
      </c>
      <c r="Y147" s="49" t="str">
        <f>MID(VLOOKUP($A147,Seqs!$A:$B,2,FALSE),VLOOKUP($A147,'SegEnds_NonXtal_Prot#'!A:AL,10,FALSE)+8,1)</f>
        <v>M</v>
      </c>
      <c r="Z147" s="49" t="str">
        <f>MID(VLOOKUP($A147,Seqs!$A:$B,2,FALSE),VLOOKUP($A147,'SegEnds_NonXtal_Prot#'!A:AL,10,FALSE)+9,1)</f>
        <v>P</v>
      </c>
      <c r="AA147" s="49" t="str">
        <f>MID(VLOOKUP($A147,Seqs!$A:$B,2,FALSE),VLOOKUP($A147,'SegEnds_NonXtal_Prot#'!A:AL,10,FALSE)+10,1)</f>
        <v>L</v>
      </c>
      <c r="AB147" s="28" t="str">
        <f>MID(VLOOKUP($A147,Seqs!$A:$B,2,FALSE),VLOOKUP($A147,'SegEnds_NonXtal_Prot#'!$A:$AL,22,FALSE)+6,1)</f>
        <v>F</v>
      </c>
      <c r="AC147" s="49" t="str">
        <f>MID(VLOOKUP($A147,Seqs!$A:$B,2,FALSE),VLOOKUP($A147,'SegEnds_NonXtal_Prot#'!$A:$AL,22,FALSE)+7,1)</f>
        <v>S</v>
      </c>
      <c r="AD147" s="49" t="str">
        <f>MID(VLOOKUP($A147,Seqs!$A:$B,2,FALSE),VLOOKUP($A147,'SegEnds_NonXtal_Prot#'!$A:$AL,22,FALSE)+8,1)</f>
        <v>L</v>
      </c>
      <c r="AE147" s="49" t="str">
        <f>MID(VLOOKUP($A147,Seqs!$A:$B,2,FALSE),VLOOKUP($A147,'SegEnds_NonXtal_Prot#'!$A:$AL,22,FALSE)+9,1)</f>
        <v>P</v>
      </c>
      <c r="AF147" s="49" t="str">
        <f>MID(VLOOKUP($A147,Seqs!$A:$B,2,FALSE),VLOOKUP($A147,'SegEnds_NonXtal_Prot#'!$A:$AL,22,FALSE)+10,1)</f>
        <v>N</v>
      </c>
      <c r="AG147" s="28" t="str">
        <f>MID(VLOOKUP($A147,Seqs!$A:$B,2,FALSE),VLOOKUP($A147,'SegEnds_NonXtal_Prot#'!$A:$AL,28,FALSE)-4,1)</f>
        <v>F</v>
      </c>
      <c r="AH147" s="49" t="str">
        <f>MID(VLOOKUP($A147,Seqs!$A:$B,2,FALSE),VLOOKUP($A147,'SegEnds_NonXtal_Prot#'!$A:$AL,28,FALSE),1)</f>
        <v>P</v>
      </c>
    </row>
    <row r="148" spans="1:34" s="2" customFormat="1" x14ac:dyDescent="0.2">
      <c r="A148" s="2" t="s">
        <v>127</v>
      </c>
      <c r="B148" s="2" t="str">
        <f>LOWER(VLOOKUP(A148,Xtal_Templ!A:B,2,FALSE))</f>
        <v>ntr1_rat</v>
      </c>
      <c r="C148" s="2" t="str">
        <f>VLOOKUP(A148,Classification!A:D,2,FALSE)</f>
        <v>A</v>
      </c>
      <c r="D148" s="2" t="str">
        <f>IF(ISERROR(MATCH(A148,'SegEnds_Xtal_Prot#'!B:B, 0)), "NoXtal", "Xtal")</f>
        <v>NoXtal</v>
      </c>
      <c r="G148" s="2" t="s">
        <v>5</v>
      </c>
      <c r="H148" s="4"/>
      <c r="N148" s="2" t="s">
        <v>14</v>
      </c>
      <c r="R148" s="2" t="s">
        <v>9</v>
      </c>
      <c r="T148" s="4" t="s">
        <v>12</v>
      </c>
      <c r="V148" s="28" t="str">
        <f>MID(VLOOKUP($A148,Seqs!$A:$B,2,FALSE),VLOOKUP($A148,'SegEnds_NonXtal_Prot#'!A:AL,10,FALSE),1)</f>
        <v>D</v>
      </c>
      <c r="W148" s="49" t="str">
        <f>MID(VLOOKUP($A148,Seqs!$A:$B,2,FALSE),VLOOKUP($A148,'SegEnds_NonXtal_Prot#'!A:AL,10,FALSE)+6,1)</f>
        <v>L</v>
      </c>
      <c r="X148" s="49" t="str">
        <f>MID(VLOOKUP($A148,Seqs!$A:$B,2,FALSE),VLOOKUP($A148,'SegEnds_NonXtal_Prot#'!A:AL,10,FALSE)+7,1)</f>
        <v>A</v>
      </c>
      <c r="Y148" s="49" t="str">
        <f>MID(VLOOKUP($A148,Seqs!$A:$B,2,FALSE),VLOOKUP($A148,'SegEnds_NonXtal_Prot#'!A:AL,10,FALSE)+8,1)</f>
        <v>M</v>
      </c>
      <c r="Z148" s="49" t="str">
        <f>MID(VLOOKUP($A148,Seqs!$A:$B,2,FALSE),VLOOKUP($A148,'SegEnds_NonXtal_Prot#'!A:AL,10,FALSE)+9,1)</f>
        <v>P</v>
      </c>
      <c r="AA148" s="49" t="str">
        <f>MID(VLOOKUP($A148,Seqs!$A:$B,2,FALSE),VLOOKUP($A148,'SegEnds_NonXtal_Prot#'!A:AL,10,FALSE)+10,1)</f>
        <v>V</v>
      </c>
      <c r="AB148" s="28" t="str">
        <f>MID(VLOOKUP($A148,Seqs!$A:$B,2,FALSE),VLOOKUP($A148,'SegEnds_NonXtal_Prot#'!$A:$AL,22,FALSE)+6,1)</f>
        <v>L</v>
      </c>
      <c r="AC148" s="49" t="str">
        <f>MID(VLOOKUP($A148,Seqs!$A:$B,2,FALSE),VLOOKUP($A148,'SegEnds_NonXtal_Prot#'!$A:$AL,22,FALSE)+7,1)</f>
        <v>A</v>
      </c>
      <c r="AD148" s="49" t="str">
        <f>MID(VLOOKUP($A148,Seqs!$A:$B,2,FALSE),VLOOKUP($A148,'SegEnds_NonXtal_Prot#'!$A:$AL,22,FALSE)+8,1)</f>
        <v>V</v>
      </c>
      <c r="AE148" s="49" t="str">
        <f>MID(VLOOKUP($A148,Seqs!$A:$B,2,FALSE),VLOOKUP($A148,'SegEnds_NonXtal_Prot#'!$A:$AL,22,FALSE)+9,1)</f>
        <v>P</v>
      </c>
      <c r="AF148" s="49" t="str">
        <f>MID(VLOOKUP($A148,Seqs!$A:$B,2,FALSE),VLOOKUP($A148,'SegEnds_NonXtal_Prot#'!$A:$AL,22,FALSE)+10,1)</f>
        <v>M</v>
      </c>
      <c r="AG148" s="28" t="str">
        <f>MID(VLOOKUP($A148,Seqs!$A:$B,2,FALSE),VLOOKUP($A148,'SegEnds_NonXtal_Prot#'!$A:$AL,28,FALSE)-4,1)</f>
        <v>S</v>
      </c>
      <c r="AH148" s="49" t="str">
        <f>MID(VLOOKUP($A148,Seqs!$A:$B,2,FALSE),VLOOKUP($A148,'SegEnds_NonXtal_Prot#'!$A:$AL,28,FALSE),1)</f>
        <v>P</v>
      </c>
    </row>
    <row r="149" spans="1:34" s="2" customFormat="1" x14ac:dyDescent="0.2">
      <c r="A149" s="2" t="s">
        <v>914</v>
      </c>
      <c r="B149" s="2" t="str">
        <f>LOWER(VLOOKUP(A149,Xtal_Templ!A:B,2,FALSE))</f>
        <v>ntr1_rat</v>
      </c>
      <c r="C149" s="2" t="str">
        <f>VLOOKUP(A149,Classification!A:D,2,FALSE)</f>
        <v>A</v>
      </c>
      <c r="D149" s="2" t="str">
        <f>IF(ISERROR(MATCH(A149,'SegEnds_Xtal_Prot#'!B:B, 0)), "NoXtal", "Xtal")</f>
        <v>Xtal</v>
      </c>
      <c r="G149" s="2" t="s">
        <v>5</v>
      </c>
      <c r="H149" s="4"/>
      <c r="N149" s="2" t="s">
        <v>14</v>
      </c>
      <c r="R149" s="2" t="s">
        <v>9</v>
      </c>
      <c r="T149" s="4" t="s">
        <v>12</v>
      </c>
      <c r="V149" s="28" t="str">
        <f>MID(VLOOKUP($A149,Seqs!$A:$B,2,FALSE),VLOOKUP($A149,'SegEnds_NonXtal_Prot#'!A:AL,10,FALSE),1)</f>
        <v>D</v>
      </c>
      <c r="W149" s="49" t="str">
        <f>MID(VLOOKUP($A149,Seqs!$A:$B,2,FALSE),VLOOKUP($A149,'SegEnds_NonXtal_Prot#'!A:AL,10,FALSE)+6,1)</f>
        <v>L</v>
      </c>
      <c r="X149" s="49" t="str">
        <f>MID(VLOOKUP($A149,Seqs!$A:$B,2,FALSE),VLOOKUP($A149,'SegEnds_NonXtal_Prot#'!A:AL,10,FALSE)+7,1)</f>
        <v>A</v>
      </c>
      <c r="Y149" s="49" t="str">
        <f>MID(VLOOKUP($A149,Seqs!$A:$B,2,FALSE),VLOOKUP($A149,'SegEnds_NonXtal_Prot#'!A:AL,10,FALSE)+8,1)</f>
        <v>M</v>
      </c>
      <c r="Z149" s="49" t="str">
        <f>MID(VLOOKUP($A149,Seqs!$A:$B,2,FALSE),VLOOKUP($A149,'SegEnds_NonXtal_Prot#'!A:AL,10,FALSE)+9,1)</f>
        <v>P</v>
      </c>
      <c r="AA149" s="49" t="str">
        <f>MID(VLOOKUP($A149,Seqs!$A:$B,2,FALSE),VLOOKUP($A149,'SegEnds_NonXtal_Prot#'!A:AL,10,FALSE)+10,1)</f>
        <v>V</v>
      </c>
      <c r="AB149" s="28" t="str">
        <f>MID(VLOOKUP($A149,Seqs!$A:$B,2,FALSE),VLOOKUP($A149,'SegEnds_NonXtal_Prot#'!$A:$AL,22,FALSE)+6,1)</f>
        <v>L</v>
      </c>
      <c r="AC149" s="49" t="str">
        <f>MID(VLOOKUP($A149,Seqs!$A:$B,2,FALSE),VLOOKUP($A149,'SegEnds_NonXtal_Prot#'!$A:$AL,22,FALSE)+7,1)</f>
        <v>A</v>
      </c>
      <c r="AD149" s="49" t="str">
        <f>MID(VLOOKUP($A149,Seqs!$A:$B,2,FALSE),VLOOKUP($A149,'SegEnds_NonXtal_Prot#'!$A:$AL,22,FALSE)+8,1)</f>
        <v>I</v>
      </c>
      <c r="AE149" s="49" t="str">
        <f>MID(VLOOKUP($A149,Seqs!$A:$B,2,FALSE),VLOOKUP($A149,'SegEnds_NonXtal_Prot#'!$A:$AL,22,FALSE)+9,1)</f>
        <v>P</v>
      </c>
      <c r="AF149" s="49" t="str">
        <f>MID(VLOOKUP($A149,Seqs!$A:$B,2,FALSE),VLOOKUP($A149,'SegEnds_NonXtal_Prot#'!$A:$AL,22,FALSE)+10,1)</f>
        <v>M</v>
      </c>
      <c r="AG149" s="28" t="str">
        <f>MID(VLOOKUP($A149,Seqs!$A:$B,2,FALSE),VLOOKUP($A149,'SegEnds_NonXtal_Prot#'!$A:$AL,28,FALSE)-4,1)</f>
        <v>S</v>
      </c>
      <c r="AH149" s="49" t="str">
        <f>MID(VLOOKUP($A149,Seqs!$A:$B,2,FALSE),VLOOKUP($A149,'SegEnds_NonXtal_Prot#'!$A:$AL,28,FALSE),1)</f>
        <v>P</v>
      </c>
    </row>
    <row r="150" spans="1:34" s="2" customFormat="1" x14ac:dyDescent="0.2">
      <c r="A150" s="2" t="s">
        <v>330</v>
      </c>
      <c r="B150" s="2" t="str">
        <f>LOWER(VLOOKUP(A150,Xtal_Templ!A:B,2,FALSE))</f>
        <v>ntr1_rat</v>
      </c>
      <c r="C150" s="2" t="str">
        <f>VLOOKUP(A150,Classification!A:D,2,FALSE)</f>
        <v>A</v>
      </c>
      <c r="D150" s="2" t="str">
        <f>IF(ISERROR(MATCH(A150,'SegEnds_Xtal_Prot#'!B:B, 0)), "NoXtal", "Xtal")</f>
        <v>NoXtal</v>
      </c>
      <c r="G150" s="2" t="s">
        <v>5</v>
      </c>
      <c r="H150" s="4"/>
      <c r="N150" s="2" t="s">
        <v>14</v>
      </c>
      <c r="R150" s="2" t="s">
        <v>9</v>
      </c>
      <c r="T150" s="4" t="s">
        <v>12</v>
      </c>
      <c r="V150" s="28" t="str">
        <f>MID(VLOOKUP($A150,Seqs!$A:$B,2,FALSE),VLOOKUP($A150,'SegEnds_NonXtal_Prot#'!A:AL,10,FALSE),1)</f>
        <v>G</v>
      </c>
      <c r="W150" s="49" t="str">
        <f>MID(VLOOKUP($A150,Seqs!$A:$B,2,FALSE),VLOOKUP($A150,'SegEnds_NonXtal_Prot#'!A:AL,10,FALSE)+6,1)</f>
        <v>V</v>
      </c>
      <c r="X150" s="49" t="str">
        <f>MID(VLOOKUP($A150,Seqs!$A:$B,2,FALSE),VLOOKUP($A150,'SegEnds_NonXtal_Prot#'!A:AL,10,FALSE)+7,1)</f>
        <v>G</v>
      </c>
      <c r="Y150" s="49" t="str">
        <f>MID(VLOOKUP($A150,Seqs!$A:$B,2,FALSE),VLOOKUP($A150,'SegEnds_NonXtal_Prot#'!A:AL,10,FALSE)+8,1)</f>
        <v>V</v>
      </c>
      <c r="Z150" s="49" t="str">
        <f>MID(VLOOKUP($A150,Seqs!$A:$B,2,FALSE),VLOOKUP($A150,'SegEnds_NonXtal_Prot#'!A:AL,10,FALSE)+9,1)</f>
        <v>P</v>
      </c>
      <c r="AA150" s="49" t="str">
        <f>MID(VLOOKUP($A150,Seqs!$A:$B,2,FALSE),VLOOKUP($A150,'SegEnds_NonXtal_Prot#'!A:AL,10,FALSE)+10,1)</f>
        <v>V</v>
      </c>
      <c r="AB150" s="28" t="str">
        <f>MID(VLOOKUP($A150,Seqs!$A:$B,2,FALSE),VLOOKUP($A150,'SegEnds_NonXtal_Prot#'!$A:$AL,22,FALSE)+6,1)</f>
        <v>L</v>
      </c>
      <c r="AC150" s="49" t="str">
        <f>MID(VLOOKUP($A150,Seqs!$A:$B,2,FALSE),VLOOKUP($A150,'SegEnds_NonXtal_Prot#'!$A:$AL,22,FALSE)+7,1)</f>
        <v>A</v>
      </c>
      <c r="AD150" s="49" t="str">
        <f>MID(VLOOKUP($A150,Seqs!$A:$B,2,FALSE),VLOOKUP($A150,'SegEnds_NonXtal_Prot#'!$A:$AL,22,FALSE)+8,1)</f>
        <v>L</v>
      </c>
      <c r="AE150" s="49" t="str">
        <f>MID(VLOOKUP($A150,Seqs!$A:$B,2,FALSE),VLOOKUP($A150,'SegEnds_NonXtal_Prot#'!$A:$AL,22,FALSE)+9,1)</f>
        <v>P</v>
      </c>
      <c r="AF150" s="49" t="str">
        <f>MID(VLOOKUP($A150,Seqs!$A:$B,2,FALSE),VLOOKUP($A150,'SegEnds_NonXtal_Prot#'!$A:$AL,22,FALSE)+10,1)</f>
        <v>M</v>
      </c>
      <c r="AG150" s="28" t="str">
        <f>MID(VLOOKUP($A150,Seqs!$A:$B,2,FALSE),VLOOKUP($A150,'SegEnds_NonXtal_Prot#'!$A:$AL,28,FALSE)-4,1)</f>
        <v>S</v>
      </c>
      <c r="AH150" s="49" t="str">
        <f>MID(VLOOKUP($A150,Seqs!$A:$B,2,FALSE),VLOOKUP($A150,'SegEnds_NonXtal_Prot#'!$A:$AL,28,FALSE),1)</f>
        <v>P</v>
      </c>
    </row>
    <row r="151" spans="1:34" s="2" customFormat="1" x14ac:dyDescent="0.2">
      <c r="A151" s="2" t="s">
        <v>362</v>
      </c>
      <c r="B151" s="2" t="str">
        <f>LOWER(VLOOKUP(A151,Xtal_Templ!A:B,2,FALSE))</f>
        <v>pe2r4_human</v>
      </c>
      <c r="C151" s="2" t="str">
        <f>VLOOKUP(A151,Classification!A:D,2,FALSE)</f>
        <v>A</v>
      </c>
      <c r="D151" s="2" t="str">
        <f>IF(ISERROR(MATCH(A151,'SegEnds_Xtal_Prot#'!B:B, 0)), "NoXtal", "Xtal")</f>
        <v>NoXtal</v>
      </c>
      <c r="G151" s="2" t="s">
        <v>5</v>
      </c>
      <c r="H151" s="4"/>
      <c r="T151" s="4" t="s">
        <v>12</v>
      </c>
      <c r="V151" s="28" t="str">
        <f>MID(VLOOKUP($A151,Seqs!$A:$B,2,FALSE),VLOOKUP($A151,'SegEnds_NonXtal_Prot#'!A:AL,10,FALSE),1)</f>
        <v>D</v>
      </c>
      <c r="W151" s="49" t="str">
        <f>MID(VLOOKUP($A151,Seqs!$A:$B,2,FALSE),VLOOKUP($A151,'SegEnds_NonXtal_Prot#'!A:AL,10,FALSE)+6,1)</f>
        <v>L</v>
      </c>
      <c r="X151" s="49" t="str">
        <f>MID(VLOOKUP($A151,Seqs!$A:$B,2,FALSE),VLOOKUP($A151,'SegEnds_NonXtal_Prot#'!A:AL,10,FALSE)+7,1)</f>
        <v>I</v>
      </c>
      <c r="Y151" s="49" t="str">
        <f>MID(VLOOKUP($A151,Seqs!$A:$B,2,FALSE),VLOOKUP($A151,'SegEnds_NonXtal_Prot#'!A:AL,10,FALSE)+8,1)</f>
        <v>S</v>
      </c>
      <c r="Z151" s="49" t="str">
        <f>MID(VLOOKUP($A151,Seqs!$A:$B,2,FALSE),VLOOKUP($A151,'SegEnds_NonXtal_Prot#'!A:AL,10,FALSE)+9,1)</f>
        <v>P</v>
      </c>
      <c r="AA151" s="49" t="str">
        <f>MID(VLOOKUP($A151,Seqs!$A:$B,2,FALSE),VLOOKUP($A151,'SegEnds_NonXtal_Prot#'!A:AL,10,FALSE)+10,1)</f>
        <v>V</v>
      </c>
      <c r="AB151" s="28" t="str">
        <f>MID(VLOOKUP($A151,Seqs!$A:$B,2,FALSE),VLOOKUP($A151,'SegEnds_NonXtal_Prot#'!$A:$AL,22,FALSE)+6,1)</f>
        <v>F</v>
      </c>
      <c r="AC151" s="49" t="str">
        <f>MID(VLOOKUP($A151,Seqs!$A:$B,2,FALSE),VLOOKUP($A151,'SegEnds_NonXtal_Prot#'!$A:$AL,22,FALSE)+7,1)</f>
        <v>C</v>
      </c>
      <c r="AD151" s="49" t="str">
        <f>MID(VLOOKUP($A151,Seqs!$A:$B,2,FALSE),VLOOKUP($A151,'SegEnds_NonXtal_Prot#'!$A:$AL,22,FALSE)+8,1)</f>
        <v>S</v>
      </c>
      <c r="AE151" s="49" t="str">
        <f>MID(VLOOKUP($A151,Seqs!$A:$B,2,FALSE),VLOOKUP($A151,'SegEnds_NonXtal_Prot#'!$A:$AL,22,FALSE)+9,1)</f>
        <v>L</v>
      </c>
      <c r="AF151" s="49" t="str">
        <f>MID(VLOOKUP($A151,Seqs!$A:$B,2,FALSE),VLOOKUP($A151,'SegEnds_NonXtal_Prot#'!$A:$AL,22,FALSE)+10,1)</f>
        <v>P</v>
      </c>
      <c r="AG151" s="28" t="str">
        <f>MID(VLOOKUP($A151,Seqs!$A:$B,2,FALSE),VLOOKUP($A151,'SegEnds_NonXtal_Prot#'!$A:$AL,28,FALSE)-4,1)</f>
        <v>L</v>
      </c>
      <c r="AH151" s="49" t="str">
        <f>MID(VLOOKUP($A151,Seqs!$A:$B,2,FALSE),VLOOKUP($A151,'SegEnds_NonXtal_Prot#'!$A:$AL,28,FALSE),1)</f>
        <v>V</v>
      </c>
    </row>
    <row r="152" spans="1:34" s="2" customFormat="1" x14ac:dyDescent="0.2">
      <c r="A152" s="2" t="s">
        <v>335</v>
      </c>
      <c r="B152" s="2" t="str">
        <f>LOWER(VLOOKUP(A152,Xtal_Templ!A:B,2,FALSE))</f>
        <v>oprd_human</v>
      </c>
      <c r="C152" s="2" t="str">
        <f>VLOOKUP(A152,Classification!A:D,2,FALSE)</f>
        <v>A</v>
      </c>
      <c r="D152" s="2" t="str">
        <f>IF(ISERROR(MATCH(A152,'SegEnds_Xtal_Prot#'!B:B, 0)), "NoXtal", "Xtal")</f>
        <v>Xtal</v>
      </c>
      <c r="H152" s="4"/>
      <c r="R152" s="2" t="s">
        <v>9</v>
      </c>
      <c r="T152" s="4" t="s">
        <v>12</v>
      </c>
      <c r="V152" s="28" t="str">
        <f>MID(VLOOKUP($A152,Seqs!$A:$B,2,FALSE),VLOOKUP($A152,'SegEnds_NonXtal_Prot#'!A:AL,10,FALSE),1)</f>
        <v>D</v>
      </c>
      <c r="W152" s="49" t="str">
        <f>MID(VLOOKUP($A152,Seqs!$A:$B,2,FALSE),VLOOKUP($A152,'SegEnds_NonXtal_Prot#'!A:AL,10,FALSE)+6,1)</f>
        <v>T</v>
      </c>
      <c r="X152" s="49" t="str">
        <f>MID(VLOOKUP($A152,Seqs!$A:$B,2,FALSE),VLOOKUP($A152,'SegEnds_NonXtal_Prot#'!A:AL,10,FALSE)+7,1)</f>
        <v>L</v>
      </c>
      <c r="Y152" s="49" t="str">
        <f>MID(VLOOKUP($A152,Seqs!$A:$B,2,FALSE),VLOOKUP($A152,'SegEnds_NonXtal_Prot#'!A:AL,10,FALSE)+8,1)</f>
        <v>P</v>
      </c>
      <c r="Z152" s="49" t="str">
        <f>MID(VLOOKUP($A152,Seqs!$A:$B,2,FALSE),VLOOKUP($A152,'SegEnds_NonXtal_Prot#'!A:AL,10,FALSE)+9,1)</f>
        <v>F</v>
      </c>
      <c r="AA152" s="49" t="str">
        <f>MID(VLOOKUP($A152,Seqs!$A:$B,2,FALSE),VLOOKUP($A152,'SegEnds_NonXtal_Prot#'!A:AL,10,FALSE)+10,1)</f>
        <v>Q</v>
      </c>
      <c r="AB152" s="28" t="str">
        <f>MID(VLOOKUP($A152,Seqs!$A:$B,2,FALSE),VLOOKUP($A152,'SegEnds_NonXtal_Prot#'!$A:$AL,22,FALSE)+6,1)</f>
        <v>V</v>
      </c>
      <c r="AC152" s="49" t="str">
        <f>MID(VLOOKUP($A152,Seqs!$A:$B,2,FALSE),VLOOKUP($A152,'SegEnds_NonXtal_Prot#'!$A:$AL,22,FALSE)+7,1)</f>
        <v>G</v>
      </c>
      <c r="AD152" s="49" t="str">
        <f>MID(VLOOKUP($A152,Seqs!$A:$B,2,FALSE),VLOOKUP($A152,'SegEnds_NonXtal_Prot#'!$A:$AL,22,FALSE)+8,1)</f>
        <v>V</v>
      </c>
      <c r="AE152" s="49" t="str">
        <f>MID(VLOOKUP($A152,Seqs!$A:$B,2,FALSE),VLOOKUP($A152,'SegEnds_NonXtal_Prot#'!$A:$AL,22,FALSE)+9,1)</f>
        <v>P</v>
      </c>
      <c r="AF152" s="49" t="str">
        <f>MID(VLOOKUP($A152,Seqs!$A:$B,2,FALSE),VLOOKUP($A152,'SegEnds_NonXtal_Prot#'!$A:$AL,22,FALSE)+10,1)</f>
        <v>I</v>
      </c>
      <c r="AG152" s="28" t="str">
        <f>MID(VLOOKUP($A152,Seqs!$A:$B,2,FALSE),VLOOKUP($A152,'SegEnds_NonXtal_Prot#'!$A:$AL,28,FALSE)-4,1)</f>
        <v>A</v>
      </c>
      <c r="AH152" s="49" t="str">
        <f>MID(VLOOKUP($A152,Seqs!$A:$B,2,FALSE),VLOOKUP($A152,'SegEnds_NonXtal_Prot#'!$A:$AL,28,FALSE),1)</f>
        <v>P</v>
      </c>
    </row>
    <row r="153" spans="1:34" s="2" customFormat="1" x14ac:dyDescent="0.2">
      <c r="A153" s="2" t="s">
        <v>268</v>
      </c>
      <c r="B153" s="2" t="str">
        <f>LOWER(VLOOKUP(A153,Xtal_Templ!A:B,2,FALSE))</f>
        <v>oprm_mouse</v>
      </c>
      <c r="C153" s="2" t="str">
        <f>VLOOKUP(A153,Classification!A:D,2,FALSE)</f>
        <v>A</v>
      </c>
      <c r="D153" s="2" t="str">
        <f>IF(ISERROR(MATCH(A153,'SegEnds_Xtal_Prot#'!B:B, 0)), "NoXtal", "Xtal")</f>
        <v>NoXtal</v>
      </c>
      <c r="H153" s="4"/>
      <c r="N153" s="2" t="s">
        <v>14</v>
      </c>
      <c r="T153" s="4" t="s">
        <v>12</v>
      </c>
      <c r="V153" s="28" t="str">
        <f>MID(VLOOKUP($A153,Seqs!$A:$B,2,FALSE),VLOOKUP($A153,'SegEnds_NonXtal_Prot#'!A:AL,10,FALSE),1)</f>
        <v>N</v>
      </c>
      <c r="W153" s="49" t="str">
        <f>MID(VLOOKUP($A153,Seqs!$A:$B,2,FALSE),VLOOKUP($A153,'SegEnds_NonXtal_Prot#'!A:AL,10,FALSE)+6,1)</f>
        <v>A</v>
      </c>
      <c r="X153" s="49" t="str">
        <f>MID(VLOOKUP($A153,Seqs!$A:$B,2,FALSE),VLOOKUP($A153,'SegEnds_NonXtal_Prot#'!A:AL,10,FALSE)+7,1)</f>
        <v>M</v>
      </c>
      <c r="Y153" s="49" t="str">
        <f>MID(VLOOKUP($A153,Seqs!$A:$B,2,FALSE),VLOOKUP($A153,'SegEnds_NonXtal_Prot#'!A:AL,10,FALSE)+8,1)</f>
        <v>P</v>
      </c>
      <c r="Z153" s="49" t="str">
        <f>MID(VLOOKUP($A153,Seqs!$A:$B,2,FALSE),VLOOKUP($A153,'SegEnds_NonXtal_Prot#'!A:AL,10,FALSE)+9,1)</f>
        <v>F</v>
      </c>
      <c r="AA153" s="49" t="str">
        <f>MID(VLOOKUP($A153,Seqs!$A:$B,2,FALSE),VLOOKUP($A153,'SegEnds_NonXtal_Prot#'!A:AL,10,FALSE)+10,1)</f>
        <v>M</v>
      </c>
      <c r="AB153" s="28" t="str">
        <f>MID(VLOOKUP($A153,Seqs!$A:$B,2,FALSE),VLOOKUP($A153,'SegEnds_NonXtal_Prot#'!$A:$AL,22,FALSE)+6,1)</f>
        <v>I</v>
      </c>
      <c r="AC153" s="49" t="str">
        <f>MID(VLOOKUP($A153,Seqs!$A:$B,2,FALSE),VLOOKUP($A153,'SegEnds_NonXtal_Prot#'!$A:$AL,22,FALSE)+7,1)</f>
        <v>I</v>
      </c>
      <c r="AD153" s="49" t="str">
        <f>MID(VLOOKUP($A153,Seqs!$A:$B,2,FALSE),VLOOKUP($A153,'SegEnds_NonXtal_Prot#'!$A:$AL,22,FALSE)+8,1)</f>
        <v>I</v>
      </c>
      <c r="AE153" s="49" t="str">
        <f>MID(VLOOKUP($A153,Seqs!$A:$B,2,FALSE),VLOOKUP($A153,'SegEnds_NonXtal_Prot#'!$A:$AL,22,FALSE)+9,1)</f>
        <v>P</v>
      </c>
      <c r="AF153" s="49" t="str">
        <f>MID(VLOOKUP($A153,Seqs!$A:$B,2,FALSE),VLOOKUP($A153,'SegEnds_NonXtal_Prot#'!$A:$AL,22,FALSE)+10,1)</f>
        <v>V</v>
      </c>
      <c r="AG153" s="28" t="str">
        <f>MID(VLOOKUP($A153,Seqs!$A:$B,2,FALSE),VLOOKUP($A153,'SegEnds_NonXtal_Prot#'!$A:$AL,28,FALSE)-4,1)</f>
        <v>F</v>
      </c>
      <c r="AH153" s="49" t="str">
        <f>MID(VLOOKUP($A153,Seqs!$A:$B,2,FALSE),VLOOKUP($A153,'SegEnds_NonXtal_Prot#'!$A:$AL,28,FALSE),1)</f>
        <v>S</v>
      </c>
    </row>
    <row r="154" spans="1:34" s="2" customFormat="1" x14ac:dyDescent="0.2">
      <c r="A154" s="2" t="s">
        <v>300</v>
      </c>
      <c r="B154" s="2" t="str">
        <f>LOWER(VLOOKUP(A154,Xtal_Templ!A:B,2,FALSE))</f>
        <v>oprd_human</v>
      </c>
      <c r="C154" s="2" t="str">
        <f>VLOOKUP(A154,Classification!A:D,2,FALSE)</f>
        <v>A</v>
      </c>
      <c r="D154" s="2" t="str">
        <f>IF(ISERROR(MATCH(A154,'SegEnds_Xtal_Prot#'!B:B, 0)), "NoXtal", "Xtal")</f>
        <v>NoXtal</v>
      </c>
      <c r="H154" s="4"/>
      <c r="N154" s="2" t="s">
        <v>14</v>
      </c>
      <c r="R154" s="2" t="s">
        <v>9</v>
      </c>
      <c r="T154" s="4" t="s">
        <v>12</v>
      </c>
      <c r="V154" s="28" t="str">
        <f>MID(VLOOKUP($A154,Seqs!$A:$B,2,FALSE),VLOOKUP($A154,'SegEnds_NonXtal_Prot#'!A:AL,10,FALSE),1)</f>
        <v>D</v>
      </c>
      <c r="W154" s="49" t="str">
        <f>MID(VLOOKUP($A154,Seqs!$A:$B,2,FALSE),VLOOKUP($A154,'SegEnds_NonXtal_Prot#'!A:AL,10,FALSE)+6,1)</f>
        <v>G</v>
      </c>
      <c r="X154" s="49" t="str">
        <f>MID(VLOOKUP($A154,Seqs!$A:$B,2,FALSE),VLOOKUP($A154,'SegEnds_NonXtal_Prot#'!A:AL,10,FALSE)+7,1)</f>
        <v>M</v>
      </c>
      <c r="Y154" s="49" t="str">
        <f>MID(VLOOKUP($A154,Seqs!$A:$B,2,FALSE),VLOOKUP($A154,'SegEnds_NonXtal_Prot#'!A:AL,10,FALSE)+8,1)</f>
        <v>P</v>
      </c>
      <c r="Z154" s="49" t="str">
        <f>MID(VLOOKUP($A154,Seqs!$A:$B,2,FALSE),VLOOKUP($A154,'SegEnds_NonXtal_Prot#'!A:AL,10,FALSE)+9,1)</f>
        <v>F</v>
      </c>
      <c r="AA154" s="49" t="str">
        <f>MID(VLOOKUP($A154,Seqs!$A:$B,2,FALSE),VLOOKUP($A154,'SegEnds_NonXtal_Prot#'!A:AL,10,FALSE)+10,1)</f>
        <v>L</v>
      </c>
      <c r="AB154" s="28" t="str">
        <f>MID(VLOOKUP($A154,Seqs!$A:$B,2,FALSE),VLOOKUP($A154,'SegEnds_NonXtal_Prot#'!$A:$AL,22,FALSE)+6,1)</f>
        <v>L</v>
      </c>
      <c r="AC154" s="49" t="str">
        <f>MID(VLOOKUP($A154,Seqs!$A:$B,2,FALSE),VLOOKUP($A154,'SegEnds_NonXtal_Prot#'!$A:$AL,22,FALSE)+7,1)</f>
        <v>A</v>
      </c>
      <c r="AD154" s="49" t="str">
        <f>MID(VLOOKUP($A154,Seqs!$A:$B,2,FALSE),VLOOKUP($A154,'SegEnds_NonXtal_Prot#'!$A:$AL,22,FALSE)+8,1)</f>
        <v>L</v>
      </c>
      <c r="AE154" s="49" t="str">
        <f>MID(VLOOKUP($A154,Seqs!$A:$B,2,FALSE),VLOOKUP($A154,'SegEnds_NonXtal_Prot#'!$A:$AL,22,FALSE)+9,1)</f>
        <v>P</v>
      </c>
      <c r="AF154" s="49" t="str">
        <f>MID(VLOOKUP($A154,Seqs!$A:$B,2,FALSE),VLOOKUP($A154,'SegEnds_NonXtal_Prot#'!$A:$AL,22,FALSE)+10,1)</f>
        <v>V</v>
      </c>
      <c r="AG154" s="28" t="str">
        <f>MID(VLOOKUP($A154,Seqs!$A:$B,2,FALSE),VLOOKUP($A154,'SegEnds_NonXtal_Prot#'!$A:$AL,28,FALSE)-4,1)</f>
        <v>T</v>
      </c>
      <c r="AH154" s="49" t="str">
        <f>MID(VLOOKUP($A154,Seqs!$A:$B,2,FALSE),VLOOKUP($A154,'SegEnds_NonXtal_Prot#'!$A:$AL,28,FALSE),1)</f>
        <v>P</v>
      </c>
    </row>
    <row r="155" spans="1:34" s="2" customFormat="1" x14ac:dyDescent="0.2">
      <c r="A155" s="2" t="s">
        <v>321</v>
      </c>
      <c r="B155" s="2" t="str">
        <f>LOWER(VLOOKUP(A155,Xtal_Templ!A:B,2,FALSE))</f>
        <v>oprd_human</v>
      </c>
      <c r="C155" s="2" t="str">
        <f>VLOOKUP(A155,Classification!A:D,2,FALSE)</f>
        <v>A</v>
      </c>
      <c r="D155" s="2" t="str">
        <f>IF(ISERROR(MATCH(A155,'SegEnds_Xtal_Prot#'!B:B, 0)), "NoXtal", "Xtal")</f>
        <v>NoXtal</v>
      </c>
      <c r="H155" s="4"/>
      <c r="N155" s="2" t="s">
        <v>14</v>
      </c>
      <c r="R155" s="2" t="s">
        <v>9</v>
      </c>
      <c r="T155" s="4" t="s">
        <v>12</v>
      </c>
      <c r="V155" s="28" t="str">
        <f>MID(VLOOKUP($A155,Seqs!$A:$B,2,FALSE),VLOOKUP($A155,'SegEnds_NonXtal_Prot#'!A:AL,10,FALSE),1)</f>
        <v>D</v>
      </c>
      <c r="W155" s="49" t="str">
        <f>MID(VLOOKUP($A155,Seqs!$A:$B,2,FALSE),VLOOKUP($A155,'SegEnds_NonXtal_Prot#'!A:AL,10,FALSE)+6,1)</f>
        <v>V</v>
      </c>
      <c r="X155" s="49" t="str">
        <f>MID(VLOOKUP($A155,Seqs!$A:$B,2,FALSE),VLOOKUP($A155,'SegEnds_NonXtal_Prot#'!A:AL,10,FALSE)+7,1)</f>
        <v>L</v>
      </c>
      <c r="Y155" s="49" t="str">
        <f>MID(VLOOKUP($A155,Seqs!$A:$B,2,FALSE),VLOOKUP($A155,'SegEnds_NonXtal_Prot#'!A:AL,10,FALSE)+8,1)</f>
        <v>P</v>
      </c>
      <c r="Z155" s="49" t="str">
        <f>MID(VLOOKUP($A155,Seqs!$A:$B,2,FALSE),VLOOKUP($A155,'SegEnds_NonXtal_Prot#'!A:AL,10,FALSE)+9,1)</f>
        <v>V</v>
      </c>
      <c r="AA155" s="49" t="str">
        <f>MID(VLOOKUP($A155,Seqs!$A:$B,2,FALSE),VLOOKUP($A155,'SegEnds_NonXtal_Prot#'!A:AL,10,FALSE)+10,1)</f>
        <v>N</v>
      </c>
      <c r="AB155" s="28" t="str">
        <f>MID(VLOOKUP($A155,Seqs!$A:$B,2,FALSE),VLOOKUP($A155,'SegEnds_NonXtal_Prot#'!$A:$AL,22,FALSE)+6,1)</f>
        <v>L</v>
      </c>
      <c r="AC155" s="49" t="str">
        <f>MID(VLOOKUP($A155,Seqs!$A:$B,2,FALSE),VLOOKUP($A155,'SegEnds_NonXtal_Prot#'!$A:$AL,22,FALSE)+7,1)</f>
        <v>V</v>
      </c>
      <c r="AD155" s="49" t="str">
        <f>MID(VLOOKUP($A155,Seqs!$A:$B,2,FALSE),VLOOKUP($A155,'SegEnds_NonXtal_Prot#'!$A:$AL,22,FALSE)+8,1)</f>
        <v>L</v>
      </c>
      <c r="AE155" s="49" t="str">
        <f>MID(VLOOKUP($A155,Seqs!$A:$B,2,FALSE),VLOOKUP($A155,'SegEnds_NonXtal_Prot#'!$A:$AL,22,FALSE)+9,1)</f>
        <v>P</v>
      </c>
      <c r="AF155" s="49" t="str">
        <f>MID(VLOOKUP($A155,Seqs!$A:$B,2,FALSE),VLOOKUP($A155,'SegEnds_NonXtal_Prot#'!$A:$AL,22,FALSE)+10,1)</f>
        <v>F</v>
      </c>
      <c r="AG155" s="28" t="str">
        <f>MID(VLOOKUP($A155,Seqs!$A:$B,2,FALSE),VLOOKUP($A155,'SegEnds_NonXtal_Prot#'!$A:$AL,28,FALSE)-4,1)</f>
        <v>G</v>
      </c>
      <c r="AH155" s="49" t="str">
        <f>MID(VLOOKUP($A155,Seqs!$A:$B,2,FALSE),VLOOKUP($A155,'SegEnds_NonXtal_Prot#'!$A:$AL,28,FALSE),1)</f>
        <v>P</v>
      </c>
    </row>
    <row r="156" spans="1:34" s="2" customFormat="1" x14ac:dyDescent="0.2">
      <c r="A156" s="2" t="s">
        <v>916</v>
      </c>
      <c r="B156" s="2" t="str">
        <f>LOWER(VLOOKUP(A156,Xtal_Templ!A:B,2,FALSE))</f>
        <v>oprd_mouse</v>
      </c>
      <c r="C156" s="2" t="str">
        <f>VLOOKUP(A156,Classification!A:D,2,FALSE)</f>
        <v>A</v>
      </c>
      <c r="D156" s="2" t="str">
        <f>IF(ISERROR(MATCH(A156,'SegEnds_Xtal_Prot#'!B:B, 0)), "NoXtal", "Xtal")</f>
        <v>Xtal</v>
      </c>
      <c r="H156" s="4"/>
      <c r="R156" s="2" t="s">
        <v>9</v>
      </c>
      <c r="T156" s="4" t="s">
        <v>12</v>
      </c>
      <c r="V156" s="28" t="str">
        <f>MID(VLOOKUP($A156,Seqs!$A:$B,2,FALSE),VLOOKUP($A156,'SegEnds_NonXtal_Prot#'!A:AL,10,FALSE),1)</f>
        <v>D</v>
      </c>
      <c r="W156" s="49" t="str">
        <f>MID(VLOOKUP($A156,Seqs!$A:$B,2,FALSE),VLOOKUP($A156,'SegEnds_NonXtal_Prot#'!A:AL,10,FALSE)+6,1)</f>
        <v>T</v>
      </c>
      <c r="X156" s="49" t="str">
        <f>MID(VLOOKUP($A156,Seqs!$A:$B,2,FALSE),VLOOKUP($A156,'SegEnds_NonXtal_Prot#'!A:AL,10,FALSE)+7,1)</f>
        <v>L</v>
      </c>
      <c r="Y156" s="49" t="str">
        <f>MID(VLOOKUP($A156,Seqs!$A:$B,2,FALSE),VLOOKUP($A156,'SegEnds_NonXtal_Prot#'!A:AL,10,FALSE)+8,1)</f>
        <v>P</v>
      </c>
      <c r="Z156" s="49" t="str">
        <f>MID(VLOOKUP($A156,Seqs!$A:$B,2,FALSE),VLOOKUP($A156,'SegEnds_NonXtal_Prot#'!A:AL,10,FALSE)+9,1)</f>
        <v>F</v>
      </c>
      <c r="AA156" s="49" t="str">
        <f>MID(VLOOKUP($A156,Seqs!$A:$B,2,FALSE),VLOOKUP($A156,'SegEnds_NonXtal_Prot#'!A:AL,10,FALSE)+10,1)</f>
        <v>Q</v>
      </c>
      <c r="AB156" s="28" t="str">
        <f>MID(VLOOKUP($A156,Seqs!$A:$B,2,FALSE),VLOOKUP($A156,'SegEnds_NonXtal_Prot#'!$A:$AL,22,FALSE)+6,1)</f>
        <v>V</v>
      </c>
      <c r="AC156" s="49" t="str">
        <f>MID(VLOOKUP($A156,Seqs!$A:$B,2,FALSE),VLOOKUP($A156,'SegEnds_NonXtal_Prot#'!$A:$AL,22,FALSE)+7,1)</f>
        <v>G</v>
      </c>
      <c r="AD156" s="49" t="str">
        <f>MID(VLOOKUP($A156,Seqs!$A:$B,2,FALSE),VLOOKUP($A156,'SegEnds_NonXtal_Prot#'!$A:$AL,22,FALSE)+8,1)</f>
        <v>V</v>
      </c>
      <c r="AE156" s="49" t="str">
        <f>MID(VLOOKUP($A156,Seqs!$A:$B,2,FALSE),VLOOKUP($A156,'SegEnds_NonXtal_Prot#'!$A:$AL,22,FALSE)+9,1)</f>
        <v>P</v>
      </c>
      <c r="AF156" s="49" t="str">
        <f>MID(VLOOKUP($A156,Seqs!$A:$B,2,FALSE),VLOOKUP($A156,'SegEnds_NonXtal_Prot#'!$A:$AL,22,FALSE)+10,1)</f>
        <v>I</v>
      </c>
      <c r="AG156" s="28" t="str">
        <f>MID(VLOOKUP($A156,Seqs!$A:$B,2,FALSE),VLOOKUP($A156,'SegEnds_NonXtal_Prot#'!$A:$AL,28,FALSE)-4,1)</f>
        <v>A</v>
      </c>
      <c r="AH156" s="49" t="str">
        <f>MID(VLOOKUP($A156,Seqs!$A:$B,2,FALSE),VLOOKUP($A156,'SegEnds_NonXtal_Prot#'!$A:$AL,28,FALSE),1)</f>
        <v>P</v>
      </c>
    </row>
    <row r="157" spans="1:34" s="2" customFormat="1" x14ac:dyDescent="0.2">
      <c r="A157" s="2" t="s">
        <v>360</v>
      </c>
      <c r="B157" s="2" t="str">
        <f>LOWER(VLOOKUP(A157,Xtal_Templ!A:B,2,FALSE))</f>
        <v>pd2r2_human</v>
      </c>
      <c r="C157" s="2" t="str">
        <f>VLOOKUP(A157,Classification!A:D,2,FALSE)</f>
        <v>A</v>
      </c>
      <c r="D157" s="2" t="str">
        <f>IF(ISERROR(MATCH(A157,'SegEnds_Xtal_Prot#'!B:B, 0)), "NoXtal", "Xtal")</f>
        <v>Xtal</v>
      </c>
      <c r="H157" s="4"/>
      <c r="N157" s="2" t="s">
        <v>14</v>
      </c>
      <c r="R157" s="2" t="s">
        <v>9</v>
      </c>
      <c r="T157" s="4" t="s">
        <v>12</v>
      </c>
      <c r="V157" s="28" t="str">
        <f>MID(VLOOKUP($A157,Seqs!$A:$B,2,FALSE),VLOOKUP($A157,'SegEnds_NonXtal_Prot#'!A:AL,10,FALSE),1)</f>
        <v>D</v>
      </c>
      <c r="W157" s="49" t="str">
        <f>MID(VLOOKUP($A157,Seqs!$A:$B,2,FALSE),VLOOKUP($A157,'SegEnds_NonXtal_Prot#'!A:AL,10,FALSE)+6,1)</f>
        <v>S</v>
      </c>
      <c r="X157" s="49" t="str">
        <f>MID(VLOOKUP($A157,Seqs!$A:$B,2,FALSE),VLOOKUP($A157,'SegEnds_NonXtal_Prot#'!A:AL,10,FALSE)+7,1)</f>
        <v>L</v>
      </c>
      <c r="Y157" s="49" t="str">
        <f>MID(VLOOKUP($A157,Seqs!$A:$B,2,FALSE),VLOOKUP($A157,'SegEnds_NonXtal_Prot#'!A:AL,10,FALSE)+8,1)</f>
        <v>P</v>
      </c>
      <c r="Z157" s="49" t="str">
        <f>MID(VLOOKUP($A157,Seqs!$A:$B,2,FALSE),VLOOKUP($A157,'SegEnds_NonXtal_Prot#'!A:AL,10,FALSE)+9,1)</f>
        <v>F</v>
      </c>
      <c r="AA157" s="49" t="str">
        <f>MID(VLOOKUP($A157,Seqs!$A:$B,2,FALSE),VLOOKUP($A157,'SegEnds_NonXtal_Prot#'!A:AL,10,FALSE)+10,1)</f>
        <v>F</v>
      </c>
      <c r="AB157" s="28" t="str">
        <f>MID(VLOOKUP($A157,Seqs!$A:$B,2,FALSE),VLOOKUP($A157,'SegEnds_NonXtal_Prot#'!$A:$AL,22,FALSE)+6,1)</f>
        <v>N</v>
      </c>
      <c r="AC157" s="49" t="str">
        <f>MID(VLOOKUP($A157,Seqs!$A:$B,2,FALSE),VLOOKUP($A157,'SegEnds_NonXtal_Prot#'!$A:$AL,22,FALSE)+7,1)</f>
        <v>T</v>
      </c>
      <c r="AD157" s="49" t="str">
        <f>MID(VLOOKUP($A157,Seqs!$A:$B,2,FALSE),VLOOKUP($A157,'SegEnds_NonXtal_Prot#'!$A:$AL,22,FALSE)+8,1)</f>
        <v>V</v>
      </c>
      <c r="AE157" s="49" t="str">
        <f>MID(VLOOKUP($A157,Seqs!$A:$B,2,FALSE),VLOOKUP($A157,'SegEnds_NonXtal_Prot#'!$A:$AL,22,FALSE)+9,1)</f>
        <v>P</v>
      </c>
      <c r="AF157" s="49" t="str">
        <f>MID(VLOOKUP($A157,Seqs!$A:$B,2,FALSE),VLOOKUP($A157,'SegEnds_NonXtal_Prot#'!$A:$AL,22,FALSE)+10,1)</f>
        <v>Y</v>
      </c>
      <c r="AG157" s="28" t="str">
        <f>MID(VLOOKUP($A157,Seqs!$A:$B,2,FALSE),VLOOKUP($A157,'SegEnds_NonXtal_Prot#'!$A:$AL,28,FALSE)-4,1)</f>
        <v>A</v>
      </c>
      <c r="AH157" s="49" t="str">
        <f>MID(VLOOKUP($A157,Seqs!$A:$B,2,FALSE),VLOOKUP($A157,'SegEnds_NonXtal_Prot#'!$A:$AL,28,FALSE),1)</f>
        <v>P</v>
      </c>
    </row>
    <row r="158" spans="1:34" s="2" customFormat="1" x14ac:dyDescent="0.2">
      <c r="A158" s="2" t="s">
        <v>384</v>
      </c>
      <c r="B158" s="2" t="str">
        <f>LOWER(VLOOKUP(A158,Xtal_Templ!A:B,2,FALSE))</f>
        <v>oprd_human</v>
      </c>
      <c r="C158" s="2" t="str">
        <f>VLOOKUP(A158,Classification!A:D,2,FALSE)</f>
        <v>A</v>
      </c>
      <c r="D158" s="2" t="str">
        <f>IF(ISERROR(MATCH(A158,'SegEnds_Xtal_Prot#'!B:B, 0)), "NoXtal", "Xtal")</f>
        <v>NoXtal</v>
      </c>
      <c r="H158" s="4"/>
      <c r="N158" s="2" t="s">
        <v>14</v>
      </c>
      <c r="R158" s="2" t="s">
        <v>9</v>
      </c>
      <c r="T158" s="4" t="s">
        <v>12</v>
      </c>
      <c r="V158" s="28" t="str">
        <f>MID(VLOOKUP($A158,Seqs!$A:$B,2,FALSE),VLOOKUP($A158,'SegEnds_NonXtal_Prot#'!A:AL,10,FALSE),1)</f>
        <v>D</v>
      </c>
      <c r="W158" s="49" t="str">
        <f>MID(VLOOKUP($A158,Seqs!$A:$B,2,FALSE),VLOOKUP($A158,'SegEnds_NonXtal_Prot#'!A:AL,10,FALSE)+6,1)</f>
        <v>S</v>
      </c>
      <c r="X158" s="49" t="str">
        <f>MID(VLOOKUP($A158,Seqs!$A:$B,2,FALSE),VLOOKUP($A158,'SegEnds_NonXtal_Prot#'!A:AL,10,FALSE)+7,1)</f>
        <v>V</v>
      </c>
      <c r="Y158" s="49" t="str">
        <f>MID(VLOOKUP($A158,Seqs!$A:$B,2,FALSE),VLOOKUP($A158,'SegEnds_NonXtal_Prot#'!A:AL,10,FALSE)+8,1)</f>
        <v>P</v>
      </c>
      <c r="Z158" s="49" t="str">
        <f>MID(VLOOKUP($A158,Seqs!$A:$B,2,FALSE),VLOOKUP($A158,'SegEnds_NonXtal_Prot#'!A:AL,10,FALSE)+9,1)</f>
        <v>F</v>
      </c>
      <c r="AA158" s="49" t="str">
        <f>MID(VLOOKUP($A158,Seqs!$A:$B,2,FALSE),VLOOKUP($A158,'SegEnds_NonXtal_Prot#'!A:AL,10,FALSE)+10,1)</f>
        <v>V</v>
      </c>
      <c r="AB158" s="28" t="str">
        <f>MID(VLOOKUP($A158,Seqs!$A:$B,2,FALSE),VLOOKUP($A158,'SegEnds_NonXtal_Prot#'!$A:$AL,22,FALSE)+6,1)</f>
        <v>V</v>
      </c>
      <c r="AC158" s="49" t="str">
        <f>MID(VLOOKUP($A158,Seqs!$A:$B,2,FALSE),VLOOKUP($A158,'SegEnds_NonXtal_Prot#'!$A:$AL,22,FALSE)+7,1)</f>
        <v>T</v>
      </c>
      <c r="AD158" s="49" t="str">
        <f>MID(VLOOKUP($A158,Seqs!$A:$B,2,FALSE),VLOOKUP($A158,'SegEnds_NonXtal_Prot#'!$A:$AL,22,FALSE)+8,1)</f>
        <v>L</v>
      </c>
      <c r="AE158" s="49" t="str">
        <f>MID(VLOOKUP($A158,Seqs!$A:$B,2,FALSE),VLOOKUP($A158,'SegEnds_NonXtal_Prot#'!$A:$AL,22,FALSE)+9,1)</f>
        <v>P</v>
      </c>
      <c r="AF158" s="49" t="str">
        <f>MID(VLOOKUP($A158,Seqs!$A:$B,2,FALSE),VLOOKUP($A158,'SegEnds_NonXtal_Prot#'!$A:$AL,22,FALSE)+10,1)</f>
        <v>I</v>
      </c>
      <c r="AG158" s="28" t="str">
        <f>MID(VLOOKUP($A158,Seqs!$A:$B,2,FALSE),VLOOKUP($A158,'SegEnds_NonXtal_Prot#'!$A:$AL,28,FALSE)-4,1)</f>
        <v>G</v>
      </c>
      <c r="AH158" s="49" t="str">
        <f>MID(VLOOKUP($A158,Seqs!$A:$B,2,FALSE),VLOOKUP($A158,'SegEnds_NonXtal_Prot#'!$A:$AL,28,FALSE),1)</f>
        <v>P</v>
      </c>
    </row>
    <row r="159" spans="1:34" s="2" customFormat="1" x14ac:dyDescent="0.2">
      <c r="A159" s="2" t="s">
        <v>164</v>
      </c>
      <c r="B159" s="2" t="str">
        <f>LOWER(VLOOKUP(A159,Xtal_Templ!A:B,2,FALSE))</f>
        <v>c5ar1_human</v>
      </c>
      <c r="C159" s="2" t="str">
        <f>VLOOKUP(A159,Classification!A:D,2,FALSE)</f>
        <v>A</v>
      </c>
      <c r="D159" s="2" t="str">
        <f>IF(ISERROR(MATCH(A159,'SegEnds_Xtal_Prot#'!B:B, 0)), "NoXtal", "Xtal")</f>
        <v>NoXtal</v>
      </c>
      <c r="H159" s="4"/>
      <c r="N159" s="2" t="s">
        <v>14</v>
      </c>
      <c r="R159" s="2" t="s">
        <v>9</v>
      </c>
      <c r="T159" s="4" t="s">
        <v>12</v>
      </c>
      <c r="V159" s="28" t="str">
        <f>MID(VLOOKUP($A159,Seqs!$A:$B,2,FALSE),VLOOKUP($A159,'SegEnds_NonXtal_Prot#'!A:AL,10,FALSE),1)</f>
        <v>D</v>
      </c>
      <c r="W159" s="49" t="str">
        <f>MID(VLOOKUP($A159,Seqs!$A:$B,2,FALSE),VLOOKUP($A159,'SegEnds_NonXtal_Prot#'!A:AL,10,FALSE)+6,1)</f>
        <v>S</v>
      </c>
      <c r="X159" s="49" t="str">
        <f>MID(VLOOKUP($A159,Seqs!$A:$B,2,FALSE),VLOOKUP($A159,'SegEnds_NonXtal_Prot#'!A:AL,10,FALSE)+7,1)</f>
        <v>L</v>
      </c>
      <c r="Y159" s="49" t="str">
        <f>MID(VLOOKUP($A159,Seqs!$A:$B,2,FALSE),VLOOKUP($A159,'SegEnds_NonXtal_Prot#'!A:AL,10,FALSE)+8,1)</f>
        <v>P</v>
      </c>
      <c r="Z159" s="49" t="str">
        <f>MID(VLOOKUP($A159,Seqs!$A:$B,2,FALSE),VLOOKUP($A159,'SegEnds_NonXtal_Prot#'!A:AL,10,FALSE)+9,1)</f>
        <v>F</v>
      </c>
      <c r="AA159" s="49" t="str">
        <f>MID(VLOOKUP($A159,Seqs!$A:$B,2,FALSE),VLOOKUP($A159,'SegEnds_NonXtal_Prot#'!A:AL,10,FALSE)+10,1)</f>
        <v>S</v>
      </c>
      <c r="AB159" s="28" t="str">
        <f>MID(VLOOKUP($A159,Seqs!$A:$B,2,FALSE),VLOOKUP($A159,'SegEnds_NonXtal_Prot#'!$A:$AL,22,FALSE)+6,1)</f>
        <v>M</v>
      </c>
      <c r="AC159" s="49" t="str">
        <f>MID(VLOOKUP($A159,Seqs!$A:$B,2,FALSE),VLOOKUP($A159,'SegEnds_NonXtal_Prot#'!$A:$AL,22,FALSE)+7,1)</f>
        <v>C</v>
      </c>
      <c r="AD159" s="49" t="str">
        <f>MID(VLOOKUP($A159,Seqs!$A:$B,2,FALSE),VLOOKUP($A159,'SegEnds_NonXtal_Prot#'!$A:$AL,22,FALSE)+8,1)</f>
        <v>I</v>
      </c>
      <c r="AE159" s="49" t="str">
        <f>MID(VLOOKUP($A159,Seqs!$A:$B,2,FALSE),VLOOKUP($A159,'SegEnds_NonXtal_Prot#'!$A:$AL,22,FALSE)+9,1)</f>
        <v>P</v>
      </c>
      <c r="AF159" s="49" t="str">
        <f>MID(VLOOKUP($A159,Seqs!$A:$B,2,FALSE),VLOOKUP($A159,'SegEnds_NonXtal_Prot#'!$A:$AL,22,FALSE)+10,1)</f>
        <v>V</v>
      </c>
      <c r="AG159" s="28" t="str">
        <f>MID(VLOOKUP($A159,Seqs!$A:$B,2,FALSE),VLOOKUP($A159,'SegEnds_NonXtal_Prot#'!$A:$AL,28,FALSE)-4,1)</f>
        <v>G</v>
      </c>
      <c r="AH159" s="49" t="str">
        <f>MID(VLOOKUP($A159,Seqs!$A:$B,2,FALSE),VLOOKUP($A159,'SegEnds_NonXtal_Prot#'!$A:$AL,28,FALSE),1)</f>
        <v>P</v>
      </c>
    </row>
    <row r="160" spans="1:34" s="2" customFormat="1" x14ac:dyDescent="0.2">
      <c r="A160" s="2" t="s">
        <v>200</v>
      </c>
      <c r="B160" s="2" t="str">
        <f>LOWER(VLOOKUP(A160,Xtal_Templ!A:B,2,FALSE))</f>
        <v>ox2r_human</v>
      </c>
      <c r="C160" s="2" t="str">
        <f>VLOOKUP(A160,Classification!A:D,2,FALSE)</f>
        <v>A</v>
      </c>
      <c r="D160" s="2" t="str">
        <f>IF(ISERROR(MATCH(A160,'SegEnds_Xtal_Prot#'!B:B, 0)), "NoXtal", "Xtal")</f>
        <v>NoXtal</v>
      </c>
      <c r="H160" s="4"/>
      <c r="N160" s="2" t="s">
        <v>14</v>
      </c>
      <c r="R160" s="2" t="s">
        <v>9</v>
      </c>
      <c r="S160" s="2" t="s">
        <v>1328</v>
      </c>
      <c r="T160" s="4" t="s">
        <v>12</v>
      </c>
      <c r="V160" s="28" t="str">
        <f>MID(VLOOKUP($A160,Seqs!$A:$B,2,FALSE),VLOOKUP($A160,'SegEnds_NonXtal_Prot#'!A:AL,10,FALSE),1)</f>
        <v>D</v>
      </c>
      <c r="W160" s="49" t="str">
        <f>MID(VLOOKUP($A160,Seqs!$A:$B,2,FALSE),VLOOKUP($A160,'SegEnds_NonXtal_Prot#'!A:AL,10,FALSE)+6,1)</f>
        <v>A</v>
      </c>
      <c r="X160" s="49" t="str">
        <f>MID(VLOOKUP($A160,Seqs!$A:$B,2,FALSE),VLOOKUP($A160,'SegEnds_NonXtal_Prot#'!A:AL,10,FALSE)+7,1)</f>
        <v>I</v>
      </c>
      <c r="Y160" s="49" t="str">
        <f>MID(VLOOKUP($A160,Seqs!$A:$B,2,FALSE),VLOOKUP($A160,'SegEnds_NonXtal_Prot#'!A:AL,10,FALSE)+8,1)</f>
        <v>P</v>
      </c>
      <c r="Z160" s="49" t="str">
        <f>MID(VLOOKUP($A160,Seqs!$A:$B,2,FALSE),VLOOKUP($A160,'SegEnds_NonXtal_Prot#'!A:AL,10,FALSE)+9,1)</f>
        <v>L</v>
      </c>
      <c r="AA160" s="49" t="str">
        <f>MID(VLOOKUP($A160,Seqs!$A:$B,2,FALSE),VLOOKUP($A160,'SegEnds_NonXtal_Prot#'!A:AL,10,FALSE)+10,1)</f>
        <v>V</v>
      </c>
      <c r="AB160" s="28" t="str">
        <f>MID(VLOOKUP($A160,Seqs!$A:$B,2,FALSE),VLOOKUP($A160,'SegEnds_NonXtal_Prot#'!$A:$AL,22,FALSE)+6,1)</f>
        <v>A</v>
      </c>
      <c r="AC160" s="49" t="str">
        <f>MID(VLOOKUP($A160,Seqs!$A:$B,2,FALSE),VLOOKUP($A160,'SegEnds_NonXtal_Prot#'!$A:$AL,22,FALSE)+7,1)</f>
        <v>A</v>
      </c>
      <c r="AD160" s="49" t="str">
        <f>MID(VLOOKUP($A160,Seqs!$A:$B,2,FALSE),VLOOKUP($A160,'SegEnds_NonXtal_Prot#'!$A:$AL,22,FALSE)+8,1)</f>
        <v>L</v>
      </c>
      <c r="AE160" s="49" t="str">
        <f>MID(VLOOKUP($A160,Seqs!$A:$B,2,FALSE),VLOOKUP($A160,'SegEnds_NonXtal_Prot#'!$A:$AL,22,FALSE)+9,1)</f>
        <v>P</v>
      </c>
      <c r="AF160" s="49" t="str">
        <f>MID(VLOOKUP($A160,Seqs!$A:$B,2,FALSE),VLOOKUP($A160,'SegEnds_NonXtal_Prot#'!$A:$AL,22,FALSE)+10,1)</f>
        <v>L</v>
      </c>
      <c r="AG160" s="28" t="str">
        <f>MID(VLOOKUP($A160,Seqs!$A:$B,2,FALSE),VLOOKUP($A160,'SegEnds_NonXtal_Prot#'!$A:$AL,28,FALSE)-4,1)</f>
        <v>N</v>
      </c>
      <c r="AH160" s="49" t="str">
        <f>MID(VLOOKUP($A160,Seqs!$A:$B,2,FALSE),VLOOKUP($A160,'SegEnds_NonXtal_Prot#'!$A:$AL,28,FALSE),1)</f>
        <v>P</v>
      </c>
    </row>
    <row r="161" spans="1:34" s="2" customFormat="1" x14ac:dyDescent="0.2">
      <c r="A161" s="2" t="s">
        <v>251</v>
      </c>
      <c r="B161" s="2" t="str">
        <f>LOWER(VLOOKUP(A161,Xtal_Templ!A:B,2,FALSE))</f>
        <v>oprd_human</v>
      </c>
      <c r="C161" s="2" t="str">
        <f>VLOOKUP(A161,Classification!A:D,2,FALSE)</f>
        <v>A</v>
      </c>
      <c r="D161" s="2" t="str">
        <f>IF(ISERROR(MATCH(A161,'SegEnds_Xtal_Prot#'!B:B, 0)), "NoXtal", "Xtal")</f>
        <v>NoXtal</v>
      </c>
      <c r="H161" s="4"/>
      <c r="R161" s="2" t="s">
        <v>9</v>
      </c>
      <c r="T161" s="4" t="s">
        <v>12</v>
      </c>
      <c r="V161" s="28" t="str">
        <f>MID(VLOOKUP($A161,Seqs!$A:$B,2,FALSE),VLOOKUP($A161,'SegEnds_NonXtal_Prot#'!A:AL,10,FALSE),1)</f>
        <v>D</v>
      </c>
      <c r="W161" s="49" t="str">
        <f>MID(VLOOKUP($A161,Seqs!$A:$B,2,FALSE),VLOOKUP($A161,'SegEnds_NonXtal_Prot#'!A:AL,10,FALSE)+6,1)</f>
        <v>S</v>
      </c>
      <c r="X161" s="49" t="str">
        <f>MID(VLOOKUP($A161,Seqs!$A:$B,2,FALSE),VLOOKUP($A161,'SegEnds_NonXtal_Prot#'!A:AL,10,FALSE)+7,1)</f>
        <v>L</v>
      </c>
      <c r="Y161" s="49" t="str">
        <f>MID(VLOOKUP($A161,Seqs!$A:$B,2,FALSE),VLOOKUP($A161,'SegEnds_NonXtal_Prot#'!A:AL,10,FALSE)+8,1)</f>
        <v>P</v>
      </c>
      <c r="Z161" s="49" t="str">
        <f>MID(VLOOKUP($A161,Seqs!$A:$B,2,FALSE),VLOOKUP($A161,'SegEnds_NonXtal_Prot#'!A:AL,10,FALSE)+9,1)</f>
        <v>I</v>
      </c>
      <c r="AA161" s="49" t="str">
        <f>MID(VLOOKUP($A161,Seqs!$A:$B,2,FALSE),VLOOKUP($A161,'SegEnds_NonXtal_Prot#'!A:AL,10,FALSE)+10,1)</f>
        <v>A</v>
      </c>
      <c r="AB161" s="28" t="str">
        <f>MID(VLOOKUP($A161,Seqs!$A:$B,2,FALSE),VLOOKUP($A161,'SegEnds_NonXtal_Prot#'!$A:$AL,22,FALSE)+6,1)</f>
        <v>L</v>
      </c>
      <c r="AC161" s="49" t="str">
        <f>MID(VLOOKUP($A161,Seqs!$A:$B,2,FALSE),VLOOKUP($A161,'SegEnds_NonXtal_Prot#'!$A:$AL,22,FALSE)+7,1)</f>
        <v>C</v>
      </c>
      <c r="AD161" s="49" t="str">
        <f>MID(VLOOKUP($A161,Seqs!$A:$B,2,FALSE),VLOOKUP($A161,'SegEnds_NonXtal_Prot#'!$A:$AL,22,FALSE)+8,1)</f>
        <v>S</v>
      </c>
      <c r="AE161" s="49" t="str">
        <f>MID(VLOOKUP($A161,Seqs!$A:$B,2,FALSE),VLOOKUP($A161,'SegEnds_NonXtal_Prot#'!$A:$AL,22,FALSE)+9,1)</f>
        <v>A</v>
      </c>
      <c r="AF161" s="49" t="str">
        <f>MID(VLOOKUP($A161,Seqs!$A:$B,2,FALSE),VLOOKUP($A161,'SegEnds_NonXtal_Prot#'!$A:$AL,22,FALSE)+10,1)</f>
        <v>H</v>
      </c>
      <c r="AG161" s="28" t="str">
        <f>MID(VLOOKUP($A161,Seqs!$A:$B,2,FALSE),VLOOKUP($A161,'SegEnds_NonXtal_Prot#'!$A:$AL,28,FALSE)-4,1)</f>
        <v>G</v>
      </c>
      <c r="AH161" s="49" t="str">
        <f>MID(VLOOKUP($A161,Seqs!$A:$B,2,FALSE),VLOOKUP($A161,'SegEnds_NonXtal_Prot#'!$A:$AL,28,FALSE),1)</f>
        <v>P</v>
      </c>
    </row>
    <row r="162" spans="1:34" s="2" customFormat="1" x14ac:dyDescent="0.2">
      <c r="A162" s="2" t="s">
        <v>308</v>
      </c>
      <c r="B162" s="2" t="str">
        <f>LOWER(VLOOKUP(A162,Xtal_Templ!A:B,2,FALSE))</f>
        <v>c5ar1_human</v>
      </c>
      <c r="C162" s="2" t="str">
        <f>VLOOKUP(A162,Classification!A:D,2,FALSE)</f>
        <v>A</v>
      </c>
      <c r="D162" s="2" t="str">
        <f>IF(ISERROR(MATCH(A162,'SegEnds_Xtal_Prot#'!B:B, 0)), "NoXtal", "Xtal")</f>
        <v>NoXtal</v>
      </c>
      <c r="H162" s="4"/>
      <c r="T162" s="4" t="s">
        <v>12</v>
      </c>
      <c r="V162" s="28" t="str">
        <f>MID(VLOOKUP($A162,Seqs!$A:$B,2,FALSE),VLOOKUP($A162,'SegEnds_NonXtal_Prot#'!A:AL,10,FALSE),1)</f>
        <v>D</v>
      </c>
      <c r="W162" s="49" t="str">
        <f>MID(VLOOKUP($A162,Seqs!$A:$B,2,FALSE),VLOOKUP($A162,'SegEnds_NonXtal_Prot#'!A:AL,10,FALSE)+6,1)</f>
        <v>F</v>
      </c>
      <c r="X162" s="49" t="str">
        <f>MID(VLOOKUP($A162,Seqs!$A:$B,2,FALSE),VLOOKUP($A162,'SegEnds_NonXtal_Prot#'!A:AL,10,FALSE)+7,1)</f>
        <v>Q</v>
      </c>
      <c r="Y162" s="49" t="str">
        <f>MID(VLOOKUP($A162,Seqs!$A:$B,2,FALSE),VLOOKUP($A162,'SegEnds_NonXtal_Prot#'!A:AL,10,FALSE)+8,1)</f>
        <v>I</v>
      </c>
      <c r="Z162" s="49" t="str">
        <f>MID(VLOOKUP($A162,Seqs!$A:$B,2,FALSE),VLOOKUP($A162,'SegEnds_NonXtal_Prot#'!A:AL,10,FALSE)+9,1)</f>
        <v>I</v>
      </c>
      <c r="AA162" s="49" t="str">
        <f>MID(VLOOKUP($A162,Seqs!$A:$B,2,FALSE),VLOOKUP($A162,'SegEnds_NonXtal_Prot#'!A:AL,10,FALSE)+10,1)</f>
        <v>R</v>
      </c>
      <c r="AB162" s="28" t="str">
        <f>MID(VLOOKUP($A162,Seqs!$A:$B,2,FALSE),VLOOKUP($A162,'SegEnds_NonXtal_Prot#'!$A:$AL,22,FALSE)+6,1)</f>
        <v>F</v>
      </c>
      <c r="AC162" s="49" t="str">
        <f>MID(VLOOKUP($A162,Seqs!$A:$B,2,FALSE),VLOOKUP($A162,'SegEnds_NonXtal_Prot#'!$A:$AL,22,FALSE)+7,1)</f>
        <v>S</v>
      </c>
      <c r="AD162" s="49" t="str">
        <f>MID(VLOOKUP($A162,Seqs!$A:$B,2,FALSE),VLOOKUP($A162,'SegEnds_NonXtal_Prot#'!$A:$AL,22,FALSE)+8,1)</f>
        <v>M</v>
      </c>
      <c r="AE162" s="49" t="str">
        <f>MID(VLOOKUP($A162,Seqs!$A:$B,2,FALSE),VLOOKUP($A162,'SegEnds_NonXtal_Prot#'!$A:$AL,22,FALSE)+9,1)</f>
        <v>L</v>
      </c>
      <c r="AF162" s="49" t="str">
        <f>MID(VLOOKUP($A162,Seqs!$A:$B,2,FALSE),VLOOKUP($A162,'SegEnds_NonXtal_Prot#'!$A:$AL,22,FALSE)+10,1)</f>
        <v>E</v>
      </c>
      <c r="AG162" s="28" t="str">
        <f>MID(VLOOKUP($A162,Seqs!$A:$B,2,FALSE),VLOOKUP($A162,'SegEnds_NonXtal_Prot#'!$A:$AL,28,FALSE)-4,1)</f>
        <v>I</v>
      </c>
      <c r="AH162" s="49" t="str">
        <f>MID(VLOOKUP($A162,Seqs!$A:$B,2,FALSE),VLOOKUP($A162,'SegEnds_NonXtal_Prot#'!$A:$AL,28,FALSE),1)</f>
        <v>V</v>
      </c>
    </row>
    <row r="163" spans="1:34" s="2" customFormat="1" x14ac:dyDescent="0.2">
      <c r="A163" s="2" t="s">
        <v>336</v>
      </c>
      <c r="B163" s="2" t="str">
        <f>LOWER(VLOOKUP(A163,Xtal_Templ!A:B,2,FALSE))</f>
        <v>oprk_human</v>
      </c>
      <c r="C163" s="2" t="str">
        <f>VLOOKUP(A163,Classification!A:D,2,FALSE)</f>
        <v>A</v>
      </c>
      <c r="D163" s="2" t="str">
        <f>IF(ISERROR(MATCH(A163,'SegEnds_Xtal_Prot#'!B:B, 0)), "NoXtal", "Xtal")</f>
        <v>Xtal</v>
      </c>
      <c r="H163" s="4"/>
      <c r="R163" s="2" t="s">
        <v>9</v>
      </c>
      <c r="T163" s="4" t="s">
        <v>12</v>
      </c>
      <c r="V163" s="28" t="str">
        <f>MID(VLOOKUP($A163,Seqs!$A:$B,2,FALSE),VLOOKUP($A163,'SegEnds_NonXtal_Prot#'!A:AL,10,FALSE),1)</f>
        <v>D</v>
      </c>
      <c r="W163" s="49" t="str">
        <f>MID(VLOOKUP($A163,Seqs!$A:$B,2,FALSE),VLOOKUP($A163,'SegEnds_NonXtal_Prot#'!A:AL,10,FALSE)+6,1)</f>
        <v>T</v>
      </c>
      <c r="X163" s="49" t="str">
        <f>MID(VLOOKUP($A163,Seqs!$A:$B,2,FALSE),VLOOKUP($A163,'SegEnds_NonXtal_Prot#'!A:AL,10,FALSE)+7,1)</f>
        <v>M</v>
      </c>
      <c r="Y163" s="49" t="str">
        <f>MID(VLOOKUP($A163,Seqs!$A:$B,2,FALSE),VLOOKUP($A163,'SegEnds_NonXtal_Prot#'!A:AL,10,FALSE)+8,1)</f>
        <v>P</v>
      </c>
      <c r="Z163" s="49" t="str">
        <f>MID(VLOOKUP($A163,Seqs!$A:$B,2,FALSE),VLOOKUP($A163,'SegEnds_NonXtal_Prot#'!A:AL,10,FALSE)+9,1)</f>
        <v>F</v>
      </c>
      <c r="AA163" s="49" t="str">
        <f>MID(VLOOKUP($A163,Seqs!$A:$B,2,FALSE),VLOOKUP($A163,'SegEnds_NonXtal_Prot#'!A:AL,10,FALSE)+10,1)</f>
        <v>Q</v>
      </c>
      <c r="AB163" s="28" t="str">
        <f>MID(VLOOKUP($A163,Seqs!$A:$B,2,FALSE),VLOOKUP($A163,'SegEnds_NonXtal_Prot#'!$A:$AL,22,FALSE)+6,1)</f>
        <v>V</v>
      </c>
      <c r="AC163" s="49" t="str">
        <f>MID(VLOOKUP($A163,Seqs!$A:$B,2,FALSE),VLOOKUP($A163,'SegEnds_NonXtal_Prot#'!$A:$AL,22,FALSE)+7,1)</f>
        <v>G</v>
      </c>
      <c r="AD163" s="49" t="str">
        <f>MID(VLOOKUP($A163,Seqs!$A:$B,2,FALSE),VLOOKUP($A163,'SegEnds_NonXtal_Prot#'!$A:$AL,22,FALSE)+8,1)</f>
        <v>I</v>
      </c>
      <c r="AE163" s="49" t="str">
        <f>MID(VLOOKUP($A163,Seqs!$A:$B,2,FALSE),VLOOKUP($A163,'SegEnds_NonXtal_Prot#'!$A:$AL,22,FALSE)+9,1)</f>
        <v>S</v>
      </c>
      <c r="AF163" s="49" t="str">
        <f>MID(VLOOKUP($A163,Seqs!$A:$B,2,FALSE),VLOOKUP($A163,'SegEnds_NonXtal_Prot#'!$A:$AL,22,FALSE)+10,1)</f>
        <v>A</v>
      </c>
      <c r="AG163" s="28" t="str">
        <f>MID(VLOOKUP($A163,Seqs!$A:$B,2,FALSE),VLOOKUP($A163,'SegEnds_NonXtal_Prot#'!$A:$AL,28,FALSE)-4,1)</f>
        <v>A</v>
      </c>
      <c r="AH163" s="49" t="str">
        <f>MID(VLOOKUP($A163,Seqs!$A:$B,2,FALSE),VLOOKUP($A163,'SegEnds_NonXtal_Prot#'!$A:$AL,28,FALSE),1)</f>
        <v>P</v>
      </c>
    </row>
    <row r="164" spans="1:34" s="2" customFormat="1" x14ac:dyDescent="0.2">
      <c r="A164" s="2" t="s">
        <v>342</v>
      </c>
      <c r="B164" s="2" t="str">
        <f>LOWER(VLOOKUP(A164,Xtal_Templ!A:B,2,FALSE))</f>
        <v>pd2r2_human</v>
      </c>
      <c r="C164" s="2" t="str">
        <f>VLOOKUP(A164,Classification!A:D,2,FALSE)</f>
        <v>A</v>
      </c>
      <c r="D164" s="2" t="str">
        <f>IF(ISERROR(MATCH(A164,'SegEnds_Xtal_Prot#'!B:B, 0)), "NoXtal", "Xtal")</f>
        <v>NoXtal</v>
      </c>
      <c r="H164" s="4"/>
      <c r="R164" s="2" t="s">
        <v>9</v>
      </c>
      <c r="T164" s="4" t="s">
        <v>12</v>
      </c>
      <c r="V164" s="28" t="str">
        <f>MID(VLOOKUP($A164,Seqs!$A:$B,2,FALSE),VLOOKUP($A164,'SegEnds_NonXtal_Prot#'!A:AL,10,FALSE),1)</f>
        <v>D</v>
      </c>
      <c r="W164" s="49" t="str">
        <f>MID(VLOOKUP($A164,Seqs!$A:$B,2,FALSE),VLOOKUP($A164,'SegEnds_NonXtal_Prot#'!A:AL,10,FALSE)+6,1)</f>
        <v>N</v>
      </c>
      <c r="X164" s="49" t="str">
        <f>MID(VLOOKUP($A164,Seqs!$A:$B,2,FALSE),VLOOKUP($A164,'SegEnds_NonXtal_Prot#'!A:AL,10,FALSE)+7,1)</f>
        <v>L</v>
      </c>
      <c r="Y164" s="49" t="str">
        <f>MID(VLOOKUP($A164,Seqs!$A:$B,2,FALSE),VLOOKUP($A164,'SegEnds_NonXtal_Prot#'!A:AL,10,FALSE)+8,1)</f>
        <v>P</v>
      </c>
      <c r="Z164" s="49" t="str">
        <f>MID(VLOOKUP($A164,Seqs!$A:$B,2,FALSE),VLOOKUP($A164,'SegEnds_NonXtal_Prot#'!A:AL,10,FALSE)+9,1)</f>
        <v>L</v>
      </c>
      <c r="AA164" s="49" t="str">
        <f>MID(VLOOKUP($A164,Seqs!$A:$B,2,FALSE),VLOOKUP($A164,'SegEnds_NonXtal_Prot#'!A:AL,10,FALSE)+10,1)</f>
        <v>R</v>
      </c>
      <c r="AB164" s="28" t="str">
        <f>MID(VLOOKUP($A164,Seqs!$A:$B,2,FALSE),VLOOKUP($A164,'SegEnds_NonXtal_Prot#'!$A:$AL,22,FALSE)+6,1)</f>
        <v>L</v>
      </c>
      <c r="AC164" s="49" t="str">
        <f>MID(VLOOKUP($A164,Seqs!$A:$B,2,FALSE),VLOOKUP($A164,'SegEnds_NonXtal_Prot#'!$A:$AL,22,FALSE)+7,1)</f>
        <v>N</v>
      </c>
      <c r="AD164" s="49" t="str">
        <f>MID(VLOOKUP($A164,Seqs!$A:$B,2,FALSE),VLOOKUP($A164,'SegEnds_NonXtal_Prot#'!$A:$AL,22,FALSE)+8,1)</f>
        <v>G</v>
      </c>
      <c r="AE164" s="49" t="str">
        <f>MID(VLOOKUP($A164,Seqs!$A:$B,2,FALSE),VLOOKUP($A164,'SegEnds_NonXtal_Prot#'!$A:$AL,22,FALSE)+9,1)</f>
        <v>H</v>
      </c>
      <c r="AF164" s="49" t="str">
        <f>MID(VLOOKUP($A164,Seqs!$A:$B,2,FALSE),VLOOKUP($A164,'SegEnds_NonXtal_Prot#'!$A:$AL,22,FALSE)+10,1)</f>
        <v>L</v>
      </c>
      <c r="AG164" s="28" t="str">
        <f>MID(VLOOKUP($A164,Seqs!$A:$B,2,FALSE),VLOOKUP($A164,'SegEnds_NonXtal_Prot#'!$A:$AL,28,FALSE)-4,1)</f>
        <v>E</v>
      </c>
      <c r="AH164" s="49" t="str">
        <f>MID(VLOOKUP($A164,Seqs!$A:$B,2,FALSE),VLOOKUP($A164,'SegEnds_NonXtal_Prot#'!$A:$AL,28,FALSE),1)</f>
        <v>P</v>
      </c>
    </row>
    <row r="165" spans="1:34" s="2" customFormat="1" x14ac:dyDescent="0.2">
      <c r="A165" s="2" t="s">
        <v>205</v>
      </c>
      <c r="B165" s="2" t="str">
        <f>LOWER(VLOOKUP(A165,Xtal_Templ!A:B,2,FALSE))</f>
        <v>oprk_human</v>
      </c>
      <c r="C165" s="2" t="str">
        <f>VLOOKUP(A165,Classification!A:D,2,FALSE)</f>
        <v>A</v>
      </c>
      <c r="D165" s="2" t="str">
        <f>IF(ISERROR(MATCH(A165,'SegEnds_Xtal_Prot#'!B:B, 0)), "NoXtal", "Xtal")</f>
        <v>NoXtal</v>
      </c>
      <c r="G165" s="2" t="s">
        <v>5</v>
      </c>
      <c r="H165" s="4"/>
      <c r="N165" s="2" t="s">
        <v>14</v>
      </c>
      <c r="R165" s="2" t="s">
        <v>9</v>
      </c>
      <c r="T165" s="4" t="s">
        <v>12</v>
      </c>
      <c r="V165" s="28" t="str">
        <f>MID(VLOOKUP($A165,Seqs!$A:$B,2,FALSE),VLOOKUP($A165,'SegEnds_NonXtal_Prot#'!A:AL,10,FALSE),1)</f>
        <v>D</v>
      </c>
      <c r="W165" s="49" t="str">
        <f>MID(VLOOKUP($A165,Seqs!$A:$B,2,FALSE),VLOOKUP($A165,'SegEnds_NonXtal_Prot#'!A:AL,10,FALSE)+6,1)</f>
        <v>F</v>
      </c>
      <c r="X165" s="49" t="str">
        <f>MID(VLOOKUP($A165,Seqs!$A:$B,2,FALSE),VLOOKUP($A165,'SegEnds_NonXtal_Prot#'!A:AL,10,FALSE)+7,1)</f>
        <v>C</v>
      </c>
      <c r="Y165" s="49" t="str">
        <f>MID(VLOOKUP($A165,Seqs!$A:$B,2,FALSE),VLOOKUP($A165,'SegEnds_NonXtal_Prot#'!A:AL,10,FALSE)+8,1)</f>
        <v>I</v>
      </c>
      <c r="Z165" s="49" t="str">
        <f>MID(VLOOKUP($A165,Seqs!$A:$B,2,FALSE),VLOOKUP($A165,'SegEnds_NonXtal_Prot#'!A:AL,10,FALSE)+9,1)</f>
        <v>P</v>
      </c>
      <c r="AA165" s="49" t="str">
        <f>MID(VLOOKUP($A165,Seqs!$A:$B,2,FALSE),VLOOKUP($A165,'SegEnds_NonXtal_Prot#'!A:AL,10,FALSE)+10,1)</f>
        <v>F</v>
      </c>
      <c r="AB165" s="28" t="str">
        <f>MID(VLOOKUP($A165,Seqs!$A:$B,2,FALSE),VLOOKUP($A165,'SegEnds_NonXtal_Prot#'!$A:$AL,22,FALSE)+6,1)</f>
        <v>M</v>
      </c>
      <c r="AC165" s="49" t="str">
        <f>MID(VLOOKUP($A165,Seqs!$A:$B,2,FALSE),VLOOKUP($A165,'SegEnds_NonXtal_Prot#'!$A:$AL,22,FALSE)+7,1)</f>
        <v>A</v>
      </c>
      <c r="AD165" s="49" t="str">
        <f>MID(VLOOKUP($A165,Seqs!$A:$B,2,FALSE),VLOOKUP($A165,'SegEnds_NonXtal_Prot#'!$A:$AL,22,FALSE)+8,1)</f>
        <v>S</v>
      </c>
      <c r="AE165" s="49" t="str">
        <f>MID(VLOOKUP($A165,Seqs!$A:$B,2,FALSE),VLOOKUP($A165,'SegEnds_NonXtal_Prot#'!$A:$AL,22,FALSE)+9,1)</f>
        <v>P</v>
      </c>
      <c r="AF165" s="49" t="str">
        <f>MID(VLOOKUP($A165,Seqs!$A:$B,2,FALSE),VLOOKUP($A165,'SegEnds_NonXtal_Prot#'!$A:$AL,22,FALSE)+10,1)</f>
        <v>V</v>
      </c>
      <c r="AG165" s="28" t="str">
        <f>MID(VLOOKUP($A165,Seqs!$A:$B,2,FALSE),VLOOKUP($A165,'SegEnds_NonXtal_Prot#'!$A:$AL,28,FALSE)-4,1)</f>
        <v>G</v>
      </c>
      <c r="AH165" s="49" t="str">
        <f>MID(VLOOKUP($A165,Seqs!$A:$B,2,FALSE),VLOOKUP($A165,'SegEnds_NonXtal_Prot#'!$A:$AL,28,FALSE),1)</f>
        <v>P</v>
      </c>
    </row>
    <row r="166" spans="1:34" s="2" customFormat="1" x14ac:dyDescent="0.2">
      <c r="A166" s="2" t="s">
        <v>206</v>
      </c>
      <c r="B166" s="2" t="str">
        <f>LOWER(VLOOKUP(A166,Xtal_Templ!A:B,2,FALSE))</f>
        <v>oprk_human</v>
      </c>
      <c r="C166" s="2" t="str">
        <f>VLOOKUP(A166,Classification!A:D,2,FALSE)</f>
        <v>A</v>
      </c>
      <c r="D166" s="2" t="str">
        <f>IF(ISERROR(MATCH(A166,'SegEnds_Xtal_Prot#'!B:B, 0)), "NoXtal", "Xtal")</f>
        <v>NoXtal</v>
      </c>
      <c r="G166" s="2" t="s">
        <v>5</v>
      </c>
      <c r="H166" s="4"/>
      <c r="N166" s="2" t="s">
        <v>14</v>
      </c>
      <c r="R166" s="2" t="s">
        <v>9</v>
      </c>
      <c r="T166" s="4" t="s">
        <v>12</v>
      </c>
      <c r="V166" s="28" t="str">
        <f>MID(VLOOKUP($A166,Seqs!$A:$B,2,FALSE),VLOOKUP($A166,'SegEnds_NonXtal_Prot#'!A:AL,10,FALSE),1)</f>
        <v>D</v>
      </c>
      <c r="W166" s="49" t="str">
        <f>MID(VLOOKUP($A166,Seqs!$A:$B,2,FALSE),VLOOKUP($A166,'SegEnds_NonXtal_Prot#'!A:AL,10,FALSE)+6,1)</f>
        <v>C</v>
      </c>
      <c r="X166" s="49" t="str">
        <f>MID(VLOOKUP($A166,Seqs!$A:$B,2,FALSE),VLOOKUP($A166,'SegEnds_NonXtal_Prot#'!A:AL,10,FALSE)+7,1)</f>
        <v>C</v>
      </c>
      <c r="Y166" s="49" t="str">
        <f>MID(VLOOKUP($A166,Seqs!$A:$B,2,FALSE),VLOOKUP($A166,'SegEnds_NonXtal_Prot#'!A:AL,10,FALSE)+8,1)</f>
        <v>V</v>
      </c>
      <c r="Z166" s="49" t="str">
        <f>MID(VLOOKUP($A166,Seqs!$A:$B,2,FALSE),VLOOKUP($A166,'SegEnds_NonXtal_Prot#'!A:AL,10,FALSE)+9,1)</f>
        <v>P</v>
      </c>
      <c r="AA166" s="49" t="str">
        <f>MID(VLOOKUP($A166,Seqs!$A:$B,2,FALSE),VLOOKUP($A166,'SegEnds_NonXtal_Prot#'!A:AL,10,FALSE)+10,1)</f>
        <v>F</v>
      </c>
      <c r="AB166" s="28" t="str">
        <f>MID(VLOOKUP($A166,Seqs!$A:$B,2,FALSE),VLOOKUP($A166,'SegEnds_NonXtal_Prot#'!$A:$AL,22,FALSE)+6,1)</f>
        <v>F</v>
      </c>
      <c r="AC166" s="49" t="str">
        <f>MID(VLOOKUP($A166,Seqs!$A:$B,2,FALSE),VLOOKUP($A166,'SegEnds_NonXtal_Prot#'!$A:$AL,22,FALSE)+7,1)</f>
        <v>S</v>
      </c>
      <c r="AD166" s="49" t="str">
        <f>MID(VLOOKUP($A166,Seqs!$A:$B,2,FALSE),VLOOKUP($A166,'SegEnds_NonXtal_Prot#'!$A:$AL,22,FALSE)+8,1)</f>
        <v>G</v>
      </c>
      <c r="AE166" s="49" t="str">
        <f>MID(VLOOKUP($A166,Seqs!$A:$B,2,FALSE),VLOOKUP($A166,'SegEnds_NonXtal_Prot#'!$A:$AL,22,FALSE)+9,1)</f>
        <v>P</v>
      </c>
      <c r="AF166" s="49" t="str">
        <f>MID(VLOOKUP($A166,Seqs!$A:$B,2,FALSE),VLOOKUP($A166,'SegEnds_NonXtal_Prot#'!$A:$AL,22,FALSE)+10,1)</f>
        <v>Y</v>
      </c>
      <c r="AG166" s="28" t="str">
        <f>MID(VLOOKUP($A166,Seqs!$A:$B,2,FALSE),VLOOKUP($A166,'SegEnds_NonXtal_Prot#'!$A:$AL,28,FALSE)-4,1)</f>
        <v>S</v>
      </c>
      <c r="AH166" s="49" t="str">
        <f>MID(VLOOKUP($A166,Seqs!$A:$B,2,FALSE),VLOOKUP($A166,'SegEnds_NonXtal_Prot#'!$A:$AL,28,FALSE),1)</f>
        <v>P</v>
      </c>
    </row>
    <row r="167" spans="1:34" s="2" customFormat="1" x14ac:dyDescent="0.2">
      <c r="A167" s="2" t="s">
        <v>207</v>
      </c>
      <c r="B167" s="2" t="str">
        <f>LOWER(VLOOKUP(A167,Xtal_Templ!A:B,2,FALSE))</f>
        <v>oprk_human</v>
      </c>
      <c r="C167" s="2" t="str">
        <f>VLOOKUP(A167,Classification!A:D,2,FALSE)</f>
        <v>A</v>
      </c>
      <c r="D167" s="2" t="str">
        <f>IF(ISERROR(MATCH(A167,'SegEnds_Xtal_Prot#'!B:B, 0)), "NoXtal", "Xtal")</f>
        <v>NoXtal</v>
      </c>
      <c r="G167" s="2" t="s">
        <v>5</v>
      </c>
      <c r="H167" s="4"/>
      <c r="N167" s="2" t="s">
        <v>14</v>
      </c>
      <c r="R167" s="2" t="s">
        <v>9</v>
      </c>
      <c r="T167" s="4" t="s">
        <v>12</v>
      </c>
      <c r="V167" s="28" t="str">
        <f>MID(VLOOKUP($A167,Seqs!$A:$B,2,FALSE),VLOOKUP($A167,'SegEnds_NonXtal_Prot#'!A:AL,10,FALSE),1)</f>
        <v>D</v>
      </c>
      <c r="W167" s="49" t="str">
        <f>MID(VLOOKUP($A167,Seqs!$A:$B,2,FALSE),VLOOKUP($A167,'SegEnds_NonXtal_Prot#'!A:AL,10,FALSE)+6,1)</f>
        <v>C</v>
      </c>
      <c r="X167" s="49" t="str">
        <f>MID(VLOOKUP($A167,Seqs!$A:$B,2,FALSE),VLOOKUP($A167,'SegEnds_NonXtal_Prot#'!A:AL,10,FALSE)+7,1)</f>
        <v>C</v>
      </c>
      <c r="Y167" s="49" t="str">
        <f>MID(VLOOKUP($A167,Seqs!$A:$B,2,FALSE),VLOOKUP($A167,'SegEnds_NonXtal_Prot#'!A:AL,10,FALSE)+8,1)</f>
        <v>V</v>
      </c>
      <c r="Z167" s="49" t="str">
        <f>MID(VLOOKUP($A167,Seqs!$A:$B,2,FALSE),VLOOKUP($A167,'SegEnds_NonXtal_Prot#'!A:AL,10,FALSE)+9,1)</f>
        <v>P</v>
      </c>
      <c r="AA167" s="49" t="str">
        <f>MID(VLOOKUP($A167,Seqs!$A:$B,2,FALSE),VLOOKUP($A167,'SegEnds_NonXtal_Prot#'!A:AL,10,FALSE)+10,1)</f>
        <v>F</v>
      </c>
      <c r="AB167" s="28" t="str">
        <f>MID(VLOOKUP($A167,Seqs!$A:$B,2,FALSE),VLOOKUP($A167,'SegEnds_NonXtal_Prot#'!$A:$AL,22,FALSE)+6,1)</f>
        <v>F</v>
      </c>
      <c r="AC167" s="49" t="str">
        <f>MID(VLOOKUP($A167,Seqs!$A:$B,2,FALSE),VLOOKUP($A167,'SegEnds_NonXtal_Prot#'!$A:$AL,22,FALSE)+7,1)</f>
        <v>S</v>
      </c>
      <c r="AD167" s="49" t="str">
        <f>MID(VLOOKUP($A167,Seqs!$A:$B,2,FALSE),VLOOKUP($A167,'SegEnds_NonXtal_Prot#'!$A:$AL,22,FALSE)+8,1)</f>
        <v>A</v>
      </c>
      <c r="AE167" s="49" t="str">
        <f>MID(VLOOKUP($A167,Seqs!$A:$B,2,FALSE),VLOOKUP($A167,'SegEnds_NonXtal_Prot#'!$A:$AL,22,FALSE)+9,1)</f>
        <v>P</v>
      </c>
      <c r="AF167" s="49" t="str">
        <f>MID(VLOOKUP($A167,Seqs!$A:$B,2,FALSE),VLOOKUP($A167,'SegEnds_NonXtal_Prot#'!$A:$AL,22,FALSE)+10,1)</f>
        <v>Y</v>
      </c>
      <c r="AG167" s="28" t="str">
        <f>MID(VLOOKUP($A167,Seqs!$A:$B,2,FALSE),VLOOKUP($A167,'SegEnds_NonXtal_Prot#'!$A:$AL,28,FALSE)-4,1)</f>
        <v>G</v>
      </c>
      <c r="AH167" s="49" t="str">
        <f>MID(VLOOKUP($A167,Seqs!$A:$B,2,FALSE),VLOOKUP($A167,'SegEnds_NonXtal_Prot#'!$A:$AL,28,FALSE),1)</f>
        <v>P</v>
      </c>
    </row>
    <row r="168" spans="1:34" s="2" customFormat="1" x14ac:dyDescent="0.2">
      <c r="A168" s="2" t="s">
        <v>210</v>
      </c>
      <c r="B168" s="2" t="str">
        <f>LOWER(VLOOKUP(A168,Xtal_Templ!A:B,2,FALSE))</f>
        <v>apj_human</v>
      </c>
      <c r="C168" s="2" t="str">
        <f>VLOOKUP(A168,Classification!A:D,2,FALSE)</f>
        <v>A</v>
      </c>
      <c r="D168" s="2" t="str">
        <f>IF(ISERROR(MATCH(A168,'SegEnds_Xtal_Prot#'!B:B, 0)), "NoXtal", "Xtal")</f>
        <v>NoXtal</v>
      </c>
      <c r="G168" s="106" t="s">
        <v>5</v>
      </c>
      <c r="N168" s="2" t="s">
        <v>14</v>
      </c>
      <c r="R168" s="2" t="s">
        <v>9</v>
      </c>
      <c r="T168" s="4" t="s">
        <v>12</v>
      </c>
      <c r="V168" s="28" t="str">
        <f>MID(VLOOKUP($A168,Seqs!$A:$B,2,FALSE),VLOOKUP($A168,'SegEnds_NonXtal_Prot#'!A:AL,10,FALSE),1)</f>
        <v>N</v>
      </c>
      <c r="W168" s="49" t="str">
        <f>MID(VLOOKUP($A168,Seqs!$A:$B,2,FALSE),VLOOKUP($A168,'SegEnds_NonXtal_Prot#'!A:AL,10,FALSE)+6,1)</f>
        <v>I</v>
      </c>
      <c r="X168" s="49" t="str">
        <f>MID(VLOOKUP($A168,Seqs!$A:$B,2,FALSE),VLOOKUP($A168,'SegEnds_NonXtal_Prot#'!A:AL,10,FALSE)+7,1)</f>
        <v>V</v>
      </c>
      <c r="Y168" s="49" t="str">
        <f>MID(VLOOKUP($A168,Seqs!$A:$B,2,FALSE),VLOOKUP($A168,'SegEnds_NonXtal_Prot#'!A:AL,10,FALSE)+8,1)</f>
        <v>M</v>
      </c>
      <c r="Z168" s="49" t="str">
        <f>MID(VLOOKUP($A168,Seqs!$A:$B,2,FALSE),VLOOKUP($A168,'SegEnds_NonXtal_Prot#'!A:AL,10,FALSE)+9,1)</f>
        <v>P</v>
      </c>
      <c r="AA168" s="49" t="str">
        <f>MID(VLOOKUP($A168,Seqs!$A:$B,2,FALSE),VLOOKUP($A168,'SegEnds_NonXtal_Prot#'!A:AL,10,FALSE)+10,1)</f>
        <v>L</v>
      </c>
      <c r="AB168" s="28" t="str">
        <f>MID(VLOOKUP($A168,Seqs!$A:$B,2,FALSE),VLOOKUP($A168,'SegEnds_NonXtal_Prot#'!$A:$AL,22,FALSE)+6,1)</f>
        <v>F</v>
      </c>
      <c r="AC168" s="49" t="str">
        <f>MID(VLOOKUP($A168,Seqs!$A:$B,2,FALSE),VLOOKUP($A168,'SegEnds_NonXtal_Prot#'!$A:$AL,22,FALSE)+7,1)</f>
        <v>A</v>
      </c>
      <c r="AD168" s="49" t="str">
        <f>MID(VLOOKUP($A168,Seqs!$A:$B,2,FALSE),VLOOKUP($A168,'SegEnds_NonXtal_Prot#'!$A:$AL,22,FALSE)+8,1)</f>
        <v>G</v>
      </c>
      <c r="AE168" s="49" t="str">
        <f>MID(VLOOKUP($A168,Seqs!$A:$B,2,FALSE),VLOOKUP($A168,'SegEnds_NonXtal_Prot#'!$A:$AL,22,FALSE)+9,1)</f>
        <v>P</v>
      </c>
      <c r="AF168" s="49" t="str">
        <f>MID(VLOOKUP($A168,Seqs!$A:$B,2,FALSE),VLOOKUP($A168,'SegEnds_NonXtal_Prot#'!$A:$AL,22,FALSE)+10,1)</f>
        <v>Q</v>
      </c>
      <c r="AG168" s="28" t="str">
        <f>MID(VLOOKUP($A168,Seqs!$A:$B,2,FALSE),VLOOKUP($A168,'SegEnds_NonXtal_Prot#'!$A:$AL,28,FALSE)-4,1)</f>
        <v>L</v>
      </c>
      <c r="AH168" s="49" t="str">
        <f>MID(VLOOKUP($A168,Seqs!$A:$B,2,FALSE),VLOOKUP($A168,'SegEnds_NonXtal_Prot#'!$A:$AL,28,FALSE),1)</f>
        <v>P</v>
      </c>
    </row>
    <row r="169" spans="1:34" s="2" customFormat="1" x14ac:dyDescent="0.2">
      <c r="A169" s="2" t="s">
        <v>337</v>
      </c>
      <c r="B169" s="2" t="str">
        <f>LOWER(VLOOKUP(A169,Xtal_Templ!A:B,2,FALSE))</f>
        <v>oprm_mouse</v>
      </c>
      <c r="C169" s="2" t="str">
        <f>VLOOKUP(A169,Classification!A:D,2,FALSE)</f>
        <v>A</v>
      </c>
      <c r="D169" s="2" t="str">
        <f>IF(ISERROR(MATCH(A169,'SegEnds_Xtal_Prot#'!B:B, 0)), "NoXtal", "Xtal")</f>
        <v>NoXtal</v>
      </c>
      <c r="H169" s="4"/>
      <c r="R169" s="2" t="s">
        <v>9</v>
      </c>
      <c r="T169" s="4" t="s">
        <v>12</v>
      </c>
      <c r="V169" s="28" t="str">
        <f>MID(VLOOKUP($A169,Seqs!$A:$B,2,FALSE),VLOOKUP($A169,'SegEnds_NonXtal_Prot#'!A:AL,10,FALSE),1)</f>
        <v>D</v>
      </c>
      <c r="W169" s="49" t="str">
        <f>MID(VLOOKUP($A169,Seqs!$A:$B,2,FALSE),VLOOKUP($A169,'SegEnds_NonXtal_Prot#'!A:AL,10,FALSE)+6,1)</f>
        <v>T</v>
      </c>
      <c r="X169" s="49" t="str">
        <f>MID(VLOOKUP($A169,Seqs!$A:$B,2,FALSE),VLOOKUP($A169,'SegEnds_NonXtal_Prot#'!A:AL,10,FALSE)+7,1)</f>
        <v>L</v>
      </c>
      <c r="Y169" s="49" t="str">
        <f>MID(VLOOKUP($A169,Seqs!$A:$B,2,FALSE),VLOOKUP($A169,'SegEnds_NonXtal_Prot#'!A:AL,10,FALSE)+8,1)</f>
        <v>P</v>
      </c>
      <c r="Z169" s="49" t="str">
        <f>MID(VLOOKUP($A169,Seqs!$A:$B,2,FALSE),VLOOKUP($A169,'SegEnds_NonXtal_Prot#'!A:AL,10,FALSE)+9,1)</f>
        <v>F</v>
      </c>
      <c r="AA169" s="49" t="str">
        <f>MID(VLOOKUP($A169,Seqs!$A:$B,2,FALSE),VLOOKUP($A169,'SegEnds_NonXtal_Prot#'!A:AL,10,FALSE)+10,1)</f>
        <v>Q</v>
      </c>
      <c r="AB169" s="28" t="str">
        <f>MID(VLOOKUP($A169,Seqs!$A:$B,2,FALSE),VLOOKUP($A169,'SegEnds_NonXtal_Prot#'!$A:$AL,22,FALSE)+6,1)</f>
        <v>I</v>
      </c>
      <c r="AC169" s="49" t="str">
        <f>MID(VLOOKUP($A169,Seqs!$A:$B,2,FALSE),VLOOKUP($A169,'SegEnds_NonXtal_Prot#'!$A:$AL,22,FALSE)+7,1)</f>
        <v>G</v>
      </c>
      <c r="AD169" s="49" t="str">
        <f>MID(VLOOKUP($A169,Seqs!$A:$B,2,FALSE),VLOOKUP($A169,'SegEnds_NonXtal_Prot#'!$A:$AL,22,FALSE)+8,1)</f>
        <v>L</v>
      </c>
      <c r="AE169" s="49" t="str">
        <f>MID(VLOOKUP($A169,Seqs!$A:$B,2,FALSE),VLOOKUP($A169,'SegEnds_NonXtal_Prot#'!$A:$AL,22,FALSE)+9,1)</f>
        <v>P</v>
      </c>
      <c r="AF169" s="49" t="str">
        <f>MID(VLOOKUP($A169,Seqs!$A:$B,2,FALSE),VLOOKUP($A169,'SegEnds_NonXtal_Prot#'!$A:$AL,22,FALSE)+10,1)</f>
        <v>V</v>
      </c>
      <c r="AG169" s="28" t="str">
        <f>MID(VLOOKUP($A169,Seqs!$A:$B,2,FALSE),VLOOKUP($A169,'SegEnds_NonXtal_Prot#'!$A:$AL,28,FALSE)-4,1)</f>
        <v>A</v>
      </c>
      <c r="AH169" s="49" t="str">
        <f>MID(VLOOKUP($A169,Seqs!$A:$B,2,FALSE),VLOOKUP($A169,'SegEnds_NonXtal_Prot#'!$A:$AL,28,FALSE),1)</f>
        <v>P</v>
      </c>
    </row>
    <row r="170" spans="1:34" s="2" customFormat="1" x14ac:dyDescent="0.2">
      <c r="A170" s="2" t="s">
        <v>918</v>
      </c>
      <c r="B170" s="2" t="str">
        <f>LOWER(VLOOKUP(A170,Xtal_Templ!A:B,2,FALSE))</f>
        <v>oprm_mouse</v>
      </c>
      <c r="C170" s="2" t="str">
        <f>VLOOKUP(A170,Classification!A:D,2,FALSE)</f>
        <v>A</v>
      </c>
      <c r="D170" s="2" t="str">
        <f>IF(ISERROR(MATCH(A170,'SegEnds_Xtal_Prot#'!B:B, 0)), "NoXtal", "Xtal")</f>
        <v>Xtal</v>
      </c>
      <c r="H170" s="4"/>
      <c r="R170" s="2" t="s">
        <v>9</v>
      </c>
      <c r="T170" s="4" t="s">
        <v>12</v>
      </c>
      <c r="V170" s="28" t="str">
        <f>MID(VLOOKUP($A170,Seqs!$A:$B,2,FALSE),VLOOKUP($A170,'SegEnds_NonXtal_Prot#'!A:AL,10,FALSE),1)</f>
        <v>D</v>
      </c>
      <c r="W170" s="49" t="str">
        <f>MID(VLOOKUP($A170,Seqs!$A:$B,2,FALSE),VLOOKUP($A170,'SegEnds_NonXtal_Prot#'!A:AL,10,FALSE)+6,1)</f>
        <v>T</v>
      </c>
      <c r="X170" s="49" t="str">
        <f>MID(VLOOKUP($A170,Seqs!$A:$B,2,FALSE),VLOOKUP($A170,'SegEnds_NonXtal_Prot#'!A:AL,10,FALSE)+7,1)</f>
        <v>L</v>
      </c>
      <c r="Y170" s="49" t="str">
        <f>MID(VLOOKUP($A170,Seqs!$A:$B,2,FALSE),VLOOKUP($A170,'SegEnds_NonXtal_Prot#'!A:AL,10,FALSE)+8,1)</f>
        <v>P</v>
      </c>
      <c r="Z170" s="49" t="str">
        <f>MID(VLOOKUP($A170,Seqs!$A:$B,2,FALSE),VLOOKUP($A170,'SegEnds_NonXtal_Prot#'!A:AL,10,FALSE)+9,1)</f>
        <v>F</v>
      </c>
      <c r="AA170" s="49" t="str">
        <f>MID(VLOOKUP($A170,Seqs!$A:$B,2,FALSE),VLOOKUP($A170,'SegEnds_NonXtal_Prot#'!A:AL,10,FALSE)+10,1)</f>
        <v>Q</v>
      </c>
      <c r="AB170" s="28" t="str">
        <f>MID(VLOOKUP($A170,Seqs!$A:$B,2,FALSE),VLOOKUP($A170,'SegEnds_NonXtal_Prot#'!$A:$AL,22,FALSE)+6,1)</f>
        <v>I</v>
      </c>
      <c r="AC170" s="49" t="str">
        <f>MID(VLOOKUP($A170,Seqs!$A:$B,2,FALSE),VLOOKUP($A170,'SegEnds_NonXtal_Prot#'!$A:$AL,22,FALSE)+7,1)</f>
        <v>G</v>
      </c>
      <c r="AD170" s="49" t="str">
        <f>MID(VLOOKUP($A170,Seqs!$A:$B,2,FALSE),VLOOKUP($A170,'SegEnds_NonXtal_Prot#'!$A:$AL,22,FALSE)+8,1)</f>
        <v>L</v>
      </c>
      <c r="AE170" s="49" t="str">
        <f>MID(VLOOKUP($A170,Seqs!$A:$B,2,FALSE),VLOOKUP($A170,'SegEnds_NonXtal_Prot#'!$A:$AL,22,FALSE)+9,1)</f>
        <v>P</v>
      </c>
      <c r="AF170" s="49" t="str">
        <f>MID(VLOOKUP($A170,Seqs!$A:$B,2,FALSE),VLOOKUP($A170,'SegEnds_NonXtal_Prot#'!$A:$AL,22,FALSE)+10,1)</f>
        <v>V</v>
      </c>
      <c r="AG170" s="28" t="str">
        <f>MID(VLOOKUP($A170,Seqs!$A:$B,2,FALSE),VLOOKUP($A170,'SegEnds_NonXtal_Prot#'!$A:$AL,28,FALSE)-4,1)</f>
        <v>A</v>
      </c>
      <c r="AH170" s="49" t="str">
        <f>MID(VLOOKUP($A170,Seqs!$A:$B,2,FALSE),VLOOKUP($A170,'SegEnds_NonXtal_Prot#'!$A:$AL,28,FALSE),1)</f>
        <v>P</v>
      </c>
    </row>
    <row r="171" spans="1:34" s="2" customFormat="1" x14ac:dyDescent="0.2">
      <c r="A171" s="2" t="s">
        <v>381</v>
      </c>
      <c r="B171" s="2" t="str">
        <f>LOWER(VLOOKUP(A171,Xtal_Templ!A:B,2,FALSE))</f>
        <v>oprk_human</v>
      </c>
      <c r="C171" s="2" t="str">
        <f>VLOOKUP(A171,Classification!A:D,2,FALSE)</f>
        <v>A</v>
      </c>
      <c r="D171" s="2" t="str">
        <f>IF(ISERROR(MATCH(A171,'SegEnds_Xtal_Prot#'!B:B, 0)), "NoXtal", "Xtal")</f>
        <v>NoXtal</v>
      </c>
      <c r="H171" s="4"/>
      <c r="N171" s="2" t="s">
        <v>14</v>
      </c>
      <c r="R171" s="2" t="s">
        <v>9</v>
      </c>
      <c r="T171" s="4" t="s">
        <v>12</v>
      </c>
      <c r="V171" s="28" t="str">
        <f>MID(VLOOKUP($A171,Seqs!$A:$B,2,FALSE),VLOOKUP($A171,'SegEnds_NonXtal_Prot#'!A:AL,10,FALSE),1)</f>
        <v>D</v>
      </c>
      <c r="W171" s="49" t="str">
        <f>MID(VLOOKUP($A171,Seqs!$A:$B,2,FALSE),VLOOKUP($A171,'SegEnds_NonXtal_Prot#'!A:AL,10,FALSE)+6,1)</f>
        <v>S</v>
      </c>
      <c r="X171" s="49" t="str">
        <f>MID(VLOOKUP($A171,Seqs!$A:$B,2,FALSE),VLOOKUP($A171,'SegEnds_NonXtal_Prot#'!A:AL,10,FALSE)+7,1)</f>
        <v>V</v>
      </c>
      <c r="Y171" s="49" t="str">
        <f>MID(VLOOKUP($A171,Seqs!$A:$B,2,FALSE),VLOOKUP($A171,'SegEnds_NonXtal_Prot#'!A:AL,10,FALSE)+8,1)</f>
        <v>P</v>
      </c>
      <c r="Z171" s="49" t="str">
        <f>MID(VLOOKUP($A171,Seqs!$A:$B,2,FALSE),VLOOKUP($A171,'SegEnds_NonXtal_Prot#'!A:AL,10,FALSE)+9,1)</f>
        <v>F</v>
      </c>
      <c r="AA171" s="49" t="str">
        <f>MID(VLOOKUP($A171,Seqs!$A:$B,2,FALSE),VLOOKUP($A171,'SegEnds_NonXtal_Prot#'!A:AL,10,FALSE)+10,1)</f>
        <v>L</v>
      </c>
      <c r="AB171" s="28" t="str">
        <f>MID(VLOOKUP($A171,Seqs!$A:$B,2,FALSE),VLOOKUP($A171,'SegEnds_NonXtal_Prot#'!$A:$AL,22,FALSE)+6,1)</f>
        <v>V</v>
      </c>
      <c r="AC171" s="49" t="str">
        <f>MID(VLOOKUP($A171,Seqs!$A:$B,2,FALSE),VLOOKUP($A171,'SegEnds_NonXtal_Prot#'!$A:$AL,22,FALSE)+7,1)</f>
        <v>I</v>
      </c>
      <c r="AD171" s="49" t="str">
        <f>MID(VLOOKUP($A171,Seqs!$A:$B,2,FALSE),VLOOKUP($A171,'SegEnds_NonXtal_Prot#'!$A:$AL,22,FALSE)+8,1)</f>
        <v>L</v>
      </c>
      <c r="AE171" s="49" t="str">
        <f>MID(VLOOKUP($A171,Seqs!$A:$B,2,FALSE),VLOOKUP($A171,'SegEnds_NonXtal_Prot#'!$A:$AL,22,FALSE)+9,1)</f>
        <v>P</v>
      </c>
      <c r="AF171" s="49" t="str">
        <f>MID(VLOOKUP($A171,Seqs!$A:$B,2,FALSE),VLOOKUP($A171,'SegEnds_NonXtal_Prot#'!$A:$AL,22,FALSE)+10,1)</f>
        <v>I</v>
      </c>
      <c r="AG171" s="28" t="str">
        <f>MID(VLOOKUP($A171,Seqs!$A:$B,2,FALSE),VLOOKUP($A171,'SegEnds_NonXtal_Prot#'!$A:$AL,28,FALSE)-4,1)</f>
        <v>G</v>
      </c>
      <c r="AH171" s="49" t="str">
        <f>MID(VLOOKUP($A171,Seqs!$A:$B,2,FALSE),VLOOKUP($A171,'SegEnds_NonXtal_Prot#'!$A:$AL,28,FALSE),1)</f>
        <v>P</v>
      </c>
    </row>
    <row r="172" spans="1:34" s="2" customFormat="1" x14ac:dyDescent="0.2">
      <c r="A172" s="2" t="s">
        <v>382</v>
      </c>
      <c r="B172" s="2" t="str">
        <f>LOWER(VLOOKUP(A172,Xtal_Templ!A:B,2,FALSE))</f>
        <v>oprk_human</v>
      </c>
      <c r="C172" s="2" t="str">
        <f>VLOOKUP(A172,Classification!A:D,2,FALSE)</f>
        <v>A</v>
      </c>
      <c r="D172" s="2" t="str">
        <f>IF(ISERROR(MATCH(A172,'SegEnds_Xtal_Prot#'!B:B, 0)), "NoXtal", "Xtal")</f>
        <v>NoXtal</v>
      </c>
      <c r="H172" s="4"/>
      <c r="N172" s="2" t="s">
        <v>14</v>
      </c>
      <c r="R172" s="2" t="s">
        <v>9</v>
      </c>
      <c r="T172" s="4" t="s">
        <v>12</v>
      </c>
      <c r="V172" s="28" t="str">
        <f>MID(VLOOKUP($A172,Seqs!$A:$B,2,FALSE),VLOOKUP($A172,'SegEnds_NonXtal_Prot#'!A:AL,10,FALSE),1)</f>
        <v>D</v>
      </c>
      <c r="W172" s="49" t="str">
        <f>MID(VLOOKUP($A172,Seqs!$A:$B,2,FALSE),VLOOKUP($A172,'SegEnds_NonXtal_Prot#'!A:AL,10,FALSE)+6,1)</f>
        <v>G</v>
      </c>
      <c r="X172" s="49" t="str">
        <f>MID(VLOOKUP($A172,Seqs!$A:$B,2,FALSE),VLOOKUP($A172,'SegEnds_NonXtal_Prot#'!A:AL,10,FALSE)+7,1)</f>
        <v>L</v>
      </c>
      <c r="Y172" s="49" t="str">
        <f>MID(VLOOKUP($A172,Seqs!$A:$B,2,FALSE),VLOOKUP($A172,'SegEnds_NonXtal_Prot#'!A:AL,10,FALSE)+8,1)</f>
        <v>P</v>
      </c>
      <c r="Z172" s="49" t="str">
        <f>MID(VLOOKUP($A172,Seqs!$A:$B,2,FALSE),VLOOKUP($A172,'SegEnds_NonXtal_Prot#'!A:AL,10,FALSE)+9,1)</f>
        <v>F</v>
      </c>
      <c r="AA172" s="49" t="str">
        <f>MID(VLOOKUP($A172,Seqs!$A:$B,2,FALSE),VLOOKUP($A172,'SegEnds_NonXtal_Prot#'!A:AL,10,FALSE)+10,1)</f>
        <v>L</v>
      </c>
      <c r="AB172" s="28" t="str">
        <f>MID(VLOOKUP($A172,Seqs!$A:$B,2,FALSE),VLOOKUP($A172,'SegEnds_NonXtal_Prot#'!$A:$AL,22,FALSE)+6,1)</f>
        <v>V</v>
      </c>
      <c r="AC172" s="49" t="str">
        <f>MID(VLOOKUP($A172,Seqs!$A:$B,2,FALSE),VLOOKUP($A172,'SegEnds_NonXtal_Prot#'!$A:$AL,22,FALSE)+7,1)</f>
        <v>I</v>
      </c>
      <c r="AD172" s="49" t="str">
        <f>MID(VLOOKUP($A172,Seqs!$A:$B,2,FALSE),VLOOKUP($A172,'SegEnds_NonXtal_Prot#'!$A:$AL,22,FALSE)+8,1)</f>
        <v>L</v>
      </c>
      <c r="AE172" s="49" t="str">
        <f>MID(VLOOKUP($A172,Seqs!$A:$B,2,FALSE),VLOOKUP($A172,'SegEnds_NonXtal_Prot#'!$A:$AL,22,FALSE)+9,1)</f>
        <v>P</v>
      </c>
      <c r="AF172" s="49" t="str">
        <f>MID(VLOOKUP($A172,Seqs!$A:$B,2,FALSE),VLOOKUP($A172,'SegEnds_NonXtal_Prot#'!$A:$AL,22,FALSE)+10,1)</f>
        <v>I</v>
      </c>
      <c r="AG172" s="28" t="str">
        <f>MID(VLOOKUP($A172,Seqs!$A:$B,2,FALSE),VLOOKUP($A172,'SegEnds_NonXtal_Prot#'!$A:$AL,28,FALSE)-4,1)</f>
        <v>G</v>
      </c>
      <c r="AH172" s="49" t="str">
        <f>MID(VLOOKUP($A172,Seqs!$A:$B,2,FALSE),VLOOKUP($A172,'SegEnds_NonXtal_Prot#'!$A:$AL,28,FALSE),1)</f>
        <v>P</v>
      </c>
    </row>
    <row r="173" spans="1:34" s="2" customFormat="1" x14ac:dyDescent="0.2">
      <c r="A173" s="2" t="s">
        <v>385</v>
      </c>
      <c r="B173" s="2" t="str">
        <f>LOWER(VLOOKUP(A173,Xtal_Templ!A:B,2,FALSE))</f>
        <v>oprk_human</v>
      </c>
      <c r="C173" s="2" t="str">
        <f>VLOOKUP(A173,Classification!A:D,2,FALSE)</f>
        <v>A</v>
      </c>
      <c r="D173" s="2" t="str">
        <f>IF(ISERROR(MATCH(A173,'SegEnds_Xtal_Prot#'!B:B, 0)), "NoXtal", "Xtal")</f>
        <v>NoXtal</v>
      </c>
      <c r="H173" s="4"/>
      <c r="N173" s="2" t="s">
        <v>14</v>
      </c>
      <c r="R173" s="2" t="s">
        <v>9</v>
      </c>
      <c r="T173" s="4" t="s">
        <v>12</v>
      </c>
      <c r="V173" s="28" t="str">
        <f>MID(VLOOKUP($A173,Seqs!$A:$B,2,FALSE),VLOOKUP($A173,'SegEnds_NonXtal_Prot#'!A:AL,10,FALSE),1)</f>
        <v>D</v>
      </c>
      <c r="W173" s="49" t="str">
        <f>MID(VLOOKUP($A173,Seqs!$A:$B,2,FALSE),VLOOKUP($A173,'SegEnds_NonXtal_Prot#'!A:AL,10,FALSE)+6,1)</f>
        <v>G</v>
      </c>
      <c r="X173" s="49" t="str">
        <f>MID(VLOOKUP($A173,Seqs!$A:$B,2,FALSE),VLOOKUP($A173,'SegEnds_NonXtal_Prot#'!A:AL,10,FALSE)+7,1)</f>
        <v>L</v>
      </c>
      <c r="Y173" s="49" t="str">
        <f>MID(VLOOKUP($A173,Seqs!$A:$B,2,FALSE),VLOOKUP($A173,'SegEnds_NonXtal_Prot#'!A:AL,10,FALSE)+8,1)</f>
        <v>P</v>
      </c>
      <c r="Z173" s="49" t="str">
        <f>MID(VLOOKUP($A173,Seqs!$A:$B,2,FALSE),VLOOKUP($A173,'SegEnds_NonXtal_Prot#'!A:AL,10,FALSE)+9,1)</f>
        <v>F</v>
      </c>
      <c r="AA173" s="49" t="str">
        <f>MID(VLOOKUP($A173,Seqs!$A:$B,2,FALSE),VLOOKUP($A173,'SegEnds_NonXtal_Prot#'!A:AL,10,FALSE)+10,1)</f>
        <v>L</v>
      </c>
      <c r="AB173" s="28" t="str">
        <f>MID(VLOOKUP($A173,Seqs!$A:$B,2,FALSE),VLOOKUP($A173,'SegEnds_NonXtal_Prot#'!$A:$AL,22,FALSE)+6,1)</f>
        <v>M</v>
      </c>
      <c r="AC173" s="49" t="str">
        <f>MID(VLOOKUP($A173,Seqs!$A:$B,2,FALSE),VLOOKUP($A173,'SegEnds_NonXtal_Prot#'!$A:$AL,22,FALSE)+7,1)</f>
        <v>S</v>
      </c>
      <c r="AD173" s="49" t="str">
        <f>MID(VLOOKUP($A173,Seqs!$A:$B,2,FALSE),VLOOKUP($A173,'SegEnds_NonXtal_Prot#'!$A:$AL,22,FALSE)+8,1)</f>
        <v>L</v>
      </c>
      <c r="AE173" s="49" t="str">
        <f>MID(VLOOKUP($A173,Seqs!$A:$B,2,FALSE),VLOOKUP($A173,'SegEnds_NonXtal_Prot#'!$A:$AL,22,FALSE)+9,1)</f>
        <v>P</v>
      </c>
      <c r="AF173" s="49" t="str">
        <f>MID(VLOOKUP($A173,Seqs!$A:$B,2,FALSE),VLOOKUP($A173,'SegEnds_NonXtal_Prot#'!$A:$AL,22,FALSE)+10,1)</f>
        <v>L</v>
      </c>
      <c r="AG173" s="28" t="str">
        <f>MID(VLOOKUP($A173,Seqs!$A:$B,2,FALSE),VLOOKUP($A173,'SegEnds_NonXtal_Prot#'!$A:$AL,28,FALSE)-4,1)</f>
        <v>G</v>
      </c>
      <c r="AH173" s="49" t="str">
        <f>MID(VLOOKUP($A173,Seqs!$A:$B,2,FALSE),VLOOKUP($A173,'SegEnds_NonXtal_Prot#'!$A:$AL,28,FALSE),1)</f>
        <v>P</v>
      </c>
    </row>
    <row r="174" spans="1:34" s="2" customFormat="1" x14ac:dyDescent="0.2">
      <c r="A174" s="2" t="s">
        <v>397</v>
      </c>
      <c r="B174" s="2" t="str">
        <f>LOWER(VLOOKUP(A174,Xtal_Templ!A:B,2,FALSE))</f>
        <v>ox2r_human</v>
      </c>
      <c r="C174" s="2" t="str">
        <f>VLOOKUP(A174,Classification!A:D,2,FALSE)</f>
        <v>A</v>
      </c>
      <c r="D174" s="2" t="str">
        <f>IF(ISERROR(MATCH(A174,'SegEnds_Xtal_Prot#'!B:B, 0)), "NoXtal", "Xtal")</f>
        <v>NoXtal</v>
      </c>
      <c r="H174" s="4"/>
      <c r="N174" s="2" t="s">
        <v>14</v>
      </c>
      <c r="R174" s="2" t="s">
        <v>9</v>
      </c>
      <c r="T174" s="4" t="s">
        <v>12</v>
      </c>
      <c r="V174" s="28" t="str">
        <f>MID(VLOOKUP($A174,Seqs!$A:$B,2,FALSE),VLOOKUP($A174,'SegEnds_NonXtal_Prot#'!A:AL,10,FALSE),1)</f>
        <v>D</v>
      </c>
      <c r="W174" s="49" t="str">
        <f>MID(VLOOKUP($A174,Seqs!$A:$B,2,FALSE),VLOOKUP($A174,'SegEnds_NonXtal_Prot#'!A:AL,10,FALSE)+6,1)</f>
        <v>F</v>
      </c>
      <c r="X174" s="49" t="str">
        <f>MID(VLOOKUP($A174,Seqs!$A:$B,2,FALSE),VLOOKUP($A174,'SegEnds_NonXtal_Prot#'!A:AL,10,FALSE)+7,1)</f>
        <v>Q</v>
      </c>
      <c r="Y174" s="49" t="str">
        <f>MID(VLOOKUP($A174,Seqs!$A:$B,2,FALSE),VLOOKUP($A174,'SegEnds_NonXtal_Prot#'!A:AL,10,FALSE)+8,1)</f>
        <v>V</v>
      </c>
      <c r="Z174" s="49" t="str">
        <f>MID(VLOOKUP($A174,Seqs!$A:$B,2,FALSE),VLOOKUP($A174,'SegEnds_NonXtal_Prot#'!A:AL,10,FALSE)+9,1)</f>
        <v>L</v>
      </c>
      <c r="AA174" s="49" t="str">
        <f>MID(VLOOKUP($A174,Seqs!$A:$B,2,FALSE),VLOOKUP($A174,'SegEnds_NonXtal_Prot#'!A:AL,10,FALSE)+10,1)</f>
        <v>P</v>
      </c>
      <c r="AB174" s="28" t="str">
        <f>MID(VLOOKUP($A174,Seqs!$A:$B,2,FALSE),VLOOKUP($A174,'SegEnds_NonXtal_Prot#'!$A:$AL,22,FALSE)+6,1)</f>
        <v>L</v>
      </c>
      <c r="AC174" s="49" t="str">
        <f>MID(VLOOKUP($A174,Seqs!$A:$B,2,FALSE),VLOOKUP($A174,'SegEnds_NonXtal_Prot#'!$A:$AL,22,FALSE)+7,1)</f>
        <v>S</v>
      </c>
      <c r="AD174" s="49" t="str">
        <f>MID(VLOOKUP($A174,Seqs!$A:$B,2,FALSE),VLOOKUP($A174,'SegEnds_NonXtal_Prot#'!$A:$AL,22,FALSE)+8,1)</f>
        <v>T</v>
      </c>
      <c r="AE174" s="49" t="str">
        <f>MID(VLOOKUP($A174,Seqs!$A:$B,2,FALSE),VLOOKUP($A174,'SegEnds_NonXtal_Prot#'!$A:$AL,22,FALSE)+9,1)</f>
        <v>P</v>
      </c>
      <c r="AF174" s="49" t="str">
        <f>MID(VLOOKUP($A174,Seqs!$A:$B,2,FALSE),VLOOKUP($A174,'SegEnds_NonXtal_Prot#'!$A:$AL,22,FALSE)+10,1)</f>
        <v>Q</v>
      </c>
      <c r="AG174" s="28" t="str">
        <f>MID(VLOOKUP($A174,Seqs!$A:$B,2,FALSE),VLOOKUP($A174,'SegEnds_NonXtal_Prot#'!$A:$AL,28,FALSE)-4,1)</f>
        <v>I</v>
      </c>
      <c r="AH174" s="49" t="str">
        <f>MID(VLOOKUP($A174,Seqs!$A:$B,2,FALSE),VLOOKUP($A174,'SegEnds_NonXtal_Prot#'!$A:$AL,28,FALSE),1)</f>
        <v>P</v>
      </c>
    </row>
    <row r="175" spans="1:34" s="2" customFormat="1" x14ac:dyDescent="0.2">
      <c r="A175" s="2" t="s">
        <v>217</v>
      </c>
      <c r="B175" s="2" t="str">
        <f>LOWER(VLOOKUP(A175,Xtal_Templ!A:B,2,FALSE))</f>
        <v>hrh1_human</v>
      </c>
      <c r="C175" s="2" t="str">
        <f>VLOOKUP(A175,Classification!A:D,2,FALSE)</f>
        <v>A</v>
      </c>
      <c r="D175" s="2" t="str">
        <f>IF(ISERROR(MATCH(A175,'SegEnds_Xtal_Prot#'!B:B, 0)), "NoXtal", "Xtal")</f>
        <v>NoXtal</v>
      </c>
      <c r="H175" s="4"/>
      <c r="N175" s="2" t="s">
        <v>14</v>
      </c>
      <c r="T175" s="4" t="s">
        <v>12</v>
      </c>
      <c r="V175" s="28" t="str">
        <f>MID(VLOOKUP($A175,Seqs!$A:$B,2,FALSE),VLOOKUP($A175,'SegEnds_NonXtal_Prot#'!A:AL,10,FALSE),1)</f>
        <v>H</v>
      </c>
      <c r="W175" s="49" t="str">
        <f>MID(VLOOKUP($A175,Seqs!$A:$B,2,FALSE),VLOOKUP($A175,'SegEnds_NonXtal_Prot#'!A:AL,10,FALSE)+6,1)</f>
        <v>T</v>
      </c>
      <c r="X175" s="49" t="str">
        <f>MID(VLOOKUP($A175,Seqs!$A:$B,2,FALSE),VLOOKUP($A175,'SegEnds_NonXtal_Prot#'!A:AL,10,FALSE)+7,1)</f>
        <v>V</v>
      </c>
      <c r="Y175" s="49" t="str">
        <f>MID(VLOOKUP($A175,Seqs!$A:$B,2,FALSE),VLOOKUP($A175,'SegEnds_NonXtal_Prot#'!A:AL,10,FALSE)+8,1)</f>
        <v>P</v>
      </c>
      <c r="Z175" s="49" t="str">
        <f>MID(VLOOKUP($A175,Seqs!$A:$B,2,FALSE),VLOOKUP($A175,'SegEnds_NonXtal_Prot#'!A:AL,10,FALSE)+9,1)</f>
        <v>F</v>
      </c>
      <c r="AA175" s="49" t="str">
        <f>MID(VLOOKUP($A175,Seqs!$A:$B,2,FALSE),VLOOKUP($A175,'SegEnds_NonXtal_Prot#'!A:AL,10,FALSE)+10,1)</f>
        <v>R</v>
      </c>
      <c r="AB175" s="28" t="str">
        <f>MID(VLOOKUP($A175,Seqs!$A:$B,2,FALSE),VLOOKUP($A175,'SegEnds_NonXtal_Prot#'!$A:$AL,22,FALSE)+6,1)</f>
        <v>I</v>
      </c>
      <c r="AC175" s="49" t="str">
        <f>MID(VLOOKUP($A175,Seqs!$A:$B,2,FALSE),VLOOKUP($A175,'SegEnds_NonXtal_Prot#'!$A:$AL,22,FALSE)+7,1)</f>
        <v>V</v>
      </c>
      <c r="AD175" s="49" t="str">
        <f>MID(VLOOKUP($A175,Seqs!$A:$B,2,FALSE),VLOOKUP($A175,'SegEnds_NonXtal_Prot#'!$A:$AL,22,FALSE)+8,1)</f>
        <v>V</v>
      </c>
      <c r="AE175" s="49" t="str">
        <f>MID(VLOOKUP($A175,Seqs!$A:$B,2,FALSE),VLOOKUP($A175,'SegEnds_NonXtal_Prot#'!$A:$AL,22,FALSE)+9,1)</f>
        <v>P</v>
      </c>
      <c r="AF175" s="49" t="str">
        <f>MID(VLOOKUP($A175,Seqs!$A:$B,2,FALSE),VLOOKUP($A175,'SegEnds_NonXtal_Prot#'!$A:$AL,22,FALSE)+10,1)</f>
        <v>L</v>
      </c>
      <c r="AG175" s="28" t="str">
        <f>MID(VLOOKUP($A175,Seqs!$A:$B,2,FALSE),VLOOKUP($A175,'SegEnds_NonXtal_Prot#'!$A:$AL,28,FALSE)-4,1)</f>
        <v>V</v>
      </c>
      <c r="AH175" s="49" t="str">
        <f>MID(VLOOKUP($A175,Seqs!$A:$B,2,FALSE),VLOOKUP($A175,'SegEnds_NonXtal_Prot#'!$A:$AL,28,FALSE),1)</f>
        <v>L</v>
      </c>
    </row>
    <row r="176" spans="1:34" s="2" customFormat="1" x14ac:dyDescent="0.2">
      <c r="A176" s="2" t="s">
        <v>218</v>
      </c>
      <c r="B176" s="2" t="str">
        <f>LOWER(VLOOKUP(A176,Xtal_Templ!A:B,2,FALSE))</f>
        <v>5ht2a_human</v>
      </c>
      <c r="C176" s="2" t="str">
        <f>VLOOKUP(A176,Classification!A:D,2,FALSE)</f>
        <v>A</v>
      </c>
      <c r="D176" s="2" t="str">
        <f>IF(ISERROR(MATCH(A176,'SegEnds_Xtal_Prot#'!B:B, 0)), "NoXtal", "Xtal")</f>
        <v>NoXtal</v>
      </c>
      <c r="H176" s="4"/>
      <c r="R176" s="2" t="s">
        <v>9</v>
      </c>
      <c r="T176" s="4" t="s">
        <v>12</v>
      </c>
      <c r="V176" s="28" t="str">
        <f>MID(VLOOKUP($A176,Seqs!$A:$B,2,FALSE),VLOOKUP($A176,'SegEnds_NonXtal_Prot#'!A:AL,10,FALSE),1)</f>
        <v>D</v>
      </c>
      <c r="W176" s="49" t="str">
        <f>MID(VLOOKUP($A176,Seqs!$A:$B,2,FALSE),VLOOKUP($A176,'SegEnds_NonXtal_Prot#'!A:AL,10,FALSE)+6,1)</f>
        <v>V</v>
      </c>
      <c r="X176" s="49" t="str">
        <f>MID(VLOOKUP($A176,Seqs!$A:$B,2,FALSE),VLOOKUP($A176,'SegEnds_NonXtal_Prot#'!A:AL,10,FALSE)+7,1)</f>
        <v>I</v>
      </c>
      <c r="Y176" s="49" t="str">
        <f>MID(VLOOKUP($A176,Seqs!$A:$B,2,FALSE),VLOOKUP($A176,'SegEnds_NonXtal_Prot#'!A:AL,10,FALSE)+8,1)</f>
        <v>V</v>
      </c>
      <c r="Z176" s="49" t="str">
        <f>MID(VLOOKUP($A176,Seqs!$A:$B,2,FALSE),VLOOKUP($A176,'SegEnds_NonXtal_Prot#'!A:AL,10,FALSE)+9,1)</f>
        <v>F</v>
      </c>
      <c r="AA176" s="49" t="str">
        <f>MID(VLOOKUP($A176,Seqs!$A:$B,2,FALSE),VLOOKUP($A176,'SegEnds_NonXtal_Prot#'!A:AL,10,FALSE)+10,1)</f>
        <v>A</v>
      </c>
      <c r="AB176" s="28" t="str">
        <f>MID(VLOOKUP($A176,Seqs!$A:$B,2,FALSE),VLOOKUP($A176,'SegEnds_NonXtal_Prot#'!$A:$AL,22,FALSE)+6,1)</f>
        <v>L</v>
      </c>
      <c r="AC176" s="49" t="str">
        <f>MID(VLOOKUP($A176,Seqs!$A:$B,2,FALSE),VLOOKUP($A176,'SegEnds_NonXtal_Prot#'!$A:$AL,22,FALSE)+7,1)</f>
        <v>T</v>
      </c>
      <c r="AD176" s="49" t="str">
        <f>MID(VLOOKUP($A176,Seqs!$A:$B,2,FALSE),VLOOKUP($A176,'SegEnds_NonXtal_Prot#'!$A:$AL,22,FALSE)+8,1)</f>
        <v>G</v>
      </c>
      <c r="AE176" s="49" t="str">
        <f>MID(VLOOKUP($A176,Seqs!$A:$B,2,FALSE),VLOOKUP($A176,'SegEnds_NonXtal_Prot#'!$A:$AL,22,FALSE)+9,1)</f>
        <v>I</v>
      </c>
      <c r="AF176" s="49" t="str">
        <f>MID(VLOOKUP($A176,Seqs!$A:$B,2,FALSE),VLOOKUP($A176,'SegEnds_NonXtal_Prot#'!$A:$AL,22,FALSE)+10,1)</f>
        <v>P</v>
      </c>
      <c r="AG176" s="28" t="str">
        <f>MID(VLOOKUP($A176,Seqs!$A:$B,2,FALSE),VLOOKUP($A176,'SegEnds_NonXtal_Prot#'!$A:$AL,28,FALSE)-4,1)</f>
        <v>V</v>
      </c>
      <c r="AH176" s="49" t="str">
        <f>MID(VLOOKUP($A176,Seqs!$A:$B,2,FALSE),VLOOKUP($A176,'SegEnds_NonXtal_Prot#'!$A:$AL,28,FALSE),1)</f>
        <v>P</v>
      </c>
    </row>
    <row r="177" spans="1:34" s="2" customFormat="1" x14ac:dyDescent="0.2">
      <c r="A177" s="2" t="s">
        <v>282</v>
      </c>
      <c r="B177" s="2" t="str">
        <f>LOWER(VLOOKUP(A177,Xtal_Templ!A:B,2,FALSE))</f>
        <v>oprk_human</v>
      </c>
      <c r="C177" s="2" t="str">
        <f>VLOOKUP(A177,Classification!A:D,2,FALSE)</f>
        <v>A</v>
      </c>
      <c r="D177" s="2" t="str">
        <f>IF(ISERROR(MATCH(A177,'SegEnds_Xtal_Prot#'!B:B, 0)), "NoXtal", "Xtal")</f>
        <v>NoXtal</v>
      </c>
      <c r="G177" s="2" t="s">
        <v>5</v>
      </c>
      <c r="H177" s="4"/>
      <c r="N177" s="2" t="s">
        <v>14</v>
      </c>
      <c r="R177" s="2" t="s">
        <v>9</v>
      </c>
      <c r="T177" s="4" t="s">
        <v>12</v>
      </c>
      <c r="V177" s="28" t="str">
        <f>MID(VLOOKUP($A177,Seqs!$A:$B,2,FALSE),VLOOKUP($A177,'SegEnds_NonXtal_Prot#'!A:AL,10,FALSE),1)</f>
        <v>D</v>
      </c>
      <c r="W177" s="49" t="str">
        <f>MID(VLOOKUP($A177,Seqs!$A:$B,2,FALSE),VLOOKUP($A177,'SegEnds_NonXtal_Prot#'!A:AL,10,FALSE)+6,1)</f>
        <v>C</v>
      </c>
      <c r="X177" s="49" t="str">
        <f>MID(VLOOKUP($A177,Seqs!$A:$B,2,FALSE),VLOOKUP($A177,'SegEnds_NonXtal_Prot#'!A:AL,10,FALSE)+7,1)</f>
        <v>C</v>
      </c>
      <c r="Y177" s="49" t="str">
        <f>MID(VLOOKUP($A177,Seqs!$A:$B,2,FALSE),VLOOKUP($A177,'SegEnds_NonXtal_Prot#'!A:AL,10,FALSE)+8,1)</f>
        <v>V</v>
      </c>
      <c r="Z177" s="49" t="str">
        <f>MID(VLOOKUP($A177,Seqs!$A:$B,2,FALSE),VLOOKUP($A177,'SegEnds_NonXtal_Prot#'!A:AL,10,FALSE)+9,1)</f>
        <v>P</v>
      </c>
      <c r="AA177" s="49" t="str">
        <f>MID(VLOOKUP($A177,Seqs!$A:$B,2,FALSE),VLOOKUP($A177,'SegEnds_NonXtal_Prot#'!A:AL,10,FALSE)+10,1)</f>
        <v>F</v>
      </c>
      <c r="AB177" s="28" t="str">
        <f>MID(VLOOKUP($A177,Seqs!$A:$B,2,FALSE),VLOOKUP($A177,'SegEnds_NonXtal_Prot#'!$A:$AL,22,FALSE)+6,1)</f>
        <v>V</v>
      </c>
      <c r="AC177" s="49" t="str">
        <f>MID(VLOOKUP($A177,Seqs!$A:$B,2,FALSE),VLOOKUP($A177,'SegEnds_NonXtal_Prot#'!$A:$AL,22,FALSE)+7,1)</f>
        <v>S</v>
      </c>
      <c r="AD177" s="49" t="str">
        <f>MID(VLOOKUP($A177,Seqs!$A:$B,2,FALSE),VLOOKUP($A177,'SegEnds_NonXtal_Prot#'!$A:$AL,22,FALSE)+8,1)</f>
        <v>A</v>
      </c>
      <c r="AE177" s="49" t="str">
        <f>MID(VLOOKUP($A177,Seqs!$A:$B,2,FALSE),VLOOKUP($A177,'SegEnds_NonXtal_Prot#'!$A:$AL,22,FALSE)+9,1)</f>
        <v>P</v>
      </c>
      <c r="AF177" s="49" t="str">
        <f>MID(VLOOKUP($A177,Seqs!$A:$B,2,FALSE),VLOOKUP($A177,'SegEnds_NonXtal_Prot#'!$A:$AL,22,FALSE)+10,1)</f>
        <v>V</v>
      </c>
      <c r="AG177" s="28" t="str">
        <f>MID(VLOOKUP($A177,Seqs!$A:$B,2,FALSE),VLOOKUP($A177,'SegEnds_NonXtal_Prot#'!$A:$AL,28,FALSE)-4,1)</f>
        <v>L</v>
      </c>
      <c r="AH177" s="49" t="str">
        <f>MID(VLOOKUP($A177,Seqs!$A:$B,2,FALSE),VLOOKUP($A177,'SegEnds_NonXtal_Prot#'!$A:$AL,28,FALSE),1)</f>
        <v>P</v>
      </c>
    </row>
    <row r="178" spans="1:34" s="2" customFormat="1" x14ac:dyDescent="0.2">
      <c r="A178" s="2" t="s">
        <v>299</v>
      </c>
      <c r="B178" s="2" t="str">
        <f>LOWER(VLOOKUP(A178,Xtal_Templ!A:B,2,FALSE))</f>
        <v>oprk_human</v>
      </c>
      <c r="C178" s="2" t="str">
        <f>VLOOKUP(A178,Classification!A:D,2,FALSE)</f>
        <v>A</v>
      </c>
      <c r="D178" s="2" t="str">
        <f>IF(ISERROR(MATCH(A178,'SegEnds_Xtal_Prot#'!B:B, 0)), "NoXtal", "Xtal")</f>
        <v>NoXtal</v>
      </c>
      <c r="H178" s="4"/>
      <c r="N178" s="2" t="s">
        <v>14</v>
      </c>
      <c r="R178" s="2" t="s">
        <v>9</v>
      </c>
      <c r="T178" s="4" t="s">
        <v>12</v>
      </c>
      <c r="V178" s="28" t="str">
        <f>MID(VLOOKUP($A178,Seqs!$A:$B,2,FALSE),VLOOKUP($A178,'SegEnds_NonXtal_Prot#'!A:AL,10,FALSE),1)</f>
        <v>D</v>
      </c>
      <c r="W178" s="49" t="str">
        <f>MID(VLOOKUP($A178,Seqs!$A:$B,2,FALSE),VLOOKUP($A178,'SegEnds_NonXtal_Prot#'!A:AL,10,FALSE)+6,1)</f>
        <v>G</v>
      </c>
      <c r="X178" s="49" t="str">
        <f>MID(VLOOKUP($A178,Seqs!$A:$B,2,FALSE),VLOOKUP($A178,'SegEnds_NonXtal_Prot#'!A:AL,10,FALSE)+7,1)</f>
        <v>M</v>
      </c>
      <c r="Y178" s="49" t="str">
        <f>MID(VLOOKUP($A178,Seqs!$A:$B,2,FALSE),VLOOKUP($A178,'SegEnds_NonXtal_Prot#'!A:AL,10,FALSE)+8,1)</f>
        <v>P</v>
      </c>
      <c r="Z178" s="49" t="str">
        <f>MID(VLOOKUP($A178,Seqs!$A:$B,2,FALSE),VLOOKUP($A178,'SegEnds_NonXtal_Prot#'!A:AL,10,FALSE)+9,1)</f>
        <v>F</v>
      </c>
      <c r="AA178" s="49" t="str">
        <f>MID(VLOOKUP($A178,Seqs!$A:$B,2,FALSE),VLOOKUP($A178,'SegEnds_NonXtal_Prot#'!A:AL,10,FALSE)+10,1)</f>
        <v>M</v>
      </c>
      <c r="AB178" s="28" t="str">
        <f>MID(VLOOKUP($A178,Seqs!$A:$B,2,FALSE),VLOOKUP($A178,'SegEnds_NonXtal_Prot#'!$A:$AL,22,FALSE)+6,1)</f>
        <v>S</v>
      </c>
      <c r="AC178" s="49" t="str">
        <f>MID(VLOOKUP($A178,Seqs!$A:$B,2,FALSE),VLOOKUP($A178,'SegEnds_NonXtal_Prot#'!$A:$AL,22,FALSE)+7,1)</f>
        <v>I</v>
      </c>
      <c r="AD178" s="49" t="str">
        <f>MID(VLOOKUP($A178,Seqs!$A:$B,2,FALSE),VLOOKUP($A178,'SegEnds_NonXtal_Prot#'!$A:$AL,22,FALSE)+8,1)</f>
        <v>T</v>
      </c>
      <c r="AE178" s="49" t="str">
        <f>MID(VLOOKUP($A178,Seqs!$A:$B,2,FALSE),VLOOKUP($A178,'SegEnds_NonXtal_Prot#'!$A:$AL,22,FALSE)+9,1)</f>
        <v>P</v>
      </c>
      <c r="AF178" s="49" t="str">
        <f>MID(VLOOKUP($A178,Seqs!$A:$B,2,FALSE),VLOOKUP($A178,'SegEnds_NonXtal_Prot#'!$A:$AL,22,FALSE)+10,1)</f>
        <v>V</v>
      </c>
      <c r="AG178" s="28" t="str">
        <f>MID(VLOOKUP($A178,Seqs!$A:$B,2,FALSE),VLOOKUP($A178,'SegEnds_NonXtal_Prot#'!$A:$AL,28,FALSE)-4,1)</f>
        <v>A</v>
      </c>
      <c r="AH178" s="49" t="str">
        <f>MID(VLOOKUP($A178,Seqs!$A:$B,2,FALSE),VLOOKUP($A178,'SegEnds_NonXtal_Prot#'!$A:$AL,28,FALSE),1)</f>
        <v>P</v>
      </c>
    </row>
    <row r="179" spans="1:34" s="2" customFormat="1" x14ac:dyDescent="0.2">
      <c r="A179" s="2" t="s">
        <v>320</v>
      </c>
      <c r="B179" s="2" t="str">
        <f>LOWER(VLOOKUP(A179,Xtal_Templ!A:B,2,FALSE))</f>
        <v>oprd_mouse</v>
      </c>
      <c r="C179" s="2" t="str">
        <f>VLOOKUP(A179,Classification!A:D,2,FALSE)</f>
        <v>A</v>
      </c>
      <c r="D179" s="2" t="str">
        <f>IF(ISERROR(MATCH(A179,'SegEnds_Xtal_Prot#'!B:B, 0)), "NoXtal", "Xtal")</f>
        <v>NoXtal</v>
      </c>
      <c r="H179" s="4"/>
      <c r="N179" s="2" t="s">
        <v>14</v>
      </c>
      <c r="R179" s="2" t="s">
        <v>9</v>
      </c>
      <c r="T179" s="4" t="s">
        <v>12</v>
      </c>
      <c r="V179" s="28" t="str">
        <f>MID(VLOOKUP($A179,Seqs!$A:$B,2,FALSE),VLOOKUP($A179,'SegEnds_NonXtal_Prot#'!A:AL,10,FALSE),1)</f>
        <v>D</v>
      </c>
      <c r="W179" s="49" t="str">
        <f>MID(VLOOKUP($A179,Seqs!$A:$B,2,FALSE),VLOOKUP($A179,'SegEnds_NonXtal_Prot#'!A:AL,10,FALSE)+6,1)</f>
        <v>V</v>
      </c>
      <c r="X179" s="49" t="str">
        <f>MID(VLOOKUP($A179,Seqs!$A:$B,2,FALSE),VLOOKUP($A179,'SegEnds_NonXtal_Prot#'!A:AL,10,FALSE)+7,1)</f>
        <v>L</v>
      </c>
      <c r="Y179" s="49" t="str">
        <f>MID(VLOOKUP($A179,Seqs!$A:$B,2,FALSE),VLOOKUP($A179,'SegEnds_NonXtal_Prot#'!A:AL,10,FALSE)+8,1)</f>
        <v>P</v>
      </c>
      <c r="Z179" s="49" t="str">
        <f>MID(VLOOKUP($A179,Seqs!$A:$B,2,FALSE),VLOOKUP($A179,'SegEnds_NonXtal_Prot#'!A:AL,10,FALSE)+9,1)</f>
        <v>I</v>
      </c>
      <c r="AA179" s="49" t="str">
        <f>MID(VLOOKUP($A179,Seqs!$A:$B,2,FALSE),VLOOKUP($A179,'SegEnds_NonXtal_Prot#'!A:AL,10,FALSE)+10,1)</f>
        <v>N</v>
      </c>
      <c r="AB179" s="28" t="str">
        <f>MID(VLOOKUP($A179,Seqs!$A:$B,2,FALSE),VLOOKUP($A179,'SegEnds_NonXtal_Prot#'!$A:$AL,22,FALSE)+6,1)</f>
        <v>V</v>
      </c>
      <c r="AC179" s="49" t="str">
        <f>MID(VLOOKUP($A179,Seqs!$A:$B,2,FALSE),VLOOKUP($A179,'SegEnds_NonXtal_Prot#'!$A:$AL,22,FALSE)+7,1)</f>
        <v>V</v>
      </c>
      <c r="AD179" s="49" t="str">
        <f>MID(VLOOKUP($A179,Seqs!$A:$B,2,FALSE),VLOOKUP($A179,'SegEnds_NonXtal_Prot#'!$A:$AL,22,FALSE)+8,1)</f>
        <v>L</v>
      </c>
      <c r="AE179" s="49" t="str">
        <f>MID(VLOOKUP($A179,Seqs!$A:$B,2,FALSE),VLOOKUP($A179,'SegEnds_NonXtal_Prot#'!$A:$AL,22,FALSE)+9,1)</f>
        <v>P</v>
      </c>
      <c r="AF179" s="49" t="str">
        <f>MID(VLOOKUP($A179,Seqs!$A:$B,2,FALSE),VLOOKUP($A179,'SegEnds_NonXtal_Prot#'!$A:$AL,22,FALSE)+10,1)</f>
        <v>F</v>
      </c>
      <c r="AG179" s="28" t="str">
        <f>MID(VLOOKUP($A179,Seqs!$A:$B,2,FALSE),VLOOKUP($A179,'SegEnds_NonXtal_Prot#'!$A:$AL,28,FALSE)-4,1)</f>
        <v>G</v>
      </c>
      <c r="AH179" s="49" t="str">
        <f>MID(VLOOKUP($A179,Seqs!$A:$B,2,FALSE),VLOOKUP($A179,'SegEnds_NonXtal_Prot#'!$A:$AL,28,FALSE),1)</f>
        <v>P</v>
      </c>
    </row>
    <row r="180" spans="1:34" s="2" customFormat="1" x14ac:dyDescent="0.2">
      <c r="A180" s="2" t="s">
        <v>1174</v>
      </c>
      <c r="B180" s="2" t="str">
        <f>LOWER(VLOOKUP(A180,Xtal_Templ!A:B,2,FALSE))</f>
        <v>oprx_human</v>
      </c>
      <c r="C180" s="2" t="str">
        <f>VLOOKUP(A180,Classification!A:D,2,FALSE)</f>
        <v>A</v>
      </c>
      <c r="D180" s="2" t="str">
        <f>IF(ISERROR(MATCH(A180,'SegEnds_Xtal_Prot#'!B:B, 0)), "NoXtal", "Xtal")</f>
        <v>Xtal</v>
      </c>
      <c r="H180" s="4"/>
      <c r="R180" s="2" t="s">
        <v>9</v>
      </c>
      <c r="T180" s="4" t="s">
        <v>12</v>
      </c>
      <c r="V180" s="28" t="str">
        <f>MID(VLOOKUP($A180,Seqs!$A:$B,2,FALSE),VLOOKUP($A180,'SegEnds_NonXtal_Prot#'!A:AL,10,FALSE),1)</f>
        <v>D</v>
      </c>
      <c r="W180" s="49" t="str">
        <f>MID(VLOOKUP($A180,Seqs!$A:$B,2,FALSE),VLOOKUP($A180,'SegEnds_NonXtal_Prot#'!A:AL,10,FALSE)+6,1)</f>
        <v>T</v>
      </c>
      <c r="X180" s="49" t="str">
        <f>MID(VLOOKUP($A180,Seqs!$A:$B,2,FALSE),VLOOKUP($A180,'SegEnds_NonXtal_Prot#'!A:AL,10,FALSE)+7,1)</f>
        <v>L</v>
      </c>
      <c r="Y180" s="49" t="str">
        <f>MID(VLOOKUP($A180,Seqs!$A:$B,2,FALSE),VLOOKUP($A180,'SegEnds_NonXtal_Prot#'!A:AL,10,FALSE)+8,1)</f>
        <v>P</v>
      </c>
      <c r="Z180" s="49" t="str">
        <f>MID(VLOOKUP($A180,Seqs!$A:$B,2,FALSE),VLOOKUP($A180,'SegEnds_NonXtal_Prot#'!A:AL,10,FALSE)+9,1)</f>
        <v>F</v>
      </c>
      <c r="AA180" s="49" t="str">
        <f>MID(VLOOKUP($A180,Seqs!$A:$B,2,FALSE),VLOOKUP($A180,'SegEnds_NonXtal_Prot#'!A:AL,10,FALSE)+10,1)</f>
        <v>Q</v>
      </c>
      <c r="AB180" s="28" t="str">
        <f>MID(VLOOKUP($A180,Seqs!$A:$B,2,FALSE),VLOOKUP($A180,'SegEnds_NonXtal_Prot#'!$A:$AL,22,FALSE)+6,1)</f>
        <v>V</v>
      </c>
      <c r="AC180" s="49" t="str">
        <f>MID(VLOOKUP($A180,Seqs!$A:$B,2,FALSE),VLOOKUP($A180,'SegEnds_NonXtal_Prot#'!$A:$AL,22,FALSE)+7,1)</f>
        <v>G</v>
      </c>
      <c r="AD180" s="49" t="str">
        <f>MID(VLOOKUP($A180,Seqs!$A:$B,2,FALSE),VLOOKUP($A180,'SegEnds_NonXtal_Prot#'!$A:$AL,22,FALSE)+8,1)</f>
        <v>V</v>
      </c>
      <c r="AE180" s="49" t="str">
        <f>MID(VLOOKUP($A180,Seqs!$A:$B,2,FALSE),VLOOKUP($A180,'SegEnds_NonXtal_Prot#'!$A:$AL,22,FALSE)+9,1)</f>
        <v>P</v>
      </c>
      <c r="AF180" s="49" t="str">
        <f>MID(VLOOKUP($A180,Seqs!$A:$B,2,FALSE),VLOOKUP($A180,'SegEnds_NonXtal_Prot#'!$A:$AL,22,FALSE)+10,1)</f>
        <v>V</v>
      </c>
      <c r="AG180" s="28" t="str">
        <f>MID(VLOOKUP($A180,Seqs!$A:$B,2,FALSE),VLOOKUP($A180,'SegEnds_NonXtal_Prot#'!$A:$AL,28,FALSE)-4,1)</f>
        <v>S</v>
      </c>
      <c r="AH180" s="49" t="str">
        <f>MID(VLOOKUP($A180,Seqs!$A:$B,2,FALSE),VLOOKUP($A180,'SegEnds_NonXtal_Prot#'!$A:$AL,28,FALSE),1)</f>
        <v>P</v>
      </c>
    </row>
    <row r="181" spans="1:34" s="2" customFormat="1" x14ac:dyDescent="0.2">
      <c r="A181" s="2" t="s">
        <v>383</v>
      </c>
      <c r="B181" s="2" t="str">
        <f>LOWER(VLOOKUP(A181,Xtal_Templ!A:B,2,FALSE))</f>
        <v>oprk_human</v>
      </c>
      <c r="C181" s="2" t="str">
        <f>VLOOKUP(A181,Classification!A:D,2,FALSE)</f>
        <v>A</v>
      </c>
      <c r="D181" s="2" t="str">
        <f>IF(ISERROR(MATCH(A181,'SegEnds_Xtal_Prot#'!B:B, 0)), "NoXtal", "Xtal")</f>
        <v>NoXtal</v>
      </c>
      <c r="H181" s="4"/>
      <c r="N181" s="2" t="s">
        <v>14</v>
      </c>
      <c r="R181" s="2" t="s">
        <v>9</v>
      </c>
      <c r="T181" s="4" t="s">
        <v>12</v>
      </c>
      <c r="V181" s="28" t="str">
        <f>MID(VLOOKUP($A181,Seqs!$A:$B,2,FALSE),VLOOKUP($A181,'SegEnds_NonXtal_Prot#'!A:AL,10,FALSE),1)</f>
        <v>D</v>
      </c>
      <c r="W181" s="49" t="str">
        <f>MID(VLOOKUP($A181,Seqs!$A:$B,2,FALSE),VLOOKUP($A181,'SegEnds_NonXtal_Prot#'!A:AL,10,FALSE)+6,1)</f>
        <v>G</v>
      </c>
      <c r="X181" s="49" t="str">
        <f>MID(VLOOKUP($A181,Seqs!$A:$B,2,FALSE),VLOOKUP($A181,'SegEnds_NonXtal_Prot#'!A:AL,10,FALSE)+7,1)</f>
        <v>L</v>
      </c>
      <c r="Y181" s="49" t="str">
        <f>MID(VLOOKUP($A181,Seqs!$A:$B,2,FALSE),VLOOKUP($A181,'SegEnds_NonXtal_Prot#'!A:AL,10,FALSE)+8,1)</f>
        <v>P</v>
      </c>
      <c r="Z181" s="49" t="str">
        <f>MID(VLOOKUP($A181,Seqs!$A:$B,2,FALSE),VLOOKUP($A181,'SegEnds_NonXtal_Prot#'!A:AL,10,FALSE)+9,1)</f>
        <v>F</v>
      </c>
      <c r="AA181" s="49" t="str">
        <f>MID(VLOOKUP($A181,Seqs!$A:$B,2,FALSE),VLOOKUP($A181,'SegEnds_NonXtal_Prot#'!A:AL,10,FALSE)+10,1)</f>
        <v>L</v>
      </c>
      <c r="AB181" s="28" t="str">
        <f>MID(VLOOKUP($A181,Seqs!$A:$B,2,FALSE),VLOOKUP($A181,'SegEnds_NonXtal_Prot#'!$A:$AL,22,FALSE)+6,1)</f>
        <v>V</v>
      </c>
      <c r="AC181" s="49" t="str">
        <f>MID(VLOOKUP($A181,Seqs!$A:$B,2,FALSE),VLOOKUP($A181,'SegEnds_NonXtal_Prot#'!$A:$AL,22,FALSE)+7,1)</f>
        <v>V</v>
      </c>
      <c r="AD181" s="49" t="str">
        <f>MID(VLOOKUP($A181,Seqs!$A:$B,2,FALSE),VLOOKUP($A181,'SegEnds_NonXtal_Prot#'!$A:$AL,22,FALSE)+8,1)</f>
        <v>L</v>
      </c>
      <c r="AE181" s="49" t="str">
        <f>MID(VLOOKUP($A181,Seqs!$A:$B,2,FALSE),VLOOKUP($A181,'SegEnds_NonXtal_Prot#'!$A:$AL,22,FALSE)+9,1)</f>
        <v>P</v>
      </c>
      <c r="AF181" s="49" t="str">
        <f>MID(VLOOKUP($A181,Seqs!$A:$B,2,FALSE),VLOOKUP($A181,'SegEnds_NonXtal_Prot#'!$A:$AL,22,FALSE)+10,1)</f>
        <v>V</v>
      </c>
      <c r="AG181" s="28" t="str">
        <f>MID(VLOOKUP($A181,Seqs!$A:$B,2,FALSE),VLOOKUP($A181,'SegEnds_NonXtal_Prot#'!$A:$AL,28,FALSE)-4,1)</f>
        <v>G</v>
      </c>
      <c r="AH181" s="49" t="str">
        <f>MID(VLOOKUP($A181,Seqs!$A:$B,2,FALSE),VLOOKUP($A181,'SegEnds_NonXtal_Prot#'!$A:$AL,28,FALSE),1)</f>
        <v>P</v>
      </c>
    </row>
    <row r="182" spans="1:34" s="2" customFormat="1" x14ac:dyDescent="0.2">
      <c r="A182" s="2" t="s">
        <v>394</v>
      </c>
      <c r="B182" s="2" t="str">
        <f>LOWER(VLOOKUP(A182,Xtal_Templ!A:B,2,FALSE))</f>
        <v>oprx_human</v>
      </c>
      <c r="C182" s="2" t="str">
        <f>VLOOKUP(A182,Classification!A:D,2,FALSE)</f>
        <v>A</v>
      </c>
      <c r="D182" s="2" t="str">
        <f>IF(ISERROR(MATCH(A182,'SegEnds_Xtal_Prot#'!B:B, 0)), "NoXtal", "Xtal")</f>
        <v>NoXtal</v>
      </c>
      <c r="H182" s="4"/>
      <c r="T182" s="4" t="s">
        <v>12</v>
      </c>
      <c r="V182" s="28" t="str">
        <f>MID(VLOOKUP($A182,Seqs!$A:$B,2,FALSE),VLOOKUP($A182,'SegEnds_NonXtal_Prot#'!A:AL,10,FALSE),1)</f>
        <v>D</v>
      </c>
      <c r="W182" s="49" t="str">
        <f>MID(VLOOKUP($A182,Seqs!$A:$B,2,FALSE),VLOOKUP($A182,'SegEnds_NonXtal_Prot#'!A:AL,10,FALSE)+6,1)</f>
        <v>A</v>
      </c>
      <c r="X182" s="49" t="str">
        <f>MID(VLOOKUP($A182,Seqs!$A:$B,2,FALSE),VLOOKUP($A182,'SegEnds_NonXtal_Prot#'!A:AL,10,FALSE)+7,1)</f>
        <v>A</v>
      </c>
      <c r="Y182" s="49" t="str">
        <f>MID(VLOOKUP($A182,Seqs!$A:$B,2,FALSE),VLOOKUP($A182,'SegEnds_NonXtal_Prot#'!A:AL,10,FALSE)+8,1)</f>
        <v>G</v>
      </c>
      <c r="Z182" s="49" t="str">
        <f>MID(VLOOKUP($A182,Seqs!$A:$B,2,FALSE),VLOOKUP($A182,'SegEnds_NonXtal_Prot#'!A:AL,10,FALSE)+9,1)</f>
        <v>L</v>
      </c>
      <c r="AA182" s="49" t="str">
        <f>MID(VLOOKUP($A182,Seqs!$A:$B,2,FALSE),VLOOKUP($A182,'SegEnds_NonXtal_Prot#'!A:AL,10,FALSE)+10,1)</f>
        <v>P</v>
      </c>
      <c r="AB182" s="28" t="str">
        <f>MID(VLOOKUP($A182,Seqs!$A:$B,2,FALSE),VLOOKUP($A182,'SegEnds_NonXtal_Prot#'!$A:$AL,22,FALSE)+6,1)</f>
        <v>Y</v>
      </c>
      <c r="AC182" s="49" t="str">
        <f>MID(VLOOKUP($A182,Seqs!$A:$B,2,FALSE),VLOOKUP($A182,'SegEnds_NonXtal_Prot#'!$A:$AL,22,FALSE)+7,1)</f>
        <v>C</v>
      </c>
      <c r="AD182" s="49" t="str">
        <f>MID(VLOOKUP($A182,Seqs!$A:$B,2,FALSE),VLOOKUP($A182,'SegEnds_NonXtal_Prot#'!$A:$AL,22,FALSE)+8,1)</f>
        <v>M</v>
      </c>
      <c r="AE182" s="49" t="str">
        <f>MID(VLOOKUP($A182,Seqs!$A:$B,2,FALSE),VLOOKUP($A182,'SegEnds_NonXtal_Prot#'!$A:$AL,22,FALSE)+9,1)</f>
        <v>L</v>
      </c>
      <c r="AF182" s="49" t="str">
        <f>MID(VLOOKUP($A182,Seqs!$A:$B,2,FALSE),VLOOKUP($A182,'SegEnds_NonXtal_Prot#'!$A:$AL,22,FALSE)+10,1)</f>
        <v>W</v>
      </c>
      <c r="AG182" s="28" t="str">
        <f>MID(VLOOKUP($A182,Seqs!$A:$B,2,FALSE),VLOOKUP($A182,'SegEnds_NonXtal_Prot#'!$A:$AL,28,FALSE)-4,1)</f>
        <v>F</v>
      </c>
      <c r="AH182" s="49" t="str">
        <f>MID(VLOOKUP($A182,Seqs!$A:$B,2,FALSE),VLOOKUP($A182,'SegEnds_NonXtal_Prot#'!$A:$AL,28,FALSE),1)</f>
        <v>P</v>
      </c>
    </row>
    <row r="183" spans="1:34" s="2" customFormat="1" x14ac:dyDescent="0.2">
      <c r="A183" s="2" t="s">
        <v>396</v>
      </c>
      <c r="B183" s="2" t="str">
        <f>LOWER(VLOOKUP(A183,Xtal_Templ!A:B,2,FALSE))</f>
        <v>adrb2_human</v>
      </c>
      <c r="C183" s="2" t="str">
        <f>VLOOKUP(A183,Classification!A:D,2,FALSE)</f>
        <v>A</v>
      </c>
      <c r="D183" s="2" t="str">
        <f>IF(ISERROR(MATCH(A183,'SegEnds_Xtal_Prot#'!B:B, 0)), "NoXtal", "Xtal")</f>
        <v>NoXtal</v>
      </c>
      <c r="H183" s="4"/>
      <c r="N183" s="2" t="s">
        <v>14</v>
      </c>
      <c r="R183" s="2" t="s">
        <v>9</v>
      </c>
      <c r="T183" s="4" t="s">
        <v>12</v>
      </c>
      <c r="V183" s="28" t="str">
        <f>MID(VLOOKUP($A183,Seqs!$A:$B,2,FALSE),VLOOKUP($A183,'SegEnds_NonXtal_Prot#'!A:AL,10,FALSE),1)</f>
        <v>D</v>
      </c>
      <c r="W183" s="49" t="str">
        <f>MID(VLOOKUP($A183,Seqs!$A:$B,2,FALSE),VLOOKUP($A183,'SegEnds_NonXtal_Prot#'!A:AL,10,FALSE)+6,1)</f>
        <v>S</v>
      </c>
      <c r="X183" s="49" t="str">
        <f>MID(VLOOKUP($A183,Seqs!$A:$B,2,FALSE),VLOOKUP($A183,'SegEnds_NonXtal_Prot#'!A:AL,10,FALSE)+7,1)</f>
        <v>I</v>
      </c>
      <c r="Y183" s="49" t="str">
        <f>MID(VLOOKUP($A183,Seqs!$A:$B,2,FALSE),VLOOKUP($A183,'SegEnds_NonXtal_Prot#'!A:AL,10,FALSE)+8,1)</f>
        <v>P</v>
      </c>
      <c r="Z183" s="49" t="str">
        <f>MID(VLOOKUP($A183,Seqs!$A:$B,2,FALSE),VLOOKUP($A183,'SegEnds_NonXtal_Prot#'!A:AL,10,FALSE)+9,1)</f>
        <v>F</v>
      </c>
      <c r="AA183" s="49" t="str">
        <f>MID(VLOOKUP($A183,Seqs!$A:$B,2,FALSE),VLOOKUP($A183,'SegEnds_NonXtal_Prot#'!A:AL,10,FALSE)+10,1)</f>
        <v>I</v>
      </c>
      <c r="AB183" s="28" t="str">
        <f>MID(VLOOKUP($A183,Seqs!$A:$B,2,FALSE),VLOOKUP($A183,'SegEnds_NonXtal_Prot#'!$A:$AL,22,FALSE)+6,1)</f>
        <v>L</v>
      </c>
      <c r="AC183" s="49" t="str">
        <f>MID(VLOOKUP($A183,Seqs!$A:$B,2,FALSE),VLOOKUP($A183,'SegEnds_NonXtal_Prot#'!$A:$AL,22,FALSE)+7,1)</f>
        <v>T</v>
      </c>
      <c r="AD183" s="49" t="str">
        <f>MID(VLOOKUP($A183,Seqs!$A:$B,2,FALSE),VLOOKUP($A183,'SegEnds_NonXtal_Prot#'!$A:$AL,22,FALSE)+8,1)</f>
        <v>L</v>
      </c>
      <c r="AE183" s="49" t="str">
        <f>MID(VLOOKUP($A183,Seqs!$A:$B,2,FALSE),VLOOKUP($A183,'SegEnds_NonXtal_Prot#'!$A:$AL,22,FALSE)+9,1)</f>
        <v>P</v>
      </c>
      <c r="AF183" s="49" t="str">
        <f>MID(VLOOKUP($A183,Seqs!$A:$B,2,FALSE),VLOOKUP($A183,'SegEnds_NonXtal_Prot#'!$A:$AL,22,FALSE)+10,1)</f>
        <v>V</v>
      </c>
      <c r="AG183" s="28" t="str">
        <f>MID(VLOOKUP($A183,Seqs!$A:$B,2,FALSE),VLOOKUP($A183,'SegEnds_NonXtal_Prot#'!$A:$AL,28,FALSE)-4,1)</f>
        <v>S</v>
      </c>
      <c r="AH183" s="49" t="str">
        <f>MID(VLOOKUP($A183,Seqs!$A:$B,2,FALSE),VLOOKUP($A183,'SegEnds_NonXtal_Prot#'!$A:$AL,28,FALSE),1)</f>
        <v>P</v>
      </c>
    </row>
    <row r="184" spans="1:34" s="2" customFormat="1" x14ac:dyDescent="0.2">
      <c r="A184" s="2" t="s">
        <v>398</v>
      </c>
      <c r="B184" s="2" t="str">
        <f>LOWER(VLOOKUP(A184,Xtal_Templ!A:B,2,FALSE))</f>
        <v>ntr1_rat</v>
      </c>
      <c r="C184" s="2" t="str">
        <f>VLOOKUP(A184,Classification!A:D,2,FALSE)</f>
        <v>A</v>
      </c>
      <c r="D184" s="2" t="str">
        <f>IF(ISERROR(MATCH(A184,'SegEnds_Xtal_Prot#'!B:B, 0)), "NoXtal", "Xtal")</f>
        <v>NoXtal</v>
      </c>
      <c r="H184" s="4"/>
      <c r="N184" s="2" t="s">
        <v>14</v>
      </c>
      <c r="R184" s="2" t="s">
        <v>9</v>
      </c>
      <c r="T184" s="4" t="s">
        <v>12</v>
      </c>
      <c r="V184" s="28" t="str">
        <f>MID(VLOOKUP($A184,Seqs!$A:$B,2,FALSE),VLOOKUP($A184,'SegEnds_NonXtal_Prot#'!A:AL,10,FALSE),1)</f>
        <v>D</v>
      </c>
      <c r="W184" s="49" t="str">
        <f>MID(VLOOKUP($A184,Seqs!$A:$B,2,FALSE),VLOOKUP($A184,'SegEnds_NonXtal_Prot#'!A:AL,10,FALSE)+6,1)</f>
        <v>F</v>
      </c>
      <c r="X184" s="49" t="str">
        <f>MID(VLOOKUP($A184,Seqs!$A:$B,2,FALSE),VLOOKUP($A184,'SegEnds_NonXtal_Prot#'!A:AL,10,FALSE)+7,1)</f>
        <v>Q</v>
      </c>
      <c r="Y184" s="49" t="str">
        <f>MID(VLOOKUP($A184,Seqs!$A:$B,2,FALSE),VLOOKUP($A184,'SegEnds_NonXtal_Prot#'!A:AL,10,FALSE)+8,1)</f>
        <v>V</v>
      </c>
      <c r="Z184" s="49" t="str">
        <f>MID(VLOOKUP($A184,Seqs!$A:$B,2,FALSE),VLOOKUP($A184,'SegEnds_NonXtal_Prot#'!A:AL,10,FALSE)+9,1)</f>
        <v>L</v>
      </c>
      <c r="AA184" s="49" t="str">
        <f>MID(VLOOKUP($A184,Seqs!$A:$B,2,FALSE),VLOOKUP($A184,'SegEnds_NonXtal_Prot#'!A:AL,10,FALSE)+10,1)</f>
        <v>P</v>
      </c>
      <c r="AB184" s="28" t="str">
        <f>MID(VLOOKUP($A184,Seqs!$A:$B,2,FALSE),VLOOKUP($A184,'SegEnds_NonXtal_Prot#'!$A:$AL,22,FALSE)+6,1)</f>
        <v>F</v>
      </c>
      <c r="AC184" s="49" t="str">
        <f>MID(VLOOKUP($A184,Seqs!$A:$B,2,FALSE),VLOOKUP($A184,'SegEnds_NonXtal_Prot#'!$A:$AL,22,FALSE)+7,1)</f>
        <v>S</v>
      </c>
      <c r="AD184" s="49" t="str">
        <f>MID(VLOOKUP($A184,Seqs!$A:$B,2,FALSE),VLOOKUP($A184,'SegEnds_NonXtal_Prot#'!$A:$AL,22,FALSE)+8,1)</f>
        <v>L</v>
      </c>
      <c r="AE184" s="49" t="str">
        <f>MID(VLOOKUP($A184,Seqs!$A:$B,2,FALSE),VLOOKUP($A184,'SegEnds_NonXtal_Prot#'!$A:$AL,22,FALSE)+9,1)</f>
        <v>P</v>
      </c>
      <c r="AF184" s="49" t="str">
        <f>MID(VLOOKUP($A184,Seqs!$A:$B,2,FALSE),VLOOKUP($A184,'SegEnds_NonXtal_Prot#'!$A:$AL,22,FALSE)+10,1)</f>
        <v>Q</v>
      </c>
      <c r="AG184" s="28" t="str">
        <f>MID(VLOOKUP($A184,Seqs!$A:$B,2,FALSE),VLOOKUP($A184,'SegEnds_NonXtal_Prot#'!$A:$AL,28,FALSE)-4,1)</f>
        <v>I</v>
      </c>
      <c r="AH184" s="49" t="str">
        <f>MID(VLOOKUP($A184,Seqs!$A:$B,2,FALSE),VLOOKUP($A184,'SegEnds_NonXtal_Prot#'!$A:$AL,28,FALSE),1)</f>
        <v>P</v>
      </c>
    </row>
    <row r="185" spans="1:34" s="2" customFormat="1" x14ac:dyDescent="0.2">
      <c r="A185" s="2" t="s">
        <v>399</v>
      </c>
      <c r="B185" s="2" t="str">
        <f>LOWER(VLOOKUP(A185,Xtal_Templ!A:B,2,FALSE))</f>
        <v>ntr1_rat</v>
      </c>
      <c r="C185" s="2" t="str">
        <f>VLOOKUP(A185,Classification!A:D,2,FALSE)</f>
        <v>A</v>
      </c>
      <c r="D185" s="2" t="str">
        <f>IF(ISERROR(MATCH(A185,'SegEnds_Xtal_Prot#'!B:B, 0)), "NoXtal", "Xtal")</f>
        <v>NoXtal</v>
      </c>
      <c r="H185" s="4"/>
      <c r="N185" s="2" t="s">
        <v>14</v>
      </c>
      <c r="R185" s="2" t="s">
        <v>9</v>
      </c>
      <c r="T185" s="4" t="s">
        <v>12</v>
      </c>
      <c r="V185" s="28" t="str">
        <f>MID(VLOOKUP($A185,Seqs!$A:$B,2,FALSE),VLOOKUP($A185,'SegEnds_NonXtal_Prot#'!A:AL,10,FALSE),1)</f>
        <v>D</v>
      </c>
      <c r="W185" s="49" t="str">
        <f>MID(VLOOKUP($A185,Seqs!$A:$B,2,FALSE),VLOOKUP($A185,'SegEnds_NonXtal_Prot#'!A:AL,10,FALSE)+6,1)</f>
        <v>F</v>
      </c>
      <c r="X185" s="49" t="str">
        <f>MID(VLOOKUP($A185,Seqs!$A:$B,2,FALSE),VLOOKUP($A185,'SegEnds_NonXtal_Prot#'!A:AL,10,FALSE)+7,1)</f>
        <v>Q</v>
      </c>
      <c r="Y185" s="49" t="str">
        <f>MID(VLOOKUP($A185,Seqs!$A:$B,2,FALSE),VLOOKUP($A185,'SegEnds_NonXtal_Prot#'!A:AL,10,FALSE)+8,1)</f>
        <v>V</v>
      </c>
      <c r="Z185" s="49" t="str">
        <f>MID(VLOOKUP($A185,Seqs!$A:$B,2,FALSE),VLOOKUP($A185,'SegEnds_NonXtal_Prot#'!A:AL,10,FALSE)+9,1)</f>
        <v>L</v>
      </c>
      <c r="AA185" s="49" t="str">
        <f>MID(VLOOKUP($A185,Seqs!$A:$B,2,FALSE),VLOOKUP($A185,'SegEnds_NonXtal_Prot#'!A:AL,10,FALSE)+10,1)</f>
        <v>P</v>
      </c>
      <c r="AB185" s="28" t="str">
        <f>MID(VLOOKUP($A185,Seqs!$A:$B,2,FALSE),VLOOKUP($A185,'SegEnds_NonXtal_Prot#'!$A:$AL,22,FALSE)+6,1)</f>
        <v>L</v>
      </c>
      <c r="AC185" s="49" t="str">
        <f>MID(VLOOKUP($A185,Seqs!$A:$B,2,FALSE),VLOOKUP($A185,'SegEnds_NonXtal_Prot#'!$A:$AL,22,FALSE)+7,1)</f>
        <v>S</v>
      </c>
      <c r="AD185" s="49" t="str">
        <f>MID(VLOOKUP($A185,Seqs!$A:$B,2,FALSE),VLOOKUP($A185,'SegEnds_NonXtal_Prot#'!$A:$AL,22,FALSE)+8,1)</f>
        <v>L</v>
      </c>
      <c r="AE185" s="49" t="str">
        <f>MID(VLOOKUP($A185,Seqs!$A:$B,2,FALSE),VLOOKUP($A185,'SegEnds_NonXtal_Prot#'!$A:$AL,22,FALSE)+9,1)</f>
        <v>P</v>
      </c>
      <c r="AF185" s="49" t="str">
        <f>MID(VLOOKUP($A185,Seqs!$A:$B,2,FALSE),VLOOKUP($A185,'SegEnds_NonXtal_Prot#'!$A:$AL,22,FALSE)+10,1)</f>
        <v>Q</v>
      </c>
      <c r="AG185" s="28" t="str">
        <f>MID(VLOOKUP($A185,Seqs!$A:$B,2,FALSE),VLOOKUP($A185,'SegEnds_NonXtal_Prot#'!$A:$AL,28,FALSE)-4,1)</f>
        <v>V</v>
      </c>
      <c r="AH185" s="49" t="str">
        <f>MID(VLOOKUP($A185,Seqs!$A:$B,2,FALSE),VLOOKUP($A185,'SegEnds_NonXtal_Prot#'!$A:$AL,28,FALSE),1)</f>
        <v>P</v>
      </c>
    </row>
    <row r="186" spans="1:34" s="2" customFormat="1" x14ac:dyDescent="0.2">
      <c r="A186" s="2" t="s">
        <v>332</v>
      </c>
      <c r="B186" s="2" t="str">
        <f>LOWER(VLOOKUP(A186,Xtal_Templ!A:B,2,FALSE))</f>
        <v>opsd_bovin</v>
      </c>
      <c r="C186" s="2" t="str">
        <f>VLOOKUP(A186,Classification!A:D,2,FALSE)</f>
        <v>A</v>
      </c>
      <c r="D186" s="2" t="str">
        <f>IF(ISERROR(MATCH(A186,'SegEnds_Xtal_Prot#'!B:B, 0)), "NoXtal", "Xtal")</f>
        <v>NoXtal</v>
      </c>
      <c r="G186" s="2" t="s">
        <v>5</v>
      </c>
      <c r="H186" s="4"/>
      <c r="R186" s="2" t="s">
        <v>9</v>
      </c>
      <c r="T186" s="4" t="s">
        <v>12</v>
      </c>
      <c r="V186" s="28" t="str">
        <f>MID(VLOOKUP($A186,Seqs!$A:$B,2,FALSE),VLOOKUP($A186,'SegEnds_NonXtal_Prot#'!A:AL,10,FALSE),1)</f>
        <v>D</v>
      </c>
      <c r="W186" s="49" t="str">
        <f>MID(VLOOKUP($A186,Seqs!$A:$B,2,FALSE),VLOOKUP($A186,'SegEnds_NonXtal_Prot#'!A:AL,10,FALSE)+6,1)</f>
        <v>F</v>
      </c>
      <c r="X186" s="49" t="str">
        <f>MID(VLOOKUP($A186,Seqs!$A:$B,2,FALSE),VLOOKUP($A186,'SegEnds_NonXtal_Prot#'!A:AL,10,FALSE)+7,1)</f>
        <v>G</v>
      </c>
      <c r="Y186" s="49" t="str">
        <f>MID(VLOOKUP($A186,Seqs!$A:$B,2,FALSE),VLOOKUP($A186,'SegEnds_NonXtal_Prot#'!A:AL,10,FALSE)+8,1)</f>
        <v>V</v>
      </c>
      <c r="Z186" s="49" t="str">
        <f>MID(VLOOKUP($A186,Seqs!$A:$B,2,FALSE),VLOOKUP($A186,'SegEnds_NonXtal_Prot#'!A:AL,10,FALSE)+9,1)</f>
        <v>T</v>
      </c>
      <c r="AA186" s="49" t="str">
        <f>MID(VLOOKUP($A186,Seqs!$A:$B,2,FALSE),VLOOKUP($A186,'SegEnds_NonXtal_Prot#'!A:AL,10,FALSE)+10,1)</f>
        <v>F</v>
      </c>
      <c r="AB186" s="28" t="str">
        <f>MID(VLOOKUP($A186,Seqs!$A:$B,2,FALSE),VLOOKUP($A186,'SegEnds_NonXtal_Prot#'!$A:$AL,22,FALSE)+6,1)</f>
        <v>W</v>
      </c>
      <c r="AC186" s="49" t="str">
        <f>MID(VLOOKUP($A186,Seqs!$A:$B,2,FALSE),VLOOKUP($A186,'SegEnds_NonXtal_Prot#'!$A:$AL,22,FALSE)+7,1)</f>
        <v>A</v>
      </c>
      <c r="AD186" s="49" t="str">
        <f>MID(VLOOKUP($A186,Seqs!$A:$B,2,FALSE),VLOOKUP($A186,'SegEnds_NonXtal_Prot#'!$A:$AL,22,FALSE)+8,1)</f>
        <v>G</v>
      </c>
      <c r="AE186" s="49" t="str">
        <f>MID(VLOOKUP($A186,Seqs!$A:$B,2,FALSE),VLOOKUP($A186,'SegEnds_NonXtal_Prot#'!$A:$AL,22,FALSE)+9,1)</f>
        <v>A</v>
      </c>
      <c r="AF186" s="49" t="str">
        <f>MID(VLOOKUP($A186,Seqs!$A:$B,2,FALSE),VLOOKUP($A186,'SegEnds_NonXtal_Prot#'!$A:$AL,22,FALSE)+10,1)</f>
        <v>P</v>
      </c>
      <c r="AG186" s="28" t="str">
        <f>MID(VLOOKUP($A186,Seqs!$A:$B,2,FALSE),VLOOKUP($A186,'SegEnds_NonXtal_Prot#'!$A:$AL,28,FALSE)-4,1)</f>
        <v>C</v>
      </c>
      <c r="AH186" s="49" t="str">
        <f>MID(VLOOKUP($A186,Seqs!$A:$B,2,FALSE),VLOOKUP($A186,'SegEnds_NonXtal_Prot#'!$A:$AL,28,FALSE),1)</f>
        <v>P</v>
      </c>
    </row>
    <row r="187" spans="1:34" s="2" customFormat="1" x14ac:dyDescent="0.2">
      <c r="A187" s="2" t="s">
        <v>333</v>
      </c>
      <c r="B187" s="2" t="s">
        <v>920</v>
      </c>
      <c r="C187" s="2" t="str">
        <f>VLOOKUP(A187,Classification!A:D,2,FALSE)</f>
        <v>A</v>
      </c>
      <c r="D187" s="2" t="str">
        <f>IF(ISERROR(MATCH(A187,'SegEnds_Xtal_Prot#'!B:B, 0)), "NoXtal", "Xtal")</f>
        <v>NoXtal</v>
      </c>
      <c r="G187" s="2" t="s">
        <v>5</v>
      </c>
      <c r="H187" s="4"/>
      <c r="R187" s="2" t="s">
        <v>9</v>
      </c>
      <c r="T187" s="4" t="s">
        <v>12</v>
      </c>
      <c r="V187" s="28" t="str">
        <f>MID(VLOOKUP($A187,Seqs!$A:$B,2,FALSE),VLOOKUP($A187,'SegEnds_NonXtal_Prot#'!A:AL,10,FALSE),1)</f>
        <v>D</v>
      </c>
      <c r="W187" s="49" t="str">
        <f>MID(VLOOKUP($A187,Seqs!$A:$B,2,FALSE),VLOOKUP($A187,'SegEnds_NonXtal_Prot#'!A:AL,10,FALSE)+6,1)</f>
        <v>T</v>
      </c>
      <c r="X187" s="49" t="str">
        <f>MID(VLOOKUP($A187,Seqs!$A:$B,2,FALSE),VLOOKUP($A187,'SegEnds_NonXtal_Prot#'!A:AL,10,FALSE)+7,1)</f>
        <v>Q</v>
      </c>
      <c r="Y187" s="49" t="str">
        <f>MID(VLOOKUP($A187,Seqs!$A:$B,2,FALSE),VLOOKUP($A187,'SegEnds_NonXtal_Prot#'!A:AL,10,FALSE)+8,1)</f>
        <v>A</v>
      </c>
      <c r="Z187" s="49" t="str">
        <f>MID(VLOOKUP($A187,Seqs!$A:$B,2,FALSE),VLOOKUP($A187,'SegEnds_NonXtal_Prot#'!A:AL,10,FALSE)+9,1)</f>
        <v>P</v>
      </c>
      <c r="AA187" s="49" t="str">
        <f>MID(VLOOKUP($A187,Seqs!$A:$B,2,FALSE),VLOOKUP($A187,'SegEnds_NonXtal_Prot#'!A:AL,10,FALSE)+10,1)</f>
        <v>V</v>
      </c>
      <c r="AB187" s="28" t="str">
        <f>MID(VLOOKUP($A187,Seqs!$A:$B,2,FALSE),VLOOKUP($A187,'SegEnds_NonXtal_Prot#'!$A:$AL,22,FALSE)+6,1)</f>
        <v>W</v>
      </c>
      <c r="AC187" s="49" t="str">
        <f>MID(VLOOKUP($A187,Seqs!$A:$B,2,FALSE),VLOOKUP($A187,'SegEnds_NonXtal_Prot#'!$A:$AL,22,FALSE)+7,1)</f>
        <v>S</v>
      </c>
      <c r="AD187" s="49" t="str">
        <f>MID(VLOOKUP($A187,Seqs!$A:$B,2,FALSE),VLOOKUP($A187,'SegEnds_NonXtal_Prot#'!$A:$AL,22,FALSE)+8,1)</f>
        <v>L</v>
      </c>
      <c r="AE187" s="49" t="str">
        <f>MID(VLOOKUP($A187,Seqs!$A:$B,2,FALSE),VLOOKUP($A187,'SegEnds_NonXtal_Prot#'!$A:$AL,22,FALSE)+9,1)</f>
        <v>P</v>
      </c>
      <c r="AF187" s="49" t="str">
        <f>MID(VLOOKUP($A187,Seqs!$A:$B,2,FALSE),VLOOKUP($A187,'SegEnds_NonXtal_Prot#'!$A:$AL,22,FALSE)+10,1)</f>
        <v>P</v>
      </c>
      <c r="AG187" s="28" t="str">
        <f>MID(VLOOKUP($A187,Seqs!$A:$B,2,FALSE),VLOOKUP($A187,'SegEnds_NonXtal_Prot#'!$A:$AL,28,FALSE)-4,1)</f>
        <v>V</v>
      </c>
      <c r="AH187" s="49" t="str">
        <f>MID(VLOOKUP($A187,Seqs!$A:$B,2,FALSE),VLOOKUP($A187,'SegEnds_NonXtal_Prot#'!$A:$AL,28,FALSE),1)</f>
        <v>P</v>
      </c>
    </row>
    <row r="188" spans="1:34" s="2" customFormat="1" x14ac:dyDescent="0.2">
      <c r="A188" s="2" t="s">
        <v>334</v>
      </c>
      <c r="B188" s="2" t="s">
        <v>920</v>
      </c>
      <c r="C188" s="2" t="str">
        <f>VLOOKUP(A188,Classification!A:D,2,FALSE)</f>
        <v>A</v>
      </c>
      <c r="D188" s="2" t="str">
        <f>IF(ISERROR(MATCH(A188,'SegEnds_Xtal_Prot#'!B:B, 0)), "NoXtal", "Xtal")</f>
        <v>NoXtal</v>
      </c>
      <c r="G188" s="2" t="s">
        <v>5</v>
      </c>
      <c r="H188" s="4"/>
      <c r="R188" s="2" t="s">
        <v>9</v>
      </c>
      <c r="T188" s="4" t="s">
        <v>12</v>
      </c>
      <c r="V188" s="28" t="str">
        <f>MID(VLOOKUP($A188,Seqs!$A:$B,2,FALSE),VLOOKUP($A188,'SegEnds_NonXtal_Prot#'!A:AL,10,FALSE),1)</f>
        <v>D</v>
      </c>
      <c r="W188" s="49" t="str">
        <f>MID(VLOOKUP($A188,Seqs!$A:$B,2,FALSE),VLOOKUP($A188,'SegEnds_NonXtal_Prot#'!A:AL,10,FALSE)+6,1)</f>
        <v>V</v>
      </c>
      <c r="X188" s="49" t="str">
        <f>MID(VLOOKUP($A188,Seqs!$A:$B,2,FALSE),VLOOKUP($A188,'SegEnds_NonXtal_Prot#'!A:AL,10,FALSE)+7,1)</f>
        <v>G</v>
      </c>
      <c r="Y188" s="49" t="str">
        <f>MID(VLOOKUP($A188,Seqs!$A:$B,2,FALSE),VLOOKUP($A188,'SegEnds_NonXtal_Prot#'!A:AL,10,FALSE)+8,1)</f>
        <v>K</v>
      </c>
      <c r="Z188" s="49" t="str">
        <f>MID(VLOOKUP($A188,Seqs!$A:$B,2,FALSE),VLOOKUP($A188,'SegEnds_NonXtal_Prot#'!A:AL,10,FALSE)+9,1)</f>
        <v>P</v>
      </c>
      <c r="AA188" s="49" t="str">
        <f>MID(VLOOKUP($A188,Seqs!$A:$B,2,FALSE),VLOOKUP($A188,'SegEnds_NonXtal_Prot#'!A:AL,10,FALSE)+10,1)</f>
        <v>F</v>
      </c>
      <c r="AB188" s="28" t="str">
        <f>MID(VLOOKUP($A188,Seqs!$A:$B,2,FALSE),VLOOKUP($A188,'SegEnds_NonXtal_Prot#'!$A:$AL,22,FALSE)+6,1)</f>
        <v>W</v>
      </c>
      <c r="AC188" s="49" t="str">
        <f>MID(VLOOKUP($A188,Seqs!$A:$B,2,FALSE),VLOOKUP($A188,'SegEnds_NonXtal_Prot#'!$A:$AL,22,FALSE)+7,1)</f>
        <v>T</v>
      </c>
      <c r="AD188" s="49" t="str">
        <f>MID(VLOOKUP($A188,Seqs!$A:$B,2,FALSE),VLOOKUP($A188,'SegEnds_NonXtal_Prot#'!$A:$AL,22,FALSE)+8,1)</f>
        <v>T</v>
      </c>
      <c r="AE188" s="49" t="str">
        <f>MID(VLOOKUP($A188,Seqs!$A:$B,2,FALSE),VLOOKUP($A188,'SegEnds_NonXtal_Prot#'!$A:$AL,22,FALSE)+9,1)</f>
        <v>M</v>
      </c>
      <c r="AF188" s="49" t="str">
        <f>MID(VLOOKUP($A188,Seqs!$A:$B,2,FALSE),VLOOKUP($A188,'SegEnds_NonXtal_Prot#'!$A:$AL,22,FALSE)+10,1)</f>
        <v>P</v>
      </c>
      <c r="AG188" s="28" t="str">
        <f>MID(VLOOKUP($A188,Seqs!$A:$B,2,FALSE),VLOOKUP($A188,'SegEnds_NonXtal_Prot#'!$A:$AL,28,FALSE)-4,1)</f>
        <v>C</v>
      </c>
      <c r="AH188" s="49" t="str">
        <f>MID(VLOOKUP($A188,Seqs!$A:$B,2,FALSE),VLOOKUP($A188,'SegEnds_NonXtal_Prot#'!$A:$AL,28,FALSE),1)</f>
        <v>P</v>
      </c>
    </row>
    <row r="189" spans="1:34" s="2" customFormat="1" x14ac:dyDescent="0.2">
      <c r="A189" s="2" t="s">
        <v>920</v>
      </c>
      <c r="B189" s="2" t="str">
        <f>LOWER(VLOOKUP(A189,Xtal_Templ!A:B,2,FALSE))</f>
        <v>opsd_bovin</v>
      </c>
      <c r="C189" s="2" t="str">
        <f>VLOOKUP(A189,Classification!A:D,2,FALSE)</f>
        <v>A</v>
      </c>
      <c r="D189" s="2" t="str">
        <f>IF(ISERROR(MATCH(A189,'SegEnds_Xtal_Prot#'!B:B, 0)), "NoXtal", "Xtal")</f>
        <v>Xtal</v>
      </c>
      <c r="G189" s="2" t="s">
        <v>5</v>
      </c>
      <c r="H189" s="4"/>
      <c r="R189" s="2" t="s">
        <v>9</v>
      </c>
      <c r="T189" s="4" t="s">
        <v>12</v>
      </c>
      <c r="V189" s="28" t="str">
        <f>MID(VLOOKUP($A189,Seqs!$A:$B,2,FALSE),VLOOKUP($A189,'SegEnds_NonXtal_Prot#'!A:AL,10,FALSE),1)</f>
        <v>D</v>
      </c>
      <c r="W189" s="49" t="str">
        <f>MID(VLOOKUP($A189,Seqs!$A:$B,2,FALSE),VLOOKUP($A189,'SegEnds_NonXtal_Prot#'!A:AL,10,FALSE)+6,1)</f>
        <v>G</v>
      </c>
      <c r="X189" s="49" t="str">
        <f>MID(VLOOKUP($A189,Seqs!$A:$B,2,FALSE),VLOOKUP($A189,'SegEnds_NonXtal_Prot#'!A:AL,10,FALSE)+7,1)</f>
        <v>G</v>
      </c>
      <c r="Y189" s="49" t="str">
        <f>MID(VLOOKUP($A189,Seqs!$A:$B,2,FALSE),VLOOKUP($A189,'SegEnds_NonXtal_Prot#'!A:AL,10,FALSE)+8,1)</f>
        <v>F</v>
      </c>
      <c r="Z189" s="49" t="str">
        <f>MID(VLOOKUP($A189,Seqs!$A:$B,2,FALSE),VLOOKUP($A189,'SegEnds_NonXtal_Prot#'!A:AL,10,FALSE)+9,1)</f>
        <v>T</v>
      </c>
      <c r="AA189" s="49" t="str">
        <f>MID(VLOOKUP($A189,Seqs!$A:$B,2,FALSE),VLOOKUP($A189,'SegEnds_NonXtal_Prot#'!A:AL,10,FALSE)+10,1)</f>
        <v>T</v>
      </c>
      <c r="AB189" s="28" t="str">
        <f>MID(VLOOKUP($A189,Seqs!$A:$B,2,FALSE),VLOOKUP($A189,'SegEnds_NonXtal_Prot#'!$A:$AL,22,FALSE)+6,1)</f>
        <v>C</v>
      </c>
      <c r="AC189" s="49" t="str">
        <f>MID(VLOOKUP($A189,Seqs!$A:$B,2,FALSE),VLOOKUP($A189,'SegEnds_NonXtal_Prot#'!$A:$AL,22,FALSE)+7,1)</f>
        <v>A</v>
      </c>
      <c r="AD189" s="49" t="str">
        <f>MID(VLOOKUP($A189,Seqs!$A:$B,2,FALSE),VLOOKUP($A189,'SegEnds_NonXtal_Prot#'!$A:$AL,22,FALSE)+8,1)</f>
        <v>A</v>
      </c>
      <c r="AE189" s="49" t="str">
        <f>MID(VLOOKUP($A189,Seqs!$A:$B,2,FALSE),VLOOKUP($A189,'SegEnds_NonXtal_Prot#'!$A:$AL,22,FALSE)+9,1)</f>
        <v>P</v>
      </c>
      <c r="AF189" s="49" t="str">
        <f>MID(VLOOKUP($A189,Seqs!$A:$B,2,FALSE),VLOOKUP($A189,'SegEnds_NonXtal_Prot#'!$A:$AL,22,FALSE)+10,1)</f>
        <v>P</v>
      </c>
      <c r="AG189" s="28" t="str">
        <f>MID(VLOOKUP($A189,Seqs!$A:$B,2,FALSE),VLOOKUP($A189,'SegEnds_NonXtal_Prot#'!$A:$AL,28,FALSE)-4,1)</f>
        <v>H</v>
      </c>
      <c r="AH189" s="49" t="str">
        <f>MID(VLOOKUP($A189,Seqs!$A:$B,2,FALSE),VLOOKUP($A189,'SegEnds_NonXtal_Prot#'!$A:$AL,28,FALSE),1)</f>
        <v>P</v>
      </c>
    </row>
    <row r="190" spans="1:34" s="2" customFormat="1" x14ac:dyDescent="0.2">
      <c r="A190" s="2" t="s">
        <v>285</v>
      </c>
      <c r="B190" s="2" t="str">
        <f>LOWER(VLOOKUP(A190,Xtal_Templ!A:B,2,FALSE))</f>
        <v>adrb2_human</v>
      </c>
      <c r="C190" s="2" t="str">
        <f>VLOOKUP(A190,Classification!A:D,2,FALSE)</f>
        <v>A</v>
      </c>
      <c r="D190" s="2" t="str">
        <f>IF(ISERROR(MATCH(A190,'SegEnds_Xtal_Prot#'!B:B, 0)), "NoXtal", "Xtal")</f>
        <v>NoXtal</v>
      </c>
      <c r="H190" s="4"/>
      <c r="T190" s="4" t="s">
        <v>12</v>
      </c>
      <c r="V190" s="28" t="str">
        <f>MID(VLOOKUP($A190,Seqs!$A:$B,2,FALSE),VLOOKUP($A190,'SegEnds_NonXtal_Prot#'!A:AL,10,FALSE),1)</f>
        <v>N</v>
      </c>
      <c r="W190" s="49" t="str">
        <f>MID(VLOOKUP($A190,Seqs!$A:$B,2,FALSE),VLOOKUP($A190,'SegEnds_NonXtal_Prot#'!A:AL,10,FALSE)+6,1)</f>
        <v>S</v>
      </c>
      <c r="X190" s="49" t="str">
        <f>MID(VLOOKUP($A190,Seqs!$A:$B,2,FALSE),VLOOKUP($A190,'SegEnds_NonXtal_Prot#'!A:AL,10,FALSE)+7,1)</f>
        <v>C</v>
      </c>
      <c r="Y190" s="49" t="str">
        <f>MID(VLOOKUP($A190,Seqs!$A:$B,2,FALSE),VLOOKUP($A190,'SegEnds_NonXtal_Prot#'!A:AL,10,FALSE)+8,1)</f>
        <v>G</v>
      </c>
      <c r="Z190" s="49" t="str">
        <f>MID(VLOOKUP($A190,Seqs!$A:$B,2,FALSE),VLOOKUP($A190,'SegEnds_NonXtal_Prot#'!A:AL,10,FALSE)+9,1)</f>
        <v>L</v>
      </c>
      <c r="AA190" s="49" t="str">
        <f>MID(VLOOKUP($A190,Seqs!$A:$B,2,FALSE),VLOOKUP($A190,'SegEnds_NonXtal_Prot#'!A:AL,10,FALSE)+10,1)</f>
        <v>L</v>
      </c>
      <c r="AB190" s="28" t="str">
        <f>MID(VLOOKUP($A190,Seqs!$A:$B,2,FALSE),VLOOKUP($A190,'SegEnds_NonXtal_Prot#'!$A:$AL,22,FALSE)+6,1)</f>
        <v>A</v>
      </c>
      <c r="AC190" s="49" t="str">
        <f>MID(VLOOKUP($A190,Seqs!$A:$B,2,FALSE),VLOOKUP($A190,'SegEnds_NonXtal_Prot#'!$A:$AL,22,FALSE)+7,1)</f>
        <v>A</v>
      </c>
      <c r="AD190" s="49" t="str">
        <f>MID(VLOOKUP($A190,Seqs!$A:$B,2,FALSE),VLOOKUP($A190,'SegEnds_NonXtal_Prot#'!$A:$AL,22,FALSE)+8,1)</f>
        <v>A</v>
      </c>
      <c r="AE190" s="49" t="str">
        <f>MID(VLOOKUP($A190,Seqs!$A:$B,2,FALSE),VLOOKUP($A190,'SegEnds_NonXtal_Prot#'!$A:$AL,22,FALSE)+9,1)</f>
        <v>L</v>
      </c>
      <c r="AF190" s="49" t="str">
        <f>MID(VLOOKUP($A190,Seqs!$A:$B,2,FALSE),VLOOKUP($A190,'SegEnds_NonXtal_Prot#'!$A:$AL,22,FALSE)+10,1)</f>
        <v>P</v>
      </c>
      <c r="AG190" s="28" t="str">
        <f>MID(VLOOKUP($A190,Seqs!$A:$B,2,FALSE),VLOOKUP($A190,'SegEnds_NonXtal_Prot#'!$A:$AL,28,FALSE)-4,1)</f>
        <v>M</v>
      </c>
      <c r="AH190" s="49" t="str">
        <f>MID(VLOOKUP($A190,Seqs!$A:$B,2,FALSE),VLOOKUP($A190,'SegEnds_NonXtal_Prot#'!$A:$AL,28,FALSE),1)</f>
        <v>C</v>
      </c>
    </row>
    <row r="191" spans="1:34" s="2" customFormat="1" x14ac:dyDescent="0.2">
      <c r="A191" s="2" t="s">
        <v>338</v>
      </c>
      <c r="B191" s="2" t="str">
        <f>LOWER(VLOOKUP(A191,Xtal_Templ!A:B,2,FALSE))</f>
        <v>opsd_human</v>
      </c>
      <c r="C191" s="2" t="str">
        <f>VLOOKUP(A191,Classification!A:D,2,FALSE)</f>
        <v>A</v>
      </c>
      <c r="D191" s="2" t="str">
        <f>IF(ISERROR(MATCH(A191,'SegEnds_Xtal_Prot#'!B:B, 0)), "NoXtal", "Xtal")</f>
        <v>NoXtal</v>
      </c>
      <c r="H191" s="4"/>
      <c r="R191" s="2" t="s">
        <v>9</v>
      </c>
      <c r="T191" s="4" t="s">
        <v>12</v>
      </c>
      <c r="V191" s="28" t="str">
        <f>MID(VLOOKUP($A191,Seqs!$A:$B,2,FALSE),VLOOKUP($A191,'SegEnds_NonXtal_Prot#'!A:AL,10,FALSE),1)</f>
        <v>G</v>
      </c>
      <c r="W191" s="49" t="str">
        <f>MID(VLOOKUP($A191,Seqs!$A:$B,2,FALSE),VLOOKUP($A191,'SegEnds_NonXtal_Prot#'!A:AL,10,FALSE)+6,1)</f>
        <v>F</v>
      </c>
      <c r="X191" s="49" t="str">
        <f>MID(VLOOKUP($A191,Seqs!$A:$B,2,FALSE),VLOOKUP($A191,'SegEnds_NonXtal_Prot#'!A:AL,10,FALSE)+7,1)</f>
        <v>S</v>
      </c>
      <c r="Y191" s="49" t="str">
        <f>MID(VLOOKUP($A191,Seqs!$A:$B,2,FALSE),VLOOKUP($A191,'SegEnds_NonXtal_Prot#'!A:AL,10,FALSE)+8,1)</f>
        <v>V</v>
      </c>
      <c r="Z191" s="49" t="str">
        <f>MID(VLOOKUP($A191,Seqs!$A:$B,2,FALSE),VLOOKUP($A191,'SegEnds_NonXtal_Prot#'!A:AL,10,FALSE)+9,1)</f>
        <v>F</v>
      </c>
      <c r="AA191" s="49" t="str">
        <f>MID(VLOOKUP($A191,Seqs!$A:$B,2,FALSE),VLOOKUP($A191,'SegEnds_NonXtal_Prot#'!A:AL,10,FALSE)+10,1)</f>
        <v>P</v>
      </c>
      <c r="AB191" s="28" t="str">
        <f>MID(VLOOKUP($A191,Seqs!$A:$B,2,FALSE),VLOOKUP($A191,'SegEnds_NonXtal_Prot#'!$A:$AL,22,FALSE)+6,1)</f>
        <v>V</v>
      </c>
      <c r="AC191" s="49" t="str">
        <f>MID(VLOOKUP($A191,Seqs!$A:$B,2,FALSE),VLOOKUP($A191,'SegEnds_NonXtal_Prot#'!$A:$AL,22,FALSE)+7,1)</f>
        <v>S</v>
      </c>
      <c r="AD191" s="49" t="str">
        <f>MID(VLOOKUP($A191,Seqs!$A:$B,2,FALSE),VLOOKUP($A191,'SegEnds_NonXtal_Prot#'!$A:$AL,22,FALSE)+8,1)</f>
        <v>I</v>
      </c>
      <c r="AE191" s="49" t="str">
        <f>MID(VLOOKUP($A191,Seqs!$A:$B,2,FALSE),VLOOKUP($A191,'SegEnds_NonXtal_Prot#'!$A:$AL,22,FALSE)+9,1)</f>
        <v>P</v>
      </c>
      <c r="AF191" s="49" t="str">
        <f>MID(VLOOKUP($A191,Seqs!$A:$B,2,FALSE),VLOOKUP($A191,'SegEnds_NonXtal_Prot#'!$A:$AL,22,FALSE)+10,1)</f>
        <v>P</v>
      </c>
      <c r="AG191" s="28" t="str">
        <f>MID(VLOOKUP($A191,Seqs!$A:$B,2,FALSE),VLOOKUP($A191,'SegEnds_NonXtal_Prot#'!$A:$AL,28,FALSE)-4,1)</f>
        <v>C</v>
      </c>
      <c r="AH191" s="49" t="str">
        <f>MID(VLOOKUP($A191,Seqs!$A:$B,2,FALSE),VLOOKUP($A191,'SegEnds_NonXtal_Prot#'!$A:$AL,28,FALSE),1)</f>
        <v>P</v>
      </c>
    </row>
    <row r="192" spans="1:34" s="2" customFormat="1" x14ac:dyDescent="0.2">
      <c r="A192" s="2" t="s">
        <v>339</v>
      </c>
      <c r="B192" s="2" t="str">
        <f>LOWER(VLOOKUP(A192,Xtal_Templ!A:B,2,FALSE))</f>
        <v>opsd_human</v>
      </c>
      <c r="C192" s="2" t="str">
        <f>VLOOKUP(A192,Classification!A:D,2,FALSE)</f>
        <v>A</v>
      </c>
      <c r="D192" s="2" t="str">
        <f>IF(ISERROR(MATCH(A192,'SegEnds_Xtal_Prot#'!B:B, 0)), "NoXtal", "Xtal")</f>
        <v>Xtal</v>
      </c>
      <c r="G192" s="2" t="s">
        <v>5</v>
      </c>
      <c r="H192" s="4"/>
      <c r="R192" s="2" t="s">
        <v>9</v>
      </c>
      <c r="T192" s="4" t="s">
        <v>12</v>
      </c>
      <c r="V192" s="28" t="str">
        <f>MID(VLOOKUP($A192,Seqs!$A:$B,2,FALSE),VLOOKUP($A192,'SegEnds_NonXtal_Prot#'!A:AL,10,FALSE),1)</f>
        <v>D</v>
      </c>
      <c r="W192" s="49" t="str">
        <f>MID(VLOOKUP($A192,Seqs!$A:$B,2,FALSE),VLOOKUP($A192,'SegEnds_NonXtal_Prot#'!A:AL,10,FALSE)+6,1)</f>
        <v>G</v>
      </c>
      <c r="X192" s="49" t="str">
        <f>MID(VLOOKUP($A192,Seqs!$A:$B,2,FALSE),VLOOKUP($A192,'SegEnds_NonXtal_Prot#'!A:AL,10,FALSE)+7,1)</f>
        <v>G</v>
      </c>
      <c r="Y192" s="49" t="str">
        <f>MID(VLOOKUP($A192,Seqs!$A:$B,2,FALSE),VLOOKUP($A192,'SegEnds_NonXtal_Prot#'!A:AL,10,FALSE)+8,1)</f>
        <v>F</v>
      </c>
      <c r="Z192" s="49" t="str">
        <f>MID(VLOOKUP($A192,Seqs!$A:$B,2,FALSE),VLOOKUP($A192,'SegEnds_NonXtal_Prot#'!A:AL,10,FALSE)+9,1)</f>
        <v>T</v>
      </c>
      <c r="AA192" s="49" t="str">
        <f>MID(VLOOKUP($A192,Seqs!$A:$B,2,FALSE),VLOOKUP($A192,'SegEnds_NonXtal_Prot#'!A:AL,10,FALSE)+10,1)</f>
        <v>S</v>
      </c>
      <c r="AB192" s="28" t="str">
        <f>MID(VLOOKUP($A192,Seqs!$A:$B,2,FALSE),VLOOKUP($A192,'SegEnds_NonXtal_Prot#'!$A:$AL,22,FALSE)+6,1)</f>
        <v>C</v>
      </c>
      <c r="AC192" s="49" t="str">
        <f>MID(VLOOKUP($A192,Seqs!$A:$B,2,FALSE),VLOOKUP($A192,'SegEnds_NonXtal_Prot#'!$A:$AL,22,FALSE)+7,1)</f>
        <v>A</v>
      </c>
      <c r="AD192" s="49" t="str">
        <f>MID(VLOOKUP($A192,Seqs!$A:$B,2,FALSE),VLOOKUP($A192,'SegEnds_NonXtal_Prot#'!$A:$AL,22,FALSE)+8,1)</f>
        <v>A</v>
      </c>
      <c r="AE192" s="49" t="str">
        <f>MID(VLOOKUP($A192,Seqs!$A:$B,2,FALSE),VLOOKUP($A192,'SegEnds_NonXtal_Prot#'!$A:$AL,22,FALSE)+9,1)</f>
        <v>P</v>
      </c>
      <c r="AF192" s="49" t="str">
        <f>MID(VLOOKUP($A192,Seqs!$A:$B,2,FALSE),VLOOKUP($A192,'SegEnds_NonXtal_Prot#'!$A:$AL,22,FALSE)+10,1)</f>
        <v>P</v>
      </c>
      <c r="AG192" s="28" t="str">
        <f>MID(VLOOKUP($A192,Seqs!$A:$B,2,FALSE),VLOOKUP($A192,'SegEnds_NonXtal_Prot#'!$A:$AL,28,FALSE)-4,1)</f>
        <v>H</v>
      </c>
      <c r="AH192" s="49" t="str">
        <f>MID(VLOOKUP($A192,Seqs!$A:$B,2,FALSE),VLOOKUP($A192,'SegEnds_NonXtal_Prot#'!$A:$AL,28,FALSE),1)</f>
        <v>P</v>
      </c>
    </row>
    <row r="193" spans="1:34" s="2" customFormat="1" x14ac:dyDescent="0.2">
      <c r="A193" s="2" t="s">
        <v>340</v>
      </c>
      <c r="B193" s="2" t="str">
        <f>LOWER(VLOOKUP(A193,Xtal_Templ!A:B,2,FALSE))</f>
        <v>opsd_human</v>
      </c>
      <c r="C193" s="2" t="str">
        <f>VLOOKUP(A193,Classification!A:D,2,FALSE)</f>
        <v>A</v>
      </c>
      <c r="D193" s="2" t="str">
        <f>IF(ISERROR(MATCH(A193,'SegEnds_Xtal_Prot#'!B:B, 0)), "NoXtal", "Xtal")</f>
        <v>NoXtal</v>
      </c>
      <c r="H193" s="4"/>
      <c r="R193" s="2" t="s">
        <v>9</v>
      </c>
      <c r="T193" s="4" t="s">
        <v>12</v>
      </c>
      <c r="V193" s="28" t="str">
        <f>MID(VLOOKUP($A193,Seqs!$A:$B,2,FALSE),VLOOKUP($A193,'SegEnds_NonXtal_Prot#'!A:AL,10,FALSE),1)</f>
        <v>D</v>
      </c>
      <c r="W193" s="49" t="str">
        <f>MID(VLOOKUP($A193,Seqs!$A:$B,2,FALSE),VLOOKUP($A193,'SegEnds_NonXtal_Prot#'!A:AL,10,FALSE)+6,1)</f>
        <v>I</v>
      </c>
      <c r="X193" s="49" t="str">
        <f>MID(VLOOKUP($A193,Seqs!$A:$B,2,FALSE),VLOOKUP($A193,'SegEnds_NonXtal_Prot#'!A:AL,10,FALSE)+7,1)</f>
        <v>A</v>
      </c>
      <c r="Y193" s="49" t="str">
        <f>MID(VLOOKUP($A193,Seqs!$A:$B,2,FALSE),VLOOKUP($A193,'SegEnds_NonXtal_Prot#'!A:AL,10,FALSE)+8,1)</f>
        <v>S</v>
      </c>
      <c r="Z193" s="49" t="str">
        <f>MID(VLOOKUP($A193,Seqs!$A:$B,2,FALSE),VLOOKUP($A193,'SegEnds_NonXtal_Prot#'!A:AL,10,FALSE)+9,1)</f>
        <v>T</v>
      </c>
      <c r="AA193" s="49" t="str">
        <f>MID(VLOOKUP($A193,Seqs!$A:$B,2,FALSE),VLOOKUP($A193,'SegEnds_NonXtal_Prot#'!A:AL,10,FALSE)+10,1)</f>
        <v>I</v>
      </c>
      <c r="AB193" s="28" t="str">
        <f>MID(VLOOKUP($A193,Seqs!$A:$B,2,FALSE),VLOOKUP($A193,'SegEnds_NonXtal_Prot#'!$A:$AL,22,FALSE)+6,1)</f>
        <v>W</v>
      </c>
      <c r="AC193" s="49" t="str">
        <f>MID(VLOOKUP($A193,Seqs!$A:$B,2,FALSE),VLOOKUP($A193,'SegEnds_NonXtal_Prot#'!$A:$AL,22,FALSE)+7,1)</f>
        <v>T</v>
      </c>
      <c r="AD193" s="49" t="str">
        <f>MID(VLOOKUP($A193,Seqs!$A:$B,2,FALSE),VLOOKUP($A193,'SegEnds_NonXtal_Prot#'!$A:$AL,22,FALSE)+8,1)</f>
        <v>A</v>
      </c>
      <c r="AE193" s="49" t="str">
        <f>MID(VLOOKUP($A193,Seqs!$A:$B,2,FALSE),VLOOKUP($A193,'SegEnds_NonXtal_Prot#'!$A:$AL,22,FALSE)+9,1)</f>
        <v>P</v>
      </c>
      <c r="AF193" s="49" t="str">
        <f>MID(VLOOKUP($A193,Seqs!$A:$B,2,FALSE),VLOOKUP($A193,'SegEnds_NonXtal_Prot#'!$A:$AL,22,FALSE)+10,1)</f>
        <v>P</v>
      </c>
      <c r="AG193" s="28" t="str">
        <f>MID(VLOOKUP($A193,Seqs!$A:$B,2,FALSE),VLOOKUP($A193,'SegEnds_NonXtal_Prot#'!$A:$AL,28,FALSE)-4,1)</f>
        <v>C</v>
      </c>
      <c r="AH193" s="49" t="str">
        <f>MID(VLOOKUP($A193,Seqs!$A:$B,2,FALSE),VLOOKUP($A193,'SegEnds_NonXtal_Prot#'!$A:$AL,28,FALSE),1)</f>
        <v>P</v>
      </c>
    </row>
    <row r="194" spans="1:34" s="2" customFormat="1" x14ac:dyDescent="0.2">
      <c r="A194" s="2" t="s">
        <v>341</v>
      </c>
      <c r="B194" s="2" t="str">
        <f>LOWER(VLOOKUP(A194,Xtal_Templ!A:B,2,FALSE))</f>
        <v>opsd_human</v>
      </c>
      <c r="C194" s="2" t="str">
        <f>VLOOKUP(A194,Classification!A:D,2,FALSE)</f>
        <v>A</v>
      </c>
      <c r="D194" s="2" t="str">
        <f>IF(ISERROR(MATCH(A194,'SegEnds_Xtal_Prot#'!B:B, 0)), "NoXtal", "Xtal")</f>
        <v>NoXtal</v>
      </c>
      <c r="H194" s="4"/>
      <c r="R194" s="2" t="s">
        <v>9</v>
      </c>
      <c r="T194" s="4" t="s">
        <v>12</v>
      </c>
      <c r="V194" s="28" t="str">
        <f>MID(VLOOKUP($A194,Seqs!$A:$B,2,FALSE),VLOOKUP($A194,'SegEnds_NonXtal_Prot#'!A:AL,10,FALSE),1)</f>
        <v>D</v>
      </c>
      <c r="W194" s="49" t="str">
        <f>MID(VLOOKUP($A194,Seqs!$A:$B,2,FALSE),VLOOKUP($A194,'SegEnds_NonXtal_Prot#'!A:AL,10,FALSE)+6,1)</f>
        <v>I</v>
      </c>
      <c r="X194" s="49" t="str">
        <f>MID(VLOOKUP($A194,Seqs!$A:$B,2,FALSE),VLOOKUP($A194,'SegEnds_NonXtal_Prot#'!A:AL,10,FALSE)+7,1)</f>
        <v>A</v>
      </c>
      <c r="Y194" s="49" t="str">
        <f>MID(VLOOKUP($A194,Seqs!$A:$B,2,FALSE),VLOOKUP($A194,'SegEnds_NonXtal_Prot#'!A:AL,10,FALSE)+8,1)</f>
        <v>S</v>
      </c>
      <c r="Z194" s="49" t="str">
        <f>MID(VLOOKUP($A194,Seqs!$A:$B,2,FALSE),VLOOKUP($A194,'SegEnds_NonXtal_Prot#'!A:AL,10,FALSE)+9,1)</f>
        <v>T</v>
      </c>
      <c r="AA194" s="49" t="str">
        <f>MID(VLOOKUP($A194,Seqs!$A:$B,2,FALSE),VLOOKUP($A194,'SegEnds_NonXtal_Prot#'!A:AL,10,FALSE)+10,1)</f>
        <v>I</v>
      </c>
      <c r="AB194" s="28" t="str">
        <f>MID(VLOOKUP($A194,Seqs!$A:$B,2,FALSE),VLOOKUP($A194,'SegEnds_NonXtal_Prot#'!$A:$AL,22,FALSE)+6,1)</f>
        <v>W</v>
      </c>
      <c r="AC194" s="49" t="str">
        <f>MID(VLOOKUP($A194,Seqs!$A:$B,2,FALSE),VLOOKUP($A194,'SegEnds_NonXtal_Prot#'!$A:$AL,22,FALSE)+7,1)</f>
        <v>T</v>
      </c>
      <c r="AD194" s="49" t="str">
        <f>MID(VLOOKUP($A194,Seqs!$A:$B,2,FALSE),VLOOKUP($A194,'SegEnds_NonXtal_Prot#'!$A:$AL,22,FALSE)+8,1)</f>
        <v>A</v>
      </c>
      <c r="AE194" s="49" t="str">
        <f>MID(VLOOKUP($A194,Seqs!$A:$B,2,FALSE),VLOOKUP($A194,'SegEnds_NonXtal_Prot#'!$A:$AL,22,FALSE)+9,1)</f>
        <v>P</v>
      </c>
      <c r="AF194" s="49" t="str">
        <f>MID(VLOOKUP($A194,Seqs!$A:$B,2,FALSE),VLOOKUP($A194,'SegEnds_NonXtal_Prot#'!$A:$AL,22,FALSE)+10,1)</f>
        <v>P</v>
      </c>
      <c r="AG194" s="28" t="str">
        <f>MID(VLOOKUP($A194,Seqs!$A:$B,2,FALSE),VLOOKUP($A194,'SegEnds_NonXtal_Prot#'!$A:$AL,28,FALSE)-4,1)</f>
        <v>C</v>
      </c>
      <c r="AH194" s="49" t="str">
        <f>MID(VLOOKUP($A194,Seqs!$A:$B,2,FALSE),VLOOKUP($A194,'SegEnds_NonXtal_Prot#'!$A:$AL,28,FALSE),1)</f>
        <v>P</v>
      </c>
    </row>
    <row r="195" spans="1:34" s="2" customFormat="1" x14ac:dyDescent="0.2">
      <c r="A195" s="2" t="s">
        <v>922</v>
      </c>
      <c r="B195" s="2" t="str">
        <f>LOWER(VLOOKUP(A195,Xtal_Templ!A:B,2,FALSE))</f>
        <v>opsd_todpa</v>
      </c>
      <c r="C195" s="2" t="str">
        <f>VLOOKUP(A195,Classification!A:D,2,FALSE)</f>
        <v>A</v>
      </c>
      <c r="D195" s="2" t="str">
        <f>IF(ISERROR(MATCH(A195,'SegEnds_Xtal_Prot#'!B:B, 0)), "NoXtal", "Xtal")</f>
        <v>Xtal</v>
      </c>
      <c r="H195" s="4" t="s">
        <v>1369</v>
      </c>
      <c r="R195" s="2" t="s">
        <v>9</v>
      </c>
      <c r="T195" s="4" t="s">
        <v>12</v>
      </c>
      <c r="V195" s="28" t="str">
        <f>MID(VLOOKUP($A195,Seqs!$A:$B,2,FALSE),VLOOKUP($A195,'SegEnds_NonXtal_Prot#'!A:AL,10,FALSE),1)</f>
        <v>D</v>
      </c>
      <c r="W195" s="49" t="str">
        <f>MID(VLOOKUP($A195,Seqs!$A:$B,2,FALSE),VLOOKUP($A195,'SegEnds_NonXtal_Prot#'!A:AL,10,FALSE)+6,1)</f>
        <v>V</v>
      </c>
      <c r="X195" s="49" t="str">
        <f>MID(VLOOKUP($A195,Seqs!$A:$B,2,FALSE),VLOOKUP($A195,'SegEnds_NonXtal_Prot#'!A:AL,10,FALSE)+7,1)</f>
        <v>N</v>
      </c>
      <c r="Y195" s="49" t="str">
        <f>MID(VLOOKUP($A195,Seqs!$A:$B,2,FALSE),VLOOKUP($A195,'SegEnds_NonXtal_Prot#'!A:AL,10,FALSE)+8,1)</f>
        <v>G</v>
      </c>
      <c r="Z195" s="49" t="str">
        <f>MID(VLOOKUP($A195,Seqs!$A:$B,2,FALSE),VLOOKUP($A195,'SegEnds_NonXtal_Prot#'!A:AL,10,FALSE)+9,1)</f>
        <v>F</v>
      </c>
      <c r="AA195" s="49" t="str">
        <f>MID(VLOOKUP($A195,Seqs!$A:$B,2,FALSE),VLOOKUP($A195,'SegEnds_NonXtal_Prot#'!A:AL,10,FALSE)+10,1)</f>
        <v>P</v>
      </c>
      <c r="AB195" s="28" t="str">
        <f>MID(VLOOKUP($A195,Seqs!$A:$B,2,FALSE),VLOOKUP($A195,'SegEnds_NonXtal_Prot#'!$A:$AL,22,FALSE)+6,1)</f>
        <v>W</v>
      </c>
      <c r="AC195" s="49" t="str">
        <f>MID(VLOOKUP($A195,Seqs!$A:$B,2,FALSE),VLOOKUP($A195,'SegEnds_NonXtal_Prot#'!$A:$AL,22,FALSE)+7,1)</f>
        <v>A</v>
      </c>
      <c r="AD195" s="49" t="str">
        <f>MID(VLOOKUP($A195,Seqs!$A:$B,2,FALSE),VLOOKUP($A195,'SegEnds_NonXtal_Prot#'!$A:$AL,22,FALSE)+8,1)</f>
        <v>I</v>
      </c>
      <c r="AE195" s="49" t="str">
        <f>MID(VLOOKUP($A195,Seqs!$A:$B,2,FALSE),VLOOKUP($A195,'SegEnds_NonXtal_Prot#'!$A:$AL,22,FALSE)+9,1)</f>
        <v>G</v>
      </c>
      <c r="AF195" s="49" t="str">
        <f>MID(VLOOKUP($A195,Seqs!$A:$B,2,FALSE),VLOOKUP($A195,'SegEnds_NonXtal_Prot#'!$A:$AL,22,FALSE)+10,1)</f>
        <v>P</v>
      </c>
      <c r="AG195" s="28" t="str">
        <f>MID(VLOOKUP($A195,Seqs!$A:$B,2,FALSE),VLOOKUP($A195,'SegEnds_NonXtal_Prot#'!$A:$AL,28,FALSE)-4,1)</f>
        <v>G</v>
      </c>
      <c r="AH195" s="49" t="str">
        <f>MID(VLOOKUP($A195,Seqs!$A:$B,2,FALSE),VLOOKUP($A195,'SegEnds_NonXtal_Prot#'!$A:$AL,28,FALSE),1)</f>
        <v>P</v>
      </c>
    </row>
    <row r="196" spans="1:34" s="2" customFormat="1" x14ac:dyDescent="0.2">
      <c r="A196" s="2" t="s">
        <v>215</v>
      </c>
      <c r="B196" s="2" t="str">
        <f>LOWER(VLOOKUP(A196,Xtal_Templ!A:B,2,FALSE))</f>
        <v>ox1r_human</v>
      </c>
      <c r="C196" s="2" t="str">
        <f>VLOOKUP(A196,Classification!A:D,2,FALSE)</f>
        <v>A</v>
      </c>
      <c r="D196" s="2" t="str">
        <f>IF(ISERROR(MATCH(A196,'SegEnds_Xtal_Prot#'!B:B, 0)), "NoXtal", "Xtal")</f>
        <v>NoXtal</v>
      </c>
      <c r="G196" s="2" t="s">
        <v>5</v>
      </c>
      <c r="H196" s="4"/>
      <c r="N196" s="2" t="s">
        <v>14</v>
      </c>
      <c r="R196" s="2" t="s">
        <v>9</v>
      </c>
      <c r="T196" s="4" t="s">
        <v>12</v>
      </c>
      <c r="V196" s="28" t="str">
        <f>MID(VLOOKUP($A196,Seqs!$A:$B,2,FALSE),VLOOKUP($A196,'SegEnds_NonXtal_Prot#'!A:AL,10,FALSE),1)</f>
        <v>D</v>
      </c>
      <c r="W196" s="49" t="str">
        <f>MID(VLOOKUP($A196,Seqs!$A:$B,2,FALSE),VLOOKUP($A196,'SegEnds_NonXtal_Prot#'!A:AL,10,FALSE)+6,1)</f>
        <v>L</v>
      </c>
      <c r="X196" s="49" t="str">
        <f>MID(VLOOKUP($A196,Seqs!$A:$B,2,FALSE),VLOOKUP($A196,'SegEnds_NonXtal_Prot#'!A:AL,10,FALSE)+7,1)</f>
        <v>C</v>
      </c>
      <c r="Y196" s="49" t="str">
        <f>MID(VLOOKUP($A196,Seqs!$A:$B,2,FALSE),VLOOKUP($A196,'SegEnds_NonXtal_Prot#'!A:AL,10,FALSE)+8,1)</f>
        <v>L</v>
      </c>
      <c r="Z196" s="49" t="str">
        <f>MID(VLOOKUP($A196,Seqs!$A:$B,2,FALSE),VLOOKUP($A196,'SegEnds_NonXtal_Prot#'!A:AL,10,FALSE)+9,1)</f>
        <v>P</v>
      </c>
      <c r="AA196" s="49" t="str">
        <f>MID(VLOOKUP($A196,Seqs!$A:$B,2,FALSE),VLOOKUP($A196,'SegEnds_NonXtal_Prot#'!A:AL,10,FALSE)+10,1)</f>
        <v>A</v>
      </c>
      <c r="AB196" s="28" t="str">
        <f>MID(VLOOKUP($A196,Seqs!$A:$B,2,FALSE),VLOOKUP($A196,'SegEnds_NonXtal_Prot#'!$A:$AL,22,FALSE)+6,1)</f>
        <v>F</v>
      </c>
      <c r="AC196" s="49" t="str">
        <f>MID(VLOOKUP($A196,Seqs!$A:$B,2,FALSE),VLOOKUP($A196,'SegEnds_NonXtal_Prot#'!$A:$AL,22,FALSE)+7,1)</f>
        <v>S</v>
      </c>
      <c r="AD196" s="49" t="str">
        <f>MID(VLOOKUP($A196,Seqs!$A:$B,2,FALSE),VLOOKUP($A196,'SegEnds_NonXtal_Prot#'!$A:$AL,22,FALSE)+8,1)</f>
        <v>L</v>
      </c>
      <c r="AE196" s="49" t="str">
        <f>MID(VLOOKUP($A196,Seqs!$A:$B,2,FALSE),VLOOKUP($A196,'SegEnds_NonXtal_Prot#'!$A:$AL,22,FALSE)+9,1)</f>
        <v>P</v>
      </c>
      <c r="AF196" s="49" t="str">
        <f>MID(VLOOKUP($A196,Seqs!$A:$B,2,FALSE),VLOOKUP($A196,'SegEnds_NonXtal_Prot#'!$A:$AL,22,FALSE)+10,1)</f>
        <v>W</v>
      </c>
      <c r="AG196" s="28" t="str">
        <f>MID(VLOOKUP($A196,Seqs!$A:$B,2,FALSE),VLOOKUP($A196,'SegEnds_NonXtal_Prot#'!$A:$AL,28,FALSE)-4,1)</f>
        <v>C</v>
      </c>
      <c r="AH196" s="49" t="str">
        <f>MID(VLOOKUP($A196,Seqs!$A:$B,2,FALSE),VLOOKUP($A196,'SegEnds_NonXtal_Prot#'!$A:$AL,28,FALSE),1)</f>
        <v>P</v>
      </c>
    </row>
    <row r="197" spans="1:34" s="2" customFormat="1" x14ac:dyDescent="0.2">
      <c r="A197" s="2" t="s">
        <v>222</v>
      </c>
      <c r="B197" s="2" t="str">
        <f>LOWER(VLOOKUP(A197,Xtal_Templ!A:B,2,FALSE))</f>
        <v>ox2r_human</v>
      </c>
      <c r="C197" s="2" t="str">
        <f>VLOOKUP(A197,Classification!A:D,2,FALSE)</f>
        <v>A</v>
      </c>
      <c r="D197" s="2" t="str">
        <f>IF(ISERROR(MATCH(A197,'SegEnds_Xtal_Prot#'!B:B, 0)), "NoXtal", "Xtal")</f>
        <v>NoXtal</v>
      </c>
      <c r="H197" s="4"/>
      <c r="R197" s="2" t="s">
        <v>9</v>
      </c>
      <c r="T197" s="4" t="s">
        <v>12</v>
      </c>
      <c r="V197" s="28" t="str">
        <f>MID(VLOOKUP($A197,Seqs!$A:$B,2,FALSE),VLOOKUP($A197,'SegEnds_NonXtal_Prot#'!A:AL,10,FALSE),1)</f>
        <v>D</v>
      </c>
      <c r="W197" s="49" t="str">
        <f>MID(VLOOKUP($A197,Seqs!$A:$B,2,FALSE),VLOOKUP($A197,'SegEnds_NonXtal_Prot#'!A:AL,10,FALSE)+6,1)</f>
        <v>G</v>
      </c>
      <c r="X197" s="49" t="str">
        <f>MID(VLOOKUP($A197,Seqs!$A:$B,2,FALSE),VLOOKUP($A197,'SegEnds_NonXtal_Prot#'!A:AL,10,FALSE)+7,1)</f>
        <v>T</v>
      </c>
      <c r="Y197" s="49" t="str">
        <f>MID(VLOOKUP($A197,Seqs!$A:$B,2,FALSE),VLOOKUP($A197,'SegEnds_NonXtal_Prot#'!A:AL,10,FALSE)+8,1)</f>
        <v>A</v>
      </c>
      <c r="Z197" s="49" t="str">
        <f>MID(VLOOKUP($A197,Seqs!$A:$B,2,FALSE),VLOOKUP($A197,'SegEnds_NonXtal_Prot#'!A:AL,10,FALSE)+9,1)</f>
        <v>L</v>
      </c>
      <c r="AA197" s="49" t="str">
        <f>MID(VLOOKUP($A197,Seqs!$A:$B,2,FALSE),VLOOKUP($A197,'SegEnds_NonXtal_Prot#'!A:AL,10,FALSE)+10,1)</f>
        <v>S</v>
      </c>
      <c r="AB197" s="28" t="str">
        <f>MID(VLOOKUP($A197,Seqs!$A:$B,2,FALSE),VLOOKUP($A197,'SegEnds_NonXtal_Prot#'!$A:$AL,22,FALSE)+6,1)</f>
        <v>L</v>
      </c>
      <c r="AC197" s="49" t="str">
        <f>MID(VLOOKUP($A197,Seqs!$A:$B,2,FALSE),VLOOKUP($A197,'SegEnds_NonXtal_Prot#'!$A:$AL,22,FALSE)+7,1)</f>
        <v>A</v>
      </c>
      <c r="AD197" s="49" t="str">
        <f>MID(VLOOKUP($A197,Seqs!$A:$B,2,FALSE),VLOOKUP($A197,'SegEnds_NonXtal_Prot#'!$A:$AL,22,FALSE)+8,1)</f>
        <v>L</v>
      </c>
      <c r="AE197" s="49" t="str">
        <f>MID(VLOOKUP($A197,Seqs!$A:$B,2,FALSE),VLOOKUP($A197,'SegEnds_NonXtal_Prot#'!$A:$AL,22,FALSE)+9,1)</f>
        <v>P</v>
      </c>
      <c r="AF197" s="49" t="str">
        <f>MID(VLOOKUP($A197,Seqs!$A:$B,2,FALSE),VLOOKUP($A197,'SegEnds_NonXtal_Prot#'!$A:$AL,22,FALSE)+10,1)</f>
        <v>P</v>
      </c>
      <c r="AG197" s="28" t="str">
        <f>MID(VLOOKUP($A197,Seqs!$A:$B,2,FALSE),VLOOKUP($A197,'SegEnds_NonXtal_Prot#'!$A:$AL,28,FALSE)-4,1)</f>
        <v>G</v>
      </c>
      <c r="AH197" s="49" t="str">
        <f>MID(VLOOKUP($A197,Seqs!$A:$B,2,FALSE),VLOOKUP($A197,'SegEnds_NonXtal_Prot#'!$A:$AL,28,FALSE),1)</f>
        <v>P</v>
      </c>
    </row>
    <row r="198" spans="1:34" s="2" customFormat="1" x14ac:dyDescent="0.2">
      <c r="A198" s="2" t="s">
        <v>232</v>
      </c>
      <c r="B198" s="2" t="str">
        <f>LOWER(VLOOKUP(A198,Xtal_Templ!A:B,2,FALSE))</f>
        <v>ox1r_human</v>
      </c>
      <c r="C198" s="2" t="str">
        <f>VLOOKUP(A198,Classification!A:D,2,FALSE)</f>
        <v>A</v>
      </c>
      <c r="D198" s="2" t="str">
        <f>IF(ISERROR(MATCH(A198,'SegEnds_Xtal_Prot#'!B:B, 0)), "NoXtal", "Xtal")</f>
        <v>NoXtal</v>
      </c>
      <c r="G198" s="2" t="s">
        <v>5</v>
      </c>
      <c r="H198" s="4"/>
      <c r="N198" s="2" t="s">
        <v>14</v>
      </c>
      <c r="R198" s="2" t="s">
        <v>9</v>
      </c>
      <c r="T198" s="4" t="s">
        <v>12</v>
      </c>
      <c r="V198" s="28" t="str">
        <f>MID(VLOOKUP($A198,Seqs!$A:$B,2,FALSE),VLOOKUP($A198,'SegEnds_NonXtal_Prot#'!A:AL,10,FALSE),1)</f>
        <v>G</v>
      </c>
      <c r="W198" s="49" t="str">
        <f>MID(VLOOKUP($A198,Seqs!$A:$B,2,FALSE),VLOOKUP($A198,'SegEnds_NonXtal_Prot#'!A:AL,10,FALSE)+6,1)</f>
        <v>V</v>
      </c>
      <c r="X198" s="49" t="str">
        <f>MID(VLOOKUP($A198,Seqs!$A:$B,2,FALSE),VLOOKUP($A198,'SegEnds_NonXtal_Prot#'!A:AL,10,FALSE)+7,1)</f>
        <v>C</v>
      </c>
      <c r="Y198" s="49" t="str">
        <f>MID(VLOOKUP($A198,Seqs!$A:$B,2,FALSE),VLOOKUP($A198,'SegEnds_NonXtal_Prot#'!A:AL,10,FALSE)+8,1)</f>
        <v>V</v>
      </c>
      <c r="Z198" s="49" t="str">
        <f>MID(VLOOKUP($A198,Seqs!$A:$B,2,FALSE),VLOOKUP($A198,'SegEnds_NonXtal_Prot#'!A:AL,10,FALSE)+9,1)</f>
        <v>P</v>
      </c>
      <c r="AA198" s="49" t="str">
        <f>MID(VLOOKUP($A198,Seqs!$A:$B,2,FALSE),VLOOKUP($A198,'SegEnds_NonXtal_Prot#'!A:AL,10,FALSE)+10,1)</f>
        <v>F</v>
      </c>
      <c r="AB198" s="28" t="str">
        <f>MID(VLOOKUP($A198,Seqs!$A:$B,2,FALSE),VLOOKUP($A198,'SegEnds_NonXtal_Prot#'!$A:$AL,22,FALSE)+6,1)</f>
        <v>A</v>
      </c>
      <c r="AC198" s="49" t="str">
        <f>MID(VLOOKUP($A198,Seqs!$A:$B,2,FALSE),VLOOKUP($A198,'SegEnds_NonXtal_Prot#'!$A:$AL,22,FALSE)+7,1)</f>
        <v>S</v>
      </c>
      <c r="AD198" s="49" t="str">
        <f>MID(VLOOKUP($A198,Seqs!$A:$B,2,FALSE),VLOOKUP($A198,'SegEnds_NonXtal_Prot#'!$A:$AL,22,FALSE)+8,1)</f>
        <v>V</v>
      </c>
      <c r="AE198" s="49" t="str">
        <f>MID(VLOOKUP($A198,Seqs!$A:$B,2,FALSE),VLOOKUP($A198,'SegEnds_NonXtal_Prot#'!$A:$AL,22,FALSE)+9,1)</f>
        <v>P</v>
      </c>
      <c r="AF198" s="49" t="str">
        <f>MID(VLOOKUP($A198,Seqs!$A:$B,2,FALSE),VLOOKUP($A198,'SegEnds_NonXtal_Prot#'!$A:$AL,22,FALSE)+10,1)</f>
        <v>V</v>
      </c>
      <c r="AG198" s="28" t="str">
        <f>MID(VLOOKUP($A198,Seqs!$A:$B,2,FALSE),VLOOKUP($A198,'SegEnds_NonXtal_Prot#'!$A:$AL,28,FALSE)-4,1)</f>
        <v>T</v>
      </c>
      <c r="AH198" s="49" t="str">
        <f>MID(VLOOKUP($A198,Seqs!$A:$B,2,FALSE),VLOOKUP($A198,'SegEnds_NonXtal_Prot#'!$A:$AL,28,FALSE),1)</f>
        <v>P</v>
      </c>
    </row>
    <row r="199" spans="1:34" s="2" customFormat="1" x14ac:dyDescent="0.2">
      <c r="A199" s="2" t="s">
        <v>267</v>
      </c>
      <c r="B199" s="2" t="str">
        <f>LOWER(VLOOKUP(A199,Xtal_Templ!A:B,2,FALSE))</f>
        <v>drd2_human</v>
      </c>
      <c r="C199" s="2" t="str">
        <f>VLOOKUP(A199,Classification!A:D,2,FALSE)</f>
        <v>A</v>
      </c>
      <c r="D199" s="2" t="str">
        <f>IF(ISERROR(MATCH(A199,'SegEnds_Xtal_Prot#'!B:B, 0)), "NoXtal", "Xtal")</f>
        <v>NoXtal</v>
      </c>
      <c r="G199" s="2" t="s">
        <v>5</v>
      </c>
      <c r="H199" s="4"/>
      <c r="R199" s="2" t="s">
        <v>9</v>
      </c>
      <c r="T199" s="4" t="s">
        <v>12</v>
      </c>
      <c r="V199" s="28" t="str">
        <f>MID(VLOOKUP($A199,Seqs!$A:$B,2,FALSE),VLOOKUP($A199,'SegEnds_NonXtal_Prot#'!A:AL,10,FALSE),1)</f>
        <v>H</v>
      </c>
      <c r="W199" s="49" t="str">
        <f>MID(VLOOKUP($A199,Seqs!$A:$B,2,FALSE),VLOOKUP($A199,'SegEnds_NonXtal_Prot#'!A:AL,10,FALSE)+6,1)</f>
        <v>L</v>
      </c>
      <c r="X199" s="49" t="str">
        <f>MID(VLOOKUP($A199,Seqs!$A:$B,2,FALSE),VLOOKUP($A199,'SegEnds_NonXtal_Prot#'!A:AL,10,FALSE)+7,1)</f>
        <v>D</v>
      </c>
      <c r="Y199" s="49" t="str">
        <f>MID(VLOOKUP($A199,Seqs!$A:$B,2,FALSE),VLOOKUP($A199,'SegEnds_NonXtal_Prot#'!A:AL,10,FALSE)+8,1)</f>
        <v>M</v>
      </c>
      <c r="Z199" s="49" t="str">
        <f>MID(VLOOKUP($A199,Seqs!$A:$B,2,FALSE),VLOOKUP($A199,'SegEnds_NonXtal_Prot#'!A:AL,10,FALSE)+9,1)</f>
        <v>P</v>
      </c>
      <c r="AA199" s="49" t="str">
        <f>MID(VLOOKUP($A199,Seqs!$A:$B,2,FALSE),VLOOKUP($A199,'SegEnds_NonXtal_Prot#'!A:AL,10,FALSE)+10,1)</f>
        <v>F</v>
      </c>
      <c r="AB199" s="28" t="str">
        <f>MID(VLOOKUP($A199,Seqs!$A:$B,2,FALSE),VLOOKUP($A199,'SegEnds_NonXtal_Prot#'!$A:$AL,22,FALSE)+6,1)</f>
        <v>F</v>
      </c>
      <c r="AC199" s="49" t="str">
        <f>MID(VLOOKUP($A199,Seqs!$A:$B,2,FALSE),VLOOKUP($A199,'SegEnds_NonXtal_Prot#'!$A:$AL,22,FALSE)+7,1)</f>
        <v>S</v>
      </c>
      <c r="AD199" s="49" t="str">
        <f>MID(VLOOKUP($A199,Seqs!$A:$B,2,FALSE),VLOOKUP($A199,'SegEnds_NonXtal_Prot#'!$A:$AL,22,FALSE)+8,1)</f>
        <v>G</v>
      </c>
      <c r="AE199" s="49" t="str">
        <f>MID(VLOOKUP($A199,Seqs!$A:$B,2,FALSE),VLOOKUP($A199,'SegEnds_NonXtal_Prot#'!$A:$AL,22,FALSE)+9,1)</f>
        <v>A</v>
      </c>
      <c r="AF199" s="49" t="str">
        <f>MID(VLOOKUP($A199,Seqs!$A:$B,2,FALSE),VLOOKUP($A199,'SegEnds_NonXtal_Prot#'!$A:$AL,22,FALSE)+10,1)</f>
        <v>A</v>
      </c>
      <c r="AG199" s="28" t="str">
        <f>MID(VLOOKUP($A199,Seqs!$A:$B,2,FALSE),VLOOKUP($A199,'SegEnds_NonXtal_Prot#'!$A:$AL,28,FALSE)-4,1)</f>
        <v>G</v>
      </c>
      <c r="AH199" s="49" t="str">
        <f>MID(VLOOKUP($A199,Seqs!$A:$B,2,FALSE),VLOOKUP($A199,'SegEnds_NonXtal_Prot#'!$A:$AL,28,FALSE),1)</f>
        <v>P</v>
      </c>
    </row>
    <row r="200" spans="1:34" s="2" customFormat="1" x14ac:dyDescent="0.2">
      <c r="A200" s="2" t="s">
        <v>270</v>
      </c>
      <c r="B200" s="2" t="str">
        <f>LOWER(VLOOKUP(A200,Xtal_Templ!A:B,2,FALSE))</f>
        <v>5ht2a_human</v>
      </c>
      <c r="C200" s="2" t="str">
        <f>VLOOKUP(A200,Classification!A:D,2,FALSE)</f>
        <v>A</v>
      </c>
      <c r="D200" s="2" t="str">
        <f>IF(ISERROR(MATCH(A200,'SegEnds_Xtal_Prot#'!B:B, 0)), "NoXtal", "Xtal")</f>
        <v>NoXtal</v>
      </c>
      <c r="G200" s="2" t="s">
        <v>5</v>
      </c>
      <c r="H200" s="4"/>
      <c r="N200" s="2" t="s">
        <v>14</v>
      </c>
      <c r="R200" s="2" t="s">
        <v>9</v>
      </c>
      <c r="T200" s="4" t="s">
        <v>12</v>
      </c>
      <c r="V200" s="28" t="str">
        <f>MID(VLOOKUP($A200,Seqs!$A:$B,2,FALSE),VLOOKUP($A200,'SegEnds_NonXtal_Prot#'!A:AL,10,FALSE),1)</f>
        <v>D</v>
      </c>
      <c r="W200" s="49" t="str">
        <f>MID(VLOOKUP($A200,Seqs!$A:$B,2,FALSE),VLOOKUP($A200,'SegEnds_NonXtal_Prot#'!A:AL,10,FALSE)+6,1)</f>
        <v>L</v>
      </c>
      <c r="X200" s="49" t="str">
        <f>MID(VLOOKUP($A200,Seqs!$A:$B,2,FALSE),VLOOKUP($A200,'SegEnds_NonXtal_Prot#'!A:AL,10,FALSE)+7,1)</f>
        <v>L</v>
      </c>
      <c r="Y200" s="49" t="str">
        <f>MID(VLOOKUP($A200,Seqs!$A:$B,2,FALSE),VLOOKUP($A200,'SegEnds_NonXtal_Prot#'!A:AL,10,FALSE)+8,1)</f>
        <v>Q</v>
      </c>
      <c r="Z200" s="49" t="str">
        <f>MID(VLOOKUP($A200,Seqs!$A:$B,2,FALSE),VLOOKUP($A200,'SegEnds_NonXtal_Prot#'!A:AL,10,FALSE)+9,1)</f>
        <v>P</v>
      </c>
      <c r="AA200" s="49" t="str">
        <f>MID(VLOOKUP($A200,Seqs!$A:$B,2,FALSE),VLOOKUP($A200,'SegEnds_NonXtal_Prot#'!A:AL,10,FALSE)+10,1)</f>
        <v>F</v>
      </c>
      <c r="AB200" s="28" t="str">
        <f>MID(VLOOKUP($A200,Seqs!$A:$B,2,FALSE),VLOOKUP($A200,'SegEnds_NonXtal_Prot#'!$A:$AL,22,FALSE)+6,1)</f>
        <v>S</v>
      </c>
      <c r="AC200" s="49" t="str">
        <f>MID(VLOOKUP($A200,Seqs!$A:$B,2,FALSE),VLOOKUP($A200,'SegEnds_NonXtal_Prot#'!$A:$AL,22,FALSE)+7,1)</f>
        <v>F</v>
      </c>
      <c r="AD200" s="49" t="str">
        <f>MID(VLOOKUP($A200,Seqs!$A:$B,2,FALSE),VLOOKUP($A200,'SegEnds_NonXtal_Prot#'!$A:$AL,22,FALSE)+8,1)</f>
        <v>A</v>
      </c>
      <c r="AE200" s="49" t="str">
        <f>MID(VLOOKUP($A200,Seqs!$A:$B,2,FALSE),VLOOKUP($A200,'SegEnds_NonXtal_Prot#'!$A:$AL,22,FALSE)+9,1)</f>
        <v>P</v>
      </c>
      <c r="AF200" s="49" t="str">
        <f>MID(VLOOKUP($A200,Seqs!$A:$B,2,FALSE),VLOOKUP($A200,'SegEnds_NonXtal_Prot#'!$A:$AL,22,FALSE)+10,1)</f>
        <v>L</v>
      </c>
      <c r="AG200" s="28" t="str">
        <f>MID(VLOOKUP($A200,Seqs!$A:$B,2,FALSE),VLOOKUP($A200,'SegEnds_NonXtal_Prot#'!$A:$AL,28,FALSE)-4,1)</f>
        <v>D</v>
      </c>
      <c r="AH200" s="49" t="str">
        <f>MID(VLOOKUP($A200,Seqs!$A:$B,2,FALSE),VLOOKUP($A200,'SegEnds_NonXtal_Prot#'!$A:$AL,28,FALSE),1)</f>
        <v>P</v>
      </c>
    </row>
    <row r="201" spans="1:34" s="2" customFormat="1" x14ac:dyDescent="0.2">
      <c r="A201" s="2" t="s">
        <v>315</v>
      </c>
      <c r="B201" s="2" t="str">
        <f>LOWER(VLOOKUP(A201,Xtal_Templ!A:B,2,FALSE))</f>
        <v>nk1r_human</v>
      </c>
      <c r="C201" s="2" t="str">
        <f>VLOOKUP(A201,Classification!A:D,2,FALSE)</f>
        <v>A</v>
      </c>
      <c r="D201" s="2" t="str">
        <f>IF(ISERROR(MATCH(A201,'SegEnds_Xtal_Prot#'!B:B, 0)), "NoXtal", "Xtal")</f>
        <v>NoXtal</v>
      </c>
      <c r="H201" s="4"/>
      <c r="N201" s="2" t="s">
        <v>14</v>
      </c>
      <c r="R201" s="2" t="s">
        <v>9</v>
      </c>
      <c r="T201" s="4" t="s">
        <v>12</v>
      </c>
      <c r="V201" s="28" t="str">
        <f>MID(VLOOKUP($A201,Seqs!$A:$B,2,FALSE),VLOOKUP($A201,'SegEnds_NonXtal_Prot#'!A:AL,10,FALSE),1)</f>
        <v>D</v>
      </c>
      <c r="W201" s="49" t="str">
        <f>MID(VLOOKUP($A201,Seqs!$A:$B,2,FALSE),VLOOKUP($A201,'SegEnds_NonXtal_Prot#'!A:AL,10,FALSE)+6,1)</f>
        <v>F</v>
      </c>
      <c r="X201" s="49" t="str">
        <f>MID(VLOOKUP($A201,Seqs!$A:$B,2,FALSE),VLOOKUP($A201,'SegEnds_NonXtal_Prot#'!A:AL,10,FALSE)+7,1)</f>
        <v>N</v>
      </c>
      <c r="Y201" s="49" t="str">
        <f>MID(VLOOKUP($A201,Seqs!$A:$B,2,FALSE),VLOOKUP($A201,'SegEnds_NonXtal_Prot#'!A:AL,10,FALSE)+8,1)</f>
        <v>A</v>
      </c>
      <c r="Z201" s="49" t="str">
        <f>MID(VLOOKUP($A201,Seqs!$A:$B,2,FALSE),VLOOKUP($A201,'SegEnds_NonXtal_Prot#'!A:AL,10,FALSE)+9,1)</f>
        <v>A</v>
      </c>
      <c r="AA201" s="49" t="str">
        <f>MID(VLOOKUP($A201,Seqs!$A:$B,2,FALSE),VLOOKUP($A201,'SegEnds_NonXtal_Prot#'!A:AL,10,FALSE)+10,1)</f>
        <v>F</v>
      </c>
      <c r="AB201" s="28" t="str">
        <f>MID(VLOOKUP($A201,Seqs!$A:$B,2,FALSE),VLOOKUP($A201,'SegEnds_NonXtal_Prot#'!$A:$AL,22,FALSE)+6,1)</f>
        <v>L</v>
      </c>
      <c r="AC201" s="49" t="str">
        <f>MID(VLOOKUP($A201,Seqs!$A:$B,2,FALSE),VLOOKUP($A201,'SegEnds_NonXtal_Prot#'!$A:$AL,22,FALSE)+7,1)</f>
        <v>A</v>
      </c>
      <c r="AD201" s="49" t="str">
        <f>MID(VLOOKUP($A201,Seqs!$A:$B,2,FALSE),VLOOKUP($A201,'SegEnds_NonXtal_Prot#'!$A:$AL,22,FALSE)+8,1)</f>
        <v>S</v>
      </c>
      <c r="AE201" s="49" t="str">
        <f>MID(VLOOKUP($A201,Seqs!$A:$B,2,FALSE),VLOOKUP($A201,'SegEnds_NonXtal_Prot#'!$A:$AL,22,FALSE)+9,1)</f>
        <v>P</v>
      </c>
      <c r="AF201" s="49" t="str">
        <f>MID(VLOOKUP($A201,Seqs!$A:$B,2,FALSE),VLOOKUP($A201,'SegEnds_NonXtal_Prot#'!$A:$AL,22,FALSE)+10,1)</f>
        <v>Q</v>
      </c>
      <c r="AG201" s="28" t="str">
        <f>MID(VLOOKUP($A201,Seqs!$A:$B,2,FALSE),VLOOKUP($A201,'SegEnds_NonXtal_Prot#'!$A:$AL,28,FALSE)-4,1)</f>
        <v>I</v>
      </c>
      <c r="AH201" s="49" t="str">
        <f>MID(VLOOKUP($A201,Seqs!$A:$B,2,FALSE),VLOOKUP($A201,'SegEnds_NonXtal_Prot#'!$A:$AL,28,FALSE),1)</f>
        <v>P</v>
      </c>
    </row>
    <row r="202" spans="1:34" s="2" customFormat="1" x14ac:dyDescent="0.2">
      <c r="A202" s="2" t="s">
        <v>323</v>
      </c>
      <c r="B202" s="2" t="str">
        <f>LOWER(VLOOKUP(A202,Xtal_Templ!A:B,2,FALSE))</f>
        <v>ox1r_human</v>
      </c>
      <c r="C202" s="2" t="str">
        <f>VLOOKUP(A202,Classification!A:D,2,FALSE)</f>
        <v>A</v>
      </c>
      <c r="D202" s="2" t="str">
        <f>IF(ISERROR(MATCH(A202,'SegEnds_Xtal_Prot#'!B:B, 0)), "NoXtal", "Xtal")</f>
        <v>NoXtal</v>
      </c>
      <c r="G202" s="2" t="s">
        <v>5</v>
      </c>
      <c r="H202" s="4"/>
      <c r="N202" s="2" t="s">
        <v>14</v>
      </c>
      <c r="R202" s="2" t="s">
        <v>9</v>
      </c>
      <c r="T202" s="4" t="s">
        <v>12</v>
      </c>
      <c r="V202" s="28" t="str">
        <f>MID(VLOOKUP($A202,Seqs!$A:$B,2,FALSE),VLOOKUP($A202,'SegEnds_NonXtal_Prot#'!A:AL,10,FALSE),1)</f>
        <v>D</v>
      </c>
      <c r="W202" s="49" t="str">
        <f>MID(VLOOKUP($A202,Seqs!$A:$B,2,FALSE),VLOOKUP($A202,'SegEnds_NonXtal_Prot#'!A:AL,10,FALSE)+6,1)</f>
        <v>F</v>
      </c>
      <c r="X202" s="49" t="str">
        <f>MID(VLOOKUP($A202,Seqs!$A:$B,2,FALSE),VLOOKUP($A202,'SegEnds_NonXtal_Prot#'!A:AL,10,FALSE)+7,1)</f>
        <v>C</v>
      </c>
      <c r="Y202" s="49" t="str">
        <f>MID(VLOOKUP($A202,Seqs!$A:$B,2,FALSE),VLOOKUP($A202,'SegEnds_NonXtal_Prot#'!A:AL,10,FALSE)+8,1)</f>
        <v>M</v>
      </c>
      <c r="Z202" s="49" t="str">
        <f>MID(VLOOKUP($A202,Seqs!$A:$B,2,FALSE),VLOOKUP($A202,'SegEnds_NonXtal_Prot#'!A:AL,10,FALSE)+9,1)</f>
        <v>P</v>
      </c>
      <c r="AA202" s="49" t="str">
        <f>MID(VLOOKUP($A202,Seqs!$A:$B,2,FALSE),VLOOKUP($A202,'SegEnds_NonXtal_Prot#'!A:AL,10,FALSE)+10,1)</f>
        <v>I</v>
      </c>
      <c r="AB202" s="28" t="str">
        <f>MID(VLOOKUP($A202,Seqs!$A:$B,2,FALSE),VLOOKUP($A202,'SegEnds_NonXtal_Prot#'!$A:$AL,22,FALSE)+6,1)</f>
        <v>I</v>
      </c>
      <c r="AC202" s="49" t="str">
        <f>MID(VLOOKUP($A202,Seqs!$A:$B,2,FALSE),VLOOKUP($A202,'SegEnds_NonXtal_Prot#'!$A:$AL,22,FALSE)+7,1)</f>
        <v>M</v>
      </c>
      <c r="AD202" s="49" t="str">
        <f>MID(VLOOKUP($A202,Seqs!$A:$B,2,FALSE),VLOOKUP($A202,'SegEnds_NonXtal_Prot#'!$A:$AL,22,FALSE)+8,1)</f>
        <v>S</v>
      </c>
      <c r="AE202" s="49" t="str">
        <f>MID(VLOOKUP($A202,Seqs!$A:$B,2,FALSE),VLOOKUP($A202,'SegEnds_NonXtal_Prot#'!$A:$AL,22,FALSE)+9,1)</f>
        <v>P</v>
      </c>
      <c r="AF202" s="49" t="str">
        <f>MID(VLOOKUP($A202,Seqs!$A:$B,2,FALSE),VLOOKUP($A202,'SegEnds_NonXtal_Prot#'!$A:$AL,22,FALSE)+10,1)</f>
        <v>S</v>
      </c>
      <c r="AG202" s="28" t="str">
        <f>MID(VLOOKUP($A202,Seqs!$A:$B,2,FALSE),VLOOKUP($A202,'SegEnds_NonXtal_Prot#'!$A:$AL,28,FALSE)-4,1)</f>
        <v>I</v>
      </c>
      <c r="AH202" s="49" t="str">
        <f>MID(VLOOKUP($A202,Seqs!$A:$B,2,FALSE),VLOOKUP($A202,'SegEnds_NonXtal_Prot#'!$A:$AL,28,FALSE),1)</f>
        <v>P</v>
      </c>
    </row>
    <row r="203" spans="1:34" s="2" customFormat="1" x14ac:dyDescent="0.2">
      <c r="A203" s="2" t="s">
        <v>326</v>
      </c>
      <c r="B203" s="2" t="str">
        <f>LOWER(VLOOKUP(A203,Xtal_Templ!A:B,2,FALSE))</f>
        <v>ox2r_human</v>
      </c>
      <c r="C203" s="2" t="str">
        <f>VLOOKUP(A203,Classification!A:D,2,FALSE)</f>
        <v>A</v>
      </c>
      <c r="D203" s="2" t="str">
        <f>IF(ISERROR(MATCH(A203,'SegEnds_Xtal_Prot#'!B:B, 0)), "NoXtal", "Xtal")</f>
        <v>NoXtal</v>
      </c>
      <c r="G203" s="2" t="s">
        <v>5</v>
      </c>
      <c r="H203" s="4"/>
      <c r="N203" s="2" t="s">
        <v>14</v>
      </c>
      <c r="R203" s="2" t="s">
        <v>9</v>
      </c>
      <c r="T203" s="4" t="s">
        <v>12</v>
      </c>
      <c r="V203" s="28" t="str">
        <f>MID(VLOOKUP($A203,Seqs!$A:$B,2,FALSE),VLOOKUP($A203,'SegEnds_NonXtal_Prot#'!A:AL,10,FALSE),1)</f>
        <v>D</v>
      </c>
      <c r="W203" s="49" t="str">
        <f>MID(VLOOKUP($A203,Seqs!$A:$B,2,FALSE),VLOOKUP($A203,'SegEnds_NonXtal_Prot#'!A:AL,10,FALSE)+6,1)</f>
        <v>L</v>
      </c>
      <c r="X203" s="49" t="str">
        <f>MID(VLOOKUP($A203,Seqs!$A:$B,2,FALSE),VLOOKUP($A203,'SegEnds_NonXtal_Prot#'!A:AL,10,FALSE)+7,1)</f>
        <v>C</v>
      </c>
      <c r="Y203" s="49" t="str">
        <f>MID(VLOOKUP($A203,Seqs!$A:$B,2,FALSE),VLOOKUP($A203,'SegEnds_NonXtal_Prot#'!A:AL,10,FALSE)+8,1)</f>
        <v>L</v>
      </c>
      <c r="Z203" s="49" t="str">
        <f>MID(VLOOKUP($A203,Seqs!$A:$B,2,FALSE),VLOOKUP($A203,'SegEnds_NonXtal_Prot#'!A:AL,10,FALSE)+9,1)</f>
        <v>P</v>
      </c>
      <c r="AA203" s="49" t="str">
        <f>MID(VLOOKUP($A203,Seqs!$A:$B,2,FALSE),VLOOKUP($A203,'SegEnds_NonXtal_Prot#'!A:AL,10,FALSE)+10,1)</f>
        <v>F</v>
      </c>
      <c r="AB203" s="28" t="str">
        <f>MID(VLOOKUP($A203,Seqs!$A:$B,2,FALSE),VLOOKUP($A203,'SegEnds_NonXtal_Prot#'!$A:$AL,22,FALSE)+6,1)</f>
        <v>L</v>
      </c>
      <c r="AC203" s="49" t="str">
        <f>MID(VLOOKUP($A203,Seqs!$A:$B,2,FALSE),VLOOKUP($A203,'SegEnds_NonXtal_Prot#'!$A:$AL,22,FALSE)+7,1)</f>
        <v>A</v>
      </c>
      <c r="AD203" s="49" t="str">
        <f>MID(VLOOKUP($A203,Seqs!$A:$B,2,FALSE),VLOOKUP($A203,'SegEnds_NonXtal_Prot#'!$A:$AL,22,FALSE)+8,1)</f>
        <v>S</v>
      </c>
      <c r="AE203" s="49" t="str">
        <f>MID(VLOOKUP($A203,Seqs!$A:$B,2,FALSE),VLOOKUP($A203,'SegEnds_NonXtal_Prot#'!$A:$AL,22,FALSE)+9,1)</f>
        <v>P</v>
      </c>
      <c r="AF203" s="49" t="str">
        <f>MID(VLOOKUP($A203,Seqs!$A:$B,2,FALSE),VLOOKUP($A203,'SegEnds_NonXtal_Prot#'!$A:$AL,22,FALSE)+10,1)</f>
        <v>L</v>
      </c>
      <c r="AG203" s="28" t="str">
        <f>MID(VLOOKUP($A203,Seqs!$A:$B,2,FALSE),VLOOKUP($A203,'SegEnds_NonXtal_Prot#'!$A:$AL,28,FALSE)-4,1)</f>
        <v>L</v>
      </c>
      <c r="AH203" s="49" t="str">
        <f>MID(VLOOKUP($A203,Seqs!$A:$B,2,FALSE),VLOOKUP($A203,'SegEnds_NonXtal_Prot#'!$A:$AL,28,FALSE),1)</f>
        <v>P</v>
      </c>
    </row>
    <row r="204" spans="1:34" s="2" customFormat="1" x14ac:dyDescent="0.2">
      <c r="A204" s="2" t="s">
        <v>1175</v>
      </c>
      <c r="B204" s="2" t="str">
        <f>LOWER(VLOOKUP(A204,Xtal_Templ!A:B,2,FALSE))</f>
        <v>ox1r_human</v>
      </c>
      <c r="C204" s="2" t="str">
        <f>VLOOKUP(A204,Classification!A:D,2,FALSE)</f>
        <v>A</v>
      </c>
      <c r="D204" s="2" t="str">
        <f>IF(ISERROR(MATCH(A204,'SegEnds_Xtal_Prot#'!B:B, 0)), "NoXtal", "Xtal")</f>
        <v>Xtal</v>
      </c>
      <c r="G204" s="2" t="s">
        <v>5</v>
      </c>
      <c r="H204" s="4"/>
      <c r="N204" s="2" t="s">
        <v>14</v>
      </c>
      <c r="R204" s="2" t="s">
        <v>9</v>
      </c>
      <c r="T204" s="4" t="s">
        <v>12</v>
      </c>
      <c r="V204" s="28" t="str">
        <f>MID(VLOOKUP($A204,Seqs!$A:$B,2,FALSE),VLOOKUP($A204,'SegEnds_NonXtal_Prot#'!A:AL,10,FALSE),1)</f>
        <v>D</v>
      </c>
      <c r="W204" s="49" t="str">
        <f>MID(VLOOKUP($A204,Seqs!$A:$B,2,FALSE),VLOOKUP($A204,'SegEnds_NonXtal_Prot#'!A:AL,10,FALSE)+6,1)</f>
        <v>I</v>
      </c>
      <c r="X204" s="49" t="str">
        <f>MID(VLOOKUP($A204,Seqs!$A:$B,2,FALSE),VLOOKUP($A204,'SegEnds_NonXtal_Prot#'!A:AL,10,FALSE)+7,1)</f>
        <v>C</v>
      </c>
      <c r="Y204" s="49" t="str">
        <f>MID(VLOOKUP($A204,Seqs!$A:$B,2,FALSE),VLOOKUP($A204,'SegEnds_NonXtal_Prot#'!A:AL,10,FALSE)+8,1)</f>
        <v>L</v>
      </c>
      <c r="Z204" s="49" t="str">
        <f>MID(VLOOKUP($A204,Seqs!$A:$B,2,FALSE),VLOOKUP($A204,'SegEnds_NonXtal_Prot#'!A:AL,10,FALSE)+9,1)</f>
        <v>P</v>
      </c>
      <c r="AA204" s="49" t="str">
        <f>MID(VLOOKUP($A204,Seqs!$A:$B,2,FALSE),VLOOKUP($A204,'SegEnds_NonXtal_Prot#'!A:AL,10,FALSE)+10,1)</f>
        <v>A</v>
      </c>
      <c r="AB204" s="28" t="str">
        <f>MID(VLOOKUP($A204,Seqs!$A:$B,2,FALSE),VLOOKUP($A204,'SegEnds_NonXtal_Prot#'!$A:$AL,22,FALSE)+6,1)</f>
        <v>I</v>
      </c>
      <c r="AC204" s="49" t="str">
        <f>MID(VLOOKUP($A204,Seqs!$A:$B,2,FALSE),VLOOKUP($A204,'SegEnds_NonXtal_Prot#'!$A:$AL,22,FALSE)+7,1)</f>
        <v>M</v>
      </c>
      <c r="AD204" s="49" t="str">
        <f>MID(VLOOKUP($A204,Seqs!$A:$B,2,FALSE),VLOOKUP($A204,'SegEnds_NonXtal_Prot#'!$A:$AL,22,FALSE)+8,1)</f>
        <v>V</v>
      </c>
      <c r="AE204" s="49" t="str">
        <f>MID(VLOOKUP($A204,Seqs!$A:$B,2,FALSE),VLOOKUP($A204,'SegEnds_NonXtal_Prot#'!$A:$AL,22,FALSE)+9,1)</f>
        <v>P</v>
      </c>
      <c r="AF204" s="49" t="str">
        <f>MID(VLOOKUP($A204,Seqs!$A:$B,2,FALSE),VLOOKUP($A204,'SegEnds_NonXtal_Prot#'!$A:$AL,22,FALSE)+10,1)</f>
        <v>Q</v>
      </c>
      <c r="AG204" s="28" t="str">
        <f>MID(VLOOKUP($A204,Seqs!$A:$B,2,FALSE),VLOOKUP($A204,'SegEnds_NonXtal_Prot#'!$A:$AL,28,FALSE)-4,1)</f>
        <v>T</v>
      </c>
      <c r="AH204" s="49" t="str">
        <f>MID(VLOOKUP($A204,Seqs!$A:$B,2,FALSE),VLOOKUP($A204,'SegEnds_NonXtal_Prot#'!$A:$AL,28,FALSE),1)</f>
        <v>P</v>
      </c>
    </row>
    <row r="205" spans="1:34" s="2" customFormat="1" x14ac:dyDescent="0.2">
      <c r="A205" s="2" t="s">
        <v>344</v>
      </c>
      <c r="B205" s="2" t="str">
        <f>LOWER(VLOOKUP(A205,Xtal_Templ!A:B,2,FALSE))</f>
        <v>ox2r_human</v>
      </c>
      <c r="C205" s="2" t="str">
        <f>VLOOKUP(A205,Classification!A:D,2,FALSE)</f>
        <v>A</v>
      </c>
      <c r="D205" s="2" t="str">
        <f>IF(ISERROR(MATCH(A205,'SegEnds_Xtal_Prot#'!B:B, 0)), "NoXtal", "Xtal")</f>
        <v>NoXtal</v>
      </c>
      <c r="H205" s="4"/>
      <c r="N205" s="2" t="s">
        <v>14</v>
      </c>
      <c r="R205" s="2" t="s">
        <v>9</v>
      </c>
      <c r="T205" s="4" t="s">
        <v>12</v>
      </c>
      <c r="V205" s="28" t="str">
        <f>MID(VLOOKUP($A205,Seqs!$A:$B,2,FALSE),VLOOKUP($A205,'SegEnds_NonXtal_Prot#'!A:AL,10,FALSE),1)</f>
        <v>D</v>
      </c>
      <c r="W205" s="49" t="str">
        <f>MID(VLOOKUP($A205,Seqs!$A:$B,2,FALSE),VLOOKUP($A205,'SegEnds_NonXtal_Prot#'!A:AL,10,FALSE)+6,1)</f>
        <v>F</v>
      </c>
      <c r="X205" s="49" t="str">
        <f>MID(VLOOKUP($A205,Seqs!$A:$B,2,FALSE),VLOOKUP($A205,'SegEnds_NonXtal_Prot#'!A:AL,10,FALSE)+7,1)</f>
        <v>Q</v>
      </c>
      <c r="Y205" s="49" t="str">
        <f>MID(VLOOKUP($A205,Seqs!$A:$B,2,FALSE),VLOOKUP($A205,'SegEnds_NonXtal_Prot#'!A:AL,10,FALSE)+8,1)</f>
        <v>V</v>
      </c>
      <c r="Z205" s="49" t="str">
        <f>MID(VLOOKUP($A205,Seqs!$A:$B,2,FALSE),VLOOKUP($A205,'SegEnds_NonXtal_Prot#'!A:AL,10,FALSE)+9,1)</f>
        <v>L</v>
      </c>
      <c r="AA205" s="49" t="str">
        <f>MID(VLOOKUP($A205,Seqs!$A:$B,2,FALSE),VLOOKUP($A205,'SegEnds_NonXtal_Prot#'!A:AL,10,FALSE)+10,1)</f>
        <v>P</v>
      </c>
      <c r="AB205" s="28" t="str">
        <f>MID(VLOOKUP($A205,Seqs!$A:$B,2,FALSE),VLOOKUP($A205,'SegEnds_NonXtal_Prot#'!$A:$AL,22,FALSE)+6,1)</f>
        <v>A</v>
      </c>
      <c r="AC205" s="49" t="str">
        <f>MID(VLOOKUP($A205,Seqs!$A:$B,2,FALSE),VLOOKUP($A205,'SegEnds_NonXtal_Prot#'!$A:$AL,22,FALSE)+7,1)</f>
        <v>S</v>
      </c>
      <c r="AD205" s="49" t="str">
        <f>MID(VLOOKUP($A205,Seqs!$A:$B,2,FALSE),VLOOKUP($A205,'SegEnds_NonXtal_Prot#'!$A:$AL,22,FALSE)+8,1)</f>
        <v>A</v>
      </c>
      <c r="AE205" s="49" t="str">
        <f>MID(VLOOKUP($A205,Seqs!$A:$B,2,FALSE),VLOOKUP($A205,'SegEnds_NonXtal_Prot#'!$A:$AL,22,FALSE)+9,1)</f>
        <v>P</v>
      </c>
      <c r="AF205" s="49" t="str">
        <f>MID(VLOOKUP($A205,Seqs!$A:$B,2,FALSE),VLOOKUP($A205,'SegEnds_NonXtal_Prot#'!$A:$AL,22,FALSE)+10,1)</f>
        <v>Q</v>
      </c>
      <c r="AG205" s="28" t="str">
        <f>MID(VLOOKUP($A205,Seqs!$A:$B,2,FALSE),VLOOKUP($A205,'SegEnds_NonXtal_Prot#'!$A:$AL,28,FALSE)-4,1)</f>
        <v>V</v>
      </c>
      <c r="AH205" s="49" t="str">
        <f>MID(VLOOKUP($A205,Seqs!$A:$B,2,FALSE),VLOOKUP($A205,'SegEnds_NonXtal_Prot#'!$A:$AL,28,FALSE),1)</f>
        <v>P</v>
      </c>
    </row>
    <row r="206" spans="1:34" s="2" customFormat="1" x14ac:dyDescent="0.2">
      <c r="A206" s="2" t="s">
        <v>163</v>
      </c>
      <c r="B206" s="2" t="str">
        <f>LOWER(VLOOKUP(A206,Xtal_Templ!A:B,2,FALSE))</f>
        <v>ednrb_human</v>
      </c>
      <c r="C206" s="2" t="str">
        <f>VLOOKUP(A206,Classification!A:D,2,FALSE)</f>
        <v>A</v>
      </c>
      <c r="D206" s="2" t="str">
        <f>IF(ISERROR(MATCH(A206,'SegEnds_Xtal_Prot#'!B:B, 0)), "NoXtal", "Xtal")</f>
        <v>NoXtal</v>
      </c>
      <c r="G206" s="2" t="s">
        <v>5</v>
      </c>
      <c r="H206" s="4"/>
      <c r="N206" s="2" t="s">
        <v>14</v>
      </c>
      <c r="T206" s="4" t="s">
        <v>12</v>
      </c>
      <c r="V206" s="28" t="str">
        <f>MID(VLOOKUP($A206,Seqs!$A:$B,2,FALSE),VLOOKUP($A206,'SegEnds_NonXtal_Prot#'!A:AL,10,FALSE),1)</f>
        <v>D</v>
      </c>
      <c r="W206" s="49" t="str">
        <f>MID(VLOOKUP($A206,Seqs!$A:$B,2,FALSE),VLOOKUP($A206,'SegEnds_NonXtal_Prot#'!A:AL,10,FALSE)+6,1)</f>
        <v>T</v>
      </c>
      <c r="X206" s="49" t="str">
        <f>MID(VLOOKUP($A206,Seqs!$A:$B,2,FALSE),VLOOKUP($A206,'SegEnds_NonXtal_Prot#'!A:AL,10,FALSE)+7,1)</f>
        <v>C</v>
      </c>
      <c r="Y206" s="49" t="str">
        <f>MID(VLOOKUP($A206,Seqs!$A:$B,2,FALSE),VLOOKUP($A206,'SegEnds_NonXtal_Prot#'!A:AL,10,FALSE)+8,1)</f>
        <v>V</v>
      </c>
      <c r="Z206" s="49" t="str">
        <f>MID(VLOOKUP($A206,Seqs!$A:$B,2,FALSE),VLOOKUP($A206,'SegEnds_NonXtal_Prot#'!A:AL,10,FALSE)+9,1)</f>
        <v>P</v>
      </c>
      <c r="AA206" s="49" t="str">
        <f>MID(VLOOKUP($A206,Seqs!$A:$B,2,FALSE),VLOOKUP($A206,'SegEnds_NonXtal_Prot#'!A:AL,10,FALSE)+10,1)</f>
        <v>V</v>
      </c>
      <c r="AB206" s="28" t="str">
        <f>MID(VLOOKUP($A206,Seqs!$A:$B,2,FALSE),VLOOKUP($A206,'SegEnds_NonXtal_Prot#'!$A:$AL,22,FALSE)+6,1)</f>
        <v>F</v>
      </c>
      <c r="AC206" s="49" t="str">
        <f>MID(VLOOKUP($A206,Seqs!$A:$B,2,FALSE),VLOOKUP($A206,'SegEnds_NonXtal_Prot#'!$A:$AL,22,FALSE)+7,1)</f>
        <v>A</v>
      </c>
      <c r="AD206" s="49" t="str">
        <f>MID(VLOOKUP($A206,Seqs!$A:$B,2,FALSE),VLOOKUP($A206,'SegEnds_NonXtal_Prot#'!$A:$AL,22,FALSE)+8,1)</f>
        <v>L</v>
      </c>
      <c r="AE206" s="49" t="str">
        <f>MID(VLOOKUP($A206,Seqs!$A:$B,2,FALSE),VLOOKUP($A206,'SegEnds_NonXtal_Prot#'!$A:$AL,22,FALSE)+9,1)</f>
        <v>P</v>
      </c>
      <c r="AF206" s="49" t="str">
        <f>MID(VLOOKUP($A206,Seqs!$A:$B,2,FALSE),VLOOKUP($A206,'SegEnds_NonXtal_Prot#'!$A:$AL,22,FALSE)+10,1)</f>
        <v>E</v>
      </c>
      <c r="AG206" s="28" t="str">
        <f>MID(VLOOKUP($A206,Seqs!$A:$B,2,FALSE),VLOOKUP($A206,'SegEnds_NonXtal_Prot#'!$A:$AL,28,FALSE)-4,1)</f>
        <v>F</v>
      </c>
      <c r="AH206" s="49" t="str">
        <f>MID(VLOOKUP($A206,Seqs!$A:$B,2,FALSE),VLOOKUP($A206,'SegEnds_NonXtal_Prot#'!$A:$AL,28,FALSE),1)</f>
        <v>P</v>
      </c>
    </row>
    <row r="207" spans="1:34" s="2" customFormat="1" x14ac:dyDescent="0.2">
      <c r="A207" s="2" t="s">
        <v>167</v>
      </c>
      <c r="B207" s="2" t="str">
        <f>LOWER(VLOOKUP(A207,Xtal_Templ!A:B,2,FALSE))</f>
        <v>ox1r_human</v>
      </c>
      <c r="C207" s="2" t="str">
        <f>VLOOKUP(A207,Classification!A:D,2,FALSE)</f>
        <v>A</v>
      </c>
      <c r="D207" s="2" t="str">
        <f>IF(ISERROR(MATCH(A207,'SegEnds_Xtal_Prot#'!B:B, 0)), "NoXtal", "Xtal")</f>
        <v>NoXtal</v>
      </c>
      <c r="G207" s="2" t="s">
        <v>5</v>
      </c>
      <c r="H207" s="4"/>
      <c r="N207" s="2" t="s">
        <v>14</v>
      </c>
      <c r="R207" s="2" t="s">
        <v>9</v>
      </c>
      <c r="T207" s="4" t="s">
        <v>12</v>
      </c>
      <c r="V207" s="28" t="str">
        <f>MID(VLOOKUP($A207,Seqs!$A:$B,2,FALSE),VLOOKUP($A207,'SegEnds_NonXtal_Prot#'!A:AL,10,FALSE),1)</f>
        <v>D</v>
      </c>
      <c r="W207" s="49" t="str">
        <f>MID(VLOOKUP($A207,Seqs!$A:$B,2,FALSE),VLOOKUP($A207,'SegEnds_NonXtal_Prot#'!A:AL,10,FALSE)+6,1)</f>
        <v>F</v>
      </c>
      <c r="X207" s="49" t="str">
        <f>MID(VLOOKUP($A207,Seqs!$A:$B,2,FALSE),VLOOKUP($A207,'SegEnds_NonXtal_Prot#'!A:AL,10,FALSE)+7,1)</f>
        <v>C</v>
      </c>
      <c r="Y207" s="49" t="str">
        <f>MID(VLOOKUP($A207,Seqs!$A:$B,2,FALSE),VLOOKUP($A207,'SegEnds_NonXtal_Prot#'!A:AL,10,FALSE)+8,1)</f>
        <v>M</v>
      </c>
      <c r="Z207" s="49" t="str">
        <f>MID(VLOOKUP($A207,Seqs!$A:$B,2,FALSE),VLOOKUP($A207,'SegEnds_NonXtal_Prot#'!A:AL,10,FALSE)+9,1)</f>
        <v>P</v>
      </c>
      <c r="AA207" s="49" t="str">
        <f>MID(VLOOKUP($A207,Seqs!$A:$B,2,FALSE),VLOOKUP($A207,'SegEnds_NonXtal_Prot#'!A:AL,10,FALSE)+10,1)</f>
        <v>F</v>
      </c>
      <c r="AB207" s="28" t="str">
        <f>MID(VLOOKUP($A207,Seqs!$A:$B,2,FALSE),VLOOKUP($A207,'SegEnds_NonXtal_Prot#'!$A:$AL,22,FALSE)+6,1)</f>
        <v>I</v>
      </c>
      <c r="AC207" s="49" t="str">
        <f>MID(VLOOKUP($A207,Seqs!$A:$B,2,FALSE),VLOOKUP($A207,'SegEnds_NonXtal_Prot#'!$A:$AL,22,FALSE)+7,1)</f>
        <v>M</v>
      </c>
      <c r="AD207" s="49" t="str">
        <f>MID(VLOOKUP($A207,Seqs!$A:$B,2,FALSE),VLOOKUP($A207,'SegEnds_NonXtal_Prot#'!$A:$AL,22,FALSE)+8,1)</f>
        <v>T</v>
      </c>
      <c r="AE207" s="49" t="str">
        <f>MID(VLOOKUP($A207,Seqs!$A:$B,2,FALSE),VLOOKUP($A207,'SegEnds_NonXtal_Prot#'!$A:$AL,22,FALSE)+9,1)</f>
        <v>P</v>
      </c>
      <c r="AF207" s="49" t="str">
        <f>MID(VLOOKUP($A207,Seqs!$A:$B,2,FALSE),VLOOKUP($A207,'SegEnds_NonXtal_Prot#'!$A:$AL,22,FALSE)+10,1)</f>
        <v>Y</v>
      </c>
      <c r="AG207" s="28" t="str">
        <f>MID(VLOOKUP($A207,Seqs!$A:$B,2,FALSE),VLOOKUP($A207,'SegEnds_NonXtal_Prot#'!$A:$AL,28,FALSE)-4,1)</f>
        <v>L</v>
      </c>
      <c r="AH207" s="49" t="str">
        <f>MID(VLOOKUP($A207,Seqs!$A:$B,2,FALSE),VLOOKUP($A207,'SegEnds_NonXtal_Prot#'!$A:$AL,28,FALSE),1)</f>
        <v>P</v>
      </c>
    </row>
    <row r="208" spans="1:34" s="2" customFormat="1" x14ac:dyDescent="0.2">
      <c r="A208" s="2" t="s">
        <v>208</v>
      </c>
      <c r="B208" s="2" t="str">
        <f>LOWER(VLOOKUP(A208,Xtal_Templ!A:B,2,FALSE))</f>
        <v>ox2r_human</v>
      </c>
      <c r="C208" s="2" t="str">
        <f>VLOOKUP(A208,Classification!A:D,2,FALSE)</f>
        <v>A</v>
      </c>
      <c r="D208" s="2" t="str">
        <f>IF(ISERROR(MATCH(A208,'SegEnds_Xtal_Prot#'!B:B, 0)), "NoXtal", "Xtal")</f>
        <v>NoXtal</v>
      </c>
      <c r="G208" s="2" t="s">
        <v>5</v>
      </c>
      <c r="H208" s="4"/>
      <c r="N208" s="2" t="s">
        <v>14</v>
      </c>
      <c r="R208" s="2" t="s">
        <v>9</v>
      </c>
      <c r="T208" s="4" t="s">
        <v>12</v>
      </c>
      <c r="V208" s="28" t="str">
        <f>MID(VLOOKUP($A208,Seqs!$A:$B,2,FALSE),VLOOKUP($A208,'SegEnds_NonXtal_Prot#'!A:AL,10,FALSE),1)</f>
        <v>D</v>
      </c>
      <c r="W208" s="49" t="str">
        <f>MID(VLOOKUP($A208,Seqs!$A:$B,2,FALSE),VLOOKUP($A208,'SegEnds_NonXtal_Prot#'!A:AL,10,FALSE)+6,1)</f>
        <v>A</v>
      </c>
      <c r="X208" s="49" t="str">
        <f>MID(VLOOKUP($A208,Seqs!$A:$B,2,FALSE),VLOOKUP($A208,'SegEnds_NonXtal_Prot#'!A:AL,10,FALSE)+7,1)</f>
        <v>C</v>
      </c>
      <c r="Y208" s="49" t="str">
        <f>MID(VLOOKUP($A208,Seqs!$A:$B,2,FALSE),VLOOKUP($A208,'SegEnds_NonXtal_Prot#'!A:AL,10,FALSE)+8,1)</f>
        <v>M</v>
      </c>
      <c r="Z208" s="49" t="str">
        <f>MID(VLOOKUP($A208,Seqs!$A:$B,2,FALSE),VLOOKUP($A208,'SegEnds_NonXtal_Prot#'!A:AL,10,FALSE)+9,1)</f>
        <v>P</v>
      </c>
      <c r="AA208" s="49" t="str">
        <f>MID(VLOOKUP($A208,Seqs!$A:$B,2,FALSE),VLOOKUP($A208,'SegEnds_NonXtal_Prot#'!A:AL,10,FALSE)+10,1)</f>
        <v>F</v>
      </c>
      <c r="AB208" s="28" t="str">
        <f>MID(VLOOKUP($A208,Seqs!$A:$B,2,FALSE),VLOOKUP($A208,'SegEnds_NonXtal_Prot#'!$A:$AL,22,FALSE)+6,1)</f>
        <v>L</v>
      </c>
      <c r="AC208" s="49" t="str">
        <f>MID(VLOOKUP($A208,Seqs!$A:$B,2,FALSE),VLOOKUP($A208,'SegEnds_NonXtal_Prot#'!$A:$AL,22,FALSE)+7,1)</f>
        <v>M</v>
      </c>
      <c r="AD208" s="49" t="str">
        <f>MID(VLOOKUP($A208,Seqs!$A:$B,2,FALSE),VLOOKUP($A208,'SegEnds_NonXtal_Prot#'!$A:$AL,22,FALSE)+8,1)</f>
        <v>V</v>
      </c>
      <c r="AE208" s="49" t="str">
        <f>MID(VLOOKUP($A208,Seqs!$A:$B,2,FALSE),VLOOKUP($A208,'SegEnds_NonXtal_Prot#'!$A:$AL,22,FALSE)+9,1)</f>
        <v>P</v>
      </c>
      <c r="AF208" s="49" t="str">
        <f>MID(VLOOKUP($A208,Seqs!$A:$B,2,FALSE),VLOOKUP($A208,'SegEnds_NonXtal_Prot#'!$A:$AL,22,FALSE)+10,1)</f>
        <v>Y</v>
      </c>
      <c r="AG208" s="28" t="str">
        <f>MID(VLOOKUP($A208,Seqs!$A:$B,2,FALSE),VLOOKUP($A208,'SegEnds_NonXtal_Prot#'!$A:$AL,28,FALSE)-4,1)</f>
        <v>L</v>
      </c>
      <c r="AH208" s="49" t="str">
        <f>MID(VLOOKUP($A208,Seqs!$A:$B,2,FALSE),VLOOKUP($A208,'SegEnds_NonXtal_Prot#'!$A:$AL,28,FALSE),1)</f>
        <v>P</v>
      </c>
    </row>
    <row r="209" spans="1:34" s="2" customFormat="1" x14ac:dyDescent="0.2">
      <c r="A209" s="2" t="s">
        <v>223</v>
      </c>
      <c r="B209" s="2" t="str">
        <f>LOWER(VLOOKUP(A209,Xtal_Templ!A:B,2,FALSE))</f>
        <v>agtr2_human</v>
      </c>
      <c r="C209" s="2" t="str">
        <f>VLOOKUP(A209,Classification!A:D,2,FALSE)</f>
        <v>A</v>
      </c>
      <c r="D209" s="2" t="str">
        <f>IF(ISERROR(MATCH(A209,'SegEnds_Xtal_Prot#'!B:B, 0)), "NoXtal", "Xtal")</f>
        <v>NoXtal</v>
      </c>
      <c r="G209" s="2" t="s">
        <v>5</v>
      </c>
      <c r="H209" s="4"/>
      <c r="N209" s="2" t="s">
        <v>14</v>
      </c>
      <c r="R209" s="2" t="s">
        <v>9</v>
      </c>
      <c r="T209" s="4" t="s">
        <v>12</v>
      </c>
      <c r="V209" s="28" t="str">
        <f>MID(VLOOKUP($A209,Seqs!$A:$B,2,FALSE),VLOOKUP($A209,'SegEnds_NonXtal_Prot#'!A:AL,10,FALSE),1)</f>
        <v>D</v>
      </c>
      <c r="W209" s="49" t="str">
        <f>MID(VLOOKUP($A209,Seqs!$A:$B,2,FALSE),VLOOKUP($A209,'SegEnds_NonXtal_Prot#'!A:AL,10,FALSE)+6,1)</f>
        <v>F</v>
      </c>
      <c r="X209" s="49" t="str">
        <f>MID(VLOOKUP($A209,Seqs!$A:$B,2,FALSE),VLOOKUP($A209,'SegEnds_NonXtal_Prot#'!A:AL,10,FALSE)+7,1)</f>
        <v>S</v>
      </c>
      <c r="Y209" s="49" t="str">
        <f>MID(VLOOKUP($A209,Seqs!$A:$B,2,FALSE),VLOOKUP($A209,'SegEnds_NonXtal_Prot#'!A:AL,10,FALSE)+8,1)</f>
        <v>A</v>
      </c>
      <c r="Z209" s="49" t="str">
        <f>MID(VLOOKUP($A209,Seqs!$A:$B,2,FALSE),VLOOKUP($A209,'SegEnds_NonXtal_Prot#'!A:AL,10,FALSE)+9,1)</f>
        <v>P</v>
      </c>
      <c r="AA209" s="49" t="str">
        <f>MID(VLOOKUP($A209,Seqs!$A:$B,2,FALSE),VLOOKUP($A209,'SegEnds_NonXtal_Prot#'!A:AL,10,FALSE)+10,1)</f>
        <v>I</v>
      </c>
      <c r="AB209" s="28" t="str">
        <f>MID(VLOOKUP($A209,Seqs!$A:$B,2,FALSE),VLOOKUP($A209,'SegEnds_NonXtal_Prot#'!$A:$AL,22,FALSE)+6,1)</f>
        <v>L</v>
      </c>
      <c r="AC209" s="49" t="str">
        <f>MID(VLOOKUP($A209,Seqs!$A:$B,2,FALSE),VLOOKUP($A209,'SegEnds_NonXtal_Prot#'!$A:$AL,22,FALSE)+7,1)</f>
        <v>P</v>
      </c>
      <c r="AD209" s="49" t="str">
        <f>MID(VLOOKUP($A209,Seqs!$A:$B,2,FALSE),VLOOKUP($A209,'SegEnds_NonXtal_Prot#'!$A:$AL,22,FALSE)+8,1)</f>
        <v>L</v>
      </c>
      <c r="AE209" s="49" t="str">
        <f>MID(VLOOKUP($A209,Seqs!$A:$B,2,FALSE),VLOOKUP($A209,'SegEnds_NonXtal_Prot#'!$A:$AL,22,FALSE)+9,1)</f>
        <v>P</v>
      </c>
      <c r="AF209" s="49" t="str">
        <f>MID(VLOOKUP($A209,Seqs!$A:$B,2,FALSE),VLOOKUP($A209,'SegEnds_NonXtal_Prot#'!$A:$AL,22,FALSE)+10,1)</f>
        <v>E</v>
      </c>
      <c r="AG209" s="28" t="str">
        <f>MID(VLOOKUP($A209,Seqs!$A:$B,2,FALSE),VLOOKUP($A209,'SegEnds_NonXtal_Prot#'!$A:$AL,28,FALSE)-4,1)</f>
        <v>A</v>
      </c>
      <c r="AH209" s="49" t="str">
        <f>MID(VLOOKUP($A209,Seqs!$A:$B,2,FALSE),VLOOKUP($A209,'SegEnds_NonXtal_Prot#'!$A:$AL,28,FALSE),1)</f>
        <v>P</v>
      </c>
    </row>
    <row r="210" spans="1:34" s="2" customFormat="1" x14ac:dyDescent="0.2">
      <c r="A210" s="2" t="s">
        <v>225</v>
      </c>
      <c r="B210" s="2" t="str">
        <f>LOWER(VLOOKUP(A210,Xtal_Templ!A:B,2,FALSE))</f>
        <v>5ht2a_human</v>
      </c>
      <c r="C210" s="2" t="str">
        <f>VLOOKUP(A210,Classification!A:D,2,FALSE)</f>
        <v>A</v>
      </c>
      <c r="D210" s="2" t="str">
        <f>IF(ISERROR(MATCH(A210,'SegEnds_Xtal_Prot#'!B:B, 0)), "NoXtal", "Xtal")</f>
        <v>NoXtal</v>
      </c>
      <c r="H210" s="4"/>
      <c r="T210" s="4" t="s">
        <v>12</v>
      </c>
      <c r="V210" s="28" t="str">
        <f>MID(VLOOKUP($A210,Seqs!$A:$B,2,FALSE),VLOOKUP($A210,'SegEnds_NonXtal_Prot#'!A:AL,10,FALSE),1)</f>
        <v>T</v>
      </c>
      <c r="W210" s="49" t="str">
        <f>MID(VLOOKUP($A210,Seqs!$A:$B,2,FALSE),VLOOKUP($A210,'SegEnds_NonXtal_Prot#'!A:AL,10,FALSE)+6,1)</f>
        <v>A</v>
      </c>
      <c r="X210" s="49" t="str">
        <f>MID(VLOOKUP($A210,Seqs!$A:$B,2,FALSE),VLOOKUP($A210,'SegEnds_NonXtal_Prot#'!A:AL,10,FALSE)+7,1)</f>
        <v>V</v>
      </c>
      <c r="Y210" s="49" t="str">
        <f>MID(VLOOKUP($A210,Seqs!$A:$B,2,FALSE),VLOOKUP($A210,'SegEnds_NonXtal_Prot#'!A:AL,10,FALSE)+8,1)</f>
        <v>P</v>
      </c>
      <c r="Z210" s="49" t="str">
        <f>MID(VLOOKUP($A210,Seqs!$A:$B,2,FALSE),VLOOKUP($A210,'SegEnds_NonXtal_Prot#'!A:AL,10,FALSE)+9,1)</f>
        <v>I</v>
      </c>
      <c r="AA210" s="49" t="str">
        <f>MID(VLOOKUP($A210,Seqs!$A:$B,2,FALSE),VLOOKUP($A210,'SegEnds_NonXtal_Prot#'!A:AL,10,FALSE)+10,1)</f>
        <v>A</v>
      </c>
      <c r="AB210" s="28" t="str">
        <f>MID(VLOOKUP($A210,Seqs!$A:$B,2,FALSE),VLOOKUP($A210,'SegEnds_NonXtal_Prot#'!$A:$AL,22,FALSE)+6,1)</f>
        <v>L</v>
      </c>
      <c r="AC210" s="49" t="str">
        <f>MID(VLOOKUP($A210,Seqs!$A:$B,2,FALSE),VLOOKUP($A210,'SegEnds_NonXtal_Prot#'!$A:$AL,22,FALSE)+7,1)</f>
        <v>S</v>
      </c>
      <c r="AD210" s="49" t="str">
        <f>MID(VLOOKUP($A210,Seqs!$A:$B,2,FALSE),VLOOKUP($A210,'SegEnds_NonXtal_Prot#'!$A:$AL,22,FALSE)+8,1)</f>
        <v>A</v>
      </c>
      <c r="AE210" s="49" t="str">
        <f>MID(VLOOKUP($A210,Seqs!$A:$B,2,FALSE),VLOOKUP($A210,'SegEnds_NonXtal_Prot#'!$A:$AL,22,FALSE)+9,1)</f>
        <v>L</v>
      </c>
      <c r="AF210" s="49" t="str">
        <f>MID(VLOOKUP($A210,Seqs!$A:$B,2,FALSE),VLOOKUP($A210,'SegEnds_NonXtal_Prot#'!$A:$AL,22,FALSE)+10,1)</f>
        <v>P</v>
      </c>
      <c r="AG210" s="28" t="str">
        <f>MID(VLOOKUP($A210,Seqs!$A:$B,2,FALSE),VLOOKUP($A210,'SegEnds_NonXtal_Prot#'!$A:$AL,28,FALSE)-4,1)</f>
        <v>V</v>
      </c>
      <c r="AH210" s="49" t="str">
        <f>MID(VLOOKUP($A210,Seqs!$A:$B,2,FALSE),VLOOKUP($A210,'SegEnds_NonXtal_Prot#'!$A:$AL,28,FALSE),1)</f>
        <v>V</v>
      </c>
    </row>
    <row r="211" spans="1:34" s="2" customFormat="1" x14ac:dyDescent="0.2">
      <c r="A211" s="2" t="s">
        <v>242</v>
      </c>
      <c r="B211" s="2" t="str">
        <f>LOWER(VLOOKUP(A211,Xtal_Templ!A:B,2,FALSE))</f>
        <v>ox2r_human</v>
      </c>
      <c r="C211" s="2" t="str">
        <f>VLOOKUP(A211,Classification!A:D,2,FALSE)</f>
        <v>A</v>
      </c>
      <c r="D211" s="2" t="str">
        <f>IF(ISERROR(MATCH(A211,'SegEnds_Xtal_Prot#'!B:B, 0)), "NoXtal", "Xtal")</f>
        <v>NoXtal</v>
      </c>
      <c r="G211" s="2" t="s">
        <v>5</v>
      </c>
      <c r="H211" s="4"/>
      <c r="N211" s="2" t="s">
        <v>14</v>
      </c>
      <c r="R211" s="2" t="s">
        <v>9</v>
      </c>
      <c r="T211" s="4" t="s">
        <v>12</v>
      </c>
      <c r="V211" s="28" t="str">
        <f>MID(VLOOKUP($A211,Seqs!$A:$B,2,FALSE),VLOOKUP($A211,'SegEnds_NonXtal_Prot#'!A:AL,10,FALSE),1)</f>
        <v>D</v>
      </c>
      <c r="W211" s="49" t="str">
        <f>MID(VLOOKUP($A211,Seqs!$A:$B,2,FALSE),VLOOKUP($A211,'SegEnds_NonXtal_Prot#'!A:AL,10,FALSE)+6,1)</f>
        <v>A</v>
      </c>
      <c r="X211" s="49" t="str">
        <f>MID(VLOOKUP($A211,Seqs!$A:$B,2,FALSE),VLOOKUP($A211,'SegEnds_NonXtal_Prot#'!A:AL,10,FALSE)+7,1)</f>
        <v>S</v>
      </c>
      <c r="Y211" s="49" t="str">
        <f>MID(VLOOKUP($A211,Seqs!$A:$B,2,FALSE),VLOOKUP($A211,'SegEnds_NonXtal_Prot#'!A:AL,10,FALSE)+8,1)</f>
        <v>T</v>
      </c>
      <c r="Z211" s="49" t="str">
        <f>MID(VLOOKUP($A211,Seqs!$A:$B,2,FALSE),VLOOKUP($A211,'SegEnds_NonXtal_Prot#'!A:AL,10,FALSE)+9,1)</f>
        <v>P</v>
      </c>
      <c r="AA211" s="49" t="str">
        <f>MID(VLOOKUP($A211,Seqs!$A:$B,2,FALSE),VLOOKUP($A211,'SegEnds_NonXtal_Prot#'!A:AL,10,FALSE)+10,1)</f>
        <v>F</v>
      </c>
      <c r="AB211" s="28" t="str">
        <f>MID(VLOOKUP($A211,Seqs!$A:$B,2,FALSE),VLOOKUP($A211,'SegEnds_NonXtal_Prot#'!$A:$AL,22,FALSE)+6,1)</f>
        <v>F</v>
      </c>
      <c r="AC211" s="49" t="str">
        <f>MID(VLOOKUP($A211,Seqs!$A:$B,2,FALSE),VLOOKUP($A211,'SegEnds_NonXtal_Prot#'!$A:$AL,22,FALSE)+7,1)</f>
        <v>V</v>
      </c>
      <c r="AD211" s="49" t="str">
        <f>MID(VLOOKUP($A211,Seqs!$A:$B,2,FALSE),VLOOKUP($A211,'SegEnds_NonXtal_Prot#'!$A:$AL,22,FALSE)+8,1)</f>
        <v>T</v>
      </c>
      <c r="AE211" s="49" t="str">
        <f>MID(VLOOKUP($A211,Seqs!$A:$B,2,FALSE),VLOOKUP($A211,'SegEnds_NonXtal_Prot#'!$A:$AL,22,FALSE)+9,1)</f>
        <v>P</v>
      </c>
      <c r="AF211" s="49" t="str">
        <f>MID(VLOOKUP($A211,Seqs!$A:$B,2,FALSE),VLOOKUP($A211,'SegEnds_NonXtal_Prot#'!$A:$AL,22,FALSE)+10,1)</f>
        <v>V</v>
      </c>
      <c r="AG211" s="28" t="str">
        <f>MID(VLOOKUP($A211,Seqs!$A:$B,2,FALSE),VLOOKUP($A211,'SegEnds_NonXtal_Prot#'!$A:$AL,28,FALSE)-4,1)</f>
        <v>G</v>
      </c>
      <c r="AH211" s="49" t="str">
        <f>MID(VLOOKUP($A211,Seqs!$A:$B,2,FALSE),VLOOKUP($A211,'SegEnds_NonXtal_Prot#'!$A:$AL,28,FALSE),1)</f>
        <v>P</v>
      </c>
    </row>
    <row r="212" spans="1:34" s="2" customFormat="1" x14ac:dyDescent="0.2">
      <c r="A212" s="2" t="s">
        <v>244</v>
      </c>
      <c r="B212" s="2" t="str">
        <f>LOWER(VLOOKUP(A212,Xtal_Templ!A:B,2,FALSE))</f>
        <v>5ht2c_human</v>
      </c>
      <c r="C212" s="2" t="str">
        <f>VLOOKUP(A212,Classification!A:D,2,FALSE)</f>
        <v>A</v>
      </c>
      <c r="D212" s="2" t="str">
        <f>IF(ISERROR(MATCH(A212,'SegEnds_Xtal_Prot#'!B:B, 0)), "NoXtal", "Xtal")</f>
        <v>NoXtal</v>
      </c>
      <c r="H212" s="4"/>
      <c r="N212" s="2" t="s">
        <v>14</v>
      </c>
      <c r="R212" s="2" t="s">
        <v>9</v>
      </c>
      <c r="T212" s="4" t="s">
        <v>12</v>
      </c>
      <c r="V212" s="28" t="str">
        <f>MID(VLOOKUP($A212,Seqs!$A:$B,2,FALSE),VLOOKUP($A212,'SegEnds_NonXtal_Prot#'!A:AL,10,FALSE),1)</f>
        <v>D</v>
      </c>
      <c r="W212" s="49" t="str">
        <f>MID(VLOOKUP($A212,Seqs!$A:$B,2,FALSE),VLOOKUP($A212,'SegEnds_NonXtal_Prot#'!A:AL,10,FALSE)+6,1)</f>
        <v>S</v>
      </c>
      <c r="X212" s="49" t="str">
        <f>MID(VLOOKUP($A212,Seqs!$A:$B,2,FALSE),VLOOKUP($A212,'SegEnds_NonXtal_Prot#'!A:AL,10,FALSE)+7,1)</f>
        <v>C</v>
      </c>
      <c r="Y212" s="49" t="str">
        <f>MID(VLOOKUP($A212,Seqs!$A:$B,2,FALSE),VLOOKUP($A212,'SegEnds_NonXtal_Prot#'!A:AL,10,FALSE)+8,1)</f>
        <v>V</v>
      </c>
      <c r="Z212" s="49" t="str">
        <f>MID(VLOOKUP($A212,Seqs!$A:$B,2,FALSE),VLOOKUP($A212,'SegEnds_NonXtal_Prot#'!A:AL,10,FALSE)+9,1)</f>
        <v>V</v>
      </c>
      <c r="AA212" s="49" t="str">
        <f>MID(VLOOKUP($A212,Seqs!$A:$B,2,FALSE),VLOOKUP($A212,'SegEnds_NonXtal_Prot#'!A:AL,10,FALSE)+10,1)</f>
        <v>P</v>
      </c>
      <c r="AB212" s="28" t="str">
        <f>MID(VLOOKUP($A212,Seqs!$A:$B,2,FALSE),VLOOKUP($A212,'SegEnds_NonXtal_Prot#'!$A:$AL,22,FALSE)+6,1)</f>
        <v>V</v>
      </c>
      <c r="AC212" s="49" t="str">
        <f>MID(VLOOKUP($A212,Seqs!$A:$B,2,FALSE),VLOOKUP($A212,'SegEnds_NonXtal_Prot#'!$A:$AL,22,FALSE)+7,1)</f>
        <v>F</v>
      </c>
      <c r="AD212" s="49" t="str">
        <f>MID(VLOOKUP($A212,Seqs!$A:$B,2,FALSE),VLOOKUP($A212,'SegEnds_NonXtal_Prot#'!$A:$AL,22,FALSE)+8,1)</f>
        <v>L</v>
      </c>
      <c r="AE212" s="49" t="str">
        <f>MID(VLOOKUP($A212,Seqs!$A:$B,2,FALSE),VLOOKUP($A212,'SegEnds_NonXtal_Prot#'!$A:$AL,22,FALSE)+9,1)</f>
        <v>P</v>
      </c>
      <c r="AF212" s="49" t="str">
        <f>MID(VLOOKUP($A212,Seqs!$A:$B,2,FALSE),VLOOKUP($A212,'SegEnds_NonXtal_Prot#'!$A:$AL,22,FALSE)+10,1)</f>
        <v>S</v>
      </c>
      <c r="AG212" s="28" t="str">
        <f>MID(VLOOKUP($A212,Seqs!$A:$B,2,FALSE),VLOOKUP($A212,'SegEnds_NonXtal_Prot#'!$A:$AL,28,FALSE)-4,1)</f>
        <v>M</v>
      </c>
      <c r="AH212" s="49" t="str">
        <f>MID(VLOOKUP($A212,Seqs!$A:$B,2,FALSE),VLOOKUP($A212,'SegEnds_NonXtal_Prot#'!$A:$AL,28,FALSE),1)</f>
        <v>P</v>
      </c>
    </row>
    <row r="213" spans="1:34" s="2" customFormat="1" x14ac:dyDescent="0.2">
      <c r="A213" s="2" t="s">
        <v>247</v>
      </c>
      <c r="B213" s="2" t="str">
        <f>LOWER(VLOOKUP(A213,Xtal_Templ!A:B,2,FALSE))</f>
        <v>drd2_human</v>
      </c>
      <c r="C213" s="2" t="str">
        <f>VLOOKUP(A213,Classification!A:D,2,FALSE)</f>
        <v>A</v>
      </c>
      <c r="D213" s="2" t="str">
        <f>IF(ISERROR(MATCH(A213,'SegEnds_Xtal_Prot#'!B:B, 0)), "NoXtal", "Xtal")</f>
        <v>NoXtal</v>
      </c>
      <c r="G213" s="2" t="s">
        <v>5</v>
      </c>
      <c r="H213" s="4"/>
      <c r="T213" s="4" t="s">
        <v>12</v>
      </c>
      <c r="V213" s="28" t="str">
        <f>MID(VLOOKUP($A213,Seqs!$A:$B,2,FALSE),VLOOKUP($A213,'SegEnds_NonXtal_Prot#'!A:AL,10,FALSE),1)</f>
        <v>N</v>
      </c>
      <c r="W213" s="49" t="str">
        <f>MID(VLOOKUP($A213,Seqs!$A:$B,2,FALSE),VLOOKUP($A213,'SegEnds_NonXtal_Prot#'!A:AL,10,FALSE)+6,1)</f>
        <v>V</v>
      </c>
      <c r="X213" s="49" t="str">
        <f>MID(VLOOKUP($A213,Seqs!$A:$B,2,FALSE),VLOOKUP($A213,'SegEnds_NonXtal_Prot#'!A:AL,10,FALSE)+7,1)</f>
        <v>N</v>
      </c>
      <c r="Y213" s="49" t="str">
        <f>MID(VLOOKUP($A213,Seqs!$A:$B,2,FALSE),VLOOKUP($A213,'SegEnds_NonXtal_Prot#'!A:AL,10,FALSE)+8,1)</f>
        <v>M</v>
      </c>
      <c r="Z213" s="49" t="str">
        <f>MID(VLOOKUP($A213,Seqs!$A:$B,2,FALSE),VLOOKUP($A213,'SegEnds_NonXtal_Prot#'!A:AL,10,FALSE)+9,1)</f>
        <v>P</v>
      </c>
      <c r="AA213" s="49" t="str">
        <f>MID(VLOOKUP($A213,Seqs!$A:$B,2,FALSE),VLOOKUP($A213,'SegEnds_NonXtal_Prot#'!A:AL,10,FALSE)+10,1)</f>
        <v>L</v>
      </c>
      <c r="AB213" s="28" t="str">
        <f>MID(VLOOKUP($A213,Seqs!$A:$B,2,FALSE),VLOOKUP($A213,'SegEnds_NonXtal_Prot#'!$A:$AL,22,FALSE)+6,1)</f>
        <v>F</v>
      </c>
      <c r="AC213" s="49" t="str">
        <f>MID(VLOOKUP($A213,Seqs!$A:$B,2,FALSE),VLOOKUP($A213,'SegEnds_NonXtal_Prot#'!$A:$AL,22,FALSE)+7,1)</f>
        <v>P</v>
      </c>
      <c r="AD213" s="49" t="str">
        <f>MID(VLOOKUP($A213,Seqs!$A:$B,2,FALSE),VLOOKUP($A213,'SegEnds_NonXtal_Prot#'!$A:$AL,22,FALSE)+8,1)</f>
        <v>A</v>
      </c>
      <c r="AE213" s="49" t="str">
        <f>MID(VLOOKUP($A213,Seqs!$A:$B,2,FALSE),VLOOKUP($A213,'SegEnds_NonXtal_Prot#'!$A:$AL,22,FALSE)+9,1)</f>
        <v>A</v>
      </c>
      <c r="AF213" s="49" t="str">
        <f>MID(VLOOKUP($A213,Seqs!$A:$B,2,FALSE),VLOOKUP($A213,'SegEnds_NonXtal_Prot#'!$A:$AL,22,FALSE)+10,1)</f>
        <v>A</v>
      </c>
      <c r="AG213" s="28" t="str">
        <f>MID(VLOOKUP($A213,Seqs!$A:$B,2,FALSE),VLOOKUP($A213,'SegEnds_NonXtal_Prot#'!$A:$AL,28,FALSE)-4,1)</f>
        <v>S</v>
      </c>
      <c r="AH213" s="49" t="str">
        <f>MID(VLOOKUP($A213,Seqs!$A:$B,2,FALSE),VLOOKUP($A213,'SegEnds_NonXtal_Prot#'!$A:$AL,28,FALSE),1)</f>
        <v>S</v>
      </c>
    </row>
    <row r="214" spans="1:34" s="2" customFormat="1" x14ac:dyDescent="0.2">
      <c r="A214" s="2" t="s">
        <v>260</v>
      </c>
      <c r="B214" s="2" t="str">
        <f>LOWER(VLOOKUP(A214,Xtal_Templ!A:B,2,FALSE))</f>
        <v>5ht2a_human</v>
      </c>
      <c r="C214" s="2" t="str">
        <f>VLOOKUP(A214,Classification!A:D,2,FALSE)</f>
        <v>A</v>
      </c>
      <c r="D214" s="2" t="str">
        <f>IF(ISERROR(MATCH(A214,'SegEnds_Xtal_Prot#'!B:B, 0)), "NoXtal", "Xtal")</f>
        <v>NoXtal</v>
      </c>
      <c r="H214" s="4"/>
      <c r="N214" s="2" t="s">
        <v>14</v>
      </c>
      <c r="R214" s="2" t="s">
        <v>9</v>
      </c>
      <c r="T214" s="4" t="s">
        <v>12</v>
      </c>
      <c r="V214" s="28" t="str">
        <f>MID(VLOOKUP($A214,Seqs!$A:$B,2,FALSE),VLOOKUP($A214,'SegEnds_NonXtal_Prot#'!A:AL,10,FALSE),1)</f>
        <v>D</v>
      </c>
      <c r="W214" s="49" t="str">
        <f>MID(VLOOKUP($A214,Seqs!$A:$B,2,FALSE),VLOOKUP($A214,'SegEnds_NonXtal_Prot#'!A:AL,10,FALSE)+6,1)</f>
        <v>S</v>
      </c>
      <c r="X214" s="49" t="str">
        <f>MID(VLOOKUP($A214,Seqs!$A:$B,2,FALSE),VLOOKUP($A214,'SegEnds_NonXtal_Prot#'!A:AL,10,FALSE)+7,1)</f>
        <v>C</v>
      </c>
      <c r="Y214" s="49" t="str">
        <f>MID(VLOOKUP($A214,Seqs!$A:$B,2,FALSE),VLOOKUP($A214,'SegEnds_NonXtal_Prot#'!A:AL,10,FALSE)+8,1)</f>
        <v>L</v>
      </c>
      <c r="Z214" s="49" t="str">
        <f>MID(VLOOKUP($A214,Seqs!$A:$B,2,FALSE),VLOOKUP($A214,'SegEnds_NonXtal_Prot#'!A:AL,10,FALSE)+9,1)</f>
        <v>V</v>
      </c>
      <c r="AA214" s="49" t="str">
        <f>MID(VLOOKUP($A214,Seqs!$A:$B,2,FALSE),VLOOKUP($A214,'SegEnds_NonXtal_Prot#'!A:AL,10,FALSE)+10,1)</f>
        <v>P</v>
      </c>
      <c r="AB214" s="28" t="str">
        <f>MID(VLOOKUP($A214,Seqs!$A:$B,2,FALSE),VLOOKUP($A214,'SegEnds_NonXtal_Prot#'!$A:$AL,22,FALSE)+6,1)</f>
        <v>I</v>
      </c>
      <c r="AC214" s="49" t="str">
        <f>MID(VLOOKUP($A214,Seqs!$A:$B,2,FALSE),VLOOKUP($A214,'SegEnds_NonXtal_Prot#'!$A:$AL,22,FALSE)+7,1)</f>
        <v>F</v>
      </c>
      <c r="AD214" s="49" t="str">
        <f>MID(VLOOKUP($A214,Seqs!$A:$B,2,FALSE),VLOOKUP($A214,'SegEnds_NonXtal_Prot#'!$A:$AL,22,FALSE)+8,1)</f>
        <v>L</v>
      </c>
      <c r="AE214" s="49" t="str">
        <f>MID(VLOOKUP($A214,Seqs!$A:$B,2,FALSE),VLOOKUP($A214,'SegEnds_NonXtal_Prot#'!$A:$AL,22,FALSE)+9,1)</f>
        <v>P</v>
      </c>
      <c r="AF214" s="49" t="str">
        <f>MID(VLOOKUP($A214,Seqs!$A:$B,2,FALSE),VLOOKUP($A214,'SegEnds_NonXtal_Prot#'!$A:$AL,22,FALSE)+10,1)</f>
        <v>S</v>
      </c>
      <c r="AG214" s="28" t="str">
        <f>MID(VLOOKUP($A214,Seqs!$A:$B,2,FALSE),VLOOKUP($A214,'SegEnds_NonXtal_Prot#'!$A:$AL,28,FALSE)-4,1)</f>
        <v>L</v>
      </c>
      <c r="AH214" s="49" t="str">
        <f>MID(VLOOKUP($A214,Seqs!$A:$B,2,FALSE),VLOOKUP($A214,'SegEnds_NonXtal_Prot#'!$A:$AL,28,FALSE),1)</f>
        <v>P</v>
      </c>
    </row>
    <row r="215" spans="1:34" s="2" customFormat="1" x14ac:dyDescent="0.2">
      <c r="A215" s="2" t="s">
        <v>269</v>
      </c>
      <c r="B215" s="2" t="str">
        <f>LOWER(VLOOKUP(A215,Xtal_Templ!A:B,2,FALSE))</f>
        <v>ox2r_human</v>
      </c>
      <c r="C215" s="2" t="str">
        <f>VLOOKUP(A215,Classification!A:D,2,FALSE)</f>
        <v>A</v>
      </c>
      <c r="D215" s="2" t="str">
        <f>IF(ISERROR(MATCH(A215,'SegEnds_Xtal_Prot#'!B:B, 0)), "NoXtal", "Xtal")</f>
        <v>NoXtal</v>
      </c>
      <c r="G215" s="2" t="s">
        <v>5</v>
      </c>
      <c r="H215" s="4"/>
      <c r="N215" s="2" t="s">
        <v>14</v>
      </c>
      <c r="R215" s="2" t="s">
        <v>9</v>
      </c>
      <c r="T215" s="4" t="s">
        <v>12</v>
      </c>
      <c r="V215" s="28" t="str">
        <f>MID(VLOOKUP($A215,Seqs!$A:$B,2,FALSE),VLOOKUP($A215,'SegEnds_NonXtal_Prot#'!A:AL,10,FALSE),1)</f>
        <v>D</v>
      </c>
      <c r="W215" s="49" t="str">
        <f>MID(VLOOKUP($A215,Seqs!$A:$B,2,FALSE),VLOOKUP($A215,'SegEnds_NonXtal_Prot#'!A:AL,10,FALSE)+6,1)</f>
        <v>L</v>
      </c>
      <c r="X215" s="49" t="str">
        <f>MID(VLOOKUP($A215,Seqs!$A:$B,2,FALSE),VLOOKUP($A215,'SegEnds_NonXtal_Prot#'!A:AL,10,FALSE)+7,1)</f>
        <v>N</v>
      </c>
      <c r="Y215" s="49" t="str">
        <f>MID(VLOOKUP($A215,Seqs!$A:$B,2,FALSE),VLOOKUP($A215,'SegEnds_NonXtal_Prot#'!A:AL,10,FALSE)+8,1)</f>
        <v>T</v>
      </c>
      <c r="Z215" s="49" t="str">
        <f>MID(VLOOKUP($A215,Seqs!$A:$B,2,FALSE),VLOOKUP($A215,'SegEnds_NonXtal_Prot#'!A:AL,10,FALSE)+9,1)</f>
        <v>P</v>
      </c>
      <c r="AA215" s="49" t="str">
        <f>MID(VLOOKUP($A215,Seqs!$A:$B,2,FALSE),VLOOKUP($A215,'SegEnds_NonXtal_Prot#'!A:AL,10,FALSE)+10,1)</f>
        <v>F</v>
      </c>
      <c r="AB215" s="28" t="str">
        <f>MID(VLOOKUP($A215,Seqs!$A:$B,2,FALSE),VLOOKUP($A215,'SegEnds_NonXtal_Prot#'!$A:$AL,22,FALSE)+6,1)</f>
        <v>F</v>
      </c>
      <c r="AC215" s="49" t="str">
        <f>MID(VLOOKUP($A215,Seqs!$A:$B,2,FALSE),VLOOKUP($A215,'SegEnds_NonXtal_Prot#'!$A:$AL,22,FALSE)+7,1)</f>
        <v>S</v>
      </c>
      <c r="AD215" s="49" t="str">
        <f>MID(VLOOKUP($A215,Seqs!$A:$B,2,FALSE),VLOOKUP($A215,'SegEnds_NonXtal_Prot#'!$A:$AL,22,FALSE)+8,1)</f>
        <v>L</v>
      </c>
      <c r="AE215" s="49" t="str">
        <f>MID(VLOOKUP($A215,Seqs!$A:$B,2,FALSE),VLOOKUP($A215,'SegEnds_NonXtal_Prot#'!$A:$AL,22,FALSE)+9,1)</f>
        <v>P</v>
      </c>
      <c r="AF215" s="49" t="str">
        <f>MID(VLOOKUP($A215,Seqs!$A:$B,2,FALSE),VLOOKUP($A215,'SegEnds_NonXtal_Prot#'!$A:$AL,22,FALSE)+10,1)</f>
        <v>H</v>
      </c>
      <c r="AG215" s="28" t="str">
        <f>MID(VLOOKUP($A215,Seqs!$A:$B,2,FALSE),VLOOKUP($A215,'SegEnds_NonXtal_Prot#'!$A:$AL,28,FALSE)-4,1)</f>
        <v>L</v>
      </c>
      <c r="AH215" s="49" t="str">
        <f>MID(VLOOKUP($A215,Seqs!$A:$B,2,FALSE),VLOOKUP($A215,'SegEnds_NonXtal_Prot#'!$A:$AL,28,FALSE),1)</f>
        <v>P</v>
      </c>
    </row>
    <row r="216" spans="1:34" s="2" customFormat="1" x14ac:dyDescent="0.2">
      <c r="A216" s="2" t="s">
        <v>312</v>
      </c>
      <c r="B216" s="2" t="str">
        <f>LOWER(VLOOKUP(A216,Xtal_Templ!A:B,2,FALSE))</f>
        <v>ox2r_human</v>
      </c>
      <c r="C216" s="2" t="str">
        <f>VLOOKUP(A216,Classification!A:D,2,FALSE)</f>
        <v>A</v>
      </c>
      <c r="D216" s="2" t="str">
        <f>IF(ISERROR(MATCH(A216,'SegEnds_Xtal_Prot#'!B:B, 0)), "NoXtal", "Xtal")</f>
        <v>NoXtal</v>
      </c>
      <c r="H216" s="4"/>
      <c r="N216" s="2" t="s">
        <v>14</v>
      </c>
      <c r="R216" s="2" t="s">
        <v>9</v>
      </c>
      <c r="T216" s="4" t="s">
        <v>12</v>
      </c>
      <c r="V216" s="28" t="str">
        <f>MID(VLOOKUP($A216,Seqs!$A:$B,2,FALSE),VLOOKUP($A216,'SegEnds_NonXtal_Prot#'!A:AL,10,FALSE),1)</f>
        <v>D</v>
      </c>
      <c r="W216" s="49" t="str">
        <f>MID(VLOOKUP($A216,Seqs!$A:$B,2,FALSE),VLOOKUP($A216,'SegEnds_NonXtal_Prot#'!A:AL,10,FALSE)+6,1)</f>
        <v>Y</v>
      </c>
      <c r="X216" s="49" t="str">
        <f>MID(VLOOKUP($A216,Seqs!$A:$B,2,FALSE),VLOOKUP($A216,'SegEnds_NonXtal_Prot#'!A:AL,10,FALSE)+7,1)</f>
        <v>P</v>
      </c>
      <c r="Y216" s="49" t="str">
        <f>MID(VLOOKUP($A216,Seqs!$A:$B,2,FALSE),VLOOKUP($A216,'SegEnds_NonXtal_Prot#'!A:AL,10,FALSE)+8,1)</f>
        <v>Y</v>
      </c>
      <c r="Z216" s="49" t="str">
        <f>MID(VLOOKUP($A216,Seqs!$A:$B,2,FALSE),VLOOKUP($A216,'SegEnds_NonXtal_Prot#'!A:AL,10,FALSE)+9,1)</f>
        <v>P</v>
      </c>
      <c r="AA216" s="49" t="str">
        <f>MID(VLOOKUP($A216,Seqs!$A:$B,2,FALSE),VLOOKUP($A216,'SegEnds_NonXtal_Prot#'!A:AL,10,FALSE)+10,1)</f>
        <v>L</v>
      </c>
      <c r="AB216" s="28" t="str">
        <f>MID(VLOOKUP($A216,Seqs!$A:$B,2,FALSE),VLOOKUP($A216,'SegEnds_NonXtal_Prot#'!$A:$AL,22,FALSE)+6,1)</f>
        <v>A</v>
      </c>
      <c r="AC216" s="49" t="str">
        <f>MID(VLOOKUP($A216,Seqs!$A:$B,2,FALSE),VLOOKUP($A216,'SegEnds_NonXtal_Prot#'!$A:$AL,22,FALSE)+7,1)</f>
        <v>L</v>
      </c>
      <c r="AD216" s="49" t="str">
        <f>MID(VLOOKUP($A216,Seqs!$A:$B,2,FALSE),VLOOKUP($A216,'SegEnds_NonXtal_Prot#'!$A:$AL,22,FALSE)+8,1)</f>
        <v>L</v>
      </c>
      <c r="AE216" s="49" t="str">
        <f>MID(VLOOKUP($A216,Seqs!$A:$B,2,FALSE),VLOOKUP($A216,'SegEnds_NonXtal_Prot#'!$A:$AL,22,FALSE)+9,1)</f>
        <v>P</v>
      </c>
      <c r="AF216" s="49" t="str">
        <f>MID(VLOOKUP($A216,Seqs!$A:$B,2,FALSE),VLOOKUP($A216,'SegEnds_NonXtal_Prot#'!$A:$AL,22,FALSE)+10,1)</f>
        <v>N</v>
      </c>
      <c r="AG216" s="28" t="str">
        <f>MID(VLOOKUP($A216,Seqs!$A:$B,2,FALSE),VLOOKUP($A216,'SegEnds_NonXtal_Prot#'!$A:$AL,28,FALSE)-4,1)</f>
        <v>H</v>
      </c>
      <c r="AH216" s="49" t="str">
        <f>MID(VLOOKUP($A216,Seqs!$A:$B,2,FALSE),VLOOKUP($A216,'SegEnds_NonXtal_Prot#'!$A:$AL,28,FALSE),1)</f>
        <v>P</v>
      </c>
    </row>
    <row r="217" spans="1:34" s="2" customFormat="1" x14ac:dyDescent="0.2">
      <c r="A217" s="2" t="s">
        <v>313</v>
      </c>
      <c r="B217" s="2" t="str">
        <f>LOWER(VLOOKUP(A217,Xtal_Templ!A:B,2,FALSE))</f>
        <v>ox2r_human</v>
      </c>
      <c r="C217" s="2" t="str">
        <f>VLOOKUP(A217,Classification!A:D,2,FALSE)</f>
        <v>A</v>
      </c>
      <c r="D217" s="2" t="str">
        <f>IF(ISERROR(MATCH(A217,'SegEnds_Xtal_Prot#'!B:B, 0)), "NoXtal", "Xtal")</f>
        <v>NoXtal</v>
      </c>
      <c r="H217" s="4"/>
      <c r="N217" s="2" t="s">
        <v>14</v>
      </c>
      <c r="R217" s="2" t="s">
        <v>9</v>
      </c>
      <c r="T217" s="4" t="s">
        <v>12</v>
      </c>
      <c r="V217" s="28" t="str">
        <f>MID(VLOOKUP($A217,Seqs!$A:$B,2,FALSE),VLOOKUP($A217,'SegEnds_NonXtal_Prot#'!A:AL,10,FALSE),1)</f>
        <v>D</v>
      </c>
      <c r="W217" s="49" t="str">
        <f>MID(VLOOKUP($A217,Seqs!$A:$B,2,FALSE),VLOOKUP($A217,'SegEnds_NonXtal_Prot#'!A:AL,10,FALSE)+6,1)</f>
        <v>Y</v>
      </c>
      <c r="X217" s="49" t="str">
        <f>MID(VLOOKUP($A217,Seqs!$A:$B,2,FALSE),VLOOKUP($A217,'SegEnds_NonXtal_Prot#'!A:AL,10,FALSE)+7,1)</f>
        <v>P</v>
      </c>
      <c r="Y217" s="49" t="str">
        <f>MID(VLOOKUP($A217,Seqs!$A:$B,2,FALSE),VLOOKUP($A217,'SegEnds_NonXtal_Prot#'!A:AL,10,FALSE)+8,1)</f>
        <v>Y</v>
      </c>
      <c r="Z217" s="49" t="str">
        <f>MID(VLOOKUP($A217,Seqs!$A:$B,2,FALSE),VLOOKUP($A217,'SegEnds_NonXtal_Prot#'!A:AL,10,FALSE)+9,1)</f>
        <v>P</v>
      </c>
      <c r="AA217" s="49" t="str">
        <f>MID(VLOOKUP($A217,Seqs!$A:$B,2,FALSE),VLOOKUP($A217,'SegEnds_NonXtal_Prot#'!A:AL,10,FALSE)+10,1)</f>
        <v>L</v>
      </c>
      <c r="AB217" s="28" t="str">
        <f>MID(VLOOKUP($A217,Seqs!$A:$B,2,FALSE),VLOOKUP($A217,'SegEnds_NonXtal_Prot#'!$A:$AL,22,FALSE)+6,1)</f>
        <v>A</v>
      </c>
      <c r="AC217" s="49" t="str">
        <f>MID(VLOOKUP($A217,Seqs!$A:$B,2,FALSE),VLOOKUP($A217,'SegEnds_NonXtal_Prot#'!$A:$AL,22,FALSE)+7,1)</f>
        <v>V</v>
      </c>
      <c r="AD217" s="49" t="str">
        <f>MID(VLOOKUP($A217,Seqs!$A:$B,2,FALSE),VLOOKUP($A217,'SegEnds_NonXtal_Prot#'!$A:$AL,22,FALSE)+8,1)</f>
        <v>L</v>
      </c>
      <c r="AE217" s="49" t="str">
        <f>MID(VLOOKUP($A217,Seqs!$A:$B,2,FALSE),VLOOKUP($A217,'SegEnds_NonXtal_Prot#'!$A:$AL,22,FALSE)+9,1)</f>
        <v>P</v>
      </c>
      <c r="AF217" s="49" t="str">
        <f>MID(VLOOKUP($A217,Seqs!$A:$B,2,FALSE),VLOOKUP($A217,'SegEnds_NonXtal_Prot#'!$A:$AL,22,FALSE)+10,1)</f>
        <v>N</v>
      </c>
      <c r="AG217" s="28" t="str">
        <f>MID(VLOOKUP($A217,Seqs!$A:$B,2,FALSE),VLOOKUP($A217,'SegEnds_NonXtal_Prot#'!$A:$AL,28,FALSE)-4,1)</f>
        <v>H</v>
      </c>
      <c r="AH217" s="49" t="str">
        <f>MID(VLOOKUP($A217,Seqs!$A:$B,2,FALSE),VLOOKUP($A217,'SegEnds_NonXtal_Prot#'!$A:$AL,28,FALSE),1)</f>
        <v>P</v>
      </c>
    </row>
    <row r="218" spans="1:34" s="2" customFormat="1" x14ac:dyDescent="0.2">
      <c r="A218" s="2" t="s">
        <v>314</v>
      </c>
      <c r="B218" s="2" t="str">
        <f>LOWER(VLOOKUP(A218,Xtal_Templ!A:B,2,FALSE))</f>
        <v>nk1r_human</v>
      </c>
      <c r="C218" s="2" t="str">
        <f>VLOOKUP(A218,Classification!A:D,2,FALSE)</f>
        <v>A</v>
      </c>
      <c r="D218" s="2" t="str">
        <f>IF(ISERROR(MATCH(A218,'SegEnds_Xtal_Prot#'!B:B, 0)), "NoXtal", "Xtal")</f>
        <v>Xtal</v>
      </c>
      <c r="N218" s="2" t="s">
        <v>14</v>
      </c>
      <c r="R218" s="2" t="s">
        <v>9</v>
      </c>
      <c r="T218" s="4" t="s">
        <v>12</v>
      </c>
      <c r="V218" s="28" t="str">
        <f>MID(VLOOKUP($A218,Seqs!$A:$B,2,FALSE),VLOOKUP($A218,'SegEnds_NonXtal_Prot#'!A:AL,10,FALSE),1)</f>
        <v>E</v>
      </c>
      <c r="W218" s="49" t="str">
        <f>MID(VLOOKUP($A218,Seqs!$A:$B,2,FALSE),VLOOKUP($A218,'SegEnds_NonXtal_Prot#'!A:AL,10,FALSE)+6,1)</f>
        <v>F</v>
      </c>
      <c r="X218" s="49" t="str">
        <f>MID(VLOOKUP($A218,Seqs!$A:$B,2,FALSE),VLOOKUP($A218,'SegEnds_NonXtal_Prot#'!A:AL,10,FALSE)+7,1)</f>
        <v>N</v>
      </c>
      <c r="Y218" s="49" t="str">
        <f>MID(VLOOKUP($A218,Seqs!$A:$B,2,FALSE),VLOOKUP($A218,'SegEnds_NonXtal_Prot#'!A:AL,10,FALSE)+8,1)</f>
        <v>T</v>
      </c>
      <c r="Z218" s="49" t="str">
        <f>MID(VLOOKUP($A218,Seqs!$A:$B,2,FALSE),VLOOKUP($A218,'SegEnds_NonXtal_Prot#'!A:AL,10,FALSE)+9,1)</f>
        <v>V</v>
      </c>
      <c r="AA218" s="49" t="str">
        <f>MID(VLOOKUP($A218,Seqs!$A:$B,2,FALSE),VLOOKUP($A218,'SegEnds_NonXtal_Prot#'!A:AL,10,FALSE)+10,1)</f>
        <v>V</v>
      </c>
      <c r="AB218" s="28" t="str">
        <f>MID(VLOOKUP($A218,Seqs!$A:$B,2,FALSE),VLOOKUP($A218,'SegEnds_NonXtal_Prot#'!$A:$AL,22,FALSE)+6,1)</f>
        <v>L</v>
      </c>
      <c r="AC218" s="49" t="str">
        <f>MID(VLOOKUP($A218,Seqs!$A:$B,2,FALSE),VLOOKUP($A218,'SegEnds_NonXtal_Prot#'!$A:$AL,22,FALSE)+7,1)</f>
        <v>A</v>
      </c>
      <c r="AD218" s="49" t="str">
        <f>MID(VLOOKUP($A218,Seqs!$A:$B,2,FALSE),VLOOKUP($A218,'SegEnds_NonXtal_Prot#'!$A:$AL,22,FALSE)+8,1)</f>
        <v>F</v>
      </c>
      <c r="AE218" s="49" t="str">
        <f>MID(VLOOKUP($A218,Seqs!$A:$B,2,FALSE),VLOOKUP($A218,'SegEnds_NonXtal_Prot#'!$A:$AL,22,FALSE)+9,1)</f>
        <v>P</v>
      </c>
      <c r="AF218" s="49" t="str">
        <f>MID(VLOOKUP($A218,Seqs!$A:$B,2,FALSE),VLOOKUP($A218,'SegEnds_NonXtal_Prot#'!$A:$AL,22,FALSE)+10,1)</f>
        <v>Q</v>
      </c>
      <c r="AG218" s="28" t="str">
        <f>MID(VLOOKUP($A218,Seqs!$A:$B,2,FALSE),VLOOKUP($A218,'SegEnds_NonXtal_Prot#'!$A:$AL,28,FALSE)-4,1)</f>
        <v>I</v>
      </c>
      <c r="AH218" s="49" t="str">
        <f>MID(VLOOKUP($A218,Seqs!$A:$B,2,FALSE),VLOOKUP($A218,'SegEnds_NonXtal_Prot#'!$A:$AL,28,FALSE),1)</f>
        <v>P</v>
      </c>
    </row>
    <row r="219" spans="1:34" s="2" customFormat="1" x14ac:dyDescent="0.2">
      <c r="A219" s="2" t="s">
        <v>316</v>
      </c>
      <c r="B219" s="2" t="str">
        <f>LOWER(VLOOKUP(A219,Xtal_Templ!A:B,2,FALSE))</f>
        <v>nk1r_human</v>
      </c>
      <c r="C219" s="2" t="str">
        <f>VLOOKUP(A219,Classification!A:D,2,FALSE)</f>
        <v>A</v>
      </c>
      <c r="D219" s="2" t="str">
        <f>IF(ISERROR(MATCH(A219,'SegEnds_Xtal_Prot#'!B:B, 0)), "NoXtal", "Xtal")</f>
        <v>NoXtal</v>
      </c>
      <c r="H219" s="4"/>
      <c r="N219" s="2" t="s">
        <v>14</v>
      </c>
      <c r="R219" s="2" t="s">
        <v>9</v>
      </c>
      <c r="T219" s="4" t="s">
        <v>12</v>
      </c>
      <c r="V219" s="28" t="str">
        <f>MID(VLOOKUP($A219,Seqs!$A:$B,2,FALSE),VLOOKUP($A219,'SegEnds_NonXtal_Prot#'!A:AL,10,FALSE),1)</f>
        <v>D</v>
      </c>
      <c r="W219" s="49" t="str">
        <f>MID(VLOOKUP($A219,Seqs!$A:$B,2,FALSE),VLOOKUP($A219,'SegEnds_NonXtal_Prot#'!A:AL,10,FALSE)+6,1)</f>
        <v>F</v>
      </c>
      <c r="X219" s="49" t="str">
        <f>MID(VLOOKUP($A219,Seqs!$A:$B,2,FALSE),VLOOKUP($A219,'SegEnds_NonXtal_Prot#'!A:AL,10,FALSE)+7,1)</f>
        <v>N</v>
      </c>
      <c r="Y219" s="49" t="str">
        <f>MID(VLOOKUP($A219,Seqs!$A:$B,2,FALSE),VLOOKUP($A219,'SegEnds_NonXtal_Prot#'!A:AL,10,FALSE)+8,1)</f>
        <v>T</v>
      </c>
      <c r="Z219" s="49" t="str">
        <f>MID(VLOOKUP($A219,Seqs!$A:$B,2,FALSE),VLOOKUP($A219,'SegEnds_NonXtal_Prot#'!A:AL,10,FALSE)+9,1)</f>
        <v>L</v>
      </c>
      <c r="AA219" s="49" t="str">
        <f>MID(VLOOKUP($A219,Seqs!$A:$B,2,FALSE),VLOOKUP($A219,'SegEnds_NonXtal_Prot#'!A:AL,10,FALSE)+10,1)</f>
        <v>V</v>
      </c>
      <c r="AB219" s="28" t="str">
        <f>MID(VLOOKUP($A219,Seqs!$A:$B,2,FALSE),VLOOKUP($A219,'SegEnds_NonXtal_Prot#'!$A:$AL,22,FALSE)+6,1)</f>
        <v>L</v>
      </c>
      <c r="AC219" s="49" t="str">
        <f>MID(VLOOKUP($A219,Seqs!$A:$B,2,FALSE),VLOOKUP($A219,'SegEnds_NonXtal_Prot#'!$A:$AL,22,FALSE)+7,1)</f>
        <v>A</v>
      </c>
      <c r="AD219" s="49" t="str">
        <f>MID(VLOOKUP($A219,Seqs!$A:$B,2,FALSE),VLOOKUP($A219,'SegEnds_NonXtal_Prot#'!$A:$AL,22,FALSE)+8,1)</f>
        <v>F</v>
      </c>
      <c r="AE219" s="49" t="str">
        <f>MID(VLOOKUP($A219,Seqs!$A:$B,2,FALSE),VLOOKUP($A219,'SegEnds_NonXtal_Prot#'!$A:$AL,22,FALSE)+9,1)</f>
        <v>P</v>
      </c>
      <c r="AF219" s="49" t="str">
        <f>MID(VLOOKUP($A219,Seqs!$A:$B,2,FALSE),VLOOKUP($A219,'SegEnds_NonXtal_Prot#'!$A:$AL,22,FALSE)+10,1)</f>
        <v>Q</v>
      </c>
      <c r="AG219" s="28" t="str">
        <f>MID(VLOOKUP($A219,Seqs!$A:$B,2,FALSE),VLOOKUP($A219,'SegEnds_NonXtal_Prot#'!$A:$AL,28,FALSE)-4,1)</f>
        <v>V</v>
      </c>
      <c r="AH219" s="49" t="str">
        <f>MID(VLOOKUP($A219,Seqs!$A:$B,2,FALSE),VLOOKUP($A219,'SegEnds_NonXtal_Prot#'!$A:$AL,28,FALSE),1)</f>
        <v>P</v>
      </c>
    </row>
    <row r="220" spans="1:34" s="2" customFormat="1" x14ac:dyDescent="0.2">
      <c r="A220" s="2" t="s">
        <v>322</v>
      </c>
      <c r="B220" s="2" t="str">
        <f>LOWER(VLOOKUP(A220,Xtal_Templ!A:B,2,FALSE))</f>
        <v>ox1r_human</v>
      </c>
      <c r="C220" s="2" t="str">
        <f>VLOOKUP(A220,Classification!A:D,2,FALSE)</f>
        <v>A</v>
      </c>
      <c r="D220" s="2" t="str">
        <f>IF(ISERROR(MATCH(A220,'SegEnds_Xtal_Prot#'!B:B, 0)), "NoXtal", "Xtal")</f>
        <v>NoXtal</v>
      </c>
      <c r="G220" s="2" t="s">
        <v>5</v>
      </c>
      <c r="H220" s="4"/>
      <c r="N220" s="2" t="s">
        <v>14</v>
      </c>
      <c r="R220" s="2" t="s">
        <v>9</v>
      </c>
      <c r="T220" s="4" t="s">
        <v>12</v>
      </c>
      <c r="V220" s="28" t="str">
        <f>MID(VLOOKUP($A220,Seqs!$A:$B,2,FALSE),VLOOKUP($A220,'SegEnds_NonXtal_Prot#'!A:AL,10,FALSE),1)</f>
        <v>D</v>
      </c>
      <c r="W220" s="49" t="str">
        <f>MID(VLOOKUP($A220,Seqs!$A:$B,2,FALSE),VLOOKUP($A220,'SegEnds_NonXtal_Prot#'!A:AL,10,FALSE)+6,1)</f>
        <v>F</v>
      </c>
      <c r="X220" s="49" t="str">
        <f>MID(VLOOKUP($A220,Seqs!$A:$B,2,FALSE),VLOOKUP($A220,'SegEnds_NonXtal_Prot#'!A:AL,10,FALSE)+7,1)</f>
        <v>C</v>
      </c>
      <c r="Y220" s="49" t="str">
        <f>MID(VLOOKUP($A220,Seqs!$A:$B,2,FALSE),VLOOKUP($A220,'SegEnds_NonXtal_Prot#'!A:AL,10,FALSE)+8,1)</f>
        <v>M</v>
      </c>
      <c r="Z220" s="49" t="str">
        <f>MID(VLOOKUP($A220,Seqs!$A:$B,2,FALSE),VLOOKUP($A220,'SegEnds_NonXtal_Prot#'!A:AL,10,FALSE)+9,1)</f>
        <v>P</v>
      </c>
      <c r="AA220" s="49" t="str">
        <f>MID(VLOOKUP($A220,Seqs!$A:$B,2,FALSE),VLOOKUP($A220,'SegEnds_NonXtal_Prot#'!A:AL,10,FALSE)+10,1)</f>
        <v>T</v>
      </c>
      <c r="AB220" s="28" t="str">
        <f>MID(VLOOKUP($A220,Seqs!$A:$B,2,FALSE),VLOOKUP($A220,'SegEnds_NonXtal_Prot#'!$A:$AL,22,FALSE)+6,1)</f>
        <v>I</v>
      </c>
      <c r="AC220" s="49" t="str">
        <f>MID(VLOOKUP($A220,Seqs!$A:$B,2,FALSE),VLOOKUP($A220,'SegEnds_NonXtal_Prot#'!$A:$AL,22,FALSE)+7,1)</f>
        <v>M</v>
      </c>
      <c r="AD220" s="49" t="str">
        <f>MID(VLOOKUP($A220,Seqs!$A:$B,2,FALSE),VLOOKUP($A220,'SegEnds_NonXtal_Prot#'!$A:$AL,22,FALSE)+8,1)</f>
        <v>C</v>
      </c>
      <c r="AE220" s="49" t="str">
        <f>MID(VLOOKUP($A220,Seqs!$A:$B,2,FALSE),VLOOKUP($A220,'SegEnds_NonXtal_Prot#'!$A:$AL,22,FALSE)+9,1)</f>
        <v>P</v>
      </c>
      <c r="AF220" s="49" t="str">
        <f>MID(VLOOKUP($A220,Seqs!$A:$B,2,FALSE),VLOOKUP($A220,'SegEnds_NonXtal_Prot#'!$A:$AL,22,FALSE)+10,1)</f>
        <v>S</v>
      </c>
      <c r="AG220" s="28" t="str">
        <f>MID(VLOOKUP($A220,Seqs!$A:$B,2,FALSE),VLOOKUP($A220,'SegEnds_NonXtal_Prot#'!$A:$AL,28,FALSE)-4,1)</f>
        <v>I</v>
      </c>
      <c r="AH220" s="49" t="str">
        <f>MID(VLOOKUP($A220,Seqs!$A:$B,2,FALSE),VLOOKUP($A220,'SegEnds_NonXtal_Prot#'!$A:$AL,28,FALSE),1)</f>
        <v>P</v>
      </c>
    </row>
    <row r="221" spans="1:34" s="2" customFormat="1" x14ac:dyDescent="0.2">
      <c r="A221" s="2" t="s">
        <v>324</v>
      </c>
      <c r="B221" s="2" t="str">
        <f>LOWER(VLOOKUP(A221,Xtal_Templ!A:B,2,FALSE))</f>
        <v>5ht2c_human</v>
      </c>
      <c r="C221" s="2" t="str">
        <f>VLOOKUP(A221,Classification!A:D,2,FALSE)</f>
        <v>A</v>
      </c>
      <c r="D221" s="2" t="str">
        <f>IF(ISERROR(MATCH(A221,'SegEnds_Xtal_Prot#'!B:B, 0)), "NoXtal", "Xtal")</f>
        <v>NoXtal</v>
      </c>
      <c r="H221" s="4"/>
      <c r="N221" s="2" t="s">
        <v>14</v>
      </c>
      <c r="R221" s="2" t="s">
        <v>9</v>
      </c>
      <c r="T221" s="4" t="s">
        <v>12</v>
      </c>
      <c r="V221" s="28" t="str">
        <f>MID(VLOOKUP($A221,Seqs!$A:$B,2,FALSE),VLOOKUP($A221,'SegEnds_NonXtal_Prot#'!A:AL,10,FALSE),1)</f>
        <v>D</v>
      </c>
      <c r="W221" s="49" t="str">
        <f>MID(VLOOKUP($A221,Seqs!$A:$B,2,FALSE),VLOOKUP($A221,'SegEnds_NonXtal_Prot#'!A:AL,10,FALSE)+6,1)</f>
        <v>V</v>
      </c>
      <c r="X221" s="49" t="str">
        <f>MID(VLOOKUP($A221,Seqs!$A:$B,2,FALSE),VLOOKUP($A221,'SegEnds_NonXtal_Prot#'!A:AL,10,FALSE)+7,1)</f>
        <v>N</v>
      </c>
      <c r="Y221" s="49" t="str">
        <f>MID(VLOOKUP($A221,Seqs!$A:$B,2,FALSE),VLOOKUP($A221,'SegEnds_NonXtal_Prot#'!A:AL,10,FALSE)+8,1)</f>
        <v>I</v>
      </c>
      <c r="Z221" s="49" t="str">
        <f>MID(VLOOKUP($A221,Seqs!$A:$B,2,FALSE),VLOOKUP($A221,'SegEnds_NonXtal_Prot#'!A:AL,10,FALSE)+9,1)</f>
        <v>L</v>
      </c>
      <c r="AA221" s="49" t="str">
        <f>MID(VLOOKUP($A221,Seqs!$A:$B,2,FALSE),VLOOKUP($A221,'SegEnds_NonXtal_Prot#'!A:AL,10,FALSE)+10,1)</f>
        <v>T</v>
      </c>
      <c r="AB221" s="28" t="str">
        <f>MID(VLOOKUP($A221,Seqs!$A:$B,2,FALSE),VLOOKUP($A221,'SegEnds_NonXtal_Prot#'!$A:$AL,22,FALSE)+6,1)</f>
        <v>F</v>
      </c>
      <c r="AC221" s="49" t="str">
        <f>MID(VLOOKUP($A221,Seqs!$A:$B,2,FALSE),VLOOKUP($A221,'SegEnds_NonXtal_Prot#'!$A:$AL,22,FALSE)+7,1)</f>
        <v>S</v>
      </c>
      <c r="AD221" s="49" t="str">
        <f>MID(VLOOKUP($A221,Seqs!$A:$B,2,FALSE),VLOOKUP($A221,'SegEnds_NonXtal_Prot#'!$A:$AL,22,FALSE)+8,1)</f>
        <v>I</v>
      </c>
      <c r="AE221" s="49" t="str">
        <f>MID(VLOOKUP($A221,Seqs!$A:$B,2,FALSE),VLOOKUP($A221,'SegEnds_NonXtal_Prot#'!$A:$AL,22,FALSE)+9,1)</f>
        <v>P</v>
      </c>
      <c r="AF221" s="49" t="str">
        <f>MID(VLOOKUP($A221,Seqs!$A:$B,2,FALSE),VLOOKUP($A221,'SegEnds_NonXtal_Prot#'!$A:$AL,22,FALSE)+10,1)</f>
        <v>T</v>
      </c>
      <c r="AG221" s="28" t="str">
        <f>MID(VLOOKUP($A221,Seqs!$A:$B,2,FALSE),VLOOKUP($A221,'SegEnds_NonXtal_Prot#'!$A:$AL,28,FALSE)-4,1)</f>
        <v>V</v>
      </c>
      <c r="AH221" s="49" t="str">
        <f>MID(VLOOKUP($A221,Seqs!$A:$B,2,FALSE),VLOOKUP($A221,'SegEnds_NonXtal_Prot#'!$A:$AL,28,FALSE),1)</f>
        <v>P</v>
      </c>
    </row>
    <row r="222" spans="1:34" s="2" customFormat="1" x14ac:dyDescent="0.2">
      <c r="A222" s="2" t="s">
        <v>325</v>
      </c>
      <c r="B222" s="2" t="str">
        <f>LOWER(VLOOKUP(A222,Xtal_Templ!A:B,2,FALSE))</f>
        <v>npy1r_human</v>
      </c>
      <c r="C222" s="2" t="str">
        <f>VLOOKUP(A222,Classification!A:D,2,FALSE)</f>
        <v>A</v>
      </c>
      <c r="D222" s="2" t="str">
        <f>IF(ISERROR(MATCH(A222,'SegEnds_Xtal_Prot#'!B:B, 0)), "NoXtal", "Xtal")</f>
        <v>Xtal</v>
      </c>
      <c r="G222" s="2" t="s">
        <v>5</v>
      </c>
      <c r="H222" s="4"/>
      <c r="N222" s="2" t="s">
        <v>14</v>
      </c>
      <c r="R222" s="2" t="s">
        <v>9</v>
      </c>
      <c r="T222" s="4" t="s">
        <v>12</v>
      </c>
      <c r="V222" s="28" t="str">
        <f>MID(VLOOKUP($A222,Seqs!$A:$B,2,FALSE),VLOOKUP($A222,'SegEnds_NonXtal_Prot#'!A:AL,10,FALSE),1)</f>
        <v>D</v>
      </c>
      <c r="W222" s="49" t="str">
        <f>MID(VLOOKUP($A222,Seqs!$A:$B,2,FALSE),VLOOKUP($A222,'SegEnds_NonXtal_Prot#'!A:AL,10,FALSE)+6,1)</f>
        <v>M</v>
      </c>
      <c r="X222" s="49" t="str">
        <f>MID(VLOOKUP($A222,Seqs!$A:$B,2,FALSE),VLOOKUP($A222,'SegEnds_NonXtal_Prot#'!A:AL,10,FALSE)+7,1)</f>
        <v>C</v>
      </c>
      <c r="Y222" s="49" t="str">
        <f>MID(VLOOKUP($A222,Seqs!$A:$B,2,FALSE),VLOOKUP($A222,'SegEnds_NonXtal_Prot#'!A:AL,10,FALSE)+8,1)</f>
        <v>L</v>
      </c>
      <c r="Z222" s="49" t="str">
        <f>MID(VLOOKUP($A222,Seqs!$A:$B,2,FALSE),VLOOKUP($A222,'SegEnds_NonXtal_Prot#'!A:AL,10,FALSE)+9,1)</f>
        <v>P</v>
      </c>
      <c r="AA222" s="49" t="str">
        <f>MID(VLOOKUP($A222,Seqs!$A:$B,2,FALSE),VLOOKUP($A222,'SegEnds_NonXtal_Prot#'!A:AL,10,FALSE)+10,1)</f>
        <v>F</v>
      </c>
      <c r="AB222" s="28" t="str">
        <f>MID(VLOOKUP($A222,Seqs!$A:$B,2,FALSE),VLOOKUP($A222,'SegEnds_NonXtal_Prot#'!$A:$AL,22,FALSE)+6,1)</f>
        <v>S</v>
      </c>
      <c r="AC222" s="49" t="str">
        <f>MID(VLOOKUP($A222,Seqs!$A:$B,2,FALSE),VLOOKUP($A222,'SegEnds_NonXtal_Prot#'!$A:$AL,22,FALSE)+7,1)</f>
        <v>S</v>
      </c>
      <c r="AD222" s="49" t="str">
        <f>MID(VLOOKUP($A222,Seqs!$A:$B,2,FALSE),VLOOKUP($A222,'SegEnds_NonXtal_Prot#'!$A:$AL,22,FALSE)+8,1)</f>
        <v>L</v>
      </c>
      <c r="AE222" s="49" t="str">
        <f>MID(VLOOKUP($A222,Seqs!$A:$B,2,FALSE),VLOOKUP($A222,'SegEnds_NonXtal_Prot#'!$A:$AL,22,FALSE)+9,1)</f>
        <v>P</v>
      </c>
      <c r="AF222" s="49" t="str">
        <f>MID(VLOOKUP($A222,Seqs!$A:$B,2,FALSE),VLOOKUP($A222,'SegEnds_NonXtal_Prot#'!$A:$AL,22,FALSE)+10,1)</f>
        <v>F</v>
      </c>
      <c r="AG222" s="28" t="str">
        <f>MID(VLOOKUP($A222,Seqs!$A:$B,2,FALSE),VLOOKUP($A222,'SegEnds_NonXtal_Prot#'!$A:$AL,28,FALSE)-4,1)</f>
        <v>Q</v>
      </c>
      <c r="AH222" s="49" t="str">
        <f>MID(VLOOKUP($A222,Seqs!$A:$B,2,FALSE),VLOOKUP($A222,'SegEnds_NonXtal_Prot#'!$A:$AL,28,FALSE),1)</f>
        <v>P</v>
      </c>
    </row>
    <row r="223" spans="1:34" s="2" customFormat="1" x14ac:dyDescent="0.2">
      <c r="A223" s="2" t="s">
        <v>327</v>
      </c>
      <c r="B223" s="2" t="str">
        <f>LOWER(VLOOKUP(A223,Xtal_Templ!A:B,2,FALSE))</f>
        <v>npy1r_human</v>
      </c>
      <c r="C223" s="2" t="str">
        <f>VLOOKUP(A223,Classification!A:D,2,FALSE)</f>
        <v>A</v>
      </c>
      <c r="D223" s="2" t="str">
        <f>IF(ISERROR(MATCH(A223,'SegEnds_Xtal_Prot#'!B:B, 0)), "NoXtal", "Xtal")</f>
        <v>NoXtal</v>
      </c>
      <c r="G223" s="2" t="s">
        <v>5</v>
      </c>
      <c r="H223" s="4"/>
      <c r="N223" s="2" t="s">
        <v>14</v>
      </c>
      <c r="R223" s="2" t="s">
        <v>9</v>
      </c>
      <c r="T223" s="4" t="s">
        <v>12</v>
      </c>
      <c r="V223" s="28" t="str">
        <f>MID(VLOOKUP($A223,Seqs!$A:$B,2,FALSE),VLOOKUP($A223,'SegEnds_NonXtal_Prot#'!A:AL,10,FALSE),1)</f>
        <v>D</v>
      </c>
      <c r="W223" s="49" t="str">
        <f>MID(VLOOKUP($A223,Seqs!$A:$B,2,FALSE),VLOOKUP($A223,'SegEnds_NonXtal_Prot#'!A:AL,10,FALSE)+6,1)</f>
        <v>L</v>
      </c>
      <c r="X223" s="49" t="str">
        <f>MID(VLOOKUP($A223,Seqs!$A:$B,2,FALSE),VLOOKUP($A223,'SegEnds_NonXtal_Prot#'!A:AL,10,FALSE)+7,1)</f>
        <v>C</v>
      </c>
      <c r="Y223" s="49" t="str">
        <f>MID(VLOOKUP($A223,Seqs!$A:$B,2,FALSE),VLOOKUP($A223,'SegEnds_NonXtal_Prot#'!A:AL,10,FALSE)+8,1)</f>
        <v>Q</v>
      </c>
      <c r="Z223" s="49" t="str">
        <f>MID(VLOOKUP($A223,Seqs!$A:$B,2,FALSE),VLOOKUP($A223,'SegEnds_NonXtal_Prot#'!A:AL,10,FALSE)+9,1)</f>
        <v>P</v>
      </c>
      <c r="AA223" s="49" t="str">
        <f>MID(VLOOKUP($A223,Seqs!$A:$B,2,FALSE),VLOOKUP($A223,'SegEnds_NonXtal_Prot#'!A:AL,10,FALSE)+10,1)</f>
        <v>L</v>
      </c>
      <c r="AB223" s="28" t="str">
        <f>MID(VLOOKUP($A223,Seqs!$A:$B,2,FALSE),VLOOKUP($A223,'SegEnds_NonXtal_Prot#'!$A:$AL,22,FALSE)+6,1)</f>
        <v>L</v>
      </c>
      <c r="AC223" s="49" t="str">
        <f>MID(VLOOKUP($A223,Seqs!$A:$B,2,FALSE),VLOOKUP($A223,'SegEnds_NonXtal_Prot#'!$A:$AL,22,FALSE)+7,1)</f>
        <v>S</v>
      </c>
      <c r="AD223" s="49" t="str">
        <f>MID(VLOOKUP($A223,Seqs!$A:$B,2,FALSE),VLOOKUP($A223,'SegEnds_NonXtal_Prot#'!$A:$AL,22,FALSE)+8,1)</f>
        <v>L</v>
      </c>
      <c r="AE223" s="49" t="str">
        <f>MID(VLOOKUP($A223,Seqs!$A:$B,2,FALSE),VLOOKUP($A223,'SegEnds_NonXtal_Prot#'!$A:$AL,22,FALSE)+9,1)</f>
        <v>P</v>
      </c>
      <c r="AF223" s="49" t="str">
        <f>MID(VLOOKUP($A223,Seqs!$A:$B,2,FALSE),VLOOKUP($A223,'SegEnds_NonXtal_Prot#'!$A:$AL,22,FALSE)+10,1)</f>
        <v>F</v>
      </c>
      <c r="AG223" s="28" t="str">
        <f>MID(VLOOKUP($A223,Seqs!$A:$B,2,FALSE),VLOOKUP($A223,'SegEnds_NonXtal_Prot#'!$A:$AL,28,FALSE)-4,1)</f>
        <v>Q</v>
      </c>
      <c r="AH223" s="49" t="str">
        <f>MID(VLOOKUP($A223,Seqs!$A:$B,2,FALSE),VLOOKUP($A223,'SegEnds_NonXtal_Prot#'!$A:$AL,28,FALSE),1)</f>
        <v>P</v>
      </c>
    </row>
    <row r="224" spans="1:34" s="2" customFormat="1" x14ac:dyDescent="0.2">
      <c r="A224" s="2" t="s">
        <v>328</v>
      </c>
      <c r="B224" s="2" t="str">
        <f>LOWER(VLOOKUP(A224,Xtal_Templ!A:B,2,FALSE))</f>
        <v>npy1r_human</v>
      </c>
      <c r="C224" s="2" t="str">
        <f>VLOOKUP(A224,Classification!A:D,2,FALSE)</f>
        <v>A</v>
      </c>
      <c r="D224" s="2" t="str">
        <f>IF(ISERROR(MATCH(A224,'SegEnds_Xtal_Prot#'!B:B, 0)), "NoXtal", "Xtal")</f>
        <v>NoXtal</v>
      </c>
      <c r="G224" s="2" t="s">
        <v>5</v>
      </c>
      <c r="H224" s="4"/>
      <c r="N224" s="2" t="s">
        <v>14</v>
      </c>
      <c r="R224" s="2" t="s">
        <v>9</v>
      </c>
      <c r="T224" s="4" t="s">
        <v>12</v>
      </c>
      <c r="V224" s="28" t="str">
        <f>MID(VLOOKUP($A224,Seqs!$A:$B,2,FALSE),VLOOKUP($A224,'SegEnds_NonXtal_Prot#'!A:AL,10,FALSE),1)</f>
        <v>D</v>
      </c>
      <c r="W224" s="49" t="str">
        <f>MID(VLOOKUP($A224,Seqs!$A:$B,2,FALSE),VLOOKUP($A224,'SegEnds_NonXtal_Prot#'!A:AL,10,FALSE)+6,1)</f>
        <v>F</v>
      </c>
      <c r="X224" s="49" t="str">
        <f>MID(VLOOKUP($A224,Seqs!$A:$B,2,FALSE),VLOOKUP($A224,'SegEnds_NonXtal_Prot#'!A:AL,10,FALSE)+7,1)</f>
        <v>C</v>
      </c>
      <c r="Y224" s="49" t="str">
        <f>MID(VLOOKUP($A224,Seqs!$A:$B,2,FALSE),VLOOKUP($A224,'SegEnds_NonXtal_Prot#'!A:AL,10,FALSE)+8,1)</f>
        <v>S</v>
      </c>
      <c r="Z224" s="49" t="str">
        <f>MID(VLOOKUP($A224,Seqs!$A:$B,2,FALSE),VLOOKUP($A224,'SegEnds_NonXtal_Prot#'!A:AL,10,FALSE)+9,1)</f>
        <v>P</v>
      </c>
      <c r="AA224" s="49" t="str">
        <f>MID(VLOOKUP($A224,Seqs!$A:$B,2,FALSE),VLOOKUP($A224,'SegEnds_NonXtal_Prot#'!A:AL,10,FALSE)+10,1)</f>
        <v>F</v>
      </c>
      <c r="AB224" s="28" t="str">
        <f>MID(VLOOKUP($A224,Seqs!$A:$B,2,FALSE),VLOOKUP($A224,'SegEnds_NonXtal_Prot#'!$A:$AL,22,FALSE)+6,1)</f>
        <v>I</v>
      </c>
      <c r="AC224" s="49" t="str">
        <f>MID(VLOOKUP($A224,Seqs!$A:$B,2,FALSE),VLOOKUP($A224,'SegEnds_NonXtal_Prot#'!$A:$AL,22,FALSE)+7,1)</f>
        <v>C</v>
      </c>
      <c r="AD224" s="49" t="str">
        <f>MID(VLOOKUP($A224,Seqs!$A:$B,2,FALSE),VLOOKUP($A224,'SegEnds_NonXtal_Prot#'!$A:$AL,22,FALSE)+8,1)</f>
        <v>S</v>
      </c>
      <c r="AE224" s="49" t="str">
        <f>MID(VLOOKUP($A224,Seqs!$A:$B,2,FALSE),VLOOKUP($A224,'SegEnds_NonXtal_Prot#'!$A:$AL,22,FALSE)+9,1)</f>
        <v>P</v>
      </c>
      <c r="AF224" s="49" t="str">
        <f>MID(VLOOKUP($A224,Seqs!$A:$B,2,FALSE),VLOOKUP($A224,'SegEnds_NonXtal_Prot#'!$A:$AL,22,FALSE)+10,1)</f>
        <v>L</v>
      </c>
      <c r="AG224" s="28" t="str">
        <f>MID(VLOOKUP($A224,Seqs!$A:$B,2,FALSE),VLOOKUP($A224,'SegEnds_NonXtal_Prot#'!$A:$AL,28,FALSE)-4,1)</f>
        <v>Q</v>
      </c>
      <c r="AH224" s="49" t="str">
        <f>MID(VLOOKUP($A224,Seqs!$A:$B,2,FALSE),VLOOKUP($A224,'SegEnds_NonXtal_Prot#'!$A:$AL,28,FALSE),1)</f>
        <v>P</v>
      </c>
    </row>
    <row r="225" spans="1:34" s="2" customFormat="1" x14ac:dyDescent="0.2">
      <c r="A225" s="2" t="s">
        <v>329</v>
      </c>
      <c r="B225" s="2" t="str">
        <f>LOWER(VLOOKUP(A225,Xtal_Templ!A:B,2,FALSE))</f>
        <v>npy1r_human</v>
      </c>
      <c r="C225" s="2" t="str">
        <f>VLOOKUP(A225,Classification!A:D,2,FALSE)</f>
        <v>A</v>
      </c>
      <c r="D225" s="2" t="str">
        <f>IF(ISERROR(MATCH(A225,'SegEnds_Xtal_Prot#'!B:B, 0)), "NoXtal", "Xtal")</f>
        <v>NoXtal</v>
      </c>
      <c r="H225" s="4"/>
      <c r="N225" s="2" t="s">
        <v>14</v>
      </c>
      <c r="R225" s="2" t="s">
        <v>9</v>
      </c>
      <c r="T225" s="4" t="s">
        <v>12</v>
      </c>
      <c r="V225" s="28" t="str">
        <f>MID(VLOOKUP($A225,Seqs!$A:$B,2,FALSE),VLOOKUP($A225,'SegEnds_NonXtal_Prot#'!A:AL,10,FALSE),1)</f>
        <v>D</v>
      </c>
      <c r="W225" s="49" t="str">
        <f>MID(VLOOKUP($A225,Seqs!$A:$B,2,FALSE),VLOOKUP($A225,'SegEnds_NonXtal_Prot#'!A:AL,10,FALSE)+6,1)</f>
        <v>M</v>
      </c>
      <c r="X225" s="49" t="str">
        <f>MID(VLOOKUP($A225,Seqs!$A:$B,2,FALSE),VLOOKUP($A225,'SegEnds_NonXtal_Prot#'!A:AL,10,FALSE)+7,1)</f>
        <v>C</v>
      </c>
      <c r="Y225" s="49" t="str">
        <f>MID(VLOOKUP($A225,Seqs!$A:$B,2,FALSE),VLOOKUP($A225,'SegEnds_NonXtal_Prot#'!A:AL,10,FALSE)+8,1)</f>
        <v>I</v>
      </c>
      <c r="Z225" s="49" t="str">
        <f>MID(VLOOKUP($A225,Seqs!$A:$B,2,FALSE),VLOOKUP($A225,'SegEnds_NonXtal_Prot#'!A:AL,10,FALSE)+9,1)</f>
        <v>H</v>
      </c>
      <c r="AA225" s="49" t="str">
        <f>MID(VLOOKUP($A225,Seqs!$A:$B,2,FALSE),VLOOKUP($A225,'SegEnds_NonXtal_Prot#'!A:AL,10,FALSE)+10,1)</f>
        <v>F</v>
      </c>
      <c r="AB225" s="28" t="str">
        <f>MID(VLOOKUP($A225,Seqs!$A:$B,2,FALSE),VLOOKUP($A225,'SegEnds_NonXtal_Prot#'!$A:$AL,22,FALSE)+6,1)</f>
        <v>L</v>
      </c>
      <c r="AC225" s="49" t="str">
        <f>MID(VLOOKUP($A225,Seqs!$A:$B,2,FALSE),VLOOKUP($A225,'SegEnds_NonXtal_Prot#'!$A:$AL,22,FALSE)+7,1)</f>
        <v>S</v>
      </c>
      <c r="AD225" s="49" t="str">
        <f>MID(VLOOKUP($A225,Seqs!$A:$B,2,FALSE),VLOOKUP($A225,'SegEnds_NonXtal_Prot#'!$A:$AL,22,FALSE)+8,1)</f>
        <v>I</v>
      </c>
      <c r="AE225" s="49" t="str">
        <f>MID(VLOOKUP($A225,Seqs!$A:$B,2,FALSE),VLOOKUP($A225,'SegEnds_NonXtal_Prot#'!$A:$AL,22,FALSE)+9,1)</f>
        <v>P</v>
      </c>
      <c r="AF225" s="49" t="str">
        <f>MID(VLOOKUP($A225,Seqs!$A:$B,2,FALSE),VLOOKUP($A225,'SegEnds_NonXtal_Prot#'!$A:$AL,22,FALSE)+10,1)</f>
        <v>F</v>
      </c>
      <c r="AG225" s="28" t="str">
        <f>MID(VLOOKUP($A225,Seqs!$A:$B,2,FALSE),VLOOKUP($A225,'SegEnds_NonXtal_Prot#'!$A:$AL,28,FALSE)-4,1)</f>
        <v>Q</v>
      </c>
      <c r="AH225" s="49" t="str">
        <f>MID(VLOOKUP($A225,Seqs!$A:$B,2,FALSE),VLOOKUP($A225,'SegEnds_NonXtal_Prot#'!$A:$AL,28,FALSE),1)</f>
        <v>P</v>
      </c>
    </row>
    <row r="226" spans="1:34" s="2" customFormat="1" x14ac:dyDescent="0.2">
      <c r="A226" s="2" t="s">
        <v>1176</v>
      </c>
      <c r="B226" s="2" t="str">
        <f>LOWER(VLOOKUP(A226,Xtal_Templ!A:B,2,FALSE))</f>
        <v>ox2r_human</v>
      </c>
      <c r="C226" s="2" t="str">
        <f>VLOOKUP(A226,Classification!A:D,2,FALSE)</f>
        <v>A</v>
      </c>
      <c r="D226" s="2" t="str">
        <f>IF(ISERROR(MATCH(A226,'SegEnds_Xtal_Prot#'!B:B, 0)), "NoXtal", "Xtal")</f>
        <v>Xtal</v>
      </c>
      <c r="G226" s="2" t="s">
        <v>5</v>
      </c>
      <c r="H226" s="4"/>
      <c r="N226" s="2" t="s">
        <v>14</v>
      </c>
      <c r="R226" s="2" t="s">
        <v>9</v>
      </c>
      <c r="T226" s="4" t="s">
        <v>12</v>
      </c>
      <c r="V226" s="28" t="str">
        <f>MID(VLOOKUP($A226,Seqs!$A:$B,2,FALSE),VLOOKUP($A226,'SegEnds_NonXtal_Prot#'!A:AL,10,FALSE),1)</f>
        <v>D</v>
      </c>
      <c r="W226" s="49" t="str">
        <f>MID(VLOOKUP($A226,Seqs!$A:$B,2,FALSE),VLOOKUP($A226,'SegEnds_NonXtal_Prot#'!A:AL,10,FALSE)+6,1)</f>
        <v>T</v>
      </c>
      <c r="X226" s="49" t="str">
        <f>MID(VLOOKUP($A226,Seqs!$A:$B,2,FALSE),VLOOKUP($A226,'SegEnds_NonXtal_Prot#'!A:AL,10,FALSE)+7,1)</f>
        <v>C</v>
      </c>
      <c r="Y226" s="49" t="str">
        <f>MID(VLOOKUP($A226,Seqs!$A:$B,2,FALSE),VLOOKUP($A226,'SegEnds_NonXtal_Prot#'!A:AL,10,FALSE)+8,1)</f>
        <v>L</v>
      </c>
      <c r="Z226" s="49" t="str">
        <f>MID(VLOOKUP($A226,Seqs!$A:$B,2,FALSE),VLOOKUP($A226,'SegEnds_NonXtal_Prot#'!A:AL,10,FALSE)+9,1)</f>
        <v>P</v>
      </c>
      <c r="AA226" s="49" t="str">
        <f>MID(VLOOKUP($A226,Seqs!$A:$B,2,FALSE),VLOOKUP($A226,'SegEnds_NonXtal_Prot#'!A:AL,10,FALSE)+10,1)</f>
        <v>A</v>
      </c>
      <c r="AB226" s="28" t="str">
        <f>MID(VLOOKUP($A226,Seqs!$A:$B,2,FALSE),VLOOKUP($A226,'SegEnds_NonXtal_Prot#'!$A:$AL,22,FALSE)+6,1)</f>
        <v>I</v>
      </c>
      <c r="AC226" s="49" t="str">
        <f>MID(VLOOKUP($A226,Seqs!$A:$B,2,FALSE),VLOOKUP($A226,'SegEnds_NonXtal_Prot#'!$A:$AL,22,FALSE)+7,1)</f>
        <v>M</v>
      </c>
      <c r="AD226" s="49" t="str">
        <f>MID(VLOOKUP($A226,Seqs!$A:$B,2,FALSE),VLOOKUP($A226,'SegEnds_NonXtal_Prot#'!$A:$AL,22,FALSE)+8,1)</f>
        <v>I</v>
      </c>
      <c r="AE226" s="49" t="str">
        <f>MID(VLOOKUP($A226,Seqs!$A:$B,2,FALSE),VLOOKUP($A226,'SegEnds_NonXtal_Prot#'!$A:$AL,22,FALSE)+9,1)</f>
        <v>P</v>
      </c>
      <c r="AF226" s="49" t="str">
        <f>MID(VLOOKUP($A226,Seqs!$A:$B,2,FALSE),VLOOKUP($A226,'SegEnds_NonXtal_Prot#'!$A:$AL,22,FALSE)+10,1)</f>
        <v>Q</v>
      </c>
      <c r="AG226" s="28" t="str">
        <f>MID(VLOOKUP($A226,Seqs!$A:$B,2,FALSE),VLOOKUP($A226,'SegEnds_NonXtal_Prot#'!$A:$AL,28,FALSE)-4,1)</f>
        <v>T</v>
      </c>
      <c r="AH226" s="49" t="str">
        <f>MID(VLOOKUP($A226,Seqs!$A:$B,2,FALSE),VLOOKUP($A226,'SegEnds_NonXtal_Prot#'!$A:$AL,28,FALSE),1)</f>
        <v>P</v>
      </c>
    </row>
    <row r="227" spans="1:34" s="2" customFormat="1" x14ac:dyDescent="0.2">
      <c r="A227" s="2" t="s">
        <v>359</v>
      </c>
      <c r="B227" s="2" t="str">
        <f>LOWER(VLOOKUP(A227,Xtal_Templ!A:B,2,FALSE))</f>
        <v>pe2r4_human</v>
      </c>
      <c r="C227" s="2" t="str">
        <f>VLOOKUP(A227,Classification!A:D,2,FALSE)</f>
        <v>A</v>
      </c>
      <c r="D227" s="2" t="str">
        <f>IF(ISERROR(MATCH(A227,'SegEnds_Xtal_Prot#'!B:B, 0)), "NoXtal", "Xtal")</f>
        <v>NoXtal</v>
      </c>
      <c r="G227" s="2" t="s">
        <v>5</v>
      </c>
      <c r="H227" s="4"/>
      <c r="T227" s="4" t="s">
        <v>12</v>
      </c>
      <c r="V227" s="28" t="str">
        <f>MID(VLOOKUP($A227,Seqs!$A:$B,2,FALSE),VLOOKUP($A227,'SegEnds_NonXtal_Prot#'!A:AL,10,FALSE),1)</f>
        <v>D</v>
      </c>
      <c r="W227" s="49" t="str">
        <f>MID(VLOOKUP($A227,Seqs!$A:$B,2,FALSE),VLOOKUP($A227,'SegEnds_NonXtal_Prot#'!A:AL,10,FALSE)+6,1)</f>
        <v>L</v>
      </c>
      <c r="X227" s="49" t="str">
        <f>MID(VLOOKUP($A227,Seqs!$A:$B,2,FALSE),VLOOKUP($A227,'SegEnds_NonXtal_Prot#'!A:AL,10,FALSE)+7,1)</f>
        <v>L</v>
      </c>
      <c r="Y227" s="49" t="str">
        <f>MID(VLOOKUP($A227,Seqs!$A:$B,2,FALSE),VLOOKUP($A227,'SegEnds_NonXtal_Prot#'!A:AL,10,FALSE)+8,1)</f>
        <v>S</v>
      </c>
      <c r="Z227" s="49" t="str">
        <f>MID(VLOOKUP($A227,Seqs!$A:$B,2,FALSE),VLOOKUP($A227,'SegEnds_NonXtal_Prot#'!A:AL,10,FALSE)+9,1)</f>
        <v>P</v>
      </c>
      <c r="AA227" s="49" t="str">
        <f>MID(VLOOKUP($A227,Seqs!$A:$B,2,FALSE),VLOOKUP($A227,'SegEnds_NonXtal_Prot#'!A:AL,10,FALSE)+10,1)</f>
        <v>V</v>
      </c>
      <c r="AB227" s="28" t="str">
        <f>MID(VLOOKUP($A227,Seqs!$A:$B,2,FALSE),VLOOKUP($A227,'SegEnds_NonXtal_Prot#'!$A:$AL,22,FALSE)+6,1)</f>
        <v>F</v>
      </c>
      <c r="AC227" s="49" t="str">
        <f>MID(VLOOKUP($A227,Seqs!$A:$B,2,FALSE),VLOOKUP($A227,'SegEnds_NonXtal_Prot#'!$A:$AL,22,FALSE)+7,1)</f>
        <v>C</v>
      </c>
      <c r="AD227" s="49" t="str">
        <f>MID(VLOOKUP($A227,Seqs!$A:$B,2,FALSE),VLOOKUP($A227,'SegEnds_NonXtal_Prot#'!$A:$AL,22,FALSE)+8,1)</f>
        <v>A</v>
      </c>
      <c r="AE227" s="49" t="str">
        <f>MID(VLOOKUP($A227,Seqs!$A:$B,2,FALSE),VLOOKUP($A227,'SegEnds_NonXtal_Prot#'!$A:$AL,22,FALSE)+9,1)</f>
        <v>L</v>
      </c>
      <c r="AF227" s="49" t="str">
        <f>MID(VLOOKUP($A227,Seqs!$A:$B,2,FALSE),VLOOKUP($A227,'SegEnds_NonXtal_Prot#'!$A:$AL,22,FALSE)+10,1)</f>
        <v>P</v>
      </c>
      <c r="AG227" s="28" t="str">
        <f>MID(VLOOKUP($A227,Seqs!$A:$B,2,FALSE),VLOOKUP($A227,'SegEnds_NonXtal_Prot#'!$A:$AL,28,FALSE)-4,1)</f>
        <v>A</v>
      </c>
      <c r="AH227" s="49" t="str">
        <f>MID(VLOOKUP($A227,Seqs!$A:$B,2,FALSE),VLOOKUP($A227,'SegEnds_NonXtal_Prot#'!$A:$AL,28,FALSE),1)</f>
        <v>L</v>
      </c>
    </row>
    <row r="228" spans="1:34" s="2" customFormat="1" x14ac:dyDescent="0.2">
      <c r="A228" s="2" t="s">
        <v>367</v>
      </c>
      <c r="B228" s="2" t="str">
        <f>LOWER(VLOOKUP(A228,Xtal_Templ!A:B,2,FALSE))</f>
        <v>ox1r_human</v>
      </c>
      <c r="C228" s="2" t="str">
        <f>VLOOKUP(A228,Classification!A:D,2,FALSE)</f>
        <v>A</v>
      </c>
      <c r="D228" s="2" t="str">
        <f>IF(ISERROR(MATCH(A228,'SegEnds_Xtal_Prot#'!B:B, 0)), "NoXtal", "Xtal")</f>
        <v>NoXtal</v>
      </c>
      <c r="G228" s="2" t="s">
        <v>5</v>
      </c>
      <c r="H228" s="4"/>
      <c r="N228" s="2" t="s">
        <v>14</v>
      </c>
      <c r="R228" s="2" t="s">
        <v>9</v>
      </c>
      <c r="T228" s="4" t="s">
        <v>12</v>
      </c>
      <c r="V228" s="28" t="str">
        <f>MID(VLOOKUP($A228,Seqs!$A:$B,2,FALSE),VLOOKUP($A228,'SegEnds_NonXtal_Prot#'!A:AL,10,FALSE),1)</f>
        <v>D</v>
      </c>
      <c r="W228" s="49" t="str">
        <f>MID(VLOOKUP($A228,Seqs!$A:$B,2,FALSE),VLOOKUP($A228,'SegEnds_NonXtal_Prot#'!A:AL,10,FALSE)+6,1)</f>
        <v>V</v>
      </c>
      <c r="X228" s="49" t="str">
        <f>MID(VLOOKUP($A228,Seqs!$A:$B,2,FALSE),VLOOKUP($A228,'SegEnds_NonXtal_Prot#'!A:AL,10,FALSE)+7,1)</f>
        <v>C</v>
      </c>
      <c r="Y228" s="49" t="str">
        <f>MID(VLOOKUP($A228,Seqs!$A:$B,2,FALSE),VLOOKUP($A228,'SegEnds_NonXtal_Prot#'!A:AL,10,FALSE)+8,1)</f>
        <v>C</v>
      </c>
      <c r="Z228" s="49" t="str">
        <f>MID(VLOOKUP($A228,Seqs!$A:$B,2,FALSE),VLOOKUP($A228,'SegEnds_NonXtal_Prot#'!A:AL,10,FALSE)+9,1)</f>
        <v>P</v>
      </c>
      <c r="AA228" s="49" t="str">
        <f>MID(VLOOKUP($A228,Seqs!$A:$B,2,FALSE),VLOOKUP($A228,'SegEnds_NonXtal_Prot#'!A:AL,10,FALSE)+10,1)</f>
        <v>F</v>
      </c>
      <c r="AB228" s="28" t="str">
        <f>MID(VLOOKUP($A228,Seqs!$A:$B,2,FALSE),VLOOKUP($A228,'SegEnds_NonXtal_Prot#'!$A:$AL,22,FALSE)+6,1)</f>
        <v>I</v>
      </c>
      <c r="AC228" s="49" t="str">
        <f>MID(VLOOKUP($A228,Seqs!$A:$B,2,FALSE),VLOOKUP($A228,'SegEnds_NonXtal_Prot#'!$A:$AL,22,FALSE)+7,1)</f>
        <v>A</v>
      </c>
      <c r="AD228" s="49" t="str">
        <f>MID(VLOOKUP($A228,Seqs!$A:$B,2,FALSE),VLOOKUP($A228,'SegEnds_NonXtal_Prot#'!$A:$AL,22,FALSE)+8,1)</f>
        <v>I</v>
      </c>
      <c r="AE228" s="49" t="str">
        <f>MID(VLOOKUP($A228,Seqs!$A:$B,2,FALSE),VLOOKUP($A228,'SegEnds_NonXtal_Prot#'!$A:$AL,22,FALSE)+9,1)</f>
        <v>P</v>
      </c>
      <c r="AF228" s="49" t="str">
        <f>MID(VLOOKUP($A228,Seqs!$A:$B,2,FALSE),VLOOKUP($A228,'SegEnds_NonXtal_Prot#'!$A:$AL,22,FALSE)+10,1)</f>
        <v>S</v>
      </c>
      <c r="AG228" s="28" t="str">
        <f>MID(VLOOKUP($A228,Seqs!$A:$B,2,FALSE),VLOOKUP($A228,'SegEnds_NonXtal_Prot#'!$A:$AL,28,FALSE)-4,1)</f>
        <v>E</v>
      </c>
      <c r="AH228" s="49" t="str">
        <f>MID(VLOOKUP($A228,Seqs!$A:$B,2,FALSE),VLOOKUP($A228,'SegEnds_NonXtal_Prot#'!$A:$AL,28,FALSE),1)</f>
        <v>P</v>
      </c>
    </row>
    <row r="229" spans="1:34" s="2" customFormat="1" x14ac:dyDescent="0.2">
      <c r="A229" s="2" t="s">
        <v>368</v>
      </c>
      <c r="B229" s="2" t="str">
        <f>LOWER(VLOOKUP(A229,Xtal_Templ!A:B,2,FALSE))</f>
        <v>ox2r_human</v>
      </c>
      <c r="C229" s="2" t="str">
        <f>VLOOKUP(A229,Classification!A:D,2,FALSE)</f>
        <v>A</v>
      </c>
      <c r="D229" s="2" t="str">
        <f>IF(ISERROR(MATCH(A229,'SegEnds_Xtal_Prot#'!B:B, 0)), "NoXtal", "Xtal")</f>
        <v>NoXtal</v>
      </c>
      <c r="G229" s="2" t="s">
        <v>5</v>
      </c>
      <c r="H229" s="4"/>
      <c r="N229" s="2" t="s">
        <v>14</v>
      </c>
      <c r="R229" s="2" t="s">
        <v>9</v>
      </c>
      <c r="T229" s="4" t="s">
        <v>12</v>
      </c>
      <c r="V229" s="28" t="str">
        <f>MID(VLOOKUP($A229,Seqs!$A:$B,2,FALSE),VLOOKUP($A229,'SegEnds_NonXtal_Prot#'!A:AL,10,FALSE),1)</f>
        <v>D</v>
      </c>
      <c r="W229" s="49" t="str">
        <f>MID(VLOOKUP($A229,Seqs!$A:$B,2,FALSE),VLOOKUP($A229,'SegEnds_NonXtal_Prot#'!A:AL,10,FALSE)+6,1)</f>
        <v>I</v>
      </c>
      <c r="X229" s="49" t="str">
        <f>MID(VLOOKUP($A229,Seqs!$A:$B,2,FALSE),VLOOKUP($A229,'SegEnds_NonXtal_Prot#'!A:AL,10,FALSE)+7,1)</f>
        <v>C</v>
      </c>
      <c r="Y229" s="49" t="str">
        <f>MID(VLOOKUP($A229,Seqs!$A:$B,2,FALSE),VLOOKUP($A229,'SegEnds_NonXtal_Prot#'!A:AL,10,FALSE)+8,1)</f>
        <v>C</v>
      </c>
      <c r="Z229" s="49" t="str">
        <f>MID(VLOOKUP($A229,Seqs!$A:$B,2,FALSE),VLOOKUP($A229,'SegEnds_NonXtal_Prot#'!A:AL,10,FALSE)+9,1)</f>
        <v>P</v>
      </c>
      <c r="AA229" s="49" t="str">
        <f>MID(VLOOKUP($A229,Seqs!$A:$B,2,FALSE),VLOOKUP($A229,'SegEnds_NonXtal_Prot#'!A:AL,10,FALSE)+10,1)</f>
        <v>F</v>
      </c>
      <c r="AB229" s="28" t="str">
        <f>MID(VLOOKUP($A229,Seqs!$A:$B,2,FALSE),VLOOKUP($A229,'SegEnds_NonXtal_Prot#'!$A:$AL,22,FALSE)+6,1)</f>
        <v>I</v>
      </c>
      <c r="AC229" s="49" t="str">
        <f>MID(VLOOKUP($A229,Seqs!$A:$B,2,FALSE),VLOOKUP($A229,'SegEnds_NonXtal_Prot#'!$A:$AL,22,FALSE)+7,1)</f>
        <v>A</v>
      </c>
      <c r="AD229" s="49" t="str">
        <f>MID(VLOOKUP($A229,Seqs!$A:$B,2,FALSE),VLOOKUP($A229,'SegEnds_NonXtal_Prot#'!$A:$AL,22,FALSE)+8,1)</f>
        <v>I</v>
      </c>
      <c r="AE229" s="49" t="str">
        <f>MID(VLOOKUP($A229,Seqs!$A:$B,2,FALSE),VLOOKUP($A229,'SegEnds_NonXtal_Prot#'!$A:$AL,22,FALSE)+9,1)</f>
        <v>P</v>
      </c>
      <c r="AF229" s="49" t="str">
        <f>MID(VLOOKUP($A229,Seqs!$A:$B,2,FALSE),VLOOKUP($A229,'SegEnds_NonXtal_Prot#'!$A:$AL,22,FALSE)+10,1)</f>
        <v>S</v>
      </c>
      <c r="AG229" s="28" t="str">
        <f>MID(VLOOKUP($A229,Seqs!$A:$B,2,FALSE),VLOOKUP($A229,'SegEnds_NonXtal_Prot#'!$A:$AL,28,FALSE)-4,1)</f>
        <v>E</v>
      </c>
      <c r="AH229" s="49" t="str">
        <f>MID(VLOOKUP($A229,Seqs!$A:$B,2,FALSE),VLOOKUP($A229,'SegEnds_NonXtal_Prot#'!$A:$AL,28,FALSE),1)</f>
        <v>P</v>
      </c>
    </row>
    <row r="230" spans="1:34" s="2" customFormat="1" x14ac:dyDescent="0.2">
      <c r="A230" s="2" t="s">
        <v>369</v>
      </c>
      <c r="B230" s="2" t="str">
        <f>LOWER(VLOOKUP(A230,Xtal_Templ!A:B,2,FALSE))</f>
        <v>ox2r_human</v>
      </c>
      <c r="C230" s="2" t="str">
        <f>VLOOKUP(A230,Classification!A:D,2,FALSE)</f>
        <v>A</v>
      </c>
      <c r="D230" s="2" t="str">
        <f>IF(ISERROR(MATCH(A230,'SegEnds_Xtal_Prot#'!B:B, 0)), "NoXtal", "Xtal")</f>
        <v>NoXtal</v>
      </c>
      <c r="G230" s="2" t="s">
        <v>5</v>
      </c>
      <c r="H230" s="4"/>
      <c r="N230" s="2" t="s">
        <v>14</v>
      </c>
      <c r="R230" s="2" t="s">
        <v>9</v>
      </c>
      <c r="T230" s="4" t="s">
        <v>12</v>
      </c>
      <c r="V230" s="28" t="str">
        <f>MID(VLOOKUP($A230,Seqs!$A:$B,2,FALSE),VLOOKUP($A230,'SegEnds_NonXtal_Prot#'!A:AL,10,FALSE),1)</f>
        <v>D</v>
      </c>
      <c r="W230" s="49" t="str">
        <f>MID(VLOOKUP($A230,Seqs!$A:$B,2,FALSE),VLOOKUP($A230,'SegEnds_NonXtal_Prot#'!A:AL,10,FALSE)+6,1)</f>
        <v>A</v>
      </c>
      <c r="X230" s="49" t="str">
        <f>MID(VLOOKUP($A230,Seqs!$A:$B,2,FALSE),VLOOKUP($A230,'SegEnds_NonXtal_Prot#'!A:AL,10,FALSE)+7,1)</f>
        <v>C</v>
      </c>
      <c r="Y230" s="49" t="str">
        <f>MID(VLOOKUP($A230,Seqs!$A:$B,2,FALSE),VLOOKUP($A230,'SegEnds_NonXtal_Prot#'!A:AL,10,FALSE)+8,1)</f>
        <v>V</v>
      </c>
      <c r="Z230" s="49" t="str">
        <f>MID(VLOOKUP($A230,Seqs!$A:$B,2,FALSE),VLOOKUP($A230,'SegEnds_NonXtal_Prot#'!A:AL,10,FALSE)+9,1)</f>
        <v>P</v>
      </c>
      <c r="AA230" s="49" t="str">
        <f>MID(VLOOKUP($A230,Seqs!$A:$B,2,FALSE),VLOOKUP($A230,'SegEnds_NonXtal_Prot#'!A:AL,10,FALSE)+10,1)</f>
        <v>L</v>
      </c>
      <c r="AB230" s="28" t="str">
        <f>MID(VLOOKUP($A230,Seqs!$A:$B,2,FALSE),VLOOKUP($A230,'SegEnds_NonXtal_Prot#'!$A:$AL,22,FALSE)+6,1)</f>
        <v>L</v>
      </c>
      <c r="AC230" s="49" t="str">
        <f>MID(VLOOKUP($A230,Seqs!$A:$B,2,FALSE),VLOOKUP($A230,'SegEnds_NonXtal_Prot#'!$A:$AL,22,FALSE)+7,1)</f>
        <v>A</v>
      </c>
      <c r="AD230" s="49" t="str">
        <f>MID(VLOOKUP($A230,Seqs!$A:$B,2,FALSE),VLOOKUP($A230,'SegEnds_NonXtal_Prot#'!$A:$AL,22,FALSE)+8,1)</f>
        <v>L</v>
      </c>
      <c r="AE230" s="49" t="str">
        <f>MID(VLOOKUP($A230,Seqs!$A:$B,2,FALSE),VLOOKUP($A230,'SegEnds_NonXtal_Prot#'!$A:$AL,22,FALSE)+9,1)</f>
        <v>P</v>
      </c>
      <c r="AF230" s="49" t="str">
        <f>MID(VLOOKUP($A230,Seqs!$A:$B,2,FALSE),VLOOKUP($A230,'SegEnds_NonXtal_Prot#'!$A:$AL,22,FALSE)+10,1)</f>
        <v>A</v>
      </c>
      <c r="AG230" s="28" t="str">
        <f>MID(VLOOKUP($A230,Seqs!$A:$B,2,FALSE),VLOOKUP($A230,'SegEnds_NonXtal_Prot#'!$A:$AL,28,FALSE)-4,1)</f>
        <v>T</v>
      </c>
      <c r="AH230" s="49" t="str">
        <f>MID(VLOOKUP($A230,Seqs!$A:$B,2,FALSE),VLOOKUP($A230,'SegEnds_NonXtal_Prot#'!$A:$AL,28,FALSE),1)</f>
        <v>P</v>
      </c>
    </row>
    <row r="231" spans="1:34" s="2" customFormat="1" x14ac:dyDescent="0.2">
      <c r="A231" s="2" t="s">
        <v>372</v>
      </c>
      <c r="B231" s="2" t="str">
        <f>LOWER(VLOOKUP(A231,Xtal_Templ!A:B,2,FALSE))</f>
        <v>ox2r_human</v>
      </c>
      <c r="C231" s="2" t="str">
        <f>VLOOKUP(A231,Classification!A:D,2,FALSE)</f>
        <v>A</v>
      </c>
      <c r="D231" s="2" t="str">
        <f>IF(ISERROR(MATCH(A231,'SegEnds_Xtal_Prot#'!B:B, 0)), "NoXtal", "Xtal")</f>
        <v>NoXtal</v>
      </c>
      <c r="G231" s="2" t="s">
        <v>5</v>
      </c>
      <c r="H231" s="4"/>
      <c r="R231" s="2" t="s">
        <v>9</v>
      </c>
      <c r="T231" s="4" t="s">
        <v>12</v>
      </c>
      <c r="V231" s="28" t="str">
        <f>MID(VLOOKUP($A231,Seqs!$A:$B,2,FALSE),VLOOKUP($A231,'SegEnds_NonXtal_Prot#'!A:AL,10,FALSE),1)</f>
        <v>D</v>
      </c>
      <c r="W231" s="49" t="str">
        <f>MID(VLOOKUP($A231,Seqs!$A:$B,2,FALSE),VLOOKUP($A231,'SegEnds_NonXtal_Prot#'!A:AL,10,FALSE)+6,1)</f>
        <v>F</v>
      </c>
      <c r="X231" s="49" t="str">
        <f>MID(VLOOKUP($A231,Seqs!$A:$B,2,FALSE),VLOOKUP($A231,'SegEnds_NonXtal_Prot#'!A:AL,10,FALSE)+7,1)</f>
        <v>C</v>
      </c>
      <c r="Y231" s="49" t="str">
        <f>MID(VLOOKUP($A231,Seqs!$A:$B,2,FALSE),VLOOKUP($A231,'SegEnds_NonXtal_Prot#'!A:AL,10,FALSE)+8,1)</f>
        <v>I</v>
      </c>
      <c r="Z231" s="49" t="str">
        <f>MID(VLOOKUP($A231,Seqs!$A:$B,2,FALSE),VLOOKUP($A231,'SegEnds_NonXtal_Prot#'!A:AL,10,FALSE)+9,1)</f>
        <v>P</v>
      </c>
      <c r="AA231" s="49" t="str">
        <f>MID(VLOOKUP($A231,Seqs!$A:$B,2,FALSE),VLOOKUP($A231,'SegEnds_NonXtal_Prot#'!A:AL,10,FALSE)+10,1)</f>
        <v>V</v>
      </c>
      <c r="AB231" s="28" t="str">
        <f>MID(VLOOKUP($A231,Seqs!$A:$B,2,FALSE),VLOOKUP($A231,'SegEnds_NonXtal_Prot#'!$A:$AL,22,FALSE)+6,1)</f>
        <v>V</v>
      </c>
      <c r="AC231" s="49" t="str">
        <f>MID(VLOOKUP($A231,Seqs!$A:$B,2,FALSE),VLOOKUP($A231,'SegEnds_NonXtal_Prot#'!$A:$AL,22,FALSE)+7,1)</f>
        <v>G</v>
      </c>
      <c r="AD231" s="49" t="str">
        <f>MID(VLOOKUP($A231,Seqs!$A:$B,2,FALSE),VLOOKUP($A231,'SegEnds_NonXtal_Prot#'!$A:$AL,22,FALSE)+8,1)</f>
        <v>S</v>
      </c>
      <c r="AE231" s="49" t="str">
        <f>MID(VLOOKUP($A231,Seqs!$A:$B,2,FALSE),VLOOKUP($A231,'SegEnds_NonXtal_Prot#'!$A:$AL,22,FALSE)+9,1)</f>
        <v>P</v>
      </c>
      <c r="AF231" s="49" t="str">
        <f>MID(VLOOKUP($A231,Seqs!$A:$B,2,FALSE),VLOOKUP($A231,'SegEnds_NonXtal_Prot#'!$A:$AL,22,FALSE)+10,1)</f>
        <v>M</v>
      </c>
      <c r="AG231" s="28" t="str">
        <f>MID(VLOOKUP($A231,Seqs!$A:$B,2,FALSE),VLOOKUP($A231,'SegEnds_NonXtal_Prot#'!$A:$AL,28,FALSE)-4,1)</f>
        <v>L</v>
      </c>
      <c r="AH231" s="49" t="str">
        <f>MID(VLOOKUP($A231,Seqs!$A:$B,2,FALSE),VLOOKUP($A231,'SegEnds_NonXtal_Prot#'!$A:$AL,28,FALSE),1)</f>
        <v>P</v>
      </c>
    </row>
    <row r="232" spans="1:34" s="2" customFormat="1" x14ac:dyDescent="0.2">
      <c r="A232" s="2" t="s">
        <v>179</v>
      </c>
      <c r="B232" s="2" t="str">
        <f>LOWER(VLOOKUP(A232,Xtal_Templ!A:B,2,FALSE))</f>
        <v>p2ry1_human</v>
      </c>
      <c r="C232" s="2" t="str">
        <f>VLOOKUP(A232,Classification!A:D,2,FALSE)</f>
        <v>A</v>
      </c>
      <c r="D232" s="2" t="str">
        <f>IF(ISERROR(MATCH(A232,'SegEnds_Xtal_Prot#'!B:B, 0)), "NoXtal", "Xtal")</f>
        <v>NoXtal</v>
      </c>
      <c r="H232" s="4"/>
      <c r="N232" s="2" t="s">
        <v>14</v>
      </c>
      <c r="R232" s="2" t="s">
        <v>9</v>
      </c>
      <c r="S232" s="106"/>
      <c r="T232" s="4" t="s">
        <v>12</v>
      </c>
      <c r="V232" s="28" t="str">
        <f>MID(VLOOKUP($A232,Seqs!$A:$B,2,FALSE),VLOOKUP($A232,'SegEnds_NonXtal_Prot#'!A:AL,10,FALSE),1)</f>
        <v>D</v>
      </c>
      <c r="W232" s="49" t="str">
        <f>MID(VLOOKUP($A232,Seqs!$A:$B,2,FALSE),VLOOKUP($A232,'SegEnds_NonXtal_Prot#'!A:AL,10,FALSE)+6,1)</f>
        <v>T</v>
      </c>
      <c r="X232" s="49" t="str">
        <f>MID(VLOOKUP($A232,Seqs!$A:$B,2,FALSE),VLOOKUP($A232,'SegEnds_NonXtal_Prot#'!A:AL,10,FALSE)+7,1)</f>
        <v>L</v>
      </c>
      <c r="Y232" s="49" t="str">
        <f>MID(VLOOKUP($A232,Seqs!$A:$B,2,FALSE),VLOOKUP($A232,'SegEnds_NonXtal_Prot#'!A:AL,10,FALSE)+8,1)</f>
        <v>P</v>
      </c>
      <c r="Z232" s="49" t="str">
        <f>MID(VLOOKUP($A232,Seqs!$A:$B,2,FALSE),VLOOKUP($A232,'SegEnds_NonXtal_Prot#'!A:AL,10,FALSE)+9,1)</f>
        <v>L</v>
      </c>
      <c r="AA232" s="49" t="str">
        <f>MID(VLOOKUP($A232,Seqs!$A:$B,2,FALSE),VLOOKUP($A232,'SegEnds_NonXtal_Prot#'!A:AL,10,FALSE)+10,1)</f>
        <v>R</v>
      </c>
      <c r="AB232" s="28" t="str">
        <f>MID(VLOOKUP($A232,Seqs!$A:$B,2,FALSE),VLOOKUP($A232,'SegEnds_NonXtal_Prot#'!$A:$AL,22,FALSE)+6,1)</f>
        <v>T</v>
      </c>
      <c r="AC232" s="49" t="str">
        <f>MID(VLOOKUP($A232,Seqs!$A:$B,2,FALSE),VLOOKUP($A232,'SegEnds_NonXtal_Prot#'!$A:$AL,22,FALSE)+7,1)</f>
        <v>S</v>
      </c>
      <c r="AD232" s="49" t="str">
        <f>MID(VLOOKUP($A232,Seqs!$A:$B,2,FALSE),VLOOKUP($A232,'SegEnds_NonXtal_Prot#'!$A:$AL,22,FALSE)+8,1)</f>
        <v>S</v>
      </c>
      <c r="AE232" s="49" t="str">
        <f>MID(VLOOKUP($A232,Seqs!$A:$B,2,FALSE),VLOOKUP($A232,'SegEnds_NonXtal_Prot#'!$A:$AL,22,FALSE)+9,1)</f>
        <v>P</v>
      </c>
      <c r="AF232" s="49" t="str">
        <f>MID(VLOOKUP($A232,Seqs!$A:$B,2,FALSE),VLOOKUP($A232,'SegEnds_NonXtal_Prot#'!$A:$AL,22,FALSE)+10,1)</f>
        <v>F</v>
      </c>
      <c r="AG232" s="28" t="str">
        <f>MID(VLOOKUP($A232,Seqs!$A:$B,2,FALSE),VLOOKUP($A232,'SegEnds_NonXtal_Prot#'!$A:$AL,28,FALSE)-4,1)</f>
        <v>G</v>
      </c>
      <c r="AH232" s="49" t="str">
        <f>MID(VLOOKUP($A232,Seqs!$A:$B,2,FALSE),VLOOKUP($A232,'SegEnds_NonXtal_Prot#'!$A:$AL,28,FALSE),1)</f>
        <v>P</v>
      </c>
    </row>
    <row r="233" spans="1:34" s="2" customFormat="1" x14ac:dyDescent="0.2">
      <c r="A233" s="2" t="s">
        <v>180</v>
      </c>
      <c r="B233" s="2" t="str">
        <f>LOWER(VLOOKUP(A233,Xtal_Templ!A:B,2,FALSE))</f>
        <v>p2ry1_human</v>
      </c>
      <c r="C233" s="2" t="str">
        <f>VLOOKUP(A233,Classification!A:D,2,FALSE)</f>
        <v>A</v>
      </c>
      <c r="D233" s="2" t="str">
        <f>IF(ISERROR(MATCH(A233,'SegEnds_Xtal_Prot#'!B:B, 0)), "NoXtal", "Xtal")</f>
        <v>NoXtal</v>
      </c>
      <c r="H233" s="4"/>
      <c r="R233" s="2" t="s">
        <v>9</v>
      </c>
      <c r="T233" s="4" t="s">
        <v>12</v>
      </c>
      <c r="V233" s="28" t="str">
        <f>MID(VLOOKUP($A233,Seqs!$A:$B,2,FALSE),VLOOKUP($A233,'SegEnds_NonXtal_Prot#'!A:AL,10,FALSE),1)</f>
        <v>D</v>
      </c>
      <c r="W233" s="49" t="str">
        <f>MID(VLOOKUP($A233,Seqs!$A:$B,2,FALSE),VLOOKUP($A233,'SegEnds_NonXtal_Prot#'!A:AL,10,FALSE)+6,1)</f>
        <v>T</v>
      </c>
      <c r="X233" s="49" t="str">
        <f>MID(VLOOKUP($A233,Seqs!$A:$B,2,FALSE),VLOOKUP($A233,'SegEnds_NonXtal_Prot#'!A:AL,10,FALSE)+7,1)</f>
        <v>L</v>
      </c>
      <c r="Y233" s="49" t="str">
        <f>MID(VLOOKUP($A233,Seqs!$A:$B,2,FALSE),VLOOKUP($A233,'SegEnds_NonXtal_Prot#'!A:AL,10,FALSE)+8,1)</f>
        <v>P</v>
      </c>
      <c r="Z233" s="49" t="str">
        <f>MID(VLOOKUP($A233,Seqs!$A:$B,2,FALSE),VLOOKUP($A233,'SegEnds_NonXtal_Prot#'!A:AL,10,FALSE)+9,1)</f>
        <v>F</v>
      </c>
      <c r="AA233" s="49" t="str">
        <f>MID(VLOOKUP($A233,Seqs!$A:$B,2,FALSE),VLOOKUP($A233,'SegEnds_NonXtal_Prot#'!A:AL,10,FALSE)+10,1)</f>
        <v>R</v>
      </c>
      <c r="AB233" s="28" t="str">
        <f>MID(VLOOKUP($A233,Seqs!$A:$B,2,FALSE),VLOOKUP($A233,'SegEnds_NonXtal_Prot#'!$A:$AL,22,FALSE)+6,1)</f>
        <v>S</v>
      </c>
      <c r="AC233" s="49" t="str">
        <f>MID(VLOOKUP($A233,Seqs!$A:$B,2,FALSE),VLOOKUP($A233,'SegEnds_NonXtal_Prot#'!$A:$AL,22,FALSE)+7,1)</f>
        <v>S</v>
      </c>
      <c r="AD233" s="49" t="str">
        <f>MID(VLOOKUP($A233,Seqs!$A:$B,2,FALSE),VLOOKUP($A233,'SegEnds_NonXtal_Prot#'!$A:$AL,22,FALSE)+8,1)</f>
        <v>I</v>
      </c>
      <c r="AE233" s="49" t="str">
        <f>MID(VLOOKUP($A233,Seqs!$A:$B,2,FALSE),VLOOKUP($A233,'SegEnds_NonXtal_Prot#'!$A:$AL,22,FALSE)+9,1)</f>
        <v>M</v>
      </c>
      <c r="AF233" s="49" t="str">
        <f>MID(VLOOKUP($A233,Seqs!$A:$B,2,FALSE),VLOOKUP($A233,'SegEnds_NonXtal_Prot#'!$A:$AL,22,FALSE)+10,1)</f>
        <v>L</v>
      </c>
      <c r="AG233" s="28" t="str">
        <f>MID(VLOOKUP($A233,Seqs!$A:$B,2,FALSE),VLOOKUP($A233,'SegEnds_NonXtal_Prot#'!$A:$AL,28,FALSE)-4,1)</f>
        <v>G</v>
      </c>
      <c r="AH233" s="49" t="str">
        <f>MID(VLOOKUP($A233,Seqs!$A:$B,2,FALSE),VLOOKUP($A233,'SegEnds_NonXtal_Prot#'!$A:$AL,28,FALSE),1)</f>
        <v>P</v>
      </c>
    </row>
    <row r="234" spans="1:34" s="2" customFormat="1" x14ac:dyDescent="0.2">
      <c r="A234" s="2" t="s">
        <v>214</v>
      </c>
      <c r="B234" s="2" t="str">
        <f>LOWER(VLOOKUP(A234,Xtal_Templ!A:B,2,FALSE))</f>
        <v>p2ry1_human</v>
      </c>
      <c r="C234" s="2" t="str">
        <f>VLOOKUP(A234,Classification!A:D,2,FALSE)</f>
        <v>A</v>
      </c>
      <c r="D234" s="2" t="str">
        <f>IF(ISERROR(MATCH(A234,'SegEnds_Xtal_Prot#'!B:B, 0)), "NoXtal", "Xtal")</f>
        <v>NoXtal</v>
      </c>
      <c r="H234" s="4"/>
      <c r="N234" s="2" t="s">
        <v>14</v>
      </c>
      <c r="R234" s="2" t="s">
        <v>9</v>
      </c>
      <c r="T234" s="4" t="s">
        <v>12</v>
      </c>
      <c r="V234" s="28" t="str">
        <f>MID(VLOOKUP($A234,Seqs!$A:$B,2,FALSE),VLOOKUP($A234,'SegEnds_NonXtal_Prot#'!A:AL,10,FALSE),1)</f>
        <v>E</v>
      </c>
      <c r="W234" s="49" t="str">
        <f>MID(VLOOKUP($A234,Seqs!$A:$B,2,FALSE),VLOOKUP($A234,'SegEnds_NonXtal_Prot#'!A:AL,10,FALSE)+6,1)</f>
        <v>T</v>
      </c>
      <c r="X234" s="49" t="str">
        <f>MID(VLOOKUP($A234,Seqs!$A:$B,2,FALSE),VLOOKUP($A234,'SegEnds_NonXtal_Prot#'!A:AL,10,FALSE)+7,1)</f>
        <v>L</v>
      </c>
      <c r="Y234" s="49" t="str">
        <f>MID(VLOOKUP($A234,Seqs!$A:$B,2,FALSE),VLOOKUP($A234,'SegEnds_NonXtal_Prot#'!A:AL,10,FALSE)+8,1)</f>
        <v>P</v>
      </c>
      <c r="Z234" s="49" t="str">
        <f>MID(VLOOKUP($A234,Seqs!$A:$B,2,FALSE),VLOOKUP($A234,'SegEnds_NonXtal_Prot#'!A:AL,10,FALSE)+9,1)</f>
        <v>L</v>
      </c>
      <c r="AA234" s="49" t="str">
        <f>MID(VLOOKUP($A234,Seqs!$A:$B,2,FALSE),VLOOKUP($A234,'SegEnds_NonXtal_Prot#'!A:AL,10,FALSE)+10,1)</f>
        <v>W</v>
      </c>
      <c r="AB234" s="28" t="str">
        <f>MID(VLOOKUP($A234,Seqs!$A:$B,2,FALSE),VLOOKUP($A234,'SegEnds_NonXtal_Prot#'!$A:$AL,22,FALSE)+6,1)</f>
        <v>V</v>
      </c>
      <c r="AC234" s="49" t="str">
        <f>MID(VLOOKUP($A234,Seqs!$A:$B,2,FALSE),VLOOKUP($A234,'SegEnds_NonXtal_Prot#'!$A:$AL,22,FALSE)+7,1)</f>
        <v>H</v>
      </c>
      <c r="AD234" s="49" t="str">
        <f>MID(VLOOKUP($A234,Seqs!$A:$B,2,FALSE),VLOOKUP($A234,'SegEnds_NonXtal_Prot#'!$A:$AL,22,FALSE)+8,1)</f>
        <v>Y</v>
      </c>
      <c r="AE234" s="49" t="str">
        <f>MID(VLOOKUP($A234,Seqs!$A:$B,2,FALSE),VLOOKUP($A234,'SegEnds_NonXtal_Prot#'!$A:$AL,22,FALSE)+9,1)</f>
        <v>P</v>
      </c>
      <c r="AF234" s="49" t="str">
        <f>MID(VLOOKUP($A234,Seqs!$A:$B,2,FALSE),VLOOKUP($A234,'SegEnds_NonXtal_Prot#'!$A:$AL,22,FALSE)+10,1)</f>
        <v>V</v>
      </c>
      <c r="AG234" s="28" t="str">
        <f>MID(VLOOKUP($A234,Seqs!$A:$B,2,FALSE),VLOOKUP($A234,'SegEnds_NonXtal_Prot#'!$A:$AL,28,FALSE)-4,1)</f>
        <v>G</v>
      </c>
      <c r="AH234" s="49" t="str">
        <f>MID(VLOOKUP($A234,Seqs!$A:$B,2,FALSE),VLOOKUP($A234,'SegEnds_NonXtal_Prot#'!$A:$AL,28,FALSE),1)</f>
        <v>P</v>
      </c>
    </row>
    <row r="235" spans="1:34" s="2" customFormat="1" x14ac:dyDescent="0.2">
      <c r="A235" s="2" t="s">
        <v>231</v>
      </c>
      <c r="B235" s="2" t="str">
        <f>LOWER(VLOOKUP(A235,Xtal_Templ!A:B,2,FALSE))</f>
        <v>p2ry1_human</v>
      </c>
      <c r="C235" s="2" t="str">
        <f>VLOOKUP(A235,Classification!A:D,2,FALSE)</f>
        <v>A</v>
      </c>
      <c r="D235" s="2" t="str">
        <f>IF(ISERROR(MATCH(A235,'SegEnds_Xtal_Prot#'!B:B, 0)), "NoXtal", "Xtal")</f>
        <v>NoXtal</v>
      </c>
      <c r="H235" s="4"/>
      <c r="R235" s="2" t="s">
        <v>9</v>
      </c>
      <c r="T235" s="4" t="s">
        <v>12</v>
      </c>
      <c r="V235" s="28" t="str">
        <f>MID(VLOOKUP($A235,Seqs!$A:$B,2,FALSE),VLOOKUP($A235,'SegEnds_NonXtal_Prot#'!A:AL,10,FALSE),1)</f>
        <v>D</v>
      </c>
      <c r="W235" s="49" t="str">
        <f>MID(VLOOKUP($A235,Seqs!$A:$B,2,FALSE),VLOOKUP($A235,'SegEnds_NonXtal_Prot#'!A:AL,10,FALSE)+6,1)</f>
        <v>S</v>
      </c>
      <c r="X235" s="49" t="str">
        <f>MID(VLOOKUP($A235,Seqs!$A:$B,2,FALSE),VLOOKUP($A235,'SegEnds_NonXtal_Prot#'!A:AL,10,FALSE)+7,1)</f>
        <v>L</v>
      </c>
      <c r="Y235" s="49" t="str">
        <f>MID(VLOOKUP($A235,Seqs!$A:$B,2,FALSE),VLOOKUP($A235,'SegEnds_NonXtal_Prot#'!A:AL,10,FALSE)+8,1)</f>
        <v>P</v>
      </c>
      <c r="Z235" s="49" t="str">
        <f>MID(VLOOKUP($A235,Seqs!$A:$B,2,FALSE),VLOOKUP($A235,'SegEnds_NonXtal_Prot#'!A:AL,10,FALSE)+9,1)</f>
        <v>L</v>
      </c>
      <c r="AA235" s="49" t="str">
        <f>MID(VLOOKUP($A235,Seqs!$A:$B,2,FALSE),VLOOKUP($A235,'SegEnds_NonXtal_Prot#'!A:AL,10,FALSE)+10,1)</f>
        <v>R</v>
      </c>
      <c r="AB235" s="28" t="str">
        <f>MID(VLOOKUP($A235,Seqs!$A:$B,2,FALSE),VLOOKUP($A235,'SegEnds_NonXtal_Prot#'!$A:$AL,22,FALSE)+6,1)</f>
        <v>A</v>
      </c>
      <c r="AC235" s="49" t="str">
        <f>MID(VLOOKUP($A235,Seqs!$A:$B,2,FALSE),VLOOKUP($A235,'SegEnds_NonXtal_Prot#'!$A:$AL,22,FALSE)+7,1)</f>
        <v>C</v>
      </c>
      <c r="AD235" s="49" t="str">
        <f>MID(VLOOKUP($A235,Seqs!$A:$B,2,FALSE),VLOOKUP($A235,'SegEnds_NonXtal_Prot#'!$A:$AL,22,FALSE)+8,1)</f>
        <v>V</v>
      </c>
      <c r="AE235" s="49" t="str">
        <f>MID(VLOOKUP($A235,Seqs!$A:$B,2,FALSE),VLOOKUP($A235,'SegEnds_NonXtal_Prot#'!$A:$AL,22,FALSE)+9,1)</f>
        <v>L</v>
      </c>
      <c r="AF235" s="49" t="str">
        <f>MID(VLOOKUP($A235,Seqs!$A:$B,2,FALSE),VLOOKUP($A235,'SegEnds_NonXtal_Prot#'!$A:$AL,22,FALSE)+10,1)</f>
        <v>F</v>
      </c>
      <c r="AG235" s="28" t="str">
        <f>MID(VLOOKUP($A235,Seqs!$A:$B,2,FALSE),VLOOKUP($A235,'SegEnds_NonXtal_Prot#'!$A:$AL,28,FALSE)-4,1)</f>
        <v>G</v>
      </c>
      <c r="AH235" s="49" t="str">
        <f>MID(VLOOKUP($A235,Seqs!$A:$B,2,FALSE),VLOOKUP($A235,'SegEnds_NonXtal_Prot#'!$A:$AL,28,FALSE),1)</f>
        <v>P</v>
      </c>
    </row>
    <row r="236" spans="1:34" s="2" customFormat="1" x14ac:dyDescent="0.2">
      <c r="A236" s="2" t="s">
        <v>240</v>
      </c>
      <c r="B236" s="2" t="str">
        <f>LOWER(VLOOKUP(A236,Xtal_Templ!A:B,2,FALSE))</f>
        <v>apj_human</v>
      </c>
      <c r="C236" s="2" t="str">
        <f>VLOOKUP(A236,Classification!A:D,2,FALSE)</f>
        <v>A</v>
      </c>
      <c r="D236" s="2" t="str">
        <f>IF(ISERROR(MATCH(A236,'SegEnds_Xtal_Prot#'!B:B, 0)), "NoXtal", "Xtal")</f>
        <v>NoXtal</v>
      </c>
      <c r="H236" s="4"/>
      <c r="N236" s="2" t="s">
        <v>14</v>
      </c>
      <c r="R236" s="2" t="s">
        <v>9</v>
      </c>
      <c r="T236" s="4" t="s">
        <v>12</v>
      </c>
      <c r="V236" s="28" t="str">
        <f>MID(VLOOKUP($A236,Seqs!$A:$B,2,FALSE),VLOOKUP($A236,'SegEnds_NonXtal_Prot#'!A:AL,10,FALSE),1)</f>
        <v>D</v>
      </c>
      <c r="W236" s="49" t="str">
        <f>MID(VLOOKUP($A236,Seqs!$A:$B,2,FALSE),VLOOKUP($A236,'SegEnds_NonXtal_Prot#'!A:AL,10,FALSE)+6,1)</f>
        <v>V</v>
      </c>
      <c r="X236" s="49" t="str">
        <f>MID(VLOOKUP($A236,Seqs!$A:$B,2,FALSE),VLOOKUP($A236,'SegEnds_NonXtal_Prot#'!A:AL,10,FALSE)+7,1)</f>
        <v>L</v>
      </c>
      <c r="Y236" s="49" t="str">
        <f>MID(VLOOKUP($A236,Seqs!$A:$B,2,FALSE),VLOOKUP($A236,'SegEnds_NonXtal_Prot#'!A:AL,10,FALSE)+8,1)</f>
        <v>P</v>
      </c>
      <c r="Z236" s="49" t="str">
        <f>MID(VLOOKUP($A236,Seqs!$A:$B,2,FALSE),VLOOKUP($A236,'SegEnds_NonXtal_Prot#'!A:AL,10,FALSE)+9,1)</f>
        <v>T</v>
      </c>
      <c r="AA236" s="49" t="str">
        <f>MID(VLOOKUP($A236,Seqs!$A:$B,2,FALSE),VLOOKUP($A236,'SegEnds_NonXtal_Prot#'!A:AL,10,FALSE)+10,1)</f>
        <v>R</v>
      </c>
      <c r="AB236" s="28" t="str">
        <f>MID(VLOOKUP($A236,Seqs!$A:$B,2,FALSE),VLOOKUP($A236,'SegEnds_NonXtal_Prot#'!$A:$AL,22,FALSE)+6,1)</f>
        <v>A</v>
      </c>
      <c r="AC236" s="49" t="str">
        <f>MID(VLOOKUP($A236,Seqs!$A:$B,2,FALSE),VLOOKUP($A236,'SegEnds_NonXtal_Prot#'!$A:$AL,22,FALSE)+7,1)</f>
        <v>M</v>
      </c>
      <c r="AD236" s="49" t="str">
        <f>MID(VLOOKUP($A236,Seqs!$A:$B,2,FALSE),VLOOKUP($A236,'SegEnds_NonXtal_Prot#'!$A:$AL,22,FALSE)+8,1)</f>
        <v>A</v>
      </c>
      <c r="AE236" s="49" t="str">
        <f>MID(VLOOKUP($A236,Seqs!$A:$B,2,FALSE),VLOOKUP($A236,'SegEnds_NonXtal_Prot#'!$A:$AL,22,FALSE)+9,1)</f>
        <v>P</v>
      </c>
      <c r="AF236" s="49" t="str">
        <f>MID(VLOOKUP($A236,Seqs!$A:$B,2,FALSE),VLOOKUP($A236,'SegEnds_NonXtal_Prot#'!$A:$AL,22,FALSE)+10,1)</f>
        <v>L</v>
      </c>
      <c r="AG236" s="28" t="str">
        <f>MID(VLOOKUP($A236,Seqs!$A:$B,2,FALSE),VLOOKUP($A236,'SegEnds_NonXtal_Prot#'!$A:$AL,28,FALSE)-4,1)</f>
        <v>A</v>
      </c>
      <c r="AH236" s="49" t="str">
        <f>MID(VLOOKUP($A236,Seqs!$A:$B,2,FALSE),VLOOKUP($A236,'SegEnds_NonXtal_Prot#'!$A:$AL,28,FALSE),1)</f>
        <v>P</v>
      </c>
    </row>
    <row r="237" spans="1:34" s="2" customFormat="1" x14ac:dyDescent="0.2">
      <c r="A237" s="2" t="s">
        <v>241</v>
      </c>
      <c r="B237" s="2" t="str">
        <f>LOWER(VLOOKUP(A237,Xtal_Templ!A:B,2,FALSE))</f>
        <v>oprk_human</v>
      </c>
      <c r="C237" s="2" t="str">
        <f>VLOOKUP(A237,Classification!A:D,2,FALSE)</f>
        <v>A</v>
      </c>
      <c r="D237" s="2" t="str">
        <f>IF(ISERROR(MATCH(A237,'SegEnds_Xtal_Prot#'!B:B, 0)), "NoXtal", "Xtal")</f>
        <v>NoXtal</v>
      </c>
      <c r="H237" s="4"/>
      <c r="N237" s="2" t="s">
        <v>14</v>
      </c>
      <c r="T237" s="4" t="s">
        <v>12</v>
      </c>
      <c r="V237" s="28" t="str">
        <f>MID(VLOOKUP($A237,Seqs!$A:$B,2,FALSE),VLOOKUP($A237,'SegEnds_NonXtal_Prot#'!A:AL,10,FALSE),1)</f>
        <v>D</v>
      </c>
      <c r="W237" s="49" t="str">
        <f>MID(VLOOKUP($A237,Seqs!$A:$B,2,FALSE),VLOOKUP($A237,'SegEnds_NonXtal_Prot#'!A:AL,10,FALSE)+6,1)</f>
        <v>T</v>
      </c>
      <c r="X237" s="49" t="str">
        <f>MID(VLOOKUP($A237,Seqs!$A:$B,2,FALSE),VLOOKUP($A237,'SegEnds_NonXtal_Prot#'!A:AL,10,FALSE)+7,1)</f>
        <v>L</v>
      </c>
      <c r="Y237" s="49" t="str">
        <f>MID(VLOOKUP($A237,Seqs!$A:$B,2,FALSE),VLOOKUP($A237,'SegEnds_NonXtal_Prot#'!A:AL,10,FALSE)+8,1)</f>
        <v>P</v>
      </c>
      <c r="Z237" s="49" t="str">
        <f>MID(VLOOKUP($A237,Seqs!$A:$B,2,FALSE),VLOOKUP($A237,'SegEnds_NonXtal_Prot#'!A:AL,10,FALSE)+9,1)</f>
        <v>F</v>
      </c>
      <c r="AA237" s="49" t="str">
        <f>MID(VLOOKUP($A237,Seqs!$A:$B,2,FALSE),VLOOKUP($A237,'SegEnds_NonXtal_Prot#'!A:AL,10,FALSE)+10,1)</f>
        <v>R</v>
      </c>
      <c r="AB237" s="28" t="str">
        <f>MID(VLOOKUP($A237,Seqs!$A:$B,2,FALSE),VLOOKUP($A237,'SegEnds_NonXtal_Prot#'!$A:$AL,22,FALSE)+6,1)</f>
        <v>T</v>
      </c>
      <c r="AC237" s="49" t="str">
        <f>MID(VLOOKUP($A237,Seqs!$A:$B,2,FALSE),VLOOKUP($A237,'SegEnds_NonXtal_Prot#'!$A:$AL,22,FALSE)+7,1)</f>
        <v>T</v>
      </c>
      <c r="AD237" s="49" t="str">
        <f>MID(VLOOKUP($A237,Seqs!$A:$B,2,FALSE),VLOOKUP($A237,'SegEnds_NonXtal_Prot#'!$A:$AL,22,FALSE)+8,1)</f>
        <v>T</v>
      </c>
      <c r="AE237" s="49" t="str">
        <f>MID(VLOOKUP($A237,Seqs!$A:$B,2,FALSE),VLOOKUP($A237,'SegEnds_NonXtal_Prot#'!$A:$AL,22,FALSE)+9,1)</f>
        <v>P</v>
      </c>
      <c r="AF237" s="49" t="str">
        <f>MID(VLOOKUP($A237,Seqs!$A:$B,2,FALSE),VLOOKUP($A237,'SegEnds_NonXtal_Prot#'!$A:$AL,22,FALSE)+10,1)</f>
        <v>L</v>
      </c>
      <c r="AG237" s="28" t="str">
        <f>MID(VLOOKUP($A237,Seqs!$A:$B,2,FALSE),VLOOKUP($A237,'SegEnds_NonXtal_Prot#'!$A:$AL,28,FALSE)-4,1)</f>
        <v>F</v>
      </c>
      <c r="AH237" s="49" t="str">
        <f>MID(VLOOKUP($A237,Seqs!$A:$B,2,FALSE),VLOOKUP($A237,'SegEnds_NonXtal_Prot#'!$A:$AL,28,FALSE),1)</f>
        <v>P</v>
      </c>
    </row>
    <row r="238" spans="1:34" s="2" customFormat="1" x14ac:dyDescent="0.2">
      <c r="A238" s="2" t="s">
        <v>250</v>
      </c>
      <c r="B238" s="2" t="str">
        <f>LOWER(VLOOKUP(A238,Xtal_Templ!A:B,2,FALSE))</f>
        <v>oprd_human</v>
      </c>
      <c r="C238" s="2" t="str">
        <f>VLOOKUP(A238,Classification!A:D,2,FALSE)</f>
        <v>A</v>
      </c>
      <c r="D238" s="2" t="str">
        <f>IF(ISERROR(MATCH(A238,'SegEnds_Xtal_Prot#'!B:B, 0)), "NoXtal", "Xtal")</f>
        <v>NoXtal</v>
      </c>
      <c r="H238" s="4"/>
      <c r="N238" s="2" t="s">
        <v>14</v>
      </c>
      <c r="R238" s="2" t="s">
        <v>9</v>
      </c>
      <c r="T238" s="4" t="s">
        <v>12</v>
      </c>
      <c r="V238" s="28" t="str">
        <f>MID(VLOOKUP($A238,Seqs!$A:$B,2,FALSE),VLOOKUP($A238,'SegEnds_NonXtal_Prot#'!A:AL,10,FALSE),1)</f>
        <v>D</v>
      </c>
      <c r="W238" s="49" t="str">
        <f>MID(VLOOKUP($A238,Seqs!$A:$B,2,FALSE),VLOOKUP($A238,'SegEnds_NonXtal_Prot#'!A:AL,10,FALSE)+6,1)</f>
        <v>C</v>
      </c>
      <c r="X238" s="49" t="str">
        <f>MID(VLOOKUP($A238,Seqs!$A:$B,2,FALSE),VLOOKUP($A238,'SegEnds_NonXtal_Prot#'!A:AL,10,FALSE)+7,1)</f>
        <v>L</v>
      </c>
      <c r="Y238" s="49" t="str">
        <f>MID(VLOOKUP($A238,Seqs!$A:$B,2,FALSE),VLOOKUP($A238,'SegEnds_NonXtal_Prot#'!A:AL,10,FALSE)+8,1)</f>
        <v>P</v>
      </c>
      <c r="Z238" s="49" t="str">
        <f>MID(VLOOKUP($A238,Seqs!$A:$B,2,FALSE),VLOOKUP($A238,'SegEnds_NonXtal_Prot#'!A:AL,10,FALSE)+9,1)</f>
        <v>F</v>
      </c>
      <c r="AA238" s="49" t="str">
        <f>MID(VLOOKUP($A238,Seqs!$A:$B,2,FALSE),VLOOKUP($A238,'SegEnds_NonXtal_Prot#'!A:AL,10,FALSE)+10,1)</f>
        <v>L</v>
      </c>
      <c r="AB238" s="28" t="str">
        <f>MID(VLOOKUP($A238,Seqs!$A:$B,2,FALSE),VLOOKUP($A238,'SegEnds_NonXtal_Prot#'!$A:$AL,22,FALSE)+6,1)</f>
        <v>L</v>
      </c>
      <c r="AC238" s="49" t="str">
        <f>MID(VLOOKUP($A238,Seqs!$A:$B,2,FALSE),VLOOKUP($A238,'SegEnds_NonXtal_Prot#'!$A:$AL,22,FALSE)+7,1)</f>
        <v>T</v>
      </c>
      <c r="AD238" s="49" t="str">
        <f>MID(VLOOKUP($A238,Seqs!$A:$B,2,FALSE),VLOOKUP($A238,'SegEnds_NonXtal_Prot#'!$A:$AL,22,FALSE)+8,1)</f>
        <v>C</v>
      </c>
      <c r="AE238" s="49" t="str">
        <f>MID(VLOOKUP($A238,Seqs!$A:$B,2,FALSE),VLOOKUP($A238,'SegEnds_NonXtal_Prot#'!$A:$AL,22,FALSE)+9,1)</f>
        <v>P</v>
      </c>
      <c r="AF238" s="49" t="str">
        <f>MID(VLOOKUP($A238,Seqs!$A:$B,2,FALSE),VLOOKUP($A238,'SegEnds_NonXtal_Prot#'!$A:$AL,22,FALSE)+10,1)</f>
        <v>G</v>
      </c>
      <c r="AG238" s="28" t="str">
        <f>MID(VLOOKUP($A238,Seqs!$A:$B,2,FALSE),VLOOKUP($A238,'SegEnds_NonXtal_Prot#'!$A:$AL,28,FALSE)-4,1)</f>
        <v>Q</v>
      </c>
      <c r="AH238" s="49" t="str">
        <f>MID(VLOOKUP($A238,Seqs!$A:$B,2,FALSE),VLOOKUP($A238,'SegEnds_NonXtal_Prot#'!$A:$AL,28,FALSE),1)</f>
        <v>P</v>
      </c>
    </row>
    <row r="239" spans="1:34" s="2" customFormat="1" x14ac:dyDescent="0.2">
      <c r="A239" s="2" t="s">
        <v>257</v>
      </c>
      <c r="B239" s="2" t="str">
        <f>LOWER(VLOOKUP(A239,Xtal_Templ!A:B,2,FALSE))</f>
        <v>ptafr_human</v>
      </c>
      <c r="C239" s="2" t="str">
        <f>VLOOKUP(A239,Classification!A:D,2,FALSE)</f>
        <v>A</v>
      </c>
      <c r="D239" s="2" t="str">
        <f>IF(ISERROR(MATCH(A239,'SegEnds_Xtal_Prot#'!B:B, 0)), "NoXtal", "Xtal")</f>
        <v>NoXtal</v>
      </c>
      <c r="H239" s="4"/>
      <c r="R239" s="2" t="s">
        <v>9</v>
      </c>
      <c r="S239" s="106"/>
      <c r="T239" s="4" t="s">
        <v>12</v>
      </c>
      <c r="V239" s="28" t="str">
        <f>MID(VLOOKUP($A239,Seqs!$A:$B,2,FALSE),VLOOKUP($A239,'SegEnds_NonXtal_Prot#'!A:AL,10,FALSE),1)</f>
        <v>D</v>
      </c>
      <c r="W239" s="49" t="str">
        <f>MID(VLOOKUP($A239,Seqs!$A:$B,2,FALSE),VLOOKUP($A239,'SegEnds_NonXtal_Prot#'!A:AL,10,FALSE)+6,1)</f>
        <v>T</v>
      </c>
      <c r="X239" s="49" t="str">
        <f>MID(VLOOKUP($A239,Seqs!$A:$B,2,FALSE),VLOOKUP($A239,'SegEnds_NonXtal_Prot#'!A:AL,10,FALSE)+7,1)</f>
        <v>L</v>
      </c>
      <c r="Y239" s="49" t="str">
        <f>MID(VLOOKUP($A239,Seqs!$A:$B,2,FALSE),VLOOKUP($A239,'SegEnds_NonXtal_Prot#'!A:AL,10,FALSE)+8,1)</f>
        <v>P</v>
      </c>
      <c r="Z239" s="49" t="str">
        <f>MID(VLOOKUP($A239,Seqs!$A:$B,2,FALSE),VLOOKUP($A239,'SegEnds_NonXtal_Prot#'!A:AL,10,FALSE)+9,1)</f>
        <v>L</v>
      </c>
      <c r="AA239" s="49" t="str">
        <f>MID(VLOOKUP($A239,Seqs!$A:$B,2,FALSE),VLOOKUP($A239,'SegEnds_NonXtal_Prot#'!A:AL,10,FALSE)+10,1)</f>
        <v>W</v>
      </c>
      <c r="AB239" s="28" t="str">
        <f>MID(VLOOKUP($A239,Seqs!$A:$B,2,FALSE),VLOOKUP($A239,'SegEnds_NonXtal_Prot#'!$A:$AL,22,FALSE)+6,1)</f>
        <v>A</v>
      </c>
      <c r="AC239" s="49" t="str">
        <f>MID(VLOOKUP($A239,Seqs!$A:$B,2,FALSE),VLOOKUP($A239,'SegEnds_NonXtal_Prot#'!$A:$AL,22,FALSE)+7,1)</f>
        <v>N</v>
      </c>
      <c r="AD239" s="49" t="str">
        <f>MID(VLOOKUP($A239,Seqs!$A:$B,2,FALSE),VLOOKUP($A239,'SegEnds_NonXtal_Prot#'!$A:$AL,22,FALSE)+8,1)</f>
        <v>S</v>
      </c>
      <c r="AE239" s="49" t="str">
        <f>MID(VLOOKUP($A239,Seqs!$A:$B,2,FALSE),VLOOKUP($A239,'SegEnds_NonXtal_Prot#'!$A:$AL,22,FALSE)+9,1)</f>
        <v>A</v>
      </c>
      <c r="AF239" s="49" t="str">
        <f>MID(VLOOKUP($A239,Seqs!$A:$B,2,FALSE),VLOOKUP($A239,'SegEnds_NonXtal_Prot#'!$A:$AL,22,FALSE)+10,1)</f>
        <v>P</v>
      </c>
      <c r="AG239" s="28" t="str">
        <f>MID(VLOOKUP($A239,Seqs!$A:$B,2,FALSE),VLOOKUP($A239,'SegEnds_NonXtal_Prot#'!$A:$AL,28,FALSE)-4,1)</f>
        <v>G</v>
      </c>
      <c r="AH239" s="49" t="str">
        <f>MID(VLOOKUP($A239,Seqs!$A:$B,2,FALSE),VLOOKUP($A239,'SegEnds_NonXtal_Prot#'!$A:$AL,28,FALSE),1)</f>
        <v>P</v>
      </c>
    </row>
    <row r="240" spans="1:34" s="2" customFormat="1" x14ac:dyDescent="0.2">
      <c r="A240" s="2" t="s">
        <v>275</v>
      </c>
      <c r="B240" s="2" t="str">
        <f>LOWER(VLOOKUP(A240,Xtal_Templ!A:B,2,FALSE))</f>
        <v>p2ry1_human</v>
      </c>
      <c r="C240" s="2" t="str">
        <f>VLOOKUP(A240,Classification!A:D,2,FALSE)</f>
        <v>A</v>
      </c>
      <c r="D240" s="2" t="str">
        <f>IF(ISERROR(MATCH(A240,'SegEnds_Xtal_Prot#'!B:B, 0)), "NoXtal", "Xtal")</f>
        <v>NoXtal</v>
      </c>
      <c r="H240" s="4"/>
      <c r="R240" s="2" t="s">
        <v>9</v>
      </c>
      <c r="T240" s="4" t="s">
        <v>12</v>
      </c>
      <c r="V240" s="28" t="str">
        <f>MID(VLOOKUP($A240,Seqs!$A:$B,2,FALSE),VLOOKUP($A240,'SegEnds_NonXtal_Prot#'!A:AL,10,FALSE),1)</f>
        <v>D</v>
      </c>
      <c r="W240" s="49" t="str">
        <f>MID(VLOOKUP($A240,Seqs!$A:$B,2,FALSE),VLOOKUP($A240,'SegEnds_NonXtal_Prot#'!A:AL,10,FALSE)+6,1)</f>
        <v>C</v>
      </c>
      <c r="X240" s="49" t="str">
        <f>MID(VLOOKUP($A240,Seqs!$A:$B,2,FALSE),VLOOKUP($A240,'SegEnds_NonXtal_Prot#'!A:AL,10,FALSE)+7,1)</f>
        <v>L</v>
      </c>
      <c r="Y240" s="49" t="str">
        <f>MID(VLOOKUP($A240,Seqs!$A:$B,2,FALSE),VLOOKUP($A240,'SegEnds_NonXtal_Prot#'!A:AL,10,FALSE)+8,1)</f>
        <v>P</v>
      </c>
      <c r="Z240" s="49" t="str">
        <f>MID(VLOOKUP($A240,Seqs!$A:$B,2,FALSE),VLOOKUP($A240,'SegEnds_NonXtal_Prot#'!A:AL,10,FALSE)+9,1)</f>
        <v>F</v>
      </c>
      <c r="AA240" s="49" t="str">
        <f>MID(VLOOKUP($A240,Seqs!$A:$B,2,FALSE),VLOOKUP($A240,'SegEnds_NonXtal_Prot#'!A:AL,10,FALSE)+10,1)</f>
        <v>R</v>
      </c>
      <c r="AB240" s="28" t="str">
        <f>MID(VLOOKUP($A240,Seqs!$A:$B,2,FALSE),VLOOKUP($A240,'SegEnds_NonXtal_Prot#'!$A:$AL,22,FALSE)+6,1)</f>
        <v>G</v>
      </c>
      <c r="AC240" s="49" t="str">
        <f>MID(VLOOKUP($A240,Seqs!$A:$B,2,FALSE),VLOOKUP($A240,'SegEnds_NonXtal_Prot#'!$A:$AL,22,FALSE)+7,1)</f>
        <v>T</v>
      </c>
      <c r="AD240" s="49" t="str">
        <f>MID(VLOOKUP($A240,Seqs!$A:$B,2,FALSE),VLOOKUP($A240,'SegEnds_NonXtal_Prot#'!$A:$AL,22,FALSE)+8,1)</f>
        <v>V</v>
      </c>
      <c r="AE240" s="49" t="str">
        <f>MID(VLOOKUP($A240,Seqs!$A:$B,2,FALSE),VLOOKUP($A240,'SegEnds_NonXtal_Prot#'!$A:$AL,22,FALSE)+9,1)</f>
        <v>Y</v>
      </c>
      <c r="AF240" s="49" t="str">
        <f>MID(VLOOKUP($A240,Seqs!$A:$B,2,FALSE),VLOOKUP($A240,'SegEnds_NonXtal_Prot#'!$A:$AL,22,FALSE)+10,1)</f>
        <v>L</v>
      </c>
      <c r="AG240" s="28" t="str">
        <f>MID(VLOOKUP($A240,Seqs!$A:$B,2,FALSE),VLOOKUP($A240,'SegEnds_NonXtal_Prot#'!$A:$AL,28,FALSE)-4,1)</f>
        <v>E</v>
      </c>
      <c r="AH240" s="49" t="str">
        <f>MID(VLOOKUP($A240,Seqs!$A:$B,2,FALSE),VLOOKUP($A240,'SegEnds_NonXtal_Prot#'!$A:$AL,28,FALSE),1)</f>
        <v>P</v>
      </c>
    </row>
    <row r="241" spans="1:34" s="2" customFormat="1" x14ac:dyDescent="0.2">
      <c r="A241" s="2" t="s">
        <v>276</v>
      </c>
      <c r="B241" s="2" t="str">
        <f>LOWER(VLOOKUP(A241,Xtal_Templ!A:B,2,FALSE))</f>
        <v>oprk_human</v>
      </c>
      <c r="C241" s="2" t="str">
        <f>VLOOKUP(A241,Classification!A:D,2,FALSE)</f>
        <v>A</v>
      </c>
      <c r="D241" s="2" t="str">
        <f>IF(ISERROR(MATCH(A241,'SegEnds_Xtal_Prot#'!B:B, 0)), "NoXtal", "Xtal")</f>
        <v>NoXtal</v>
      </c>
      <c r="H241" s="4"/>
      <c r="R241" s="2" t="s">
        <v>9</v>
      </c>
      <c r="T241" s="4" t="s">
        <v>12</v>
      </c>
      <c r="V241" s="28" t="str">
        <f>MID(VLOOKUP($A241,Seqs!$A:$B,2,FALSE),VLOOKUP($A241,'SegEnds_NonXtal_Prot#'!A:AL,10,FALSE),1)</f>
        <v>D</v>
      </c>
      <c r="W241" s="49" t="str">
        <f>MID(VLOOKUP($A241,Seqs!$A:$B,2,FALSE),VLOOKUP($A241,'SegEnds_NonXtal_Prot#'!A:AL,10,FALSE)+6,1)</f>
        <v>C</v>
      </c>
      <c r="X241" s="49" t="str">
        <f>MID(VLOOKUP($A241,Seqs!$A:$B,2,FALSE),VLOOKUP($A241,'SegEnds_NonXtal_Prot#'!A:AL,10,FALSE)+7,1)</f>
        <v>L</v>
      </c>
      <c r="Y241" s="49" t="str">
        <f>MID(VLOOKUP($A241,Seqs!$A:$B,2,FALSE),VLOOKUP($A241,'SegEnds_NonXtal_Prot#'!A:AL,10,FALSE)+8,1)</f>
        <v>P</v>
      </c>
      <c r="Z241" s="49" t="str">
        <f>MID(VLOOKUP($A241,Seqs!$A:$B,2,FALSE),VLOOKUP($A241,'SegEnds_NonXtal_Prot#'!A:AL,10,FALSE)+9,1)</f>
        <v>F</v>
      </c>
      <c r="AA241" s="49" t="str">
        <f>MID(VLOOKUP($A241,Seqs!$A:$B,2,FALSE),VLOOKUP($A241,'SegEnds_NonXtal_Prot#'!A:AL,10,FALSE)+10,1)</f>
        <v>L</v>
      </c>
      <c r="AB241" s="28" t="str">
        <f>MID(VLOOKUP($A241,Seqs!$A:$B,2,FALSE),VLOOKUP($A241,'SegEnds_NonXtal_Prot#'!$A:$AL,22,FALSE)+6,1)</f>
        <v>L</v>
      </c>
      <c r="AC241" s="49" t="str">
        <f>MID(VLOOKUP($A241,Seqs!$A:$B,2,FALSE),VLOOKUP($A241,'SegEnds_NonXtal_Prot#'!$A:$AL,22,FALSE)+7,1)</f>
        <v>T</v>
      </c>
      <c r="AD241" s="49" t="str">
        <f>MID(VLOOKUP($A241,Seqs!$A:$B,2,FALSE),VLOOKUP($A241,'SegEnds_NonXtal_Prot#'!$A:$AL,22,FALSE)+8,1)</f>
        <v>V</v>
      </c>
      <c r="AE241" s="49" t="str">
        <f>MID(VLOOKUP($A241,Seqs!$A:$B,2,FALSE),VLOOKUP($A241,'SegEnds_NonXtal_Prot#'!$A:$AL,22,FALSE)+9,1)</f>
        <v>H</v>
      </c>
      <c r="AF241" s="49" t="str">
        <f>MID(VLOOKUP($A241,Seqs!$A:$B,2,FALSE),VLOOKUP($A241,'SegEnds_NonXtal_Prot#'!$A:$AL,22,FALSE)+10,1)</f>
        <v>L</v>
      </c>
      <c r="AG241" s="28" t="str">
        <f>MID(VLOOKUP($A241,Seqs!$A:$B,2,FALSE),VLOOKUP($A241,'SegEnds_NonXtal_Prot#'!$A:$AL,28,FALSE)-4,1)</f>
        <v>E</v>
      </c>
      <c r="AH241" s="49" t="str">
        <f>MID(VLOOKUP($A241,Seqs!$A:$B,2,FALSE),VLOOKUP($A241,'SegEnds_NonXtal_Prot#'!$A:$AL,28,FALSE),1)</f>
        <v>P</v>
      </c>
    </row>
    <row r="242" spans="1:34" s="2" customFormat="1" x14ac:dyDescent="0.2">
      <c r="A242" s="2" t="s">
        <v>277</v>
      </c>
      <c r="B242" s="2" t="str">
        <f>LOWER(VLOOKUP(A242,Xtal_Templ!A:B,2,FALSE))</f>
        <v>p2ry1_human</v>
      </c>
      <c r="C242" s="2" t="str">
        <f>VLOOKUP(A242,Classification!A:D,2,FALSE)</f>
        <v>A</v>
      </c>
      <c r="D242" s="2" t="str">
        <f>IF(ISERROR(MATCH(A242,'SegEnds_Xtal_Prot#'!B:B, 0)), "NoXtal", "Xtal")</f>
        <v>NoXtal</v>
      </c>
      <c r="H242" s="4"/>
      <c r="R242" s="2" t="s">
        <v>9</v>
      </c>
      <c r="T242" s="4" t="s">
        <v>12</v>
      </c>
      <c r="V242" s="28" t="str">
        <f>MID(VLOOKUP($A242,Seqs!$A:$B,2,FALSE),VLOOKUP($A242,'SegEnds_NonXtal_Prot#'!A:AL,10,FALSE),1)</f>
        <v>D</v>
      </c>
      <c r="W242" s="49" t="str">
        <f>MID(VLOOKUP($A242,Seqs!$A:$B,2,FALSE),VLOOKUP($A242,'SegEnds_NonXtal_Prot#'!A:AL,10,FALSE)+6,1)</f>
        <v>C</v>
      </c>
      <c r="X242" s="49" t="str">
        <f>MID(VLOOKUP($A242,Seqs!$A:$B,2,FALSE),VLOOKUP($A242,'SegEnds_NonXtal_Prot#'!A:AL,10,FALSE)+7,1)</f>
        <v>L</v>
      </c>
      <c r="Y242" s="49" t="str">
        <f>MID(VLOOKUP($A242,Seqs!$A:$B,2,FALSE),VLOOKUP($A242,'SegEnds_NonXtal_Prot#'!A:AL,10,FALSE)+8,1)</f>
        <v>P</v>
      </c>
      <c r="Z242" s="49" t="str">
        <f>MID(VLOOKUP($A242,Seqs!$A:$B,2,FALSE),VLOOKUP($A242,'SegEnds_NonXtal_Prot#'!A:AL,10,FALSE)+9,1)</f>
        <v>F</v>
      </c>
      <c r="AA242" s="49" t="str">
        <f>MID(VLOOKUP($A242,Seqs!$A:$B,2,FALSE),VLOOKUP($A242,'SegEnds_NonXtal_Prot#'!A:AL,10,FALSE)+10,1)</f>
        <v>V</v>
      </c>
      <c r="AB242" s="28" t="str">
        <f>MID(VLOOKUP($A242,Seqs!$A:$B,2,FALSE),VLOOKUP($A242,'SegEnds_NonXtal_Prot#'!$A:$AL,22,FALSE)+6,1)</f>
        <v>L</v>
      </c>
      <c r="AC242" s="49" t="str">
        <f>MID(VLOOKUP($A242,Seqs!$A:$B,2,FALSE),VLOOKUP($A242,'SegEnds_NonXtal_Prot#'!$A:$AL,22,FALSE)+7,1)</f>
        <v>T</v>
      </c>
      <c r="AD242" s="49" t="str">
        <f>MID(VLOOKUP($A242,Seqs!$A:$B,2,FALSE),VLOOKUP($A242,'SegEnds_NonXtal_Prot#'!$A:$AL,22,FALSE)+8,1)</f>
        <v>V</v>
      </c>
      <c r="AE242" s="49" t="str">
        <f>MID(VLOOKUP($A242,Seqs!$A:$B,2,FALSE),VLOOKUP($A242,'SegEnds_NonXtal_Prot#'!$A:$AL,22,FALSE)+9,1)</f>
        <v>H</v>
      </c>
      <c r="AF242" s="49" t="str">
        <f>MID(VLOOKUP($A242,Seqs!$A:$B,2,FALSE),VLOOKUP($A242,'SegEnds_NonXtal_Prot#'!$A:$AL,22,FALSE)+10,1)</f>
        <v>L</v>
      </c>
      <c r="AG242" s="28" t="str">
        <f>MID(VLOOKUP($A242,Seqs!$A:$B,2,FALSE),VLOOKUP($A242,'SegEnds_NonXtal_Prot#'!$A:$AL,28,FALSE)-4,1)</f>
        <v>E</v>
      </c>
      <c r="AH242" s="49" t="str">
        <f>MID(VLOOKUP($A242,Seqs!$A:$B,2,FALSE),VLOOKUP($A242,'SegEnds_NonXtal_Prot#'!$A:$AL,28,FALSE),1)</f>
        <v>P</v>
      </c>
    </row>
    <row r="243" spans="1:34" s="2" customFormat="1" x14ac:dyDescent="0.2">
      <c r="A243" s="2" t="s">
        <v>288</v>
      </c>
      <c r="B243" s="2" t="str">
        <f>LOWER(VLOOKUP(A243,Xtal_Templ!A:B,2,FALSE))</f>
        <v>oprk_human</v>
      </c>
      <c r="C243" s="2" t="str">
        <f>VLOOKUP(A243,Classification!A:D,2,FALSE)</f>
        <v>A</v>
      </c>
      <c r="D243" s="2" t="str">
        <f>IF(ISERROR(MATCH(A243,'SegEnds_Xtal_Prot#'!B:B, 0)), "NoXtal", "Xtal")</f>
        <v>NoXtal</v>
      </c>
      <c r="H243" s="4"/>
      <c r="R243" s="2" t="s">
        <v>9</v>
      </c>
      <c r="T243" s="4" t="s">
        <v>12</v>
      </c>
      <c r="V243" s="28" t="str">
        <f>MID(VLOOKUP($A243,Seqs!$A:$B,2,FALSE),VLOOKUP($A243,'SegEnds_NonXtal_Prot#'!A:AL,10,FALSE),1)</f>
        <v>D</v>
      </c>
      <c r="W243" s="49" t="str">
        <f>MID(VLOOKUP($A243,Seqs!$A:$B,2,FALSE),VLOOKUP($A243,'SegEnds_NonXtal_Prot#'!A:AL,10,FALSE)+6,1)</f>
        <v>T</v>
      </c>
      <c r="X243" s="49" t="str">
        <f>MID(VLOOKUP($A243,Seqs!$A:$B,2,FALSE),VLOOKUP($A243,'SegEnds_NonXtal_Prot#'!A:AL,10,FALSE)+7,1)</f>
        <v>L</v>
      </c>
      <c r="Y243" s="49" t="str">
        <f>MID(VLOOKUP($A243,Seqs!$A:$B,2,FALSE),VLOOKUP($A243,'SegEnds_NonXtal_Prot#'!A:AL,10,FALSE)+8,1)</f>
        <v>P</v>
      </c>
      <c r="Z243" s="49" t="str">
        <f>MID(VLOOKUP($A243,Seqs!$A:$B,2,FALSE),VLOOKUP($A243,'SegEnds_NonXtal_Prot#'!A:AL,10,FALSE)+9,1)</f>
        <v>F</v>
      </c>
      <c r="AA243" s="49" t="str">
        <f>MID(VLOOKUP($A243,Seqs!$A:$B,2,FALSE),VLOOKUP($A243,'SegEnds_NonXtal_Prot#'!A:AL,10,FALSE)+10,1)</f>
        <v>K</v>
      </c>
      <c r="AB243" s="28" t="str">
        <f>MID(VLOOKUP($A243,Seqs!$A:$B,2,FALSE),VLOOKUP($A243,'SegEnds_NonXtal_Prot#'!$A:$AL,22,FALSE)+6,1)</f>
        <v>G</v>
      </c>
      <c r="AC243" s="49" t="str">
        <f>MID(VLOOKUP($A243,Seqs!$A:$B,2,FALSE),VLOOKUP($A243,'SegEnds_NonXtal_Prot#'!$A:$AL,22,FALSE)+7,1)</f>
        <v>G</v>
      </c>
      <c r="AD243" s="49" t="str">
        <f>MID(VLOOKUP($A243,Seqs!$A:$B,2,FALSE),VLOOKUP($A243,'SegEnds_NonXtal_Prot#'!$A:$AL,22,FALSE)+8,1)</f>
        <v>I</v>
      </c>
      <c r="AE243" s="49" t="str">
        <f>MID(VLOOKUP($A243,Seqs!$A:$B,2,FALSE),VLOOKUP($A243,'SegEnds_NonXtal_Prot#'!$A:$AL,22,FALSE)+9,1)</f>
        <v>S</v>
      </c>
      <c r="AF243" s="49" t="str">
        <f>MID(VLOOKUP($A243,Seqs!$A:$B,2,FALSE),VLOOKUP($A243,'SegEnds_NonXtal_Prot#'!$A:$AL,22,FALSE)+10,1)</f>
        <v>A</v>
      </c>
      <c r="AG243" s="28" t="str">
        <f>MID(VLOOKUP($A243,Seqs!$A:$B,2,FALSE),VLOOKUP($A243,'SegEnds_NonXtal_Prot#'!$A:$AL,28,FALSE)-4,1)</f>
        <v>G</v>
      </c>
      <c r="AH243" s="49" t="str">
        <f>MID(VLOOKUP($A243,Seqs!$A:$B,2,FALSE),VLOOKUP($A243,'SegEnds_NonXtal_Prot#'!$A:$AL,28,FALSE),1)</f>
        <v>P</v>
      </c>
    </row>
    <row r="244" spans="1:34" s="2" customFormat="1" x14ac:dyDescent="0.2">
      <c r="A244" s="2" t="s">
        <v>289</v>
      </c>
      <c r="B244" s="2" t="str">
        <f>LOWER(VLOOKUP(A244,Xtal_Templ!A:B,2,FALSE))</f>
        <v>par2_human</v>
      </c>
      <c r="C244" s="2" t="str">
        <f>VLOOKUP(A244,Classification!A:D,2,FALSE)</f>
        <v>A</v>
      </c>
      <c r="D244" s="2" t="str">
        <f>IF(ISERROR(MATCH(A244,'SegEnds_Xtal_Prot#'!B:B, 0)), "NoXtal", "Xtal")</f>
        <v>NoXtal</v>
      </c>
      <c r="H244" s="4"/>
      <c r="N244" s="2" t="s">
        <v>14</v>
      </c>
      <c r="R244" s="2" t="s">
        <v>9</v>
      </c>
      <c r="T244" s="4" t="s">
        <v>12</v>
      </c>
      <c r="V244" s="28" t="str">
        <f>MID(VLOOKUP($A244,Seqs!$A:$B,2,FALSE),VLOOKUP($A244,'SegEnds_NonXtal_Prot#'!A:AL,10,FALSE),1)</f>
        <v>D</v>
      </c>
      <c r="W244" s="49" t="str">
        <f>MID(VLOOKUP($A244,Seqs!$A:$B,2,FALSE),VLOOKUP($A244,'SegEnds_NonXtal_Prot#'!A:AL,10,FALSE)+6,1)</f>
        <v>S</v>
      </c>
      <c r="X244" s="49" t="str">
        <f>MID(VLOOKUP($A244,Seqs!$A:$B,2,FALSE),VLOOKUP($A244,'SegEnds_NonXtal_Prot#'!A:AL,10,FALSE)+7,1)</f>
        <v>L</v>
      </c>
      <c r="Y244" s="49" t="str">
        <f>MID(VLOOKUP($A244,Seqs!$A:$B,2,FALSE),VLOOKUP($A244,'SegEnds_NonXtal_Prot#'!A:AL,10,FALSE)+8,1)</f>
        <v>P</v>
      </c>
      <c r="Z244" s="49" t="str">
        <f>MID(VLOOKUP($A244,Seqs!$A:$B,2,FALSE),VLOOKUP($A244,'SegEnds_NonXtal_Prot#'!A:AL,10,FALSE)+9,1)</f>
        <v>V</v>
      </c>
      <c r="AA244" s="49" t="str">
        <f>MID(VLOOKUP($A244,Seqs!$A:$B,2,FALSE),VLOOKUP($A244,'SegEnds_NonXtal_Prot#'!A:AL,10,FALSE)+10,1)</f>
        <v>R</v>
      </c>
      <c r="AB244" s="28" t="str">
        <f>MID(VLOOKUP($A244,Seqs!$A:$B,2,FALSE),VLOOKUP($A244,'SegEnds_NonXtal_Prot#'!$A:$AL,22,FALSE)+6,1)</f>
        <v>F</v>
      </c>
      <c r="AC244" s="49" t="str">
        <f>MID(VLOOKUP($A244,Seqs!$A:$B,2,FALSE),VLOOKUP($A244,'SegEnds_NonXtal_Prot#'!$A:$AL,22,FALSE)+7,1)</f>
        <v>A</v>
      </c>
      <c r="AD244" s="49" t="str">
        <f>MID(VLOOKUP($A244,Seqs!$A:$B,2,FALSE),VLOOKUP($A244,'SegEnds_NonXtal_Prot#'!$A:$AL,22,FALSE)+8,1)</f>
        <v>V</v>
      </c>
      <c r="AE244" s="49" t="str">
        <f>MID(VLOOKUP($A244,Seqs!$A:$B,2,FALSE),VLOOKUP($A244,'SegEnds_NonXtal_Prot#'!$A:$AL,22,FALSE)+9,1)</f>
        <v>P</v>
      </c>
      <c r="AF244" s="49" t="str">
        <f>MID(VLOOKUP($A244,Seqs!$A:$B,2,FALSE),VLOOKUP($A244,'SegEnds_NonXtal_Prot#'!$A:$AL,22,FALSE)+10,1)</f>
        <v>A</v>
      </c>
      <c r="AG244" s="28" t="str">
        <f>MID(VLOOKUP($A244,Seqs!$A:$B,2,FALSE),VLOOKUP($A244,'SegEnds_NonXtal_Prot#'!$A:$AL,28,FALSE)-4,1)</f>
        <v>G</v>
      </c>
      <c r="AH244" s="49" t="str">
        <f>MID(VLOOKUP($A244,Seqs!$A:$B,2,FALSE),VLOOKUP($A244,'SegEnds_NonXtal_Prot#'!$A:$AL,28,FALSE),1)</f>
        <v>P</v>
      </c>
    </row>
    <row r="245" spans="1:34" s="2" customFormat="1" x14ac:dyDescent="0.2">
      <c r="A245" s="2" t="s">
        <v>290</v>
      </c>
      <c r="B245" s="2" t="str">
        <f>LOWER(VLOOKUP(A245,Xtal_Templ!A:B,2,FALSE))</f>
        <v>ptafr_human</v>
      </c>
      <c r="C245" s="2" t="str">
        <f>VLOOKUP(A245,Classification!A:D,2,FALSE)</f>
        <v>A</v>
      </c>
      <c r="D245" s="2" t="str">
        <f>IF(ISERROR(MATCH(A245,'SegEnds_Xtal_Prot#'!B:B, 0)), "NoXtal", "Xtal")</f>
        <v>NoXtal</v>
      </c>
      <c r="H245" s="4"/>
      <c r="N245" s="2" t="s">
        <v>14</v>
      </c>
      <c r="R245" s="2" t="s">
        <v>9</v>
      </c>
      <c r="S245" s="106"/>
      <c r="T245" s="4" t="s">
        <v>12</v>
      </c>
      <c r="V245" s="28" t="str">
        <f>MID(VLOOKUP($A245,Seqs!$A:$B,2,FALSE),VLOOKUP($A245,'SegEnds_NonXtal_Prot#'!A:AL,10,FALSE),1)</f>
        <v>D</v>
      </c>
      <c r="W245" s="49" t="str">
        <f>MID(VLOOKUP($A245,Seqs!$A:$B,2,FALSE),VLOOKUP($A245,'SegEnds_NonXtal_Prot#'!A:AL,10,FALSE)+6,1)</f>
        <v>T</v>
      </c>
      <c r="X245" s="49" t="str">
        <f>MID(VLOOKUP($A245,Seqs!$A:$B,2,FALSE),VLOOKUP($A245,'SegEnds_NonXtal_Prot#'!A:AL,10,FALSE)+7,1)</f>
        <v>L</v>
      </c>
      <c r="Y245" s="49" t="str">
        <f>MID(VLOOKUP($A245,Seqs!$A:$B,2,FALSE),VLOOKUP($A245,'SegEnds_NonXtal_Prot#'!A:AL,10,FALSE)+8,1)</f>
        <v>P</v>
      </c>
      <c r="Z245" s="49" t="str">
        <f>MID(VLOOKUP($A245,Seqs!$A:$B,2,FALSE),VLOOKUP($A245,'SegEnds_NonXtal_Prot#'!A:AL,10,FALSE)+9,1)</f>
        <v>F</v>
      </c>
      <c r="AA245" s="49" t="str">
        <f>MID(VLOOKUP($A245,Seqs!$A:$B,2,FALSE),VLOOKUP($A245,'SegEnds_NonXtal_Prot#'!A:AL,10,FALSE)+10,1)</f>
        <v>R</v>
      </c>
      <c r="AB245" s="28" t="str">
        <f>MID(VLOOKUP($A245,Seqs!$A:$B,2,FALSE),VLOOKUP($A245,'SegEnds_NonXtal_Prot#'!$A:$AL,22,FALSE)+6,1)</f>
        <v>G</v>
      </c>
      <c r="AC245" s="49" t="str">
        <f>MID(VLOOKUP($A245,Seqs!$A:$B,2,FALSE),VLOOKUP($A245,'SegEnds_NonXtal_Prot#'!$A:$AL,22,FALSE)+7,1)</f>
        <v>S</v>
      </c>
      <c r="AD245" s="49" t="str">
        <f>MID(VLOOKUP($A245,Seqs!$A:$B,2,FALSE),VLOOKUP($A245,'SegEnds_NonXtal_Prot#'!$A:$AL,22,FALSE)+8,1)</f>
        <v>A</v>
      </c>
      <c r="AE245" s="49" t="str">
        <f>MID(VLOOKUP($A245,Seqs!$A:$B,2,FALSE),VLOOKUP($A245,'SegEnds_NonXtal_Prot#'!$A:$AL,22,FALSE)+9,1)</f>
        <v>P</v>
      </c>
      <c r="AF245" s="49" t="str">
        <f>MID(VLOOKUP($A245,Seqs!$A:$B,2,FALSE),VLOOKUP($A245,'SegEnds_NonXtal_Prot#'!$A:$AL,22,FALSE)+10,1)</f>
        <v>A</v>
      </c>
      <c r="AG245" s="28" t="str">
        <f>MID(VLOOKUP($A245,Seqs!$A:$B,2,FALSE),VLOOKUP($A245,'SegEnds_NonXtal_Prot#'!$A:$AL,28,FALSE)-4,1)</f>
        <v>G</v>
      </c>
      <c r="AH245" s="49" t="str">
        <f>MID(VLOOKUP($A245,Seqs!$A:$B,2,FALSE),VLOOKUP($A245,'SegEnds_NonXtal_Prot#'!$A:$AL,28,FALSE),1)</f>
        <v>P</v>
      </c>
    </row>
    <row r="246" spans="1:34" s="2" customFormat="1" x14ac:dyDescent="0.2">
      <c r="A246" s="2" t="s">
        <v>294</v>
      </c>
      <c r="B246" s="2" t="str">
        <f>LOWER(VLOOKUP(A246,Xtal_Templ!A:B,2,FALSE))</f>
        <v>agtr1_human</v>
      </c>
      <c r="C246" s="2" t="str">
        <f>VLOOKUP(A246,Classification!A:D,2,FALSE)</f>
        <v>A</v>
      </c>
      <c r="D246" s="2" t="str">
        <f>IF(ISERROR(MATCH(A246,'SegEnds_Xtal_Prot#'!B:B, 0)), "NoXtal", "Xtal")</f>
        <v>NoXtal</v>
      </c>
      <c r="H246" s="4"/>
      <c r="R246" s="2" t="s">
        <v>9</v>
      </c>
      <c r="T246" s="4" t="s">
        <v>12</v>
      </c>
      <c r="V246" s="28" t="str">
        <f>MID(VLOOKUP($A246,Seqs!$A:$B,2,FALSE),VLOOKUP($A246,'SegEnds_NonXtal_Prot#'!A:AL,10,FALSE),1)</f>
        <v>D</v>
      </c>
      <c r="W246" s="49" t="str">
        <f>MID(VLOOKUP($A246,Seqs!$A:$B,2,FALSE),VLOOKUP($A246,'SegEnds_NonXtal_Prot#'!A:AL,10,FALSE)+6,1)</f>
        <v>C</v>
      </c>
      <c r="X246" s="49" t="str">
        <f>MID(VLOOKUP($A246,Seqs!$A:$B,2,FALSE),VLOOKUP($A246,'SegEnds_NonXtal_Prot#'!A:AL,10,FALSE)+7,1)</f>
        <v>I</v>
      </c>
      <c r="Y246" s="49" t="str">
        <f>MID(VLOOKUP($A246,Seqs!$A:$B,2,FALSE),VLOOKUP($A246,'SegEnds_NonXtal_Prot#'!A:AL,10,FALSE)+8,1)</f>
        <v>F</v>
      </c>
      <c r="Z246" s="49" t="str">
        <f>MID(VLOOKUP($A246,Seqs!$A:$B,2,FALSE),VLOOKUP($A246,'SegEnds_NonXtal_Prot#'!A:AL,10,FALSE)+9,1)</f>
        <v>I</v>
      </c>
      <c r="AA246" s="49" t="str">
        <f>MID(VLOOKUP($A246,Seqs!$A:$B,2,FALSE),VLOOKUP($A246,'SegEnds_NonXtal_Prot#'!A:AL,10,FALSE)+10,1)</f>
        <v>L</v>
      </c>
      <c r="AB246" s="28" t="str">
        <f>MID(VLOOKUP($A246,Seqs!$A:$B,2,FALSE),VLOOKUP($A246,'SegEnds_NonXtal_Prot#'!$A:$AL,22,FALSE)+6,1)</f>
        <v>V</v>
      </c>
      <c r="AC246" s="49" t="str">
        <f>MID(VLOOKUP($A246,Seqs!$A:$B,2,FALSE),VLOOKUP($A246,'SegEnds_NonXtal_Prot#'!$A:$AL,22,FALSE)+7,1)</f>
        <v>T</v>
      </c>
      <c r="AD246" s="49" t="str">
        <f>MID(VLOOKUP($A246,Seqs!$A:$B,2,FALSE),VLOOKUP($A246,'SegEnds_NonXtal_Prot#'!$A:$AL,22,FALSE)+8,1)</f>
        <v>T</v>
      </c>
      <c r="AE246" s="49" t="str">
        <f>MID(VLOOKUP($A246,Seqs!$A:$B,2,FALSE),VLOOKUP($A246,'SegEnds_NonXtal_Prot#'!$A:$AL,22,FALSE)+9,1)</f>
        <v>M</v>
      </c>
      <c r="AF246" s="49" t="str">
        <f>MID(VLOOKUP($A246,Seqs!$A:$B,2,FALSE),VLOOKUP($A246,'SegEnds_NonXtal_Prot#'!$A:$AL,22,FALSE)+10,1)</f>
        <v>E</v>
      </c>
      <c r="AG246" s="28" t="str">
        <f>MID(VLOOKUP($A246,Seqs!$A:$B,2,FALSE),VLOOKUP($A246,'SegEnds_NonXtal_Prot#'!$A:$AL,28,FALSE)-4,1)</f>
        <v>L</v>
      </c>
      <c r="AH246" s="49" t="str">
        <f>MID(VLOOKUP($A246,Seqs!$A:$B,2,FALSE),VLOOKUP($A246,'SegEnds_NonXtal_Prot#'!$A:$AL,28,FALSE),1)</f>
        <v>P</v>
      </c>
    </row>
    <row r="247" spans="1:34" s="2" customFormat="1" x14ac:dyDescent="0.2">
      <c r="A247" s="2" t="s">
        <v>295</v>
      </c>
      <c r="B247" s="2" t="str">
        <f>LOWER(VLOOKUP(A247,Xtal_Templ!A:B,2,FALSE))</f>
        <v>ccr9_human</v>
      </c>
      <c r="C247" s="2" t="str">
        <f>VLOOKUP(A247,Classification!A:D,2,FALSE)</f>
        <v>A</v>
      </c>
      <c r="D247" s="2" t="str">
        <f>IF(ISERROR(MATCH(A247,'SegEnds_Xtal_Prot#'!B:B, 0)), "NoXtal", "Xtal")</f>
        <v>NoXtal</v>
      </c>
      <c r="H247" s="4"/>
      <c r="T247" s="4" t="s">
        <v>12</v>
      </c>
      <c r="V247" s="28" t="str">
        <f>MID(VLOOKUP($A247,Seqs!$A:$B,2,FALSE),VLOOKUP($A247,'SegEnds_NonXtal_Prot#'!A:AL,10,FALSE),1)</f>
        <v>D</v>
      </c>
      <c r="W247" s="49" t="str">
        <f>MID(VLOOKUP($A247,Seqs!$A:$B,2,FALSE),VLOOKUP($A247,'SegEnds_NonXtal_Prot#'!A:AL,10,FALSE)+6,1)</f>
        <v>C</v>
      </c>
      <c r="X247" s="49" t="str">
        <f>MID(VLOOKUP($A247,Seqs!$A:$B,2,FALSE),VLOOKUP($A247,'SegEnds_NonXtal_Prot#'!A:AL,10,FALSE)+7,1)</f>
        <v>S</v>
      </c>
      <c r="Y247" s="49" t="str">
        <f>MID(VLOOKUP($A247,Seqs!$A:$B,2,FALSE),VLOOKUP($A247,'SegEnds_NonXtal_Prot#'!A:AL,10,FALSE)+8,1)</f>
        <v>A</v>
      </c>
      <c r="Z247" s="49" t="str">
        <f>MID(VLOOKUP($A247,Seqs!$A:$B,2,FALSE),VLOOKUP($A247,'SegEnds_NonXtal_Prot#'!A:AL,10,FALSE)+9,1)</f>
        <v>V</v>
      </c>
      <c r="AA247" s="49" t="str">
        <f>MID(VLOOKUP($A247,Seqs!$A:$B,2,FALSE),VLOOKUP($A247,'SegEnds_NonXtal_Prot#'!A:AL,10,FALSE)+10,1)</f>
        <v>G</v>
      </c>
      <c r="AB247" s="28" t="str">
        <f>MID(VLOOKUP($A247,Seqs!$A:$B,2,FALSE),VLOOKUP($A247,'SegEnds_NonXtal_Prot#'!$A:$AL,22,FALSE)+6,1)</f>
        <v>I</v>
      </c>
      <c r="AC247" s="49" t="str">
        <f>MID(VLOOKUP($A247,Seqs!$A:$B,2,FALSE),VLOOKUP($A247,'SegEnds_NonXtal_Prot#'!$A:$AL,22,FALSE)+7,1)</f>
        <v>N</v>
      </c>
      <c r="AD247" s="49" t="str">
        <f>MID(VLOOKUP($A247,Seqs!$A:$B,2,FALSE),VLOOKUP($A247,'SegEnds_NonXtal_Prot#'!$A:$AL,22,FALSE)+8,1)</f>
        <v>I</v>
      </c>
      <c r="AE247" s="49" t="str">
        <f>MID(VLOOKUP($A247,Seqs!$A:$B,2,FALSE),VLOOKUP($A247,'SegEnds_NonXtal_Prot#'!$A:$AL,22,FALSE)+9,1)</f>
        <v>V</v>
      </c>
      <c r="AF247" s="49" t="str">
        <f>MID(VLOOKUP($A247,Seqs!$A:$B,2,FALSE),VLOOKUP($A247,'SegEnds_NonXtal_Prot#'!$A:$AL,22,FALSE)+10,1)</f>
        <v>K</v>
      </c>
      <c r="AG247" s="28" t="str">
        <f>MID(VLOOKUP($A247,Seqs!$A:$B,2,FALSE),VLOOKUP($A247,'SegEnds_NonXtal_Prot#'!$A:$AL,28,FALSE)-4,1)</f>
        <v>A</v>
      </c>
      <c r="AH247" s="49" t="str">
        <f>MID(VLOOKUP($A247,Seqs!$A:$B,2,FALSE),VLOOKUP($A247,'SegEnds_NonXtal_Prot#'!$A:$AL,28,FALSE),1)</f>
        <v>L</v>
      </c>
    </row>
    <row r="248" spans="1:34" s="2" customFormat="1" x14ac:dyDescent="0.2">
      <c r="A248" s="2" t="s">
        <v>301</v>
      </c>
      <c r="B248" s="2" t="str">
        <f>LOWER(VLOOKUP(A248,Xtal_Templ!A:B,2,FALSE))</f>
        <v>agtr1_human</v>
      </c>
      <c r="C248" s="2" t="str">
        <f>VLOOKUP(A248,Classification!A:D,2,FALSE)</f>
        <v>A</v>
      </c>
      <c r="D248" s="2" t="str">
        <f>IF(ISERROR(MATCH(A248,'SegEnds_Xtal_Prot#'!B:B, 0)), "NoXtal", "Xtal")</f>
        <v>NoXtal</v>
      </c>
      <c r="H248" s="4"/>
      <c r="R248" s="2" t="s">
        <v>9</v>
      </c>
      <c r="T248" s="4" t="s">
        <v>12</v>
      </c>
      <c r="V248" s="28" t="str">
        <f>MID(VLOOKUP($A248,Seqs!$A:$B,2,FALSE),VLOOKUP($A248,'SegEnds_NonXtal_Prot#'!A:AL,10,FALSE),1)</f>
        <v>D</v>
      </c>
      <c r="W248" s="49" t="str">
        <f>MID(VLOOKUP($A248,Seqs!$A:$B,2,FALSE),VLOOKUP($A248,'SegEnds_NonXtal_Prot#'!A:AL,10,FALSE)+6,1)</f>
        <v>S</v>
      </c>
      <c r="X248" s="49" t="str">
        <f>MID(VLOOKUP($A248,Seqs!$A:$B,2,FALSE),VLOOKUP($A248,'SegEnds_NonXtal_Prot#'!A:AL,10,FALSE)+7,1)</f>
        <v>M</v>
      </c>
      <c r="Y248" s="49" t="str">
        <f>MID(VLOOKUP($A248,Seqs!$A:$B,2,FALSE),VLOOKUP($A248,'SegEnds_NonXtal_Prot#'!A:AL,10,FALSE)+8,1)</f>
        <v>A</v>
      </c>
      <c r="Z248" s="49" t="str">
        <f>MID(VLOOKUP($A248,Seqs!$A:$B,2,FALSE),VLOOKUP($A248,'SegEnds_NonXtal_Prot#'!A:AL,10,FALSE)+9,1)</f>
        <v>S</v>
      </c>
      <c r="AA248" s="49" t="str">
        <f>MID(VLOOKUP($A248,Seqs!$A:$B,2,FALSE),VLOOKUP($A248,'SegEnds_NonXtal_Prot#'!A:AL,10,FALSE)+10,1)</f>
        <v>T</v>
      </c>
      <c r="AB248" s="28" t="str">
        <f>MID(VLOOKUP($A248,Seqs!$A:$B,2,FALSE),VLOOKUP($A248,'SegEnds_NonXtal_Prot#'!$A:$AL,22,FALSE)+6,1)</f>
        <v>M</v>
      </c>
      <c r="AC248" s="49" t="str">
        <f>MID(VLOOKUP($A248,Seqs!$A:$B,2,FALSE),VLOOKUP($A248,'SegEnds_NonXtal_Prot#'!$A:$AL,22,FALSE)+7,1)</f>
        <v>N</v>
      </c>
      <c r="AD248" s="49" t="str">
        <f>MID(VLOOKUP($A248,Seqs!$A:$B,2,FALSE),VLOOKUP($A248,'SegEnds_NonXtal_Prot#'!$A:$AL,22,FALSE)+8,1)</f>
        <v>G</v>
      </c>
      <c r="AE248" s="49" t="str">
        <f>MID(VLOOKUP($A248,Seqs!$A:$B,2,FALSE),VLOOKUP($A248,'SegEnds_NonXtal_Prot#'!$A:$AL,22,FALSE)+9,1)</f>
        <v>L</v>
      </c>
      <c r="AF248" s="49" t="str">
        <f>MID(VLOOKUP($A248,Seqs!$A:$B,2,FALSE),VLOOKUP($A248,'SegEnds_NonXtal_Prot#'!$A:$AL,22,FALSE)+10,1)</f>
        <v>T</v>
      </c>
      <c r="AG248" s="28" t="str">
        <f>MID(VLOOKUP($A248,Seqs!$A:$B,2,FALSE),VLOOKUP($A248,'SegEnds_NonXtal_Prot#'!$A:$AL,28,FALSE)-4,1)</f>
        <v>G</v>
      </c>
      <c r="AH248" s="49" t="str">
        <f>MID(VLOOKUP($A248,Seqs!$A:$B,2,FALSE),VLOOKUP($A248,'SegEnds_NonXtal_Prot#'!$A:$AL,28,FALSE),1)</f>
        <v>P</v>
      </c>
    </row>
    <row r="249" spans="1:34" s="2" customFormat="1" x14ac:dyDescent="0.2">
      <c r="A249" s="2" t="s">
        <v>303</v>
      </c>
      <c r="B249" s="2" t="str">
        <f>LOWER(VLOOKUP(A249,Xtal_Templ!A:B,2,FALSE))</f>
        <v>c5ar1_human</v>
      </c>
      <c r="C249" s="2" t="str">
        <f>VLOOKUP(A249,Classification!A:D,2,FALSE)</f>
        <v>A</v>
      </c>
      <c r="D249" s="2" t="str">
        <f>IF(ISERROR(MATCH(A249,'SegEnds_Xtal_Prot#'!B:B, 0)), "NoXtal", "Xtal")</f>
        <v>NoXtal</v>
      </c>
      <c r="H249" s="4"/>
      <c r="R249" s="2" t="s">
        <v>9</v>
      </c>
      <c r="T249" s="4" t="s">
        <v>12</v>
      </c>
      <c r="V249" s="28" t="str">
        <f>MID(VLOOKUP($A249,Seqs!$A:$B,2,FALSE),VLOOKUP($A249,'SegEnds_NonXtal_Prot#'!A:AL,10,FALSE),1)</f>
        <v>D</v>
      </c>
      <c r="W249" s="49" t="str">
        <f>MID(VLOOKUP($A249,Seqs!$A:$B,2,FALSE),VLOOKUP($A249,'SegEnds_NonXtal_Prot#'!A:AL,10,FALSE)+6,1)</f>
        <v>S</v>
      </c>
      <c r="X249" s="49" t="str">
        <f>MID(VLOOKUP($A249,Seqs!$A:$B,2,FALSE),VLOOKUP($A249,'SegEnds_NonXtal_Prot#'!A:AL,10,FALSE)+7,1)</f>
        <v>K</v>
      </c>
      <c r="Y249" s="49" t="str">
        <f>MID(VLOOKUP($A249,Seqs!$A:$B,2,FALSE),VLOOKUP($A249,'SegEnds_NonXtal_Prot#'!A:AL,10,FALSE)+8,1)</f>
        <v>A</v>
      </c>
      <c r="Z249" s="49" t="str">
        <f>MID(VLOOKUP($A249,Seqs!$A:$B,2,FALSE),VLOOKUP($A249,'SegEnds_NonXtal_Prot#'!A:AL,10,FALSE)+9,1)</f>
        <v>V</v>
      </c>
      <c r="AA249" s="49" t="str">
        <f>MID(VLOOKUP($A249,Seqs!$A:$B,2,FALSE),VLOOKUP($A249,'SegEnds_NonXtal_Prot#'!A:AL,10,FALSE)+10,1)</f>
        <v>F</v>
      </c>
      <c r="AB249" s="28" t="str">
        <f>MID(VLOOKUP($A249,Seqs!$A:$B,2,FALSE),VLOOKUP($A249,'SegEnds_NonXtal_Prot#'!$A:$AL,22,FALSE)+6,1)</f>
        <v>V</v>
      </c>
      <c r="AC249" s="49" t="str">
        <f>MID(VLOOKUP($A249,Seqs!$A:$B,2,FALSE),VLOOKUP($A249,'SegEnds_NonXtal_Prot#'!$A:$AL,22,FALSE)+7,1)</f>
        <v>T</v>
      </c>
      <c r="AD249" s="49" t="str">
        <f>MID(VLOOKUP($A249,Seqs!$A:$B,2,FALSE),VLOOKUP($A249,'SegEnds_NonXtal_Prot#'!$A:$AL,22,FALSE)+8,1)</f>
        <v>C</v>
      </c>
      <c r="AE249" s="49" t="str">
        <f>MID(VLOOKUP($A249,Seqs!$A:$B,2,FALSE),VLOOKUP($A249,'SegEnds_NonXtal_Prot#'!$A:$AL,22,FALSE)+9,1)</f>
        <v>L</v>
      </c>
      <c r="AF249" s="49" t="str">
        <f>MID(VLOOKUP($A249,Seqs!$A:$B,2,FALSE),VLOOKUP($A249,'SegEnds_NonXtal_Prot#'!$A:$AL,22,FALSE)+10,1)</f>
        <v>H</v>
      </c>
      <c r="AG249" s="28" t="str">
        <f>MID(VLOOKUP($A249,Seqs!$A:$B,2,FALSE),VLOOKUP($A249,'SegEnds_NonXtal_Prot#'!$A:$AL,28,FALSE)-4,1)</f>
        <v>L</v>
      </c>
      <c r="AH249" s="49" t="str">
        <f>MID(VLOOKUP($A249,Seqs!$A:$B,2,FALSE),VLOOKUP($A249,'SegEnds_NonXtal_Prot#'!$A:$AL,28,FALSE),1)</f>
        <v>P</v>
      </c>
    </row>
    <row r="250" spans="1:34" s="2" customFormat="1" x14ac:dyDescent="0.2">
      <c r="A250" s="2" t="s">
        <v>305</v>
      </c>
      <c r="B250" s="2" t="str">
        <f>LOWER(VLOOKUP(A250,Xtal_Templ!A:B,2,FALSE))</f>
        <v>agtr1_human</v>
      </c>
      <c r="C250" s="2" t="str">
        <f>VLOOKUP(A250,Classification!A:D,2,FALSE)</f>
        <v>A</v>
      </c>
      <c r="D250" s="2" t="str">
        <f>IF(ISERROR(MATCH(A250,'SegEnds_Xtal_Prot#'!B:B, 0)), "NoXtal", "Xtal")</f>
        <v>NoXtal</v>
      </c>
      <c r="H250" s="4"/>
      <c r="T250" s="4" t="s">
        <v>12</v>
      </c>
      <c r="V250" s="28" t="str">
        <f>MID(VLOOKUP($A250,Seqs!$A:$B,2,FALSE),VLOOKUP($A250,'SegEnds_NonXtal_Prot#'!A:AL,10,FALSE),1)</f>
        <v>D</v>
      </c>
      <c r="W250" s="49" t="str">
        <f>MID(VLOOKUP($A250,Seqs!$A:$B,2,FALSE),VLOOKUP($A250,'SegEnds_NonXtal_Prot#'!A:AL,10,FALSE)+6,1)</f>
        <v>G</v>
      </c>
      <c r="X250" s="49" t="str">
        <f>MID(VLOOKUP($A250,Seqs!$A:$B,2,FALSE),VLOOKUP($A250,'SegEnds_NonXtal_Prot#'!A:AL,10,FALSE)+7,1)</f>
        <v>R</v>
      </c>
      <c r="Y250" s="49" t="str">
        <f>MID(VLOOKUP($A250,Seqs!$A:$B,2,FALSE),VLOOKUP($A250,'SegEnds_NonXtal_Prot#'!A:AL,10,FALSE)+8,1)</f>
        <v>L</v>
      </c>
      <c r="Z250" s="49" t="str">
        <f>MID(VLOOKUP($A250,Seqs!$A:$B,2,FALSE),VLOOKUP($A250,'SegEnds_NonXtal_Prot#'!A:AL,10,FALSE)+9,1)</f>
        <v>I</v>
      </c>
      <c r="AA250" s="49" t="str">
        <f>MID(VLOOKUP($A250,Seqs!$A:$B,2,FALSE),VLOOKUP($A250,'SegEnds_NonXtal_Prot#'!A:AL,10,FALSE)+10,1)</f>
        <v>Y</v>
      </c>
      <c r="AB250" s="28" t="str">
        <f>MID(VLOOKUP($A250,Seqs!$A:$B,2,FALSE),VLOOKUP($A250,'SegEnds_NonXtal_Prot#'!$A:$AL,22,FALSE)+6,1)</f>
        <v>R</v>
      </c>
      <c r="AC250" s="49" t="str">
        <f>MID(VLOOKUP($A250,Seqs!$A:$B,2,FALSE),VLOOKUP($A250,'SegEnds_NonXtal_Prot#'!$A:$AL,22,FALSE)+7,1)</f>
        <v>S</v>
      </c>
      <c r="AD250" s="49" t="str">
        <f>MID(VLOOKUP($A250,Seqs!$A:$B,2,FALSE),VLOOKUP($A250,'SegEnds_NonXtal_Prot#'!$A:$AL,22,FALSE)+8,1)</f>
        <v>I</v>
      </c>
      <c r="AE250" s="49" t="str">
        <f>MID(VLOOKUP($A250,Seqs!$A:$B,2,FALSE),VLOOKUP($A250,'SegEnds_NonXtal_Prot#'!$A:$AL,22,FALSE)+9,1)</f>
        <v>L</v>
      </c>
      <c r="AF250" s="49" t="str">
        <f>MID(VLOOKUP($A250,Seqs!$A:$B,2,FALSE),VLOOKUP($A250,'SegEnds_NonXtal_Prot#'!$A:$AL,22,FALSE)+10,1)</f>
        <v>E</v>
      </c>
      <c r="AG250" s="28" t="str">
        <f>MID(VLOOKUP($A250,Seqs!$A:$B,2,FALSE),VLOOKUP($A250,'SegEnds_NonXtal_Prot#'!$A:$AL,28,FALSE)-4,1)</f>
        <v>I</v>
      </c>
      <c r="AH250" s="49" t="str">
        <f>MID(VLOOKUP($A250,Seqs!$A:$B,2,FALSE),VLOOKUP($A250,'SegEnds_NonXtal_Prot#'!$A:$AL,28,FALSE),1)</f>
        <v>V</v>
      </c>
    </row>
    <row r="251" spans="1:34" s="2" customFormat="1" x14ac:dyDescent="0.2">
      <c r="A251" s="2" t="s">
        <v>343</v>
      </c>
      <c r="B251" s="2" t="str">
        <f>LOWER(VLOOKUP(A251,Xtal_Templ!A:B,2,FALSE))</f>
        <v>p2ry1_human</v>
      </c>
      <c r="C251" s="2" t="str">
        <f>VLOOKUP(A251,Classification!A:D,2,FALSE)</f>
        <v>A</v>
      </c>
      <c r="D251" s="2" t="str">
        <f>IF(ISERROR(MATCH(A251,'SegEnds_Xtal_Prot#'!B:B, 0)), "NoXtal", "Xtal")</f>
        <v>NoXtal</v>
      </c>
      <c r="H251" s="4"/>
      <c r="N251" s="2" t="s">
        <v>14</v>
      </c>
      <c r="R251" s="2" t="s">
        <v>9</v>
      </c>
      <c r="T251" s="4" t="s">
        <v>12</v>
      </c>
      <c r="V251" s="28" t="str">
        <f>MID(VLOOKUP($A251,Seqs!$A:$B,2,FALSE),VLOOKUP($A251,'SegEnds_NonXtal_Prot#'!A:AL,10,FALSE),1)</f>
        <v>D</v>
      </c>
      <c r="W251" s="49" t="str">
        <f>MID(VLOOKUP($A251,Seqs!$A:$B,2,FALSE),VLOOKUP($A251,'SegEnds_NonXtal_Prot#'!A:AL,10,FALSE)+6,1)</f>
        <v>S</v>
      </c>
      <c r="X251" s="49" t="str">
        <f>MID(VLOOKUP($A251,Seqs!$A:$B,2,FALSE),VLOOKUP($A251,'SegEnds_NonXtal_Prot#'!A:AL,10,FALSE)+7,1)</f>
        <v>L</v>
      </c>
      <c r="Y251" s="49" t="str">
        <f>MID(VLOOKUP($A251,Seqs!$A:$B,2,FALSE),VLOOKUP($A251,'SegEnds_NonXtal_Prot#'!A:AL,10,FALSE)+8,1)</f>
        <v>P</v>
      </c>
      <c r="Z251" s="49" t="str">
        <f>MID(VLOOKUP($A251,Seqs!$A:$B,2,FALSE),VLOOKUP($A251,'SegEnds_NonXtal_Prot#'!A:AL,10,FALSE)+9,1)</f>
        <v>F</v>
      </c>
      <c r="AA251" s="49" t="str">
        <f>MID(VLOOKUP($A251,Seqs!$A:$B,2,FALSE),VLOOKUP($A251,'SegEnds_NonXtal_Prot#'!A:AL,10,FALSE)+10,1)</f>
        <v>L</v>
      </c>
      <c r="AB251" s="28" t="str">
        <f>MID(VLOOKUP($A251,Seqs!$A:$B,2,FALSE),VLOOKUP($A251,'SegEnds_NonXtal_Prot#'!$A:$AL,22,FALSE)+6,1)</f>
        <v>A</v>
      </c>
      <c r="AC251" s="49" t="str">
        <f>MID(VLOOKUP($A251,Seqs!$A:$B,2,FALSE),VLOOKUP($A251,'SegEnds_NonXtal_Prot#'!$A:$AL,22,FALSE)+7,1)</f>
        <v>V</v>
      </c>
      <c r="AD251" s="49" t="str">
        <f>MID(VLOOKUP($A251,Seqs!$A:$B,2,FALSE),VLOOKUP($A251,'SegEnds_NonXtal_Prot#'!$A:$AL,22,FALSE)+8,1)</f>
        <v>I</v>
      </c>
      <c r="AE251" s="49" t="str">
        <f>MID(VLOOKUP($A251,Seqs!$A:$B,2,FALSE),VLOOKUP($A251,'SegEnds_NonXtal_Prot#'!$A:$AL,22,FALSE)+9,1)</f>
        <v>P</v>
      </c>
      <c r="AF251" s="49" t="str">
        <f>MID(VLOOKUP($A251,Seqs!$A:$B,2,FALSE),VLOOKUP($A251,'SegEnds_NonXtal_Prot#'!$A:$AL,22,FALSE)+10,1)</f>
        <v>M</v>
      </c>
      <c r="AG251" s="28" t="str">
        <f>MID(VLOOKUP($A251,Seqs!$A:$B,2,FALSE),VLOOKUP($A251,'SegEnds_NonXtal_Prot#'!$A:$AL,28,FALSE)-4,1)</f>
        <v>T</v>
      </c>
      <c r="AH251" s="49" t="str">
        <f>MID(VLOOKUP($A251,Seqs!$A:$B,2,FALSE),VLOOKUP($A251,'SegEnds_NonXtal_Prot#'!$A:$AL,28,FALSE),1)</f>
        <v>P</v>
      </c>
    </row>
    <row r="252" spans="1:34" s="2" customFormat="1" x14ac:dyDescent="0.2">
      <c r="A252" s="2" t="s">
        <v>345</v>
      </c>
      <c r="B252" s="2" t="str">
        <f>LOWER(VLOOKUP(A252,Xtal_Templ!A:B,2,FALSE))</f>
        <v>p2ry1_human</v>
      </c>
      <c r="C252" s="2" t="str">
        <f>VLOOKUP(A252,Classification!A:D,2,FALSE)</f>
        <v>A</v>
      </c>
      <c r="D252" s="2" t="str">
        <f>IF(ISERROR(MATCH(A252,'SegEnds_Xtal_Prot#'!B:B, 0)), "NoXtal", "Xtal")</f>
        <v>Xtal</v>
      </c>
      <c r="H252" s="4"/>
      <c r="R252" s="2" t="s">
        <v>9</v>
      </c>
      <c r="S252" s="2" t="s">
        <v>1328</v>
      </c>
      <c r="T252" s="4" t="s">
        <v>12</v>
      </c>
      <c r="V252" s="28" t="str">
        <f>MID(VLOOKUP($A252,Seqs!$A:$B,2,FALSE),VLOOKUP($A252,'SegEnds_NonXtal_Prot#'!A:AL,10,FALSE),1)</f>
        <v>D</v>
      </c>
      <c r="W252" s="49" t="str">
        <f>MID(VLOOKUP($A252,Seqs!$A:$B,2,FALSE),VLOOKUP($A252,'SegEnds_NonXtal_Prot#'!A:AL,10,FALSE)+6,1)</f>
        <v>T</v>
      </c>
      <c r="X252" s="49" t="str">
        <f>MID(VLOOKUP($A252,Seqs!$A:$B,2,FALSE),VLOOKUP($A252,'SegEnds_NonXtal_Prot#'!A:AL,10,FALSE)+7,1)</f>
        <v>L</v>
      </c>
      <c r="Y252" s="49" t="str">
        <f>MID(VLOOKUP($A252,Seqs!$A:$B,2,FALSE),VLOOKUP($A252,'SegEnds_NonXtal_Prot#'!A:AL,10,FALSE)+8,1)</f>
        <v>P</v>
      </c>
      <c r="Z252" s="49" t="str">
        <f>MID(VLOOKUP($A252,Seqs!$A:$B,2,FALSE),VLOOKUP($A252,'SegEnds_NonXtal_Prot#'!A:AL,10,FALSE)+9,1)</f>
        <v>A</v>
      </c>
      <c r="AA252" s="49" t="str">
        <f>MID(VLOOKUP($A252,Seqs!$A:$B,2,FALSE),VLOOKUP($A252,'SegEnds_NonXtal_Prot#'!A:AL,10,FALSE)+10,1)</f>
        <v>L</v>
      </c>
      <c r="AB252" s="28" t="str">
        <f>MID(VLOOKUP($A252,Seqs!$A:$B,2,FALSE),VLOOKUP($A252,'SegEnds_NonXtal_Prot#'!$A:$AL,22,FALSE)+6,1)</f>
        <v>A</v>
      </c>
      <c r="AC252" s="49" t="str">
        <f>MID(VLOOKUP($A252,Seqs!$A:$B,2,FALSE),VLOOKUP($A252,'SegEnds_NonXtal_Prot#'!$A:$AL,22,FALSE)+7,1)</f>
        <v>I</v>
      </c>
      <c r="AD252" s="49" t="str">
        <f>MID(VLOOKUP($A252,Seqs!$A:$B,2,FALSE),VLOOKUP($A252,'SegEnds_NonXtal_Prot#'!$A:$AL,22,FALSE)+8,1)</f>
        <v>S</v>
      </c>
      <c r="AE252" s="49" t="str">
        <f>MID(VLOOKUP($A252,Seqs!$A:$B,2,FALSE),VLOOKUP($A252,'SegEnds_NonXtal_Prot#'!$A:$AL,22,FALSE)+9,1)</f>
        <v>P</v>
      </c>
      <c r="AF252" s="49" t="str">
        <f>MID(VLOOKUP($A252,Seqs!$A:$B,2,FALSE),VLOOKUP($A252,'SegEnds_NonXtal_Prot#'!$A:$AL,22,FALSE)+10,1)</f>
        <v>I</v>
      </c>
      <c r="AG252" s="28" t="str">
        <f>MID(VLOOKUP($A252,Seqs!$A:$B,2,FALSE),VLOOKUP($A252,'SegEnds_NonXtal_Prot#'!$A:$AL,28,FALSE)-4,1)</f>
        <v>M</v>
      </c>
      <c r="AH252" s="49" t="str">
        <f>MID(VLOOKUP($A252,Seqs!$A:$B,2,FALSE),VLOOKUP($A252,'SegEnds_NonXtal_Prot#'!$A:$AL,28,FALSE),1)</f>
        <v>P</v>
      </c>
    </row>
    <row r="253" spans="1:34" s="2" customFormat="1" x14ac:dyDescent="0.2">
      <c r="A253" s="2" t="s">
        <v>346</v>
      </c>
      <c r="B253" s="2" t="str">
        <f>LOWER(VLOOKUP(A253,Xtal_Templ!A:B,2,FALSE))</f>
        <v>p2ry1_human</v>
      </c>
      <c r="C253" s="2" t="str">
        <f>VLOOKUP(A253,Classification!A:D,2,FALSE)</f>
        <v>A</v>
      </c>
      <c r="D253" s="2" t="str">
        <f>IF(ISERROR(MATCH(A253,'SegEnds_Xtal_Prot#'!B:B, 0)), "NoXtal", "Xtal")</f>
        <v>NoXtal</v>
      </c>
      <c r="H253" s="4"/>
      <c r="R253" s="2" t="s">
        <v>9</v>
      </c>
      <c r="S253" s="2" t="s">
        <v>1328</v>
      </c>
      <c r="T253" s="4" t="s">
        <v>12</v>
      </c>
      <c r="V253" s="28" t="str">
        <f>MID(VLOOKUP($A253,Seqs!$A:$B,2,FALSE),VLOOKUP($A253,'SegEnds_NonXtal_Prot#'!A:AL,10,FALSE),1)</f>
        <v>D</v>
      </c>
      <c r="W253" s="49" t="str">
        <f>MID(VLOOKUP($A253,Seqs!$A:$B,2,FALSE),VLOOKUP($A253,'SegEnds_NonXtal_Prot#'!A:AL,10,FALSE)+6,1)</f>
        <v>S</v>
      </c>
      <c r="X253" s="49" t="str">
        <f>MID(VLOOKUP($A253,Seqs!$A:$B,2,FALSE),VLOOKUP($A253,'SegEnds_NonXtal_Prot#'!A:AL,10,FALSE)+7,1)</f>
        <v>L</v>
      </c>
      <c r="Y253" s="49" t="str">
        <f>MID(VLOOKUP($A253,Seqs!$A:$B,2,FALSE),VLOOKUP($A253,'SegEnds_NonXtal_Prot#'!A:AL,10,FALSE)+8,1)</f>
        <v>P</v>
      </c>
      <c r="Z253" s="49" t="str">
        <f>MID(VLOOKUP($A253,Seqs!$A:$B,2,FALSE),VLOOKUP($A253,'SegEnds_NonXtal_Prot#'!A:AL,10,FALSE)+9,1)</f>
        <v>L</v>
      </c>
      <c r="AA253" s="49" t="str">
        <f>MID(VLOOKUP($A253,Seqs!$A:$B,2,FALSE),VLOOKUP($A253,'SegEnds_NonXtal_Prot#'!A:AL,10,FALSE)+10,1)</f>
        <v>L</v>
      </c>
      <c r="AB253" s="28" t="str">
        <f>MID(VLOOKUP($A253,Seqs!$A:$B,2,FALSE),VLOOKUP($A253,'SegEnds_NonXtal_Prot#'!$A:$AL,22,FALSE)+6,1)</f>
        <v>C</v>
      </c>
      <c r="AC253" s="49" t="str">
        <f>MID(VLOOKUP($A253,Seqs!$A:$B,2,FALSE),VLOOKUP($A253,'SegEnds_NonXtal_Prot#'!$A:$AL,22,FALSE)+7,1)</f>
        <v>Q</v>
      </c>
      <c r="AD253" s="49" t="str">
        <f>MID(VLOOKUP($A253,Seqs!$A:$B,2,FALSE),VLOOKUP($A253,'SegEnds_NonXtal_Prot#'!$A:$AL,22,FALSE)+8,1)</f>
        <v>A</v>
      </c>
      <c r="AE253" s="49" t="str">
        <f>MID(VLOOKUP($A253,Seqs!$A:$B,2,FALSE),VLOOKUP($A253,'SegEnds_NonXtal_Prot#'!$A:$AL,22,FALSE)+9,1)</f>
        <v>P</v>
      </c>
      <c r="AF253" s="49" t="str">
        <f>MID(VLOOKUP($A253,Seqs!$A:$B,2,FALSE),VLOOKUP($A253,'SegEnds_NonXtal_Prot#'!$A:$AL,22,FALSE)+10,1)</f>
        <v>V</v>
      </c>
      <c r="AG253" s="28" t="str">
        <f>MID(VLOOKUP($A253,Seqs!$A:$B,2,FALSE),VLOOKUP($A253,'SegEnds_NonXtal_Prot#'!$A:$AL,28,FALSE)-4,1)</f>
        <v>L</v>
      </c>
      <c r="AH253" s="49" t="str">
        <f>MID(VLOOKUP($A253,Seqs!$A:$B,2,FALSE),VLOOKUP($A253,'SegEnds_NonXtal_Prot#'!$A:$AL,28,FALSE),1)</f>
        <v>P</v>
      </c>
    </row>
    <row r="254" spans="1:34" s="2" customFormat="1" x14ac:dyDescent="0.2">
      <c r="A254" s="2" t="s">
        <v>347</v>
      </c>
      <c r="B254" s="2" t="str">
        <f>LOWER(VLOOKUP(A254,Xtal_Templ!A:B,2,FALSE))</f>
        <v>p2ry1_human</v>
      </c>
      <c r="C254" s="2" t="str">
        <f>VLOOKUP(A254,Classification!A:D,2,FALSE)</f>
        <v>A</v>
      </c>
      <c r="D254" s="2" t="str">
        <f>IF(ISERROR(MATCH(A254,'SegEnds_Xtal_Prot#'!B:B, 0)), "NoXtal", "Xtal")</f>
        <v>NoXtal</v>
      </c>
      <c r="H254" s="4"/>
      <c r="R254" s="2" t="s">
        <v>9</v>
      </c>
      <c r="S254" s="2" t="s">
        <v>1328</v>
      </c>
      <c r="T254" s="4" t="s">
        <v>12</v>
      </c>
      <c r="V254" s="28" t="str">
        <f>MID(VLOOKUP($A254,Seqs!$A:$B,2,FALSE),VLOOKUP($A254,'SegEnds_NonXtal_Prot#'!A:AL,10,FALSE),1)</f>
        <v>D</v>
      </c>
      <c r="W254" s="49" t="str">
        <f>MID(VLOOKUP($A254,Seqs!$A:$B,2,FALSE),VLOOKUP($A254,'SegEnds_NonXtal_Prot#'!A:AL,10,FALSE)+6,1)</f>
        <v>S</v>
      </c>
      <c r="X254" s="49" t="str">
        <f>MID(VLOOKUP($A254,Seqs!$A:$B,2,FALSE),VLOOKUP($A254,'SegEnds_NonXtal_Prot#'!A:AL,10,FALSE)+7,1)</f>
        <v>L</v>
      </c>
      <c r="Y254" s="49" t="str">
        <f>MID(VLOOKUP($A254,Seqs!$A:$B,2,FALSE),VLOOKUP($A254,'SegEnds_NonXtal_Prot#'!A:AL,10,FALSE)+8,1)</f>
        <v>P</v>
      </c>
      <c r="Z254" s="49" t="str">
        <f>MID(VLOOKUP($A254,Seqs!$A:$B,2,FALSE),VLOOKUP($A254,'SegEnds_NonXtal_Prot#'!A:AL,10,FALSE)+9,1)</f>
        <v>T</v>
      </c>
      <c r="AA254" s="49" t="str">
        <f>MID(VLOOKUP($A254,Seqs!$A:$B,2,FALSE),VLOOKUP($A254,'SegEnds_NonXtal_Prot#'!A:AL,10,FALSE)+10,1)</f>
        <v>L</v>
      </c>
      <c r="AB254" s="28" t="str">
        <f>MID(VLOOKUP($A254,Seqs!$A:$B,2,FALSE),VLOOKUP($A254,'SegEnds_NonXtal_Prot#'!$A:$AL,22,FALSE)+6,1)</f>
        <v>C</v>
      </c>
      <c r="AC254" s="49" t="str">
        <f>MID(VLOOKUP($A254,Seqs!$A:$B,2,FALSE),VLOOKUP($A254,'SegEnds_NonXtal_Prot#'!$A:$AL,22,FALSE)+7,1)</f>
        <v>L</v>
      </c>
      <c r="AD254" s="49" t="str">
        <f>MID(VLOOKUP($A254,Seqs!$A:$B,2,FALSE),VLOOKUP($A254,'SegEnds_NonXtal_Prot#'!$A:$AL,22,FALSE)+8,1)</f>
        <v>V</v>
      </c>
      <c r="AE254" s="49" t="str">
        <f>MID(VLOOKUP($A254,Seqs!$A:$B,2,FALSE),VLOOKUP($A254,'SegEnds_NonXtal_Prot#'!$A:$AL,22,FALSE)+9,1)</f>
        <v>P</v>
      </c>
      <c r="AF254" s="49" t="str">
        <f>MID(VLOOKUP($A254,Seqs!$A:$B,2,FALSE),VLOOKUP($A254,'SegEnds_NonXtal_Prot#'!$A:$AL,22,FALSE)+10,1)</f>
        <v>N</v>
      </c>
      <c r="AG254" s="28" t="str">
        <f>MID(VLOOKUP($A254,Seqs!$A:$B,2,FALSE),VLOOKUP($A254,'SegEnds_NonXtal_Prot#'!$A:$AL,28,FALSE)-4,1)</f>
        <v>L</v>
      </c>
      <c r="AH254" s="49" t="str">
        <f>MID(VLOOKUP($A254,Seqs!$A:$B,2,FALSE),VLOOKUP($A254,'SegEnds_NonXtal_Prot#'!$A:$AL,28,FALSE),1)</f>
        <v>P</v>
      </c>
    </row>
    <row r="255" spans="1:34" s="2" customFormat="1" x14ac:dyDescent="0.2">
      <c r="A255" s="2" t="s">
        <v>348</v>
      </c>
      <c r="B255" s="2" t="str">
        <f>LOWER(VLOOKUP(A255,Xtal_Templ!A:B,2,FALSE))</f>
        <v>p2ry1_human</v>
      </c>
      <c r="C255" s="2" t="str">
        <f>VLOOKUP(A255,Classification!A:D,2,FALSE)</f>
        <v>A</v>
      </c>
      <c r="D255" s="2" t="str">
        <f>IF(ISERROR(MATCH(A255,'SegEnds_Xtal_Prot#'!B:B, 0)), "NoXtal", "Xtal")</f>
        <v>NoXtal</v>
      </c>
      <c r="H255" s="4"/>
      <c r="R255" s="2" t="s">
        <v>9</v>
      </c>
      <c r="S255" s="2" t="s">
        <v>1328</v>
      </c>
      <c r="T255" s="4" t="s">
        <v>12</v>
      </c>
      <c r="V255" s="28" t="str">
        <f>MID(VLOOKUP($A255,Seqs!$A:$B,2,FALSE),VLOOKUP($A255,'SegEnds_NonXtal_Prot#'!A:AL,10,FALSE),1)</f>
        <v>D</v>
      </c>
      <c r="W255" s="49" t="str">
        <f>MID(VLOOKUP($A255,Seqs!$A:$B,2,FALSE),VLOOKUP($A255,'SegEnds_NonXtal_Prot#'!A:AL,10,FALSE)+6,1)</f>
        <v>S</v>
      </c>
      <c r="X255" s="49" t="str">
        <f>MID(VLOOKUP($A255,Seqs!$A:$B,2,FALSE),VLOOKUP($A255,'SegEnds_NonXtal_Prot#'!A:AL,10,FALSE)+7,1)</f>
        <v>L</v>
      </c>
      <c r="Y255" s="49" t="str">
        <f>MID(VLOOKUP($A255,Seqs!$A:$B,2,FALSE),VLOOKUP($A255,'SegEnds_NonXtal_Prot#'!A:AL,10,FALSE)+8,1)</f>
        <v>P</v>
      </c>
      <c r="Z255" s="49" t="str">
        <f>MID(VLOOKUP($A255,Seqs!$A:$B,2,FALSE),VLOOKUP($A255,'SegEnds_NonXtal_Prot#'!A:AL,10,FALSE)+9,1)</f>
        <v>L</v>
      </c>
      <c r="AA255" s="49" t="str">
        <f>MID(VLOOKUP($A255,Seqs!$A:$B,2,FALSE),VLOOKUP($A255,'SegEnds_NonXtal_Prot#'!A:AL,10,FALSE)+10,1)</f>
        <v>L</v>
      </c>
      <c r="AB255" s="28" t="str">
        <f>MID(VLOOKUP($A255,Seqs!$A:$B,2,FALSE),VLOOKUP($A255,'SegEnds_NonXtal_Prot#'!$A:$AL,22,FALSE)+6,1)</f>
        <v>Q</v>
      </c>
      <c r="AC255" s="49" t="str">
        <f>MID(VLOOKUP($A255,Seqs!$A:$B,2,FALSE),VLOOKUP($A255,'SegEnds_NonXtal_Prot#'!$A:$AL,22,FALSE)+7,1)</f>
        <v>C</v>
      </c>
      <c r="AD255" s="49" t="str">
        <f>MID(VLOOKUP($A255,Seqs!$A:$B,2,FALSE),VLOOKUP($A255,'SegEnds_NonXtal_Prot#'!$A:$AL,22,FALSE)+8,1)</f>
        <v>L</v>
      </c>
      <c r="AE255" s="49" t="str">
        <f>MID(VLOOKUP($A255,Seqs!$A:$B,2,FALSE),VLOOKUP($A255,'SegEnds_NonXtal_Prot#'!$A:$AL,22,FALSE)+9,1)</f>
        <v>P</v>
      </c>
      <c r="AF255" s="49" t="str">
        <f>MID(VLOOKUP($A255,Seqs!$A:$B,2,FALSE),VLOOKUP($A255,'SegEnds_NonXtal_Prot#'!$A:$AL,22,FALSE)+10,1)</f>
        <v>T</v>
      </c>
      <c r="AG255" s="28" t="str">
        <f>MID(VLOOKUP($A255,Seqs!$A:$B,2,FALSE),VLOOKUP($A255,'SegEnds_NonXtal_Prot#'!$A:$AL,28,FALSE)-4,1)</f>
        <v>G</v>
      </c>
      <c r="AH255" s="49" t="str">
        <f>MID(VLOOKUP($A255,Seqs!$A:$B,2,FALSE),VLOOKUP($A255,'SegEnds_NonXtal_Prot#'!$A:$AL,28,FALSE),1)</f>
        <v>P</v>
      </c>
    </row>
    <row r="256" spans="1:34" s="2" customFormat="1" x14ac:dyDescent="0.2">
      <c r="A256" s="2" t="s">
        <v>350</v>
      </c>
      <c r="B256" s="2" t="str">
        <f>LOWER(VLOOKUP(A256,Xtal_Templ!A:B,2,FALSE))</f>
        <v>ptafr_human</v>
      </c>
      <c r="C256" s="2" t="str">
        <f>VLOOKUP(A256,Classification!A:D,2,FALSE)</f>
        <v>A</v>
      </c>
      <c r="D256" s="2" t="str">
        <f>IF(ISERROR(MATCH(A256,'SegEnds_Xtal_Prot#'!B:B, 0)), "NoXtal", "Xtal")</f>
        <v>NoXtal</v>
      </c>
      <c r="H256" s="4"/>
      <c r="R256" s="2" t="s">
        <v>9</v>
      </c>
      <c r="S256" s="2" t="s">
        <v>1328</v>
      </c>
      <c r="T256" s="4" t="s">
        <v>12</v>
      </c>
      <c r="V256" s="28" t="str">
        <f>MID(VLOOKUP($A256,Seqs!$A:$B,2,FALSE),VLOOKUP($A256,'SegEnds_NonXtal_Prot#'!A:AL,10,FALSE),1)</f>
        <v>D</v>
      </c>
      <c r="W256" s="49" t="str">
        <f>MID(VLOOKUP($A256,Seqs!$A:$B,2,FALSE),VLOOKUP($A256,'SegEnds_NonXtal_Prot#'!A:AL,10,FALSE)+6,1)</f>
        <v>S</v>
      </c>
      <c r="X256" s="49" t="str">
        <f>MID(VLOOKUP($A256,Seqs!$A:$B,2,FALSE),VLOOKUP($A256,'SegEnds_NonXtal_Prot#'!A:AL,10,FALSE)+7,1)</f>
        <v>L</v>
      </c>
      <c r="Y256" s="49" t="str">
        <f>MID(VLOOKUP($A256,Seqs!$A:$B,2,FALSE),VLOOKUP($A256,'SegEnds_NonXtal_Prot#'!A:AL,10,FALSE)+8,1)</f>
        <v>P</v>
      </c>
      <c r="Z256" s="49" t="str">
        <f>MID(VLOOKUP($A256,Seqs!$A:$B,2,FALSE),VLOOKUP($A256,'SegEnds_NonXtal_Prot#'!A:AL,10,FALSE)+9,1)</f>
        <v>L</v>
      </c>
      <c r="AA256" s="49" t="str">
        <f>MID(VLOOKUP($A256,Seqs!$A:$B,2,FALSE),VLOOKUP($A256,'SegEnds_NonXtal_Prot#'!A:AL,10,FALSE)+10,1)</f>
        <v>R</v>
      </c>
      <c r="AB256" s="28" t="str">
        <f>MID(VLOOKUP($A256,Seqs!$A:$B,2,FALSE),VLOOKUP($A256,'SegEnds_NonXtal_Prot#'!$A:$AL,22,FALSE)+6,1)</f>
        <v>A</v>
      </c>
      <c r="AC256" s="49" t="str">
        <f>MID(VLOOKUP($A256,Seqs!$A:$B,2,FALSE),VLOOKUP($A256,'SegEnds_NonXtal_Prot#'!$A:$AL,22,FALSE)+7,1)</f>
        <v>C</v>
      </c>
      <c r="AD256" s="49" t="str">
        <f>MID(VLOOKUP($A256,Seqs!$A:$B,2,FALSE),VLOOKUP($A256,'SegEnds_NonXtal_Prot#'!$A:$AL,22,FALSE)+8,1)</f>
        <v>L</v>
      </c>
      <c r="AE256" s="49" t="str">
        <f>MID(VLOOKUP($A256,Seqs!$A:$B,2,FALSE),VLOOKUP($A256,'SegEnds_NonXtal_Prot#'!$A:$AL,22,FALSE)+9,1)</f>
        <v>P</v>
      </c>
      <c r="AF256" s="49" t="str">
        <f>MID(VLOOKUP($A256,Seqs!$A:$B,2,FALSE),VLOOKUP($A256,'SegEnds_NonXtal_Prot#'!$A:$AL,22,FALSE)+10,1)</f>
        <v>F</v>
      </c>
      <c r="AG256" s="28" t="str">
        <f>MID(VLOOKUP($A256,Seqs!$A:$B,2,FALSE),VLOOKUP($A256,'SegEnds_NonXtal_Prot#'!$A:$AL,28,FALSE)-4,1)</f>
        <v>G</v>
      </c>
      <c r="AH256" s="49" t="str">
        <f>MID(VLOOKUP($A256,Seqs!$A:$B,2,FALSE),VLOOKUP($A256,'SegEnds_NonXtal_Prot#'!$A:$AL,28,FALSE),1)</f>
        <v>P</v>
      </c>
    </row>
    <row r="257" spans="1:34" s="2" customFormat="1" x14ac:dyDescent="0.2">
      <c r="A257" s="2" t="s">
        <v>351</v>
      </c>
      <c r="B257" s="2" t="str">
        <f>LOWER(VLOOKUP(A257,Xtal_Templ!A:B,2,FALSE))</f>
        <v>p2ry1_human</v>
      </c>
      <c r="C257" s="2" t="str">
        <f>VLOOKUP(A257,Classification!A:D,2,FALSE)</f>
        <v>A</v>
      </c>
      <c r="D257" s="2" t="str">
        <f>IF(ISERROR(MATCH(A257,'SegEnds_Xtal_Prot#'!B:B, 0)), "NoXtal", "Xtal")</f>
        <v>NoXtal</v>
      </c>
      <c r="H257" s="4"/>
      <c r="R257" s="2" t="s">
        <v>9</v>
      </c>
      <c r="S257" s="2" t="s">
        <v>1328</v>
      </c>
      <c r="T257" s="4" t="s">
        <v>12</v>
      </c>
      <c r="V257" s="28" t="str">
        <f>MID(VLOOKUP($A257,Seqs!$A:$B,2,FALSE),VLOOKUP($A257,'SegEnds_NonXtal_Prot#'!A:AL,10,FALSE),1)</f>
        <v>D</v>
      </c>
      <c r="W257" s="49" t="str">
        <f>MID(VLOOKUP($A257,Seqs!$A:$B,2,FALSE),VLOOKUP($A257,'SegEnds_NonXtal_Prot#'!A:AL,10,FALSE)+6,1)</f>
        <v>T</v>
      </c>
      <c r="X257" s="49" t="str">
        <f>MID(VLOOKUP($A257,Seqs!$A:$B,2,FALSE),VLOOKUP($A257,'SegEnds_NonXtal_Prot#'!A:AL,10,FALSE)+7,1)</f>
        <v>L</v>
      </c>
      <c r="Y257" s="49" t="str">
        <f>MID(VLOOKUP($A257,Seqs!$A:$B,2,FALSE),VLOOKUP($A257,'SegEnds_NonXtal_Prot#'!A:AL,10,FALSE)+8,1)</f>
        <v>P</v>
      </c>
      <c r="Z257" s="49" t="str">
        <f>MID(VLOOKUP($A257,Seqs!$A:$B,2,FALSE),VLOOKUP($A257,'SegEnds_NonXtal_Prot#'!A:AL,10,FALSE)+9,1)</f>
        <v>P</v>
      </c>
      <c r="AA257" s="49" t="str">
        <f>MID(VLOOKUP($A257,Seqs!$A:$B,2,FALSE),VLOOKUP($A257,'SegEnds_NonXtal_Prot#'!A:AL,10,FALSE)+10,1)</f>
        <v>L</v>
      </c>
      <c r="AB257" s="28" t="str">
        <f>MID(VLOOKUP($A257,Seqs!$A:$B,2,FALSE),VLOOKUP($A257,'SegEnds_NonXtal_Prot#'!$A:$AL,22,FALSE)+6,1)</f>
        <v>L</v>
      </c>
      <c r="AC257" s="49" t="str">
        <f>MID(VLOOKUP($A257,Seqs!$A:$B,2,FALSE),VLOOKUP($A257,'SegEnds_NonXtal_Prot#'!$A:$AL,22,FALSE)+7,1)</f>
        <v>A</v>
      </c>
      <c r="AD257" s="49" t="str">
        <f>MID(VLOOKUP($A257,Seqs!$A:$B,2,FALSE),VLOOKUP($A257,'SegEnds_NonXtal_Prot#'!$A:$AL,22,FALSE)+8,1)</f>
        <v>M</v>
      </c>
      <c r="AE257" s="49" t="str">
        <f>MID(VLOOKUP($A257,Seqs!$A:$B,2,FALSE),VLOOKUP($A257,'SegEnds_NonXtal_Prot#'!$A:$AL,22,FALSE)+9,1)</f>
        <v>P</v>
      </c>
      <c r="AF257" s="49" t="str">
        <f>MID(VLOOKUP($A257,Seqs!$A:$B,2,FALSE),VLOOKUP($A257,'SegEnds_NonXtal_Prot#'!$A:$AL,22,FALSE)+10,1)</f>
        <v>T</v>
      </c>
      <c r="AG257" s="28" t="str">
        <f>MID(VLOOKUP($A257,Seqs!$A:$B,2,FALSE),VLOOKUP($A257,'SegEnds_NonXtal_Prot#'!$A:$AL,28,FALSE)-4,1)</f>
        <v>G</v>
      </c>
      <c r="AH257" s="49" t="str">
        <f>MID(VLOOKUP($A257,Seqs!$A:$B,2,FALSE),VLOOKUP($A257,'SegEnds_NonXtal_Prot#'!$A:$AL,28,FALSE),1)</f>
        <v>P</v>
      </c>
    </row>
    <row r="258" spans="1:34" s="2" customFormat="1" x14ac:dyDescent="0.2">
      <c r="A258" s="2" t="s">
        <v>370</v>
      </c>
      <c r="B258" s="2" t="str">
        <f>LOWER(VLOOKUP(A258,Xtal_Templ!A:B,2,FALSE))</f>
        <v>p2ry1_human</v>
      </c>
      <c r="C258" s="2" t="str">
        <f>VLOOKUP(A258,Classification!A:D,2,FALSE)</f>
        <v>A</v>
      </c>
      <c r="D258" s="2" t="str">
        <f>IF(ISERROR(MATCH(A258,'SegEnds_Xtal_Prot#'!B:B, 0)), "NoXtal", "Xtal")</f>
        <v>NoXtal</v>
      </c>
      <c r="H258" s="4"/>
      <c r="R258" s="2" t="s">
        <v>9</v>
      </c>
      <c r="S258" s="106"/>
      <c r="T258" s="4" t="s">
        <v>12</v>
      </c>
      <c r="V258" s="28" t="str">
        <f>MID(VLOOKUP($A258,Seqs!$A:$B,2,FALSE),VLOOKUP($A258,'SegEnds_NonXtal_Prot#'!A:AL,10,FALSE),1)</f>
        <v>D</v>
      </c>
      <c r="W258" s="49" t="str">
        <f>MID(VLOOKUP($A258,Seqs!$A:$B,2,FALSE),VLOOKUP($A258,'SegEnds_NonXtal_Prot#'!A:AL,10,FALSE)+6,1)</f>
        <v>T</v>
      </c>
      <c r="X258" s="49" t="str">
        <f>MID(VLOOKUP($A258,Seqs!$A:$B,2,FALSE),VLOOKUP($A258,'SegEnds_NonXtal_Prot#'!A:AL,10,FALSE)+7,1)</f>
        <v>L</v>
      </c>
      <c r="Y258" s="49" t="str">
        <f>MID(VLOOKUP($A258,Seqs!$A:$B,2,FALSE),VLOOKUP($A258,'SegEnds_NonXtal_Prot#'!A:AL,10,FALSE)+8,1)</f>
        <v>P</v>
      </c>
      <c r="Z258" s="49" t="str">
        <f>MID(VLOOKUP($A258,Seqs!$A:$B,2,FALSE),VLOOKUP($A258,'SegEnds_NonXtal_Prot#'!A:AL,10,FALSE)+9,1)</f>
        <v>L</v>
      </c>
      <c r="AA258" s="49" t="str">
        <f>MID(VLOOKUP($A258,Seqs!$A:$B,2,FALSE),VLOOKUP($A258,'SegEnds_NonXtal_Prot#'!A:AL,10,FALSE)+10,1)</f>
        <v>W</v>
      </c>
      <c r="AB258" s="28" t="str">
        <f>MID(VLOOKUP($A258,Seqs!$A:$B,2,FALSE),VLOOKUP($A258,'SegEnds_NonXtal_Prot#'!$A:$AL,22,FALSE)+6,1)</f>
        <v>F</v>
      </c>
      <c r="AC258" s="49" t="str">
        <f>MID(VLOOKUP($A258,Seqs!$A:$B,2,FALSE),VLOOKUP($A258,'SegEnds_NonXtal_Prot#'!$A:$AL,22,FALSE)+7,1)</f>
        <v>N</v>
      </c>
      <c r="AD258" s="49" t="str">
        <f>MID(VLOOKUP($A258,Seqs!$A:$B,2,FALSE),VLOOKUP($A258,'SegEnds_NonXtal_Prot#'!$A:$AL,22,FALSE)+8,1)</f>
        <v>A</v>
      </c>
      <c r="AE258" s="49" t="str">
        <f>MID(VLOOKUP($A258,Seqs!$A:$B,2,FALSE),VLOOKUP($A258,'SegEnds_NonXtal_Prot#'!$A:$AL,22,FALSE)+9,1)</f>
        <v>V</v>
      </c>
      <c r="AF258" s="49" t="str">
        <f>MID(VLOOKUP($A258,Seqs!$A:$B,2,FALSE),VLOOKUP($A258,'SegEnds_NonXtal_Prot#'!$A:$AL,22,FALSE)+10,1)</f>
        <v>M</v>
      </c>
      <c r="AG258" s="28" t="str">
        <f>MID(VLOOKUP($A258,Seqs!$A:$B,2,FALSE),VLOOKUP($A258,'SegEnds_NonXtal_Prot#'!$A:$AL,28,FALSE)-4,1)</f>
        <v>G</v>
      </c>
      <c r="AH258" s="49" t="str">
        <f>MID(VLOOKUP($A258,Seqs!$A:$B,2,FALSE),VLOOKUP($A258,'SegEnds_NonXtal_Prot#'!$A:$AL,28,FALSE),1)</f>
        <v>P</v>
      </c>
    </row>
    <row r="259" spans="1:34" s="2" customFormat="1" x14ac:dyDescent="0.2">
      <c r="A259" s="2" t="s">
        <v>386</v>
      </c>
      <c r="B259" s="2" t="str">
        <f>LOWER(VLOOKUP(A259,Xtal_Templ!A:B,2,FALSE))</f>
        <v>p2ry1_human</v>
      </c>
      <c r="C259" s="2" t="str">
        <f>VLOOKUP(A259,Classification!A:D,2,FALSE)</f>
        <v>A</v>
      </c>
      <c r="D259" s="2" t="str">
        <f>IF(ISERROR(MATCH(A259,'SegEnds_Xtal_Prot#'!B:B, 0)), "NoXtal", "Xtal")</f>
        <v>NoXtal</v>
      </c>
      <c r="H259" s="4"/>
      <c r="N259" s="2" t="s">
        <v>14</v>
      </c>
      <c r="R259" s="2" t="s">
        <v>9</v>
      </c>
      <c r="T259" s="4" t="s">
        <v>12</v>
      </c>
      <c r="V259" s="28" t="str">
        <f>MID(VLOOKUP($A259,Seqs!$A:$B,2,FALSE),VLOOKUP($A259,'SegEnds_NonXtal_Prot#'!A:AL,10,FALSE),1)</f>
        <v>D</v>
      </c>
      <c r="W259" s="49" t="str">
        <f>MID(VLOOKUP($A259,Seqs!$A:$B,2,FALSE),VLOOKUP($A259,'SegEnds_NonXtal_Prot#'!A:AL,10,FALSE)+6,1)</f>
        <v>T</v>
      </c>
      <c r="X259" s="49" t="str">
        <f>MID(VLOOKUP($A259,Seqs!$A:$B,2,FALSE),VLOOKUP($A259,'SegEnds_NonXtal_Prot#'!A:AL,10,FALSE)+7,1)</f>
        <v>L</v>
      </c>
      <c r="Y259" s="49" t="str">
        <f>MID(VLOOKUP($A259,Seqs!$A:$B,2,FALSE),VLOOKUP($A259,'SegEnds_NonXtal_Prot#'!A:AL,10,FALSE)+8,1)</f>
        <v>P</v>
      </c>
      <c r="Z259" s="49" t="str">
        <f>MID(VLOOKUP($A259,Seqs!$A:$B,2,FALSE),VLOOKUP($A259,'SegEnds_NonXtal_Prot#'!A:AL,10,FALSE)+9,1)</f>
        <v>M</v>
      </c>
      <c r="AA259" s="49" t="str">
        <f>MID(VLOOKUP($A259,Seqs!$A:$B,2,FALSE),VLOOKUP($A259,'SegEnds_NonXtal_Prot#'!A:AL,10,FALSE)+10,1)</f>
        <v>L</v>
      </c>
      <c r="AB259" s="28" t="str">
        <f>MID(VLOOKUP($A259,Seqs!$A:$B,2,FALSE),VLOOKUP($A259,'SegEnds_NonXtal_Prot#'!$A:$AL,22,FALSE)+6,1)</f>
        <v>E</v>
      </c>
      <c r="AC259" s="49" t="str">
        <f>MID(VLOOKUP($A259,Seqs!$A:$B,2,FALSE),VLOOKUP($A259,'SegEnds_NonXtal_Prot#'!$A:$AL,22,FALSE)+7,1)</f>
        <v>L</v>
      </c>
      <c r="AD259" s="49" t="str">
        <f>MID(VLOOKUP($A259,Seqs!$A:$B,2,FALSE),VLOOKUP($A259,'SegEnds_NonXtal_Prot#'!$A:$AL,22,FALSE)+8,1)</f>
        <v>L</v>
      </c>
      <c r="AE259" s="49" t="str">
        <f>MID(VLOOKUP($A259,Seqs!$A:$B,2,FALSE),VLOOKUP($A259,'SegEnds_NonXtal_Prot#'!$A:$AL,22,FALSE)+9,1)</f>
        <v>P</v>
      </c>
      <c r="AF259" s="49" t="str">
        <f>MID(VLOOKUP($A259,Seqs!$A:$B,2,FALSE),VLOOKUP($A259,'SegEnds_NonXtal_Prot#'!$A:$AL,22,FALSE)+10,1)</f>
        <v>I</v>
      </c>
      <c r="AG259" s="28" t="str">
        <f>MID(VLOOKUP($A259,Seqs!$A:$B,2,FALSE),VLOOKUP($A259,'SegEnds_NonXtal_Prot#'!$A:$AL,28,FALSE)-4,1)</f>
        <v>G</v>
      </c>
      <c r="AH259" s="49" t="str">
        <f>MID(VLOOKUP($A259,Seqs!$A:$B,2,FALSE),VLOOKUP($A259,'SegEnds_NonXtal_Prot#'!$A:$AL,28,FALSE),1)</f>
        <v>P</v>
      </c>
    </row>
    <row r="260" spans="1:34" s="2" customFormat="1" x14ac:dyDescent="0.2">
      <c r="A260" s="2" t="s">
        <v>229</v>
      </c>
      <c r="B260" s="2" t="str">
        <f>LOWER(VLOOKUP(A260,Xtal_Templ!A:B,2,FALSE))</f>
        <v>p2y12_human</v>
      </c>
      <c r="C260" s="2" t="str">
        <f>VLOOKUP(A260,Classification!A:D,2,FALSE)</f>
        <v>A</v>
      </c>
      <c r="D260" s="2" t="str">
        <f>IF(ISERROR(MATCH(A260,'SegEnds_Xtal_Prot#'!B:B, 0)), "NoXtal", "Xtal")</f>
        <v>NoXtal</v>
      </c>
      <c r="H260" s="4"/>
      <c r="N260" s="2" t="s">
        <v>14</v>
      </c>
      <c r="T260" s="4" t="s">
        <v>12</v>
      </c>
      <c r="V260" s="28" t="str">
        <f>MID(VLOOKUP($A260,Seqs!$A:$B,2,FALSE),VLOOKUP($A260,'SegEnds_NonXtal_Prot#'!A:AL,10,FALSE),1)</f>
        <v>D</v>
      </c>
      <c r="W260" s="49" t="str">
        <f>MID(VLOOKUP($A260,Seqs!$A:$B,2,FALSE),VLOOKUP($A260,'SegEnds_NonXtal_Prot#'!A:AL,10,FALSE)+6,1)</f>
        <v>A</v>
      </c>
      <c r="X260" s="49" t="str">
        <f>MID(VLOOKUP($A260,Seqs!$A:$B,2,FALSE),VLOOKUP($A260,'SegEnds_NonXtal_Prot#'!A:AL,10,FALSE)+7,1)</f>
        <v>L</v>
      </c>
      <c r="Y260" s="49" t="str">
        <f>MID(VLOOKUP($A260,Seqs!$A:$B,2,FALSE),VLOOKUP($A260,'SegEnds_NonXtal_Prot#'!A:AL,10,FALSE)+8,1)</f>
        <v>P</v>
      </c>
      <c r="Z260" s="49" t="str">
        <f>MID(VLOOKUP($A260,Seqs!$A:$B,2,FALSE),VLOOKUP($A260,'SegEnds_NonXtal_Prot#'!A:AL,10,FALSE)+9,1)</f>
        <v>V</v>
      </c>
      <c r="AA260" s="49" t="str">
        <f>MID(VLOOKUP($A260,Seqs!$A:$B,2,FALSE),VLOOKUP($A260,'SegEnds_NonXtal_Prot#'!A:AL,10,FALSE)+10,1)</f>
        <v>K</v>
      </c>
      <c r="AB260" s="28" t="str">
        <f>MID(VLOOKUP($A260,Seqs!$A:$B,2,FALSE),VLOOKUP($A260,'SegEnds_NonXtal_Prot#'!$A:$AL,22,FALSE)+6,1)</f>
        <v>I</v>
      </c>
      <c r="AC260" s="49" t="str">
        <f>MID(VLOOKUP($A260,Seqs!$A:$B,2,FALSE),VLOOKUP($A260,'SegEnds_NonXtal_Prot#'!$A:$AL,22,FALSE)+7,1)</f>
        <v>M</v>
      </c>
      <c r="AD260" s="49" t="str">
        <f>MID(VLOOKUP($A260,Seqs!$A:$B,2,FALSE),VLOOKUP($A260,'SegEnds_NonXtal_Prot#'!$A:$AL,22,FALSE)+8,1)</f>
        <v>V</v>
      </c>
      <c r="AE260" s="49" t="str">
        <f>MID(VLOOKUP($A260,Seqs!$A:$B,2,FALSE),VLOOKUP($A260,'SegEnds_NonXtal_Prot#'!$A:$AL,22,FALSE)+9,1)</f>
        <v>P</v>
      </c>
      <c r="AF260" s="49" t="str">
        <f>MID(VLOOKUP($A260,Seqs!$A:$B,2,FALSE),VLOOKUP($A260,'SegEnds_NonXtal_Prot#'!$A:$AL,22,FALSE)+10,1)</f>
        <v>N</v>
      </c>
      <c r="AG260" s="28" t="str">
        <f>MID(VLOOKUP($A260,Seqs!$A:$B,2,FALSE),VLOOKUP($A260,'SegEnds_NonXtal_Prot#'!$A:$AL,28,FALSE)-4,1)</f>
        <v>I</v>
      </c>
      <c r="AH260" s="49" t="str">
        <f>MID(VLOOKUP($A260,Seqs!$A:$B,2,FALSE),VLOOKUP($A260,'SegEnds_NonXtal_Prot#'!$A:$AL,28,FALSE),1)</f>
        <v>F</v>
      </c>
    </row>
    <row r="261" spans="1:34" s="2" customFormat="1" x14ac:dyDescent="0.2">
      <c r="A261" s="2" t="s">
        <v>234</v>
      </c>
      <c r="B261" s="2" t="str">
        <f>LOWER(VLOOKUP(A261,Xtal_Templ!A:B,2,FALSE))</f>
        <v>ccr5_human</v>
      </c>
      <c r="C261" s="2" t="str">
        <f>VLOOKUP(A261,Classification!A:D,2,FALSE)</f>
        <v>A</v>
      </c>
      <c r="D261" s="2" t="str">
        <f>IF(ISERROR(MATCH(A261,'SegEnds_Xtal_Prot#'!B:B, 0)), "NoXtal", "Xtal")</f>
        <v>NoXtal</v>
      </c>
      <c r="H261" s="4"/>
      <c r="N261" s="2" t="s">
        <v>14</v>
      </c>
      <c r="R261" s="2" t="s">
        <v>9</v>
      </c>
      <c r="T261" s="4" t="s">
        <v>12</v>
      </c>
      <c r="V261" s="28" t="str">
        <f>MID(VLOOKUP($A261,Seqs!$A:$B,2,FALSE),VLOOKUP($A261,'SegEnds_NonXtal_Prot#'!A:AL,10,FALSE),1)</f>
        <v>D</v>
      </c>
      <c r="W261" s="49" t="str">
        <f>MID(VLOOKUP($A261,Seqs!$A:$B,2,FALSE),VLOOKUP($A261,'SegEnds_NonXtal_Prot#'!A:AL,10,FALSE)+6,1)</f>
        <v>A</v>
      </c>
      <c r="X261" s="49" t="str">
        <f>MID(VLOOKUP($A261,Seqs!$A:$B,2,FALSE),VLOOKUP($A261,'SegEnds_NonXtal_Prot#'!A:AL,10,FALSE)+7,1)</f>
        <v>L</v>
      </c>
      <c r="Y261" s="49" t="str">
        <f>MID(VLOOKUP($A261,Seqs!$A:$B,2,FALSE),VLOOKUP($A261,'SegEnds_NonXtal_Prot#'!A:AL,10,FALSE)+8,1)</f>
        <v>P</v>
      </c>
      <c r="Z261" s="49" t="str">
        <f>MID(VLOOKUP($A261,Seqs!$A:$B,2,FALSE),VLOOKUP($A261,'SegEnds_NonXtal_Prot#'!A:AL,10,FALSE)+9,1)</f>
        <v>T</v>
      </c>
      <c r="AA261" s="49" t="str">
        <f>MID(VLOOKUP($A261,Seqs!$A:$B,2,FALSE),VLOOKUP($A261,'SegEnds_NonXtal_Prot#'!A:AL,10,FALSE)+10,1)</f>
        <v>R</v>
      </c>
      <c r="AB261" s="28" t="str">
        <f>MID(VLOOKUP($A261,Seqs!$A:$B,2,FALSE),VLOOKUP($A261,'SegEnds_NonXtal_Prot#'!$A:$AL,22,FALSE)+6,1)</f>
        <v>Q</v>
      </c>
      <c r="AC261" s="49" t="str">
        <f>MID(VLOOKUP($A261,Seqs!$A:$B,2,FALSE),VLOOKUP($A261,'SegEnds_NonXtal_Prot#'!$A:$AL,22,FALSE)+7,1)</f>
        <v>T</v>
      </c>
      <c r="AD261" s="49" t="str">
        <f>MID(VLOOKUP($A261,Seqs!$A:$B,2,FALSE),VLOOKUP($A261,'SegEnds_NonXtal_Prot#'!$A:$AL,22,FALSE)+8,1)</f>
        <v>L</v>
      </c>
      <c r="AE261" s="49" t="str">
        <f>MID(VLOOKUP($A261,Seqs!$A:$B,2,FALSE),VLOOKUP($A261,'SegEnds_NonXtal_Prot#'!$A:$AL,22,FALSE)+9,1)</f>
        <v>P</v>
      </c>
      <c r="AF261" s="49" t="str">
        <f>MID(VLOOKUP($A261,Seqs!$A:$B,2,FALSE),VLOOKUP($A261,'SegEnds_NonXtal_Prot#'!$A:$AL,22,FALSE)+10,1)</f>
        <v>L</v>
      </c>
      <c r="AG261" s="28" t="str">
        <f>MID(VLOOKUP($A261,Seqs!$A:$B,2,FALSE),VLOOKUP($A261,'SegEnds_NonXtal_Prot#'!$A:$AL,28,FALSE)-4,1)</f>
        <v>G</v>
      </c>
      <c r="AH261" s="49" t="str">
        <f>MID(VLOOKUP($A261,Seqs!$A:$B,2,FALSE),VLOOKUP($A261,'SegEnds_NonXtal_Prot#'!$A:$AL,28,FALSE),1)</f>
        <v>P</v>
      </c>
    </row>
    <row r="262" spans="1:34" s="2" customFormat="1" x14ac:dyDescent="0.2">
      <c r="A262" s="2" t="s">
        <v>253</v>
      </c>
      <c r="B262" s="2" t="str">
        <f>LOWER(VLOOKUP(A262,Xtal_Templ!A:B,2,FALSE))</f>
        <v>ptafr_human</v>
      </c>
      <c r="C262" s="2" t="str">
        <f>VLOOKUP(A262,Classification!A:D,2,FALSE)</f>
        <v>A</v>
      </c>
      <c r="D262" s="2" t="str">
        <f>IF(ISERROR(MATCH(A262,'SegEnds_Xtal_Prot#'!B:B, 0)), "NoXtal", "Xtal")</f>
        <v>NoXtal</v>
      </c>
      <c r="H262" s="4"/>
      <c r="S262" s="106"/>
      <c r="T262" s="4" t="s">
        <v>12</v>
      </c>
      <c r="V262" s="28" t="str">
        <f>MID(VLOOKUP($A262,Seqs!$A:$B,2,FALSE),VLOOKUP($A262,'SegEnds_NonXtal_Prot#'!A:AL,10,FALSE),1)</f>
        <v>D</v>
      </c>
      <c r="W262" s="49" t="str">
        <f>MID(VLOOKUP($A262,Seqs!$A:$B,2,FALSE),VLOOKUP($A262,'SegEnds_NonXtal_Prot#'!A:AL,10,FALSE)+6,1)</f>
        <v>C</v>
      </c>
      <c r="X262" s="49" t="str">
        <f>MID(VLOOKUP($A262,Seqs!$A:$B,2,FALSE),VLOOKUP($A262,'SegEnds_NonXtal_Prot#'!A:AL,10,FALSE)+7,1)</f>
        <v>L</v>
      </c>
      <c r="Y262" s="49" t="str">
        <f>MID(VLOOKUP($A262,Seqs!$A:$B,2,FALSE),VLOOKUP($A262,'SegEnds_NonXtal_Prot#'!A:AL,10,FALSE)+8,1)</f>
        <v>P</v>
      </c>
      <c r="Z262" s="49" t="str">
        <f>MID(VLOOKUP($A262,Seqs!$A:$B,2,FALSE),VLOOKUP($A262,'SegEnds_NonXtal_Prot#'!A:AL,10,FALSE)+9,1)</f>
        <v>F</v>
      </c>
      <c r="AA262" s="49" t="str">
        <f>MID(VLOOKUP($A262,Seqs!$A:$B,2,FALSE),VLOOKUP($A262,'SegEnds_NonXtal_Prot#'!A:AL,10,FALSE)+10,1)</f>
        <v>R</v>
      </c>
      <c r="AB262" s="28" t="str">
        <f>MID(VLOOKUP($A262,Seqs!$A:$B,2,FALSE),VLOOKUP($A262,'SegEnds_NonXtal_Prot#'!$A:$AL,22,FALSE)+6,1)</f>
        <v>G</v>
      </c>
      <c r="AC262" s="49" t="str">
        <f>MID(VLOOKUP($A262,Seqs!$A:$B,2,FALSE),VLOOKUP($A262,'SegEnds_NonXtal_Prot#'!$A:$AL,22,FALSE)+7,1)</f>
        <v>F</v>
      </c>
      <c r="AD262" s="49" t="str">
        <f>MID(VLOOKUP($A262,Seqs!$A:$B,2,FALSE),VLOOKUP($A262,'SegEnds_NonXtal_Prot#'!$A:$AL,22,FALSE)+8,1)</f>
        <v>L</v>
      </c>
      <c r="AE262" s="49" t="str">
        <f>MID(VLOOKUP($A262,Seqs!$A:$B,2,FALSE),VLOOKUP($A262,'SegEnds_NonXtal_Prot#'!$A:$AL,22,FALSE)+9,1)</f>
        <v>T</v>
      </c>
      <c r="AF262" s="49" t="str">
        <f>MID(VLOOKUP($A262,Seqs!$A:$B,2,FALSE),VLOOKUP($A262,'SegEnds_NonXtal_Prot#'!$A:$AL,22,FALSE)+10,1)</f>
        <v>M</v>
      </c>
      <c r="AG262" s="28" t="str">
        <f>MID(VLOOKUP($A262,Seqs!$A:$B,2,FALSE),VLOOKUP($A262,'SegEnds_NonXtal_Prot#'!$A:$AL,28,FALSE)-4,1)</f>
        <v>M</v>
      </c>
      <c r="AH262" s="49" t="str">
        <f>MID(VLOOKUP($A262,Seqs!$A:$B,2,FALSE),VLOOKUP($A262,'SegEnds_NonXtal_Prot#'!$A:$AL,28,FALSE),1)</f>
        <v>I</v>
      </c>
    </row>
    <row r="263" spans="1:34" s="2" customFormat="1" x14ac:dyDescent="0.2">
      <c r="A263" s="2" t="s">
        <v>272</v>
      </c>
      <c r="B263" s="2" t="str">
        <f>LOWER(VLOOKUP(A263,Xtal_Templ!A:B,2,FALSE))</f>
        <v>p2y12_human</v>
      </c>
      <c r="C263" s="2" t="str">
        <f>VLOOKUP(A263,Classification!A:D,2,FALSE)</f>
        <v>A</v>
      </c>
      <c r="D263" s="2" t="str">
        <f>IF(ISERROR(MATCH(A263,'SegEnds_Xtal_Prot#'!B:B, 0)), "NoXtal", "Xtal")</f>
        <v>NoXtal</v>
      </c>
      <c r="H263" s="4"/>
      <c r="N263" s="2" t="s">
        <v>14</v>
      </c>
      <c r="T263" s="4" t="s">
        <v>12</v>
      </c>
      <c r="V263" s="28" t="str">
        <f>MID(VLOOKUP($A263,Seqs!$A:$B,2,FALSE),VLOOKUP($A263,'SegEnds_NonXtal_Prot#'!A:AL,10,FALSE),1)</f>
        <v>D</v>
      </c>
      <c r="W263" s="49" t="str">
        <f>MID(VLOOKUP($A263,Seqs!$A:$B,2,FALSE),VLOOKUP($A263,'SegEnds_NonXtal_Prot#'!A:AL,10,FALSE)+6,1)</f>
        <v>T</v>
      </c>
      <c r="X263" s="49" t="str">
        <f>MID(VLOOKUP($A263,Seqs!$A:$B,2,FALSE),VLOOKUP($A263,'SegEnds_NonXtal_Prot#'!A:AL,10,FALSE)+7,1)</f>
        <v>F</v>
      </c>
      <c r="Y263" s="49" t="str">
        <f>MID(VLOOKUP($A263,Seqs!$A:$B,2,FALSE),VLOOKUP($A263,'SegEnds_NonXtal_Prot#'!A:AL,10,FALSE)+8,1)</f>
        <v>P</v>
      </c>
      <c r="Z263" s="49" t="str">
        <f>MID(VLOOKUP($A263,Seqs!$A:$B,2,FALSE),VLOOKUP($A263,'SegEnds_NonXtal_Prot#'!A:AL,10,FALSE)+9,1)</f>
        <v>F</v>
      </c>
      <c r="AA263" s="49" t="str">
        <f>MID(VLOOKUP($A263,Seqs!$A:$B,2,FALSE),VLOOKUP($A263,'SegEnds_NonXtal_Prot#'!A:AL,10,FALSE)+10,1)</f>
        <v>R</v>
      </c>
      <c r="AB263" s="28" t="str">
        <f>MID(VLOOKUP($A263,Seqs!$A:$B,2,FALSE),VLOOKUP($A263,'SegEnds_NonXtal_Prot#'!$A:$AL,22,FALSE)+6,1)</f>
        <v>L</v>
      </c>
      <c r="AC263" s="49" t="str">
        <f>MID(VLOOKUP($A263,Seqs!$A:$B,2,FALSE),VLOOKUP($A263,'SegEnds_NonXtal_Prot#'!$A:$AL,22,FALSE)+7,1)</f>
        <v>S</v>
      </c>
      <c r="AD263" s="49" t="str">
        <f>MID(VLOOKUP($A263,Seqs!$A:$B,2,FALSE),VLOOKUP($A263,'SegEnds_NonXtal_Prot#'!$A:$AL,22,FALSE)+8,1)</f>
        <v>L</v>
      </c>
      <c r="AE263" s="49" t="str">
        <f>MID(VLOOKUP($A263,Seqs!$A:$B,2,FALSE),VLOOKUP($A263,'SegEnds_NonXtal_Prot#'!$A:$AL,22,FALSE)+9,1)</f>
        <v>P</v>
      </c>
      <c r="AF263" s="49" t="str">
        <f>MID(VLOOKUP($A263,Seqs!$A:$B,2,FALSE),VLOOKUP($A263,'SegEnds_NonXtal_Prot#'!$A:$AL,22,FALSE)+10,1)</f>
        <v>N</v>
      </c>
      <c r="AG263" s="28" t="str">
        <f>MID(VLOOKUP($A263,Seqs!$A:$B,2,FALSE),VLOOKUP($A263,'SegEnds_NonXtal_Prot#'!$A:$AL,28,FALSE)-4,1)</f>
        <v>L</v>
      </c>
      <c r="AH263" s="49" t="str">
        <f>MID(VLOOKUP($A263,Seqs!$A:$B,2,FALSE),VLOOKUP($A263,'SegEnds_NonXtal_Prot#'!$A:$AL,28,FALSE),1)</f>
        <v>V</v>
      </c>
    </row>
    <row r="264" spans="1:34" s="2" customFormat="1" x14ac:dyDescent="0.2">
      <c r="A264" s="2" t="s">
        <v>307</v>
      </c>
      <c r="B264" s="2" t="str">
        <f>LOWER(VLOOKUP(A264,Xtal_Templ!A:B,2,FALSE))</f>
        <v>pd2r2_human</v>
      </c>
      <c r="C264" s="2" t="str">
        <f>VLOOKUP(A264,Classification!A:D,2,FALSE)</f>
        <v>A</v>
      </c>
      <c r="D264" s="2" t="str">
        <f>IF(ISERROR(MATCH(A264,'SegEnds_Xtal_Prot#'!B:B, 0)), "NoXtal", "Xtal")</f>
        <v>NoXtal</v>
      </c>
      <c r="H264" s="4"/>
      <c r="T264" s="4" t="s">
        <v>12</v>
      </c>
      <c r="V264" s="28" t="str">
        <f>MID(VLOOKUP($A264,Seqs!$A:$B,2,FALSE),VLOOKUP($A264,'SegEnds_NonXtal_Prot#'!A:AL,10,FALSE),1)</f>
        <v>D</v>
      </c>
      <c r="W264" s="49" t="str">
        <f>MID(VLOOKUP($A264,Seqs!$A:$B,2,FALSE),VLOOKUP($A264,'SegEnds_NonXtal_Prot#'!A:AL,10,FALSE)+6,1)</f>
        <v>G</v>
      </c>
      <c r="X264" s="49" t="str">
        <f>MID(VLOOKUP($A264,Seqs!$A:$B,2,FALSE),VLOOKUP($A264,'SegEnds_NonXtal_Prot#'!A:AL,10,FALSE)+7,1)</f>
        <v>H</v>
      </c>
      <c r="Y264" s="49" t="str">
        <f>MID(VLOOKUP($A264,Seqs!$A:$B,2,FALSE),VLOOKUP($A264,'SegEnds_NonXtal_Prot#'!A:AL,10,FALSE)+8,1)</f>
        <v>I</v>
      </c>
      <c r="Z264" s="49" t="str">
        <f>MID(VLOOKUP($A264,Seqs!$A:$B,2,FALSE),VLOOKUP($A264,'SegEnds_NonXtal_Prot#'!A:AL,10,FALSE)+9,1)</f>
        <v>I</v>
      </c>
      <c r="AA264" s="49" t="str">
        <f>MID(VLOOKUP($A264,Seqs!$A:$B,2,FALSE),VLOOKUP($A264,'SegEnds_NonXtal_Prot#'!A:AL,10,FALSE)+10,1)</f>
        <v>C</v>
      </c>
      <c r="AB264" s="28" t="str">
        <f>MID(VLOOKUP($A264,Seqs!$A:$B,2,FALSE),VLOOKUP($A264,'SegEnds_NonXtal_Prot#'!$A:$AL,22,FALSE)+6,1)</f>
        <v>R</v>
      </c>
      <c r="AC264" s="49" t="str">
        <f>MID(VLOOKUP($A264,Seqs!$A:$B,2,FALSE),VLOOKUP($A264,'SegEnds_NonXtal_Prot#'!$A:$AL,22,FALSE)+7,1)</f>
        <v>S</v>
      </c>
      <c r="AD264" s="49" t="str">
        <f>MID(VLOOKUP($A264,Seqs!$A:$B,2,FALSE),VLOOKUP($A264,'SegEnds_NonXtal_Prot#'!$A:$AL,22,FALSE)+8,1)</f>
        <v>I</v>
      </c>
      <c r="AE264" s="49" t="str">
        <f>MID(VLOOKUP($A264,Seqs!$A:$B,2,FALSE),VLOOKUP($A264,'SegEnds_NonXtal_Prot#'!$A:$AL,22,FALSE)+9,1)</f>
        <v>L</v>
      </c>
      <c r="AF264" s="49" t="str">
        <f>MID(VLOOKUP($A264,Seqs!$A:$B,2,FALSE),VLOOKUP($A264,'SegEnds_NonXtal_Prot#'!$A:$AL,22,FALSE)+10,1)</f>
        <v>E</v>
      </c>
      <c r="AG264" s="28" t="str">
        <f>MID(VLOOKUP($A264,Seqs!$A:$B,2,FALSE),VLOOKUP($A264,'SegEnds_NonXtal_Prot#'!$A:$AL,28,FALSE)-4,1)</f>
        <v>V</v>
      </c>
      <c r="AH264" s="49" t="str">
        <f>MID(VLOOKUP($A264,Seqs!$A:$B,2,FALSE),VLOOKUP($A264,'SegEnds_NonXtal_Prot#'!$A:$AL,28,FALSE),1)</f>
        <v>V</v>
      </c>
    </row>
    <row r="265" spans="1:34" s="2" customFormat="1" x14ac:dyDescent="0.2">
      <c r="A265" s="2" t="s">
        <v>352</v>
      </c>
      <c r="B265" s="2" t="str">
        <f>LOWER(VLOOKUP(A265,Xtal_Templ!A:B,2,FALSE))</f>
        <v>p2y12_human</v>
      </c>
      <c r="C265" s="2" t="str">
        <f>VLOOKUP(A265,Classification!A:D,2,FALSE)</f>
        <v>A</v>
      </c>
      <c r="D265" s="2" t="str">
        <f>IF(ISERROR(MATCH(A265,'SegEnds_Xtal_Prot#'!B:B, 0)), "NoXtal", "Xtal")</f>
        <v>Xtal</v>
      </c>
      <c r="H265" s="4"/>
      <c r="S265" s="2" t="s">
        <v>1328</v>
      </c>
      <c r="T265" s="4" t="s">
        <v>12</v>
      </c>
      <c r="V265" s="28" t="str">
        <f>MID(VLOOKUP($A265,Seqs!$A:$B,2,FALSE),VLOOKUP($A265,'SegEnds_NonXtal_Prot#'!A:AL,10,FALSE),1)</f>
        <v>D</v>
      </c>
      <c r="W265" s="49" t="str">
        <f>MID(VLOOKUP($A265,Seqs!$A:$B,2,FALSE),VLOOKUP($A265,'SegEnds_NonXtal_Prot#'!A:AL,10,FALSE)+6,1)</f>
        <v>T</v>
      </c>
      <c r="X265" s="49" t="str">
        <f>MID(VLOOKUP($A265,Seqs!$A:$B,2,FALSE),VLOOKUP($A265,'SegEnds_NonXtal_Prot#'!A:AL,10,FALSE)+7,1)</f>
        <v>F</v>
      </c>
      <c r="Y265" s="49" t="str">
        <f>MID(VLOOKUP($A265,Seqs!$A:$B,2,FALSE),VLOOKUP($A265,'SegEnds_NonXtal_Prot#'!A:AL,10,FALSE)+8,1)</f>
        <v>P</v>
      </c>
      <c r="Z265" s="49" t="str">
        <f>MID(VLOOKUP($A265,Seqs!$A:$B,2,FALSE),VLOOKUP($A265,'SegEnds_NonXtal_Prot#'!A:AL,10,FALSE)+9,1)</f>
        <v>F</v>
      </c>
      <c r="AA265" s="49" t="str">
        <f>MID(VLOOKUP($A265,Seqs!$A:$B,2,FALSE),VLOOKUP($A265,'SegEnds_NonXtal_Prot#'!A:AL,10,FALSE)+10,1)</f>
        <v>K</v>
      </c>
      <c r="AB265" s="28" t="str">
        <f>MID(VLOOKUP($A265,Seqs!$A:$B,2,FALSE),VLOOKUP($A265,'SegEnds_NonXtal_Prot#'!$A:$AL,22,FALSE)+6,1)</f>
        <v>L</v>
      </c>
      <c r="AC265" s="49" t="str">
        <f>MID(VLOOKUP($A265,Seqs!$A:$B,2,FALSE),VLOOKUP($A265,'SegEnds_NonXtal_Prot#'!$A:$AL,22,FALSE)+7,1)</f>
        <v>S</v>
      </c>
      <c r="AD265" s="49" t="str">
        <f>MID(VLOOKUP($A265,Seqs!$A:$B,2,FALSE),VLOOKUP($A265,'SegEnds_NonXtal_Prot#'!$A:$AL,22,FALSE)+8,1)</f>
        <v>L</v>
      </c>
      <c r="AE265" s="49" t="str">
        <f>MID(VLOOKUP($A265,Seqs!$A:$B,2,FALSE),VLOOKUP($A265,'SegEnds_NonXtal_Prot#'!$A:$AL,22,FALSE)+9,1)</f>
        <v>P</v>
      </c>
      <c r="AF265" s="49" t="str">
        <f>MID(VLOOKUP($A265,Seqs!$A:$B,2,FALSE),VLOOKUP($A265,'SegEnds_NonXtal_Prot#'!$A:$AL,22,FALSE)+10,1)</f>
        <v>N</v>
      </c>
      <c r="AG265" s="28" t="str">
        <f>MID(VLOOKUP($A265,Seqs!$A:$B,2,FALSE),VLOOKUP($A265,'SegEnds_NonXtal_Prot#'!$A:$AL,28,FALSE)-4,1)</f>
        <v>I</v>
      </c>
      <c r="AH265" s="49" t="str">
        <f>MID(VLOOKUP($A265,Seqs!$A:$B,2,FALSE),VLOOKUP($A265,'SegEnds_NonXtal_Prot#'!$A:$AL,28,FALSE),1)</f>
        <v>N</v>
      </c>
    </row>
    <row r="266" spans="1:34" s="2" customFormat="1" x14ac:dyDescent="0.2">
      <c r="A266" s="2" t="s">
        <v>353</v>
      </c>
      <c r="B266" s="2" t="str">
        <f>LOWER(VLOOKUP(A266,Xtal_Templ!A:B,2,FALSE))</f>
        <v>p2y12_human</v>
      </c>
      <c r="C266" s="2" t="str">
        <f>VLOOKUP(A266,Classification!A:D,2,FALSE)</f>
        <v>A</v>
      </c>
      <c r="D266" s="2" t="str">
        <f>IF(ISERROR(MATCH(A266,'SegEnds_Xtal_Prot#'!B:B, 0)), "NoXtal", "Xtal")</f>
        <v>NoXtal</v>
      </c>
      <c r="H266" s="4"/>
      <c r="S266" s="2" t="s">
        <v>1328</v>
      </c>
      <c r="T266" s="4" t="s">
        <v>12</v>
      </c>
      <c r="V266" s="28" t="str">
        <f>MID(VLOOKUP($A266,Seqs!$A:$B,2,FALSE),VLOOKUP($A266,'SegEnds_NonXtal_Prot#'!A:AL,10,FALSE),1)</f>
        <v>D</v>
      </c>
      <c r="W266" s="49" t="str">
        <f>MID(VLOOKUP($A266,Seqs!$A:$B,2,FALSE),VLOOKUP($A266,'SegEnds_NonXtal_Prot#'!A:AL,10,FALSE)+6,1)</f>
        <v>M</v>
      </c>
      <c r="X266" s="49" t="str">
        <f>MID(VLOOKUP($A266,Seqs!$A:$B,2,FALSE),VLOOKUP($A266,'SegEnds_NonXtal_Prot#'!A:AL,10,FALSE)+7,1)</f>
        <v>L</v>
      </c>
      <c r="Y266" s="49" t="str">
        <f>MID(VLOOKUP($A266,Seqs!$A:$B,2,FALSE),VLOOKUP($A266,'SegEnds_NonXtal_Prot#'!A:AL,10,FALSE)+8,1)</f>
        <v>P</v>
      </c>
      <c r="Z266" s="49" t="str">
        <f>MID(VLOOKUP($A266,Seqs!$A:$B,2,FALSE),VLOOKUP($A266,'SegEnds_NonXtal_Prot#'!A:AL,10,FALSE)+9,1)</f>
        <v>F</v>
      </c>
      <c r="AA266" s="49" t="str">
        <f>MID(VLOOKUP($A266,Seqs!$A:$B,2,FALSE),VLOOKUP($A266,'SegEnds_NonXtal_Prot#'!A:AL,10,FALSE)+10,1)</f>
        <v>K</v>
      </c>
      <c r="AB266" s="28" t="str">
        <f>MID(VLOOKUP($A266,Seqs!$A:$B,2,FALSE),VLOOKUP($A266,'SegEnds_NonXtal_Prot#'!$A:$AL,22,FALSE)+6,1)</f>
        <v>I</v>
      </c>
      <c r="AC266" s="49" t="str">
        <f>MID(VLOOKUP($A266,Seqs!$A:$B,2,FALSE),VLOOKUP($A266,'SegEnds_NonXtal_Prot#'!$A:$AL,22,FALSE)+7,1)</f>
        <v>S</v>
      </c>
      <c r="AD266" s="49" t="str">
        <f>MID(VLOOKUP($A266,Seqs!$A:$B,2,FALSE),VLOOKUP($A266,'SegEnds_NonXtal_Prot#'!$A:$AL,22,FALSE)+8,1)</f>
        <v>L</v>
      </c>
      <c r="AE266" s="49" t="str">
        <f>MID(VLOOKUP($A266,Seqs!$A:$B,2,FALSE),VLOOKUP($A266,'SegEnds_NonXtal_Prot#'!$A:$AL,22,FALSE)+9,1)</f>
        <v>P</v>
      </c>
      <c r="AF266" s="49" t="str">
        <f>MID(VLOOKUP($A266,Seqs!$A:$B,2,FALSE),VLOOKUP($A266,'SegEnds_NonXtal_Prot#'!$A:$AL,22,FALSE)+10,1)</f>
        <v>N</v>
      </c>
      <c r="AG266" s="28" t="str">
        <f>MID(VLOOKUP($A266,Seqs!$A:$B,2,FALSE),VLOOKUP($A266,'SegEnds_NonXtal_Prot#'!$A:$AL,28,FALSE)-4,1)</f>
        <v>I</v>
      </c>
      <c r="AH266" s="49" t="str">
        <f>MID(VLOOKUP($A266,Seqs!$A:$B,2,FALSE),VLOOKUP($A266,'SegEnds_NonXtal_Prot#'!$A:$AL,28,FALSE),1)</f>
        <v>V</v>
      </c>
    </row>
    <row r="267" spans="1:34" s="2" customFormat="1" x14ac:dyDescent="0.2">
      <c r="A267" s="2" t="s">
        <v>354</v>
      </c>
      <c r="B267" s="2" t="str">
        <f>LOWER(VLOOKUP(A267,Xtal_Templ!A:B,2,FALSE))</f>
        <v>p2y12_human</v>
      </c>
      <c r="C267" s="2" t="str">
        <f>VLOOKUP(A267,Classification!A:D,2,FALSE)</f>
        <v>A</v>
      </c>
      <c r="D267" s="2" t="str">
        <f>IF(ISERROR(MATCH(A267,'SegEnds_Xtal_Prot#'!B:B, 0)), "NoXtal", "Xtal")</f>
        <v>NoXtal</v>
      </c>
      <c r="H267" s="4"/>
      <c r="S267" s="2" t="s">
        <v>1328</v>
      </c>
      <c r="T267" s="4" t="s">
        <v>12</v>
      </c>
      <c r="V267" s="28" t="str">
        <f>MID(VLOOKUP($A267,Seqs!$A:$B,2,FALSE),VLOOKUP($A267,'SegEnds_NonXtal_Prot#'!A:AL,10,FALSE),1)</f>
        <v>D</v>
      </c>
      <c r="W267" s="49" t="str">
        <f>MID(VLOOKUP($A267,Seqs!$A:$B,2,FALSE),VLOOKUP($A267,'SegEnds_NonXtal_Prot#'!A:AL,10,FALSE)+6,1)</f>
        <v>T</v>
      </c>
      <c r="X267" s="49" t="str">
        <f>MID(VLOOKUP($A267,Seqs!$A:$B,2,FALSE),VLOOKUP($A267,'SegEnds_NonXtal_Prot#'!A:AL,10,FALSE)+7,1)</f>
        <v>F</v>
      </c>
      <c r="Y267" s="49" t="str">
        <f>MID(VLOOKUP($A267,Seqs!$A:$B,2,FALSE),VLOOKUP($A267,'SegEnds_NonXtal_Prot#'!A:AL,10,FALSE)+8,1)</f>
        <v>P</v>
      </c>
      <c r="Z267" s="49" t="str">
        <f>MID(VLOOKUP($A267,Seqs!$A:$B,2,FALSE),VLOOKUP($A267,'SegEnds_NonXtal_Prot#'!A:AL,10,FALSE)+9,1)</f>
        <v>F</v>
      </c>
      <c r="AA267" s="49" t="str">
        <f>MID(VLOOKUP($A267,Seqs!$A:$B,2,FALSE),VLOOKUP($A267,'SegEnds_NonXtal_Prot#'!A:AL,10,FALSE)+10,1)</f>
        <v>K</v>
      </c>
      <c r="AB267" s="28" t="str">
        <f>MID(VLOOKUP($A267,Seqs!$A:$B,2,FALSE),VLOOKUP($A267,'SegEnds_NonXtal_Prot#'!$A:$AL,22,FALSE)+6,1)</f>
        <v>L</v>
      </c>
      <c r="AC267" s="49" t="str">
        <f>MID(VLOOKUP($A267,Seqs!$A:$B,2,FALSE),VLOOKUP($A267,'SegEnds_NonXtal_Prot#'!$A:$AL,22,FALSE)+7,1)</f>
        <v>A</v>
      </c>
      <c r="AD267" s="49" t="str">
        <f>MID(VLOOKUP($A267,Seqs!$A:$B,2,FALSE),VLOOKUP($A267,'SegEnds_NonXtal_Prot#'!$A:$AL,22,FALSE)+8,1)</f>
        <v>V</v>
      </c>
      <c r="AE267" s="49" t="str">
        <f>MID(VLOOKUP($A267,Seqs!$A:$B,2,FALSE),VLOOKUP($A267,'SegEnds_NonXtal_Prot#'!$A:$AL,22,FALSE)+9,1)</f>
        <v>P</v>
      </c>
      <c r="AF267" s="49" t="str">
        <f>MID(VLOOKUP($A267,Seqs!$A:$B,2,FALSE),VLOOKUP($A267,'SegEnds_NonXtal_Prot#'!$A:$AL,22,FALSE)+10,1)</f>
        <v>N</v>
      </c>
      <c r="AG267" s="28" t="str">
        <f>MID(VLOOKUP($A267,Seqs!$A:$B,2,FALSE),VLOOKUP($A267,'SegEnds_NonXtal_Prot#'!$A:$AL,28,FALSE)-4,1)</f>
        <v>I</v>
      </c>
      <c r="AH267" s="49" t="str">
        <f>MID(VLOOKUP($A267,Seqs!$A:$B,2,FALSE),VLOOKUP($A267,'SegEnds_NonXtal_Prot#'!$A:$AL,28,FALSE),1)</f>
        <v>V</v>
      </c>
    </row>
    <row r="268" spans="1:34" s="2" customFormat="1" x14ac:dyDescent="0.2">
      <c r="A268" s="2" t="s">
        <v>364</v>
      </c>
      <c r="B268" s="2" t="str">
        <f>LOWER(VLOOKUP(A268,Xtal_Templ!A:B,2,FALSE))</f>
        <v>pe2r4_human</v>
      </c>
      <c r="C268" s="2" t="str">
        <f>VLOOKUP(A268,Classification!A:D,2,FALSE)</f>
        <v>A</v>
      </c>
      <c r="D268" s="2" t="str">
        <f>IF(ISERROR(MATCH(A268,'SegEnds_Xtal_Prot#'!B:B, 0)), "NoXtal", "Xtal")</f>
        <v>Xtal</v>
      </c>
      <c r="G268" s="2" t="s">
        <v>5</v>
      </c>
      <c r="H268" s="4"/>
      <c r="T268" s="4" t="s">
        <v>12</v>
      </c>
      <c r="V268" s="28" t="str">
        <f>MID(VLOOKUP($A268,Seqs!$A:$B,2,FALSE),VLOOKUP($A268,'SegEnds_NonXtal_Prot#'!A:AL,10,FALSE),1)</f>
        <v>D</v>
      </c>
      <c r="W268" s="49" t="str">
        <f>MID(VLOOKUP($A268,Seqs!$A:$B,2,FALSE),VLOOKUP($A268,'SegEnds_NonXtal_Prot#'!A:AL,10,FALSE)+6,1)</f>
        <v>L</v>
      </c>
      <c r="X268" s="49" t="str">
        <f>MID(VLOOKUP($A268,Seqs!$A:$B,2,FALSE),VLOOKUP($A268,'SegEnds_NonXtal_Prot#'!A:AL,10,FALSE)+7,1)</f>
        <v>V</v>
      </c>
      <c r="Y268" s="49" t="str">
        <f>MID(VLOOKUP($A268,Seqs!$A:$B,2,FALSE),VLOOKUP($A268,'SegEnds_NonXtal_Prot#'!A:AL,10,FALSE)+8,1)</f>
        <v>S</v>
      </c>
      <c r="Z268" s="49" t="str">
        <f>MID(VLOOKUP($A268,Seqs!$A:$B,2,FALSE),VLOOKUP($A268,'SegEnds_NonXtal_Prot#'!A:AL,10,FALSE)+9,1)</f>
        <v>P</v>
      </c>
      <c r="AA268" s="49" t="str">
        <f>MID(VLOOKUP($A268,Seqs!$A:$B,2,FALSE),VLOOKUP($A268,'SegEnds_NonXtal_Prot#'!A:AL,10,FALSE)+10,1)</f>
        <v>V</v>
      </c>
      <c r="AB268" s="28" t="str">
        <f>MID(VLOOKUP($A268,Seqs!$A:$B,2,FALSE),VLOOKUP($A268,'SegEnds_NonXtal_Prot#'!$A:$AL,22,FALSE)+6,1)</f>
        <v>F</v>
      </c>
      <c r="AC268" s="49" t="str">
        <f>MID(VLOOKUP($A268,Seqs!$A:$B,2,FALSE),VLOOKUP($A268,'SegEnds_NonXtal_Prot#'!$A:$AL,22,FALSE)+7,1)</f>
        <v>C</v>
      </c>
      <c r="AD268" s="49" t="str">
        <f>MID(VLOOKUP($A268,Seqs!$A:$B,2,FALSE),VLOOKUP($A268,'SegEnds_NonXtal_Prot#'!$A:$AL,22,FALSE)+8,1)</f>
        <v>A</v>
      </c>
      <c r="AE268" s="49" t="str">
        <f>MID(VLOOKUP($A268,Seqs!$A:$B,2,FALSE),VLOOKUP($A268,'SegEnds_NonXtal_Prot#'!$A:$AL,22,FALSE)+9,1)</f>
        <v>L</v>
      </c>
      <c r="AF268" s="49" t="str">
        <f>MID(VLOOKUP($A268,Seqs!$A:$B,2,FALSE),VLOOKUP($A268,'SegEnds_NonXtal_Prot#'!$A:$AL,22,FALSE)+10,1)</f>
        <v>P</v>
      </c>
      <c r="AG268" s="28" t="str">
        <f>MID(VLOOKUP($A268,Seqs!$A:$B,2,FALSE),VLOOKUP($A268,'SegEnds_NonXtal_Prot#'!$A:$AL,28,FALSE)-4,1)</f>
        <v>F</v>
      </c>
      <c r="AH268" s="49" t="str">
        <f>MID(VLOOKUP($A268,Seqs!$A:$B,2,FALSE),VLOOKUP($A268,'SegEnds_NonXtal_Prot#'!$A:$AL,28,FALSE),1)</f>
        <v>L</v>
      </c>
    </row>
    <row r="269" spans="1:34" s="2" customFormat="1" x14ac:dyDescent="0.2">
      <c r="A269" s="2" t="s">
        <v>365</v>
      </c>
      <c r="B269" s="2" t="str">
        <f>LOWER(VLOOKUP(A269,Xtal_Templ!A:B,2,FALSE))</f>
        <v>ta2r_human</v>
      </c>
      <c r="C269" s="2" t="str">
        <f>VLOOKUP(A269,Classification!A:D,2,FALSE)</f>
        <v>A</v>
      </c>
      <c r="D269" s="2" t="str">
        <f>IF(ISERROR(MATCH(A269,'SegEnds_Xtal_Prot#'!B:B, 0)), "NoXtal", "Xtal")</f>
        <v>NoXtal</v>
      </c>
      <c r="H269" s="4"/>
      <c r="T269" s="4" t="s">
        <v>12</v>
      </c>
      <c r="V269" s="28" t="str">
        <f>MID(VLOOKUP($A269,Seqs!$A:$B,2,FALSE),VLOOKUP($A269,'SegEnds_NonXtal_Prot#'!A:AL,10,FALSE),1)</f>
        <v>D</v>
      </c>
      <c r="W269" s="49" t="str">
        <f>MID(VLOOKUP($A269,Seqs!$A:$B,2,FALSE),VLOOKUP($A269,'SegEnds_NonXtal_Prot#'!A:AL,10,FALSE)+6,1)</f>
        <v>I</v>
      </c>
      <c r="X269" s="49" t="str">
        <f>MID(VLOOKUP($A269,Seqs!$A:$B,2,FALSE),VLOOKUP($A269,'SegEnds_NonXtal_Prot#'!A:AL,10,FALSE)+7,1)</f>
        <v>N</v>
      </c>
      <c r="Y269" s="49" t="str">
        <f>MID(VLOOKUP($A269,Seqs!$A:$B,2,FALSE),VLOOKUP($A269,'SegEnds_NonXtal_Prot#'!A:AL,10,FALSE)+8,1)</f>
        <v>G</v>
      </c>
      <c r="Z269" s="49" t="str">
        <f>MID(VLOOKUP($A269,Seqs!$A:$B,2,FALSE),VLOOKUP($A269,'SegEnds_NonXtal_Prot#'!A:AL,10,FALSE)+9,1)</f>
        <v>A</v>
      </c>
      <c r="AA269" s="49" t="str">
        <f>MID(VLOOKUP($A269,Seqs!$A:$B,2,FALSE),VLOOKUP($A269,'SegEnds_NonXtal_Prot#'!A:AL,10,FALSE)+10,1)</f>
        <v>I</v>
      </c>
      <c r="AB269" s="28" t="str">
        <f>MID(VLOOKUP($A269,Seqs!$A:$B,2,FALSE),VLOOKUP($A269,'SegEnds_NonXtal_Prot#'!$A:$AL,22,FALSE)+6,1)</f>
        <v>I</v>
      </c>
      <c r="AC269" s="49" t="str">
        <f>MID(VLOOKUP($A269,Seqs!$A:$B,2,FALSE),VLOOKUP($A269,'SegEnds_NonXtal_Prot#'!$A:$AL,22,FALSE)+7,1)</f>
        <v>A</v>
      </c>
      <c r="AD269" s="49" t="str">
        <f>MID(VLOOKUP($A269,Seqs!$A:$B,2,FALSE),VLOOKUP($A269,'SegEnds_NonXtal_Prot#'!$A:$AL,22,FALSE)+8,1)</f>
        <v>L</v>
      </c>
      <c r="AE269" s="49" t="str">
        <f>MID(VLOOKUP($A269,Seqs!$A:$B,2,FALSE),VLOOKUP($A269,'SegEnds_NonXtal_Prot#'!$A:$AL,22,FALSE)+9,1)</f>
        <v>L</v>
      </c>
      <c r="AF269" s="49" t="str">
        <f>MID(VLOOKUP($A269,Seqs!$A:$B,2,FALSE),VLOOKUP($A269,'SegEnds_NonXtal_Prot#'!$A:$AL,22,FALSE)+10,1)</f>
        <v>P</v>
      </c>
      <c r="AG269" s="28" t="str">
        <f>MID(VLOOKUP($A269,Seqs!$A:$B,2,FALSE),VLOOKUP($A269,'SegEnds_NonXtal_Prot#'!$A:$AL,28,FALSE)-4,1)</f>
        <v>L</v>
      </c>
      <c r="AH269" s="49" t="str">
        <f>MID(VLOOKUP($A269,Seqs!$A:$B,2,FALSE),VLOOKUP($A269,'SegEnds_NonXtal_Prot#'!$A:$AL,28,FALSE),1)</f>
        <v>G</v>
      </c>
    </row>
    <row r="270" spans="1:34" s="2" customFormat="1" x14ac:dyDescent="0.2">
      <c r="A270" s="2" t="s">
        <v>371</v>
      </c>
      <c r="B270" s="2" t="str">
        <f>LOWER(VLOOKUP(A270,Xtal_Templ!A:B,2,FALSE))</f>
        <v>ptafr_human</v>
      </c>
      <c r="C270" s="2" t="str">
        <f>VLOOKUP(A270,Classification!A:D,2,FALSE)</f>
        <v>A</v>
      </c>
      <c r="D270" s="2" t="str">
        <f>IF(ISERROR(MATCH(A270,'SegEnds_Xtal_Prot#'!B:B, 0)), "NoXtal", "Xtal")</f>
        <v>Xtal</v>
      </c>
      <c r="H270" s="4"/>
      <c r="S270" s="2" t="s">
        <v>1328</v>
      </c>
      <c r="T270" s="4" t="s">
        <v>12</v>
      </c>
      <c r="V270" s="28" t="str">
        <f>MID(VLOOKUP($A270,Seqs!$A:$B,2,FALSE),VLOOKUP($A270,'SegEnds_NonXtal_Prot#'!A:AL,10,FALSE),1)</f>
        <v>D</v>
      </c>
      <c r="W270" s="49" t="str">
        <f>MID(VLOOKUP($A270,Seqs!$A:$B,2,FALSE),VLOOKUP($A270,'SegEnds_NonXtal_Prot#'!A:AL,10,FALSE)+6,1)</f>
        <v>T</v>
      </c>
      <c r="X270" s="49" t="str">
        <f>MID(VLOOKUP($A270,Seqs!$A:$B,2,FALSE),VLOOKUP($A270,'SegEnds_NonXtal_Prot#'!A:AL,10,FALSE)+7,1)</f>
        <v>L</v>
      </c>
      <c r="Y270" s="49" t="str">
        <f>MID(VLOOKUP($A270,Seqs!$A:$B,2,FALSE),VLOOKUP($A270,'SegEnds_NonXtal_Prot#'!A:AL,10,FALSE)+8,1)</f>
        <v>P</v>
      </c>
      <c r="Z270" s="49" t="str">
        <f>MID(VLOOKUP($A270,Seqs!$A:$B,2,FALSE),VLOOKUP($A270,'SegEnds_NonXtal_Prot#'!A:AL,10,FALSE)+9,1)</f>
        <v>L</v>
      </c>
      <c r="AA270" s="49" t="str">
        <f>MID(VLOOKUP($A270,Seqs!$A:$B,2,FALSE),VLOOKUP($A270,'SegEnds_NonXtal_Prot#'!A:AL,10,FALSE)+10,1)</f>
        <v>W</v>
      </c>
      <c r="AB270" s="28" t="str">
        <f>MID(VLOOKUP($A270,Seqs!$A:$B,2,FALSE),VLOOKUP($A270,'SegEnds_NonXtal_Prot#'!$A:$AL,22,FALSE)+6,1)</f>
        <v>A</v>
      </c>
      <c r="AC270" s="49" t="str">
        <f>MID(VLOOKUP($A270,Seqs!$A:$B,2,FALSE),VLOOKUP($A270,'SegEnds_NonXtal_Prot#'!$A:$AL,22,FALSE)+7,1)</f>
        <v>A</v>
      </c>
      <c r="AD270" s="49" t="str">
        <f>MID(VLOOKUP($A270,Seqs!$A:$B,2,FALSE),VLOOKUP($A270,'SegEnds_NonXtal_Prot#'!$A:$AL,22,FALSE)+8,1)</f>
        <v>S</v>
      </c>
      <c r="AE270" s="49" t="str">
        <f>MID(VLOOKUP($A270,Seqs!$A:$B,2,FALSE),VLOOKUP($A270,'SegEnds_NonXtal_Prot#'!$A:$AL,22,FALSE)+9,1)</f>
        <v>Y</v>
      </c>
      <c r="AF270" s="49" t="str">
        <f>MID(VLOOKUP($A270,Seqs!$A:$B,2,FALSE),VLOOKUP($A270,'SegEnds_NonXtal_Prot#'!$A:$AL,22,FALSE)+10,1)</f>
        <v>F</v>
      </c>
      <c r="AG270" s="28" t="str">
        <f>MID(VLOOKUP($A270,Seqs!$A:$B,2,FALSE),VLOOKUP($A270,'SegEnds_NonXtal_Prot#'!$A:$AL,28,FALSE)-4,1)</f>
        <v>S</v>
      </c>
      <c r="AH270" s="49" t="str">
        <f>MID(VLOOKUP($A270,Seqs!$A:$B,2,FALSE),VLOOKUP($A270,'SegEnds_NonXtal_Prot#'!$A:$AL,28,FALSE),1)</f>
        <v>V</v>
      </c>
    </row>
    <row r="271" spans="1:34" s="2" customFormat="1" x14ac:dyDescent="0.2">
      <c r="A271" s="2" t="s">
        <v>199</v>
      </c>
      <c r="B271" s="2" t="str">
        <f>LOWER(VLOOKUP(A271,Xtal_Templ!A:B,2,FALSE))</f>
        <v>par1_human</v>
      </c>
      <c r="C271" s="2" t="str">
        <f>VLOOKUP(A271,Classification!A:D,2,FALSE)</f>
        <v>A</v>
      </c>
      <c r="D271" s="2" t="str">
        <f>IF(ISERROR(MATCH(A271,'SegEnds_Xtal_Prot#'!B:B, 0)), "NoXtal", "Xtal")</f>
        <v>NoXtal</v>
      </c>
      <c r="H271" s="4"/>
      <c r="R271" s="2" t="s">
        <v>9</v>
      </c>
      <c r="S271" s="2" t="s">
        <v>1328</v>
      </c>
      <c r="T271" s="4" t="s">
        <v>12</v>
      </c>
      <c r="V271" s="28" t="str">
        <f>MID(VLOOKUP($A271,Seqs!$A:$B,2,FALSE),VLOOKUP($A271,'SegEnds_NonXtal_Prot#'!A:AL,10,FALSE),1)</f>
        <v>D</v>
      </c>
      <c r="W271" s="49" t="str">
        <f>MID(VLOOKUP($A271,Seqs!$A:$B,2,FALSE),VLOOKUP($A271,'SegEnds_NonXtal_Prot#'!A:AL,10,FALSE)+6,1)</f>
        <v>F</v>
      </c>
      <c r="X271" s="49" t="str">
        <f>MID(VLOOKUP($A271,Seqs!$A:$B,2,FALSE),VLOOKUP($A271,'SegEnds_NonXtal_Prot#'!A:AL,10,FALSE)+7,1)</f>
        <v>L</v>
      </c>
      <c r="Y271" s="49" t="str">
        <f>MID(VLOOKUP($A271,Seqs!$A:$B,2,FALSE),VLOOKUP($A271,'SegEnds_NonXtal_Prot#'!A:AL,10,FALSE)+8,1)</f>
        <v>P</v>
      </c>
      <c r="Z271" s="49" t="str">
        <f>MID(VLOOKUP($A271,Seqs!$A:$B,2,FALSE),VLOOKUP($A271,'SegEnds_NonXtal_Prot#'!A:AL,10,FALSE)+9,1)</f>
        <v>F</v>
      </c>
      <c r="AA271" s="49" t="str">
        <f>MID(VLOOKUP($A271,Seqs!$A:$B,2,FALSE),VLOOKUP($A271,'SegEnds_NonXtal_Prot#'!A:AL,10,FALSE)+10,1)</f>
        <v>R</v>
      </c>
      <c r="AB271" s="28" t="str">
        <f>MID(VLOOKUP($A271,Seqs!$A:$B,2,FALSE),VLOOKUP($A271,'SegEnds_NonXtal_Prot#'!$A:$AL,22,FALSE)+6,1)</f>
        <v>H</v>
      </c>
      <c r="AC271" s="49" t="str">
        <f>MID(VLOOKUP($A271,Seqs!$A:$B,2,FALSE),VLOOKUP($A271,'SegEnds_NonXtal_Prot#'!$A:$AL,22,FALSE)+7,1)</f>
        <v>C</v>
      </c>
      <c r="AD271" s="49" t="str">
        <f>MID(VLOOKUP($A271,Seqs!$A:$B,2,FALSE),VLOOKUP($A271,'SegEnds_NonXtal_Prot#'!$A:$AL,22,FALSE)+8,1)</f>
        <v>S</v>
      </c>
      <c r="AE271" s="49" t="str">
        <f>MID(VLOOKUP($A271,Seqs!$A:$B,2,FALSE),VLOOKUP($A271,'SegEnds_NonXtal_Prot#'!$A:$AL,22,FALSE)+9,1)</f>
        <v>V</v>
      </c>
      <c r="AF271" s="49" t="str">
        <f>MID(VLOOKUP($A271,Seqs!$A:$B,2,FALSE),VLOOKUP($A271,'SegEnds_NonXtal_Prot#'!$A:$AL,22,FALSE)+10,1)</f>
        <v>V</v>
      </c>
      <c r="AG271" s="28" t="str">
        <f>MID(VLOOKUP($A271,Seqs!$A:$B,2,FALSE),VLOOKUP($A271,'SegEnds_NonXtal_Prot#'!$A:$AL,28,FALSE)-4,1)</f>
        <v>L</v>
      </c>
      <c r="AH271" s="49" t="str">
        <f>MID(VLOOKUP($A271,Seqs!$A:$B,2,FALSE),VLOOKUP($A271,'SegEnds_NonXtal_Prot#'!$A:$AL,28,FALSE),1)</f>
        <v>P</v>
      </c>
    </row>
    <row r="272" spans="1:34" s="2" customFormat="1" x14ac:dyDescent="0.2">
      <c r="A272" s="2" t="s">
        <v>243</v>
      </c>
      <c r="B272" s="2" t="str">
        <f>LOWER(VLOOKUP(A272,Xtal_Templ!A:B,2,FALSE))</f>
        <v>oprk_human</v>
      </c>
      <c r="C272" s="2" t="str">
        <f>VLOOKUP(A272,Classification!A:D,2,FALSE)</f>
        <v>A</v>
      </c>
      <c r="D272" s="2" t="str">
        <f>IF(ISERROR(MATCH(A272,'SegEnds_Xtal_Prot#'!B:B, 0)), "NoXtal", "Xtal")</f>
        <v>NoXtal</v>
      </c>
      <c r="H272" s="4"/>
      <c r="R272" s="2" t="s">
        <v>9</v>
      </c>
      <c r="T272" s="4" t="s">
        <v>12</v>
      </c>
      <c r="V272" s="28" t="str">
        <f>MID(VLOOKUP($A272,Seqs!$A:$B,2,FALSE),VLOOKUP($A272,'SegEnds_NonXtal_Prot#'!A:AL,10,FALSE),1)</f>
        <v>D</v>
      </c>
      <c r="W272" s="49" t="str">
        <f>MID(VLOOKUP($A272,Seqs!$A:$B,2,FALSE),VLOOKUP($A272,'SegEnds_NonXtal_Prot#'!A:AL,10,FALSE)+6,1)</f>
        <v>S</v>
      </c>
      <c r="X272" s="49" t="str">
        <f>MID(VLOOKUP($A272,Seqs!$A:$B,2,FALSE),VLOOKUP($A272,'SegEnds_NonXtal_Prot#'!A:AL,10,FALSE)+7,1)</f>
        <v>L</v>
      </c>
      <c r="Y272" s="49" t="str">
        <f>MID(VLOOKUP($A272,Seqs!$A:$B,2,FALSE),VLOOKUP($A272,'SegEnds_NonXtal_Prot#'!A:AL,10,FALSE)+8,1)</f>
        <v>P</v>
      </c>
      <c r="Z272" s="49" t="str">
        <f>MID(VLOOKUP($A272,Seqs!$A:$B,2,FALSE),VLOOKUP($A272,'SegEnds_NonXtal_Prot#'!A:AL,10,FALSE)+9,1)</f>
        <v>T</v>
      </c>
      <c r="AA272" s="49" t="str">
        <f>MID(VLOOKUP($A272,Seqs!$A:$B,2,FALSE),VLOOKUP($A272,'SegEnds_NonXtal_Prot#'!A:AL,10,FALSE)+10,1)</f>
        <v>R</v>
      </c>
      <c r="AB272" s="28" t="str">
        <f>MID(VLOOKUP($A272,Seqs!$A:$B,2,FALSE),VLOOKUP($A272,'SegEnds_NonXtal_Prot#'!$A:$AL,22,FALSE)+6,1)</f>
        <v>V</v>
      </c>
      <c r="AC272" s="49" t="str">
        <f>MID(VLOOKUP($A272,Seqs!$A:$B,2,FALSE),VLOOKUP($A272,'SegEnds_NonXtal_Prot#'!$A:$AL,22,FALSE)+7,1)</f>
        <v>T</v>
      </c>
      <c r="AD272" s="49" t="str">
        <f>MID(VLOOKUP($A272,Seqs!$A:$B,2,FALSE),VLOOKUP($A272,'SegEnds_NonXtal_Prot#'!$A:$AL,22,FALSE)+8,1)</f>
        <v>L</v>
      </c>
      <c r="AE272" s="49" t="str">
        <f>MID(VLOOKUP($A272,Seqs!$A:$B,2,FALSE),VLOOKUP($A272,'SegEnds_NonXtal_Prot#'!$A:$AL,22,FALSE)+9,1)</f>
        <v>S</v>
      </c>
      <c r="AF272" s="49" t="str">
        <f>MID(VLOOKUP($A272,Seqs!$A:$B,2,FALSE),VLOOKUP($A272,'SegEnds_NonXtal_Prot#'!$A:$AL,22,FALSE)+10,1)</f>
        <v>V</v>
      </c>
      <c r="AG272" s="28" t="str">
        <f>MID(VLOOKUP($A272,Seqs!$A:$B,2,FALSE),VLOOKUP($A272,'SegEnds_NonXtal_Prot#'!$A:$AL,28,FALSE)-4,1)</f>
        <v>E</v>
      </c>
      <c r="AH272" s="49" t="str">
        <f>MID(VLOOKUP($A272,Seqs!$A:$B,2,FALSE),VLOOKUP($A272,'SegEnds_NonXtal_Prot#'!$A:$AL,28,FALSE),1)</f>
        <v>P</v>
      </c>
    </row>
    <row r="273" spans="1:34" s="2" customFormat="1" x14ac:dyDescent="0.2">
      <c r="A273" s="2" t="s">
        <v>254</v>
      </c>
      <c r="B273" s="2" t="str">
        <f>LOWER(VLOOKUP(A273,Xtal_Templ!A:B,2,FALSE))</f>
        <v>ccr2_human</v>
      </c>
      <c r="C273" s="2" t="str">
        <f>VLOOKUP(A273,Classification!A:D,2,FALSE)</f>
        <v>A</v>
      </c>
      <c r="D273" s="2" t="str">
        <f>IF(ISERROR(MATCH(A273,'SegEnds_Xtal_Prot#'!B:B, 0)), "NoXtal", "Xtal")</f>
        <v>NoXtal</v>
      </c>
      <c r="H273" s="4"/>
      <c r="R273" s="2" t="s">
        <v>9</v>
      </c>
      <c r="T273" s="4" t="s">
        <v>12</v>
      </c>
      <c r="V273" s="28" t="str">
        <f>MID(VLOOKUP($A273,Seqs!$A:$B,2,FALSE),VLOOKUP($A273,'SegEnds_NonXtal_Prot#'!A:AL,10,FALSE),1)</f>
        <v>D</v>
      </c>
      <c r="W273" s="49" t="str">
        <f>MID(VLOOKUP($A273,Seqs!$A:$B,2,FALSE),VLOOKUP($A273,'SegEnds_NonXtal_Prot#'!A:AL,10,FALSE)+6,1)</f>
        <v>T</v>
      </c>
      <c r="X273" s="49" t="str">
        <f>MID(VLOOKUP($A273,Seqs!$A:$B,2,FALSE),VLOOKUP($A273,'SegEnds_NonXtal_Prot#'!A:AL,10,FALSE)+7,1)</f>
        <v>L</v>
      </c>
      <c r="Y273" s="49" t="str">
        <f>MID(VLOOKUP($A273,Seqs!$A:$B,2,FALSE),VLOOKUP($A273,'SegEnds_NonXtal_Prot#'!A:AL,10,FALSE)+8,1)</f>
        <v>P</v>
      </c>
      <c r="Z273" s="49" t="str">
        <f>MID(VLOOKUP($A273,Seqs!$A:$B,2,FALSE),VLOOKUP($A273,'SegEnds_NonXtal_Prot#'!A:AL,10,FALSE)+9,1)</f>
        <v>F</v>
      </c>
      <c r="AA273" s="49" t="str">
        <f>MID(VLOOKUP($A273,Seqs!$A:$B,2,FALSE),VLOOKUP($A273,'SegEnds_NonXtal_Prot#'!A:AL,10,FALSE)+10,1)</f>
        <v>V</v>
      </c>
      <c r="AB273" s="28" t="str">
        <f>MID(VLOOKUP($A273,Seqs!$A:$B,2,FALSE),VLOOKUP($A273,'SegEnds_NonXtal_Prot#'!$A:$AL,22,FALSE)+6,1)</f>
        <v>S</v>
      </c>
      <c r="AC273" s="49" t="str">
        <f>MID(VLOOKUP($A273,Seqs!$A:$B,2,FALSE),VLOOKUP($A273,'SegEnds_NonXtal_Prot#'!$A:$AL,22,FALSE)+7,1)</f>
        <v>L</v>
      </c>
      <c r="AD273" s="49" t="str">
        <f>MID(VLOOKUP($A273,Seqs!$A:$B,2,FALSE),VLOOKUP($A273,'SegEnds_NonXtal_Prot#'!$A:$AL,22,FALSE)+8,1)</f>
        <v>V</v>
      </c>
      <c r="AE273" s="49" t="str">
        <f>MID(VLOOKUP($A273,Seqs!$A:$B,2,FALSE),VLOOKUP($A273,'SegEnds_NonXtal_Prot#'!$A:$AL,22,FALSE)+9,1)</f>
        <v>A</v>
      </c>
      <c r="AF273" s="49" t="str">
        <f>MID(VLOOKUP($A273,Seqs!$A:$B,2,FALSE),VLOOKUP($A273,'SegEnds_NonXtal_Prot#'!$A:$AL,22,FALSE)+10,1)</f>
        <v>R</v>
      </c>
      <c r="AG273" s="28" t="str">
        <f>MID(VLOOKUP($A273,Seqs!$A:$B,2,FALSE),VLOOKUP($A273,'SegEnds_NonXtal_Prot#'!$A:$AL,28,FALSE)-4,1)</f>
        <v>G</v>
      </c>
      <c r="AH273" s="49" t="str">
        <f>MID(VLOOKUP($A273,Seqs!$A:$B,2,FALSE),VLOOKUP($A273,'SegEnds_NonXtal_Prot#'!$A:$AL,28,FALSE),1)</f>
        <v>P</v>
      </c>
    </row>
    <row r="274" spans="1:34" s="2" customFormat="1" x14ac:dyDescent="0.2">
      <c r="A274" s="2" t="s">
        <v>258</v>
      </c>
      <c r="B274" s="2" t="str">
        <f>LOWER(VLOOKUP(A274,Xtal_Templ!A:B,2,FALSE))</f>
        <v>par1_human</v>
      </c>
      <c r="C274" s="2" t="str">
        <f>VLOOKUP(A274,Classification!A:D,2,FALSE)</f>
        <v>A</v>
      </c>
      <c r="D274" s="2" t="str">
        <f>IF(ISERROR(MATCH(A274,'SegEnds_Xtal_Prot#'!B:B, 0)), "NoXtal", "Xtal")</f>
        <v>NoXtal</v>
      </c>
      <c r="H274" s="4"/>
      <c r="R274" s="2" t="s">
        <v>9</v>
      </c>
      <c r="S274" s="2" t="s">
        <v>1328</v>
      </c>
      <c r="T274" s="4" t="s">
        <v>12</v>
      </c>
      <c r="V274" s="28" t="str">
        <f>MID(VLOOKUP($A274,Seqs!$A:$B,2,FALSE),VLOOKUP($A274,'SegEnds_NonXtal_Prot#'!A:AL,10,FALSE),1)</f>
        <v>D</v>
      </c>
      <c r="W274" s="49" t="str">
        <f>MID(VLOOKUP($A274,Seqs!$A:$B,2,FALSE),VLOOKUP($A274,'SegEnds_NonXtal_Prot#'!A:AL,10,FALSE)+6,1)</f>
        <v>F</v>
      </c>
      <c r="X274" s="49" t="str">
        <f>MID(VLOOKUP($A274,Seqs!$A:$B,2,FALSE),VLOOKUP($A274,'SegEnds_NonXtal_Prot#'!A:AL,10,FALSE)+7,1)</f>
        <v>L</v>
      </c>
      <c r="Y274" s="49" t="str">
        <f>MID(VLOOKUP($A274,Seqs!$A:$B,2,FALSE),VLOOKUP($A274,'SegEnds_NonXtal_Prot#'!A:AL,10,FALSE)+8,1)</f>
        <v>P</v>
      </c>
      <c r="Z274" s="49" t="str">
        <f>MID(VLOOKUP($A274,Seqs!$A:$B,2,FALSE),VLOOKUP($A274,'SegEnds_NonXtal_Prot#'!A:AL,10,FALSE)+9,1)</f>
        <v>F</v>
      </c>
      <c r="AA274" s="49" t="str">
        <f>MID(VLOOKUP($A274,Seqs!$A:$B,2,FALSE),VLOOKUP($A274,'SegEnds_NonXtal_Prot#'!A:AL,10,FALSE)+10,1)</f>
        <v>R</v>
      </c>
      <c r="AB274" s="28" t="str">
        <f>MID(VLOOKUP($A274,Seqs!$A:$B,2,FALSE),VLOOKUP($A274,'SegEnds_NonXtal_Prot#'!$A:$AL,22,FALSE)+6,1)</f>
        <v>H</v>
      </c>
      <c r="AC274" s="49" t="str">
        <f>MID(VLOOKUP($A274,Seqs!$A:$B,2,FALSE),VLOOKUP($A274,'SegEnds_NonXtal_Prot#'!$A:$AL,22,FALSE)+7,1)</f>
        <v>C</v>
      </c>
      <c r="AD274" s="49" t="str">
        <f>MID(VLOOKUP($A274,Seqs!$A:$B,2,FALSE),VLOOKUP($A274,'SegEnds_NonXtal_Prot#'!$A:$AL,22,FALSE)+8,1)</f>
        <v>S</v>
      </c>
      <c r="AE274" s="49" t="str">
        <f>MID(VLOOKUP($A274,Seqs!$A:$B,2,FALSE),VLOOKUP($A274,'SegEnds_NonXtal_Prot#'!$A:$AL,22,FALSE)+9,1)</f>
        <v>V</v>
      </c>
      <c r="AF274" s="49" t="str">
        <f>MID(VLOOKUP($A274,Seqs!$A:$B,2,FALSE),VLOOKUP($A274,'SegEnds_NonXtal_Prot#'!$A:$AL,22,FALSE)+10,1)</f>
        <v>V</v>
      </c>
      <c r="AG274" s="28" t="str">
        <f>MID(VLOOKUP($A274,Seqs!$A:$B,2,FALSE),VLOOKUP($A274,'SegEnds_NonXtal_Prot#'!$A:$AL,28,FALSE)-4,1)</f>
        <v>L</v>
      </c>
      <c r="AH274" s="49" t="str">
        <f>MID(VLOOKUP($A274,Seqs!$A:$B,2,FALSE),VLOOKUP($A274,'SegEnds_NonXtal_Prot#'!$A:$AL,28,FALSE),1)</f>
        <v>P</v>
      </c>
    </row>
    <row r="275" spans="1:34" s="2" customFormat="1" x14ac:dyDescent="0.2">
      <c r="A275" s="2" t="s">
        <v>261</v>
      </c>
      <c r="B275" s="2" t="str">
        <f>LOWER(VLOOKUP(A275,Xtal_Templ!A:B,2,FALSE))</f>
        <v>oprk_human</v>
      </c>
      <c r="C275" s="2" t="str">
        <f>VLOOKUP(A275,Classification!A:D,2,FALSE)</f>
        <v>A</v>
      </c>
      <c r="D275" s="2" t="str">
        <f>IF(ISERROR(MATCH(A275,'SegEnds_Xtal_Prot#'!B:B, 0)), "NoXtal", "Xtal")</f>
        <v>NoXtal</v>
      </c>
      <c r="H275" s="4"/>
      <c r="N275" s="2" t="s">
        <v>14</v>
      </c>
      <c r="R275" s="2" t="s">
        <v>9</v>
      </c>
      <c r="T275" s="4" t="s">
        <v>12</v>
      </c>
      <c r="V275" s="28" t="str">
        <f>MID(VLOOKUP($A275,Seqs!$A:$B,2,FALSE),VLOOKUP($A275,'SegEnds_NonXtal_Prot#'!A:AL,10,FALSE),1)</f>
        <v>D</v>
      </c>
      <c r="W275" s="49" t="str">
        <f>MID(VLOOKUP($A275,Seqs!$A:$B,2,FALSE),VLOOKUP($A275,'SegEnds_NonXtal_Prot#'!A:AL,10,FALSE)+6,1)</f>
        <v>S</v>
      </c>
      <c r="X275" s="49" t="str">
        <f>MID(VLOOKUP($A275,Seqs!$A:$B,2,FALSE),VLOOKUP($A275,'SegEnds_NonXtal_Prot#'!A:AL,10,FALSE)+7,1)</f>
        <v>L</v>
      </c>
      <c r="Y275" s="49" t="str">
        <f>MID(VLOOKUP($A275,Seqs!$A:$B,2,FALSE),VLOOKUP($A275,'SegEnds_NonXtal_Prot#'!A:AL,10,FALSE)+8,1)</f>
        <v>P</v>
      </c>
      <c r="Z275" s="49" t="str">
        <f>MID(VLOOKUP($A275,Seqs!$A:$B,2,FALSE),VLOOKUP($A275,'SegEnds_NonXtal_Prot#'!A:AL,10,FALSE)+9,1)</f>
        <v>F</v>
      </c>
      <c r="AA275" s="49" t="str">
        <f>MID(VLOOKUP($A275,Seqs!$A:$B,2,FALSE),VLOOKUP($A275,'SegEnds_NonXtal_Prot#'!A:AL,10,FALSE)+10,1)</f>
        <v>K</v>
      </c>
      <c r="AB275" s="28" t="str">
        <f>MID(VLOOKUP($A275,Seqs!$A:$B,2,FALSE),VLOOKUP($A275,'SegEnds_NonXtal_Prot#'!$A:$AL,22,FALSE)+6,1)</f>
        <v>G</v>
      </c>
      <c r="AC275" s="49" t="str">
        <f>MID(VLOOKUP($A275,Seqs!$A:$B,2,FALSE),VLOOKUP($A275,'SegEnds_NonXtal_Prot#'!$A:$AL,22,FALSE)+7,1)</f>
        <v>S</v>
      </c>
      <c r="AD275" s="49" t="str">
        <f>MID(VLOOKUP($A275,Seqs!$A:$B,2,FALSE),VLOOKUP($A275,'SegEnds_NonXtal_Prot#'!$A:$AL,22,FALSE)+8,1)</f>
        <v>I</v>
      </c>
      <c r="AE275" s="49" t="str">
        <f>MID(VLOOKUP($A275,Seqs!$A:$B,2,FALSE),VLOOKUP($A275,'SegEnds_NonXtal_Prot#'!$A:$AL,22,FALSE)+9,1)</f>
        <v>P</v>
      </c>
      <c r="AF275" s="49" t="str">
        <f>MID(VLOOKUP($A275,Seqs!$A:$B,2,FALSE),VLOOKUP($A275,'SegEnds_NonXtal_Prot#'!$A:$AL,22,FALSE)+10,1)</f>
        <v>I</v>
      </c>
      <c r="AG275" s="28" t="str">
        <f>MID(VLOOKUP($A275,Seqs!$A:$B,2,FALSE),VLOOKUP($A275,'SegEnds_NonXtal_Prot#'!$A:$AL,28,FALSE)-4,1)</f>
        <v>G</v>
      </c>
      <c r="AH275" s="49" t="str">
        <f>MID(VLOOKUP($A275,Seqs!$A:$B,2,FALSE),VLOOKUP($A275,'SegEnds_NonXtal_Prot#'!$A:$AL,28,FALSE),1)</f>
        <v>P</v>
      </c>
    </row>
    <row r="276" spans="1:34" s="2" customFormat="1" x14ac:dyDescent="0.2">
      <c r="A276" s="2" t="s">
        <v>302</v>
      </c>
      <c r="B276" s="2" t="str">
        <f>LOWER(VLOOKUP(A276,Xtal_Templ!A:B,2,FALSE))</f>
        <v>cxcr4_human</v>
      </c>
      <c r="C276" s="2" t="str">
        <f>VLOOKUP(A276,Classification!A:D,2,FALSE)</f>
        <v>A</v>
      </c>
      <c r="D276" s="2" t="str">
        <f>IF(ISERROR(MATCH(A276,'SegEnds_Xtal_Prot#'!B:B, 0)), "NoXtal", "Xtal")</f>
        <v>NoXtal</v>
      </c>
      <c r="H276" s="4"/>
      <c r="T276" s="4" t="s">
        <v>12</v>
      </c>
      <c r="V276" s="28" t="str">
        <f>MID(VLOOKUP($A276,Seqs!$A:$B,2,FALSE),VLOOKUP($A276,'SegEnds_NonXtal_Prot#'!A:AL,10,FALSE),1)</f>
        <v>D</v>
      </c>
      <c r="W276" s="49" t="str">
        <f>MID(VLOOKUP($A276,Seqs!$A:$B,2,FALSE),VLOOKUP($A276,'SegEnds_NonXtal_Prot#'!A:AL,10,FALSE)+6,1)</f>
        <v>C</v>
      </c>
      <c r="X276" s="49" t="str">
        <f>MID(VLOOKUP($A276,Seqs!$A:$B,2,FALSE),VLOOKUP($A276,'SegEnds_NonXtal_Prot#'!A:AL,10,FALSE)+7,1)</f>
        <v>H</v>
      </c>
      <c r="Y276" s="49" t="str">
        <f>MID(VLOOKUP($A276,Seqs!$A:$B,2,FALSE),VLOOKUP($A276,'SegEnds_NonXtal_Prot#'!A:AL,10,FALSE)+8,1)</f>
        <v>M</v>
      </c>
      <c r="Z276" s="49" t="str">
        <f>MID(VLOOKUP($A276,Seqs!$A:$B,2,FALSE),VLOOKUP($A276,'SegEnds_NonXtal_Prot#'!A:AL,10,FALSE)+9,1)</f>
        <v>V</v>
      </c>
      <c r="AA276" s="49" t="str">
        <f>MID(VLOOKUP($A276,Seqs!$A:$B,2,FALSE),VLOOKUP($A276,'SegEnds_NonXtal_Prot#'!A:AL,10,FALSE)+10,1)</f>
        <v>A</v>
      </c>
      <c r="AB276" s="28" t="str">
        <f>MID(VLOOKUP($A276,Seqs!$A:$B,2,FALSE),VLOOKUP($A276,'SegEnds_NonXtal_Prot#'!$A:$AL,22,FALSE)+6,1)</f>
        <v>L</v>
      </c>
      <c r="AC276" s="49" t="str">
        <f>MID(VLOOKUP($A276,Seqs!$A:$B,2,FALSE),VLOOKUP($A276,'SegEnds_NonXtal_Prot#'!$A:$AL,22,FALSE)+7,1)</f>
        <v>H</v>
      </c>
      <c r="AD276" s="49" t="str">
        <f>MID(VLOOKUP($A276,Seqs!$A:$B,2,FALSE),VLOOKUP($A276,'SegEnds_NonXtal_Prot#'!$A:$AL,22,FALSE)+8,1)</f>
        <v>L</v>
      </c>
      <c r="AE276" s="49" t="str">
        <f>MID(VLOOKUP($A276,Seqs!$A:$B,2,FALSE),VLOOKUP($A276,'SegEnds_NonXtal_Prot#'!$A:$AL,22,FALSE)+9,1)</f>
        <v>L</v>
      </c>
      <c r="AF276" s="49" t="str">
        <f>MID(VLOOKUP($A276,Seqs!$A:$B,2,FALSE),VLOOKUP($A276,'SegEnds_NonXtal_Prot#'!$A:$AL,22,FALSE)+10,1)</f>
        <v>L</v>
      </c>
      <c r="AG276" s="28" t="str">
        <f>MID(VLOOKUP($A276,Seqs!$A:$B,2,FALSE),VLOOKUP($A276,'SegEnds_NonXtal_Prot#'!$A:$AL,28,FALSE)-4,1)</f>
        <v>A</v>
      </c>
      <c r="AH276" s="49" t="str">
        <f>MID(VLOOKUP($A276,Seqs!$A:$B,2,FALSE),VLOOKUP($A276,'SegEnds_NonXtal_Prot#'!$A:$AL,28,FALSE),1)</f>
        <v>C</v>
      </c>
    </row>
    <row r="277" spans="1:34" s="2" customFormat="1" x14ac:dyDescent="0.2">
      <c r="A277" s="2" t="s">
        <v>349</v>
      </c>
      <c r="B277" s="2" t="str">
        <f>LOWER(VLOOKUP(A277,Xtal_Templ!A:B,2,FALSE))</f>
        <v>par2_human</v>
      </c>
      <c r="C277" s="2" t="str">
        <f>VLOOKUP(A277,Classification!A:D,2,FALSE)</f>
        <v>A</v>
      </c>
      <c r="D277" s="2" t="str">
        <f>IF(ISERROR(MATCH(A277,'SegEnds_Xtal_Prot#'!B:B, 0)), "NoXtal", "Xtal")</f>
        <v>NoXtal</v>
      </c>
      <c r="H277" s="4"/>
      <c r="R277" s="2" t="s">
        <v>9</v>
      </c>
      <c r="S277" s="2" t="s">
        <v>1328</v>
      </c>
      <c r="T277" s="4" t="s">
        <v>12</v>
      </c>
      <c r="V277" s="28" t="str">
        <f>MID(VLOOKUP($A277,Seqs!$A:$B,2,FALSE),VLOOKUP($A277,'SegEnds_NonXtal_Prot#'!A:AL,10,FALSE),1)</f>
        <v>D</v>
      </c>
      <c r="W277" s="49" t="str">
        <f>MID(VLOOKUP($A277,Seqs!$A:$B,2,FALSE),VLOOKUP($A277,'SegEnds_NonXtal_Prot#'!A:AL,10,FALSE)+6,1)</f>
        <v>V</v>
      </c>
      <c r="X277" s="49" t="str">
        <f>MID(VLOOKUP($A277,Seqs!$A:$B,2,FALSE),VLOOKUP($A277,'SegEnds_NonXtal_Prot#'!A:AL,10,FALSE)+7,1)</f>
        <v>L</v>
      </c>
      <c r="Y277" s="49" t="str">
        <f>MID(VLOOKUP($A277,Seqs!$A:$B,2,FALSE),VLOOKUP($A277,'SegEnds_NonXtal_Prot#'!A:AL,10,FALSE)+8,1)</f>
        <v>P</v>
      </c>
      <c r="Z277" s="49" t="str">
        <f>MID(VLOOKUP($A277,Seqs!$A:$B,2,FALSE),VLOOKUP($A277,'SegEnds_NonXtal_Prot#'!A:AL,10,FALSE)+9,1)</f>
        <v>F</v>
      </c>
      <c r="AA277" s="49" t="str">
        <f>MID(VLOOKUP($A277,Seqs!$A:$B,2,FALSE),VLOOKUP($A277,'SegEnds_NonXtal_Prot#'!A:AL,10,FALSE)+10,1)</f>
        <v>Q</v>
      </c>
      <c r="AB277" s="28" t="str">
        <f>MID(VLOOKUP($A277,Seqs!$A:$B,2,FALSE),VLOOKUP($A277,'SegEnds_NonXtal_Prot#'!$A:$AL,22,FALSE)+6,1)</f>
        <v>A</v>
      </c>
      <c r="AC277" s="49" t="str">
        <f>MID(VLOOKUP($A277,Seqs!$A:$B,2,FALSE),VLOOKUP($A277,'SegEnds_NonXtal_Prot#'!$A:$AL,22,FALSE)+7,1)</f>
        <v>L</v>
      </c>
      <c r="AD277" s="49" t="str">
        <f>MID(VLOOKUP($A277,Seqs!$A:$B,2,FALSE),VLOOKUP($A277,'SegEnds_NonXtal_Prot#'!$A:$AL,22,FALSE)+8,1)</f>
        <v>S</v>
      </c>
      <c r="AE277" s="49" t="str">
        <f>MID(VLOOKUP($A277,Seqs!$A:$B,2,FALSE),VLOOKUP($A277,'SegEnds_NonXtal_Prot#'!$A:$AL,22,FALSE)+9,1)</f>
        <v>P</v>
      </c>
      <c r="AF277" s="49" t="str">
        <f>MID(VLOOKUP($A277,Seqs!$A:$B,2,FALSE),VLOOKUP($A277,'SegEnds_NonXtal_Prot#'!$A:$AL,22,FALSE)+10,1)</f>
        <v>L</v>
      </c>
      <c r="AG277" s="28" t="str">
        <f>MID(VLOOKUP($A277,Seqs!$A:$B,2,FALSE),VLOOKUP($A277,'SegEnds_NonXtal_Prot#'!$A:$AL,28,FALSE)-4,1)</f>
        <v>L</v>
      </c>
      <c r="AH277" s="49" t="str">
        <f>MID(VLOOKUP($A277,Seqs!$A:$B,2,FALSE),VLOOKUP($A277,'SegEnds_NonXtal_Prot#'!$A:$AL,28,FALSE),1)</f>
        <v>P</v>
      </c>
    </row>
    <row r="278" spans="1:34" s="2" customFormat="1" x14ac:dyDescent="0.2">
      <c r="A278" s="2" t="s">
        <v>355</v>
      </c>
      <c r="B278" s="2" t="str">
        <f>LOWER(VLOOKUP(A278,Xtal_Templ!A:B,2,FALSE))</f>
        <v>par1_human</v>
      </c>
      <c r="C278" s="2" t="str">
        <f>VLOOKUP(A278,Classification!A:D,2,FALSE)</f>
        <v>A</v>
      </c>
      <c r="D278" s="2" t="str">
        <f>IF(ISERROR(MATCH(A278,'SegEnds_Xtal_Prot#'!B:B, 0)), "NoXtal", "Xtal")</f>
        <v>Xtal</v>
      </c>
      <c r="H278" s="4"/>
      <c r="N278" s="2" t="s">
        <v>14</v>
      </c>
      <c r="S278" s="2" t="s">
        <v>1328</v>
      </c>
      <c r="T278" s="4" t="s">
        <v>12</v>
      </c>
      <c r="V278" s="28" t="str">
        <f>MID(VLOOKUP($A278,Seqs!$A:$B,2,FALSE),VLOOKUP($A278,'SegEnds_NonXtal_Prot#'!A:AL,10,FALSE),1)</f>
        <v>D</v>
      </c>
      <c r="W278" s="49" t="str">
        <f>MID(VLOOKUP($A278,Seqs!$A:$B,2,FALSE),VLOOKUP($A278,'SegEnds_NonXtal_Prot#'!A:AL,10,FALSE)+6,1)</f>
        <v>V</v>
      </c>
      <c r="X278" s="49" t="str">
        <f>MID(VLOOKUP($A278,Seqs!$A:$B,2,FALSE),VLOOKUP($A278,'SegEnds_NonXtal_Prot#'!A:AL,10,FALSE)+7,1)</f>
        <v>L</v>
      </c>
      <c r="Y278" s="49" t="str">
        <f>MID(VLOOKUP($A278,Seqs!$A:$B,2,FALSE),VLOOKUP($A278,'SegEnds_NonXtal_Prot#'!A:AL,10,FALSE)+8,1)</f>
        <v>P</v>
      </c>
      <c r="Z278" s="49" t="str">
        <f>MID(VLOOKUP($A278,Seqs!$A:$B,2,FALSE),VLOOKUP($A278,'SegEnds_NonXtal_Prot#'!A:AL,10,FALSE)+9,1)</f>
        <v>F</v>
      </c>
      <c r="AA278" s="49" t="str">
        <f>MID(VLOOKUP($A278,Seqs!$A:$B,2,FALSE),VLOOKUP($A278,'SegEnds_NonXtal_Prot#'!A:AL,10,FALSE)+10,1)</f>
        <v>K</v>
      </c>
      <c r="AB278" s="28" t="str">
        <f>MID(VLOOKUP($A278,Seqs!$A:$B,2,FALSE),VLOOKUP($A278,'SegEnds_NonXtal_Prot#'!$A:$AL,22,FALSE)+6,1)</f>
        <v>G</v>
      </c>
      <c r="AC278" s="49" t="str">
        <f>MID(VLOOKUP($A278,Seqs!$A:$B,2,FALSE),VLOOKUP($A278,'SegEnds_NonXtal_Prot#'!$A:$AL,22,FALSE)+7,1)</f>
        <v>V</v>
      </c>
      <c r="AD278" s="49" t="str">
        <f>MID(VLOOKUP($A278,Seqs!$A:$B,2,FALSE),VLOOKUP($A278,'SegEnds_NonXtal_Prot#'!$A:$AL,22,FALSE)+8,1)</f>
        <v>V</v>
      </c>
      <c r="AE278" s="49" t="str">
        <f>MID(VLOOKUP($A278,Seqs!$A:$B,2,FALSE),VLOOKUP($A278,'SegEnds_NonXtal_Prot#'!$A:$AL,22,FALSE)+9,1)</f>
        <v>P</v>
      </c>
      <c r="AF278" s="49" t="str">
        <f>MID(VLOOKUP($A278,Seqs!$A:$B,2,FALSE),VLOOKUP($A278,'SegEnds_NonXtal_Prot#'!$A:$AL,22,FALSE)+10,1)</f>
        <v>L</v>
      </c>
      <c r="AG278" s="28" t="str">
        <f>MID(VLOOKUP($A278,Seqs!$A:$B,2,FALSE),VLOOKUP($A278,'SegEnds_NonXtal_Prot#'!$A:$AL,28,FALSE)-4,1)</f>
        <v>F</v>
      </c>
      <c r="AH278" s="49" t="str">
        <f>MID(VLOOKUP($A278,Seqs!$A:$B,2,FALSE),VLOOKUP($A278,'SegEnds_NonXtal_Prot#'!$A:$AL,28,FALSE),1)</f>
        <v>P</v>
      </c>
    </row>
    <row r="279" spans="1:34" s="2" customFormat="1" x14ac:dyDescent="0.2">
      <c r="A279" s="2" t="s">
        <v>356</v>
      </c>
      <c r="B279" s="2" t="str">
        <f>LOWER(VLOOKUP(A279,Xtal_Templ!A:B,2,FALSE))</f>
        <v>par2_human</v>
      </c>
      <c r="C279" s="2" t="str">
        <f>VLOOKUP(A279,Classification!A:D,2,FALSE)</f>
        <v>A</v>
      </c>
      <c r="D279" s="2" t="str">
        <f>IF(ISERROR(MATCH(A279,'SegEnds_Xtal_Prot#'!B:B, 0)), "NoXtal", "Xtal")</f>
        <v>Xtal</v>
      </c>
      <c r="H279" s="4"/>
      <c r="N279" s="2" t="s">
        <v>14</v>
      </c>
      <c r="R279" s="2" t="s">
        <v>9</v>
      </c>
      <c r="S279" s="2" t="s">
        <v>1328</v>
      </c>
      <c r="T279" s="4" t="s">
        <v>12</v>
      </c>
      <c r="V279" s="28" t="str">
        <f>MID(VLOOKUP($A279,Seqs!$A:$B,2,FALSE),VLOOKUP($A279,'SegEnds_NonXtal_Prot#'!A:AL,10,FALSE),1)</f>
        <v>D</v>
      </c>
      <c r="W279" s="49" t="str">
        <f>MID(VLOOKUP($A279,Seqs!$A:$B,2,FALSE),VLOOKUP($A279,'SegEnds_NonXtal_Prot#'!A:AL,10,FALSE)+6,1)</f>
        <v>W</v>
      </c>
      <c r="X279" s="49" t="str">
        <f>MID(VLOOKUP($A279,Seqs!$A:$B,2,FALSE),VLOOKUP($A279,'SegEnds_NonXtal_Prot#'!A:AL,10,FALSE)+7,1)</f>
        <v>F</v>
      </c>
      <c r="Y279" s="49" t="str">
        <f>MID(VLOOKUP($A279,Seqs!$A:$B,2,FALSE),VLOOKUP($A279,'SegEnds_NonXtal_Prot#'!A:AL,10,FALSE)+8,1)</f>
        <v>P</v>
      </c>
      <c r="Z279" s="49" t="str">
        <f>MID(VLOOKUP($A279,Seqs!$A:$B,2,FALSE),VLOOKUP($A279,'SegEnds_NonXtal_Prot#'!A:AL,10,FALSE)+9,1)</f>
        <v>L</v>
      </c>
      <c r="AA279" s="49" t="str">
        <f>MID(VLOOKUP($A279,Seqs!$A:$B,2,FALSE),VLOOKUP($A279,'SegEnds_NonXtal_Prot#'!A:AL,10,FALSE)+10,1)</f>
        <v>K</v>
      </c>
      <c r="AB279" s="28" t="str">
        <f>MID(VLOOKUP($A279,Seqs!$A:$B,2,FALSE),VLOOKUP($A279,'SegEnds_NonXtal_Prot#'!$A:$AL,22,FALSE)+6,1)</f>
        <v>V</v>
      </c>
      <c r="AC279" s="49" t="str">
        <f>MID(VLOOKUP($A279,Seqs!$A:$B,2,FALSE),VLOOKUP($A279,'SegEnds_NonXtal_Prot#'!$A:$AL,22,FALSE)+7,1)</f>
        <v>T</v>
      </c>
      <c r="AD279" s="49" t="str">
        <f>MID(VLOOKUP($A279,Seqs!$A:$B,2,FALSE),VLOOKUP($A279,'SegEnds_NonXtal_Prot#'!$A:$AL,22,FALSE)+8,1)</f>
        <v>I</v>
      </c>
      <c r="AE279" s="49" t="str">
        <f>MID(VLOOKUP($A279,Seqs!$A:$B,2,FALSE),VLOOKUP($A279,'SegEnds_NonXtal_Prot#'!$A:$AL,22,FALSE)+9,1)</f>
        <v>P</v>
      </c>
      <c r="AF279" s="49" t="str">
        <f>MID(VLOOKUP($A279,Seqs!$A:$B,2,FALSE),VLOOKUP($A279,'SegEnds_NonXtal_Prot#'!$A:$AL,22,FALSE)+10,1)</f>
        <v>L</v>
      </c>
      <c r="AG279" s="28" t="str">
        <f>MID(VLOOKUP($A279,Seqs!$A:$B,2,FALSE),VLOOKUP($A279,'SegEnds_NonXtal_Prot#'!$A:$AL,28,FALSE)-4,1)</f>
        <v>V</v>
      </c>
      <c r="AH279" s="49" t="str">
        <f>MID(VLOOKUP($A279,Seqs!$A:$B,2,FALSE),VLOOKUP($A279,'SegEnds_NonXtal_Prot#'!$A:$AL,28,FALSE),1)</f>
        <v>P</v>
      </c>
    </row>
    <row r="280" spans="1:34" s="2" customFormat="1" x14ac:dyDescent="0.2">
      <c r="A280" s="2" t="s">
        <v>357</v>
      </c>
      <c r="B280" s="2" t="str">
        <f>LOWER(VLOOKUP(A280,Xtal_Templ!A:B,2,FALSE))</f>
        <v>par2_human</v>
      </c>
      <c r="C280" s="2" t="str">
        <f>VLOOKUP(A280,Classification!A:D,2,FALSE)</f>
        <v>A</v>
      </c>
      <c r="D280" s="2" t="str">
        <f>IF(ISERROR(MATCH(A280,'SegEnds_Xtal_Prot#'!B:B, 0)), "NoXtal", "Xtal")</f>
        <v>NoXtal</v>
      </c>
      <c r="H280" s="4"/>
      <c r="N280" s="2" t="s">
        <v>14</v>
      </c>
      <c r="R280" s="2" t="s">
        <v>9</v>
      </c>
      <c r="S280" s="2" t="s">
        <v>1328</v>
      </c>
      <c r="T280" s="4" t="s">
        <v>12</v>
      </c>
      <c r="V280" s="28" t="str">
        <f>MID(VLOOKUP($A280,Seqs!$A:$B,2,FALSE),VLOOKUP($A280,'SegEnds_NonXtal_Prot#'!A:AL,10,FALSE),1)</f>
        <v>D</v>
      </c>
      <c r="W280" s="49" t="str">
        <f>MID(VLOOKUP($A280,Seqs!$A:$B,2,FALSE),VLOOKUP($A280,'SegEnds_NonXtal_Prot#'!A:AL,10,FALSE)+6,1)</f>
        <v>T</v>
      </c>
      <c r="X280" s="49" t="str">
        <f>MID(VLOOKUP($A280,Seqs!$A:$B,2,FALSE),VLOOKUP($A280,'SegEnds_NonXtal_Prot#'!A:AL,10,FALSE)+7,1)</f>
        <v>L</v>
      </c>
      <c r="Y280" s="49" t="str">
        <f>MID(VLOOKUP($A280,Seqs!$A:$B,2,FALSE),VLOOKUP($A280,'SegEnds_NonXtal_Prot#'!A:AL,10,FALSE)+8,1)</f>
        <v>P</v>
      </c>
      <c r="Z280" s="49" t="str">
        <f>MID(VLOOKUP($A280,Seqs!$A:$B,2,FALSE),VLOOKUP($A280,'SegEnds_NonXtal_Prot#'!A:AL,10,FALSE)+9,1)</f>
        <v>F</v>
      </c>
      <c r="AA280" s="49" t="str">
        <f>MID(VLOOKUP($A280,Seqs!$A:$B,2,FALSE),VLOOKUP($A280,'SegEnds_NonXtal_Prot#'!A:AL,10,FALSE)+10,1)</f>
        <v>K</v>
      </c>
      <c r="AB280" s="28" t="str">
        <f>MID(VLOOKUP($A280,Seqs!$A:$B,2,FALSE),VLOOKUP($A280,'SegEnds_NonXtal_Prot#'!$A:$AL,22,FALSE)+6,1)</f>
        <v>Y</v>
      </c>
      <c r="AC280" s="49" t="str">
        <f>MID(VLOOKUP($A280,Seqs!$A:$B,2,FALSE),VLOOKUP($A280,'SegEnds_NonXtal_Prot#'!$A:$AL,22,FALSE)+7,1)</f>
        <v>M</v>
      </c>
      <c r="AD280" s="49" t="str">
        <f>MID(VLOOKUP($A280,Seqs!$A:$B,2,FALSE),VLOOKUP($A280,'SegEnds_NonXtal_Prot#'!$A:$AL,22,FALSE)+8,1)</f>
        <v>L</v>
      </c>
      <c r="AE280" s="49" t="str">
        <f>MID(VLOOKUP($A280,Seqs!$A:$B,2,FALSE),VLOOKUP($A280,'SegEnds_NonXtal_Prot#'!$A:$AL,22,FALSE)+9,1)</f>
        <v>P</v>
      </c>
      <c r="AF280" s="49" t="str">
        <f>MID(VLOOKUP($A280,Seqs!$A:$B,2,FALSE),VLOOKUP($A280,'SegEnds_NonXtal_Prot#'!$A:$AL,22,FALSE)+10,1)</f>
        <v>F</v>
      </c>
      <c r="AG280" s="28" t="str">
        <f>MID(VLOOKUP($A280,Seqs!$A:$B,2,FALSE),VLOOKUP($A280,'SegEnds_NonXtal_Prot#'!$A:$AL,28,FALSE)-4,1)</f>
        <v>G</v>
      </c>
      <c r="AH280" s="49" t="str">
        <f>MID(VLOOKUP($A280,Seqs!$A:$B,2,FALSE),VLOOKUP($A280,'SegEnds_NonXtal_Prot#'!$A:$AL,28,FALSE),1)</f>
        <v>P</v>
      </c>
    </row>
    <row r="281" spans="1:34" s="2" customFormat="1" x14ac:dyDescent="0.2">
      <c r="A281" s="2" t="s">
        <v>358</v>
      </c>
      <c r="B281" s="2" t="str">
        <f>LOWER(VLOOKUP(A281,Xtal_Templ!A:B,2,FALSE))</f>
        <v>par2_human</v>
      </c>
      <c r="C281" s="2" t="str">
        <f>VLOOKUP(A281,Classification!A:D,2,FALSE)</f>
        <v>A</v>
      </c>
      <c r="D281" s="2" t="str">
        <f>IF(ISERROR(MATCH(A281,'SegEnds_Xtal_Prot#'!B:B, 0)), "NoXtal", "Xtal")</f>
        <v>NoXtal</v>
      </c>
      <c r="H281" s="4"/>
      <c r="N281" s="2" t="s">
        <v>14</v>
      </c>
      <c r="R281" s="2" t="s">
        <v>9</v>
      </c>
      <c r="S281" s="2" t="s">
        <v>1328</v>
      </c>
      <c r="T281" s="4" t="s">
        <v>12</v>
      </c>
      <c r="V281" s="28" t="str">
        <f>MID(VLOOKUP($A281,Seqs!$A:$B,2,FALSE),VLOOKUP($A281,'SegEnds_NonXtal_Prot#'!A:AL,10,FALSE),1)</f>
        <v>D</v>
      </c>
      <c r="W281" s="49" t="str">
        <f>MID(VLOOKUP($A281,Seqs!$A:$B,2,FALSE),VLOOKUP($A281,'SegEnds_NonXtal_Prot#'!A:AL,10,FALSE)+6,1)</f>
        <v>A</v>
      </c>
      <c r="X281" s="49" t="str">
        <f>MID(VLOOKUP($A281,Seqs!$A:$B,2,FALSE),VLOOKUP($A281,'SegEnds_NonXtal_Prot#'!A:AL,10,FALSE)+7,1)</f>
        <v>L</v>
      </c>
      <c r="Y281" s="49" t="str">
        <f>MID(VLOOKUP($A281,Seqs!$A:$B,2,FALSE),VLOOKUP($A281,'SegEnds_NonXtal_Prot#'!A:AL,10,FALSE)+8,1)</f>
        <v>P</v>
      </c>
      <c r="Z281" s="49" t="str">
        <f>MID(VLOOKUP($A281,Seqs!$A:$B,2,FALSE),VLOOKUP($A281,'SegEnds_NonXtal_Prot#'!A:AL,10,FALSE)+9,1)</f>
        <v>P</v>
      </c>
      <c r="AA281" s="49" t="str">
        <f>MID(VLOOKUP($A281,Seqs!$A:$B,2,FALSE),VLOOKUP($A281,'SegEnds_NonXtal_Prot#'!A:AL,10,FALSE)+10,1)</f>
        <v>R</v>
      </c>
      <c r="AB281" s="28" t="str">
        <f>MID(VLOOKUP($A281,Seqs!$A:$B,2,FALSE),VLOOKUP($A281,'SegEnds_NonXtal_Prot#'!$A:$AL,22,FALSE)+6,1)</f>
        <v>L</v>
      </c>
      <c r="AC281" s="49" t="str">
        <f>MID(VLOOKUP($A281,Seqs!$A:$B,2,FALSE),VLOOKUP($A281,'SegEnds_NonXtal_Prot#'!$A:$AL,22,FALSE)+7,1)</f>
        <v>A</v>
      </c>
      <c r="AD281" s="49" t="str">
        <f>MID(VLOOKUP($A281,Seqs!$A:$B,2,FALSE),VLOOKUP($A281,'SegEnds_NonXtal_Prot#'!$A:$AL,22,FALSE)+8,1)</f>
        <v>L</v>
      </c>
      <c r="AE281" s="49" t="str">
        <f>MID(VLOOKUP($A281,Seqs!$A:$B,2,FALSE),VLOOKUP($A281,'SegEnds_NonXtal_Prot#'!$A:$AL,22,FALSE)+9,1)</f>
        <v>P</v>
      </c>
      <c r="AF281" s="49" t="str">
        <f>MID(VLOOKUP($A281,Seqs!$A:$B,2,FALSE),VLOOKUP($A281,'SegEnds_NonXtal_Prot#'!$A:$AL,22,FALSE)+10,1)</f>
        <v>L</v>
      </c>
      <c r="AG281" s="28" t="str">
        <f>MID(VLOOKUP($A281,Seqs!$A:$B,2,FALSE),VLOOKUP($A281,'SegEnds_NonXtal_Prot#'!$A:$AL,28,FALSE)-4,1)</f>
        <v>G</v>
      </c>
      <c r="AH281" s="49" t="str">
        <f>MID(VLOOKUP($A281,Seqs!$A:$B,2,FALSE),VLOOKUP($A281,'SegEnds_NonXtal_Prot#'!$A:$AL,28,FALSE),1)</f>
        <v>P</v>
      </c>
    </row>
    <row r="282" spans="1:34" s="2" customFormat="1" x14ac:dyDescent="0.2">
      <c r="A282" s="2" t="s">
        <v>151</v>
      </c>
      <c r="B282" s="2" t="str">
        <f>LOWER(VLOOKUP(A282,Xtal_Templ!A:B,2,FALSE))</f>
        <v>s1pr1_human</v>
      </c>
      <c r="C282" s="2" t="str">
        <f>VLOOKUP(A282,Classification!A:D,2,FALSE)</f>
        <v>A</v>
      </c>
      <c r="D282" s="2" t="str">
        <f>IF(ISERROR(MATCH(A282,'SegEnds_Xtal_Prot#'!B:B, 0)), "NoXtal", "Xtal")</f>
        <v>NoXtal</v>
      </c>
      <c r="H282" s="4"/>
      <c r="T282" s="4" t="s">
        <v>12</v>
      </c>
      <c r="V282" s="28" t="str">
        <f>MID(VLOOKUP($A282,Seqs!$A:$B,2,FALSE),VLOOKUP($A282,'SegEnds_NonXtal_Prot#'!A:AL,10,FALSE),1)</f>
        <v>D</v>
      </c>
      <c r="W282" s="49" t="str">
        <f>MID(VLOOKUP($A282,Seqs!$A:$B,2,FALSE),VLOOKUP($A282,'SegEnds_NonXtal_Prot#'!A:AL,10,FALSE)+6,1)</f>
        <v>Y</v>
      </c>
      <c r="X282" s="49" t="str">
        <f>MID(VLOOKUP($A282,Seqs!$A:$B,2,FALSE),VLOOKUP($A282,'SegEnds_NonXtal_Prot#'!A:AL,10,FALSE)+7,1)</f>
        <v>K</v>
      </c>
      <c r="Y282" s="49" t="str">
        <f>MID(VLOOKUP($A282,Seqs!$A:$B,2,FALSE),VLOOKUP($A282,'SegEnds_NonXtal_Prot#'!A:AL,10,FALSE)+8,1)</f>
        <v>I</v>
      </c>
      <c r="Z282" s="49" t="str">
        <f>MID(VLOOKUP($A282,Seqs!$A:$B,2,FALSE),VLOOKUP($A282,'SegEnds_NonXtal_Prot#'!A:AL,10,FALSE)+9,1)</f>
        <v>L</v>
      </c>
      <c r="AA282" s="49" t="str">
        <f>MID(VLOOKUP($A282,Seqs!$A:$B,2,FALSE),VLOOKUP($A282,'SegEnds_NonXtal_Prot#'!A:AL,10,FALSE)+10,1)</f>
        <v>E</v>
      </c>
      <c r="AB282" s="28" t="str">
        <f>MID(VLOOKUP($A282,Seqs!$A:$B,2,FALSE),VLOOKUP($A282,'SegEnds_NonXtal_Prot#'!$A:$AL,22,FALSE)+6,1)</f>
        <v>T</v>
      </c>
      <c r="AC282" s="49" t="str">
        <f>MID(VLOOKUP($A282,Seqs!$A:$B,2,FALSE),VLOOKUP($A282,'SegEnds_NonXtal_Prot#'!$A:$AL,22,FALSE)+7,1)</f>
        <v>G</v>
      </c>
      <c r="AD282" s="49" t="str">
        <f>MID(VLOOKUP($A282,Seqs!$A:$B,2,FALSE),VLOOKUP($A282,'SegEnds_NonXtal_Prot#'!$A:$AL,22,FALSE)+8,1)</f>
        <v>I</v>
      </c>
      <c r="AE282" s="49" t="str">
        <f>MID(VLOOKUP($A282,Seqs!$A:$B,2,FALSE),VLOOKUP($A282,'SegEnds_NonXtal_Prot#'!$A:$AL,22,FALSE)+9,1)</f>
        <v>T</v>
      </c>
      <c r="AF282" s="49" t="str">
        <f>MID(VLOOKUP($A282,Seqs!$A:$B,2,FALSE),VLOOKUP($A282,'SegEnds_NonXtal_Prot#'!$A:$AL,22,FALSE)+10,1)</f>
        <v>M</v>
      </c>
      <c r="AG282" s="28" t="str">
        <f>MID(VLOOKUP($A282,Seqs!$A:$B,2,FALSE),VLOOKUP($A282,'SegEnds_NonXtal_Prot#'!$A:$AL,28,FALSE)-4,1)</f>
        <v>C</v>
      </c>
      <c r="AH282" s="49" t="str">
        <f>MID(VLOOKUP($A282,Seqs!$A:$B,2,FALSE),VLOOKUP($A282,'SegEnds_NonXtal_Prot#'!$A:$AL,28,FALSE),1)</f>
        <v>H</v>
      </c>
    </row>
    <row r="283" spans="1:34" s="2" customFormat="1" x14ac:dyDescent="0.2">
      <c r="A283" s="2" t="s">
        <v>213</v>
      </c>
      <c r="B283" s="2" t="str">
        <f>LOWER(VLOOKUP(A283,Xtal_Templ!A:B,2,FALSE))</f>
        <v>acm1_human</v>
      </c>
      <c r="C283" s="2" t="str">
        <f>VLOOKUP(A283,Classification!A:D,2,FALSE)</f>
        <v>A</v>
      </c>
      <c r="D283" s="2" t="str">
        <f>IF(ISERROR(MATCH(A283,'SegEnds_Xtal_Prot#'!B:B, 0)), "NoXtal", "Xtal")</f>
        <v>NoXtal</v>
      </c>
      <c r="H283" s="4"/>
      <c r="R283" s="2" t="s">
        <v>9</v>
      </c>
      <c r="T283" s="4" t="s">
        <v>12</v>
      </c>
      <c r="V283" s="28" t="str">
        <f>MID(VLOOKUP($A283,Seqs!$A:$B,2,FALSE),VLOOKUP($A283,'SegEnds_NonXtal_Prot#'!A:AL,10,FALSE),1)</f>
        <v>D</v>
      </c>
      <c r="W283" s="49" t="str">
        <f>MID(VLOOKUP($A283,Seqs!$A:$B,2,FALSE),VLOOKUP($A283,'SegEnds_NonXtal_Prot#'!A:AL,10,FALSE)+6,1)</f>
        <v>A</v>
      </c>
      <c r="X283" s="49" t="str">
        <f>MID(VLOOKUP($A283,Seqs!$A:$B,2,FALSE),VLOOKUP($A283,'SegEnds_NonXtal_Prot#'!A:AL,10,FALSE)+7,1)</f>
        <v>I</v>
      </c>
      <c r="Y283" s="49" t="str">
        <f>MID(VLOOKUP($A283,Seqs!$A:$B,2,FALSE),VLOOKUP($A283,'SegEnds_NonXtal_Prot#'!A:AL,10,FALSE)+8,1)</f>
        <v>S</v>
      </c>
      <c r="Z283" s="49" t="str">
        <f>MID(VLOOKUP($A283,Seqs!$A:$B,2,FALSE),VLOOKUP($A283,'SegEnds_NonXtal_Prot#'!A:AL,10,FALSE)+9,1)</f>
        <v>G</v>
      </c>
      <c r="AA283" s="49" t="str">
        <f>MID(VLOOKUP($A283,Seqs!$A:$B,2,FALSE),VLOOKUP($A283,'SegEnds_NonXtal_Prot#'!A:AL,10,FALSE)+10,1)</f>
        <v>L</v>
      </c>
      <c r="AB283" s="28" t="str">
        <f>MID(VLOOKUP($A283,Seqs!$A:$B,2,FALSE),VLOOKUP($A283,'SegEnds_NonXtal_Prot#'!$A:$AL,22,FALSE)+6,1)</f>
        <v>I</v>
      </c>
      <c r="AC283" s="49" t="str">
        <f>MID(VLOOKUP($A283,Seqs!$A:$B,2,FALSE),VLOOKUP($A283,'SegEnds_NonXtal_Prot#'!$A:$AL,22,FALSE)+7,1)</f>
        <v>G</v>
      </c>
      <c r="AD283" s="49" t="str">
        <f>MID(VLOOKUP($A283,Seqs!$A:$B,2,FALSE),VLOOKUP($A283,'SegEnds_NonXtal_Prot#'!$A:$AL,22,FALSE)+8,1)</f>
        <v>F</v>
      </c>
      <c r="AE283" s="49" t="str">
        <f>MID(VLOOKUP($A283,Seqs!$A:$B,2,FALSE),VLOOKUP($A283,'SegEnds_NonXtal_Prot#'!$A:$AL,22,FALSE)+9,1)</f>
        <v>L</v>
      </c>
      <c r="AF283" s="49" t="str">
        <f>MID(VLOOKUP($A283,Seqs!$A:$B,2,FALSE),VLOOKUP($A283,'SegEnds_NonXtal_Prot#'!$A:$AL,22,FALSE)+10,1)</f>
        <v>P</v>
      </c>
      <c r="AG283" s="28" t="str">
        <f>MID(VLOOKUP($A283,Seqs!$A:$B,2,FALSE),VLOOKUP($A283,'SegEnds_NonXtal_Prot#'!$A:$AL,28,FALSE)-4,1)</f>
        <v>V</v>
      </c>
      <c r="AH283" s="49" t="str">
        <f>MID(VLOOKUP($A283,Seqs!$A:$B,2,FALSE),VLOOKUP($A283,'SegEnds_NonXtal_Prot#'!$A:$AL,28,FALSE),1)</f>
        <v>P</v>
      </c>
    </row>
    <row r="284" spans="1:34" s="2" customFormat="1" x14ac:dyDescent="0.2">
      <c r="A284" s="2" t="s">
        <v>238</v>
      </c>
      <c r="B284" s="2" t="str">
        <f>LOWER(VLOOKUP(A284,Xtal_Templ!A:B,2,FALSE))</f>
        <v>lpar1_human</v>
      </c>
      <c r="C284" s="2" t="str">
        <f>VLOOKUP(A284,Classification!A:D,2,FALSE)</f>
        <v>A</v>
      </c>
      <c r="D284" s="2" t="str">
        <f>IF(ISERROR(MATCH(A284,'SegEnds_Xtal_Prot#'!B:B, 0)), "NoXtal", "Xtal")</f>
        <v>NoXtal</v>
      </c>
      <c r="H284" s="4"/>
      <c r="T284" s="4" t="s">
        <v>12</v>
      </c>
      <c r="V284" s="28" t="str">
        <f>MID(VLOOKUP($A284,Seqs!$A:$B,2,FALSE),VLOOKUP($A284,'SegEnds_NonXtal_Prot#'!A:AL,10,FALSE),1)</f>
        <v>D</v>
      </c>
      <c r="W284" s="49" t="str">
        <f>MID(VLOOKUP($A284,Seqs!$A:$B,2,FALSE),VLOOKUP($A284,'SegEnds_NonXtal_Prot#'!A:AL,10,FALSE)+6,1)</f>
        <v>G</v>
      </c>
      <c r="X284" s="49" t="str">
        <f>MID(VLOOKUP($A284,Seqs!$A:$B,2,FALSE),VLOOKUP($A284,'SegEnds_NonXtal_Prot#'!A:AL,10,FALSE)+7,1)</f>
        <v>L</v>
      </c>
      <c r="Y284" s="49" t="str">
        <f>MID(VLOOKUP($A284,Seqs!$A:$B,2,FALSE),VLOOKUP($A284,'SegEnds_NonXtal_Prot#'!A:AL,10,FALSE)+8,1)</f>
        <v>I</v>
      </c>
      <c r="Z284" s="49" t="str">
        <f>MID(VLOOKUP($A284,Seqs!$A:$B,2,FALSE),VLOOKUP($A284,'SegEnds_NonXtal_Prot#'!A:AL,10,FALSE)+9,1)</f>
        <v>T</v>
      </c>
      <c r="AA284" s="49" t="str">
        <f>MID(VLOOKUP($A284,Seqs!$A:$B,2,FALSE),VLOOKUP($A284,'SegEnds_NonXtal_Prot#'!A:AL,10,FALSE)+10,1)</f>
        <v>N</v>
      </c>
      <c r="AB284" s="28" t="str">
        <f>MID(VLOOKUP($A284,Seqs!$A:$B,2,FALSE),VLOOKUP($A284,'SegEnds_NonXtal_Prot#'!$A:$AL,22,FALSE)+6,1)</f>
        <v>L</v>
      </c>
      <c r="AC284" s="49" t="str">
        <f>MID(VLOOKUP($A284,Seqs!$A:$B,2,FALSE),VLOOKUP($A284,'SegEnds_NonXtal_Prot#'!$A:$AL,22,FALSE)+7,1)</f>
        <v>G</v>
      </c>
      <c r="AD284" s="49" t="str">
        <f>MID(VLOOKUP($A284,Seqs!$A:$B,2,FALSE),VLOOKUP($A284,'SegEnds_NonXtal_Prot#'!$A:$AL,22,FALSE)+8,1)</f>
        <v>L</v>
      </c>
      <c r="AE284" s="49" t="str">
        <f>MID(VLOOKUP($A284,Seqs!$A:$B,2,FALSE),VLOOKUP($A284,'SegEnds_NonXtal_Prot#'!$A:$AL,22,FALSE)+9,1)</f>
        <v>L</v>
      </c>
      <c r="AF284" s="49" t="str">
        <f>MID(VLOOKUP($A284,Seqs!$A:$B,2,FALSE),VLOOKUP($A284,'SegEnds_NonXtal_Prot#'!$A:$AL,22,FALSE)+10,1)</f>
        <v>P</v>
      </c>
      <c r="AG284" s="28" t="str">
        <f>MID(VLOOKUP($A284,Seqs!$A:$B,2,FALSE),VLOOKUP($A284,'SegEnds_NonXtal_Prot#'!$A:$AL,28,FALSE)-4,1)</f>
        <v>S</v>
      </c>
      <c r="AH284" s="49" t="str">
        <f>MID(VLOOKUP($A284,Seqs!$A:$B,2,FALSE),VLOOKUP($A284,'SegEnds_NonXtal_Prot#'!$A:$AL,28,FALSE),1)</f>
        <v>M</v>
      </c>
    </row>
    <row r="285" spans="1:34" s="2" customFormat="1" x14ac:dyDescent="0.2">
      <c r="A285" s="2" t="s">
        <v>262</v>
      </c>
      <c r="B285" s="2" t="str">
        <f>LOWER(VLOOKUP(A285,Xtal_Templ!A:B,2,FALSE))</f>
        <v>s1pr1_human</v>
      </c>
      <c r="C285" s="2" t="str">
        <f>VLOOKUP(A285,Classification!A:D,2,FALSE)</f>
        <v>A</v>
      </c>
      <c r="D285" s="2" t="str">
        <f>IF(ISERROR(MATCH(A285,'SegEnds_Xtal_Prot#'!B:B, 0)), "NoXtal", "Xtal")</f>
        <v>NoXtal</v>
      </c>
      <c r="H285" s="4"/>
      <c r="T285" s="4" t="s">
        <v>12</v>
      </c>
      <c r="V285" s="28" t="str">
        <f>MID(VLOOKUP($A285,Seqs!$A:$B,2,FALSE),VLOOKUP($A285,'SegEnds_NonXtal_Prot#'!A:AL,10,FALSE),1)</f>
        <v>D</v>
      </c>
      <c r="W285" s="49" t="str">
        <f>MID(VLOOKUP($A285,Seqs!$A:$B,2,FALSE),VLOOKUP($A285,'SegEnds_NonXtal_Prot#'!A:AL,10,FALSE)+6,1)</f>
        <v>G</v>
      </c>
      <c r="X285" s="49" t="str">
        <f>MID(VLOOKUP($A285,Seqs!$A:$B,2,FALSE),VLOOKUP($A285,'SegEnds_NonXtal_Prot#'!A:AL,10,FALSE)+7,1)</f>
        <v>L</v>
      </c>
      <c r="Y285" s="49" t="str">
        <f>MID(VLOOKUP($A285,Seqs!$A:$B,2,FALSE),VLOOKUP($A285,'SegEnds_NonXtal_Prot#'!A:AL,10,FALSE)+8,1)</f>
        <v>I</v>
      </c>
      <c r="Z285" s="49" t="str">
        <f>MID(VLOOKUP($A285,Seqs!$A:$B,2,FALSE),VLOOKUP($A285,'SegEnds_NonXtal_Prot#'!A:AL,10,FALSE)+9,1)</f>
        <v>L</v>
      </c>
      <c r="AA285" s="49" t="str">
        <f>MID(VLOOKUP($A285,Seqs!$A:$B,2,FALSE),VLOOKUP($A285,'SegEnds_NonXtal_Prot#'!A:AL,10,FALSE)+10,1)</f>
        <v>H</v>
      </c>
      <c r="AB285" s="28" t="str">
        <f>MID(VLOOKUP($A285,Seqs!$A:$B,2,FALSE),VLOOKUP($A285,'SegEnds_NonXtal_Prot#'!$A:$AL,22,FALSE)+6,1)</f>
        <v>L</v>
      </c>
      <c r="AC285" s="49" t="str">
        <f>MID(VLOOKUP($A285,Seqs!$A:$B,2,FALSE),VLOOKUP($A285,'SegEnds_NonXtal_Prot#'!$A:$AL,22,FALSE)+7,1)</f>
        <v>G</v>
      </c>
      <c r="AD285" s="49" t="str">
        <f>MID(VLOOKUP($A285,Seqs!$A:$B,2,FALSE),VLOOKUP($A285,'SegEnds_NonXtal_Prot#'!$A:$AL,22,FALSE)+8,1)</f>
        <v>L</v>
      </c>
      <c r="AE285" s="49" t="str">
        <f>MID(VLOOKUP($A285,Seqs!$A:$B,2,FALSE),VLOOKUP($A285,'SegEnds_NonXtal_Prot#'!$A:$AL,22,FALSE)+9,1)</f>
        <v>L</v>
      </c>
      <c r="AF285" s="49" t="str">
        <f>MID(VLOOKUP($A285,Seqs!$A:$B,2,FALSE),VLOOKUP($A285,'SegEnds_NonXtal_Prot#'!$A:$AL,22,FALSE)+10,1)</f>
        <v>P</v>
      </c>
      <c r="AG285" s="28" t="str">
        <f>MID(VLOOKUP($A285,Seqs!$A:$B,2,FALSE),VLOOKUP($A285,'SegEnds_NonXtal_Prot#'!$A:$AL,28,FALSE)-4,1)</f>
        <v>A</v>
      </c>
      <c r="AH285" s="49" t="str">
        <f>MID(VLOOKUP($A285,Seqs!$A:$B,2,FALSE),VLOOKUP($A285,'SegEnds_NonXtal_Prot#'!$A:$AL,28,FALSE),1)</f>
        <v>V</v>
      </c>
    </row>
    <row r="286" spans="1:34" s="2" customFormat="1" x14ac:dyDescent="0.2">
      <c r="A286" s="2" t="s">
        <v>296</v>
      </c>
      <c r="B286" s="2" t="str">
        <f>LOWER(VLOOKUP(A286,Xtal_Templ!A:B,2,FALSE))</f>
        <v>lpar1_human</v>
      </c>
      <c r="C286" s="2" t="str">
        <f>VLOOKUP(A286,Classification!A:D,2,FALSE)</f>
        <v>A</v>
      </c>
      <c r="D286" s="2" t="str">
        <f>IF(ISERROR(MATCH(A286,'SegEnds_Xtal_Prot#'!B:B, 0)), "NoXtal", "Xtal")</f>
        <v>NoXtal</v>
      </c>
      <c r="H286" s="4"/>
      <c r="T286" s="4" t="s">
        <v>12</v>
      </c>
      <c r="V286" s="28" t="str">
        <f>MID(VLOOKUP($A286,Seqs!$A:$B,2,FALSE),VLOOKUP($A286,'SegEnds_NonXtal_Prot#'!A:AL,10,FALSE),1)</f>
        <v>D</v>
      </c>
      <c r="W286" s="49" t="str">
        <f>MID(VLOOKUP($A286,Seqs!$A:$B,2,FALSE),VLOOKUP($A286,'SegEnds_NonXtal_Prot#'!A:AL,10,FALSE)+6,1)</f>
        <v>S</v>
      </c>
      <c r="X286" s="49" t="str">
        <f>MID(VLOOKUP($A286,Seqs!$A:$B,2,FALSE),VLOOKUP($A286,'SegEnds_NonXtal_Prot#'!A:AL,10,FALSE)+7,1)</f>
        <v>N</v>
      </c>
      <c r="Y286" s="49" t="str">
        <f>MID(VLOOKUP($A286,Seqs!$A:$B,2,FALSE),VLOOKUP($A286,'SegEnds_NonXtal_Prot#'!A:AL,10,FALSE)+8,1)</f>
        <v>A</v>
      </c>
      <c r="Z286" s="49" t="str">
        <f>MID(VLOOKUP($A286,Seqs!$A:$B,2,FALSE),VLOOKUP($A286,'SegEnds_NonXtal_Prot#'!A:AL,10,FALSE)+9,1)</f>
        <v>L</v>
      </c>
      <c r="AA286" s="49" t="str">
        <f>MID(VLOOKUP($A286,Seqs!$A:$B,2,FALSE),VLOOKUP($A286,'SegEnds_NonXtal_Prot#'!A:AL,10,FALSE)+10,1)</f>
        <v>E</v>
      </c>
      <c r="AB286" s="28" t="str">
        <f>MID(VLOOKUP($A286,Seqs!$A:$B,2,FALSE),VLOOKUP($A286,'SegEnds_NonXtal_Prot#'!$A:$AL,22,FALSE)+6,1)</f>
        <v>C</v>
      </c>
      <c r="AC286" s="49" t="str">
        <f>MID(VLOOKUP($A286,Seqs!$A:$B,2,FALSE),VLOOKUP($A286,'SegEnds_NonXtal_Prot#'!$A:$AL,22,FALSE)+7,1)</f>
        <v>G</v>
      </c>
      <c r="AD286" s="49" t="str">
        <f>MID(VLOOKUP($A286,Seqs!$A:$B,2,FALSE),VLOOKUP($A286,'SegEnds_NonXtal_Prot#'!$A:$AL,22,FALSE)+8,1)</f>
        <v>V</v>
      </c>
      <c r="AE286" s="49" t="str">
        <f>MID(VLOOKUP($A286,Seqs!$A:$B,2,FALSE),VLOOKUP($A286,'SegEnds_NonXtal_Prot#'!$A:$AL,22,FALSE)+9,1)</f>
        <v>V</v>
      </c>
      <c r="AF286" s="49" t="str">
        <f>MID(VLOOKUP($A286,Seqs!$A:$B,2,FALSE),VLOOKUP($A286,'SegEnds_NonXtal_Prot#'!$A:$AL,22,FALSE)+10,1)</f>
        <v>F</v>
      </c>
      <c r="AG286" s="28" t="str">
        <f>MID(VLOOKUP($A286,Seqs!$A:$B,2,FALSE),VLOOKUP($A286,'SegEnds_NonXtal_Prot#'!$A:$AL,28,FALSE)-4,1)</f>
        <v>T</v>
      </c>
      <c r="AH286" s="49" t="str">
        <f>MID(VLOOKUP($A286,Seqs!$A:$B,2,FALSE),VLOOKUP($A286,'SegEnds_NonXtal_Prot#'!$A:$AL,28,FALSE),1)</f>
        <v>H</v>
      </c>
    </row>
    <row r="287" spans="1:34" s="2" customFormat="1" x14ac:dyDescent="0.2">
      <c r="A287" s="2" t="s">
        <v>297</v>
      </c>
      <c r="B287" s="2" t="str">
        <f>LOWER(VLOOKUP(A287,Xtal_Templ!A:B,2,FALSE))</f>
        <v>s1pr1_human</v>
      </c>
      <c r="C287" s="2" t="str">
        <f>VLOOKUP(A287,Classification!A:D,2,FALSE)</f>
        <v>A</v>
      </c>
      <c r="D287" s="2" t="str">
        <f>IF(ISERROR(MATCH(A287,'SegEnds_Xtal_Prot#'!B:B, 0)), "NoXtal", "Xtal")</f>
        <v>NoXtal</v>
      </c>
      <c r="H287" s="4"/>
      <c r="T287" s="4" t="s">
        <v>12</v>
      </c>
      <c r="V287" s="28" t="str">
        <f>MID(VLOOKUP($A287,Seqs!$A:$B,2,FALSE),VLOOKUP($A287,'SegEnds_NonXtal_Prot#'!A:AL,10,FALSE),1)</f>
        <v>D</v>
      </c>
      <c r="W287" s="49" t="str">
        <f>MID(VLOOKUP($A287,Seqs!$A:$B,2,FALSE),VLOOKUP($A287,'SegEnds_NonXtal_Prot#'!A:AL,10,FALSE)+6,1)</f>
        <v>S</v>
      </c>
      <c r="X287" s="49" t="str">
        <f>MID(VLOOKUP($A287,Seqs!$A:$B,2,FALSE),VLOOKUP($A287,'SegEnds_NonXtal_Prot#'!A:AL,10,FALSE)+7,1)</f>
        <v>N</v>
      </c>
      <c r="Y287" s="49" t="str">
        <f>MID(VLOOKUP($A287,Seqs!$A:$B,2,FALSE),VLOOKUP($A287,'SegEnds_NonXtal_Prot#'!A:AL,10,FALSE)+8,1)</f>
        <v>G</v>
      </c>
      <c r="Z287" s="49" t="str">
        <f>MID(VLOOKUP($A287,Seqs!$A:$B,2,FALSE),VLOOKUP($A287,'SegEnds_NonXtal_Prot#'!A:AL,10,FALSE)+9,1)</f>
        <v>S</v>
      </c>
      <c r="AA287" s="49" t="str">
        <f>MID(VLOOKUP($A287,Seqs!$A:$B,2,FALSE),VLOOKUP($A287,'SegEnds_NonXtal_Prot#'!A:AL,10,FALSE)+10,1)</f>
        <v>E</v>
      </c>
      <c r="AB287" s="28" t="str">
        <f>MID(VLOOKUP($A287,Seqs!$A:$B,2,FALSE),VLOOKUP($A287,'SegEnds_NonXtal_Prot#'!$A:$AL,22,FALSE)+6,1)</f>
        <v>S</v>
      </c>
      <c r="AC287" s="49" t="str">
        <f>MID(VLOOKUP($A287,Seqs!$A:$B,2,FALSE),VLOOKUP($A287,'SegEnds_NonXtal_Prot#'!$A:$AL,22,FALSE)+7,1)</f>
        <v>G</v>
      </c>
      <c r="AD287" s="49" t="str">
        <f>MID(VLOOKUP($A287,Seqs!$A:$B,2,FALSE),VLOOKUP($A287,'SegEnds_NonXtal_Prot#'!$A:$AL,22,FALSE)+8,1)</f>
        <v>I</v>
      </c>
      <c r="AE287" s="49" t="str">
        <f>MID(VLOOKUP($A287,Seqs!$A:$B,2,FALSE),VLOOKUP($A287,'SegEnds_NonXtal_Prot#'!$A:$AL,22,FALSE)+9,1)</f>
        <v>L</v>
      </c>
      <c r="AF287" s="49" t="str">
        <f>MID(VLOOKUP($A287,Seqs!$A:$B,2,FALSE),VLOOKUP($A287,'SegEnds_NonXtal_Prot#'!$A:$AL,22,FALSE)+10,1)</f>
        <v>F</v>
      </c>
      <c r="AG287" s="28" t="str">
        <f>MID(VLOOKUP($A287,Seqs!$A:$B,2,FALSE),VLOOKUP($A287,'SegEnds_NonXtal_Prot#'!$A:$AL,28,FALSE)-4,1)</f>
        <v>S</v>
      </c>
      <c r="AH287" s="49" t="str">
        <f>MID(VLOOKUP($A287,Seqs!$A:$B,2,FALSE),VLOOKUP($A287,'SegEnds_NonXtal_Prot#'!$A:$AL,28,FALSE),1)</f>
        <v>H</v>
      </c>
    </row>
    <row r="288" spans="1:34" s="2" customFormat="1" x14ac:dyDescent="0.2">
      <c r="A288" s="2" t="s">
        <v>309</v>
      </c>
      <c r="B288" s="2" t="str">
        <f>LOWER(VLOOKUP(A288,Xtal_Templ!A:B,2,FALSE))</f>
        <v>s1pr1_human</v>
      </c>
      <c r="C288" s="2" t="str">
        <f>VLOOKUP(A288,Classification!A:D,2,FALSE)</f>
        <v>A</v>
      </c>
      <c r="D288" s="2" t="str">
        <f>IF(ISERROR(MATCH(A288,'SegEnds_Xtal_Prot#'!B:B, 0)), "NoXtal", "Xtal")</f>
        <v>NoXtal</v>
      </c>
      <c r="H288" s="4"/>
      <c r="T288" s="4" t="s">
        <v>12</v>
      </c>
      <c r="V288" s="28" t="str">
        <f>MID(VLOOKUP($A288,Seqs!$A:$B,2,FALSE),VLOOKUP($A288,'SegEnds_NonXtal_Prot#'!A:AL,10,FALSE),1)</f>
        <v>D</v>
      </c>
      <c r="W288" s="49" t="str">
        <f>MID(VLOOKUP($A288,Seqs!$A:$B,2,FALSE),VLOOKUP($A288,'SegEnds_NonXtal_Prot#'!A:AL,10,FALSE)+6,1)</f>
        <v>S</v>
      </c>
      <c r="X288" s="49" t="str">
        <f>MID(VLOOKUP($A288,Seqs!$A:$B,2,FALSE),VLOOKUP($A288,'SegEnds_NonXtal_Prot#'!A:AL,10,FALSE)+7,1)</f>
        <v>N</v>
      </c>
      <c r="Y288" s="49" t="str">
        <f>MID(VLOOKUP($A288,Seqs!$A:$B,2,FALSE),VLOOKUP($A288,'SegEnds_NonXtal_Prot#'!A:AL,10,FALSE)+8,1)</f>
        <v>V</v>
      </c>
      <c r="Z288" s="49" t="str">
        <f>MID(VLOOKUP($A288,Seqs!$A:$B,2,FALSE),VLOOKUP($A288,'SegEnds_NonXtal_Prot#'!A:AL,10,FALSE)+9,1)</f>
        <v>L</v>
      </c>
      <c r="AA288" s="49" t="str">
        <f>MID(VLOOKUP($A288,Seqs!$A:$B,2,FALSE),VLOOKUP($A288,'SegEnds_NonXtal_Prot#'!A:AL,10,FALSE)+10,1)</f>
        <v>E</v>
      </c>
      <c r="AB288" s="28" t="str">
        <f>MID(VLOOKUP($A288,Seqs!$A:$B,2,FALSE),VLOOKUP($A288,'SegEnds_NonXtal_Prot#'!$A:$AL,22,FALSE)+6,1)</f>
        <v>F</v>
      </c>
      <c r="AC288" s="49" t="str">
        <f>MID(VLOOKUP($A288,Seqs!$A:$B,2,FALSE),VLOOKUP($A288,'SegEnds_NonXtal_Prot#'!$A:$AL,22,FALSE)+7,1)</f>
        <v>S</v>
      </c>
      <c r="AD288" s="49" t="str">
        <f>MID(VLOOKUP($A288,Seqs!$A:$B,2,FALSE),VLOOKUP($A288,'SegEnds_NonXtal_Prot#'!$A:$AL,22,FALSE)+8,1)</f>
        <v>T</v>
      </c>
      <c r="AE288" s="49" t="str">
        <f>MID(VLOOKUP($A288,Seqs!$A:$B,2,FALSE),VLOOKUP($A288,'SegEnds_NonXtal_Prot#'!$A:$AL,22,FALSE)+9,1)</f>
        <v>L</v>
      </c>
      <c r="AF288" s="49" t="str">
        <f>MID(VLOOKUP($A288,Seqs!$A:$B,2,FALSE),VLOOKUP($A288,'SegEnds_NonXtal_Prot#'!$A:$AL,22,FALSE)+10,1)</f>
        <v>F</v>
      </c>
      <c r="AG288" s="28" t="str">
        <f>MID(VLOOKUP($A288,Seqs!$A:$B,2,FALSE),VLOOKUP($A288,'SegEnds_NonXtal_Prot#'!$A:$AL,28,FALSE)-4,1)</f>
        <v>V</v>
      </c>
      <c r="AH288" s="49" t="str">
        <f>MID(VLOOKUP($A288,Seqs!$A:$B,2,FALSE),VLOOKUP($A288,'SegEnds_NonXtal_Prot#'!$A:$AL,28,FALSE),1)</f>
        <v>H</v>
      </c>
    </row>
    <row r="289" spans="1:34" s="2" customFormat="1" x14ac:dyDescent="0.2">
      <c r="A289" s="2" t="s">
        <v>363</v>
      </c>
      <c r="B289" s="2" t="str">
        <f>LOWER(VLOOKUP(A289,Xtal_Templ!A:B,2,FALSE))</f>
        <v>pe2r3_human</v>
      </c>
      <c r="C289" s="2" t="str">
        <f>VLOOKUP(A289,Classification!A:D,2,FALSE)</f>
        <v>A</v>
      </c>
      <c r="D289" s="2" t="str">
        <f>IF(ISERROR(MATCH(A289,'SegEnds_Xtal_Prot#'!B:B, 0)), "NoXtal", "Xtal")</f>
        <v>Xtal</v>
      </c>
      <c r="G289" s="2" t="s">
        <v>5</v>
      </c>
      <c r="H289" s="4"/>
      <c r="T289" s="4" t="s">
        <v>12</v>
      </c>
      <c r="V289" s="28" t="str">
        <f>MID(VLOOKUP($A289,Seqs!$A:$B,2,FALSE),VLOOKUP($A289,'SegEnds_NonXtal_Prot#'!A:AL,10,FALSE),1)</f>
        <v>D</v>
      </c>
      <c r="W289" s="49" t="str">
        <f>MID(VLOOKUP($A289,Seqs!$A:$B,2,FALSE),VLOOKUP($A289,'SegEnds_NonXtal_Prot#'!A:AL,10,FALSE)+6,1)</f>
        <v>L</v>
      </c>
      <c r="X289" s="49" t="str">
        <f>MID(VLOOKUP($A289,Seqs!$A:$B,2,FALSE),VLOOKUP($A289,'SegEnds_NonXtal_Prot#'!A:AL,10,FALSE)+7,1)</f>
        <v>T</v>
      </c>
      <c r="Y289" s="49" t="str">
        <f>MID(VLOOKUP($A289,Seqs!$A:$B,2,FALSE),VLOOKUP($A289,'SegEnds_NonXtal_Prot#'!A:AL,10,FALSE)+8,1)</f>
        <v>T</v>
      </c>
      <c r="Z289" s="49" t="str">
        <f>MID(VLOOKUP($A289,Seqs!$A:$B,2,FALSE),VLOOKUP($A289,'SegEnds_NonXtal_Prot#'!A:AL,10,FALSE)+9,1)</f>
        <v>P</v>
      </c>
      <c r="AA289" s="49" t="str">
        <f>MID(VLOOKUP($A289,Seqs!$A:$B,2,FALSE),VLOOKUP($A289,'SegEnds_NonXtal_Prot#'!A:AL,10,FALSE)+10,1)</f>
        <v>V</v>
      </c>
      <c r="AB289" s="28" t="str">
        <f>MID(VLOOKUP($A289,Seqs!$A:$B,2,FALSE),VLOOKUP($A289,'SegEnds_NonXtal_Prot#'!$A:$AL,22,FALSE)+6,1)</f>
        <v>F</v>
      </c>
      <c r="AC289" s="49" t="str">
        <f>MID(VLOOKUP($A289,Seqs!$A:$B,2,FALSE),VLOOKUP($A289,'SegEnds_NonXtal_Prot#'!$A:$AL,22,FALSE)+7,1)</f>
        <v>A</v>
      </c>
      <c r="AD289" s="49" t="str">
        <f>MID(VLOOKUP($A289,Seqs!$A:$B,2,FALSE),VLOOKUP($A289,'SegEnds_NonXtal_Prot#'!$A:$AL,22,FALSE)+8,1)</f>
        <v>L</v>
      </c>
      <c r="AE289" s="49" t="str">
        <f>MID(VLOOKUP($A289,Seqs!$A:$B,2,FALSE),VLOOKUP($A289,'SegEnds_NonXtal_Prot#'!$A:$AL,22,FALSE)+9,1)</f>
        <v>L</v>
      </c>
      <c r="AF289" s="49" t="str">
        <f>MID(VLOOKUP($A289,Seqs!$A:$B,2,FALSE),VLOOKUP($A289,'SegEnds_NonXtal_Prot#'!$A:$AL,22,FALSE)+10,1)</f>
        <v>P</v>
      </c>
      <c r="AG289" s="28" t="str">
        <f>MID(VLOOKUP($A289,Seqs!$A:$B,2,FALSE),VLOOKUP($A289,'SegEnds_NonXtal_Prot#'!$A:$AL,28,FALSE)-4,1)</f>
        <v>L</v>
      </c>
      <c r="AH289" s="49" t="str">
        <f>MID(VLOOKUP($A289,Seqs!$A:$B,2,FALSE),VLOOKUP($A289,'SegEnds_NonXtal_Prot#'!$A:$AL,28,FALSE),1)</f>
        <v>A</v>
      </c>
    </row>
    <row r="290" spans="1:34" s="2" customFormat="1" x14ac:dyDescent="0.2">
      <c r="A290" s="2" t="s">
        <v>104</v>
      </c>
      <c r="B290" s="2" t="str">
        <f>LOWER(VLOOKUP(A290,Xtal_Templ!A:B,2,FALSE))</f>
        <v>s1pr1_human</v>
      </c>
      <c r="C290" s="2" t="str">
        <f>VLOOKUP(A290,Classification!A:D,2,FALSE)</f>
        <v>A</v>
      </c>
      <c r="D290" s="2" t="str">
        <f>IF(ISERROR(MATCH(A290,'SegEnds_Xtal_Prot#'!B:B, 0)), "NoXtal", "Xtal")</f>
        <v>Xtal</v>
      </c>
      <c r="H290" s="4"/>
      <c r="I290" s="2" t="s">
        <v>21</v>
      </c>
      <c r="T290" s="4" t="s">
        <v>12</v>
      </c>
      <c r="V290" s="28" t="str">
        <f>MID(VLOOKUP($A290,Seqs!$A:$B,2,FALSE),VLOOKUP($A290,'SegEnds_NonXtal_Prot#'!A:AL,10,FALSE),1)</f>
        <v>D</v>
      </c>
      <c r="W290" s="49" t="str">
        <f>MID(VLOOKUP($A290,Seqs!$A:$B,2,FALSE),VLOOKUP($A290,'SegEnds_NonXtal_Prot#'!A:AL,10,FALSE)+6,1)</f>
        <v>A</v>
      </c>
      <c r="X290" s="49" t="str">
        <f>MID(VLOOKUP($A290,Seqs!$A:$B,2,FALSE),VLOOKUP($A290,'SegEnds_NonXtal_Prot#'!A:AL,10,FALSE)+7,1)</f>
        <v>Y</v>
      </c>
      <c r="Y290" s="49" t="str">
        <f>MID(VLOOKUP($A290,Seqs!$A:$B,2,FALSE),VLOOKUP($A290,'SegEnds_NonXtal_Prot#'!A:AL,10,FALSE)+8,1)</f>
        <v>T</v>
      </c>
      <c r="Z290" s="49" t="str">
        <f>MID(VLOOKUP($A290,Seqs!$A:$B,2,FALSE),VLOOKUP($A290,'SegEnds_NonXtal_Prot#'!A:AL,10,FALSE)+9,1)</f>
        <v>A</v>
      </c>
      <c r="AA290" s="49" t="str">
        <f>MID(VLOOKUP($A290,Seqs!$A:$B,2,FALSE),VLOOKUP($A290,'SegEnds_NonXtal_Prot#'!A:AL,10,FALSE)+10,1)</f>
        <v>N</v>
      </c>
      <c r="AB290" s="28" t="str">
        <f>MID(VLOOKUP($A290,Seqs!$A:$B,2,FALSE),VLOOKUP($A290,'SegEnds_NonXtal_Prot#'!$A:$AL,22,FALSE)+6,1)</f>
        <v>L</v>
      </c>
      <c r="AC290" s="49" t="str">
        <f>MID(VLOOKUP($A290,Seqs!$A:$B,2,FALSE),VLOOKUP($A290,'SegEnds_NonXtal_Prot#'!$A:$AL,22,FALSE)+7,1)</f>
        <v>G</v>
      </c>
      <c r="AD290" s="49" t="str">
        <f>MID(VLOOKUP($A290,Seqs!$A:$B,2,FALSE),VLOOKUP($A290,'SegEnds_NonXtal_Prot#'!$A:$AL,22,FALSE)+8,1)</f>
        <v>G</v>
      </c>
      <c r="AE290" s="49" t="str">
        <f>MID(VLOOKUP($A290,Seqs!$A:$B,2,FALSE),VLOOKUP($A290,'SegEnds_NonXtal_Prot#'!$A:$AL,22,FALSE)+9,1)</f>
        <v>L</v>
      </c>
      <c r="AF290" s="49" t="str">
        <f>MID(VLOOKUP($A290,Seqs!$A:$B,2,FALSE),VLOOKUP($A290,'SegEnds_NonXtal_Prot#'!$A:$AL,22,FALSE)+10,1)</f>
        <v>P</v>
      </c>
      <c r="AG290" s="28" t="str">
        <f>MID(VLOOKUP($A290,Seqs!$A:$B,2,FALSE),VLOOKUP($A290,'SegEnds_NonXtal_Prot#'!$A:$AL,28,FALSE)-4,1)</f>
        <v>V</v>
      </c>
      <c r="AH290" s="49" t="str">
        <f>MID(VLOOKUP($A290,Seqs!$A:$B,2,FALSE),VLOOKUP($A290,'SegEnds_NonXtal_Prot#'!$A:$AL,28,FALSE),1)</f>
        <v>L</v>
      </c>
    </row>
    <row r="291" spans="1:34" s="2" customFormat="1" x14ac:dyDescent="0.2">
      <c r="A291" s="2" t="s">
        <v>377</v>
      </c>
      <c r="B291" s="2" t="str">
        <f>LOWER(VLOOKUP(A291,Xtal_Templ!A:B,2,FALSE))</f>
        <v>s1pr1_human</v>
      </c>
      <c r="C291" s="2" t="str">
        <f>VLOOKUP(A291,Classification!A:D,2,FALSE)</f>
        <v>A</v>
      </c>
      <c r="D291" s="2" t="str">
        <f>IF(ISERROR(MATCH(A291,'SegEnds_Xtal_Prot#'!B:B, 0)), "NoXtal", "Xtal")</f>
        <v>NoXtal</v>
      </c>
      <c r="H291" s="4"/>
      <c r="I291" s="2" t="s">
        <v>21</v>
      </c>
      <c r="T291" s="4" t="s">
        <v>12</v>
      </c>
      <c r="V291" s="28" t="str">
        <f>MID(VLOOKUP($A291,Seqs!$A:$B,2,FALSE),VLOOKUP($A291,'SegEnds_NonXtal_Prot#'!A:AL,10,FALSE),1)</f>
        <v>D</v>
      </c>
      <c r="W291" s="49" t="str">
        <f>MID(VLOOKUP($A291,Seqs!$A:$B,2,FALSE),VLOOKUP($A291,'SegEnds_NonXtal_Prot#'!A:AL,10,FALSE)+6,1)</f>
        <v>A</v>
      </c>
      <c r="X291" s="49" t="str">
        <f>MID(VLOOKUP($A291,Seqs!$A:$B,2,FALSE),VLOOKUP($A291,'SegEnds_NonXtal_Prot#'!A:AL,10,FALSE)+7,1)</f>
        <v>F</v>
      </c>
      <c r="Y291" s="49" t="str">
        <f>MID(VLOOKUP($A291,Seqs!$A:$B,2,FALSE),VLOOKUP($A291,'SegEnds_NonXtal_Prot#'!A:AL,10,FALSE)+8,1)</f>
        <v>V</v>
      </c>
      <c r="Z291" s="49" t="str">
        <f>MID(VLOOKUP($A291,Seqs!$A:$B,2,FALSE),VLOOKUP($A291,'SegEnds_NonXtal_Prot#'!A:AL,10,FALSE)+9,1)</f>
        <v>A</v>
      </c>
      <c r="AA291" s="49" t="str">
        <f>MID(VLOOKUP($A291,Seqs!$A:$B,2,FALSE),VLOOKUP($A291,'SegEnds_NonXtal_Prot#'!A:AL,10,FALSE)+10,1)</f>
        <v>N</v>
      </c>
      <c r="AB291" s="28" t="str">
        <f>MID(VLOOKUP($A291,Seqs!$A:$B,2,FALSE),VLOOKUP($A291,'SegEnds_NonXtal_Prot#'!$A:$AL,22,FALSE)+6,1)</f>
        <v>L</v>
      </c>
      <c r="AC291" s="49" t="str">
        <f>MID(VLOOKUP($A291,Seqs!$A:$B,2,FALSE),VLOOKUP($A291,'SegEnds_NonXtal_Prot#'!$A:$AL,22,FALSE)+7,1)</f>
        <v>G</v>
      </c>
      <c r="AD291" s="49" t="str">
        <f>MID(VLOOKUP($A291,Seqs!$A:$B,2,FALSE),VLOOKUP($A291,'SegEnds_NonXtal_Prot#'!$A:$AL,22,FALSE)+8,1)</f>
        <v>G</v>
      </c>
      <c r="AE291" s="49" t="str">
        <f>MID(VLOOKUP($A291,Seqs!$A:$B,2,FALSE),VLOOKUP($A291,'SegEnds_NonXtal_Prot#'!$A:$AL,22,FALSE)+9,1)</f>
        <v>L</v>
      </c>
      <c r="AF291" s="49" t="str">
        <f>MID(VLOOKUP($A291,Seqs!$A:$B,2,FALSE),VLOOKUP($A291,'SegEnds_NonXtal_Prot#'!$A:$AL,22,FALSE)+10,1)</f>
        <v>P</v>
      </c>
      <c r="AG291" s="28" t="str">
        <f>MID(VLOOKUP($A291,Seqs!$A:$B,2,FALSE),VLOOKUP($A291,'SegEnds_NonXtal_Prot#'!$A:$AL,28,FALSE)-4,1)</f>
        <v>I</v>
      </c>
      <c r="AH291" s="49" t="str">
        <f>MID(VLOOKUP($A291,Seqs!$A:$B,2,FALSE),VLOOKUP($A291,'SegEnds_NonXtal_Prot#'!$A:$AL,28,FALSE),1)</f>
        <v>I</v>
      </c>
    </row>
    <row r="292" spans="1:34" s="2" customFormat="1" x14ac:dyDescent="0.2">
      <c r="A292" s="2" t="s">
        <v>378</v>
      </c>
      <c r="B292" s="2" t="str">
        <f>LOWER(VLOOKUP(A292,Xtal_Templ!A:B,2,FALSE))</f>
        <v>s1pr1_human</v>
      </c>
      <c r="C292" s="2" t="str">
        <f>VLOOKUP(A292,Classification!A:D,2,FALSE)</f>
        <v>A</v>
      </c>
      <c r="D292" s="2" t="str">
        <f>IF(ISERROR(MATCH(A292,'SegEnds_Xtal_Prot#'!B:B, 0)), "NoXtal", "Xtal")</f>
        <v>NoXtal</v>
      </c>
      <c r="H292" s="4"/>
      <c r="I292" s="2" t="s">
        <v>21</v>
      </c>
      <c r="T292" s="4" t="s">
        <v>12</v>
      </c>
      <c r="V292" s="28" t="str">
        <f>MID(VLOOKUP($A292,Seqs!$A:$B,2,FALSE),VLOOKUP($A292,'SegEnds_NonXtal_Prot#'!A:AL,10,FALSE),1)</f>
        <v>D</v>
      </c>
      <c r="W292" s="49" t="str">
        <f>MID(VLOOKUP($A292,Seqs!$A:$B,2,FALSE),VLOOKUP($A292,'SegEnds_NonXtal_Prot#'!A:AL,10,FALSE)+6,1)</f>
        <v>A</v>
      </c>
      <c r="X292" s="49" t="str">
        <f>MID(VLOOKUP($A292,Seqs!$A:$B,2,FALSE),VLOOKUP($A292,'SegEnds_NonXtal_Prot#'!A:AL,10,FALSE)+7,1)</f>
        <v>Y</v>
      </c>
      <c r="Y292" s="49" t="str">
        <f>MID(VLOOKUP($A292,Seqs!$A:$B,2,FALSE),VLOOKUP($A292,'SegEnds_NonXtal_Prot#'!A:AL,10,FALSE)+8,1)</f>
        <v>K</v>
      </c>
      <c r="Z292" s="49" t="str">
        <f>MID(VLOOKUP($A292,Seqs!$A:$B,2,FALSE),VLOOKUP($A292,'SegEnds_NonXtal_Prot#'!A:AL,10,FALSE)+9,1)</f>
        <v>V</v>
      </c>
      <c r="AA292" s="49" t="str">
        <f>MID(VLOOKUP($A292,Seqs!$A:$B,2,FALSE),VLOOKUP($A292,'SegEnds_NonXtal_Prot#'!A:AL,10,FALSE)+10,1)</f>
        <v>N</v>
      </c>
      <c r="AB292" s="28" t="str">
        <f>MID(VLOOKUP($A292,Seqs!$A:$B,2,FALSE),VLOOKUP($A292,'SegEnds_NonXtal_Prot#'!$A:$AL,22,FALSE)+6,1)</f>
        <v>L</v>
      </c>
      <c r="AC292" s="49" t="str">
        <f>MID(VLOOKUP($A292,Seqs!$A:$B,2,FALSE),VLOOKUP($A292,'SegEnds_NonXtal_Prot#'!$A:$AL,22,FALSE)+7,1)</f>
        <v>G</v>
      </c>
      <c r="AD292" s="49" t="str">
        <f>MID(VLOOKUP($A292,Seqs!$A:$B,2,FALSE),VLOOKUP($A292,'SegEnds_NonXtal_Prot#'!$A:$AL,22,FALSE)+8,1)</f>
        <v>A</v>
      </c>
      <c r="AE292" s="49" t="str">
        <f>MID(VLOOKUP($A292,Seqs!$A:$B,2,FALSE),VLOOKUP($A292,'SegEnds_NonXtal_Prot#'!$A:$AL,22,FALSE)+9,1)</f>
        <v>L</v>
      </c>
      <c r="AF292" s="49" t="str">
        <f>MID(VLOOKUP($A292,Seqs!$A:$B,2,FALSE),VLOOKUP($A292,'SegEnds_NonXtal_Prot#'!$A:$AL,22,FALSE)+10,1)</f>
        <v>P</v>
      </c>
      <c r="AG292" s="28" t="str">
        <f>MID(VLOOKUP($A292,Seqs!$A:$B,2,FALSE),VLOOKUP($A292,'SegEnds_NonXtal_Prot#'!$A:$AL,28,FALSE)-4,1)</f>
        <v>I</v>
      </c>
      <c r="AH292" s="49" t="str">
        <f>MID(VLOOKUP($A292,Seqs!$A:$B,2,FALSE),VLOOKUP($A292,'SegEnds_NonXtal_Prot#'!$A:$AL,28,FALSE),1)</f>
        <v>I</v>
      </c>
    </row>
    <row r="293" spans="1:34" s="2" customFormat="1" x14ac:dyDescent="0.2">
      <c r="A293" s="2" t="s">
        <v>379</v>
      </c>
      <c r="B293" s="2" t="str">
        <f>LOWER(VLOOKUP(A293,Xtal_Templ!A:B,2,FALSE))</f>
        <v>s1pr1_human</v>
      </c>
      <c r="C293" s="2" t="str">
        <f>VLOOKUP(A293,Classification!A:D,2,FALSE)</f>
        <v>A</v>
      </c>
      <c r="D293" s="2" t="str">
        <f>IF(ISERROR(MATCH(A293,'SegEnds_Xtal_Prot#'!B:B, 0)), "NoXtal", "Xtal")</f>
        <v>NoXtal</v>
      </c>
      <c r="H293" s="4"/>
      <c r="I293" s="2" t="s">
        <v>21</v>
      </c>
      <c r="T293" s="4" t="s">
        <v>12</v>
      </c>
      <c r="V293" s="28" t="str">
        <f>MID(VLOOKUP($A293,Seqs!$A:$B,2,FALSE),VLOOKUP($A293,'SegEnds_NonXtal_Prot#'!A:AL,10,FALSE),1)</f>
        <v>D</v>
      </c>
      <c r="W293" s="49" t="str">
        <f>MID(VLOOKUP($A293,Seqs!$A:$B,2,FALSE),VLOOKUP($A293,'SegEnds_NonXtal_Prot#'!A:AL,10,FALSE)+6,1)</f>
        <v>A</v>
      </c>
      <c r="X293" s="49" t="str">
        <f>MID(VLOOKUP($A293,Seqs!$A:$B,2,FALSE),VLOOKUP($A293,'SegEnds_NonXtal_Prot#'!A:AL,10,FALSE)+7,1)</f>
        <v>Y</v>
      </c>
      <c r="Y293" s="49" t="str">
        <f>MID(VLOOKUP($A293,Seqs!$A:$B,2,FALSE),VLOOKUP($A293,'SegEnds_NonXtal_Prot#'!A:AL,10,FALSE)+8,1)</f>
        <v>L</v>
      </c>
      <c r="Z293" s="49" t="str">
        <f>MID(VLOOKUP($A293,Seqs!$A:$B,2,FALSE),VLOOKUP($A293,'SegEnds_NonXtal_Prot#'!A:AL,10,FALSE)+9,1)</f>
        <v>A</v>
      </c>
      <c r="AA293" s="49" t="str">
        <f>MID(VLOOKUP($A293,Seqs!$A:$B,2,FALSE),VLOOKUP($A293,'SegEnds_NonXtal_Prot#'!A:AL,10,FALSE)+10,1)</f>
        <v>N</v>
      </c>
      <c r="AB293" s="28" t="str">
        <f>MID(VLOOKUP($A293,Seqs!$A:$B,2,FALSE),VLOOKUP($A293,'SegEnds_NonXtal_Prot#'!$A:$AL,22,FALSE)+6,1)</f>
        <v>L</v>
      </c>
      <c r="AC293" s="49" t="str">
        <f>MID(VLOOKUP($A293,Seqs!$A:$B,2,FALSE),VLOOKUP($A293,'SegEnds_NonXtal_Prot#'!$A:$AL,22,FALSE)+7,1)</f>
        <v>G</v>
      </c>
      <c r="AD293" s="49" t="str">
        <f>MID(VLOOKUP($A293,Seqs!$A:$B,2,FALSE),VLOOKUP($A293,'SegEnds_NonXtal_Prot#'!$A:$AL,22,FALSE)+8,1)</f>
        <v>M</v>
      </c>
      <c r="AE293" s="49" t="str">
        <f>MID(VLOOKUP($A293,Seqs!$A:$B,2,FALSE),VLOOKUP($A293,'SegEnds_NonXtal_Prot#'!$A:$AL,22,FALSE)+9,1)</f>
        <v>L</v>
      </c>
      <c r="AF293" s="49" t="str">
        <f>MID(VLOOKUP($A293,Seqs!$A:$B,2,FALSE),VLOOKUP($A293,'SegEnds_NonXtal_Prot#'!$A:$AL,22,FALSE)+10,1)</f>
        <v>P</v>
      </c>
      <c r="AG293" s="28" t="str">
        <f>MID(VLOOKUP($A293,Seqs!$A:$B,2,FALSE),VLOOKUP($A293,'SegEnds_NonXtal_Prot#'!$A:$AL,28,FALSE)-4,1)</f>
        <v>I</v>
      </c>
      <c r="AH293" s="49" t="str">
        <f>MID(VLOOKUP($A293,Seqs!$A:$B,2,FALSE),VLOOKUP($A293,'SegEnds_NonXtal_Prot#'!$A:$AL,28,FALSE),1)</f>
        <v>V</v>
      </c>
    </row>
    <row r="294" spans="1:34" s="2" customFormat="1" x14ac:dyDescent="0.2">
      <c r="A294" s="2" t="s">
        <v>380</v>
      </c>
      <c r="B294" s="2" t="str">
        <f>LOWER(VLOOKUP(A294,Xtal_Templ!A:B,2,FALSE))</f>
        <v>s1pr1_human</v>
      </c>
      <c r="C294" s="2" t="str">
        <f>VLOOKUP(A294,Classification!A:D,2,FALSE)</f>
        <v>A</v>
      </c>
      <c r="D294" s="2" t="str">
        <f>IF(ISERROR(MATCH(A294,'SegEnds_Xtal_Prot#'!B:B, 0)), "NoXtal", "Xtal")</f>
        <v>NoXtal</v>
      </c>
      <c r="H294" s="4"/>
      <c r="I294" s="2" t="s">
        <v>21</v>
      </c>
      <c r="T294" s="4" t="s">
        <v>12</v>
      </c>
      <c r="V294" s="28" t="str">
        <f>MID(VLOOKUP($A294,Seqs!$A:$B,2,FALSE),VLOOKUP($A294,'SegEnds_NonXtal_Prot#'!A:AL,10,FALSE),1)</f>
        <v>D</v>
      </c>
      <c r="W294" s="49" t="str">
        <f>MID(VLOOKUP($A294,Seqs!$A:$B,2,FALSE),VLOOKUP($A294,'SegEnds_NonXtal_Prot#'!A:AL,10,FALSE)+6,1)</f>
        <v>A</v>
      </c>
      <c r="X294" s="49" t="str">
        <f>MID(VLOOKUP($A294,Seqs!$A:$B,2,FALSE),VLOOKUP($A294,'SegEnds_NonXtal_Prot#'!A:AL,10,FALSE)+7,1)</f>
        <v>Y</v>
      </c>
      <c r="Y294" s="49" t="str">
        <f>MID(VLOOKUP($A294,Seqs!$A:$B,2,FALSE),VLOOKUP($A294,'SegEnds_NonXtal_Prot#'!A:AL,10,FALSE)+8,1)</f>
        <v>A</v>
      </c>
      <c r="Z294" s="49" t="str">
        <f>MID(VLOOKUP($A294,Seqs!$A:$B,2,FALSE),VLOOKUP($A294,'SegEnds_NonXtal_Prot#'!A:AL,10,FALSE)+9,1)</f>
        <v>A</v>
      </c>
      <c r="AA294" s="49" t="str">
        <f>MID(VLOOKUP($A294,Seqs!$A:$B,2,FALSE),VLOOKUP($A294,'SegEnds_NonXtal_Prot#'!A:AL,10,FALSE)+10,1)</f>
        <v>N</v>
      </c>
      <c r="AB294" s="28" t="str">
        <f>MID(VLOOKUP($A294,Seqs!$A:$B,2,FALSE),VLOOKUP($A294,'SegEnds_NonXtal_Prot#'!$A:$AL,22,FALSE)+6,1)</f>
        <v>L</v>
      </c>
      <c r="AC294" s="49" t="str">
        <f>MID(VLOOKUP($A294,Seqs!$A:$B,2,FALSE),VLOOKUP($A294,'SegEnds_NonXtal_Prot#'!$A:$AL,22,FALSE)+7,1)</f>
        <v>G</v>
      </c>
      <c r="AD294" s="49" t="str">
        <f>MID(VLOOKUP($A294,Seqs!$A:$B,2,FALSE),VLOOKUP($A294,'SegEnds_NonXtal_Prot#'!$A:$AL,22,FALSE)+8,1)</f>
        <v>L</v>
      </c>
      <c r="AE294" s="49" t="str">
        <f>MID(VLOOKUP($A294,Seqs!$A:$B,2,FALSE),VLOOKUP($A294,'SegEnds_NonXtal_Prot#'!$A:$AL,22,FALSE)+9,1)</f>
        <v>L</v>
      </c>
      <c r="AF294" s="49" t="str">
        <f>MID(VLOOKUP($A294,Seqs!$A:$B,2,FALSE),VLOOKUP($A294,'SegEnds_NonXtal_Prot#'!$A:$AL,22,FALSE)+10,1)</f>
        <v>P</v>
      </c>
      <c r="AG294" s="28" t="str">
        <f>MID(VLOOKUP($A294,Seqs!$A:$B,2,FALSE),VLOOKUP($A294,'SegEnds_NonXtal_Prot#'!$A:$AL,28,FALSE)-4,1)</f>
        <v>A</v>
      </c>
      <c r="AH294" s="49" t="str">
        <f>MID(VLOOKUP($A294,Seqs!$A:$B,2,FALSE),VLOOKUP($A294,'SegEnds_NonXtal_Prot#'!$A:$AL,28,FALSE),1)</f>
        <v>I</v>
      </c>
    </row>
    <row r="295" spans="1:34" s="2" customFormat="1" x14ac:dyDescent="0.2">
      <c r="A295" s="2" t="s">
        <v>473</v>
      </c>
      <c r="B295" s="2" t="str">
        <f>LOWER(VLOOKUP(A295,Xtal_Templ!A:B,2,FALSE))</f>
        <v>ta2r_human</v>
      </c>
      <c r="C295" s="2" t="str">
        <f>VLOOKUP(A295,Classification!A:D,2,FALSE)</f>
        <v>A</v>
      </c>
      <c r="D295" s="2" t="str">
        <f>IF(ISERROR(MATCH(A295,'SegEnds_Xtal_Prot#'!B:B, 0)), "NoXtal", "Xtal")</f>
        <v>Xtal</v>
      </c>
      <c r="G295" s="2" t="s">
        <v>5</v>
      </c>
      <c r="H295" s="4"/>
      <c r="I295" s="2" t="s">
        <v>21</v>
      </c>
      <c r="S295" s="2" t="s">
        <v>1328</v>
      </c>
      <c r="T295" s="4" t="s">
        <v>12</v>
      </c>
      <c r="V295" s="28" t="str">
        <f>MID(VLOOKUP($A295,Seqs!$A:$B,2,FALSE),VLOOKUP($A295,'SegEnds_NonXtal_Prot#'!A:AL,10,FALSE),1)</f>
        <v>D</v>
      </c>
      <c r="W295" s="49" t="str">
        <f>MID(VLOOKUP($A295,Seqs!$A:$B,2,FALSE),VLOOKUP($A295,'SegEnds_NonXtal_Prot#'!A:AL,10,FALSE)+6,1)</f>
        <v>V</v>
      </c>
      <c r="X295" s="49" t="str">
        <f>MID(VLOOKUP($A295,Seqs!$A:$B,2,FALSE),VLOOKUP($A295,'SegEnds_NonXtal_Prot#'!A:AL,10,FALSE)+7,1)</f>
        <v>T</v>
      </c>
      <c r="Y295" s="49" t="str">
        <f>MID(VLOOKUP($A295,Seqs!$A:$B,2,FALSE),VLOOKUP($A295,'SegEnds_NonXtal_Prot#'!A:AL,10,FALSE)+8,1)</f>
        <v>G</v>
      </c>
      <c r="Z295" s="49" t="str">
        <f>MID(VLOOKUP($A295,Seqs!$A:$B,2,FALSE),VLOOKUP($A295,'SegEnds_NonXtal_Prot#'!A:AL,10,FALSE)+9,1)</f>
        <v>T</v>
      </c>
      <c r="AA295" s="49" t="str">
        <f>MID(VLOOKUP($A295,Seqs!$A:$B,2,FALSE),VLOOKUP($A295,'SegEnds_NonXtal_Prot#'!A:AL,10,FALSE)+10,1)</f>
        <v>I</v>
      </c>
      <c r="AB295" s="28" t="str">
        <f>MID(VLOOKUP($A295,Seqs!$A:$B,2,FALSE),VLOOKUP($A295,'SegEnds_NonXtal_Prot#'!$A:$AL,22,FALSE)+6,1)</f>
        <v>L</v>
      </c>
      <c r="AC295" s="49" t="str">
        <f>MID(VLOOKUP($A295,Seqs!$A:$B,2,FALSE),VLOOKUP($A295,'SegEnds_NonXtal_Prot#'!$A:$AL,22,FALSE)+7,1)</f>
        <v>G</v>
      </c>
      <c r="AD295" s="49" t="str">
        <f>MID(VLOOKUP($A295,Seqs!$A:$B,2,FALSE),VLOOKUP($A295,'SegEnds_NonXtal_Prot#'!$A:$AL,22,FALSE)+8,1)</f>
        <v>L</v>
      </c>
      <c r="AE295" s="49" t="str">
        <f>MID(VLOOKUP($A295,Seqs!$A:$B,2,FALSE),VLOOKUP($A295,'SegEnds_NonXtal_Prot#'!$A:$AL,22,FALSE)+9,1)</f>
        <v>L</v>
      </c>
      <c r="AF295" s="49" t="str">
        <f>MID(VLOOKUP($A295,Seqs!$A:$B,2,FALSE),VLOOKUP($A295,'SegEnds_NonXtal_Prot#'!$A:$AL,22,FALSE)+10,1)</f>
        <v>P</v>
      </c>
      <c r="AG295" s="28" t="str">
        <f>MID(VLOOKUP($A295,Seqs!$A:$B,2,FALSE),VLOOKUP($A295,'SegEnds_NonXtal_Prot#'!$A:$AL,28,FALSE)-4,1)</f>
        <v>L</v>
      </c>
      <c r="AH295" s="49" t="str">
        <f>MID(VLOOKUP($A295,Seqs!$A:$B,2,FALSE),VLOOKUP($A295,'SegEnds_NonXtal_Prot#'!$A:$AL,28,FALSE),1)</f>
        <v>S</v>
      </c>
    </row>
    <row r="296" spans="1:34" s="2" customFormat="1" x14ac:dyDescent="0.2">
      <c r="A296" s="2" t="s">
        <v>221</v>
      </c>
      <c r="B296" s="2" t="str">
        <f>LOWER(VLOOKUP(A296,Xtal_Templ!A:B,2,FALSE))</f>
        <v>s1pr1_human</v>
      </c>
      <c r="C296" s="2" t="str">
        <f>VLOOKUP(A296,Classification!A:D,2,FALSE)</f>
        <v>A</v>
      </c>
      <c r="D296" s="2" t="str">
        <f>IF(ISERROR(MATCH(A296,'SegEnds_Xtal_Prot#'!B:B, 0)), "NoXtal", "Xtal")</f>
        <v>NoXtal</v>
      </c>
      <c r="H296" s="4"/>
      <c r="R296" s="2" t="s">
        <v>9</v>
      </c>
      <c r="T296" s="4" t="s">
        <v>12</v>
      </c>
      <c r="V296" s="28" t="str">
        <f>MID(VLOOKUP($A296,Seqs!$A:$B,2,FALSE),VLOOKUP($A296,'SegEnds_NonXtal_Prot#'!A:AL,10,FALSE),1)</f>
        <v>Q</v>
      </c>
      <c r="W296" s="49" t="str">
        <f>MID(VLOOKUP($A296,Seqs!$A:$B,2,FALSE),VLOOKUP($A296,'SegEnds_NonXtal_Prot#'!A:AL,10,FALSE)+6,1)</f>
        <v>S</v>
      </c>
      <c r="X296" s="49" t="str">
        <f>MID(VLOOKUP($A296,Seqs!$A:$B,2,FALSE),VLOOKUP($A296,'SegEnds_NonXtal_Prot#'!A:AL,10,FALSE)+7,1)</f>
        <v>M</v>
      </c>
      <c r="Y296" s="49" t="str">
        <f>MID(VLOOKUP($A296,Seqs!$A:$B,2,FALSE),VLOOKUP($A296,'SegEnds_NonXtal_Prot#'!A:AL,10,FALSE)+8,1)</f>
        <v>L</v>
      </c>
      <c r="Z296" s="49" t="str">
        <f>MID(VLOOKUP($A296,Seqs!$A:$B,2,FALSE),VLOOKUP($A296,'SegEnds_NonXtal_Prot#'!A:AL,10,FALSE)+9,1)</f>
        <v>V</v>
      </c>
      <c r="AA296" s="49" t="str">
        <f>MID(VLOOKUP($A296,Seqs!$A:$B,2,FALSE),VLOOKUP($A296,'SegEnds_NonXtal_Prot#'!A:AL,10,FALSE)+10,1)</f>
        <v>A</v>
      </c>
      <c r="AB296" s="28" t="str">
        <f>MID(VLOOKUP($A296,Seqs!$A:$B,2,FALSE),VLOOKUP($A296,'SegEnds_NonXtal_Prot#'!$A:$AL,22,FALSE)+6,1)</f>
        <v>L</v>
      </c>
      <c r="AC296" s="49" t="str">
        <f>MID(VLOOKUP($A296,Seqs!$A:$B,2,FALSE),VLOOKUP($A296,'SegEnds_NonXtal_Prot#'!$A:$AL,22,FALSE)+7,1)</f>
        <v>S</v>
      </c>
      <c r="AD296" s="49" t="str">
        <f>MID(VLOOKUP($A296,Seqs!$A:$B,2,FALSE),VLOOKUP($A296,'SegEnds_NonXtal_Prot#'!$A:$AL,22,FALSE)+8,1)</f>
        <v>A</v>
      </c>
      <c r="AE296" s="49" t="str">
        <f>MID(VLOOKUP($A296,Seqs!$A:$B,2,FALSE),VLOOKUP($A296,'SegEnds_NonXtal_Prot#'!$A:$AL,22,FALSE)+9,1)</f>
        <v>L</v>
      </c>
      <c r="AF296" s="49" t="str">
        <f>MID(VLOOKUP($A296,Seqs!$A:$B,2,FALSE),VLOOKUP($A296,'SegEnds_NonXtal_Prot#'!$A:$AL,22,FALSE)+10,1)</f>
        <v>P</v>
      </c>
      <c r="AG296" s="28" t="str">
        <f>MID(VLOOKUP($A296,Seqs!$A:$B,2,FALSE),VLOOKUP($A296,'SegEnds_NonXtal_Prot#'!$A:$AL,28,FALSE)-4,1)</f>
        <v>G</v>
      </c>
      <c r="AH296" s="49" t="str">
        <f>MID(VLOOKUP($A296,Seqs!$A:$B,2,FALSE),VLOOKUP($A296,'SegEnds_NonXtal_Prot#'!$A:$AL,28,FALSE),1)</f>
        <v>P</v>
      </c>
    </row>
    <row r="297" spans="1:34" s="2" customFormat="1" x14ac:dyDescent="0.2">
      <c r="A297" s="2" t="s">
        <v>924</v>
      </c>
      <c r="B297" s="2" t="str">
        <f>LOWER(VLOOKUP(A297,Xtal_Templ!A:B,2,FALSE))</f>
        <v>us28_hcmva</v>
      </c>
      <c r="C297" s="2" t="str">
        <f>VLOOKUP(A297,Classification!A:D,2,FALSE)</f>
        <v>A</v>
      </c>
      <c r="D297" s="2" t="str">
        <f>IF(ISERROR(MATCH(A297,'SegEnds_Xtal_Prot#'!B:B, 0)), "NoXtal", "Xtal")</f>
        <v>Xtal</v>
      </c>
      <c r="H297" s="4"/>
      <c r="N297" s="2" t="s">
        <v>14</v>
      </c>
      <c r="R297" s="2" t="s">
        <v>9</v>
      </c>
      <c r="T297" s="4" t="s">
        <v>12</v>
      </c>
      <c r="V297" s="28" t="str">
        <f>MID(VLOOKUP($A297,Seqs!$A:$B,2,FALSE),VLOOKUP($A297,'SegEnds_NonXtal_Prot#'!A:AL,10,FALSE),1)</f>
        <v>D</v>
      </c>
      <c r="W297" s="49" t="str">
        <f>MID(VLOOKUP($A297,Seqs!$A:$B,2,FALSE),VLOOKUP($A297,'SegEnds_NonXtal_Prot#'!A:AL,10,FALSE)+6,1)</f>
        <v>T</v>
      </c>
      <c r="X297" s="49" t="str">
        <f>MID(VLOOKUP($A297,Seqs!$A:$B,2,FALSE),VLOOKUP($A297,'SegEnds_NonXtal_Prot#'!A:AL,10,FALSE)+7,1)</f>
        <v>L</v>
      </c>
      <c r="Y297" s="49" t="str">
        <f>MID(VLOOKUP($A297,Seqs!$A:$B,2,FALSE),VLOOKUP($A297,'SegEnds_NonXtal_Prot#'!A:AL,10,FALSE)+8,1)</f>
        <v>P</v>
      </c>
      <c r="Z297" s="49" t="str">
        <f>MID(VLOOKUP($A297,Seqs!$A:$B,2,FALSE),VLOOKUP($A297,'SegEnds_NonXtal_Prot#'!A:AL,10,FALSE)+9,1)</f>
        <v>L</v>
      </c>
      <c r="AA297" s="49" t="str">
        <f>MID(VLOOKUP($A297,Seqs!$A:$B,2,FALSE),VLOOKUP($A297,'SegEnds_NonXtal_Prot#'!A:AL,10,FALSE)+10,1)</f>
        <v>W</v>
      </c>
      <c r="AB297" s="28" t="str">
        <f>MID(VLOOKUP($A297,Seqs!$A:$B,2,FALSE),VLOOKUP($A297,'SegEnds_NonXtal_Prot#'!$A:$AL,22,FALSE)+6,1)</f>
        <v>I</v>
      </c>
      <c r="AC297" s="49" t="str">
        <f>MID(VLOOKUP($A297,Seqs!$A:$B,2,FALSE),VLOOKUP($A297,'SegEnds_NonXtal_Prot#'!$A:$AL,22,FALSE)+7,1)</f>
        <v>A</v>
      </c>
      <c r="AD297" s="49" t="str">
        <f>MID(VLOOKUP($A297,Seqs!$A:$B,2,FALSE),VLOOKUP($A297,'SegEnds_NonXtal_Prot#'!$A:$AL,22,FALSE)+8,1)</f>
        <v>I</v>
      </c>
      <c r="AE297" s="49" t="str">
        <f>MID(VLOOKUP($A297,Seqs!$A:$B,2,FALSE),VLOOKUP($A297,'SegEnds_NonXtal_Prot#'!$A:$AL,22,FALSE)+9,1)</f>
        <v>P</v>
      </c>
      <c r="AF297" s="49" t="str">
        <f>MID(VLOOKUP($A297,Seqs!$A:$B,2,FALSE),VLOOKUP($A297,'SegEnds_NonXtal_Prot#'!$A:$AL,22,FALSE)+10,1)</f>
        <v>H</v>
      </c>
      <c r="AG297" s="28" t="str">
        <f>MID(VLOOKUP($A297,Seqs!$A:$B,2,FALSE),VLOOKUP($A297,'SegEnds_NonXtal_Prot#'!$A:$AL,28,FALSE)-4,1)</f>
        <v>A</v>
      </c>
      <c r="AH297" s="49" t="str">
        <f>MID(VLOOKUP($A297,Seqs!$A:$B,2,FALSE),VLOOKUP($A297,'SegEnds_NonXtal_Prot#'!$A:$AL,28,FALSE),1)</f>
        <v>P</v>
      </c>
    </row>
    <row r="298" spans="1:34" s="2" customFormat="1" x14ac:dyDescent="0.2">
      <c r="A298" s="2" t="s">
        <v>1523</v>
      </c>
      <c r="B298" s="2" t="str">
        <f>LOWER(VLOOKUP(A298,Xtal_Templ!A:B,2,FALSE))</f>
        <v>q80km9_hcmv</v>
      </c>
      <c r="C298" s="2" t="str">
        <f>VLOOKUP(A298,Classification!A:D,2,FALSE)</f>
        <v>A</v>
      </c>
      <c r="D298" s="2" t="str">
        <f>IF(ISERROR(MATCH(A298,'SegEnds_Xtal_Prot#'!B:B, 0)), "NoXtal", "Xtal")</f>
        <v>Xtal</v>
      </c>
      <c r="H298" s="4"/>
      <c r="N298" s="2" t="s">
        <v>14</v>
      </c>
      <c r="R298" s="2" t="s">
        <v>9</v>
      </c>
      <c r="T298" s="4" t="s">
        <v>12</v>
      </c>
      <c r="V298" s="28" t="str">
        <f>MID(VLOOKUP($A298,Seqs!$A:$B,2,FALSE),VLOOKUP($A298,'SegEnds_NonXtal_Prot#'!A:AL,10,FALSE),1)</f>
        <v>D</v>
      </c>
      <c r="W298" s="49" t="str">
        <f>MID(VLOOKUP($A298,Seqs!$A:$B,2,FALSE),VLOOKUP($A298,'SegEnds_NonXtal_Prot#'!A:AL,10,FALSE)+6,1)</f>
        <v>T</v>
      </c>
      <c r="X298" s="49" t="str">
        <f>MID(VLOOKUP($A298,Seqs!$A:$B,2,FALSE),VLOOKUP($A298,'SegEnds_NonXtal_Prot#'!A:AL,10,FALSE)+7,1)</f>
        <v>L</v>
      </c>
      <c r="Y298" s="49" t="str">
        <f>MID(VLOOKUP($A298,Seqs!$A:$B,2,FALSE),VLOOKUP($A298,'SegEnds_NonXtal_Prot#'!A:AL,10,FALSE)+8,1)</f>
        <v>P</v>
      </c>
      <c r="Z298" s="49" t="str">
        <f>MID(VLOOKUP($A298,Seqs!$A:$B,2,FALSE),VLOOKUP($A298,'SegEnds_NonXtal_Prot#'!A:AL,10,FALSE)+9,1)</f>
        <v>L</v>
      </c>
      <c r="AA298" s="49" t="str">
        <f>MID(VLOOKUP($A298,Seqs!$A:$B,2,FALSE),VLOOKUP($A298,'SegEnds_NonXtal_Prot#'!A:AL,10,FALSE)+10,1)</f>
        <v>W</v>
      </c>
      <c r="AB298" s="28" t="str">
        <f>MID(VLOOKUP($A298,Seqs!$A:$B,2,FALSE),VLOOKUP($A298,'SegEnds_NonXtal_Prot#'!$A:$AL,22,FALSE)+6,1)</f>
        <v>I</v>
      </c>
      <c r="AC298" s="49" t="str">
        <f>MID(VLOOKUP($A298,Seqs!$A:$B,2,FALSE),VLOOKUP($A298,'SegEnds_NonXtal_Prot#'!$A:$AL,22,FALSE)+7,1)</f>
        <v>A</v>
      </c>
      <c r="AD298" s="49" t="str">
        <f>MID(VLOOKUP($A298,Seqs!$A:$B,2,FALSE),VLOOKUP($A298,'SegEnds_NonXtal_Prot#'!$A:$AL,22,FALSE)+8,1)</f>
        <v>I</v>
      </c>
      <c r="AE298" s="49" t="str">
        <f>MID(VLOOKUP($A298,Seqs!$A:$B,2,FALSE),VLOOKUP($A298,'SegEnds_NonXtal_Prot#'!$A:$AL,22,FALSE)+9,1)</f>
        <v>P</v>
      </c>
      <c r="AF298" s="49" t="str">
        <f>MID(VLOOKUP($A298,Seqs!$A:$B,2,FALSE),VLOOKUP($A298,'SegEnds_NonXtal_Prot#'!$A:$AL,22,FALSE)+10,1)</f>
        <v>H</v>
      </c>
      <c r="AG298" s="28" t="str">
        <f>MID(VLOOKUP($A298,Seqs!$A:$B,2,FALSE),VLOOKUP($A298,'SegEnds_NonXtal_Prot#'!$A:$AL,28,FALSE)-4,1)</f>
        <v>A</v>
      </c>
      <c r="AH298" s="49" t="str">
        <f>MID(VLOOKUP($A298,Seqs!$A:$B,2,FALSE),VLOOKUP($A298,'SegEnds_NonXtal_Prot#'!$A:$AL,28,FALSE),1)</f>
        <v>P</v>
      </c>
    </row>
    <row r="299" spans="1:34" s="2" customFormat="1" x14ac:dyDescent="0.2">
      <c r="A299" s="2" t="s">
        <v>401</v>
      </c>
      <c r="B299" s="2" t="str">
        <f>LOWER(VLOOKUP(A299,Xtal_Templ!A:B,2,FALSE))</f>
        <v>calcr_human</v>
      </c>
      <c r="C299" s="2" t="str">
        <f>VLOOKUP(A299,Classification!A:D,2,FALSE)</f>
        <v>B1</v>
      </c>
      <c r="D299" s="2" t="str">
        <f>IF(ISERROR(MATCH(A299,'SegEnds_Xtal_Prot#'!B:B, 0)), "NoXtal", "Xtal")</f>
        <v>Xtal</v>
      </c>
      <c r="H299" s="4"/>
      <c r="J299" s="106" t="s">
        <v>25</v>
      </c>
      <c r="P299" s="2" t="s">
        <v>1329</v>
      </c>
      <c r="T299" s="4" t="s">
        <v>12</v>
      </c>
      <c r="V299" s="28" t="str">
        <f>MID(VLOOKUP($A299,Seqs!$A:$B,2,FALSE),VLOOKUP($A299,'SegEnds_NonXtal_Prot#'!A:AL,10,FALSE),1)</f>
        <v>Y</v>
      </c>
      <c r="W299" s="49" t="str">
        <f>MID(VLOOKUP($A299,Seqs!$A:$B,2,FALSE),VLOOKUP($A299,'SegEnds_NonXtal_Prot#'!A:AL,10,FALSE)+6,1)</f>
        <v>I</v>
      </c>
      <c r="X299" s="49" t="str">
        <f>MID(VLOOKUP($A299,Seqs!$A:$B,2,FALSE),VLOOKUP($A299,'SegEnds_NonXtal_Prot#'!A:AL,10,FALSE)+7,1)</f>
        <v>I</v>
      </c>
      <c r="Y299" s="49" t="str">
        <f>MID(VLOOKUP($A299,Seqs!$A:$B,2,FALSE),VLOOKUP($A299,'SegEnds_NonXtal_Prot#'!A:AL,10,FALSE)+8,1)</f>
        <v>I</v>
      </c>
      <c r="Z299" s="49" t="str">
        <f>MID(VLOOKUP($A299,Seqs!$A:$B,2,FALSE),VLOOKUP($A299,'SegEnds_NonXtal_Prot#'!A:AL,10,FALSE)+9,1)</f>
        <v>I</v>
      </c>
      <c r="AA299" s="49" t="str">
        <f>MID(VLOOKUP($A299,Seqs!$A:$B,2,FALSE),VLOOKUP($A299,'SegEnds_NonXtal_Prot#'!A:AL,10,FALSE)+10,1)</f>
        <v>H</v>
      </c>
      <c r="AB299" s="28" t="str">
        <f>MID(VLOOKUP($A299,Seqs!$A:$B,2,FALSE),VLOOKUP($A299,'SegEnds_NonXtal_Prot#'!$A:$AL,22,FALSE)+6,1)</f>
        <v>P</v>
      </c>
      <c r="AC299" s="49" t="str">
        <f>MID(VLOOKUP($A299,Seqs!$A:$B,2,FALSE),VLOOKUP($A299,'SegEnds_NonXtal_Prot#'!$A:$AL,22,FALSE)+7,1)</f>
        <v>T</v>
      </c>
      <c r="AD299" s="49" t="str">
        <f>MID(VLOOKUP($A299,Seqs!$A:$B,2,FALSE),VLOOKUP($A299,'SegEnds_NonXtal_Prot#'!$A:$AL,22,FALSE)+8,1)</f>
        <v>T</v>
      </c>
      <c r="AE299" s="49" t="str">
        <f>MID(VLOOKUP($A299,Seqs!$A:$B,2,FALSE),VLOOKUP($A299,'SegEnds_NonXtal_Prot#'!$A:$AL,22,FALSE)+9,1)</f>
        <v>I</v>
      </c>
      <c r="AF299" s="49" t="str">
        <f>MID(VLOOKUP($A299,Seqs!$A:$B,2,FALSE),VLOOKUP($A299,'SegEnds_NonXtal_Prot#'!$A:$AL,22,FALSE)+10,1)</f>
        <v>H</v>
      </c>
      <c r="AG299" s="28" t="str">
        <f>MID(VLOOKUP($A299,Seqs!$A:$B,2,FALSE),VLOOKUP($A299,'SegEnds_NonXtal_Prot#'!$A:$AL,28,FALSE)-4,1)</f>
        <v>P</v>
      </c>
      <c r="AH299" s="49" t="str">
        <f>MID(VLOOKUP($A299,Seqs!$A:$B,2,FALSE),VLOOKUP($A299,'SegEnds_NonXtal_Prot#'!$A:$AL,28,FALSE),1)</f>
        <v>A</v>
      </c>
    </row>
    <row r="300" spans="1:34" s="2" customFormat="1" x14ac:dyDescent="0.2">
      <c r="A300" s="2" t="s">
        <v>402</v>
      </c>
      <c r="B300" s="2" t="str">
        <f>LOWER(VLOOKUP(A300,Xtal_Templ!A:B,2,FALSE))</f>
        <v>calrl_human</v>
      </c>
      <c r="C300" s="2" t="str">
        <f>VLOOKUP(A300,Classification!A:D,2,FALSE)</f>
        <v>B1</v>
      </c>
      <c r="D300" s="2" t="str">
        <f>IF(ISERROR(MATCH(A300,'SegEnds_Xtal_Prot#'!B:B, 0)), "NoXtal", "Xtal")</f>
        <v>Xtal</v>
      </c>
      <c r="H300" s="4"/>
      <c r="J300" s="106" t="s">
        <v>25</v>
      </c>
      <c r="P300" s="2" t="s">
        <v>1329</v>
      </c>
      <c r="T300" s="4" t="s">
        <v>12</v>
      </c>
      <c r="V300" s="28" t="str">
        <f>MID(VLOOKUP($A300,Seqs!$A:$B,2,FALSE),VLOOKUP($A300,'SegEnds_NonXtal_Prot#'!A:AL,10,FALSE),1)</f>
        <v>F</v>
      </c>
      <c r="W300" s="49" t="str">
        <f>MID(VLOOKUP($A300,Seqs!$A:$B,2,FALSE),VLOOKUP($A300,'SegEnds_NonXtal_Prot#'!A:AL,10,FALSE)+6,1)</f>
        <v>V</v>
      </c>
      <c r="X300" s="49" t="str">
        <f>MID(VLOOKUP($A300,Seqs!$A:$B,2,FALSE),VLOOKUP($A300,'SegEnds_NonXtal_Prot#'!A:AL,10,FALSE)+7,1)</f>
        <v>T</v>
      </c>
      <c r="Y300" s="49" t="str">
        <f>MID(VLOOKUP($A300,Seqs!$A:$B,2,FALSE),VLOOKUP($A300,'SegEnds_NonXtal_Prot#'!A:AL,10,FALSE)+8,1)</f>
        <v>I</v>
      </c>
      <c r="Z300" s="49" t="str">
        <f>MID(VLOOKUP($A300,Seqs!$A:$B,2,FALSE),VLOOKUP($A300,'SegEnds_NonXtal_Prot#'!A:AL,10,FALSE)+9,1)</f>
        <v>I</v>
      </c>
      <c r="AA300" s="49" t="str">
        <f>MID(VLOOKUP($A300,Seqs!$A:$B,2,FALSE),VLOOKUP($A300,'SegEnds_NonXtal_Prot#'!A:AL,10,FALSE)+10,1)</f>
        <v>H</v>
      </c>
      <c r="AB300" s="28" t="str">
        <f>MID(VLOOKUP($A300,Seqs!$A:$B,2,FALSE),VLOOKUP($A300,'SegEnds_NonXtal_Prot#'!$A:$AL,22,FALSE)+6,1)</f>
        <v>P</v>
      </c>
      <c r="AC300" s="49" t="str">
        <f>MID(VLOOKUP($A300,Seqs!$A:$B,2,FALSE),VLOOKUP($A300,'SegEnds_NonXtal_Prot#'!$A:$AL,22,FALSE)+7,1)</f>
        <v>A</v>
      </c>
      <c r="AD300" s="49" t="str">
        <f>MID(VLOOKUP($A300,Seqs!$A:$B,2,FALSE),VLOOKUP($A300,'SegEnds_NonXtal_Prot#'!$A:$AL,22,FALSE)+8,1)</f>
        <v>C</v>
      </c>
      <c r="AE300" s="49" t="str">
        <f>MID(VLOOKUP($A300,Seqs!$A:$B,2,FALSE),VLOOKUP($A300,'SegEnds_NonXtal_Prot#'!$A:$AL,22,FALSE)+9,1)</f>
        <v>I</v>
      </c>
      <c r="AF300" s="49" t="str">
        <f>MID(VLOOKUP($A300,Seqs!$A:$B,2,FALSE),VLOOKUP($A300,'SegEnds_NonXtal_Prot#'!$A:$AL,22,FALSE)+10,1)</f>
        <v>H</v>
      </c>
      <c r="AG300" s="28" t="str">
        <f>MID(VLOOKUP($A300,Seqs!$A:$B,2,FALSE),VLOOKUP($A300,'SegEnds_NonXtal_Prot#'!$A:$AL,28,FALSE)-4,1)</f>
        <v>P</v>
      </c>
      <c r="AH300" s="49" t="str">
        <f>MID(VLOOKUP($A300,Seqs!$A:$B,2,FALSE),VLOOKUP($A300,'SegEnds_NonXtal_Prot#'!$A:$AL,28,FALSE),1)</f>
        <v>A</v>
      </c>
    </row>
    <row r="301" spans="1:34" s="2" customFormat="1" x14ac:dyDescent="0.2">
      <c r="A301" s="2" t="s">
        <v>38</v>
      </c>
      <c r="B301" s="2" t="str">
        <f>LOWER(VLOOKUP(A301,Xtal_Templ!A:B,2,FALSE))</f>
        <v>crfr1_human</v>
      </c>
      <c r="C301" s="2" t="str">
        <f>VLOOKUP(A301,Classification!A:D,2,FALSE)</f>
        <v>B1</v>
      </c>
      <c r="D301" s="2" t="str">
        <f>IF(ISERROR(MATCH(A301,'SegEnds_Xtal_Prot#'!B:B, 0)), "NoXtal", "Xtal")</f>
        <v>Xtal</v>
      </c>
      <c r="F301" s="49"/>
      <c r="H301" s="4"/>
      <c r="J301" s="52" t="s">
        <v>25</v>
      </c>
      <c r="K301" s="107"/>
      <c r="P301" s="2" t="s">
        <v>1329</v>
      </c>
      <c r="T301" s="4" t="s">
        <v>12</v>
      </c>
      <c r="V301" s="28" t="str">
        <f>MID(VLOOKUP($A301,Seqs!$A:$B,2,FALSE),VLOOKUP($A301,'SegEnds_NonXtal_Prot#'!A:AL,10,FALSE),1)</f>
        <v>F</v>
      </c>
      <c r="W301" s="49" t="str">
        <f>MID(VLOOKUP($A301,Seqs!$A:$B,2,FALSE),VLOOKUP($A301,'SegEnds_NonXtal_Prot#'!A:AL,10,FALSE)+6,1)</f>
        <v>T</v>
      </c>
      <c r="X301" s="49" t="str">
        <f>MID(VLOOKUP($A301,Seqs!$A:$B,2,FALSE),VLOOKUP($A301,'SegEnds_NonXtal_Prot#'!A:AL,10,FALSE)+7,1)</f>
        <v>W</v>
      </c>
      <c r="Y301" s="49" t="str">
        <f>MID(VLOOKUP($A301,Seqs!$A:$B,2,FALSE),VLOOKUP($A301,'SegEnds_NonXtal_Prot#'!A:AL,10,FALSE)+8,1)</f>
        <v>F</v>
      </c>
      <c r="Z301" s="49" t="str">
        <f>MID(VLOOKUP($A301,Seqs!$A:$B,2,FALSE),VLOOKUP($A301,'SegEnds_NonXtal_Prot#'!A:AL,10,FALSE)+9,1)</f>
        <v>V</v>
      </c>
      <c r="AA301" s="49" t="str">
        <f>MID(VLOOKUP($A301,Seqs!$A:$B,2,FALSE),VLOOKUP($A301,'SegEnds_NonXtal_Prot#'!A:AL,10,FALSE)+10,1)</f>
        <v>V</v>
      </c>
      <c r="AB301" s="28" t="str">
        <f>MID(VLOOKUP($A301,Seqs!$A:$B,2,FALSE),VLOOKUP($A301,'SegEnds_NonXtal_Prot#'!$A:$AL,22,FALSE)+6,1)</f>
        <v>I</v>
      </c>
      <c r="AC301" s="49" t="str">
        <f>MID(VLOOKUP($A301,Seqs!$A:$B,2,FALSE),VLOOKUP($A301,'SegEnds_NonXtal_Prot#'!$A:$AL,22,FALSE)+7,1)</f>
        <v>I</v>
      </c>
      <c r="AD301" s="49" t="str">
        <f>MID(VLOOKUP($A301,Seqs!$A:$B,2,FALSE),VLOOKUP($A301,'SegEnds_NonXtal_Prot#'!$A:$AL,22,FALSE)+8,1)</f>
        <v>V</v>
      </c>
      <c r="AE301" s="49" t="str">
        <f>MID(VLOOKUP($A301,Seqs!$A:$B,2,FALSE),VLOOKUP($A301,'SegEnds_NonXtal_Prot#'!$A:$AL,22,FALSE)+9,1)</f>
        <v>A</v>
      </c>
      <c r="AF301" s="49" t="str">
        <f>MID(VLOOKUP($A301,Seqs!$A:$B,2,FALSE),VLOOKUP($A301,'SegEnds_NonXtal_Prot#'!$A:$AL,22,FALSE)+10,1)</f>
        <v>W</v>
      </c>
      <c r="AG301" s="28" t="str">
        <f>MID(VLOOKUP($A301,Seqs!$A:$B,2,FALSE),VLOOKUP($A301,'SegEnds_NonXtal_Prot#'!$A:$AL,28,FALSE)-4,1)</f>
        <v>P</v>
      </c>
      <c r="AH301" s="49" t="str">
        <f>MID(VLOOKUP($A301,Seqs!$A:$B,2,FALSE),VLOOKUP($A301,'SegEnds_NonXtal_Prot#'!$A:$AL,28,FALSE),1)</f>
        <v>V</v>
      </c>
    </row>
    <row r="302" spans="1:34" s="2" customFormat="1" x14ac:dyDescent="0.2">
      <c r="A302" s="2" t="s">
        <v>403</v>
      </c>
      <c r="B302" s="2" t="str">
        <f>LOWER(VLOOKUP(A302,Xtal_Templ!A:B,2,FALSE))</f>
        <v>crfr1_human</v>
      </c>
      <c r="C302" s="2" t="str">
        <f>VLOOKUP(A302,Classification!A:D,2,FALSE)</f>
        <v>B1</v>
      </c>
      <c r="D302" s="2" t="str">
        <f>IF(ISERROR(MATCH(A302,'SegEnds_Xtal_Prot#'!B:B, 0)), "NoXtal", "Xtal")</f>
        <v>NoXtal</v>
      </c>
      <c r="F302" s="49"/>
      <c r="H302" s="4"/>
      <c r="J302" s="106" t="s">
        <v>25</v>
      </c>
      <c r="P302" s="2" t="s">
        <v>1329</v>
      </c>
      <c r="T302" s="4" t="s">
        <v>12</v>
      </c>
      <c r="V302" s="28" t="str">
        <f>MID(VLOOKUP($A302,Seqs!$A:$B,2,FALSE),VLOOKUP($A302,'SegEnds_NonXtal_Prot#'!A:AL,10,FALSE),1)</f>
        <v>F</v>
      </c>
      <c r="W302" s="49" t="str">
        <f>MID(VLOOKUP($A302,Seqs!$A:$B,2,FALSE),VLOOKUP($A302,'SegEnds_NonXtal_Prot#'!A:AL,10,FALSE)+6,1)</f>
        <v>M</v>
      </c>
      <c r="X302" s="49" t="str">
        <f>MID(VLOOKUP($A302,Seqs!$A:$B,2,FALSE),VLOOKUP($A302,'SegEnds_NonXtal_Prot#'!A:AL,10,FALSE)+7,1)</f>
        <v>W</v>
      </c>
      <c r="Y302" s="49" t="str">
        <f>MID(VLOOKUP($A302,Seqs!$A:$B,2,FALSE),VLOOKUP($A302,'SegEnds_NonXtal_Prot#'!A:AL,10,FALSE)+8,1)</f>
        <v>F</v>
      </c>
      <c r="Z302" s="49" t="str">
        <f>MID(VLOOKUP($A302,Seqs!$A:$B,2,FALSE),VLOOKUP($A302,'SegEnds_NonXtal_Prot#'!A:AL,10,FALSE)+9,1)</f>
        <v>L</v>
      </c>
      <c r="AA302" s="49" t="str">
        <f>MID(VLOOKUP($A302,Seqs!$A:$B,2,FALSE),VLOOKUP($A302,'SegEnds_NonXtal_Prot#'!A:AL,10,FALSE)+10,1)</f>
        <v>L</v>
      </c>
      <c r="AB302" s="28" t="str">
        <f>MID(VLOOKUP($A302,Seqs!$A:$B,2,FALSE),VLOOKUP($A302,'SegEnds_NonXtal_Prot#'!$A:$AL,22,FALSE)+6,1)</f>
        <v>I</v>
      </c>
      <c r="AC302" s="49" t="str">
        <f>MID(VLOOKUP($A302,Seqs!$A:$B,2,FALSE),VLOOKUP($A302,'SegEnds_NonXtal_Prot#'!$A:$AL,22,FALSE)+7,1)</f>
        <v>I</v>
      </c>
      <c r="AD302" s="49" t="str">
        <f>MID(VLOOKUP($A302,Seqs!$A:$B,2,FALSE),VLOOKUP($A302,'SegEnds_NonXtal_Prot#'!$A:$AL,22,FALSE)+8,1)</f>
        <v>V</v>
      </c>
      <c r="AE302" s="49" t="str">
        <f>MID(VLOOKUP($A302,Seqs!$A:$B,2,FALSE),VLOOKUP($A302,'SegEnds_NonXtal_Prot#'!$A:$AL,22,FALSE)+9,1)</f>
        <v>A</v>
      </c>
      <c r="AF302" s="49" t="str">
        <f>MID(VLOOKUP($A302,Seqs!$A:$B,2,FALSE),VLOOKUP($A302,'SegEnds_NonXtal_Prot#'!$A:$AL,22,FALSE)+10,1)</f>
        <v>W</v>
      </c>
      <c r="AG302" s="28" t="str">
        <f>MID(VLOOKUP($A302,Seqs!$A:$B,2,FALSE),VLOOKUP($A302,'SegEnds_NonXtal_Prot#'!$A:$AL,28,FALSE)-4,1)</f>
        <v>P</v>
      </c>
      <c r="AH302" s="49" t="str">
        <f>MID(VLOOKUP($A302,Seqs!$A:$B,2,FALSE),VLOOKUP($A302,'SegEnds_NonXtal_Prot#'!$A:$AL,28,FALSE),1)</f>
        <v>V</v>
      </c>
    </row>
    <row r="303" spans="1:34" s="2" customFormat="1" x14ac:dyDescent="0.2">
      <c r="A303" s="2" t="s">
        <v>404</v>
      </c>
      <c r="B303" s="2" t="str">
        <f>LOWER(VLOOKUP(A303,Xtal_Templ!A:B,2,FALSE))</f>
        <v>pth1r_human</v>
      </c>
      <c r="C303" s="2" t="str">
        <f>VLOOKUP(A303,Classification!A:D,2,FALSE)</f>
        <v>B1</v>
      </c>
      <c r="D303" s="2" t="str">
        <f>IF(ISERROR(MATCH(A303,'SegEnds_Xtal_Prot#'!B:B, 0)), "NoXtal", "Xtal")</f>
        <v>NoXtal</v>
      </c>
      <c r="H303" s="4"/>
      <c r="J303" s="106" t="s">
        <v>25</v>
      </c>
      <c r="P303" s="2" t="s">
        <v>1329</v>
      </c>
      <c r="T303" s="4" t="s">
        <v>12</v>
      </c>
      <c r="V303" s="28" t="str">
        <f>MID(VLOOKUP($A303,Seqs!$A:$B,2,FALSE),VLOOKUP($A303,'SegEnds_NonXtal_Prot#'!A:AL,10,FALSE),1)</f>
        <v>F</v>
      </c>
      <c r="W303" s="49" t="str">
        <f>MID(VLOOKUP($A303,Seqs!$A:$B,2,FALSE),VLOOKUP($A303,'SegEnds_NonXtal_Prot#'!A:AL,10,FALSE)+6,1)</f>
        <v>A</v>
      </c>
      <c r="X303" s="49" t="str">
        <f>MID(VLOOKUP($A303,Seqs!$A:$B,2,FALSE),VLOOKUP($A303,'SegEnds_NonXtal_Prot#'!A:AL,10,FALSE)+7,1)</f>
        <v>V</v>
      </c>
      <c r="Y303" s="49" t="str">
        <f>MID(VLOOKUP($A303,Seqs!$A:$B,2,FALSE),VLOOKUP($A303,'SegEnds_NonXtal_Prot#'!A:AL,10,FALSE)+8,1)</f>
        <v>F</v>
      </c>
      <c r="Z303" s="49" t="str">
        <f>MID(VLOOKUP($A303,Seqs!$A:$B,2,FALSE),VLOOKUP($A303,'SegEnds_NonXtal_Prot#'!A:AL,10,FALSE)+9,1)</f>
        <v>L</v>
      </c>
      <c r="AA303" s="49" t="str">
        <f>MID(VLOOKUP($A303,Seqs!$A:$B,2,FALSE),VLOOKUP($A303,'SegEnds_NonXtal_Prot#'!A:AL,10,FALSE)+10,1)</f>
        <v>K</v>
      </c>
      <c r="AB303" s="28" t="str">
        <f>MID(VLOOKUP($A303,Seqs!$A:$B,2,FALSE),VLOOKUP($A303,'SegEnds_NonXtal_Prot#'!$A:$AL,22,FALSE)+6,1)</f>
        <v>F</v>
      </c>
      <c r="AC303" s="49" t="str">
        <f>MID(VLOOKUP($A303,Seqs!$A:$B,2,FALSE),VLOOKUP($A303,'SegEnds_NonXtal_Prot#'!$A:$AL,22,FALSE)+7,1)</f>
        <v>T</v>
      </c>
      <c r="AD303" s="49" t="str">
        <f>MID(VLOOKUP($A303,Seqs!$A:$B,2,FALSE),VLOOKUP($A303,'SegEnds_NonXtal_Prot#'!$A:$AL,22,FALSE)+8,1)</f>
        <v>G</v>
      </c>
      <c r="AE303" s="49" t="str">
        <f>MID(VLOOKUP($A303,Seqs!$A:$B,2,FALSE),VLOOKUP($A303,'SegEnds_NonXtal_Prot#'!$A:$AL,22,FALSE)+9,1)</f>
        <v>T</v>
      </c>
      <c r="AF303" s="49" t="str">
        <f>MID(VLOOKUP($A303,Seqs!$A:$B,2,FALSE),VLOOKUP($A303,'SegEnds_NonXtal_Prot#'!$A:$AL,22,FALSE)+10,1)</f>
        <v>W</v>
      </c>
      <c r="AG303" s="28" t="str">
        <f>MID(VLOOKUP($A303,Seqs!$A:$B,2,FALSE),VLOOKUP($A303,'SegEnds_NonXtal_Prot#'!$A:$AL,28,FALSE)-4,1)</f>
        <v>P</v>
      </c>
      <c r="AH303" s="49" t="str">
        <f>MID(VLOOKUP($A303,Seqs!$A:$B,2,FALSE),VLOOKUP($A303,'SegEnds_NonXtal_Prot#'!$A:$AL,28,FALSE),1)</f>
        <v>S</v>
      </c>
    </row>
    <row r="304" spans="1:34" s="2" customFormat="1" x14ac:dyDescent="0.2">
      <c r="A304" s="2" t="s">
        <v>405</v>
      </c>
      <c r="B304" s="2" t="str">
        <f>LOWER(VLOOKUP(A304,Xtal_Templ!A:B,2,FALSE))</f>
        <v>glr_human</v>
      </c>
      <c r="C304" s="2" t="str">
        <f>VLOOKUP(A304,Classification!A:D,2,FALSE)</f>
        <v>B1</v>
      </c>
      <c r="D304" s="2" t="str">
        <f>IF(ISERROR(MATCH(A304,'SegEnds_Xtal_Prot#'!B:B, 0)), "NoXtal", "Xtal")</f>
        <v>NoXtal</v>
      </c>
      <c r="H304" s="4"/>
      <c r="J304" s="106" t="s">
        <v>25</v>
      </c>
      <c r="P304" s="2" t="s">
        <v>1329</v>
      </c>
      <c r="T304" s="4" t="s">
        <v>12</v>
      </c>
      <c r="V304" s="28" t="str">
        <f>MID(VLOOKUP($A304,Seqs!$A:$B,2,FALSE),VLOOKUP($A304,'SegEnds_NonXtal_Prot#'!A:AL,10,FALSE),1)</f>
        <v>F</v>
      </c>
      <c r="W304" s="49" t="str">
        <f>MID(VLOOKUP($A304,Seqs!$A:$B,2,FALSE),VLOOKUP($A304,'SegEnds_NonXtal_Prot#'!A:AL,10,FALSE)+6,1)</f>
        <v>A</v>
      </c>
      <c r="X304" s="49" t="str">
        <f>MID(VLOOKUP($A304,Seqs!$A:$B,2,FALSE),VLOOKUP($A304,'SegEnds_NonXtal_Prot#'!A:AL,10,FALSE)+7,1)</f>
        <v>I</v>
      </c>
      <c r="Y304" s="49" t="str">
        <f>MID(VLOOKUP($A304,Seqs!$A:$B,2,FALSE),VLOOKUP($A304,'SegEnds_NonXtal_Prot#'!A:AL,10,FALSE)+8,1)</f>
        <v>L</v>
      </c>
      <c r="Z304" s="49" t="str">
        <f>MID(VLOOKUP($A304,Seqs!$A:$B,2,FALSE),VLOOKUP($A304,'SegEnds_NonXtal_Prot#'!A:AL,10,FALSE)+9,1)</f>
        <v>S</v>
      </c>
      <c r="AA304" s="49" t="str">
        <f>MID(VLOOKUP($A304,Seqs!$A:$B,2,FALSE),VLOOKUP($A304,'SegEnds_NonXtal_Prot#'!A:AL,10,FALSE)+10,1)</f>
        <v>R</v>
      </c>
      <c r="AB304" s="28" t="str">
        <f>MID(VLOOKUP($A304,Seqs!$A:$B,2,FALSE),VLOOKUP($A304,'SegEnds_NonXtal_Prot#'!$A:$AL,22,FALSE)+6,1)</f>
        <v>F</v>
      </c>
      <c r="AC304" s="49" t="str">
        <f>MID(VLOOKUP($A304,Seqs!$A:$B,2,FALSE),VLOOKUP($A304,'SegEnds_NonXtal_Prot#'!$A:$AL,22,FALSE)+7,1)</f>
        <v>V</v>
      </c>
      <c r="AD304" s="49" t="str">
        <f>MID(VLOOKUP($A304,Seqs!$A:$B,2,FALSE),VLOOKUP($A304,'SegEnds_NonXtal_Prot#'!$A:$AL,22,FALSE)+8,1)</f>
        <v>I</v>
      </c>
      <c r="AE304" s="49" t="str">
        <f>MID(VLOOKUP($A304,Seqs!$A:$B,2,FALSE),VLOOKUP($A304,'SegEnds_NonXtal_Prot#'!$A:$AL,22,FALSE)+9,1)</f>
        <v>P</v>
      </c>
      <c r="AF304" s="49" t="str">
        <f>MID(VLOOKUP($A304,Seqs!$A:$B,2,FALSE),VLOOKUP($A304,'SegEnds_NonXtal_Prot#'!$A:$AL,22,FALSE)+10,1)</f>
        <v>W</v>
      </c>
      <c r="AG304" s="28" t="str">
        <f>MID(VLOOKUP($A304,Seqs!$A:$B,2,FALSE),VLOOKUP($A304,'SegEnds_NonXtal_Prot#'!$A:$AL,28,FALSE)-4,1)</f>
        <v>P</v>
      </c>
      <c r="AH304" s="49" t="str">
        <f>MID(VLOOKUP($A304,Seqs!$A:$B,2,FALSE),VLOOKUP($A304,'SegEnds_NonXtal_Prot#'!$A:$AL,28,FALSE),1)</f>
        <v>T</v>
      </c>
    </row>
    <row r="305" spans="1:34" s="2" customFormat="1" x14ac:dyDescent="0.2">
      <c r="A305" s="2" t="s">
        <v>406</v>
      </c>
      <c r="B305" s="2" t="str">
        <f>LOWER(VLOOKUP(A305,Xtal_Templ!A:B,2,FALSE))</f>
        <v>glp1r_human</v>
      </c>
      <c r="C305" s="2" t="str">
        <f>VLOOKUP(A305,Classification!A:D,2,FALSE)</f>
        <v>B1</v>
      </c>
      <c r="D305" s="2" t="str">
        <f>IF(ISERROR(MATCH(A305,'SegEnds_Xtal_Prot#'!B:B, 0)), "NoXtal", "Xtal")</f>
        <v>Xtal</v>
      </c>
      <c r="H305" s="4"/>
      <c r="J305" s="106" t="s">
        <v>25</v>
      </c>
      <c r="P305" s="2" t="s">
        <v>1329</v>
      </c>
      <c r="T305" s="4" t="s">
        <v>12</v>
      </c>
      <c r="V305" s="28" t="str">
        <f>MID(VLOOKUP($A305,Seqs!$A:$B,2,FALSE),VLOOKUP($A305,'SegEnds_NonXtal_Prot#'!A:AL,10,FALSE),1)</f>
        <v>F</v>
      </c>
      <c r="W305" s="49" t="str">
        <f>MID(VLOOKUP($A305,Seqs!$A:$B,2,FALSE),VLOOKUP($A305,'SegEnds_NonXtal_Prot#'!A:AL,10,FALSE)+6,1)</f>
        <v>S</v>
      </c>
      <c r="X305" s="49" t="str">
        <f>MID(VLOOKUP($A305,Seqs!$A:$B,2,FALSE),VLOOKUP($A305,'SegEnds_NonXtal_Prot#'!A:AL,10,FALSE)+7,1)</f>
        <v>V</v>
      </c>
      <c r="Y305" s="49" t="str">
        <f>MID(VLOOKUP($A305,Seqs!$A:$B,2,FALSE),VLOOKUP($A305,'SegEnds_NonXtal_Prot#'!A:AL,10,FALSE)+8,1)</f>
        <v>F</v>
      </c>
      <c r="Z305" s="49" t="str">
        <f>MID(VLOOKUP($A305,Seqs!$A:$B,2,FALSE),VLOOKUP($A305,'SegEnds_NonXtal_Prot#'!A:AL,10,FALSE)+9,1)</f>
        <v>I</v>
      </c>
      <c r="AA305" s="49" t="str">
        <f>MID(VLOOKUP($A305,Seqs!$A:$B,2,FALSE),VLOOKUP($A305,'SegEnds_NonXtal_Prot#'!A:AL,10,FALSE)+10,1)</f>
        <v>K</v>
      </c>
      <c r="AB305" s="28" t="str">
        <f>MID(VLOOKUP($A305,Seqs!$A:$B,2,FALSE),VLOOKUP($A305,'SegEnds_NonXtal_Prot#'!$A:$AL,22,FALSE)+6,1)</f>
        <v>F</v>
      </c>
      <c r="AC305" s="49" t="str">
        <f>MID(VLOOKUP($A305,Seqs!$A:$B,2,FALSE),VLOOKUP($A305,'SegEnds_NonXtal_Prot#'!$A:$AL,22,FALSE)+7,1)</f>
        <v>V</v>
      </c>
      <c r="AD305" s="49" t="str">
        <f>MID(VLOOKUP($A305,Seqs!$A:$B,2,FALSE),VLOOKUP($A305,'SegEnds_NonXtal_Prot#'!$A:$AL,22,FALSE)+8,1)</f>
        <v>V</v>
      </c>
      <c r="AE305" s="49" t="str">
        <f>MID(VLOOKUP($A305,Seqs!$A:$B,2,FALSE),VLOOKUP($A305,'SegEnds_NonXtal_Prot#'!$A:$AL,22,FALSE)+9,1)</f>
        <v>P</v>
      </c>
      <c r="AF305" s="49" t="str">
        <f>MID(VLOOKUP($A305,Seqs!$A:$B,2,FALSE),VLOOKUP($A305,'SegEnds_NonXtal_Prot#'!$A:$AL,22,FALSE)+10,1)</f>
        <v>W</v>
      </c>
      <c r="AG305" s="28" t="str">
        <f>MID(VLOOKUP($A305,Seqs!$A:$B,2,FALSE),VLOOKUP($A305,'SegEnds_NonXtal_Prot#'!$A:$AL,28,FALSE)-4,1)</f>
        <v>P</v>
      </c>
      <c r="AH305" s="49" t="str">
        <f>MID(VLOOKUP($A305,Seqs!$A:$B,2,FALSE),VLOOKUP($A305,'SegEnds_NonXtal_Prot#'!$A:$AL,28,FALSE),1)</f>
        <v>A</v>
      </c>
    </row>
    <row r="306" spans="1:34" s="2" customFormat="1" x14ac:dyDescent="0.2">
      <c r="A306" s="2" t="s">
        <v>407</v>
      </c>
      <c r="B306" s="2" t="str">
        <f>LOWER(VLOOKUP(A306,Xtal_Templ!A:B,2,FALSE))</f>
        <v>glr_human</v>
      </c>
      <c r="C306" s="2" t="str">
        <f>VLOOKUP(A306,Classification!A:D,2,FALSE)</f>
        <v>B1</v>
      </c>
      <c r="D306" s="2" t="str">
        <f>IF(ISERROR(MATCH(A306,'SegEnds_Xtal_Prot#'!B:B, 0)), "NoXtal", "Xtal")</f>
        <v>NoXtal</v>
      </c>
      <c r="H306" s="4"/>
      <c r="J306" s="106" t="s">
        <v>25</v>
      </c>
      <c r="P306" s="2" t="s">
        <v>1329</v>
      </c>
      <c r="T306" s="4" t="s">
        <v>12</v>
      </c>
      <c r="V306" s="28" t="str">
        <f>MID(VLOOKUP($A306,Seqs!$A:$B,2,FALSE),VLOOKUP($A306,'SegEnds_NonXtal_Prot#'!A:AL,10,FALSE),1)</f>
        <v>F</v>
      </c>
      <c r="W306" s="49" t="str">
        <f>MID(VLOOKUP($A306,Seqs!$A:$B,2,FALSE),VLOOKUP($A306,'SegEnds_NonXtal_Prot#'!A:AL,10,FALSE)+6,1)</f>
        <v>A</v>
      </c>
      <c r="X306" s="49" t="str">
        <f>MID(VLOOKUP($A306,Seqs!$A:$B,2,FALSE),VLOOKUP($A306,'SegEnds_NonXtal_Prot#'!A:AL,10,FALSE)+7,1)</f>
        <v>V</v>
      </c>
      <c r="Y306" s="49" t="str">
        <f>MID(VLOOKUP($A306,Seqs!$A:$B,2,FALSE),VLOOKUP($A306,'SegEnds_NonXtal_Prot#'!A:AL,10,FALSE)+8,1)</f>
        <v>L</v>
      </c>
      <c r="Z306" s="49" t="str">
        <f>MID(VLOOKUP($A306,Seqs!$A:$B,2,FALSE),VLOOKUP($A306,'SegEnds_NonXtal_Prot#'!A:AL,10,FALSE)+9,1)</f>
        <v>V</v>
      </c>
      <c r="AA306" s="49" t="str">
        <f>MID(VLOOKUP($A306,Seqs!$A:$B,2,FALSE),VLOOKUP($A306,'SegEnds_NonXtal_Prot#'!A:AL,10,FALSE)+10,1)</f>
        <v>K</v>
      </c>
      <c r="AB306" s="28" t="str">
        <f>MID(VLOOKUP($A306,Seqs!$A:$B,2,FALSE),VLOOKUP($A306,'SegEnds_NonXtal_Prot#'!$A:$AL,22,FALSE)+6,1)</f>
        <v>F</v>
      </c>
      <c r="AC306" s="49" t="str">
        <f>MID(VLOOKUP($A306,Seqs!$A:$B,2,FALSE),VLOOKUP($A306,'SegEnds_NonXtal_Prot#'!$A:$AL,22,FALSE)+7,1)</f>
        <v>V</v>
      </c>
      <c r="AD306" s="49" t="str">
        <f>MID(VLOOKUP($A306,Seqs!$A:$B,2,FALSE),VLOOKUP($A306,'SegEnds_NonXtal_Prot#'!$A:$AL,22,FALSE)+8,1)</f>
        <v>V</v>
      </c>
      <c r="AE306" s="49" t="str">
        <f>MID(VLOOKUP($A306,Seqs!$A:$B,2,FALSE),VLOOKUP($A306,'SegEnds_NonXtal_Prot#'!$A:$AL,22,FALSE)+9,1)</f>
        <v>P</v>
      </c>
      <c r="AF306" s="49" t="str">
        <f>MID(VLOOKUP($A306,Seqs!$A:$B,2,FALSE),VLOOKUP($A306,'SegEnds_NonXtal_Prot#'!$A:$AL,22,FALSE)+10,1)</f>
        <v>W</v>
      </c>
      <c r="AG306" s="28" t="str">
        <f>MID(VLOOKUP($A306,Seqs!$A:$B,2,FALSE),VLOOKUP($A306,'SegEnds_NonXtal_Prot#'!$A:$AL,28,FALSE)-4,1)</f>
        <v>P</v>
      </c>
      <c r="AH306" s="49" t="str">
        <f>MID(VLOOKUP($A306,Seqs!$A:$B,2,FALSE),VLOOKUP($A306,'SegEnds_NonXtal_Prot#'!$A:$AL,28,FALSE),1)</f>
        <v>C</v>
      </c>
    </row>
    <row r="307" spans="1:34" s="2" customFormat="1" x14ac:dyDescent="0.2">
      <c r="A307" s="2" t="s">
        <v>32</v>
      </c>
      <c r="B307" s="2" t="str">
        <f>LOWER(VLOOKUP(A307,Xtal_Templ!A:B,2,FALSE))</f>
        <v>glr_human</v>
      </c>
      <c r="C307" s="2" t="str">
        <f>VLOOKUP(A307,Classification!A:D,2,FALSE)</f>
        <v>B1</v>
      </c>
      <c r="D307" s="2" t="str">
        <f>IF(ISERROR(MATCH(A307,'SegEnds_Xtal_Prot#'!B:B, 0)), "NoXtal", "Xtal")</f>
        <v>Xtal</v>
      </c>
      <c r="H307" s="4"/>
      <c r="J307" s="106" t="s">
        <v>25</v>
      </c>
      <c r="P307" s="2" t="s">
        <v>1329</v>
      </c>
      <c r="T307" s="4" t="s">
        <v>12</v>
      </c>
      <c r="V307" s="28" t="str">
        <f>MID(VLOOKUP($A307,Seqs!$A:$B,2,FALSE),VLOOKUP($A307,'SegEnds_NonXtal_Prot#'!A:AL,10,FALSE),1)</f>
        <v>F</v>
      </c>
      <c r="W307" s="49" t="str">
        <f>MID(VLOOKUP($A307,Seqs!$A:$B,2,FALSE),VLOOKUP($A307,'SegEnds_NonXtal_Prot#'!A:AL,10,FALSE)+6,1)</f>
        <v>S</v>
      </c>
      <c r="X307" s="49" t="str">
        <f>MID(VLOOKUP($A307,Seqs!$A:$B,2,FALSE),VLOOKUP($A307,'SegEnds_NonXtal_Prot#'!A:AL,10,FALSE)+7,1)</f>
        <v>V</v>
      </c>
      <c r="Y307" s="49" t="str">
        <f>MID(VLOOKUP($A307,Seqs!$A:$B,2,FALSE),VLOOKUP($A307,'SegEnds_NonXtal_Prot#'!A:AL,10,FALSE)+8,1)</f>
        <v>L</v>
      </c>
      <c r="Z307" s="49" t="str">
        <f>MID(VLOOKUP($A307,Seqs!$A:$B,2,FALSE),VLOOKUP($A307,'SegEnds_NonXtal_Prot#'!A:AL,10,FALSE)+9,1)</f>
        <v>V</v>
      </c>
      <c r="AA307" s="49" t="str">
        <f>MID(VLOOKUP($A307,Seqs!$A:$B,2,FALSE),VLOOKUP($A307,'SegEnds_NonXtal_Prot#'!A:AL,10,FALSE)+10,1)</f>
        <v>I</v>
      </c>
      <c r="AB307" s="28" t="str">
        <f>MID(VLOOKUP($A307,Seqs!$A:$B,2,FALSE),VLOOKUP($A307,'SegEnds_NonXtal_Prot#'!$A:$AL,22,FALSE)+6,1)</f>
        <v>F</v>
      </c>
      <c r="AC307" s="49" t="str">
        <f>MID(VLOOKUP($A307,Seqs!$A:$B,2,FALSE),VLOOKUP($A307,'SegEnds_NonXtal_Prot#'!$A:$AL,22,FALSE)+7,1)</f>
        <v>V</v>
      </c>
      <c r="AD307" s="49" t="str">
        <f>MID(VLOOKUP($A307,Seqs!$A:$B,2,FALSE),VLOOKUP($A307,'SegEnds_NonXtal_Prot#'!$A:$AL,22,FALSE)+8,1)</f>
        <v>V</v>
      </c>
      <c r="AE307" s="49" t="str">
        <f>MID(VLOOKUP($A307,Seqs!$A:$B,2,FALSE),VLOOKUP($A307,'SegEnds_NonXtal_Prot#'!$A:$AL,22,FALSE)+9,1)</f>
        <v>P</v>
      </c>
      <c r="AF307" s="49" t="str">
        <f>MID(VLOOKUP($A307,Seqs!$A:$B,2,FALSE),VLOOKUP($A307,'SegEnds_NonXtal_Prot#'!$A:$AL,22,FALSE)+10,1)</f>
        <v>W</v>
      </c>
      <c r="AG307" s="28" t="str">
        <f>MID(VLOOKUP($A307,Seqs!$A:$B,2,FALSE),VLOOKUP($A307,'SegEnds_NonXtal_Prot#'!$A:$AL,28,FALSE)-4,1)</f>
        <v>P</v>
      </c>
      <c r="AH307" s="49" t="str">
        <f>MID(VLOOKUP($A307,Seqs!$A:$B,2,FALSE),VLOOKUP($A307,'SegEnds_NonXtal_Prot#'!$A:$AL,28,FALSE),1)</f>
        <v>A</v>
      </c>
    </row>
    <row r="308" spans="1:34" s="2" customFormat="1" x14ac:dyDescent="0.2">
      <c r="A308" s="2" t="s">
        <v>408</v>
      </c>
      <c r="B308" s="2" t="str">
        <f>LOWER(VLOOKUP(A308,Xtal_Templ!A:B,2,FALSE))</f>
        <v>pth1r_human</v>
      </c>
      <c r="C308" s="2" t="str">
        <f>VLOOKUP(A308,Classification!A:D,2,FALSE)</f>
        <v>B1</v>
      </c>
      <c r="D308" s="2" t="str">
        <f>IF(ISERROR(MATCH(A308,'SegEnds_Xtal_Prot#'!B:B, 0)), "NoXtal", "Xtal")</f>
        <v>NoXtal</v>
      </c>
      <c r="H308" s="4"/>
      <c r="J308" s="106" t="s">
        <v>25</v>
      </c>
      <c r="P308" s="2" t="s">
        <v>1329</v>
      </c>
      <c r="T308" s="4" t="s">
        <v>12</v>
      </c>
      <c r="V308" s="28" t="str">
        <f>MID(VLOOKUP($A308,Seqs!$A:$B,2,FALSE),VLOOKUP($A308,'SegEnds_NonXtal_Prot#'!A:AL,10,FALSE),1)</f>
        <v>F</v>
      </c>
      <c r="W308" s="49" t="str">
        <f>MID(VLOOKUP($A308,Seqs!$A:$B,2,FALSE),VLOOKUP($A308,'SegEnds_NonXtal_Prot#'!A:AL,10,FALSE)+6,1)</f>
        <v>S</v>
      </c>
      <c r="X308" s="49" t="str">
        <f>MID(VLOOKUP($A308,Seqs!$A:$B,2,FALSE),VLOOKUP($A308,'SegEnds_NonXtal_Prot#'!A:AL,10,FALSE)+7,1)</f>
        <v>V</v>
      </c>
      <c r="Y308" s="49" t="str">
        <f>MID(VLOOKUP($A308,Seqs!$A:$B,2,FALSE),VLOOKUP($A308,'SegEnds_NonXtal_Prot#'!A:AL,10,FALSE)+8,1)</f>
        <v>F</v>
      </c>
      <c r="Z308" s="49" t="str">
        <f>MID(VLOOKUP($A308,Seqs!$A:$B,2,FALSE),VLOOKUP($A308,'SegEnds_NonXtal_Prot#'!A:AL,10,FALSE)+9,1)</f>
        <v>I</v>
      </c>
      <c r="AA308" s="49" t="str">
        <f>MID(VLOOKUP($A308,Seqs!$A:$B,2,FALSE),VLOOKUP($A308,'SegEnds_NonXtal_Prot#'!A:AL,10,FALSE)+10,1)</f>
        <v>K</v>
      </c>
      <c r="AB308" s="28" t="str">
        <f>MID(VLOOKUP($A308,Seqs!$A:$B,2,FALSE),VLOOKUP($A308,'SegEnds_NonXtal_Prot#'!$A:$AL,22,FALSE)+6,1)</f>
        <v>C</v>
      </c>
      <c r="AC308" s="49" t="str">
        <f>MID(VLOOKUP($A308,Seqs!$A:$B,2,FALSE),VLOOKUP($A308,'SegEnds_NonXtal_Prot#'!$A:$AL,22,FALSE)+7,1)</f>
        <v>V</v>
      </c>
      <c r="AD308" s="49" t="str">
        <f>MID(VLOOKUP($A308,Seqs!$A:$B,2,FALSE),VLOOKUP($A308,'SegEnds_NonXtal_Prot#'!$A:$AL,22,FALSE)+8,1)</f>
        <v>T</v>
      </c>
      <c r="AE308" s="49" t="str">
        <f>MID(VLOOKUP($A308,Seqs!$A:$B,2,FALSE),VLOOKUP($A308,'SegEnds_NonXtal_Prot#'!$A:$AL,22,FALSE)+9,1)</f>
        <v>V</v>
      </c>
      <c r="AF308" s="49" t="str">
        <f>MID(VLOOKUP($A308,Seqs!$A:$B,2,FALSE),VLOOKUP($A308,'SegEnds_NonXtal_Prot#'!$A:$AL,22,FALSE)+10,1)</f>
        <v>W</v>
      </c>
      <c r="AG308" s="28" t="str">
        <f>MID(VLOOKUP($A308,Seqs!$A:$B,2,FALSE),VLOOKUP($A308,'SegEnds_NonXtal_Prot#'!$A:$AL,28,FALSE)-4,1)</f>
        <v>P</v>
      </c>
      <c r="AH308" s="49" t="str">
        <f>MID(VLOOKUP($A308,Seqs!$A:$B,2,FALSE),VLOOKUP($A308,'SegEnds_NonXtal_Prot#'!$A:$AL,28,FALSE),1)</f>
        <v>S</v>
      </c>
    </row>
    <row r="309" spans="1:34" s="2" customFormat="1" x14ac:dyDescent="0.2">
      <c r="A309" s="2" t="s">
        <v>409</v>
      </c>
      <c r="B309" s="2" t="str">
        <f>LOWER(VLOOKUP(A309,Xtal_Templ!A:B,2,FALSE))</f>
        <v>pth1r_human</v>
      </c>
      <c r="C309" s="2" t="str">
        <f>VLOOKUP(A309,Classification!A:D,2,FALSE)</f>
        <v>B1</v>
      </c>
      <c r="D309" s="2" t="str">
        <f>IF(ISERROR(MATCH(A309,'SegEnds_Xtal_Prot#'!B:B, 0)), "NoXtal", "Xtal")</f>
        <v>Xtal</v>
      </c>
      <c r="H309" s="4"/>
      <c r="J309" s="106" t="s">
        <v>25</v>
      </c>
      <c r="P309" s="2" t="s">
        <v>1329</v>
      </c>
      <c r="T309" s="4" t="s">
        <v>12</v>
      </c>
      <c r="V309" s="28" t="str">
        <f>MID(VLOOKUP($A309,Seqs!$A:$B,2,FALSE),VLOOKUP($A309,'SegEnds_NonXtal_Prot#'!A:AL,10,FALSE),1)</f>
        <v>F</v>
      </c>
      <c r="W309" s="49" t="str">
        <f>MID(VLOOKUP($A309,Seqs!$A:$B,2,FALSE),VLOOKUP($A309,'SegEnds_NonXtal_Prot#'!A:AL,10,FALSE)+6,1)</f>
        <v>S</v>
      </c>
      <c r="X309" s="49" t="str">
        <f>MID(VLOOKUP($A309,Seqs!$A:$B,2,FALSE),VLOOKUP($A309,'SegEnds_NonXtal_Prot#'!A:AL,10,FALSE)+7,1)</f>
        <v>I</v>
      </c>
      <c r="Y309" s="49" t="str">
        <f>MID(VLOOKUP($A309,Seqs!$A:$B,2,FALSE),VLOOKUP($A309,'SegEnds_NonXtal_Prot#'!A:AL,10,FALSE)+8,1)</f>
        <v>F</v>
      </c>
      <c r="Z309" s="49" t="str">
        <f>MID(VLOOKUP($A309,Seqs!$A:$B,2,FALSE),VLOOKUP($A309,'SegEnds_NonXtal_Prot#'!A:AL,10,FALSE)+9,1)</f>
        <v>V</v>
      </c>
      <c r="AA309" s="49" t="str">
        <f>MID(VLOOKUP($A309,Seqs!$A:$B,2,FALSE),VLOOKUP($A309,'SegEnds_NonXtal_Prot#'!A:AL,10,FALSE)+10,1)</f>
        <v>K</v>
      </c>
      <c r="AB309" s="28" t="str">
        <f>MID(VLOOKUP($A309,Seqs!$A:$B,2,FALSE),VLOOKUP($A309,'SegEnds_NonXtal_Prot#'!$A:$AL,22,FALSE)+6,1)</f>
        <v>F</v>
      </c>
      <c r="AC309" s="49" t="str">
        <f>MID(VLOOKUP($A309,Seqs!$A:$B,2,FALSE),VLOOKUP($A309,'SegEnds_NonXtal_Prot#'!$A:$AL,22,FALSE)+7,1)</f>
        <v>V</v>
      </c>
      <c r="AD309" s="49" t="str">
        <f>MID(VLOOKUP($A309,Seqs!$A:$B,2,FALSE),VLOOKUP($A309,'SegEnds_NonXtal_Prot#'!$A:$AL,22,FALSE)+8,1)</f>
        <v>A</v>
      </c>
      <c r="AE309" s="49" t="str">
        <f>MID(VLOOKUP($A309,Seqs!$A:$B,2,FALSE),VLOOKUP($A309,'SegEnds_NonXtal_Prot#'!$A:$AL,22,FALSE)+9,1)</f>
        <v>V</v>
      </c>
      <c r="AF309" s="49" t="str">
        <f>MID(VLOOKUP($A309,Seqs!$A:$B,2,FALSE),VLOOKUP($A309,'SegEnds_NonXtal_Prot#'!$A:$AL,22,FALSE)+10,1)</f>
        <v>W</v>
      </c>
      <c r="AG309" s="28" t="str">
        <f>MID(VLOOKUP($A309,Seqs!$A:$B,2,FALSE),VLOOKUP($A309,'SegEnds_NonXtal_Prot#'!$A:$AL,28,FALSE)-4,1)</f>
        <v>P</v>
      </c>
      <c r="AH309" s="49" t="str">
        <f>MID(VLOOKUP($A309,Seqs!$A:$B,2,FALSE),VLOOKUP($A309,'SegEnds_NonXtal_Prot#'!$A:$AL,28,FALSE),1)</f>
        <v>S</v>
      </c>
    </row>
    <row r="310" spans="1:34" s="2" customFormat="1" x14ac:dyDescent="0.2">
      <c r="A310" s="2" t="s">
        <v>410</v>
      </c>
      <c r="B310" s="2" t="str">
        <f>LOWER(VLOOKUP(A310,Xtal_Templ!A:B,2,FALSE))</f>
        <v>pth1r_human</v>
      </c>
      <c r="C310" s="2" t="str">
        <f>VLOOKUP(A310,Classification!A:D,2,FALSE)</f>
        <v>B1</v>
      </c>
      <c r="D310" s="2" t="str">
        <f>IF(ISERROR(MATCH(A310,'SegEnds_Xtal_Prot#'!B:B, 0)), "NoXtal", "Xtal")</f>
        <v>NoXtal</v>
      </c>
      <c r="H310" s="4"/>
      <c r="J310" s="106" t="s">
        <v>25</v>
      </c>
      <c r="P310" s="2" t="s">
        <v>1329</v>
      </c>
      <c r="T310" s="4" t="s">
        <v>12</v>
      </c>
      <c r="V310" s="28" t="str">
        <f>MID(VLOOKUP($A310,Seqs!$A:$B,2,FALSE),VLOOKUP($A310,'SegEnds_NonXtal_Prot#'!A:AL,10,FALSE),1)</f>
        <v>F</v>
      </c>
      <c r="W310" s="49" t="str">
        <f>MID(VLOOKUP($A310,Seqs!$A:$B,2,FALSE),VLOOKUP($A310,'SegEnds_NonXtal_Prot#'!A:AL,10,FALSE)+6,1)</f>
        <v>S</v>
      </c>
      <c r="X310" s="49" t="str">
        <f>MID(VLOOKUP($A310,Seqs!$A:$B,2,FALSE),VLOOKUP($A310,'SegEnds_NonXtal_Prot#'!A:AL,10,FALSE)+7,1)</f>
        <v>I</v>
      </c>
      <c r="Y310" s="49" t="str">
        <f>MID(VLOOKUP($A310,Seqs!$A:$B,2,FALSE),VLOOKUP($A310,'SegEnds_NonXtal_Prot#'!A:AL,10,FALSE)+8,1)</f>
        <v>F</v>
      </c>
      <c r="Z310" s="49" t="str">
        <f>MID(VLOOKUP($A310,Seqs!$A:$B,2,FALSE),VLOOKUP($A310,'SegEnds_NonXtal_Prot#'!A:AL,10,FALSE)+9,1)</f>
        <v>V</v>
      </c>
      <c r="AA310" s="49" t="str">
        <f>MID(VLOOKUP($A310,Seqs!$A:$B,2,FALSE),VLOOKUP($A310,'SegEnds_NonXtal_Prot#'!A:AL,10,FALSE)+10,1)</f>
        <v>K</v>
      </c>
      <c r="AB310" s="28" t="str">
        <f>MID(VLOOKUP($A310,Seqs!$A:$B,2,FALSE),VLOOKUP($A310,'SegEnds_NonXtal_Prot#'!$A:$AL,22,FALSE)+6,1)</f>
        <v>F</v>
      </c>
      <c r="AC310" s="49" t="str">
        <f>MID(VLOOKUP($A310,Seqs!$A:$B,2,FALSE),VLOOKUP($A310,'SegEnds_NonXtal_Prot#'!$A:$AL,22,FALSE)+7,1)</f>
        <v>V</v>
      </c>
      <c r="AD310" s="49" t="str">
        <f>MID(VLOOKUP($A310,Seqs!$A:$B,2,FALSE),VLOOKUP($A310,'SegEnds_NonXtal_Prot#'!$A:$AL,22,FALSE)+8,1)</f>
        <v>A</v>
      </c>
      <c r="AE310" s="49" t="str">
        <f>MID(VLOOKUP($A310,Seqs!$A:$B,2,FALSE),VLOOKUP($A310,'SegEnds_NonXtal_Prot#'!$A:$AL,22,FALSE)+9,1)</f>
        <v>A</v>
      </c>
      <c r="AF310" s="49" t="str">
        <f>MID(VLOOKUP($A310,Seqs!$A:$B,2,FALSE),VLOOKUP($A310,'SegEnds_NonXtal_Prot#'!$A:$AL,22,FALSE)+10,1)</f>
        <v>W</v>
      </c>
      <c r="AG310" s="28" t="str">
        <f>MID(VLOOKUP($A310,Seqs!$A:$B,2,FALSE),VLOOKUP($A310,'SegEnds_NonXtal_Prot#'!$A:$AL,28,FALSE)-4,1)</f>
        <v>P</v>
      </c>
      <c r="AH310" s="49" t="str">
        <f>MID(VLOOKUP($A310,Seqs!$A:$B,2,FALSE),VLOOKUP($A310,'SegEnds_NonXtal_Prot#'!$A:$AL,28,FALSE),1)</f>
        <v>A</v>
      </c>
    </row>
    <row r="311" spans="1:34" s="2" customFormat="1" x14ac:dyDescent="0.2">
      <c r="A311" s="2" t="s">
        <v>411</v>
      </c>
      <c r="B311" s="2" t="str">
        <f>LOWER(VLOOKUP(A311,Xtal_Templ!A:B,2,FALSE))</f>
        <v>pth1r_human</v>
      </c>
      <c r="C311" s="2" t="str">
        <f>VLOOKUP(A311,Classification!A:D,2,FALSE)</f>
        <v>B1</v>
      </c>
      <c r="D311" s="2" t="str">
        <f>IF(ISERROR(MATCH(A311,'SegEnds_Xtal_Prot#'!B:B, 0)), "NoXtal", "Xtal")</f>
        <v>NoXtal</v>
      </c>
      <c r="H311" s="4"/>
      <c r="J311" s="106" t="s">
        <v>25</v>
      </c>
      <c r="P311" s="2" t="s">
        <v>1329</v>
      </c>
      <c r="T311" s="4" t="s">
        <v>12</v>
      </c>
      <c r="V311" s="28" t="str">
        <f>MID(VLOOKUP($A311,Seqs!$A:$B,2,FALSE),VLOOKUP($A311,'SegEnds_NonXtal_Prot#'!A:AL,10,FALSE),1)</f>
        <v>F</v>
      </c>
      <c r="W311" s="49" t="str">
        <f>MID(VLOOKUP($A311,Seqs!$A:$B,2,FALSE),VLOOKUP($A311,'SegEnds_NonXtal_Prot#'!A:AL,10,FALSE)+6,1)</f>
        <v>S</v>
      </c>
      <c r="X311" s="49" t="str">
        <f>MID(VLOOKUP($A311,Seqs!$A:$B,2,FALSE),VLOOKUP($A311,'SegEnds_NonXtal_Prot#'!A:AL,10,FALSE)+7,1)</f>
        <v>N</v>
      </c>
      <c r="Y311" s="49" t="str">
        <f>MID(VLOOKUP($A311,Seqs!$A:$B,2,FALSE),VLOOKUP($A311,'SegEnds_NonXtal_Prot#'!A:AL,10,FALSE)+8,1)</f>
        <v>F</v>
      </c>
      <c r="Z311" s="49" t="str">
        <f>MID(VLOOKUP($A311,Seqs!$A:$B,2,FALSE),VLOOKUP($A311,'SegEnds_NonXtal_Prot#'!A:AL,10,FALSE)+9,1)</f>
        <v>I</v>
      </c>
      <c r="AA311" s="49" t="str">
        <f>MID(VLOOKUP($A311,Seqs!$A:$B,2,FALSE),VLOOKUP($A311,'SegEnds_NonXtal_Prot#'!A:AL,10,FALSE)+10,1)</f>
        <v>K</v>
      </c>
      <c r="AB311" s="28" t="str">
        <f>MID(VLOOKUP($A311,Seqs!$A:$B,2,FALSE),VLOOKUP($A311,'SegEnds_NonXtal_Prot#'!$A:$AL,22,FALSE)+6,1)</f>
        <v>F</v>
      </c>
      <c r="AC311" s="49" t="str">
        <f>MID(VLOOKUP($A311,Seqs!$A:$B,2,FALSE),VLOOKUP($A311,'SegEnds_NonXtal_Prot#'!$A:$AL,22,FALSE)+7,1)</f>
        <v>V</v>
      </c>
      <c r="AD311" s="49" t="str">
        <f>MID(VLOOKUP($A311,Seqs!$A:$B,2,FALSE),VLOOKUP($A311,'SegEnds_NonXtal_Prot#'!$A:$AL,22,FALSE)+8,1)</f>
        <v>A</v>
      </c>
      <c r="AE311" s="49" t="str">
        <f>MID(VLOOKUP($A311,Seqs!$A:$B,2,FALSE),VLOOKUP($A311,'SegEnds_NonXtal_Prot#'!$A:$AL,22,FALSE)+9,1)</f>
        <v>L</v>
      </c>
      <c r="AF311" s="49" t="str">
        <f>MID(VLOOKUP($A311,Seqs!$A:$B,2,FALSE),VLOOKUP($A311,'SegEnds_NonXtal_Prot#'!$A:$AL,22,FALSE)+10,1)</f>
        <v>W</v>
      </c>
      <c r="AG311" s="28" t="str">
        <f>MID(VLOOKUP($A311,Seqs!$A:$B,2,FALSE),VLOOKUP($A311,'SegEnds_NonXtal_Prot#'!$A:$AL,28,FALSE)-4,1)</f>
        <v>P</v>
      </c>
      <c r="AH311" s="49" t="str">
        <f>MID(VLOOKUP($A311,Seqs!$A:$B,2,FALSE),VLOOKUP($A311,'SegEnds_NonXtal_Prot#'!$A:$AL,28,FALSE),1)</f>
        <v>S</v>
      </c>
    </row>
    <row r="312" spans="1:34" s="2" customFormat="1" x14ac:dyDescent="0.2">
      <c r="A312" s="2" t="s">
        <v>412</v>
      </c>
      <c r="B312" s="2" t="str">
        <f>LOWER(VLOOKUP(A312,Xtal_Templ!A:B,2,FALSE))</f>
        <v>pth1r_human</v>
      </c>
      <c r="C312" s="2" t="str">
        <f>VLOOKUP(A312,Classification!A:D,2,FALSE)</f>
        <v>B1</v>
      </c>
      <c r="D312" s="2" t="str">
        <f>IF(ISERROR(MATCH(A312,'SegEnds_Xtal_Prot#'!B:B, 0)), "NoXtal", "Xtal")</f>
        <v>NoXtal</v>
      </c>
      <c r="H312" s="4"/>
      <c r="J312" s="106" t="s">
        <v>25</v>
      </c>
      <c r="P312" s="2" t="s">
        <v>1329</v>
      </c>
      <c r="T312" s="4" t="s">
        <v>12</v>
      </c>
      <c r="V312" s="28" t="str">
        <f>MID(VLOOKUP($A312,Seqs!$A:$B,2,FALSE),VLOOKUP($A312,'SegEnds_NonXtal_Prot#'!A:AL,10,FALSE),1)</f>
        <v>F</v>
      </c>
      <c r="W312" s="49" t="str">
        <f>MID(VLOOKUP($A312,Seqs!$A:$B,2,FALSE),VLOOKUP($A312,'SegEnds_NonXtal_Prot#'!A:AL,10,FALSE)+6,1)</f>
        <v>A</v>
      </c>
      <c r="X312" s="49" t="str">
        <f>MID(VLOOKUP($A312,Seqs!$A:$B,2,FALSE),VLOOKUP($A312,'SegEnds_NonXtal_Prot#'!A:AL,10,FALSE)+7,1)</f>
        <v>V</v>
      </c>
      <c r="Y312" s="49" t="str">
        <f>MID(VLOOKUP($A312,Seqs!$A:$B,2,FALSE),VLOOKUP($A312,'SegEnds_NonXtal_Prot#'!A:AL,10,FALSE)+8,1)</f>
        <v>F</v>
      </c>
      <c r="Z312" s="49" t="str">
        <f>MID(VLOOKUP($A312,Seqs!$A:$B,2,FALSE),VLOOKUP($A312,'SegEnds_NonXtal_Prot#'!A:AL,10,FALSE)+9,1)</f>
        <v>I</v>
      </c>
      <c r="AA312" s="49" t="str">
        <f>MID(VLOOKUP($A312,Seqs!$A:$B,2,FALSE),VLOOKUP($A312,'SegEnds_NonXtal_Prot#'!A:AL,10,FALSE)+10,1)</f>
        <v>K</v>
      </c>
      <c r="AB312" s="28" t="str">
        <f>MID(VLOOKUP($A312,Seqs!$A:$B,2,FALSE),VLOOKUP($A312,'SegEnds_NonXtal_Prot#'!$A:$AL,22,FALSE)+6,1)</f>
        <v>F</v>
      </c>
      <c r="AC312" s="49" t="str">
        <f>MID(VLOOKUP($A312,Seqs!$A:$B,2,FALSE),VLOOKUP($A312,'SegEnds_NonXtal_Prot#'!$A:$AL,22,FALSE)+7,1)</f>
        <v>T</v>
      </c>
      <c r="AD312" s="49" t="str">
        <f>MID(VLOOKUP($A312,Seqs!$A:$B,2,FALSE),VLOOKUP($A312,'SegEnds_NonXtal_Prot#'!$A:$AL,22,FALSE)+8,1)</f>
        <v>M</v>
      </c>
      <c r="AE312" s="49" t="str">
        <f>MID(VLOOKUP($A312,Seqs!$A:$B,2,FALSE),VLOOKUP($A312,'SegEnds_NonXtal_Prot#'!$A:$AL,22,FALSE)+9,1)</f>
        <v>V</v>
      </c>
      <c r="AF312" s="49" t="str">
        <f>MID(VLOOKUP($A312,Seqs!$A:$B,2,FALSE),VLOOKUP($A312,'SegEnds_NonXtal_Prot#'!$A:$AL,22,FALSE)+10,1)</f>
        <v>W</v>
      </c>
      <c r="AG312" s="28" t="str">
        <f>MID(VLOOKUP($A312,Seqs!$A:$B,2,FALSE),VLOOKUP($A312,'SegEnds_NonXtal_Prot#'!$A:$AL,28,FALSE)-4,1)</f>
        <v>P</v>
      </c>
      <c r="AH312" s="49" t="str">
        <f>MID(VLOOKUP($A312,Seqs!$A:$B,2,FALSE),VLOOKUP($A312,'SegEnds_NonXtal_Prot#'!$A:$AL,28,FALSE),1)</f>
        <v>S</v>
      </c>
    </row>
    <row r="313" spans="1:34" s="2" customFormat="1" x14ac:dyDescent="0.2">
      <c r="A313" s="2" t="s">
        <v>413</v>
      </c>
      <c r="B313" s="2" t="str">
        <f>LOWER(VLOOKUP(A313,Xtal_Templ!A:B,2,FALSE))</f>
        <v>pth1r_human</v>
      </c>
      <c r="C313" s="2" t="str">
        <f>VLOOKUP(A313,Classification!A:D,2,FALSE)</f>
        <v>B1</v>
      </c>
      <c r="D313" s="2" t="str">
        <f>IF(ISERROR(MATCH(A313,'SegEnds_Xtal_Prot#'!B:B, 0)), "NoXtal", "Xtal")</f>
        <v>NoXtal</v>
      </c>
      <c r="H313" s="4"/>
      <c r="J313" s="106" t="s">
        <v>25</v>
      </c>
      <c r="P313" s="2" t="s">
        <v>1329</v>
      </c>
      <c r="T313" s="4" t="s">
        <v>12</v>
      </c>
      <c r="V313" s="28" t="str">
        <f>MID(VLOOKUP($A313,Seqs!$A:$B,2,FALSE),VLOOKUP($A313,'SegEnds_NonXtal_Prot#'!A:AL,10,FALSE),1)</f>
        <v>F</v>
      </c>
      <c r="W313" s="49" t="str">
        <f>MID(VLOOKUP($A313,Seqs!$A:$B,2,FALSE),VLOOKUP($A313,'SegEnds_NonXtal_Prot#'!A:AL,10,FALSE)+6,1)</f>
        <v>S</v>
      </c>
      <c r="X313" s="49" t="str">
        <f>MID(VLOOKUP($A313,Seqs!$A:$B,2,FALSE),VLOOKUP($A313,'SegEnds_NonXtal_Prot#'!A:AL,10,FALSE)+7,1)</f>
        <v>V</v>
      </c>
      <c r="Y313" s="49" t="str">
        <f>MID(VLOOKUP($A313,Seqs!$A:$B,2,FALSE),VLOOKUP($A313,'SegEnds_NonXtal_Prot#'!A:AL,10,FALSE)+8,1)</f>
        <v>L</v>
      </c>
      <c r="Z313" s="49" t="str">
        <f>MID(VLOOKUP($A313,Seqs!$A:$B,2,FALSE),VLOOKUP($A313,'SegEnds_NonXtal_Prot#'!A:AL,10,FALSE)+9,1)</f>
        <v>V</v>
      </c>
      <c r="AA313" s="49" t="str">
        <f>MID(VLOOKUP($A313,Seqs!$A:$B,2,FALSE),VLOOKUP($A313,'SegEnds_NonXtal_Prot#'!A:AL,10,FALSE)+10,1)</f>
        <v>K</v>
      </c>
      <c r="AB313" s="28" t="str">
        <f>MID(VLOOKUP($A313,Seqs!$A:$B,2,FALSE),VLOOKUP($A313,'SegEnds_NonXtal_Prot#'!$A:$AL,22,FALSE)+6,1)</f>
        <v>C</v>
      </c>
      <c r="AC313" s="49" t="str">
        <f>MID(VLOOKUP($A313,Seqs!$A:$B,2,FALSE),VLOOKUP($A313,'SegEnds_NonXtal_Prot#'!$A:$AL,22,FALSE)+7,1)</f>
        <v>I</v>
      </c>
      <c r="AD313" s="49" t="str">
        <f>MID(VLOOKUP($A313,Seqs!$A:$B,2,FALSE),VLOOKUP($A313,'SegEnds_NonXtal_Prot#'!$A:$AL,22,FALSE)+8,1)</f>
        <v>G</v>
      </c>
      <c r="AE313" s="49" t="str">
        <f>MID(VLOOKUP($A313,Seqs!$A:$B,2,FALSE),VLOOKUP($A313,'SegEnds_NonXtal_Prot#'!$A:$AL,22,FALSE)+9,1)</f>
        <v>A</v>
      </c>
      <c r="AF313" s="49" t="str">
        <f>MID(VLOOKUP($A313,Seqs!$A:$B,2,FALSE),VLOOKUP($A313,'SegEnds_NonXtal_Prot#'!$A:$AL,22,FALSE)+10,1)</f>
        <v>W</v>
      </c>
      <c r="AG313" s="28" t="str">
        <f>MID(VLOOKUP($A313,Seqs!$A:$B,2,FALSE),VLOOKUP($A313,'SegEnds_NonXtal_Prot#'!$A:$AL,28,FALSE)-4,1)</f>
        <v>P</v>
      </c>
      <c r="AH313" s="49" t="str">
        <f>MID(VLOOKUP($A313,Seqs!$A:$B,2,FALSE),VLOOKUP($A313,'SegEnds_NonXtal_Prot#'!$A:$AL,28,FALSE),1)</f>
        <v>S</v>
      </c>
    </row>
    <row r="314" spans="1:34" s="2" customFormat="1" x14ac:dyDescent="0.2">
      <c r="A314" s="2" t="s">
        <v>1429</v>
      </c>
      <c r="B314" s="2" t="str">
        <f>LOWER(VLOOKUP(A314,Xtal_Templ!A:B,2,FALSE))</f>
        <v>g1sgd4_rabit</v>
      </c>
      <c r="C314" s="2" t="str">
        <f>VLOOKUP(A314,Classification!A:D,2,FALSE)</f>
        <v>B1</v>
      </c>
      <c r="D314" s="2" t="str">
        <f>IF(ISERROR(MATCH(A314,'SegEnds_Xtal_Prot#'!B:B, 0)), "NoXtal", "Xtal")</f>
        <v>Xtal</v>
      </c>
      <c r="H314" s="4"/>
      <c r="J314" s="106" t="s">
        <v>25</v>
      </c>
      <c r="P314" s="2" t="s">
        <v>1329</v>
      </c>
      <c r="T314" s="4" t="s">
        <v>12</v>
      </c>
      <c r="V314" s="28" t="str">
        <f>MID(VLOOKUP($A314,Seqs!$A:$B,2,FALSE),VLOOKUP($A314,'SegEnds_NonXtal_Prot#'!A:AL,10,FALSE),1)</f>
        <v>F</v>
      </c>
      <c r="W314" s="49" t="str">
        <f>MID(VLOOKUP($A314,Seqs!$A:$B,2,FALSE),VLOOKUP($A314,'SegEnds_NonXtal_Prot#'!A:AL,10,FALSE)+6,1)</f>
        <v>S</v>
      </c>
      <c r="X314" s="49" t="str">
        <f>MID(VLOOKUP($A314,Seqs!$A:$B,2,FALSE),VLOOKUP($A314,'SegEnds_NonXtal_Prot#'!A:AL,10,FALSE)+7,1)</f>
        <v>V</v>
      </c>
      <c r="Y314" s="49" t="str">
        <f>MID(VLOOKUP($A314,Seqs!$A:$B,2,FALSE),VLOOKUP($A314,'SegEnds_NonXtal_Prot#'!A:AL,10,FALSE)+8,1)</f>
        <v>F</v>
      </c>
      <c r="Z314" s="49" t="str">
        <f>MID(VLOOKUP($A314,Seqs!$A:$B,2,FALSE),VLOOKUP($A314,'SegEnds_NonXtal_Prot#'!A:AL,10,FALSE)+9,1)</f>
        <v>I</v>
      </c>
      <c r="AA314" s="49" t="str">
        <f>MID(VLOOKUP($A314,Seqs!$A:$B,2,FALSE),VLOOKUP($A314,'SegEnds_NonXtal_Prot#'!A:AL,10,FALSE)+10,1)</f>
        <v>K</v>
      </c>
      <c r="AB314" s="28" t="str">
        <f>MID(VLOOKUP($A314,Seqs!$A:$B,2,FALSE),VLOOKUP($A314,'SegEnds_NonXtal_Prot#'!$A:$AL,22,FALSE)+6,1)</f>
        <v>F</v>
      </c>
      <c r="AC314" s="49" t="str">
        <f>MID(VLOOKUP($A314,Seqs!$A:$B,2,FALSE),VLOOKUP($A314,'SegEnds_NonXtal_Prot#'!$A:$AL,22,FALSE)+7,1)</f>
        <v>V</v>
      </c>
      <c r="AD314" s="49" t="str">
        <f>MID(VLOOKUP($A314,Seqs!$A:$B,2,FALSE),VLOOKUP($A314,'SegEnds_NonXtal_Prot#'!$A:$AL,22,FALSE)+8,1)</f>
        <v>I</v>
      </c>
      <c r="AE314" s="49" t="str">
        <f>MID(VLOOKUP($A314,Seqs!$A:$B,2,FALSE),VLOOKUP($A314,'SegEnds_NonXtal_Prot#'!$A:$AL,22,FALSE)+9,1)</f>
        <v>P</v>
      </c>
      <c r="AF314" s="49" t="str">
        <f>MID(VLOOKUP($A314,Seqs!$A:$B,2,FALSE),VLOOKUP($A314,'SegEnds_NonXtal_Prot#'!$A:$AL,22,FALSE)+10,1)</f>
        <v>W</v>
      </c>
      <c r="AG314" s="28" t="str">
        <f>MID(VLOOKUP($A314,Seqs!$A:$B,2,FALSE),VLOOKUP($A314,'SegEnds_NonXtal_Prot#'!$A:$AL,28,FALSE)-4,1)</f>
        <v>P</v>
      </c>
      <c r="AH314" s="49" t="str">
        <f>MID(VLOOKUP($A314,Seqs!$A:$B,2,FALSE),VLOOKUP($A314,'SegEnds_NonXtal_Prot#'!$A:$AL,28,FALSE),1)</f>
        <v>A</v>
      </c>
    </row>
    <row r="315" spans="1:34" s="2" customFormat="1" x14ac:dyDescent="0.2">
      <c r="A315" s="2" t="s">
        <v>1177</v>
      </c>
      <c r="B315" s="2" t="str">
        <f>LOWER(VLOOKUP(A315,Xtal_Templ!A:B,2,FALSE))</f>
        <v>crfr1_human</v>
      </c>
      <c r="C315" s="2" t="str">
        <f>VLOOKUP(A315,Classification!A:D,2,FALSE)</f>
        <v>B2</v>
      </c>
      <c r="D315" s="2" t="str">
        <f>IF(ISERROR(MATCH(A315,'SegEnds_Xtal_Prot#'!B:B, 0)), "NoXtal", "Xtal")</f>
        <v>NoXtal</v>
      </c>
      <c r="H315" s="4"/>
      <c r="J315" s="106" t="s">
        <v>25</v>
      </c>
      <c r="T315" s="4" t="s">
        <v>12</v>
      </c>
      <c r="V315" s="28" t="str">
        <f>MID(VLOOKUP($A315,Seqs!$A:$B,2,FALSE),VLOOKUP($A315,'SegEnds_NonXtal_Prot#'!A:AL,10,FALSE),1)</f>
        <v>F</v>
      </c>
      <c r="W315" s="49" t="str">
        <f>MID(VLOOKUP($A315,Seqs!$A:$B,2,FALSE),VLOOKUP($A315,'SegEnds_NonXtal_Prot#'!A:AL,10,FALSE)+6,1)</f>
        <v>F</v>
      </c>
      <c r="X315" s="49" t="str">
        <f>MID(VLOOKUP($A315,Seqs!$A:$B,2,FALSE),VLOOKUP($A315,'SegEnds_NonXtal_Prot#'!A:AL,10,FALSE)+7,1)</f>
        <v>T</v>
      </c>
      <c r="Y315" s="49" t="str">
        <f>MID(VLOOKUP($A315,Seqs!$A:$B,2,FALSE),VLOOKUP($A315,'SegEnds_NonXtal_Prot#'!A:AL,10,FALSE)+8,1)</f>
        <v>V</v>
      </c>
      <c r="Z315" s="49" t="str">
        <f>MID(VLOOKUP($A315,Seqs!$A:$B,2,FALSE),VLOOKUP($A315,'SegEnds_NonXtal_Prot#'!A:AL,10,FALSE)+9,1)</f>
        <v>F</v>
      </c>
      <c r="AA315" s="49" t="str">
        <f>MID(VLOOKUP($A315,Seqs!$A:$B,2,FALSE),VLOOKUP($A315,'SegEnds_NonXtal_Prot#'!A:AL,10,FALSE)+10,1)</f>
        <v>A</v>
      </c>
      <c r="AB315" s="28" t="str">
        <f>MID(VLOOKUP($A315,Seqs!$A:$B,2,FALSE),VLOOKUP($A315,'SegEnds_NonXtal_Prot#'!$A:$AL,22,FALSE)+6,1)</f>
        <v>I</v>
      </c>
      <c r="AC315" s="49" t="str">
        <f>MID(VLOOKUP($A315,Seqs!$A:$B,2,FALSE),VLOOKUP($A315,'SegEnds_NonXtal_Prot#'!$A:$AL,22,FALSE)+7,1)</f>
        <v>C</v>
      </c>
      <c r="AD315" s="49" t="str">
        <f>MID(VLOOKUP($A315,Seqs!$A:$B,2,FALSE),VLOOKUP($A315,'SegEnds_NonXtal_Prot#'!$A:$AL,22,FALSE)+8,1)</f>
        <v>G</v>
      </c>
      <c r="AE315" s="49" t="str">
        <f>MID(VLOOKUP($A315,Seqs!$A:$B,2,FALSE),VLOOKUP($A315,'SegEnds_NonXtal_Prot#'!$A:$AL,22,FALSE)+9,1)</f>
        <v>V</v>
      </c>
      <c r="AF315" s="49" t="str">
        <f>MID(VLOOKUP($A315,Seqs!$A:$B,2,FALSE),VLOOKUP($A315,'SegEnds_NonXtal_Prot#'!$A:$AL,22,FALSE)+10,1)</f>
        <v>T</v>
      </c>
      <c r="AG315" s="28" t="str">
        <f>MID(VLOOKUP($A315,Seqs!$A:$B,2,FALSE),VLOOKUP($A315,'SegEnds_NonXtal_Prot#'!$A:$AL,28,FALSE)-4,1)</f>
        <v>P</v>
      </c>
      <c r="AH315" s="49" t="str">
        <f>MID(VLOOKUP($A315,Seqs!$A:$B,2,FALSE),VLOOKUP($A315,'SegEnds_NonXtal_Prot#'!$A:$AL,28,FALSE),1)</f>
        <v>I</v>
      </c>
    </row>
    <row r="316" spans="1:34" s="2" customFormat="1" x14ac:dyDescent="0.2">
      <c r="A316" s="2" t="s">
        <v>1178</v>
      </c>
      <c r="B316" s="2" t="str">
        <f>LOWER(VLOOKUP(A316,Xtal_Templ!A:B,2,FALSE))</f>
        <v>crfr1_human</v>
      </c>
      <c r="C316" s="2" t="str">
        <f>VLOOKUP(A316,Classification!A:D,2,FALSE)</f>
        <v>B2</v>
      </c>
      <c r="D316" s="2" t="str">
        <f>IF(ISERROR(MATCH(A316,'SegEnds_Xtal_Prot#'!B:B, 0)), "NoXtal", "Xtal")</f>
        <v>NoXtal</v>
      </c>
      <c r="H316" s="4"/>
      <c r="J316" s="106" t="s">
        <v>25</v>
      </c>
      <c r="T316" s="4" t="s">
        <v>12</v>
      </c>
      <c r="V316" s="28" t="str">
        <f>MID(VLOOKUP($A316,Seqs!$A:$B,2,FALSE),VLOOKUP($A316,'SegEnds_NonXtal_Prot#'!A:AL,10,FALSE),1)</f>
        <v>F</v>
      </c>
      <c r="W316" s="49" t="str">
        <f>MID(VLOOKUP($A316,Seqs!$A:$B,2,FALSE),VLOOKUP($A316,'SegEnds_NonXtal_Prot#'!A:AL,10,FALSE)+6,1)</f>
        <v>S</v>
      </c>
      <c r="X316" s="49" t="str">
        <f>MID(VLOOKUP($A316,Seqs!$A:$B,2,FALSE),VLOOKUP($A316,'SegEnds_NonXtal_Prot#'!A:AL,10,FALSE)+7,1)</f>
        <v>A</v>
      </c>
      <c r="Y316" s="49" t="str">
        <f>MID(VLOOKUP($A316,Seqs!$A:$B,2,FALSE),VLOOKUP($A316,'SegEnds_NonXtal_Prot#'!A:AL,10,FALSE)+8,1)</f>
        <v>V</v>
      </c>
      <c r="Z316" s="49" t="str">
        <f>MID(VLOOKUP($A316,Seqs!$A:$B,2,FALSE),VLOOKUP($A316,'SegEnds_NonXtal_Prot#'!A:AL,10,FALSE)+9,1)</f>
        <v>F</v>
      </c>
      <c r="AA316" s="49" t="str">
        <f>MID(VLOOKUP($A316,Seqs!$A:$B,2,FALSE),VLOOKUP($A316,'SegEnds_NonXtal_Prot#'!A:AL,10,FALSE)+10,1)</f>
        <v>A</v>
      </c>
      <c r="AB316" s="28" t="str">
        <f>MID(VLOOKUP($A316,Seqs!$A:$B,2,FALSE),VLOOKUP($A316,'SegEnds_NonXtal_Prot#'!$A:$AL,22,FALSE)+6,1)</f>
        <v>I</v>
      </c>
      <c r="AC316" s="49" t="str">
        <f>MID(VLOOKUP($A316,Seqs!$A:$B,2,FALSE),VLOOKUP($A316,'SegEnds_NonXtal_Prot#'!$A:$AL,22,FALSE)+7,1)</f>
        <v>C</v>
      </c>
      <c r="AD316" s="49" t="str">
        <f>MID(VLOOKUP($A316,Seqs!$A:$B,2,FALSE),VLOOKUP($A316,'SegEnds_NonXtal_Prot#'!$A:$AL,22,FALSE)+8,1)</f>
        <v>G</v>
      </c>
      <c r="AE316" s="49" t="str">
        <f>MID(VLOOKUP($A316,Seqs!$A:$B,2,FALSE),VLOOKUP($A316,'SegEnds_NonXtal_Prot#'!$A:$AL,22,FALSE)+9,1)</f>
        <v>I</v>
      </c>
      <c r="AF316" s="49" t="str">
        <f>MID(VLOOKUP($A316,Seqs!$A:$B,2,FALSE),VLOOKUP($A316,'SegEnds_NonXtal_Prot#'!$A:$AL,22,FALSE)+10,1)</f>
        <v>T</v>
      </c>
      <c r="AG316" s="28" t="str">
        <f>MID(VLOOKUP($A316,Seqs!$A:$B,2,FALSE),VLOOKUP($A316,'SegEnds_NonXtal_Prot#'!$A:$AL,28,FALSE)-4,1)</f>
        <v>P</v>
      </c>
      <c r="AH316" s="49" t="str">
        <f>MID(VLOOKUP($A316,Seqs!$A:$B,2,FALSE),VLOOKUP($A316,'SegEnds_NonXtal_Prot#'!$A:$AL,28,FALSE),1)</f>
        <v>I</v>
      </c>
    </row>
    <row r="317" spans="1:34" s="2" customFormat="1" x14ac:dyDescent="0.2">
      <c r="A317" s="2" t="s">
        <v>1179</v>
      </c>
      <c r="B317" s="2" t="str">
        <f>LOWER(VLOOKUP(A317,Xtal_Templ!A:B,2,FALSE))</f>
        <v>crfr1_human</v>
      </c>
      <c r="C317" s="2" t="str">
        <f>VLOOKUP(A317,Classification!A:D,2,FALSE)</f>
        <v>B2</v>
      </c>
      <c r="D317" s="2" t="str">
        <f>IF(ISERROR(MATCH(A317,'SegEnds_Xtal_Prot#'!B:B, 0)), "NoXtal", "Xtal")</f>
        <v>NoXtal</v>
      </c>
      <c r="H317" s="4"/>
      <c r="J317" s="106" t="s">
        <v>25</v>
      </c>
      <c r="T317" s="4" t="s">
        <v>12</v>
      </c>
      <c r="V317" s="28" t="str">
        <f>MID(VLOOKUP($A317,Seqs!$A:$B,2,FALSE),VLOOKUP($A317,'SegEnds_NonXtal_Prot#'!A:AL,10,FALSE),1)</f>
        <v>F</v>
      </c>
      <c r="W317" s="49" t="str">
        <f>MID(VLOOKUP($A317,Seqs!$A:$B,2,FALSE),VLOOKUP($A317,'SegEnds_NonXtal_Prot#'!A:AL,10,FALSE)+6,1)</f>
        <v>C</v>
      </c>
      <c r="X317" s="49" t="str">
        <f>MID(VLOOKUP($A317,Seqs!$A:$B,2,FALSE),VLOOKUP($A317,'SegEnds_NonXtal_Prot#'!A:AL,10,FALSE)+7,1)</f>
        <v>V</v>
      </c>
      <c r="Y317" s="49" t="str">
        <f>MID(VLOOKUP($A317,Seqs!$A:$B,2,FALSE),VLOOKUP($A317,'SegEnds_NonXtal_Prot#'!A:AL,10,FALSE)+8,1)</f>
        <v>V</v>
      </c>
      <c r="Z317" s="49" t="str">
        <f>MID(VLOOKUP($A317,Seqs!$A:$B,2,FALSE),VLOOKUP($A317,'SegEnds_NonXtal_Prot#'!A:AL,10,FALSE)+9,1)</f>
        <v>F</v>
      </c>
      <c r="AA317" s="49" t="str">
        <f>MID(VLOOKUP($A317,Seqs!$A:$B,2,FALSE),VLOOKUP($A317,'SegEnds_NonXtal_Prot#'!A:AL,10,FALSE)+10,1)</f>
        <v>V</v>
      </c>
      <c r="AB317" s="28" t="str">
        <f>MID(VLOOKUP($A317,Seqs!$A:$B,2,FALSE),VLOOKUP($A317,'SegEnds_NonXtal_Prot#'!$A:$AL,22,FALSE)+6,1)</f>
        <v>V</v>
      </c>
      <c r="AC317" s="49" t="str">
        <f>MID(VLOOKUP($A317,Seqs!$A:$B,2,FALSE),VLOOKUP($A317,'SegEnds_NonXtal_Prot#'!$A:$AL,22,FALSE)+7,1)</f>
        <v>C</v>
      </c>
      <c r="AD317" s="49" t="str">
        <f>MID(VLOOKUP($A317,Seqs!$A:$B,2,FALSE),VLOOKUP($A317,'SegEnds_NonXtal_Prot#'!$A:$AL,22,FALSE)+8,1)</f>
        <v>G</v>
      </c>
      <c r="AE317" s="49" t="str">
        <f>MID(VLOOKUP($A317,Seqs!$A:$B,2,FALSE),VLOOKUP($A317,'SegEnds_NonXtal_Prot#'!$A:$AL,22,FALSE)+9,1)</f>
        <v>I</v>
      </c>
      <c r="AF317" s="49" t="str">
        <f>MID(VLOOKUP($A317,Seqs!$A:$B,2,FALSE),VLOOKUP($A317,'SegEnds_NonXtal_Prot#'!$A:$AL,22,FALSE)+10,1)</f>
        <v>T</v>
      </c>
      <c r="AG317" s="28" t="str">
        <f>MID(VLOOKUP($A317,Seqs!$A:$B,2,FALSE),VLOOKUP($A317,'SegEnds_NonXtal_Prot#'!$A:$AL,28,FALSE)-4,1)</f>
        <v>P</v>
      </c>
      <c r="AH317" s="49" t="str">
        <f>MID(VLOOKUP($A317,Seqs!$A:$B,2,FALSE),VLOOKUP($A317,'SegEnds_NonXtal_Prot#'!$A:$AL,28,FALSE),1)</f>
        <v>I</v>
      </c>
    </row>
    <row r="318" spans="1:34" s="2" customFormat="1" x14ac:dyDescent="0.2">
      <c r="A318" s="2" t="s">
        <v>1180</v>
      </c>
      <c r="B318" s="2" t="str">
        <f>LOWER(VLOOKUP(A318,Xtal_Templ!A:B,2,FALSE))</f>
        <v>crfr1_human</v>
      </c>
      <c r="C318" s="2" t="str">
        <f>VLOOKUP(A318,Classification!A:D,2,FALSE)</f>
        <v>B2</v>
      </c>
      <c r="D318" s="2" t="str">
        <f>IF(ISERROR(MATCH(A318,'SegEnds_Xtal_Prot#'!B:B, 0)), "NoXtal", "Xtal")</f>
        <v>NoXtal</v>
      </c>
      <c r="H318" s="4"/>
      <c r="J318" s="106" t="s">
        <v>25</v>
      </c>
      <c r="T318" s="4" t="s">
        <v>12</v>
      </c>
      <c r="V318" s="28" t="str">
        <f>MID(VLOOKUP($A318,Seqs!$A:$B,2,FALSE),VLOOKUP($A318,'SegEnds_NonXtal_Prot#'!A:AL,10,FALSE),1)</f>
        <v>I</v>
      </c>
      <c r="W318" s="49" t="str">
        <f>MID(VLOOKUP($A318,Seqs!$A:$B,2,FALSE),VLOOKUP($A318,'SegEnds_NonXtal_Prot#'!A:AL,10,FALSE)+6,1)</f>
        <v>L</v>
      </c>
      <c r="X318" s="49" t="str">
        <f>MID(VLOOKUP($A318,Seqs!$A:$B,2,FALSE),VLOOKUP($A318,'SegEnds_NonXtal_Prot#'!A:AL,10,FALSE)+7,1)</f>
        <v>I</v>
      </c>
      <c r="Y318" s="49" t="str">
        <f>MID(VLOOKUP($A318,Seqs!$A:$B,2,FALSE),VLOOKUP($A318,'SegEnds_NonXtal_Prot#'!A:AL,10,FALSE)+8,1)</f>
        <v>L</v>
      </c>
      <c r="Z318" s="49" t="str">
        <f>MID(VLOOKUP($A318,Seqs!$A:$B,2,FALSE),VLOOKUP($A318,'SegEnds_NonXtal_Prot#'!A:AL,10,FALSE)+9,1)</f>
        <v>V</v>
      </c>
      <c r="AA318" s="49" t="str">
        <f>MID(VLOOKUP($A318,Seqs!$A:$B,2,FALSE),VLOOKUP($A318,'SegEnds_NonXtal_Prot#'!A:AL,10,FALSE)+10,1)</f>
        <v>G</v>
      </c>
      <c r="AB318" s="28" t="str">
        <f>MID(VLOOKUP($A318,Seqs!$A:$B,2,FALSE),VLOOKUP($A318,'SegEnds_NonXtal_Prot#'!$A:$AL,22,FALSE)+6,1)</f>
        <v>V</v>
      </c>
      <c r="AC318" s="49" t="str">
        <f>MID(VLOOKUP($A318,Seqs!$A:$B,2,FALSE),VLOOKUP($A318,'SegEnds_NonXtal_Prot#'!$A:$AL,22,FALSE)+7,1)</f>
        <v>V</v>
      </c>
      <c r="AD318" s="49" t="str">
        <f>MID(VLOOKUP($A318,Seqs!$A:$B,2,FALSE),VLOOKUP($A318,'SegEnds_NonXtal_Prot#'!$A:$AL,22,FALSE)+8,1)</f>
        <v>A</v>
      </c>
      <c r="AE318" s="49" t="str">
        <f>MID(VLOOKUP($A318,Seqs!$A:$B,2,FALSE),VLOOKUP($A318,'SegEnds_NonXtal_Prot#'!$A:$AL,22,FALSE)+9,1)</f>
        <v>V</v>
      </c>
      <c r="AF318" s="49" t="str">
        <f>MID(VLOOKUP($A318,Seqs!$A:$B,2,FALSE),VLOOKUP($A318,'SegEnds_NonXtal_Prot#'!$A:$AL,22,FALSE)+10,1)</f>
        <v>S</v>
      </c>
      <c r="AG318" s="28" t="str">
        <f>MID(VLOOKUP($A318,Seqs!$A:$B,2,FALSE),VLOOKUP($A318,'SegEnds_NonXtal_Prot#'!$A:$AL,28,FALSE)-4,1)</f>
        <v>P</v>
      </c>
      <c r="AH318" s="49" t="str">
        <f>MID(VLOOKUP($A318,Seqs!$A:$B,2,FALSE),VLOOKUP($A318,'SegEnds_NonXtal_Prot#'!$A:$AL,28,FALSE),1)</f>
        <v>I</v>
      </c>
    </row>
    <row r="319" spans="1:34" s="2" customFormat="1" x14ac:dyDescent="0.2">
      <c r="A319" s="2" t="s">
        <v>1181</v>
      </c>
      <c r="B319" s="2" t="str">
        <f>LOWER(VLOOKUP(A319,Xtal_Templ!A:B,2,FALSE))</f>
        <v>crfr1_human</v>
      </c>
      <c r="C319" s="2" t="str">
        <f>VLOOKUP(A319,Classification!A:D,2,FALSE)</f>
        <v>B2</v>
      </c>
      <c r="D319" s="2" t="str">
        <f>IF(ISERROR(MATCH(A319,'SegEnds_Xtal_Prot#'!B:B, 0)), "NoXtal", "Xtal")</f>
        <v>NoXtal</v>
      </c>
      <c r="H319" s="4"/>
      <c r="J319" s="106" t="s">
        <v>25</v>
      </c>
      <c r="T319" s="4" t="s">
        <v>12</v>
      </c>
      <c r="V319" s="28" t="str">
        <f>MID(VLOOKUP($A319,Seqs!$A:$B,2,FALSE),VLOOKUP($A319,'SegEnds_NonXtal_Prot#'!A:AL,10,FALSE),1)</f>
        <v>I</v>
      </c>
      <c r="W319" s="49" t="str">
        <f>MID(VLOOKUP($A319,Seqs!$A:$B,2,FALSE),VLOOKUP($A319,'SegEnds_NonXtal_Prot#'!A:AL,10,FALSE)+6,1)</f>
        <v>L</v>
      </c>
      <c r="X319" s="49" t="str">
        <f>MID(VLOOKUP($A319,Seqs!$A:$B,2,FALSE),VLOOKUP($A319,'SegEnds_NonXtal_Prot#'!A:AL,10,FALSE)+7,1)</f>
        <v>I</v>
      </c>
      <c r="Y319" s="49" t="str">
        <f>MID(VLOOKUP($A319,Seqs!$A:$B,2,FALSE),VLOOKUP($A319,'SegEnds_NonXtal_Prot#'!A:AL,10,FALSE)+8,1)</f>
        <v>L</v>
      </c>
      <c r="Z319" s="49" t="str">
        <f>MID(VLOOKUP($A319,Seqs!$A:$B,2,FALSE),VLOOKUP($A319,'SegEnds_NonXtal_Prot#'!A:AL,10,FALSE)+9,1)</f>
        <v>V</v>
      </c>
      <c r="AA319" s="49" t="str">
        <f>MID(VLOOKUP($A319,Seqs!$A:$B,2,FALSE),VLOOKUP($A319,'SegEnds_NonXtal_Prot#'!A:AL,10,FALSE)+10,1)</f>
        <v>G</v>
      </c>
      <c r="AB319" s="28" t="str">
        <f>MID(VLOOKUP($A319,Seqs!$A:$B,2,FALSE),VLOOKUP($A319,'SegEnds_NonXtal_Prot#'!$A:$AL,22,FALSE)+6,1)</f>
        <v>V</v>
      </c>
      <c r="AC319" s="49" t="str">
        <f>MID(VLOOKUP($A319,Seqs!$A:$B,2,FALSE),VLOOKUP($A319,'SegEnds_NonXtal_Prot#'!$A:$AL,22,FALSE)+7,1)</f>
        <v>V</v>
      </c>
      <c r="AD319" s="49" t="str">
        <f>MID(VLOOKUP($A319,Seqs!$A:$B,2,FALSE),VLOOKUP($A319,'SegEnds_NonXtal_Prot#'!$A:$AL,22,FALSE)+8,1)</f>
        <v>A</v>
      </c>
      <c r="AE319" s="49" t="str">
        <f>MID(VLOOKUP($A319,Seqs!$A:$B,2,FALSE),VLOOKUP($A319,'SegEnds_NonXtal_Prot#'!$A:$AL,22,FALSE)+9,1)</f>
        <v>T</v>
      </c>
      <c r="AF319" s="49" t="str">
        <f>MID(VLOOKUP($A319,Seqs!$A:$B,2,FALSE),VLOOKUP($A319,'SegEnds_NonXtal_Prot#'!$A:$AL,22,FALSE)+10,1)</f>
        <v>S</v>
      </c>
      <c r="AG319" s="28" t="str">
        <f>MID(VLOOKUP($A319,Seqs!$A:$B,2,FALSE),VLOOKUP($A319,'SegEnds_NonXtal_Prot#'!$A:$AL,28,FALSE)-4,1)</f>
        <v>P</v>
      </c>
      <c r="AH319" s="49" t="str">
        <f>MID(VLOOKUP($A319,Seqs!$A:$B,2,FALSE),VLOOKUP($A319,'SegEnds_NonXtal_Prot#'!$A:$AL,28,FALSE),1)</f>
        <v>V</v>
      </c>
    </row>
    <row r="320" spans="1:34" s="2" customFormat="1" x14ac:dyDescent="0.2">
      <c r="A320" s="2" t="s">
        <v>1182</v>
      </c>
      <c r="B320" s="2" t="str">
        <f>LOWER(VLOOKUP(A320,Xtal_Templ!A:B,2,FALSE))</f>
        <v>crfr1_human</v>
      </c>
      <c r="C320" s="2" t="str">
        <f>VLOOKUP(A320,Classification!A:D,2,FALSE)</f>
        <v>B2</v>
      </c>
      <c r="D320" s="2" t="str">
        <f>IF(ISERROR(MATCH(A320,'SegEnds_Xtal_Prot#'!B:B, 0)), "NoXtal", "Xtal")</f>
        <v>NoXtal</v>
      </c>
      <c r="H320" s="4"/>
      <c r="J320" s="106" t="s">
        <v>25</v>
      </c>
      <c r="T320" s="4" t="s">
        <v>12</v>
      </c>
      <c r="V320" s="28" t="str">
        <f>MID(VLOOKUP($A320,Seqs!$A:$B,2,FALSE),VLOOKUP($A320,'SegEnds_NonXtal_Prot#'!A:AL,10,FALSE),1)</f>
        <v>V</v>
      </c>
      <c r="W320" s="49" t="str">
        <f>MID(VLOOKUP($A320,Seqs!$A:$B,2,FALSE),VLOOKUP($A320,'SegEnds_NonXtal_Prot#'!A:AL,10,FALSE)+6,1)</f>
        <v>L</v>
      </c>
      <c r="X320" s="49" t="str">
        <f>MID(VLOOKUP($A320,Seqs!$A:$B,2,FALSE),VLOOKUP($A320,'SegEnds_NonXtal_Prot#'!A:AL,10,FALSE)+7,1)</f>
        <v>L</v>
      </c>
      <c r="Y320" s="49" t="str">
        <f>MID(VLOOKUP($A320,Seqs!$A:$B,2,FALSE),VLOOKUP($A320,'SegEnds_NonXtal_Prot#'!A:AL,10,FALSE)+8,1)</f>
        <v>L</v>
      </c>
      <c r="Z320" s="49" t="str">
        <f>MID(VLOOKUP($A320,Seqs!$A:$B,2,FALSE),VLOOKUP($A320,'SegEnds_NonXtal_Prot#'!A:AL,10,FALSE)+9,1)</f>
        <v>I</v>
      </c>
      <c r="AA320" s="49" t="str">
        <f>MID(VLOOKUP($A320,Seqs!$A:$B,2,FALSE),VLOOKUP($A320,'SegEnds_NonXtal_Prot#'!A:AL,10,FALSE)+10,1)</f>
        <v>S</v>
      </c>
      <c r="AB320" s="28" t="str">
        <f>MID(VLOOKUP($A320,Seqs!$A:$B,2,FALSE),VLOOKUP($A320,'SegEnds_NonXtal_Prot#'!$A:$AL,22,FALSE)+6,1)</f>
        <v>I</v>
      </c>
      <c r="AC320" s="49" t="str">
        <f>MID(VLOOKUP($A320,Seqs!$A:$B,2,FALSE),VLOOKUP($A320,'SegEnds_NonXtal_Prot#'!$A:$AL,22,FALSE)+7,1)</f>
        <v>C</v>
      </c>
      <c r="AD320" s="49" t="str">
        <f>MID(VLOOKUP($A320,Seqs!$A:$B,2,FALSE),VLOOKUP($A320,'SegEnds_NonXtal_Prot#'!$A:$AL,22,FALSE)+8,1)</f>
        <v>I</v>
      </c>
      <c r="AE320" s="49" t="str">
        <f>MID(VLOOKUP($A320,Seqs!$A:$B,2,FALSE),VLOOKUP($A320,'SegEnds_NonXtal_Prot#'!$A:$AL,22,FALSE)+9,1)</f>
        <v>I</v>
      </c>
      <c r="AF320" s="49" t="str">
        <f>MID(VLOOKUP($A320,Seqs!$A:$B,2,FALSE),VLOOKUP($A320,'SegEnds_NonXtal_Prot#'!$A:$AL,22,FALSE)+10,1)</f>
        <v>S</v>
      </c>
      <c r="AG320" s="28" t="str">
        <f>MID(VLOOKUP($A320,Seqs!$A:$B,2,FALSE),VLOOKUP($A320,'SegEnds_NonXtal_Prot#'!$A:$AL,28,FALSE)-4,1)</f>
        <v>P</v>
      </c>
      <c r="AH320" s="49" t="str">
        <f>MID(VLOOKUP($A320,Seqs!$A:$B,2,FALSE),VLOOKUP($A320,'SegEnds_NonXtal_Prot#'!$A:$AL,28,FALSE),1)</f>
        <v>V</v>
      </c>
    </row>
    <row r="321" spans="1:34" s="2" customFormat="1" x14ac:dyDescent="0.2">
      <c r="A321" s="2" t="s">
        <v>1183</v>
      </c>
      <c r="B321" s="2" t="str">
        <f>LOWER(VLOOKUP(A321,Xtal_Templ!A:B,2,FALSE))</f>
        <v>crfr1_human</v>
      </c>
      <c r="C321" s="2" t="str">
        <f>VLOOKUP(A321,Classification!A:D,2,FALSE)</f>
        <v>B2</v>
      </c>
      <c r="D321" s="2" t="str">
        <f>IF(ISERROR(MATCH(A321,'SegEnds_Xtal_Prot#'!B:B, 0)), "NoXtal", "Xtal")</f>
        <v>NoXtal</v>
      </c>
      <c r="H321" s="4"/>
      <c r="J321" s="106" t="s">
        <v>25</v>
      </c>
      <c r="T321" s="4" t="s">
        <v>12</v>
      </c>
      <c r="V321" s="28" t="str">
        <f>MID(VLOOKUP($A321,Seqs!$A:$B,2,FALSE),VLOOKUP($A321,'SegEnds_NonXtal_Prot#'!A:AL,10,FALSE),1)</f>
        <v>L</v>
      </c>
      <c r="W321" s="49" t="str">
        <f>MID(VLOOKUP($A321,Seqs!$A:$B,2,FALSE),VLOOKUP($A321,'SegEnds_NonXtal_Prot#'!A:AL,10,FALSE)+6,1)</f>
        <v>F</v>
      </c>
      <c r="X321" s="49" t="str">
        <f>MID(VLOOKUP($A321,Seqs!$A:$B,2,FALSE),VLOOKUP($A321,'SegEnds_NonXtal_Prot#'!A:AL,10,FALSE)+7,1)</f>
        <v>L</v>
      </c>
      <c r="Y321" s="49" t="str">
        <f>MID(VLOOKUP($A321,Seqs!$A:$B,2,FALSE),VLOOKUP($A321,'SegEnds_NonXtal_Prot#'!A:AL,10,FALSE)+8,1)</f>
        <v>M</v>
      </c>
      <c r="Z321" s="49" t="str">
        <f>MID(VLOOKUP($A321,Seqs!$A:$B,2,FALSE),VLOOKUP($A321,'SegEnds_NonXtal_Prot#'!A:AL,10,FALSE)+9,1)</f>
        <v>T</v>
      </c>
      <c r="AA321" s="49" t="str">
        <f>MID(VLOOKUP($A321,Seqs!$A:$B,2,FALSE),VLOOKUP($A321,'SegEnds_NonXtal_Prot#'!A:AL,10,FALSE)+10,1)</f>
        <v>S</v>
      </c>
      <c r="AB321" s="28" t="str">
        <f>MID(VLOOKUP($A321,Seqs!$A:$B,2,FALSE),VLOOKUP($A321,'SegEnds_NonXtal_Prot#'!$A:$AL,22,FALSE)+6,1)</f>
        <v>I</v>
      </c>
      <c r="AC321" s="49" t="str">
        <f>MID(VLOOKUP($A321,Seqs!$A:$B,2,FALSE),VLOOKUP($A321,'SegEnds_NonXtal_Prot#'!$A:$AL,22,FALSE)+7,1)</f>
        <v>V</v>
      </c>
      <c r="AD321" s="49" t="str">
        <f>MID(VLOOKUP($A321,Seqs!$A:$B,2,FALSE),VLOOKUP($A321,'SegEnds_NonXtal_Prot#'!$A:$AL,22,FALSE)+8,1)</f>
        <v>A</v>
      </c>
      <c r="AE321" s="49" t="str">
        <f>MID(VLOOKUP($A321,Seqs!$A:$B,2,FALSE),VLOOKUP($A321,'SegEnds_NonXtal_Prot#'!$A:$AL,22,FALSE)+9,1)</f>
        <v>V</v>
      </c>
      <c r="AF321" s="49" t="str">
        <f>MID(VLOOKUP($A321,Seqs!$A:$B,2,FALSE),VLOOKUP($A321,'SegEnds_NonXtal_Prot#'!$A:$AL,22,FALSE)+10,1)</f>
        <v>T</v>
      </c>
      <c r="AG321" s="28" t="str">
        <f>MID(VLOOKUP($A321,Seqs!$A:$B,2,FALSE),VLOOKUP($A321,'SegEnds_NonXtal_Prot#'!$A:$AL,28,FALSE)-4,1)</f>
        <v>P</v>
      </c>
      <c r="AH321" s="49" t="str">
        <f>MID(VLOOKUP($A321,Seqs!$A:$B,2,FALSE),VLOOKUP($A321,'SegEnds_NonXtal_Prot#'!$A:$AL,28,FALSE),1)</f>
        <v>V</v>
      </c>
    </row>
    <row r="322" spans="1:34" s="2" customFormat="1" x14ac:dyDescent="0.2">
      <c r="A322" s="2" t="s">
        <v>1184</v>
      </c>
      <c r="B322" s="2" t="str">
        <f>LOWER(VLOOKUP(A322,Xtal_Templ!A:B,2,FALSE))</f>
        <v>pth1r_human</v>
      </c>
      <c r="C322" s="2" t="str">
        <f>VLOOKUP(A322,Classification!A:D,2,FALSE)</f>
        <v>B2</v>
      </c>
      <c r="D322" s="2" t="str">
        <f>IF(ISERROR(MATCH(A322,'SegEnds_Xtal_Prot#'!B:B, 0)), "NoXtal", "Xtal")</f>
        <v>NoXtal</v>
      </c>
      <c r="H322" s="4"/>
      <c r="J322" s="106" t="s">
        <v>25</v>
      </c>
      <c r="T322" s="4" t="s">
        <v>12</v>
      </c>
      <c r="V322" s="28" t="str">
        <f>MID(VLOOKUP($A322,Seqs!$A:$B,2,FALSE),VLOOKUP($A322,'SegEnds_NonXtal_Prot#'!A:AL,10,FALSE),1)</f>
        <v>L</v>
      </c>
      <c r="W322" s="49" t="str">
        <f>MID(VLOOKUP($A322,Seqs!$A:$B,2,FALSE),VLOOKUP($A322,'SegEnds_NonXtal_Prot#'!A:AL,10,FALSE)+6,1)</f>
        <v>L</v>
      </c>
      <c r="X322" s="49" t="str">
        <f>MID(VLOOKUP($A322,Seqs!$A:$B,2,FALSE),VLOOKUP($A322,'SegEnds_NonXtal_Prot#'!A:AL,10,FALSE)+7,1)</f>
        <v>F</v>
      </c>
      <c r="Y322" s="49" t="str">
        <f>MID(VLOOKUP($A322,Seqs!$A:$B,2,FALSE),VLOOKUP($A322,'SegEnds_NonXtal_Prot#'!A:AL,10,FALSE)+8,1)</f>
        <v>L</v>
      </c>
      <c r="Z322" s="49" t="str">
        <f>MID(VLOOKUP($A322,Seqs!$A:$B,2,FALSE),VLOOKUP($A322,'SegEnds_NonXtal_Prot#'!A:AL,10,FALSE)+9,1)</f>
        <v>A</v>
      </c>
      <c r="AA322" s="49" t="str">
        <f>MID(VLOOKUP($A322,Seqs!$A:$B,2,FALSE),VLOOKUP($A322,'SegEnds_NonXtal_Prot#'!A:AL,10,FALSE)+10,1)</f>
        <v>G</v>
      </c>
      <c r="AB322" s="28" t="str">
        <f>MID(VLOOKUP($A322,Seqs!$A:$B,2,FALSE),VLOOKUP($A322,'SegEnds_NonXtal_Prot#'!$A:$AL,22,FALSE)+6,1)</f>
        <v>V</v>
      </c>
      <c r="AC322" s="49" t="str">
        <f>MID(VLOOKUP($A322,Seqs!$A:$B,2,FALSE),VLOOKUP($A322,'SegEnds_NonXtal_Prot#'!$A:$AL,22,FALSE)+7,1)</f>
        <v>V</v>
      </c>
      <c r="AD322" s="49" t="str">
        <f>MID(VLOOKUP($A322,Seqs!$A:$B,2,FALSE),VLOOKUP($A322,'SegEnds_NonXtal_Prot#'!$A:$AL,22,FALSE)+8,1)</f>
        <v>V</v>
      </c>
      <c r="AE322" s="49" t="str">
        <f>MID(VLOOKUP($A322,Seqs!$A:$B,2,FALSE),VLOOKUP($A322,'SegEnds_NonXtal_Prot#'!$A:$AL,22,FALSE)+9,1)</f>
        <v>I</v>
      </c>
      <c r="AF322" s="49" t="str">
        <f>MID(VLOOKUP($A322,Seqs!$A:$B,2,FALSE),VLOOKUP($A322,'SegEnds_NonXtal_Prot#'!$A:$AL,22,FALSE)+10,1)</f>
        <v>S</v>
      </c>
      <c r="AG322" s="28" t="str">
        <f>MID(VLOOKUP($A322,Seqs!$A:$B,2,FALSE),VLOOKUP($A322,'SegEnds_NonXtal_Prot#'!$A:$AL,28,FALSE)-4,1)</f>
        <v>P</v>
      </c>
      <c r="AH322" s="49" t="str">
        <f>MID(VLOOKUP($A322,Seqs!$A:$B,2,FALSE),VLOOKUP($A322,'SegEnds_NonXtal_Prot#'!$A:$AL,28,FALSE),1)</f>
        <v>V</v>
      </c>
    </row>
    <row r="323" spans="1:34" s="2" customFormat="1" x14ac:dyDescent="0.2">
      <c r="A323" s="2" t="s">
        <v>1185</v>
      </c>
      <c r="B323" s="2" t="str">
        <f>LOWER(VLOOKUP(A323,Xtal_Templ!A:B,2,FALSE))</f>
        <v>glp1r_human</v>
      </c>
      <c r="C323" s="2" t="str">
        <f>VLOOKUP(A323,Classification!A:D,2,FALSE)</f>
        <v>B2</v>
      </c>
      <c r="D323" s="2" t="str">
        <f>IF(ISERROR(MATCH(A323,'SegEnds_Xtal_Prot#'!B:B, 0)), "NoXtal", "Xtal")</f>
        <v>NoXtal</v>
      </c>
      <c r="H323" s="4"/>
      <c r="J323" s="106" t="s">
        <v>25</v>
      </c>
      <c r="T323" s="4" t="s">
        <v>12</v>
      </c>
      <c r="V323" s="28" t="str">
        <f>MID(VLOOKUP($A323,Seqs!$A:$B,2,FALSE),VLOOKUP($A323,'SegEnds_NonXtal_Prot#'!A:AL,10,FALSE),1)</f>
        <v>L</v>
      </c>
      <c r="W323" s="49" t="str">
        <f>MID(VLOOKUP($A323,Seqs!$A:$B,2,FALSE),VLOOKUP($A323,'SegEnds_NonXtal_Prot#'!A:AL,10,FALSE)+6,1)</f>
        <v>L</v>
      </c>
      <c r="X323" s="49" t="str">
        <f>MID(VLOOKUP($A323,Seqs!$A:$B,2,FALSE),VLOOKUP($A323,'SegEnds_NonXtal_Prot#'!A:AL,10,FALSE)+7,1)</f>
        <v>F</v>
      </c>
      <c r="Y323" s="49" t="str">
        <f>MID(VLOOKUP($A323,Seqs!$A:$B,2,FALSE),VLOOKUP($A323,'SegEnds_NonXtal_Prot#'!A:AL,10,FALSE)+8,1)</f>
        <v>L</v>
      </c>
      <c r="Z323" s="49" t="str">
        <f>MID(VLOOKUP($A323,Seqs!$A:$B,2,FALSE),VLOOKUP($A323,'SegEnds_NonXtal_Prot#'!A:AL,10,FALSE)+9,1)</f>
        <v>V</v>
      </c>
      <c r="AA323" s="49" t="str">
        <f>MID(VLOOKUP($A323,Seqs!$A:$B,2,FALSE),VLOOKUP($A323,'SegEnds_NonXtal_Prot#'!A:AL,10,FALSE)+10,1)</f>
        <v>A</v>
      </c>
      <c r="AB323" s="28" t="str">
        <f>MID(VLOOKUP($A323,Seqs!$A:$B,2,FALSE),VLOOKUP($A323,'SegEnds_NonXtal_Prot#'!$A:$AL,22,FALSE)+6,1)</f>
        <v>T</v>
      </c>
      <c r="AC323" s="49" t="str">
        <f>MID(VLOOKUP($A323,Seqs!$A:$B,2,FALSE),VLOOKUP($A323,'SegEnds_NonXtal_Prot#'!$A:$AL,22,FALSE)+7,1)</f>
        <v>V</v>
      </c>
      <c r="AD323" s="49" t="str">
        <f>MID(VLOOKUP($A323,Seqs!$A:$B,2,FALSE),VLOOKUP($A323,'SegEnds_NonXtal_Prot#'!$A:$AL,22,FALSE)+8,1)</f>
        <v>A</v>
      </c>
      <c r="AE323" s="49" t="str">
        <f>MID(VLOOKUP($A323,Seqs!$A:$B,2,FALSE),VLOOKUP($A323,'SegEnds_NonXtal_Prot#'!$A:$AL,22,FALSE)+9,1)</f>
        <v>I</v>
      </c>
      <c r="AF323" s="49" t="str">
        <f>MID(VLOOKUP($A323,Seqs!$A:$B,2,FALSE),VLOOKUP($A323,'SegEnds_NonXtal_Prot#'!$A:$AL,22,FALSE)+10,1)</f>
        <v>S</v>
      </c>
      <c r="AG323" s="28" t="str">
        <f>MID(VLOOKUP($A323,Seqs!$A:$B,2,FALSE),VLOOKUP($A323,'SegEnds_NonXtal_Prot#'!$A:$AL,28,FALSE)-4,1)</f>
        <v>P</v>
      </c>
      <c r="AH323" s="49" t="str">
        <f>MID(VLOOKUP($A323,Seqs!$A:$B,2,FALSE),VLOOKUP($A323,'SegEnds_NonXtal_Prot#'!$A:$AL,28,FALSE),1)</f>
        <v>I</v>
      </c>
    </row>
    <row r="324" spans="1:34" s="2" customFormat="1" x14ac:dyDescent="0.2">
      <c r="A324" s="2" t="s">
        <v>1186</v>
      </c>
      <c r="B324" s="2" t="str">
        <f>LOWER(VLOOKUP(A324,Xtal_Templ!A:B,2,FALSE))</f>
        <v>pth1r_human</v>
      </c>
      <c r="C324" s="2" t="str">
        <f>VLOOKUP(A324,Classification!A:D,2,FALSE)</f>
        <v>B2</v>
      </c>
      <c r="D324" s="2" t="str">
        <f>IF(ISERROR(MATCH(A324,'SegEnds_Xtal_Prot#'!B:B, 0)), "NoXtal", "Xtal")</f>
        <v>NoXtal</v>
      </c>
      <c r="H324" s="4"/>
      <c r="J324" s="106" t="s">
        <v>25</v>
      </c>
      <c r="T324" s="4" t="s">
        <v>12</v>
      </c>
      <c r="V324" s="28" t="str">
        <f>MID(VLOOKUP($A324,Seqs!$A:$B,2,FALSE),VLOOKUP($A324,'SegEnds_NonXtal_Prot#'!A:AL,10,FALSE),1)</f>
        <v>L</v>
      </c>
      <c r="W324" s="49" t="str">
        <f>MID(VLOOKUP($A324,Seqs!$A:$B,2,FALSE),VLOOKUP($A324,'SegEnds_NonXtal_Prot#'!A:AL,10,FALSE)+6,1)</f>
        <v>L</v>
      </c>
      <c r="X324" s="49" t="str">
        <f>MID(VLOOKUP($A324,Seqs!$A:$B,2,FALSE),VLOOKUP($A324,'SegEnds_NonXtal_Prot#'!A:AL,10,FALSE)+7,1)</f>
        <v>F</v>
      </c>
      <c r="Y324" s="49" t="str">
        <f>MID(VLOOKUP($A324,Seqs!$A:$B,2,FALSE),VLOOKUP($A324,'SegEnds_NonXtal_Prot#'!A:AL,10,FALSE)+8,1)</f>
        <v>L</v>
      </c>
      <c r="Z324" s="49" t="str">
        <f>MID(VLOOKUP($A324,Seqs!$A:$B,2,FALSE),VLOOKUP($A324,'SegEnds_NonXtal_Prot#'!A:AL,10,FALSE)+9,1)</f>
        <v>V</v>
      </c>
      <c r="AA324" s="49" t="str">
        <f>MID(VLOOKUP($A324,Seqs!$A:$B,2,FALSE),VLOOKUP($A324,'SegEnds_NonXtal_Prot#'!A:AL,10,FALSE)+10,1)</f>
        <v>G</v>
      </c>
      <c r="AB324" s="28" t="str">
        <f>MID(VLOOKUP($A324,Seqs!$A:$B,2,FALSE),VLOOKUP($A324,'SegEnds_NonXtal_Prot#'!$A:$AL,22,FALSE)+6,1)</f>
        <v>T</v>
      </c>
      <c r="AC324" s="49" t="str">
        <f>MID(VLOOKUP($A324,Seqs!$A:$B,2,FALSE),VLOOKUP($A324,'SegEnds_NonXtal_Prot#'!$A:$AL,22,FALSE)+7,1)</f>
        <v>V</v>
      </c>
      <c r="AD324" s="49" t="str">
        <f>MID(VLOOKUP($A324,Seqs!$A:$B,2,FALSE),VLOOKUP($A324,'SegEnds_NonXtal_Prot#'!$A:$AL,22,FALSE)+8,1)</f>
        <v>A</v>
      </c>
      <c r="AE324" s="49" t="str">
        <f>MID(VLOOKUP($A324,Seqs!$A:$B,2,FALSE),VLOOKUP($A324,'SegEnds_NonXtal_Prot#'!$A:$AL,22,FALSE)+9,1)</f>
        <v>I</v>
      </c>
      <c r="AF324" s="49" t="str">
        <f>MID(VLOOKUP($A324,Seqs!$A:$B,2,FALSE),VLOOKUP($A324,'SegEnds_NonXtal_Prot#'!$A:$AL,22,FALSE)+10,1)</f>
        <v>S</v>
      </c>
      <c r="AG324" s="28" t="str">
        <f>MID(VLOOKUP($A324,Seqs!$A:$B,2,FALSE),VLOOKUP($A324,'SegEnds_NonXtal_Prot#'!$A:$AL,28,FALSE)-4,1)</f>
        <v>P</v>
      </c>
      <c r="AH324" s="49" t="str">
        <f>MID(VLOOKUP($A324,Seqs!$A:$B,2,FALSE),VLOOKUP($A324,'SegEnds_NonXtal_Prot#'!$A:$AL,28,FALSE),1)</f>
        <v>I</v>
      </c>
    </row>
    <row r="325" spans="1:34" s="2" customFormat="1" x14ac:dyDescent="0.2">
      <c r="A325" s="2" t="s">
        <v>1187</v>
      </c>
      <c r="B325" s="2" t="str">
        <f>LOWER(VLOOKUP(A325,Xtal_Templ!A:B,2,FALSE))</f>
        <v>glp1r_human</v>
      </c>
      <c r="C325" s="2" t="str">
        <f>VLOOKUP(A325,Classification!A:D,2,FALSE)</f>
        <v>B2</v>
      </c>
      <c r="D325" s="2" t="str">
        <f>IF(ISERROR(MATCH(A325,'SegEnds_Xtal_Prot#'!B:B, 0)), "NoXtal", "Xtal")</f>
        <v>NoXtal</v>
      </c>
      <c r="H325" s="4"/>
      <c r="J325" s="106" t="s">
        <v>25</v>
      </c>
      <c r="T325" s="4" t="s">
        <v>12</v>
      </c>
      <c r="V325" s="28" t="str">
        <f>MID(VLOOKUP($A325,Seqs!$A:$B,2,FALSE),VLOOKUP($A325,'SegEnds_NonXtal_Prot#'!A:AL,10,FALSE),1)</f>
        <v>L</v>
      </c>
      <c r="W325" s="49" t="str">
        <f>MID(VLOOKUP($A325,Seqs!$A:$B,2,FALSE),VLOOKUP($A325,'SegEnds_NonXtal_Prot#'!A:AL,10,FALSE)+6,1)</f>
        <v>L</v>
      </c>
      <c r="X325" s="49" t="str">
        <f>MID(VLOOKUP($A325,Seqs!$A:$B,2,FALSE),VLOOKUP($A325,'SegEnds_NonXtal_Prot#'!A:AL,10,FALSE)+7,1)</f>
        <v>F</v>
      </c>
      <c r="Y325" s="49" t="str">
        <f>MID(VLOOKUP($A325,Seqs!$A:$B,2,FALSE),VLOOKUP($A325,'SegEnds_NonXtal_Prot#'!A:AL,10,FALSE)+8,1)</f>
        <v>L</v>
      </c>
      <c r="Z325" s="49" t="str">
        <f>MID(VLOOKUP($A325,Seqs!$A:$B,2,FALSE),VLOOKUP($A325,'SegEnds_NonXtal_Prot#'!A:AL,10,FALSE)+9,1)</f>
        <v>T</v>
      </c>
      <c r="AA325" s="49" t="str">
        <f>MID(VLOOKUP($A325,Seqs!$A:$B,2,FALSE),VLOOKUP($A325,'SegEnds_NonXtal_Prot#'!A:AL,10,FALSE)+10,1)</f>
        <v>G</v>
      </c>
      <c r="AB325" s="28" t="str">
        <f>MID(VLOOKUP($A325,Seqs!$A:$B,2,FALSE),VLOOKUP($A325,'SegEnds_NonXtal_Prot#'!$A:$AL,22,FALSE)+6,1)</f>
        <v>I</v>
      </c>
      <c r="AC325" s="49" t="str">
        <f>MID(VLOOKUP($A325,Seqs!$A:$B,2,FALSE),VLOOKUP($A325,'SegEnds_NonXtal_Prot#'!$A:$AL,22,FALSE)+7,1)</f>
        <v>I</v>
      </c>
      <c r="AD325" s="49" t="str">
        <f>MID(VLOOKUP($A325,Seqs!$A:$B,2,FALSE),VLOOKUP($A325,'SegEnds_NonXtal_Prot#'!$A:$AL,22,FALSE)+8,1)</f>
        <v>A</v>
      </c>
      <c r="AE325" s="49" t="str">
        <f>MID(VLOOKUP($A325,Seqs!$A:$B,2,FALSE),VLOOKUP($A325,'SegEnds_NonXtal_Prot#'!$A:$AL,22,FALSE)+9,1)</f>
        <v>V</v>
      </c>
      <c r="AF325" s="49" t="str">
        <f>MID(VLOOKUP($A325,Seqs!$A:$B,2,FALSE),VLOOKUP($A325,'SegEnds_NonXtal_Prot#'!$A:$AL,22,FALSE)+10,1)</f>
        <v>S</v>
      </c>
      <c r="AG325" s="28" t="str">
        <f>MID(VLOOKUP($A325,Seqs!$A:$B,2,FALSE),VLOOKUP($A325,'SegEnds_NonXtal_Prot#'!$A:$AL,28,FALSE)-4,1)</f>
        <v>P</v>
      </c>
      <c r="AH325" s="49" t="str">
        <f>MID(VLOOKUP($A325,Seqs!$A:$B,2,FALSE),VLOOKUP($A325,'SegEnds_NonXtal_Prot#'!$A:$AL,28,FALSE),1)</f>
        <v>I</v>
      </c>
    </row>
    <row r="326" spans="1:34" s="2" customFormat="1" x14ac:dyDescent="0.2">
      <c r="A326" s="2" t="s">
        <v>1188</v>
      </c>
      <c r="B326" s="2" t="str">
        <f>LOWER(VLOOKUP(A326,Xtal_Templ!A:B,2,FALSE))</f>
        <v>pth1r_human</v>
      </c>
      <c r="C326" s="2" t="str">
        <f>VLOOKUP(A326,Classification!A:D,2,FALSE)</f>
        <v>B2</v>
      </c>
      <c r="D326" s="2" t="str">
        <f>IF(ISERROR(MATCH(A326,'SegEnds_Xtal_Prot#'!B:B, 0)), "NoXtal", "Xtal")</f>
        <v>NoXtal</v>
      </c>
      <c r="H326" s="4"/>
      <c r="J326" s="106" t="s">
        <v>25</v>
      </c>
      <c r="T326" s="4" t="s">
        <v>12</v>
      </c>
      <c r="V326" s="28" t="str">
        <f>MID(VLOOKUP($A326,Seqs!$A:$B,2,FALSE),VLOOKUP($A326,'SegEnds_NonXtal_Prot#'!A:AL,10,FALSE),1)</f>
        <v>A</v>
      </c>
      <c r="W326" s="49" t="str">
        <f>MID(VLOOKUP($A326,Seqs!$A:$B,2,FALSE),VLOOKUP($A326,'SegEnds_NonXtal_Prot#'!A:AL,10,FALSE)+6,1)</f>
        <v>A</v>
      </c>
      <c r="X326" s="49" t="str">
        <f>MID(VLOOKUP($A326,Seqs!$A:$B,2,FALSE),VLOOKUP($A326,'SegEnds_NonXtal_Prot#'!A:AL,10,FALSE)+7,1)</f>
        <v>D</v>
      </c>
      <c r="Y326" s="49" t="str">
        <f>MID(VLOOKUP($A326,Seqs!$A:$B,2,FALSE),VLOOKUP($A326,'SegEnds_NonXtal_Prot#'!A:AL,10,FALSE)+8,1)</f>
        <v>V</v>
      </c>
      <c r="Z326" s="49" t="str">
        <f>MID(VLOOKUP($A326,Seqs!$A:$B,2,FALSE),VLOOKUP($A326,'SegEnds_NonXtal_Prot#'!A:AL,10,FALSE)+9,1)</f>
        <v>W</v>
      </c>
      <c r="AA326" s="49" t="str">
        <f>MID(VLOOKUP($A326,Seqs!$A:$B,2,FALSE),VLOOKUP($A326,'SegEnds_NonXtal_Prot#'!A:AL,10,FALSE)+10,1)</f>
        <v>F</v>
      </c>
      <c r="AB326" s="28" t="str">
        <f>MID(VLOOKUP($A326,Seqs!$A:$B,2,FALSE),VLOOKUP($A326,'SegEnds_NonXtal_Prot#'!$A:$AL,22,FALSE)+6,1)</f>
        <v>I</v>
      </c>
      <c r="AC326" s="49" t="str">
        <f>MID(VLOOKUP($A326,Seqs!$A:$B,2,FALSE),VLOOKUP($A326,'SegEnds_NonXtal_Prot#'!$A:$AL,22,FALSE)+7,1)</f>
        <v>S</v>
      </c>
      <c r="AD326" s="49" t="str">
        <f>MID(VLOOKUP($A326,Seqs!$A:$B,2,FALSE),VLOOKUP($A326,'SegEnds_NonXtal_Prot#'!$A:$AL,22,FALSE)+8,1)</f>
        <v>V</v>
      </c>
      <c r="AE326" s="49" t="str">
        <f>MID(VLOOKUP($A326,Seqs!$A:$B,2,FALSE),VLOOKUP($A326,'SegEnds_NonXtal_Prot#'!$A:$AL,22,FALSE)+9,1)</f>
        <v>I</v>
      </c>
      <c r="AF326" s="49" t="str">
        <f>MID(VLOOKUP($A326,Seqs!$A:$B,2,FALSE),VLOOKUP($A326,'SegEnds_NonXtal_Prot#'!$A:$AL,22,FALSE)+10,1)</f>
        <v>T</v>
      </c>
      <c r="AG326" s="28" t="str">
        <f>MID(VLOOKUP($A326,Seqs!$A:$B,2,FALSE),VLOOKUP($A326,'SegEnds_NonXtal_Prot#'!$A:$AL,28,FALSE)-4,1)</f>
        <v>P</v>
      </c>
      <c r="AH326" s="49" t="str">
        <f>MID(VLOOKUP($A326,Seqs!$A:$B,2,FALSE),VLOOKUP($A326,'SegEnds_NonXtal_Prot#'!$A:$AL,28,FALSE),1)</f>
        <v>I</v>
      </c>
    </row>
    <row r="327" spans="1:34" s="2" customFormat="1" x14ac:dyDescent="0.2">
      <c r="A327" s="2" t="s">
        <v>1189</v>
      </c>
      <c r="B327" s="2" t="str">
        <f>LOWER(VLOOKUP(A327,Xtal_Templ!A:B,2,FALSE))</f>
        <v>calrl_human</v>
      </c>
      <c r="C327" s="2" t="str">
        <f>VLOOKUP(A327,Classification!A:D,2,FALSE)</f>
        <v>B2</v>
      </c>
      <c r="D327" s="2" t="str">
        <f>IF(ISERROR(MATCH(A327,'SegEnds_Xtal_Prot#'!B:B, 0)), "NoXtal", "Xtal")</f>
        <v>NoXtal</v>
      </c>
      <c r="H327" s="4"/>
      <c r="J327" s="106" t="s">
        <v>25</v>
      </c>
      <c r="T327" s="4" t="s">
        <v>12</v>
      </c>
      <c r="V327" s="28" t="str">
        <f>MID(VLOOKUP($A327,Seqs!$A:$B,2,FALSE),VLOOKUP($A327,'SegEnds_NonXtal_Prot#'!A:AL,10,FALSE),1)</f>
        <v>A</v>
      </c>
      <c r="W327" s="49" t="str">
        <f>MID(VLOOKUP($A327,Seqs!$A:$B,2,FALSE),VLOOKUP($A327,'SegEnds_NonXtal_Prot#'!A:AL,10,FALSE)+6,1)</f>
        <v>A</v>
      </c>
      <c r="X327" s="49" t="str">
        <f>MID(VLOOKUP($A327,Seqs!$A:$B,2,FALSE),VLOOKUP($A327,'SegEnds_NonXtal_Prot#'!A:AL,10,FALSE)+7,1)</f>
        <v>D</v>
      </c>
      <c r="Y327" s="49" t="str">
        <f>MID(VLOOKUP($A327,Seqs!$A:$B,2,FALSE),VLOOKUP($A327,'SegEnds_NonXtal_Prot#'!A:AL,10,FALSE)+8,1)</f>
        <v>V</v>
      </c>
      <c r="Z327" s="49" t="str">
        <f>MID(VLOOKUP($A327,Seqs!$A:$B,2,FALSE),VLOOKUP($A327,'SegEnds_NonXtal_Prot#'!A:AL,10,FALSE)+9,1)</f>
        <v>W</v>
      </c>
      <c r="AA327" s="49" t="str">
        <f>MID(VLOOKUP($A327,Seqs!$A:$B,2,FALSE),VLOOKUP($A327,'SegEnds_NonXtal_Prot#'!A:AL,10,FALSE)+10,1)</f>
        <v>F</v>
      </c>
      <c r="AB327" s="28" t="str">
        <f>MID(VLOOKUP($A327,Seqs!$A:$B,2,FALSE),VLOOKUP($A327,'SegEnds_NonXtal_Prot#'!$A:$AL,22,FALSE)+6,1)</f>
        <v>I</v>
      </c>
      <c r="AC327" s="49" t="str">
        <f>MID(VLOOKUP($A327,Seqs!$A:$B,2,FALSE),VLOOKUP($A327,'SegEnds_NonXtal_Prot#'!$A:$AL,22,FALSE)+7,1)</f>
        <v>A</v>
      </c>
      <c r="AD327" s="49" t="str">
        <f>MID(VLOOKUP($A327,Seqs!$A:$B,2,FALSE),VLOOKUP($A327,'SegEnds_NonXtal_Prot#'!$A:$AL,22,FALSE)+8,1)</f>
        <v>A</v>
      </c>
      <c r="AE327" s="49" t="str">
        <f>MID(VLOOKUP($A327,Seqs!$A:$B,2,FALSE),VLOOKUP($A327,'SegEnds_NonXtal_Prot#'!$A:$AL,22,FALSE)+9,1)</f>
        <v>I</v>
      </c>
      <c r="AF327" s="49" t="str">
        <f>MID(VLOOKUP($A327,Seqs!$A:$B,2,FALSE),VLOOKUP($A327,'SegEnds_NonXtal_Prot#'!$A:$AL,22,FALSE)+10,1)</f>
        <v>T</v>
      </c>
      <c r="AG327" s="28" t="str">
        <f>MID(VLOOKUP($A327,Seqs!$A:$B,2,FALSE),VLOOKUP($A327,'SegEnds_NonXtal_Prot#'!$A:$AL,28,FALSE)-4,1)</f>
        <v>P</v>
      </c>
      <c r="AH327" s="49" t="str">
        <f>MID(VLOOKUP($A327,Seqs!$A:$B,2,FALSE),VLOOKUP($A327,'SegEnds_NonXtal_Prot#'!$A:$AL,28,FALSE),1)</f>
        <v>I</v>
      </c>
    </row>
    <row r="328" spans="1:34" s="2" customFormat="1" x14ac:dyDescent="0.2">
      <c r="A328" s="2" t="s">
        <v>1190</v>
      </c>
      <c r="B328" s="2" t="str">
        <f>LOWER(VLOOKUP(A328,Xtal_Templ!A:B,2,FALSE))</f>
        <v>calrl_human</v>
      </c>
      <c r="C328" s="2" t="str">
        <f>VLOOKUP(A328,Classification!A:D,2,FALSE)</f>
        <v>B2</v>
      </c>
      <c r="D328" s="2" t="str">
        <f>IF(ISERROR(MATCH(A328,'SegEnds_Xtal_Prot#'!B:B, 0)), "NoXtal", "Xtal")</f>
        <v>NoXtal</v>
      </c>
      <c r="H328" s="4"/>
      <c r="J328" s="106" t="s">
        <v>25</v>
      </c>
      <c r="T328" s="4" t="s">
        <v>12</v>
      </c>
      <c r="V328" s="28" t="str">
        <f>MID(VLOOKUP($A328,Seqs!$A:$B,2,FALSE),VLOOKUP($A328,'SegEnds_NonXtal_Prot#'!A:AL,10,FALSE),1)</f>
        <v>V</v>
      </c>
      <c r="W328" s="49" t="str">
        <f>MID(VLOOKUP($A328,Seqs!$A:$B,2,FALSE),VLOOKUP($A328,'SegEnds_NonXtal_Prot#'!A:AL,10,FALSE)+6,1)</f>
        <v>A</v>
      </c>
      <c r="X328" s="49" t="str">
        <f>MID(VLOOKUP($A328,Seqs!$A:$B,2,FALSE),VLOOKUP($A328,'SegEnds_NonXtal_Prot#'!A:AL,10,FALSE)+7,1)</f>
        <v>D</v>
      </c>
      <c r="Y328" s="49" t="str">
        <f>MID(VLOOKUP($A328,Seqs!$A:$B,2,FALSE),VLOOKUP($A328,'SegEnds_NonXtal_Prot#'!A:AL,10,FALSE)+8,1)</f>
        <v>T</v>
      </c>
      <c r="Z328" s="49" t="str">
        <f>MID(VLOOKUP($A328,Seqs!$A:$B,2,FALSE),VLOOKUP($A328,'SegEnds_NonXtal_Prot#'!A:AL,10,FALSE)+9,1)</f>
        <v>C</v>
      </c>
      <c r="AA328" s="49" t="str">
        <f>MID(VLOOKUP($A328,Seqs!$A:$B,2,FALSE),VLOOKUP($A328,'SegEnds_NonXtal_Prot#'!A:AL,10,FALSE)+10,1)</f>
        <v>F</v>
      </c>
      <c r="AB328" s="28" t="str">
        <f>MID(VLOOKUP($A328,Seqs!$A:$B,2,FALSE),VLOOKUP($A328,'SegEnds_NonXtal_Prot#'!$A:$AL,22,FALSE)+6,1)</f>
        <v>L</v>
      </c>
      <c r="AC328" s="49" t="str">
        <f>MID(VLOOKUP($A328,Seqs!$A:$B,2,FALSE),VLOOKUP($A328,'SegEnds_NonXtal_Prot#'!$A:$AL,22,FALSE)+7,1)</f>
        <v>A</v>
      </c>
      <c r="AD328" s="49" t="str">
        <f>MID(VLOOKUP($A328,Seqs!$A:$B,2,FALSE),VLOOKUP($A328,'SegEnds_NonXtal_Prot#'!$A:$AL,22,FALSE)+8,1)</f>
        <v>G</v>
      </c>
      <c r="AE328" s="49" t="str">
        <f>MID(VLOOKUP($A328,Seqs!$A:$B,2,FALSE),VLOOKUP($A328,'SegEnds_NonXtal_Prot#'!$A:$AL,22,FALSE)+9,1)</f>
        <v>V</v>
      </c>
      <c r="AF328" s="49" t="str">
        <f>MID(VLOOKUP($A328,Seqs!$A:$B,2,FALSE),VLOOKUP($A328,'SegEnds_NonXtal_Prot#'!$A:$AL,22,FALSE)+10,1)</f>
        <v>T</v>
      </c>
      <c r="AG328" s="28" t="str">
        <f>MID(VLOOKUP($A328,Seqs!$A:$B,2,FALSE),VLOOKUP($A328,'SegEnds_NonXtal_Prot#'!$A:$AL,28,FALSE)-4,1)</f>
        <v>P</v>
      </c>
      <c r="AH328" s="49" t="str">
        <f>MID(VLOOKUP($A328,Seqs!$A:$B,2,FALSE),VLOOKUP($A328,'SegEnds_NonXtal_Prot#'!$A:$AL,28,FALSE),1)</f>
        <v>I</v>
      </c>
    </row>
    <row r="329" spans="1:34" s="2" customFormat="1" x14ac:dyDescent="0.2">
      <c r="A329" s="2" t="s">
        <v>1191</v>
      </c>
      <c r="B329" s="2" t="str">
        <f>LOWER(VLOOKUP(A329,Xtal_Templ!A:B,2,FALSE))</f>
        <v>crfr1_human</v>
      </c>
      <c r="C329" s="2" t="str">
        <f>VLOOKUP(A329,Classification!A:D,2,FALSE)</f>
        <v>B2</v>
      </c>
      <c r="D329" s="2" t="str">
        <f>IF(ISERROR(MATCH(A329,'SegEnds_Xtal_Prot#'!B:B, 0)), "NoXtal", "Xtal")</f>
        <v>NoXtal</v>
      </c>
      <c r="H329" s="4"/>
      <c r="J329" s="106" t="s">
        <v>25</v>
      </c>
      <c r="T329" s="4" t="s">
        <v>12</v>
      </c>
      <c r="V329" s="28" t="str">
        <f>MID(VLOOKUP($A329,Seqs!$A:$B,2,FALSE),VLOOKUP($A329,'SegEnds_NonXtal_Prot#'!A:AL,10,FALSE),1)</f>
        <v>A</v>
      </c>
      <c r="W329" s="49" t="str">
        <f>MID(VLOOKUP($A329,Seqs!$A:$B,2,FALSE),VLOOKUP($A329,'SegEnds_NonXtal_Prot#'!A:AL,10,FALSE)+6,1)</f>
        <v>A</v>
      </c>
      <c r="X329" s="49" t="str">
        <f>MID(VLOOKUP($A329,Seqs!$A:$B,2,FALSE),VLOOKUP($A329,'SegEnds_NonXtal_Prot#'!A:AL,10,FALSE)+7,1)</f>
        <v>N</v>
      </c>
      <c r="Y329" s="49" t="str">
        <f>MID(VLOOKUP($A329,Seqs!$A:$B,2,FALSE),VLOOKUP($A329,'SegEnds_NonXtal_Prot#'!A:AL,10,FALSE)+8,1)</f>
        <v>V</v>
      </c>
      <c r="Z329" s="49" t="str">
        <f>MID(VLOOKUP($A329,Seqs!$A:$B,2,FALSE),VLOOKUP($A329,'SegEnds_NonXtal_Prot#'!A:AL,10,FALSE)+9,1)</f>
        <v>W</v>
      </c>
      <c r="AA329" s="49" t="str">
        <f>MID(VLOOKUP($A329,Seqs!$A:$B,2,FALSE),VLOOKUP($A329,'SegEnds_NonXtal_Prot#'!A:AL,10,FALSE)+10,1)</f>
        <v>F</v>
      </c>
      <c r="AB329" s="28" t="str">
        <f>MID(VLOOKUP($A329,Seqs!$A:$B,2,FALSE),VLOOKUP($A329,'SegEnds_NonXtal_Prot#'!$A:$AL,22,FALSE)+6,1)</f>
        <v>I</v>
      </c>
      <c r="AC329" s="49" t="str">
        <f>MID(VLOOKUP($A329,Seqs!$A:$B,2,FALSE),VLOOKUP($A329,'SegEnds_NonXtal_Prot#'!$A:$AL,22,FALSE)+7,1)</f>
        <v>A</v>
      </c>
      <c r="AD329" s="49" t="str">
        <f>MID(VLOOKUP($A329,Seqs!$A:$B,2,FALSE),VLOOKUP($A329,'SegEnds_NonXtal_Prot#'!$A:$AL,22,FALSE)+8,1)</f>
        <v>V</v>
      </c>
      <c r="AE329" s="49" t="str">
        <f>MID(VLOOKUP($A329,Seqs!$A:$B,2,FALSE),VLOOKUP($A329,'SegEnds_NonXtal_Prot#'!$A:$AL,22,FALSE)+9,1)</f>
        <v>T</v>
      </c>
      <c r="AF329" s="49" t="str">
        <f>MID(VLOOKUP($A329,Seqs!$A:$B,2,FALSE),VLOOKUP($A329,'SegEnds_NonXtal_Prot#'!$A:$AL,22,FALSE)+10,1)</f>
        <v>T</v>
      </c>
      <c r="AG329" s="28" t="str">
        <f>MID(VLOOKUP($A329,Seqs!$A:$B,2,FALSE),VLOOKUP($A329,'SegEnds_NonXtal_Prot#'!$A:$AL,28,FALSE)-4,1)</f>
        <v>P</v>
      </c>
      <c r="AH329" s="49" t="str">
        <f>MID(VLOOKUP($A329,Seqs!$A:$B,2,FALSE),VLOOKUP($A329,'SegEnds_NonXtal_Prot#'!$A:$AL,28,FALSE),1)</f>
        <v>I</v>
      </c>
    </row>
    <row r="330" spans="1:34" s="2" customFormat="1" x14ac:dyDescent="0.2">
      <c r="A330" s="2" t="s">
        <v>1192</v>
      </c>
      <c r="B330" s="2" t="str">
        <f>LOWER(VLOOKUP(A330,Xtal_Templ!A:B,2,FALSE))</f>
        <v>crfr1_human</v>
      </c>
      <c r="C330" s="2" t="str">
        <f>VLOOKUP(A330,Classification!A:D,2,FALSE)</f>
        <v>B2</v>
      </c>
      <c r="D330" s="2" t="str">
        <f>IF(ISERROR(MATCH(A330,'SegEnds_Xtal_Prot#'!B:B, 0)), "NoXtal", "Xtal")</f>
        <v>NoXtal</v>
      </c>
      <c r="H330" s="4"/>
      <c r="J330" s="106" t="s">
        <v>25</v>
      </c>
      <c r="T330" s="4" t="s">
        <v>12</v>
      </c>
      <c r="V330" s="28" t="str">
        <f>MID(VLOOKUP($A330,Seqs!$A:$B,2,FALSE),VLOOKUP($A330,'SegEnds_NonXtal_Prot#'!A:AL,10,FALSE),1)</f>
        <v>A</v>
      </c>
      <c r="W330" s="49" t="str">
        <f>MID(VLOOKUP($A330,Seqs!$A:$B,2,FALSE),VLOOKUP($A330,'SegEnds_NonXtal_Prot#'!A:AL,10,FALSE)+6,1)</f>
        <v>A</v>
      </c>
      <c r="X330" s="49" t="str">
        <f>MID(VLOOKUP($A330,Seqs!$A:$B,2,FALSE),VLOOKUP($A330,'SegEnds_NonXtal_Prot#'!A:AL,10,FALSE)+7,1)</f>
        <v>N</v>
      </c>
      <c r="Y330" s="49" t="str">
        <f>MID(VLOOKUP($A330,Seqs!$A:$B,2,FALSE),VLOOKUP($A330,'SegEnds_NonXtal_Prot#'!A:AL,10,FALSE)+8,1)</f>
        <v>T</v>
      </c>
      <c r="Z330" s="49" t="str">
        <f>MID(VLOOKUP($A330,Seqs!$A:$B,2,FALSE),VLOOKUP($A330,'SegEnds_NonXtal_Prot#'!A:AL,10,FALSE)+9,1)</f>
        <v>W</v>
      </c>
      <c r="AA330" s="49" t="str">
        <f>MID(VLOOKUP($A330,Seqs!$A:$B,2,FALSE),VLOOKUP($A330,'SegEnds_NonXtal_Prot#'!A:AL,10,FALSE)+10,1)</f>
        <v>F</v>
      </c>
      <c r="AB330" s="28" t="str">
        <f>MID(VLOOKUP($A330,Seqs!$A:$B,2,FALSE),VLOOKUP($A330,'SegEnds_NonXtal_Prot#'!$A:$AL,22,FALSE)+6,1)</f>
        <v>I</v>
      </c>
      <c r="AC330" s="49" t="str">
        <f>MID(VLOOKUP($A330,Seqs!$A:$B,2,FALSE),VLOOKUP($A330,'SegEnds_NonXtal_Prot#'!$A:$AL,22,FALSE)+7,1)</f>
        <v>S</v>
      </c>
      <c r="AD330" s="49" t="str">
        <f>MID(VLOOKUP($A330,Seqs!$A:$B,2,FALSE),VLOOKUP($A330,'SegEnds_NonXtal_Prot#'!$A:$AL,22,FALSE)+8,1)</f>
        <v>V</v>
      </c>
      <c r="AE330" s="49" t="str">
        <f>MID(VLOOKUP($A330,Seqs!$A:$B,2,FALSE),VLOOKUP($A330,'SegEnds_NonXtal_Prot#'!$A:$AL,22,FALSE)+9,1)</f>
        <v>I</v>
      </c>
      <c r="AF330" s="49" t="str">
        <f>MID(VLOOKUP($A330,Seqs!$A:$B,2,FALSE),VLOOKUP($A330,'SegEnds_NonXtal_Prot#'!$A:$AL,22,FALSE)+10,1)</f>
        <v>T</v>
      </c>
      <c r="AG330" s="28" t="str">
        <f>MID(VLOOKUP($A330,Seqs!$A:$B,2,FALSE),VLOOKUP($A330,'SegEnds_NonXtal_Prot#'!$A:$AL,28,FALSE)-4,1)</f>
        <v>P</v>
      </c>
      <c r="AH330" s="49" t="str">
        <f>MID(VLOOKUP($A330,Seqs!$A:$B,2,FALSE),VLOOKUP($A330,'SegEnds_NonXtal_Prot#'!$A:$AL,28,FALSE),1)</f>
        <v>I</v>
      </c>
    </row>
    <row r="331" spans="1:34" s="2" customFormat="1" x14ac:dyDescent="0.2">
      <c r="A331" s="2" t="s">
        <v>1193</v>
      </c>
      <c r="B331" s="2" t="str">
        <f>LOWER(VLOOKUP(A331,Xtal_Templ!A:B,2,FALSE))</f>
        <v>crfr1_human</v>
      </c>
      <c r="C331" s="2" t="str">
        <f>VLOOKUP(A331,Classification!A:D,2,FALSE)</f>
        <v>B2</v>
      </c>
      <c r="D331" s="2" t="str">
        <f>IF(ISERROR(MATCH(A331,'SegEnds_Xtal_Prot#'!B:B, 0)), "NoXtal", "Xtal")</f>
        <v>NoXtal</v>
      </c>
      <c r="H331" s="4"/>
      <c r="J331" s="106" t="s">
        <v>25</v>
      </c>
      <c r="T331" s="4" t="s">
        <v>12</v>
      </c>
      <c r="V331" s="28" t="str">
        <f>MID(VLOOKUP($A331,Seqs!$A:$B,2,FALSE),VLOOKUP($A331,'SegEnds_NonXtal_Prot#'!A:AL,10,FALSE),1)</f>
        <v>V</v>
      </c>
      <c r="W331" s="49" t="str">
        <f>MID(VLOOKUP($A331,Seqs!$A:$B,2,FALSE),VLOOKUP($A331,'SegEnds_NonXtal_Prot#'!A:AL,10,FALSE)+6,1)</f>
        <v>S</v>
      </c>
      <c r="X331" s="49" t="str">
        <f>MID(VLOOKUP($A331,Seqs!$A:$B,2,FALSE),VLOOKUP($A331,'SegEnds_NonXtal_Prot#'!A:AL,10,FALSE)+7,1)</f>
        <v>F</v>
      </c>
      <c r="Y331" s="49" t="str">
        <f>MID(VLOOKUP($A331,Seqs!$A:$B,2,FALSE),VLOOKUP($A331,'SegEnds_NonXtal_Prot#'!A:AL,10,FALSE)+8,1)</f>
        <v>L</v>
      </c>
      <c r="Z331" s="49" t="str">
        <f>MID(VLOOKUP($A331,Seqs!$A:$B,2,FALSE),VLOOKUP($A331,'SegEnds_NonXtal_Prot#'!A:AL,10,FALSE)+9,1)</f>
        <v>L</v>
      </c>
      <c r="AA331" s="49" t="str">
        <f>MID(VLOOKUP($A331,Seqs!$A:$B,2,FALSE),VLOOKUP($A331,'SegEnds_NonXtal_Prot#'!A:AL,10,FALSE)+10,1)</f>
        <v>S</v>
      </c>
      <c r="AB331" s="28" t="str">
        <f>MID(VLOOKUP($A331,Seqs!$A:$B,2,FALSE),VLOOKUP($A331,'SegEnds_NonXtal_Prot#'!$A:$AL,22,FALSE)+6,1)</f>
        <v>L</v>
      </c>
      <c r="AC331" s="49" t="str">
        <f>MID(VLOOKUP($A331,Seqs!$A:$B,2,FALSE),VLOOKUP($A331,'SegEnds_NonXtal_Prot#'!$A:$AL,22,FALSE)+7,1)</f>
        <v>V</v>
      </c>
      <c r="AD331" s="49" t="str">
        <f>MID(VLOOKUP($A331,Seqs!$A:$B,2,FALSE),VLOOKUP($A331,'SegEnds_NonXtal_Prot#'!$A:$AL,22,FALSE)+8,1)</f>
        <v>T</v>
      </c>
      <c r="AE331" s="49" t="str">
        <f>MID(VLOOKUP($A331,Seqs!$A:$B,2,FALSE),VLOOKUP($A331,'SegEnds_NonXtal_Prot#'!$A:$AL,22,FALSE)+9,1)</f>
        <v>L</v>
      </c>
      <c r="AF331" s="49" t="str">
        <f>MID(VLOOKUP($A331,Seqs!$A:$B,2,FALSE),VLOOKUP($A331,'SegEnds_NonXtal_Prot#'!$A:$AL,22,FALSE)+10,1)</f>
        <v>V</v>
      </c>
      <c r="AG331" s="28" t="str">
        <f>MID(VLOOKUP($A331,Seqs!$A:$B,2,FALSE),VLOOKUP($A331,'SegEnds_NonXtal_Prot#'!$A:$AL,28,FALSE)-4,1)</f>
        <v>L</v>
      </c>
      <c r="AH331" s="49" t="str">
        <f>MID(VLOOKUP($A331,Seqs!$A:$B,2,FALSE),VLOOKUP($A331,'SegEnds_NonXtal_Prot#'!$A:$AL,28,FALSE),1)</f>
        <v>V</v>
      </c>
    </row>
    <row r="332" spans="1:34" s="2" customFormat="1" x14ac:dyDescent="0.2">
      <c r="A332" s="2" t="s">
        <v>1194</v>
      </c>
      <c r="B332" s="2" t="str">
        <f>LOWER(VLOOKUP(A332,Xtal_Templ!A:B,2,FALSE))</f>
        <v>pth1r_human</v>
      </c>
      <c r="C332" s="2" t="str">
        <f>VLOOKUP(A332,Classification!A:D,2,FALSE)</f>
        <v>B2</v>
      </c>
      <c r="D332" s="2" t="str">
        <f>IF(ISERROR(MATCH(A332,'SegEnds_Xtal_Prot#'!B:B, 0)), "NoXtal", "Xtal")</f>
        <v>NoXtal</v>
      </c>
      <c r="H332" s="4"/>
      <c r="J332" s="106" t="s">
        <v>25</v>
      </c>
      <c r="T332" s="4" t="s">
        <v>12</v>
      </c>
      <c r="V332" s="28" t="str">
        <f>MID(VLOOKUP($A332,Seqs!$A:$B,2,FALSE),VLOOKUP($A332,'SegEnds_NonXtal_Prot#'!A:AL,10,FALSE),1)</f>
        <v>L</v>
      </c>
      <c r="W332" s="49" t="str">
        <f>MID(VLOOKUP($A332,Seqs!$A:$B,2,FALSE),VLOOKUP($A332,'SegEnds_NonXtal_Prot#'!A:AL,10,FALSE)+6,1)</f>
        <v>V</v>
      </c>
      <c r="X332" s="49" t="str">
        <f>MID(VLOOKUP($A332,Seqs!$A:$B,2,FALSE),VLOOKUP($A332,'SegEnds_NonXtal_Prot#'!A:AL,10,FALSE)+7,1)</f>
        <v>F</v>
      </c>
      <c r="Y332" s="49" t="str">
        <f>MID(VLOOKUP($A332,Seqs!$A:$B,2,FALSE),VLOOKUP($A332,'SegEnds_NonXtal_Prot#'!A:AL,10,FALSE)+8,1)</f>
        <v>L</v>
      </c>
      <c r="Z332" s="49" t="str">
        <f>MID(VLOOKUP($A332,Seqs!$A:$B,2,FALSE),VLOOKUP($A332,'SegEnds_NonXtal_Prot#'!A:AL,10,FALSE)+9,1)</f>
        <v>L</v>
      </c>
      <c r="AA332" s="49" t="str">
        <f>MID(VLOOKUP($A332,Seqs!$A:$B,2,FALSE),VLOOKUP($A332,'SegEnds_NonXtal_Prot#'!A:AL,10,FALSE)+10,1)</f>
        <v>D</v>
      </c>
      <c r="AB332" s="28" t="str">
        <f>MID(VLOOKUP($A332,Seqs!$A:$B,2,FALSE),VLOOKUP($A332,'SegEnds_NonXtal_Prot#'!$A:$AL,22,FALSE)+6,1)</f>
        <v>V</v>
      </c>
      <c r="AC332" s="49" t="str">
        <f>MID(VLOOKUP($A332,Seqs!$A:$B,2,FALSE),VLOOKUP($A332,'SegEnds_NonXtal_Prot#'!$A:$AL,22,FALSE)+7,1)</f>
        <v>V</v>
      </c>
      <c r="AD332" s="49" t="str">
        <f>MID(VLOOKUP($A332,Seqs!$A:$B,2,FALSE),VLOOKUP($A332,'SegEnds_NonXtal_Prot#'!$A:$AL,22,FALSE)+8,1)</f>
        <v>T</v>
      </c>
      <c r="AE332" s="49" t="str">
        <f>MID(VLOOKUP($A332,Seqs!$A:$B,2,FALSE),VLOOKUP($A332,'SegEnds_NonXtal_Prot#'!$A:$AL,22,FALSE)+9,1)</f>
        <v>I</v>
      </c>
      <c r="AF332" s="49" t="str">
        <f>MID(VLOOKUP($A332,Seqs!$A:$B,2,FALSE),VLOOKUP($A332,'SegEnds_NonXtal_Prot#'!$A:$AL,22,FALSE)+10,1)</f>
        <v>I</v>
      </c>
      <c r="AG332" s="28" t="str">
        <f>MID(VLOOKUP($A332,Seqs!$A:$B,2,FALSE),VLOOKUP($A332,'SegEnds_NonXtal_Prot#'!$A:$AL,28,FALSE)-4,1)</f>
        <v>Y</v>
      </c>
      <c r="AH332" s="49" t="str">
        <f>MID(VLOOKUP($A332,Seqs!$A:$B,2,FALSE),VLOOKUP($A332,'SegEnds_NonXtal_Prot#'!$A:$AL,28,FALSE),1)</f>
        <v>I</v>
      </c>
    </row>
    <row r="333" spans="1:34" s="2" customFormat="1" x14ac:dyDescent="0.2">
      <c r="A333" s="2" t="s">
        <v>1195</v>
      </c>
      <c r="B333" s="2" t="str">
        <f>LOWER(VLOOKUP(A333,Xtal_Templ!A:B,2,FALSE))</f>
        <v>pth1r_human</v>
      </c>
      <c r="C333" s="2" t="str">
        <f>VLOOKUP(A333,Classification!A:D,2,FALSE)</f>
        <v>B2</v>
      </c>
      <c r="D333" s="2" t="str">
        <f>IF(ISERROR(MATCH(A333,'SegEnds_Xtal_Prot#'!B:B, 0)), "NoXtal", "Xtal")</f>
        <v>NoXtal</v>
      </c>
      <c r="H333" s="4"/>
      <c r="J333" s="106" t="s">
        <v>25</v>
      </c>
      <c r="T333" s="4" t="s">
        <v>12</v>
      </c>
      <c r="V333" s="28" t="str">
        <f>MID(VLOOKUP($A333,Seqs!$A:$B,2,FALSE),VLOOKUP($A333,'SegEnds_NonXtal_Prot#'!A:AL,10,FALSE),1)</f>
        <v>L</v>
      </c>
      <c r="W333" s="49" t="str">
        <f>MID(VLOOKUP($A333,Seqs!$A:$B,2,FALSE),VLOOKUP($A333,'SegEnds_NonXtal_Prot#'!A:AL,10,FALSE)+6,1)</f>
        <v>A</v>
      </c>
      <c r="X333" s="49" t="str">
        <f>MID(VLOOKUP($A333,Seqs!$A:$B,2,FALSE),VLOOKUP($A333,'SegEnds_NonXtal_Prot#'!A:AL,10,FALSE)+7,1)</f>
        <v>F</v>
      </c>
      <c r="Y333" s="49" t="str">
        <f>MID(VLOOKUP($A333,Seqs!$A:$B,2,FALSE),VLOOKUP($A333,'SegEnds_NonXtal_Prot#'!A:AL,10,FALSE)+8,1)</f>
        <v>L</v>
      </c>
      <c r="Z333" s="49" t="str">
        <f>MID(VLOOKUP($A333,Seqs!$A:$B,2,FALSE),VLOOKUP($A333,'SegEnds_NonXtal_Prot#'!A:AL,10,FALSE)+9,1)</f>
        <v>V</v>
      </c>
      <c r="AA333" s="49" t="str">
        <f>MID(VLOOKUP($A333,Seqs!$A:$B,2,FALSE),VLOOKUP($A333,'SegEnds_NonXtal_Prot#'!A:AL,10,FALSE)+10,1)</f>
        <v>N</v>
      </c>
      <c r="AB333" s="28" t="str">
        <f>MID(VLOOKUP($A333,Seqs!$A:$B,2,FALSE),VLOOKUP($A333,'SegEnds_NonXtal_Prot#'!$A:$AL,22,FALSE)+6,1)</f>
        <v>M</v>
      </c>
      <c r="AC333" s="49" t="str">
        <f>MID(VLOOKUP($A333,Seqs!$A:$B,2,FALSE),VLOOKUP($A333,'SegEnds_NonXtal_Prot#'!$A:$AL,22,FALSE)+7,1)</f>
        <v>V</v>
      </c>
      <c r="AD333" s="49" t="str">
        <f>MID(VLOOKUP($A333,Seqs!$A:$B,2,FALSE),VLOOKUP($A333,'SegEnds_NonXtal_Prot#'!$A:$AL,22,FALSE)+8,1)</f>
        <v>I</v>
      </c>
      <c r="AE333" s="49" t="str">
        <f>MID(VLOOKUP($A333,Seqs!$A:$B,2,FALSE),VLOOKUP($A333,'SegEnds_NonXtal_Prot#'!$A:$AL,22,FALSE)+9,1)</f>
        <v>G</v>
      </c>
      <c r="AF333" s="49" t="str">
        <f>MID(VLOOKUP($A333,Seqs!$A:$B,2,FALSE),VLOOKUP($A333,'SegEnds_NonXtal_Prot#'!$A:$AL,22,FALSE)+10,1)</f>
        <v>T</v>
      </c>
      <c r="AG333" s="28" t="str">
        <f>MID(VLOOKUP($A333,Seqs!$A:$B,2,FALSE),VLOOKUP($A333,'SegEnds_NonXtal_Prot#'!$A:$AL,28,FALSE)-4,1)</f>
        <v>T</v>
      </c>
      <c r="AH333" s="49" t="str">
        <f>MID(VLOOKUP($A333,Seqs!$A:$B,2,FALSE),VLOOKUP($A333,'SegEnds_NonXtal_Prot#'!$A:$AL,28,FALSE),1)</f>
        <v>Y</v>
      </c>
    </row>
    <row r="334" spans="1:34" s="2" customFormat="1" x14ac:dyDescent="0.2">
      <c r="A334" s="2" t="s">
        <v>1196</v>
      </c>
      <c r="B334" s="2" t="str">
        <f>LOWER(VLOOKUP(A334,Xtal_Templ!A:B,2,FALSE))</f>
        <v>pth1r_human</v>
      </c>
      <c r="C334" s="2" t="str">
        <f>VLOOKUP(A334,Classification!A:D,2,FALSE)</f>
        <v>B2</v>
      </c>
      <c r="D334" s="2" t="str">
        <f>IF(ISERROR(MATCH(A334,'SegEnds_Xtal_Prot#'!B:B, 0)), "NoXtal", "Xtal")</f>
        <v>NoXtal</v>
      </c>
      <c r="H334" s="4"/>
      <c r="J334" s="106" t="s">
        <v>25</v>
      </c>
      <c r="T334" s="4" t="s">
        <v>12</v>
      </c>
      <c r="V334" s="28" t="str">
        <f>MID(VLOOKUP($A334,Seqs!$A:$B,2,FALSE),VLOOKUP($A334,'SegEnds_NonXtal_Prot#'!A:AL,10,FALSE),1)</f>
        <v>L</v>
      </c>
      <c r="W334" s="49" t="str">
        <f>MID(VLOOKUP($A334,Seqs!$A:$B,2,FALSE),VLOOKUP($A334,'SegEnds_NonXtal_Prot#'!A:AL,10,FALSE)+6,1)</f>
        <v>V</v>
      </c>
      <c r="X334" s="49" t="str">
        <f>MID(VLOOKUP($A334,Seqs!$A:$B,2,FALSE),VLOOKUP($A334,'SegEnds_NonXtal_Prot#'!A:AL,10,FALSE)+7,1)</f>
        <v>F</v>
      </c>
      <c r="Y334" s="49" t="str">
        <f>MID(VLOOKUP($A334,Seqs!$A:$B,2,FALSE),VLOOKUP($A334,'SegEnds_NonXtal_Prot#'!A:AL,10,FALSE)+8,1)</f>
        <v>L</v>
      </c>
      <c r="Z334" s="49" t="str">
        <f>MID(VLOOKUP($A334,Seqs!$A:$B,2,FALSE),VLOOKUP($A334,'SegEnds_NonXtal_Prot#'!A:AL,10,FALSE)+9,1)</f>
        <v>I</v>
      </c>
      <c r="AA334" s="49" t="str">
        <f>MID(VLOOKUP($A334,Seqs!$A:$B,2,FALSE),VLOOKUP($A334,'SegEnds_NonXtal_Prot#'!A:AL,10,FALSE)+10,1)</f>
        <v>N</v>
      </c>
      <c r="AB334" s="28" t="str">
        <f>MID(VLOOKUP($A334,Seqs!$A:$B,2,FALSE),VLOOKUP($A334,'SegEnds_NonXtal_Prot#'!$A:$AL,22,FALSE)+6,1)</f>
        <v>M</v>
      </c>
      <c r="AC334" s="49" t="str">
        <f>MID(VLOOKUP($A334,Seqs!$A:$B,2,FALSE),VLOOKUP($A334,'SegEnds_NonXtal_Prot#'!$A:$AL,22,FALSE)+7,1)</f>
        <v>V</v>
      </c>
      <c r="AD334" s="49" t="str">
        <f>MID(VLOOKUP($A334,Seqs!$A:$B,2,FALSE),VLOOKUP($A334,'SegEnds_NonXtal_Prot#'!$A:$AL,22,FALSE)+8,1)</f>
        <v>A</v>
      </c>
      <c r="AE334" s="49" t="str">
        <f>MID(VLOOKUP($A334,Seqs!$A:$B,2,FALSE),VLOOKUP($A334,'SegEnds_NonXtal_Prot#'!$A:$AL,22,FALSE)+9,1)</f>
        <v>I</v>
      </c>
      <c r="AF334" s="49" t="str">
        <f>MID(VLOOKUP($A334,Seqs!$A:$B,2,FALSE),VLOOKUP($A334,'SegEnds_NonXtal_Prot#'!$A:$AL,22,FALSE)+10,1)</f>
        <v>T</v>
      </c>
      <c r="AG334" s="28" t="str">
        <f>MID(VLOOKUP($A334,Seqs!$A:$B,2,FALSE),VLOOKUP($A334,'SegEnds_NonXtal_Prot#'!$A:$AL,28,FALSE)-4,1)</f>
        <v>Y</v>
      </c>
      <c r="AH334" s="49" t="str">
        <f>MID(VLOOKUP($A334,Seqs!$A:$B,2,FALSE),VLOOKUP($A334,'SegEnds_NonXtal_Prot#'!$A:$AL,28,FALSE),1)</f>
        <v>I</v>
      </c>
    </row>
    <row r="335" spans="1:34" s="2" customFormat="1" x14ac:dyDescent="0.2">
      <c r="A335" s="2" t="s">
        <v>1197</v>
      </c>
      <c r="B335" s="2" t="str">
        <f>LOWER(VLOOKUP(A335,Xtal_Templ!A:B,2,FALSE))</f>
        <v>pth1r_human</v>
      </c>
      <c r="C335" s="2" t="str">
        <f>VLOOKUP(A335,Classification!A:D,2,FALSE)</f>
        <v>B2</v>
      </c>
      <c r="D335" s="2" t="str">
        <f>IF(ISERROR(MATCH(A335,'SegEnds_Xtal_Prot#'!B:B, 0)), "NoXtal", "Xtal")</f>
        <v>NoXtal</v>
      </c>
      <c r="H335" s="4"/>
      <c r="J335" s="106" t="s">
        <v>25</v>
      </c>
      <c r="T335" s="4" t="s">
        <v>12</v>
      </c>
      <c r="V335" s="28" t="str">
        <f>MID(VLOOKUP($A335,Seqs!$A:$B,2,FALSE),VLOOKUP($A335,'SegEnds_NonXtal_Prot#'!A:AL,10,FALSE),1)</f>
        <v>V</v>
      </c>
      <c r="W335" s="49" t="str">
        <f>MID(VLOOKUP($A335,Seqs!$A:$B,2,FALSE),VLOOKUP($A335,'SegEnds_NonXtal_Prot#'!A:AL,10,FALSE)+6,1)</f>
        <v>A</v>
      </c>
      <c r="X335" s="49" t="str">
        <f>MID(VLOOKUP($A335,Seqs!$A:$B,2,FALSE),VLOOKUP($A335,'SegEnds_NonXtal_Prot#'!A:AL,10,FALSE)+7,1)</f>
        <v>F</v>
      </c>
      <c r="Y335" s="49" t="str">
        <f>MID(VLOOKUP($A335,Seqs!$A:$B,2,FALSE),VLOOKUP($A335,'SegEnds_NonXtal_Prot#'!A:AL,10,FALSE)+8,1)</f>
        <v>L</v>
      </c>
      <c r="Z335" s="49" t="str">
        <f>MID(VLOOKUP($A335,Seqs!$A:$B,2,FALSE),VLOOKUP($A335,'SegEnds_NonXtal_Prot#'!A:AL,10,FALSE)+9,1)</f>
        <v>L</v>
      </c>
      <c r="AA335" s="49" t="str">
        <f>MID(VLOOKUP($A335,Seqs!$A:$B,2,FALSE),VLOOKUP($A335,'SegEnds_NonXtal_Prot#'!A:AL,10,FALSE)+10,1)</f>
        <v>S</v>
      </c>
      <c r="AB335" s="28" t="str">
        <f>MID(VLOOKUP($A335,Seqs!$A:$B,2,FALSE),VLOOKUP($A335,'SegEnds_NonXtal_Prot#'!$A:$AL,22,FALSE)+6,1)</f>
        <v>L</v>
      </c>
      <c r="AC335" s="49" t="str">
        <f>MID(VLOOKUP($A335,Seqs!$A:$B,2,FALSE),VLOOKUP($A335,'SegEnds_NonXtal_Prot#'!$A:$AL,22,FALSE)+7,1)</f>
        <v>V</v>
      </c>
      <c r="AD335" s="49" t="str">
        <f>MID(VLOOKUP($A335,Seqs!$A:$B,2,FALSE),VLOOKUP($A335,'SegEnds_NonXtal_Prot#'!$A:$AL,22,FALSE)+8,1)</f>
        <v>L</v>
      </c>
      <c r="AE335" s="49" t="str">
        <f>MID(VLOOKUP($A335,Seqs!$A:$B,2,FALSE),VLOOKUP($A335,'SegEnds_NonXtal_Prot#'!$A:$AL,22,FALSE)+9,1)</f>
        <v>L</v>
      </c>
      <c r="AF335" s="49" t="str">
        <f>MID(VLOOKUP($A335,Seqs!$A:$B,2,FALSE),VLOOKUP($A335,'SegEnds_NonXtal_Prot#'!$A:$AL,22,FALSE)+10,1)</f>
        <v>S</v>
      </c>
      <c r="AG335" s="28" t="str">
        <f>MID(VLOOKUP($A335,Seqs!$A:$B,2,FALSE),VLOOKUP($A335,'SegEnds_NonXtal_Prot#'!$A:$AL,28,FALSE)-4,1)</f>
        <v>Y</v>
      </c>
      <c r="AH335" s="49" t="str">
        <f>MID(VLOOKUP($A335,Seqs!$A:$B,2,FALSE),VLOOKUP($A335,'SegEnds_NonXtal_Prot#'!$A:$AL,28,FALSE),1)</f>
        <v>T</v>
      </c>
    </row>
    <row r="336" spans="1:34" s="2" customFormat="1" x14ac:dyDescent="0.2">
      <c r="A336" s="2" t="s">
        <v>1198</v>
      </c>
      <c r="B336" s="2" t="str">
        <f>LOWER(VLOOKUP(A336,Xtal_Templ!A:B,2,FALSE))</f>
        <v>pth1r_human</v>
      </c>
      <c r="C336" s="2" t="str">
        <f>VLOOKUP(A336,Classification!A:D,2,FALSE)</f>
        <v>B2</v>
      </c>
      <c r="D336" s="2" t="str">
        <f>IF(ISERROR(MATCH(A336,'SegEnds_Xtal_Prot#'!B:B, 0)), "NoXtal", "Xtal")</f>
        <v>NoXtal</v>
      </c>
      <c r="H336" s="4"/>
      <c r="J336" s="106" t="s">
        <v>25</v>
      </c>
      <c r="T336" s="4" t="s">
        <v>12</v>
      </c>
      <c r="V336" s="28" t="str">
        <f>MID(VLOOKUP($A336,Seqs!$A:$B,2,FALSE),VLOOKUP($A336,'SegEnds_NonXtal_Prot#'!A:AL,10,FALSE),1)</f>
        <v>M</v>
      </c>
      <c r="W336" s="49" t="str">
        <f>MID(VLOOKUP($A336,Seqs!$A:$B,2,FALSE),VLOOKUP($A336,'SegEnds_NonXtal_Prot#'!A:AL,10,FALSE)+6,1)</f>
        <v>L</v>
      </c>
      <c r="X336" s="49" t="str">
        <f>MID(VLOOKUP($A336,Seqs!$A:$B,2,FALSE),VLOOKUP($A336,'SegEnds_NonXtal_Prot#'!A:AL,10,FALSE)+7,1)</f>
        <v>F</v>
      </c>
      <c r="Y336" s="49" t="str">
        <f>MID(VLOOKUP($A336,Seqs!$A:$B,2,FALSE),VLOOKUP($A336,'SegEnds_NonXtal_Prot#'!A:AL,10,FALSE)+8,1)</f>
        <v>V</v>
      </c>
      <c r="Z336" s="49" t="str">
        <f>MID(VLOOKUP($A336,Seqs!$A:$B,2,FALSE),VLOOKUP($A336,'SegEnds_NonXtal_Prot#'!A:AL,10,FALSE)+9,1)</f>
        <v>F</v>
      </c>
      <c r="AA336" s="49" t="str">
        <f>MID(VLOOKUP($A336,Seqs!$A:$B,2,FALSE),VLOOKUP($A336,'SegEnds_NonXtal_Prot#'!A:AL,10,FALSE)+10,1)</f>
        <v>G</v>
      </c>
      <c r="AB336" s="28" t="str">
        <f>MID(VLOOKUP($A336,Seqs!$A:$B,2,FALSE),VLOOKUP($A336,'SegEnds_NonXtal_Prot#'!$A:$AL,22,FALSE)+6,1)</f>
        <v>V</v>
      </c>
      <c r="AC336" s="49" t="str">
        <f>MID(VLOOKUP($A336,Seqs!$A:$B,2,FALSE),VLOOKUP($A336,'SegEnds_NonXtal_Prot#'!$A:$AL,22,FALSE)+7,1)</f>
        <v>V</v>
      </c>
      <c r="AD336" s="49" t="str">
        <f>MID(VLOOKUP($A336,Seqs!$A:$B,2,FALSE),VLOOKUP($A336,'SegEnds_NonXtal_Prot#'!$A:$AL,22,FALSE)+8,1)</f>
        <v>A</v>
      </c>
      <c r="AE336" s="49" t="str">
        <f>MID(VLOOKUP($A336,Seqs!$A:$B,2,FALSE),VLOOKUP($A336,'SegEnds_NonXtal_Prot#'!$A:$AL,22,FALSE)+9,1)</f>
        <v>I</v>
      </c>
      <c r="AF336" s="49" t="str">
        <f>MID(VLOOKUP($A336,Seqs!$A:$B,2,FALSE),VLOOKUP($A336,'SegEnds_NonXtal_Prot#'!$A:$AL,22,FALSE)+10,1)</f>
        <v>T</v>
      </c>
      <c r="AG336" s="28" t="str">
        <f>MID(VLOOKUP($A336,Seqs!$A:$B,2,FALSE),VLOOKUP($A336,'SegEnds_NonXtal_Prot#'!$A:$AL,28,FALSE)-4,1)</f>
        <v>P</v>
      </c>
      <c r="AH336" s="49" t="str">
        <f>MID(VLOOKUP($A336,Seqs!$A:$B,2,FALSE),VLOOKUP($A336,'SegEnds_NonXtal_Prot#'!$A:$AL,28,FALSE),1)</f>
        <v>I</v>
      </c>
    </row>
    <row r="337" spans="1:34" s="2" customFormat="1" x14ac:dyDescent="0.2">
      <c r="A337" s="2" t="s">
        <v>1199</v>
      </c>
      <c r="B337" s="2" t="str">
        <f>LOWER(VLOOKUP(A337,Xtal_Templ!A:B,2,FALSE))</f>
        <v>calcr_human</v>
      </c>
      <c r="C337" s="2" t="str">
        <f>VLOOKUP(A337,Classification!A:D,2,FALSE)</f>
        <v>B2</v>
      </c>
      <c r="D337" s="2" t="str">
        <f>IF(ISERROR(MATCH(A337,'SegEnds_Xtal_Prot#'!B:B, 0)), "NoXtal", "Xtal")</f>
        <v>NoXtal</v>
      </c>
      <c r="H337" s="4"/>
      <c r="J337" s="106" t="s">
        <v>25</v>
      </c>
      <c r="T337" s="4" t="s">
        <v>12</v>
      </c>
      <c r="V337" s="28" t="str">
        <f>MID(VLOOKUP($A337,Seqs!$A:$B,2,FALSE),VLOOKUP($A337,'SegEnds_NonXtal_Prot#'!A:AL,10,FALSE),1)</f>
        <v>L</v>
      </c>
      <c r="W337" s="49" t="str">
        <f>MID(VLOOKUP($A337,Seqs!$A:$B,2,FALSE),VLOOKUP($A337,'SegEnds_NonXtal_Prot#'!A:AL,10,FALSE)+6,1)</f>
        <v>L</v>
      </c>
      <c r="X337" s="49" t="str">
        <f>MID(VLOOKUP($A337,Seqs!$A:$B,2,FALSE),VLOOKUP($A337,'SegEnds_NonXtal_Prot#'!A:AL,10,FALSE)+7,1)</f>
        <v>F</v>
      </c>
      <c r="Y337" s="49" t="str">
        <f>MID(VLOOKUP($A337,Seqs!$A:$B,2,FALSE),VLOOKUP($A337,'SegEnds_NonXtal_Prot#'!A:AL,10,FALSE)+8,1)</f>
        <v>L</v>
      </c>
      <c r="Z337" s="49" t="str">
        <f>MID(VLOOKUP($A337,Seqs!$A:$B,2,FALSE),VLOOKUP($A337,'SegEnds_NonXtal_Prot#'!A:AL,10,FALSE)+9,1)</f>
        <v>V</v>
      </c>
      <c r="AA337" s="49" t="str">
        <f>MID(VLOOKUP($A337,Seqs!$A:$B,2,FALSE),VLOOKUP($A337,'SegEnds_NonXtal_Prot#'!A:AL,10,FALSE)+10,1)</f>
        <v>G</v>
      </c>
      <c r="AB337" s="28" t="str">
        <f>MID(VLOOKUP($A337,Seqs!$A:$B,2,FALSE),VLOOKUP($A337,'SegEnds_NonXtal_Prot#'!$A:$AL,22,FALSE)+6,1)</f>
        <v>V</v>
      </c>
      <c r="AC337" s="49" t="str">
        <f>MID(VLOOKUP($A337,Seqs!$A:$B,2,FALSE),VLOOKUP($A337,'SegEnds_NonXtal_Prot#'!$A:$AL,22,FALSE)+7,1)</f>
        <v>V</v>
      </c>
      <c r="AD337" s="49" t="str">
        <f>MID(VLOOKUP($A337,Seqs!$A:$B,2,FALSE),VLOOKUP($A337,'SegEnds_NonXtal_Prot#'!$A:$AL,22,FALSE)+8,1)</f>
        <v>G</v>
      </c>
      <c r="AE337" s="49" t="str">
        <f>MID(VLOOKUP($A337,Seqs!$A:$B,2,FALSE),VLOOKUP($A337,'SegEnds_NonXtal_Prot#'!$A:$AL,22,FALSE)+9,1)</f>
        <v>I</v>
      </c>
      <c r="AF337" s="49" t="str">
        <f>MID(VLOOKUP($A337,Seqs!$A:$B,2,FALSE),VLOOKUP($A337,'SegEnds_NonXtal_Prot#'!$A:$AL,22,FALSE)+10,1)</f>
        <v>A</v>
      </c>
      <c r="AG337" s="28" t="str">
        <f>MID(VLOOKUP($A337,Seqs!$A:$B,2,FALSE),VLOOKUP($A337,'SegEnds_NonXtal_Prot#'!$A:$AL,28,FALSE)-4,1)</f>
        <v>P</v>
      </c>
      <c r="AH337" s="49" t="str">
        <f>MID(VLOOKUP($A337,Seqs!$A:$B,2,FALSE),VLOOKUP($A337,'SegEnds_NonXtal_Prot#'!$A:$AL,28,FALSE),1)</f>
        <v>V</v>
      </c>
    </row>
    <row r="338" spans="1:34" s="2" customFormat="1" x14ac:dyDescent="0.2">
      <c r="A338" s="2" t="s">
        <v>1200</v>
      </c>
      <c r="B338" s="2" t="str">
        <f>LOWER(VLOOKUP(A338,Xtal_Templ!A:B,2,FALSE))</f>
        <v>calcr_human</v>
      </c>
      <c r="C338" s="2" t="str">
        <f>VLOOKUP(A338,Classification!A:D,2,FALSE)</f>
        <v>B2</v>
      </c>
      <c r="D338" s="2" t="str">
        <f>IF(ISERROR(MATCH(A338,'SegEnds_Xtal_Prot#'!B:B, 0)), "NoXtal", "Xtal")</f>
        <v>NoXtal</v>
      </c>
      <c r="H338" s="4"/>
      <c r="J338" s="106" t="s">
        <v>25</v>
      </c>
      <c r="T338" s="4" t="s">
        <v>12</v>
      </c>
      <c r="V338" s="28" t="str">
        <f>MID(VLOOKUP($A338,Seqs!$A:$B,2,FALSE),VLOOKUP($A338,'SegEnds_NonXtal_Prot#'!A:AL,10,FALSE),1)</f>
        <v>L</v>
      </c>
      <c r="W338" s="49" t="str">
        <f>MID(VLOOKUP($A338,Seqs!$A:$B,2,FALSE),VLOOKUP($A338,'SegEnds_NonXtal_Prot#'!A:AL,10,FALSE)+6,1)</f>
        <v>I</v>
      </c>
      <c r="X338" s="49" t="str">
        <f>MID(VLOOKUP($A338,Seqs!$A:$B,2,FALSE),VLOOKUP($A338,'SegEnds_NonXtal_Prot#'!A:AL,10,FALSE)+7,1)</f>
        <v>F</v>
      </c>
      <c r="Y338" s="49" t="str">
        <f>MID(VLOOKUP($A338,Seqs!$A:$B,2,FALSE),VLOOKUP($A338,'SegEnds_NonXtal_Prot#'!A:AL,10,FALSE)+8,1)</f>
        <v>L</v>
      </c>
      <c r="Z338" s="49" t="str">
        <f>MID(VLOOKUP($A338,Seqs!$A:$B,2,FALSE),VLOOKUP($A338,'SegEnds_NonXtal_Prot#'!A:AL,10,FALSE)+9,1)</f>
        <v>I</v>
      </c>
      <c r="AA338" s="49" t="str">
        <f>MID(VLOOKUP($A338,Seqs!$A:$B,2,FALSE),VLOOKUP($A338,'SegEnds_NonXtal_Prot#'!A:AL,10,FALSE)+10,1)</f>
        <v>G</v>
      </c>
      <c r="AB338" s="28" t="str">
        <f>MID(VLOOKUP($A338,Seqs!$A:$B,2,FALSE),VLOOKUP($A338,'SegEnds_NonXtal_Prot#'!$A:$AL,22,FALSE)+6,1)</f>
        <v>V</v>
      </c>
      <c r="AC338" s="49" t="str">
        <f>MID(VLOOKUP($A338,Seqs!$A:$B,2,FALSE),VLOOKUP($A338,'SegEnds_NonXtal_Prot#'!$A:$AL,22,FALSE)+7,1)</f>
        <v>V</v>
      </c>
      <c r="AD338" s="49" t="str">
        <f>MID(VLOOKUP($A338,Seqs!$A:$B,2,FALSE),VLOOKUP($A338,'SegEnds_NonXtal_Prot#'!$A:$AL,22,FALSE)+8,1)</f>
        <v>G</v>
      </c>
      <c r="AE338" s="49" t="str">
        <f>MID(VLOOKUP($A338,Seqs!$A:$B,2,FALSE),VLOOKUP($A338,'SegEnds_NonXtal_Prot#'!$A:$AL,22,FALSE)+9,1)</f>
        <v>V</v>
      </c>
      <c r="AF338" s="49" t="str">
        <f>MID(VLOOKUP($A338,Seqs!$A:$B,2,FALSE),VLOOKUP($A338,'SegEnds_NonXtal_Prot#'!$A:$AL,22,FALSE)+10,1)</f>
        <v>S</v>
      </c>
      <c r="AG338" s="28" t="str">
        <f>MID(VLOOKUP($A338,Seqs!$A:$B,2,FALSE),VLOOKUP($A338,'SegEnds_NonXtal_Prot#'!$A:$AL,28,FALSE)-4,1)</f>
        <v>P</v>
      </c>
      <c r="AH338" s="49" t="str">
        <f>MID(VLOOKUP($A338,Seqs!$A:$B,2,FALSE),VLOOKUP($A338,'SegEnds_NonXtal_Prot#'!$A:$AL,28,FALSE),1)</f>
        <v>I</v>
      </c>
    </row>
    <row r="339" spans="1:34" s="2" customFormat="1" x14ac:dyDescent="0.2">
      <c r="A339" s="2" t="s">
        <v>1201</v>
      </c>
      <c r="B339" s="2" t="str">
        <f>LOWER(VLOOKUP(A339,Xtal_Templ!A:B,2,FALSE))</f>
        <v>crfr1_human</v>
      </c>
      <c r="C339" s="2" t="str">
        <f>VLOOKUP(A339,Classification!A:D,2,FALSE)</f>
        <v>B2</v>
      </c>
      <c r="D339" s="2" t="str">
        <f>IF(ISERROR(MATCH(A339,'SegEnds_Xtal_Prot#'!B:B, 0)), "NoXtal", "Xtal")</f>
        <v>NoXtal</v>
      </c>
      <c r="H339" s="4"/>
      <c r="J339" s="106" t="s">
        <v>25</v>
      </c>
      <c r="T339" s="4" t="s">
        <v>12</v>
      </c>
      <c r="V339" s="28" t="str">
        <f>MID(VLOOKUP($A339,Seqs!$A:$B,2,FALSE),VLOOKUP($A339,'SegEnds_NonXtal_Prot#'!A:AL,10,FALSE),1)</f>
        <v>L</v>
      </c>
      <c r="W339" s="49" t="str">
        <f>MID(VLOOKUP($A339,Seqs!$A:$B,2,FALSE),VLOOKUP($A339,'SegEnds_NonXtal_Prot#'!A:AL,10,FALSE)+6,1)</f>
        <v>L</v>
      </c>
      <c r="X339" s="49" t="str">
        <f>MID(VLOOKUP($A339,Seqs!$A:$B,2,FALSE),VLOOKUP($A339,'SegEnds_NonXtal_Prot#'!A:AL,10,FALSE)+7,1)</f>
        <v>F</v>
      </c>
      <c r="Y339" s="49" t="str">
        <f>MID(VLOOKUP($A339,Seqs!$A:$B,2,FALSE),VLOOKUP($A339,'SegEnds_NonXtal_Prot#'!A:AL,10,FALSE)+8,1)</f>
        <v>L</v>
      </c>
      <c r="Z339" s="49" t="str">
        <f>MID(VLOOKUP($A339,Seqs!$A:$B,2,FALSE),VLOOKUP($A339,'SegEnds_NonXtal_Prot#'!A:AL,10,FALSE)+9,1)</f>
        <v>I</v>
      </c>
      <c r="AA339" s="49" t="str">
        <f>MID(VLOOKUP($A339,Seqs!$A:$B,2,FALSE),VLOOKUP($A339,'SegEnds_NonXtal_Prot#'!A:AL,10,FALSE)+10,1)</f>
        <v>G</v>
      </c>
      <c r="AB339" s="28" t="str">
        <f>MID(VLOOKUP($A339,Seqs!$A:$B,2,FALSE),VLOOKUP($A339,'SegEnds_NonXtal_Prot#'!$A:$AL,22,FALSE)+6,1)</f>
        <v>I</v>
      </c>
      <c r="AC339" s="49" t="str">
        <f>MID(VLOOKUP($A339,Seqs!$A:$B,2,FALSE),VLOOKUP($A339,'SegEnds_NonXtal_Prot#'!$A:$AL,22,FALSE)+7,1)</f>
        <v>V</v>
      </c>
      <c r="AD339" s="49" t="str">
        <f>MID(VLOOKUP($A339,Seqs!$A:$B,2,FALSE),VLOOKUP($A339,'SegEnds_NonXtal_Prot#'!$A:$AL,22,FALSE)+8,1)</f>
        <v>A</v>
      </c>
      <c r="AE339" s="49" t="str">
        <f>MID(VLOOKUP($A339,Seqs!$A:$B,2,FALSE),VLOOKUP($A339,'SegEnds_NonXtal_Prot#'!$A:$AL,22,FALSE)+9,1)</f>
        <v>V</v>
      </c>
      <c r="AF339" s="49" t="str">
        <f>MID(VLOOKUP($A339,Seqs!$A:$B,2,FALSE),VLOOKUP($A339,'SegEnds_NonXtal_Prot#'!$A:$AL,22,FALSE)+10,1)</f>
        <v>S</v>
      </c>
      <c r="AG339" s="28" t="str">
        <f>MID(VLOOKUP($A339,Seqs!$A:$B,2,FALSE),VLOOKUP($A339,'SegEnds_NonXtal_Prot#'!$A:$AL,28,FALSE)-4,1)</f>
        <v>P</v>
      </c>
      <c r="AH339" s="49" t="str">
        <f>MID(VLOOKUP($A339,Seqs!$A:$B,2,FALSE),VLOOKUP($A339,'SegEnds_NonXtal_Prot#'!$A:$AL,28,FALSE),1)</f>
        <v>I</v>
      </c>
    </row>
    <row r="340" spans="1:34" s="2" customFormat="1" x14ac:dyDescent="0.2">
      <c r="A340" s="2" t="s">
        <v>1202</v>
      </c>
      <c r="B340" s="2" t="str">
        <f>LOWER(VLOOKUP(A340,Xtal_Templ!A:B,2,FALSE))</f>
        <v>crfr1_human</v>
      </c>
      <c r="C340" s="2" t="str">
        <f>VLOOKUP(A340,Classification!A:D,2,FALSE)</f>
        <v>B2</v>
      </c>
      <c r="D340" s="2" t="str">
        <f>IF(ISERROR(MATCH(A340,'SegEnds_Xtal_Prot#'!B:B, 0)), "NoXtal", "Xtal")</f>
        <v>NoXtal</v>
      </c>
      <c r="H340" s="4"/>
      <c r="J340" s="106" t="s">
        <v>25</v>
      </c>
      <c r="T340" s="4" t="s">
        <v>12</v>
      </c>
      <c r="V340" s="28" t="str">
        <f>MID(VLOOKUP($A340,Seqs!$A:$B,2,FALSE),VLOOKUP($A340,'SegEnds_NonXtal_Prot#'!A:AL,10,FALSE),1)</f>
        <v>L</v>
      </c>
      <c r="W340" s="49" t="str">
        <f>MID(VLOOKUP($A340,Seqs!$A:$B,2,FALSE),VLOOKUP($A340,'SegEnds_NonXtal_Prot#'!A:AL,10,FALSE)+6,1)</f>
        <v>V</v>
      </c>
      <c r="X340" s="49" t="str">
        <f>MID(VLOOKUP($A340,Seqs!$A:$B,2,FALSE),VLOOKUP($A340,'SegEnds_NonXtal_Prot#'!A:AL,10,FALSE)+7,1)</f>
        <v>F</v>
      </c>
      <c r="Y340" s="49" t="str">
        <f>MID(VLOOKUP($A340,Seqs!$A:$B,2,FALSE),VLOOKUP($A340,'SegEnds_NonXtal_Prot#'!A:AL,10,FALSE)+8,1)</f>
        <v>L</v>
      </c>
      <c r="Z340" s="49" t="str">
        <f>MID(VLOOKUP($A340,Seqs!$A:$B,2,FALSE),VLOOKUP($A340,'SegEnds_NonXtal_Prot#'!A:AL,10,FALSE)+9,1)</f>
        <v>V</v>
      </c>
      <c r="AA340" s="49" t="str">
        <f>MID(VLOOKUP($A340,Seqs!$A:$B,2,FALSE),VLOOKUP($A340,'SegEnds_NonXtal_Prot#'!A:AL,10,FALSE)+10,1)</f>
        <v>G</v>
      </c>
      <c r="AB340" s="28" t="str">
        <f>MID(VLOOKUP($A340,Seqs!$A:$B,2,FALSE),VLOOKUP($A340,'SegEnds_NonXtal_Prot#'!$A:$AL,22,FALSE)+6,1)</f>
        <v>V</v>
      </c>
      <c r="AC340" s="49" t="str">
        <f>MID(VLOOKUP($A340,Seqs!$A:$B,2,FALSE),VLOOKUP($A340,'SegEnds_NonXtal_Prot#'!$A:$AL,22,FALSE)+7,1)</f>
        <v>V</v>
      </c>
      <c r="AD340" s="49" t="str">
        <f>MID(VLOOKUP($A340,Seqs!$A:$B,2,FALSE),VLOOKUP($A340,'SegEnds_NonXtal_Prot#'!$A:$AL,22,FALSE)+8,1)</f>
        <v>G</v>
      </c>
      <c r="AE340" s="49" t="str">
        <f>MID(VLOOKUP($A340,Seqs!$A:$B,2,FALSE),VLOOKUP($A340,'SegEnds_NonXtal_Prot#'!$A:$AL,22,FALSE)+9,1)</f>
        <v>F</v>
      </c>
      <c r="AF340" s="49" t="str">
        <f>MID(VLOOKUP($A340,Seqs!$A:$B,2,FALSE),VLOOKUP($A340,'SegEnds_NonXtal_Prot#'!$A:$AL,22,FALSE)+10,1)</f>
        <v>S</v>
      </c>
      <c r="AG340" s="28" t="str">
        <f>MID(VLOOKUP($A340,Seqs!$A:$B,2,FALSE),VLOOKUP($A340,'SegEnds_NonXtal_Prot#'!$A:$AL,28,FALSE)-4,1)</f>
        <v>P</v>
      </c>
      <c r="AH340" s="49" t="str">
        <f>MID(VLOOKUP($A340,Seqs!$A:$B,2,FALSE),VLOOKUP($A340,'SegEnds_NonXtal_Prot#'!$A:$AL,28,FALSE),1)</f>
        <v>I</v>
      </c>
    </row>
    <row r="341" spans="1:34" s="2" customFormat="1" x14ac:dyDescent="0.2">
      <c r="A341" s="2" t="s">
        <v>414</v>
      </c>
      <c r="B341" s="2" t="str">
        <f>LOWER(VLOOKUP(A341,Xtal_Templ!A:B,2,FALSE))</f>
        <v>crfr1_human</v>
      </c>
      <c r="C341" s="2" t="str">
        <f>VLOOKUP(A341,Classification!A:D,2,FALSE)</f>
        <v>B2</v>
      </c>
      <c r="D341" s="2" t="str">
        <f>IF(ISERROR(MATCH(A341,'SegEnds_Xtal_Prot#'!B:B, 0)), "NoXtal", "Xtal")</f>
        <v>NoXtal</v>
      </c>
      <c r="H341" s="4"/>
      <c r="J341" s="106" t="s">
        <v>25</v>
      </c>
      <c r="T341" s="4" t="s">
        <v>12</v>
      </c>
      <c r="V341" s="28" t="str">
        <f>MID(VLOOKUP($A341,Seqs!$A:$B,2,FALSE),VLOOKUP($A341,'SegEnds_NonXtal_Prot#'!A:AL,10,FALSE),1)</f>
        <v>I</v>
      </c>
      <c r="W341" s="49" t="str">
        <f>MID(VLOOKUP($A341,Seqs!$A:$B,2,FALSE),VLOOKUP($A341,'SegEnds_NonXtal_Prot#'!A:AL,10,FALSE)+6,1)</f>
        <v>L</v>
      </c>
      <c r="X341" s="49" t="str">
        <f>MID(VLOOKUP($A341,Seqs!$A:$B,2,FALSE),VLOOKUP($A341,'SegEnds_NonXtal_Prot#'!A:AL,10,FALSE)+7,1)</f>
        <v>I</v>
      </c>
      <c r="Y341" s="49" t="str">
        <f>MID(VLOOKUP($A341,Seqs!$A:$B,2,FALSE),VLOOKUP($A341,'SegEnds_NonXtal_Prot#'!A:AL,10,FALSE)+8,1)</f>
        <v>L</v>
      </c>
      <c r="Z341" s="49" t="str">
        <f>MID(VLOOKUP($A341,Seqs!$A:$B,2,FALSE),VLOOKUP($A341,'SegEnds_NonXtal_Prot#'!A:AL,10,FALSE)+9,1)</f>
        <v>I</v>
      </c>
      <c r="AA341" s="49" t="str">
        <f>MID(VLOOKUP($A341,Seqs!$A:$B,2,FALSE),VLOOKUP($A341,'SegEnds_NonXtal_Prot#'!A:AL,10,FALSE)+10,1)</f>
        <v>G</v>
      </c>
      <c r="AB341" s="28" t="str">
        <f>MID(VLOOKUP($A341,Seqs!$A:$B,2,FALSE),VLOOKUP($A341,'SegEnds_NonXtal_Prot#'!$A:$AL,22,FALSE)+6,1)</f>
        <v>V</v>
      </c>
      <c r="AC341" s="49" t="str">
        <f>MID(VLOOKUP($A341,Seqs!$A:$B,2,FALSE),VLOOKUP($A341,'SegEnds_NonXtal_Prot#'!$A:$AL,22,FALSE)+7,1)</f>
        <v>V</v>
      </c>
      <c r="AD341" s="49" t="str">
        <f>MID(VLOOKUP($A341,Seqs!$A:$B,2,FALSE),VLOOKUP($A341,'SegEnds_NonXtal_Prot#'!$A:$AL,22,FALSE)+8,1)</f>
        <v>A</v>
      </c>
      <c r="AE341" s="49" t="str">
        <f>MID(VLOOKUP($A341,Seqs!$A:$B,2,FALSE),VLOOKUP($A341,'SegEnds_NonXtal_Prot#'!$A:$AL,22,FALSE)+9,1)</f>
        <v>I</v>
      </c>
      <c r="AF341" s="49" t="str">
        <f>MID(VLOOKUP($A341,Seqs!$A:$B,2,FALSE),VLOOKUP($A341,'SegEnds_NonXtal_Prot#'!$A:$AL,22,FALSE)+10,1)</f>
        <v>S</v>
      </c>
      <c r="AG341" s="28" t="str">
        <f>MID(VLOOKUP($A341,Seqs!$A:$B,2,FALSE),VLOOKUP($A341,'SegEnds_NonXtal_Prot#'!$A:$AL,28,FALSE)-4,1)</f>
        <v>P</v>
      </c>
      <c r="AH341" s="49" t="str">
        <f>MID(VLOOKUP($A341,Seqs!$A:$B,2,FALSE),VLOOKUP($A341,'SegEnds_NonXtal_Prot#'!$A:$AL,28,FALSE),1)</f>
        <v>V</v>
      </c>
    </row>
    <row r="342" spans="1:34" s="2" customFormat="1" x14ac:dyDescent="0.2">
      <c r="A342" s="2" t="s">
        <v>418</v>
      </c>
      <c r="B342" s="2" t="str">
        <f>LOWER(VLOOKUP(A342,Xtal_Templ!A:B,2,FALSE))</f>
        <v>pth1r_human</v>
      </c>
      <c r="C342" s="2" t="str">
        <f>VLOOKUP(A342,Classification!A:D,2,FALSE)</f>
        <v>B2</v>
      </c>
      <c r="D342" s="2" t="str">
        <f>IF(ISERROR(MATCH(A342,'SegEnds_Xtal_Prot#'!B:B, 0)), "NoXtal", "Xtal")</f>
        <v>NoXtal</v>
      </c>
      <c r="H342" s="4"/>
      <c r="J342" s="106" t="s">
        <v>25</v>
      </c>
      <c r="T342" s="4" t="s">
        <v>12</v>
      </c>
      <c r="V342" s="28" t="str">
        <f>MID(VLOOKUP($A342,Seqs!$A:$B,2,FALSE),VLOOKUP($A342,'SegEnds_NonXtal_Prot#'!A:AL,10,FALSE),1)</f>
        <v>L</v>
      </c>
      <c r="W342" s="49" t="str">
        <f>MID(VLOOKUP($A342,Seqs!$A:$B,2,FALSE),VLOOKUP($A342,'SegEnds_NonXtal_Prot#'!A:AL,10,FALSE)+6,1)</f>
        <v>V</v>
      </c>
      <c r="X342" s="49" t="str">
        <f>MID(VLOOKUP($A342,Seqs!$A:$B,2,FALSE),VLOOKUP($A342,'SegEnds_NonXtal_Prot#'!A:AL,10,FALSE)+7,1)</f>
        <v>F</v>
      </c>
      <c r="Y342" s="49" t="str">
        <f>MID(VLOOKUP($A342,Seqs!$A:$B,2,FALSE),VLOOKUP($A342,'SegEnds_NonXtal_Prot#'!A:AL,10,FALSE)+8,1)</f>
        <v>V</v>
      </c>
      <c r="Z342" s="49" t="str">
        <f>MID(VLOOKUP($A342,Seqs!$A:$B,2,FALSE),VLOOKUP($A342,'SegEnds_NonXtal_Prot#'!A:AL,10,FALSE)+9,1)</f>
        <v>I</v>
      </c>
      <c r="AA342" s="49" t="str">
        <f>MID(VLOOKUP($A342,Seqs!$A:$B,2,FALSE),VLOOKUP($A342,'SegEnds_NonXtal_Prot#'!A:AL,10,FALSE)+10,1)</f>
        <v>G</v>
      </c>
      <c r="AB342" s="28" t="str">
        <f>MID(VLOOKUP($A342,Seqs!$A:$B,2,FALSE),VLOOKUP($A342,'SegEnds_NonXtal_Prot#'!$A:$AL,22,FALSE)+6,1)</f>
        <v>V</v>
      </c>
      <c r="AC342" s="49" t="str">
        <f>MID(VLOOKUP($A342,Seqs!$A:$B,2,FALSE),VLOOKUP($A342,'SegEnds_NonXtal_Prot#'!$A:$AL,22,FALSE)+7,1)</f>
        <v>T</v>
      </c>
      <c r="AD342" s="49" t="str">
        <f>MID(VLOOKUP($A342,Seqs!$A:$B,2,FALSE),VLOOKUP($A342,'SegEnds_NonXtal_Prot#'!$A:$AL,22,FALSE)+8,1)</f>
        <v>G</v>
      </c>
      <c r="AE342" s="49" t="str">
        <f>MID(VLOOKUP($A342,Seqs!$A:$B,2,FALSE),VLOOKUP($A342,'SegEnds_NonXtal_Prot#'!$A:$AL,22,FALSE)+9,1)</f>
        <v>L</v>
      </c>
      <c r="AF342" s="49" t="str">
        <f>MID(VLOOKUP($A342,Seqs!$A:$B,2,FALSE),VLOOKUP($A342,'SegEnds_NonXtal_Prot#'!$A:$AL,22,FALSE)+10,1)</f>
        <v>A</v>
      </c>
      <c r="AG342" s="28" t="str">
        <f>MID(VLOOKUP($A342,Seqs!$A:$B,2,FALSE),VLOOKUP($A342,'SegEnds_NonXtal_Prot#'!$A:$AL,28,FALSE)-4,1)</f>
        <v>P</v>
      </c>
      <c r="AH342" s="49" t="str">
        <f>MID(VLOOKUP($A342,Seqs!$A:$B,2,FALSE),VLOOKUP($A342,'SegEnds_NonXtal_Prot#'!$A:$AL,28,FALSE),1)</f>
        <v>V</v>
      </c>
    </row>
    <row r="343" spans="1:34" s="2" customFormat="1" x14ac:dyDescent="0.2">
      <c r="A343" s="2" t="s">
        <v>419</v>
      </c>
      <c r="B343" s="2" t="str">
        <f>LOWER(VLOOKUP(A343,Xtal_Templ!A:B,2,FALSE))</f>
        <v>calrl_human</v>
      </c>
      <c r="C343" s="2" t="str">
        <f>VLOOKUP(A343,Classification!A:D,2,FALSE)</f>
        <v>B2</v>
      </c>
      <c r="D343" s="2" t="str">
        <f>IF(ISERROR(MATCH(A343,'SegEnds_Xtal_Prot#'!B:B, 0)), "NoXtal", "Xtal")</f>
        <v>NoXtal</v>
      </c>
      <c r="H343" s="4"/>
      <c r="J343" s="106" t="s">
        <v>25</v>
      </c>
      <c r="T343" s="4" t="s">
        <v>12</v>
      </c>
      <c r="V343" s="28" t="str">
        <f>MID(VLOOKUP($A343,Seqs!$A:$B,2,FALSE),VLOOKUP($A343,'SegEnds_NonXtal_Prot#'!A:AL,10,FALSE),1)</f>
        <v>L</v>
      </c>
      <c r="W343" s="49" t="str">
        <f>MID(VLOOKUP($A343,Seqs!$A:$B,2,FALSE),VLOOKUP($A343,'SegEnds_NonXtal_Prot#'!A:AL,10,FALSE)+6,1)</f>
        <v>V</v>
      </c>
      <c r="X343" s="49" t="str">
        <f>MID(VLOOKUP($A343,Seqs!$A:$B,2,FALSE),VLOOKUP($A343,'SegEnds_NonXtal_Prot#'!A:AL,10,FALSE)+7,1)</f>
        <v>F</v>
      </c>
      <c r="Y343" s="49" t="str">
        <f>MID(VLOOKUP($A343,Seqs!$A:$B,2,FALSE),VLOOKUP($A343,'SegEnds_NonXtal_Prot#'!A:AL,10,FALSE)+8,1)</f>
        <v>L</v>
      </c>
      <c r="Z343" s="49" t="str">
        <f>MID(VLOOKUP($A343,Seqs!$A:$B,2,FALSE),VLOOKUP($A343,'SegEnds_NonXtal_Prot#'!A:AL,10,FALSE)+9,1)</f>
        <v>L</v>
      </c>
      <c r="AA343" s="49" t="str">
        <f>MID(VLOOKUP($A343,Seqs!$A:$B,2,FALSE),VLOOKUP($A343,'SegEnds_NonXtal_Prot#'!A:AL,10,FALSE)+10,1)</f>
        <v>G</v>
      </c>
      <c r="AB343" s="28" t="str">
        <f>MID(VLOOKUP($A343,Seqs!$A:$B,2,FALSE),VLOOKUP($A343,'SegEnds_NonXtal_Prot#'!$A:$AL,22,FALSE)+6,1)</f>
        <v>I</v>
      </c>
      <c r="AC343" s="49" t="str">
        <f>MID(VLOOKUP($A343,Seqs!$A:$B,2,FALSE),VLOOKUP($A343,'SegEnds_NonXtal_Prot#'!$A:$AL,22,FALSE)+7,1)</f>
        <v>T</v>
      </c>
      <c r="AD343" s="49" t="str">
        <f>MID(VLOOKUP($A343,Seqs!$A:$B,2,FALSE),VLOOKUP($A343,'SegEnds_NonXtal_Prot#'!$A:$AL,22,FALSE)+8,1)</f>
        <v>G</v>
      </c>
      <c r="AE343" s="49" t="str">
        <f>MID(VLOOKUP($A343,Seqs!$A:$B,2,FALSE),VLOOKUP($A343,'SegEnds_NonXtal_Prot#'!$A:$AL,22,FALSE)+9,1)</f>
        <v>L</v>
      </c>
      <c r="AF343" s="49" t="str">
        <f>MID(VLOOKUP($A343,Seqs!$A:$B,2,FALSE),VLOOKUP($A343,'SegEnds_NonXtal_Prot#'!$A:$AL,22,FALSE)+10,1)</f>
        <v>A</v>
      </c>
      <c r="AG343" s="28" t="str">
        <f>MID(VLOOKUP($A343,Seqs!$A:$B,2,FALSE),VLOOKUP($A343,'SegEnds_NonXtal_Prot#'!$A:$AL,28,FALSE)-4,1)</f>
        <v>P</v>
      </c>
      <c r="AH343" s="49" t="str">
        <f>MID(VLOOKUP($A343,Seqs!$A:$B,2,FALSE),VLOOKUP($A343,'SegEnds_NonXtal_Prot#'!$A:$AL,28,FALSE),1)</f>
        <v>A</v>
      </c>
    </row>
    <row r="344" spans="1:34" s="2" customFormat="1" x14ac:dyDescent="0.2">
      <c r="A344" s="2" t="s">
        <v>1422</v>
      </c>
      <c r="B344" s="2" t="str">
        <f>LOWER(VLOOKUP(A344,Xtal_Templ!A:B,2,FALSE))</f>
        <v>crfr1_human</v>
      </c>
      <c r="C344" s="2" t="str">
        <f>VLOOKUP(A344,Classification!A:D,2,FALSE)</f>
        <v>B2</v>
      </c>
      <c r="D344" s="2" t="str">
        <f>IF(ISERROR(MATCH(A344,'SegEnds_Xtal_Prot#'!B:B, 0)), "NoXtal", "Xtal")</f>
        <v>NoXtal</v>
      </c>
      <c r="H344" s="4"/>
      <c r="J344" s="106" t="s">
        <v>25</v>
      </c>
      <c r="T344" s="4" t="s">
        <v>12</v>
      </c>
      <c r="V344" s="28" t="str">
        <f>MID(VLOOKUP($A344,Seqs!$A:$B,2,FALSE),VLOOKUP($A344,'SegEnds_NonXtal_Prot#'!A:AL,10,FALSE),1)</f>
        <v>L</v>
      </c>
      <c r="W344" s="49" t="str">
        <f>MID(VLOOKUP($A344,Seqs!$A:$B,2,FALSE),VLOOKUP($A344,'SegEnds_NonXtal_Prot#'!A:AL,10,FALSE)+6,1)</f>
        <v>L</v>
      </c>
      <c r="X344" s="49" t="str">
        <f>MID(VLOOKUP($A344,Seqs!$A:$B,2,FALSE),VLOOKUP($A344,'SegEnds_NonXtal_Prot#'!A:AL,10,FALSE)+7,1)</f>
        <v>F</v>
      </c>
      <c r="Y344" s="49" t="str">
        <f>MID(VLOOKUP($A344,Seqs!$A:$B,2,FALSE),VLOOKUP($A344,'SegEnds_NonXtal_Prot#'!A:AL,10,FALSE)+8,1)</f>
        <v>L</v>
      </c>
      <c r="Z344" s="49" t="str">
        <f>MID(VLOOKUP($A344,Seqs!$A:$B,2,FALSE),VLOOKUP($A344,'SegEnds_NonXtal_Prot#'!A:AL,10,FALSE)+9,1)</f>
        <v>L</v>
      </c>
      <c r="AA344" s="49" t="str">
        <f>MID(VLOOKUP($A344,Seqs!$A:$B,2,FALSE),VLOOKUP($A344,'SegEnds_NonXtal_Prot#'!A:AL,10,FALSE)+10,1)</f>
        <v>D</v>
      </c>
      <c r="AB344" s="28" t="str">
        <f>MID(VLOOKUP($A344,Seqs!$A:$B,2,FALSE),VLOOKUP($A344,'SegEnds_NonXtal_Prot#'!$A:$AL,22,FALSE)+6,1)</f>
        <v>V</v>
      </c>
      <c r="AC344" s="49" t="str">
        <f>MID(VLOOKUP($A344,Seqs!$A:$B,2,FALSE),VLOOKUP($A344,'SegEnds_NonXtal_Prot#'!$A:$AL,22,FALSE)+7,1)</f>
        <v>V</v>
      </c>
      <c r="AD344" s="49" t="str">
        <f>MID(VLOOKUP($A344,Seqs!$A:$B,2,FALSE),VLOOKUP($A344,'SegEnds_NonXtal_Prot#'!$A:$AL,22,FALSE)+8,1)</f>
        <v>S</v>
      </c>
      <c r="AE344" s="49" t="str">
        <f>MID(VLOOKUP($A344,Seqs!$A:$B,2,FALSE),VLOOKUP($A344,'SegEnds_NonXtal_Prot#'!$A:$AL,22,FALSE)+9,1)</f>
        <v>V</v>
      </c>
      <c r="AF344" s="49" t="str">
        <f>MID(VLOOKUP($A344,Seqs!$A:$B,2,FALSE),VLOOKUP($A344,'SegEnds_NonXtal_Prot#'!$A:$AL,22,FALSE)+10,1)</f>
        <v>V</v>
      </c>
      <c r="AG344" s="28" t="str">
        <f>MID(VLOOKUP($A344,Seqs!$A:$B,2,FALSE),VLOOKUP($A344,'SegEnds_NonXtal_Prot#'!$A:$AL,28,FALSE)-4,1)</f>
        <v>Y</v>
      </c>
      <c r="AH344" s="49" t="str">
        <f>MID(VLOOKUP($A344,Seqs!$A:$B,2,FALSE),VLOOKUP($A344,'SegEnds_NonXtal_Prot#'!$A:$AL,28,FALSE),1)</f>
        <v>M</v>
      </c>
    </row>
    <row r="345" spans="1:34" s="2" customFormat="1" x14ac:dyDescent="0.2">
      <c r="A345" s="2" t="s">
        <v>442</v>
      </c>
      <c r="B345" s="2" t="str">
        <f>LOWER(VLOOKUP(A345,Xtal_Templ!A:B,2,FALSE))</f>
        <v>crfr1_human</v>
      </c>
      <c r="C345" s="2" t="str">
        <f>VLOOKUP(A345,Classification!A:D,2,FALSE)</f>
        <v>B2</v>
      </c>
      <c r="D345" s="2" t="str">
        <f>IF(ISERROR(MATCH(A345,'SegEnds_Xtal_Prot#'!B:B, 0)), "NoXtal", "Xtal")</f>
        <v>NoXtal</v>
      </c>
      <c r="H345" s="4"/>
      <c r="J345" s="106" t="s">
        <v>25</v>
      </c>
      <c r="T345" s="4" t="s">
        <v>12</v>
      </c>
      <c r="V345" s="28" t="str">
        <f>MID(VLOOKUP($A345,Seqs!$A:$B,2,FALSE),VLOOKUP($A345,'SegEnds_NonXtal_Prot#'!A:AL,10,FALSE),1)</f>
        <v>S</v>
      </c>
      <c r="W345" s="49" t="str">
        <f>MID(VLOOKUP($A345,Seqs!$A:$B,2,FALSE),VLOOKUP($A345,'SegEnds_NonXtal_Prot#'!A:AL,10,FALSE)+6,1)</f>
        <v>L</v>
      </c>
      <c r="X345" s="49" t="str">
        <f>MID(VLOOKUP($A345,Seqs!$A:$B,2,FALSE),VLOOKUP($A345,'SegEnds_NonXtal_Prot#'!A:AL,10,FALSE)+7,1)</f>
        <v>F</v>
      </c>
      <c r="Y345" s="49" t="str">
        <f>MID(VLOOKUP($A345,Seqs!$A:$B,2,FALSE),VLOOKUP($A345,'SegEnds_NonXtal_Prot#'!A:AL,10,FALSE)+8,1)</f>
        <v>L</v>
      </c>
      <c r="Z345" s="49" t="str">
        <f>MID(VLOOKUP($A345,Seqs!$A:$B,2,FALSE),VLOOKUP($A345,'SegEnds_NonXtal_Prot#'!A:AL,10,FALSE)+9,1)</f>
        <v>A</v>
      </c>
      <c r="AA345" s="49" t="str">
        <f>MID(VLOOKUP($A345,Seqs!$A:$B,2,FALSE),VLOOKUP($A345,'SegEnds_NonXtal_Prot#'!A:AL,10,FALSE)+10,1)</f>
        <v>S</v>
      </c>
      <c r="AB345" s="28" t="str">
        <f>MID(VLOOKUP($A345,Seqs!$A:$B,2,FALSE),VLOOKUP($A345,'SegEnds_NonXtal_Prot#'!$A:$AL,22,FALSE)+6,1)</f>
        <v>V</v>
      </c>
      <c r="AC345" s="49" t="str">
        <f>MID(VLOOKUP($A345,Seqs!$A:$B,2,FALSE),VLOOKUP($A345,'SegEnds_NonXtal_Prot#'!$A:$AL,22,FALSE)+7,1)</f>
        <v>V</v>
      </c>
      <c r="AD345" s="49" t="str">
        <f>MID(VLOOKUP($A345,Seqs!$A:$B,2,FALSE),VLOOKUP($A345,'SegEnds_NonXtal_Prot#'!$A:$AL,22,FALSE)+8,1)</f>
        <v>I</v>
      </c>
      <c r="AE345" s="49" t="str">
        <f>MID(VLOOKUP($A345,Seqs!$A:$B,2,FALSE),VLOOKUP($A345,'SegEnds_NonXtal_Prot#'!$A:$AL,22,FALSE)+9,1)</f>
        <v>L</v>
      </c>
      <c r="AF345" s="49" t="str">
        <f>MID(VLOOKUP($A345,Seqs!$A:$B,2,FALSE),VLOOKUP($A345,'SegEnds_NonXtal_Prot#'!$A:$AL,22,FALSE)+10,1)</f>
        <v>L</v>
      </c>
      <c r="AG345" s="28" t="str">
        <f>MID(VLOOKUP($A345,Seqs!$A:$B,2,FALSE),VLOOKUP($A345,'SegEnds_NonXtal_Prot#'!$A:$AL,28,FALSE)-4,1)</f>
        <v>P</v>
      </c>
      <c r="AH345" s="49" t="str">
        <f>MID(VLOOKUP($A345,Seqs!$A:$B,2,FALSE),VLOOKUP($A345,'SegEnds_NonXtal_Prot#'!$A:$AL,28,FALSE),1)</f>
        <v>L</v>
      </c>
    </row>
    <row r="346" spans="1:34" s="2" customFormat="1" x14ac:dyDescent="0.2">
      <c r="A346" s="2" t="s">
        <v>417</v>
      </c>
      <c r="B346" s="2" t="str">
        <f>LOWER(VLOOKUP(A346,Xtal_Templ!A:B,2,FALSE))</f>
        <v>glp1r_human</v>
      </c>
      <c r="C346" s="2" t="str">
        <f>VLOOKUP(A346,Classification!A:D,2,FALSE)</f>
        <v>B2</v>
      </c>
      <c r="D346" s="2" t="str">
        <f>IF(ISERROR(MATCH(A346,'SegEnds_Xtal_Prot#'!B:B, 0)), "NoXtal", "Xtal")</f>
        <v>NoXtal</v>
      </c>
      <c r="H346" s="4"/>
      <c r="J346" s="106" t="s">
        <v>25</v>
      </c>
      <c r="T346" s="4" t="s">
        <v>12</v>
      </c>
      <c r="V346" s="28" t="str">
        <f>MID(VLOOKUP($A346,Seqs!$A:$B,2,FALSE),VLOOKUP($A346,'SegEnds_NonXtal_Prot#'!A:AL,10,FALSE),1)</f>
        <v>L</v>
      </c>
      <c r="W346" s="49" t="str">
        <f>MID(VLOOKUP($A346,Seqs!$A:$B,2,FALSE),VLOOKUP($A346,'SegEnds_NonXtal_Prot#'!A:AL,10,FALSE)+6,1)</f>
        <v>I</v>
      </c>
      <c r="X346" s="49" t="str">
        <f>MID(VLOOKUP($A346,Seqs!$A:$B,2,FALSE),VLOOKUP($A346,'SegEnds_NonXtal_Prot#'!A:AL,10,FALSE)+7,1)</f>
        <v>F</v>
      </c>
      <c r="Y346" s="49" t="str">
        <f>MID(VLOOKUP($A346,Seqs!$A:$B,2,FALSE),VLOOKUP($A346,'SegEnds_NonXtal_Prot#'!A:AL,10,FALSE)+8,1)</f>
        <v>L</v>
      </c>
      <c r="Z346" s="49" t="str">
        <f>MID(VLOOKUP($A346,Seqs!$A:$B,2,FALSE),VLOOKUP($A346,'SegEnds_NonXtal_Prot#'!A:AL,10,FALSE)+9,1)</f>
        <v>A</v>
      </c>
      <c r="AA346" s="49" t="str">
        <f>MID(VLOOKUP($A346,Seqs!$A:$B,2,FALSE),VLOOKUP($A346,'SegEnds_NonXtal_Prot#'!A:AL,10,FALSE)+10,1)</f>
        <v>G</v>
      </c>
      <c r="AB346" s="28" t="str">
        <f>MID(VLOOKUP($A346,Seqs!$A:$B,2,FALSE),VLOOKUP($A346,'SegEnds_NonXtal_Prot#'!$A:$AL,22,FALSE)+6,1)</f>
        <v>I</v>
      </c>
      <c r="AC346" s="49" t="str">
        <f>MID(VLOOKUP($A346,Seqs!$A:$B,2,FALSE),VLOOKUP($A346,'SegEnds_NonXtal_Prot#'!$A:$AL,22,FALSE)+7,1)</f>
        <v>V</v>
      </c>
      <c r="AD346" s="49" t="str">
        <f>MID(VLOOKUP($A346,Seqs!$A:$B,2,FALSE),VLOOKUP($A346,'SegEnds_NonXtal_Prot#'!$A:$AL,22,FALSE)+8,1)</f>
        <v>G</v>
      </c>
      <c r="AE346" s="49" t="str">
        <f>MID(VLOOKUP($A346,Seqs!$A:$B,2,FALSE),VLOOKUP($A346,'SegEnds_NonXtal_Prot#'!$A:$AL,22,FALSE)+9,1)</f>
        <v>V</v>
      </c>
      <c r="AF346" s="49" t="str">
        <f>MID(VLOOKUP($A346,Seqs!$A:$B,2,FALSE),VLOOKUP($A346,'SegEnds_NonXtal_Prot#'!$A:$AL,22,FALSE)+10,1)</f>
        <v>S</v>
      </c>
      <c r="AG346" s="28" t="str">
        <f>MID(VLOOKUP($A346,Seqs!$A:$B,2,FALSE),VLOOKUP($A346,'SegEnds_NonXtal_Prot#'!$A:$AL,28,FALSE)-4,1)</f>
        <v>P</v>
      </c>
      <c r="AH346" s="49" t="str">
        <f>MID(VLOOKUP($A346,Seqs!$A:$B,2,FALSE),VLOOKUP($A346,'SegEnds_NonXtal_Prot#'!$A:$AL,28,FALSE),1)</f>
        <v>I</v>
      </c>
    </row>
    <row r="347" spans="1:34" s="2" customFormat="1" x14ac:dyDescent="0.2">
      <c r="A347" s="2" t="s">
        <v>420</v>
      </c>
      <c r="B347" s="2" t="str">
        <f>LOWER(VLOOKUP(A347,Xtal_Templ!A:B,2,FALSE))</f>
        <v>crfr1_human</v>
      </c>
      <c r="C347" s="2" t="str">
        <f>VLOOKUP(A347,Classification!A:D,2,FALSE)</f>
        <v>B2</v>
      </c>
      <c r="D347" s="2" t="str">
        <f>IF(ISERROR(MATCH(A347,'SegEnds_Xtal_Prot#'!B:B, 0)), "NoXtal", "Xtal")</f>
        <v>NoXtal</v>
      </c>
      <c r="H347" s="4"/>
      <c r="J347" s="106" t="s">
        <v>25</v>
      </c>
      <c r="T347" s="4" t="s">
        <v>12</v>
      </c>
      <c r="V347" s="28" t="str">
        <f>MID(VLOOKUP($A347,Seqs!$A:$B,2,FALSE),VLOOKUP($A347,'SegEnds_NonXtal_Prot#'!A:AL,10,FALSE),1)</f>
        <v>L</v>
      </c>
      <c r="W347" s="49" t="str">
        <f>MID(VLOOKUP($A347,Seqs!$A:$B,2,FALSE),VLOOKUP($A347,'SegEnds_NonXtal_Prot#'!A:AL,10,FALSE)+6,1)</f>
        <v>L</v>
      </c>
      <c r="X347" s="49" t="str">
        <f>MID(VLOOKUP($A347,Seqs!$A:$B,2,FALSE),VLOOKUP($A347,'SegEnds_NonXtal_Prot#'!A:AL,10,FALSE)+7,1)</f>
        <v>F</v>
      </c>
      <c r="Y347" s="49" t="str">
        <f>MID(VLOOKUP($A347,Seqs!$A:$B,2,FALSE),VLOOKUP($A347,'SegEnds_NonXtal_Prot#'!A:AL,10,FALSE)+8,1)</f>
        <v>L</v>
      </c>
      <c r="Z347" s="49" t="str">
        <f>MID(VLOOKUP($A347,Seqs!$A:$B,2,FALSE),VLOOKUP($A347,'SegEnds_NonXtal_Prot#'!A:AL,10,FALSE)+9,1)</f>
        <v>L</v>
      </c>
      <c r="AA347" s="49" t="str">
        <f>MID(VLOOKUP($A347,Seqs!$A:$B,2,FALSE),VLOOKUP($A347,'SegEnds_NonXtal_Prot#'!A:AL,10,FALSE)+10,1)</f>
        <v>G</v>
      </c>
      <c r="AB347" s="28" t="str">
        <f>MID(VLOOKUP($A347,Seqs!$A:$B,2,FALSE),VLOOKUP($A347,'SegEnds_NonXtal_Prot#'!$A:$AL,22,FALSE)+6,1)</f>
        <v>L</v>
      </c>
      <c r="AC347" s="49" t="str">
        <f>MID(VLOOKUP($A347,Seqs!$A:$B,2,FALSE),VLOOKUP($A347,'SegEnds_NonXtal_Prot#'!$A:$AL,22,FALSE)+7,1)</f>
        <v>L</v>
      </c>
      <c r="AD347" s="49" t="str">
        <f>MID(VLOOKUP($A347,Seqs!$A:$B,2,FALSE),VLOOKUP($A347,'SegEnds_NonXtal_Prot#'!$A:$AL,22,FALSE)+8,1)</f>
        <v>G</v>
      </c>
      <c r="AE347" s="49" t="str">
        <f>MID(VLOOKUP($A347,Seqs!$A:$B,2,FALSE),VLOOKUP($A347,'SegEnds_NonXtal_Prot#'!$A:$AL,22,FALSE)+9,1)</f>
        <v>L</v>
      </c>
      <c r="AF347" s="49" t="str">
        <f>MID(VLOOKUP($A347,Seqs!$A:$B,2,FALSE),VLOOKUP($A347,'SegEnds_NonXtal_Prot#'!$A:$AL,22,FALSE)+10,1)</f>
        <v>A</v>
      </c>
      <c r="AG347" s="28" t="str">
        <f>MID(VLOOKUP($A347,Seqs!$A:$B,2,FALSE),VLOOKUP($A347,'SegEnds_NonXtal_Prot#'!$A:$AL,28,FALSE)-4,1)</f>
        <v>P</v>
      </c>
      <c r="AH347" s="49" t="str">
        <f>MID(VLOOKUP($A347,Seqs!$A:$B,2,FALSE),VLOOKUP($A347,'SegEnds_NonXtal_Prot#'!$A:$AL,28,FALSE),1)</f>
        <v>V</v>
      </c>
    </row>
    <row r="348" spans="1:34" s="2" customFormat="1" x14ac:dyDescent="0.2">
      <c r="A348" s="2" t="s">
        <v>106</v>
      </c>
      <c r="B348" s="2" t="str">
        <f>LOWER(VLOOKUP(A348,Xtal_Templ!A:B,2,FALSE))</f>
        <v>grm1_human</v>
      </c>
      <c r="C348" s="2" t="str">
        <f>VLOOKUP(A348,Classification!A:D,2,FALSE)</f>
        <v>C</v>
      </c>
      <c r="D348" s="2" t="str">
        <f>IF(ISERROR(MATCH(A348,'SegEnds_Xtal_Prot#'!B:B, 0)), "NoXtal", "Xtal")</f>
        <v>NoXtal</v>
      </c>
      <c r="H348" s="4"/>
      <c r="U348" s="2" t="s">
        <v>1330</v>
      </c>
      <c r="V348" s="28" t="str">
        <f>MID(VLOOKUP($A348,Seqs!$A:$B,2,FALSE),VLOOKUP($A348,'SegEnds_NonXtal_Prot#'!A:AL,10,FALSE),1)</f>
        <v>C</v>
      </c>
      <c r="W348" s="49" t="str">
        <f>MID(VLOOKUP($A348,Seqs!$A:$B,2,FALSE),VLOOKUP($A348,'SegEnds_NonXtal_Prot#'!A:AL,10,FALSE)+6,1)</f>
        <v>A</v>
      </c>
      <c r="X348" s="49" t="str">
        <f>MID(VLOOKUP($A348,Seqs!$A:$B,2,FALSE),VLOOKUP($A348,'SegEnds_NonXtal_Prot#'!A:AL,10,FALSE)+7,1)</f>
        <v>V</v>
      </c>
      <c r="Y348" s="49" t="str">
        <f>MID(VLOOKUP($A348,Seqs!$A:$B,2,FALSE),VLOOKUP($A348,'SegEnds_NonXtal_Prot#'!A:AL,10,FALSE)+8,1)</f>
        <v>F</v>
      </c>
      <c r="Z348" s="49" t="str">
        <f>MID(VLOOKUP($A348,Seqs!$A:$B,2,FALSE),VLOOKUP($A348,'SegEnds_NonXtal_Prot#'!A:AL,10,FALSE)+9,1)</f>
        <v>P</v>
      </c>
      <c r="AA348" s="49" t="str">
        <f>MID(VLOOKUP($A348,Seqs!$A:$B,2,FALSE),VLOOKUP($A348,'SegEnds_NonXtal_Prot#'!A:AL,10,FALSE)+10,1)</f>
        <v>L</v>
      </c>
      <c r="AB348" s="28" t="str">
        <f>MID(VLOOKUP($A348,Seqs!$A:$B,2,FALSE),VLOOKUP($A348,'SegEnds_NonXtal_Prot#'!$A:$AL,22,FALSE)+6,1)</f>
        <v>T</v>
      </c>
      <c r="AC348" s="49" t="str">
        <f>MID(VLOOKUP($A348,Seqs!$A:$B,2,FALSE),VLOOKUP($A348,'SegEnds_NonXtal_Prot#'!$A:$AL,22,FALSE)+7,1)</f>
        <v>L</v>
      </c>
      <c r="AD348" s="49" t="str">
        <f>MID(VLOOKUP($A348,Seqs!$A:$B,2,FALSE),VLOOKUP($A348,'SegEnds_NonXtal_Prot#'!$A:$AL,22,FALSE)+8,1)</f>
        <v>A</v>
      </c>
      <c r="AE348" s="49" t="str">
        <f>MID(VLOOKUP($A348,Seqs!$A:$B,2,FALSE),VLOOKUP($A348,'SegEnds_NonXtal_Prot#'!$A:$AL,22,FALSE)+9,1)</f>
        <v>I</v>
      </c>
      <c r="AF348" s="49" t="str">
        <f>MID(VLOOKUP($A348,Seqs!$A:$B,2,FALSE),VLOOKUP($A348,'SegEnds_NonXtal_Prot#'!$A:$AL,22,FALSE)+10,1)</f>
        <v>W</v>
      </c>
      <c r="AG348" s="28" t="str">
        <f>MID(VLOOKUP($A348,Seqs!$A:$B,2,FALSE),VLOOKUP($A348,'SegEnds_NonXtal_Prot#'!$A:$AL,28,FALSE)-4,1)</f>
        <v>Y</v>
      </c>
      <c r="AH348" s="49" t="str">
        <f>MID(VLOOKUP($A348,Seqs!$A:$B,2,FALSE),VLOOKUP($A348,'SegEnds_NonXtal_Prot#'!$A:$AL,28,FALSE),1)</f>
        <v>L</v>
      </c>
    </row>
    <row r="349" spans="1:34" s="2" customFormat="1" x14ac:dyDescent="0.2">
      <c r="A349" s="2" t="s">
        <v>108</v>
      </c>
      <c r="B349" s="2" t="str">
        <f>LOWER(VLOOKUP(A349,Xtal_Templ!A:B,2,FALSE))</f>
        <v>grm1_human</v>
      </c>
      <c r="C349" s="2" t="str">
        <f>VLOOKUP(A349,Classification!A:D,2,FALSE)</f>
        <v>C</v>
      </c>
      <c r="D349" s="2" t="str">
        <f>IF(ISERROR(MATCH(A349,'SegEnds_Xtal_Prot#'!B:B, 0)), "NoXtal", "Xtal")</f>
        <v>NoXtal</v>
      </c>
      <c r="H349" s="4"/>
      <c r="U349" s="2" t="s">
        <v>1330</v>
      </c>
      <c r="V349" s="28" t="str">
        <f>MID(VLOOKUP($A349,Seqs!$A:$B,2,FALSE),VLOOKUP($A349,'SegEnds_NonXtal_Prot#'!A:AL,10,FALSE),1)</f>
        <v>S</v>
      </c>
      <c r="W349" s="49" t="str">
        <f>MID(VLOOKUP($A349,Seqs!$A:$B,2,FALSE),VLOOKUP($A349,'SegEnds_NonXtal_Prot#'!A:AL,10,FALSE)+6,1)</f>
        <v>S</v>
      </c>
      <c r="X349" s="49" t="str">
        <f>MID(VLOOKUP($A349,Seqs!$A:$B,2,FALSE),VLOOKUP($A349,'SegEnds_NonXtal_Prot#'!A:AL,10,FALSE)+7,1)</f>
        <v>A</v>
      </c>
      <c r="Y349" s="49" t="str">
        <f>MID(VLOOKUP($A349,Seqs!$A:$B,2,FALSE),VLOOKUP($A349,'SegEnds_NonXtal_Prot#'!A:AL,10,FALSE)+8,1)</f>
        <v>Y</v>
      </c>
      <c r="Z349" s="49" t="str">
        <f>MID(VLOOKUP($A349,Seqs!$A:$B,2,FALSE),VLOOKUP($A349,'SegEnds_NonXtal_Prot#'!A:AL,10,FALSE)+9,1)</f>
        <v>L</v>
      </c>
      <c r="AA349" s="49" t="str">
        <f>MID(VLOOKUP($A349,Seqs!$A:$B,2,FALSE),VLOOKUP($A349,'SegEnds_NonXtal_Prot#'!A:AL,10,FALSE)+10,1)</f>
        <v>F</v>
      </c>
      <c r="AB349" s="28" t="str">
        <f>MID(VLOOKUP($A349,Seqs!$A:$B,2,FALSE),VLOOKUP($A349,'SegEnds_NonXtal_Prot#'!$A:$AL,22,FALSE)+6,1)</f>
        <v>L</v>
      </c>
      <c r="AC349" s="49" t="str">
        <f>MID(VLOOKUP($A349,Seqs!$A:$B,2,FALSE),VLOOKUP($A349,'SegEnds_NonXtal_Prot#'!$A:$AL,22,FALSE)+7,1)</f>
        <v>L</v>
      </c>
      <c r="AD349" s="49" t="str">
        <f>MID(VLOOKUP($A349,Seqs!$A:$B,2,FALSE),VLOOKUP($A349,'SegEnds_NonXtal_Prot#'!$A:$AL,22,FALSE)+8,1)</f>
        <v>M</v>
      </c>
      <c r="AE349" s="49" t="str">
        <f>MID(VLOOKUP($A349,Seqs!$A:$B,2,FALSE),VLOOKUP($A349,'SegEnds_NonXtal_Prot#'!$A:$AL,22,FALSE)+9,1)</f>
        <v>T</v>
      </c>
      <c r="AF349" s="49" t="str">
        <f>MID(VLOOKUP($A349,Seqs!$A:$B,2,FALSE),VLOOKUP($A349,'SegEnds_NonXtal_Prot#'!$A:$AL,22,FALSE)+10,1)</f>
        <v>W</v>
      </c>
      <c r="AG349" s="28" t="str">
        <f>MID(VLOOKUP($A349,Seqs!$A:$B,2,FALSE),VLOOKUP($A349,'SegEnds_NonXtal_Prot#'!$A:$AL,28,FALSE)-4,1)</f>
        <v>C</v>
      </c>
      <c r="AH349" s="49" t="str">
        <f>MID(VLOOKUP($A349,Seqs!$A:$B,2,FALSE),VLOOKUP($A349,'SegEnds_NonXtal_Prot#'!$A:$AL,28,FALSE),1)</f>
        <v>L</v>
      </c>
    </row>
    <row r="350" spans="1:34" s="2" customFormat="1" x14ac:dyDescent="0.2">
      <c r="A350" s="2" t="s">
        <v>109</v>
      </c>
      <c r="B350" s="2" t="str">
        <f>LOWER(VLOOKUP(A350,Xtal_Templ!A:B,2,FALSE))</f>
        <v>grm1_human</v>
      </c>
      <c r="C350" s="2" t="str">
        <f>VLOOKUP(A350,Classification!A:D,2,FALSE)</f>
        <v>C</v>
      </c>
      <c r="D350" s="2" t="str">
        <f>IF(ISERROR(MATCH(A350,'SegEnds_Xtal_Prot#'!B:B, 0)), "NoXtal", "Xtal")</f>
        <v>NoXtal</v>
      </c>
      <c r="H350" s="4"/>
      <c r="U350" s="2" t="s">
        <v>1330</v>
      </c>
      <c r="V350" s="28" t="str">
        <f>MID(VLOOKUP($A350,Seqs!$A:$B,2,FALSE),VLOOKUP($A350,'SegEnds_NonXtal_Prot#'!A:AL,10,FALSE),1)</f>
        <v>S</v>
      </c>
      <c r="W350" s="49" t="str">
        <f>MID(VLOOKUP($A350,Seqs!$A:$B,2,FALSE),VLOOKUP($A350,'SegEnds_NonXtal_Prot#'!A:AL,10,FALSE)+6,1)</f>
        <v>P</v>
      </c>
      <c r="X350" s="49" t="str">
        <f>MID(VLOOKUP($A350,Seqs!$A:$B,2,FALSE),VLOOKUP($A350,'SegEnds_NonXtal_Prot#'!A:AL,10,FALSE)+7,1)</f>
        <v>V</v>
      </c>
      <c r="Y350" s="49" t="str">
        <f>MID(VLOOKUP($A350,Seqs!$A:$B,2,FALSE),VLOOKUP($A350,'SegEnds_NonXtal_Prot#'!A:AL,10,FALSE)+8,1)</f>
        <v>V</v>
      </c>
      <c r="Z350" s="49" t="str">
        <f>MID(VLOOKUP($A350,Seqs!$A:$B,2,FALSE),VLOOKUP($A350,'SegEnds_NonXtal_Prot#'!A:AL,10,FALSE)+9,1)</f>
        <v>I</v>
      </c>
      <c r="AA350" s="49" t="str">
        <f>MID(VLOOKUP($A350,Seqs!$A:$B,2,FALSE),VLOOKUP($A350,'SegEnds_NonXtal_Prot#'!A:AL,10,FALSE)+10,1)</f>
        <v>L</v>
      </c>
      <c r="AB350" s="28" t="str">
        <f>MID(VLOOKUP($A350,Seqs!$A:$B,2,FALSE),VLOOKUP($A350,'SegEnds_NonXtal_Prot#'!$A:$AL,22,FALSE)+6,1)</f>
        <v>L</v>
      </c>
      <c r="AC350" s="49" t="str">
        <f>MID(VLOOKUP($A350,Seqs!$A:$B,2,FALSE),VLOOKUP($A350,'SegEnds_NonXtal_Prot#'!$A:$AL,22,FALSE)+7,1)</f>
        <v>A</v>
      </c>
      <c r="AD350" s="49" t="str">
        <f>MID(VLOOKUP($A350,Seqs!$A:$B,2,FALSE),VLOOKUP($A350,'SegEnds_NonXtal_Prot#'!$A:$AL,22,FALSE)+8,1)</f>
        <v>V</v>
      </c>
      <c r="AE350" s="49" t="str">
        <f>MID(VLOOKUP($A350,Seqs!$A:$B,2,FALSE),VLOOKUP($A350,'SegEnds_NonXtal_Prot#'!$A:$AL,22,FALSE)+9,1)</f>
        <v>I</v>
      </c>
      <c r="AF350" s="49" t="str">
        <f>MID(VLOOKUP($A350,Seqs!$A:$B,2,FALSE),VLOOKUP($A350,'SegEnds_NonXtal_Prot#'!$A:$AL,22,FALSE)+10,1)</f>
        <v>L</v>
      </c>
      <c r="AG350" s="28" t="str">
        <f>MID(VLOOKUP($A350,Seqs!$A:$B,2,FALSE),VLOOKUP($A350,'SegEnds_NonXtal_Prot#'!$A:$AL,28,FALSE)-4,1)</f>
        <v>A</v>
      </c>
      <c r="AH350" s="49" t="str">
        <f>MID(VLOOKUP($A350,Seqs!$A:$B,2,FALSE),VLOOKUP($A350,'SegEnds_NonXtal_Prot#'!$A:$AL,28,FALSE),1)</f>
        <v>F</v>
      </c>
    </row>
    <row r="351" spans="1:34" s="2" customFormat="1" x14ac:dyDescent="0.2">
      <c r="A351" s="2" t="s">
        <v>110</v>
      </c>
      <c r="B351" s="2" t="str">
        <f>LOWER(VLOOKUP(A351,Xtal_Templ!A:B,2,FALSE))</f>
        <v>grm1_human</v>
      </c>
      <c r="C351" s="2" t="str">
        <f>VLOOKUP(A351,Classification!A:D,2,FALSE)</f>
        <v>C</v>
      </c>
      <c r="D351" s="2" t="str">
        <f>IF(ISERROR(MATCH(A351,'SegEnds_Xtal_Prot#'!B:B, 0)), "NoXtal", "Xtal")</f>
        <v>NoXtal</v>
      </c>
      <c r="H351" s="4"/>
      <c r="U351" s="2" t="s">
        <v>1330</v>
      </c>
      <c r="V351" s="28" t="str">
        <f>MID(VLOOKUP($A351,Seqs!$A:$B,2,FALSE),VLOOKUP($A351,'SegEnds_NonXtal_Prot#'!A:AL,10,FALSE),1)</f>
        <v>F</v>
      </c>
      <c r="W351" s="49" t="str">
        <f>MID(VLOOKUP($A351,Seqs!$A:$B,2,FALSE),VLOOKUP($A351,'SegEnds_NonXtal_Prot#'!A:AL,10,FALSE)+6,1)</f>
        <v>P</v>
      </c>
      <c r="X351" s="49" t="str">
        <f>MID(VLOOKUP($A351,Seqs!$A:$B,2,FALSE),VLOOKUP($A351,'SegEnds_NonXtal_Prot#'!A:AL,10,FALSE)+7,1)</f>
        <v>V</v>
      </c>
      <c r="Y351" s="49" t="str">
        <f>MID(VLOOKUP($A351,Seqs!$A:$B,2,FALSE),VLOOKUP($A351,'SegEnds_NonXtal_Prot#'!A:AL,10,FALSE)+8,1)</f>
        <v>F</v>
      </c>
      <c r="Z351" s="49" t="str">
        <f>MID(VLOOKUP($A351,Seqs!$A:$B,2,FALSE),VLOOKUP($A351,'SegEnds_NonXtal_Prot#'!A:AL,10,FALSE)+9,1)</f>
        <v>I</v>
      </c>
      <c r="AA351" s="49" t="str">
        <f>MID(VLOOKUP($A351,Seqs!$A:$B,2,FALSE),VLOOKUP($A351,'SegEnds_NonXtal_Prot#'!A:AL,10,FALSE)+10,1)</f>
        <v>L</v>
      </c>
      <c r="AB351" s="28" t="str">
        <f>MID(VLOOKUP($A351,Seqs!$A:$B,2,FALSE),VLOOKUP($A351,'SegEnds_NonXtal_Prot#'!$A:$AL,22,FALSE)+6,1)</f>
        <v>L</v>
      </c>
      <c r="AC351" s="49" t="str">
        <f>MID(VLOOKUP($A351,Seqs!$A:$B,2,FALSE),VLOOKUP($A351,'SegEnds_NonXtal_Prot#'!$A:$AL,22,FALSE)+7,1)</f>
        <v>G</v>
      </c>
      <c r="AD351" s="49" t="str">
        <f>MID(VLOOKUP($A351,Seqs!$A:$B,2,FALSE),VLOOKUP($A351,'SegEnds_NonXtal_Prot#'!$A:$AL,22,FALSE)+8,1)</f>
        <v>L</v>
      </c>
      <c r="AE351" s="49" t="str">
        <f>MID(VLOOKUP($A351,Seqs!$A:$B,2,FALSE),VLOOKUP($A351,'SegEnds_NonXtal_Prot#'!$A:$AL,22,FALSE)+9,1)</f>
        <v>L</v>
      </c>
      <c r="AF351" s="49" t="str">
        <f>MID(VLOOKUP($A351,Seqs!$A:$B,2,FALSE),VLOOKUP($A351,'SegEnds_NonXtal_Prot#'!$A:$AL,22,FALSE)+10,1)</f>
        <v>L</v>
      </c>
      <c r="AG351" s="28" t="str">
        <f>MID(VLOOKUP($A351,Seqs!$A:$B,2,FALSE),VLOOKUP($A351,'SegEnds_NonXtal_Prot#'!$A:$AL,28,FALSE)-4,1)</f>
        <v>A</v>
      </c>
      <c r="AH351" s="49" t="str">
        <f>MID(VLOOKUP($A351,Seqs!$A:$B,2,FALSE),VLOOKUP($A351,'SegEnds_NonXtal_Prot#'!$A:$AL,28,FALSE),1)</f>
        <v>L</v>
      </c>
    </row>
    <row r="352" spans="1:34" s="2" customFormat="1" x14ac:dyDescent="0.2">
      <c r="A352" s="2" t="s">
        <v>111</v>
      </c>
      <c r="B352" s="2" t="str">
        <f>LOWER(VLOOKUP(A352,Xtal_Templ!A:B,2,FALSE))</f>
        <v>grm1_human</v>
      </c>
      <c r="C352" s="2" t="str">
        <f>VLOOKUP(A352,Classification!A:D,2,FALSE)</f>
        <v>C</v>
      </c>
      <c r="D352" s="2" t="str">
        <f>IF(ISERROR(MATCH(A352,'SegEnds_Xtal_Prot#'!B:B, 0)), "NoXtal", "Xtal")</f>
        <v>NoXtal</v>
      </c>
      <c r="H352" s="4"/>
      <c r="U352" s="2" t="s">
        <v>1330</v>
      </c>
      <c r="V352" s="28" t="str">
        <f>MID(VLOOKUP($A352,Seqs!$A:$B,2,FALSE),VLOOKUP($A352,'SegEnds_NonXtal_Prot#'!A:AL,10,FALSE),1)</f>
        <v>T</v>
      </c>
      <c r="W352" s="49" t="str">
        <f>MID(VLOOKUP($A352,Seqs!$A:$B,2,FALSE),VLOOKUP($A352,'SegEnds_NonXtal_Prot#'!A:AL,10,FALSE)+6,1)</f>
        <v>L</v>
      </c>
      <c r="X352" s="49" t="str">
        <f>MID(VLOOKUP($A352,Seqs!$A:$B,2,FALSE),VLOOKUP($A352,'SegEnds_NonXtal_Prot#'!A:AL,10,FALSE)+7,1)</f>
        <v>T</v>
      </c>
      <c r="Y352" s="49" t="str">
        <f>MID(VLOOKUP($A352,Seqs!$A:$B,2,FALSE),VLOOKUP($A352,'SegEnds_NonXtal_Prot#'!A:AL,10,FALSE)+8,1)</f>
        <v>F</v>
      </c>
      <c r="Z352" s="49" t="str">
        <f>MID(VLOOKUP($A352,Seqs!$A:$B,2,FALSE),VLOOKUP($A352,'SegEnds_NonXtal_Prot#'!A:AL,10,FALSE)+9,1)</f>
        <v>A</v>
      </c>
      <c r="AA352" s="49" t="str">
        <f>MID(VLOOKUP($A352,Seqs!$A:$B,2,FALSE),VLOOKUP($A352,'SegEnds_NonXtal_Prot#'!A:AL,10,FALSE)+10,1)</f>
        <v>F</v>
      </c>
      <c r="AB352" s="28" t="str">
        <f>MID(VLOOKUP($A352,Seqs!$A:$B,2,FALSE),VLOOKUP($A352,'SegEnds_NonXtal_Prot#'!$A:$AL,22,FALSE)+6,1)</f>
        <v>I</v>
      </c>
      <c r="AC352" s="49" t="str">
        <f>MID(VLOOKUP($A352,Seqs!$A:$B,2,FALSE),VLOOKUP($A352,'SegEnds_NonXtal_Prot#'!$A:$AL,22,FALSE)+7,1)</f>
        <v>A</v>
      </c>
      <c r="AD352" s="49" t="str">
        <f>MID(VLOOKUP($A352,Seqs!$A:$B,2,FALSE),VLOOKUP($A352,'SegEnds_NonXtal_Prot#'!$A:$AL,22,FALSE)+8,1)</f>
        <v>V</v>
      </c>
      <c r="AE352" s="49" t="str">
        <f>MID(VLOOKUP($A352,Seqs!$A:$B,2,FALSE),VLOOKUP($A352,'SegEnds_NonXtal_Prot#'!$A:$AL,22,FALSE)+9,1)</f>
        <v>E</v>
      </c>
      <c r="AF352" s="49" t="str">
        <f>MID(VLOOKUP($A352,Seqs!$A:$B,2,FALSE),VLOOKUP($A352,'SegEnds_NonXtal_Prot#'!$A:$AL,22,FALSE)+10,1)</f>
        <v>W</v>
      </c>
      <c r="AG352" s="28" t="str">
        <f>MID(VLOOKUP($A352,Seqs!$A:$B,2,FALSE),VLOOKUP($A352,'SegEnds_NonXtal_Prot#'!$A:$AL,28,FALSE)-4,1)</f>
        <v>Y</v>
      </c>
      <c r="AH352" s="49" t="str">
        <f>MID(VLOOKUP($A352,Seqs!$A:$B,2,FALSE),VLOOKUP($A352,'SegEnds_NonXtal_Prot#'!$A:$AL,28,FALSE),1)</f>
        <v>L</v>
      </c>
    </row>
    <row r="353" spans="1:34" s="2" customFormat="1" x14ac:dyDescent="0.2">
      <c r="A353" s="2" t="s">
        <v>112</v>
      </c>
      <c r="B353" s="2" t="str">
        <f>LOWER(VLOOKUP(A353,Xtal_Templ!A:B,2,FALSE))</f>
        <v>grm1_human</v>
      </c>
      <c r="C353" s="2" t="str">
        <f>VLOOKUP(A353,Classification!A:D,2,FALSE)</f>
        <v>C</v>
      </c>
      <c r="D353" s="2" t="str">
        <f>IF(ISERROR(MATCH(A353,'SegEnds_Xtal_Prot#'!B:B, 0)), "NoXtal", "Xtal")</f>
        <v>NoXtal</v>
      </c>
      <c r="H353" s="4"/>
      <c r="U353" s="2" t="s">
        <v>1330</v>
      </c>
      <c r="V353" s="28" t="str">
        <f>MID(VLOOKUP($A353,Seqs!$A:$B,2,FALSE),VLOOKUP($A353,'SegEnds_NonXtal_Prot#'!A:AL,10,FALSE),1)</f>
        <v>T</v>
      </c>
      <c r="W353" s="49" t="str">
        <f>MID(VLOOKUP($A353,Seqs!$A:$B,2,FALSE),VLOOKUP($A353,'SegEnds_NonXtal_Prot#'!A:AL,10,FALSE)+6,1)</f>
        <v>L</v>
      </c>
      <c r="X353" s="49" t="str">
        <f>MID(VLOOKUP($A353,Seqs!$A:$B,2,FALSE),VLOOKUP($A353,'SegEnds_NonXtal_Prot#'!A:AL,10,FALSE)+7,1)</f>
        <v>V</v>
      </c>
      <c r="Y353" s="49" t="str">
        <f>MID(VLOOKUP($A353,Seqs!$A:$B,2,FALSE),VLOOKUP($A353,'SegEnds_NonXtal_Prot#'!A:AL,10,FALSE)+8,1)</f>
        <v>F</v>
      </c>
      <c r="Z353" s="49" t="str">
        <f>MID(VLOOKUP($A353,Seqs!$A:$B,2,FALSE),VLOOKUP($A353,'SegEnds_NonXtal_Prot#'!A:AL,10,FALSE)+9,1)</f>
        <v>A</v>
      </c>
      <c r="AA353" s="49" t="str">
        <f>MID(VLOOKUP($A353,Seqs!$A:$B,2,FALSE),VLOOKUP($A353,'SegEnds_NonXtal_Prot#'!A:AL,10,FALSE)+10,1)</f>
        <v>C</v>
      </c>
      <c r="AB353" s="28" t="str">
        <f>MID(VLOOKUP($A353,Seqs!$A:$B,2,FALSE),VLOOKUP($A353,'SegEnds_NonXtal_Prot#'!$A:$AL,22,FALSE)+6,1)</f>
        <v>I</v>
      </c>
      <c r="AC353" s="49" t="str">
        <f>MID(VLOOKUP($A353,Seqs!$A:$B,2,FALSE),VLOOKUP($A353,'SegEnds_NonXtal_Prot#'!$A:$AL,22,FALSE)+7,1)</f>
        <v>N</v>
      </c>
      <c r="AD353" s="49" t="str">
        <f>MID(VLOOKUP($A353,Seqs!$A:$B,2,FALSE),VLOOKUP($A353,'SegEnds_NonXtal_Prot#'!$A:$AL,22,FALSE)+8,1)</f>
        <v>T</v>
      </c>
      <c r="AE353" s="49" t="str">
        <f>MID(VLOOKUP($A353,Seqs!$A:$B,2,FALSE),VLOOKUP($A353,'SegEnds_NonXtal_Prot#'!$A:$AL,22,FALSE)+9,1)</f>
        <v>E</v>
      </c>
      <c r="AF353" s="49" t="str">
        <f>MID(VLOOKUP($A353,Seqs!$A:$B,2,FALSE),VLOOKUP($A353,'SegEnds_NonXtal_Prot#'!$A:$AL,22,FALSE)+10,1)</f>
        <v>W</v>
      </c>
      <c r="AG353" s="28" t="str">
        <f>MID(VLOOKUP($A353,Seqs!$A:$B,2,FALSE),VLOOKUP($A353,'SegEnds_NonXtal_Prot#'!$A:$AL,28,FALSE)-4,1)</f>
        <v>Y</v>
      </c>
      <c r="AH353" s="49" t="str">
        <f>MID(VLOOKUP($A353,Seqs!$A:$B,2,FALSE),VLOOKUP($A353,'SegEnds_NonXtal_Prot#'!$A:$AL,28,FALSE),1)</f>
        <v>L</v>
      </c>
    </row>
    <row r="354" spans="1:34" s="2" customFormat="1" x14ac:dyDescent="0.2">
      <c r="A354" s="2" t="s">
        <v>113</v>
      </c>
      <c r="B354" s="2" t="str">
        <f>LOWER(VLOOKUP(A354,Xtal_Templ!A:B,2,FALSE))</f>
        <v>grm1_human</v>
      </c>
      <c r="C354" s="2" t="str">
        <f>VLOOKUP(A354,Classification!A:D,2,FALSE)</f>
        <v>C</v>
      </c>
      <c r="D354" s="2" t="str">
        <f>IF(ISERROR(MATCH(A354,'SegEnds_Xtal_Prot#'!B:B, 0)), "NoXtal", "Xtal")</f>
        <v>NoXtal</v>
      </c>
      <c r="H354" s="4"/>
      <c r="U354" s="2" t="s">
        <v>1330</v>
      </c>
      <c r="V354" s="28" t="str">
        <f>MID(VLOOKUP($A354,Seqs!$A:$B,2,FALSE),VLOOKUP($A354,'SegEnds_NonXtal_Prot#'!A:AL,10,FALSE),1)</f>
        <v>V</v>
      </c>
      <c r="W354" s="49" t="str">
        <f>MID(VLOOKUP($A354,Seqs!$A:$B,2,FALSE),VLOOKUP($A354,'SegEnds_NonXtal_Prot#'!A:AL,10,FALSE)+6,1)</f>
        <v>L</v>
      </c>
      <c r="X354" s="49" t="str">
        <f>MID(VLOOKUP($A354,Seqs!$A:$B,2,FALSE),VLOOKUP($A354,'SegEnds_NonXtal_Prot#'!A:AL,10,FALSE)+7,1)</f>
        <v>A</v>
      </c>
      <c r="Y354" s="49" t="str">
        <f>MID(VLOOKUP($A354,Seqs!$A:$B,2,FALSE),VLOOKUP($A354,'SegEnds_NonXtal_Prot#'!A:AL,10,FALSE)+8,1)</f>
        <v>F</v>
      </c>
      <c r="Z354" s="49" t="str">
        <f>MID(VLOOKUP($A354,Seqs!$A:$B,2,FALSE),VLOOKUP($A354,'SegEnds_NonXtal_Prot#'!A:AL,10,FALSE)+9,1)</f>
        <v>A</v>
      </c>
      <c r="AA354" s="49" t="str">
        <f>MID(VLOOKUP($A354,Seqs!$A:$B,2,FALSE),VLOOKUP($A354,'SegEnds_NonXtal_Prot#'!A:AL,10,FALSE)+10,1)</f>
        <v>F</v>
      </c>
      <c r="AB354" s="28" t="str">
        <f>MID(VLOOKUP($A354,Seqs!$A:$B,2,FALSE),VLOOKUP($A354,'SegEnds_NonXtal_Prot#'!$A:$AL,22,FALSE)+6,1)</f>
        <v>I</v>
      </c>
      <c r="AC354" s="49" t="str">
        <f>MID(VLOOKUP($A354,Seqs!$A:$B,2,FALSE),VLOOKUP($A354,'SegEnds_NonXtal_Prot#'!$A:$AL,22,FALSE)+7,1)</f>
        <v>A</v>
      </c>
      <c r="AD354" s="49" t="str">
        <f>MID(VLOOKUP($A354,Seqs!$A:$B,2,FALSE),VLOOKUP($A354,'SegEnds_NonXtal_Prot#'!$A:$AL,22,FALSE)+8,1)</f>
        <v>T</v>
      </c>
      <c r="AE354" s="49" t="str">
        <f>MID(VLOOKUP($A354,Seqs!$A:$B,2,FALSE),VLOOKUP($A354,'SegEnds_NonXtal_Prot#'!$A:$AL,22,FALSE)+9,1)</f>
        <v>E</v>
      </c>
      <c r="AF354" s="49" t="str">
        <f>MID(VLOOKUP($A354,Seqs!$A:$B,2,FALSE),VLOOKUP($A354,'SegEnds_NonXtal_Prot#'!$A:$AL,22,FALSE)+10,1)</f>
        <v>Y</v>
      </c>
      <c r="AG354" s="28" t="str">
        <f>MID(VLOOKUP($A354,Seqs!$A:$B,2,FALSE),VLOOKUP($A354,'SegEnds_NonXtal_Prot#'!$A:$AL,28,FALSE)-4,1)</f>
        <v>Y</v>
      </c>
      <c r="AH354" s="49" t="str">
        <f>MID(VLOOKUP($A354,Seqs!$A:$B,2,FALSE),VLOOKUP($A354,'SegEnds_NonXtal_Prot#'!$A:$AL,28,FALSE),1)</f>
        <v>L</v>
      </c>
    </row>
    <row r="355" spans="1:34" s="2" customFormat="1" x14ac:dyDescent="0.2">
      <c r="A355" s="2" t="s">
        <v>114</v>
      </c>
      <c r="B355" s="2" t="str">
        <f>LOWER(VLOOKUP(A355,Xtal_Templ!A:B,2,FALSE))</f>
        <v>grm1_human</v>
      </c>
      <c r="C355" s="2" t="str">
        <f>VLOOKUP(A355,Classification!A:D,2,FALSE)</f>
        <v>C</v>
      </c>
      <c r="D355" s="2" t="str">
        <f>IF(ISERROR(MATCH(A355,'SegEnds_Xtal_Prot#'!B:B, 0)), "NoXtal", "Xtal")</f>
        <v>NoXtal</v>
      </c>
      <c r="H355" s="4"/>
      <c r="U355" s="2" t="s">
        <v>1330</v>
      </c>
      <c r="V355" s="28" t="str">
        <f>MID(VLOOKUP($A355,Seqs!$A:$B,2,FALSE),VLOOKUP($A355,'SegEnds_NonXtal_Prot#'!A:AL,10,FALSE),1)</f>
        <v>H</v>
      </c>
      <c r="W355" s="49" t="str">
        <f>MID(VLOOKUP($A355,Seqs!$A:$B,2,FALSE),VLOOKUP($A355,'SegEnds_NonXtal_Prot#'!A:AL,10,FALSE)+6,1)</f>
        <v>S</v>
      </c>
      <c r="X355" s="49" t="str">
        <f>MID(VLOOKUP($A355,Seqs!$A:$B,2,FALSE),VLOOKUP($A355,'SegEnds_NonXtal_Prot#'!A:AL,10,FALSE)+7,1)</f>
        <v>T</v>
      </c>
      <c r="Y355" s="49" t="str">
        <f>MID(VLOOKUP($A355,Seqs!$A:$B,2,FALSE),VLOOKUP($A355,'SegEnds_NonXtal_Prot#'!A:AL,10,FALSE)+8,1)</f>
        <v>S</v>
      </c>
      <c r="Z355" s="49" t="str">
        <f>MID(VLOOKUP($A355,Seqs!$A:$B,2,FALSE),VLOOKUP($A355,'SegEnds_NonXtal_Prot#'!A:AL,10,FALSE)+9,1)</f>
        <v>F</v>
      </c>
      <c r="AA355" s="49" t="str">
        <f>MID(VLOOKUP($A355,Seqs!$A:$B,2,FALSE),VLOOKUP($A355,'SegEnds_NonXtal_Prot#'!A:AL,10,FALSE)+10,1)</f>
        <v>F</v>
      </c>
      <c r="AB355" s="28" t="str">
        <f>MID(VLOOKUP($A355,Seqs!$A:$B,2,FALSE),VLOOKUP($A355,'SegEnds_NonXtal_Prot#'!$A:$AL,22,FALSE)+6,1)</f>
        <v>I</v>
      </c>
      <c r="AC355" s="49" t="str">
        <f>MID(VLOOKUP($A355,Seqs!$A:$B,2,FALSE),VLOOKUP($A355,'SegEnds_NonXtal_Prot#'!$A:$AL,22,FALSE)+7,1)</f>
        <v>C</v>
      </c>
      <c r="AD355" s="49" t="str">
        <f>MID(VLOOKUP($A355,Seqs!$A:$B,2,FALSE),VLOOKUP($A355,'SegEnds_NonXtal_Prot#'!$A:$AL,22,FALSE)+8,1)</f>
        <v>T</v>
      </c>
      <c r="AE355" s="49" t="str">
        <f>MID(VLOOKUP($A355,Seqs!$A:$B,2,FALSE),VLOOKUP($A355,'SegEnds_NonXtal_Prot#'!$A:$AL,22,FALSE)+9,1)</f>
        <v>L</v>
      </c>
      <c r="AF355" s="49" t="str">
        <f>MID(VLOOKUP($A355,Seqs!$A:$B,2,FALSE),VLOOKUP($A355,'SegEnds_NonXtal_Prot#'!$A:$AL,22,FALSE)+10,1)</f>
        <v>W</v>
      </c>
      <c r="AG355" s="28" t="str">
        <f>MID(VLOOKUP($A355,Seqs!$A:$B,2,FALSE),VLOOKUP($A355,'SegEnds_NonXtal_Prot#'!$A:$AL,28,FALSE)-4,1)</f>
        <v>Y</v>
      </c>
      <c r="AH355" s="49" t="str">
        <f>MID(VLOOKUP($A355,Seqs!$A:$B,2,FALSE),VLOOKUP($A355,'SegEnds_NonXtal_Prot#'!$A:$AL,28,FALSE),1)</f>
        <v>L</v>
      </c>
    </row>
    <row r="356" spans="1:34" s="2" customFormat="1" x14ac:dyDescent="0.2">
      <c r="A356" s="2" t="s">
        <v>40</v>
      </c>
      <c r="B356" s="2" t="str">
        <f>LOWER(VLOOKUP(A356,Xtal_Templ!A:B,2,FALSE))</f>
        <v>grm1_human</v>
      </c>
      <c r="C356" s="2" t="str">
        <f>VLOOKUP(A356,Classification!A:D,2,FALSE)</f>
        <v>C</v>
      </c>
      <c r="D356" s="2" t="str">
        <f>IF(ISERROR(MATCH(A356,'SegEnds_Xtal_Prot#'!B:B, 0)), "NoXtal", "Xtal")</f>
        <v>Xtal</v>
      </c>
      <c r="H356" s="4"/>
      <c r="U356" s="2" t="s">
        <v>1330</v>
      </c>
      <c r="V356" s="28" t="str">
        <f>MID(VLOOKUP($A356,Seqs!$A:$B,2,FALSE),VLOOKUP($A356,'SegEnds_NonXtal_Prot#'!A:AL,10,FALSE),1)</f>
        <v>I</v>
      </c>
      <c r="W356" s="49" t="str">
        <f>MID(VLOOKUP($A356,Seqs!$A:$B,2,FALSE),VLOOKUP($A356,'SegEnds_NonXtal_Prot#'!A:AL,10,FALSE)+6,1)</f>
        <v>C</v>
      </c>
      <c r="X356" s="49" t="str">
        <f>MID(VLOOKUP($A356,Seqs!$A:$B,2,FALSE),VLOOKUP($A356,'SegEnds_NonXtal_Prot#'!A:AL,10,FALSE)+7,1)</f>
        <v>P</v>
      </c>
      <c r="Y356" s="49" t="str">
        <f>MID(VLOOKUP($A356,Seqs!$A:$B,2,FALSE),VLOOKUP($A356,'SegEnds_NonXtal_Prot#'!A:AL,10,FALSE)+8,1)</f>
        <v>F</v>
      </c>
      <c r="Z356" s="49" t="str">
        <f>MID(VLOOKUP($A356,Seqs!$A:$B,2,FALSE),VLOOKUP($A356,'SegEnds_NonXtal_Prot#'!A:AL,10,FALSE)+9,1)</f>
        <v>T</v>
      </c>
      <c r="AA356" s="49" t="str">
        <f>MID(VLOOKUP($A356,Seqs!$A:$B,2,FALSE),VLOOKUP($A356,'SegEnds_NonXtal_Prot#'!A:AL,10,FALSE)+10,1)</f>
        <v>L</v>
      </c>
      <c r="AB356" s="28" t="str">
        <f>MID(VLOOKUP($A356,Seqs!$A:$B,2,FALSE),VLOOKUP($A356,'SegEnds_NonXtal_Prot#'!$A:$AL,22,FALSE)+6,1)</f>
        <v>L</v>
      </c>
      <c r="AC356" s="49" t="str">
        <f>MID(VLOOKUP($A356,Seqs!$A:$B,2,FALSE),VLOOKUP($A356,'SegEnds_NonXtal_Prot#'!$A:$AL,22,FALSE)+7,1)</f>
        <v>V</v>
      </c>
      <c r="AD356" s="49" t="str">
        <f>MID(VLOOKUP($A356,Seqs!$A:$B,2,FALSE),VLOOKUP($A356,'SegEnds_NonXtal_Prot#'!$A:$AL,22,FALSE)+8,1)</f>
        <v>V</v>
      </c>
      <c r="AE356" s="49" t="str">
        <f>MID(VLOOKUP($A356,Seqs!$A:$B,2,FALSE),VLOOKUP($A356,'SegEnds_NonXtal_Prot#'!$A:$AL,22,FALSE)+9,1)</f>
        <v>T</v>
      </c>
      <c r="AF356" s="49" t="str">
        <f>MID(VLOOKUP($A356,Seqs!$A:$B,2,FALSE),VLOOKUP($A356,'SegEnds_NonXtal_Prot#'!$A:$AL,22,FALSE)+10,1)</f>
        <v>L</v>
      </c>
      <c r="AG356" s="28" t="str">
        <f>MID(VLOOKUP($A356,Seqs!$A:$B,2,FALSE),VLOOKUP($A356,'SegEnds_NonXtal_Prot#'!$A:$AL,28,FALSE)-4,1)</f>
        <v>Y</v>
      </c>
      <c r="AH356" s="49" t="str">
        <f>MID(VLOOKUP($A356,Seqs!$A:$B,2,FALSE),VLOOKUP($A356,'SegEnds_NonXtal_Prot#'!$A:$AL,28,FALSE),1)</f>
        <v>L</v>
      </c>
    </row>
    <row r="357" spans="1:34" s="2" customFormat="1" x14ac:dyDescent="0.2">
      <c r="A357" s="2" t="s">
        <v>121</v>
      </c>
      <c r="B357" s="2" t="str">
        <f>LOWER(VLOOKUP(A357,Xtal_Templ!A:B,2,FALSE))</f>
        <v>grm1_human</v>
      </c>
      <c r="C357" s="2" t="str">
        <f>VLOOKUP(A357,Classification!A:D,2,FALSE)</f>
        <v>C</v>
      </c>
      <c r="D357" s="2" t="str">
        <f>IF(ISERROR(MATCH(A357,'SegEnds_Xtal_Prot#'!B:B, 0)), "NoXtal", "Xtal")</f>
        <v>NoXtal</v>
      </c>
      <c r="H357" s="4"/>
      <c r="U357" s="2" t="s">
        <v>1330</v>
      </c>
      <c r="V357" s="28" t="str">
        <f>MID(VLOOKUP($A357,Seqs!$A:$B,2,FALSE),VLOOKUP($A357,'SegEnds_NonXtal_Prot#'!A:AL,10,FALSE),1)</f>
        <v>V</v>
      </c>
      <c r="W357" s="49" t="str">
        <f>MID(VLOOKUP($A357,Seqs!$A:$B,2,FALSE),VLOOKUP($A357,'SegEnds_NonXtal_Prot#'!A:AL,10,FALSE)+6,1)</f>
        <v>L</v>
      </c>
      <c r="X357" s="49" t="str">
        <f>MID(VLOOKUP($A357,Seqs!$A:$B,2,FALSE),VLOOKUP($A357,'SegEnds_NonXtal_Prot#'!A:AL,10,FALSE)+7,1)</f>
        <v>T</v>
      </c>
      <c r="Y357" s="49" t="str">
        <f>MID(VLOOKUP($A357,Seqs!$A:$B,2,FALSE),VLOOKUP($A357,'SegEnds_NonXtal_Prot#'!A:AL,10,FALSE)+8,1)</f>
        <v>F</v>
      </c>
      <c r="Z357" s="49" t="str">
        <f>MID(VLOOKUP($A357,Seqs!$A:$B,2,FALSE),VLOOKUP($A357,'SegEnds_NonXtal_Prot#'!A:AL,10,FALSE)+9,1)</f>
        <v>A</v>
      </c>
      <c r="AA357" s="49" t="str">
        <f>MID(VLOOKUP($A357,Seqs!$A:$B,2,FALSE),VLOOKUP($A357,'SegEnds_NonXtal_Prot#'!A:AL,10,FALSE)+10,1)</f>
        <v>F</v>
      </c>
      <c r="AB357" s="28" t="str">
        <f>MID(VLOOKUP($A357,Seqs!$A:$B,2,FALSE),VLOOKUP($A357,'SegEnds_NonXtal_Prot#'!$A:$AL,22,FALSE)+6,1)</f>
        <v>I</v>
      </c>
      <c r="AC357" s="49" t="str">
        <f>MID(VLOOKUP($A357,Seqs!$A:$B,2,FALSE),VLOOKUP($A357,'SegEnds_NonXtal_Prot#'!$A:$AL,22,FALSE)+7,1)</f>
        <v>A</v>
      </c>
      <c r="AD357" s="49" t="str">
        <f>MID(VLOOKUP($A357,Seqs!$A:$B,2,FALSE),VLOOKUP($A357,'SegEnds_NonXtal_Prot#'!$A:$AL,22,FALSE)+8,1)</f>
        <v>I</v>
      </c>
      <c r="AE357" s="49" t="str">
        <f>MID(VLOOKUP($A357,Seqs!$A:$B,2,FALSE),VLOOKUP($A357,'SegEnds_NonXtal_Prot#'!$A:$AL,22,FALSE)+9,1)</f>
        <v>E</v>
      </c>
      <c r="AF357" s="49" t="str">
        <f>MID(VLOOKUP($A357,Seqs!$A:$B,2,FALSE),VLOOKUP($A357,'SegEnds_NonXtal_Prot#'!$A:$AL,22,FALSE)+10,1)</f>
        <v>Y</v>
      </c>
      <c r="AG357" s="28" t="str">
        <f>MID(VLOOKUP($A357,Seqs!$A:$B,2,FALSE),VLOOKUP($A357,'SegEnds_NonXtal_Prot#'!$A:$AL,28,FALSE)-4,1)</f>
        <v>Y</v>
      </c>
      <c r="AH357" s="49" t="str">
        <f>MID(VLOOKUP($A357,Seqs!$A:$B,2,FALSE),VLOOKUP($A357,'SegEnds_NonXtal_Prot#'!$A:$AL,28,FALSE),1)</f>
        <v>L</v>
      </c>
    </row>
    <row r="358" spans="1:34" s="2" customFormat="1" x14ac:dyDescent="0.2">
      <c r="A358" s="2" t="s">
        <v>122</v>
      </c>
      <c r="B358" s="2" t="str">
        <f>LOWER(VLOOKUP(A358,Xtal_Templ!A:B,2,FALSE))</f>
        <v>grm1_human</v>
      </c>
      <c r="C358" s="2" t="str">
        <f>VLOOKUP(A358,Classification!A:D,2,FALSE)</f>
        <v>C</v>
      </c>
      <c r="D358" s="2" t="str">
        <f>IF(ISERROR(MATCH(A358,'SegEnds_Xtal_Prot#'!B:B, 0)), "NoXtal", "Xtal")</f>
        <v>NoXtal</v>
      </c>
      <c r="H358" s="4"/>
      <c r="U358" s="2" t="s">
        <v>1330</v>
      </c>
      <c r="V358" s="28" t="str">
        <f>MID(VLOOKUP($A358,Seqs!$A:$B,2,FALSE),VLOOKUP($A358,'SegEnds_NonXtal_Prot#'!A:AL,10,FALSE),1)</f>
        <v>L</v>
      </c>
      <c r="W358" s="49" t="str">
        <f>MID(VLOOKUP($A358,Seqs!$A:$B,2,FALSE),VLOOKUP($A358,'SegEnds_NonXtal_Prot#'!A:AL,10,FALSE)+6,1)</f>
        <v>S</v>
      </c>
      <c r="X358" s="49" t="str">
        <f>MID(VLOOKUP($A358,Seqs!$A:$B,2,FALSE),VLOOKUP($A358,'SegEnds_NonXtal_Prot#'!A:AL,10,FALSE)+7,1)</f>
        <v>L</v>
      </c>
      <c r="Y358" s="49" t="str">
        <f>MID(VLOOKUP($A358,Seqs!$A:$B,2,FALSE),VLOOKUP($A358,'SegEnds_NonXtal_Prot#'!A:AL,10,FALSE)+8,1)</f>
        <v>Y</v>
      </c>
      <c r="Z358" s="49" t="str">
        <f>MID(VLOOKUP($A358,Seqs!$A:$B,2,FALSE),VLOOKUP($A358,'SegEnds_NonXtal_Prot#'!A:AL,10,FALSE)+9,1)</f>
        <v>G</v>
      </c>
      <c r="AA358" s="49" t="str">
        <f>MID(VLOOKUP($A358,Seqs!$A:$B,2,FALSE),VLOOKUP($A358,'SegEnds_NonXtal_Prot#'!A:AL,10,FALSE)+10,1)</f>
        <v>F</v>
      </c>
      <c r="AB358" s="28" t="str">
        <f>MID(VLOOKUP($A358,Seqs!$A:$B,2,FALSE),VLOOKUP($A358,'SegEnds_NonXtal_Prot#'!$A:$AL,22,FALSE)+6,1)</f>
        <v>I</v>
      </c>
      <c r="AC358" s="49" t="str">
        <f>MID(VLOOKUP($A358,Seqs!$A:$B,2,FALSE),VLOOKUP($A358,'SegEnds_NonXtal_Prot#'!$A:$AL,22,FALSE)+7,1)</f>
        <v>C</v>
      </c>
      <c r="AD358" s="49" t="str">
        <f>MID(VLOOKUP($A358,Seqs!$A:$B,2,FALSE),VLOOKUP($A358,'SegEnds_NonXtal_Prot#'!$A:$AL,22,FALSE)+8,1)</f>
        <v>L</v>
      </c>
      <c r="AE358" s="49" t="str">
        <f>MID(VLOOKUP($A358,Seqs!$A:$B,2,FALSE),VLOOKUP($A358,'SegEnds_NonXtal_Prot#'!$A:$AL,22,FALSE)+9,1)</f>
        <v>T</v>
      </c>
      <c r="AF358" s="49" t="str">
        <f>MID(VLOOKUP($A358,Seqs!$A:$B,2,FALSE),VLOOKUP($A358,'SegEnds_NonXtal_Prot#'!$A:$AL,22,FALSE)+10,1)</f>
        <v>W</v>
      </c>
      <c r="AG358" s="28" t="str">
        <f>MID(VLOOKUP($A358,Seqs!$A:$B,2,FALSE),VLOOKUP($A358,'SegEnds_NonXtal_Prot#'!$A:$AL,28,FALSE)-4,1)</f>
        <v>Y</v>
      </c>
      <c r="AH358" s="49" t="str">
        <f>MID(VLOOKUP($A358,Seqs!$A:$B,2,FALSE),VLOOKUP($A358,'SegEnds_NonXtal_Prot#'!$A:$AL,28,FALSE),1)</f>
        <v>L</v>
      </c>
    </row>
    <row r="359" spans="1:34" s="2" customFormat="1" x14ac:dyDescent="0.2">
      <c r="A359" s="2" t="s">
        <v>123</v>
      </c>
      <c r="B359" s="2" t="str">
        <f>LOWER(VLOOKUP(A359,Xtal_Templ!A:B,2,FALSE))</f>
        <v>grm1_human</v>
      </c>
      <c r="C359" s="2" t="str">
        <f>VLOOKUP(A359,Classification!A:D,2,FALSE)</f>
        <v>C</v>
      </c>
      <c r="D359" s="2" t="str">
        <f>IF(ISERROR(MATCH(A359,'SegEnds_Xtal_Prot#'!B:B, 0)), "NoXtal", "Xtal")</f>
        <v>NoXtal</v>
      </c>
      <c r="H359" s="4"/>
      <c r="U359" s="2" t="s">
        <v>1330</v>
      </c>
      <c r="V359" s="28" t="str">
        <f>MID(VLOOKUP($A359,Seqs!$A:$B,2,FALSE),VLOOKUP($A359,'SegEnds_NonXtal_Prot#'!A:AL,10,FALSE),1)</f>
        <v>L</v>
      </c>
      <c r="W359" s="49" t="str">
        <f>MID(VLOOKUP($A359,Seqs!$A:$B,2,FALSE),VLOOKUP($A359,'SegEnds_NonXtal_Prot#'!A:AL,10,FALSE)+6,1)</f>
        <v>V</v>
      </c>
      <c r="X359" s="49" t="str">
        <f>MID(VLOOKUP($A359,Seqs!$A:$B,2,FALSE),VLOOKUP($A359,'SegEnds_NonXtal_Prot#'!A:AL,10,FALSE)+7,1)</f>
        <v>V</v>
      </c>
      <c r="Y359" s="49" t="str">
        <f>MID(VLOOKUP($A359,Seqs!$A:$B,2,FALSE),VLOOKUP($A359,'SegEnds_NonXtal_Prot#'!A:AL,10,FALSE)+8,1)</f>
        <v>P</v>
      </c>
      <c r="Z359" s="49" t="str">
        <f>MID(VLOOKUP($A359,Seqs!$A:$B,2,FALSE),VLOOKUP($A359,'SegEnds_NonXtal_Prot#'!A:AL,10,FALSE)+9,1)</f>
        <v>V</v>
      </c>
      <c r="AA359" s="49" t="str">
        <f>MID(VLOOKUP($A359,Seqs!$A:$B,2,FALSE),VLOOKUP($A359,'SegEnds_NonXtal_Prot#'!A:AL,10,FALSE)+10,1)</f>
        <v>Y</v>
      </c>
      <c r="AB359" s="28" t="str">
        <f>MID(VLOOKUP($A359,Seqs!$A:$B,2,FALSE),VLOOKUP($A359,'SegEnds_NonXtal_Prot#'!$A:$AL,22,FALSE)+6,1)</f>
        <v>I</v>
      </c>
      <c r="AC359" s="49" t="str">
        <f>MID(VLOOKUP($A359,Seqs!$A:$B,2,FALSE),VLOOKUP($A359,'SegEnds_NonXtal_Prot#'!$A:$AL,22,FALSE)+7,1)</f>
        <v>V</v>
      </c>
      <c r="AD359" s="49" t="str">
        <f>MID(VLOOKUP($A359,Seqs!$A:$B,2,FALSE),VLOOKUP($A359,'SegEnds_NonXtal_Prot#'!$A:$AL,22,FALSE)+8,1)</f>
        <v>V</v>
      </c>
      <c r="AE359" s="49" t="str">
        <f>MID(VLOOKUP($A359,Seqs!$A:$B,2,FALSE),VLOOKUP($A359,'SegEnds_NonXtal_Prot#'!$A:$AL,22,FALSE)+9,1)</f>
        <v>I</v>
      </c>
      <c r="AF359" s="49" t="str">
        <f>MID(VLOOKUP($A359,Seqs!$A:$B,2,FALSE),VLOOKUP($A359,'SegEnds_NonXtal_Prot#'!$A:$AL,22,FALSE)+10,1)</f>
        <v>G</v>
      </c>
      <c r="AG359" s="28" t="str">
        <f>MID(VLOOKUP($A359,Seqs!$A:$B,2,FALSE),VLOOKUP($A359,'SegEnds_NonXtal_Prot#'!$A:$AL,28,FALSE)-4,1)</f>
        <v>L</v>
      </c>
      <c r="AH359" s="49" t="str">
        <f>MID(VLOOKUP($A359,Seqs!$A:$B,2,FALSE),VLOOKUP($A359,'SegEnds_NonXtal_Prot#'!$A:$AL,28,FALSE),1)</f>
        <v>L</v>
      </c>
    </row>
    <row r="360" spans="1:34" s="2" customFormat="1" x14ac:dyDescent="0.2">
      <c r="A360" s="2" t="s">
        <v>124</v>
      </c>
      <c r="B360" s="2" t="str">
        <f>LOWER(VLOOKUP(A360,Xtal_Templ!A:B,2,FALSE))</f>
        <v>grm1_human</v>
      </c>
      <c r="C360" s="2" t="str">
        <f>VLOOKUP(A360,Classification!A:D,2,FALSE)</f>
        <v>C</v>
      </c>
      <c r="D360" s="2" t="str">
        <f>IF(ISERROR(MATCH(A360,'SegEnds_Xtal_Prot#'!B:B, 0)), "NoXtal", "Xtal")</f>
        <v>NoXtal</v>
      </c>
      <c r="H360" s="4"/>
      <c r="U360" s="2" t="s">
        <v>1330</v>
      </c>
      <c r="V360" s="28" t="str">
        <f>MID(VLOOKUP($A360,Seqs!$A:$B,2,FALSE),VLOOKUP($A360,'SegEnds_NonXtal_Prot#'!A:AL,10,FALSE),1)</f>
        <v>L</v>
      </c>
      <c r="W360" s="49" t="str">
        <f>MID(VLOOKUP($A360,Seqs!$A:$B,2,FALSE),VLOOKUP($A360,'SegEnds_NonXtal_Prot#'!A:AL,10,FALSE)+6,1)</f>
        <v>S</v>
      </c>
      <c r="X360" s="49" t="str">
        <f>MID(VLOOKUP($A360,Seqs!$A:$B,2,FALSE),VLOOKUP($A360,'SegEnds_NonXtal_Prot#'!A:AL,10,FALSE)+7,1)</f>
        <v>V</v>
      </c>
      <c r="Y360" s="49" t="str">
        <f>MID(VLOOKUP($A360,Seqs!$A:$B,2,FALSE),VLOOKUP($A360,'SegEnds_NonXtal_Prot#'!A:AL,10,FALSE)+8,1)</f>
        <v>L</v>
      </c>
      <c r="Z360" s="49" t="str">
        <f>MID(VLOOKUP($A360,Seqs!$A:$B,2,FALSE),VLOOKUP($A360,'SegEnds_NonXtal_Prot#'!A:AL,10,FALSE)+9,1)</f>
        <v>L</v>
      </c>
      <c r="AA360" s="49" t="str">
        <f>MID(VLOOKUP($A360,Seqs!$A:$B,2,FALSE),VLOOKUP($A360,'SegEnds_NonXtal_Prot#'!A:AL,10,FALSE)+10,1)</f>
        <v>F</v>
      </c>
      <c r="AB360" s="28" t="str">
        <f>MID(VLOOKUP($A360,Seqs!$A:$B,2,FALSE),VLOOKUP($A360,'SegEnds_NonXtal_Prot#'!$A:$AL,22,FALSE)+6,1)</f>
        <v>L</v>
      </c>
      <c r="AC360" s="49" t="str">
        <f>MID(VLOOKUP($A360,Seqs!$A:$B,2,FALSE),VLOOKUP($A360,'SegEnds_NonXtal_Prot#'!$A:$AL,22,FALSE)+7,1)</f>
        <v>C</v>
      </c>
      <c r="AD360" s="49" t="str">
        <f>MID(VLOOKUP($A360,Seqs!$A:$B,2,FALSE),VLOOKUP($A360,'SegEnds_NonXtal_Prot#'!$A:$AL,22,FALSE)+8,1)</f>
        <v>T</v>
      </c>
      <c r="AE360" s="49" t="str">
        <f>MID(VLOOKUP($A360,Seqs!$A:$B,2,FALSE),VLOOKUP($A360,'SegEnds_NonXtal_Prot#'!$A:$AL,22,FALSE)+9,1)</f>
        <v>W</v>
      </c>
      <c r="AF360" s="49" t="str">
        <f>MID(VLOOKUP($A360,Seqs!$A:$B,2,FALSE),VLOOKUP($A360,'SegEnds_NonXtal_Prot#'!$A:$AL,22,FALSE)+10,1)</f>
        <v>Y</v>
      </c>
      <c r="AG360" s="28" t="str">
        <f>MID(VLOOKUP($A360,Seqs!$A:$B,2,FALSE),VLOOKUP($A360,'SegEnds_NonXtal_Prot#'!$A:$AL,28,FALSE)-4,1)</f>
        <v>T</v>
      </c>
      <c r="AH360" s="49" t="str">
        <f>MID(VLOOKUP($A360,Seqs!$A:$B,2,FALSE),VLOOKUP($A360,'SegEnds_NonXtal_Prot#'!$A:$AL,28,FALSE),1)</f>
        <v>L</v>
      </c>
    </row>
    <row r="361" spans="1:34" s="2" customFormat="1" x14ac:dyDescent="0.2">
      <c r="A361" s="2" t="s">
        <v>105</v>
      </c>
      <c r="B361" s="2" t="str">
        <f>LOWER(VLOOKUP(A361,Xtal_Templ!A:B,2,FALSE))</f>
        <v>grm5_human</v>
      </c>
      <c r="C361" s="2" t="str">
        <f>VLOOKUP(A361,Classification!A:D,2,FALSE)</f>
        <v>C</v>
      </c>
      <c r="D361" s="2" t="str">
        <f>IF(ISERROR(MATCH(A361,'SegEnds_Xtal_Prot#'!B:B, 0)), "NoXtal", "Xtal")</f>
        <v>NoXtal</v>
      </c>
      <c r="H361" s="4"/>
      <c r="U361" s="2" t="s">
        <v>1330</v>
      </c>
      <c r="V361" s="28" t="str">
        <f>MID(VLOOKUP($A361,Seqs!$A:$B,2,FALSE),VLOOKUP($A361,'SegEnds_NonXtal_Prot#'!A:AL,10,FALSE),1)</f>
        <v>L</v>
      </c>
      <c r="W361" s="49" t="str">
        <f>MID(VLOOKUP($A361,Seqs!$A:$B,2,FALSE),VLOOKUP($A361,'SegEnds_NonXtal_Prot#'!A:AL,10,FALSE)+6,1)</f>
        <v>S</v>
      </c>
      <c r="X361" s="49" t="str">
        <f>MID(VLOOKUP($A361,Seqs!$A:$B,2,FALSE),VLOOKUP($A361,'SegEnds_NonXtal_Prot#'!A:AL,10,FALSE)+7,1)</f>
        <v>S</v>
      </c>
      <c r="Y361" s="49" t="str">
        <f>MID(VLOOKUP($A361,Seqs!$A:$B,2,FALSE),VLOOKUP($A361,'SegEnds_NonXtal_Prot#'!A:AL,10,FALSE)+8,1)</f>
        <v>L</v>
      </c>
      <c r="Z361" s="49" t="str">
        <f>MID(VLOOKUP($A361,Seqs!$A:$B,2,FALSE),VLOOKUP($A361,'SegEnds_NonXtal_Prot#'!A:AL,10,FALSE)+9,1)</f>
        <v>F</v>
      </c>
      <c r="AA361" s="49" t="str">
        <f>MID(VLOOKUP($A361,Seqs!$A:$B,2,FALSE),VLOOKUP($A361,'SegEnds_NonXtal_Prot#'!A:AL,10,FALSE)+10,1)</f>
        <v>F</v>
      </c>
      <c r="AB361" s="28" t="str">
        <f>MID(VLOOKUP($A361,Seqs!$A:$B,2,FALSE),VLOOKUP($A361,'SegEnds_NonXtal_Prot#'!$A:$AL,22,FALSE)+6,1)</f>
        <v>I</v>
      </c>
      <c r="AC361" s="49" t="str">
        <f>MID(VLOOKUP($A361,Seqs!$A:$B,2,FALSE),VLOOKUP($A361,'SegEnds_NonXtal_Prot#'!$A:$AL,22,FALSE)+7,1)</f>
        <v>C</v>
      </c>
      <c r="AD361" s="49" t="str">
        <f>MID(VLOOKUP($A361,Seqs!$A:$B,2,FALSE),VLOOKUP($A361,'SegEnds_NonXtal_Prot#'!$A:$AL,22,FALSE)+8,1)</f>
        <v>V</v>
      </c>
      <c r="AE361" s="49" t="str">
        <f>MID(VLOOKUP($A361,Seqs!$A:$B,2,FALSE),VLOOKUP($A361,'SegEnds_NonXtal_Prot#'!$A:$AL,22,FALSE)+9,1)</f>
        <v>I</v>
      </c>
      <c r="AF361" s="49" t="str">
        <f>MID(VLOOKUP($A361,Seqs!$A:$B,2,FALSE),VLOOKUP($A361,'SegEnds_NonXtal_Prot#'!$A:$AL,22,FALSE)+10,1)</f>
        <v>W</v>
      </c>
      <c r="AG361" s="28" t="str">
        <f>MID(VLOOKUP($A361,Seqs!$A:$B,2,FALSE),VLOOKUP($A361,'SegEnds_NonXtal_Prot#'!$A:$AL,28,FALSE)-4,1)</f>
        <v>Y</v>
      </c>
      <c r="AH361" s="49" t="str">
        <f>MID(VLOOKUP($A361,Seqs!$A:$B,2,FALSE),VLOOKUP($A361,'SegEnds_NonXtal_Prot#'!$A:$AL,28,FALSE),1)</f>
        <v>L</v>
      </c>
    </row>
    <row r="362" spans="1:34" s="2" customFormat="1" x14ac:dyDescent="0.2">
      <c r="A362" s="2" t="s">
        <v>107</v>
      </c>
      <c r="B362" s="2" t="str">
        <f>LOWER(VLOOKUP(A362,Xtal_Templ!A:B,2,FALSE))</f>
        <v>grm5_human</v>
      </c>
      <c r="C362" s="2" t="str">
        <f>VLOOKUP(A362,Classification!A:D,2,FALSE)</f>
        <v>C</v>
      </c>
      <c r="D362" s="2" t="str">
        <f>IF(ISERROR(MATCH(A362,'SegEnds_Xtal_Prot#'!B:B, 0)), "NoXtal", "Xtal")</f>
        <v>NoXtal</v>
      </c>
      <c r="H362" s="4"/>
      <c r="U362" s="2" t="s">
        <v>1330</v>
      </c>
      <c r="V362" s="28" t="str">
        <f>MID(VLOOKUP($A362,Seqs!$A:$B,2,FALSE),VLOOKUP($A362,'SegEnds_NonXtal_Prot#'!A:AL,10,FALSE),1)</f>
        <v>G</v>
      </c>
      <c r="W362" s="49" t="str">
        <f>MID(VLOOKUP($A362,Seqs!$A:$B,2,FALSE),VLOOKUP($A362,'SegEnds_NonXtal_Prot#'!A:AL,10,FALSE)+6,1)</f>
        <v>S</v>
      </c>
      <c r="X362" s="49" t="str">
        <f>MID(VLOOKUP($A362,Seqs!$A:$B,2,FALSE),VLOOKUP($A362,'SegEnds_NonXtal_Prot#'!A:AL,10,FALSE)+7,1)</f>
        <v>I</v>
      </c>
      <c r="Y362" s="49" t="str">
        <f>MID(VLOOKUP($A362,Seqs!$A:$B,2,FALSE),VLOOKUP($A362,'SegEnds_NonXtal_Prot#'!A:AL,10,FALSE)+8,1)</f>
        <v>F</v>
      </c>
      <c r="Z362" s="49" t="str">
        <f>MID(VLOOKUP($A362,Seqs!$A:$B,2,FALSE),VLOOKUP($A362,'SegEnds_NonXtal_Prot#'!A:AL,10,FALSE)+9,1)</f>
        <v>L</v>
      </c>
      <c r="AA362" s="49" t="str">
        <f>MID(VLOOKUP($A362,Seqs!$A:$B,2,FALSE),VLOOKUP($A362,'SegEnds_NonXtal_Prot#'!A:AL,10,FALSE)+10,1)</f>
        <v>F</v>
      </c>
      <c r="AB362" s="28" t="str">
        <f>MID(VLOOKUP($A362,Seqs!$A:$B,2,FALSE),VLOOKUP($A362,'SegEnds_NonXtal_Prot#'!$A:$AL,22,FALSE)+6,1)</f>
        <v>I</v>
      </c>
      <c r="AC362" s="49" t="str">
        <f>MID(VLOOKUP($A362,Seqs!$A:$B,2,FALSE),VLOOKUP($A362,'SegEnds_NonXtal_Prot#'!$A:$AL,22,FALSE)+7,1)</f>
        <v>L</v>
      </c>
      <c r="AD362" s="49" t="str">
        <f>MID(VLOOKUP($A362,Seqs!$A:$B,2,FALSE),VLOOKUP($A362,'SegEnds_NonXtal_Prot#'!$A:$AL,22,FALSE)+8,1)</f>
        <v>I</v>
      </c>
      <c r="AE362" s="49" t="str">
        <f>MID(VLOOKUP($A362,Seqs!$A:$B,2,FALSE),VLOOKUP($A362,'SegEnds_NonXtal_Prot#'!$A:$AL,22,FALSE)+9,1)</f>
        <v>C</v>
      </c>
      <c r="AF362" s="49" t="str">
        <f>MID(VLOOKUP($A362,Seqs!$A:$B,2,FALSE),VLOOKUP($A362,'SegEnds_NonXtal_Prot#'!$A:$AL,22,FALSE)+10,1)</f>
        <v>W</v>
      </c>
      <c r="AG362" s="28" t="str">
        <f>MID(VLOOKUP($A362,Seqs!$A:$B,2,FALSE),VLOOKUP($A362,'SegEnds_NonXtal_Prot#'!$A:$AL,28,FALSE)-4,1)</f>
        <v>Y</v>
      </c>
      <c r="AH362" s="49" t="str">
        <f>MID(VLOOKUP($A362,Seqs!$A:$B,2,FALSE),VLOOKUP($A362,'SegEnds_NonXtal_Prot#'!$A:$AL,28,FALSE),1)</f>
        <v>L</v>
      </c>
    </row>
    <row r="363" spans="1:34" s="2" customFormat="1" x14ac:dyDescent="0.2">
      <c r="A363" s="2" t="s">
        <v>115</v>
      </c>
      <c r="B363" s="2" t="str">
        <f>LOWER(VLOOKUP(A363,Xtal_Templ!A:B,2,FALSE))</f>
        <v>grm1_human</v>
      </c>
      <c r="C363" s="2" t="str">
        <f>VLOOKUP(A363,Classification!A:D,2,FALSE)</f>
        <v>C</v>
      </c>
      <c r="D363" s="2" t="str">
        <f>IF(ISERROR(MATCH(A363,'SegEnds_Xtal_Prot#'!B:B, 0)), "NoXtal", "Xtal")</f>
        <v>NoXtal</v>
      </c>
      <c r="H363" s="4"/>
      <c r="U363" s="2" t="s">
        <v>1330</v>
      </c>
      <c r="V363" s="28" t="str">
        <f>MID(VLOOKUP($A363,Seqs!$A:$B,2,FALSE),VLOOKUP($A363,'SegEnds_NonXtal_Prot#'!A:AL,10,FALSE),1)</f>
        <v>V</v>
      </c>
      <c r="W363" s="49" t="str">
        <f>MID(VLOOKUP($A363,Seqs!$A:$B,2,FALSE),VLOOKUP($A363,'SegEnds_NonXtal_Prot#'!A:AL,10,FALSE)+6,1)</f>
        <v>M</v>
      </c>
      <c r="X363" s="49" t="str">
        <f>MID(VLOOKUP($A363,Seqs!$A:$B,2,FALSE),VLOOKUP($A363,'SegEnds_NonXtal_Prot#'!A:AL,10,FALSE)+7,1)</f>
        <v>T</v>
      </c>
      <c r="Y363" s="49" t="str">
        <f>MID(VLOOKUP($A363,Seqs!$A:$B,2,FALSE),VLOOKUP($A363,'SegEnds_NonXtal_Prot#'!A:AL,10,FALSE)+8,1)</f>
        <v>F</v>
      </c>
      <c r="Z363" s="49" t="str">
        <f>MID(VLOOKUP($A363,Seqs!$A:$B,2,FALSE),VLOOKUP($A363,'SegEnds_NonXtal_Prot#'!A:AL,10,FALSE)+9,1)</f>
        <v>I</v>
      </c>
      <c r="AA363" s="49" t="str">
        <f>MID(VLOOKUP($A363,Seqs!$A:$B,2,FALSE),VLOOKUP($A363,'SegEnds_NonXtal_Prot#'!A:AL,10,FALSE)+10,1)</f>
        <v>F</v>
      </c>
      <c r="AB363" s="28" t="str">
        <f>MID(VLOOKUP($A363,Seqs!$A:$B,2,FALSE),VLOOKUP($A363,'SegEnds_NonXtal_Prot#'!$A:$AL,22,FALSE)+6,1)</f>
        <v>I</v>
      </c>
      <c r="AC363" s="49" t="str">
        <f>MID(VLOOKUP($A363,Seqs!$A:$B,2,FALSE),VLOOKUP($A363,'SegEnds_NonXtal_Prot#'!$A:$AL,22,FALSE)+7,1)</f>
        <v>V</v>
      </c>
      <c r="AD363" s="49" t="str">
        <f>MID(VLOOKUP($A363,Seqs!$A:$B,2,FALSE),VLOOKUP($A363,'SegEnds_NonXtal_Prot#'!$A:$AL,22,FALSE)+8,1)</f>
        <v>V</v>
      </c>
      <c r="AE363" s="49" t="str">
        <f>MID(VLOOKUP($A363,Seqs!$A:$B,2,FALSE),VLOOKUP($A363,'SegEnds_NonXtal_Prot#'!$A:$AL,22,FALSE)+9,1)</f>
        <v>A</v>
      </c>
      <c r="AF363" s="49" t="str">
        <f>MID(VLOOKUP($A363,Seqs!$A:$B,2,FALSE),VLOOKUP($A363,'SegEnds_NonXtal_Prot#'!$A:$AL,22,FALSE)+10,1)</f>
        <v>W</v>
      </c>
      <c r="AG363" s="28" t="str">
        <f>MID(VLOOKUP($A363,Seqs!$A:$B,2,FALSE),VLOOKUP($A363,'SegEnds_NonXtal_Prot#'!$A:$AL,28,FALSE)-4,1)</f>
        <v>Y</v>
      </c>
      <c r="AH363" s="49" t="str">
        <f>MID(VLOOKUP($A363,Seqs!$A:$B,2,FALSE),VLOOKUP($A363,'SegEnds_NonXtal_Prot#'!$A:$AL,28,FALSE),1)</f>
        <v>L</v>
      </c>
    </row>
    <row r="364" spans="1:34" s="2" customFormat="1" x14ac:dyDescent="0.2">
      <c r="A364" s="2" t="s">
        <v>116</v>
      </c>
      <c r="B364" s="2" t="str">
        <f>LOWER(VLOOKUP(A364,Xtal_Templ!A:B,2,FALSE))</f>
        <v>grm5_human</v>
      </c>
      <c r="C364" s="2" t="str">
        <f>VLOOKUP(A364,Classification!A:D,2,FALSE)</f>
        <v>C</v>
      </c>
      <c r="D364" s="2" t="str">
        <f>IF(ISERROR(MATCH(A364,'SegEnds_Xtal_Prot#'!B:B, 0)), "NoXtal", "Xtal")</f>
        <v>NoXtal</v>
      </c>
      <c r="H364" s="4"/>
      <c r="U364" s="2" t="s">
        <v>1330</v>
      </c>
      <c r="V364" s="28" t="str">
        <f>MID(VLOOKUP($A364,Seqs!$A:$B,2,FALSE),VLOOKUP($A364,'SegEnds_NonXtal_Prot#'!A:AL,10,FALSE),1)</f>
        <v>V</v>
      </c>
      <c r="W364" s="49" t="str">
        <f>MID(VLOOKUP($A364,Seqs!$A:$B,2,FALSE),VLOOKUP($A364,'SegEnds_NonXtal_Prot#'!A:AL,10,FALSE)+6,1)</f>
        <v>M</v>
      </c>
      <c r="X364" s="49" t="str">
        <f>MID(VLOOKUP($A364,Seqs!$A:$B,2,FALSE),VLOOKUP($A364,'SegEnds_NonXtal_Prot#'!A:AL,10,FALSE)+7,1)</f>
        <v>T</v>
      </c>
      <c r="Y364" s="49" t="str">
        <f>MID(VLOOKUP($A364,Seqs!$A:$B,2,FALSE),VLOOKUP($A364,'SegEnds_NonXtal_Prot#'!A:AL,10,FALSE)+8,1)</f>
        <v>F</v>
      </c>
      <c r="Z364" s="49" t="str">
        <f>MID(VLOOKUP($A364,Seqs!$A:$B,2,FALSE),VLOOKUP($A364,'SegEnds_NonXtal_Prot#'!A:AL,10,FALSE)+9,1)</f>
        <v>F</v>
      </c>
      <c r="AA364" s="49" t="str">
        <f>MID(VLOOKUP($A364,Seqs!$A:$B,2,FALSE),VLOOKUP($A364,'SegEnds_NonXtal_Prot#'!A:AL,10,FALSE)+10,1)</f>
        <v>F</v>
      </c>
      <c r="AB364" s="28" t="str">
        <f>MID(VLOOKUP($A364,Seqs!$A:$B,2,FALSE),VLOOKUP($A364,'SegEnds_NonXtal_Prot#'!$A:$AL,22,FALSE)+6,1)</f>
        <v>M</v>
      </c>
      <c r="AC364" s="49" t="str">
        <f>MID(VLOOKUP($A364,Seqs!$A:$B,2,FALSE),VLOOKUP($A364,'SegEnds_NonXtal_Prot#'!$A:$AL,22,FALSE)+7,1)</f>
        <v>V</v>
      </c>
      <c r="AD364" s="49" t="str">
        <f>MID(VLOOKUP($A364,Seqs!$A:$B,2,FALSE),VLOOKUP($A364,'SegEnds_NonXtal_Prot#'!$A:$AL,22,FALSE)+8,1)</f>
        <v>S</v>
      </c>
      <c r="AE364" s="49" t="str">
        <f>MID(VLOOKUP($A364,Seqs!$A:$B,2,FALSE),VLOOKUP($A364,'SegEnds_NonXtal_Prot#'!$A:$AL,22,FALSE)+9,1)</f>
        <v>V</v>
      </c>
      <c r="AF364" s="49" t="str">
        <f>MID(VLOOKUP($A364,Seqs!$A:$B,2,FALSE),VLOOKUP($A364,'SegEnds_NonXtal_Prot#'!$A:$AL,22,FALSE)+10,1)</f>
        <v>W</v>
      </c>
      <c r="AG364" s="28" t="str">
        <f>MID(VLOOKUP($A364,Seqs!$A:$B,2,FALSE),VLOOKUP($A364,'SegEnds_NonXtal_Prot#'!$A:$AL,28,FALSE)-4,1)</f>
        <v>Y</v>
      </c>
      <c r="AH364" s="49" t="str">
        <f>MID(VLOOKUP($A364,Seqs!$A:$B,2,FALSE),VLOOKUP($A364,'SegEnds_NonXtal_Prot#'!$A:$AL,28,FALSE),1)</f>
        <v>L</v>
      </c>
    </row>
    <row r="365" spans="1:34" s="2" customFormat="1" x14ac:dyDescent="0.2">
      <c r="A365" s="2" t="s">
        <v>117</v>
      </c>
      <c r="B365" s="2" t="str">
        <f>LOWER(VLOOKUP(A365,Xtal_Templ!A:B,2,FALSE))</f>
        <v>grm5_human</v>
      </c>
      <c r="C365" s="2" t="str">
        <f>VLOOKUP(A365,Classification!A:D,2,FALSE)</f>
        <v>C</v>
      </c>
      <c r="D365" s="2" t="str">
        <f>IF(ISERROR(MATCH(A365,'SegEnds_Xtal_Prot#'!B:B, 0)), "NoXtal", "Xtal")</f>
        <v>NoXtal</v>
      </c>
      <c r="H365" s="4"/>
      <c r="U365" s="2" t="s">
        <v>1330</v>
      </c>
      <c r="V365" s="28" t="str">
        <f>MID(VLOOKUP($A365,Seqs!$A:$B,2,FALSE),VLOOKUP($A365,'SegEnds_NonXtal_Prot#'!A:AL,10,FALSE),1)</f>
        <v>I</v>
      </c>
      <c r="W365" s="49" t="str">
        <f>MID(VLOOKUP($A365,Seqs!$A:$B,2,FALSE),VLOOKUP($A365,'SegEnds_NonXtal_Prot#'!A:AL,10,FALSE)+6,1)</f>
        <v>T</v>
      </c>
      <c r="X365" s="49" t="str">
        <f>MID(VLOOKUP($A365,Seqs!$A:$B,2,FALSE),VLOOKUP($A365,'SegEnds_NonXtal_Prot#'!A:AL,10,FALSE)+7,1)</f>
        <v>T</v>
      </c>
      <c r="Y365" s="49" t="str">
        <f>MID(VLOOKUP($A365,Seqs!$A:$B,2,FALSE),VLOOKUP($A365,'SegEnds_NonXtal_Prot#'!A:AL,10,FALSE)+8,1)</f>
        <v>F</v>
      </c>
      <c r="Z365" s="49" t="str">
        <f>MID(VLOOKUP($A365,Seqs!$A:$B,2,FALSE),VLOOKUP($A365,'SegEnds_NonXtal_Prot#'!A:AL,10,FALSE)+9,1)</f>
        <v>L</v>
      </c>
      <c r="AA365" s="49" t="str">
        <f>MID(VLOOKUP($A365,Seqs!$A:$B,2,FALSE),VLOOKUP($A365,'SegEnds_NonXtal_Prot#'!A:AL,10,FALSE)+10,1)</f>
        <v>M</v>
      </c>
      <c r="AB365" s="28" t="str">
        <f>MID(VLOOKUP($A365,Seqs!$A:$B,2,FALSE),VLOOKUP($A365,'SegEnds_NonXtal_Prot#'!$A:$AL,22,FALSE)+6,1)</f>
        <v>G</v>
      </c>
      <c r="AC365" s="49" t="str">
        <f>MID(VLOOKUP($A365,Seqs!$A:$B,2,FALSE),VLOOKUP($A365,'SegEnds_NonXtal_Prot#'!$A:$AL,22,FALSE)+7,1)</f>
        <v>I</v>
      </c>
      <c r="AD365" s="49" t="str">
        <f>MID(VLOOKUP($A365,Seqs!$A:$B,2,FALSE),VLOOKUP($A365,'SegEnds_NonXtal_Prot#'!$A:$AL,22,FALSE)+8,1)</f>
        <v>C</v>
      </c>
      <c r="AE365" s="49" t="str">
        <f>MID(VLOOKUP($A365,Seqs!$A:$B,2,FALSE),VLOOKUP($A365,'SegEnds_NonXtal_Prot#'!$A:$AL,22,FALSE)+9,1)</f>
        <v>V</v>
      </c>
      <c r="AF365" s="49" t="str">
        <f>MID(VLOOKUP($A365,Seqs!$A:$B,2,FALSE),VLOOKUP($A365,'SegEnds_NonXtal_Prot#'!$A:$AL,22,FALSE)+10,1)</f>
        <v>W</v>
      </c>
      <c r="AG365" s="28" t="str">
        <f>MID(VLOOKUP($A365,Seqs!$A:$B,2,FALSE),VLOOKUP($A365,'SegEnds_NonXtal_Prot#'!$A:$AL,28,FALSE)-4,1)</f>
        <v>Y</v>
      </c>
      <c r="AH365" s="49" t="str">
        <f>MID(VLOOKUP($A365,Seqs!$A:$B,2,FALSE),VLOOKUP($A365,'SegEnds_NonXtal_Prot#'!$A:$AL,28,FALSE),1)</f>
        <v>L</v>
      </c>
    </row>
    <row r="366" spans="1:34" s="2" customFormat="1" x14ac:dyDescent="0.2">
      <c r="A366" s="2" t="s">
        <v>41</v>
      </c>
      <c r="B366" s="2" t="str">
        <f>LOWER(VLOOKUP(A366,Xtal_Templ!A:B,2,FALSE))</f>
        <v>grm5_human</v>
      </c>
      <c r="C366" s="2" t="str">
        <f>VLOOKUP(A366,Classification!A:D,2,FALSE)</f>
        <v>C</v>
      </c>
      <c r="D366" s="2" t="str">
        <f>IF(ISERROR(MATCH(A366,'SegEnds_Xtal_Prot#'!B:B, 0)), "NoXtal", "Xtal")</f>
        <v>Xtal</v>
      </c>
      <c r="H366" s="4"/>
      <c r="U366" s="2" t="s">
        <v>1330</v>
      </c>
      <c r="V366" s="28" t="str">
        <f>MID(VLOOKUP($A366,Seqs!$A:$B,2,FALSE),VLOOKUP($A366,'SegEnds_NonXtal_Prot#'!A:AL,10,FALSE),1)</f>
        <v>I</v>
      </c>
      <c r="W366" s="49" t="str">
        <f>MID(VLOOKUP($A366,Seqs!$A:$B,2,FALSE),VLOOKUP($A366,'SegEnds_NonXtal_Prot#'!A:AL,10,FALSE)+6,1)</f>
        <v>C</v>
      </c>
      <c r="X366" s="49" t="str">
        <f>MID(VLOOKUP($A366,Seqs!$A:$B,2,FALSE),VLOOKUP($A366,'SegEnds_NonXtal_Prot#'!A:AL,10,FALSE)+7,1)</f>
        <v>T</v>
      </c>
      <c r="Y366" s="49" t="str">
        <f>MID(VLOOKUP($A366,Seqs!$A:$B,2,FALSE),VLOOKUP($A366,'SegEnds_NonXtal_Prot#'!A:AL,10,FALSE)+8,1)</f>
        <v>F</v>
      </c>
      <c r="Z366" s="49" t="str">
        <f>MID(VLOOKUP($A366,Seqs!$A:$B,2,FALSE),VLOOKUP($A366,'SegEnds_NonXtal_Prot#'!A:AL,10,FALSE)+9,1)</f>
        <v>C</v>
      </c>
      <c r="AA366" s="49" t="str">
        <f>MID(VLOOKUP($A366,Seqs!$A:$B,2,FALSE),VLOOKUP($A366,'SegEnds_NonXtal_Prot#'!A:AL,10,FALSE)+10,1)</f>
        <v>L</v>
      </c>
      <c r="AB366" s="28" t="str">
        <f>MID(VLOOKUP($A366,Seqs!$A:$B,2,FALSE),VLOOKUP($A366,'SegEnds_NonXtal_Prot#'!$A:$AL,22,FALSE)+6,1)</f>
        <v>I</v>
      </c>
      <c r="AC366" s="49" t="str">
        <f>MID(VLOOKUP($A366,Seqs!$A:$B,2,FALSE),VLOOKUP($A366,'SegEnds_NonXtal_Prot#'!$A:$AL,22,FALSE)+7,1)</f>
        <v>I</v>
      </c>
      <c r="AD366" s="49" t="str">
        <f>MID(VLOOKUP($A366,Seqs!$A:$B,2,FALSE),VLOOKUP($A366,'SegEnds_NonXtal_Prot#'!$A:$AL,22,FALSE)+8,1)</f>
        <v>V</v>
      </c>
      <c r="AE366" s="49" t="str">
        <f>MID(VLOOKUP($A366,Seqs!$A:$B,2,FALSE),VLOOKUP($A366,'SegEnds_NonXtal_Prot#'!$A:$AL,22,FALSE)+9,1)</f>
        <v>A</v>
      </c>
      <c r="AF366" s="49" t="str">
        <f>MID(VLOOKUP($A366,Seqs!$A:$B,2,FALSE),VLOOKUP($A366,'SegEnds_NonXtal_Prot#'!$A:$AL,22,FALSE)+10,1)</f>
        <v>L</v>
      </c>
      <c r="AG366" s="28" t="str">
        <f>MID(VLOOKUP($A366,Seqs!$A:$B,2,FALSE),VLOOKUP($A366,'SegEnds_NonXtal_Prot#'!$A:$AL,28,FALSE)-4,1)</f>
        <v>Y</v>
      </c>
      <c r="AH366" s="49" t="str">
        <f>MID(VLOOKUP($A366,Seqs!$A:$B,2,FALSE),VLOOKUP($A366,'SegEnds_NonXtal_Prot#'!$A:$AL,28,FALSE),1)</f>
        <v>L</v>
      </c>
    </row>
    <row r="367" spans="1:34" s="2" customFormat="1" x14ac:dyDescent="0.2">
      <c r="A367" s="2" t="s">
        <v>118</v>
      </c>
      <c r="B367" s="2" t="str">
        <f>LOWER(VLOOKUP(A367,Xtal_Templ!A:B,2,FALSE))</f>
        <v>grm5_human</v>
      </c>
      <c r="C367" s="2" t="str">
        <f>VLOOKUP(A367,Classification!A:D,2,FALSE)</f>
        <v>C</v>
      </c>
      <c r="D367" s="2" t="str">
        <f>IF(ISERROR(MATCH(A367,'SegEnds_Xtal_Prot#'!B:B, 0)), "NoXtal", "Xtal")</f>
        <v>NoXtal</v>
      </c>
      <c r="H367" s="4"/>
      <c r="U367" s="2" t="s">
        <v>1330</v>
      </c>
      <c r="V367" s="28" t="str">
        <f>MID(VLOOKUP($A367,Seqs!$A:$B,2,FALSE),VLOOKUP($A367,'SegEnds_NonXtal_Prot#'!A:AL,10,FALSE),1)</f>
        <v>I</v>
      </c>
      <c r="W367" s="49" t="str">
        <f>MID(VLOOKUP($A367,Seqs!$A:$B,2,FALSE),VLOOKUP($A367,'SegEnds_NonXtal_Prot#'!A:AL,10,FALSE)+6,1)</f>
        <v>I</v>
      </c>
      <c r="X367" s="49" t="str">
        <f>MID(VLOOKUP($A367,Seqs!$A:$B,2,FALSE),VLOOKUP($A367,'SegEnds_NonXtal_Prot#'!A:AL,10,FALSE)+7,1)</f>
        <v>T</v>
      </c>
      <c r="Y367" s="49" t="str">
        <f>MID(VLOOKUP($A367,Seqs!$A:$B,2,FALSE),VLOOKUP($A367,'SegEnds_NonXtal_Prot#'!A:AL,10,FALSE)+8,1)</f>
        <v>F</v>
      </c>
      <c r="Z367" s="49" t="str">
        <f>MID(VLOOKUP($A367,Seqs!$A:$B,2,FALSE),VLOOKUP($A367,'SegEnds_NonXtal_Prot#'!A:AL,10,FALSE)+9,1)</f>
        <v>L</v>
      </c>
      <c r="AA367" s="49" t="str">
        <f>MID(VLOOKUP($A367,Seqs!$A:$B,2,FALSE),VLOOKUP($A367,'SegEnds_NonXtal_Prot#'!A:AL,10,FALSE)+10,1)</f>
        <v>M</v>
      </c>
      <c r="AB367" s="28" t="str">
        <f>MID(VLOOKUP($A367,Seqs!$A:$B,2,FALSE),VLOOKUP($A367,'SegEnds_NonXtal_Prot#'!$A:$AL,22,FALSE)+6,1)</f>
        <v>G</v>
      </c>
      <c r="AC367" s="49" t="str">
        <f>MID(VLOOKUP($A367,Seqs!$A:$B,2,FALSE),VLOOKUP($A367,'SegEnds_NonXtal_Prot#'!$A:$AL,22,FALSE)+7,1)</f>
        <v>M</v>
      </c>
      <c r="AD367" s="49" t="str">
        <f>MID(VLOOKUP($A367,Seqs!$A:$B,2,FALSE),VLOOKUP($A367,'SegEnds_NonXtal_Prot#'!$A:$AL,22,FALSE)+8,1)</f>
        <v>I</v>
      </c>
      <c r="AE367" s="49" t="str">
        <f>MID(VLOOKUP($A367,Seqs!$A:$B,2,FALSE),VLOOKUP($A367,'SegEnds_NonXtal_Prot#'!$A:$AL,22,FALSE)+9,1)</f>
        <v>A</v>
      </c>
      <c r="AF367" s="49" t="str">
        <f>MID(VLOOKUP($A367,Seqs!$A:$B,2,FALSE),VLOOKUP($A367,'SegEnds_NonXtal_Prot#'!$A:$AL,22,FALSE)+10,1)</f>
        <v>W</v>
      </c>
      <c r="AG367" s="28" t="str">
        <f>MID(VLOOKUP($A367,Seqs!$A:$B,2,FALSE),VLOOKUP($A367,'SegEnds_NonXtal_Prot#'!$A:$AL,28,FALSE)-4,1)</f>
        <v>Y</v>
      </c>
      <c r="AH367" s="49" t="str">
        <f>MID(VLOOKUP($A367,Seqs!$A:$B,2,FALSE),VLOOKUP($A367,'SegEnds_NonXtal_Prot#'!$A:$AL,28,FALSE),1)</f>
        <v>L</v>
      </c>
    </row>
    <row r="368" spans="1:34" s="2" customFormat="1" ht="17" customHeight="1" x14ac:dyDescent="0.2">
      <c r="A368" s="2" t="s">
        <v>119</v>
      </c>
      <c r="B368" s="2" t="str">
        <f>LOWER(VLOOKUP(A368,Xtal_Templ!A:B,2,FALSE))</f>
        <v>grm5_human</v>
      </c>
      <c r="C368" s="2" t="str">
        <f>VLOOKUP(A368,Classification!A:D,2,FALSE)</f>
        <v>C</v>
      </c>
      <c r="D368" s="2" t="str">
        <f>IF(ISERROR(MATCH(A368,'SegEnds_Xtal_Prot#'!B:B, 0)), "NoXtal", "Xtal")</f>
        <v>NoXtal</v>
      </c>
      <c r="H368" s="4"/>
      <c r="U368" s="2" t="s">
        <v>1330</v>
      </c>
      <c r="V368" s="28" t="str">
        <f>MID(VLOOKUP($A368,Seqs!$A:$B,2,FALSE),VLOOKUP($A368,'SegEnds_NonXtal_Prot#'!A:AL,10,FALSE),1)</f>
        <v>I</v>
      </c>
      <c r="W368" s="49" t="str">
        <f>MID(VLOOKUP($A368,Seqs!$A:$B,2,FALSE),VLOOKUP($A368,'SegEnds_NonXtal_Prot#'!A:AL,10,FALSE)+6,1)</f>
        <v>I</v>
      </c>
      <c r="X368" s="49" t="str">
        <f>MID(VLOOKUP($A368,Seqs!$A:$B,2,FALSE),VLOOKUP($A368,'SegEnds_NonXtal_Prot#'!A:AL,10,FALSE)+7,1)</f>
        <v>T</v>
      </c>
      <c r="Y368" s="49" t="str">
        <f>MID(VLOOKUP($A368,Seqs!$A:$B,2,FALSE),VLOOKUP($A368,'SegEnds_NonXtal_Prot#'!A:AL,10,FALSE)+8,1)</f>
        <v>F</v>
      </c>
      <c r="Z368" s="49" t="str">
        <f>MID(VLOOKUP($A368,Seqs!$A:$B,2,FALSE),VLOOKUP($A368,'SegEnds_NonXtal_Prot#'!A:AL,10,FALSE)+9,1)</f>
        <v>L</v>
      </c>
      <c r="AA368" s="49" t="str">
        <f>MID(VLOOKUP($A368,Seqs!$A:$B,2,FALSE),VLOOKUP($A368,'SegEnds_NonXtal_Prot#'!A:AL,10,FALSE)+10,1)</f>
        <v>M</v>
      </c>
      <c r="AB368" s="28" t="str">
        <f>MID(VLOOKUP($A368,Seqs!$A:$B,2,FALSE),VLOOKUP($A368,'SegEnds_NonXtal_Prot#'!$A:$AL,22,FALSE)+6,1)</f>
        <v>G</v>
      </c>
      <c r="AC368" s="49" t="str">
        <f>MID(VLOOKUP($A368,Seqs!$A:$B,2,FALSE),VLOOKUP($A368,'SegEnds_NonXtal_Prot#'!$A:$AL,22,FALSE)+7,1)</f>
        <v>V</v>
      </c>
      <c r="AD368" s="49" t="str">
        <f>MID(VLOOKUP($A368,Seqs!$A:$B,2,FALSE),VLOOKUP($A368,'SegEnds_NonXtal_Prot#'!$A:$AL,22,FALSE)+8,1)</f>
        <v>F</v>
      </c>
      <c r="AE368" s="49" t="str">
        <f>MID(VLOOKUP($A368,Seqs!$A:$B,2,FALSE),VLOOKUP($A368,'SegEnds_NonXtal_Prot#'!$A:$AL,22,FALSE)+9,1)</f>
        <v>I</v>
      </c>
      <c r="AF368" s="49" t="str">
        <f>MID(VLOOKUP($A368,Seqs!$A:$B,2,FALSE),VLOOKUP($A368,'SegEnds_NonXtal_Prot#'!$A:$AL,22,FALSE)+10,1)</f>
        <v>W</v>
      </c>
      <c r="AG368" s="28" t="str">
        <f>MID(VLOOKUP($A368,Seqs!$A:$B,2,FALSE),VLOOKUP($A368,'SegEnds_NonXtal_Prot#'!$A:$AL,28,FALSE)-4,1)</f>
        <v>Y</v>
      </c>
      <c r="AH368" s="49" t="str">
        <f>MID(VLOOKUP($A368,Seqs!$A:$B,2,FALSE),VLOOKUP($A368,'SegEnds_NonXtal_Prot#'!$A:$AL,28,FALSE),1)</f>
        <v>L</v>
      </c>
    </row>
    <row r="369" spans="1:34" s="2" customFormat="1" x14ac:dyDescent="0.2">
      <c r="A369" s="2" t="s">
        <v>120</v>
      </c>
      <c r="B369" s="2" t="str">
        <f>LOWER(VLOOKUP(A369,Xtal_Templ!A:B,2,FALSE))</f>
        <v>grm5_human</v>
      </c>
      <c r="C369" s="2" t="str">
        <f>VLOOKUP(A369,Classification!A:D,2,FALSE)</f>
        <v>C</v>
      </c>
      <c r="D369" s="2" t="str">
        <f>IF(ISERROR(MATCH(A369,'SegEnds_Xtal_Prot#'!B:B, 0)), "NoXtal", "Xtal")</f>
        <v>NoXtal</v>
      </c>
      <c r="H369" s="4"/>
      <c r="U369" s="2" t="s">
        <v>1330</v>
      </c>
      <c r="V369" s="28" t="str">
        <f>MID(VLOOKUP($A369,Seqs!$A:$B,2,FALSE),VLOOKUP($A369,'SegEnds_NonXtal_Prot#'!A:AL,10,FALSE),1)</f>
        <v>I</v>
      </c>
      <c r="W369" s="49" t="str">
        <f>MID(VLOOKUP($A369,Seqs!$A:$B,2,FALSE),VLOOKUP($A369,'SegEnds_NonXtal_Prot#'!A:AL,10,FALSE)+6,1)</f>
        <v>I</v>
      </c>
      <c r="X369" s="49" t="str">
        <f>MID(VLOOKUP($A369,Seqs!$A:$B,2,FALSE),VLOOKUP($A369,'SegEnds_NonXtal_Prot#'!A:AL,10,FALSE)+7,1)</f>
        <v>T</v>
      </c>
      <c r="Y369" s="49" t="str">
        <f>MID(VLOOKUP($A369,Seqs!$A:$B,2,FALSE),VLOOKUP($A369,'SegEnds_NonXtal_Prot#'!A:AL,10,FALSE)+8,1)</f>
        <v>F</v>
      </c>
      <c r="Z369" s="49" t="str">
        <f>MID(VLOOKUP($A369,Seqs!$A:$B,2,FALSE),VLOOKUP($A369,'SegEnds_NonXtal_Prot#'!A:AL,10,FALSE)+9,1)</f>
        <v>L</v>
      </c>
      <c r="AA369" s="49" t="str">
        <f>MID(VLOOKUP($A369,Seqs!$A:$B,2,FALSE),VLOOKUP($A369,'SegEnds_NonXtal_Prot#'!A:AL,10,FALSE)+10,1)</f>
        <v>M</v>
      </c>
      <c r="AB369" s="28" t="str">
        <f>MID(VLOOKUP($A369,Seqs!$A:$B,2,FALSE),VLOOKUP($A369,'SegEnds_NonXtal_Prot#'!$A:$AL,22,FALSE)+6,1)</f>
        <v>G</v>
      </c>
      <c r="AC369" s="49" t="str">
        <f>MID(VLOOKUP($A369,Seqs!$A:$B,2,FALSE),VLOOKUP($A369,'SegEnds_NonXtal_Prot#'!$A:$AL,22,FALSE)+7,1)</f>
        <v>V</v>
      </c>
      <c r="AD369" s="49" t="str">
        <f>MID(VLOOKUP($A369,Seqs!$A:$B,2,FALSE),VLOOKUP($A369,'SegEnds_NonXtal_Prot#'!$A:$AL,22,FALSE)+8,1)</f>
        <v>F</v>
      </c>
      <c r="AE369" s="49" t="str">
        <f>MID(VLOOKUP($A369,Seqs!$A:$B,2,FALSE),VLOOKUP($A369,'SegEnds_NonXtal_Prot#'!$A:$AL,22,FALSE)+9,1)</f>
        <v>V</v>
      </c>
      <c r="AF369" s="49" t="str">
        <f>MID(VLOOKUP($A369,Seqs!$A:$B,2,FALSE),VLOOKUP($A369,'SegEnds_NonXtal_Prot#'!$A:$AL,22,FALSE)+10,1)</f>
        <v>W</v>
      </c>
      <c r="AG369" s="28" t="str">
        <f>MID(VLOOKUP($A369,Seqs!$A:$B,2,FALSE),VLOOKUP($A369,'SegEnds_NonXtal_Prot#'!$A:$AL,28,FALSE)-4,1)</f>
        <v>Y</v>
      </c>
      <c r="AH369" s="49" t="str">
        <f>MID(VLOOKUP($A369,Seqs!$A:$B,2,FALSE),VLOOKUP($A369,'SegEnds_NonXtal_Prot#'!$A:$AL,28,FALSE),1)</f>
        <v>L</v>
      </c>
    </row>
    <row r="370" spans="1:34" s="2" customFormat="1" x14ac:dyDescent="0.2">
      <c r="A370" s="2" t="s">
        <v>446</v>
      </c>
      <c r="B370" s="2" t="str">
        <f>LOWER(VLOOKUP(A370,Xtal_Templ!A:B,2,FALSE))</f>
        <v>fzd4_human</v>
      </c>
      <c r="C370" s="2" t="str">
        <f>VLOOKUP(A370,Classification!A:D,2,FALSE)</f>
        <v>F</v>
      </c>
      <c r="D370" s="2" t="str">
        <f>IF(ISERROR(MATCH(A370,'SegEnds_Xtal_Prot#'!B:B, 0)), "NoXtal", "Xtal")</f>
        <v>NoXtal</v>
      </c>
      <c r="H370" s="4"/>
      <c r="P370" s="2" t="s">
        <v>1329</v>
      </c>
      <c r="V370" s="28" t="str">
        <f>MID(VLOOKUP($A370,Seqs!$A:$B,2,FALSE),VLOOKUP($A370,'SegEnds_NonXtal_Prot#'!A:AL,10,FALSE),1)</f>
        <v>G</v>
      </c>
      <c r="W370" s="49" t="str">
        <f>MID(VLOOKUP($A370,Seqs!$A:$B,2,FALSE),VLOOKUP($A370,'SegEnds_NonXtal_Prot#'!A:AL,10,FALSE)+6,1)</f>
        <v>A</v>
      </c>
      <c r="X370" s="49" t="str">
        <f>MID(VLOOKUP($A370,Seqs!$A:$B,2,FALSE),VLOOKUP($A370,'SegEnds_NonXtal_Prot#'!A:AL,10,FALSE)+7,1)</f>
        <v>V</v>
      </c>
      <c r="Y370" s="49" t="str">
        <f>MID(VLOOKUP($A370,Seqs!$A:$B,2,FALSE),VLOOKUP($A370,'SegEnds_NonXtal_Prot#'!A:AL,10,FALSE)+8,1)</f>
        <v>A</v>
      </c>
      <c r="Z370" s="49" t="str">
        <f>MID(VLOOKUP($A370,Seqs!$A:$B,2,FALSE),VLOOKUP($A370,'SegEnds_NonXtal_Prot#'!A:AL,10,FALSE)+9,1)</f>
        <v>Y</v>
      </c>
      <c r="AA370" s="49" t="str">
        <f>MID(VLOOKUP($A370,Seqs!$A:$B,2,FALSE),VLOOKUP($A370,'SegEnds_NonXtal_Prot#'!A:AL,10,FALSE)+10,1)</f>
        <v>I</v>
      </c>
      <c r="AB370" s="28" t="str">
        <f>MID(VLOOKUP($A370,Seqs!$A:$B,2,FALSE),VLOOKUP($A370,'SegEnds_NonXtal_Prot#'!$A:$AL,22,FALSE)+6,1)</f>
        <v>K</v>
      </c>
      <c r="AC370" s="49" t="str">
        <f>MID(VLOOKUP($A370,Seqs!$A:$B,2,FALSE),VLOOKUP($A370,'SegEnds_NonXtal_Prot#'!$A:$AL,22,FALSE)+7,1)</f>
        <v>T</v>
      </c>
      <c r="AD370" s="49" t="str">
        <f>MID(VLOOKUP($A370,Seqs!$A:$B,2,FALSE),VLOOKUP($A370,'SegEnds_NonXtal_Prot#'!$A:$AL,22,FALSE)+8,1)</f>
        <v>I</v>
      </c>
      <c r="AE370" s="49" t="str">
        <f>MID(VLOOKUP($A370,Seqs!$A:$B,2,FALSE),VLOOKUP($A370,'SegEnds_NonXtal_Prot#'!$A:$AL,22,FALSE)+9,1)</f>
        <v>T</v>
      </c>
      <c r="AF370" s="49" t="str">
        <f>MID(VLOOKUP($A370,Seqs!$A:$B,2,FALSE),VLOOKUP($A370,'SegEnds_NonXtal_Prot#'!$A:$AL,22,FALSE)+10,1)</f>
        <v>I</v>
      </c>
      <c r="AG370" s="28" t="str">
        <f>MID(VLOOKUP($A370,Seqs!$A:$B,2,FALSE),VLOOKUP($A370,'SegEnds_NonXtal_Prot#'!$A:$AL,28,FALSE)-4,1)</f>
        <v>P</v>
      </c>
      <c r="AH370" s="49" t="str">
        <f>MID(VLOOKUP($A370,Seqs!$A:$B,2,FALSE),VLOOKUP($A370,'SegEnds_NonXtal_Prot#'!$A:$AL,28,FALSE),1)</f>
        <v>Y</v>
      </c>
    </row>
    <row r="371" spans="1:34" s="2" customFormat="1" x14ac:dyDescent="0.2">
      <c r="A371" s="2" t="s">
        <v>447</v>
      </c>
      <c r="B371" s="2" t="str">
        <f>LOWER(VLOOKUP(A371,Xtal_Templ!A:B,2,FALSE))</f>
        <v>fzd4_human</v>
      </c>
      <c r="C371" s="2" t="str">
        <f>VLOOKUP(A371,Classification!A:D,2,FALSE)</f>
        <v>F</v>
      </c>
      <c r="D371" s="2" t="str">
        <f>IF(ISERROR(MATCH(A371,'SegEnds_Xtal_Prot#'!B:B, 0)), "NoXtal", "Xtal")</f>
        <v>NoXtal</v>
      </c>
      <c r="H371" s="4"/>
      <c r="P371" s="2" t="s">
        <v>1329</v>
      </c>
      <c r="V371" s="28" t="str">
        <f>MID(VLOOKUP($A371,Seqs!$A:$B,2,FALSE),VLOOKUP($A371,'SegEnds_NonXtal_Prot#'!A:AL,10,FALSE),1)</f>
        <v>M</v>
      </c>
      <c r="W371" s="49" t="str">
        <f>MID(VLOOKUP($A371,Seqs!$A:$B,2,FALSE),VLOOKUP($A371,'SegEnds_NonXtal_Prot#'!A:AL,10,FALSE)+6,1)</f>
        <v>S</v>
      </c>
      <c r="X371" s="49" t="str">
        <f>MID(VLOOKUP($A371,Seqs!$A:$B,2,FALSE),VLOOKUP($A371,'SegEnds_NonXtal_Prot#'!A:AL,10,FALSE)+7,1)</f>
        <v>V</v>
      </c>
      <c r="Y371" s="49" t="str">
        <f>MID(VLOOKUP($A371,Seqs!$A:$B,2,FALSE),VLOOKUP($A371,'SegEnds_NonXtal_Prot#'!A:AL,10,FALSE)+8,1)</f>
        <v>G</v>
      </c>
      <c r="Z371" s="49" t="str">
        <f>MID(VLOOKUP($A371,Seqs!$A:$B,2,FALSE),VLOOKUP($A371,'SegEnds_NonXtal_Prot#'!A:AL,10,FALSE)+9,1)</f>
        <v>Y</v>
      </c>
      <c r="AA371" s="49" t="str">
        <f>MID(VLOOKUP($A371,Seqs!$A:$B,2,FALSE),VLOOKUP($A371,'SegEnds_NonXtal_Prot#'!A:AL,10,FALSE)+10,1)</f>
        <v>L</v>
      </c>
      <c r="AB371" s="28" t="str">
        <f>MID(VLOOKUP($A371,Seqs!$A:$B,2,FALSE),VLOOKUP($A371,'SegEnds_NonXtal_Prot#'!$A:$AL,22,FALSE)+6,1)</f>
        <v>K</v>
      </c>
      <c r="AC371" s="49" t="str">
        <f>MID(VLOOKUP($A371,Seqs!$A:$B,2,FALSE),VLOOKUP($A371,'SegEnds_NonXtal_Prot#'!$A:$AL,22,FALSE)+7,1)</f>
        <v>T</v>
      </c>
      <c r="AD371" s="49" t="str">
        <f>MID(VLOOKUP($A371,Seqs!$A:$B,2,FALSE),VLOOKUP($A371,'SegEnds_NonXtal_Prot#'!$A:$AL,22,FALSE)+8,1)</f>
        <v>I</v>
      </c>
      <c r="AE371" s="49" t="str">
        <f>MID(VLOOKUP($A371,Seqs!$A:$B,2,FALSE),VLOOKUP($A371,'SegEnds_NonXtal_Prot#'!$A:$AL,22,FALSE)+9,1)</f>
        <v>L</v>
      </c>
      <c r="AF371" s="49" t="str">
        <f>MID(VLOOKUP($A371,Seqs!$A:$B,2,FALSE),VLOOKUP($A371,'SegEnds_NonXtal_Prot#'!$A:$AL,22,FALSE)+10,1)</f>
        <v>I</v>
      </c>
      <c r="AG371" s="28" t="str">
        <f>MID(VLOOKUP($A371,Seqs!$A:$B,2,FALSE),VLOOKUP($A371,'SegEnds_NonXtal_Prot#'!$A:$AL,28,FALSE)-4,1)</f>
        <v>P</v>
      </c>
      <c r="AH371" s="49" t="str">
        <f>MID(VLOOKUP($A371,Seqs!$A:$B,2,FALSE),VLOOKUP($A371,'SegEnds_NonXtal_Prot#'!$A:$AL,28,FALSE),1)</f>
        <v>Y</v>
      </c>
    </row>
    <row r="372" spans="1:34" s="2" customFormat="1" x14ac:dyDescent="0.2">
      <c r="A372" s="2" t="s">
        <v>448</v>
      </c>
      <c r="B372" s="2" t="str">
        <f>LOWER(VLOOKUP(A372,Xtal_Templ!A:B,2,FALSE))</f>
        <v>fzd4_human</v>
      </c>
      <c r="C372" s="2" t="str">
        <f>VLOOKUP(A372,Classification!A:D,2,FALSE)</f>
        <v>F</v>
      </c>
      <c r="D372" s="2" t="str">
        <f>IF(ISERROR(MATCH(A372,'SegEnds_Xtal_Prot#'!B:B, 0)), "NoXtal", "Xtal")</f>
        <v>NoXtal</v>
      </c>
      <c r="H372" s="4"/>
      <c r="P372" s="2" t="s">
        <v>1329</v>
      </c>
      <c r="V372" s="28" t="str">
        <f>MID(VLOOKUP($A372,Seqs!$A:$B,2,FALSE),VLOOKUP($A372,'SegEnds_NonXtal_Prot#'!A:AL,10,FALSE),1)</f>
        <v>G</v>
      </c>
      <c r="W372" s="49" t="str">
        <f>MID(VLOOKUP($A372,Seqs!$A:$B,2,FALSE),VLOOKUP($A372,'SegEnds_NonXtal_Prot#'!A:AL,10,FALSE)+6,1)</f>
        <v>S</v>
      </c>
      <c r="X372" s="49" t="str">
        <f>MID(VLOOKUP($A372,Seqs!$A:$B,2,FALSE),VLOOKUP($A372,'SegEnds_NonXtal_Prot#'!A:AL,10,FALSE)+7,1)</f>
        <v>V</v>
      </c>
      <c r="Y372" s="49" t="str">
        <f>MID(VLOOKUP($A372,Seqs!$A:$B,2,FALSE),VLOOKUP($A372,'SegEnds_NonXtal_Prot#'!A:AL,10,FALSE)+8,1)</f>
        <v>A</v>
      </c>
      <c r="Z372" s="49" t="str">
        <f>MID(VLOOKUP($A372,Seqs!$A:$B,2,FALSE),VLOOKUP($A372,'SegEnds_NonXtal_Prot#'!A:AL,10,FALSE)+9,1)</f>
        <v>Y</v>
      </c>
      <c r="AA372" s="49" t="str">
        <f>MID(VLOOKUP($A372,Seqs!$A:$B,2,FALSE),VLOOKUP($A372,'SegEnds_NonXtal_Prot#'!A:AL,10,FALSE)+10,1)</f>
        <v>I</v>
      </c>
      <c r="AB372" s="28" t="str">
        <f>MID(VLOOKUP($A372,Seqs!$A:$B,2,FALSE),VLOOKUP($A372,'SegEnds_NonXtal_Prot#'!$A:$AL,22,FALSE)+6,1)</f>
        <v>K</v>
      </c>
      <c r="AC372" s="49" t="str">
        <f>MID(VLOOKUP($A372,Seqs!$A:$B,2,FALSE),VLOOKUP($A372,'SegEnds_NonXtal_Prot#'!$A:$AL,22,FALSE)+7,1)</f>
        <v>T</v>
      </c>
      <c r="AD372" s="49" t="str">
        <f>MID(VLOOKUP($A372,Seqs!$A:$B,2,FALSE),VLOOKUP($A372,'SegEnds_NonXtal_Prot#'!$A:$AL,22,FALSE)+8,1)</f>
        <v>I</v>
      </c>
      <c r="AE372" s="49" t="str">
        <f>MID(VLOOKUP($A372,Seqs!$A:$B,2,FALSE),VLOOKUP($A372,'SegEnds_NonXtal_Prot#'!$A:$AL,22,FALSE)+9,1)</f>
        <v>T</v>
      </c>
      <c r="AF372" s="49" t="str">
        <f>MID(VLOOKUP($A372,Seqs!$A:$B,2,FALSE),VLOOKUP($A372,'SegEnds_NonXtal_Prot#'!$A:$AL,22,FALSE)+10,1)</f>
        <v>I</v>
      </c>
      <c r="AG372" s="28" t="str">
        <f>MID(VLOOKUP($A372,Seqs!$A:$B,2,FALSE),VLOOKUP($A372,'SegEnds_NonXtal_Prot#'!$A:$AL,28,FALSE)-4,1)</f>
        <v>P</v>
      </c>
      <c r="AH372" s="49" t="str">
        <f>MID(VLOOKUP($A372,Seqs!$A:$B,2,FALSE),VLOOKUP($A372,'SegEnds_NonXtal_Prot#'!$A:$AL,28,FALSE),1)</f>
        <v>Y</v>
      </c>
    </row>
    <row r="373" spans="1:34" s="2" customFormat="1" x14ac:dyDescent="0.2">
      <c r="A373" s="2" t="s">
        <v>449</v>
      </c>
      <c r="B373" s="2" t="str">
        <f>LOWER(VLOOKUP(A373,Xtal_Templ!A:B,2,FALSE))</f>
        <v>fzd4_human</v>
      </c>
      <c r="C373" s="2" t="str">
        <f>VLOOKUP(A373,Classification!A:D,2,FALSE)</f>
        <v>F</v>
      </c>
      <c r="D373" s="2" t="str">
        <f>IF(ISERROR(MATCH(A373,'SegEnds_Xtal_Prot#'!B:B, 0)), "NoXtal", "Xtal")</f>
        <v>NoXtal</v>
      </c>
      <c r="H373" s="4"/>
      <c r="P373" s="2" t="s">
        <v>1329</v>
      </c>
      <c r="V373" s="28" t="str">
        <f>MID(VLOOKUP($A373,Seqs!$A:$B,2,FALSE),VLOOKUP($A373,'SegEnds_NonXtal_Prot#'!A:AL,10,FALSE),1)</f>
        <v>V</v>
      </c>
      <c r="W373" s="49" t="str">
        <f>MID(VLOOKUP($A373,Seqs!$A:$B,2,FALSE),VLOOKUP($A373,'SegEnds_NonXtal_Prot#'!A:AL,10,FALSE)+6,1)</f>
        <v>S</v>
      </c>
      <c r="X373" s="49" t="str">
        <f>MID(VLOOKUP($A373,Seqs!$A:$B,2,FALSE),VLOOKUP($A373,'SegEnds_NonXtal_Prot#'!A:AL,10,FALSE)+7,1)</f>
        <v>L</v>
      </c>
      <c r="Y373" s="49" t="str">
        <f>MID(VLOOKUP($A373,Seqs!$A:$B,2,FALSE),VLOOKUP($A373,'SegEnds_NonXtal_Prot#'!A:AL,10,FALSE)+8,1)</f>
        <v>I</v>
      </c>
      <c r="Z373" s="49" t="str">
        <f>MID(VLOOKUP($A373,Seqs!$A:$B,2,FALSE),VLOOKUP($A373,'SegEnds_NonXtal_Prot#'!A:AL,10,FALSE)+9,1)</f>
        <v>F</v>
      </c>
      <c r="AA373" s="49" t="str">
        <f>MID(VLOOKUP($A373,Seqs!$A:$B,2,FALSE),VLOOKUP($A373,'SegEnds_NonXtal_Prot#'!A:AL,10,FALSE)+10,1)</f>
        <v>F</v>
      </c>
      <c r="AB373" s="28" t="str">
        <f>MID(VLOOKUP($A373,Seqs!$A:$B,2,FALSE),VLOOKUP($A373,'SegEnds_NonXtal_Prot#'!$A:$AL,22,FALSE)+6,1)</f>
        <v>L</v>
      </c>
      <c r="AC373" s="49" t="str">
        <f>MID(VLOOKUP($A373,Seqs!$A:$B,2,FALSE),VLOOKUP($A373,'SegEnds_NonXtal_Prot#'!$A:$AL,22,FALSE)+7,1)</f>
        <v>T</v>
      </c>
      <c r="AD373" s="49" t="str">
        <f>MID(VLOOKUP($A373,Seqs!$A:$B,2,FALSE),VLOOKUP($A373,'SegEnds_NonXtal_Prot#'!$A:$AL,22,FALSE)+8,1)</f>
        <v>I</v>
      </c>
      <c r="AE373" s="49" t="str">
        <f>MID(VLOOKUP($A373,Seqs!$A:$B,2,FALSE),VLOOKUP($A373,'SegEnds_NonXtal_Prot#'!$A:$AL,22,FALSE)+9,1)</f>
        <v>I</v>
      </c>
      <c r="AF373" s="49" t="str">
        <f>MID(VLOOKUP($A373,Seqs!$A:$B,2,FALSE),VLOOKUP($A373,'SegEnds_NonXtal_Prot#'!$A:$AL,22,FALSE)+10,1)</f>
        <v>L</v>
      </c>
      <c r="AG373" s="28" t="str">
        <f>MID(VLOOKUP($A373,Seqs!$A:$B,2,FALSE),VLOOKUP($A373,'SegEnds_NonXtal_Prot#'!$A:$AL,28,FALSE)-4,1)</f>
        <v>P</v>
      </c>
      <c r="AH373" s="49" t="str">
        <f>MID(VLOOKUP($A373,Seqs!$A:$B,2,FALSE),VLOOKUP($A373,'SegEnds_NonXtal_Prot#'!$A:$AL,28,FALSE),1)</f>
        <v>Y</v>
      </c>
    </row>
    <row r="374" spans="1:34" s="2" customFormat="1" x14ac:dyDescent="0.2">
      <c r="A374" s="2" t="s">
        <v>450</v>
      </c>
      <c r="B374" s="2" t="str">
        <f>LOWER(VLOOKUP(A374,Xtal_Templ!A:B,2,FALSE))</f>
        <v>fzd4_human</v>
      </c>
      <c r="C374" s="2" t="str">
        <f>VLOOKUP(A374,Classification!A:D,2,FALSE)</f>
        <v>F</v>
      </c>
      <c r="D374" s="2" t="str">
        <f>IF(ISERROR(MATCH(A374,'SegEnds_Xtal_Prot#'!B:B, 0)), "NoXtal", "Xtal")</f>
        <v>Xtal</v>
      </c>
      <c r="H374" s="4"/>
      <c r="P374" s="2" t="s">
        <v>1329</v>
      </c>
      <c r="V374" s="28" t="str">
        <f>MID(VLOOKUP($A374,Seqs!$A:$B,2,FALSE),VLOOKUP($A374,'SegEnds_NonXtal_Prot#'!A:AL,10,FALSE),1)</f>
        <v>M</v>
      </c>
      <c r="W374" s="49" t="str">
        <f>MID(VLOOKUP($A374,Seqs!$A:$B,2,FALSE),VLOOKUP($A374,'SegEnds_NonXtal_Prot#'!A:AL,10,FALSE)+6,1)</f>
        <v>S</v>
      </c>
      <c r="X374" s="49" t="str">
        <f>MID(VLOOKUP($A374,Seqs!$A:$B,2,FALSE),VLOOKUP($A374,'SegEnds_NonXtal_Prot#'!A:AL,10,FALSE)+7,1)</f>
        <v>I</v>
      </c>
      <c r="Y374" s="49" t="str">
        <f>MID(VLOOKUP($A374,Seqs!$A:$B,2,FALSE),VLOOKUP($A374,'SegEnds_NonXtal_Prot#'!A:AL,10,FALSE)+8,1)</f>
        <v>A</v>
      </c>
      <c r="Z374" s="49" t="str">
        <f>MID(VLOOKUP($A374,Seqs!$A:$B,2,FALSE),VLOOKUP($A374,'SegEnds_NonXtal_Prot#'!A:AL,10,FALSE)+9,1)</f>
        <v>Y</v>
      </c>
      <c r="AA374" s="49" t="str">
        <f>MID(VLOOKUP($A374,Seqs!$A:$B,2,FALSE),VLOOKUP($A374,'SegEnds_NonXtal_Prot#'!A:AL,10,FALSE)+10,1)</f>
        <v>I</v>
      </c>
      <c r="AB374" s="28" t="str">
        <f>MID(VLOOKUP($A374,Seqs!$A:$B,2,FALSE),VLOOKUP($A374,'SegEnds_NonXtal_Prot#'!$A:$AL,22,FALSE)+6,1)</f>
        <v>K</v>
      </c>
      <c r="AC374" s="49" t="str">
        <f>MID(VLOOKUP($A374,Seqs!$A:$B,2,FALSE),VLOOKUP($A374,'SegEnds_NonXtal_Prot#'!$A:$AL,22,FALSE)+7,1)</f>
        <v>T</v>
      </c>
      <c r="AD374" s="49" t="str">
        <f>MID(VLOOKUP($A374,Seqs!$A:$B,2,FALSE),VLOOKUP($A374,'SegEnds_NonXtal_Prot#'!$A:$AL,22,FALSE)+8,1)</f>
        <v>I</v>
      </c>
      <c r="AE374" s="49" t="str">
        <f>MID(VLOOKUP($A374,Seqs!$A:$B,2,FALSE),VLOOKUP($A374,'SegEnds_NonXtal_Prot#'!$A:$AL,22,FALSE)+9,1)</f>
        <v>V</v>
      </c>
      <c r="AF374" s="49" t="str">
        <f>MID(VLOOKUP($A374,Seqs!$A:$B,2,FALSE),VLOOKUP($A374,'SegEnds_NonXtal_Prot#'!$A:$AL,22,FALSE)+10,1)</f>
        <v>I</v>
      </c>
      <c r="AG374" s="28" t="str">
        <f>MID(VLOOKUP($A374,Seqs!$A:$B,2,FALSE),VLOOKUP($A374,'SegEnds_NonXtal_Prot#'!$A:$AL,28,FALSE)-4,1)</f>
        <v>P</v>
      </c>
      <c r="AH374" s="49" t="str">
        <f>MID(VLOOKUP($A374,Seqs!$A:$B,2,FALSE),VLOOKUP($A374,'SegEnds_NonXtal_Prot#'!$A:$AL,28,FALSE),1)</f>
        <v>Y</v>
      </c>
    </row>
    <row r="375" spans="1:34" s="2" customFormat="1" x14ac:dyDescent="0.2">
      <c r="A375" s="2" t="s">
        <v>451</v>
      </c>
      <c r="B375" s="2" t="str">
        <f>LOWER(VLOOKUP(A375,Xtal_Templ!A:B,2,FALSE))</f>
        <v>fzd4_human</v>
      </c>
      <c r="C375" s="2" t="str">
        <f>VLOOKUP(A375,Classification!A:D,2,FALSE)</f>
        <v>F</v>
      </c>
      <c r="D375" s="2" t="str">
        <f>IF(ISERROR(MATCH(A375,'SegEnds_Xtal_Prot#'!B:B, 0)), "NoXtal", "Xtal")</f>
        <v>NoXtal</v>
      </c>
      <c r="H375" s="4"/>
      <c r="P375" s="2" t="s">
        <v>1329</v>
      </c>
      <c r="V375" s="28" t="str">
        <f>MID(VLOOKUP($A375,Seqs!$A:$B,2,FALSE),VLOOKUP($A375,'SegEnds_NonXtal_Prot#'!A:AL,10,FALSE),1)</f>
        <v>A</v>
      </c>
      <c r="W375" s="49" t="str">
        <f>MID(VLOOKUP($A375,Seqs!$A:$B,2,FALSE),VLOOKUP($A375,'SegEnds_NonXtal_Prot#'!A:AL,10,FALSE)+6,1)</f>
        <v>S</v>
      </c>
      <c r="X375" s="49" t="str">
        <f>MID(VLOOKUP($A375,Seqs!$A:$B,2,FALSE),VLOOKUP($A375,'SegEnds_NonXtal_Prot#'!A:AL,10,FALSE)+7,1)</f>
        <v>L</v>
      </c>
      <c r="Y375" s="49" t="str">
        <f>MID(VLOOKUP($A375,Seqs!$A:$B,2,FALSE),VLOOKUP($A375,'SegEnds_NonXtal_Prot#'!A:AL,10,FALSE)+8,1)</f>
        <v>G</v>
      </c>
      <c r="Z375" s="49" t="str">
        <f>MID(VLOOKUP($A375,Seqs!$A:$B,2,FALSE),VLOOKUP($A375,'SegEnds_NonXtal_Prot#'!A:AL,10,FALSE)+9,1)</f>
        <v>F</v>
      </c>
      <c r="AA375" s="49" t="str">
        <f>MID(VLOOKUP($A375,Seqs!$A:$B,2,FALSE),VLOOKUP($A375,'SegEnds_NonXtal_Prot#'!A:AL,10,FALSE)+10,1)</f>
        <v>L</v>
      </c>
      <c r="AB375" s="28" t="str">
        <f>MID(VLOOKUP($A375,Seqs!$A:$B,2,FALSE),VLOOKUP($A375,'SegEnds_NonXtal_Prot#'!$A:$AL,22,FALSE)+6,1)</f>
        <v>K</v>
      </c>
      <c r="AC375" s="49" t="str">
        <f>MID(VLOOKUP($A375,Seqs!$A:$B,2,FALSE),VLOOKUP($A375,'SegEnds_NonXtal_Prot#'!$A:$AL,22,FALSE)+7,1)</f>
        <v>S</v>
      </c>
      <c r="AD375" s="49" t="str">
        <f>MID(VLOOKUP($A375,Seqs!$A:$B,2,FALSE),VLOOKUP($A375,'SegEnds_NonXtal_Prot#'!$A:$AL,22,FALSE)+8,1)</f>
        <v>I</v>
      </c>
      <c r="AE375" s="49" t="str">
        <f>MID(VLOOKUP($A375,Seqs!$A:$B,2,FALSE),VLOOKUP($A375,'SegEnds_NonXtal_Prot#'!$A:$AL,22,FALSE)+9,1)</f>
        <v>T</v>
      </c>
      <c r="AF375" s="49" t="str">
        <f>MID(VLOOKUP($A375,Seqs!$A:$B,2,FALSE),VLOOKUP($A375,'SegEnds_NonXtal_Prot#'!$A:$AL,22,FALSE)+10,1)</f>
        <v>A</v>
      </c>
      <c r="AG375" s="28" t="str">
        <f>MID(VLOOKUP($A375,Seqs!$A:$B,2,FALSE),VLOOKUP($A375,'SegEnds_NonXtal_Prot#'!$A:$AL,28,FALSE)-4,1)</f>
        <v>P</v>
      </c>
      <c r="AH375" s="49" t="str">
        <f>MID(VLOOKUP($A375,Seqs!$A:$B,2,FALSE),VLOOKUP($A375,'SegEnds_NonXtal_Prot#'!$A:$AL,28,FALSE),1)</f>
        <v>Y</v>
      </c>
    </row>
    <row r="376" spans="1:34" s="2" customFormat="1" x14ac:dyDescent="0.2">
      <c r="A376" s="2" t="s">
        <v>452</v>
      </c>
      <c r="B376" s="2" t="str">
        <f>LOWER(VLOOKUP(A376,Xtal_Templ!A:B,2,FALSE))</f>
        <v>fzd4_human</v>
      </c>
      <c r="C376" s="2" t="str">
        <f>VLOOKUP(A376,Classification!A:D,2,FALSE)</f>
        <v>F</v>
      </c>
      <c r="D376" s="2" t="str">
        <f>IF(ISERROR(MATCH(A376,'SegEnds_Xtal_Prot#'!B:B, 0)), "NoXtal", "Xtal")</f>
        <v>NoXtal</v>
      </c>
      <c r="H376" s="4"/>
      <c r="P376" s="2" t="s">
        <v>1329</v>
      </c>
      <c r="V376" s="28" t="str">
        <f>MID(VLOOKUP($A376,Seqs!$A:$B,2,FALSE),VLOOKUP($A376,'SegEnds_NonXtal_Prot#'!A:AL,10,FALSE),1)</f>
        <v>V</v>
      </c>
      <c r="W376" s="49" t="str">
        <f>MID(VLOOKUP($A376,Seqs!$A:$B,2,FALSE),VLOOKUP($A376,'SegEnds_NonXtal_Prot#'!A:AL,10,FALSE)+6,1)</f>
        <v>S</v>
      </c>
      <c r="X376" s="49" t="str">
        <f>MID(VLOOKUP($A376,Seqs!$A:$B,2,FALSE),VLOOKUP($A376,'SegEnds_NonXtal_Prot#'!A:AL,10,FALSE)+7,1)</f>
        <v>L</v>
      </c>
      <c r="Y376" s="49" t="str">
        <f>MID(VLOOKUP($A376,Seqs!$A:$B,2,FALSE),VLOOKUP($A376,'SegEnds_NonXtal_Prot#'!A:AL,10,FALSE)+8,1)</f>
        <v>M</v>
      </c>
      <c r="Z376" s="49" t="str">
        <f>MID(VLOOKUP($A376,Seqs!$A:$B,2,FALSE),VLOOKUP($A376,'SegEnds_NonXtal_Prot#'!A:AL,10,FALSE)+9,1)</f>
        <v>Y</v>
      </c>
      <c r="AA376" s="49" t="str">
        <f>MID(VLOOKUP($A376,Seqs!$A:$B,2,FALSE),VLOOKUP($A376,'SegEnds_NonXtal_Prot#'!A:AL,10,FALSE)+10,1)</f>
        <v>F</v>
      </c>
      <c r="AB376" s="28" t="str">
        <f>MID(VLOOKUP($A376,Seqs!$A:$B,2,FALSE),VLOOKUP($A376,'SegEnds_NonXtal_Prot#'!$A:$AL,22,FALSE)+6,1)</f>
        <v>L</v>
      </c>
      <c r="AC376" s="49" t="str">
        <f>MID(VLOOKUP($A376,Seqs!$A:$B,2,FALSE),VLOOKUP($A376,'SegEnds_NonXtal_Prot#'!$A:$AL,22,FALSE)+7,1)</f>
        <v>T</v>
      </c>
      <c r="AD376" s="49" t="str">
        <f>MID(VLOOKUP($A376,Seqs!$A:$B,2,FALSE),VLOOKUP($A376,'SegEnds_NonXtal_Prot#'!$A:$AL,22,FALSE)+8,1)</f>
        <v>V</v>
      </c>
      <c r="AE376" s="49" t="str">
        <f>MID(VLOOKUP($A376,Seqs!$A:$B,2,FALSE),VLOOKUP($A376,'SegEnds_NonXtal_Prot#'!$A:$AL,22,FALSE)+9,1)</f>
        <v>M</v>
      </c>
      <c r="AF376" s="49" t="str">
        <f>MID(VLOOKUP($A376,Seqs!$A:$B,2,FALSE),VLOOKUP($A376,'SegEnds_NonXtal_Prot#'!$A:$AL,22,FALSE)+10,1)</f>
        <v>L</v>
      </c>
      <c r="AG376" s="28" t="str">
        <f>MID(VLOOKUP($A376,Seqs!$A:$B,2,FALSE),VLOOKUP($A376,'SegEnds_NonXtal_Prot#'!$A:$AL,28,FALSE)-4,1)</f>
        <v>P</v>
      </c>
      <c r="AH376" s="49" t="str">
        <f>MID(VLOOKUP($A376,Seqs!$A:$B,2,FALSE),VLOOKUP($A376,'SegEnds_NonXtal_Prot#'!$A:$AL,28,FALSE),1)</f>
        <v>C</v>
      </c>
    </row>
    <row r="377" spans="1:34" s="2" customFormat="1" x14ac:dyDescent="0.2">
      <c r="A377" s="2" t="s">
        <v>453</v>
      </c>
      <c r="B377" s="2" t="str">
        <f>LOWER(VLOOKUP(A377,Xtal_Templ!A:B,2,FALSE))</f>
        <v>fzd4_human</v>
      </c>
      <c r="C377" s="2" t="str">
        <f>VLOOKUP(A377,Classification!A:D,2,FALSE)</f>
        <v>F</v>
      </c>
      <c r="D377" s="2" t="str">
        <f>IF(ISERROR(MATCH(A377,'SegEnds_Xtal_Prot#'!B:B, 0)), "NoXtal", "Xtal")</f>
        <v>NoXtal</v>
      </c>
      <c r="H377" s="4"/>
      <c r="P377" s="2" t="s">
        <v>1329</v>
      </c>
      <c r="V377" s="28" t="str">
        <f>MID(VLOOKUP($A377,Seqs!$A:$B,2,FALSE),VLOOKUP($A377,'SegEnds_NonXtal_Prot#'!A:AL,10,FALSE),1)</f>
        <v>G</v>
      </c>
      <c r="W377" s="49" t="str">
        <f>MID(VLOOKUP($A377,Seqs!$A:$B,2,FALSE),VLOOKUP($A377,'SegEnds_NonXtal_Prot#'!A:AL,10,FALSE)+6,1)</f>
        <v>A</v>
      </c>
      <c r="X377" s="49" t="str">
        <f>MID(VLOOKUP($A377,Seqs!$A:$B,2,FALSE),VLOOKUP($A377,'SegEnds_NonXtal_Prot#'!A:AL,10,FALSE)+7,1)</f>
        <v>V</v>
      </c>
      <c r="Y377" s="49" t="str">
        <f>MID(VLOOKUP($A377,Seqs!$A:$B,2,FALSE),VLOOKUP($A377,'SegEnds_NonXtal_Prot#'!A:AL,10,FALSE)+8,1)</f>
        <v>A</v>
      </c>
      <c r="Z377" s="49" t="str">
        <f>MID(VLOOKUP($A377,Seqs!$A:$B,2,FALSE),VLOOKUP($A377,'SegEnds_NonXtal_Prot#'!A:AL,10,FALSE)+9,1)</f>
        <v>H</v>
      </c>
      <c r="AA377" s="49" t="str">
        <f>MID(VLOOKUP($A377,Seqs!$A:$B,2,FALSE),VLOOKUP($A377,'SegEnds_NonXtal_Prot#'!A:AL,10,FALSE)+10,1)</f>
        <v>V</v>
      </c>
      <c r="AB377" s="28" t="str">
        <f>MID(VLOOKUP($A377,Seqs!$A:$B,2,FALSE),VLOOKUP($A377,'SegEnds_NonXtal_Prot#'!$A:$AL,22,FALSE)+6,1)</f>
        <v>K</v>
      </c>
      <c r="AC377" s="49" t="str">
        <f>MID(VLOOKUP($A377,Seqs!$A:$B,2,FALSE),VLOOKUP($A377,'SegEnds_NonXtal_Prot#'!$A:$AL,22,FALSE)+7,1)</f>
        <v>T</v>
      </c>
      <c r="AD377" s="49" t="str">
        <f>MID(VLOOKUP($A377,Seqs!$A:$B,2,FALSE),VLOOKUP($A377,'SegEnds_NonXtal_Prot#'!$A:$AL,22,FALSE)+8,1)</f>
        <v>I</v>
      </c>
      <c r="AE377" s="49" t="str">
        <f>MID(VLOOKUP($A377,Seqs!$A:$B,2,FALSE),VLOOKUP($A377,'SegEnds_NonXtal_Prot#'!$A:$AL,22,FALSE)+9,1)</f>
        <v>T</v>
      </c>
      <c r="AF377" s="49" t="str">
        <f>MID(VLOOKUP($A377,Seqs!$A:$B,2,FALSE),VLOOKUP($A377,'SegEnds_NonXtal_Prot#'!$A:$AL,22,FALSE)+10,1)</f>
        <v>I</v>
      </c>
      <c r="AG377" s="28" t="str">
        <f>MID(VLOOKUP($A377,Seqs!$A:$B,2,FALSE),VLOOKUP($A377,'SegEnds_NonXtal_Prot#'!$A:$AL,28,FALSE)-4,1)</f>
        <v>P</v>
      </c>
      <c r="AH377" s="49" t="str">
        <f>MID(VLOOKUP($A377,Seqs!$A:$B,2,FALSE),VLOOKUP($A377,'SegEnds_NonXtal_Prot#'!$A:$AL,28,FALSE),1)</f>
        <v>Y</v>
      </c>
    </row>
    <row r="378" spans="1:34" s="2" customFormat="1" x14ac:dyDescent="0.2">
      <c r="A378" s="2" t="s">
        <v>454</v>
      </c>
      <c r="B378" s="2" t="str">
        <f>LOWER(VLOOKUP(A378,Xtal_Templ!A:B,2,FALSE))</f>
        <v>fzd4_human</v>
      </c>
      <c r="C378" s="2" t="str">
        <f>VLOOKUP(A378,Classification!A:D,2,FALSE)</f>
        <v>F</v>
      </c>
      <c r="D378" s="2" t="str">
        <f>IF(ISERROR(MATCH(A378,'SegEnds_Xtal_Prot#'!B:B, 0)), "NoXtal", "Xtal")</f>
        <v>NoXtal</v>
      </c>
      <c r="H378" s="4"/>
      <c r="P378" s="2" t="s">
        <v>1329</v>
      </c>
      <c r="V378" s="28" t="str">
        <f>MID(VLOOKUP($A378,Seqs!$A:$B,2,FALSE),VLOOKUP($A378,'SegEnds_NonXtal_Prot#'!A:AL,10,FALSE),1)</f>
        <v>A</v>
      </c>
      <c r="W378" s="49" t="str">
        <f>MID(VLOOKUP($A378,Seqs!$A:$B,2,FALSE),VLOOKUP($A378,'SegEnds_NonXtal_Prot#'!A:AL,10,FALSE)+6,1)</f>
        <v>S</v>
      </c>
      <c r="X378" s="49" t="str">
        <f>MID(VLOOKUP($A378,Seqs!$A:$B,2,FALSE),VLOOKUP($A378,'SegEnds_NonXtal_Prot#'!A:AL,10,FALSE)+7,1)</f>
        <v>V</v>
      </c>
      <c r="Y378" s="49" t="str">
        <f>MID(VLOOKUP($A378,Seqs!$A:$B,2,FALSE),VLOOKUP($A378,'SegEnds_NonXtal_Prot#'!A:AL,10,FALSE)+8,1)</f>
        <v>G</v>
      </c>
      <c r="Z378" s="49" t="str">
        <f>MID(VLOOKUP($A378,Seqs!$A:$B,2,FALSE),VLOOKUP($A378,'SegEnds_NonXtal_Prot#'!A:AL,10,FALSE)+9,1)</f>
        <v>Y</v>
      </c>
      <c r="AA378" s="49" t="str">
        <f>MID(VLOOKUP($A378,Seqs!$A:$B,2,FALSE),VLOOKUP($A378,'SegEnds_NonXtal_Prot#'!A:AL,10,FALSE)+10,1)</f>
        <v>L</v>
      </c>
      <c r="AB378" s="28" t="str">
        <f>MID(VLOOKUP($A378,Seqs!$A:$B,2,FALSE),VLOOKUP($A378,'SegEnds_NonXtal_Prot#'!$A:$AL,22,FALSE)+6,1)</f>
        <v>K</v>
      </c>
      <c r="AC378" s="49" t="str">
        <f>MID(VLOOKUP($A378,Seqs!$A:$B,2,FALSE),VLOOKUP($A378,'SegEnds_NonXtal_Prot#'!$A:$AL,22,FALSE)+7,1)</f>
        <v>S</v>
      </c>
      <c r="AD378" s="49" t="str">
        <f>MID(VLOOKUP($A378,Seqs!$A:$B,2,FALSE),VLOOKUP($A378,'SegEnds_NonXtal_Prot#'!$A:$AL,22,FALSE)+8,1)</f>
        <v>I</v>
      </c>
      <c r="AE378" s="49" t="str">
        <f>MID(VLOOKUP($A378,Seqs!$A:$B,2,FALSE),VLOOKUP($A378,'SegEnds_NonXtal_Prot#'!$A:$AL,22,FALSE)+9,1)</f>
        <v>A</v>
      </c>
      <c r="AF378" s="49" t="str">
        <f>MID(VLOOKUP($A378,Seqs!$A:$B,2,FALSE),VLOOKUP($A378,'SegEnds_NonXtal_Prot#'!$A:$AL,22,FALSE)+10,1)</f>
        <v>V</v>
      </c>
      <c r="AG378" s="28" t="str">
        <f>MID(VLOOKUP($A378,Seqs!$A:$B,2,FALSE),VLOOKUP($A378,'SegEnds_NonXtal_Prot#'!$A:$AL,28,FALSE)-4,1)</f>
        <v>P</v>
      </c>
      <c r="AH378" s="49" t="str">
        <f>MID(VLOOKUP($A378,Seqs!$A:$B,2,FALSE),VLOOKUP($A378,'SegEnds_NonXtal_Prot#'!$A:$AL,28,FALSE),1)</f>
        <v>Y</v>
      </c>
    </row>
    <row r="379" spans="1:34" s="2" customFormat="1" x14ac:dyDescent="0.2">
      <c r="A379" s="2" t="s">
        <v>455</v>
      </c>
      <c r="B379" s="2" t="str">
        <f>LOWER(VLOOKUP(A379,Xtal_Templ!A:B,2,FALSE))</f>
        <v>fzd4_human</v>
      </c>
      <c r="C379" s="2" t="str">
        <f>VLOOKUP(A379,Classification!A:D,2,FALSE)</f>
        <v>F</v>
      </c>
      <c r="D379" s="2" t="str">
        <f>IF(ISERROR(MATCH(A379,'SegEnds_Xtal_Prot#'!B:B, 0)), "NoXtal", "Xtal")</f>
        <v>NoXtal</v>
      </c>
      <c r="H379" s="4"/>
      <c r="P379" s="2" t="s">
        <v>1329</v>
      </c>
      <c r="V379" s="28" t="str">
        <f>MID(VLOOKUP($A379,Seqs!$A:$B,2,FALSE),VLOOKUP($A379,'SegEnds_NonXtal_Prot#'!A:AL,10,FALSE),1)</f>
        <v>M</v>
      </c>
      <c r="W379" s="49" t="str">
        <f>MID(VLOOKUP($A379,Seqs!$A:$B,2,FALSE),VLOOKUP($A379,'SegEnds_NonXtal_Prot#'!A:AL,10,FALSE)+6,1)</f>
        <v>S</v>
      </c>
      <c r="X379" s="49" t="str">
        <f>MID(VLOOKUP($A379,Seqs!$A:$B,2,FALSE),VLOOKUP($A379,'SegEnds_NonXtal_Prot#'!A:AL,10,FALSE)+7,1)</f>
        <v>L</v>
      </c>
      <c r="Y379" s="49" t="str">
        <f>MID(VLOOKUP($A379,Seqs!$A:$B,2,FALSE),VLOOKUP($A379,'SegEnds_NonXtal_Prot#'!A:AL,10,FALSE)+8,1)</f>
        <v>A</v>
      </c>
      <c r="Z379" s="49" t="str">
        <f>MID(VLOOKUP($A379,Seqs!$A:$B,2,FALSE),VLOOKUP($A379,'SegEnds_NonXtal_Prot#'!A:AL,10,FALSE)+9,1)</f>
        <v>F</v>
      </c>
      <c r="AA379" s="49" t="str">
        <f>MID(VLOOKUP($A379,Seqs!$A:$B,2,FALSE),VLOOKUP($A379,'SegEnds_NonXtal_Prot#'!A:AL,10,FALSE)+10,1)</f>
        <v>L</v>
      </c>
      <c r="AB379" s="28" t="str">
        <f>MID(VLOOKUP($A379,Seqs!$A:$B,2,FALSE),VLOOKUP($A379,'SegEnds_NonXtal_Prot#'!$A:$AL,22,FALSE)+6,1)</f>
        <v>K</v>
      </c>
      <c r="AC379" s="49" t="str">
        <f>MID(VLOOKUP($A379,Seqs!$A:$B,2,FALSE),VLOOKUP($A379,'SegEnds_NonXtal_Prot#'!$A:$AL,22,FALSE)+7,1)</f>
        <v>T</v>
      </c>
      <c r="AD379" s="49" t="str">
        <f>MID(VLOOKUP($A379,Seqs!$A:$B,2,FALSE),VLOOKUP($A379,'SegEnds_NonXtal_Prot#'!$A:$AL,22,FALSE)+8,1)</f>
        <v>I</v>
      </c>
      <c r="AE379" s="49" t="str">
        <f>MID(VLOOKUP($A379,Seqs!$A:$B,2,FALSE),VLOOKUP($A379,'SegEnds_NonXtal_Prot#'!$A:$AL,22,FALSE)+9,1)</f>
        <v>V</v>
      </c>
      <c r="AF379" s="49" t="str">
        <f>MID(VLOOKUP($A379,Seqs!$A:$B,2,FALSE),VLOOKUP($A379,'SegEnds_NonXtal_Prot#'!$A:$AL,22,FALSE)+10,1)</f>
        <v>I</v>
      </c>
      <c r="AG379" s="28" t="str">
        <f>MID(VLOOKUP($A379,Seqs!$A:$B,2,FALSE),VLOOKUP($A379,'SegEnds_NonXtal_Prot#'!$A:$AL,28,FALSE)-4,1)</f>
        <v>P</v>
      </c>
      <c r="AH379" s="49" t="str">
        <f>MID(VLOOKUP($A379,Seqs!$A:$B,2,FALSE),VLOOKUP($A379,'SegEnds_NonXtal_Prot#'!$A:$AL,28,FALSE),1)</f>
        <v>Y</v>
      </c>
    </row>
    <row r="380" spans="1:34" s="2" customFormat="1" x14ac:dyDescent="0.2">
      <c r="A380" s="2" t="s">
        <v>33</v>
      </c>
      <c r="B380" s="2" t="str">
        <f>LOWER(VLOOKUP(A380,Xtal_Templ!A:B,2,FALSE))</f>
        <v>smo_human</v>
      </c>
      <c r="C380" s="2" t="str">
        <f>VLOOKUP(A380,Classification!A:D,2,FALSE)</f>
        <v>F</v>
      </c>
      <c r="D380" s="2" t="str">
        <f>IF(ISERROR(MATCH(A380,'SegEnds_Xtal_Prot#'!B:B, 0)), "NoXtal", "Xtal")</f>
        <v>Xtal</v>
      </c>
      <c r="H380" s="4"/>
      <c r="P380" s="2" t="s">
        <v>1329</v>
      </c>
      <c r="V380" s="28" t="str">
        <f>MID(VLOOKUP($A380,Seqs!$A:$B,2,FALSE),VLOOKUP($A380,'SegEnds_NonXtal_Prot#'!A:AL,10,FALSE),1)</f>
        <v>A</v>
      </c>
      <c r="W380" s="49" t="str">
        <f>MID(VLOOKUP($A380,Seqs!$A:$B,2,FALSE),VLOOKUP($A380,'SegEnds_NonXtal_Prot#'!A:AL,10,FALSE)+6,1)</f>
        <v>S</v>
      </c>
      <c r="X380" s="49" t="str">
        <f>MID(VLOOKUP($A380,Seqs!$A:$B,2,FALSE),VLOOKUP($A380,'SegEnds_NonXtal_Prot#'!A:AL,10,FALSE)+7,1)</f>
        <v>I</v>
      </c>
      <c r="Y380" s="49" t="str">
        <f>MID(VLOOKUP($A380,Seqs!$A:$B,2,FALSE),VLOOKUP($A380,'SegEnds_NonXtal_Prot#'!A:AL,10,FALSE)+8,1)</f>
        <v>G</v>
      </c>
      <c r="Z380" s="49" t="str">
        <f>MID(VLOOKUP($A380,Seqs!$A:$B,2,FALSE),VLOOKUP($A380,'SegEnds_NonXtal_Prot#'!A:AL,10,FALSE)+9,1)</f>
        <v>W</v>
      </c>
      <c r="AA380" s="49" t="str">
        <f>MID(VLOOKUP($A380,Seqs!$A:$B,2,FALSE),VLOOKUP($A380,'SegEnds_NonXtal_Prot#'!A:AL,10,FALSE)+10,1)</f>
        <v>L</v>
      </c>
      <c r="AB380" s="28" t="str">
        <f>MID(VLOOKUP($A380,Seqs!$A:$B,2,FALSE),VLOOKUP($A380,'SegEnds_NonXtal_Prot#'!$A:$AL,22,FALSE)+6,1)</f>
        <v>L</v>
      </c>
      <c r="AC380" s="49" t="str">
        <f>MID(VLOOKUP($A380,Seqs!$A:$B,2,FALSE),VLOOKUP($A380,'SegEnds_NonXtal_Prot#'!$A:$AL,22,FALSE)+7,1)</f>
        <v>T</v>
      </c>
      <c r="AD380" s="49" t="str">
        <f>MID(VLOOKUP($A380,Seqs!$A:$B,2,FALSE),VLOOKUP($A380,'SegEnds_NonXtal_Prot#'!$A:$AL,22,FALSE)+8,1)</f>
        <v>V</v>
      </c>
      <c r="AE380" s="49" t="str">
        <f>MID(VLOOKUP($A380,Seqs!$A:$B,2,FALSE),VLOOKUP($A380,'SegEnds_NonXtal_Prot#'!$A:$AL,22,FALSE)+9,1)</f>
        <v>A</v>
      </c>
      <c r="AF380" s="49" t="str">
        <f>MID(VLOOKUP($A380,Seqs!$A:$B,2,FALSE),VLOOKUP($A380,'SegEnds_NonXtal_Prot#'!$A:$AL,22,FALSE)+10,1)</f>
        <v>I</v>
      </c>
      <c r="AG380" s="28" t="str">
        <f>MID(VLOOKUP($A380,Seqs!$A:$B,2,FALSE),VLOOKUP($A380,'SegEnds_NonXtal_Prot#'!$A:$AL,28,FALSE)-4,1)</f>
        <v>P</v>
      </c>
      <c r="AH380" s="49" t="str">
        <f>MID(VLOOKUP($A380,Seqs!$A:$B,2,FALSE),VLOOKUP($A380,'SegEnds_NonXtal_Prot#'!$A:$AL,28,FALSE),1)</f>
        <v>V</v>
      </c>
    </row>
    <row r="381" spans="1:34" s="2" customFormat="1" x14ac:dyDescent="0.2">
      <c r="A381" s="2" t="s">
        <v>1509</v>
      </c>
      <c r="B381" s="2" t="str">
        <f>LOWER(VLOOKUP(A381,Xtal_Templ!A:B,2,FALSE))</f>
        <v>q98sw5_xenla</v>
      </c>
      <c r="C381" s="2" t="str">
        <f>VLOOKUP(A381,Classification!A:D,2,FALSE)</f>
        <v>F</v>
      </c>
      <c r="D381" s="2" t="str">
        <f>IF(ISERROR(MATCH(A381,'SegEnds_Xtal_Prot#'!B:B, 0)), "NoXtal", "Xtal")</f>
        <v>Xtal</v>
      </c>
      <c r="H381" s="4"/>
      <c r="P381" s="2" t="s">
        <v>1329</v>
      </c>
      <c r="V381" s="28" t="str">
        <f>MID(VLOOKUP($A381,Seqs!$A:$B,2,FALSE),VLOOKUP($A381,'SegEnds_NonXtal_Prot#'!A:AL,10,FALSE),1)</f>
        <v>A</v>
      </c>
      <c r="W381" s="49" t="str">
        <f>MID(VLOOKUP($A381,Seqs!$A:$B,2,FALSE),VLOOKUP($A381,'SegEnds_NonXtal_Prot#'!A:AL,10,FALSE)+6,1)</f>
        <v>S</v>
      </c>
      <c r="X381" s="49" t="str">
        <f>MID(VLOOKUP($A381,Seqs!$A:$B,2,FALSE),VLOOKUP($A381,'SegEnds_NonXtal_Prot#'!A:AL,10,FALSE)+7,1)</f>
        <v>I</v>
      </c>
      <c r="Y381" s="49" t="str">
        <f>MID(VLOOKUP($A381,Seqs!$A:$B,2,FALSE),VLOOKUP($A381,'SegEnds_NonXtal_Prot#'!A:AL,10,FALSE)+8,1)</f>
        <v>G</v>
      </c>
      <c r="Z381" s="49" t="str">
        <f>MID(VLOOKUP($A381,Seqs!$A:$B,2,FALSE),VLOOKUP($A381,'SegEnds_NonXtal_Prot#'!A:AL,10,FALSE)+9,1)</f>
        <v>W</v>
      </c>
      <c r="AA381" s="49" t="str">
        <f>MID(VLOOKUP($A381,Seqs!$A:$B,2,FALSE),VLOOKUP($A381,'SegEnds_NonXtal_Prot#'!A:AL,10,FALSE)+10,1)</f>
        <v>L</v>
      </c>
      <c r="AB381" s="28" t="str">
        <f>MID(VLOOKUP($A381,Seqs!$A:$B,2,FALSE),VLOOKUP($A381,'SegEnds_NonXtal_Prot#'!$A:$AL,22,FALSE)+6,1)</f>
        <v>L</v>
      </c>
      <c r="AC381" s="49" t="str">
        <f>MID(VLOOKUP($A381,Seqs!$A:$B,2,FALSE),VLOOKUP($A381,'SegEnds_NonXtal_Prot#'!$A:$AL,22,FALSE)+7,1)</f>
        <v>T</v>
      </c>
      <c r="AD381" s="49" t="str">
        <f>MID(VLOOKUP($A381,Seqs!$A:$B,2,FALSE),VLOOKUP($A381,'SegEnds_NonXtal_Prot#'!$A:$AL,22,FALSE)+8,1)</f>
        <v>V</v>
      </c>
      <c r="AE381" s="49" t="str">
        <f>MID(VLOOKUP($A381,Seqs!$A:$B,2,FALSE),VLOOKUP($A381,'SegEnds_NonXtal_Prot#'!$A:$AL,22,FALSE)+9,1)</f>
        <v>A</v>
      </c>
      <c r="AF381" s="49" t="str">
        <f>MID(VLOOKUP($A381,Seqs!$A:$B,2,FALSE),VLOOKUP($A381,'SegEnds_NonXtal_Prot#'!$A:$AL,22,FALSE)+10,1)</f>
        <v>I</v>
      </c>
      <c r="AG381" s="28" t="str">
        <f>MID(VLOOKUP($A381,Seqs!$A:$B,2,FALSE),VLOOKUP($A381,'SegEnds_NonXtal_Prot#'!$A:$AL,28,FALSE)-4,1)</f>
        <v>P</v>
      </c>
      <c r="AH381" s="49" t="str">
        <f>MID(VLOOKUP($A381,Seqs!$A:$B,2,FALSE),VLOOKUP($A381,'SegEnds_NonXtal_Prot#'!$A:$AL,28,FALSE),1)</f>
        <v>V</v>
      </c>
    </row>
    <row r="382" spans="1:34" s="2" customFormat="1" x14ac:dyDescent="0.2">
      <c r="A382" s="2" t="s">
        <v>485</v>
      </c>
      <c r="B382" s="2" t="str">
        <f>LOWER(VLOOKUP(A382,Xtal_Templ!A:B,2,FALSE))</f>
        <v>aa2ar_human</v>
      </c>
      <c r="C382" s="2" t="str">
        <f>VLOOKUP(A382,Classification!A:D,2,FALSE)</f>
        <v>O</v>
      </c>
      <c r="D382" s="2" t="str">
        <f>IF(ISERROR(MATCH(A382,'SegEnds_Xtal_Prot#'!B:B, 0)), "NoXtal", "Xtal")</f>
        <v>NoXtal</v>
      </c>
      <c r="H382" s="4"/>
      <c r="V382" s="28" t="str">
        <f>MID(VLOOKUP($A382,Seqs!$A:$B,2,FALSE),VLOOKUP($A382,'SegEnds_NonXtal_Prot#'!A:AL,10,FALSE),1)</f>
        <v>D</v>
      </c>
      <c r="W382" s="49" t="str">
        <f>MID(VLOOKUP($A382,Seqs!$A:$B,2,FALSE),VLOOKUP($A382,'SegEnds_NonXtal_Prot#'!A:AL,10,FALSE)+6,1)</f>
        <v>G</v>
      </c>
      <c r="X382" s="49" t="str">
        <f>MID(VLOOKUP($A382,Seqs!$A:$B,2,FALSE),VLOOKUP($A382,'SegEnds_NonXtal_Prot#'!A:AL,10,FALSE)+7,1)</f>
        <v>M</v>
      </c>
      <c r="Y382" s="49" t="str">
        <f>MID(VLOOKUP($A382,Seqs!$A:$B,2,FALSE),VLOOKUP($A382,'SegEnds_NonXtal_Prot#'!A:AL,10,FALSE)+8,1)</f>
        <v>V</v>
      </c>
      <c r="Z382" s="49" t="str">
        <f>MID(VLOOKUP($A382,Seqs!$A:$B,2,FALSE),VLOOKUP($A382,'SegEnds_NonXtal_Prot#'!A:AL,10,FALSE)+9,1)</f>
        <v>I</v>
      </c>
      <c r="AA382" s="49" t="str">
        <f>MID(VLOOKUP($A382,Seqs!$A:$B,2,FALSE),VLOOKUP($A382,'SegEnds_NonXtal_Prot#'!A:AL,10,FALSE)+10,1)</f>
        <v>R</v>
      </c>
      <c r="AB382" s="28" t="str">
        <f>MID(VLOOKUP($A382,Seqs!$A:$B,2,FALSE),VLOOKUP($A382,'SegEnds_NonXtal_Prot#'!$A:$AL,22,FALSE)+6,1)</f>
        <v>L</v>
      </c>
      <c r="AC382" s="49" t="str">
        <f>MID(VLOOKUP($A382,Seqs!$A:$B,2,FALSE),VLOOKUP($A382,'SegEnds_NonXtal_Prot#'!$A:$AL,22,FALSE)+7,1)</f>
        <v>C</v>
      </c>
      <c r="AD382" s="49" t="str">
        <f>MID(VLOOKUP($A382,Seqs!$A:$B,2,FALSE),VLOOKUP($A382,'SegEnds_NonXtal_Prot#'!$A:$AL,22,FALSE)+8,1)</f>
        <v>V</v>
      </c>
      <c r="AE382" s="49" t="str">
        <f>MID(VLOOKUP($A382,Seqs!$A:$B,2,FALSE),VLOOKUP($A382,'SegEnds_NonXtal_Prot#'!$A:$AL,22,FALSE)+9,1)</f>
        <v>E</v>
      </c>
      <c r="AF382" s="49" t="str">
        <f>MID(VLOOKUP($A382,Seqs!$A:$B,2,FALSE),VLOOKUP($A382,'SegEnds_NonXtal_Prot#'!$A:$AL,22,FALSE)+10,1)</f>
        <v>G</v>
      </c>
      <c r="AG382" s="28" t="str">
        <f>MID(VLOOKUP($A382,Seqs!$A:$B,2,FALSE),VLOOKUP($A382,'SegEnds_NonXtal_Prot#'!$A:$AL,28,FALSE)-4,1)</f>
        <v>T</v>
      </c>
      <c r="AH382" s="49" t="str">
        <f>MID(VLOOKUP($A382,Seqs!$A:$B,2,FALSE),VLOOKUP($A382,'SegEnds_NonXtal_Prot#'!$A:$AL,28,FALSE),1)</f>
        <v>P</v>
      </c>
    </row>
    <row r="383" spans="1:34" s="2" customFormat="1" x14ac:dyDescent="0.2">
      <c r="A383" s="2" t="s">
        <v>481</v>
      </c>
      <c r="B383" s="2" t="str">
        <f>LOWER(VLOOKUP(A383,Xtal_Templ!A:B,2,FALSE))</f>
        <v>agtr1_human</v>
      </c>
      <c r="C383" s="2" t="str">
        <f>VLOOKUP(A383,Classification!A:D,2,FALSE)</f>
        <v>O</v>
      </c>
      <c r="D383" s="2" t="str">
        <f>IF(ISERROR(MATCH(A383,'SegEnds_Xtal_Prot#'!B:B, 0)), "NoXtal", "Xtal")</f>
        <v>NoXtal</v>
      </c>
      <c r="H383" s="4"/>
      <c r="V383" s="28" t="str">
        <f>MID(VLOOKUP($A383,Seqs!$A:$B,2,FALSE),VLOOKUP($A383,'SegEnds_NonXtal_Prot#'!A:AL,10,FALSE),1)</f>
        <v>A</v>
      </c>
      <c r="W383" s="49" t="str">
        <f>MID(VLOOKUP($A383,Seqs!$A:$B,2,FALSE),VLOOKUP($A383,'SegEnds_NonXtal_Prot#'!A:AL,10,FALSE)+6,1)</f>
        <v>F</v>
      </c>
      <c r="X383" s="49" t="str">
        <f>MID(VLOOKUP($A383,Seqs!$A:$B,2,FALSE),VLOOKUP($A383,'SegEnds_NonXtal_Prot#'!A:AL,10,FALSE)+7,1)</f>
        <v>S</v>
      </c>
      <c r="Y383" s="49" t="str">
        <f>MID(VLOOKUP($A383,Seqs!$A:$B,2,FALSE),VLOOKUP($A383,'SegEnds_NonXtal_Prot#'!A:AL,10,FALSE)+8,1)</f>
        <v>F</v>
      </c>
      <c r="Z383" s="49" t="str">
        <f>MID(VLOOKUP($A383,Seqs!$A:$B,2,FALSE),VLOOKUP($A383,'SegEnds_NonXtal_Prot#'!A:AL,10,FALSE)+9,1)</f>
        <v>Y</v>
      </c>
      <c r="AA383" s="49" t="str">
        <f>MID(VLOOKUP($A383,Seqs!$A:$B,2,FALSE),VLOOKUP($A383,'SegEnds_NonXtal_Prot#'!A:AL,10,FALSE)+10,1)</f>
        <v>F</v>
      </c>
      <c r="AB383" s="28" t="str">
        <f>MID(VLOOKUP($A383,Seqs!$A:$B,2,FALSE),VLOOKUP($A383,'SegEnds_NonXtal_Prot#'!$A:$AL,22,FALSE)+6,1)</f>
        <v>A</v>
      </c>
      <c r="AC383" s="49" t="str">
        <f>MID(VLOOKUP($A383,Seqs!$A:$B,2,FALSE),VLOOKUP($A383,'SegEnds_NonXtal_Prot#'!$A:$AL,22,FALSE)+7,1)</f>
        <v>A</v>
      </c>
      <c r="AD383" s="49" t="str">
        <f>MID(VLOOKUP($A383,Seqs!$A:$B,2,FALSE),VLOOKUP($A383,'SegEnds_NonXtal_Prot#'!$A:$AL,22,FALSE)+8,1)</f>
        <v>C</v>
      </c>
      <c r="AE383" s="49" t="str">
        <f>MID(VLOOKUP($A383,Seqs!$A:$B,2,FALSE),VLOOKUP($A383,'SegEnds_NonXtal_Prot#'!$A:$AL,22,FALSE)+9,1)</f>
        <v>L</v>
      </c>
      <c r="AF383" s="49" t="str">
        <f>MID(VLOOKUP($A383,Seqs!$A:$B,2,FALSE),VLOOKUP($A383,'SegEnds_NonXtal_Prot#'!$A:$AL,22,FALSE)+10,1)</f>
        <v>C</v>
      </c>
      <c r="AG383" s="28" t="str">
        <f>MID(VLOOKUP($A383,Seqs!$A:$B,2,FALSE),VLOOKUP($A383,'SegEnds_NonXtal_Prot#'!$A:$AL,28,FALSE)-4,1)</f>
        <v>L</v>
      </c>
      <c r="AH383" s="49" t="str">
        <f>MID(VLOOKUP($A383,Seqs!$A:$B,2,FALSE),VLOOKUP($A383,'SegEnds_NonXtal_Prot#'!$A:$AL,28,FALSE),1)</f>
        <v>L</v>
      </c>
    </row>
    <row r="384" spans="1:34" s="2" customFormat="1" x14ac:dyDescent="0.2">
      <c r="A384" s="2" t="s">
        <v>484</v>
      </c>
      <c r="B384" s="2" t="str">
        <f>LOWER(VLOOKUP(A384,Xtal_Templ!A:B,2,FALSE))</f>
        <v>pe2r4_human</v>
      </c>
      <c r="C384" s="2" t="str">
        <f>VLOOKUP(A384,Classification!A:D,2,FALSE)</f>
        <v>O</v>
      </c>
      <c r="D384" s="2" t="str">
        <f>IF(ISERROR(MATCH(A384,'SegEnds_Xtal_Prot#'!B:B, 0)), "NoXtal", "Xtal")</f>
        <v>NoXtal</v>
      </c>
      <c r="H384" s="4"/>
      <c r="V384" s="28" t="str">
        <f>MID(VLOOKUP($A384,Seqs!$A:$B,2,FALSE),VLOOKUP($A384,'SegEnds_NonXtal_Prot#'!A:AL,10,FALSE),1)</f>
        <v>A</v>
      </c>
      <c r="W384" s="49" t="str">
        <f>MID(VLOOKUP($A384,Seqs!$A:$B,2,FALSE),VLOOKUP($A384,'SegEnds_NonXtal_Prot#'!A:AL,10,FALSE)+6,1)</f>
        <v>M</v>
      </c>
      <c r="X384" s="49" t="str">
        <f>MID(VLOOKUP($A384,Seqs!$A:$B,2,FALSE),VLOOKUP($A384,'SegEnds_NonXtal_Prot#'!A:AL,10,FALSE)+7,1)</f>
        <v>T</v>
      </c>
      <c r="Y384" s="49" t="str">
        <f>MID(VLOOKUP($A384,Seqs!$A:$B,2,FALSE),VLOOKUP($A384,'SegEnds_NonXtal_Prot#'!A:AL,10,FALSE)+8,1)</f>
        <v>V</v>
      </c>
      <c r="Z384" s="49" t="str">
        <f>MID(VLOOKUP($A384,Seqs!$A:$B,2,FALSE),VLOOKUP($A384,'SegEnds_NonXtal_Prot#'!A:AL,10,FALSE)+9,1)</f>
        <v>S</v>
      </c>
      <c r="AA384" s="49" t="str">
        <f>MID(VLOOKUP($A384,Seqs!$A:$B,2,FALSE),VLOOKUP($A384,'SegEnds_NonXtal_Prot#'!A:AL,10,FALSE)+10,1)</f>
        <v>T</v>
      </c>
      <c r="AB384" s="28" t="str">
        <f>MID(VLOOKUP($A384,Seqs!$A:$B,2,FALSE),VLOOKUP($A384,'SegEnds_NonXtal_Prot#'!$A:$AL,22,FALSE)+6,1)</f>
        <v>L</v>
      </c>
      <c r="AC384" s="49" t="str">
        <f>MID(VLOOKUP($A384,Seqs!$A:$B,2,FALSE),VLOOKUP($A384,'SegEnds_NonXtal_Prot#'!$A:$AL,22,FALSE)+7,1)</f>
        <v>S</v>
      </c>
      <c r="AD384" s="49" t="str">
        <f>MID(VLOOKUP($A384,Seqs!$A:$B,2,FALSE),VLOOKUP($A384,'SegEnds_NonXtal_Prot#'!$A:$AL,22,FALSE)+8,1)</f>
        <v>A</v>
      </c>
      <c r="AE384" s="49" t="str">
        <f>MID(VLOOKUP($A384,Seqs!$A:$B,2,FALSE),VLOOKUP($A384,'SegEnds_NonXtal_Prot#'!$A:$AL,22,FALSE)+9,1)</f>
        <v>E</v>
      </c>
      <c r="AF384" s="49" t="str">
        <f>MID(VLOOKUP($A384,Seqs!$A:$B,2,FALSE),VLOOKUP($A384,'SegEnds_NonXtal_Prot#'!$A:$AL,22,FALSE)+10,1)</f>
        <v>D</v>
      </c>
      <c r="AG384" s="28" t="str">
        <f>MID(VLOOKUP($A384,Seqs!$A:$B,2,FALSE),VLOOKUP($A384,'SegEnds_NonXtal_Prot#'!$A:$AL,28,FALSE)-4,1)</f>
        <v>F</v>
      </c>
      <c r="AH384" s="49" t="str">
        <f>MID(VLOOKUP($A384,Seqs!$A:$B,2,FALSE),VLOOKUP($A384,'SegEnds_NonXtal_Prot#'!$A:$AL,28,FALSE),1)</f>
        <v>S</v>
      </c>
    </row>
    <row r="385" spans="1:34" s="2" customFormat="1" x14ac:dyDescent="0.2">
      <c r="A385" s="2" t="s">
        <v>486</v>
      </c>
      <c r="B385" s="2" t="str">
        <f>LOWER(VLOOKUP(A385,Xtal_Templ!A:B,2,FALSE))</f>
        <v>5ht2c_human</v>
      </c>
      <c r="C385" s="2" t="str">
        <f>VLOOKUP(A385,Classification!A:D,2,FALSE)</f>
        <v>O</v>
      </c>
      <c r="D385" s="2" t="str">
        <f>IF(ISERROR(MATCH(A385,'SegEnds_Xtal_Prot#'!B:B, 0)), "NoXtal", "Xtal")</f>
        <v>NoXtal</v>
      </c>
      <c r="H385" s="4"/>
      <c r="V385" s="28" t="str">
        <f>MID(VLOOKUP($A385,Seqs!$A:$B,2,FALSE),VLOOKUP($A385,'SegEnds_NonXtal_Prot#'!A:AL,10,FALSE),1)</f>
        <v>D</v>
      </c>
      <c r="W385" s="49" t="str">
        <f>MID(VLOOKUP($A385,Seqs!$A:$B,2,FALSE),VLOOKUP($A385,'SegEnds_NonXtal_Prot#'!A:AL,10,FALSE)+6,1)</f>
        <v>S</v>
      </c>
      <c r="X385" s="49" t="str">
        <f>MID(VLOOKUP($A385,Seqs!$A:$B,2,FALSE),VLOOKUP($A385,'SegEnds_NonXtal_Prot#'!A:AL,10,FALSE)+7,1)</f>
        <v>Y</v>
      </c>
      <c r="Y385" s="49" t="str">
        <f>MID(VLOOKUP($A385,Seqs!$A:$B,2,FALSE),VLOOKUP($A385,'SegEnds_NonXtal_Prot#'!A:AL,10,FALSE)+8,1)</f>
        <v>F</v>
      </c>
      <c r="Z385" s="49" t="str">
        <f>MID(VLOOKUP($A385,Seqs!$A:$B,2,FALSE),VLOOKUP($A385,'SegEnds_NonXtal_Prot#'!A:AL,10,FALSE)+9,1)</f>
        <v>Y</v>
      </c>
      <c r="AA385" s="49" t="str">
        <f>MID(VLOOKUP($A385,Seqs!$A:$B,2,FALSE),VLOOKUP($A385,'SegEnds_NonXtal_Prot#'!A:AL,10,FALSE)+10,1)</f>
        <v>G</v>
      </c>
      <c r="AB385" s="28" t="str">
        <f>MID(VLOOKUP($A385,Seqs!$A:$B,2,FALSE),VLOOKUP($A385,'SegEnds_NonXtal_Prot#'!$A:$AL,22,FALSE)+6,1)</f>
        <v>A</v>
      </c>
      <c r="AC385" s="49" t="str">
        <f>MID(VLOOKUP($A385,Seqs!$A:$B,2,FALSE),VLOOKUP($A385,'SegEnds_NonXtal_Prot#'!$A:$AL,22,FALSE)+7,1)</f>
        <v>L</v>
      </c>
      <c r="AD385" s="49" t="str">
        <f>MID(VLOOKUP($A385,Seqs!$A:$B,2,FALSE),VLOOKUP($A385,'SegEnds_NonXtal_Prot#'!$A:$AL,22,FALSE)+8,1)</f>
        <v>K</v>
      </c>
      <c r="AE385" s="49" t="str">
        <f>MID(VLOOKUP($A385,Seqs!$A:$B,2,FALSE),VLOOKUP($A385,'SegEnds_NonXtal_Prot#'!$A:$AL,22,FALSE)+9,1)</f>
        <v>K</v>
      </c>
      <c r="AF385" s="49" t="str">
        <f>MID(VLOOKUP($A385,Seqs!$A:$B,2,FALSE),VLOOKUP($A385,'SegEnds_NonXtal_Prot#'!$A:$AL,22,FALSE)+10,1)</f>
        <v>I</v>
      </c>
      <c r="AG385" s="28" t="str">
        <f>MID(VLOOKUP($A385,Seqs!$A:$B,2,FALSE),VLOOKUP($A385,'SegEnds_NonXtal_Prot#'!$A:$AL,28,FALSE)-4,1)</f>
        <v>D</v>
      </c>
      <c r="AH385" s="49" t="str">
        <f>MID(VLOOKUP($A385,Seqs!$A:$B,2,FALSE),VLOOKUP($A385,'SegEnds_NonXtal_Prot#'!$A:$AL,28,FALSE),1)</f>
        <v>K</v>
      </c>
    </row>
    <row r="386" spans="1:34" s="2" customFormat="1" x14ac:dyDescent="0.2">
      <c r="A386" s="2" t="s">
        <v>482</v>
      </c>
      <c r="B386" s="2" t="str">
        <f>LOWER(VLOOKUP(A386,Xtal_Templ!A:B,2,FALSE))</f>
        <v>ccr9_human</v>
      </c>
      <c r="C386" s="2" t="str">
        <f>VLOOKUP(A386,Classification!A:D,2,FALSE)</f>
        <v>O</v>
      </c>
      <c r="D386" s="2" t="str">
        <f>IF(ISERROR(MATCH(A386,'SegEnds_Xtal_Prot#'!B:B, 0)), "NoXtal", "Xtal")</f>
        <v>NoXtal</v>
      </c>
      <c r="H386" s="4"/>
      <c r="V386" s="28" t="str">
        <f>MID(VLOOKUP($A386,Seqs!$A:$B,2,FALSE),VLOOKUP($A386,'SegEnds_NonXtal_Prot#'!A:AL,10,FALSE),1)</f>
        <v>W</v>
      </c>
      <c r="W386" s="49" t="str">
        <f>MID(VLOOKUP($A386,Seqs!$A:$B,2,FALSE),VLOOKUP($A386,'SegEnds_NonXtal_Prot#'!A:AL,10,FALSE)+6,1)</f>
        <v>K</v>
      </c>
      <c r="X386" s="49" t="str">
        <f>MID(VLOOKUP($A386,Seqs!$A:$B,2,FALSE),VLOOKUP($A386,'SegEnds_NonXtal_Prot#'!A:AL,10,FALSE)+7,1)</f>
        <v>R</v>
      </c>
      <c r="Y386" s="49" t="str">
        <f>MID(VLOOKUP($A386,Seqs!$A:$B,2,FALSE),VLOOKUP($A386,'SegEnds_NonXtal_Prot#'!A:AL,10,FALSE)+8,1)</f>
        <v>R</v>
      </c>
      <c r="Z386" s="49" t="str">
        <f>MID(VLOOKUP($A386,Seqs!$A:$B,2,FALSE),VLOOKUP($A386,'SegEnds_NonXtal_Prot#'!A:AL,10,FALSE)+9,1)</f>
        <v>N</v>
      </c>
      <c r="AA386" s="49" t="str">
        <f>MID(VLOOKUP($A386,Seqs!$A:$B,2,FALSE),VLOOKUP($A386,'SegEnds_NonXtal_Prot#'!A:AL,10,FALSE)+10,1)</f>
        <v>D</v>
      </c>
      <c r="AB386" s="28" t="str">
        <f>MID(VLOOKUP($A386,Seqs!$A:$B,2,FALSE),VLOOKUP($A386,'SegEnds_NonXtal_Prot#'!$A:$AL,22,FALSE)+6,1)</f>
        <v>Y</v>
      </c>
      <c r="AC386" s="49" t="str">
        <f>MID(VLOOKUP($A386,Seqs!$A:$B,2,FALSE),VLOOKUP($A386,'SegEnds_NonXtal_Prot#'!$A:$AL,22,FALSE)+7,1)</f>
        <v>G</v>
      </c>
      <c r="AD386" s="49" t="str">
        <f>MID(VLOOKUP($A386,Seqs!$A:$B,2,FALSE),VLOOKUP($A386,'SegEnds_NonXtal_Prot#'!$A:$AL,22,FALSE)+8,1)</f>
        <v>L</v>
      </c>
      <c r="AE386" s="49" t="str">
        <f>MID(VLOOKUP($A386,Seqs!$A:$B,2,FALSE),VLOOKUP($A386,'SegEnds_NonXtal_Prot#'!$A:$AL,22,FALSE)+9,1)</f>
        <v>W</v>
      </c>
      <c r="AF386" s="49" t="str">
        <f>MID(VLOOKUP($A386,Seqs!$A:$B,2,FALSE),VLOOKUP($A386,'SegEnds_NonXtal_Prot#'!$A:$AL,22,FALSE)+10,1)</f>
        <v>K</v>
      </c>
      <c r="AG386" s="28" t="str">
        <f>MID(VLOOKUP($A386,Seqs!$A:$B,2,FALSE),VLOOKUP($A386,'SegEnds_NonXtal_Prot#'!$A:$AL,28,FALSE)-4,1)</f>
        <v>A</v>
      </c>
      <c r="AH386" s="49" t="str">
        <f>MID(VLOOKUP($A386,Seqs!$A:$B,2,FALSE),VLOOKUP($A386,'SegEnds_NonXtal_Prot#'!$A:$AL,28,FALSE),1)</f>
        <v>P</v>
      </c>
    </row>
    <row r="387" spans="1:34" s="2" customFormat="1" x14ac:dyDescent="0.2">
      <c r="A387" s="2" t="s">
        <v>472</v>
      </c>
      <c r="B387" s="2" t="str">
        <f>LOWER(VLOOKUP(A387,Xtal_Templ!A:B,2,FALSE))</f>
        <v>oprk_human</v>
      </c>
      <c r="C387" s="2" t="str">
        <f>VLOOKUP(A387,Classification!A:D,2,FALSE)</f>
        <v>T</v>
      </c>
      <c r="D387" s="2" t="str">
        <f>IF(ISERROR(MATCH(A387,'SegEnds_Xtal_Prot#'!B:B, 0)), "NoXtal", "Xtal")</f>
        <v>NoXtal</v>
      </c>
      <c r="H387" s="4"/>
      <c r="V387" s="28" t="str">
        <f>MID(VLOOKUP($A387,Seqs!$A:$B,2,FALSE),VLOOKUP($A387,'SegEnds_NonXtal_Prot#'!A:AL,10,FALSE),1)</f>
        <v>R</v>
      </c>
      <c r="W387" s="49" t="str">
        <f>MID(VLOOKUP($A387,Seqs!$A:$B,2,FALSE),VLOOKUP($A387,'SegEnds_NonXtal_Prot#'!A:AL,10,FALSE)+6,1)</f>
        <v>V</v>
      </c>
      <c r="X387" s="49" t="str">
        <f>MID(VLOOKUP($A387,Seqs!$A:$B,2,FALSE),VLOOKUP($A387,'SegEnds_NonXtal_Prot#'!A:AL,10,FALSE)+7,1)</f>
        <v>V</v>
      </c>
      <c r="Y387" s="49" t="str">
        <f>MID(VLOOKUP($A387,Seqs!$A:$B,2,FALSE),VLOOKUP($A387,'SegEnds_NonXtal_Prot#'!A:AL,10,FALSE)+8,1)</f>
        <v>M</v>
      </c>
      <c r="Z387" s="49" t="str">
        <f>MID(VLOOKUP($A387,Seqs!$A:$B,2,FALSE),VLOOKUP($A387,'SegEnds_NonXtal_Prot#'!A:AL,10,FALSE)+9,1)</f>
        <v>G</v>
      </c>
      <c r="AA387" s="49" t="str">
        <f>MID(VLOOKUP($A387,Seqs!$A:$B,2,FALSE),VLOOKUP($A387,'SegEnds_NonXtal_Prot#'!A:AL,10,FALSE)+10,1)</f>
        <v>K</v>
      </c>
      <c r="AB387" s="28" t="str">
        <f>MID(VLOOKUP($A387,Seqs!$A:$B,2,FALSE),VLOOKUP($A387,'SegEnds_NonXtal_Prot#'!$A:$AL,22,FALSE)+6,1)</f>
        <v>S</v>
      </c>
      <c r="AC387" s="49" t="str">
        <f>MID(VLOOKUP($A387,Seqs!$A:$B,2,FALSE),VLOOKUP($A387,'SegEnds_NonXtal_Prot#'!$A:$AL,22,FALSE)+7,1)</f>
        <v>F</v>
      </c>
      <c r="AD387" s="49" t="str">
        <f>MID(VLOOKUP($A387,Seqs!$A:$B,2,FALSE),VLOOKUP($A387,'SegEnds_NonXtal_Prot#'!$A:$AL,22,FALSE)+8,1)</f>
        <v>T</v>
      </c>
      <c r="AE387" s="49" t="str">
        <f>MID(VLOOKUP($A387,Seqs!$A:$B,2,FALSE),VLOOKUP($A387,'SegEnds_NonXtal_Prot#'!$A:$AL,22,FALSE)+9,1)</f>
        <v>T</v>
      </c>
      <c r="AF387" s="49" t="str">
        <f>MID(VLOOKUP($A387,Seqs!$A:$B,2,FALSE),VLOOKUP($A387,'SegEnds_NonXtal_Prot#'!$A:$AL,22,FALSE)+10,1)</f>
        <v>I</v>
      </c>
      <c r="AG387" s="28" t="str">
        <f>MID(VLOOKUP($A387,Seqs!$A:$B,2,FALSE),VLOOKUP($A387,'SegEnds_NonXtal_Prot#'!$A:$AL,28,FALSE)-4,1)</f>
        <v>T</v>
      </c>
      <c r="AH387" s="49" t="str">
        <f>MID(VLOOKUP($A387,Seqs!$A:$B,2,FALSE),VLOOKUP($A387,'SegEnds_NonXtal_Prot#'!$A:$AL,28,FALSE),1)</f>
        <v>P</v>
      </c>
    </row>
    <row r="388" spans="1:34" s="2" customFormat="1" x14ac:dyDescent="0.2">
      <c r="A388" s="2" t="s">
        <v>457</v>
      </c>
      <c r="B388" s="2" t="str">
        <f>LOWER(VLOOKUP(A388,Xtal_Templ!A:B,2,FALSE))</f>
        <v>5ht2a_human</v>
      </c>
      <c r="C388" s="2" t="str">
        <f>VLOOKUP(A388,Classification!A:D,2,FALSE)</f>
        <v>T</v>
      </c>
      <c r="D388" s="2" t="str">
        <f>IF(ISERROR(MATCH(A388,'SegEnds_Xtal_Prot#'!B:B, 0)), "NoXtal", "Xtal")</f>
        <v>NoXtal</v>
      </c>
      <c r="H388" s="4"/>
      <c r="V388" s="28" t="str">
        <f>MID(VLOOKUP($A388,Seqs!$A:$B,2,FALSE),VLOOKUP($A388,'SegEnds_NonXtal_Prot#'!A:AL,10,FALSE),1)</f>
        <v>R</v>
      </c>
      <c r="W388" s="49" t="str">
        <f>MID(VLOOKUP($A388,Seqs!$A:$B,2,FALSE),VLOOKUP($A388,'SegEnds_NonXtal_Prot#'!A:AL,10,FALSE)+6,1)</f>
        <v>E</v>
      </c>
      <c r="X388" s="49" t="str">
        <f>MID(VLOOKUP($A388,Seqs!$A:$B,2,FALSE),VLOOKUP($A388,'SegEnds_NonXtal_Prot#'!A:AL,10,FALSE)+7,1)</f>
        <v>I</v>
      </c>
      <c r="Y388" s="49" t="str">
        <f>MID(VLOOKUP($A388,Seqs!$A:$B,2,FALSE),VLOOKUP($A388,'SegEnds_NonXtal_Prot#'!A:AL,10,FALSE)+8,1)</f>
        <v>L</v>
      </c>
      <c r="Z388" s="49" t="str">
        <f>MID(VLOOKUP($A388,Seqs!$A:$B,2,FALSE),VLOOKUP($A388,'SegEnds_NonXtal_Prot#'!A:AL,10,FALSE)+9,1)</f>
        <v>V</v>
      </c>
      <c r="AA388" s="49" t="str">
        <f>MID(VLOOKUP($A388,Seqs!$A:$B,2,FALSE),VLOOKUP($A388,'SegEnds_NonXtal_Prot#'!A:AL,10,FALSE)+10,1)</f>
        <v>S</v>
      </c>
      <c r="AB388" s="28" t="str">
        <f>MID(VLOOKUP($A388,Seqs!$A:$B,2,FALSE),VLOOKUP($A388,'SegEnds_NonXtal_Prot#'!$A:$AL,22,FALSE)+6,1)</f>
        <v>F</v>
      </c>
      <c r="AC388" s="49" t="str">
        <f>MID(VLOOKUP($A388,Seqs!$A:$B,2,FALSE),VLOOKUP($A388,'SegEnds_NonXtal_Prot#'!$A:$AL,22,FALSE)+7,1)</f>
        <v>L</v>
      </c>
      <c r="AD388" s="49" t="str">
        <f>MID(VLOOKUP($A388,Seqs!$A:$B,2,FALSE),VLOOKUP($A388,'SegEnds_NonXtal_Prot#'!$A:$AL,22,FALSE)+8,1)</f>
        <v>N</v>
      </c>
      <c r="AE388" s="49" t="str">
        <f>MID(VLOOKUP($A388,Seqs!$A:$B,2,FALSE),VLOOKUP($A388,'SegEnds_NonXtal_Prot#'!$A:$AL,22,FALSE)+9,1)</f>
        <v>L</v>
      </c>
      <c r="AF388" s="49" t="str">
        <f>MID(VLOOKUP($A388,Seqs!$A:$B,2,FALSE),VLOOKUP($A388,'SegEnds_NonXtal_Prot#'!$A:$AL,22,FALSE)+10,1)</f>
        <v>I</v>
      </c>
      <c r="AG388" s="28" t="str">
        <f>MID(VLOOKUP($A388,Seqs!$A:$B,2,FALSE),VLOOKUP($A388,'SegEnds_NonXtal_Prot#'!$A:$AL,28,FALSE)-4,1)</f>
        <v>F</v>
      </c>
      <c r="AH388" s="49" t="str">
        <f>MID(VLOOKUP($A388,Seqs!$A:$B,2,FALSE),VLOOKUP($A388,'SegEnds_NonXtal_Prot#'!$A:$AL,28,FALSE),1)</f>
        <v>P</v>
      </c>
    </row>
    <row r="389" spans="1:34" s="2" customFormat="1" x14ac:dyDescent="0.2">
      <c r="A389" s="2" t="s">
        <v>476</v>
      </c>
      <c r="B389" s="2" t="str">
        <f>LOWER(VLOOKUP(A389,Xtal_Templ!A:B,2,FALSE))</f>
        <v>5ht1b_human</v>
      </c>
      <c r="C389" s="2" t="str">
        <f>VLOOKUP(A389,Classification!A:D,2,FALSE)</f>
        <v>T</v>
      </c>
      <c r="D389" s="2" t="str">
        <f>IF(ISERROR(MATCH(A389,'SegEnds_Xtal_Prot#'!B:B, 0)), "NoXtal", "Xtal")</f>
        <v>NoXtal</v>
      </c>
      <c r="H389" s="4"/>
      <c r="V389" s="28" t="str">
        <f>MID(VLOOKUP($A389,Seqs!$A:$B,2,FALSE),VLOOKUP($A389,'SegEnds_NonXtal_Prot#'!A:AL,10,FALSE),1)</f>
        <v>R</v>
      </c>
      <c r="W389" s="49" t="str">
        <f>MID(VLOOKUP($A389,Seqs!$A:$B,2,FALSE),VLOOKUP($A389,'SegEnds_NonXtal_Prot#'!A:AL,10,FALSE)+6,1)</f>
        <v>L</v>
      </c>
      <c r="X389" s="49" t="str">
        <f>MID(VLOOKUP($A389,Seqs!$A:$B,2,FALSE),VLOOKUP($A389,'SegEnds_NonXtal_Prot#'!A:AL,10,FALSE)+7,1)</f>
        <v>F</v>
      </c>
      <c r="Y389" s="49" t="str">
        <f>MID(VLOOKUP($A389,Seqs!$A:$B,2,FALSE),VLOOKUP($A389,'SegEnds_NonXtal_Prot#'!A:AL,10,FALSE)+8,1)</f>
        <v>L</v>
      </c>
      <c r="Z389" s="49" t="str">
        <f>MID(VLOOKUP($A389,Seqs!$A:$B,2,FALSE),VLOOKUP($A389,'SegEnds_NonXtal_Prot#'!A:AL,10,FALSE)+9,1)</f>
        <v>V</v>
      </c>
      <c r="AA389" s="49" t="str">
        <f>MID(VLOOKUP($A389,Seqs!$A:$B,2,FALSE),VLOOKUP($A389,'SegEnds_NonXtal_Prot#'!A:AL,10,FALSE)+10,1)</f>
        <v>N</v>
      </c>
      <c r="AB389" s="28" t="str">
        <f>MID(VLOOKUP($A389,Seqs!$A:$B,2,FALSE),VLOOKUP($A389,'SegEnds_NonXtal_Prot#'!$A:$AL,22,FALSE)+6,1)</f>
        <v>A</v>
      </c>
      <c r="AC389" s="49" t="str">
        <f>MID(VLOOKUP($A389,Seqs!$A:$B,2,FALSE),VLOOKUP($A389,'SegEnds_NonXtal_Prot#'!$A:$AL,22,FALSE)+7,1)</f>
        <v>F</v>
      </c>
      <c r="AD389" s="49" t="str">
        <f>MID(VLOOKUP($A389,Seqs!$A:$B,2,FALSE),VLOOKUP($A389,'SegEnds_NonXtal_Prot#'!$A:$AL,22,FALSE)+8,1)</f>
        <v>T</v>
      </c>
      <c r="AE389" s="49" t="str">
        <f>MID(VLOOKUP($A389,Seqs!$A:$B,2,FALSE),VLOOKUP($A389,'SegEnds_NonXtal_Prot#'!$A:$AL,22,FALSE)+9,1)</f>
        <v>T</v>
      </c>
      <c r="AF389" s="49" t="str">
        <f>MID(VLOOKUP($A389,Seqs!$A:$B,2,FALSE),VLOOKUP($A389,'SegEnds_NonXtal_Prot#'!$A:$AL,22,FALSE)+10,1)</f>
        <v>C</v>
      </c>
      <c r="AG389" s="28" t="str">
        <f>MID(VLOOKUP($A389,Seqs!$A:$B,2,FALSE),VLOOKUP($A389,'SegEnds_NonXtal_Prot#'!$A:$AL,28,FALSE)-4,1)</f>
        <v>S</v>
      </c>
      <c r="AH389" s="49" t="str">
        <f>MID(VLOOKUP($A389,Seqs!$A:$B,2,FALSE),VLOOKUP($A389,'SegEnds_NonXtal_Prot#'!$A:$AL,28,FALSE),1)</f>
        <v>Q</v>
      </c>
    </row>
    <row r="390" spans="1:34" s="2" customFormat="1" x14ac:dyDescent="0.2">
      <c r="A390" s="2" t="s">
        <v>465</v>
      </c>
      <c r="B390" s="2" t="str">
        <f>LOWER(VLOOKUP(A390,Xtal_Templ!A:B,2,FALSE))</f>
        <v>agtr1_human</v>
      </c>
      <c r="C390" s="2" t="str">
        <f>VLOOKUP(A390,Classification!A:D,2,FALSE)</f>
        <v>T</v>
      </c>
      <c r="D390" s="2" t="str">
        <f>IF(ISERROR(MATCH(A390,'SegEnds_Xtal_Prot#'!B:B, 0)), "NoXtal", "Xtal")</f>
        <v>NoXtal</v>
      </c>
      <c r="H390" s="4"/>
      <c r="V390" s="28" t="str">
        <f>MID(VLOOKUP($A390,Seqs!$A:$B,2,FALSE),VLOOKUP($A390,'SegEnds_NonXtal_Prot#'!A:AL,10,FALSE),1)</f>
        <v>R</v>
      </c>
      <c r="W390" s="49" t="str">
        <f>MID(VLOOKUP($A390,Seqs!$A:$B,2,FALSE),VLOOKUP($A390,'SegEnds_NonXtal_Prot#'!A:AL,10,FALSE)+6,1)</f>
        <v>L</v>
      </c>
      <c r="X390" s="49" t="str">
        <f>MID(VLOOKUP($A390,Seqs!$A:$B,2,FALSE),VLOOKUP($A390,'SegEnds_NonXtal_Prot#'!A:AL,10,FALSE)+7,1)</f>
        <v>M</v>
      </c>
      <c r="Y390" s="49" t="str">
        <f>MID(VLOOKUP($A390,Seqs!$A:$B,2,FALSE),VLOOKUP($A390,'SegEnds_NonXtal_Prot#'!A:AL,10,FALSE)+8,1)</f>
        <v>M</v>
      </c>
      <c r="Z390" s="49" t="str">
        <f>MID(VLOOKUP($A390,Seqs!$A:$B,2,FALSE),VLOOKUP($A390,'SegEnds_NonXtal_Prot#'!A:AL,10,FALSE)+9,1)</f>
        <v>L</v>
      </c>
      <c r="AA390" s="49" t="str">
        <f>MID(VLOOKUP($A390,Seqs!$A:$B,2,FALSE),VLOOKUP($A390,'SegEnds_NonXtal_Prot#'!A:AL,10,FALSE)+10,1)</f>
        <v>E</v>
      </c>
      <c r="AB390" s="28" t="str">
        <f>MID(VLOOKUP($A390,Seqs!$A:$B,2,FALSE),VLOOKUP($A390,'SegEnds_NonXtal_Prot#'!$A:$AL,22,FALSE)+6,1)</f>
        <v>F</v>
      </c>
      <c r="AC390" s="49" t="str">
        <f>MID(VLOOKUP($A390,Seqs!$A:$B,2,FALSE),VLOOKUP($A390,'SegEnds_NonXtal_Prot#'!$A:$AL,22,FALSE)+7,1)</f>
        <v>S</v>
      </c>
      <c r="AD390" s="49" t="str">
        <f>MID(VLOOKUP($A390,Seqs!$A:$B,2,FALSE),VLOOKUP($A390,'SegEnds_NonXtal_Prot#'!$A:$AL,22,FALSE)+8,1)</f>
        <v>H</v>
      </c>
      <c r="AE390" s="49" t="str">
        <f>MID(VLOOKUP($A390,Seqs!$A:$B,2,FALSE),VLOOKUP($A390,'SegEnds_NonXtal_Prot#'!$A:$AL,22,FALSE)+9,1)</f>
        <v>S</v>
      </c>
      <c r="AF390" s="49" t="str">
        <f>MID(VLOOKUP($A390,Seqs!$A:$B,2,FALSE),VLOOKUP($A390,'SegEnds_NonXtal_Prot#'!$A:$AL,22,FALSE)+10,1)</f>
        <v>M</v>
      </c>
      <c r="AG390" s="28" t="str">
        <f>MID(VLOOKUP($A390,Seqs!$A:$B,2,FALSE),VLOOKUP($A390,'SegEnds_NonXtal_Prot#'!$A:$AL,28,FALSE)-4,1)</f>
        <v>G</v>
      </c>
      <c r="AH390" s="49" t="str">
        <f>MID(VLOOKUP($A390,Seqs!$A:$B,2,FALSE),VLOOKUP($A390,'SegEnds_NonXtal_Prot#'!$A:$AL,28,FALSE),1)</f>
        <v>P</v>
      </c>
    </row>
    <row r="391" spans="1:34" s="2" customFormat="1" x14ac:dyDescent="0.2">
      <c r="A391" s="2" t="s">
        <v>460</v>
      </c>
      <c r="B391" s="2" t="str">
        <f>LOWER(VLOOKUP(A391,Xtal_Templ!A:B,2,FALSE))</f>
        <v>5ht2c_human</v>
      </c>
      <c r="C391" s="2" t="str">
        <f>VLOOKUP(A391,Classification!A:D,2,FALSE)</f>
        <v>T</v>
      </c>
      <c r="D391" s="2" t="str">
        <f>IF(ISERROR(MATCH(A391,'SegEnds_Xtal_Prot#'!B:B, 0)), "NoXtal", "Xtal")</f>
        <v>NoXtal</v>
      </c>
      <c r="H391" s="4"/>
      <c r="V391" s="28" t="str">
        <f>MID(VLOOKUP($A391,Seqs!$A:$B,2,FALSE),VLOOKUP($A391,'SegEnds_NonXtal_Prot#'!A:AL,10,FALSE),1)</f>
        <v>R</v>
      </c>
      <c r="W391" s="49" t="str">
        <f>MID(VLOOKUP($A391,Seqs!$A:$B,2,FALSE),VLOOKUP($A391,'SegEnds_NonXtal_Prot#'!A:AL,10,FALSE)+6,1)</f>
        <v>V</v>
      </c>
      <c r="X391" s="49" t="str">
        <f>MID(VLOOKUP($A391,Seqs!$A:$B,2,FALSE),VLOOKUP($A391,'SegEnds_NonXtal_Prot#'!A:AL,10,FALSE)+7,1)</f>
        <v>M</v>
      </c>
      <c r="Y391" s="49" t="str">
        <f>MID(VLOOKUP($A391,Seqs!$A:$B,2,FALSE),VLOOKUP($A391,'SegEnds_NonXtal_Prot#'!A:AL,10,FALSE)+8,1)</f>
        <v>L</v>
      </c>
      <c r="Z391" s="49" t="str">
        <f>MID(VLOOKUP($A391,Seqs!$A:$B,2,FALSE),VLOOKUP($A391,'SegEnds_NonXtal_Prot#'!A:AL,10,FALSE)+9,1)</f>
        <v>F</v>
      </c>
      <c r="AA391" s="49" t="str">
        <f>MID(VLOOKUP($A391,Seqs!$A:$B,2,FALSE),VLOOKUP($A391,'SegEnds_NonXtal_Prot#'!A:AL,10,FALSE)+10,1)</f>
        <v>L</v>
      </c>
      <c r="AB391" s="28" t="str">
        <f>MID(VLOOKUP($A391,Seqs!$A:$B,2,FALSE),VLOOKUP($A391,'SegEnds_NonXtal_Prot#'!$A:$AL,22,FALSE)+6,1)</f>
        <v>I</v>
      </c>
      <c r="AC391" s="49" t="str">
        <f>MID(VLOOKUP($A391,Seqs!$A:$B,2,FALSE),VLOOKUP($A391,'SegEnds_NonXtal_Prot#'!$A:$AL,22,FALSE)+7,1)</f>
        <v>C</v>
      </c>
      <c r="AD391" s="49" t="str">
        <f>MID(VLOOKUP($A391,Seqs!$A:$B,2,FALSE),VLOOKUP($A391,'SegEnds_NonXtal_Prot#'!$A:$AL,22,FALSE)+8,1)</f>
        <v>N</v>
      </c>
      <c r="AE391" s="49" t="str">
        <f>MID(VLOOKUP($A391,Seqs!$A:$B,2,FALSE),VLOOKUP($A391,'SegEnds_NonXtal_Prot#'!$A:$AL,22,FALSE)+9,1)</f>
        <v>L</v>
      </c>
      <c r="AF391" s="49" t="str">
        <f>MID(VLOOKUP($A391,Seqs!$A:$B,2,FALSE),VLOOKUP($A391,'SegEnds_NonXtal_Prot#'!$A:$AL,22,FALSE)+10,1)</f>
        <v>A</v>
      </c>
      <c r="AG391" s="28" t="str">
        <f>MID(VLOOKUP($A391,Seqs!$A:$B,2,FALSE),VLOOKUP($A391,'SegEnds_NonXtal_Prot#'!$A:$AL,28,FALSE)-4,1)</f>
        <v>A</v>
      </c>
      <c r="AH391" s="49" t="str">
        <f>MID(VLOOKUP($A391,Seqs!$A:$B,2,FALSE),VLOOKUP($A391,'SegEnds_NonXtal_Prot#'!$A:$AL,28,FALSE),1)</f>
        <v>P</v>
      </c>
    </row>
    <row r="392" spans="1:34" s="2" customFormat="1" x14ac:dyDescent="0.2">
      <c r="A392" s="2" t="s">
        <v>461</v>
      </c>
      <c r="B392" s="2" t="str">
        <f>LOWER(VLOOKUP(A392,Xtal_Templ!A:B,2,FALSE))</f>
        <v>5ht2c_human</v>
      </c>
      <c r="C392" s="2" t="str">
        <f>VLOOKUP(A392,Classification!A:D,2,FALSE)</f>
        <v>T</v>
      </c>
      <c r="D392" s="2" t="str">
        <f>IF(ISERROR(MATCH(A392,'SegEnds_Xtal_Prot#'!B:B, 0)), "NoXtal", "Xtal")</f>
        <v>NoXtal</v>
      </c>
      <c r="H392" s="4"/>
      <c r="V392" s="28" t="str">
        <f>MID(VLOOKUP($A392,Seqs!$A:$B,2,FALSE),VLOOKUP($A392,'SegEnds_NonXtal_Prot#'!A:AL,10,FALSE),1)</f>
        <v>R</v>
      </c>
      <c r="W392" s="49" t="str">
        <f>MID(VLOOKUP($A392,Seqs!$A:$B,2,FALSE),VLOOKUP($A392,'SegEnds_NonXtal_Prot#'!A:AL,10,FALSE)+6,1)</f>
        <v>V</v>
      </c>
      <c r="X392" s="49" t="str">
        <f>MID(VLOOKUP($A392,Seqs!$A:$B,2,FALSE),VLOOKUP($A392,'SegEnds_NonXtal_Prot#'!A:AL,10,FALSE)+7,1)</f>
        <v>I</v>
      </c>
      <c r="Y392" s="49" t="str">
        <f>MID(VLOOKUP($A392,Seqs!$A:$B,2,FALSE),VLOOKUP($A392,'SegEnds_NonXtal_Prot#'!A:AL,10,FALSE)+8,1)</f>
        <v>L</v>
      </c>
      <c r="Z392" s="49" t="str">
        <f>MID(VLOOKUP($A392,Seqs!$A:$B,2,FALSE),VLOOKUP($A392,'SegEnds_NonXtal_Prot#'!A:AL,10,FALSE)+9,1)</f>
        <v>L</v>
      </c>
      <c r="AA392" s="49" t="str">
        <f>MID(VLOOKUP($A392,Seqs!$A:$B,2,FALSE),VLOOKUP($A392,'SegEnds_NonXtal_Prot#'!A:AL,10,FALSE)+10,1)</f>
        <v>H</v>
      </c>
      <c r="AB392" s="28" t="str">
        <f>MID(VLOOKUP($A392,Seqs!$A:$B,2,FALSE),VLOOKUP($A392,'SegEnds_NonXtal_Prot#'!$A:$AL,22,FALSE)+6,1)</f>
        <v>V</v>
      </c>
      <c r="AC392" s="49" t="str">
        <f>MID(VLOOKUP($A392,Seqs!$A:$B,2,FALSE),VLOOKUP($A392,'SegEnds_NonXtal_Prot#'!$A:$AL,22,FALSE)+7,1)</f>
        <v>C</v>
      </c>
      <c r="AD392" s="49" t="str">
        <f>MID(VLOOKUP($A392,Seqs!$A:$B,2,FALSE),VLOOKUP($A392,'SegEnds_NonXtal_Prot#'!$A:$AL,22,FALSE)+8,1)</f>
        <v>H</v>
      </c>
      <c r="AE392" s="49" t="str">
        <f>MID(VLOOKUP($A392,Seqs!$A:$B,2,FALSE),VLOOKUP($A392,'SegEnds_NonXtal_Prot#'!$A:$AL,22,FALSE)+9,1)</f>
        <v>L</v>
      </c>
      <c r="AF392" s="49" t="str">
        <f>MID(VLOOKUP($A392,Seqs!$A:$B,2,FALSE),VLOOKUP($A392,'SegEnds_NonXtal_Prot#'!$A:$AL,22,FALSE)+10,1)</f>
        <v>V</v>
      </c>
      <c r="AG392" s="28" t="str">
        <f>MID(VLOOKUP($A392,Seqs!$A:$B,2,FALSE),VLOOKUP($A392,'SegEnds_NonXtal_Prot#'!$A:$AL,28,FALSE)-4,1)</f>
        <v>A</v>
      </c>
      <c r="AH392" s="49" t="str">
        <f>MID(VLOOKUP($A392,Seqs!$A:$B,2,FALSE),VLOOKUP($A392,'SegEnds_NonXtal_Prot#'!$A:$AL,28,FALSE),1)</f>
        <v>P</v>
      </c>
    </row>
    <row r="393" spans="1:34" s="2" customFormat="1" x14ac:dyDescent="0.2">
      <c r="A393" s="2" t="s">
        <v>462</v>
      </c>
      <c r="B393" s="2" t="str">
        <f>LOWER(VLOOKUP(A393,Xtal_Templ!A:B,2,FALSE))</f>
        <v>5ht2c_human</v>
      </c>
      <c r="C393" s="2" t="str">
        <f>VLOOKUP(A393,Classification!A:D,2,FALSE)</f>
        <v>T</v>
      </c>
      <c r="D393" s="2" t="str">
        <f>IF(ISERROR(MATCH(A393,'SegEnds_Xtal_Prot#'!B:B, 0)), "NoXtal", "Xtal")</f>
        <v>NoXtal</v>
      </c>
      <c r="H393" s="4"/>
      <c r="V393" s="28" t="str">
        <f>MID(VLOOKUP($A393,Seqs!$A:$B,2,FALSE),VLOOKUP($A393,'SegEnds_NonXtal_Prot#'!A:AL,10,FALSE),1)</f>
        <v>R</v>
      </c>
      <c r="W393" s="49" t="str">
        <f>MID(VLOOKUP($A393,Seqs!$A:$B,2,FALSE),VLOOKUP($A393,'SegEnds_NonXtal_Prot#'!A:AL,10,FALSE)+6,1)</f>
        <v>V</v>
      </c>
      <c r="X393" s="49" t="str">
        <f>MID(VLOOKUP($A393,Seqs!$A:$B,2,FALSE),VLOOKUP($A393,'SegEnds_NonXtal_Prot#'!A:AL,10,FALSE)+7,1)</f>
        <v>L</v>
      </c>
      <c r="Y393" s="49" t="str">
        <f>MID(VLOOKUP($A393,Seqs!$A:$B,2,FALSE),VLOOKUP($A393,'SegEnds_NonXtal_Prot#'!A:AL,10,FALSE)+8,1)</f>
        <v>L</v>
      </c>
      <c r="Z393" s="49" t="str">
        <f>MID(VLOOKUP($A393,Seqs!$A:$B,2,FALSE),VLOOKUP($A393,'SegEnds_NonXtal_Prot#'!A:AL,10,FALSE)+9,1)</f>
        <v>L</v>
      </c>
      <c r="AA393" s="49" t="str">
        <f>MID(VLOOKUP($A393,Seqs!$A:$B,2,FALSE),VLOOKUP($A393,'SegEnds_NonXtal_Prot#'!A:AL,10,FALSE)+10,1)</f>
        <v>H</v>
      </c>
      <c r="AB393" s="28" t="str">
        <f>MID(VLOOKUP($A393,Seqs!$A:$B,2,FALSE),VLOOKUP($A393,'SegEnds_NonXtal_Prot#'!$A:$AL,22,FALSE)+6,1)</f>
        <v>V</v>
      </c>
      <c r="AC393" s="49" t="str">
        <f>MID(VLOOKUP($A393,Seqs!$A:$B,2,FALSE),VLOOKUP($A393,'SegEnds_NonXtal_Prot#'!$A:$AL,22,FALSE)+7,1)</f>
        <v>C</v>
      </c>
      <c r="AD393" s="49" t="str">
        <f>MID(VLOOKUP($A393,Seqs!$A:$B,2,FALSE),VLOOKUP($A393,'SegEnds_NonXtal_Prot#'!$A:$AL,22,FALSE)+8,1)</f>
        <v>H</v>
      </c>
      <c r="AE393" s="49" t="str">
        <f>MID(VLOOKUP($A393,Seqs!$A:$B,2,FALSE),VLOOKUP($A393,'SegEnds_NonXtal_Prot#'!$A:$AL,22,FALSE)+9,1)</f>
        <v>L</v>
      </c>
      <c r="AF393" s="49" t="str">
        <f>MID(VLOOKUP($A393,Seqs!$A:$B,2,FALSE),VLOOKUP($A393,'SegEnds_NonXtal_Prot#'!$A:$AL,22,FALSE)+10,1)</f>
        <v>F</v>
      </c>
      <c r="AG393" s="28" t="str">
        <f>MID(VLOOKUP($A393,Seqs!$A:$B,2,FALSE),VLOOKUP($A393,'SegEnds_NonXtal_Prot#'!$A:$AL,28,FALSE)-4,1)</f>
        <v>A</v>
      </c>
      <c r="AH393" s="49" t="str">
        <f>MID(VLOOKUP($A393,Seqs!$A:$B,2,FALSE),VLOOKUP($A393,'SegEnds_NonXtal_Prot#'!$A:$AL,28,FALSE),1)</f>
        <v>P</v>
      </c>
    </row>
    <row r="394" spans="1:34" s="2" customFormat="1" x14ac:dyDescent="0.2">
      <c r="A394" s="2" t="s">
        <v>463</v>
      </c>
      <c r="B394" s="2" t="str">
        <f>LOWER(VLOOKUP(A394,Xtal_Templ!A:B,2,FALSE))</f>
        <v>drd2_human</v>
      </c>
      <c r="C394" s="2" t="str">
        <f>VLOOKUP(A394,Classification!A:D,2,FALSE)</f>
        <v>T</v>
      </c>
      <c r="D394" s="2" t="str">
        <f>IF(ISERROR(MATCH(A394,'SegEnds_Xtal_Prot#'!B:B, 0)), "NoXtal", "Xtal")</f>
        <v>NoXtal</v>
      </c>
      <c r="H394" s="4"/>
      <c r="V394" s="28" t="str">
        <f>MID(VLOOKUP($A394,Seqs!$A:$B,2,FALSE),VLOOKUP($A394,'SegEnds_NonXtal_Prot#'!A:AL,10,FALSE),1)</f>
        <v>R</v>
      </c>
      <c r="W394" s="49" t="str">
        <f>MID(VLOOKUP($A394,Seqs!$A:$B,2,FALSE),VLOOKUP($A394,'SegEnds_NonXtal_Prot#'!A:AL,10,FALSE)+6,1)</f>
        <v>V</v>
      </c>
      <c r="X394" s="49" t="str">
        <f>MID(VLOOKUP($A394,Seqs!$A:$B,2,FALSE),VLOOKUP($A394,'SegEnds_NonXtal_Prot#'!A:AL,10,FALSE)+7,1)</f>
        <v>L</v>
      </c>
      <c r="Y394" s="49" t="str">
        <f>MID(VLOOKUP($A394,Seqs!$A:$B,2,FALSE),VLOOKUP($A394,'SegEnds_NonXtal_Prot#'!A:AL,10,FALSE)+8,1)</f>
        <v>L</v>
      </c>
      <c r="Z394" s="49" t="str">
        <f>MID(VLOOKUP($A394,Seqs!$A:$B,2,FALSE),VLOOKUP($A394,'SegEnds_NonXtal_Prot#'!A:AL,10,FALSE)+9,1)</f>
        <v>L</v>
      </c>
      <c r="AA394" s="49" t="str">
        <f>MID(VLOOKUP($A394,Seqs!$A:$B,2,FALSE),VLOOKUP($A394,'SegEnds_NonXtal_Prot#'!A:AL,10,FALSE)+10,1)</f>
        <v>N</v>
      </c>
      <c r="AB394" s="28" t="str">
        <f>MID(VLOOKUP($A394,Seqs!$A:$B,2,FALSE),VLOOKUP($A394,'SegEnds_NonXtal_Prot#'!$A:$AL,22,FALSE)+6,1)</f>
        <v>A</v>
      </c>
      <c r="AC394" s="49" t="str">
        <f>MID(VLOOKUP($A394,Seqs!$A:$B,2,FALSE),VLOOKUP($A394,'SegEnds_NonXtal_Prot#'!$A:$AL,22,FALSE)+7,1)</f>
        <v>C</v>
      </c>
      <c r="AD394" s="49" t="str">
        <f>MID(VLOOKUP($A394,Seqs!$A:$B,2,FALSE),VLOOKUP($A394,'SegEnds_NonXtal_Prot#'!$A:$AL,22,FALSE)+8,1)</f>
        <v>Q</v>
      </c>
      <c r="AE394" s="49" t="str">
        <f>MID(VLOOKUP($A394,Seqs!$A:$B,2,FALSE),VLOOKUP($A394,'SegEnds_NonXtal_Prot#'!$A:$AL,22,FALSE)+9,1)</f>
        <v>L</v>
      </c>
      <c r="AF394" s="49" t="str">
        <f>MID(VLOOKUP($A394,Seqs!$A:$B,2,FALSE),VLOOKUP($A394,'SegEnds_NonXtal_Prot#'!$A:$AL,22,FALSE)+10,1)</f>
        <v>F</v>
      </c>
      <c r="AG394" s="28" t="str">
        <f>MID(VLOOKUP($A394,Seqs!$A:$B,2,FALSE),VLOOKUP($A394,'SegEnds_NonXtal_Prot#'!$A:$AL,28,FALSE)-4,1)</f>
        <v>G</v>
      </c>
      <c r="AH394" s="49" t="str">
        <f>MID(VLOOKUP($A394,Seqs!$A:$B,2,FALSE),VLOOKUP($A394,'SegEnds_NonXtal_Prot#'!$A:$AL,28,FALSE),1)</f>
        <v>P</v>
      </c>
    </row>
    <row r="395" spans="1:34" s="2" customFormat="1" x14ac:dyDescent="0.2">
      <c r="A395" s="2" t="s">
        <v>464</v>
      </c>
      <c r="B395" s="2" t="str">
        <f>LOWER(VLOOKUP(A395,Xtal_Templ!A:B,2,FALSE))</f>
        <v>agtr1_human</v>
      </c>
      <c r="C395" s="2" t="str">
        <f>VLOOKUP(A395,Classification!A:D,2,FALSE)</f>
        <v>T</v>
      </c>
      <c r="D395" s="2" t="str">
        <f>IF(ISERROR(MATCH(A395,'SegEnds_Xtal_Prot#'!B:B, 0)), "NoXtal", "Xtal")</f>
        <v>NoXtal</v>
      </c>
      <c r="H395" s="4"/>
      <c r="V395" s="28" t="str">
        <f>MID(VLOOKUP($A395,Seqs!$A:$B,2,FALSE),VLOOKUP($A395,'SegEnds_NonXtal_Prot#'!A:AL,10,FALSE),1)</f>
        <v>R</v>
      </c>
      <c r="W395" s="49" t="str">
        <f>MID(VLOOKUP($A395,Seqs!$A:$B,2,FALSE),VLOOKUP($A395,'SegEnds_NonXtal_Prot#'!A:AL,10,FALSE)+6,1)</f>
        <v>L</v>
      </c>
      <c r="X395" s="49" t="str">
        <f>MID(VLOOKUP($A395,Seqs!$A:$B,2,FALSE),VLOOKUP($A395,'SegEnds_NonXtal_Prot#'!A:AL,10,FALSE)+7,1)</f>
        <v>L</v>
      </c>
      <c r="Y395" s="49" t="str">
        <f>MID(VLOOKUP($A395,Seqs!$A:$B,2,FALSE),VLOOKUP($A395,'SegEnds_NonXtal_Prot#'!A:AL,10,FALSE)+8,1)</f>
        <v>F</v>
      </c>
      <c r="Z395" s="49" t="str">
        <f>MID(VLOOKUP($A395,Seqs!$A:$B,2,FALSE),VLOOKUP($A395,'SegEnds_NonXtal_Prot#'!A:AL,10,FALSE)+9,1)</f>
        <v>L</v>
      </c>
      <c r="AA395" s="49" t="str">
        <f>MID(VLOOKUP($A395,Seqs!$A:$B,2,FALSE),VLOOKUP($A395,'SegEnds_NonXtal_Prot#'!A:AL,10,FALSE)+10,1)</f>
        <v>S</v>
      </c>
      <c r="AB395" s="28" t="str">
        <f>MID(VLOOKUP($A395,Seqs!$A:$B,2,FALSE),VLOOKUP($A395,'SegEnds_NonXtal_Prot#'!$A:$AL,22,FALSE)+6,1)</f>
        <v>C</v>
      </c>
      <c r="AC395" s="49" t="str">
        <f>MID(VLOOKUP($A395,Seqs!$A:$B,2,FALSE),VLOOKUP($A395,'SegEnds_NonXtal_Prot#'!$A:$AL,22,FALSE)+7,1)</f>
        <v>I</v>
      </c>
      <c r="AD395" s="49" t="str">
        <f>MID(VLOOKUP($A395,Seqs!$A:$B,2,FALSE),VLOOKUP($A395,'SegEnds_NonXtal_Prot#'!$A:$AL,22,FALSE)+8,1)</f>
        <v>C</v>
      </c>
      <c r="AE395" s="49" t="str">
        <f>MID(VLOOKUP($A395,Seqs!$A:$B,2,FALSE),VLOOKUP($A395,'SegEnds_NonXtal_Prot#'!$A:$AL,22,FALSE)+9,1)</f>
        <v>T</v>
      </c>
      <c r="AF395" s="49" t="str">
        <f>MID(VLOOKUP($A395,Seqs!$A:$B,2,FALSE),VLOOKUP($A395,'SegEnds_NonXtal_Prot#'!$A:$AL,22,FALSE)+10,1)</f>
        <v>V</v>
      </c>
      <c r="AG395" s="28" t="str">
        <f>MID(VLOOKUP($A395,Seqs!$A:$B,2,FALSE),VLOOKUP($A395,'SegEnds_NonXtal_Prot#'!$A:$AL,28,FALSE)-4,1)</f>
        <v>W</v>
      </c>
      <c r="AH395" s="49" t="str">
        <f>MID(VLOOKUP($A395,Seqs!$A:$B,2,FALSE),VLOOKUP($A395,'SegEnds_NonXtal_Prot#'!$A:$AL,28,FALSE),1)</f>
        <v>P</v>
      </c>
    </row>
    <row r="396" spans="1:34" s="2" customFormat="1" x14ac:dyDescent="0.2">
      <c r="A396" s="2" t="s">
        <v>467</v>
      </c>
      <c r="B396" s="2" t="str">
        <f>LOWER(VLOOKUP(A396,Xtal_Templ!A:B,2,FALSE))</f>
        <v>drd2_human</v>
      </c>
      <c r="C396" s="2" t="str">
        <f>VLOOKUP(A396,Classification!A:D,2,FALSE)</f>
        <v>T</v>
      </c>
      <c r="D396" s="2" t="str">
        <f>IF(ISERROR(MATCH(A396,'SegEnds_Xtal_Prot#'!B:B, 0)), "NoXtal", "Xtal")</f>
        <v>NoXtal</v>
      </c>
      <c r="H396" s="4"/>
      <c r="V396" s="28" t="str">
        <f>MID(VLOOKUP($A396,Seqs!$A:$B,2,FALSE),VLOOKUP($A396,'SegEnds_NonXtal_Prot#'!A:AL,10,FALSE),1)</f>
        <v>R</v>
      </c>
      <c r="W396" s="49" t="str">
        <f>MID(VLOOKUP($A396,Seqs!$A:$B,2,FALSE),VLOOKUP($A396,'SegEnds_NonXtal_Prot#'!A:AL,10,FALSE)+6,1)</f>
        <v>V</v>
      </c>
      <c r="X396" s="49" t="str">
        <f>MID(VLOOKUP($A396,Seqs!$A:$B,2,FALSE),VLOOKUP($A396,'SegEnds_NonXtal_Prot#'!A:AL,10,FALSE)+7,1)</f>
        <v>G</v>
      </c>
      <c r="Y396" s="49" t="str">
        <f>MID(VLOOKUP($A396,Seqs!$A:$B,2,FALSE),VLOOKUP($A396,'SegEnds_NonXtal_Prot#'!A:AL,10,FALSE)+8,1)</f>
        <v>T</v>
      </c>
      <c r="Z396" s="49" t="str">
        <f>MID(VLOOKUP($A396,Seqs!$A:$B,2,FALSE),VLOOKUP($A396,'SegEnds_NonXtal_Prot#'!A:AL,10,FALSE)+9,1)</f>
        <v>V</v>
      </c>
      <c r="AA396" s="49" t="str">
        <f>MID(VLOOKUP($A396,Seqs!$A:$B,2,FALSE),VLOOKUP($A396,'SegEnds_NonXtal_Prot#'!A:AL,10,FALSE)+10,1)</f>
        <v>H</v>
      </c>
      <c r="AB396" s="28" t="str">
        <f>MID(VLOOKUP($A396,Seqs!$A:$B,2,FALSE),VLOOKUP($A396,'SegEnds_NonXtal_Prot#'!$A:$AL,22,FALSE)+6,1)</f>
        <v>F</v>
      </c>
      <c r="AC396" s="49" t="str">
        <f>MID(VLOOKUP($A396,Seqs!$A:$B,2,FALSE),VLOOKUP($A396,'SegEnds_NonXtal_Prot#'!$A:$AL,22,FALSE)+7,1)</f>
        <v>I</v>
      </c>
      <c r="AD396" s="49" t="str">
        <f>MID(VLOOKUP($A396,Seqs!$A:$B,2,FALSE),VLOOKUP($A396,'SegEnds_NonXtal_Prot#'!$A:$AL,22,FALSE)+8,1)</f>
        <v>I</v>
      </c>
      <c r="AE396" s="49" t="str">
        <f>MID(VLOOKUP($A396,Seqs!$A:$B,2,FALSE),VLOOKUP($A396,'SegEnds_NonXtal_Prot#'!$A:$AL,22,FALSE)+9,1)</f>
        <v>T</v>
      </c>
      <c r="AF396" s="49" t="str">
        <f>MID(VLOOKUP($A396,Seqs!$A:$B,2,FALSE),VLOOKUP($A396,'SegEnds_NonXtal_Prot#'!$A:$AL,22,FALSE)+10,1)</f>
        <v>L</v>
      </c>
      <c r="AG396" s="28" t="str">
        <f>MID(VLOOKUP($A396,Seqs!$A:$B,2,FALSE),VLOOKUP($A396,'SegEnds_NonXtal_Prot#'!$A:$AL,28,FALSE)-4,1)</f>
        <v>I</v>
      </c>
      <c r="AH396" s="49" t="str">
        <f>MID(VLOOKUP($A396,Seqs!$A:$B,2,FALSE),VLOOKUP($A396,'SegEnds_NonXtal_Prot#'!$A:$AL,28,FALSE),1)</f>
        <v>P</v>
      </c>
    </row>
    <row r="397" spans="1:34" s="2" customFormat="1" x14ac:dyDescent="0.2">
      <c r="A397" s="2" t="s">
        <v>468</v>
      </c>
      <c r="B397" s="2" t="str">
        <f>LOWER(VLOOKUP(A397,Xtal_Templ!A:B,2,FALSE))</f>
        <v>hrh1_human</v>
      </c>
      <c r="C397" s="2" t="str">
        <f>VLOOKUP(A397,Classification!A:D,2,FALSE)</f>
        <v>T</v>
      </c>
      <c r="D397" s="2" t="str">
        <f>IF(ISERROR(MATCH(A397,'SegEnds_Xtal_Prot#'!B:B, 0)), "NoXtal", "Xtal")</f>
        <v>NoXtal</v>
      </c>
      <c r="H397" s="4"/>
      <c r="V397" s="28" t="str">
        <f>MID(VLOOKUP($A397,Seqs!$A:$B,2,FALSE),VLOOKUP($A397,'SegEnds_NonXtal_Prot#'!A:AL,10,FALSE),1)</f>
        <v>T</v>
      </c>
      <c r="W397" s="49" t="str">
        <f>MID(VLOOKUP($A397,Seqs!$A:$B,2,FALSE),VLOOKUP($A397,'SegEnds_NonXtal_Prot#'!A:AL,10,FALSE)+6,1)</f>
        <v>V</v>
      </c>
      <c r="X397" s="49" t="str">
        <f>MID(VLOOKUP($A397,Seqs!$A:$B,2,FALSE),VLOOKUP($A397,'SegEnds_NonXtal_Prot#'!A:AL,10,FALSE)+7,1)</f>
        <v>I</v>
      </c>
      <c r="Y397" s="49" t="str">
        <f>MID(VLOOKUP($A397,Seqs!$A:$B,2,FALSE),VLOOKUP($A397,'SegEnds_NonXtal_Prot#'!A:AL,10,FALSE)+8,1)</f>
        <v>L</v>
      </c>
      <c r="Z397" s="49" t="str">
        <f>MID(VLOOKUP($A397,Seqs!$A:$B,2,FALSE),VLOOKUP($A397,'SegEnds_NonXtal_Prot#'!A:AL,10,FALSE)+9,1)</f>
        <v>F</v>
      </c>
      <c r="AA397" s="49" t="str">
        <f>MID(VLOOKUP($A397,Seqs!$A:$B,2,FALSE),VLOOKUP($A397,'SegEnds_NonXtal_Prot#'!A:AL,10,FALSE)+10,1)</f>
        <v>D</v>
      </c>
      <c r="AB397" s="28" t="str">
        <f>MID(VLOOKUP($A397,Seqs!$A:$B,2,FALSE),VLOOKUP($A397,'SegEnds_NonXtal_Prot#'!$A:$AL,22,FALSE)+6,1)</f>
        <v>I</v>
      </c>
      <c r="AC397" s="49" t="str">
        <f>MID(VLOOKUP($A397,Seqs!$A:$B,2,FALSE),VLOOKUP($A397,'SegEnds_NonXtal_Prot#'!$A:$AL,22,FALSE)+7,1)</f>
        <v>F</v>
      </c>
      <c r="AD397" s="49" t="str">
        <f>MID(VLOOKUP($A397,Seqs!$A:$B,2,FALSE),VLOOKUP($A397,'SegEnds_NonXtal_Prot#'!$A:$AL,22,FALSE)+8,1)</f>
        <v>D</v>
      </c>
      <c r="AE397" s="49" t="str">
        <f>MID(VLOOKUP($A397,Seqs!$A:$B,2,FALSE),VLOOKUP($A397,'SegEnds_NonXtal_Prot#'!$A:$AL,22,FALSE)+9,1)</f>
        <v>S</v>
      </c>
      <c r="AF397" s="49" t="str">
        <f>MID(VLOOKUP($A397,Seqs!$A:$B,2,FALSE),VLOOKUP($A397,'SegEnds_NonXtal_Prot#'!$A:$AL,22,FALSE)+10,1)</f>
        <v>L</v>
      </c>
      <c r="AG397" s="28" t="str">
        <f>MID(VLOOKUP($A397,Seqs!$A:$B,2,FALSE),VLOOKUP($A397,'SegEnds_NonXtal_Prot#'!$A:$AL,28,FALSE)-4,1)</f>
        <v>T</v>
      </c>
      <c r="AH397" s="49" t="str">
        <f>MID(VLOOKUP($A397,Seqs!$A:$B,2,FALSE),VLOOKUP($A397,'SegEnds_NonXtal_Prot#'!$A:$AL,28,FALSE),1)</f>
        <v>P</v>
      </c>
    </row>
    <row r="398" spans="1:34" s="2" customFormat="1" x14ac:dyDescent="0.2">
      <c r="A398" s="2" t="s">
        <v>469</v>
      </c>
      <c r="B398" s="2" t="str">
        <f>LOWER(VLOOKUP(A398,Xtal_Templ!A:B,2,FALSE))</f>
        <v>drd2_human</v>
      </c>
      <c r="C398" s="2" t="str">
        <f>VLOOKUP(A398,Classification!A:D,2,FALSE)</f>
        <v>T</v>
      </c>
      <c r="D398" s="2" t="str">
        <f>IF(ISERROR(MATCH(A398,'SegEnds_Xtal_Prot#'!B:B, 0)), "NoXtal", "Xtal")</f>
        <v>NoXtal</v>
      </c>
      <c r="H398" s="4"/>
      <c r="V398" s="28" t="str">
        <f>MID(VLOOKUP($A398,Seqs!$A:$B,2,FALSE),VLOOKUP($A398,'SegEnds_NonXtal_Prot#'!A:AL,10,FALSE),1)</f>
        <v>R</v>
      </c>
      <c r="W398" s="49" t="str">
        <f>MID(VLOOKUP($A398,Seqs!$A:$B,2,FALSE),VLOOKUP($A398,'SegEnds_NonXtal_Prot#'!A:AL,10,FALSE)+6,1)</f>
        <v>V</v>
      </c>
      <c r="X398" s="49" t="str">
        <f>MID(VLOOKUP($A398,Seqs!$A:$B,2,FALSE),VLOOKUP($A398,'SegEnds_NonXtal_Prot#'!A:AL,10,FALSE)+7,1)</f>
        <v>L</v>
      </c>
      <c r="Y398" s="49" t="str">
        <f>MID(VLOOKUP($A398,Seqs!$A:$B,2,FALSE),VLOOKUP($A398,'SegEnds_NonXtal_Prot#'!A:AL,10,FALSE)+8,1)</f>
        <v>L</v>
      </c>
      <c r="Z398" s="49" t="str">
        <f>MID(VLOOKUP($A398,Seqs!$A:$B,2,FALSE),VLOOKUP($A398,'SegEnds_NonXtal_Prot#'!A:AL,10,FALSE)+9,1)</f>
        <v>L</v>
      </c>
      <c r="AA398" s="49" t="str">
        <f>MID(VLOOKUP($A398,Seqs!$A:$B,2,FALSE),VLOOKUP($A398,'SegEnds_NonXtal_Prot#'!A:AL,10,FALSE)+10,1)</f>
        <v>N</v>
      </c>
      <c r="AB398" s="28" t="str">
        <f>MID(VLOOKUP($A398,Seqs!$A:$B,2,FALSE),VLOOKUP($A398,'SegEnds_NonXtal_Prot#'!$A:$AL,22,FALSE)+6,1)</f>
        <v>A</v>
      </c>
      <c r="AC398" s="49" t="str">
        <f>MID(VLOOKUP($A398,Seqs!$A:$B,2,FALSE),VLOOKUP($A398,'SegEnds_NonXtal_Prot#'!$A:$AL,22,FALSE)+7,1)</f>
        <v>C</v>
      </c>
      <c r="AD398" s="49" t="str">
        <f>MID(VLOOKUP($A398,Seqs!$A:$B,2,FALSE),VLOOKUP($A398,'SegEnds_NonXtal_Prot#'!$A:$AL,22,FALSE)+8,1)</f>
        <v>H</v>
      </c>
      <c r="AE398" s="49" t="str">
        <f>MID(VLOOKUP($A398,Seqs!$A:$B,2,FALSE),VLOOKUP($A398,'SegEnds_NonXtal_Prot#'!$A:$AL,22,FALSE)+9,1)</f>
        <v>L</v>
      </c>
      <c r="AF398" s="49" t="str">
        <f>MID(VLOOKUP($A398,Seqs!$A:$B,2,FALSE),VLOOKUP($A398,'SegEnds_NonXtal_Prot#'!$A:$AL,22,FALSE)+10,1)</f>
        <v>F</v>
      </c>
      <c r="AG398" s="28" t="str">
        <f>MID(VLOOKUP($A398,Seqs!$A:$B,2,FALSE),VLOOKUP($A398,'SegEnds_NonXtal_Prot#'!$A:$AL,28,FALSE)-4,1)</f>
        <v>A</v>
      </c>
      <c r="AH398" s="49" t="str">
        <f>MID(VLOOKUP($A398,Seqs!$A:$B,2,FALSE),VLOOKUP($A398,'SegEnds_NonXtal_Prot#'!$A:$AL,28,FALSE),1)</f>
        <v>P</v>
      </c>
    </row>
    <row r="399" spans="1:34" s="2" customFormat="1" x14ac:dyDescent="0.2">
      <c r="A399" s="2" t="s">
        <v>930</v>
      </c>
      <c r="B399" s="2" t="str">
        <f>LOWER(VLOOKUP(A399,Xtal_Templ!A:B,2,FALSE))</f>
        <v>5ht2c_human</v>
      </c>
      <c r="C399" s="2" t="str">
        <f>VLOOKUP(A399,Classification!A:D,2,FALSE)</f>
        <v>T</v>
      </c>
      <c r="D399" s="2" t="str">
        <f>IF(ISERROR(MATCH(A399,'SegEnds_Xtal_Prot#'!B:B, 0)), "NoXtal", "Xtal")</f>
        <v>NoXtal</v>
      </c>
      <c r="H399" s="4"/>
      <c r="V399" s="28" t="str">
        <f>MID(VLOOKUP($A399,Seqs!$A:$B,2,FALSE),VLOOKUP($A399,'SegEnds_NonXtal_Prot#'!A:AL,10,FALSE),1)</f>
        <v>R</v>
      </c>
      <c r="W399" s="49" t="str">
        <f>MID(VLOOKUP($A399,Seqs!$A:$B,2,FALSE),VLOOKUP($A399,'SegEnds_NonXtal_Prot#'!A:AL,10,FALSE)+6,1)</f>
        <v>V</v>
      </c>
      <c r="X399" s="49" t="str">
        <f>MID(VLOOKUP($A399,Seqs!$A:$B,2,FALSE),VLOOKUP($A399,'SegEnds_NonXtal_Prot#'!A:AL,10,FALSE)+7,1)</f>
        <v>L</v>
      </c>
      <c r="Y399" s="49" t="str">
        <f>MID(VLOOKUP($A399,Seqs!$A:$B,2,FALSE),VLOOKUP($A399,'SegEnds_NonXtal_Prot#'!A:AL,10,FALSE)+8,1)</f>
        <v>L</v>
      </c>
      <c r="Z399" s="49" t="str">
        <f>MID(VLOOKUP($A399,Seqs!$A:$B,2,FALSE),VLOOKUP($A399,'SegEnds_NonXtal_Prot#'!A:AL,10,FALSE)+9,1)</f>
        <v>L</v>
      </c>
      <c r="AA399" s="49" t="str">
        <f>MID(VLOOKUP($A399,Seqs!$A:$B,2,FALSE),VLOOKUP($A399,'SegEnds_NonXtal_Prot#'!A:AL,10,FALSE)+10,1)</f>
        <v>N</v>
      </c>
      <c r="AB399" s="28" t="str">
        <f>MID(VLOOKUP($A399,Seqs!$A:$B,2,FALSE),VLOOKUP($A399,'SegEnds_NonXtal_Prot#'!$A:$AL,22,FALSE)+6,1)</f>
        <v>A</v>
      </c>
      <c r="AC399" s="49" t="str">
        <f>MID(VLOOKUP($A399,Seqs!$A:$B,2,FALSE),VLOOKUP($A399,'SegEnds_NonXtal_Prot#'!$A:$AL,22,FALSE)+7,1)</f>
        <v>C</v>
      </c>
      <c r="AD399" s="49" t="str">
        <f>MID(VLOOKUP($A399,Seqs!$A:$B,2,FALSE),VLOOKUP($A399,'SegEnds_NonXtal_Prot#'!$A:$AL,22,FALSE)+8,1)</f>
        <v>H</v>
      </c>
      <c r="AE399" s="49" t="str">
        <f>MID(VLOOKUP($A399,Seqs!$A:$B,2,FALSE),VLOOKUP($A399,'SegEnds_NonXtal_Prot#'!$A:$AL,22,FALSE)+9,1)</f>
        <v>L</v>
      </c>
      <c r="AF399" s="49" t="str">
        <f>MID(VLOOKUP($A399,Seqs!$A:$B,2,FALSE),VLOOKUP($A399,'SegEnds_NonXtal_Prot#'!$A:$AL,22,FALSE)+10,1)</f>
        <v>F</v>
      </c>
      <c r="AG399" s="28" t="str">
        <f>MID(VLOOKUP($A399,Seqs!$A:$B,2,FALSE),VLOOKUP($A399,'SegEnds_NonXtal_Prot#'!$A:$AL,28,FALSE)-4,1)</f>
        <v>A</v>
      </c>
      <c r="AH399" s="49" t="str">
        <f>MID(VLOOKUP($A399,Seqs!$A:$B,2,FALSE),VLOOKUP($A399,'SegEnds_NonXtal_Prot#'!$A:$AL,28,FALSE),1)</f>
        <v>P</v>
      </c>
    </row>
    <row r="400" spans="1:34" s="2" customFormat="1" x14ac:dyDescent="0.2">
      <c r="A400" s="2" t="s">
        <v>470</v>
      </c>
      <c r="B400" s="2" t="str">
        <f>LOWER(VLOOKUP(A400,Xtal_Templ!A:B,2,FALSE))</f>
        <v>5ht2c_human</v>
      </c>
      <c r="C400" s="2" t="str">
        <f>VLOOKUP(A400,Classification!A:D,2,FALSE)</f>
        <v>T</v>
      </c>
      <c r="D400" s="2" t="str">
        <f>IF(ISERROR(MATCH(A400,'SegEnds_Xtal_Prot#'!B:B, 0)), "NoXtal", "Xtal")</f>
        <v>NoXtal</v>
      </c>
      <c r="H400" s="4"/>
      <c r="V400" s="28" t="str">
        <f>MID(VLOOKUP($A400,Seqs!$A:$B,2,FALSE),VLOOKUP($A400,'SegEnds_NonXtal_Prot#'!A:AL,10,FALSE),1)</f>
        <v>R</v>
      </c>
      <c r="W400" s="49" t="str">
        <f>MID(VLOOKUP($A400,Seqs!$A:$B,2,FALSE),VLOOKUP($A400,'SegEnds_NonXtal_Prot#'!A:AL,10,FALSE)+6,1)</f>
        <v>V</v>
      </c>
      <c r="X400" s="49" t="str">
        <f>MID(VLOOKUP($A400,Seqs!$A:$B,2,FALSE),VLOOKUP($A400,'SegEnds_NonXtal_Prot#'!A:AL,10,FALSE)+7,1)</f>
        <v>L</v>
      </c>
      <c r="Y400" s="49" t="str">
        <f>MID(VLOOKUP($A400,Seqs!$A:$B,2,FALSE),VLOOKUP($A400,'SegEnds_NonXtal_Prot#'!A:AL,10,FALSE)+8,1)</f>
        <v>V</v>
      </c>
      <c r="Z400" s="49" t="str">
        <f>MID(VLOOKUP($A400,Seqs!$A:$B,2,FALSE),VLOOKUP($A400,'SegEnds_NonXtal_Prot#'!A:AL,10,FALSE)+9,1)</f>
        <v>L</v>
      </c>
      <c r="AA400" s="49" t="str">
        <f>MID(VLOOKUP($A400,Seqs!$A:$B,2,FALSE),VLOOKUP($A400,'SegEnds_NonXtal_Prot#'!A:AL,10,FALSE)+10,1)</f>
        <v>N</v>
      </c>
      <c r="AB400" s="28" t="str">
        <f>MID(VLOOKUP($A400,Seqs!$A:$B,2,FALSE),VLOOKUP($A400,'SegEnds_NonXtal_Prot#'!$A:$AL,22,FALSE)+6,1)</f>
        <v>V</v>
      </c>
      <c r="AC400" s="49" t="str">
        <f>MID(VLOOKUP($A400,Seqs!$A:$B,2,FALSE),VLOOKUP($A400,'SegEnds_NonXtal_Prot#'!$A:$AL,22,FALSE)+7,1)</f>
        <v>C</v>
      </c>
      <c r="AD400" s="49" t="str">
        <f>MID(VLOOKUP($A400,Seqs!$A:$B,2,FALSE),VLOOKUP($A400,'SegEnds_NonXtal_Prot#'!$A:$AL,22,FALSE)+8,1)</f>
        <v>H</v>
      </c>
      <c r="AE400" s="49" t="str">
        <f>MID(VLOOKUP($A400,Seqs!$A:$B,2,FALSE),VLOOKUP($A400,'SegEnds_NonXtal_Prot#'!$A:$AL,22,FALSE)+9,1)</f>
        <v>L</v>
      </c>
      <c r="AF400" s="49" t="str">
        <f>MID(VLOOKUP($A400,Seqs!$A:$B,2,FALSE),VLOOKUP($A400,'SegEnds_NonXtal_Prot#'!$A:$AL,22,FALSE)+10,1)</f>
        <v>F</v>
      </c>
      <c r="AG400" s="28" t="str">
        <f>MID(VLOOKUP($A400,Seqs!$A:$B,2,FALSE),VLOOKUP($A400,'SegEnds_NonXtal_Prot#'!$A:$AL,28,FALSE)-4,1)</f>
        <v>A</v>
      </c>
      <c r="AH400" s="49" t="str">
        <f>MID(VLOOKUP($A400,Seqs!$A:$B,2,FALSE),VLOOKUP($A400,'SegEnds_NonXtal_Prot#'!$A:$AL,28,FALSE),1)</f>
        <v>P</v>
      </c>
    </row>
    <row r="401" spans="1:34" s="2" customFormat="1" x14ac:dyDescent="0.2">
      <c r="A401" s="2" t="s">
        <v>471</v>
      </c>
      <c r="B401" s="2" t="str">
        <f>LOWER(VLOOKUP(A401,Xtal_Templ!A:B,2,FALSE))</f>
        <v>drd2_human</v>
      </c>
      <c r="C401" s="2" t="str">
        <f>VLOOKUP(A401,Classification!A:D,2,FALSE)</f>
        <v>T</v>
      </c>
      <c r="D401" s="2" t="str">
        <f>IF(ISERROR(MATCH(A401,'SegEnds_Xtal_Prot#'!B:B, 0)), "NoXtal", "Xtal")</f>
        <v>NoXtal</v>
      </c>
      <c r="H401" s="4"/>
      <c r="V401" s="28" t="str">
        <f>MID(VLOOKUP($A401,Seqs!$A:$B,2,FALSE),VLOOKUP($A401,'SegEnds_NonXtal_Prot#'!A:AL,10,FALSE),1)</f>
        <v>R</v>
      </c>
      <c r="W401" s="49" t="str">
        <f>MID(VLOOKUP($A401,Seqs!$A:$B,2,FALSE),VLOOKUP($A401,'SegEnds_NonXtal_Prot#'!A:AL,10,FALSE)+6,1)</f>
        <v>A</v>
      </c>
      <c r="X401" s="49" t="str">
        <f>MID(VLOOKUP($A401,Seqs!$A:$B,2,FALSE),VLOOKUP($A401,'SegEnds_NonXtal_Prot#'!A:AL,10,FALSE)+7,1)</f>
        <v>L</v>
      </c>
      <c r="Y401" s="49" t="str">
        <f>MID(VLOOKUP($A401,Seqs!$A:$B,2,FALSE),VLOOKUP($A401,'SegEnds_NonXtal_Prot#'!A:AL,10,FALSE)+8,1)</f>
        <v>L</v>
      </c>
      <c r="Z401" s="49" t="str">
        <f>MID(VLOOKUP($A401,Seqs!$A:$B,2,FALSE),VLOOKUP($A401,'SegEnds_NonXtal_Prot#'!A:AL,10,FALSE)+9,1)</f>
        <v>L</v>
      </c>
      <c r="AA401" s="49" t="str">
        <f>MID(VLOOKUP($A401,Seqs!$A:$B,2,FALSE),VLOOKUP($A401,'SegEnds_NonXtal_Prot#'!A:AL,10,FALSE)+10,1)</f>
        <v>N</v>
      </c>
      <c r="AB401" s="28" t="str">
        <f>MID(VLOOKUP($A401,Seqs!$A:$B,2,FALSE),VLOOKUP($A401,'SegEnds_NonXtal_Prot#'!$A:$AL,22,FALSE)+6,1)</f>
        <v>V</v>
      </c>
      <c r="AC401" s="49" t="str">
        <f>MID(VLOOKUP($A401,Seqs!$A:$B,2,FALSE),VLOOKUP($A401,'SegEnds_NonXtal_Prot#'!$A:$AL,22,FALSE)+7,1)</f>
        <v>C</v>
      </c>
      <c r="AD401" s="49" t="str">
        <f>MID(VLOOKUP($A401,Seqs!$A:$B,2,FALSE),VLOOKUP($A401,'SegEnds_NonXtal_Prot#'!$A:$AL,22,FALSE)+8,1)</f>
        <v>H</v>
      </c>
      <c r="AE401" s="49" t="str">
        <f>MID(VLOOKUP($A401,Seqs!$A:$B,2,FALSE),VLOOKUP($A401,'SegEnds_NonXtal_Prot#'!$A:$AL,22,FALSE)+9,1)</f>
        <v>L</v>
      </c>
      <c r="AF401" s="49" t="str">
        <f>MID(VLOOKUP($A401,Seqs!$A:$B,2,FALSE),VLOOKUP($A401,'SegEnds_NonXtal_Prot#'!$A:$AL,22,FALSE)+10,1)</f>
        <v>L</v>
      </c>
      <c r="AG401" s="28" t="str">
        <f>MID(VLOOKUP($A401,Seqs!$A:$B,2,FALSE),VLOOKUP($A401,'SegEnds_NonXtal_Prot#'!$A:$AL,28,FALSE)-4,1)</f>
        <v>W</v>
      </c>
      <c r="AH401" s="49" t="str">
        <f>MID(VLOOKUP($A401,Seqs!$A:$B,2,FALSE),VLOOKUP($A401,'SegEnds_NonXtal_Prot#'!$A:$AL,28,FALSE),1)</f>
        <v>P</v>
      </c>
    </row>
    <row r="402" spans="1:34" s="2" customFormat="1" x14ac:dyDescent="0.2">
      <c r="A402" s="2" t="s">
        <v>475</v>
      </c>
      <c r="B402" s="2" t="str">
        <f>LOWER(VLOOKUP(A402,Xtal_Templ!A:B,2,FALSE))</f>
        <v>agtr1_human</v>
      </c>
      <c r="C402" s="2" t="str">
        <f>VLOOKUP(A402,Classification!A:D,2,FALSE)</f>
        <v>T</v>
      </c>
      <c r="D402" s="2" t="str">
        <f>IF(ISERROR(MATCH(A402,'SegEnds_Xtal_Prot#'!B:B, 0)), "NoXtal", "Xtal")</f>
        <v>NoXtal</v>
      </c>
      <c r="H402" s="4"/>
      <c r="V402" s="28" t="str">
        <f>MID(VLOOKUP($A402,Seqs!$A:$B,2,FALSE),VLOOKUP($A402,'SegEnds_NonXtal_Prot#'!A:AL,10,FALSE),1)</f>
        <v>R</v>
      </c>
      <c r="W402" s="49" t="str">
        <f>MID(VLOOKUP($A402,Seqs!$A:$B,2,FALSE),VLOOKUP($A402,'SegEnds_NonXtal_Prot#'!A:AL,10,FALSE)+6,1)</f>
        <v>I</v>
      </c>
      <c r="X402" s="49" t="str">
        <f>MID(VLOOKUP($A402,Seqs!$A:$B,2,FALSE),VLOOKUP($A402,'SegEnds_NonXtal_Prot#'!A:AL,10,FALSE)+7,1)</f>
        <v>I</v>
      </c>
      <c r="Y402" s="49" t="str">
        <f>MID(VLOOKUP($A402,Seqs!$A:$B,2,FALSE),VLOOKUP($A402,'SegEnds_NonXtal_Prot#'!A:AL,10,FALSE)+8,1)</f>
        <v>L</v>
      </c>
      <c r="Z402" s="49" t="str">
        <f>MID(VLOOKUP($A402,Seqs!$A:$B,2,FALSE),VLOOKUP($A402,'SegEnds_NonXtal_Prot#'!A:AL,10,FALSE)+9,1)</f>
        <v>T</v>
      </c>
      <c r="AA402" s="49" t="str">
        <f>MID(VLOOKUP($A402,Seqs!$A:$B,2,FALSE),VLOOKUP($A402,'SegEnds_NonXtal_Prot#'!A:AL,10,FALSE)+10,1)</f>
        <v>D</v>
      </c>
      <c r="AB402" s="28" t="str">
        <f>MID(VLOOKUP($A402,Seqs!$A:$B,2,FALSE),VLOOKUP($A402,'SegEnds_NonXtal_Prot#'!$A:$AL,22,FALSE)+6,1)</f>
        <v>C</v>
      </c>
      <c r="AC402" s="49" t="str">
        <f>MID(VLOOKUP($A402,Seqs!$A:$B,2,FALSE),VLOOKUP($A402,'SegEnds_NonXtal_Prot#'!$A:$AL,22,FALSE)+7,1)</f>
        <v>G</v>
      </c>
      <c r="AD402" s="49" t="str">
        <f>MID(VLOOKUP($A402,Seqs!$A:$B,2,FALSE),VLOOKUP($A402,'SegEnds_NonXtal_Prot#'!$A:$AL,22,FALSE)+8,1)</f>
        <v>S</v>
      </c>
      <c r="AE402" s="49" t="str">
        <f>MID(VLOOKUP($A402,Seqs!$A:$B,2,FALSE),VLOOKUP($A402,'SegEnds_NonXtal_Prot#'!$A:$AL,22,FALSE)+9,1)</f>
        <v>T</v>
      </c>
      <c r="AF402" s="49" t="str">
        <f>MID(VLOOKUP($A402,Seqs!$A:$B,2,FALSE),VLOOKUP($A402,'SegEnds_NonXtal_Prot#'!$A:$AL,22,FALSE)+10,1)</f>
        <v>A</v>
      </c>
      <c r="AG402" s="28" t="str">
        <f>MID(VLOOKUP($A402,Seqs!$A:$B,2,FALSE),VLOOKUP($A402,'SegEnds_NonXtal_Prot#'!$A:$AL,28,FALSE)-4,1)</f>
        <v>W</v>
      </c>
      <c r="AH402" s="49" t="str">
        <f>MID(VLOOKUP($A402,Seqs!$A:$B,2,FALSE),VLOOKUP($A402,'SegEnds_NonXtal_Prot#'!$A:$AL,28,FALSE),1)</f>
        <v>P</v>
      </c>
    </row>
    <row r="403" spans="1:34" s="2" customFormat="1" x14ac:dyDescent="0.2">
      <c r="A403" s="2" t="s">
        <v>478</v>
      </c>
      <c r="B403" s="2" t="str">
        <f>LOWER(VLOOKUP(A403,Xtal_Templ!A:B,2,FALSE))</f>
        <v>drd2_human</v>
      </c>
      <c r="C403" s="2" t="str">
        <f>VLOOKUP(A403,Classification!A:D,2,FALSE)</f>
        <v>T</v>
      </c>
      <c r="D403" s="2" t="str">
        <f>IF(ISERROR(MATCH(A403,'SegEnds_Xtal_Prot#'!B:B, 0)), "NoXtal", "Xtal")</f>
        <v>NoXtal</v>
      </c>
      <c r="H403" s="4"/>
      <c r="V403" s="28" t="str">
        <f>MID(VLOOKUP($A403,Seqs!$A:$B,2,FALSE),VLOOKUP($A403,'SegEnds_NonXtal_Prot#'!A:AL,10,FALSE),1)</f>
        <v>R</v>
      </c>
      <c r="W403" s="49" t="str">
        <f>MID(VLOOKUP($A403,Seqs!$A:$B,2,FALSE),VLOOKUP($A403,'SegEnds_NonXtal_Prot#'!A:AL,10,FALSE)+6,1)</f>
        <v>V</v>
      </c>
      <c r="X403" s="49" t="str">
        <f>MID(VLOOKUP($A403,Seqs!$A:$B,2,FALSE),VLOOKUP($A403,'SegEnds_NonXtal_Prot#'!A:AL,10,FALSE)+7,1)</f>
        <v>I</v>
      </c>
      <c r="Y403" s="49" t="str">
        <f>MID(VLOOKUP($A403,Seqs!$A:$B,2,FALSE),VLOOKUP($A403,'SegEnds_NonXtal_Prot#'!A:AL,10,FALSE)+8,1)</f>
        <v>L</v>
      </c>
      <c r="Z403" s="49" t="str">
        <f>MID(VLOOKUP($A403,Seqs!$A:$B,2,FALSE),VLOOKUP($A403,'SegEnds_NonXtal_Prot#'!A:AL,10,FALSE)+9,1)</f>
        <v>L</v>
      </c>
      <c r="AA403" s="49" t="str">
        <f>MID(VLOOKUP($A403,Seqs!$A:$B,2,FALSE),VLOOKUP($A403,'SegEnds_NonXtal_Prot#'!A:AL,10,FALSE)+10,1)</f>
        <v>D</v>
      </c>
      <c r="AB403" s="28" t="str">
        <f>MID(VLOOKUP($A403,Seqs!$A:$B,2,FALSE),VLOOKUP($A403,'SegEnds_NonXtal_Prot#'!$A:$AL,22,FALSE)+6,1)</f>
        <v>V</v>
      </c>
      <c r="AC403" s="49" t="str">
        <f>MID(VLOOKUP($A403,Seqs!$A:$B,2,FALSE),VLOOKUP($A403,'SegEnds_NonXtal_Prot#'!$A:$AL,22,FALSE)+7,1)</f>
        <v>F</v>
      </c>
      <c r="AD403" s="49" t="str">
        <f>MID(VLOOKUP($A403,Seqs!$A:$B,2,FALSE),VLOOKUP($A403,'SegEnds_NonXtal_Prot#'!$A:$AL,22,FALSE)+8,1)</f>
        <v>I</v>
      </c>
      <c r="AE403" s="49" t="str">
        <f>MID(VLOOKUP($A403,Seqs!$A:$B,2,FALSE),VLOOKUP($A403,'SegEnds_NonXtal_Prot#'!$A:$AL,22,FALSE)+9,1)</f>
        <v>S</v>
      </c>
      <c r="AF403" s="49" t="str">
        <f>MID(VLOOKUP($A403,Seqs!$A:$B,2,FALSE),VLOOKUP($A403,'SegEnds_NonXtal_Prot#'!$A:$AL,22,FALSE)+10,1)</f>
        <v>L</v>
      </c>
      <c r="AG403" s="28" t="str">
        <f>MID(VLOOKUP($A403,Seqs!$A:$B,2,FALSE),VLOOKUP($A403,'SegEnds_NonXtal_Prot#'!$A:$AL,28,FALSE)-4,1)</f>
        <v>A</v>
      </c>
      <c r="AH403" s="49" t="str">
        <f>MID(VLOOKUP($A403,Seqs!$A:$B,2,FALSE),VLOOKUP($A403,'SegEnds_NonXtal_Prot#'!$A:$AL,28,FALSE),1)</f>
        <v>P</v>
      </c>
    </row>
    <row r="404" spans="1:34" s="2" customFormat="1" x14ac:dyDescent="0.2">
      <c r="A404" s="2" t="s">
        <v>479</v>
      </c>
      <c r="B404" s="2" t="str">
        <f>LOWER(VLOOKUP(A404,Xtal_Templ!A:B,2,FALSE))</f>
        <v>drd2_human</v>
      </c>
      <c r="C404" s="2" t="str">
        <f>VLOOKUP(A404,Classification!A:D,2,FALSE)</f>
        <v>T</v>
      </c>
      <c r="D404" s="2" t="str">
        <f>IF(ISERROR(MATCH(A404,'SegEnds_Xtal_Prot#'!B:B, 0)), "NoXtal", "Xtal")</f>
        <v>NoXtal</v>
      </c>
      <c r="H404" s="4"/>
      <c r="V404" s="28" t="str">
        <f>MID(VLOOKUP($A404,Seqs!$A:$B,2,FALSE),VLOOKUP($A404,'SegEnds_NonXtal_Prot#'!A:AL,10,FALSE),1)</f>
        <v>R</v>
      </c>
      <c r="W404" s="49" t="str">
        <f>MID(VLOOKUP($A404,Seqs!$A:$B,2,FALSE),VLOOKUP($A404,'SegEnds_NonXtal_Prot#'!A:AL,10,FALSE)+6,1)</f>
        <v>V</v>
      </c>
      <c r="X404" s="49" t="str">
        <f>MID(VLOOKUP($A404,Seqs!$A:$B,2,FALSE),VLOOKUP($A404,'SegEnds_NonXtal_Prot#'!A:AL,10,FALSE)+7,1)</f>
        <v>M</v>
      </c>
      <c r="Y404" s="49" t="str">
        <f>MID(VLOOKUP($A404,Seqs!$A:$B,2,FALSE),VLOOKUP($A404,'SegEnds_NonXtal_Prot#'!A:AL,10,FALSE)+8,1)</f>
        <v>V</v>
      </c>
      <c r="Z404" s="49" t="str">
        <f>MID(VLOOKUP($A404,Seqs!$A:$B,2,FALSE),VLOOKUP($A404,'SegEnds_NonXtal_Prot#'!A:AL,10,FALSE)+9,1)</f>
        <v>V</v>
      </c>
      <c r="AA404" s="49" t="str">
        <f>MID(VLOOKUP($A404,Seqs!$A:$B,2,FALSE),VLOOKUP($A404,'SegEnds_NonXtal_Prot#'!A:AL,10,FALSE)+10,1)</f>
        <v>N</v>
      </c>
      <c r="AB404" s="28" t="str">
        <f>MID(VLOOKUP($A404,Seqs!$A:$B,2,FALSE),VLOOKUP($A404,'SegEnds_NonXtal_Prot#'!$A:$AL,22,FALSE)+6,1)</f>
        <v>L</v>
      </c>
      <c r="AC404" s="49" t="str">
        <f>MID(VLOOKUP($A404,Seqs!$A:$B,2,FALSE),VLOOKUP($A404,'SegEnds_NonXtal_Prot#'!$A:$AL,22,FALSE)+7,1)</f>
        <v>L</v>
      </c>
      <c r="AD404" s="49" t="str">
        <f>MID(VLOOKUP($A404,Seqs!$A:$B,2,FALSE),VLOOKUP($A404,'SegEnds_NonXtal_Prot#'!$A:$AL,22,FALSE)+8,1)</f>
        <v>V</v>
      </c>
      <c r="AE404" s="49" t="str">
        <f>MID(VLOOKUP($A404,Seqs!$A:$B,2,FALSE),VLOOKUP($A404,'SegEnds_NonXtal_Prot#'!$A:$AL,22,FALSE)+9,1)</f>
        <v>S</v>
      </c>
      <c r="AF404" s="49" t="str">
        <f>MID(VLOOKUP($A404,Seqs!$A:$B,2,FALSE),VLOOKUP($A404,'SegEnds_NonXtal_Prot#'!$A:$AL,22,FALSE)+10,1)</f>
        <v>L</v>
      </c>
      <c r="AG404" s="28" t="str">
        <f>MID(VLOOKUP($A404,Seqs!$A:$B,2,FALSE),VLOOKUP($A404,'SegEnds_NonXtal_Prot#'!$A:$AL,28,FALSE)-4,1)</f>
        <v>F</v>
      </c>
      <c r="AH404" s="49" t="str">
        <f>MID(VLOOKUP($A404,Seqs!$A:$B,2,FALSE),VLOOKUP($A404,'SegEnds_NonXtal_Prot#'!$A:$AL,28,FALSE),1)</f>
        <v>P</v>
      </c>
    </row>
    <row r="405" spans="1:34" s="2" customFormat="1" x14ac:dyDescent="0.2">
      <c r="A405" s="2" t="s">
        <v>480</v>
      </c>
      <c r="B405" s="2" t="str">
        <f>LOWER(VLOOKUP(A405,Xtal_Templ!A:B,2,FALSE))</f>
        <v>agtr1_human</v>
      </c>
      <c r="C405" s="2" t="str">
        <f>VLOOKUP(A405,Classification!A:D,2,FALSE)</f>
        <v>T</v>
      </c>
      <c r="D405" s="2" t="str">
        <f>IF(ISERROR(MATCH(A405,'SegEnds_Xtal_Prot#'!B:B, 0)), "NoXtal", "Xtal")</f>
        <v>NoXtal</v>
      </c>
      <c r="H405" s="4"/>
      <c r="V405" s="28" t="str">
        <f>MID(VLOOKUP($A405,Seqs!$A:$B,2,FALSE),VLOOKUP($A405,'SegEnds_NonXtal_Prot#'!A:AL,10,FALSE),1)</f>
        <v>R</v>
      </c>
      <c r="W405" s="49" t="str">
        <f>MID(VLOOKUP($A405,Seqs!$A:$B,2,FALSE),VLOOKUP($A405,'SegEnds_NonXtal_Prot#'!A:AL,10,FALSE)+6,1)</f>
        <v>V</v>
      </c>
      <c r="X405" s="49" t="str">
        <f>MID(VLOOKUP($A405,Seqs!$A:$B,2,FALSE),VLOOKUP($A405,'SegEnds_NonXtal_Prot#'!A:AL,10,FALSE)+7,1)</f>
        <v>I</v>
      </c>
      <c r="Y405" s="49" t="str">
        <f>MID(VLOOKUP($A405,Seqs!$A:$B,2,FALSE),VLOOKUP($A405,'SegEnds_NonXtal_Prot#'!A:AL,10,FALSE)+8,1)</f>
        <v>S</v>
      </c>
      <c r="Z405" s="49" t="str">
        <f>MID(VLOOKUP($A405,Seqs!$A:$B,2,FALSE),VLOOKUP($A405,'SegEnds_NonXtal_Prot#'!A:AL,10,FALSE)+9,1)</f>
        <v>L</v>
      </c>
      <c r="AA405" s="49" t="str">
        <f>MID(VLOOKUP($A405,Seqs!$A:$B,2,FALSE),VLOOKUP($A405,'SegEnds_NonXtal_Prot#'!A:AL,10,FALSE)+10,1)</f>
        <v>D</v>
      </c>
      <c r="AB405" s="28" t="str">
        <f>MID(VLOOKUP($A405,Seqs!$A:$B,2,FALSE),VLOOKUP($A405,'SegEnds_NonXtal_Prot#'!$A:$AL,22,FALSE)+6,1)</f>
        <v>L</v>
      </c>
      <c r="AC405" s="49" t="str">
        <f>MID(VLOOKUP($A405,Seqs!$A:$B,2,FALSE),VLOOKUP($A405,'SegEnds_NonXtal_Prot#'!$A:$AL,22,FALSE)+7,1)</f>
        <v>I</v>
      </c>
      <c r="AD405" s="49" t="str">
        <f>MID(VLOOKUP($A405,Seqs!$A:$B,2,FALSE),VLOOKUP($A405,'SegEnds_NonXtal_Prot#'!$A:$AL,22,FALSE)+8,1)</f>
        <v>I</v>
      </c>
      <c r="AE405" s="49" t="str">
        <f>MID(VLOOKUP($A405,Seqs!$A:$B,2,FALSE),VLOOKUP($A405,'SegEnds_NonXtal_Prot#'!$A:$AL,22,FALSE)+9,1)</f>
        <v>S</v>
      </c>
      <c r="AF405" s="49" t="str">
        <f>MID(VLOOKUP($A405,Seqs!$A:$B,2,FALSE),VLOOKUP($A405,'SegEnds_NonXtal_Prot#'!$A:$AL,22,FALSE)+10,1)</f>
        <v>V</v>
      </c>
      <c r="AG405" s="28" t="str">
        <f>MID(VLOOKUP($A405,Seqs!$A:$B,2,FALSE),VLOOKUP($A405,'SegEnds_NonXtal_Prot#'!$A:$AL,28,FALSE)-4,1)</f>
        <v>G</v>
      </c>
      <c r="AH405" s="49" t="str">
        <f>MID(VLOOKUP($A405,Seqs!$A:$B,2,FALSE),VLOOKUP($A405,'SegEnds_NonXtal_Prot#'!$A:$AL,28,FALSE),1)</f>
        <v>P</v>
      </c>
    </row>
    <row r="406" spans="1:34" s="2" customFormat="1" x14ac:dyDescent="0.2">
      <c r="A406" s="2" t="s">
        <v>466</v>
      </c>
      <c r="B406" s="2" t="str">
        <f>LOWER(VLOOKUP(A406,Xtal_Templ!A:B,2,FALSE))</f>
        <v>5ht2a_human</v>
      </c>
      <c r="C406" s="2" t="str">
        <f>VLOOKUP(A406,Classification!A:D,2,FALSE)</f>
        <v>T</v>
      </c>
      <c r="D406" s="2" t="str">
        <f>IF(ISERROR(MATCH(A406,'SegEnds_Xtal_Prot#'!B:B, 0)), "NoXtal", "Xtal")</f>
        <v>NoXtal</v>
      </c>
      <c r="H406" s="4"/>
      <c r="V406" s="28" t="str">
        <f>MID(VLOOKUP($A406,Seqs!$A:$B,2,FALSE),VLOOKUP($A406,'SegEnds_NonXtal_Prot#'!A:AL,10,FALSE),1)</f>
        <v>R</v>
      </c>
      <c r="W406" s="49" t="str">
        <f>MID(VLOOKUP($A406,Seqs!$A:$B,2,FALSE),VLOOKUP($A406,'SegEnds_NonXtal_Prot#'!A:AL,10,FALSE)+6,1)</f>
        <v>W</v>
      </c>
      <c r="X406" s="49" t="str">
        <f>MID(VLOOKUP($A406,Seqs!$A:$B,2,FALSE),VLOOKUP($A406,'SegEnds_NonXtal_Prot#'!A:AL,10,FALSE)+7,1)</f>
        <v>M</v>
      </c>
      <c r="Y406" s="49" t="str">
        <f>MID(VLOOKUP($A406,Seqs!$A:$B,2,FALSE),VLOOKUP($A406,'SegEnds_NonXtal_Prot#'!A:AL,10,FALSE)+8,1)</f>
        <v>M</v>
      </c>
      <c r="Z406" s="49" t="str">
        <f>MID(VLOOKUP($A406,Seqs!$A:$B,2,FALSE),VLOOKUP($A406,'SegEnds_NonXtal_Prot#'!A:AL,10,FALSE)+9,1)</f>
        <v>L</v>
      </c>
      <c r="AA406" s="49" t="str">
        <f>MID(VLOOKUP($A406,Seqs!$A:$B,2,FALSE),VLOOKUP($A406,'SegEnds_NonXtal_Prot#'!A:AL,10,FALSE)+10,1)</f>
        <v>E</v>
      </c>
      <c r="AB406" s="28" t="str">
        <f>MID(VLOOKUP($A406,Seqs!$A:$B,2,FALSE),VLOOKUP($A406,'SegEnds_NonXtal_Prot#'!$A:$AL,22,FALSE)+6,1)</f>
        <v>L</v>
      </c>
      <c r="AC406" s="49" t="str">
        <f>MID(VLOOKUP($A406,Seqs!$A:$B,2,FALSE),VLOOKUP($A406,'SegEnds_NonXtal_Prot#'!$A:$AL,22,FALSE)+7,1)</f>
        <v>S</v>
      </c>
      <c r="AD406" s="49" t="str">
        <f>MID(VLOOKUP($A406,Seqs!$A:$B,2,FALSE),VLOOKUP($A406,'SegEnds_NonXtal_Prot#'!$A:$AL,22,FALSE)+8,1)</f>
        <v>F</v>
      </c>
      <c r="AE406" s="49" t="str">
        <f>MID(VLOOKUP($A406,Seqs!$A:$B,2,FALSE),VLOOKUP($A406,'SegEnds_NonXtal_Prot#'!$A:$AL,22,FALSE)+9,1)</f>
        <v>S</v>
      </c>
      <c r="AF406" s="49" t="str">
        <f>MID(VLOOKUP($A406,Seqs!$A:$B,2,FALSE),VLOOKUP($A406,'SegEnds_NonXtal_Prot#'!$A:$AL,22,FALSE)+10,1)</f>
        <v>F</v>
      </c>
      <c r="AG406" s="28" t="str">
        <f>MID(VLOOKUP($A406,Seqs!$A:$B,2,FALSE),VLOOKUP($A406,'SegEnds_NonXtal_Prot#'!$A:$AL,28,FALSE)-4,1)</f>
        <v>G</v>
      </c>
      <c r="AH406" s="49" t="str">
        <f>MID(VLOOKUP($A406,Seqs!$A:$B,2,FALSE),VLOOKUP($A406,'SegEnds_NonXtal_Prot#'!$A:$AL,28,FALSE),1)</f>
        <v>P</v>
      </c>
    </row>
    <row r="407" spans="1:34" s="2" customFormat="1" x14ac:dyDescent="0.2">
      <c r="A407" s="2" t="s">
        <v>474</v>
      </c>
      <c r="B407" s="2" t="str">
        <f>LOWER(VLOOKUP(A407,Xtal_Templ!A:B,2,FALSE))</f>
        <v>cxcr4_human</v>
      </c>
      <c r="C407" s="2" t="str">
        <f>VLOOKUP(A407,Classification!A:D,2,FALSE)</f>
        <v>T</v>
      </c>
      <c r="D407" s="2" t="str">
        <f>IF(ISERROR(MATCH(A407,'SegEnds_Xtal_Prot#'!B:B, 0)), "NoXtal", "Xtal")</f>
        <v>NoXtal</v>
      </c>
      <c r="H407" s="4"/>
      <c r="V407" s="28" t="str">
        <f>MID(VLOOKUP($A407,Seqs!$A:$B,2,FALSE),VLOOKUP($A407,'SegEnds_NonXtal_Prot#'!A:AL,10,FALSE),1)</f>
        <v>R</v>
      </c>
      <c r="W407" s="49" t="str">
        <f>MID(VLOOKUP($A407,Seqs!$A:$B,2,FALSE),VLOOKUP($A407,'SegEnds_NonXtal_Prot#'!A:AL,10,FALSE)+6,1)</f>
        <v>F</v>
      </c>
      <c r="X407" s="49" t="str">
        <f>MID(VLOOKUP($A407,Seqs!$A:$B,2,FALSE),VLOOKUP($A407,'SegEnds_NonXtal_Prot#'!A:AL,10,FALSE)+7,1)</f>
        <v>I</v>
      </c>
      <c r="Y407" s="49" t="str">
        <f>MID(VLOOKUP($A407,Seqs!$A:$B,2,FALSE),VLOOKUP($A407,'SegEnds_NonXtal_Prot#'!A:AL,10,FALSE)+8,1)</f>
        <v>F</v>
      </c>
      <c r="Z407" s="49" t="str">
        <f>MID(VLOOKUP($A407,Seqs!$A:$B,2,FALSE),VLOOKUP($A407,'SegEnds_NonXtal_Prot#'!A:AL,10,FALSE)+9,1)</f>
        <v>Y</v>
      </c>
      <c r="AA407" s="49" t="str">
        <f>MID(VLOOKUP($A407,Seqs!$A:$B,2,FALSE),VLOOKUP($A407,'SegEnds_NonXtal_Prot#'!A:AL,10,FALSE)+10,1)</f>
        <v>V</v>
      </c>
      <c r="AB407" s="28" t="str">
        <f>MID(VLOOKUP($A407,Seqs!$A:$B,2,FALSE),VLOOKUP($A407,'SegEnds_NonXtal_Prot#'!$A:$AL,22,FALSE)+6,1)</f>
        <v>S</v>
      </c>
      <c r="AC407" s="49" t="str">
        <f>MID(VLOOKUP($A407,Seqs!$A:$B,2,FALSE),VLOOKUP($A407,'SegEnds_NonXtal_Prot#'!$A:$AL,22,FALSE)+7,1)</f>
        <v>M</v>
      </c>
      <c r="AD407" s="49" t="str">
        <f>MID(VLOOKUP($A407,Seqs!$A:$B,2,FALSE),VLOOKUP($A407,'SegEnds_NonXtal_Prot#'!$A:$AL,22,FALSE)+8,1)</f>
        <v>I</v>
      </c>
      <c r="AE407" s="49" t="str">
        <f>MID(VLOOKUP($A407,Seqs!$A:$B,2,FALSE),VLOOKUP($A407,'SegEnds_NonXtal_Prot#'!$A:$AL,22,FALSE)+9,1)</f>
        <v>C</v>
      </c>
      <c r="AF407" s="49" t="str">
        <f>MID(VLOOKUP($A407,Seqs!$A:$B,2,FALSE),VLOOKUP($A407,'SegEnds_NonXtal_Prot#'!$A:$AL,22,FALSE)+10,1)</f>
        <v>V</v>
      </c>
      <c r="AG407" s="28" t="str">
        <f>MID(VLOOKUP($A407,Seqs!$A:$B,2,FALSE),VLOOKUP($A407,'SegEnds_NonXtal_Prot#'!$A:$AL,28,FALSE)-4,1)</f>
        <v>E</v>
      </c>
      <c r="AH407" s="49" t="str">
        <f>MID(VLOOKUP($A407,Seqs!$A:$B,2,FALSE),VLOOKUP($A407,'SegEnds_NonXtal_Prot#'!$A:$AL,28,FALSE),1)</f>
        <v>P</v>
      </c>
    </row>
    <row r="408" spans="1:34" s="2" customFormat="1" x14ac:dyDescent="0.2">
      <c r="A408" s="2" t="s">
        <v>459</v>
      </c>
      <c r="B408" s="2" t="str">
        <f>LOWER(VLOOKUP(A408,Xtal_Templ!A:B,2,FALSE))</f>
        <v>pd2r2_human</v>
      </c>
      <c r="C408" s="2" t="str">
        <f>VLOOKUP(A408,Classification!A:D,2,FALSE)</f>
        <v>T</v>
      </c>
      <c r="D408" s="2" t="str">
        <f>IF(ISERROR(MATCH(A408,'SegEnds_Xtal_Prot#'!B:B, 0)), "NoXtal", "Xtal")</f>
        <v>NoXtal</v>
      </c>
      <c r="H408" s="4"/>
      <c r="V408" s="28" t="str">
        <f>MID(VLOOKUP($A408,Seqs!$A:$B,2,FALSE),VLOOKUP($A408,'SegEnds_NonXtal_Prot#'!A:AL,10,FALSE),1)</f>
        <v>R</v>
      </c>
      <c r="W408" s="49" t="str">
        <f>MID(VLOOKUP($A408,Seqs!$A:$B,2,FALSE),VLOOKUP($A408,'SegEnds_NonXtal_Prot#'!A:AL,10,FALSE)+6,1)</f>
        <v>A</v>
      </c>
      <c r="X408" s="49" t="str">
        <f>MID(VLOOKUP($A408,Seqs!$A:$B,2,FALSE),VLOOKUP($A408,'SegEnds_NonXtal_Prot#'!A:AL,10,FALSE)+7,1)</f>
        <v>S</v>
      </c>
      <c r="Y408" s="49" t="str">
        <f>MID(VLOOKUP($A408,Seqs!$A:$B,2,FALSE),VLOOKUP($A408,'SegEnds_NonXtal_Prot#'!A:AL,10,FALSE)+8,1)</f>
        <v>M</v>
      </c>
      <c r="Z408" s="49" t="str">
        <f>MID(VLOOKUP($A408,Seqs!$A:$B,2,FALSE),VLOOKUP($A408,'SegEnds_NonXtal_Prot#'!A:AL,10,FALSE)+9,1)</f>
        <v>L</v>
      </c>
      <c r="AA408" s="49" t="str">
        <f>MID(VLOOKUP($A408,Seqs!$A:$B,2,FALSE),VLOOKUP($A408,'SegEnds_NonXtal_Prot#'!A:AL,10,FALSE)+10,1)</f>
        <v>N</v>
      </c>
      <c r="AB408" s="28" t="str">
        <f>MID(VLOOKUP($A408,Seqs!$A:$B,2,FALSE),VLOOKUP($A408,'SegEnds_NonXtal_Prot#'!$A:$AL,22,FALSE)+6,1)</f>
        <v>C</v>
      </c>
      <c r="AC408" s="49" t="str">
        <f>MID(VLOOKUP($A408,Seqs!$A:$B,2,FALSE),VLOOKUP($A408,'SegEnds_NonXtal_Prot#'!$A:$AL,22,FALSE)+7,1)</f>
        <v>V</v>
      </c>
      <c r="AD408" s="49" t="str">
        <f>MID(VLOOKUP($A408,Seqs!$A:$B,2,FALSE),VLOOKUP($A408,'SegEnds_NonXtal_Prot#'!$A:$AL,22,FALSE)+8,1)</f>
        <v>T</v>
      </c>
      <c r="AE408" s="49" t="str">
        <f>MID(VLOOKUP($A408,Seqs!$A:$B,2,FALSE),VLOOKUP($A408,'SegEnds_NonXtal_Prot#'!$A:$AL,22,FALSE)+9,1)</f>
        <v>I</v>
      </c>
      <c r="AF408" s="49" t="str">
        <f>MID(VLOOKUP($A408,Seqs!$A:$B,2,FALSE),VLOOKUP($A408,'SegEnds_NonXtal_Prot#'!$A:$AL,22,FALSE)+10,1)</f>
        <v>I</v>
      </c>
      <c r="AG408" s="28" t="str">
        <f>MID(VLOOKUP($A408,Seqs!$A:$B,2,FALSE),VLOOKUP($A408,'SegEnds_NonXtal_Prot#'!$A:$AL,28,FALSE)-4,1)</f>
        <v>A</v>
      </c>
      <c r="AH408" s="49" t="str">
        <f>MID(VLOOKUP($A408,Seqs!$A:$B,2,FALSE),VLOOKUP($A408,'SegEnds_NonXtal_Prot#'!$A:$AL,28,FALSE),1)</f>
        <v>P</v>
      </c>
    </row>
    <row r="409" spans="1:34" s="2" customFormat="1" x14ac:dyDescent="0.2">
      <c r="A409" s="2" t="s">
        <v>458</v>
      </c>
      <c r="B409" s="2" t="str">
        <f>LOWER(VLOOKUP(A409,Xtal_Templ!A:B,2,FALSE))</f>
        <v>5ht2c_human</v>
      </c>
      <c r="C409" s="2" t="str">
        <f>VLOOKUP(A409,Classification!A:D,2,FALSE)</f>
        <v>T</v>
      </c>
      <c r="D409" s="2" t="str">
        <f>IF(ISERROR(MATCH(A409,'SegEnds_Xtal_Prot#'!B:B, 0)), "NoXtal", "Xtal")</f>
        <v>NoXtal</v>
      </c>
      <c r="H409" s="4"/>
      <c r="V409" s="28" t="str">
        <f>MID(VLOOKUP($A409,Seqs!$A:$B,2,FALSE),VLOOKUP($A409,'SegEnds_NonXtal_Prot#'!A:AL,10,FALSE),1)</f>
        <v>R</v>
      </c>
      <c r="W409" s="49" t="str">
        <f>MID(VLOOKUP($A409,Seqs!$A:$B,2,FALSE),VLOOKUP($A409,'SegEnds_NonXtal_Prot#'!A:AL,10,FALSE)+6,1)</f>
        <v>L</v>
      </c>
      <c r="X409" s="49" t="str">
        <f>MID(VLOOKUP($A409,Seqs!$A:$B,2,FALSE),VLOOKUP($A409,'SegEnds_NonXtal_Prot#'!A:AL,10,FALSE)+7,1)</f>
        <v>I</v>
      </c>
      <c r="Y409" s="49" t="str">
        <f>MID(VLOOKUP($A409,Seqs!$A:$B,2,FALSE),VLOOKUP($A409,'SegEnds_NonXtal_Prot#'!A:AL,10,FALSE)+8,1)</f>
        <v>F</v>
      </c>
      <c r="Z409" s="49" t="str">
        <f>MID(VLOOKUP($A409,Seqs!$A:$B,2,FALSE),VLOOKUP($A409,'SegEnds_NonXtal_Prot#'!A:AL,10,FALSE)+9,1)</f>
        <v>G</v>
      </c>
      <c r="AA409" s="49" t="str">
        <f>MID(VLOOKUP($A409,Seqs!$A:$B,2,FALSE),VLOOKUP($A409,'SegEnds_NonXtal_Prot#'!A:AL,10,FALSE)+10,1)</f>
        <v>S</v>
      </c>
      <c r="AB409" s="28" t="str">
        <f>MID(VLOOKUP($A409,Seqs!$A:$B,2,FALSE),VLOOKUP($A409,'SegEnds_NonXtal_Prot#'!$A:$AL,22,FALSE)+6,1)</f>
        <v>F</v>
      </c>
      <c r="AC409" s="49" t="str">
        <f>MID(VLOOKUP($A409,Seqs!$A:$B,2,FALSE),VLOOKUP($A409,'SegEnds_NonXtal_Prot#'!$A:$AL,22,FALSE)+7,1)</f>
        <v>L</v>
      </c>
      <c r="AD409" s="49" t="str">
        <f>MID(VLOOKUP($A409,Seqs!$A:$B,2,FALSE),VLOOKUP($A409,'SegEnds_NonXtal_Prot#'!$A:$AL,22,FALSE)+8,1)</f>
        <v>N</v>
      </c>
      <c r="AE409" s="49" t="str">
        <f>MID(VLOOKUP($A409,Seqs!$A:$B,2,FALSE),VLOOKUP($A409,'SegEnds_NonXtal_Prot#'!$A:$AL,22,FALSE)+9,1)</f>
        <v>I</v>
      </c>
      <c r="AF409" s="49" t="str">
        <f>MID(VLOOKUP($A409,Seqs!$A:$B,2,FALSE),VLOOKUP($A409,'SegEnds_NonXtal_Prot#'!$A:$AL,22,FALSE)+10,1)</f>
        <v>A</v>
      </c>
      <c r="AG409" s="28" t="str">
        <f>MID(VLOOKUP($A409,Seqs!$A:$B,2,FALSE),VLOOKUP($A409,'SegEnds_NonXtal_Prot#'!$A:$AL,28,FALSE)-4,1)</f>
        <v>F</v>
      </c>
      <c r="AH409" s="49" t="str">
        <f>MID(VLOOKUP($A409,Seqs!$A:$B,2,FALSE),VLOOKUP($A409,'SegEnds_NonXtal_Prot#'!$A:$AL,28,FALSE),1)</f>
        <v>P</v>
      </c>
    </row>
    <row r="410" spans="1:34" s="2" customFormat="1" x14ac:dyDescent="0.2">
      <c r="A410" s="2" t="s">
        <v>456</v>
      </c>
      <c r="B410" s="2" t="str">
        <f>LOWER(VLOOKUP(A410,Xtal_Templ!A:B,2,FALSE))</f>
        <v>drd2_human</v>
      </c>
      <c r="C410" s="2" t="str">
        <f>VLOOKUP(A410,Classification!A:D,2,FALSE)</f>
        <v>T</v>
      </c>
      <c r="D410" s="2" t="str">
        <f>IF(ISERROR(MATCH(A410,'SegEnds_Xtal_Prot#'!B:B, 0)), "NoXtal", "Xtal")</f>
        <v>NoXtal</v>
      </c>
      <c r="H410" s="4"/>
      <c r="V410" s="28" t="str">
        <f>MID(VLOOKUP($A410,Seqs!$A:$B,2,FALSE),VLOOKUP($A410,'SegEnds_NonXtal_Prot#'!A:AL,10,FALSE),1)</f>
        <v>R</v>
      </c>
      <c r="W410" s="49" t="str">
        <f>MID(VLOOKUP($A410,Seqs!$A:$B,2,FALSE),VLOOKUP($A410,'SegEnds_NonXtal_Prot#'!A:AL,10,FALSE)+6,1)</f>
        <v>I</v>
      </c>
      <c r="X410" s="49" t="str">
        <f>MID(VLOOKUP($A410,Seqs!$A:$B,2,FALSE),VLOOKUP($A410,'SegEnds_NonXtal_Prot#'!A:AL,10,FALSE)+7,1)</f>
        <v>I</v>
      </c>
      <c r="Y410" s="49" t="str">
        <f>MID(VLOOKUP($A410,Seqs!$A:$B,2,FALSE),VLOOKUP($A410,'SegEnds_NonXtal_Prot#'!A:AL,10,FALSE)+8,1)</f>
        <v>I</v>
      </c>
      <c r="Z410" s="49" t="str">
        <f>MID(VLOOKUP($A410,Seqs!$A:$B,2,FALSE),VLOOKUP($A410,'SegEnds_NonXtal_Prot#'!A:AL,10,FALSE)+9,1)</f>
        <v>T</v>
      </c>
      <c r="AA410" s="49" t="str">
        <f>MID(VLOOKUP($A410,Seqs!$A:$B,2,FALSE),VLOOKUP($A410,'SegEnds_NonXtal_Prot#'!A:AL,10,FALSE)+10,1)</f>
        <v>D</v>
      </c>
      <c r="AB410" s="28" t="str">
        <f>MID(VLOOKUP($A410,Seqs!$A:$B,2,FALSE),VLOOKUP($A410,'SegEnds_NonXtal_Prot#'!$A:$AL,22,FALSE)+6,1)</f>
        <v>L</v>
      </c>
      <c r="AC410" s="49" t="str">
        <f>MID(VLOOKUP($A410,Seqs!$A:$B,2,FALSE),VLOOKUP($A410,'SegEnds_NonXtal_Prot#'!$A:$AL,22,FALSE)+7,1)</f>
        <v>L</v>
      </c>
      <c r="AD410" s="49" t="str">
        <f>MID(VLOOKUP($A410,Seqs!$A:$B,2,FALSE),VLOOKUP($A410,'SegEnds_NonXtal_Prot#'!$A:$AL,22,FALSE)+8,1)</f>
        <v>N</v>
      </c>
      <c r="AE410" s="49" t="str">
        <f>MID(VLOOKUP($A410,Seqs!$A:$B,2,FALSE),VLOOKUP($A410,'SegEnds_NonXtal_Prot#'!$A:$AL,22,FALSE)+9,1)</f>
        <v>F</v>
      </c>
      <c r="AF410" s="49" t="str">
        <f>MID(VLOOKUP($A410,Seqs!$A:$B,2,FALSE),VLOOKUP($A410,'SegEnds_NonXtal_Prot#'!$A:$AL,22,FALSE)+10,1)</f>
        <v>A</v>
      </c>
      <c r="AG410" s="28" t="str">
        <f>MID(VLOOKUP($A410,Seqs!$A:$B,2,FALSE),VLOOKUP($A410,'SegEnds_NonXtal_Prot#'!$A:$AL,28,FALSE)-4,1)</f>
        <v>G</v>
      </c>
      <c r="AH410" s="49" t="str">
        <f>MID(VLOOKUP($A410,Seqs!$A:$B,2,FALSE),VLOOKUP($A410,'SegEnds_NonXtal_Prot#'!$A:$AL,28,FALSE),1)</f>
        <v>F</v>
      </c>
    </row>
    <row r="411" spans="1:34" s="2" customFormat="1" x14ac:dyDescent="0.2">
      <c r="A411" s="2" t="s">
        <v>477</v>
      </c>
      <c r="B411" s="2" t="str">
        <f>LOWER(VLOOKUP(A411,Xtal_Templ!A:B,2,FALSE))</f>
        <v>hrh1_human</v>
      </c>
      <c r="C411" s="2" t="str">
        <f>VLOOKUP(A411,Classification!A:D,2,FALSE)</f>
        <v>T</v>
      </c>
      <c r="D411" s="2" t="str">
        <f>IF(ISERROR(MATCH(A411,'SegEnds_Xtal_Prot#'!B:B, 0)), "NoXtal", "Xtal")</f>
        <v>NoXtal</v>
      </c>
      <c r="H411" s="4"/>
      <c r="V411" s="28" t="str">
        <f>MID(VLOOKUP($A411,Seqs!$A:$B,2,FALSE),VLOOKUP($A411,'SegEnds_NonXtal_Prot#'!A:AL,10,FALSE),1)</f>
        <v>R</v>
      </c>
      <c r="W411" s="49" t="str">
        <f>MID(VLOOKUP($A411,Seqs!$A:$B,2,FALSE),VLOOKUP($A411,'SegEnds_NonXtal_Prot#'!A:AL,10,FALSE)+6,1)</f>
        <v>L</v>
      </c>
      <c r="X411" s="49" t="str">
        <f>MID(VLOOKUP($A411,Seqs!$A:$B,2,FALSE),VLOOKUP($A411,'SegEnds_NonXtal_Prot#'!A:AL,10,FALSE)+7,1)</f>
        <v>I</v>
      </c>
      <c r="Y411" s="49" t="str">
        <f>MID(VLOOKUP($A411,Seqs!$A:$B,2,FALSE),VLOOKUP($A411,'SegEnds_NonXtal_Prot#'!A:AL,10,FALSE)+8,1)</f>
        <v>I</v>
      </c>
      <c r="Z411" s="49" t="str">
        <f>MID(VLOOKUP($A411,Seqs!$A:$B,2,FALSE),VLOOKUP($A411,'SegEnds_NonXtal_Prot#'!A:AL,10,FALSE)+9,1)</f>
        <v>L</v>
      </c>
      <c r="AA411" s="49" t="str">
        <f>MID(VLOOKUP($A411,Seqs!$A:$B,2,FALSE),VLOOKUP($A411,'SegEnds_NonXtal_Prot#'!A:AL,10,FALSE)+10,1)</f>
        <v>D</v>
      </c>
      <c r="AB411" s="28" t="str">
        <f>MID(VLOOKUP($A411,Seqs!$A:$B,2,FALSE),VLOOKUP($A411,'SegEnds_NonXtal_Prot#'!$A:$AL,22,FALSE)+6,1)</f>
        <v>L</v>
      </c>
      <c r="AC411" s="49" t="str">
        <f>MID(VLOOKUP($A411,Seqs!$A:$B,2,FALSE),VLOOKUP($A411,'SegEnds_NonXtal_Prot#'!$A:$AL,22,FALSE)+7,1)</f>
        <v>L</v>
      </c>
      <c r="AD411" s="49" t="str">
        <f>MID(VLOOKUP($A411,Seqs!$A:$B,2,FALSE),VLOOKUP($A411,'SegEnds_NonXtal_Prot#'!$A:$AL,22,FALSE)+8,1)</f>
        <v>L</v>
      </c>
      <c r="AE411" s="49" t="str">
        <f>MID(VLOOKUP($A411,Seqs!$A:$B,2,FALSE),VLOOKUP($A411,'SegEnds_NonXtal_Prot#'!$A:$AL,22,FALSE)+9,1)</f>
        <v>T</v>
      </c>
      <c r="AF411" s="49" t="str">
        <f>MID(VLOOKUP($A411,Seqs!$A:$B,2,FALSE),VLOOKUP($A411,'SegEnds_NonXtal_Prot#'!$A:$AL,22,FALSE)+10,1)</f>
        <v>V</v>
      </c>
      <c r="AG411" s="28" t="str">
        <f>MID(VLOOKUP($A411,Seqs!$A:$B,2,FALSE),VLOOKUP($A411,'SegEnds_NonXtal_Prot#'!$A:$AL,28,FALSE)-4,1)</f>
        <v>G</v>
      </c>
      <c r="AH411" s="49" t="str">
        <f>MID(VLOOKUP($A411,Seqs!$A:$B,2,FALSE),VLOOKUP($A411,'SegEnds_NonXtal_Prot#'!$A:$AL,28,FALSE),1)</f>
        <v>P</v>
      </c>
    </row>
    <row r="412" spans="1:34" s="2" customFormat="1" x14ac:dyDescent="0.2">
      <c r="H412" s="4"/>
      <c r="V412" s="28"/>
      <c r="W412" s="49"/>
      <c r="X412" s="49"/>
      <c r="Y412" s="49"/>
      <c r="Z412" s="49"/>
      <c r="AA412" s="49"/>
      <c r="AB412" s="28"/>
      <c r="AC412" s="49"/>
      <c r="AD412" s="49"/>
      <c r="AE412" s="49"/>
      <c r="AG412" s="16"/>
    </row>
    <row r="413" spans="1:34" s="2" customFormat="1" x14ac:dyDescent="0.2">
      <c r="H413" s="4"/>
      <c r="V413" s="28"/>
      <c r="W413" s="49"/>
      <c r="X413" s="49"/>
      <c r="Y413" s="49"/>
      <c r="Z413" s="49"/>
      <c r="AA413" s="49"/>
      <c r="AB413" s="28"/>
      <c r="AC413" s="49"/>
      <c r="AD413" s="49"/>
      <c r="AE413" s="49"/>
      <c r="AG413" s="16"/>
    </row>
    <row r="414" spans="1:34" s="2" customFormat="1" x14ac:dyDescent="0.2">
      <c r="H414" s="4"/>
      <c r="V414" s="28"/>
      <c r="W414" s="49"/>
      <c r="X414" s="49"/>
      <c r="Y414" s="49"/>
      <c r="Z414" s="49"/>
      <c r="AA414" s="49"/>
      <c r="AB414" s="28"/>
      <c r="AC414" s="49"/>
      <c r="AD414" s="49"/>
      <c r="AE414" s="49"/>
      <c r="AG414" s="16"/>
    </row>
  </sheetData>
  <sortState ref="A2:AG406">
    <sortCondition ref="C2:C406"/>
    <sortCondition ref="B2:B406"/>
    <sortCondition ref="A2:A406"/>
  </sortState>
  <customSheetViews>
    <customSheetView guid="{3E3401AF-8459-8641-BD70-AD04F80E86ED}" scale="120">
      <pane ySplit="1" topLeftCell="A7" activePane="bottomLeft" state="frozenSplit"/>
      <selection pane="bottomLeft" activeCell="A28" sqref="A1:A1048576"/>
      <pageMargins left="0.7" right="0.7" top="0.75" bottom="0.75" header="0.3" footer="0.3"/>
      <pageSetup paperSize="9" orientation="portrait" horizontalDpi="0" verticalDpi="0"/>
    </customSheetView>
  </customSheetViews>
  <conditionalFormatting sqref="AE1:AF1048576">
    <cfRule type="cellIs" dxfId="7" priority="4" operator="equal">
      <formula>"P"</formula>
    </cfRule>
  </conditionalFormatting>
  <conditionalFormatting sqref="AC1:AC1048576">
    <cfRule type="cellIs" dxfId="6" priority="2" operator="equal">
      <formula>"W"</formula>
    </cfRule>
    <cfRule type="cellIs" dxfId="5" priority="3" operator="equal">
      <formula>"G"</formula>
    </cfRule>
  </conditionalFormatting>
  <conditionalFormatting sqref="AG2:AH411">
    <cfRule type="cellIs" dxfId="4" priority="1" operator="equal">
      <formula>"P"</formula>
    </cfRule>
  </conditionalFormatting>
  <pageMargins left="0.7" right="0.7" top="0.75" bottom="0.75" header="0.3" footer="0.3"/>
  <pageSetup paperSize="9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M413"/>
  <sheetViews>
    <sheetView workbookViewId="0">
      <pane ySplit="1" topLeftCell="A81" activePane="bottomLeft" state="frozenSplit"/>
      <selection pane="bottomLeft" activeCell="A103" sqref="A1:A1048576"/>
    </sheetView>
  </sheetViews>
  <sheetFormatPr baseColWidth="10" defaultColWidth="11.1640625" defaultRowHeight="16" x14ac:dyDescent="0.2"/>
  <cols>
    <col min="1" max="1" width="11.83203125" customWidth="1"/>
    <col min="3" max="3" width="7.5" customWidth="1"/>
  </cols>
  <sheetData>
    <row r="1" spans="1:5" s="21" customFormat="1" x14ac:dyDescent="0.2">
      <c r="A1" s="21" t="s">
        <v>31</v>
      </c>
      <c r="B1" s="21" t="s">
        <v>1157</v>
      </c>
      <c r="C1" s="21" t="s">
        <v>1227</v>
      </c>
      <c r="D1" s="21" t="s">
        <v>1205</v>
      </c>
      <c r="E1" s="21" t="s">
        <v>932</v>
      </c>
    </row>
    <row r="2" spans="1:5" x14ac:dyDescent="0.2">
      <c r="A2" t="s">
        <v>468</v>
      </c>
      <c r="B2" t="s">
        <v>563</v>
      </c>
      <c r="C2" t="str">
        <f>IF(ISERROR(MATCH(A2,'SegEnds_Xtal_Prot#'!B:B, 0)), "NoXtal", "Xtal")</f>
        <v>NoXtal</v>
      </c>
      <c r="D2" t="str">
        <f t="shared" ref="D2:D66" si="0">MID(A2,FIND("_",A2)+1,LEN(A2)-FIND("_",A2))</f>
        <v>human</v>
      </c>
      <c r="E2" t="str">
        <f>VLOOKUP(A2,Classification!A:B,2,FALSE)</f>
        <v>T</v>
      </c>
    </row>
    <row r="3" spans="1:5" x14ac:dyDescent="0.2">
      <c r="A3" t="s">
        <v>469</v>
      </c>
      <c r="B3" t="s">
        <v>594</v>
      </c>
      <c r="C3" t="str">
        <f>IF(ISERROR(MATCH(A3,'SegEnds_Xtal_Prot#'!B:B, 0)), "NoXtal", "Xtal")</f>
        <v>NoXtal</v>
      </c>
      <c r="D3" t="str">
        <f t="shared" si="0"/>
        <v>human</v>
      </c>
      <c r="E3" t="str">
        <f>VLOOKUP(A3,Classification!A:B,2,FALSE)</f>
        <v>T</v>
      </c>
    </row>
    <row r="4" spans="1:5" x14ac:dyDescent="0.2">
      <c r="A4" t="s">
        <v>930</v>
      </c>
      <c r="B4" t="s">
        <v>611</v>
      </c>
      <c r="C4" t="str">
        <f>IF(ISERROR(MATCH(A4,'SegEnds_Xtal_Prot#'!B:B, 0)), "NoXtal", "Xtal")</f>
        <v>NoXtal</v>
      </c>
      <c r="D4" t="str">
        <f t="shared" si="0"/>
        <v>human</v>
      </c>
      <c r="E4" t="str">
        <f>VLOOKUP(A4,Classification!A:B,2,FALSE)</f>
        <v>T</v>
      </c>
    </row>
    <row r="5" spans="1:5" x14ac:dyDescent="0.2">
      <c r="A5" t="s">
        <v>467</v>
      </c>
      <c r="B5" t="s">
        <v>644</v>
      </c>
      <c r="C5" t="str">
        <f>IF(ISERROR(MATCH(A5,'SegEnds_Xtal_Prot#'!B:B, 0)), "NoXtal", "Xtal")</f>
        <v>NoXtal</v>
      </c>
      <c r="D5" t="str">
        <f t="shared" si="0"/>
        <v>human</v>
      </c>
      <c r="E5" t="str">
        <f>VLOOKUP(A5,Classification!A:B,2,FALSE)</f>
        <v>T</v>
      </c>
    </row>
    <row r="6" spans="1:5" x14ac:dyDescent="0.2">
      <c r="A6" t="s">
        <v>474</v>
      </c>
      <c r="B6" t="s">
        <v>697</v>
      </c>
      <c r="C6" t="str">
        <f>IF(ISERROR(MATCH(A6,'SegEnds_Xtal_Prot#'!B:B, 0)), "NoXtal", "Xtal")</f>
        <v>NoXtal</v>
      </c>
      <c r="D6" t="str">
        <f t="shared" si="0"/>
        <v>human</v>
      </c>
      <c r="E6" t="str">
        <f>VLOOKUP(A6,Classification!A:B,2,FALSE)</f>
        <v>T</v>
      </c>
    </row>
    <row r="7" spans="1:5" x14ac:dyDescent="0.2">
      <c r="A7" t="s">
        <v>475</v>
      </c>
      <c r="B7" t="s">
        <v>698</v>
      </c>
      <c r="C7" t="str">
        <f>IF(ISERROR(MATCH(A7,'SegEnds_Xtal_Prot#'!B:B, 0)), "NoXtal", "Xtal")</f>
        <v>NoXtal</v>
      </c>
      <c r="D7" t="str">
        <f t="shared" si="0"/>
        <v>human</v>
      </c>
      <c r="E7" t="str">
        <f>VLOOKUP(A7,Classification!A:B,2,FALSE)</f>
        <v>T</v>
      </c>
    </row>
    <row r="8" spans="1:5" x14ac:dyDescent="0.2">
      <c r="A8" t="s">
        <v>476</v>
      </c>
      <c r="B8" t="s">
        <v>699</v>
      </c>
      <c r="C8" t="str">
        <f>IF(ISERROR(MATCH(A8,'SegEnds_Xtal_Prot#'!B:B, 0)), "NoXtal", "Xtal")</f>
        <v>NoXtal</v>
      </c>
      <c r="D8" t="str">
        <f t="shared" si="0"/>
        <v>human</v>
      </c>
      <c r="E8" t="str">
        <f>VLOOKUP(A8,Classification!A:B,2,FALSE)</f>
        <v>T</v>
      </c>
    </row>
    <row r="9" spans="1:5" x14ac:dyDescent="0.2">
      <c r="A9" t="s">
        <v>477</v>
      </c>
      <c r="B9" t="s">
        <v>700</v>
      </c>
      <c r="C9" t="str">
        <f>IF(ISERROR(MATCH(A9,'SegEnds_Xtal_Prot#'!B:B, 0)), "NoXtal", "Xtal")</f>
        <v>NoXtal</v>
      </c>
      <c r="D9" t="str">
        <f t="shared" si="0"/>
        <v>human</v>
      </c>
      <c r="E9" t="str">
        <f>VLOOKUP(A9,Classification!A:B,2,FALSE)</f>
        <v>T</v>
      </c>
    </row>
    <row r="10" spans="1:5" x14ac:dyDescent="0.2">
      <c r="A10" t="s">
        <v>478</v>
      </c>
      <c r="B10" t="s">
        <v>701</v>
      </c>
      <c r="C10" t="str">
        <f>IF(ISERROR(MATCH(A10,'SegEnds_Xtal_Prot#'!B:B, 0)), "NoXtal", "Xtal")</f>
        <v>NoXtal</v>
      </c>
      <c r="D10" t="str">
        <f t="shared" si="0"/>
        <v>human</v>
      </c>
      <c r="E10" t="str">
        <f>VLOOKUP(A10,Classification!A:B,2,FALSE)</f>
        <v>T</v>
      </c>
    </row>
    <row r="11" spans="1:5" x14ac:dyDescent="0.2">
      <c r="A11" t="s">
        <v>479</v>
      </c>
      <c r="B11" t="s">
        <v>702</v>
      </c>
      <c r="C11" t="str">
        <f>IF(ISERROR(MATCH(A11,'SegEnds_Xtal_Prot#'!B:B, 0)), "NoXtal", "Xtal")</f>
        <v>NoXtal</v>
      </c>
      <c r="D11" t="str">
        <f t="shared" si="0"/>
        <v>human</v>
      </c>
      <c r="E11" t="str">
        <f>VLOOKUP(A11,Classification!A:B,2,FALSE)</f>
        <v>T</v>
      </c>
    </row>
    <row r="12" spans="1:5" x14ac:dyDescent="0.2">
      <c r="A12" t="s">
        <v>480</v>
      </c>
      <c r="B12" t="s">
        <v>703</v>
      </c>
      <c r="C12" t="str">
        <f>IF(ISERROR(MATCH(A12,'SegEnds_Xtal_Prot#'!B:B, 0)), "NoXtal", "Xtal")</f>
        <v>NoXtal</v>
      </c>
      <c r="D12" t="str">
        <f t="shared" si="0"/>
        <v>human</v>
      </c>
      <c r="E12" t="str">
        <f>VLOOKUP(A12,Classification!A:B,2,FALSE)</f>
        <v>T</v>
      </c>
    </row>
    <row r="13" spans="1:5" x14ac:dyDescent="0.2">
      <c r="A13" t="s">
        <v>456</v>
      </c>
      <c r="B13" t="s">
        <v>704</v>
      </c>
      <c r="C13" t="str">
        <f>IF(ISERROR(MATCH(A13,'SegEnds_Xtal_Prot#'!B:B, 0)), "NoXtal", "Xtal")</f>
        <v>NoXtal</v>
      </c>
      <c r="D13" t="str">
        <f t="shared" si="0"/>
        <v>human</v>
      </c>
      <c r="E13" t="str">
        <f>VLOOKUP(A13,Classification!A:B,2,FALSE)</f>
        <v>T</v>
      </c>
    </row>
    <row r="14" spans="1:5" x14ac:dyDescent="0.2">
      <c r="A14" t="s">
        <v>457</v>
      </c>
      <c r="B14" t="s">
        <v>705</v>
      </c>
      <c r="C14" t="str">
        <f>IF(ISERROR(MATCH(A14,'SegEnds_Xtal_Prot#'!B:B, 0)), "NoXtal", "Xtal")</f>
        <v>NoXtal</v>
      </c>
      <c r="D14" t="str">
        <f t="shared" si="0"/>
        <v>human</v>
      </c>
      <c r="E14" t="str">
        <f>VLOOKUP(A14,Classification!A:B,2,FALSE)</f>
        <v>T</v>
      </c>
    </row>
    <row r="15" spans="1:5" x14ac:dyDescent="0.2">
      <c r="A15" t="s">
        <v>458</v>
      </c>
      <c r="B15" t="s">
        <v>706</v>
      </c>
      <c r="C15" t="str">
        <f>IF(ISERROR(MATCH(A15,'SegEnds_Xtal_Prot#'!B:B, 0)), "NoXtal", "Xtal")</f>
        <v>NoXtal</v>
      </c>
      <c r="D15" t="str">
        <f t="shared" si="0"/>
        <v>human</v>
      </c>
      <c r="E15" t="str">
        <f>VLOOKUP(A15,Classification!A:B,2,FALSE)</f>
        <v>T</v>
      </c>
    </row>
    <row r="16" spans="1:5" x14ac:dyDescent="0.2">
      <c r="A16" t="s">
        <v>459</v>
      </c>
      <c r="B16" t="s">
        <v>707</v>
      </c>
      <c r="C16" t="str">
        <f>IF(ISERROR(MATCH(A16,'SegEnds_Xtal_Prot#'!B:B, 0)), "NoXtal", "Xtal")</f>
        <v>NoXtal</v>
      </c>
      <c r="D16" t="str">
        <f t="shared" si="0"/>
        <v>human</v>
      </c>
      <c r="E16" t="str">
        <f>VLOOKUP(A16,Classification!A:B,2,FALSE)</f>
        <v>T</v>
      </c>
    </row>
    <row r="17" spans="1:5" x14ac:dyDescent="0.2">
      <c r="A17" t="s">
        <v>460</v>
      </c>
      <c r="B17" t="s">
        <v>708</v>
      </c>
      <c r="C17" t="str">
        <f>IF(ISERROR(MATCH(A17,'SegEnds_Xtal_Prot#'!B:B, 0)), "NoXtal", "Xtal")</f>
        <v>NoXtal</v>
      </c>
      <c r="D17" t="str">
        <f t="shared" si="0"/>
        <v>human</v>
      </c>
      <c r="E17" t="str">
        <f>VLOOKUP(A17,Classification!A:B,2,FALSE)</f>
        <v>T</v>
      </c>
    </row>
    <row r="18" spans="1:5" x14ac:dyDescent="0.2">
      <c r="A18" t="s">
        <v>461</v>
      </c>
      <c r="B18" t="s">
        <v>709</v>
      </c>
      <c r="C18" t="str">
        <f>IF(ISERROR(MATCH(A18,'SegEnds_Xtal_Prot#'!B:B, 0)), "NoXtal", "Xtal")</f>
        <v>NoXtal</v>
      </c>
      <c r="D18" t="str">
        <f t="shared" si="0"/>
        <v>human</v>
      </c>
      <c r="E18" t="str">
        <f>VLOOKUP(A18,Classification!A:B,2,FALSE)</f>
        <v>T</v>
      </c>
    </row>
    <row r="19" spans="1:5" x14ac:dyDescent="0.2">
      <c r="A19" t="s">
        <v>462</v>
      </c>
      <c r="B19" t="s">
        <v>710</v>
      </c>
      <c r="C19" t="str">
        <f>IF(ISERROR(MATCH(A19,'SegEnds_Xtal_Prot#'!B:B, 0)), "NoXtal", "Xtal")</f>
        <v>NoXtal</v>
      </c>
      <c r="D19" t="str">
        <f t="shared" si="0"/>
        <v>human</v>
      </c>
      <c r="E19" t="str">
        <f>VLOOKUP(A19,Classification!A:B,2,FALSE)</f>
        <v>T</v>
      </c>
    </row>
    <row r="20" spans="1:5" x14ac:dyDescent="0.2">
      <c r="A20" t="s">
        <v>463</v>
      </c>
      <c r="B20" t="s">
        <v>711</v>
      </c>
      <c r="C20" t="str">
        <f>IF(ISERROR(MATCH(A20,'SegEnds_Xtal_Prot#'!B:B, 0)), "NoXtal", "Xtal")</f>
        <v>NoXtal</v>
      </c>
      <c r="D20" t="str">
        <f t="shared" si="0"/>
        <v>human</v>
      </c>
      <c r="E20" t="str">
        <f>VLOOKUP(A20,Classification!A:B,2,FALSE)</f>
        <v>T</v>
      </c>
    </row>
    <row r="21" spans="1:5" x14ac:dyDescent="0.2">
      <c r="A21" t="s">
        <v>464</v>
      </c>
      <c r="B21" t="s">
        <v>712</v>
      </c>
      <c r="C21" t="str">
        <f>IF(ISERROR(MATCH(A21,'SegEnds_Xtal_Prot#'!B:B, 0)), "NoXtal", "Xtal")</f>
        <v>NoXtal</v>
      </c>
      <c r="D21" t="str">
        <f t="shared" si="0"/>
        <v>human</v>
      </c>
      <c r="E21" t="str">
        <f>VLOOKUP(A21,Classification!A:B,2,FALSE)</f>
        <v>T</v>
      </c>
    </row>
    <row r="22" spans="1:5" x14ac:dyDescent="0.2">
      <c r="A22" t="s">
        <v>465</v>
      </c>
      <c r="B22" t="s">
        <v>713</v>
      </c>
      <c r="C22" t="str">
        <f>IF(ISERROR(MATCH(A22,'SegEnds_Xtal_Prot#'!B:B, 0)), "NoXtal", "Xtal")</f>
        <v>NoXtal</v>
      </c>
      <c r="D22" t="str">
        <f t="shared" si="0"/>
        <v>human</v>
      </c>
      <c r="E22" t="str">
        <f>VLOOKUP(A22,Classification!A:B,2,FALSE)</f>
        <v>T</v>
      </c>
    </row>
    <row r="23" spans="1:5" x14ac:dyDescent="0.2">
      <c r="A23" t="s">
        <v>466</v>
      </c>
      <c r="B23" t="s">
        <v>714</v>
      </c>
      <c r="C23" t="str">
        <f>IF(ISERROR(MATCH(A23,'SegEnds_Xtal_Prot#'!B:B, 0)), "NoXtal", "Xtal")</f>
        <v>NoXtal</v>
      </c>
      <c r="D23" t="str">
        <f t="shared" si="0"/>
        <v>human</v>
      </c>
      <c r="E23" t="str">
        <f>VLOOKUP(A23,Classification!A:B,2,FALSE)</f>
        <v>T</v>
      </c>
    </row>
    <row r="24" spans="1:5" x14ac:dyDescent="0.2">
      <c r="A24" t="s">
        <v>470</v>
      </c>
      <c r="B24" t="s">
        <v>715</v>
      </c>
      <c r="C24" t="str">
        <f>IF(ISERROR(MATCH(A24,'SegEnds_Xtal_Prot#'!B:B, 0)), "NoXtal", "Xtal")</f>
        <v>NoXtal</v>
      </c>
      <c r="D24" t="str">
        <f t="shared" si="0"/>
        <v>human</v>
      </c>
      <c r="E24" t="str">
        <f>VLOOKUP(A24,Classification!A:B,2,FALSE)</f>
        <v>T</v>
      </c>
    </row>
    <row r="25" spans="1:5" x14ac:dyDescent="0.2">
      <c r="A25" t="s">
        <v>471</v>
      </c>
      <c r="B25" t="s">
        <v>716</v>
      </c>
      <c r="C25" t="str">
        <f>IF(ISERROR(MATCH(A25,'SegEnds_Xtal_Prot#'!B:B, 0)), "NoXtal", "Xtal")</f>
        <v>NoXtal</v>
      </c>
      <c r="D25" t="str">
        <f t="shared" si="0"/>
        <v>human</v>
      </c>
      <c r="E25" t="str">
        <f>VLOOKUP(A25,Classification!A:B,2,FALSE)</f>
        <v>T</v>
      </c>
    </row>
    <row r="26" spans="1:5" x14ac:dyDescent="0.2">
      <c r="A26" t="s">
        <v>472</v>
      </c>
      <c r="B26" t="s">
        <v>717</v>
      </c>
      <c r="C26" t="str">
        <f>IF(ISERROR(MATCH(A26,'SegEnds_Xtal_Prot#'!B:B, 0)), "NoXtal", "Xtal")</f>
        <v>NoXtal</v>
      </c>
      <c r="D26" t="str">
        <f t="shared" si="0"/>
        <v>human</v>
      </c>
      <c r="E26" t="str">
        <f>VLOOKUP(A26,Classification!A:B,2,FALSE)</f>
        <v>T</v>
      </c>
    </row>
    <row r="27" spans="1:5" x14ac:dyDescent="0.2">
      <c r="A27" t="s">
        <v>482</v>
      </c>
      <c r="B27" t="s">
        <v>878</v>
      </c>
      <c r="C27" t="str">
        <f>IF(ISERROR(MATCH(A27,'SegEnds_Xtal_Prot#'!B:B, 0)), "NoXtal", "Xtal")</f>
        <v>NoXtal</v>
      </c>
      <c r="D27" t="str">
        <f t="shared" si="0"/>
        <v>human</v>
      </c>
      <c r="E27" t="str">
        <f>VLOOKUP(A27,Classification!A:B,2,FALSE)</f>
        <v>O</v>
      </c>
    </row>
    <row r="28" spans="1:5" x14ac:dyDescent="0.2">
      <c r="A28" t="s">
        <v>481</v>
      </c>
      <c r="B28" t="s">
        <v>879</v>
      </c>
      <c r="C28" t="str">
        <f>IF(ISERROR(MATCH(A28,'SegEnds_Xtal_Prot#'!B:B, 0)), "NoXtal", "Xtal")</f>
        <v>NoXtal</v>
      </c>
      <c r="D28" t="str">
        <f t="shared" si="0"/>
        <v>human</v>
      </c>
      <c r="E28" t="str">
        <f>VLOOKUP(A28,Classification!A:B,2,FALSE)</f>
        <v>O</v>
      </c>
    </row>
    <row r="29" spans="1:5" x14ac:dyDescent="0.2">
      <c r="A29" t="s">
        <v>483</v>
      </c>
      <c r="B29" t="s">
        <v>880</v>
      </c>
      <c r="C29" t="str">
        <f>IF(ISERROR(MATCH(A29,'SegEnds_Xtal_Prot#'!B:B, 0)), "NoXtal", "Xtal")</f>
        <v>NoXtal</v>
      </c>
      <c r="D29" t="str">
        <f t="shared" si="0"/>
        <v>human</v>
      </c>
      <c r="E29" t="str">
        <f>VLOOKUP(A29,Classification!A:B,2,FALSE)</f>
        <v>O</v>
      </c>
    </row>
    <row r="30" spans="1:5" x14ac:dyDescent="0.2">
      <c r="A30" t="s">
        <v>484</v>
      </c>
      <c r="B30" t="s">
        <v>881</v>
      </c>
      <c r="C30" t="str">
        <f>IF(ISERROR(MATCH(A30,'SegEnds_Xtal_Prot#'!B:B, 0)), "NoXtal", "Xtal")</f>
        <v>NoXtal</v>
      </c>
      <c r="D30" t="str">
        <f t="shared" si="0"/>
        <v>human</v>
      </c>
      <c r="E30" t="str">
        <f>VLOOKUP(A30,Classification!A:B,2,FALSE)</f>
        <v>O</v>
      </c>
    </row>
    <row r="31" spans="1:5" x14ac:dyDescent="0.2">
      <c r="A31" t="s">
        <v>485</v>
      </c>
      <c r="B31" t="s">
        <v>882</v>
      </c>
      <c r="C31" t="str">
        <f>IF(ISERROR(MATCH(A31,'SegEnds_Xtal_Prot#'!B:B, 0)), "NoXtal", "Xtal")</f>
        <v>NoXtal</v>
      </c>
      <c r="D31" t="str">
        <f t="shared" si="0"/>
        <v>human</v>
      </c>
      <c r="E31" t="str">
        <f>VLOOKUP(A31,Classification!A:B,2,FALSE)</f>
        <v>O</v>
      </c>
    </row>
    <row r="32" spans="1:5" x14ac:dyDescent="0.2">
      <c r="A32" t="s">
        <v>486</v>
      </c>
      <c r="B32" t="s">
        <v>883</v>
      </c>
      <c r="C32" t="str">
        <f>IF(ISERROR(MATCH(A32,'SegEnds_Xtal_Prot#'!B:B, 0)), "NoXtal", "Xtal")</f>
        <v>NoXtal</v>
      </c>
      <c r="D32" t="str">
        <f t="shared" si="0"/>
        <v>human</v>
      </c>
      <c r="E32" t="str">
        <f>VLOOKUP(A32,Classification!A:B,2,FALSE)</f>
        <v>O</v>
      </c>
    </row>
    <row r="33" spans="1:5" x14ac:dyDescent="0.2">
      <c r="A33" t="s">
        <v>33</v>
      </c>
      <c r="B33" t="s">
        <v>877</v>
      </c>
      <c r="C33" t="str">
        <f>IF(ISERROR(MATCH(A33,'SegEnds_Xtal_Prot#'!B:B, 0)), "NoXtal", "Xtal")</f>
        <v>Xtal</v>
      </c>
      <c r="D33" t="str">
        <f t="shared" si="0"/>
        <v>human</v>
      </c>
      <c r="E33" t="str">
        <f>VLOOKUP(A33,Classification!A:B,2,FALSE)</f>
        <v>F</v>
      </c>
    </row>
    <row r="34" spans="1:5" x14ac:dyDescent="0.2">
      <c r="A34" t="s">
        <v>446</v>
      </c>
      <c r="B34" t="s">
        <v>867</v>
      </c>
      <c r="C34" t="str">
        <f>IF(ISERROR(MATCH(A34,'SegEnds_Xtal_Prot#'!B:B, 0)), "NoXtal", "Xtal")</f>
        <v>NoXtal</v>
      </c>
      <c r="D34" t="str">
        <f t="shared" si="0"/>
        <v>human</v>
      </c>
      <c r="E34" t="str">
        <f>VLOOKUP(A34,Classification!A:B,2,FALSE)</f>
        <v>F</v>
      </c>
    </row>
    <row r="35" spans="1:5" x14ac:dyDescent="0.2">
      <c r="A35" t="s">
        <v>448</v>
      </c>
      <c r="B35" t="s">
        <v>868</v>
      </c>
      <c r="C35" t="str">
        <f>IF(ISERROR(MATCH(A35,'SegEnds_Xtal_Prot#'!B:B, 0)), "NoXtal", "Xtal")</f>
        <v>NoXtal</v>
      </c>
      <c r="D35" t="str">
        <f t="shared" si="0"/>
        <v>human</v>
      </c>
      <c r="E35" t="str">
        <f>VLOOKUP(A35,Classification!A:B,2,FALSE)</f>
        <v>F</v>
      </c>
    </row>
    <row r="36" spans="1:5" x14ac:dyDescent="0.2">
      <c r="A36" t="s">
        <v>449</v>
      </c>
      <c r="B36" t="s">
        <v>869</v>
      </c>
      <c r="C36" t="str">
        <f>IF(ISERROR(MATCH(A36,'SegEnds_Xtal_Prot#'!B:B, 0)), "NoXtal", "Xtal")</f>
        <v>NoXtal</v>
      </c>
      <c r="D36" t="str">
        <f t="shared" si="0"/>
        <v>human</v>
      </c>
      <c r="E36" t="str">
        <f>VLOOKUP(A36,Classification!A:B,2,FALSE)</f>
        <v>F</v>
      </c>
    </row>
    <row r="37" spans="1:5" x14ac:dyDescent="0.2">
      <c r="A37" t="s">
        <v>450</v>
      </c>
      <c r="B37" t="s">
        <v>870</v>
      </c>
      <c r="C37" t="str">
        <f>IF(ISERROR(MATCH(A37,'SegEnds_Xtal_Prot#'!B:B, 0)), "NoXtal", "Xtal")</f>
        <v>Xtal</v>
      </c>
      <c r="D37" t="str">
        <f t="shared" si="0"/>
        <v>human</v>
      </c>
      <c r="E37" t="str">
        <f>VLOOKUP(A37,Classification!A:B,2,FALSE)</f>
        <v>F</v>
      </c>
    </row>
    <row r="38" spans="1:5" x14ac:dyDescent="0.2">
      <c r="A38" t="s">
        <v>451</v>
      </c>
      <c r="B38" t="s">
        <v>871</v>
      </c>
      <c r="C38" t="str">
        <f>IF(ISERROR(MATCH(A38,'SegEnds_Xtal_Prot#'!B:B, 0)), "NoXtal", "Xtal")</f>
        <v>NoXtal</v>
      </c>
      <c r="D38" t="str">
        <f t="shared" si="0"/>
        <v>human</v>
      </c>
      <c r="E38" t="str">
        <f>VLOOKUP(A38,Classification!A:B,2,FALSE)</f>
        <v>F</v>
      </c>
    </row>
    <row r="39" spans="1:5" x14ac:dyDescent="0.2">
      <c r="A39" t="s">
        <v>452</v>
      </c>
      <c r="B39" t="s">
        <v>872</v>
      </c>
      <c r="C39" t="str">
        <f>IF(ISERROR(MATCH(A39,'SegEnds_Xtal_Prot#'!B:B, 0)), "NoXtal", "Xtal")</f>
        <v>NoXtal</v>
      </c>
      <c r="D39" t="str">
        <f t="shared" si="0"/>
        <v>human</v>
      </c>
      <c r="E39" t="str">
        <f>VLOOKUP(A39,Classification!A:B,2,FALSE)</f>
        <v>F</v>
      </c>
    </row>
    <row r="40" spans="1:5" x14ac:dyDescent="0.2">
      <c r="A40" t="s">
        <v>453</v>
      </c>
      <c r="B40" t="s">
        <v>873</v>
      </c>
      <c r="C40" t="str">
        <f>IF(ISERROR(MATCH(A40,'SegEnds_Xtal_Prot#'!B:B, 0)), "NoXtal", "Xtal")</f>
        <v>NoXtal</v>
      </c>
      <c r="D40" t="str">
        <f t="shared" si="0"/>
        <v>human</v>
      </c>
      <c r="E40" t="str">
        <f>VLOOKUP(A40,Classification!A:B,2,FALSE)</f>
        <v>F</v>
      </c>
    </row>
    <row r="41" spans="1:5" x14ac:dyDescent="0.2">
      <c r="A41" t="s">
        <v>454</v>
      </c>
      <c r="B41" t="s">
        <v>874</v>
      </c>
      <c r="C41" t="str">
        <f>IF(ISERROR(MATCH(A41,'SegEnds_Xtal_Prot#'!B:B, 0)), "NoXtal", "Xtal")</f>
        <v>NoXtal</v>
      </c>
      <c r="D41" t="str">
        <f t="shared" si="0"/>
        <v>human</v>
      </c>
      <c r="E41" t="str">
        <f>VLOOKUP(A41,Classification!A:B,2,FALSE)</f>
        <v>F</v>
      </c>
    </row>
    <row r="42" spans="1:5" x14ac:dyDescent="0.2">
      <c r="A42" t="s">
        <v>455</v>
      </c>
      <c r="B42" t="s">
        <v>875</v>
      </c>
      <c r="C42" t="str">
        <f>IF(ISERROR(MATCH(A42,'SegEnds_Xtal_Prot#'!B:B, 0)), "NoXtal", "Xtal")</f>
        <v>NoXtal</v>
      </c>
      <c r="D42" t="str">
        <f t="shared" si="0"/>
        <v>human</v>
      </c>
      <c r="E42" t="str">
        <f>VLOOKUP(A42,Classification!A:B,2,FALSE)</f>
        <v>F</v>
      </c>
    </row>
    <row r="43" spans="1:5" x14ac:dyDescent="0.2">
      <c r="A43" t="s">
        <v>447</v>
      </c>
      <c r="B43" t="s">
        <v>876</v>
      </c>
      <c r="C43" t="str">
        <f>IF(ISERROR(MATCH(A43,'SegEnds_Xtal_Prot#'!B:B, 0)), "NoXtal", "Xtal")</f>
        <v>NoXtal</v>
      </c>
      <c r="D43" t="str">
        <f t="shared" si="0"/>
        <v>human</v>
      </c>
      <c r="E43" t="str">
        <f>VLOOKUP(A43,Classification!A:B,2,FALSE)</f>
        <v>F</v>
      </c>
    </row>
    <row r="44" spans="1:5" ht="17" x14ac:dyDescent="0.25">
      <c r="A44" s="122" t="s">
        <v>1509</v>
      </c>
      <c r="B44" s="121" t="s">
        <v>1511</v>
      </c>
      <c r="C44" t="s">
        <v>1507</v>
      </c>
      <c r="D44" t="str">
        <f t="shared" si="0"/>
        <v>xenla</v>
      </c>
      <c r="E44" t="str">
        <f>VLOOKUP(A44,Classification!A:B,2,FALSE)</f>
        <v>F</v>
      </c>
    </row>
    <row r="45" spans="1:5" ht="17" x14ac:dyDescent="0.25">
      <c r="A45" t="s">
        <v>40</v>
      </c>
      <c r="B45" s="121" t="s">
        <v>850</v>
      </c>
      <c r="C45" t="str">
        <f>IF(ISERROR(MATCH(A45,'SegEnds_Xtal_Prot#'!B:B, 0)), "NoXtal", "Xtal")</f>
        <v>Xtal</v>
      </c>
      <c r="D45" t="str">
        <f t="shared" si="0"/>
        <v>human</v>
      </c>
      <c r="E45" t="str">
        <f>VLOOKUP(A45,Classification!A:B,2,FALSE)</f>
        <v>C</v>
      </c>
    </row>
    <row r="46" spans="1:5" ht="17" x14ac:dyDescent="0.25">
      <c r="A46" t="s">
        <v>41</v>
      </c>
      <c r="B46" s="121" t="s">
        <v>854</v>
      </c>
      <c r="C46" t="str">
        <f>IF(ISERROR(MATCH(A46,'SegEnds_Xtal_Prot#'!B:B, 0)), "NoXtal", "Xtal")</f>
        <v>Xtal</v>
      </c>
      <c r="D46" t="str">
        <f t="shared" si="0"/>
        <v>human</v>
      </c>
      <c r="E46" t="str">
        <f>VLOOKUP(A46,Classification!A:B,2,FALSE)</f>
        <v>C</v>
      </c>
    </row>
    <row r="47" spans="1:5" x14ac:dyDescent="0.2">
      <c r="A47" t="s">
        <v>111</v>
      </c>
      <c r="B47" t="s">
        <v>845</v>
      </c>
      <c r="C47" t="str">
        <f>IF(ISERROR(MATCH(A47,'SegEnds_Xtal_Prot#'!B:B, 0)), "NoXtal", "Xtal")</f>
        <v>NoXtal</v>
      </c>
      <c r="D47" t="str">
        <f t="shared" si="0"/>
        <v>human</v>
      </c>
      <c r="E47" t="str">
        <f>VLOOKUP(A47,Classification!A:B,2,FALSE)</f>
        <v>C</v>
      </c>
    </row>
    <row r="48" spans="1:5" x14ac:dyDescent="0.2">
      <c r="A48" t="s">
        <v>106</v>
      </c>
      <c r="B48" t="s">
        <v>846</v>
      </c>
      <c r="C48" t="str">
        <f>IF(ISERROR(MATCH(A48,'SegEnds_Xtal_Prot#'!B:B, 0)), "NoXtal", "Xtal")</f>
        <v>NoXtal</v>
      </c>
      <c r="D48" t="str">
        <f t="shared" si="0"/>
        <v>human</v>
      </c>
      <c r="E48" t="str">
        <f>VLOOKUP(A48,Classification!A:B,2,FALSE)</f>
        <v>C</v>
      </c>
    </row>
    <row r="49" spans="1:5" x14ac:dyDescent="0.2">
      <c r="A49" t="s">
        <v>105</v>
      </c>
      <c r="B49" t="s">
        <v>847</v>
      </c>
      <c r="C49" t="str">
        <f>IF(ISERROR(MATCH(A49,'SegEnds_Xtal_Prot#'!B:B, 0)), "NoXtal", "Xtal")</f>
        <v>NoXtal</v>
      </c>
      <c r="D49" t="str">
        <f t="shared" si="0"/>
        <v>human</v>
      </c>
      <c r="E49" t="str">
        <f>VLOOKUP(A49,Classification!A:B,2,FALSE)</f>
        <v>C</v>
      </c>
    </row>
    <row r="50" spans="1:5" x14ac:dyDescent="0.2">
      <c r="A50" t="s">
        <v>114</v>
      </c>
      <c r="B50" t="s">
        <v>848</v>
      </c>
      <c r="C50" t="str">
        <f>IF(ISERROR(MATCH(A50,'SegEnds_Xtal_Prot#'!B:B, 0)), "NoXtal", "Xtal")</f>
        <v>NoXtal</v>
      </c>
      <c r="D50" t="str">
        <f t="shared" si="0"/>
        <v>human</v>
      </c>
      <c r="E50" t="str">
        <f>VLOOKUP(A50,Classification!A:B,2,FALSE)</f>
        <v>C</v>
      </c>
    </row>
    <row r="51" spans="1:5" x14ac:dyDescent="0.2">
      <c r="A51" t="s">
        <v>107</v>
      </c>
      <c r="B51" t="s">
        <v>849</v>
      </c>
      <c r="C51" t="str">
        <f>IF(ISERROR(MATCH(A51,'SegEnds_Xtal_Prot#'!B:B, 0)), "NoXtal", "Xtal")</f>
        <v>NoXtal</v>
      </c>
      <c r="D51" t="str">
        <f t="shared" si="0"/>
        <v>human</v>
      </c>
      <c r="E51" t="str">
        <f>VLOOKUP(A51,Classification!A:B,2,FALSE)</f>
        <v>C</v>
      </c>
    </row>
    <row r="52" spans="1:5" x14ac:dyDescent="0.2">
      <c r="A52" t="s">
        <v>115</v>
      </c>
      <c r="B52" t="s">
        <v>851</v>
      </c>
      <c r="C52" t="str">
        <f>IF(ISERROR(MATCH(A52,'SegEnds_Xtal_Prot#'!B:B, 0)), "NoXtal", "Xtal")</f>
        <v>NoXtal</v>
      </c>
      <c r="D52" t="str">
        <f t="shared" si="0"/>
        <v>human</v>
      </c>
      <c r="E52" t="str">
        <f>VLOOKUP(A52,Classification!A:B,2,FALSE)</f>
        <v>C</v>
      </c>
    </row>
    <row r="53" spans="1:5" x14ac:dyDescent="0.2">
      <c r="A53" t="s">
        <v>116</v>
      </c>
      <c r="B53" t="s">
        <v>852</v>
      </c>
      <c r="C53" t="str">
        <f>IF(ISERROR(MATCH(A53,'SegEnds_Xtal_Prot#'!B:B, 0)), "NoXtal", "Xtal")</f>
        <v>NoXtal</v>
      </c>
      <c r="D53" t="str">
        <f t="shared" si="0"/>
        <v>human</v>
      </c>
      <c r="E53" t="str">
        <f>VLOOKUP(A53,Classification!A:B,2,FALSE)</f>
        <v>C</v>
      </c>
    </row>
    <row r="54" spans="1:5" x14ac:dyDescent="0.2">
      <c r="A54" t="s">
        <v>117</v>
      </c>
      <c r="B54" t="s">
        <v>853</v>
      </c>
      <c r="C54" t="str">
        <f>IF(ISERROR(MATCH(A54,'SegEnds_Xtal_Prot#'!B:B, 0)), "NoXtal", "Xtal")</f>
        <v>NoXtal</v>
      </c>
      <c r="D54" t="str">
        <f t="shared" si="0"/>
        <v>human</v>
      </c>
      <c r="E54" t="str">
        <f>VLOOKUP(A54,Classification!A:B,2,FALSE)</f>
        <v>C</v>
      </c>
    </row>
    <row r="55" spans="1:5" x14ac:dyDescent="0.2">
      <c r="A55" t="s">
        <v>118</v>
      </c>
      <c r="B55" t="s">
        <v>855</v>
      </c>
      <c r="C55" t="str">
        <f>IF(ISERROR(MATCH(A55,'SegEnds_Xtal_Prot#'!B:B, 0)), "NoXtal", "Xtal")</f>
        <v>NoXtal</v>
      </c>
      <c r="D55" t="str">
        <f t="shared" si="0"/>
        <v>human</v>
      </c>
      <c r="E55" t="str">
        <f>VLOOKUP(A55,Classification!A:B,2,FALSE)</f>
        <v>C</v>
      </c>
    </row>
    <row r="56" spans="1:5" x14ac:dyDescent="0.2">
      <c r="A56" t="s">
        <v>119</v>
      </c>
      <c r="B56" t="s">
        <v>856</v>
      </c>
      <c r="C56" t="str">
        <f>IF(ISERROR(MATCH(A56,'SegEnds_Xtal_Prot#'!B:B, 0)), "NoXtal", "Xtal")</f>
        <v>NoXtal</v>
      </c>
      <c r="D56" t="str">
        <f t="shared" si="0"/>
        <v>human</v>
      </c>
      <c r="E56" t="str">
        <f>VLOOKUP(A56,Classification!A:B,2,FALSE)</f>
        <v>C</v>
      </c>
    </row>
    <row r="57" spans="1:5" x14ac:dyDescent="0.2">
      <c r="A57" t="s">
        <v>120</v>
      </c>
      <c r="B57" t="s">
        <v>857</v>
      </c>
      <c r="C57" t="str">
        <f>IF(ISERROR(MATCH(A57,'SegEnds_Xtal_Prot#'!B:B, 0)), "NoXtal", "Xtal")</f>
        <v>NoXtal</v>
      </c>
      <c r="D57" t="str">
        <f t="shared" si="0"/>
        <v>human</v>
      </c>
      <c r="E57" t="str">
        <f>VLOOKUP(A57,Classification!A:B,2,FALSE)</f>
        <v>C</v>
      </c>
    </row>
    <row r="58" spans="1:5" x14ac:dyDescent="0.2">
      <c r="A58" t="s">
        <v>122</v>
      </c>
      <c r="B58" t="s">
        <v>858</v>
      </c>
      <c r="C58" t="str">
        <f>IF(ISERROR(MATCH(A58,'SegEnds_Xtal_Prot#'!B:B, 0)), "NoXtal", "Xtal")</f>
        <v>NoXtal</v>
      </c>
      <c r="D58" t="str">
        <f t="shared" si="0"/>
        <v>human</v>
      </c>
      <c r="E58" t="str">
        <f>VLOOKUP(A58,Classification!A:B,2,FALSE)</f>
        <v>C</v>
      </c>
    </row>
    <row r="59" spans="1:5" x14ac:dyDescent="0.2">
      <c r="A59" t="s">
        <v>123</v>
      </c>
      <c r="B59" t="s">
        <v>859</v>
      </c>
      <c r="C59" t="str">
        <f>IF(ISERROR(MATCH(A59,'SegEnds_Xtal_Prot#'!B:B, 0)), "NoXtal", "Xtal")</f>
        <v>NoXtal</v>
      </c>
      <c r="D59" t="str">
        <f t="shared" si="0"/>
        <v>human</v>
      </c>
      <c r="E59" t="str">
        <f>VLOOKUP(A59,Classification!A:B,2,FALSE)</f>
        <v>C</v>
      </c>
    </row>
    <row r="60" spans="1:5" x14ac:dyDescent="0.2">
      <c r="A60" t="s">
        <v>124</v>
      </c>
      <c r="B60" t="s">
        <v>860</v>
      </c>
      <c r="C60" t="str">
        <f>IF(ISERROR(MATCH(A60,'SegEnds_Xtal_Prot#'!B:B, 0)), "NoXtal", "Xtal")</f>
        <v>NoXtal</v>
      </c>
      <c r="D60" t="str">
        <f t="shared" si="0"/>
        <v>human</v>
      </c>
      <c r="E60" t="str">
        <f>VLOOKUP(A60,Classification!A:B,2,FALSE)</f>
        <v>C</v>
      </c>
    </row>
    <row r="61" spans="1:5" x14ac:dyDescent="0.2">
      <c r="A61" t="s">
        <v>108</v>
      </c>
      <c r="B61" t="s">
        <v>861</v>
      </c>
      <c r="C61" t="str">
        <f>IF(ISERROR(MATCH(A61,'SegEnds_Xtal_Prot#'!B:B, 0)), "NoXtal", "Xtal")</f>
        <v>NoXtal</v>
      </c>
      <c r="D61" t="str">
        <f t="shared" si="0"/>
        <v>human</v>
      </c>
      <c r="E61" t="str">
        <f>VLOOKUP(A61,Classification!A:B,2,FALSE)</f>
        <v>C</v>
      </c>
    </row>
    <row r="62" spans="1:5" x14ac:dyDescent="0.2">
      <c r="A62" t="s">
        <v>109</v>
      </c>
      <c r="B62" t="s">
        <v>862</v>
      </c>
      <c r="C62" t="str">
        <f>IF(ISERROR(MATCH(A62,'SegEnds_Xtal_Prot#'!B:B, 0)), "NoXtal", "Xtal")</f>
        <v>NoXtal</v>
      </c>
      <c r="D62" t="str">
        <f t="shared" si="0"/>
        <v>human</v>
      </c>
      <c r="E62" t="str">
        <f>VLOOKUP(A62,Classification!A:B,2,FALSE)</f>
        <v>C</v>
      </c>
    </row>
    <row r="63" spans="1:5" x14ac:dyDescent="0.2">
      <c r="A63" t="s">
        <v>110</v>
      </c>
      <c r="B63" t="s">
        <v>863</v>
      </c>
      <c r="C63" t="str">
        <f>IF(ISERROR(MATCH(A63,'SegEnds_Xtal_Prot#'!B:B, 0)), "NoXtal", "Xtal")</f>
        <v>NoXtal</v>
      </c>
      <c r="D63" t="str">
        <f t="shared" si="0"/>
        <v>human</v>
      </c>
      <c r="E63" t="str">
        <f>VLOOKUP(A63,Classification!A:B,2,FALSE)</f>
        <v>C</v>
      </c>
    </row>
    <row r="64" spans="1:5" x14ac:dyDescent="0.2">
      <c r="A64" t="s">
        <v>121</v>
      </c>
      <c r="B64" t="s">
        <v>864</v>
      </c>
      <c r="C64" t="str">
        <f>IF(ISERROR(MATCH(A64,'SegEnds_Xtal_Prot#'!B:B, 0)), "NoXtal", "Xtal")</f>
        <v>NoXtal</v>
      </c>
      <c r="D64" t="str">
        <f t="shared" si="0"/>
        <v>human</v>
      </c>
      <c r="E64" t="str">
        <f>VLOOKUP(A64,Classification!A:B,2,FALSE)</f>
        <v>C</v>
      </c>
    </row>
    <row r="65" spans="1:5" x14ac:dyDescent="0.2">
      <c r="A65" t="s">
        <v>112</v>
      </c>
      <c r="B65" t="s">
        <v>865</v>
      </c>
      <c r="C65" t="str">
        <f>IF(ISERROR(MATCH(A65,'SegEnds_Xtal_Prot#'!B:B, 0)), "NoXtal", "Xtal")</f>
        <v>NoXtal</v>
      </c>
      <c r="D65" t="str">
        <f t="shared" si="0"/>
        <v>human</v>
      </c>
      <c r="E65" t="str">
        <f>VLOOKUP(A65,Classification!A:B,2,FALSE)</f>
        <v>C</v>
      </c>
    </row>
    <row r="66" spans="1:5" x14ac:dyDescent="0.2">
      <c r="A66" t="s">
        <v>113</v>
      </c>
      <c r="B66" t="s">
        <v>866</v>
      </c>
      <c r="C66" t="str">
        <f>IF(ISERROR(MATCH(A66,'SegEnds_Xtal_Prot#'!B:B, 0)), "NoXtal", "Xtal")</f>
        <v>NoXtal</v>
      </c>
      <c r="D66" t="str">
        <f t="shared" si="0"/>
        <v>human</v>
      </c>
      <c r="E66" t="str">
        <f>VLOOKUP(A66,Classification!A:B,2,FALSE)</f>
        <v>C</v>
      </c>
    </row>
    <row r="67" spans="1:5" x14ac:dyDescent="0.2">
      <c r="A67" t="s">
        <v>1177</v>
      </c>
      <c r="B67" t="s">
        <v>812</v>
      </c>
      <c r="C67" t="str">
        <f>IF(ISERROR(MATCH(A67,'SegEnds_Xtal_Prot#'!B:B, 0)), "NoXtal", "Xtal")</f>
        <v>NoXtal</v>
      </c>
      <c r="D67" t="str">
        <f t="shared" ref="D67:D134" si="1">MID(A67,FIND("_",A67)+1,LEN(A67)-FIND("_",A67))</f>
        <v>human</v>
      </c>
      <c r="E67" t="str">
        <f>VLOOKUP(A67,Classification!A:B,2,FALSE)</f>
        <v>B2</v>
      </c>
    </row>
    <row r="68" spans="1:5" x14ac:dyDescent="0.2">
      <c r="A68" t="s">
        <v>1178</v>
      </c>
      <c r="B68" t="s">
        <v>813</v>
      </c>
      <c r="C68" t="str">
        <f>IF(ISERROR(MATCH(A68,'SegEnds_Xtal_Prot#'!B:B, 0)), "NoXtal", "Xtal")</f>
        <v>NoXtal</v>
      </c>
      <c r="D68" t="str">
        <f t="shared" si="1"/>
        <v>human</v>
      </c>
      <c r="E68" t="str">
        <f>VLOOKUP(A68,Classification!A:B,2,FALSE)</f>
        <v>B2</v>
      </c>
    </row>
    <row r="69" spans="1:5" x14ac:dyDescent="0.2">
      <c r="A69" t="s">
        <v>1179</v>
      </c>
      <c r="B69" t="s">
        <v>814</v>
      </c>
      <c r="C69" t="str">
        <f>IF(ISERROR(MATCH(A69,'SegEnds_Xtal_Prot#'!B:B, 0)), "NoXtal", "Xtal")</f>
        <v>NoXtal</v>
      </c>
      <c r="D69" t="str">
        <f t="shared" si="1"/>
        <v>human</v>
      </c>
      <c r="E69" t="str">
        <f>VLOOKUP(A69,Classification!A:B,2,FALSE)</f>
        <v>B2</v>
      </c>
    </row>
    <row r="70" spans="1:5" x14ac:dyDescent="0.2">
      <c r="A70" t="s">
        <v>414</v>
      </c>
      <c r="B70" t="s">
        <v>815</v>
      </c>
      <c r="C70" t="str">
        <f>IF(ISERROR(MATCH(A70,'SegEnds_Xtal_Prot#'!B:B, 0)), "NoXtal", "Xtal")</f>
        <v>NoXtal</v>
      </c>
      <c r="D70" t="str">
        <f t="shared" si="1"/>
        <v>human</v>
      </c>
      <c r="E70" t="str">
        <f>VLOOKUP(A70,Classification!A:B,2,FALSE)</f>
        <v>B2</v>
      </c>
    </row>
    <row r="71" spans="1:5" x14ac:dyDescent="0.2">
      <c r="A71" t="s">
        <v>1180</v>
      </c>
      <c r="B71" t="s">
        <v>816</v>
      </c>
      <c r="C71" t="str">
        <f>IF(ISERROR(MATCH(A71,'SegEnds_Xtal_Prot#'!B:B, 0)), "NoXtal", "Xtal")</f>
        <v>NoXtal</v>
      </c>
      <c r="D71" t="str">
        <f t="shared" si="1"/>
        <v>human</v>
      </c>
      <c r="E71" t="str">
        <f>VLOOKUP(A71,Classification!A:B,2,FALSE)</f>
        <v>B2</v>
      </c>
    </row>
    <row r="72" spans="1:5" x14ac:dyDescent="0.2">
      <c r="A72" t="s">
        <v>1181</v>
      </c>
      <c r="B72" t="s">
        <v>817</v>
      </c>
      <c r="C72" t="str">
        <f>IF(ISERROR(MATCH(A72,'SegEnds_Xtal_Prot#'!B:B, 0)), "NoXtal", "Xtal")</f>
        <v>NoXtal</v>
      </c>
      <c r="D72" t="str">
        <f t="shared" si="1"/>
        <v>human</v>
      </c>
      <c r="E72" t="str">
        <f>VLOOKUP(A72,Classification!A:B,2,FALSE)</f>
        <v>B2</v>
      </c>
    </row>
    <row r="73" spans="1:5" x14ac:dyDescent="0.2">
      <c r="A73" t="s">
        <v>418</v>
      </c>
      <c r="B73" t="s">
        <v>818</v>
      </c>
      <c r="C73" t="str">
        <f>IF(ISERROR(MATCH(A73,'SegEnds_Xtal_Prot#'!B:B, 0)), "NoXtal", "Xtal")</f>
        <v>NoXtal</v>
      </c>
      <c r="D73" t="str">
        <f t="shared" si="1"/>
        <v>human</v>
      </c>
      <c r="E73" t="str">
        <f>VLOOKUP(A73,Classification!A:B,2,FALSE)</f>
        <v>B2</v>
      </c>
    </row>
    <row r="74" spans="1:5" x14ac:dyDescent="0.2">
      <c r="A74" t="s">
        <v>419</v>
      </c>
      <c r="B74" t="s">
        <v>819</v>
      </c>
      <c r="C74" t="str">
        <f>IF(ISERROR(MATCH(A74,'SegEnds_Xtal_Prot#'!B:B, 0)), "NoXtal", "Xtal")</f>
        <v>NoXtal</v>
      </c>
      <c r="D74" t="str">
        <f t="shared" si="1"/>
        <v>human</v>
      </c>
      <c r="E74" t="str">
        <f>VLOOKUP(A74,Classification!A:B,2,FALSE)</f>
        <v>B2</v>
      </c>
    </row>
    <row r="75" spans="1:5" x14ac:dyDescent="0.2">
      <c r="A75" t="s">
        <v>420</v>
      </c>
      <c r="B75" t="s">
        <v>820</v>
      </c>
      <c r="C75" t="str">
        <f>IF(ISERROR(MATCH(A75,'SegEnds_Xtal_Prot#'!B:B, 0)), "NoXtal", "Xtal")</f>
        <v>NoXtal</v>
      </c>
      <c r="D75" t="str">
        <f t="shared" si="1"/>
        <v>human</v>
      </c>
      <c r="E75" t="str">
        <f>VLOOKUP(A75,Classification!A:B,2,FALSE)</f>
        <v>B2</v>
      </c>
    </row>
    <row r="76" spans="1:5" x14ac:dyDescent="0.2">
      <c r="A76" t="s">
        <v>1182</v>
      </c>
      <c r="B76" t="s">
        <v>821</v>
      </c>
      <c r="C76" t="str">
        <f>IF(ISERROR(MATCH(A76,'SegEnds_Xtal_Prot#'!B:B, 0)), "NoXtal", "Xtal")</f>
        <v>NoXtal</v>
      </c>
      <c r="D76" t="str">
        <f t="shared" si="1"/>
        <v>human</v>
      </c>
      <c r="E76" t="str">
        <f>VLOOKUP(A76,Classification!A:B,2,FALSE)</f>
        <v>B2</v>
      </c>
    </row>
    <row r="77" spans="1:5" x14ac:dyDescent="0.2">
      <c r="A77" t="s">
        <v>1183</v>
      </c>
      <c r="B77" t="s">
        <v>822</v>
      </c>
      <c r="C77" t="str">
        <f>IF(ISERROR(MATCH(A77,'SegEnds_Xtal_Prot#'!B:B, 0)), "NoXtal", "Xtal")</f>
        <v>NoXtal</v>
      </c>
      <c r="D77" t="str">
        <f t="shared" si="1"/>
        <v>human</v>
      </c>
      <c r="E77" t="str">
        <f>VLOOKUP(A77,Classification!A:B,2,FALSE)</f>
        <v>B2</v>
      </c>
    </row>
    <row r="78" spans="1:5" x14ac:dyDescent="0.2">
      <c r="A78" t="s">
        <v>1184</v>
      </c>
      <c r="B78" t="s">
        <v>823</v>
      </c>
      <c r="C78" t="str">
        <f>IF(ISERROR(MATCH(A78,'SegEnds_Xtal_Prot#'!B:B, 0)), "NoXtal", "Xtal")</f>
        <v>NoXtal</v>
      </c>
      <c r="D78" t="str">
        <f t="shared" si="1"/>
        <v>human</v>
      </c>
      <c r="E78" t="str">
        <f>VLOOKUP(A78,Classification!A:B,2,FALSE)</f>
        <v>B2</v>
      </c>
    </row>
    <row r="79" spans="1:5" x14ac:dyDescent="0.2">
      <c r="A79" t="s">
        <v>1185</v>
      </c>
      <c r="B79" t="s">
        <v>824</v>
      </c>
      <c r="C79" t="str">
        <f>IF(ISERROR(MATCH(A79,'SegEnds_Xtal_Prot#'!B:B, 0)), "NoXtal", "Xtal")</f>
        <v>NoXtal</v>
      </c>
      <c r="D79" t="str">
        <f t="shared" si="1"/>
        <v>human</v>
      </c>
      <c r="E79" t="str">
        <f>VLOOKUP(A79,Classification!A:B,2,FALSE)</f>
        <v>B2</v>
      </c>
    </row>
    <row r="80" spans="1:5" x14ac:dyDescent="0.2">
      <c r="A80" t="s">
        <v>1186</v>
      </c>
      <c r="B80" t="s">
        <v>825</v>
      </c>
      <c r="C80" t="str">
        <f>IF(ISERROR(MATCH(A80,'SegEnds_Xtal_Prot#'!B:B, 0)), "NoXtal", "Xtal")</f>
        <v>NoXtal</v>
      </c>
      <c r="D80" t="str">
        <f t="shared" si="1"/>
        <v>human</v>
      </c>
      <c r="E80" t="str">
        <f>VLOOKUP(A80,Classification!A:B,2,FALSE)</f>
        <v>B2</v>
      </c>
    </row>
    <row r="81" spans="1:5" x14ac:dyDescent="0.2">
      <c r="A81" t="s">
        <v>1187</v>
      </c>
      <c r="B81" t="s">
        <v>826</v>
      </c>
      <c r="C81" t="str">
        <f>IF(ISERROR(MATCH(A81,'SegEnds_Xtal_Prot#'!B:B, 0)), "NoXtal", "Xtal")</f>
        <v>NoXtal</v>
      </c>
      <c r="D81" t="str">
        <f t="shared" si="1"/>
        <v>human</v>
      </c>
      <c r="E81" t="str">
        <f>VLOOKUP(A81,Classification!A:B,2,FALSE)</f>
        <v>B2</v>
      </c>
    </row>
    <row r="82" spans="1:5" x14ac:dyDescent="0.2">
      <c r="A82" t="s">
        <v>417</v>
      </c>
      <c r="B82" t="s">
        <v>827</v>
      </c>
      <c r="C82" t="str">
        <f>IF(ISERROR(MATCH(A82,'SegEnds_Xtal_Prot#'!B:B, 0)), "NoXtal", "Xtal")</f>
        <v>NoXtal</v>
      </c>
      <c r="D82" t="str">
        <f t="shared" si="1"/>
        <v>human</v>
      </c>
      <c r="E82" t="str">
        <f>VLOOKUP(A82,Classification!A:B,2,FALSE)</f>
        <v>B2</v>
      </c>
    </row>
    <row r="83" spans="1:5" x14ac:dyDescent="0.2">
      <c r="A83" t="s">
        <v>1188</v>
      </c>
      <c r="B83" t="s">
        <v>828</v>
      </c>
      <c r="C83" t="str">
        <f>IF(ISERROR(MATCH(A83,'SegEnds_Xtal_Prot#'!B:B, 0)), "NoXtal", "Xtal")</f>
        <v>NoXtal</v>
      </c>
      <c r="D83" t="str">
        <f t="shared" si="1"/>
        <v>human</v>
      </c>
      <c r="E83" t="str">
        <f>VLOOKUP(A83,Classification!A:B,2,FALSE)</f>
        <v>B2</v>
      </c>
    </row>
    <row r="84" spans="1:5" x14ac:dyDescent="0.2">
      <c r="A84" t="s">
        <v>1189</v>
      </c>
      <c r="B84" t="s">
        <v>829</v>
      </c>
      <c r="C84" t="str">
        <f>IF(ISERROR(MATCH(A84,'SegEnds_Xtal_Prot#'!B:B, 0)), "NoXtal", "Xtal")</f>
        <v>NoXtal</v>
      </c>
      <c r="D84" t="str">
        <f t="shared" si="1"/>
        <v>human</v>
      </c>
      <c r="E84" t="str">
        <f>VLOOKUP(A84,Classification!A:B,2,FALSE)</f>
        <v>B2</v>
      </c>
    </row>
    <row r="85" spans="1:5" x14ac:dyDescent="0.2">
      <c r="A85" t="s">
        <v>1190</v>
      </c>
      <c r="B85" t="s">
        <v>830</v>
      </c>
      <c r="C85" t="str">
        <f>IF(ISERROR(MATCH(A85,'SegEnds_Xtal_Prot#'!B:B, 0)), "NoXtal", "Xtal")</f>
        <v>NoXtal</v>
      </c>
      <c r="D85" t="str">
        <f t="shared" si="1"/>
        <v>human</v>
      </c>
      <c r="E85" t="str">
        <f>VLOOKUP(A85,Classification!A:B,2,FALSE)</f>
        <v>B2</v>
      </c>
    </row>
    <row r="86" spans="1:5" x14ac:dyDescent="0.2">
      <c r="A86" t="s">
        <v>1191</v>
      </c>
      <c r="B86" t="s">
        <v>831</v>
      </c>
      <c r="C86" t="str">
        <f>IF(ISERROR(MATCH(A86,'SegEnds_Xtal_Prot#'!B:B, 0)), "NoXtal", "Xtal")</f>
        <v>NoXtal</v>
      </c>
      <c r="D86" t="str">
        <f t="shared" si="1"/>
        <v>human</v>
      </c>
      <c r="E86" t="str">
        <f>VLOOKUP(A86,Classification!A:B,2,FALSE)</f>
        <v>B2</v>
      </c>
    </row>
    <row r="87" spans="1:5" x14ac:dyDescent="0.2">
      <c r="A87" t="s">
        <v>1192</v>
      </c>
      <c r="B87" t="s">
        <v>832</v>
      </c>
      <c r="C87" t="str">
        <f>IF(ISERROR(MATCH(A87,'SegEnds_Xtal_Prot#'!B:B, 0)), "NoXtal", "Xtal")</f>
        <v>NoXtal</v>
      </c>
      <c r="D87" t="str">
        <f t="shared" si="1"/>
        <v>human</v>
      </c>
      <c r="E87" t="str">
        <f>VLOOKUP(A87,Classification!A:B,2,FALSE)</f>
        <v>B2</v>
      </c>
    </row>
    <row r="88" spans="1:5" x14ac:dyDescent="0.2">
      <c r="A88" t="s">
        <v>1193</v>
      </c>
      <c r="B88" t="s">
        <v>833</v>
      </c>
      <c r="C88" t="str">
        <f>IF(ISERROR(MATCH(A88,'SegEnds_Xtal_Prot#'!B:B, 0)), "NoXtal", "Xtal")</f>
        <v>NoXtal</v>
      </c>
      <c r="D88" t="str">
        <f t="shared" si="1"/>
        <v>human</v>
      </c>
      <c r="E88" t="str">
        <f>VLOOKUP(A88,Classification!A:B,2,FALSE)</f>
        <v>B2</v>
      </c>
    </row>
    <row r="89" spans="1:5" x14ac:dyDescent="0.2">
      <c r="A89" t="s">
        <v>1194</v>
      </c>
      <c r="B89" t="s">
        <v>834</v>
      </c>
      <c r="C89" t="str">
        <f>IF(ISERROR(MATCH(A89,'SegEnds_Xtal_Prot#'!B:B, 0)), "NoXtal", "Xtal")</f>
        <v>NoXtal</v>
      </c>
      <c r="D89" t="str">
        <f t="shared" si="1"/>
        <v>human</v>
      </c>
      <c r="E89" t="str">
        <f>VLOOKUP(A89,Classification!A:B,2,FALSE)</f>
        <v>B2</v>
      </c>
    </row>
    <row r="90" spans="1:5" x14ac:dyDescent="0.2">
      <c r="A90" t="s">
        <v>1195</v>
      </c>
      <c r="B90" t="s">
        <v>835</v>
      </c>
      <c r="C90" t="str">
        <f>IF(ISERROR(MATCH(A90,'SegEnds_Xtal_Prot#'!B:B, 0)), "NoXtal", "Xtal")</f>
        <v>NoXtal</v>
      </c>
      <c r="D90" t="str">
        <f t="shared" si="1"/>
        <v>human</v>
      </c>
      <c r="E90" t="str">
        <f>VLOOKUP(A90,Classification!A:B,2,FALSE)</f>
        <v>B2</v>
      </c>
    </row>
    <row r="91" spans="1:5" x14ac:dyDescent="0.2">
      <c r="A91" t="s">
        <v>1196</v>
      </c>
      <c r="B91" t="s">
        <v>836</v>
      </c>
      <c r="C91" t="str">
        <f>IF(ISERROR(MATCH(A91,'SegEnds_Xtal_Prot#'!B:B, 0)), "NoXtal", "Xtal")</f>
        <v>NoXtal</v>
      </c>
      <c r="D91" t="str">
        <f t="shared" si="1"/>
        <v>human</v>
      </c>
      <c r="E91" t="str">
        <f>VLOOKUP(A91,Classification!A:B,2,FALSE)</f>
        <v>B2</v>
      </c>
    </row>
    <row r="92" spans="1:5" x14ac:dyDescent="0.2">
      <c r="A92" t="s">
        <v>1197</v>
      </c>
      <c r="B92" t="s">
        <v>837</v>
      </c>
      <c r="C92" t="str">
        <f>IF(ISERROR(MATCH(A92,'SegEnds_Xtal_Prot#'!B:B, 0)), "NoXtal", "Xtal")</f>
        <v>NoXtal</v>
      </c>
      <c r="D92" t="str">
        <f t="shared" si="1"/>
        <v>human</v>
      </c>
      <c r="E92" t="str">
        <f>VLOOKUP(A92,Classification!A:B,2,FALSE)</f>
        <v>B2</v>
      </c>
    </row>
    <row r="93" spans="1:5" x14ac:dyDescent="0.2">
      <c r="A93" t="s">
        <v>1422</v>
      </c>
      <c r="B93" t="s">
        <v>838</v>
      </c>
      <c r="C93" t="str">
        <f>IF(ISERROR(MATCH(A93,'SegEnds_Xtal_Prot#'!B:B, 0)), "NoXtal", "Xtal")</f>
        <v>NoXtal</v>
      </c>
      <c r="D93" t="str">
        <f t="shared" si="1"/>
        <v>human</v>
      </c>
      <c r="E93" t="str">
        <f>VLOOKUP(A93,Classification!A:B,2,FALSE)</f>
        <v>B2</v>
      </c>
    </row>
    <row r="94" spans="1:5" x14ac:dyDescent="0.2">
      <c r="A94" t="s">
        <v>1198</v>
      </c>
      <c r="B94" t="s">
        <v>839</v>
      </c>
      <c r="C94" t="str">
        <f>IF(ISERROR(MATCH(A94,'SegEnds_Xtal_Prot#'!B:B, 0)), "NoXtal", "Xtal")</f>
        <v>NoXtal</v>
      </c>
      <c r="D94" t="str">
        <f t="shared" si="1"/>
        <v>human</v>
      </c>
      <c r="E94" t="str">
        <f>VLOOKUP(A94,Classification!A:B,2,FALSE)</f>
        <v>B2</v>
      </c>
    </row>
    <row r="95" spans="1:5" x14ac:dyDescent="0.2">
      <c r="A95" t="s">
        <v>1199</v>
      </c>
      <c r="B95" t="s">
        <v>840</v>
      </c>
      <c r="C95" t="str">
        <f>IF(ISERROR(MATCH(A95,'SegEnds_Xtal_Prot#'!B:B, 0)), "NoXtal", "Xtal")</f>
        <v>NoXtal</v>
      </c>
      <c r="D95" t="str">
        <f t="shared" si="1"/>
        <v>human</v>
      </c>
      <c r="E95" t="str">
        <f>VLOOKUP(A95,Classification!A:B,2,FALSE)</f>
        <v>B2</v>
      </c>
    </row>
    <row r="96" spans="1:5" x14ac:dyDescent="0.2">
      <c r="A96" t="s">
        <v>1200</v>
      </c>
      <c r="B96" t="s">
        <v>841</v>
      </c>
      <c r="C96" t="str">
        <f>IF(ISERROR(MATCH(A96,'SegEnds_Xtal_Prot#'!B:B, 0)), "NoXtal", "Xtal")</f>
        <v>NoXtal</v>
      </c>
      <c r="D96" t="str">
        <f t="shared" si="1"/>
        <v>human</v>
      </c>
      <c r="E96" t="str">
        <f>VLOOKUP(A96,Classification!A:B,2,FALSE)</f>
        <v>B2</v>
      </c>
    </row>
    <row r="97" spans="1:5" x14ac:dyDescent="0.2">
      <c r="A97" t="s">
        <v>1201</v>
      </c>
      <c r="B97" t="s">
        <v>842</v>
      </c>
      <c r="C97" t="str">
        <f>IF(ISERROR(MATCH(A97,'SegEnds_Xtal_Prot#'!B:B, 0)), "NoXtal", "Xtal")</f>
        <v>NoXtal</v>
      </c>
      <c r="D97" t="str">
        <f t="shared" si="1"/>
        <v>human</v>
      </c>
      <c r="E97" t="str">
        <f>VLOOKUP(A97,Classification!A:B,2,FALSE)</f>
        <v>B2</v>
      </c>
    </row>
    <row r="98" spans="1:5" x14ac:dyDescent="0.2">
      <c r="A98" t="s">
        <v>1202</v>
      </c>
      <c r="B98" t="s">
        <v>843</v>
      </c>
      <c r="C98" t="str">
        <f>IF(ISERROR(MATCH(A98,'SegEnds_Xtal_Prot#'!B:B, 0)), "NoXtal", "Xtal")</f>
        <v>NoXtal</v>
      </c>
      <c r="D98" t="str">
        <f t="shared" si="1"/>
        <v>human</v>
      </c>
      <c r="E98" t="str">
        <f>VLOOKUP(A98,Classification!A:B,2,FALSE)</f>
        <v>B2</v>
      </c>
    </row>
    <row r="99" spans="1:5" x14ac:dyDescent="0.2">
      <c r="A99" t="s">
        <v>442</v>
      </c>
      <c r="B99" t="s">
        <v>844</v>
      </c>
      <c r="C99" t="str">
        <f>IF(ISERROR(MATCH(A99,'SegEnds_Xtal_Prot#'!B:B, 0)), "NoXtal", "Xtal")</f>
        <v>NoXtal</v>
      </c>
      <c r="D99" t="str">
        <f t="shared" si="1"/>
        <v>human</v>
      </c>
      <c r="E99" t="str">
        <f>VLOOKUP(A99,Classification!A:B,2,FALSE)</f>
        <v>B2</v>
      </c>
    </row>
    <row r="100" spans="1:5" x14ac:dyDescent="0.2">
      <c r="A100" t="s">
        <v>38</v>
      </c>
      <c r="B100" t="s">
        <v>1332</v>
      </c>
      <c r="C100" t="str">
        <f>IF(ISERROR(MATCH(A100,'SegEnds_Xtal_Prot#'!B:B, 0)), "NoXtal", "Xtal")</f>
        <v>Xtal</v>
      </c>
      <c r="D100" t="str">
        <f t="shared" si="1"/>
        <v>human</v>
      </c>
      <c r="E100" t="str">
        <f>VLOOKUP(A100,Classification!A:B,2,FALSE)</f>
        <v>B1</v>
      </c>
    </row>
    <row r="101" spans="1:5" x14ac:dyDescent="0.2">
      <c r="A101" t="s">
        <v>32</v>
      </c>
      <c r="B101" t="s">
        <v>805</v>
      </c>
      <c r="C101" t="str">
        <f>IF(ISERROR(MATCH(A101,'SegEnds_Xtal_Prot#'!B:B, 0)), "NoXtal", "Xtal")</f>
        <v>Xtal</v>
      </c>
      <c r="D101" t="str">
        <f t="shared" si="1"/>
        <v>human</v>
      </c>
      <c r="E101" t="str">
        <f>VLOOKUP(A101,Classification!A:B,2,FALSE)</f>
        <v>B1</v>
      </c>
    </row>
    <row r="102" spans="1:5" x14ac:dyDescent="0.2">
      <c r="A102" t="s">
        <v>401</v>
      </c>
      <c r="B102" t="s">
        <v>1409</v>
      </c>
      <c r="C102" t="str">
        <f>IF(ISERROR(MATCH(A102,'SegEnds_Xtal_Prot#'!B:B, 0)), "NoXtal", "Xtal")</f>
        <v>Xtal</v>
      </c>
      <c r="D102" t="str">
        <f t="shared" si="1"/>
        <v>human</v>
      </c>
      <c r="E102" t="str">
        <f>VLOOKUP(A102,Classification!A:B,2,FALSE)</f>
        <v>B1</v>
      </c>
    </row>
    <row r="103" spans="1:5" x14ac:dyDescent="0.2">
      <c r="A103" t="s">
        <v>402</v>
      </c>
      <c r="B103" t="s">
        <v>799</v>
      </c>
      <c r="C103" t="str">
        <f>IF(ISERROR(MATCH(A103,'SegEnds_Xtal_Prot#'!B:B, 0)), "NoXtal", "Xtal")</f>
        <v>Xtal</v>
      </c>
      <c r="D103" t="str">
        <f t="shared" si="1"/>
        <v>human</v>
      </c>
      <c r="E103" t="str">
        <f>VLOOKUP(A103,Classification!A:B,2,FALSE)</f>
        <v>B1</v>
      </c>
    </row>
    <row r="104" spans="1:5" x14ac:dyDescent="0.2">
      <c r="A104" t="s">
        <v>403</v>
      </c>
      <c r="B104" t="s">
        <v>800</v>
      </c>
      <c r="C104" t="str">
        <f>IF(ISERROR(MATCH(A104,'SegEnds_Xtal_Prot#'!B:B, 0)), "NoXtal", "Xtal")</f>
        <v>NoXtal</v>
      </c>
      <c r="D104" t="str">
        <f t="shared" si="1"/>
        <v>human</v>
      </c>
      <c r="E104" t="str">
        <f>VLOOKUP(A104,Classification!A:B,2,FALSE)</f>
        <v>B1</v>
      </c>
    </row>
    <row r="105" spans="1:5" x14ac:dyDescent="0.2">
      <c r="A105" t="s">
        <v>404</v>
      </c>
      <c r="B105" t="s">
        <v>801</v>
      </c>
      <c r="C105" t="str">
        <f>IF(ISERROR(MATCH(A105,'SegEnds_Xtal_Prot#'!B:B, 0)), "NoXtal", "Xtal")</f>
        <v>NoXtal</v>
      </c>
      <c r="D105" t="str">
        <f t="shared" si="1"/>
        <v>human</v>
      </c>
      <c r="E105" t="str">
        <f>VLOOKUP(A105,Classification!A:B,2,FALSE)</f>
        <v>B1</v>
      </c>
    </row>
    <row r="106" spans="1:5" x14ac:dyDescent="0.2">
      <c r="A106" t="s">
        <v>405</v>
      </c>
      <c r="B106" t="s">
        <v>802</v>
      </c>
      <c r="C106" t="str">
        <f>IF(ISERROR(MATCH(A106,'SegEnds_Xtal_Prot#'!B:B, 0)), "NoXtal", "Xtal")</f>
        <v>NoXtal</v>
      </c>
      <c r="D106" t="str">
        <f t="shared" si="1"/>
        <v>human</v>
      </c>
      <c r="E106" t="str">
        <f>VLOOKUP(A106,Classification!A:B,2,FALSE)</f>
        <v>B1</v>
      </c>
    </row>
    <row r="107" spans="1:5" x14ac:dyDescent="0.2">
      <c r="A107" t="s">
        <v>406</v>
      </c>
      <c r="B107" t="s">
        <v>803</v>
      </c>
      <c r="C107" t="str">
        <f>IF(ISERROR(MATCH(A107,'SegEnds_Xtal_Prot#'!B:B, 0)), "NoXtal", "Xtal")</f>
        <v>Xtal</v>
      </c>
      <c r="D107" t="str">
        <f t="shared" si="1"/>
        <v>human</v>
      </c>
      <c r="E107" t="str">
        <f>VLOOKUP(A107,Classification!A:B,2,FALSE)</f>
        <v>B1</v>
      </c>
    </row>
    <row r="108" spans="1:5" x14ac:dyDescent="0.2">
      <c r="A108" t="s">
        <v>407</v>
      </c>
      <c r="B108" t="s">
        <v>804</v>
      </c>
      <c r="C108" t="str">
        <f>IF(ISERROR(MATCH(A108,'SegEnds_Xtal_Prot#'!B:B, 0)), "NoXtal", "Xtal")</f>
        <v>NoXtal</v>
      </c>
      <c r="D108" t="str">
        <f t="shared" si="1"/>
        <v>human</v>
      </c>
      <c r="E108" t="str">
        <f>VLOOKUP(A108,Classification!A:B,2,FALSE)</f>
        <v>B1</v>
      </c>
    </row>
    <row r="109" spans="1:5" x14ac:dyDescent="0.2">
      <c r="A109" t="s">
        <v>411</v>
      </c>
      <c r="B109" t="s">
        <v>806</v>
      </c>
      <c r="C109" t="str">
        <f>IF(ISERROR(MATCH(A109,'SegEnds_Xtal_Prot#'!B:B, 0)), "NoXtal", "Xtal")</f>
        <v>NoXtal</v>
      </c>
      <c r="D109" t="str">
        <f t="shared" si="1"/>
        <v>human</v>
      </c>
      <c r="E109" t="str">
        <f>VLOOKUP(A109,Classification!A:B,2,FALSE)</f>
        <v>B1</v>
      </c>
    </row>
    <row r="110" spans="1:5" x14ac:dyDescent="0.2">
      <c r="A110" t="s">
        <v>409</v>
      </c>
      <c r="B110" t="s">
        <v>807</v>
      </c>
      <c r="C110" t="str">
        <f>IF(ISERROR(MATCH(A110,'SegEnds_Xtal_Prot#'!B:B, 0)), "NoXtal", "Xtal")</f>
        <v>Xtal</v>
      </c>
      <c r="D110" t="str">
        <f t="shared" si="1"/>
        <v>human</v>
      </c>
      <c r="E110" t="str">
        <f>VLOOKUP(A110,Classification!A:B,2,FALSE)</f>
        <v>B1</v>
      </c>
    </row>
    <row r="111" spans="1:5" x14ac:dyDescent="0.2">
      <c r="A111" t="s">
        <v>410</v>
      </c>
      <c r="B111" t="s">
        <v>808</v>
      </c>
      <c r="C111" t="str">
        <f>IF(ISERROR(MATCH(A111,'SegEnds_Xtal_Prot#'!B:B, 0)), "NoXtal", "Xtal")</f>
        <v>NoXtal</v>
      </c>
      <c r="D111" t="str">
        <f t="shared" si="1"/>
        <v>human</v>
      </c>
      <c r="E111" t="str">
        <f>VLOOKUP(A111,Classification!A:B,2,FALSE)</f>
        <v>B1</v>
      </c>
    </row>
    <row r="112" spans="1:5" x14ac:dyDescent="0.2">
      <c r="A112" t="s">
        <v>408</v>
      </c>
      <c r="B112" t="s">
        <v>809</v>
      </c>
      <c r="C112" t="str">
        <f>IF(ISERROR(MATCH(A112,'SegEnds_Xtal_Prot#'!B:B, 0)), "NoXtal", "Xtal")</f>
        <v>NoXtal</v>
      </c>
      <c r="D112" t="str">
        <f t="shared" si="1"/>
        <v>human</v>
      </c>
      <c r="E112" t="str">
        <f>VLOOKUP(A112,Classification!A:B,2,FALSE)</f>
        <v>B1</v>
      </c>
    </row>
    <row r="113" spans="1:13" x14ac:dyDescent="0.2">
      <c r="A113" t="s">
        <v>412</v>
      </c>
      <c r="B113" t="s">
        <v>810</v>
      </c>
      <c r="C113" t="str">
        <f>IF(ISERROR(MATCH(A113,'SegEnds_Xtal_Prot#'!B:B, 0)), "NoXtal", "Xtal")</f>
        <v>NoXtal</v>
      </c>
      <c r="D113" t="str">
        <f t="shared" si="1"/>
        <v>human</v>
      </c>
      <c r="E113" t="str">
        <f>VLOOKUP(A113,Classification!A:B,2,FALSE)</f>
        <v>B1</v>
      </c>
    </row>
    <row r="114" spans="1:13" x14ac:dyDescent="0.2">
      <c r="A114" t="s">
        <v>413</v>
      </c>
      <c r="B114" t="s">
        <v>811</v>
      </c>
      <c r="C114" t="str">
        <f>IF(ISERROR(MATCH(A114,'SegEnds_Xtal_Prot#'!B:B, 0)), "NoXtal", "Xtal")</f>
        <v>NoXtal</v>
      </c>
      <c r="D114" t="str">
        <f t="shared" si="1"/>
        <v>human</v>
      </c>
      <c r="E114" t="str">
        <f>VLOOKUP(A114,Classification!A:B,2,FALSE)</f>
        <v>B1</v>
      </c>
    </row>
    <row r="115" spans="1:13" x14ac:dyDescent="0.2">
      <c r="A115" t="s">
        <v>1429</v>
      </c>
      <c r="B115" t="s">
        <v>1428</v>
      </c>
      <c r="C115" t="str">
        <f>IF(ISERROR(MATCH(A115,'SegEnds_Xtal_Prot#'!B:B, 0)), "NoXtal", "Xtal")</f>
        <v>Xtal</v>
      </c>
      <c r="D115" t="str">
        <f>MID(A115,FIND("_",A115)+1,LEN(A115)-FIND("_",A115))</f>
        <v>rabit</v>
      </c>
      <c r="E115" t="str">
        <f>VLOOKUP(A115,Classification!A:B,2,FALSE)</f>
        <v>B1</v>
      </c>
    </row>
    <row r="116" spans="1:13" x14ac:dyDescent="0.2">
      <c r="A116" t="s">
        <v>912</v>
      </c>
      <c r="B116" t="s">
        <v>913</v>
      </c>
      <c r="C116" t="str">
        <f>IF(ISERROR(MATCH(A116,'SegEnds_Xtal_Prot#'!B:B, 0)), "NoXtal", "Xtal")</f>
        <v>Xtal</v>
      </c>
      <c r="D116" t="str">
        <f t="shared" si="1"/>
        <v>melga</v>
      </c>
      <c r="E116" t="str">
        <f>VLOOKUP(A116,Classification!A:B,2,FALSE)</f>
        <v>A</v>
      </c>
    </row>
    <row r="117" spans="1:13" x14ac:dyDescent="0.2">
      <c r="A117" t="s">
        <v>916</v>
      </c>
      <c r="B117" t="s">
        <v>917</v>
      </c>
      <c r="C117" t="str">
        <f>IF(ISERROR(MATCH(A117,'SegEnds_Xtal_Prot#'!B:B, 0)), "NoXtal", "Xtal")</f>
        <v>Xtal</v>
      </c>
      <c r="D117" t="str">
        <f t="shared" si="1"/>
        <v>mouse</v>
      </c>
      <c r="E117" t="str">
        <f>VLOOKUP(A117,Classification!A:B,2,FALSE)</f>
        <v>A</v>
      </c>
    </row>
    <row r="118" spans="1:13" x14ac:dyDescent="0.2">
      <c r="A118" t="s">
        <v>918</v>
      </c>
      <c r="B118" t="s">
        <v>919</v>
      </c>
      <c r="C118" t="str">
        <f>IF(ISERROR(MATCH(A118,'SegEnds_Xtal_Prot#'!B:B, 0)), "NoXtal", "Xtal")</f>
        <v>Xtal</v>
      </c>
      <c r="D118" t="str">
        <f t="shared" si="1"/>
        <v>mouse</v>
      </c>
      <c r="E118" t="str">
        <f>VLOOKUP(A118,Classification!A:B,2,FALSE)</f>
        <v>A</v>
      </c>
    </row>
    <row r="119" spans="1:13" ht="17" x14ac:dyDescent="0.25">
      <c r="A119" t="s">
        <v>910</v>
      </c>
      <c r="B119" t="s">
        <v>911</v>
      </c>
      <c r="C119" t="str">
        <f>IF(ISERROR(MATCH(A119,'SegEnds_Xtal_Prot#'!B:B, 0)), "NoXtal", "Xtal")</f>
        <v>Xtal</v>
      </c>
      <c r="D119" t="str">
        <f t="shared" si="1"/>
        <v>rat</v>
      </c>
      <c r="E119" t="str">
        <f>VLOOKUP(A119,Classification!A:B,2,FALSE)</f>
        <v>A</v>
      </c>
      <c r="M119" s="121"/>
    </row>
    <row r="120" spans="1:13" ht="17" x14ac:dyDescent="0.25">
      <c r="A120" t="s">
        <v>914</v>
      </c>
      <c r="B120" t="s">
        <v>915</v>
      </c>
      <c r="C120" t="str">
        <f>IF(ISERROR(MATCH(A120,'SegEnds_Xtal_Prot#'!B:B, 0)), "NoXtal", "Xtal")</f>
        <v>Xtal</v>
      </c>
      <c r="D120" t="str">
        <f t="shared" si="1"/>
        <v>rat</v>
      </c>
      <c r="E120" t="str">
        <f>VLOOKUP(A120,Classification!A:B,2,FALSE)</f>
        <v>A</v>
      </c>
      <c r="M120" s="121"/>
    </row>
    <row r="121" spans="1:13" ht="17" x14ac:dyDescent="0.25">
      <c r="A121" t="s">
        <v>922</v>
      </c>
      <c r="B121" t="s">
        <v>923</v>
      </c>
      <c r="C121" t="str">
        <f>IF(ISERROR(MATCH(A121,'SegEnds_Xtal_Prot#'!B:B, 0)), "NoXtal", "Xtal")</f>
        <v>Xtal</v>
      </c>
      <c r="D121" t="str">
        <f t="shared" si="1"/>
        <v>todpa</v>
      </c>
      <c r="E121" t="str">
        <f>VLOOKUP(A121,Classification!A:B,2,FALSE)</f>
        <v>A</v>
      </c>
      <c r="M121" s="121"/>
    </row>
    <row r="122" spans="1:13" ht="17" x14ac:dyDescent="0.25">
      <c r="A122" t="s">
        <v>920</v>
      </c>
      <c r="B122" t="s">
        <v>921</v>
      </c>
      <c r="C122" t="str">
        <f>IF(ISERROR(MATCH(A122,'SegEnds_Xtal_Prot#'!B:B, 0)), "NoXtal", "Xtal")</f>
        <v>Xtal</v>
      </c>
      <c r="D122" t="str">
        <f t="shared" si="1"/>
        <v>bovin</v>
      </c>
      <c r="E122" t="str">
        <f>VLOOKUP(A122,Classification!A:B,2,FALSE)</f>
        <v>A</v>
      </c>
      <c r="M122" s="121"/>
    </row>
    <row r="123" spans="1:13" ht="17" x14ac:dyDescent="0.25">
      <c r="A123" t="s">
        <v>1450</v>
      </c>
      <c r="B123" t="s">
        <v>1451</v>
      </c>
      <c r="C123" t="str">
        <f>IF(ISERROR(MATCH(A123,'SegEnds_Xtal_Prot#'!B:B, 0)), "NoXtal", "Xtal")</f>
        <v>Xtal</v>
      </c>
      <c r="D123" t="str">
        <f t="shared" si="1"/>
        <v>danre</v>
      </c>
      <c r="E123" t="str">
        <f>VLOOKUP(A123,Classification!A:B,2,FALSE)</f>
        <v>A</v>
      </c>
      <c r="M123" s="121"/>
    </row>
    <row r="124" spans="1:13" ht="17" x14ac:dyDescent="0.25">
      <c r="A124" t="s">
        <v>1523</v>
      </c>
      <c r="B124" t="s">
        <v>1524</v>
      </c>
      <c r="C124" t="str">
        <f>IF(ISERROR(MATCH(A124,'SegEnds_Xtal_Prot#'!B:B, 0)), "NoXtal", "Xtal")</f>
        <v>Xtal</v>
      </c>
      <c r="D124" t="str">
        <f>MID(A124,FIND("_",A124)+1,LEN(A124)-FIND("_",A124))</f>
        <v>hcmv</v>
      </c>
      <c r="E124" t="str">
        <f>VLOOKUP(A124,Classification!A:B,2,FALSE)</f>
        <v>A</v>
      </c>
      <c r="M124" s="121"/>
    </row>
    <row r="125" spans="1:13" ht="17" x14ac:dyDescent="0.25">
      <c r="A125" t="s">
        <v>1462</v>
      </c>
      <c r="B125" t="s">
        <v>1464</v>
      </c>
      <c r="C125" t="str">
        <f>IF(ISERROR(MATCH(A125,'SegEnds_Xtal_Prot#'!B:B, 0)), "NoXtal", "Xtal")</f>
        <v>Xtal</v>
      </c>
      <c r="D125" t="str">
        <f>MID(A125,FIND("_",A125)+1,LEN(A125)-FIND("_",A125))</f>
        <v>cavpo</v>
      </c>
      <c r="E125" t="str">
        <f>VLOOKUP(A125,Classification!A:B,2,FALSE)</f>
        <v>A</v>
      </c>
      <c r="M125" s="121"/>
    </row>
    <row r="126" spans="1:13" x14ac:dyDescent="0.2">
      <c r="A126" t="s">
        <v>924</v>
      </c>
      <c r="B126" t="s">
        <v>925</v>
      </c>
      <c r="C126" t="str">
        <f>IF(ISERROR(MATCH(A126,'SegEnds_Xtal_Prot#'!B:B, 0)), "NoXtal", "Xtal")</f>
        <v>Xtal</v>
      </c>
      <c r="D126" t="str">
        <f t="shared" si="1"/>
        <v>hcmva</v>
      </c>
      <c r="E126" t="str">
        <f>VLOOKUP(A126,Classification!A:B,2,FALSE)</f>
        <v>A</v>
      </c>
    </row>
    <row r="127" spans="1:13" x14ac:dyDescent="0.2">
      <c r="A127" t="s">
        <v>34</v>
      </c>
      <c r="B127" t="s">
        <v>488</v>
      </c>
      <c r="C127" t="str">
        <f>IF(ISERROR(MATCH(A127,'SegEnds_Xtal_Prot#'!B:B, 0)), "NoXtal", "Xtal")</f>
        <v>Xtal</v>
      </c>
      <c r="D127" t="str">
        <f t="shared" si="1"/>
        <v>human</v>
      </c>
      <c r="E127" t="str">
        <f>VLOOKUP(A127,Classification!A:B,2,FALSE)</f>
        <v>A</v>
      </c>
    </row>
    <row r="128" spans="1:13" x14ac:dyDescent="0.2">
      <c r="A128" t="s">
        <v>35</v>
      </c>
      <c r="B128" t="s">
        <v>493</v>
      </c>
      <c r="C128" t="str">
        <f>IF(ISERROR(MATCH(A128,'SegEnds_Xtal_Prot#'!B:B, 0)), "NoXtal", "Xtal")</f>
        <v>Xtal</v>
      </c>
      <c r="D128" t="str">
        <f t="shared" si="1"/>
        <v>human</v>
      </c>
      <c r="E128" t="str">
        <f>VLOOKUP(A128,Classification!A:B,2,FALSE)</f>
        <v>A</v>
      </c>
    </row>
    <row r="129" spans="1:5" x14ac:dyDescent="0.2">
      <c r="A129" t="s">
        <v>146</v>
      </c>
      <c r="B129" t="s">
        <v>499</v>
      </c>
      <c r="C129" t="str">
        <f>IF(ISERROR(MATCH(A129,'SegEnds_Xtal_Prot#'!B:B, 0)), "NoXtal", "Xtal")</f>
        <v>Xtal</v>
      </c>
      <c r="D129" t="str">
        <f t="shared" si="1"/>
        <v>human</v>
      </c>
      <c r="E129" t="str">
        <f>VLOOKUP(A129,Classification!A:B,2,FALSE)</f>
        <v>A</v>
      </c>
    </row>
    <row r="130" spans="1:5" x14ac:dyDescent="0.2">
      <c r="A130" t="s">
        <v>147</v>
      </c>
      <c r="B130" t="s">
        <v>500</v>
      </c>
      <c r="C130" t="str">
        <f>IF(ISERROR(MATCH(A130,'SegEnds_Xtal_Prot#'!B:B, 0)), "NoXtal", "Xtal")</f>
        <v>Xtal</v>
      </c>
      <c r="D130" t="str">
        <f t="shared" si="1"/>
        <v>human</v>
      </c>
      <c r="E130" t="str">
        <f>VLOOKUP(A130,Classification!A:B,2,FALSE)</f>
        <v>A</v>
      </c>
    </row>
    <row r="131" spans="1:5" x14ac:dyDescent="0.2">
      <c r="A131" t="s">
        <v>149</v>
      </c>
      <c r="B131" t="s">
        <v>503</v>
      </c>
      <c r="C131" t="str">
        <f>IF(ISERROR(MATCH(A131,'SegEnds_Xtal_Prot#'!B:B, 0)), "NoXtal", "Xtal")</f>
        <v>Xtal</v>
      </c>
      <c r="D131" t="str">
        <f t="shared" si="1"/>
        <v>human</v>
      </c>
      <c r="E131" t="str">
        <f>VLOOKUP(A131,Classification!A:B,2,FALSE)</f>
        <v>A</v>
      </c>
    </row>
    <row r="132" spans="1:5" x14ac:dyDescent="0.2">
      <c r="A132" t="s">
        <v>126</v>
      </c>
      <c r="B132" t="s">
        <v>512</v>
      </c>
      <c r="C132" t="str">
        <f>IF(ISERROR(MATCH(A132,'SegEnds_Xtal_Prot#'!B:B, 0)), "NoXtal", "Xtal")</f>
        <v>Xtal</v>
      </c>
      <c r="D132" t="str">
        <f t="shared" si="1"/>
        <v>human</v>
      </c>
      <c r="E132" t="str">
        <f>VLOOKUP(A132,Classification!A:B,2,FALSE)</f>
        <v>A</v>
      </c>
    </row>
    <row r="133" spans="1:5" x14ac:dyDescent="0.2">
      <c r="A133" t="s">
        <v>192</v>
      </c>
      <c r="B133" t="s">
        <v>515</v>
      </c>
      <c r="C133" t="str">
        <f>IF(ISERROR(MATCH(A133,'SegEnds_Xtal_Prot#'!B:B, 0)), "NoXtal", "Xtal")</f>
        <v>Xtal</v>
      </c>
      <c r="D133" t="str">
        <f t="shared" si="1"/>
        <v>human</v>
      </c>
      <c r="E133" t="str">
        <f>VLOOKUP(A133,Classification!A:B,2,FALSE)</f>
        <v>A</v>
      </c>
    </row>
    <row r="134" spans="1:5" x14ac:dyDescent="0.2">
      <c r="A134" t="s">
        <v>278</v>
      </c>
      <c r="B134" t="s">
        <v>518</v>
      </c>
      <c r="C134" t="str">
        <f>IF(ISERROR(MATCH(A134,'SegEnds_Xtal_Prot#'!B:B, 0)), "NoXtal", "Xtal")</f>
        <v>Xtal</v>
      </c>
      <c r="D134" t="str">
        <f t="shared" si="1"/>
        <v>human</v>
      </c>
      <c r="E134" t="str">
        <f>VLOOKUP(A134,Classification!A:B,2,FALSE)</f>
        <v>A</v>
      </c>
    </row>
    <row r="135" spans="1:5" x14ac:dyDescent="0.2">
      <c r="A135" t="s">
        <v>158</v>
      </c>
      <c r="B135" t="s">
        <v>523</v>
      </c>
      <c r="C135" t="str">
        <f>IF(ISERROR(MATCH(A135,'SegEnds_Xtal_Prot#'!B:B, 0)), "NoXtal", "Xtal")</f>
        <v>Xtal</v>
      </c>
      <c r="D135" t="str">
        <f t="shared" ref="D135:D198" si="2">MID(A135,FIND("_",A135)+1,LEN(A135)-FIND("_",A135))</f>
        <v>human</v>
      </c>
      <c r="E135" t="str">
        <f>VLOOKUP(A135,Classification!A:B,2,FALSE)</f>
        <v>A</v>
      </c>
    </row>
    <row r="136" spans="1:5" x14ac:dyDescent="0.2">
      <c r="A136" t="s">
        <v>335</v>
      </c>
      <c r="B136" t="s">
        <v>571</v>
      </c>
      <c r="C136" t="str">
        <f>IF(ISERROR(MATCH(A136,'SegEnds_Xtal_Prot#'!B:B, 0)), "NoXtal", "Xtal")</f>
        <v>Xtal</v>
      </c>
      <c r="D136" t="str">
        <f t="shared" si="2"/>
        <v>human</v>
      </c>
      <c r="E136" t="str">
        <f>VLOOKUP(A136,Classification!A:B,2,FALSE)</f>
        <v>A</v>
      </c>
    </row>
    <row r="137" spans="1:5" x14ac:dyDescent="0.2">
      <c r="A137" t="s">
        <v>336</v>
      </c>
      <c r="B137" t="s">
        <v>572</v>
      </c>
      <c r="C137" t="str">
        <f>IF(ISERROR(MATCH(A137,'SegEnds_Xtal_Prot#'!B:B, 0)), "NoXtal", "Xtal")</f>
        <v>Xtal</v>
      </c>
      <c r="D137" t="str">
        <f t="shared" si="2"/>
        <v>human</v>
      </c>
      <c r="E137" t="str">
        <f>VLOOKUP(A137,Classification!A:B,2,FALSE)</f>
        <v>A</v>
      </c>
    </row>
    <row r="138" spans="1:5" x14ac:dyDescent="0.2">
      <c r="A138" t="s">
        <v>1174</v>
      </c>
      <c r="B138" t="s">
        <v>574</v>
      </c>
      <c r="C138" t="str">
        <f>IF(ISERROR(MATCH(A138,'SegEnds_Xtal_Prot#'!B:B, 0)), "NoXtal", "Xtal")</f>
        <v>Xtal</v>
      </c>
      <c r="D138" t="str">
        <f t="shared" si="2"/>
        <v>human</v>
      </c>
      <c r="E138" t="str">
        <f>VLOOKUP(A138,Classification!A:B,2,FALSE)</f>
        <v>A</v>
      </c>
    </row>
    <row r="139" spans="1:5" x14ac:dyDescent="0.2">
      <c r="A139" t="s">
        <v>1175</v>
      </c>
      <c r="B139" t="s">
        <v>575</v>
      </c>
      <c r="C139" t="str">
        <f>IF(ISERROR(MATCH(A139,'SegEnds_Xtal_Prot#'!B:B, 0)), "NoXtal", "Xtal")</f>
        <v>Xtal</v>
      </c>
      <c r="D139" t="str">
        <f t="shared" si="2"/>
        <v>human</v>
      </c>
      <c r="E139" t="str">
        <f>VLOOKUP(A139,Classification!A:B,2,FALSE)</f>
        <v>A</v>
      </c>
    </row>
    <row r="140" spans="1:5" x14ac:dyDescent="0.2">
      <c r="A140" t="s">
        <v>1176</v>
      </c>
      <c r="B140" t="s">
        <v>576</v>
      </c>
      <c r="C140" t="str">
        <f>IF(ISERROR(MATCH(A140,'SegEnds_Xtal_Prot#'!B:B, 0)), "NoXtal", "Xtal")</f>
        <v>Xtal</v>
      </c>
      <c r="D140" t="str">
        <f t="shared" si="2"/>
        <v>human</v>
      </c>
      <c r="E140" t="str">
        <f>VLOOKUP(A140,Classification!A:B,2,FALSE)</f>
        <v>A</v>
      </c>
    </row>
    <row r="141" spans="1:5" x14ac:dyDescent="0.2">
      <c r="A141" t="s">
        <v>355</v>
      </c>
      <c r="B141" t="s">
        <v>579</v>
      </c>
      <c r="C141" t="str">
        <f>IF(ISERROR(MATCH(A141,'SegEnds_Xtal_Prot#'!B:B, 0)), "NoXtal", "Xtal")</f>
        <v>Xtal</v>
      </c>
      <c r="D141" t="str">
        <f t="shared" si="2"/>
        <v>human</v>
      </c>
      <c r="E141" t="str">
        <f>VLOOKUP(A141,Classification!A:B,2,FALSE)</f>
        <v>A</v>
      </c>
    </row>
    <row r="142" spans="1:5" x14ac:dyDescent="0.2">
      <c r="A142" t="s">
        <v>173</v>
      </c>
      <c r="B142" t="s">
        <v>607</v>
      </c>
      <c r="C142" t="str">
        <f>IF(ISERROR(MATCH(A142,'SegEnds_Xtal_Prot#'!B:B, 0)), "NoXtal", "Xtal")</f>
        <v>Xtal</v>
      </c>
      <c r="D142" t="str">
        <f t="shared" si="2"/>
        <v>human</v>
      </c>
      <c r="E142" t="str">
        <f>VLOOKUP(A142,Classification!A:B,2,FALSE)</f>
        <v>A</v>
      </c>
    </row>
    <row r="143" spans="1:5" x14ac:dyDescent="0.2">
      <c r="A143" t="s">
        <v>1172</v>
      </c>
      <c r="B143" t="s">
        <v>617</v>
      </c>
      <c r="C143" t="str">
        <f>IF(ISERROR(MATCH(A143,'SegEnds_Xtal_Prot#'!B:B, 0)), "NoXtal", "Xtal")</f>
        <v>Xtal</v>
      </c>
      <c r="D143" t="str">
        <f t="shared" si="2"/>
        <v>human</v>
      </c>
      <c r="E143" t="str">
        <f>VLOOKUP(A143,Classification!A:B,2,FALSE)</f>
        <v>A</v>
      </c>
    </row>
    <row r="144" spans="1:5" x14ac:dyDescent="0.2">
      <c r="A144" t="s">
        <v>1173</v>
      </c>
      <c r="B144" t="s">
        <v>633</v>
      </c>
      <c r="C144" t="str">
        <f>IF(ISERROR(MATCH(A144,'SegEnds_Xtal_Prot#'!B:B, 0)), "NoXtal", "Xtal")</f>
        <v>Xtal</v>
      </c>
      <c r="D144" t="str">
        <f t="shared" si="2"/>
        <v>human</v>
      </c>
      <c r="E144" t="str">
        <f>VLOOKUP(A144,Classification!A:B,2,FALSE)</f>
        <v>A</v>
      </c>
    </row>
    <row r="145" spans="1:5" x14ac:dyDescent="0.2">
      <c r="A145" t="s">
        <v>103</v>
      </c>
      <c r="B145" t="s">
        <v>643</v>
      </c>
      <c r="C145" t="str">
        <f>IF(ISERROR(MATCH(A145,'SegEnds_Xtal_Prot#'!B:B, 0)), "NoXtal", "Xtal")</f>
        <v>Xtal</v>
      </c>
      <c r="D145" t="str">
        <f t="shared" si="2"/>
        <v>human</v>
      </c>
      <c r="E145" t="str">
        <f>VLOOKUP(A145,Classification!A:B,2,FALSE)</f>
        <v>A</v>
      </c>
    </row>
    <row r="146" spans="1:5" x14ac:dyDescent="0.2">
      <c r="A146" t="s">
        <v>104</v>
      </c>
      <c r="B146" t="s">
        <v>649</v>
      </c>
      <c r="C146" t="str">
        <f>IF(ISERROR(MATCH(A146,'SegEnds_Xtal_Prot#'!B:B, 0)), "NoXtal", "Xtal")</f>
        <v>Xtal</v>
      </c>
      <c r="D146" t="str">
        <f t="shared" si="2"/>
        <v>human</v>
      </c>
      <c r="E146" t="str">
        <f>VLOOKUP(A146,Classification!A:B,2,FALSE)</f>
        <v>A</v>
      </c>
    </row>
    <row r="147" spans="1:5" x14ac:dyDescent="0.2">
      <c r="A147" t="s">
        <v>139</v>
      </c>
      <c r="B147" t="s">
        <v>672</v>
      </c>
      <c r="C147" t="str">
        <f>IF(ISERROR(MATCH(A147,'SegEnds_Xtal_Prot#'!B:B, 0)), "NoXtal", "Xtal")</f>
        <v>Xtal</v>
      </c>
      <c r="D147" t="str">
        <f t="shared" si="2"/>
        <v>human</v>
      </c>
      <c r="E147" t="str">
        <f>VLOOKUP(A147,Classification!A:B,2,FALSE)</f>
        <v>A</v>
      </c>
    </row>
    <row r="148" spans="1:5" x14ac:dyDescent="0.2">
      <c r="A148" t="s">
        <v>345</v>
      </c>
      <c r="B148" t="s">
        <v>675</v>
      </c>
      <c r="C148" t="str">
        <f>IF(ISERROR(MATCH(A148,'SegEnds_Xtal_Prot#'!B:B, 0)), "NoXtal", "Xtal")</f>
        <v>Xtal</v>
      </c>
      <c r="D148" t="str">
        <f t="shared" si="2"/>
        <v>human</v>
      </c>
      <c r="E148" t="str">
        <f>VLOOKUP(A148,Classification!A:B,2,FALSE)</f>
        <v>A</v>
      </c>
    </row>
    <row r="149" spans="1:5" x14ac:dyDescent="0.2">
      <c r="A149" t="s">
        <v>352</v>
      </c>
      <c r="B149" t="s">
        <v>680</v>
      </c>
      <c r="C149" t="str">
        <f>IF(ISERROR(MATCH(A149,'SegEnds_Xtal_Prot#'!B:B, 0)), "NoXtal", "Xtal")</f>
        <v>Xtal</v>
      </c>
      <c r="D149" t="str">
        <f t="shared" si="2"/>
        <v>human</v>
      </c>
      <c r="E149" t="str">
        <f>VLOOKUP(A149,Classification!A:B,2,FALSE)</f>
        <v>A</v>
      </c>
    </row>
    <row r="150" spans="1:5" x14ac:dyDescent="0.2">
      <c r="A150" t="s">
        <v>339</v>
      </c>
      <c r="B150" t="s">
        <v>690</v>
      </c>
      <c r="C150" t="str">
        <f>IF(ISERROR(MATCH(A150,'SegEnds_Xtal_Prot#'!B:B, 0)), "NoXtal", "Xtal")</f>
        <v>Xtal</v>
      </c>
      <c r="D150" t="str">
        <f t="shared" si="2"/>
        <v>human</v>
      </c>
      <c r="E150" t="str">
        <f>VLOOKUP(A150,Classification!A:B,2,FALSE)</f>
        <v>A</v>
      </c>
    </row>
    <row r="151" spans="1:5" x14ac:dyDescent="0.2">
      <c r="A151" t="s">
        <v>128</v>
      </c>
      <c r="B151" t="s">
        <v>487</v>
      </c>
      <c r="C151" t="str">
        <f>IF(ISERROR(MATCH(A151,'SegEnds_Xtal_Prot#'!B:B, 0)), "NoXtal", "Xtal")</f>
        <v>NoXtal</v>
      </c>
      <c r="D151" t="str">
        <f t="shared" si="2"/>
        <v>human</v>
      </c>
      <c r="E151" t="str">
        <f>VLOOKUP(A151,Classification!A:B,2,FALSE)</f>
        <v>A</v>
      </c>
    </row>
    <row r="152" spans="1:5" x14ac:dyDescent="0.2">
      <c r="A152" t="s">
        <v>129</v>
      </c>
      <c r="B152" t="s">
        <v>489</v>
      </c>
      <c r="C152" t="str">
        <f>IF(ISERROR(MATCH(A152,'SegEnds_Xtal_Prot#'!B:B, 0)), "NoXtal", "Xtal")</f>
        <v>NoXtal</v>
      </c>
      <c r="D152" t="str">
        <f t="shared" si="2"/>
        <v>human</v>
      </c>
      <c r="E152" t="str">
        <f>VLOOKUP(A152,Classification!A:B,2,FALSE)</f>
        <v>A</v>
      </c>
    </row>
    <row r="153" spans="1:5" x14ac:dyDescent="0.2">
      <c r="A153" t="s">
        <v>130</v>
      </c>
      <c r="B153" t="s">
        <v>490</v>
      </c>
      <c r="C153" t="str">
        <f>IF(ISERROR(MATCH(A153,'SegEnds_Xtal_Prot#'!B:B, 0)), "NoXtal", "Xtal")</f>
        <v>NoXtal</v>
      </c>
      <c r="D153" t="str">
        <f t="shared" si="2"/>
        <v>human</v>
      </c>
      <c r="E153" t="str">
        <f>VLOOKUP(A153,Classification!A:B,2,FALSE)</f>
        <v>A</v>
      </c>
    </row>
    <row r="154" spans="1:5" x14ac:dyDescent="0.2">
      <c r="A154" t="s">
        <v>131</v>
      </c>
      <c r="B154" t="s">
        <v>491</v>
      </c>
      <c r="C154" t="str">
        <f>IF(ISERROR(MATCH(A154,'SegEnds_Xtal_Prot#'!B:B, 0)), "NoXtal", "Xtal")</f>
        <v>NoXtal</v>
      </c>
      <c r="D154" t="str">
        <f t="shared" si="2"/>
        <v>human</v>
      </c>
      <c r="E154" t="str">
        <f>VLOOKUP(A154,Classification!A:B,2,FALSE)</f>
        <v>A</v>
      </c>
    </row>
    <row r="155" spans="1:5" x14ac:dyDescent="0.2">
      <c r="A155" t="s">
        <v>132</v>
      </c>
      <c r="B155" t="s">
        <v>492</v>
      </c>
      <c r="C155" t="str">
        <f>IF(ISERROR(MATCH(A155,'SegEnds_Xtal_Prot#'!B:B, 0)), "NoXtal", "Xtal")</f>
        <v>Xtal</v>
      </c>
      <c r="D155" t="str">
        <f t="shared" si="2"/>
        <v>human</v>
      </c>
      <c r="E155" t="str">
        <f>VLOOKUP(A155,Classification!A:B,2,FALSE)</f>
        <v>A</v>
      </c>
    </row>
    <row r="156" spans="1:5" x14ac:dyDescent="0.2">
      <c r="A156" t="s">
        <v>133</v>
      </c>
      <c r="B156" t="s">
        <v>494</v>
      </c>
      <c r="C156" t="str">
        <f>IF(ISERROR(MATCH(A156,'SegEnds_Xtal_Prot#'!B:B, 0)), "NoXtal", "Xtal")</f>
        <v>Xtal</v>
      </c>
      <c r="D156" t="str">
        <f t="shared" si="2"/>
        <v>human</v>
      </c>
      <c r="E156" t="str">
        <f>VLOOKUP(A156,Classification!A:B,2,FALSE)</f>
        <v>A</v>
      </c>
    </row>
    <row r="157" spans="1:5" x14ac:dyDescent="0.2">
      <c r="A157" t="s">
        <v>134</v>
      </c>
      <c r="B157" t="s">
        <v>495</v>
      </c>
      <c r="C157" t="str">
        <f>IF(ISERROR(MATCH(A157,'SegEnds_Xtal_Prot#'!B:B, 0)), "NoXtal", "Xtal")</f>
        <v>NoXtal</v>
      </c>
      <c r="D157" t="str">
        <f t="shared" si="2"/>
        <v>human</v>
      </c>
      <c r="E157" t="str">
        <f>VLOOKUP(A157,Classification!A:B,2,FALSE)</f>
        <v>A</v>
      </c>
    </row>
    <row r="158" spans="1:5" x14ac:dyDescent="0.2">
      <c r="A158" t="s">
        <v>135</v>
      </c>
      <c r="B158" t="s">
        <v>496</v>
      </c>
      <c r="C158" t="str">
        <f>IF(ISERROR(MATCH(A158,'SegEnds_Xtal_Prot#'!B:B, 0)), "NoXtal", "Xtal")</f>
        <v>NoXtal</v>
      </c>
      <c r="D158" t="str">
        <f t="shared" si="2"/>
        <v>human</v>
      </c>
      <c r="E158" t="str">
        <f>VLOOKUP(A158,Classification!A:B,2,FALSE)</f>
        <v>A</v>
      </c>
    </row>
    <row r="159" spans="1:5" x14ac:dyDescent="0.2">
      <c r="A159" t="s">
        <v>136</v>
      </c>
      <c r="B159" t="s">
        <v>497</v>
      </c>
      <c r="C159" t="str">
        <f>IF(ISERROR(MATCH(A159,'SegEnds_Xtal_Prot#'!B:B, 0)), "NoXtal", "Xtal")</f>
        <v>NoXtal</v>
      </c>
      <c r="D159" t="str">
        <f t="shared" si="2"/>
        <v>human</v>
      </c>
      <c r="E159" t="str">
        <f>VLOOKUP(A159,Classification!A:B,2,FALSE)</f>
        <v>A</v>
      </c>
    </row>
    <row r="160" spans="1:5" x14ac:dyDescent="0.2">
      <c r="A160" t="s">
        <v>137</v>
      </c>
      <c r="B160" t="s">
        <v>498</v>
      </c>
      <c r="C160" t="str">
        <f>IF(ISERROR(MATCH(A160,'SegEnds_Xtal_Prot#'!B:B, 0)), "NoXtal", "Xtal")</f>
        <v>NoXtal</v>
      </c>
      <c r="D160" t="str">
        <f t="shared" si="2"/>
        <v>human</v>
      </c>
      <c r="E160" t="str">
        <f>VLOOKUP(A160,Classification!A:B,2,FALSE)</f>
        <v>A</v>
      </c>
    </row>
    <row r="161" spans="1:5" x14ac:dyDescent="0.2">
      <c r="A161" t="s">
        <v>191</v>
      </c>
      <c r="B161" t="s">
        <v>501</v>
      </c>
      <c r="C161" t="str">
        <f>IF(ISERROR(MATCH(A161,'SegEnds_Xtal_Prot#'!B:B, 0)), "NoXtal", "Xtal")</f>
        <v>Xtal</v>
      </c>
      <c r="D161" t="str">
        <f t="shared" si="2"/>
        <v>human</v>
      </c>
      <c r="E161" t="str">
        <f>VLOOKUP(A161,Classification!A:B,2,FALSE)</f>
        <v>A</v>
      </c>
    </row>
    <row r="162" spans="1:5" x14ac:dyDescent="0.2">
      <c r="A162" t="s">
        <v>148</v>
      </c>
      <c r="B162" t="s">
        <v>502</v>
      </c>
      <c r="C162" t="str">
        <f>IF(ISERROR(MATCH(A162,'SegEnds_Xtal_Prot#'!B:B, 0)), "NoXtal", "Xtal")</f>
        <v>NoXtal</v>
      </c>
      <c r="D162" t="str">
        <f t="shared" si="2"/>
        <v>human</v>
      </c>
      <c r="E162" t="str">
        <f>VLOOKUP(A162,Classification!A:B,2,FALSE)</f>
        <v>A</v>
      </c>
    </row>
    <row r="163" spans="1:5" x14ac:dyDescent="0.2">
      <c r="A163" t="s">
        <v>150</v>
      </c>
      <c r="B163" t="s">
        <v>504</v>
      </c>
      <c r="C163" t="str">
        <f>IF(ISERROR(MATCH(A163,'SegEnds_Xtal_Prot#'!B:B, 0)), "NoXtal", "Xtal")</f>
        <v>NoXtal</v>
      </c>
      <c r="D163" t="str">
        <f t="shared" si="2"/>
        <v>human</v>
      </c>
      <c r="E163" t="str">
        <f>VLOOKUP(A163,Classification!A:B,2,FALSE)</f>
        <v>A</v>
      </c>
    </row>
    <row r="164" spans="1:5" x14ac:dyDescent="0.2">
      <c r="A164" t="s">
        <v>152</v>
      </c>
      <c r="B164" t="s">
        <v>505</v>
      </c>
      <c r="C164" t="str">
        <f>IF(ISERROR(MATCH(A164,'SegEnds_Xtal_Prot#'!B:B, 0)), "NoXtal", "Xtal")</f>
        <v>NoXtal</v>
      </c>
      <c r="D164" t="str">
        <f t="shared" si="2"/>
        <v>human</v>
      </c>
      <c r="E164" t="str">
        <f>VLOOKUP(A164,Classification!A:B,2,FALSE)</f>
        <v>A</v>
      </c>
    </row>
    <row r="165" spans="1:5" x14ac:dyDescent="0.2">
      <c r="A165" t="s">
        <v>153</v>
      </c>
      <c r="B165" t="s">
        <v>506</v>
      </c>
      <c r="C165" t="str">
        <f>IF(ISERROR(MATCH(A165,'SegEnds_Xtal_Prot#'!B:B, 0)), "NoXtal", "Xtal")</f>
        <v>NoXtal</v>
      </c>
      <c r="D165" t="str">
        <f t="shared" si="2"/>
        <v>human</v>
      </c>
      <c r="E165" t="str">
        <f>VLOOKUP(A165,Classification!A:B,2,FALSE)</f>
        <v>A</v>
      </c>
    </row>
    <row r="166" spans="1:5" x14ac:dyDescent="0.2">
      <c r="A166" t="s">
        <v>154</v>
      </c>
      <c r="B166" t="s">
        <v>507</v>
      </c>
      <c r="C166" t="str">
        <f>IF(ISERROR(MATCH(A166,'SegEnds_Xtal_Prot#'!B:B, 0)), "NoXtal", "Xtal")</f>
        <v>NoXtal</v>
      </c>
      <c r="D166" t="str">
        <f t="shared" si="2"/>
        <v>human</v>
      </c>
      <c r="E166" t="str">
        <f>VLOOKUP(A166,Classification!A:B,2,FALSE)</f>
        <v>A</v>
      </c>
    </row>
    <row r="167" spans="1:5" x14ac:dyDescent="0.2">
      <c r="A167" t="s">
        <v>155</v>
      </c>
      <c r="B167" t="s">
        <v>508</v>
      </c>
      <c r="C167" t="str">
        <f>IF(ISERROR(MATCH(A167,'SegEnds_Xtal_Prot#'!B:B, 0)), "NoXtal", "Xtal")</f>
        <v>NoXtal</v>
      </c>
      <c r="D167" t="str">
        <f t="shared" si="2"/>
        <v>human</v>
      </c>
      <c r="E167" t="str">
        <f>VLOOKUP(A167,Classification!A:B,2,FALSE)</f>
        <v>A</v>
      </c>
    </row>
    <row r="168" spans="1:5" x14ac:dyDescent="0.2">
      <c r="A168" t="s">
        <v>156</v>
      </c>
      <c r="B168" t="s">
        <v>509</v>
      </c>
      <c r="C168" t="str">
        <f>IF(ISERROR(MATCH(A168,'SegEnds_Xtal_Prot#'!B:B, 0)), "NoXtal", "Xtal")</f>
        <v>NoXtal</v>
      </c>
      <c r="D168" t="str">
        <f t="shared" si="2"/>
        <v>human</v>
      </c>
      <c r="E168" t="str">
        <f>VLOOKUP(A168,Classification!A:B,2,FALSE)</f>
        <v>A</v>
      </c>
    </row>
    <row r="169" spans="1:5" x14ac:dyDescent="0.2">
      <c r="A169" t="s">
        <v>157</v>
      </c>
      <c r="B169" t="s">
        <v>510</v>
      </c>
      <c r="C169" t="str">
        <f>IF(ISERROR(MATCH(A169,'SegEnds_Xtal_Prot#'!B:B, 0)), "NoXtal", "Xtal")</f>
        <v>NoXtal</v>
      </c>
      <c r="D169" t="str">
        <f t="shared" si="2"/>
        <v>human</v>
      </c>
      <c r="E169" t="str">
        <f>VLOOKUP(A169,Classification!A:B,2,FALSE)</f>
        <v>A</v>
      </c>
    </row>
    <row r="170" spans="1:5" x14ac:dyDescent="0.2">
      <c r="A170" t="s">
        <v>125</v>
      </c>
      <c r="B170" t="s">
        <v>511</v>
      </c>
      <c r="C170" t="str">
        <f>IF(ISERROR(MATCH(A170,'SegEnds_Xtal_Prot#'!B:B, 0)), "NoXtal", "Xtal")</f>
        <v>NoXtal</v>
      </c>
      <c r="D170" t="str">
        <f t="shared" si="2"/>
        <v>human</v>
      </c>
      <c r="E170" t="str">
        <f>VLOOKUP(A170,Classification!A:B,2,FALSE)</f>
        <v>A</v>
      </c>
    </row>
    <row r="171" spans="1:5" x14ac:dyDescent="0.2">
      <c r="A171" t="s">
        <v>102</v>
      </c>
      <c r="B171" t="s">
        <v>513</v>
      </c>
      <c r="C171" t="str">
        <f>IF(ISERROR(MATCH(A171,'SegEnds_Xtal_Prot#'!B:B, 0)), "NoXtal", "Xtal")</f>
        <v>NoXtal</v>
      </c>
      <c r="D171" t="str">
        <f t="shared" si="2"/>
        <v>human</v>
      </c>
      <c r="E171" t="str">
        <f>VLOOKUP(A171,Classification!A:B,2,FALSE)</f>
        <v>A</v>
      </c>
    </row>
    <row r="172" spans="1:5" x14ac:dyDescent="0.2">
      <c r="A172" t="s">
        <v>190</v>
      </c>
      <c r="B172" t="s">
        <v>514</v>
      </c>
      <c r="C172" t="str">
        <f>IF(ISERROR(MATCH(A172,'SegEnds_Xtal_Prot#'!B:B, 0)), "NoXtal", "Xtal")</f>
        <v>NoXtal</v>
      </c>
      <c r="D172" t="str">
        <f t="shared" si="2"/>
        <v>human</v>
      </c>
      <c r="E172" t="str">
        <f>VLOOKUP(A172,Classification!A:B,2,FALSE)</f>
        <v>A</v>
      </c>
    </row>
    <row r="173" spans="1:5" x14ac:dyDescent="0.2">
      <c r="A173" t="s">
        <v>193</v>
      </c>
      <c r="B173" t="s">
        <v>516</v>
      </c>
      <c r="C173" t="str">
        <f>IF(ISERROR(MATCH(A173,'SegEnds_Xtal_Prot#'!B:B, 0)), "NoXtal", "Xtal")</f>
        <v>Xtal</v>
      </c>
      <c r="D173" t="str">
        <f t="shared" si="2"/>
        <v>human</v>
      </c>
      <c r="E173" t="str">
        <f>VLOOKUP(A173,Classification!A:B,2,FALSE)</f>
        <v>A</v>
      </c>
    </row>
    <row r="174" spans="1:5" x14ac:dyDescent="0.2">
      <c r="A174" t="s">
        <v>194</v>
      </c>
      <c r="B174" t="s">
        <v>517</v>
      </c>
      <c r="C174" t="str">
        <f>IF(ISERROR(MATCH(A174,'SegEnds_Xtal_Prot#'!B:B, 0)), "NoXtal", "Xtal")</f>
        <v>NoXtal</v>
      </c>
      <c r="D174" t="str">
        <f t="shared" si="2"/>
        <v>human</v>
      </c>
      <c r="E174" t="str">
        <f>VLOOKUP(A174,Classification!A:B,2,FALSE)</f>
        <v>A</v>
      </c>
    </row>
    <row r="175" spans="1:5" x14ac:dyDescent="0.2">
      <c r="A175" t="s">
        <v>279</v>
      </c>
      <c r="B175" t="s">
        <v>519</v>
      </c>
      <c r="C175" t="str">
        <f>IF(ISERROR(MATCH(A175,'SegEnds_Xtal_Prot#'!B:B, 0)), "NoXtal", "Xtal")</f>
        <v>NoXtal</v>
      </c>
      <c r="D175" t="str">
        <f t="shared" si="2"/>
        <v>human</v>
      </c>
      <c r="E175" t="str">
        <f>VLOOKUP(A175,Classification!A:B,2,FALSE)</f>
        <v>A</v>
      </c>
    </row>
    <row r="176" spans="1:5" x14ac:dyDescent="0.2">
      <c r="A176" t="s">
        <v>280</v>
      </c>
      <c r="B176" t="s">
        <v>520</v>
      </c>
      <c r="C176" t="str">
        <f>IF(ISERROR(MATCH(A176,'SegEnds_Xtal_Prot#'!B:B, 0)), "NoXtal", "Xtal")</f>
        <v>NoXtal</v>
      </c>
      <c r="D176" t="str">
        <f t="shared" si="2"/>
        <v>human</v>
      </c>
      <c r="E176" t="str">
        <f>VLOOKUP(A176,Classification!A:B,2,FALSE)</f>
        <v>A</v>
      </c>
    </row>
    <row r="177" spans="1:5" x14ac:dyDescent="0.2">
      <c r="A177" t="s">
        <v>281</v>
      </c>
      <c r="B177" t="s">
        <v>521</v>
      </c>
      <c r="C177" t="str">
        <f>IF(ISERROR(MATCH(A177,'SegEnds_Xtal_Prot#'!B:B, 0)), "NoXtal", "Xtal")</f>
        <v>NoXtal</v>
      </c>
      <c r="D177" t="str">
        <f t="shared" si="2"/>
        <v>human</v>
      </c>
      <c r="E177" t="str">
        <f>VLOOKUP(A177,Classification!A:B,2,FALSE)</f>
        <v>A</v>
      </c>
    </row>
    <row r="178" spans="1:5" x14ac:dyDescent="0.2">
      <c r="A178" t="s">
        <v>387</v>
      </c>
      <c r="B178" t="s">
        <v>522</v>
      </c>
      <c r="C178" t="str">
        <f>IF(ISERROR(MATCH(A178,'SegEnds_Xtal_Prot#'!B:B, 0)), "NoXtal", "Xtal")</f>
        <v>NoXtal</v>
      </c>
      <c r="D178" t="str">
        <f t="shared" si="2"/>
        <v>human</v>
      </c>
      <c r="E178" t="str">
        <f>VLOOKUP(A178,Classification!A:B,2,FALSE)</f>
        <v>A</v>
      </c>
    </row>
    <row r="179" spans="1:5" x14ac:dyDescent="0.2">
      <c r="A179" t="s">
        <v>159</v>
      </c>
      <c r="B179" t="s">
        <v>524</v>
      </c>
      <c r="C179" t="str">
        <f>IF(ISERROR(MATCH(A179,'SegEnds_Xtal_Prot#'!B:B, 0)), "NoXtal", "Xtal")</f>
        <v>Xtal</v>
      </c>
      <c r="D179" t="str">
        <f t="shared" si="2"/>
        <v>human</v>
      </c>
      <c r="E179" t="str">
        <f>VLOOKUP(A179,Classification!A:B,2,FALSE)</f>
        <v>A</v>
      </c>
    </row>
    <row r="180" spans="1:5" x14ac:dyDescent="0.2">
      <c r="A180" t="s">
        <v>160</v>
      </c>
      <c r="B180" t="s">
        <v>525</v>
      </c>
      <c r="C180" t="str">
        <f>IF(ISERROR(MATCH(A180,'SegEnds_Xtal_Prot#'!B:B, 0)), "NoXtal", "Xtal")</f>
        <v>Xtal</v>
      </c>
      <c r="D180" t="str">
        <f t="shared" si="2"/>
        <v>human</v>
      </c>
      <c r="E180" t="str">
        <f>VLOOKUP(A180,Classification!A:B,2,FALSE)</f>
        <v>A</v>
      </c>
    </row>
    <row r="181" spans="1:5" x14ac:dyDescent="0.2">
      <c r="A181" t="s">
        <v>317</v>
      </c>
      <c r="B181" t="s">
        <v>526</v>
      </c>
      <c r="C181" t="str">
        <f>IF(ISERROR(MATCH(A181,'SegEnds_Xtal_Prot#'!B:B, 0)), "NoXtal", "Xtal")</f>
        <v>NoXtal</v>
      </c>
      <c r="D181" t="str">
        <f t="shared" si="2"/>
        <v>human</v>
      </c>
      <c r="E181" t="str">
        <f>VLOOKUP(A181,Classification!A:B,2,FALSE)</f>
        <v>A</v>
      </c>
    </row>
    <row r="182" spans="1:5" x14ac:dyDescent="0.2">
      <c r="A182" t="s">
        <v>274</v>
      </c>
      <c r="B182" t="s">
        <v>527</v>
      </c>
      <c r="C182" t="str">
        <f>IF(ISERROR(MATCH(A182,'SegEnds_Xtal_Prot#'!B:B, 0)), "NoXtal", "Xtal")</f>
        <v>NoXtal</v>
      </c>
      <c r="D182" t="str">
        <f t="shared" si="2"/>
        <v>human</v>
      </c>
      <c r="E182" t="str">
        <f>VLOOKUP(A182,Classification!A:B,2,FALSE)</f>
        <v>A</v>
      </c>
    </row>
    <row r="183" spans="1:5" x14ac:dyDescent="0.2">
      <c r="A183" t="s">
        <v>163</v>
      </c>
      <c r="B183" t="s">
        <v>528</v>
      </c>
      <c r="C183" t="str">
        <f>IF(ISERROR(MATCH(A183,'SegEnds_Xtal_Prot#'!B:B, 0)), "NoXtal", "Xtal")</f>
        <v>NoXtal</v>
      </c>
      <c r="D183" t="str">
        <f t="shared" si="2"/>
        <v>human</v>
      </c>
      <c r="E183" t="str">
        <f>VLOOKUP(A183,Classification!A:B,2,FALSE)</f>
        <v>A</v>
      </c>
    </row>
    <row r="184" spans="1:5" x14ac:dyDescent="0.2">
      <c r="A184" t="s">
        <v>161</v>
      </c>
      <c r="B184" t="s">
        <v>529</v>
      </c>
      <c r="C184" t="str">
        <f>IF(ISERROR(MATCH(A184,'SegEnds_Xtal_Prot#'!B:B, 0)), "NoXtal", "Xtal")</f>
        <v>NoXtal</v>
      </c>
      <c r="D184" t="str">
        <f t="shared" si="2"/>
        <v>human</v>
      </c>
      <c r="E184" t="str">
        <f>VLOOKUP(A184,Classification!A:B,2,FALSE)</f>
        <v>A</v>
      </c>
    </row>
    <row r="185" spans="1:5" x14ac:dyDescent="0.2">
      <c r="A185" t="s">
        <v>162</v>
      </c>
      <c r="B185" t="s">
        <v>530</v>
      </c>
      <c r="C185" t="str">
        <f>IF(ISERROR(MATCH(A185,'SegEnds_Xtal_Prot#'!B:B, 0)), "NoXtal", "Xtal")</f>
        <v>NoXtal</v>
      </c>
      <c r="D185" t="str">
        <f t="shared" si="2"/>
        <v>human</v>
      </c>
      <c r="E185" t="str">
        <f>VLOOKUP(A185,Classification!A:B,2,FALSE)</f>
        <v>A</v>
      </c>
    </row>
    <row r="186" spans="1:5" x14ac:dyDescent="0.2">
      <c r="A186" t="s">
        <v>167</v>
      </c>
      <c r="B186" t="s">
        <v>531</v>
      </c>
      <c r="C186" t="str">
        <f>IF(ISERROR(MATCH(A186,'SegEnds_Xtal_Prot#'!B:B, 0)), "NoXtal", "Xtal")</f>
        <v>NoXtal</v>
      </c>
      <c r="D186" t="str">
        <f t="shared" si="2"/>
        <v>human</v>
      </c>
      <c r="E186" t="str">
        <f>VLOOKUP(A186,Classification!A:B,2,FALSE)</f>
        <v>A</v>
      </c>
    </row>
    <row r="187" spans="1:5" x14ac:dyDescent="0.2">
      <c r="A187" t="s">
        <v>208</v>
      </c>
      <c r="B187" t="s">
        <v>532</v>
      </c>
      <c r="C187" t="str">
        <f>IF(ISERROR(MATCH(A187,'SegEnds_Xtal_Prot#'!B:B, 0)), "NoXtal", "Xtal")</f>
        <v>NoXtal</v>
      </c>
      <c r="D187" t="str">
        <f t="shared" si="2"/>
        <v>human</v>
      </c>
      <c r="E187" t="str">
        <f>VLOOKUP(A187,Classification!A:B,2,FALSE)</f>
        <v>A</v>
      </c>
    </row>
    <row r="188" spans="1:5" x14ac:dyDescent="0.2">
      <c r="A188" t="s">
        <v>164</v>
      </c>
      <c r="B188" t="s">
        <v>533</v>
      </c>
      <c r="C188" t="str">
        <f>IF(ISERROR(MATCH(A188,'SegEnds_Xtal_Prot#'!B:B, 0)), "NoXtal", "Xtal")</f>
        <v>NoXtal</v>
      </c>
      <c r="D188" t="str">
        <f t="shared" si="2"/>
        <v>human</v>
      </c>
      <c r="E188" t="str">
        <f>VLOOKUP(A188,Classification!A:B,2,FALSE)</f>
        <v>A</v>
      </c>
    </row>
    <row r="189" spans="1:5" x14ac:dyDescent="0.2">
      <c r="A189" t="s">
        <v>165</v>
      </c>
      <c r="B189" t="s">
        <v>534</v>
      </c>
      <c r="C189" t="str">
        <f>IF(ISERROR(MATCH(A189,'SegEnds_Xtal_Prot#'!B:B, 0)), "NoXtal", "Xtal")</f>
        <v>Xtal</v>
      </c>
      <c r="D189" t="str">
        <f t="shared" si="2"/>
        <v>human</v>
      </c>
      <c r="E189" t="str">
        <f>VLOOKUP(A189,Classification!A:B,2,FALSE)</f>
        <v>A</v>
      </c>
    </row>
    <row r="190" spans="1:5" x14ac:dyDescent="0.2">
      <c r="A190" t="s">
        <v>166</v>
      </c>
      <c r="B190" t="s">
        <v>535</v>
      </c>
      <c r="C190" t="str">
        <f>IF(ISERROR(MATCH(A190,'SegEnds_Xtal_Prot#'!B:B, 0)), "NoXtal", "Xtal")</f>
        <v>NoXtal</v>
      </c>
      <c r="D190" t="str">
        <f t="shared" si="2"/>
        <v>human</v>
      </c>
      <c r="E190" t="str">
        <f>VLOOKUP(A190,Classification!A:B,2,FALSE)</f>
        <v>A</v>
      </c>
    </row>
    <row r="191" spans="1:5" x14ac:dyDescent="0.2">
      <c r="A191" t="s">
        <v>195</v>
      </c>
      <c r="B191" t="s">
        <v>536</v>
      </c>
      <c r="C191" t="str">
        <f>IF(ISERROR(MATCH(A191,'SegEnds_Xtal_Prot#'!B:B, 0)), "NoXtal", "Xtal")</f>
        <v>NoXtal</v>
      </c>
      <c r="D191" t="str">
        <f t="shared" si="2"/>
        <v>human</v>
      </c>
      <c r="E191" t="str">
        <f>VLOOKUP(A191,Classification!A:B,2,FALSE)</f>
        <v>A</v>
      </c>
    </row>
    <row r="192" spans="1:5" x14ac:dyDescent="0.2">
      <c r="A192" t="s">
        <v>196</v>
      </c>
      <c r="B192" t="s">
        <v>537</v>
      </c>
      <c r="C192" t="str">
        <f>IF(ISERROR(MATCH(A192,'SegEnds_Xtal_Prot#'!B:B, 0)), "NoXtal", "Xtal")</f>
        <v>Xtal</v>
      </c>
      <c r="D192" t="str">
        <f t="shared" si="2"/>
        <v>human</v>
      </c>
      <c r="E192" t="str">
        <f>VLOOKUP(A192,Classification!A:B,2,FALSE)</f>
        <v>A</v>
      </c>
    </row>
    <row r="193" spans="1:5" x14ac:dyDescent="0.2">
      <c r="A193" t="s">
        <v>201</v>
      </c>
      <c r="B193" t="s">
        <v>538</v>
      </c>
      <c r="C193" t="str">
        <f>IF(ISERROR(MATCH(A193,'SegEnds_Xtal_Prot#'!B:B, 0)), "NoXtal", "Xtal")</f>
        <v>NoXtal</v>
      </c>
      <c r="D193" t="str">
        <f t="shared" si="2"/>
        <v>human</v>
      </c>
      <c r="E193" t="str">
        <f>VLOOKUP(A193,Classification!A:B,2,FALSE)</f>
        <v>A</v>
      </c>
    </row>
    <row r="194" spans="1:5" x14ac:dyDescent="0.2">
      <c r="A194" t="s">
        <v>202</v>
      </c>
      <c r="B194" t="s">
        <v>539</v>
      </c>
      <c r="C194" t="str">
        <f>IF(ISERROR(MATCH(A194,'SegEnds_Xtal_Prot#'!B:B, 0)), "NoXtal", "Xtal")</f>
        <v>NoXtal</v>
      </c>
      <c r="D194" t="str">
        <f t="shared" si="2"/>
        <v>human</v>
      </c>
      <c r="E194" t="str">
        <f>VLOOKUP(A194,Classification!A:B,2,FALSE)</f>
        <v>A</v>
      </c>
    </row>
    <row r="195" spans="1:5" x14ac:dyDescent="0.2">
      <c r="A195" t="s">
        <v>203</v>
      </c>
      <c r="B195" t="s">
        <v>540</v>
      </c>
      <c r="C195" t="str">
        <f>IF(ISERROR(MATCH(A195,'SegEnds_Xtal_Prot#'!B:B, 0)), "NoXtal", "Xtal")</f>
        <v>NoXtal</v>
      </c>
      <c r="D195" t="str">
        <f t="shared" si="2"/>
        <v>human</v>
      </c>
      <c r="E195" t="str">
        <f>VLOOKUP(A195,Classification!A:B,2,FALSE)</f>
        <v>A</v>
      </c>
    </row>
    <row r="196" spans="1:5" x14ac:dyDescent="0.2">
      <c r="A196" t="s">
        <v>205</v>
      </c>
      <c r="B196" t="s">
        <v>541</v>
      </c>
      <c r="C196" t="str">
        <f>IF(ISERROR(MATCH(A196,'SegEnds_Xtal_Prot#'!B:B, 0)), "NoXtal", "Xtal")</f>
        <v>NoXtal</v>
      </c>
      <c r="D196" t="str">
        <f t="shared" si="2"/>
        <v>human</v>
      </c>
      <c r="E196" t="str">
        <f>VLOOKUP(A196,Classification!A:B,2,FALSE)</f>
        <v>A</v>
      </c>
    </row>
    <row r="197" spans="1:5" x14ac:dyDescent="0.2">
      <c r="A197" t="s">
        <v>206</v>
      </c>
      <c r="B197" t="s">
        <v>542</v>
      </c>
      <c r="C197" t="str">
        <f>IF(ISERROR(MATCH(A197,'SegEnds_Xtal_Prot#'!B:B, 0)), "NoXtal", "Xtal")</f>
        <v>NoXtal</v>
      </c>
      <c r="D197" t="str">
        <f t="shared" si="2"/>
        <v>human</v>
      </c>
      <c r="E197" t="str">
        <f>VLOOKUP(A197,Classification!A:B,2,FALSE)</f>
        <v>A</v>
      </c>
    </row>
    <row r="198" spans="1:5" x14ac:dyDescent="0.2">
      <c r="A198" t="s">
        <v>207</v>
      </c>
      <c r="B198" t="s">
        <v>543</v>
      </c>
      <c r="C198" t="str">
        <f>IF(ISERROR(MATCH(A198,'SegEnds_Xtal_Prot#'!B:B, 0)), "NoXtal", "Xtal")</f>
        <v>NoXtal</v>
      </c>
      <c r="D198" t="str">
        <f t="shared" si="2"/>
        <v>human</v>
      </c>
      <c r="E198" t="str">
        <f>VLOOKUP(A198,Classification!A:B,2,FALSE)</f>
        <v>A</v>
      </c>
    </row>
    <row r="199" spans="1:5" x14ac:dyDescent="0.2">
      <c r="A199" t="s">
        <v>209</v>
      </c>
      <c r="B199" t="s">
        <v>544</v>
      </c>
      <c r="C199" t="str">
        <f>IF(ISERROR(MATCH(A199,'SegEnds_Xtal_Prot#'!B:B, 0)), "NoXtal", "Xtal")</f>
        <v>NoXtal</v>
      </c>
      <c r="D199" t="str">
        <f t="shared" ref="D199:D262" si="3">MID(A199,FIND("_",A199)+1,LEN(A199)-FIND("_",A199))</f>
        <v>human</v>
      </c>
      <c r="E199" t="str">
        <f>VLOOKUP(A199,Classification!A:B,2,FALSE)</f>
        <v>A</v>
      </c>
    </row>
    <row r="200" spans="1:5" x14ac:dyDescent="0.2">
      <c r="A200" t="s">
        <v>210</v>
      </c>
      <c r="B200" t="s">
        <v>545</v>
      </c>
      <c r="C200" t="str">
        <f>IF(ISERROR(MATCH(A200,'SegEnds_Xtal_Prot#'!B:B, 0)), "NoXtal", "Xtal")</f>
        <v>NoXtal</v>
      </c>
      <c r="D200" t="str">
        <f t="shared" si="3"/>
        <v>human</v>
      </c>
      <c r="E200" t="str">
        <f>VLOOKUP(A200,Classification!A:B,2,FALSE)</f>
        <v>A</v>
      </c>
    </row>
    <row r="201" spans="1:5" x14ac:dyDescent="0.2">
      <c r="A201" t="s">
        <v>211</v>
      </c>
      <c r="B201" t="s">
        <v>546</v>
      </c>
      <c r="C201" t="str">
        <f>IF(ISERROR(MATCH(A201,'SegEnds_Xtal_Prot#'!B:B, 0)), "NoXtal", "Xtal")</f>
        <v>NoXtal</v>
      </c>
      <c r="D201" t="str">
        <f t="shared" si="3"/>
        <v>human</v>
      </c>
      <c r="E201" t="str">
        <f>VLOOKUP(A201,Classification!A:B,2,FALSE)</f>
        <v>A</v>
      </c>
    </row>
    <row r="202" spans="1:5" x14ac:dyDescent="0.2">
      <c r="A202" t="s">
        <v>282</v>
      </c>
      <c r="B202" t="s">
        <v>547</v>
      </c>
      <c r="C202" t="str">
        <f>IF(ISERROR(MATCH(A202,'SegEnds_Xtal_Prot#'!B:B, 0)), "NoXtal", "Xtal")</f>
        <v>NoXtal</v>
      </c>
      <c r="D202" t="str">
        <f t="shared" si="3"/>
        <v>human</v>
      </c>
      <c r="E202" t="str">
        <f>VLOOKUP(A202,Classification!A:B,2,FALSE)</f>
        <v>A</v>
      </c>
    </row>
    <row r="203" spans="1:5" x14ac:dyDescent="0.2">
      <c r="A203" t="s">
        <v>299</v>
      </c>
      <c r="B203" t="s">
        <v>548</v>
      </c>
      <c r="C203" t="str">
        <f>IF(ISERROR(MATCH(A203,'SegEnds_Xtal_Prot#'!B:B, 0)), "NoXtal", "Xtal")</f>
        <v>NoXtal</v>
      </c>
      <c r="D203" t="str">
        <f t="shared" si="3"/>
        <v>human</v>
      </c>
      <c r="E203" t="str">
        <f>VLOOKUP(A203,Classification!A:B,2,FALSE)</f>
        <v>A</v>
      </c>
    </row>
    <row r="204" spans="1:5" x14ac:dyDescent="0.2">
      <c r="A204" t="s">
        <v>300</v>
      </c>
      <c r="B204" t="s">
        <v>549</v>
      </c>
      <c r="C204" t="str">
        <f>IF(ISERROR(MATCH(A204,'SegEnds_Xtal_Prot#'!B:B, 0)), "NoXtal", "Xtal")</f>
        <v>NoXtal</v>
      </c>
      <c r="D204" t="str">
        <f t="shared" si="3"/>
        <v>human</v>
      </c>
      <c r="E204" t="str">
        <f>VLOOKUP(A204,Classification!A:B,2,FALSE)</f>
        <v>A</v>
      </c>
    </row>
    <row r="205" spans="1:5" x14ac:dyDescent="0.2">
      <c r="A205" t="s">
        <v>309</v>
      </c>
      <c r="B205" t="s">
        <v>550</v>
      </c>
      <c r="C205" t="str">
        <f>IF(ISERROR(MATCH(A205,'SegEnds_Xtal_Prot#'!B:B, 0)), "NoXtal", "Xtal")</f>
        <v>NoXtal</v>
      </c>
      <c r="D205" t="str">
        <f t="shared" si="3"/>
        <v>human</v>
      </c>
      <c r="E205" t="str">
        <f>VLOOKUP(A205,Classification!A:B,2,FALSE)</f>
        <v>A</v>
      </c>
    </row>
    <row r="206" spans="1:5" x14ac:dyDescent="0.2">
      <c r="A206" t="s">
        <v>151</v>
      </c>
      <c r="B206" t="s">
        <v>551</v>
      </c>
      <c r="C206" t="str">
        <f>IF(ISERROR(MATCH(A206,'SegEnds_Xtal_Prot#'!B:B, 0)), "NoXtal", "Xtal")</f>
        <v>NoXtal</v>
      </c>
      <c r="D206" t="str">
        <f t="shared" si="3"/>
        <v>human</v>
      </c>
      <c r="E206" t="str">
        <f>VLOOKUP(A206,Classification!A:B,2,FALSE)</f>
        <v>A</v>
      </c>
    </row>
    <row r="207" spans="1:5" x14ac:dyDescent="0.2">
      <c r="A207" t="s">
        <v>296</v>
      </c>
      <c r="B207" t="s">
        <v>552</v>
      </c>
      <c r="C207" t="str">
        <f>IF(ISERROR(MATCH(A207,'SegEnds_Xtal_Prot#'!B:B, 0)), "NoXtal", "Xtal")</f>
        <v>NoXtal</v>
      </c>
      <c r="D207" t="str">
        <f t="shared" si="3"/>
        <v>human</v>
      </c>
      <c r="E207" t="str">
        <f>VLOOKUP(A207,Classification!A:B,2,FALSE)</f>
        <v>A</v>
      </c>
    </row>
    <row r="208" spans="1:5" x14ac:dyDescent="0.2">
      <c r="A208" t="s">
        <v>297</v>
      </c>
      <c r="B208" t="s">
        <v>553</v>
      </c>
      <c r="C208" t="str">
        <f>IF(ISERROR(MATCH(A208,'SegEnds_Xtal_Prot#'!B:B, 0)), "NoXtal", "Xtal")</f>
        <v>NoXtal</v>
      </c>
      <c r="D208" t="str">
        <f t="shared" si="3"/>
        <v>human</v>
      </c>
      <c r="E208" t="str">
        <f>VLOOKUP(A208,Classification!A:B,2,FALSE)</f>
        <v>A</v>
      </c>
    </row>
    <row r="209" spans="1:5" x14ac:dyDescent="0.2">
      <c r="A209" t="s">
        <v>298</v>
      </c>
      <c r="B209" t="s">
        <v>554</v>
      </c>
      <c r="C209" t="str">
        <f>IF(ISERROR(MATCH(A209,'SegEnds_Xtal_Prot#'!B:B, 0)), "NoXtal", "Xtal")</f>
        <v>NoXtal</v>
      </c>
      <c r="D209" t="str">
        <f t="shared" si="3"/>
        <v>human</v>
      </c>
      <c r="E209" t="str">
        <f>VLOOKUP(A209,Classification!A:B,2,FALSE)</f>
        <v>A</v>
      </c>
    </row>
    <row r="210" spans="1:5" x14ac:dyDescent="0.2">
      <c r="A210" t="s">
        <v>310</v>
      </c>
      <c r="B210" t="s">
        <v>555</v>
      </c>
      <c r="C210" t="str">
        <f>IF(ISERROR(MATCH(A210,'SegEnds_Xtal_Prot#'!B:B, 0)), "NoXtal", "Xtal")</f>
        <v>NoXtal</v>
      </c>
      <c r="D210" t="str">
        <f t="shared" si="3"/>
        <v>human</v>
      </c>
      <c r="E210" t="str">
        <f>VLOOKUP(A210,Classification!A:B,2,FALSE)</f>
        <v>A</v>
      </c>
    </row>
    <row r="211" spans="1:5" x14ac:dyDescent="0.2">
      <c r="A211" t="s">
        <v>318</v>
      </c>
      <c r="B211" t="s">
        <v>556</v>
      </c>
      <c r="C211" t="str">
        <f>IF(ISERROR(MATCH(A211,'SegEnds_Xtal_Prot#'!B:B, 0)), "NoXtal", "Xtal")</f>
        <v>NoXtal</v>
      </c>
      <c r="D211" t="str">
        <f t="shared" si="3"/>
        <v>human</v>
      </c>
      <c r="E211" t="str">
        <f>VLOOKUP(A211,Classification!A:B,2,FALSE)</f>
        <v>A</v>
      </c>
    </row>
    <row r="212" spans="1:5" x14ac:dyDescent="0.2">
      <c r="A212" t="s">
        <v>319</v>
      </c>
      <c r="B212" t="s">
        <v>557</v>
      </c>
      <c r="C212" t="str">
        <f>IF(ISERROR(MATCH(A212,'SegEnds_Xtal_Prot#'!B:B, 0)), "NoXtal", "Xtal")</f>
        <v>NoXtal</v>
      </c>
      <c r="D212" t="str">
        <f t="shared" si="3"/>
        <v>human</v>
      </c>
      <c r="E212" t="str">
        <f>VLOOKUP(A212,Classification!A:B,2,FALSE)</f>
        <v>A</v>
      </c>
    </row>
    <row r="213" spans="1:5" x14ac:dyDescent="0.2">
      <c r="A213" t="s">
        <v>322</v>
      </c>
      <c r="B213" t="s">
        <v>558</v>
      </c>
      <c r="C213" t="str">
        <f>IF(ISERROR(MATCH(A213,'SegEnds_Xtal_Prot#'!B:B, 0)), "NoXtal", "Xtal")</f>
        <v>NoXtal</v>
      </c>
      <c r="D213" t="str">
        <f t="shared" si="3"/>
        <v>human</v>
      </c>
      <c r="E213" t="str">
        <f>VLOOKUP(A213,Classification!A:B,2,FALSE)</f>
        <v>A</v>
      </c>
    </row>
    <row r="214" spans="1:5" x14ac:dyDescent="0.2">
      <c r="A214" t="s">
        <v>323</v>
      </c>
      <c r="B214" t="s">
        <v>559</v>
      </c>
      <c r="C214" t="str">
        <f>IF(ISERROR(MATCH(A214,'SegEnds_Xtal_Prot#'!B:B, 0)), "NoXtal", "Xtal")</f>
        <v>NoXtal</v>
      </c>
      <c r="D214" t="str">
        <f t="shared" si="3"/>
        <v>human</v>
      </c>
      <c r="E214" t="str">
        <f>VLOOKUP(A214,Classification!A:B,2,FALSE)</f>
        <v>A</v>
      </c>
    </row>
    <row r="215" spans="1:5" x14ac:dyDescent="0.2">
      <c r="A215" t="s">
        <v>324</v>
      </c>
      <c r="B215" t="s">
        <v>560</v>
      </c>
      <c r="C215" t="str">
        <f>IF(ISERROR(MATCH(A215,'SegEnds_Xtal_Prot#'!B:B, 0)), "NoXtal", "Xtal")</f>
        <v>NoXtal</v>
      </c>
      <c r="D215" t="str">
        <f t="shared" si="3"/>
        <v>human</v>
      </c>
      <c r="E215" t="str">
        <f>VLOOKUP(A215,Classification!A:B,2,FALSE)</f>
        <v>A</v>
      </c>
    </row>
    <row r="216" spans="1:5" x14ac:dyDescent="0.2">
      <c r="A216" t="s">
        <v>320</v>
      </c>
      <c r="B216" t="s">
        <v>561</v>
      </c>
      <c r="C216" t="str">
        <f>IF(ISERROR(MATCH(A216,'SegEnds_Xtal_Prot#'!B:B, 0)), "NoXtal", "Xtal")</f>
        <v>NoXtal</v>
      </c>
      <c r="D216" t="str">
        <f t="shared" si="3"/>
        <v>human</v>
      </c>
      <c r="E216" t="str">
        <f>VLOOKUP(A216,Classification!A:B,2,FALSE)</f>
        <v>A</v>
      </c>
    </row>
    <row r="217" spans="1:5" x14ac:dyDescent="0.2">
      <c r="A217" t="s">
        <v>321</v>
      </c>
      <c r="B217" t="s">
        <v>562</v>
      </c>
      <c r="C217" t="str">
        <f>IF(ISERROR(MATCH(A217,'SegEnds_Xtal_Prot#'!B:B, 0)), "NoXtal", "Xtal")</f>
        <v>NoXtal</v>
      </c>
      <c r="D217" t="str">
        <f t="shared" si="3"/>
        <v>human</v>
      </c>
      <c r="E217" t="str">
        <f>VLOOKUP(A217,Classification!A:B,2,FALSE)</f>
        <v>A</v>
      </c>
    </row>
    <row r="218" spans="1:5" x14ac:dyDescent="0.2">
      <c r="A218" t="s">
        <v>325</v>
      </c>
      <c r="B218" t="s">
        <v>564</v>
      </c>
      <c r="C218" t="str">
        <f>IF(ISERROR(MATCH(A218,'SegEnds_Xtal_Prot#'!B:B, 0)), "NoXtal", "Xtal")</f>
        <v>Xtal</v>
      </c>
      <c r="D218" t="str">
        <f t="shared" si="3"/>
        <v>human</v>
      </c>
      <c r="E218" t="str">
        <f>VLOOKUP(A218,Classification!A:B,2,FALSE)</f>
        <v>A</v>
      </c>
    </row>
    <row r="219" spans="1:5" x14ac:dyDescent="0.2">
      <c r="A219" t="s">
        <v>326</v>
      </c>
      <c r="B219" t="s">
        <v>565</v>
      </c>
      <c r="C219" t="str">
        <f>IF(ISERROR(MATCH(A219,'SegEnds_Xtal_Prot#'!B:B, 0)), "NoXtal", "Xtal")</f>
        <v>NoXtal</v>
      </c>
      <c r="D219" t="str">
        <f t="shared" si="3"/>
        <v>human</v>
      </c>
      <c r="E219" t="str">
        <f>VLOOKUP(A219,Classification!A:B,2,FALSE)</f>
        <v>A</v>
      </c>
    </row>
    <row r="220" spans="1:5" x14ac:dyDescent="0.2">
      <c r="A220" t="s">
        <v>327</v>
      </c>
      <c r="B220" t="s">
        <v>566</v>
      </c>
      <c r="C220" t="str">
        <f>IF(ISERROR(MATCH(A220,'SegEnds_Xtal_Prot#'!B:B, 0)), "NoXtal", "Xtal")</f>
        <v>NoXtal</v>
      </c>
      <c r="D220" t="str">
        <f t="shared" si="3"/>
        <v>human</v>
      </c>
      <c r="E220" t="str">
        <f>VLOOKUP(A220,Classification!A:B,2,FALSE)</f>
        <v>A</v>
      </c>
    </row>
    <row r="221" spans="1:5" x14ac:dyDescent="0.2">
      <c r="A221" t="s">
        <v>328</v>
      </c>
      <c r="B221" t="s">
        <v>567</v>
      </c>
      <c r="C221" t="str">
        <f>IF(ISERROR(MATCH(A221,'SegEnds_Xtal_Prot#'!B:B, 0)), "NoXtal", "Xtal")</f>
        <v>NoXtal</v>
      </c>
      <c r="D221" t="str">
        <f t="shared" si="3"/>
        <v>human</v>
      </c>
      <c r="E221" t="str">
        <f>VLOOKUP(A221,Classification!A:B,2,FALSE)</f>
        <v>A</v>
      </c>
    </row>
    <row r="222" spans="1:5" x14ac:dyDescent="0.2">
      <c r="A222" t="s">
        <v>329</v>
      </c>
      <c r="B222" t="s">
        <v>568</v>
      </c>
      <c r="C222" t="str">
        <f>IF(ISERROR(MATCH(A222,'SegEnds_Xtal_Prot#'!B:B, 0)), "NoXtal", "Xtal")</f>
        <v>NoXtal</v>
      </c>
      <c r="D222" t="str">
        <f t="shared" si="3"/>
        <v>human</v>
      </c>
      <c r="E222" t="str">
        <f>VLOOKUP(A222,Classification!A:B,2,FALSE)</f>
        <v>A</v>
      </c>
    </row>
    <row r="223" spans="1:5" x14ac:dyDescent="0.2">
      <c r="A223" t="s">
        <v>127</v>
      </c>
      <c r="B223" t="s">
        <v>569</v>
      </c>
      <c r="C223" t="str">
        <f>IF(ISERROR(MATCH(A223,'SegEnds_Xtal_Prot#'!B:B, 0)), "NoXtal", "Xtal")</f>
        <v>NoXtal</v>
      </c>
      <c r="D223" t="str">
        <f t="shared" si="3"/>
        <v>human</v>
      </c>
      <c r="E223" t="str">
        <f>VLOOKUP(A223,Classification!A:B,2,FALSE)</f>
        <v>A</v>
      </c>
    </row>
    <row r="224" spans="1:5" x14ac:dyDescent="0.2">
      <c r="A224" t="s">
        <v>330</v>
      </c>
      <c r="B224" t="s">
        <v>570</v>
      </c>
      <c r="C224" t="str">
        <f>IF(ISERROR(MATCH(A224,'SegEnds_Xtal_Prot#'!B:B, 0)), "NoXtal", "Xtal")</f>
        <v>NoXtal</v>
      </c>
      <c r="D224" t="str">
        <f t="shared" si="3"/>
        <v>human</v>
      </c>
      <c r="E224" t="str">
        <f>VLOOKUP(A224,Classification!A:B,2,FALSE)</f>
        <v>A</v>
      </c>
    </row>
    <row r="225" spans="1:5" x14ac:dyDescent="0.2">
      <c r="A225" t="s">
        <v>337</v>
      </c>
      <c r="B225" t="s">
        <v>573</v>
      </c>
      <c r="C225" t="str">
        <f>IF(ISERROR(MATCH(A225,'SegEnds_Xtal_Prot#'!B:B, 0)), "NoXtal", "Xtal")</f>
        <v>NoXtal</v>
      </c>
      <c r="D225" t="str">
        <f t="shared" si="3"/>
        <v>human</v>
      </c>
      <c r="E225" t="str">
        <f>VLOOKUP(A225,Classification!A:B,2,FALSE)</f>
        <v>A</v>
      </c>
    </row>
    <row r="226" spans="1:5" x14ac:dyDescent="0.2">
      <c r="A226" t="s">
        <v>372</v>
      </c>
      <c r="B226" t="s">
        <v>577</v>
      </c>
      <c r="C226" t="str">
        <f>IF(ISERROR(MATCH(A226,'SegEnds_Xtal_Prot#'!B:B, 0)), "NoXtal", "Xtal")</f>
        <v>NoXtal</v>
      </c>
      <c r="D226" t="str">
        <f t="shared" si="3"/>
        <v>human</v>
      </c>
      <c r="E226" t="str">
        <f>VLOOKUP(A226,Classification!A:B,2,FALSE)</f>
        <v>A</v>
      </c>
    </row>
    <row r="227" spans="1:5" x14ac:dyDescent="0.2">
      <c r="A227" t="s">
        <v>369</v>
      </c>
      <c r="B227" t="s">
        <v>578</v>
      </c>
      <c r="C227" t="str">
        <f>IF(ISERROR(MATCH(A227,'SegEnds_Xtal_Prot#'!B:B, 0)), "NoXtal", "Xtal")</f>
        <v>NoXtal</v>
      </c>
      <c r="D227" t="str">
        <f t="shared" si="3"/>
        <v>human</v>
      </c>
      <c r="E227" t="str">
        <f>VLOOKUP(A227,Classification!A:B,2,FALSE)</f>
        <v>A</v>
      </c>
    </row>
    <row r="228" spans="1:5" x14ac:dyDescent="0.2">
      <c r="A228" t="s">
        <v>356</v>
      </c>
      <c r="B228" t="s">
        <v>580</v>
      </c>
      <c r="C228" t="str">
        <f>IF(ISERROR(MATCH(A228,'SegEnds_Xtal_Prot#'!B:B, 0)), "NoXtal", "Xtal")</f>
        <v>Xtal</v>
      </c>
      <c r="D228" t="str">
        <f t="shared" si="3"/>
        <v>human</v>
      </c>
      <c r="E228" t="str">
        <f>VLOOKUP(A228,Classification!A:B,2,FALSE)</f>
        <v>A</v>
      </c>
    </row>
    <row r="229" spans="1:5" x14ac:dyDescent="0.2">
      <c r="A229" t="s">
        <v>357</v>
      </c>
      <c r="B229" t="s">
        <v>581</v>
      </c>
      <c r="C229" t="str">
        <f>IF(ISERROR(MATCH(A229,'SegEnds_Xtal_Prot#'!B:B, 0)), "NoXtal", "Xtal")</f>
        <v>NoXtal</v>
      </c>
      <c r="D229" t="str">
        <f t="shared" si="3"/>
        <v>human</v>
      </c>
      <c r="E229" t="str">
        <f>VLOOKUP(A229,Classification!A:B,2,FALSE)</f>
        <v>A</v>
      </c>
    </row>
    <row r="230" spans="1:5" x14ac:dyDescent="0.2">
      <c r="A230" t="s">
        <v>358</v>
      </c>
      <c r="B230" t="s">
        <v>582</v>
      </c>
      <c r="C230" t="str">
        <f>IF(ISERROR(MATCH(A230,'SegEnds_Xtal_Prot#'!B:B, 0)), "NoXtal", "Xtal")</f>
        <v>NoXtal</v>
      </c>
      <c r="D230" t="str">
        <f t="shared" si="3"/>
        <v>human</v>
      </c>
      <c r="E230" t="str">
        <f>VLOOKUP(A230,Classification!A:B,2,FALSE)</f>
        <v>A</v>
      </c>
    </row>
    <row r="231" spans="1:5" x14ac:dyDescent="0.2">
      <c r="A231" t="s">
        <v>375</v>
      </c>
      <c r="B231" t="s">
        <v>583</v>
      </c>
      <c r="C231" t="str">
        <f>IF(ISERROR(MATCH(A231,'SegEnds_Xtal_Prot#'!B:B, 0)), "NoXtal", "Xtal")</f>
        <v>NoXtal</v>
      </c>
      <c r="D231" t="str">
        <f t="shared" si="3"/>
        <v>human</v>
      </c>
      <c r="E231" t="str">
        <f>VLOOKUP(A231,Classification!A:B,2,FALSE)</f>
        <v>A</v>
      </c>
    </row>
    <row r="232" spans="1:5" x14ac:dyDescent="0.2">
      <c r="A232" t="s">
        <v>376</v>
      </c>
      <c r="B232" t="s">
        <v>584</v>
      </c>
      <c r="C232" t="str">
        <f>IF(ISERROR(MATCH(A232,'SegEnds_Xtal_Prot#'!B:B, 0)), "NoXtal", "Xtal")</f>
        <v>NoXtal</v>
      </c>
      <c r="D232" t="str">
        <f t="shared" si="3"/>
        <v>human</v>
      </c>
      <c r="E232" t="str">
        <f>VLOOKUP(A232,Classification!A:B,2,FALSE)</f>
        <v>A</v>
      </c>
    </row>
    <row r="233" spans="1:5" x14ac:dyDescent="0.2">
      <c r="A233" t="s">
        <v>373</v>
      </c>
      <c r="B233" t="s">
        <v>585</v>
      </c>
      <c r="C233" t="str">
        <f>IF(ISERROR(MATCH(A233,'SegEnds_Xtal_Prot#'!B:B, 0)), "NoXtal", "Xtal")</f>
        <v>NoXtal</v>
      </c>
      <c r="D233" t="str">
        <f t="shared" si="3"/>
        <v>human</v>
      </c>
      <c r="E233" t="str">
        <f>VLOOKUP(A233,Classification!A:B,2,FALSE)</f>
        <v>A</v>
      </c>
    </row>
    <row r="234" spans="1:5" x14ac:dyDescent="0.2">
      <c r="A234" t="s">
        <v>374</v>
      </c>
      <c r="B234" t="s">
        <v>586</v>
      </c>
      <c r="C234" t="str">
        <f>IF(ISERROR(MATCH(A234,'SegEnds_Xtal_Prot#'!B:B, 0)), "NoXtal", "Xtal")</f>
        <v>NoXtal</v>
      </c>
      <c r="D234" t="str">
        <f t="shared" si="3"/>
        <v>human</v>
      </c>
      <c r="E234" t="str">
        <f>VLOOKUP(A234,Classification!A:B,2,FALSE)</f>
        <v>A</v>
      </c>
    </row>
    <row r="235" spans="1:5" x14ac:dyDescent="0.2">
      <c r="A235" t="s">
        <v>381</v>
      </c>
      <c r="B235" t="s">
        <v>587</v>
      </c>
      <c r="C235" t="str">
        <f>IF(ISERROR(MATCH(A235,'SegEnds_Xtal_Prot#'!B:B, 0)), "NoXtal", "Xtal")</f>
        <v>NoXtal</v>
      </c>
      <c r="D235" t="str">
        <f t="shared" si="3"/>
        <v>human</v>
      </c>
      <c r="E235" t="str">
        <f>VLOOKUP(A235,Classification!A:B,2,FALSE)</f>
        <v>A</v>
      </c>
    </row>
    <row r="236" spans="1:5" x14ac:dyDescent="0.2">
      <c r="A236" t="s">
        <v>382</v>
      </c>
      <c r="B236" t="s">
        <v>588</v>
      </c>
      <c r="C236" t="str">
        <f>IF(ISERROR(MATCH(A236,'SegEnds_Xtal_Prot#'!B:B, 0)), "NoXtal", "Xtal")</f>
        <v>NoXtal</v>
      </c>
      <c r="D236" t="str">
        <f t="shared" si="3"/>
        <v>human</v>
      </c>
      <c r="E236" t="str">
        <f>VLOOKUP(A236,Classification!A:B,2,FALSE)</f>
        <v>A</v>
      </c>
    </row>
    <row r="237" spans="1:5" x14ac:dyDescent="0.2">
      <c r="A237" t="s">
        <v>383</v>
      </c>
      <c r="B237" t="s">
        <v>589</v>
      </c>
      <c r="C237" t="str">
        <f>IF(ISERROR(MATCH(A237,'SegEnds_Xtal_Prot#'!B:B, 0)), "NoXtal", "Xtal")</f>
        <v>NoXtal</v>
      </c>
      <c r="D237" t="str">
        <f t="shared" si="3"/>
        <v>human</v>
      </c>
      <c r="E237" t="str">
        <f>VLOOKUP(A237,Classification!A:B,2,FALSE)</f>
        <v>A</v>
      </c>
    </row>
    <row r="238" spans="1:5" x14ac:dyDescent="0.2">
      <c r="A238" t="s">
        <v>384</v>
      </c>
      <c r="B238" t="s">
        <v>590</v>
      </c>
      <c r="C238" t="str">
        <f>IF(ISERROR(MATCH(A238,'SegEnds_Xtal_Prot#'!B:B, 0)), "NoXtal", "Xtal")</f>
        <v>NoXtal</v>
      </c>
      <c r="D238" t="str">
        <f t="shared" si="3"/>
        <v>human</v>
      </c>
      <c r="E238" t="str">
        <f>VLOOKUP(A238,Classification!A:B,2,FALSE)</f>
        <v>A</v>
      </c>
    </row>
    <row r="239" spans="1:5" x14ac:dyDescent="0.2">
      <c r="A239" t="s">
        <v>385</v>
      </c>
      <c r="B239" t="s">
        <v>591</v>
      </c>
      <c r="C239" t="str">
        <f>IF(ISERROR(MATCH(A239,'SegEnds_Xtal_Prot#'!B:B, 0)), "NoXtal", "Xtal")</f>
        <v>NoXtal</v>
      </c>
      <c r="D239" t="str">
        <f t="shared" si="3"/>
        <v>human</v>
      </c>
      <c r="E239" t="str">
        <f>VLOOKUP(A239,Classification!A:B,2,FALSE)</f>
        <v>A</v>
      </c>
    </row>
    <row r="240" spans="1:5" x14ac:dyDescent="0.2">
      <c r="A240" t="s">
        <v>314</v>
      </c>
      <c r="B240" t="s">
        <v>592</v>
      </c>
      <c r="C240" t="str">
        <f>IF(ISERROR(MATCH(A240,'SegEnds_Xtal_Prot#'!B:B, 0)), "NoXtal", "Xtal")</f>
        <v>Xtal</v>
      </c>
      <c r="D240" t="str">
        <f t="shared" si="3"/>
        <v>human</v>
      </c>
      <c r="E240" t="str">
        <f>VLOOKUP(A240,Classification!A:B,2,FALSE)</f>
        <v>A</v>
      </c>
    </row>
    <row r="241" spans="1:5" x14ac:dyDescent="0.2">
      <c r="A241" t="s">
        <v>315</v>
      </c>
      <c r="B241" t="s">
        <v>593</v>
      </c>
      <c r="C241" t="str">
        <f>IF(ISERROR(MATCH(A241,'SegEnds_Xtal_Prot#'!B:B, 0)), "NoXtal", "Xtal")</f>
        <v>NoXtal</v>
      </c>
      <c r="D241" t="str">
        <f t="shared" si="3"/>
        <v>human</v>
      </c>
      <c r="E241" t="str">
        <f>VLOOKUP(A241,Classification!A:B,2,FALSE)</f>
        <v>A</v>
      </c>
    </row>
    <row r="242" spans="1:5" x14ac:dyDescent="0.2">
      <c r="A242" t="s">
        <v>316</v>
      </c>
      <c r="B242" t="s">
        <v>595</v>
      </c>
      <c r="C242" t="str">
        <f>IF(ISERROR(MATCH(A242,'SegEnds_Xtal_Prot#'!B:B, 0)), "NoXtal", "Xtal")</f>
        <v>NoXtal</v>
      </c>
      <c r="D242" t="str">
        <f t="shared" si="3"/>
        <v>human</v>
      </c>
      <c r="E242" t="str">
        <f>VLOOKUP(A242,Classification!A:B,2,FALSE)</f>
        <v>A</v>
      </c>
    </row>
    <row r="243" spans="1:5" x14ac:dyDescent="0.2">
      <c r="A243" t="s">
        <v>394</v>
      </c>
      <c r="B243" t="s">
        <v>596</v>
      </c>
      <c r="C243" t="str">
        <f>IF(ISERROR(MATCH(A243,'SegEnds_Xtal_Prot#'!B:B, 0)), "NoXtal", "Xtal")</f>
        <v>NoXtal</v>
      </c>
      <c r="D243" t="str">
        <f t="shared" si="3"/>
        <v>human</v>
      </c>
      <c r="E243" t="str">
        <f>VLOOKUP(A243,Classification!A:B,2,FALSE)</f>
        <v>A</v>
      </c>
    </row>
    <row r="244" spans="1:5" x14ac:dyDescent="0.2">
      <c r="A244" t="s">
        <v>396</v>
      </c>
      <c r="B244" t="s">
        <v>597</v>
      </c>
      <c r="C244" t="str">
        <f>IF(ISERROR(MATCH(A244,'SegEnds_Xtal_Prot#'!B:B, 0)), "NoXtal", "Xtal")</f>
        <v>NoXtal</v>
      </c>
      <c r="D244" t="str">
        <f t="shared" si="3"/>
        <v>human</v>
      </c>
      <c r="E244" t="str">
        <f>VLOOKUP(A244,Classification!A:B,2,FALSE)</f>
        <v>A</v>
      </c>
    </row>
    <row r="245" spans="1:5" x14ac:dyDescent="0.2">
      <c r="A245" t="s">
        <v>397</v>
      </c>
      <c r="B245" t="s">
        <v>598</v>
      </c>
      <c r="C245" t="str">
        <f>IF(ISERROR(MATCH(A245,'SegEnds_Xtal_Prot#'!B:B, 0)), "NoXtal", "Xtal")</f>
        <v>NoXtal</v>
      </c>
      <c r="D245" t="str">
        <f t="shared" si="3"/>
        <v>human</v>
      </c>
      <c r="E245" t="str">
        <f>VLOOKUP(A245,Classification!A:B,2,FALSE)</f>
        <v>A</v>
      </c>
    </row>
    <row r="246" spans="1:5" x14ac:dyDescent="0.2">
      <c r="A246" t="s">
        <v>398</v>
      </c>
      <c r="B246" t="s">
        <v>599</v>
      </c>
      <c r="C246" t="str">
        <f>IF(ISERROR(MATCH(A246,'SegEnds_Xtal_Prot#'!B:B, 0)), "NoXtal", "Xtal")</f>
        <v>NoXtal</v>
      </c>
      <c r="D246" t="str">
        <f t="shared" si="3"/>
        <v>human</v>
      </c>
      <c r="E246" t="str">
        <f>VLOOKUP(A246,Classification!A:B,2,FALSE)</f>
        <v>A</v>
      </c>
    </row>
    <row r="247" spans="1:5" x14ac:dyDescent="0.2">
      <c r="A247" t="s">
        <v>399</v>
      </c>
      <c r="B247" t="s">
        <v>600</v>
      </c>
      <c r="C247" t="str">
        <f>IF(ISERROR(MATCH(A247,'SegEnds_Xtal_Prot#'!B:B, 0)), "NoXtal", "Xtal")</f>
        <v>NoXtal</v>
      </c>
      <c r="D247" t="str">
        <f t="shared" si="3"/>
        <v>human</v>
      </c>
      <c r="E247" t="str">
        <f>VLOOKUP(A247,Classification!A:B,2,FALSE)</f>
        <v>A</v>
      </c>
    </row>
    <row r="248" spans="1:5" x14ac:dyDescent="0.2">
      <c r="A248" t="s">
        <v>344</v>
      </c>
      <c r="B248" t="s">
        <v>601</v>
      </c>
      <c r="C248" t="str">
        <f>IF(ISERROR(MATCH(A248,'SegEnds_Xtal_Prot#'!B:B, 0)), "NoXtal", "Xtal")</f>
        <v>NoXtal</v>
      </c>
      <c r="D248" t="str">
        <f t="shared" si="3"/>
        <v>human</v>
      </c>
      <c r="E248" t="str">
        <f>VLOOKUP(A248,Classification!A:B,2,FALSE)</f>
        <v>A</v>
      </c>
    </row>
    <row r="249" spans="1:5" x14ac:dyDescent="0.2">
      <c r="A249" t="s">
        <v>181</v>
      </c>
      <c r="B249" t="s">
        <v>602</v>
      </c>
      <c r="C249" t="str">
        <f>IF(ISERROR(MATCH(A249,'SegEnds_Xtal_Prot#'!B:B, 0)), "NoXtal", "Xtal")</f>
        <v>NoXtal</v>
      </c>
      <c r="D249" t="str">
        <f t="shared" si="3"/>
        <v>human</v>
      </c>
      <c r="E249" t="str">
        <f>VLOOKUP(A249,Classification!A:B,2,FALSE)</f>
        <v>A</v>
      </c>
    </row>
    <row r="250" spans="1:5" x14ac:dyDescent="0.2">
      <c r="A250" t="s">
        <v>168</v>
      </c>
      <c r="B250" t="s">
        <v>603</v>
      </c>
      <c r="C250" t="str">
        <f>IF(ISERROR(MATCH(A250,'SegEnds_Xtal_Prot#'!B:B, 0)), "NoXtal", "Xtal")</f>
        <v>NoXtal</v>
      </c>
      <c r="D250" t="str">
        <f t="shared" si="3"/>
        <v>human</v>
      </c>
      <c r="E250" t="str">
        <f>VLOOKUP(A250,Classification!A:B,2,FALSE)</f>
        <v>A</v>
      </c>
    </row>
    <row r="251" spans="1:5" x14ac:dyDescent="0.2">
      <c r="A251" t="s">
        <v>170</v>
      </c>
      <c r="B251" t="s">
        <v>604</v>
      </c>
      <c r="C251" t="str">
        <f>IF(ISERROR(MATCH(A251,'SegEnds_Xtal_Prot#'!B:B, 0)), "NoXtal", "Xtal")</f>
        <v>Xtal</v>
      </c>
      <c r="D251" t="str">
        <f t="shared" si="3"/>
        <v>human</v>
      </c>
      <c r="E251" t="str">
        <f>VLOOKUP(A251,Classification!A:B,2,FALSE)</f>
        <v>A</v>
      </c>
    </row>
    <row r="252" spans="1:5" x14ac:dyDescent="0.2">
      <c r="A252" t="s">
        <v>171</v>
      </c>
      <c r="B252" t="s">
        <v>605</v>
      </c>
      <c r="C252" t="str">
        <f>IF(ISERROR(MATCH(A252,'SegEnds_Xtal_Prot#'!B:B, 0)), "NoXtal", "Xtal")</f>
        <v>NoXtal</v>
      </c>
      <c r="D252" t="str">
        <f t="shared" si="3"/>
        <v>human</v>
      </c>
      <c r="E252" t="str">
        <f>VLOOKUP(A252,Classification!A:B,2,FALSE)</f>
        <v>A</v>
      </c>
    </row>
    <row r="253" spans="1:5" x14ac:dyDescent="0.2">
      <c r="A253" t="s">
        <v>172</v>
      </c>
      <c r="B253" t="s">
        <v>606</v>
      </c>
      <c r="C253" t="str">
        <f>IF(ISERROR(MATCH(A253,'SegEnds_Xtal_Prot#'!B:B, 0)), "NoXtal", "Xtal")</f>
        <v>NoXtal</v>
      </c>
      <c r="D253" t="str">
        <f t="shared" si="3"/>
        <v>human</v>
      </c>
      <c r="E253" t="str">
        <f>VLOOKUP(A253,Classification!A:B,2,FALSE)</f>
        <v>A</v>
      </c>
    </row>
    <row r="254" spans="1:5" x14ac:dyDescent="0.2">
      <c r="A254" t="s">
        <v>174</v>
      </c>
      <c r="B254" t="s">
        <v>608</v>
      </c>
      <c r="C254" t="str">
        <f>IF(ISERROR(MATCH(A254,'SegEnds_Xtal_Prot#'!B:B, 0)), "NoXtal", "Xtal")</f>
        <v>NoXtal</v>
      </c>
      <c r="D254" t="str">
        <f t="shared" si="3"/>
        <v>human</v>
      </c>
      <c r="E254" t="str">
        <f>VLOOKUP(A254,Classification!A:B,2,FALSE)</f>
        <v>A</v>
      </c>
    </row>
    <row r="255" spans="1:5" x14ac:dyDescent="0.2">
      <c r="A255" t="s">
        <v>175</v>
      </c>
      <c r="B255" t="s">
        <v>609</v>
      </c>
      <c r="C255" t="str">
        <f>IF(ISERROR(MATCH(A255,'SegEnds_Xtal_Prot#'!B:B, 0)), "NoXtal", "Xtal")</f>
        <v>NoXtal</v>
      </c>
      <c r="D255" t="str">
        <f t="shared" si="3"/>
        <v>human</v>
      </c>
      <c r="E255" t="str">
        <f>VLOOKUP(A255,Classification!A:B,2,FALSE)</f>
        <v>A</v>
      </c>
    </row>
    <row r="256" spans="1:5" x14ac:dyDescent="0.2">
      <c r="A256" t="s">
        <v>176</v>
      </c>
      <c r="B256" t="s">
        <v>610</v>
      </c>
      <c r="C256" t="str">
        <f>IF(ISERROR(MATCH(A256,'SegEnds_Xtal_Prot#'!B:B, 0)), "NoXtal", "Xtal")</f>
        <v>NoXtal</v>
      </c>
      <c r="D256" t="str">
        <f t="shared" si="3"/>
        <v>human</v>
      </c>
      <c r="E256" t="str">
        <f>VLOOKUP(A256,Classification!A:B,2,FALSE)</f>
        <v>A</v>
      </c>
    </row>
    <row r="257" spans="1:5" x14ac:dyDescent="0.2">
      <c r="A257" t="s">
        <v>177</v>
      </c>
      <c r="B257" t="s">
        <v>612</v>
      </c>
      <c r="C257" t="str">
        <f>IF(ISERROR(MATCH(A257,'SegEnds_Xtal_Prot#'!B:B, 0)), "NoXtal", "Xtal")</f>
        <v>Xtal</v>
      </c>
      <c r="D257" t="str">
        <f t="shared" si="3"/>
        <v>human</v>
      </c>
      <c r="E257" t="str">
        <f>VLOOKUP(A257,Classification!A:B,2,FALSE)</f>
        <v>A</v>
      </c>
    </row>
    <row r="258" spans="1:5" x14ac:dyDescent="0.2">
      <c r="A258" t="s">
        <v>169</v>
      </c>
      <c r="B258" t="s">
        <v>613</v>
      </c>
      <c r="C258" t="str">
        <f>IF(ISERROR(MATCH(A258,'SegEnds_Xtal_Prot#'!B:B, 0)), "NoXtal", "Xtal")</f>
        <v>NoXtal</v>
      </c>
      <c r="D258" t="str">
        <f t="shared" si="3"/>
        <v>human</v>
      </c>
      <c r="E258" t="str">
        <f>VLOOKUP(A258,Classification!A:B,2,FALSE)</f>
        <v>A</v>
      </c>
    </row>
    <row r="259" spans="1:5" x14ac:dyDescent="0.2">
      <c r="A259" t="s">
        <v>185</v>
      </c>
      <c r="B259" t="s">
        <v>614</v>
      </c>
      <c r="C259" t="str">
        <f>IF(ISERROR(MATCH(A259,'SegEnds_Xtal_Prot#'!B:B, 0)), "NoXtal", "Xtal")</f>
        <v>NoXtal</v>
      </c>
      <c r="D259" t="str">
        <f t="shared" si="3"/>
        <v>human</v>
      </c>
      <c r="E259" t="str">
        <f>VLOOKUP(A259,Classification!A:B,2,FALSE)</f>
        <v>A</v>
      </c>
    </row>
    <row r="260" spans="1:5" x14ac:dyDescent="0.2">
      <c r="A260" t="s">
        <v>186</v>
      </c>
      <c r="B260" t="s">
        <v>615</v>
      </c>
      <c r="C260" t="str">
        <f>IF(ISERROR(MATCH(A260,'SegEnds_Xtal_Prot#'!B:B, 0)), "NoXtal", "Xtal")</f>
        <v>NoXtal</v>
      </c>
      <c r="D260" t="str">
        <f t="shared" si="3"/>
        <v>human</v>
      </c>
      <c r="E260" t="str">
        <f>VLOOKUP(A260,Classification!A:B,2,FALSE)</f>
        <v>A</v>
      </c>
    </row>
    <row r="261" spans="1:5" x14ac:dyDescent="0.2">
      <c r="A261" t="s">
        <v>187</v>
      </c>
      <c r="B261" t="s">
        <v>616</v>
      </c>
      <c r="C261" t="str">
        <f>IF(ISERROR(MATCH(A261,'SegEnds_Xtal_Prot#'!B:B, 0)), "NoXtal", "Xtal")</f>
        <v>NoXtal</v>
      </c>
      <c r="D261" t="str">
        <f t="shared" si="3"/>
        <v>human</v>
      </c>
      <c r="E261" t="str">
        <f>VLOOKUP(A261,Classification!A:B,2,FALSE)</f>
        <v>A</v>
      </c>
    </row>
    <row r="262" spans="1:5" x14ac:dyDescent="0.2">
      <c r="A262" t="s">
        <v>188</v>
      </c>
      <c r="B262" t="s">
        <v>618</v>
      </c>
      <c r="C262" t="str">
        <f>IF(ISERROR(MATCH(A262,'SegEnds_Xtal_Prot#'!B:B, 0)), "NoXtal", "Xtal")</f>
        <v>NoXtal</v>
      </c>
      <c r="D262" t="str">
        <f t="shared" si="3"/>
        <v>human</v>
      </c>
      <c r="E262" t="str">
        <f>VLOOKUP(A262,Classification!A:B,2,FALSE)</f>
        <v>A</v>
      </c>
    </row>
    <row r="263" spans="1:5" x14ac:dyDescent="0.2">
      <c r="A263" t="s">
        <v>189</v>
      </c>
      <c r="B263" t="s">
        <v>619</v>
      </c>
      <c r="C263" t="str">
        <f>IF(ISERROR(MATCH(A263,'SegEnds_Xtal_Prot#'!B:B, 0)), "NoXtal", "Xtal")</f>
        <v>NoXtal</v>
      </c>
      <c r="D263" t="str">
        <f t="shared" ref="D263:D326" si="4">MID(A263,FIND("_",A263)+1,LEN(A263)-FIND("_",A263))</f>
        <v>human</v>
      </c>
      <c r="E263" t="str">
        <f>VLOOKUP(A263,Classification!A:B,2,FALSE)</f>
        <v>A</v>
      </c>
    </row>
    <row r="264" spans="1:5" x14ac:dyDescent="0.2">
      <c r="A264" t="s">
        <v>184</v>
      </c>
      <c r="B264" t="s">
        <v>620</v>
      </c>
      <c r="C264" t="str">
        <f>IF(ISERROR(MATCH(A264,'SegEnds_Xtal_Prot#'!B:B, 0)), "NoXtal", "Xtal")</f>
        <v>NoXtal</v>
      </c>
      <c r="D264" t="str">
        <f t="shared" si="4"/>
        <v>human</v>
      </c>
      <c r="E264" t="str">
        <f>VLOOKUP(A264,Classification!A:B,2,FALSE)</f>
        <v>A</v>
      </c>
    </row>
    <row r="265" spans="1:5" x14ac:dyDescent="0.2">
      <c r="A265" t="s">
        <v>400</v>
      </c>
      <c r="B265" t="s">
        <v>621</v>
      </c>
      <c r="C265" t="str">
        <f>IF(ISERROR(MATCH(A265,'SegEnds_Xtal_Prot#'!B:B, 0)), "NoXtal", "Xtal")</f>
        <v>NoXtal</v>
      </c>
      <c r="D265" t="str">
        <f t="shared" si="4"/>
        <v>human</v>
      </c>
      <c r="E265" t="str">
        <f>VLOOKUP(A265,Classification!A:B,2,FALSE)</f>
        <v>A</v>
      </c>
    </row>
    <row r="266" spans="1:5" x14ac:dyDescent="0.2">
      <c r="A266" t="s">
        <v>142</v>
      </c>
      <c r="B266" t="s">
        <v>622</v>
      </c>
      <c r="C266" t="str">
        <f>IF(ISERROR(MATCH(A266,'SegEnds_Xtal_Prot#'!B:B, 0)), "NoXtal", "Xtal")</f>
        <v>NoXtal</v>
      </c>
      <c r="D266" t="str">
        <f t="shared" si="4"/>
        <v>human</v>
      </c>
      <c r="E266" t="str">
        <f>VLOOKUP(A266,Classification!A:B,2,FALSE)</f>
        <v>A</v>
      </c>
    </row>
    <row r="267" spans="1:5" x14ac:dyDescent="0.2">
      <c r="A267" t="s">
        <v>143</v>
      </c>
      <c r="B267" t="s">
        <v>623</v>
      </c>
      <c r="C267" t="str">
        <f>IF(ISERROR(MATCH(A267,'SegEnds_Xtal_Prot#'!B:B, 0)), "NoXtal", "Xtal")</f>
        <v>NoXtal</v>
      </c>
      <c r="D267" t="str">
        <f t="shared" si="4"/>
        <v>human</v>
      </c>
      <c r="E267" t="str">
        <f>VLOOKUP(A267,Classification!A:B,2,FALSE)</f>
        <v>A</v>
      </c>
    </row>
    <row r="268" spans="1:5" x14ac:dyDescent="0.2">
      <c r="A268" t="s">
        <v>144</v>
      </c>
      <c r="B268" t="s">
        <v>624</v>
      </c>
      <c r="C268" t="str">
        <f>IF(ISERROR(MATCH(A268,'SegEnds_Xtal_Prot#'!B:B, 0)), "NoXtal", "Xtal")</f>
        <v>NoXtal</v>
      </c>
      <c r="D268" t="str">
        <f t="shared" si="4"/>
        <v>human</v>
      </c>
      <c r="E268" t="str">
        <f>VLOOKUP(A268,Classification!A:B,2,FALSE)</f>
        <v>A</v>
      </c>
    </row>
    <row r="269" spans="1:5" x14ac:dyDescent="0.2">
      <c r="A269" t="s">
        <v>145</v>
      </c>
      <c r="B269" t="s">
        <v>625</v>
      </c>
      <c r="C269" t="str">
        <f>IF(ISERROR(MATCH(A269,'SegEnds_Xtal_Prot#'!B:B, 0)), "NoXtal", "Xtal")</f>
        <v>NoXtal</v>
      </c>
      <c r="D269" t="str">
        <f t="shared" si="4"/>
        <v>human</v>
      </c>
      <c r="E269" t="str">
        <f>VLOOKUP(A269,Classification!A:B,2,FALSE)</f>
        <v>A</v>
      </c>
    </row>
    <row r="270" spans="1:5" x14ac:dyDescent="0.2">
      <c r="A270" t="s">
        <v>178</v>
      </c>
      <c r="B270" t="s">
        <v>626</v>
      </c>
      <c r="C270" t="str">
        <f>IF(ISERROR(MATCH(A270,'SegEnds_Xtal_Prot#'!B:B, 0)), "NoXtal", "Xtal")</f>
        <v>NoXtal</v>
      </c>
      <c r="D270" t="str">
        <f t="shared" si="4"/>
        <v>human</v>
      </c>
      <c r="E270" t="str">
        <f>VLOOKUP(A270,Classification!A:B,2,FALSE)</f>
        <v>A</v>
      </c>
    </row>
    <row r="271" spans="1:5" x14ac:dyDescent="0.2">
      <c r="A271" t="s">
        <v>204</v>
      </c>
      <c r="B271" t="s">
        <v>627</v>
      </c>
      <c r="C271" t="str">
        <f>IF(ISERROR(MATCH(A271,'SegEnds_Xtal_Prot#'!B:B, 0)), "NoXtal", "Xtal")</f>
        <v>NoXtal</v>
      </c>
      <c r="D271" t="str">
        <f t="shared" si="4"/>
        <v>human</v>
      </c>
      <c r="E271" t="str">
        <f>VLOOKUP(A271,Classification!A:B,2,FALSE)</f>
        <v>A</v>
      </c>
    </row>
    <row r="272" spans="1:5" x14ac:dyDescent="0.2">
      <c r="A272" t="s">
        <v>286</v>
      </c>
      <c r="B272" t="s">
        <v>628</v>
      </c>
      <c r="C272" t="str">
        <f>IF(ISERROR(MATCH(A272,'SegEnds_Xtal_Prot#'!B:B, 0)), "NoXtal", "Xtal")</f>
        <v>NoXtal</v>
      </c>
      <c r="D272" t="str">
        <f t="shared" si="4"/>
        <v>human</v>
      </c>
      <c r="E272" t="str">
        <f>VLOOKUP(A272,Classification!A:B,2,FALSE)</f>
        <v>A</v>
      </c>
    </row>
    <row r="273" spans="1:5" x14ac:dyDescent="0.2">
      <c r="A273" t="s">
        <v>291</v>
      </c>
      <c r="B273" t="s">
        <v>629</v>
      </c>
      <c r="C273" t="str">
        <f>IF(ISERROR(MATCH(A273,'SegEnds_Xtal_Prot#'!B:B, 0)), "NoXtal", "Xtal")</f>
        <v>NoXtal</v>
      </c>
      <c r="D273" t="str">
        <f t="shared" si="4"/>
        <v>human</v>
      </c>
      <c r="E273" t="str">
        <f>VLOOKUP(A273,Classification!A:B,2,FALSE)</f>
        <v>A</v>
      </c>
    </row>
    <row r="274" spans="1:5" x14ac:dyDescent="0.2">
      <c r="A274" t="s">
        <v>395</v>
      </c>
      <c r="B274" t="s">
        <v>630</v>
      </c>
      <c r="C274" t="str">
        <f>IF(ISERROR(MATCH(A274,'SegEnds_Xtal_Prot#'!B:B, 0)), "NoXtal", "Xtal")</f>
        <v>NoXtal</v>
      </c>
      <c r="D274" t="str">
        <f t="shared" si="4"/>
        <v>human</v>
      </c>
      <c r="E274" t="str">
        <f>VLOOKUP(A274,Classification!A:B,2,FALSE)</f>
        <v>A</v>
      </c>
    </row>
    <row r="275" spans="1:5" x14ac:dyDescent="0.2">
      <c r="A275" t="s">
        <v>367</v>
      </c>
      <c r="B275" t="s">
        <v>631</v>
      </c>
      <c r="C275" t="str">
        <f>IF(ISERROR(MATCH(A275,'SegEnds_Xtal_Prot#'!B:B, 0)), "NoXtal", "Xtal")</f>
        <v>NoXtal</v>
      </c>
      <c r="D275" t="str">
        <f t="shared" si="4"/>
        <v>human</v>
      </c>
      <c r="E275" t="str">
        <f>VLOOKUP(A275,Classification!A:B,2,FALSE)</f>
        <v>A</v>
      </c>
    </row>
    <row r="276" spans="1:5" x14ac:dyDescent="0.2">
      <c r="A276" t="s">
        <v>368</v>
      </c>
      <c r="B276" t="s">
        <v>632</v>
      </c>
      <c r="C276" t="str">
        <f>IF(ISERROR(MATCH(A276,'SegEnds_Xtal_Prot#'!B:B, 0)), "NoXtal", "Xtal")</f>
        <v>NoXtal</v>
      </c>
      <c r="D276" t="str">
        <f t="shared" si="4"/>
        <v>human</v>
      </c>
      <c r="E276" t="str">
        <f>VLOOKUP(A276,Classification!A:B,2,FALSE)</f>
        <v>A</v>
      </c>
    </row>
    <row r="277" spans="1:5" x14ac:dyDescent="0.2">
      <c r="A277" t="s">
        <v>198</v>
      </c>
      <c r="B277" t="s">
        <v>634</v>
      </c>
      <c r="C277" t="str">
        <f>IF(ISERROR(MATCH(A277,'SegEnds_Xtal_Prot#'!B:B, 0)), "NoXtal", "Xtal")</f>
        <v>NoXtal</v>
      </c>
      <c r="D277" t="str">
        <f t="shared" si="4"/>
        <v>human</v>
      </c>
      <c r="E277" t="str">
        <f>VLOOKUP(A277,Classification!A:B,2,FALSE)</f>
        <v>A</v>
      </c>
    </row>
    <row r="278" spans="1:5" x14ac:dyDescent="0.2">
      <c r="A278" t="s">
        <v>199</v>
      </c>
      <c r="B278" t="s">
        <v>635</v>
      </c>
      <c r="C278" t="str">
        <f>IF(ISERROR(MATCH(A278,'SegEnds_Xtal_Prot#'!B:B, 0)), "NoXtal", "Xtal")</f>
        <v>NoXtal</v>
      </c>
      <c r="D278" t="str">
        <f t="shared" si="4"/>
        <v>human</v>
      </c>
      <c r="E278" t="str">
        <f>VLOOKUP(A278,Classification!A:B,2,FALSE)</f>
        <v>A</v>
      </c>
    </row>
    <row r="279" spans="1:5" x14ac:dyDescent="0.2">
      <c r="A279" t="s">
        <v>200</v>
      </c>
      <c r="B279" t="s">
        <v>636</v>
      </c>
      <c r="C279" t="str">
        <f>IF(ISERROR(MATCH(A279,'SegEnds_Xtal_Prot#'!B:B, 0)), "NoXtal", "Xtal")</f>
        <v>NoXtal</v>
      </c>
      <c r="D279" t="str">
        <f t="shared" si="4"/>
        <v>human</v>
      </c>
      <c r="E279" t="str">
        <f>VLOOKUP(A279,Classification!A:B,2,FALSE)</f>
        <v>A</v>
      </c>
    </row>
    <row r="280" spans="1:5" x14ac:dyDescent="0.2">
      <c r="A280" t="s">
        <v>258</v>
      </c>
      <c r="B280" t="s">
        <v>637</v>
      </c>
      <c r="C280" t="str">
        <f>IF(ISERROR(MATCH(A280,'SegEnds_Xtal_Prot#'!B:B, 0)), "NoXtal", "Xtal")</f>
        <v>NoXtal</v>
      </c>
      <c r="D280" t="str">
        <f t="shared" si="4"/>
        <v>human</v>
      </c>
      <c r="E280" t="str">
        <f>VLOOKUP(A280,Classification!A:B,2,FALSE)</f>
        <v>A</v>
      </c>
    </row>
    <row r="281" spans="1:5" x14ac:dyDescent="0.2">
      <c r="A281" t="s">
        <v>292</v>
      </c>
      <c r="B281" t="s">
        <v>638</v>
      </c>
      <c r="C281" t="str">
        <f>IF(ISERROR(MATCH(A281,'SegEnds_Xtal_Prot#'!B:B, 0)), "NoXtal", "Xtal")</f>
        <v>NoXtal</v>
      </c>
      <c r="D281" t="str">
        <f t="shared" si="4"/>
        <v>human</v>
      </c>
      <c r="E281" t="str">
        <f>VLOOKUP(A281,Classification!A:B,2,FALSE)</f>
        <v>A</v>
      </c>
    </row>
    <row r="282" spans="1:5" x14ac:dyDescent="0.2">
      <c r="A282" t="s">
        <v>293</v>
      </c>
      <c r="B282" t="s">
        <v>639</v>
      </c>
      <c r="C282" t="str">
        <f>IF(ISERROR(MATCH(A282,'SegEnds_Xtal_Prot#'!B:B, 0)), "NoXtal", "Xtal")</f>
        <v>NoXtal</v>
      </c>
      <c r="D282" t="str">
        <f t="shared" si="4"/>
        <v>human</v>
      </c>
      <c r="E282" t="str">
        <f>VLOOKUP(A282,Classification!A:B,2,FALSE)</f>
        <v>A</v>
      </c>
    </row>
    <row r="283" spans="1:5" x14ac:dyDescent="0.2">
      <c r="A283" t="s">
        <v>179</v>
      </c>
      <c r="B283" t="s">
        <v>640</v>
      </c>
      <c r="C283" t="str">
        <f>IF(ISERROR(MATCH(A283,'SegEnds_Xtal_Prot#'!B:B, 0)), "NoXtal", "Xtal")</f>
        <v>NoXtal</v>
      </c>
      <c r="D283" t="str">
        <f t="shared" si="4"/>
        <v>human</v>
      </c>
      <c r="E283" t="str">
        <f>VLOOKUP(A283,Classification!A:B,2,FALSE)</f>
        <v>A</v>
      </c>
    </row>
    <row r="284" spans="1:5" x14ac:dyDescent="0.2">
      <c r="A284" t="s">
        <v>180</v>
      </c>
      <c r="B284" t="s">
        <v>641</v>
      </c>
      <c r="C284" t="str">
        <f>IF(ISERROR(MATCH(A284,'SegEnds_Xtal_Prot#'!B:B, 0)), "NoXtal", "Xtal")</f>
        <v>NoXtal</v>
      </c>
      <c r="D284" t="str">
        <f t="shared" si="4"/>
        <v>human</v>
      </c>
      <c r="E284" t="str">
        <f>VLOOKUP(A284,Classification!A:B,2,FALSE)</f>
        <v>A</v>
      </c>
    </row>
    <row r="285" spans="1:5" x14ac:dyDescent="0.2">
      <c r="A285" t="s">
        <v>342</v>
      </c>
      <c r="B285" t="s">
        <v>642</v>
      </c>
      <c r="C285" t="str">
        <f>IF(ISERROR(MATCH(A285,'SegEnds_Xtal_Prot#'!B:B, 0)), "NoXtal", "Xtal")</f>
        <v>NoXtal</v>
      </c>
      <c r="D285" t="str">
        <f t="shared" si="4"/>
        <v>human</v>
      </c>
      <c r="E285" t="str">
        <f>VLOOKUP(A285,Classification!A:B,2,FALSE)</f>
        <v>A</v>
      </c>
    </row>
    <row r="286" spans="1:5" x14ac:dyDescent="0.2">
      <c r="A286" t="s">
        <v>287</v>
      </c>
      <c r="B286" t="s">
        <v>645</v>
      </c>
      <c r="C286" t="str">
        <f>IF(ISERROR(MATCH(A286,'SegEnds_Xtal_Prot#'!B:B, 0)), "NoXtal", "Xtal")</f>
        <v>NoXtal</v>
      </c>
      <c r="D286" t="str">
        <f t="shared" si="4"/>
        <v>human</v>
      </c>
      <c r="E286" t="str">
        <f>VLOOKUP(A286,Classification!A:B,2,FALSE)</f>
        <v>A</v>
      </c>
    </row>
    <row r="287" spans="1:5" x14ac:dyDescent="0.2">
      <c r="A287" t="s">
        <v>288</v>
      </c>
      <c r="B287" t="s">
        <v>646</v>
      </c>
      <c r="C287" t="str">
        <f>IF(ISERROR(MATCH(A287,'SegEnds_Xtal_Prot#'!B:B, 0)), "NoXtal", "Xtal")</f>
        <v>NoXtal</v>
      </c>
      <c r="D287" t="str">
        <f t="shared" si="4"/>
        <v>human</v>
      </c>
      <c r="E287" t="str">
        <f>VLOOKUP(A287,Classification!A:B,2,FALSE)</f>
        <v>A</v>
      </c>
    </row>
    <row r="288" spans="1:5" x14ac:dyDescent="0.2">
      <c r="A288" t="s">
        <v>289</v>
      </c>
      <c r="B288" t="s">
        <v>647</v>
      </c>
      <c r="C288" t="str">
        <f>IF(ISERROR(MATCH(A288,'SegEnds_Xtal_Prot#'!B:B, 0)), "NoXtal", "Xtal")</f>
        <v>NoXtal</v>
      </c>
      <c r="D288" t="str">
        <f t="shared" si="4"/>
        <v>human</v>
      </c>
      <c r="E288" t="str">
        <f>VLOOKUP(A288,Classification!A:B,2,FALSE)</f>
        <v>A</v>
      </c>
    </row>
    <row r="289" spans="1:5" x14ac:dyDescent="0.2">
      <c r="A289" t="s">
        <v>290</v>
      </c>
      <c r="B289" t="s">
        <v>648</v>
      </c>
      <c r="C289" t="str">
        <f>IF(ISERROR(MATCH(A289,'SegEnds_Xtal_Prot#'!B:B, 0)), "NoXtal", "Xtal")</f>
        <v>NoXtal</v>
      </c>
      <c r="D289" t="str">
        <f t="shared" si="4"/>
        <v>human</v>
      </c>
      <c r="E289" t="str">
        <f>VLOOKUP(A289,Classification!A:B,2,FALSE)</f>
        <v>A</v>
      </c>
    </row>
    <row r="290" spans="1:5" x14ac:dyDescent="0.2">
      <c r="A290" t="s">
        <v>377</v>
      </c>
      <c r="B290" t="s">
        <v>650</v>
      </c>
      <c r="C290" t="str">
        <f>IF(ISERROR(MATCH(A290,'SegEnds_Xtal_Prot#'!B:B, 0)), "NoXtal", "Xtal")</f>
        <v>NoXtal</v>
      </c>
      <c r="D290" t="str">
        <f t="shared" si="4"/>
        <v>human</v>
      </c>
      <c r="E290" t="str">
        <f>VLOOKUP(A290,Classification!A:B,2,FALSE)</f>
        <v>A</v>
      </c>
    </row>
    <row r="291" spans="1:5" x14ac:dyDescent="0.2">
      <c r="A291" t="s">
        <v>378</v>
      </c>
      <c r="B291" t="s">
        <v>651</v>
      </c>
      <c r="C291" t="str">
        <f>IF(ISERROR(MATCH(A291,'SegEnds_Xtal_Prot#'!B:B, 0)), "NoXtal", "Xtal")</f>
        <v>NoXtal</v>
      </c>
      <c r="D291" t="str">
        <f t="shared" si="4"/>
        <v>human</v>
      </c>
      <c r="E291" t="str">
        <f>VLOOKUP(A291,Classification!A:B,2,FALSE)</f>
        <v>A</v>
      </c>
    </row>
    <row r="292" spans="1:5" x14ac:dyDescent="0.2">
      <c r="A292" t="s">
        <v>379</v>
      </c>
      <c r="B292" t="s">
        <v>652</v>
      </c>
      <c r="C292" t="str">
        <f>IF(ISERROR(MATCH(A292,'SegEnds_Xtal_Prot#'!B:B, 0)), "NoXtal", "Xtal")</f>
        <v>NoXtal</v>
      </c>
      <c r="D292" t="str">
        <f t="shared" si="4"/>
        <v>human</v>
      </c>
      <c r="E292" t="str">
        <f>VLOOKUP(A292,Classification!A:B,2,FALSE)</f>
        <v>A</v>
      </c>
    </row>
    <row r="293" spans="1:5" x14ac:dyDescent="0.2">
      <c r="A293" t="s">
        <v>380</v>
      </c>
      <c r="B293" t="s">
        <v>653</v>
      </c>
      <c r="C293" t="str">
        <f>IF(ISERROR(MATCH(A293,'SegEnds_Xtal_Prot#'!B:B, 0)), "NoXtal", "Xtal")</f>
        <v>NoXtal</v>
      </c>
      <c r="D293" t="str">
        <f t="shared" si="4"/>
        <v>human</v>
      </c>
      <c r="E293" t="str">
        <f>VLOOKUP(A293,Classification!A:B,2,FALSE)</f>
        <v>A</v>
      </c>
    </row>
    <row r="294" spans="1:5" x14ac:dyDescent="0.2">
      <c r="A294" t="s">
        <v>182</v>
      </c>
      <c r="B294" t="s">
        <v>654</v>
      </c>
      <c r="C294" t="str">
        <f>IF(ISERROR(MATCH(A294,'SegEnds_Xtal_Prot#'!B:B, 0)), "NoXtal", "Xtal")</f>
        <v>Xtal</v>
      </c>
      <c r="D294" t="str">
        <f t="shared" si="4"/>
        <v>human</v>
      </c>
      <c r="E294" t="str">
        <f>VLOOKUP(A294,Classification!A:B,2,FALSE)</f>
        <v>A</v>
      </c>
    </row>
    <row r="295" spans="1:5" x14ac:dyDescent="0.2">
      <c r="A295" t="s">
        <v>183</v>
      </c>
      <c r="B295" t="s">
        <v>655</v>
      </c>
      <c r="C295" t="str">
        <f>IF(ISERROR(MATCH(A295,'SegEnds_Xtal_Prot#'!B:B, 0)), "NoXtal", "Xtal")</f>
        <v>Xtal</v>
      </c>
      <c r="D295" t="str">
        <f t="shared" si="4"/>
        <v>human</v>
      </c>
      <c r="E295" t="str">
        <f>VLOOKUP(A295,Classification!A:B,2,FALSE)</f>
        <v>A</v>
      </c>
    </row>
    <row r="296" spans="1:5" x14ac:dyDescent="0.2">
      <c r="A296" t="s">
        <v>241</v>
      </c>
      <c r="B296" t="s">
        <v>656</v>
      </c>
      <c r="C296" t="str">
        <f>IF(ISERROR(MATCH(A296,'SegEnds_Xtal_Prot#'!B:B, 0)), "NoXtal", "Xtal")</f>
        <v>NoXtal</v>
      </c>
      <c r="D296" t="str">
        <f t="shared" si="4"/>
        <v>human</v>
      </c>
      <c r="E296" t="str">
        <f>VLOOKUP(A296,Classification!A:B,2,FALSE)</f>
        <v>A</v>
      </c>
    </row>
    <row r="297" spans="1:5" x14ac:dyDescent="0.2">
      <c r="A297" t="s">
        <v>261</v>
      </c>
      <c r="B297" t="s">
        <v>657</v>
      </c>
      <c r="C297" t="str">
        <f>IF(ISERROR(MATCH(A297,'SegEnds_Xtal_Prot#'!B:B, 0)), "NoXtal", "Xtal")</f>
        <v>NoXtal</v>
      </c>
      <c r="D297" t="str">
        <f t="shared" si="4"/>
        <v>human</v>
      </c>
      <c r="E297" t="str">
        <f>VLOOKUP(A297,Classification!A:B,2,FALSE)</f>
        <v>A</v>
      </c>
    </row>
    <row r="298" spans="1:5" x14ac:dyDescent="0.2">
      <c r="A298" t="s">
        <v>213</v>
      </c>
      <c r="B298" t="s">
        <v>658</v>
      </c>
      <c r="C298" t="str">
        <f>IF(ISERROR(MATCH(A298,'SegEnds_Xtal_Prot#'!B:B, 0)), "NoXtal", "Xtal")</f>
        <v>NoXtal</v>
      </c>
      <c r="D298" t="str">
        <f t="shared" si="4"/>
        <v>human</v>
      </c>
      <c r="E298" t="str">
        <f>VLOOKUP(A298,Classification!A:B,2,FALSE)</f>
        <v>A</v>
      </c>
    </row>
    <row r="299" spans="1:5" x14ac:dyDescent="0.2">
      <c r="A299" t="s">
        <v>371</v>
      </c>
      <c r="B299" t="s">
        <v>659</v>
      </c>
      <c r="C299" t="str">
        <f>IF(ISERROR(MATCH(A299,'SegEnds_Xtal_Prot#'!B:B, 0)), "NoXtal", "Xtal")</f>
        <v>Xtal</v>
      </c>
      <c r="D299" t="str">
        <f t="shared" si="4"/>
        <v>human</v>
      </c>
      <c r="E299" t="str">
        <f>VLOOKUP(A299,Classification!A:B,2,FALSE)</f>
        <v>A</v>
      </c>
    </row>
    <row r="300" spans="1:5" x14ac:dyDescent="0.2">
      <c r="A300" t="s">
        <v>359</v>
      </c>
      <c r="B300" t="s">
        <v>660</v>
      </c>
      <c r="C300" t="str">
        <f>IF(ISERROR(MATCH(A300,'SegEnds_Xtal_Prot#'!B:B, 0)), "NoXtal", "Xtal")</f>
        <v>NoXtal</v>
      </c>
      <c r="D300" t="str">
        <f t="shared" si="4"/>
        <v>human</v>
      </c>
      <c r="E300" t="str">
        <f>VLOOKUP(A300,Classification!A:B,2,FALSE)</f>
        <v>A</v>
      </c>
    </row>
    <row r="301" spans="1:5" x14ac:dyDescent="0.2">
      <c r="A301" t="s">
        <v>360</v>
      </c>
      <c r="B301" t="s">
        <v>661</v>
      </c>
      <c r="C301" t="str">
        <f>IF(ISERROR(MATCH(A301,'SegEnds_Xtal_Prot#'!B:B, 0)), "NoXtal", "Xtal")</f>
        <v>Xtal</v>
      </c>
      <c r="D301" t="str">
        <f t="shared" si="4"/>
        <v>human</v>
      </c>
      <c r="E301" t="str">
        <f>VLOOKUP(A301,Classification!A:B,2,FALSE)</f>
        <v>A</v>
      </c>
    </row>
    <row r="302" spans="1:5" x14ac:dyDescent="0.2">
      <c r="A302" t="s">
        <v>361</v>
      </c>
      <c r="B302" t="s">
        <v>662</v>
      </c>
      <c r="C302" t="str">
        <f>IF(ISERROR(MATCH(A302,'SegEnds_Xtal_Prot#'!B:B, 0)), "NoXtal", "Xtal")</f>
        <v>NoXtal</v>
      </c>
      <c r="D302" t="str">
        <f t="shared" si="4"/>
        <v>human</v>
      </c>
      <c r="E302" t="str">
        <f>VLOOKUP(A302,Classification!A:B,2,FALSE)</f>
        <v>A</v>
      </c>
    </row>
    <row r="303" spans="1:5" x14ac:dyDescent="0.2">
      <c r="A303" t="s">
        <v>362</v>
      </c>
      <c r="B303" t="s">
        <v>663</v>
      </c>
      <c r="C303" t="str">
        <f>IF(ISERROR(MATCH(A303,'SegEnds_Xtal_Prot#'!B:B, 0)), "NoXtal", "Xtal")</f>
        <v>NoXtal</v>
      </c>
      <c r="D303" t="str">
        <f t="shared" si="4"/>
        <v>human</v>
      </c>
      <c r="E303" t="str">
        <f>VLOOKUP(A303,Classification!A:B,2,FALSE)</f>
        <v>A</v>
      </c>
    </row>
    <row r="304" spans="1:5" x14ac:dyDescent="0.2">
      <c r="A304" t="s">
        <v>363</v>
      </c>
      <c r="B304" t="s">
        <v>664</v>
      </c>
      <c r="C304" t="str">
        <f>IF(ISERROR(MATCH(A304,'SegEnds_Xtal_Prot#'!B:B, 0)), "NoXtal", "Xtal")</f>
        <v>Xtal</v>
      </c>
      <c r="D304" t="str">
        <f t="shared" si="4"/>
        <v>human</v>
      </c>
      <c r="E304" t="str">
        <f>VLOOKUP(A304,Classification!A:B,2,FALSE)</f>
        <v>A</v>
      </c>
    </row>
    <row r="305" spans="1:5" x14ac:dyDescent="0.2">
      <c r="A305" t="s">
        <v>364</v>
      </c>
      <c r="B305" t="s">
        <v>665</v>
      </c>
      <c r="C305" t="str">
        <f>IF(ISERROR(MATCH(A305,'SegEnds_Xtal_Prot#'!B:B, 0)), "NoXtal", "Xtal")</f>
        <v>Xtal</v>
      </c>
      <c r="D305" t="str">
        <f t="shared" si="4"/>
        <v>human</v>
      </c>
      <c r="E305" t="str">
        <f>VLOOKUP(A305,Classification!A:B,2,FALSE)</f>
        <v>A</v>
      </c>
    </row>
    <row r="306" spans="1:5" x14ac:dyDescent="0.2">
      <c r="A306" t="s">
        <v>365</v>
      </c>
      <c r="B306" t="s">
        <v>666</v>
      </c>
      <c r="C306" t="str">
        <f>IF(ISERROR(MATCH(A306,'SegEnds_Xtal_Prot#'!B:B, 0)), "NoXtal", "Xtal")</f>
        <v>NoXtal</v>
      </c>
      <c r="D306" t="str">
        <f t="shared" si="4"/>
        <v>human</v>
      </c>
      <c r="E306" t="str">
        <f>VLOOKUP(A306,Classification!A:B,2,FALSE)</f>
        <v>A</v>
      </c>
    </row>
    <row r="307" spans="1:5" x14ac:dyDescent="0.2">
      <c r="A307" t="s">
        <v>366</v>
      </c>
      <c r="B307" t="s">
        <v>667</v>
      </c>
      <c r="C307" t="str">
        <f>IF(ISERROR(MATCH(A307,'SegEnds_Xtal_Prot#'!B:B, 0)), "NoXtal", "Xtal")</f>
        <v>NoXtal</v>
      </c>
      <c r="D307" t="str">
        <f t="shared" si="4"/>
        <v>human</v>
      </c>
      <c r="E307" t="str">
        <f>VLOOKUP(A307,Classification!A:B,2,FALSE)</f>
        <v>A</v>
      </c>
    </row>
    <row r="308" spans="1:5" x14ac:dyDescent="0.2">
      <c r="A308" t="s">
        <v>473</v>
      </c>
      <c r="B308" t="s">
        <v>668</v>
      </c>
      <c r="C308" t="str">
        <f>IF(ISERROR(MATCH(A308,'SegEnds_Xtal_Prot#'!B:B, 0)), "NoXtal", "Xtal")</f>
        <v>Xtal</v>
      </c>
      <c r="D308" t="str">
        <f t="shared" si="4"/>
        <v>human</v>
      </c>
      <c r="E308" t="str">
        <f>VLOOKUP(A308,Classification!A:B,2,FALSE)</f>
        <v>A</v>
      </c>
    </row>
    <row r="309" spans="1:5" x14ac:dyDescent="0.2">
      <c r="A309" t="s">
        <v>311</v>
      </c>
      <c r="B309" t="s">
        <v>669</v>
      </c>
      <c r="C309" t="str">
        <f>IF(ISERROR(MATCH(A309,'SegEnds_Xtal_Prot#'!B:B, 0)), "NoXtal", "Xtal")</f>
        <v>NoXtal</v>
      </c>
      <c r="D309" t="str">
        <f t="shared" si="4"/>
        <v>human</v>
      </c>
      <c r="E309" t="str">
        <f>VLOOKUP(A309,Classification!A:B,2,FALSE)</f>
        <v>A</v>
      </c>
    </row>
    <row r="310" spans="1:5" x14ac:dyDescent="0.2">
      <c r="A310" t="s">
        <v>312</v>
      </c>
      <c r="B310" t="s">
        <v>670</v>
      </c>
      <c r="C310" t="str">
        <f>IF(ISERROR(MATCH(A310,'SegEnds_Xtal_Prot#'!B:B, 0)), "NoXtal", "Xtal")</f>
        <v>NoXtal</v>
      </c>
      <c r="D310" t="str">
        <f t="shared" si="4"/>
        <v>human</v>
      </c>
      <c r="E310" t="str">
        <f>VLOOKUP(A310,Classification!A:B,2,FALSE)</f>
        <v>A</v>
      </c>
    </row>
    <row r="311" spans="1:5" x14ac:dyDescent="0.2">
      <c r="A311" t="s">
        <v>138</v>
      </c>
      <c r="B311" t="s">
        <v>671</v>
      </c>
      <c r="C311" t="str">
        <f>IF(ISERROR(MATCH(A311,'SegEnds_Xtal_Prot#'!B:B, 0)), "NoXtal", "Xtal")</f>
        <v>Xtal</v>
      </c>
      <c r="D311" t="str">
        <f t="shared" si="4"/>
        <v>human</v>
      </c>
      <c r="E311" t="str">
        <f>VLOOKUP(A311,Classification!A:B,2,FALSE)</f>
        <v>A</v>
      </c>
    </row>
    <row r="312" spans="1:5" x14ac:dyDescent="0.2">
      <c r="A312" t="s">
        <v>140</v>
      </c>
      <c r="B312" t="s">
        <v>673</v>
      </c>
      <c r="C312" t="str">
        <f>IF(ISERROR(MATCH(A312,'SegEnds_Xtal_Prot#'!B:B, 0)), "NoXtal", "Xtal")</f>
        <v>NoXtal</v>
      </c>
      <c r="D312" t="str">
        <f t="shared" si="4"/>
        <v>human</v>
      </c>
      <c r="E312" t="str">
        <f>VLOOKUP(A312,Classification!A:B,2,FALSE)</f>
        <v>A</v>
      </c>
    </row>
    <row r="313" spans="1:5" x14ac:dyDescent="0.2">
      <c r="A313" t="s">
        <v>141</v>
      </c>
      <c r="B313" t="s">
        <v>674</v>
      </c>
      <c r="C313" t="str">
        <f>IF(ISERROR(MATCH(A313,'SegEnds_Xtal_Prot#'!B:B, 0)), "NoXtal", "Xtal")</f>
        <v>NoXtal</v>
      </c>
      <c r="D313" t="str">
        <f t="shared" si="4"/>
        <v>human</v>
      </c>
      <c r="E313" t="str">
        <f>VLOOKUP(A313,Classification!A:B,2,FALSE)</f>
        <v>A</v>
      </c>
    </row>
    <row r="314" spans="1:5" x14ac:dyDescent="0.2">
      <c r="A314" t="s">
        <v>346</v>
      </c>
      <c r="B314" t="s">
        <v>676</v>
      </c>
      <c r="C314" t="str">
        <f>IF(ISERROR(MATCH(A314,'SegEnds_Xtal_Prot#'!B:B, 0)), "NoXtal", "Xtal")</f>
        <v>NoXtal</v>
      </c>
      <c r="D314" t="str">
        <f t="shared" si="4"/>
        <v>human</v>
      </c>
      <c r="E314" t="str">
        <f>VLOOKUP(A314,Classification!A:B,2,FALSE)</f>
        <v>A</v>
      </c>
    </row>
    <row r="315" spans="1:5" x14ac:dyDescent="0.2">
      <c r="A315" t="s">
        <v>347</v>
      </c>
      <c r="B315" t="s">
        <v>677</v>
      </c>
      <c r="C315" t="str">
        <f>IF(ISERROR(MATCH(A315,'SegEnds_Xtal_Prot#'!B:B, 0)), "NoXtal", "Xtal")</f>
        <v>NoXtal</v>
      </c>
      <c r="D315" t="str">
        <f t="shared" si="4"/>
        <v>human</v>
      </c>
      <c r="E315" t="str">
        <f>VLOOKUP(A315,Classification!A:B,2,FALSE)</f>
        <v>A</v>
      </c>
    </row>
    <row r="316" spans="1:5" x14ac:dyDescent="0.2">
      <c r="A316" t="s">
        <v>348</v>
      </c>
      <c r="B316" t="s">
        <v>678</v>
      </c>
      <c r="C316" t="str">
        <f>IF(ISERROR(MATCH(A316,'SegEnds_Xtal_Prot#'!B:B, 0)), "NoXtal", "Xtal")</f>
        <v>NoXtal</v>
      </c>
      <c r="D316" t="str">
        <f t="shared" si="4"/>
        <v>human</v>
      </c>
      <c r="E316" t="str">
        <f>VLOOKUP(A316,Classification!A:B,2,FALSE)</f>
        <v>A</v>
      </c>
    </row>
    <row r="317" spans="1:5" x14ac:dyDescent="0.2">
      <c r="A317" t="s">
        <v>351</v>
      </c>
      <c r="B317" t="s">
        <v>679</v>
      </c>
      <c r="C317" t="str">
        <f>IF(ISERROR(MATCH(A317,'SegEnds_Xtal_Prot#'!B:B, 0)), "NoXtal", "Xtal")</f>
        <v>NoXtal</v>
      </c>
      <c r="D317" t="str">
        <f t="shared" si="4"/>
        <v>human</v>
      </c>
      <c r="E317" t="str">
        <f>VLOOKUP(A317,Classification!A:B,2,FALSE)</f>
        <v>A</v>
      </c>
    </row>
    <row r="318" spans="1:5" x14ac:dyDescent="0.2">
      <c r="A318" t="s">
        <v>353</v>
      </c>
      <c r="B318" t="s">
        <v>681</v>
      </c>
      <c r="C318" t="str">
        <f>IF(ISERROR(MATCH(A318,'SegEnds_Xtal_Prot#'!B:B, 0)), "NoXtal", "Xtal")</f>
        <v>NoXtal</v>
      </c>
      <c r="D318" t="str">
        <f t="shared" si="4"/>
        <v>human</v>
      </c>
      <c r="E318" t="str">
        <f>VLOOKUP(A318,Classification!A:B,2,FALSE)</f>
        <v>A</v>
      </c>
    </row>
    <row r="319" spans="1:5" x14ac:dyDescent="0.2">
      <c r="A319" t="s">
        <v>354</v>
      </c>
      <c r="B319" t="s">
        <v>682</v>
      </c>
      <c r="C319" t="str">
        <f>IF(ISERROR(MATCH(A319,'SegEnds_Xtal_Prot#'!B:B, 0)), "NoXtal", "Xtal")</f>
        <v>NoXtal</v>
      </c>
      <c r="D319" t="str">
        <f t="shared" si="4"/>
        <v>human</v>
      </c>
      <c r="E319" t="str">
        <f>VLOOKUP(A319,Classification!A:B,2,FALSE)</f>
        <v>A</v>
      </c>
    </row>
    <row r="320" spans="1:5" x14ac:dyDescent="0.2">
      <c r="A320" t="s">
        <v>235</v>
      </c>
      <c r="B320" t="s">
        <v>683</v>
      </c>
      <c r="C320" t="str">
        <f>IF(ISERROR(MATCH(A320,'SegEnds_Xtal_Prot#'!B:B, 0)), "NoXtal", "Xtal")</f>
        <v>NoXtal</v>
      </c>
      <c r="D320" t="str">
        <f t="shared" si="4"/>
        <v>human</v>
      </c>
      <c r="E320" t="str">
        <f>VLOOKUP(A320,Classification!A:B,2,FALSE)</f>
        <v>A</v>
      </c>
    </row>
    <row r="321" spans="1:5" x14ac:dyDescent="0.2">
      <c r="A321" t="s">
        <v>236</v>
      </c>
      <c r="B321" t="s">
        <v>684</v>
      </c>
      <c r="C321" t="str">
        <f>IF(ISERROR(MATCH(A321,'SegEnds_Xtal_Prot#'!B:B, 0)), "NoXtal", "Xtal")</f>
        <v>NoXtal</v>
      </c>
      <c r="D321" t="str">
        <f t="shared" si="4"/>
        <v>human</v>
      </c>
      <c r="E321" t="str">
        <f>VLOOKUP(A321,Classification!A:B,2,FALSE)</f>
        <v>A</v>
      </c>
    </row>
    <row r="322" spans="1:5" x14ac:dyDescent="0.2">
      <c r="A322" t="s">
        <v>275</v>
      </c>
      <c r="B322" t="s">
        <v>685</v>
      </c>
      <c r="C322" t="str">
        <f>IF(ISERROR(MATCH(A322,'SegEnds_Xtal_Prot#'!B:B, 0)), "NoXtal", "Xtal")</f>
        <v>NoXtal</v>
      </c>
      <c r="D322" t="str">
        <f t="shared" si="4"/>
        <v>human</v>
      </c>
      <c r="E322" t="str">
        <f>VLOOKUP(A322,Classification!A:B,2,FALSE)</f>
        <v>A</v>
      </c>
    </row>
    <row r="323" spans="1:5" x14ac:dyDescent="0.2">
      <c r="A323" t="s">
        <v>276</v>
      </c>
      <c r="B323" t="s">
        <v>686</v>
      </c>
      <c r="C323" t="str">
        <f>IF(ISERROR(MATCH(A323,'SegEnds_Xtal_Prot#'!B:B, 0)), "NoXtal", "Xtal")</f>
        <v>NoXtal</v>
      </c>
      <c r="D323" t="str">
        <f t="shared" si="4"/>
        <v>human</v>
      </c>
      <c r="E323" t="str">
        <f>VLOOKUP(A323,Classification!A:B,2,FALSE)</f>
        <v>A</v>
      </c>
    </row>
    <row r="324" spans="1:5" x14ac:dyDescent="0.2">
      <c r="A324" t="s">
        <v>277</v>
      </c>
      <c r="B324" t="s">
        <v>687</v>
      </c>
      <c r="C324" t="str">
        <f>IF(ISERROR(MATCH(A324,'SegEnds_Xtal_Prot#'!B:B, 0)), "NoXtal", "Xtal")</f>
        <v>NoXtal</v>
      </c>
      <c r="D324" t="str">
        <f t="shared" si="4"/>
        <v>human</v>
      </c>
      <c r="E324" t="str">
        <f>VLOOKUP(A324,Classification!A:B,2,FALSE)</f>
        <v>A</v>
      </c>
    </row>
    <row r="325" spans="1:5" x14ac:dyDescent="0.2">
      <c r="A325" t="s">
        <v>343</v>
      </c>
      <c r="B325" t="s">
        <v>688</v>
      </c>
      <c r="C325" t="str">
        <f>IF(ISERROR(MATCH(A325,'SegEnds_Xtal_Prot#'!B:B, 0)), "NoXtal", "Xtal")</f>
        <v>NoXtal</v>
      </c>
      <c r="D325" t="str">
        <f t="shared" si="4"/>
        <v>human</v>
      </c>
      <c r="E325" t="str">
        <f>VLOOKUP(A325,Classification!A:B,2,FALSE)</f>
        <v>A</v>
      </c>
    </row>
    <row r="326" spans="1:5" x14ac:dyDescent="0.2">
      <c r="A326" t="s">
        <v>386</v>
      </c>
      <c r="B326" t="s">
        <v>689</v>
      </c>
      <c r="C326" t="str">
        <f>IF(ISERROR(MATCH(A326,'SegEnds_Xtal_Prot#'!B:B, 0)), "NoXtal", "Xtal")</f>
        <v>NoXtal</v>
      </c>
      <c r="D326" t="str">
        <f t="shared" si="4"/>
        <v>human</v>
      </c>
      <c r="E326" t="str">
        <f>VLOOKUP(A326,Classification!A:B,2,FALSE)</f>
        <v>A</v>
      </c>
    </row>
    <row r="327" spans="1:5" x14ac:dyDescent="0.2">
      <c r="A327" t="s">
        <v>333</v>
      </c>
      <c r="B327" t="s">
        <v>691</v>
      </c>
      <c r="C327" t="str">
        <f>IF(ISERROR(MATCH(A327,'SegEnds_Xtal_Prot#'!B:B, 0)), "NoXtal", "Xtal")</f>
        <v>NoXtal</v>
      </c>
      <c r="D327" t="str">
        <f t="shared" ref="D327:D390" si="5">MID(A327,FIND("_",A327)+1,LEN(A327)-FIND("_",A327))</f>
        <v>human</v>
      </c>
      <c r="E327" t="str">
        <f>VLOOKUP(A327,Classification!A:B,2,FALSE)</f>
        <v>A</v>
      </c>
    </row>
    <row r="328" spans="1:5" x14ac:dyDescent="0.2">
      <c r="A328" t="s">
        <v>332</v>
      </c>
      <c r="B328" t="s">
        <v>692</v>
      </c>
      <c r="C328" t="str">
        <f>IF(ISERROR(MATCH(A328,'SegEnds_Xtal_Prot#'!B:B, 0)), "NoXtal", "Xtal")</f>
        <v>NoXtal</v>
      </c>
      <c r="D328" t="str">
        <f t="shared" si="5"/>
        <v>human</v>
      </c>
      <c r="E328" t="str">
        <f>VLOOKUP(A328,Classification!A:B,2,FALSE)</f>
        <v>A</v>
      </c>
    </row>
    <row r="329" spans="1:5" x14ac:dyDescent="0.2">
      <c r="A329" t="s">
        <v>334</v>
      </c>
      <c r="B329" t="s">
        <v>693</v>
      </c>
      <c r="C329" t="str">
        <f>IF(ISERROR(MATCH(A329,'SegEnds_Xtal_Prot#'!B:B, 0)), "NoXtal", "Xtal")</f>
        <v>NoXtal</v>
      </c>
      <c r="D329" t="str">
        <f t="shared" si="5"/>
        <v>human</v>
      </c>
      <c r="E329" t="str">
        <f>VLOOKUP(A329,Classification!A:B,2,FALSE)</f>
        <v>A</v>
      </c>
    </row>
    <row r="330" spans="1:5" x14ac:dyDescent="0.2">
      <c r="A330" t="s">
        <v>338</v>
      </c>
      <c r="B330" t="s">
        <v>694</v>
      </c>
      <c r="C330" t="str">
        <f>IF(ISERROR(MATCH(A330,'SegEnds_Xtal_Prot#'!B:B, 0)), "NoXtal", "Xtal")</f>
        <v>NoXtal</v>
      </c>
      <c r="D330" t="str">
        <f t="shared" si="5"/>
        <v>human</v>
      </c>
      <c r="E330" t="str">
        <f>VLOOKUP(A330,Classification!A:B,2,FALSE)</f>
        <v>A</v>
      </c>
    </row>
    <row r="331" spans="1:5" x14ac:dyDescent="0.2">
      <c r="A331" t="s">
        <v>340</v>
      </c>
      <c r="B331" t="s">
        <v>695</v>
      </c>
      <c r="C331" t="str">
        <f>IF(ISERROR(MATCH(A331,'SegEnds_Xtal_Prot#'!B:B, 0)), "NoXtal", "Xtal")</f>
        <v>NoXtal</v>
      </c>
      <c r="D331" t="str">
        <f t="shared" si="5"/>
        <v>human</v>
      </c>
      <c r="E331" t="str">
        <f>VLOOKUP(A331,Classification!A:B,2,FALSE)</f>
        <v>A</v>
      </c>
    </row>
    <row r="332" spans="1:5" x14ac:dyDescent="0.2">
      <c r="A332" t="s">
        <v>341</v>
      </c>
      <c r="B332" t="s">
        <v>696</v>
      </c>
      <c r="C332" t="str">
        <f>IF(ISERROR(MATCH(A332,'SegEnds_Xtal_Prot#'!B:B, 0)), "NoXtal", "Xtal")</f>
        <v>NoXtal</v>
      </c>
      <c r="D332" t="str">
        <f t="shared" si="5"/>
        <v>human</v>
      </c>
      <c r="E332" t="str">
        <f>VLOOKUP(A332,Classification!A:B,2,FALSE)</f>
        <v>A</v>
      </c>
    </row>
    <row r="333" spans="1:5" x14ac:dyDescent="0.2">
      <c r="A333" t="s">
        <v>237</v>
      </c>
      <c r="B333" t="s">
        <v>718</v>
      </c>
      <c r="C333" t="str">
        <f>IF(ISERROR(MATCH(A333,'SegEnds_Xtal_Prot#'!B:B, 0)), "NoXtal", "Xtal")</f>
        <v>NoXtal</v>
      </c>
      <c r="D333" t="str">
        <f t="shared" si="5"/>
        <v>human</v>
      </c>
      <c r="E333" t="str">
        <f>VLOOKUP(A333,Classification!A:B,2,FALSE)</f>
        <v>A</v>
      </c>
    </row>
    <row r="334" spans="1:5" x14ac:dyDescent="0.2">
      <c r="A334" t="s">
        <v>249</v>
      </c>
      <c r="B334" t="s">
        <v>719</v>
      </c>
      <c r="C334" t="str">
        <f>IF(ISERROR(MATCH(A334,'SegEnds_Xtal_Prot#'!B:B, 0)), "NoXtal", "Xtal")</f>
        <v>NoXtal</v>
      </c>
      <c r="D334" t="str">
        <f t="shared" si="5"/>
        <v>human</v>
      </c>
      <c r="E334" t="str">
        <f>VLOOKUP(A334,Classification!A:B,2,FALSE)</f>
        <v>A</v>
      </c>
    </row>
    <row r="335" spans="1:5" x14ac:dyDescent="0.2">
      <c r="A335" t="s">
        <v>257</v>
      </c>
      <c r="B335" t="s">
        <v>720</v>
      </c>
      <c r="C335" t="str">
        <f>IF(ISERROR(MATCH(A335,'SegEnds_Xtal_Prot#'!B:B, 0)), "NoXtal", "Xtal")</f>
        <v>NoXtal</v>
      </c>
      <c r="D335" t="str">
        <f t="shared" si="5"/>
        <v>human</v>
      </c>
      <c r="E335" t="str">
        <f>VLOOKUP(A335,Classification!A:B,2,FALSE)</f>
        <v>A</v>
      </c>
    </row>
    <row r="336" spans="1:5" x14ac:dyDescent="0.2">
      <c r="A336" t="s">
        <v>262</v>
      </c>
      <c r="B336" t="s">
        <v>721</v>
      </c>
      <c r="C336" t="str">
        <f>IF(ISERROR(MATCH(A336,'SegEnds_Xtal_Prot#'!B:B, 0)), "NoXtal", "Xtal")</f>
        <v>NoXtal</v>
      </c>
      <c r="D336" t="str">
        <f t="shared" si="5"/>
        <v>human</v>
      </c>
      <c r="E336" t="str">
        <f>VLOOKUP(A336,Classification!A:B,2,FALSE)</f>
        <v>A</v>
      </c>
    </row>
    <row r="337" spans="1:5" x14ac:dyDescent="0.2">
      <c r="A337" t="s">
        <v>238</v>
      </c>
      <c r="B337" t="s">
        <v>722</v>
      </c>
      <c r="C337" t="str">
        <f>IF(ISERROR(MATCH(A337,'SegEnds_Xtal_Prot#'!B:B, 0)), "NoXtal", "Xtal")</f>
        <v>NoXtal</v>
      </c>
      <c r="D337" t="str">
        <f t="shared" si="5"/>
        <v>human</v>
      </c>
      <c r="E337" t="str">
        <f>VLOOKUP(A337,Classification!A:B,2,FALSE)</f>
        <v>A</v>
      </c>
    </row>
    <row r="338" spans="1:5" x14ac:dyDescent="0.2">
      <c r="A338" t="s">
        <v>239</v>
      </c>
      <c r="B338" t="s">
        <v>723</v>
      </c>
      <c r="C338" t="str">
        <f>IF(ISERROR(MATCH(A338,'SegEnds_Xtal_Prot#'!B:B, 0)), "NoXtal", "Xtal")</f>
        <v>NoXtal</v>
      </c>
      <c r="D338" t="str">
        <f t="shared" si="5"/>
        <v>human</v>
      </c>
      <c r="E338" t="str">
        <f>VLOOKUP(A338,Classification!A:B,2,FALSE)</f>
        <v>A</v>
      </c>
    </row>
    <row r="339" spans="1:5" x14ac:dyDescent="0.2">
      <c r="A339" t="s">
        <v>240</v>
      </c>
      <c r="B339" t="s">
        <v>724</v>
      </c>
      <c r="C339" t="str">
        <f>IF(ISERROR(MATCH(A339,'SegEnds_Xtal_Prot#'!B:B, 0)), "NoXtal", "Xtal")</f>
        <v>NoXtal</v>
      </c>
      <c r="D339" t="str">
        <f t="shared" si="5"/>
        <v>human</v>
      </c>
      <c r="E339" t="str">
        <f>VLOOKUP(A339,Classification!A:B,2,FALSE)</f>
        <v>A</v>
      </c>
    </row>
    <row r="340" spans="1:5" x14ac:dyDescent="0.2">
      <c r="A340" t="s">
        <v>242</v>
      </c>
      <c r="B340" t="s">
        <v>725</v>
      </c>
      <c r="C340" t="str">
        <f>IF(ISERROR(MATCH(A340,'SegEnds_Xtal_Prot#'!B:B, 0)), "NoXtal", "Xtal")</f>
        <v>NoXtal</v>
      </c>
      <c r="D340" t="str">
        <f t="shared" si="5"/>
        <v>human</v>
      </c>
      <c r="E340" t="str">
        <f>VLOOKUP(A340,Classification!A:B,2,FALSE)</f>
        <v>A</v>
      </c>
    </row>
    <row r="341" spans="1:5" x14ac:dyDescent="0.2">
      <c r="A341" t="s">
        <v>243</v>
      </c>
      <c r="B341" t="s">
        <v>726</v>
      </c>
      <c r="C341" t="str">
        <f>IF(ISERROR(MATCH(A341,'SegEnds_Xtal_Prot#'!B:B, 0)), "NoXtal", "Xtal")</f>
        <v>NoXtal</v>
      </c>
      <c r="D341" t="str">
        <f t="shared" si="5"/>
        <v>human</v>
      </c>
      <c r="E341" t="str">
        <f>VLOOKUP(A341,Classification!A:B,2,FALSE)</f>
        <v>A</v>
      </c>
    </row>
    <row r="342" spans="1:5" x14ac:dyDescent="0.2">
      <c r="A342" t="s">
        <v>244</v>
      </c>
      <c r="B342" t="s">
        <v>727</v>
      </c>
      <c r="C342" t="str">
        <f>IF(ISERROR(MATCH(A342,'SegEnds_Xtal_Prot#'!B:B, 0)), "NoXtal", "Xtal")</f>
        <v>NoXtal</v>
      </c>
      <c r="D342" t="str">
        <f t="shared" si="5"/>
        <v>human</v>
      </c>
      <c r="E342" t="str">
        <f>VLOOKUP(A342,Classification!A:B,2,FALSE)</f>
        <v>A</v>
      </c>
    </row>
    <row r="343" spans="1:5" x14ac:dyDescent="0.2">
      <c r="A343" t="s">
        <v>245</v>
      </c>
      <c r="B343" t="s">
        <v>728</v>
      </c>
      <c r="C343" t="str">
        <f>IF(ISERROR(MATCH(A343,'SegEnds_Xtal_Prot#'!B:B, 0)), "NoXtal", "Xtal")</f>
        <v>NoXtal</v>
      </c>
      <c r="D343" t="str">
        <f t="shared" si="5"/>
        <v>human</v>
      </c>
      <c r="E343" t="str">
        <f>VLOOKUP(A343,Classification!A:B,2,FALSE)</f>
        <v>A</v>
      </c>
    </row>
    <row r="344" spans="1:5" x14ac:dyDescent="0.2">
      <c r="A344" t="s">
        <v>246</v>
      </c>
      <c r="B344" t="s">
        <v>729</v>
      </c>
      <c r="C344" t="str">
        <f>IF(ISERROR(MATCH(A344,'SegEnds_Xtal_Prot#'!B:B, 0)), "NoXtal", "Xtal")</f>
        <v>NoXtal</v>
      </c>
      <c r="D344" t="str">
        <f t="shared" si="5"/>
        <v>human</v>
      </c>
      <c r="E344" t="str">
        <f>VLOOKUP(A344,Classification!A:B,2,FALSE)</f>
        <v>A</v>
      </c>
    </row>
    <row r="345" spans="1:5" x14ac:dyDescent="0.2">
      <c r="A345" t="s">
        <v>247</v>
      </c>
      <c r="B345" t="s">
        <v>730</v>
      </c>
      <c r="C345" t="str">
        <f>IF(ISERROR(MATCH(A345,'SegEnds_Xtal_Prot#'!B:B, 0)), "NoXtal", "Xtal")</f>
        <v>NoXtal</v>
      </c>
      <c r="D345" t="str">
        <f t="shared" si="5"/>
        <v>human</v>
      </c>
      <c r="E345" t="str">
        <f>VLOOKUP(A345,Classification!A:B,2,FALSE)</f>
        <v>A</v>
      </c>
    </row>
    <row r="346" spans="1:5" x14ac:dyDescent="0.2">
      <c r="A346" t="s">
        <v>248</v>
      </c>
      <c r="B346" t="s">
        <v>731</v>
      </c>
      <c r="C346" t="str">
        <f>IF(ISERROR(MATCH(A346,'SegEnds_Xtal_Prot#'!B:B, 0)), "NoXtal", "Xtal")</f>
        <v>NoXtal</v>
      </c>
      <c r="D346" t="str">
        <f t="shared" si="5"/>
        <v>human</v>
      </c>
      <c r="E346" t="str">
        <f>VLOOKUP(A346,Classification!A:B,2,FALSE)</f>
        <v>A</v>
      </c>
    </row>
    <row r="347" spans="1:5" x14ac:dyDescent="0.2">
      <c r="A347" t="s">
        <v>250</v>
      </c>
      <c r="B347" t="s">
        <v>732</v>
      </c>
      <c r="C347" t="str">
        <f>IF(ISERROR(MATCH(A347,'SegEnds_Xtal_Prot#'!B:B, 0)), "NoXtal", "Xtal")</f>
        <v>NoXtal</v>
      </c>
      <c r="D347" t="str">
        <f t="shared" si="5"/>
        <v>human</v>
      </c>
      <c r="E347" t="str">
        <f>VLOOKUP(A347,Classification!A:B,2,FALSE)</f>
        <v>A</v>
      </c>
    </row>
    <row r="348" spans="1:5" x14ac:dyDescent="0.2">
      <c r="A348" t="s">
        <v>251</v>
      </c>
      <c r="B348" t="s">
        <v>733</v>
      </c>
      <c r="C348" t="str">
        <f>IF(ISERROR(MATCH(A348,'SegEnds_Xtal_Prot#'!B:B, 0)), "NoXtal", "Xtal")</f>
        <v>NoXtal</v>
      </c>
      <c r="D348" t="str">
        <f t="shared" si="5"/>
        <v>human</v>
      </c>
      <c r="E348" t="str">
        <f>VLOOKUP(A348,Classification!A:B,2,FALSE)</f>
        <v>A</v>
      </c>
    </row>
    <row r="349" spans="1:5" x14ac:dyDescent="0.2">
      <c r="A349" t="s">
        <v>252</v>
      </c>
      <c r="B349" t="s">
        <v>734</v>
      </c>
      <c r="C349" t="str">
        <f>IF(ISERROR(MATCH(A349,'SegEnds_Xtal_Prot#'!B:B, 0)), "NoXtal", "Xtal")</f>
        <v>NoXtal</v>
      </c>
      <c r="D349" t="str">
        <f t="shared" si="5"/>
        <v>human</v>
      </c>
      <c r="E349" t="str">
        <f>VLOOKUP(A349,Classification!A:B,2,FALSE)</f>
        <v>A</v>
      </c>
    </row>
    <row r="350" spans="1:5" x14ac:dyDescent="0.2">
      <c r="A350" t="s">
        <v>253</v>
      </c>
      <c r="B350" t="s">
        <v>735</v>
      </c>
      <c r="C350" t="str">
        <f>IF(ISERROR(MATCH(A350,'SegEnds_Xtal_Prot#'!B:B, 0)), "NoXtal", "Xtal")</f>
        <v>NoXtal</v>
      </c>
      <c r="D350" t="str">
        <f t="shared" si="5"/>
        <v>human</v>
      </c>
      <c r="E350" t="str">
        <f>VLOOKUP(A350,Classification!A:B,2,FALSE)</f>
        <v>A</v>
      </c>
    </row>
    <row r="351" spans="1:5" x14ac:dyDescent="0.2">
      <c r="A351" t="s">
        <v>254</v>
      </c>
      <c r="B351" t="s">
        <v>736</v>
      </c>
      <c r="C351" t="str">
        <f>IF(ISERROR(MATCH(A351,'SegEnds_Xtal_Prot#'!B:B, 0)), "NoXtal", "Xtal")</f>
        <v>NoXtal</v>
      </c>
      <c r="D351" t="str">
        <f t="shared" si="5"/>
        <v>human</v>
      </c>
      <c r="E351" t="str">
        <f>VLOOKUP(A351,Classification!A:B,2,FALSE)</f>
        <v>A</v>
      </c>
    </row>
    <row r="352" spans="1:5" x14ac:dyDescent="0.2">
      <c r="A352" t="s">
        <v>255</v>
      </c>
      <c r="B352" t="s">
        <v>737</v>
      </c>
      <c r="C352" t="str">
        <f>IF(ISERROR(MATCH(A352,'SegEnds_Xtal_Prot#'!B:B, 0)), "NoXtal", "Xtal")</f>
        <v>NoXtal</v>
      </c>
      <c r="D352" t="str">
        <f t="shared" si="5"/>
        <v>human</v>
      </c>
      <c r="E352" t="str">
        <f>VLOOKUP(A352,Classification!A:B,2,FALSE)</f>
        <v>A</v>
      </c>
    </row>
    <row r="353" spans="1:5" x14ac:dyDescent="0.2">
      <c r="A353" t="s">
        <v>197</v>
      </c>
      <c r="B353" t="s">
        <v>738</v>
      </c>
      <c r="C353" t="str">
        <f>IF(ISERROR(MATCH(A353,'SegEnds_Xtal_Prot#'!B:B, 0)), "NoXtal", "Xtal")</f>
        <v>NoXtal</v>
      </c>
      <c r="D353" t="str">
        <f t="shared" si="5"/>
        <v>human</v>
      </c>
      <c r="E353" t="str">
        <f>VLOOKUP(A353,Classification!A:B,2,FALSE)</f>
        <v>A</v>
      </c>
    </row>
    <row r="354" spans="1:5" x14ac:dyDescent="0.2">
      <c r="A354" t="s">
        <v>256</v>
      </c>
      <c r="B354" t="s">
        <v>739</v>
      </c>
      <c r="C354" t="str">
        <f>IF(ISERROR(MATCH(A354,'SegEnds_Xtal_Prot#'!B:B, 0)), "NoXtal", "Xtal")</f>
        <v>NoXtal</v>
      </c>
      <c r="D354" t="str">
        <f t="shared" si="5"/>
        <v>human</v>
      </c>
      <c r="E354" t="str">
        <f>VLOOKUP(A354,Classification!A:B,2,FALSE)</f>
        <v>A</v>
      </c>
    </row>
    <row r="355" spans="1:5" x14ac:dyDescent="0.2">
      <c r="A355" t="s">
        <v>259</v>
      </c>
      <c r="B355" t="s">
        <v>740</v>
      </c>
      <c r="C355" t="str">
        <f>IF(ISERROR(MATCH(A355,'SegEnds_Xtal_Prot#'!B:B, 0)), "NoXtal", "Xtal")</f>
        <v>NoXtal</v>
      </c>
      <c r="D355" t="str">
        <f t="shared" si="5"/>
        <v>human</v>
      </c>
      <c r="E355" t="str">
        <f>VLOOKUP(A355,Classification!A:B,2,FALSE)</f>
        <v>A</v>
      </c>
    </row>
    <row r="356" spans="1:5" x14ac:dyDescent="0.2">
      <c r="A356" t="s">
        <v>313</v>
      </c>
      <c r="B356" t="s">
        <v>741</v>
      </c>
      <c r="C356" t="str">
        <f>IF(ISERROR(MATCH(A356,'SegEnds_Xtal_Prot#'!B:B, 0)), "NoXtal", "Xtal")</f>
        <v>NoXtal</v>
      </c>
      <c r="D356" t="str">
        <f t="shared" si="5"/>
        <v>human</v>
      </c>
      <c r="E356" t="str">
        <f>VLOOKUP(A356,Classification!A:B,2,FALSE)</f>
        <v>A</v>
      </c>
    </row>
    <row r="357" spans="1:5" x14ac:dyDescent="0.2">
      <c r="A357" t="s">
        <v>260</v>
      </c>
      <c r="B357" t="s">
        <v>742</v>
      </c>
      <c r="C357" t="str">
        <f>IF(ISERROR(MATCH(A357,'SegEnds_Xtal_Prot#'!B:B, 0)), "NoXtal", "Xtal")</f>
        <v>NoXtal</v>
      </c>
      <c r="D357" t="str">
        <f t="shared" si="5"/>
        <v>human</v>
      </c>
      <c r="E357" t="str">
        <f>VLOOKUP(A357,Classification!A:B,2,FALSE)</f>
        <v>A</v>
      </c>
    </row>
    <row r="358" spans="1:5" x14ac:dyDescent="0.2">
      <c r="A358" t="s">
        <v>263</v>
      </c>
      <c r="B358" t="s">
        <v>743</v>
      </c>
      <c r="C358" t="str">
        <f>IF(ISERROR(MATCH(A358,'SegEnds_Xtal_Prot#'!B:B, 0)), "NoXtal", "Xtal")</f>
        <v>NoXtal</v>
      </c>
      <c r="D358" t="str">
        <f t="shared" si="5"/>
        <v>human</v>
      </c>
      <c r="E358" t="str">
        <f>VLOOKUP(A358,Classification!A:B,2,FALSE)</f>
        <v>A</v>
      </c>
    </row>
    <row r="359" spans="1:5" x14ac:dyDescent="0.2">
      <c r="A359" t="s">
        <v>264</v>
      </c>
      <c r="B359" t="s">
        <v>744</v>
      </c>
      <c r="C359" t="str">
        <f>IF(ISERROR(MATCH(A359,'SegEnds_Xtal_Prot#'!B:B, 0)), "NoXtal", "Xtal")</f>
        <v>NoXtal</v>
      </c>
      <c r="D359" t="str">
        <f t="shared" si="5"/>
        <v>human</v>
      </c>
      <c r="E359" t="str">
        <f>VLOOKUP(A359,Classification!A:B,2,FALSE)</f>
        <v>A</v>
      </c>
    </row>
    <row r="360" spans="1:5" x14ac:dyDescent="0.2">
      <c r="A360" t="s">
        <v>265</v>
      </c>
      <c r="B360" t="s">
        <v>745</v>
      </c>
      <c r="C360" t="str">
        <f>IF(ISERROR(MATCH(A360,'SegEnds_Xtal_Prot#'!B:B, 0)), "NoXtal", "Xtal")</f>
        <v>NoXtal</v>
      </c>
      <c r="D360" t="str">
        <f t="shared" si="5"/>
        <v>human</v>
      </c>
      <c r="E360" t="str">
        <f>VLOOKUP(A360,Classification!A:B,2,FALSE)</f>
        <v>A</v>
      </c>
    </row>
    <row r="361" spans="1:5" x14ac:dyDescent="0.2">
      <c r="A361" t="s">
        <v>370</v>
      </c>
      <c r="B361" t="s">
        <v>746</v>
      </c>
      <c r="C361" t="str">
        <f>IF(ISERROR(MATCH(A361,'SegEnds_Xtal_Prot#'!B:B, 0)), "NoXtal", "Xtal")</f>
        <v>NoXtal</v>
      </c>
      <c r="D361" t="str">
        <f t="shared" si="5"/>
        <v>human</v>
      </c>
      <c r="E361" t="str">
        <f>VLOOKUP(A361,Classification!A:B,2,FALSE)</f>
        <v>A</v>
      </c>
    </row>
    <row r="362" spans="1:5" x14ac:dyDescent="0.2">
      <c r="A362" t="s">
        <v>331</v>
      </c>
      <c r="B362" t="s">
        <v>747</v>
      </c>
      <c r="C362" t="str">
        <f>IF(ISERROR(MATCH(A362,'SegEnds_Xtal_Prot#'!B:B, 0)), "NoXtal", "Xtal")</f>
        <v>NoXtal</v>
      </c>
      <c r="D362" t="str">
        <f t="shared" si="5"/>
        <v>human</v>
      </c>
      <c r="E362" t="str">
        <f>VLOOKUP(A362,Classification!A:B,2,FALSE)</f>
        <v>A</v>
      </c>
    </row>
    <row r="363" spans="1:5" x14ac:dyDescent="0.2">
      <c r="A363" t="s">
        <v>266</v>
      </c>
      <c r="B363" t="s">
        <v>748</v>
      </c>
      <c r="C363" t="str">
        <f>IF(ISERROR(MATCH(A363,'SegEnds_Xtal_Prot#'!B:B, 0)), "NoXtal", "Xtal")</f>
        <v>NoXtal</v>
      </c>
      <c r="D363" t="str">
        <f t="shared" si="5"/>
        <v>human</v>
      </c>
      <c r="E363" t="str">
        <f>VLOOKUP(A363,Classification!A:B,2,FALSE)</f>
        <v>A</v>
      </c>
    </row>
    <row r="364" spans="1:5" x14ac:dyDescent="0.2">
      <c r="A364" t="s">
        <v>267</v>
      </c>
      <c r="B364" t="s">
        <v>749</v>
      </c>
      <c r="C364" t="str">
        <f>IF(ISERROR(MATCH(A364,'SegEnds_Xtal_Prot#'!B:B, 0)), "NoXtal", "Xtal")</f>
        <v>NoXtal</v>
      </c>
      <c r="D364" t="str">
        <f t="shared" si="5"/>
        <v>human</v>
      </c>
      <c r="E364" t="str">
        <f>VLOOKUP(A364,Classification!A:B,2,FALSE)</f>
        <v>A</v>
      </c>
    </row>
    <row r="365" spans="1:5" x14ac:dyDescent="0.2">
      <c r="A365" t="s">
        <v>268</v>
      </c>
      <c r="B365" t="s">
        <v>750</v>
      </c>
      <c r="C365" t="str">
        <f>IF(ISERROR(MATCH(A365,'SegEnds_Xtal_Prot#'!B:B, 0)), "NoXtal", "Xtal")</f>
        <v>NoXtal</v>
      </c>
      <c r="D365" t="str">
        <f t="shared" si="5"/>
        <v>human</v>
      </c>
      <c r="E365" t="str">
        <f>VLOOKUP(A365,Classification!A:B,2,FALSE)</f>
        <v>A</v>
      </c>
    </row>
    <row r="366" spans="1:5" x14ac:dyDescent="0.2">
      <c r="A366" t="s">
        <v>269</v>
      </c>
      <c r="B366" t="s">
        <v>751</v>
      </c>
      <c r="C366" t="str">
        <f>IF(ISERROR(MATCH(A366,'SegEnds_Xtal_Prot#'!B:B, 0)), "NoXtal", "Xtal")</f>
        <v>NoXtal</v>
      </c>
      <c r="D366" t="str">
        <f t="shared" si="5"/>
        <v>human</v>
      </c>
      <c r="E366" t="str">
        <f>VLOOKUP(A366,Classification!A:B,2,FALSE)</f>
        <v>A</v>
      </c>
    </row>
    <row r="367" spans="1:5" x14ac:dyDescent="0.2">
      <c r="A367" t="s">
        <v>270</v>
      </c>
      <c r="B367" t="s">
        <v>752</v>
      </c>
      <c r="C367" t="str">
        <f>IF(ISERROR(MATCH(A367,'SegEnds_Xtal_Prot#'!B:B, 0)), "NoXtal", "Xtal")</f>
        <v>NoXtal</v>
      </c>
      <c r="D367" t="str">
        <f t="shared" si="5"/>
        <v>human</v>
      </c>
      <c r="E367" t="str">
        <f>VLOOKUP(A367,Classification!A:B,2,FALSE)</f>
        <v>A</v>
      </c>
    </row>
    <row r="368" spans="1:5" x14ac:dyDescent="0.2">
      <c r="A368" t="s">
        <v>271</v>
      </c>
      <c r="B368" t="s">
        <v>753</v>
      </c>
      <c r="C368" t="str">
        <f>IF(ISERROR(MATCH(A368,'SegEnds_Xtal_Prot#'!B:B, 0)), "NoXtal", "Xtal")</f>
        <v>NoXtal</v>
      </c>
      <c r="D368" t="str">
        <f t="shared" si="5"/>
        <v>human</v>
      </c>
      <c r="E368" t="str">
        <f>VLOOKUP(A368,Classification!A:B,2,FALSE)</f>
        <v>A</v>
      </c>
    </row>
    <row r="369" spans="1:5" x14ac:dyDescent="0.2">
      <c r="A369" t="s">
        <v>272</v>
      </c>
      <c r="B369" t="s">
        <v>754</v>
      </c>
      <c r="C369" t="str">
        <f>IF(ISERROR(MATCH(A369,'SegEnds_Xtal_Prot#'!B:B, 0)), "NoXtal", "Xtal")</f>
        <v>NoXtal</v>
      </c>
      <c r="D369" t="str">
        <f t="shared" si="5"/>
        <v>human</v>
      </c>
      <c r="E369" t="str">
        <f>VLOOKUP(A369,Classification!A:B,2,FALSE)</f>
        <v>A</v>
      </c>
    </row>
    <row r="370" spans="1:5" x14ac:dyDescent="0.2">
      <c r="A370" t="s">
        <v>273</v>
      </c>
      <c r="B370" t="s">
        <v>755</v>
      </c>
      <c r="C370" t="str">
        <f>IF(ISERROR(MATCH(A370,'SegEnds_Xtal_Prot#'!B:B, 0)), "NoXtal", "Xtal")</f>
        <v>NoXtal</v>
      </c>
      <c r="D370" t="str">
        <f t="shared" si="5"/>
        <v>human</v>
      </c>
      <c r="E370" t="str">
        <f>VLOOKUP(A370,Classification!A:B,2,FALSE)</f>
        <v>A</v>
      </c>
    </row>
    <row r="371" spans="1:5" x14ac:dyDescent="0.2">
      <c r="A371" t="s">
        <v>212</v>
      </c>
      <c r="B371" t="s">
        <v>756</v>
      </c>
      <c r="C371" t="str">
        <f>IF(ISERROR(MATCH(A371,'SegEnds_Xtal_Prot#'!B:B, 0)), "NoXtal", "Xtal")</f>
        <v>NoXtal</v>
      </c>
      <c r="D371" t="str">
        <f t="shared" si="5"/>
        <v>human</v>
      </c>
      <c r="E371" t="str">
        <f>VLOOKUP(A371,Classification!A:B,2,FALSE)</f>
        <v>A</v>
      </c>
    </row>
    <row r="372" spans="1:5" x14ac:dyDescent="0.2">
      <c r="A372" t="s">
        <v>214</v>
      </c>
      <c r="B372" t="s">
        <v>757</v>
      </c>
      <c r="C372" t="str">
        <f>IF(ISERROR(MATCH(A372,'SegEnds_Xtal_Prot#'!B:B, 0)), "NoXtal", "Xtal")</f>
        <v>NoXtal</v>
      </c>
      <c r="D372" t="str">
        <f t="shared" si="5"/>
        <v>human</v>
      </c>
      <c r="E372" t="str">
        <f>VLOOKUP(A372,Classification!A:B,2,FALSE)</f>
        <v>A</v>
      </c>
    </row>
    <row r="373" spans="1:5" x14ac:dyDescent="0.2">
      <c r="A373" t="s">
        <v>215</v>
      </c>
      <c r="B373" t="s">
        <v>758</v>
      </c>
      <c r="C373" t="str">
        <f>IF(ISERROR(MATCH(A373,'SegEnds_Xtal_Prot#'!B:B, 0)), "NoXtal", "Xtal")</f>
        <v>NoXtal</v>
      </c>
      <c r="D373" t="str">
        <f t="shared" si="5"/>
        <v>human</v>
      </c>
      <c r="E373" t="str">
        <f>VLOOKUP(A373,Classification!A:B,2,FALSE)</f>
        <v>A</v>
      </c>
    </row>
    <row r="374" spans="1:5" x14ac:dyDescent="0.2">
      <c r="A374" t="s">
        <v>216</v>
      </c>
      <c r="B374" t="s">
        <v>759</v>
      </c>
      <c r="C374" t="str">
        <f>IF(ISERROR(MATCH(A374,'SegEnds_Xtal_Prot#'!B:B, 0)), "NoXtal", "Xtal")</f>
        <v>NoXtal</v>
      </c>
      <c r="D374" t="str">
        <f t="shared" si="5"/>
        <v>human</v>
      </c>
      <c r="E374" t="str">
        <f>VLOOKUP(A374,Classification!A:B,2,FALSE)</f>
        <v>A</v>
      </c>
    </row>
    <row r="375" spans="1:5" x14ac:dyDescent="0.2">
      <c r="A375" t="s">
        <v>217</v>
      </c>
      <c r="B375" t="s">
        <v>760</v>
      </c>
      <c r="C375" t="str">
        <f>IF(ISERROR(MATCH(A375,'SegEnds_Xtal_Prot#'!B:B, 0)), "NoXtal", "Xtal")</f>
        <v>NoXtal</v>
      </c>
      <c r="D375" t="str">
        <f t="shared" si="5"/>
        <v>human</v>
      </c>
      <c r="E375" t="str">
        <f>VLOOKUP(A375,Classification!A:B,2,FALSE)</f>
        <v>A</v>
      </c>
    </row>
    <row r="376" spans="1:5" x14ac:dyDescent="0.2">
      <c r="A376" t="s">
        <v>218</v>
      </c>
      <c r="B376" t="s">
        <v>761</v>
      </c>
      <c r="C376" t="str">
        <f>IF(ISERROR(MATCH(A376,'SegEnds_Xtal_Prot#'!B:B, 0)), "NoXtal", "Xtal")</f>
        <v>NoXtal</v>
      </c>
      <c r="D376" t="str">
        <f t="shared" si="5"/>
        <v>human</v>
      </c>
      <c r="E376" t="str">
        <f>VLOOKUP(A376,Classification!A:B,2,FALSE)</f>
        <v>A</v>
      </c>
    </row>
    <row r="377" spans="1:5" x14ac:dyDescent="0.2">
      <c r="A377" t="s">
        <v>219</v>
      </c>
      <c r="B377" t="s">
        <v>762</v>
      </c>
      <c r="C377" t="str">
        <f>IF(ISERROR(MATCH(A377,'SegEnds_Xtal_Prot#'!B:B, 0)), "NoXtal", "Xtal")</f>
        <v>NoXtal</v>
      </c>
      <c r="D377" t="str">
        <f t="shared" si="5"/>
        <v>human</v>
      </c>
      <c r="E377" t="str">
        <f>VLOOKUP(A377,Classification!A:B,2,FALSE)</f>
        <v>A</v>
      </c>
    </row>
    <row r="378" spans="1:5" x14ac:dyDescent="0.2">
      <c r="A378" t="s">
        <v>220</v>
      </c>
      <c r="B378" t="s">
        <v>763</v>
      </c>
      <c r="C378" t="str">
        <f>IF(ISERROR(MATCH(A378,'SegEnds_Xtal_Prot#'!B:B, 0)), "NoXtal", "Xtal")</f>
        <v>NoXtal</v>
      </c>
      <c r="D378" t="str">
        <f t="shared" si="5"/>
        <v>human</v>
      </c>
      <c r="E378" t="str">
        <f>VLOOKUP(A378,Classification!A:B,2,FALSE)</f>
        <v>A</v>
      </c>
    </row>
    <row r="379" spans="1:5" x14ac:dyDescent="0.2">
      <c r="A379" t="s">
        <v>221</v>
      </c>
      <c r="B379" t="s">
        <v>764</v>
      </c>
      <c r="C379" t="str">
        <f>IF(ISERROR(MATCH(A379,'SegEnds_Xtal_Prot#'!B:B, 0)), "NoXtal", "Xtal")</f>
        <v>NoXtal</v>
      </c>
      <c r="D379" t="str">
        <f t="shared" si="5"/>
        <v>human</v>
      </c>
      <c r="E379" t="str">
        <f>VLOOKUP(A379,Classification!A:B,2,FALSE)</f>
        <v>A</v>
      </c>
    </row>
    <row r="380" spans="1:5" x14ac:dyDescent="0.2">
      <c r="A380" t="s">
        <v>222</v>
      </c>
      <c r="B380" t="s">
        <v>765</v>
      </c>
      <c r="C380" t="str">
        <f>IF(ISERROR(MATCH(A380,'SegEnds_Xtal_Prot#'!B:B, 0)), "NoXtal", "Xtal")</f>
        <v>NoXtal</v>
      </c>
      <c r="D380" t="str">
        <f t="shared" si="5"/>
        <v>human</v>
      </c>
      <c r="E380" t="str">
        <f>VLOOKUP(A380,Classification!A:B,2,FALSE)</f>
        <v>A</v>
      </c>
    </row>
    <row r="381" spans="1:5" x14ac:dyDescent="0.2">
      <c r="A381" t="s">
        <v>223</v>
      </c>
      <c r="B381" t="s">
        <v>766</v>
      </c>
      <c r="C381" t="str">
        <f>IF(ISERROR(MATCH(A381,'SegEnds_Xtal_Prot#'!B:B, 0)), "NoXtal", "Xtal")</f>
        <v>NoXtal</v>
      </c>
      <c r="D381" t="str">
        <f t="shared" si="5"/>
        <v>human</v>
      </c>
      <c r="E381" t="str">
        <f>VLOOKUP(A381,Classification!A:B,2,FALSE)</f>
        <v>A</v>
      </c>
    </row>
    <row r="382" spans="1:5" x14ac:dyDescent="0.2">
      <c r="A382" t="s">
        <v>224</v>
      </c>
      <c r="B382" t="s">
        <v>767</v>
      </c>
      <c r="C382" t="str">
        <f>IF(ISERROR(MATCH(A382,'SegEnds_Xtal_Prot#'!B:B, 0)), "NoXtal", "Xtal")</f>
        <v>NoXtal</v>
      </c>
      <c r="D382" t="str">
        <f t="shared" si="5"/>
        <v>human</v>
      </c>
      <c r="E382" t="str">
        <f>VLOOKUP(A382,Classification!A:B,2,FALSE)</f>
        <v>A</v>
      </c>
    </row>
    <row r="383" spans="1:5" x14ac:dyDescent="0.2">
      <c r="A383" t="s">
        <v>225</v>
      </c>
      <c r="B383" t="s">
        <v>768</v>
      </c>
      <c r="C383" t="str">
        <f>IF(ISERROR(MATCH(A383,'SegEnds_Xtal_Prot#'!B:B, 0)), "NoXtal", "Xtal")</f>
        <v>NoXtal</v>
      </c>
      <c r="D383" t="str">
        <f t="shared" si="5"/>
        <v>human</v>
      </c>
      <c r="E383" t="str">
        <f>VLOOKUP(A383,Classification!A:B,2,FALSE)</f>
        <v>A</v>
      </c>
    </row>
    <row r="384" spans="1:5" x14ac:dyDescent="0.2">
      <c r="A384" t="s">
        <v>226</v>
      </c>
      <c r="B384" t="s">
        <v>769</v>
      </c>
      <c r="C384" t="str">
        <f>IF(ISERROR(MATCH(A384,'SegEnds_Xtal_Prot#'!B:B, 0)), "NoXtal", "Xtal")</f>
        <v>NoXtal</v>
      </c>
      <c r="D384" t="str">
        <f t="shared" si="5"/>
        <v>human</v>
      </c>
      <c r="E384" t="str">
        <f>VLOOKUP(A384,Classification!A:B,2,FALSE)</f>
        <v>A</v>
      </c>
    </row>
    <row r="385" spans="1:5" x14ac:dyDescent="0.2">
      <c r="A385" t="s">
        <v>227</v>
      </c>
      <c r="B385" t="s">
        <v>770</v>
      </c>
      <c r="C385" t="str">
        <f>IF(ISERROR(MATCH(A385,'SegEnds_Xtal_Prot#'!B:B, 0)), "NoXtal", "Xtal")</f>
        <v>NoXtal</v>
      </c>
      <c r="D385" t="str">
        <f t="shared" si="5"/>
        <v>human</v>
      </c>
      <c r="E385" t="str">
        <f>VLOOKUP(A385,Classification!A:B,2,FALSE)</f>
        <v>A</v>
      </c>
    </row>
    <row r="386" spans="1:5" x14ac:dyDescent="0.2">
      <c r="A386" t="s">
        <v>228</v>
      </c>
      <c r="B386" t="s">
        <v>771</v>
      </c>
      <c r="C386" t="str">
        <f>IF(ISERROR(MATCH(A386,'SegEnds_Xtal_Prot#'!B:B, 0)), "NoXtal", "Xtal")</f>
        <v>NoXtal</v>
      </c>
      <c r="D386" t="str">
        <f t="shared" si="5"/>
        <v>human</v>
      </c>
      <c r="E386" t="str">
        <f>VLOOKUP(A386,Classification!A:B,2,FALSE)</f>
        <v>A</v>
      </c>
    </row>
    <row r="387" spans="1:5" x14ac:dyDescent="0.2">
      <c r="A387" t="s">
        <v>229</v>
      </c>
      <c r="B387" t="s">
        <v>772</v>
      </c>
      <c r="C387" t="str">
        <f>IF(ISERROR(MATCH(A387,'SegEnds_Xtal_Prot#'!B:B, 0)), "NoXtal", "Xtal")</f>
        <v>NoXtal</v>
      </c>
      <c r="D387" t="str">
        <f t="shared" si="5"/>
        <v>human</v>
      </c>
      <c r="E387" t="str">
        <f>VLOOKUP(A387,Classification!A:B,2,FALSE)</f>
        <v>A</v>
      </c>
    </row>
    <row r="388" spans="1:5" x14ac:dyDescent="0.2">
      <c r="A388" t="s">
        <v>230</v>
      </c>
      <c r="B388" t="s">
        <v>773</v>
      </c>
      <c r="C388" t="str">
        <f>IF(ISERROR(MATCH(A388,'SegEnds_Xtal_Prot#'!B:B, 0)), "NoXtal", "Xtal")</f>
        <v>NoXtal</v>
      </c>
      <c r="D388" t="str">
        <f t="shared" si="5"/>
        <v>human</v>
      </c>
      <c r="E388" t="str">
        <f>VLOOKUP(A388,Classification!A:B,2,FALSE)</f>
        <v>A</v>
      </c>
    </row>
    <row r="389" spans="1:5" x14ac:dyDescent="0.2">
      <c r="A389" t="s">
        <v>231</v>
      </c>
      <c r="B389" t="s">
        <v>774</v>
      </c>
      <c r="C389" t="str">
        <f>IF(ISERROR(MATCH(A389,'SegEnds_Xtal_Prot#'!B:B, 0)), "NoXtal", "Xtal")</f>
        <v>NoXtal</v>
      </c>
      <c r="D389" t="str">
        <f t="shared" si="5"/>
        <v>human</v>
      </c>
      <c r="E389" t="str">
        <f>VLOOKUP(A389,Classification!A:B,2,FALSE)</f>
        <v>A</v>
      </c>
    </row>
    <row r="390" spans="1:5" x14ac:dyDescent="0.2">
      <c r="A390" t="s">
        <v>232</v>
      </c>
      <c r="B390" t="s">
        <v>775</v>
      </c>
      <c r="C390" t="str">
        <f>IF(ISERROR(MATCH(A390,'SegEnds_Xtal_Prot#'!B:B, 0)), "NoXtal", "Xtal")</f>
        <v>NoXtal</v>
      </c>
      <c r="D390" t="str">
        <f t="shared" si="5"/>
        <v>human</v>
      </c>
      <c r="E390" t="str">
        <f>VLOOKUP(A390,Classification!A:B,2,FALSE)</f>
        <v>A</v>
      </c>
    </row>
    <row r="391" spans="1:5" x14ac:dyDescent="0.2">
      <c r="A391" t="s">
        <v>233</v>
      </c>
      <c r="B391" t="s">
        <v>776</v>
      </c>
      <c r="C391" t="str">
        <f>IF(ISERROR(MATCH(A391,'SegEnds_Xtal_Prot#'!B:B, 0)), "NoXtal", "Xtal")</f>
        <v>NoXtal</v>
      </c>
      <c r="D391" t="str">
        <f t="shared" ref="D391:D413" si="6">MID(A391,FIND("_",A391)+1,LEN(A391)-FIND("_",A391))</f>
        <v>human</v>
      </c>
      <c r="E391" t="str">
        <f>VLOOKUP(A391,Classification!A:B,2,FALSE)</f>
        <v>A</v>
      </c>
    </row>
    <row r="392" spans="1:5" x14ac:dyDescent="0.2">
      <c r="A392" t="s">
        <v>234</v>
      </c>
      <c r="B392" t="s">
        <v>777</v>
      </c>
      <c r="C392" t="str">
        <f>IF(ISERROR(MATCH(A392,'SegEnds_Xtal_Prot#'!B:B, 0)), "NoXtal", "Xtal")</f>
        <v>NoXtal</v>
      </c>
      <c r="D392" t="str">
        <f t="shared" si="6"/>
        <v>human</v>
      </c>
      <c r="E392" t="str">
        <f>VLOOKUP(A392,Classification!A:B,2,FALSE)</f>
        <v>A</v>
      </c>
    </row>
    <row r="393" spans="1:5" x14ac:dyDescent="0.2">
      <c r="A393" t="s">
        <v>283</v>
      </c>
      <c r="B393" t="s">
        <v>778</v>
      </c>
      <c r="C393" t="str">
        <f>IF(ISERROR(MATCH(A393,'SegEnds_Xtal_Prot#'!B:B, 0)), "NoXtal", "Xtal")</f>
        <v>NoXtal</v>
      </c>
      <c r="D393" t="str">
        <f t="shared" si="6"/>
        <v>human</v>
      </c>
      <c r="E393" t="str">
        <f>VLOOKUP(A393,Classification!A:B,2,FALSE)</f>
        <v>A</v>
      </c>
    </row>
    <row r="394" spans="1:5" x14ac:dyDescent="0.2">
      <c r="A394" t="s">
        <v>284</v>
      </c>
      <c r="B394" t="s">
        <v>779</v>
      </c>
      <c r="C394" t="str">
        <f>IF(ISERROR(MATCH(A394,'SegEnds_Xtal_Prot#'!B:B, 0)), "NoXtal", "Xtal")</f>
        <v>NoXtal</v>
      </c>
      <c r="D394" t="str">
        <f t="shared" si="6"/>
        <v>human</v>
      </c>
      <c r="E394" t="str">
        <f>VLOOKUP(A394,Classification!A:B,2,FALSE)</f>
        <v>A</v>
      </c>
    </row>
    <row r="395" spans="1:5" x14ac:dyDescent="0.2">
      <c r="A395" t="s">
        <v>285</v>
      </c>
      <c r="B395" t="s">
        <v>780</v>
      </c>
      <c r="C395" t="str">
        <f>IF(ISERROR(MATCH(A395,'SegEnds_Xtal_Prot#'!B:B, 0)), "NoXtal", "Xtal")</f>
        <v>NoXtal</v>
      </c>
      <c r="D395" t="str">
        <f t="shared" si="6"/>
        <v>human</v>
      </c>
      <c r="E395" t="str">
        <f>VLOOKUP(A395,Classification!A:B,2,FALSE)</f>
        <v>A</v>
      </c>
    </row>
    <row r="396" spans="1:5" x14ac:dyDescent="0.2">
      <c r="A396" t="s">
        <v>294</v>
      </c>
      <c r="B396" t="s">
        <v>781</v>
      </c>
      <c r="C396" t="str">
        <f>IF(ISERROR(MATCH(A396,'SegEnds_Xtal_Prot#'!B:B, 0)), "NoXtal", "Xtal")</f>
        <v>NoXtal</v>
      </c>
      <c r="D396" t="str">
        <f t="shared" si="6"/>
        <v>human</v>
      </c>
      <c r="E396" t="str">
        <f>VLOOKUP(A396,Classification!A:B,2,FALSE)</f>
        <v>A</v>
      </c>
    </row>
    <row r="397" spans="1:5" x14ac:dyDescent="0.2">
      <c r="A397" t="s">
        <v>295</v>
      </c>
      <c r="B397" t="s">
        <v>782</v>
      </c>
      <c r="C397" t="str">
        <f>IF(ISERROR(MATCH(A397,'SegEnds_Xtal_Prot#'!B:B, 0)), "NoXtal", "Xtal")</f>
        <v>NoXtal</v>
      </c>
      <c r="D397" t="str">
        <f t="shared" si="6"/>
        <v>human</v>
      </c>
      <c r="E397" t="str">
        <f>VLOOKUP(A397,Classification!A:B,2,FALSE)</f>
        <v>A</v>
      </c>
    </row>
    <row r="398" spans="1:5" x14ac:dyDescent="0.2">
      <c r="A398" t="s">
        <v>301</v>
      </c>
      <c r="B398" t="s">
        <v>783</v>
      </c>
      <c r="C398" t="str">
        <f>IF(ISERROR(MATCH(A398,'SegEnds_Xtal_Prot#'!B:B, 0)), "NoXtal", "Xtal")</f>
        <v>NoXtal</v>
      </c>
      <c r="D398" t="str">
        <f t="shared" si="6"/>
        <v>human</v>
      </c>
      <c r="E398" t="str">
        <f>VLOOKUP(A398,Classification!A:B,2,FALSE)</f>
        <v>A</v>
      </c>
    </row>
    <row r="399" spans="1:5" x14ac:dyDescent="0.2">
      <c r="A399" t="s">
        <v>302</v>
      </c>
      <c r="B399" t="s">
        <v>784</v>
      </c>
      <c r="C399" t="str">
        <f>IF(ISERROR(MATCH(A399,'SegEnds_Xtal_Prot#'!B:B, 0)), "NoXtal", "Xtal")</f>
        <v>NoXtal</v>
      </c>
      <c r="D399" t="str">
        <f t="shared" si="6"/>
        <v>human</v>
      </c>
      <c r="E399" t="str">
        <f>VLOOKUP(A399,Classification!A:B,2,FALSE)</f>
        <v>A</v>
      </c>
    </row>
    <row r="400" spans="1:5" x14ac:dyDescent="0.2">
      <c r="A400" t="s">
        <v>303</v>
      </c>
      <c r="B400" t="s">
        <v>785</v>
      </c>
      <c r="C400" t="str">
        <f>IF(ISERROR(MATCH(A400,'SegEnds_Xtal_Prot#'!B:B, 0)), "NoXtal", "Xtal")</f>
        <v>NoXtal</v>
      </c>
      <c r="D400" t="str">
        <f t="shared" si="6"/>
        <v>human</v>
      </c>
      <c r="E400" t="str">
        <f>VLOOKUP(A400,Classification!A:B,2,FALSE)</f>
        <v>A</v>
      </c>
    </row>
    <row r="401" spans="1:5" x14ac:dyDescent="0.2">
      <c r="A401" t="s">
        <v>304</v>
      </c>
      <c r="B401" t="s">
        <v>786</v>
      </c>
      <c r="C401" t="str">
        <f>IF(ISERROR(MATCH(A401,'SegEnds_Xtal_Prot#'!B:B, 0)), "NoXtal", "Xtal")</f>
        <v>NoXtal</v>
      </c>
      <c r="D401" t="str">
        <f t="shared" si="6"/>
        <v>human</v>
      </c>
      <c r="E401" t="str">
        <f>VLOOKUP(A401,Classification!A:B,2,FALSE)</f>
        <v>A</v>
      </c>
    </row>
    <row r="402" spans="1:5" x14ac:dyDescent="0.2">
      <c r="A402" t="s">
        <v>305</v>
      </c>
      <c r="B402" t="s">
        <v>787</v>
      </c>
      <c r="C402" t="str">
        <f>IF(ISERROR(MATCH(A402,'SegEnds_Xtal_Prot#'!B:B, 0)), "NoXtal", "Xtal")</f>
        <v>NoXtal</v>
      </c>
      <c r="D402" t="str">
        <f t="shared" si="6"/>
        <v>human</v>
      </c>
      <c r="E402" t="str">
        <f>VLOOKUP(A402,Classification!A:B,2,FALSE)</f>
        <v>A</v>
      </c>
    </row>
    <row r="403" spans="1:5" x14ac:dyDescent="0.2">
      <c r="A403" t="s">
        <v>306</v>
      </c>
      <c r="B403" t="s">
        <v>788</v>
      </c>
      <c r="C403" t="str">
        <f>IF(ISERROR(MATCH(A403,'SegEnds_Xtal_Prot#'!B:B, 0)), "NoXtal", "Xtal")</f>
        <v>NoXtal</v>
      </c>
      <c r="D403" t="str">
        <f t="shared" si="6"/>
        <v>human</v>
      </c>
      <c r="E403" t="str">
        <f>VLOOKUP(A403,Classification!A:B,2,FALSE)</f>
        <v>A</v>
      </c>
    </row>
    <row r="404" spans="1:5" x14ac:dyDescent="0.2">
      <c r="A404" t="s">
        <v>307</v>
      </c>
      <c r="B404" t="s">
        <v>789</v>
      </c>
      <c r="C404" t="str">
        <f>IF(ISERROR(MATCH(A404,'SegEnds_Xtal_Prot#'!B:B, 0)), "NoXtal", "Xtal")</f>
        <v>NoXtal</v>
      </c>
      <c r="D404" t="str">
        <f t="shared" si="6"/>
        <v>human</v>
      </c>
      <c r="E404" t="str">
        <f>VLOOKUP(A404,Classification!A:B,2,FALSE)</f>
        <v>A</v>
      </c>
    </row>
    <row r="405" spans="1:5" x14ac:dyDescent="0.2">
      <c r="A405" t="s">
        <v>308</v>
      </c>
      <c r="B405" t="s">
        <v>790</v>
      </c>
      <c r="C405" t="str">
        <f>IF(ISERROR(MATCH(A405,'SegEnds_Xtal_Prot#'!B:B, 0)), "NoXtal", "Xtal")</f>
        <v>NoXtal</v>
      </c>
      <c r="D405" t="str">
        <f t="shared" si="6"/>
        <v>human</v>
      </c>
      <c r="E405" t="str">
        <f>VLOOKUP(A405,Classification!A:B,2,FALSE)</f>
        <v>A</v>
      </c>
    </row>
    <row r="406" spans="1:5" x14ac:dyDescent="0.2">
      <c r="A406" t="s">
        <v>349</v>
      </c>
      <c r="B406" t="s">
        <v>791</v>
      </c>
      <c r="C406" t="str">
        <f>IF(ISERROR(MATCH(A406,'SegEnds_Xtal_Prot#'!B:B, 0)), "NoXtal", "Xtal")</f>
        <v>NoXtal</v>
      </c>
      <c r="D406" t="str">
        <f t="shared" si="6"/>
        <v>human</v>
      </c>
      <c r="E406" t="str">
        <f>VLOOKUP(A406,Classification!A:B,2,FALSE)</f>
        <v>A</v>
      </c>
    </row>
    <row r="407" spans="1:5" x14ac:dyDescent="0.2">
      <c r="A407" t="s">
        <v>350</v>
      </c>
      <c r="B407" t="s">
        <v>792</v>
      </c>
      <c r="C407" t="str">
        <f>IF(ISERROR(MATCH(A407,'SegEnds_Xtal_Prot#'!B:B, 0)), "NoXtal", "Xtal")</f>
        <v>NoXtal</v>
      </c>
      <c r="D407" t="str">
        <f t="shared" si="6"/>
        <v>human</v>
      </c>
      <c r="E407" t="str">
        <f>VLOOKUP(A407,Classification!A:B,2,FALSE)</f>
        <v>A</v>
      </c>
    </row>
    <row r="408" spans="1:5" x14ac:dyDescent="0.2">
      <c r="A408" t="s">
        <v>388</v>
      </c>
      <c r="B408" t="s">
        <v>793</v>
      </c>
      <c r="C408" t="str">
        <f>IF(ISERROR(MATCH(A408,'SegEnds_Xtal_Prot#'!B:B, 0)), "NoXtal", "Xtal")</f>
        <v>NoXtal</v>
      </c>
      <c r="D408" t="str">
        <f t="shared" si="6"/>
        <v>human</v>
      </c>
      <c r="E408" t="str">
        <f>VLOOKUP(A408,Classification!A:B,2,FALSE)</f>
        <v>A</v>
      </c>
    </row>
    <row r="409" spans="1:5" x14ac:dyDescent="0.2">
      <c r="A409" t="s">
        <v>389</v>
      </c>
      <c r="B409" t="s">
        <v>794</v>
      </c>
      <c r="C409" t="str">
        <f>IF(ISERROR(MATCH(A409,'SegEnds_Xtal_Prot#'!B:B, 0)), "NoXtal", "Xtal")</f>
        <v>NoXtal</v>
      </c>
      <c r="D409" t="str">
        <f t="shared" si="6"/>
        <v>human</v>
      </c>
      <c r="E409" t="str">
        <f>VLOOKUP(A409,Classification!A:B,2,FALSE)</f>
        <v>A</v>
      </c>
    </row>
    <row r="410" spans="1:5" x14ac:dyDescent="0.2">
      <c r="A410" t="s">
        <v>390</v>
      </c>
      <c r="B410" t="s">
        <v>795</v>
      </c>
      <c r="C410" t="str">
        <f>IF(ISERROR(MATCH(A410,'SegEnds_Xtal_Prot#'!B:B, 0)), "NoXtal", "Xtal")</f>
        <v>NoXtal</v>
      </c>
      <c r="D410" t="str">
        <f t="shared" si="6"/>
        <v>human</v>
      </c>
      <c r="E410" t="str">
        <f>VLOOKUP(A410,Classification!A:B,2,FALSE)</f>
        <v>A</v>
      </c>
    </row>
    <row r="411" spans="1:5" x14ac:dyDescent="0.2">
      <c r="A411" t="s">
        <v>391</v>
      </c>
      <c r="B411" t="s">
        <v>796</v>
      </c>
      <c r="C411" t="str">
        <f>IF(ISERROR(MATCH(A411,'SegEnds_Xtal_Prot#'!B:B, 0)), "NoXtal", "Xtal")</f>
        <v>NoXtal</v>
      </c>
      <c r="D411" t="str">
        <f t="shared" si="6"/>
        <v>human</v>
      </c>
      <c r="E411" t="str">
        <f>VLOOKUP(A411,Classification!A:B,2,FALSE)</f>
        <v>A</v>
      </c>
    </row>
    <row r="412" spans="1:5" x14ac:dyDescent="0.2">
      <c r="A412" t="s">
        <v>392</v>
      </c>
      <c r="B412" t="s">
        <v>797</v>
      </c>
      <c r="C412" t="str">
        <f>IF(ISERROR(MATCH(A412,'SegEnds_Xtal_Prot#'!B:B, 0)), "NoXtal", "Xtal")</f>
        <v>NoXtal</v>
      </c>
      <c r="D412" t="str">
        <f t="shared" si="6"/>
        <v>human</v>
      </c>
      <c r="E412" t="str">
        <f>VLOOKUP(A412,Classification!A:B,2,FALSE)</f>
        <v>A</v>
      </c>
    </row>
    <row r="413" spans="1:5" x14ac:dyDescent="0.2">
      <c r="A413" t="s">
        <v>393</v>
      </c>
      <c r="B413" t="s">
        <v>798</v>
      </c>
      <c r="C413" t="str">
        <f>IF(ISERROR(MATCH(A413,'SegEnds_Xtal_Prot#'!B:B, 0)), "NoXtal", "Xtal")</f>
        <v>NoXtal</v>
      </c>
      <c r="D413" t="str">
        <f t="shared" si="6"/>
        <v>human</v>
      </c>
      <c r="E413" t="str">
        <f>VLOOKUP(A413,Classification!A:B,2,FALSE)</f>
        <v>A</v>
      </c>
    </row>
  </sheetData>
  <sortState ref="A2:E408">
    <sortCondition descending="1" ref="E2:E408"/>
  </sortState>
  <customSheetViews>
    <customSheetView guid="{3E3401AF-8459-8641-BD70-AD04F80E86ED}">
      <pane ySplit="1" topLeftCell="A4" activePane="bottomLeft" state="frozenSplit"/>
      <selection pane="bottomLeft" activeCell="K33" sqref="K33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06"/>
  <sheetViews>
    <sheetView zoomScale="135" zoomScaleNormal="135" zoomScalePageLayoutView="135" workbookViewId="0">
      <pane ySplit="1" topLeftCell="A2" activePane="bottomLeft" state="frozenSplit"/>
      <selection pane="bottomLeft" activeCell="S2" sqref="S2"/>
    </sheetView>
  </sheetViews>
  <sheetFormatPr baseColWidth="10" defaultColWidth="10.83203125" defaultRowHeight="16" x14ac:dyDescent="0.2"/>
  <cols>
    <col min="1" max="1" width="11.6640625" style="1" customWidth="1"/>
    <col min="2" max="2" width="14.5" style="1" customWidth="1"/>
    <col min="3" max="3" width="5.6640625" style="5" customWidth="1"/>
    <col min="4" max="4" width="2.6640625" style="4" customWidth="1"/>
    <col min="5" max="5" width="5.83203125" style="5" bestFit="1" customWidth="1"/>
    <col min="6" max="6" width="4.83203125" style="5" customWidth="1"/>
    <col min="7" max="7" width="3.83203125" style="4" customWidth="1"/>
    <col min="8" max="8" width="4.83203125" style="4" customWidth="1"/>
    <col min="9" max="9" width="4.5" style="4" customWidth="1"/>
    <col min="10" max="10" width="4.83203125" style="4" customWidth="1"/>
    <col min="11" max="11" width="3.83203125" style="4" customWidth="1"/>
    <col min="12" max="12" width="4.83203125" style="4" customWidth="1"/>
    <col min="13" max="13" width="4.5" style="4" customWidth="1"/>
    <col min="14" max="17" width="4.83203125" style="4" customWidth="1"/>
    <col min="18" max="18" width="5.1640625" style="5" bestFit="1" customWidth="1"/>
    <col min="19" max="19" width="5.1640625" style="1" customWidth="1"/>
    <col min="20" max="20" width="5.1640625" style="1" bestFit="1" customWidth="1"/>
    <col min="21" max="21" width="4.1640625" style="1" bestFit="1" customWidth="1"/>
    <col min="22" max="22" width="5.1640625" style="1" bestFit="1" customWidth="1"/>
    <col min="23" max="23" width="4.1640625" style="1" bestFit="1" customWidth="1"/>
    <col min="24" max="24" width="5.1640625" style="1" bestFit="1" customWidth="1"/>
    <col min="25" max="25" width="5.1640625" style="1" customWidth="1"/>
    <col min="26" max="29" width="5.1640625" style="1" bestFit="1" customWidth="1"/>
    <col min="30" max="30" width="5.1640625" style="5" bestFit="1" customWidth="1"/>
    <col min="31" max="31" width="5.1640625" style="1" customWidth="1"/>
    <col min="32" max="32" width="5.1640625" style="1" bestFit="1" customWidth="1"/>
    <col min="33" max="33" width="4.1640625" style="1" bestFit="1" customWidth="1"/>
    <col min="34" max="34" width="5.1640625" style="1" bestFit="1" customWidth="1"/>
    <col min="35" max="35" width="4.1640625" style="1" bestFit="1" customWidth="1"/>
    <col min="36" max="36" width="5.1640625" style="1" bestFit="1" customWidth="1"/>
    <col min="37" max="37" width="5.1640625" style="1" customWidth="1"/>
    <col min="38" max="38" width="5.6640625" style="1" bestFit="1" customWidth="1"/>
    <col min="39" max="41" width="5.1640625" style="1" bestFit="1" customWidth="1"/>
    <col min="42" max="42" width="4.6640625" style="5" bestFit="1" customWidth="1"/>
    <col min="43" max="43" width="5.1640625" style="4" bestFit="1" customWidth="1"/>
    <col min="44" max="44" width="4.6640625" style="4" bestFit="1" customWidth="1"/>
    <col min="45" max="45" width="5.6640625" style="4" bestFit="1" customWidth="1"/>
    <col min="46" max="46" width="4.6640625" style="4" bestFit="1" customWidth="1"/>
    <col min="47" max="47" width="5.1640625" style="4" bestFit="1" customWidth="1"/>
    <col min="48" max="48" width="4.6640625" style="4" bestFit="1" customWidth="1"/>
    <col min="49" max="49" width="5.6640625" style="4" bestFit="1" customWidth="1"/>
    <col min="50" max="53" width="4.6640625" style="4" bestFit="1" customWidth="1"/>
    <col min="54" max="16384" width="10.83203125" style="1"/>
  </cols>
  <sheetData>
    <row r="1" spans="1:53" s="7" customFormat="1" x14ac:dyDescent="0.2">
      <c r="A1" s="8" t="s">
        <v>31</v>
      </c>
      <c r="B1" s="8" t="s">
        <v>1226</v>
      </c>
      <c r="C1" s="31" t="s">
        <v>1227</v>
      </c>
      <c r="D1" s="30" t="s">
        <v>99</v>
      </c>
      <c r="E1" s="26" t="s">
        <v>1225</v>
      </c>
      <c r="F1" s="26" t="s">
        <v>3</v>
      </c>
      <c r="G1" s="30" t="s">
        <v>1209</v>
      </c>
      <c r="H1" s="30" t="s">
        <v>4</v>
      </c>
      <c r="I1" s="30" t="s">
        <v>1211</v>
      </c>
      <c r="J1" s="30" t="s">
        <v>6</v>
      </c>
      <c r="K1" s="30" t="s">
        <v>1210</v>
      </c>
      <c r="L1" s="30" t="s">
        <v>7</v>
      </c>
      <c r="M1" s="30" t="s">
        <v>1212</v>
      </c>
      <c r="N1" s="30" t="s">
        <v>8</v>
      </c>
      <c r="O1" s="30" t="s">
        <v>10</v>
      </c>
      <c r="P1" s="30" t="s">
        <v>11</v>
      </c>
      <c r="Q1" s="30" t="s">
        <v>1208</v>
      </c>
      <c r="R1" s="26" t="s">
        <v>1061</v>
      </c>
      <c r="S1" s="8" t="s">
        <v>1078</v>
      </c>
      <c r="T1" s="8" t="s">
        <v>1063</v>
      </c>
      <c r="U1" s="8" t="s">
        <v>1080</v>
      </c>
      <c r="V1" s="8" t="s">
        <v>1065</v>
      </c>
      <c r="W1" s="8" t="s">
        <v>1093</v>
      </c>
      <c r="X1" s="8" t="s">
        <v>1067</v>
      </c>
      <c r="Y1" s="8" t="s">
        <v>1096</v>
      </c>
      <c r="Z1" s="8" t="s">
        <v>1069</v>
      </c>
      <c r="AA1" s="8" t="s">
        <v>1071</v>
      </c>
      <c r="AB1" s="8" t="s">
        <v>1073</v>
      </c>
      <c r="AC1" s="8" t="s">
        <v>1075</v>
      </c>
      <c r="AD1" s="26" t="s">
        <v>1062</v>
      </c>
      <c r="AE1" s="8" t="s">
        <v>1079</v>
      </c>
      <c r="AF1" s="8" t="s">
        <v>1064</v>
      </c>
      <c r="AG1" s="8" t="s">
        <v>1081</v>
      </c>
      <c r="AH1" s="8" t="s">
        <v>1066</v>
      </c>
      <c r="AI1" s="8" t="s">
        <v>1094</v>
      </c>
      <c r="AJ1" s="8" t="s">
        <v>1068</v>
      </c>
      <c r="AK1" s="8" t="s">
        <v>1097</v>
      </c>
      <c r="AL1" s="8" t="s">
        <v>1070</v>
      </c>
      <c r="AM1" s="8" t="s">
        <v>1072</v>
      </c>
      <c r="AN1" s="8" t="s">
        <v>1074</v>
      </c>
      <c r="AO1" s="8" t="s">
        <v>1076</v>
      </c>
      <c r="AP1" s="26" t="s">
        <v>1213</v>
      </c>
      <c r="AQ1" s="30" t="s">
        <v>1214</v>
      </c>
      <c r="AR1" s="30" t="s">
        <v>1215</v>
      </c>
      <c r="AS1" s="30" t="s">
        <v>1216</v>
      </c>
      <c r="AT1" s="30" t="s">
        <v>1217</v>
      </c>
      <c r="AU1" s="30" t="s">
        <v>1218</v>
      </c>
      <c r="AV1" s="30" t="s">
        <v>1219</v>
      </c>
      <c r="AW1" s="30" t="s">
        <v>1220</v>
      </c>
      <c r="AX1" s="30" t="s">
        <v>1221</v>
      </c>
      <c r="AY1" s="30" t="s">
        <v>1222</v>
      </c>
      <c r="AZ1" s="30" t="s">
        <v>1223</v>
      </c>
      <c r="BA1" s="30" t="s">
        <v>1224</v>
      </c>
    </row>
    <row r="2" spans="1:53" x14ac:dyDescent="0.2">
      <c r="A2" s="1" t="str">
        <f>'SegEnds_NonXtal_Prot#'!A5</f>
        <v>npsr1_human</v>
      </c>
      <c r="B2" s="1" t="str">
        <f t="shared" ref="B2:B65" si="0">F2&amp;H2&amp;J2&amp;L2&amp;N2&amp;O2&amp;P2&amp;Q2</f>
        <v>TEQLITLWVLFVFTIVGNSVVLFSTWRRSRMTFFVTQLAITDSFTGLVNILTDINWRFTGPDLVCRVVRYLQVVLLYASTYVLVSLSIDRYHAIVYGEKQARVLIVIAWSLSFLFSIPTLIIFGKRWTPYMTIVAFLVYFIPLTIISIMYGIVIRTIWIKSKTYETVIGLISKAKIKAIKYSIIIILAFICCWSPYFLFDILDNFNDTQERFYASVIIQNLPALNSAINPLIYCVFSSSISFPCREQRSQ</v>
      </c>
      <c r="C2" s="29" t="str">
        <f>IF(ISERROR(MATCH(A2,'SegEnds_Xtal_Prot#'!B:B, 0)), "NoXtal", "Xtal")</f>
        <v>NoXtal</v>
      </c>
      <c r="D2" s="4" t="str">
        <f>VLOOKUP(A2,Classification!A:D,2,FALSE)</f>
        <v>A</v>
      </c>
      <c r="E2" s="5" t="str">
        <f>VLOOKUP(A2,Seqs!A:B,2,FALSE)</f>
        <v>MPANFTEGSFDSSGTGQTLDSSPVACTETVTFTEVVEGKEWGSFYYSFKTEQLITLWVLFVFTIVGNSVVLFSTWRRKKKSRMTFFVTQLAITDSFTGLVNILTDINWRFTGDFTAPDLVCRVVRYLQVVLLYASTYVLVSLSIDRYHAIVYPMKFLQGEKQARVLIVIAWSLSFLFSIPTLIIFGKRTLSNGEVQCWALWPDDSYWTPYMTIVAFLVYFIPLTIISIMYGIVIRTIWIKSKTYETVISNCSDGKLCSSYNRGLISKAKIKAIKYSIIIILAFICCWSPYFLFDILDNFNLLPDTQERFYASVIIQNLPALNSAINPLIYCVFSSSISFPCREQRSQDSRMTFRERTERHEMQILSKPEFI</v>
      </c>
      <c r="F2" s="5" t="str">
        <f t="shared" ref="F2:F65" si="1">IFERROR(MID($E2,R2,(AP2+1)),"")</f>
        <v>TEQLITLWVLFVFTIVGNSVVLFSTWRR</v>
      </c>
      <c r="G2" s="4" t="str">
        <f t="shared" ref="G2:G65" si="2">IFERROR(MID($E2,S2,(AQ2+1)),"")</f>
        <v/>
      </c>
      <c r="H2" s="4" t="str">
        <f t="shared" ref="H2:H65" si="3">IFERROR(MID($E2,T2,(AR2+1)),"")</f>
        <v>SRMTFFVTQLAITDSFTGLVNILTDINWRFTG</v>
      </c>
      <c r="I2" s="4" t="str">
        <f t="shared" ref="I2:I65" si="4">IFERROR(MID($E2,U2,(AS2+1)),"")</f>
        <v>DFTA</v>
      </c>
      <c r="J2" s="4" t="str">
        <f t="shared" ref="J2:J65" si="5">IFERROR(MID($E2,V2,(AT2+1)),"")</f>
        <v>PDLVCRVVRYLQVVLLYASTYVLVSLSIDRYHAIVY</v>
      </c>
      <c r="K2" s="4" t="str">
        <f t="shared" ref="K2:K65" si="6">IFERROR(MID($E2,W2,(AU2+1)),"")</f>
        <v>PMKF</v>
      </c>
      <c r="L2" s="4" t="str">
        <f t="shared" ref="L2:L65" si="7">IFERROR(MID($E2,X2,(AV2+1)),"")</f>
        <v>GEKQARVLIVIAWSLSFLFSIPTLIIFGKR</v>
      </c>
      <c r="M2" s="4" t="str">
        <f t="shared" ref="M2:M65" si="8">IFERROR(MID($E2,Y2,(AW2+1)),"")</f>
        <v>CWA</v>
      </c>
      <c r="N2" s="4" t="str">
        <f t="shared" ref="N2:N65" si="9">IFERROR(MID($E2,Z2,(AX2+1)),"")</f>
        <v>WTPYMTIVAFLVYFIPLTIISIMYGIVIRTIWIKSKTYETVI</v>
      </c>
      <c r="O2" s="4" t="str">
        <f t="shared" ref="O2:O65" si="10">IFERROR(MID($E2,AA2,(AY2+1)),"")</f>
        <v>GLISKAKIKAIKYSIIIILAFICCWSPYFLFDILDNFN</v>
      </c>
      <c r="P2" s="4" t="str">
        <f t="shared" ref="P2:P65" si="11">IFERROR(MID($E2,AB2,(AZ2+1)),"")</f>
        <v>DTQERFYASVIIQNLPALNSAINPLIYCVF</v>
      </c>
      <c r="Q2" s="4" t="str">
        <f t="shared" ref="Q2:Q65" si="12">IFERROR(MID($E2,AC2,(BA2+1)),"")</f>
        <v>SSSISFPCREQRSQ</v>
      </c>
      <c r="R2" s="5">
        <f>VLOOKUP($A2,'SegEnds_NonXtal_Prot#'!$A:$AL,3,FALSE)</f>
        <v>50</v>
      </c>
      <c r="S2" s="5" t="str">
        <f>VLOOKUP($A2,'SegEnds_NonXtal_Prot#'!$A:$AL,6,FALSE)</f>
        <v>-</v>
      </c>
      <c r="T2" s="5">
        <f>VLOOKUP($A2,'SegEnds_NonXtal_Prot#'!$A:$AL,9,FALSE)</f>
        <v>81</v>
      </c>
      <c r="U2" s="5">
        <f>VLOOKUP($A2,'SegEnds_NonXtal_Prot#'!$A:$AL,12,FALSE)</f>
        <v>113</v>
      </c>
      <c r="V2" s="5">
        <f>VLOOKUP($A2,'SegEnds_NonXtal_Prot#'!$A:$AL,15,FALSE)</f>
        <v>117</v>
      </c>
      <c r="W2" s="5">
        <f>VLOOKUP($A2,'SegEnds_NonXtal_Prot#'!$A:$AL,18,FALSE)</f>
        <v>153</v>
      </c>
      <c r="X2" s="5">
        <f>VLOOKUP($A2,'SegEnds_NonXtal_Prot#'!$A:$AL,21,FALSE)</f>
        <v>159</v>
      </c>
      <c r="Y2" s="5">
        <f>VLOOKUP($A2,'SegEnds_NonXtal_Prot#'!$A:$AL,24,FALSE)</f>
        <v>197</v>
      </c>
      <c r="Z2" s="5">
        <f>VLOOKUP($A2,'SegEnds_NonXtal_Prot#'!$A:$AL,27,FALSE)</f>
        <v>207</v>
      </c>
      <c r="AA2" s="5">
        <f>VLOOKUP($A2,'SegEnds_NonXtal_Prot#'!$A:$AL,30,FALSE)</f>
        <v>263</v>
      </c>
      <c r="AB2" s="5">
        <f>VLOOKUP($A2,'SegEnds_NonXtal_Prot#'!$A:$AL,33,FALSE)</f>
        <v>304</v>
      </c>
      <c r="AC2" s="5">
        <f>VLOOKUP($A2,'SegEnds_NonXtal_Prot#'!$A:$AL,36,FALSE)</f>
        <v>334</v>
      </c>
      <c r="AD2" s="5">
        <f>VLOOKUP($A2,'SegEnds_NonXtal_Prot#'!$A:$AL,5,FALSE)</f>
        <v>77</v>
      </c>
      <c r="AE2" s="5" t="str">
        <f>VLOOKUP($A2,'SegEnds_NonXtal_Prot#'!$A:$AL,8,FALSE)</f>
        <v>-</v>
      </c>
      <c r="AF2" s="5">
        <f>VLOOKUP($A2,'SegEnds_NonXtal_Prot#'!$A:$AL,11,FALSE)</f>
        <v>112</v>
      </c>
      <c r="AG2" s="5">
        <f>VLOOKUP($A2,'SegEnds_NonXtal_Prot#'!$A:$AL,14,FALSE)</f>
        <v>116</v>
      </c>
      <c r="AH2" s="5">
        <f>VLOOKUP($A2,'SegEnds_NonXtal_Prot#'!$A:$AL,17,FALSE)</f>
        <v>152</v>
      </c>
      <c r="AI2" s="5">
        <f>VLOOKUP($A2,'SegEnds_NonXtal_Prot#'!$A:$AL,20,FALSE)</f>
        <v>156</v>
      </c>
      <c r="AJ2" s="5">
        <f>VLOOKUP($A2,'SegEnds_NonXtal_Prot#'!$A:$AL,23,FALSE)</f>
        <v>188</v>
      </c>
      <c r="AK2" s="5">
        <f>VLOOKUP($A2,'SegEnds_NonXtal_Prot#'!$A:$AL,26,FALSE)</f>
        <v>199</v>
      </c>
      <c r="AL2" s="5">
        <f>VLOOKUP($A2,'SegEnds_NonXtal_Prot#'!$A:$AL,29,FALSE)</f>
        <v>248</v>
      </c>
      <c r="AM2" s="5">
        <f>VLOOKUP($A2,'SegEnds_NonXtal_Prot#'!$A:$AL,32,FALSE)</f>
        <v>300</v>
      </c>
      <c r="AN2" s="5">
        <f>VLOOKUP($A2,'SegEnds_NonXtal_Prot#'!$A:$AL,35,FALSE)</f>
        <v>333</v>
      </c>
      <c r="AO2" s="5">
        <f>VLOOKUP($A2,'SegEnds_NonXtal_Prot#'!$A:$AL,38,FALSE)</f>
        <v>347</v>
      </c>
      <c r="AP2" s="5">
        <f t="shared" ref="AP2:AP65" si="13">IFERROR(AD2-R2,"-")</f>
        <v>27</v>
      </c>
      <c r="AQ2" s="4" t="str">
        <f t="shared" ref="AQ2:AQ65" si="14">IFERROR(AE2-S2,"-")</f>
        <v>-</v>
      </c>
      <c r="AR2" s="4">
        <f t="shared" ref="AR2:AR65" si="15">IFERROR(AF2-T2,"-")</f>
        <v>31</v>
      </c>
      <c r="AS2" s="4">
        <f t="shared" ref="AS2:AS65" si="16">IFERROR(AG2-U2,"-")</f>
        <v>3</v>
      </c>
      <c r="AT2" s="4">
        <f t="shared" ref="AT2:AT65" si="17">IFERROR(AH2-V2,"-")</f>
        <v>35</v>
      </c>
      <c r="AU2" s="4">
        <f t="shared" ref="AU2:AU65" si="18">IFERROR(AI2-W2,"-")</f>
        <v>3</v>
      </c>
      <c r="AV2" s="4">
        <f t="shared" ref="AV2:AV65" si="19">IFERROR(AJ2-X2,"-")</f>
        <v>29</v>
      </c>
      <c r="AW2" s="4">
        <f t="shared" ref="AW2:AW65" si="20">IFERROR(AK2-Y2,"-")</f>
        <v>2</v>
      </c>
      <c r="AX2" s="4">
        <f t="shared" ref="AX2:AX65" si="21">IFERROR(AL2-Z2,"-")</f>
        <v>41</v>
      </c>
      <c r="AY2" s="4">
        <f t="shared" ref="AY2:AY65" si="22">IFERROR(AM2-AA2,"-")</f>
        <v>37</v>
      </c>
      <c r="AZ2" s="4">
        <f t="shared" ref="AZ2:AZ65" si="23">IFERROR(AN2-AB2,"-")</f>
        <v>29</v>
      </c>
      <c r="BA2" s="4">
        <f t="shared" ref="BA2:BA65" si="24">IFERROR(AO2-AC2,"-")</f>
        <v>13</v>
      </c>
    </row>
    <row r="3" spans="1:53" x14ac:dyDescent="0.2">
      <c r="A3" s="1" t="str">
        <f>'SegEnds_NonXtal_Prot#'!A12</f>
        <v>gp139_human</v>
      </c>
      <c r="B3" s="1" t="str">
        <f t="shared" si="0"/>
        <v>FVPVVYYSLLLCLGLPANILTVIILSQLKSSYNYLLALAAADILVLFFIVFVDFLLEDFMQMPQVPDKIIEVLEFSSIHTSIWITVPLTIDRYIAVCHSYPARTRKVIVSVYITCFLTSIPYYWWPNIHHVLIWIHCFTVYLVPCSIFFILNSIIVYKLRRKRLRGYSTGKTTAILFTITSIFATLWAPRIIMILYHLYGNRWLVHIMSDIANMLALLNTAINFFLYCFISKRFRTMAAATLKA</v>
      </c>
      <c r="C3" s="29" t="str">
        <f>IF(ISERROR(MATCH(A3,'SegEnds_Xtal_Prot#'!B:B, 0)), "NoXtal", "Xtal")</f>
        <v>NoXtal</v>
      </c>
      <c r="D3" s="4" t="str">
        <f>VLOOKUP(A3,Classification!A:D,2,FALSE)</f>
        <v>A</v>
      </c>
      <c r="E3" s="5" t="str">
        <f>VLOOKUP(A3,Seqs!A:B,2,FALSE)</f>
        <v>MEHTHAHLAANSSLSWWSPGSACGLGFVPVVYYSLLLCLGLPANILTVIILSQLVARRQKSSYNYLLALAAADILVLFFIVFVDFLLEDFILNMQMPQVPDKIIEVLEFSSIHTSIWITVPLTIDRYIAVCHPLKYHTVSYPARTRKVIVSVYITCFLTSIPYYWWPNIWTEDYISTSVHHVLIWIHCFTVYLVPCSIFFILNSIIVYKLRRKSNFRLRGYSTGKTTAILFTITSIFATLWAPRIIMILYHLYGAPIQNRWLVHIMSDIANMLALLNTAINFFLYCFISKRFRTMAAATLKAFFKCQKQPVQFYTNHNFSITSSPWISPANSHCIKMLVYQYDKNGKPIKVSP</v>
      </c>
      <c r="F3" s="5" t="str">
        <f t="shared" si="1"/>
        <v>FVPVVYYSLLLCLGLPANILTVIILSQL</v>
      </c>
      <c r="G3" s="4" t="str">
        <f t="shared" si="2"/>
        <v/>
      </c>
      <c r="H3" s="4" t="str">
        <f t="shared" si="3"/>
        <v>KSSYNYLLALAAADILVLFFIVFVDFLLEDF</v>
      </c>
      <c r="I3" s="4" t="str">
        <f t="shared" si="4"/>
        <v/>
      </c>
      <c r="J3" s="4" t="str">
        <f t="shared" si="5"/>
        <v>MQMPQVPDKIIEVLEFSSIHTSIWITVPLTIDRYIAVCH</v>
      </c>
      <c r="K3" s="4" t="str">
        <f t="shared" si="6"/>
        <v>PLKYHTV</v>
      </c>
      <c r="L3" s="4" t="str">
        <f t="shared" si="7"/>
        <v>SYPARTRKVIVSVYITCFLTSIPYYWWPNI</v>
      </c>
      <c r="M3" s="4" t="str">
        <f t="shared" si="8"/>
        <v/>
      </c>
      <c r="N3" s="4" t="str">
        <f t="shared" si="9"/>
        <v>HHVLIWIHCFTVYLVPCSIFFILNSIIVYKLRRK</v>
      </c>
      <c r="O3" s="4" t="str">
        <f t="shared" si="10"/>
        <v>RLRGYSTGKTTAILFTITSIFATLWAPRIIMILYHLYG</v>
      </c>
      <c r="P3" s="4" t="str">
        <f t="shared" si="11"/>
        <v>NRWLVHIMSDIANMLALLNTAINFFLYCFI</v>
      </c>
      <c r="Q3" s="4" t="str">
        <f t="shared" si="12"/>
        <v>SKRFRTMAAATLKA</v>
      </c>
      <c r="R3" s="5">
        <f>VLOOKUP($A3,'SegEnds_NonXtal_Prot#'!$A:$AL,3,FALSE)</f>
        <v>27</v>
      </c>
      <c r="S3" s="5" t="str">
        <f>VLOOKUP($A3,'SegEnds_NonXtal_Prot#'!$A:$AL,6,FALSE)</f>
        <v>-</v>
      </c>
      <c r="T3" s="5">
        <f>VLOOKUP($A3,'SegEnds_NonXtal_Prot#'!$A:$AL,9,FALSE)</f>
        <v>60</v>
      </c>
      <c r="U3" s="5" t="str">
        <f>VLOOKUP($A3,'SegEnds_NonXtal_Prot#'!$A:$AL,12,FALSE)</f>
        <v>-</v>
      </c>
      <c r="V3" s="5">
        <f>VLOOKUP($A3,'SegEnds_NonXtal_Prot#'!$A:$AL,15,FALSE)</f>
        <v>94</v>
      </c>
      <c r="W3" s="5">
        <f>VLOOKUP($A3,'SegEnds_NonXtal_Prot#'!$A:$AL,18,FALSE)</f>
        <v>133</v>
      </c>
      <c r="X3" s="5">
        <f>VLOOKUP($A3,'SegEnds_NonXtal_Prot#'!$A:$AL,21,FALSE)</f>
        <v>140</v>
      </c>
      <c r="Y3" s="5" t="str">
        <f>VLOOKUP($A3,'SegEnds_NonXtal_Prot#'!$A:$AL,24,FALSE)</f>
        <v>-</v>
      </c>
      <c r="Z3" s="5">
        <f>VLOOKUP($A3,'SegEnds_NonXtal_Prot#'!$A:$AL,27,FALSE)</f>
        <v>180</v>
      </c>
      <c r="AA3" s="5">
        <f>VLOOKUP($A3,'SegEnds_NonXtal_Prot#'!$A:$AL,30,FALSE)</f>
        <v>217</v>
      </c>
      <c r="AB3" s="5">
        <f>VLOOKUP($A3,'SegEnds_NonXtal_Prot#'!$A:$AL,33,FALSE)</f>
        <v>259</v>
      </c>
      <c r="AC3" s="5">
        <f>VLOOKUP($A3,'SegEnds_NonXtal_Prot#'!$A:$AL,36,FALSE)</f>
        <v>289</v>
      </c>
      <c r="AD3" s="5">
        <f>VLOOKUP($A3,'SegEnds_NonXtal_Prot#'!$A:$AL,5,FALSE)</f>
        <v>54</v>
      </c>
      <c r="AE3" s="5" t="str">
        <f>VLOOKUP($A3,'SegEnds_NonXtal_Prot#'!$A:$AL,8,FALSE)</f>
        <v>-</v>
      </c>
      <c r="AF3" s="5">
        <f>VLOOKUP($A3,'SegEnds_NonXtal_Prot#'!$A:$AL,11,FALSE)</f>
        <v>90</v>
      </c>
      <c r="AG3" s="5" t="str">
        <f>VLOOKUP($A3,'SegEnds_NonXtal_Prot#'!$A:$AL,14,FALSE)</f>
        <v>-</v>
      </c>
      <c r="AH3" s="5">
        <f>VLOOKUP($A3,'SegEnds_NonXtal_Prot#'!$A:$AL,17,FALSE)</f>
        <v>132</v>
      </c>
      <c r="AI3" s="5">
        <f>VLOOKUP($A3,'SegEnds_NonXtal_Prot#'!$A:$AL,20,FALSE)</f>
        <v>139</v>
      </c>
      <c r="AJ3" s="5">
        <f>VLOOKUP($A3,'SegEnds_NonXtal_Prot#'!$A:$AL,23,FALSE)</f>
        <v>169</v>
      </c>
      <c r="AK3" s="5" t="str">
        <f>VLOOKUP($A3,'SegEnds_NonXtal_Prot#'!$A:$AL,26,FALSE)</f>
        <v>-</v>
      </c>
      <c r="AL3" s="5">
        <f>VLOOKUP($A3,'SegEnds_NonXtal_Prot#'!$A:$AL,29,FALSE)</f>
        <v>213</v>
      </c>
      <c r="AM3" s="5">
        <f>VLOOKUP($A3,'SegEnds_NonXtal_Prot#'!$A:$AL,32,FALSE)</f>
        <v>254</v>
      </c>
      <c r="AN3" s="5">
        <f>VLOOKUP($A3,'SegEnds_NonXtal_Prot#'!$A:$AL,35,FALSE)</f>
        <v>288</v>
      </c>
      <c r="AO3" s="5">
        <f>VLOOKUP($A3,'SegEnds_NonXtal_Prot#'!$A:$AL,38,FALSE)</f>
        <v>302</v>
      </c>
      <c r="AP3" s="5">
        <f t="shared" si="13"/>
        <v>27</v>
      </c>
      <c r="AQ3" s="4" t="str">
        <f t="shared" si="14"/>
        <v>-</v>
      </c>
      <c r="AR3" s="4">
        <f t="shared" si="15"/>
        <v>30</v>
      </c>
      <c r="AS3" s="4" t="str">
        <f t="shared" si="16"/>
        <v>-</v>
      </c>
      <c r="AT3" s="4">
        <f t="shared" si="17"/>
        <v>38</v>
      </c>
      <c r="AU3" s="4">
        <f t="shared" si="18"/>
        <v>6</v>
      </c>
      <c r="AV3" s="4">
        <f t="shared" si="19"/>
        <v>29</v>
      </c>
      <c r="AW3" s="4" t="str">
        <f t="shared" si="20"/>
        <v>-</v>
      </c>
      <c r="AX3" s="4">
        <f t="shared" si="21"/>
        <v>33</v>
      </c>
      <c r="AY3" s="4">
        <f t="shared" si="22"/>
        <v>37</v>
      </c>
      <c r="AZ3" s="4">
        <f t="shared" si="23"/>
        <v>29</v>
      </c>
      <c r="BA3" s="4">
        <f t="shared" si="24"/>
        <v>13</v>
      </c>
    </row>
    <row r="4" spans="1:53" x14ac:dyDescent="0.2">
      <c r="A4" s="1" t="str">
        <f>'SegEnds_NonXtal_Prot#'!A28</f>
        <v>par2_human</v>
      </c>
      <c r="B4" s="1" t="str">
        <f t="shared" si="0"/>
        <v>GKLTTVFLPIVYTIVFVVGLPSNGMALWVFLFRHPAVIYMANLALADLLSVIWFPLKIAYHIHGEALCNVLIGFFYGNMYCSILFMTCLSVQRYWVIVNKANIAIGISLAIWLLILLVTIPLYVLVGDMFNYFLSLAIGVFLFPAFLTASAYVLMIRMLRSSENSEKKRKRAIKLIVTVLAMYLICFTPSNLLLVVHYFLIVYALYIVALCLSTLNSCIDPFVYYFVSHDFRDHAKNALLCR</v>
      </c>
      <c r="C4" s="29" t="str">
        <f>IF(ISERROR(MATCH(A4,'SegEnds_Xtal_Prot#'!B:B, 0)), "NoXtal", "Xtal")</f>
        <v>Xtal</v>
      </c>
      <c r="D4" s="4" t="str">
        <f>VLOOKUP(A4,Classification!A:D,2,FALSE)</f>
        <v>A</v>
      </c>
      <c r="E4" s="5" t="str">
        <f>VLOOKUP(A4,Seqs!A:B,2,FALSE)</f>
        <v>MRSPSAAWLLGAAILLAASLSCSGTIQGTNRSSKGRSLIGKVDGTSHVTGKGVTVETVFSVDEFSASVLTGKLTTVFLPIVYTIVFVVGLPSNGMALWVFLFRTKKKHPAVIYMANLALADLLSVIWFPLKIAYHIHGNNWIYGEALCNVLIGFFYGNMYCSILFMTCLSVQRYWVIVNPMGHSRKKANIAIGISLAIWLLILLVTIPLYVVKQTIFIPALNITTCHDVLPEQLLVGDMFNYFLSLAIGVFLFPAFLTASAYVLMIRMLRSSAMDENSEKKRKRAIKLIVTVLAMYLICFTPSNLLLVVHYFLIKSQGQSHVYALYIVALCLSTLNSCIDPFVYYFVSHDFRDHAKNALLCRSVRTVKQMQVSLTSKKHSRKSSSYSSSSTTVKTSY</v>
      </c>
      <c r="F4" s="5" t="str">
        <f t="shared" si="1"/>
        <v>GKLTTVFLPIVYTIVFVVGLPSNGMALWVFLFR</v>
      </c>
      <c r="G4" s="4" t="str">
        <f t="shared" si="2"/>
        <v/>
      </c>
      <c r="H4" s="4" t="str">
        <f t="shared" si="3"/>
        <v>HPAVIYMANLALADLLSVIWFPLKIAYHIH</v>
      </c>
      <c r="I4" s="4" t="str">
        <f t="shared" si="4"/>
        <v>NWIY</v>
      </c>
      <c r="J4" s="4" t="str">
        <f t="shared" si="5"/>
        <v>GEALCNVLIGFFYGNMYCSILFMTCLSVQRYWVIVN</v>
      </c>
      <c r="K4" s="4" t="str">
        <f t="shared" si="6"/>
        <v>PMGHSRK</v>
      </c>
      <c r="L4" s="4" t="str">
        <f t="shared" si="7"/>
        <v>KANIAIGISLAIWLLILLVTIPLYV</v>
      </c>
      <c r="M4" s="4" t="str">
        <f t="shared" si="8"/>
        <v>CHD</v>
      </c>
      <c r="N4" s="4" t="str">
        <f t="shared" si="9"/>
        <v>LVGDMFNYFLSLAIGVFLFPAFLTASAYVLMIRMLRSS</v>
      </c>
      <c r="O4" s="4" t="str">
        <f t="shared" si="10"/>
        <v>ENSEKKRKRAIKLIVTVLAMYLICFTPSNLLLVVHYFLI</v>
      </c>
      <c r="P4" s="4" t="str">
        <f t="shared" si="11"/>
        <v>VYALYIVALCLSTLNSCIDPFVYYFV</v>
      </c>
      <c r="Q4" s="4" t="str">
        <f t="shared" si="12"/>
        <v>SHDFRDHAKNALLCR</v>
      </c>
      <c r="R4" s="5">
        <f>VLOOKUP($A4,'SegEnds_NonXtal_Prot#'!$A:$AL,3,FALSE)</f>
        <v>71</v>
      </c>
      <c r="S4" s="5" t="str">
        <f>VLOOKUP($A4,'SegEnds_NonXtal_Prot#'!$A:$AL,6,FALSE)</f>
        <v>-</v>
      </c>
      <c r="T4" s="5">
        <f>VLOOKUP($A4,'SegEnds_NonXtal_Prot#'!$A:$AL,9,FALSE)</f>
        <v>108</v>
      </c>
      <c r="U4" s="5">
        <f>VLOOKUP($A4,'SegEnds_NonXtal_Prot#'!$A:$AL,12,FALSE)</f>
        <v>140</v>
      </c>
      <c r="V4" s="5">
        <f>VLOOKUP($A4,'SegEnds_NonXtal_Prot#'!$A:$AL,15,FALSE)</f>
        <v>144</v>
      </c>
      <c r="W4" s="5">
        <f>VLOOKUP($A4,'SegEnds_NonXtal_Prot#'!$A:$AL,18,FALSE)</f>
        <v>180</v>
      </c>
      <c r="X4" s="5">
        <f>VLOOKUP($A4,'SegEnds_NonXtal_Prot#'!$A:$AL,21,FALSE)</f>
        <v>187</v>
      </c>
      <c r="Y4" s="5">
        <f>VLOOKUP($A4,'SegEnds_NonXtal_Prot#'!$A:$AL,24,FALSE)</f>
        <v>226</v>
      </c>
      <c r="Z4" s="5">
        <f>VLOOKUP($A4,'SegEnds_NonXtal_Prot#'!$A:$AL,27,FALSE)</f>
        <v>235</v>
      </c>
      <c r="AA4" s="5">
        <f>VLOOKUP($A4,'SegEnds_NonXtal_Prot#'!$A:$AL,30,FALSE)</f>
        <v>276</v>
      </c>
      <c r="AB4" s="5">
        <f>VLOOKUP($A4,'SegEnds_NonXtal_Prot#'!$A:$AL,33,FALSE)</f>
        <v>322</v>
      </c>
      <c r="AC4" s="5">
        <f>VLOOKUP($A4,'SegEnds_NonXtal_Prot#'!$A:$AL,36,FALSE)</f>
        <v>348</v>
      </c>
      <c r="AD4" s="5">
        <f>VLOOKUP($A4,'SegEnds_NonXtal_Prot#'!$A:$AL,5,FALSE)</f>
        <v>103</v>
      </c>
      <c r="AE4" s="5" t="str">
        <f>VLOOKUP($A4,'SegEnds_NonXtal_Prot#'!$A:$AL,8,FALSE)</f>
        <v>-</v>
      </c>
      <c r="AF4" s="5">
        <f>VLOOKUP($A4,'SegEnds_NonXtal_Prot#'!$A:$AL,11,FALSE)</f>
        <v>137</v>
      </c>
      <c r="AG4" s="5">
        <f>VLOOKUP($A4,'SegEnds_NonXtal_Prot#'!$A:$AL,14,FALSE)</f>
        <v>143</v>
      </c>
      <c r="AH4" s="5">
        <f>VLOOKUP($A4,'SegEnds_NonXtal_Prot#'!$A:$AL,17,FALSE)</f>
        <v>179</v>
      </c>
      <c r="AI4" s="5">
        <f>VLOOKUP($A4,'SegEnds_NonXtal_Prot#'!$A:$AL,20,FALSE)</f>
        <v>186</v>
      </c>
      <c r="AJ4" s="5">
        <f>VLOOKUP($A4,'SegEnds_NonXtal_Prot#'!$A:$AL,23,FALSE)</f>
        <v>211</v>
      </c>
      <c r="AK4" s="5">
        <f>VLOOKUP($A4,'SegEnds_NonXtal_Prot#'!$A:$AL,26,FALSE)</f>
        <v>228</v>
      </c>
      <c r="AL4" s="5">
        <f>VLOOKUP($A4,'SegEnds_NonXtal_Prot#'!$A:$AL,29,FALSE)</f>
        <v>272</v>
      </c>
      <c r="AM4" s="5">
        <f>VLOOKUP($A4,'SegEnds_NonXtal_Prot#'!$A:$AL,32,FALSE)</f>
        <v>314</v>
      </c>
      <c r="AN4" s="5">
        <f>VLOOKUP($A4,'SegEnds_NonXtal_Prot#'!$A:$AL,35,FALSE)</f>
        <v>347</v>
      </c>
      <c r="AO4" s="5">
        <f>VLOOKUP($A4,'SegEnds_NonXtal_Prot#'!$A:$AL,38,FALSE)</f>
        <v>362</v>
      </c>
      <c r="AP4" s="5">
        <f t="shared" si="13"/>
        <v>32</v>
      </c>
      <c r="AQ4" s="4" t="str">
        <f t="shared" si="14"/>
        <v>-</v>
      </c>
      <c r="AR4" s="4">
        <f t="shared" si="15"/>
        <v>29</v>
      </c>
      <c r="AS4" s="4">
        <f t="shared" si="16"/>
        <v>3</v>
      </c>
      <c r="AT4" s="4">
        <f t="shared" si="17"/>
        <v>35</v>
      </c>
      <c r="AU4" s="4">
        <f t="shared" si="18"/>
        <v>6</v>
      </c>
      <c r="AV4" s="4">
        <f t="shared" si="19"/>
        <v>24</v>
      </c>
      <c r="AW4" s="4">
        <f t="shared" si="20"/>
        <v>2</v>
      </c>
      <c r="AX4" s="4">
        <f t="shared" si="21"/>
        <v>37</v>
      </c>
      <c r="AY4" s="4">
        <f t="shared" si="22"/>
        <v>38</v>
      </c>
      <c r="AZ4" s="4">
        <f t="shared" si="23"/>
        <v>25</v>
      </c>
      <c r="BA4" s="4">
        <f t="shared" si="24"/>
        <v>14</v>
      </c>
    </row>
    <row r="5" spans="1:53" x14ac:dyDescent="0.2">
      <c r="A5" s="1" t="str">
        <f>'SegEnds_NonXtal_Prot#'!A31</f>
        <v>s1pr1_human</v>
      </c>
      <c r="B5" s="1" t="str">
        <f t="shared" si="0"/>
        <v>ENSIKLTSVVFILICCFIILENIFVLLTIWKTRPMYYFIGNLALSDLLAGVAYTANLLLTPAQWFLREGSMFVALSASVFSLLAIAIERYITMLKNNFRLFLLISACWVISLILGGLPIMGHKHYILFCTTVFTLLLLSIVILYCRIYSLVRTRSRRLTSRSSEKSLALLKTVIIVLSVFIACWAPLFILLLLDVGCDILFRAEYFLVLAVLNSGTNPIIYTLTNKEMRRAFIRIMS</v>
      </c>
      <c r="C5" s="29" t="str">
        <f>IF(ISERROR(MATCH(A5,'SegEnds_Xtal_Prot#'!B:B, 0)), "NoXtal", "Xtal")</f>
        <v>Xtal</v>
      </c>
      <c r="D5" s="4" t="str">
        <f>VLOOKUP(A5,Classification!A:D,2,FALSE)</f>
        <v>A</v>
      </c>
      <c r="E5" s="5" t="str">
        <f>VLOOKUP(A5,Seqs!A:B,2,FALSE)</f>
        <v>MGPTSVPLVKAHRSSVSDYVNYDIIVRHYNYTGKLNISADKENSIKLTSVVFILICCFIILENIFVLLTIWKTKKFHRPMYYFIGNLALSDLLAGVAYTANLLLSGATTYKLTPAQWFLREGSMFVALSASVFSLLAIAIERYITMLKMKLHNGSNNFRLFLLISACWVISLILGGLPIMGWNCISALSSCSTVLPLYHKHYILFCTTVFTLLLLSIVILYCRIYSLVRTRSRRLTFRKNISKASRSSEKSLALLKTVIIVLSVFIACWAPLFILLLLDVGCKVKTCDILFRAEYFLVLAVLNSGTNPIIYTLTNKEMRRAFIRIMSCCKCPSGDSAGKFKRPIIAGMEFSRSKSDNSSHPQKDEGDNPETIMSSGNVNSSS</v>
      </c>
      <c r="F5" s="5" t="str">
        <f t="shared" si="1"/>
        <v>ENSIKLTSVVFILICCFIILENIFVLLTIWKT</v>
      </c>
      <c r="G5" s="4" t="str">
        <f t="shared" si="2"/>
        <v>KKFH</v>
      </c>
      <c r="H5" s="4" t="str">
        <f t="shared" si="3"/>
        <v>RPMYYFIGNLALSDLLAGVAYTANLLL</v>
      </c>
      <c r="I5" s="4" t="str">
        <f t="shared" si="4"/>
        <v>GATTYKL</v>
      </c>
      <c r="J5" s="4" t="str">
        <f t="shared" si="5"/>
        <v>TPAQWFLREGSMFVALSASVFSLLAIAIERYITMLK</v>
      </c>
      <c r="K5" s="4" t="str">
        <f t="shared" si="6"/>
        <v>MKLHNGS</v>
      </c>
      <c r="L5" s="4" t="str">
        <f t="shared" si="7"/>
        <v>NNFRLFLLISACWVISLILGGLPIMG</v>
      </c>
      <c r="M5" s="4" t="str">
        <f t="shared" si="8"/>
        <v/>
      </c>
      <c r="N5" s="4" t="str">
        <f t="shared" si="9"/>
        <v>HKHYILFCTTVFTLLLLSIVILYCRIYSLVRTRSRRLT</v>
      </c>
      <c r="O5" s="4" t="str">
        <f t="shared" si="10"/>
        <v>SRSSEKSLALLKTVIIVLSVFIACWAPLFILLLLDVGC</v>
      </c>
      <c r="P5" s="4" t="str">
        <f t="shared" si="11"/>
        <v>DILFRAEYFLVLAVLNSGTNPIIYTLT</v>
      </c>
      <c r="Q5" s="4" t="str">
        <f t="shared" si="12"/>
        <v>NKEMRRAFIRIMS</v>
      </c>
      <c r="R5" s="5">
        <f>VLOOKUP($A5,'SegEnds_NonXtal_Prot#'!$A:$AL,3,FALSE)</f>
        <v>42</v>
      </c>
      <c r="S5" s="5">
        <f>VLOOKUP($A5,'SegEnds_NonXtal_Prot#'!$A:$AL,6,FALSE)</f>
        <v>74</v>
      </c>
      <c r="T5" s="5">
        <f>VLOOKUP($A5,'SegEnds_NonXtal_Prot#'!$A:$AL,9,FALSE)</f>
        <v>78</v>
      </c>
      <c r="U5" s="5">
        <f>VLOOKUP($A5,'SegEnds_NonXtal_Prot#'!$A:$AL,12,FALSE)</f>
        <v>106</v>
      </c>
      <c r="V5" s="5">
        <f>VLOOKUP($A5,'SegEnds_NonXtal_Prot#'!$A:$AL,15,FALSE)</f>
        <v>113</v>
      </c>
      <c r="W5" s="5">
        <f>VLOOKUP($A5,'SegEnds_NonXtal_Prot#'!$A:$AL,18,FALSE)</f>
        <v>149</v>
      </c>
      <c r="X5" s="5">
        <f>VLOOKUP($A5,'SegEnds_NonXtal_Prot#'!$A:$AL,21,FALSE)</f>
        <v>156</v>
      </c>
      <c r="Y5" s="5" t="str">
        <f>VLOOKUP($A5,'SegEnds_NonXtal_Prot#'!$A:$AL,24,FALSE)</f>
        <v>-</v>
      </c>
      <c r="Z5" s="5">
        <f>VLOOKUP($A5,'SegEnds_NonXtal_Prot#'!$A:$AL,27,FALSE)</f>
        <v>199</v>
      </c>
      <c r="AA5" s="5">
        <f>VLOOKUP($A5,'SegEnds_NonXtal_Prot#'!$A:$AL,30,FALSE)</f>
        <v>245</v>
      </c>
      <c r="AB5" s="5">
        <f>VLOOKUP($A5,'SegEnds_NonXtal_Prot#'!$A:$AL,33,FALSE)</f>
        <v>288</v>
      </c>
      <c r="AC5" s="5">
        <f>VLOOKUP($A5,'SegEnds_NonXtal_Prot#'!$A:$AL,36,FALSE)</f>
        <v>315</v>
      </c>
      <c r="AD5" s="5">
        <f>VLOOKUP($A5,'SegEnds_NonXtal_Prot#'!$A:$AL,5,FALSE)</f>
        <v>73</v>
      </c>
      <c r="AE5" s="5">
        <f>VLOOKUP($A5,'SegEnds_NonXtal_Prot#'!$A:$AL,8,FALSE)</f>
        <v>77</v>
      </c>
      <c r="AF5" s="5">
        <f>VLOOKUP($A5,'SegEnds_NonXtal_Prot#'!$A:$AL,11,FALSE)</f>
        <v>104</v>
      </c>
      <c r="AG5" s="5">
        <f>VLOOKUP($A5,'SegEnds_NonXtal_Prot#'!$A:$AL,14,FALSE)</f>
        <v>112</v>
      </c>
      <c r="AH5" s="5">
        <f>VLOOKUP($A5,'SegEnds_NonXtal_Prot#'!$A:$AL,17,FALSE)</f>
        <v>148</v>
      </c>
      <c r="AI5" s="5">
        <f>VLOOKUP($A5,'SegEnds_NonXtal_Prot#'!$A:$AL,20,FALSE)</f>
        <v>155</v>
      </c>
      <c r="AJ5" s="5">
        <f>VLOOKUP($A5,'SegEnds_NonXtal_Prot#'!$A:$AL,23,FALSE)</f>
        <v>181</v>
      </c>
      <c r="AK5" s="5" t="str">
        <f>VLOOKUP($A5,'SegEnds_NonXtal_Prot#'!$A:$AL,26,FALSE)</f>
        <v>-</v>
      </c>
      <c r="AL5" s="5">
        <f>VLOOKUP($A5,'SegEnds_NonXtal_Prot#'!$A:$AL,29,FALSE)</f>
        <v>236</v>
      </c>
      <c r="AM5" s="5">
        <f>VLOOKUP($A5,'SegEnds_NonXtal_Prot#'!$A:$AL,32,FALSE)</f>
        <v>282</v>
      </c>
      <c r="AN5" s="5">
        <f>VLOOKUP($A5,'SegEnds_NonXtal_Prot#'!$A:$AL,35,FALSE)</f>
        <v>314</v>
      </c>
      <c r="AO5" s="5">
        <f>VLOOKUP($A5,'SegEnds_NonXtal_Prot#'!$A:$AL,38,FALSE)</f>
        <v>327</v>
      </c>
      <c r="AP5" s="5">
        <f t="shared" si="13"/>
        <v>31</v>
      </c>
      <c r="AQ5" s="4">
        <f t="shared" si="14"/>
        <v>3</v>
      </c>
      <c r="AR5" s="4">
        <f t="shared" si="15"/>
        <v>26</v>
      </c>
      <c r="AS5" s="4">
        <f t="shared" si="16"/>
        <v>6</v>
      </c>
      <c r="AT5" s="4">
        <f t="shared" si="17"/>
        <v>35</v>
      </c>
      <c r="AU5" s="4">
        <f t="shared" si="18"/>
        <v>6</v>
      </c>
      <c r="AV5" s="4">
        <f t="shared" si="19"/>
        <v>25</v>
      </c>
      <c r="AW5" s="4" t="str">
        <f t="shared" si="20"/>
        <v>-</v>
      </c>
      <c r="AX5" s="4">
        <f t="shared" si="21"/>
        <v>37</v>
      </c>
      <c r="AY5" s="4">
        <f t="shared" si="22"/>
        <v>37</v>
      </c>
      <c r="AZ5" s="4">
        <f t="shared" si="23"/>
        <v>26</v>
      </c>
      <c r="BA5" s="4">
        <f t="shared" si="24"/>
        <v>12</v>
      </c>
    </row>
    <row r="6" spans="1:53" x14ac:dyDescent="0.2">
      <c r="A6" s="1" t="str">
        <f>'SegEnds_NonXtal_Prot#'!A48</f>
        <v>5ht6r_human</v>
      </c>
      <c r="B6" s="1" t="str">
        <f t="shared" si="0"/>
        <v>GWVAAALCVVIALTAAANSLLIALICTQNTSNFFLVSLFTSDLMVGLVVMPPAMLNALYGARGLCLLWTAFDVMCCSASILNLCLISLDRYLLILSTPLRALALVLGAWSLAALASFLPLLLGWHESLPFVLVASGLTFFLPSGAICFTYCRILLAARKQAVQVASLTTKHSRKALKASLTLGILLGMFFVTWLPFFVANIVQAVCPGLFDVLTWLGYCNSTMNPIIYPLFMRDFKRALGRFLPC</v>
      </c>
      <c r="C6" s="29" t="str">
        <f>IF(ISERROR(MATCH(A6,'SegEnds_Xtal_Prot#'!B:B, 0)), "NoXtal", "Xtal")</f>
        <v>NoXtal</v>
      </c>
      <c r="D6" s="4" t="str">
        <f>VLOOKUP(A6,Classification!A:D,2,FALSE)</f>
        <v>A</v>
      </c>
      <c r="E6" s="5" t="str">
        <f>VLOOKUP(A6,Seqs!A:B,2,FALSE)</f>
        <v>MVPEPGPTANSTPAWGAGPPSAPGGSGWVAAALCVVIALTAAANSLLIALICTQPALRNTSNFFLVSLFTSDLMVGLVVMPPAMLNALYGRWVLARGLCLLWTAFDVMCCSASILNLCLISLDRYLLILSPLRYKLRMTPLRALALVLGAWSLAALASFLPLLLGWHELGHARPPVPGQCRLLASLPFVLVASGLTFFLPSGAICFTYCRILLAARKQAVQVASLTTGMASQASETLQVPRTPRPGVESADSRRLATKHSRKALKASLTLGILLGMFFVTWLPFFVANIVQAVCDCISPGLFDVLTWLGYCNSTMNPIIYPLFMRDFKRALGRFLPCPRCPRERQASLASPSLRTSHSGPRPGLSLQQVLPLPLPPDSDSDSDAGSGGSSGLRLTAQLLLPGEATQDPPLPTRAAAAVNFFNIDPAEPELRPHPLGIPTN</v>
      </c>
      <c r="F6" s="5" t="str">
        <f t="shared" si="1"/>
        <v>GWVAAALCVVIALTAAANSLLIALICTQ</v>
      </c>
      <c r="G6" s="4" t="str">
        <f t="shared" si="2"/>
        <v>PALR</v>
      </c>
      <c r="H6" s="4" t="str">
        <f t="shared" si="3"/>
        <v>NTSNFFLVSLFTSDLMVGLVVMPPAMLNALYG</v>
      </c>
      <c r="I6" s="4" t="str">
        <f t="shared" si="4"/>
        <v>RWVL</v>
      </c>
      <c r="J6" s="4" t="str">
        <f t="shared" si="5"/>
        <v>ARGLCLLWTAFDVMCCSASILNLCLISLDRYLLILS</v>
      </c>
      <c r="K6" s="4" t="str">
        <f t="shared" si="6"/>
        <v>PLRYKLRM</v>
      </c>
      <c r="L6" s="4" t="str">
        <f t="shared" si="7"/>
        <v>TPLRALALVLGAWSLAALASFLPLLLGWHE</v>
      </c>
      <c r="M6" s="4" t="str">
        <f t="shared" si="8"/>
        <v>CRL</v>
      </c>
      <c r="N6" s="4" t="str">
        <f t="shared" si="9"/>
        <v>SLPFVLVASGLTFFLPSGAICFTYCRILLAARKQAVQVASLT</v>
      </c>
      <c r="O6" s="4" t="str">
        <f t="shared" si="10"/>
        <v>TKHSRKALKASLTLGILLGMFFVTWLPFFVANIVQAVC</v>
      </c>
      <c r="P6" s="4" t="str">
        <f t="shared" si="11"/>
        <v>PGLFDVLTWLGYCNSTMNPIIYPLF</v>
      </c>
      <c r="Q6" s="4" t="str">
        <f t="shared" si="12"/>
        <v>MRDFKRALGRFLPC</v>
      </c>
      <c r="R6" s="5">
        <f>VLOOKUP($A6,'SegEnds_NonXtal_Prot#'!$A:$AL,3,FALSE)</f>
        <v>27</v>
      </c>
      <c r="S6" s="5">
        <f>VLOOKUP($A6,'SegEnds_NonXtal_Prot#'!$A:$AL,6,FALSE)</f>
        <v>55</v>
      </c>
      <c r="T6" s="5">
        <f>VLOOKUP($A6,'SegEnds_NonXtal_Prot#'!$A:$AL,9,FALSE)</f>
        <v>59</v>
      </c>
      <c r="U6" s="5">
        <f>VLOOKUP($A6,'SegEnds_NonXtal_Prot#'!$A:$AL,12,FALSE)</f>
        <v>91</v>
      </c>
      <c r="V6" s="5">
        <f>VLOOKUP($A6,'SegEnds_NonXtal_Prot#'!$A:$AL,15,FALSE)</f>
        <v>95</v>
      </c>
      <c r="W6" s="5">
        <f>VLOOKUP($A6,'SegEnds_NonXtal_Prot#'!$A:$AL,18,FALSE)</f>
        <v>131</v>
      </c>
      <c r="X6" s="5">
        <f>VLOOKUP($A6,'SegEnds_NonXtal_Prot#'!$A:$AL,21,FALSE)</f>
        <v>139</v>
      </c>
      <c r="Y6" s="5">
        <f>VLOOKUP($A6,'SegEnds_NonXtal_Prot#'!$A:$AL,24,FALSE)</f>
        <v>180</v>
      </c>
      <c r="Z6" s="5">
        <f>VLOOKUP($A6,'SegEnds_NonXtal_Prot#'!$A:$AL,27,FALSE)</f>
        <v>185</v>
      </c>
      <c r="AA6" s="5">
        <f>VLOOKUP($A6,'SegEnds_NonXtal_Prot#'!$A:$AL,30,FALSE)</f>
        <v>257</v>
      </c>
      <c r="AB6" s="5">
        <f>VLOOKUP($A6,'SegEnds_NonXtal_Prot#'!$A:$AL,33,FALSE)</f>
        <v>299</v>
      </c>
      <c r="AC6" s="5">
        <f>VLOOKUP($A6,'SegEnds_NonXtal_Prot#'!$A:$AL,36,FALSE)</f>
        <v>324</v>
      </c>
      <c r="AD6" s="5">
        <f>VLOOKUP($A6,'SegEnds_NonXtal_Prot#'!$A:$AL,5,FALSE)</f>
        <v>54</v>
      </c>
      <c r="AE6" s="5">
        <f>VLOOKUP($A6,'SegEnds_NonXtal_Prot#'!$A:$AL,8,FALSE)</f>
        <v>58</v>
      </c>
      <c r="AF6" s="5">
        <f>VLOOKUP($A6,'SegEnds_NonXtal_Prot#'!$A:$AL,11,FALSE)</f>
        <v>90</v>
      </c>
      <c r="AG6" s="5">
        <f>VLOOKUP($A6,'SegEnds_NonXtal_Prot#'!$A:$AL,14,FALSE)</f>
        <v>94</v>
      </c>
      <c r="AH6" s="5">
        <f>VLOOKUP($A6,'SegEnds_NonXtal_Prot#'!$A:$AL,17,FALSE)</f>
        <v>130</v>
      </c>
      <c r="AI6" s="5">
        <f>VLOOKUP($A6,'SegEnds_NonXtal_Prot#'!$A:$AL,20,FALSE)</f>
        <v>138</v>
      </c>
      <c r="AJ6" s="5">
        <f>VLOOKUP($A6,'SegEnds_NonXtal_Prot#'!$A:$AL,23,FALSE)</f>
        <v>168</v>
      </c>
      <c r="AK6" s="5">
        <f>VLOOKUP($A6,'SegEnds_NonXtal_Prot#'!$A:$AL,26,FALSE)</f>
        <v>182</v>
      </c>
      <c r="AL6" s="5">
        <f>VLOOKUP($A6,'SegEnds_NonXtal_Prot#'!$A:$AL,29,FALSE)</f>
        <v>226</v>
      </c>
      <c r="AM6" s="5">
        <f>VLOOKUP($A6,'SegEnds_NonXtal_Prot#'!$A:$AL,32,FALSE)</f>
        <v>294</v>
      </c>
      <c r="AN6" s="5">
        <f>VLOOKUP($A6,'SegEnds_NonXtal_Prot#'!$A:$AL,35,FALSE)</f>
        <v>323</v>
      </c>
      <c r="AO6" s="5">
        <f>VLOOKUP($A6,'SegEnds_NonXtal_Prot#'!$A:$AL,38,FALSE)</f>
        <v>337</v>
      </c>
      <c r="AP6" s="5">
        <f t="shared" si="13"/>
        <v>27</v>
      </c>
      <c r="AQ6" s="4">
        <f t="shared" si="14"/>
        <v>3</v>
      </c>
      <c r="AR6" s="4">
        <f t="shared" si="15"/>
        <v>31</v>
      </c>
      <c r="AS6" s="4">
        <f t="shared" si="16"/>
        <v>3</v>
      </c>
      <c r="AT6" s="4">
        <f t="shared" si="17"/>
        <v>35</v>
      </c>
      <c r="AU6" s="4">
        <f t="shared" si="18"/>
        <v>7</v>
      </c>
      <c r="AV6" s="4">
        <f t="shared" si="19"/>
        <v>29</v>
      </c>
      <c r="AW6" s="4">
        <f t="shared" si="20"/>
        <v>2</v>
      </c>
      <c r="AX6" s="4">
        <f t="shared" si="21"/>
        <v>41</v>
      </c>
      <c r="AY6" s="4">
        <f t="shared" si="22"/>
        <v>37</v>
      </c>
      <c r="AZ6" s="4">
        <f t="shared" si="23"/>
        <v>24</v>
      </c>
      <c r="BA6" s="4">
        <f t="shared" si="24"/>
        <v>13</v>
      </c>
    </row>
    <row r="7" spans="1:53" x14ac:dyDescent="0.2">
      <c r="A7" s="1" t="str">
        <f>'SegEnds_NonXtal_Prot#'!A49</f>
        <v>5ht7r_human</v>
      </c>
      <c r="B7" s="1" t="str">
        <f t="shared" si="0"/>
        <v>GRVEKVVIGSILTLITLLTIAGNCLVVISVCFVQPSNYLIVSLALADLSVAVAVMPFVSVTDLIGGHFFCNVFIAMDVMCCTASIMTLCVISIDRYLGITRNGKCMAKMILSVWLLSASITLPPLFGDFGYTIYSTAVAFYIPMSVMLFMYYQIYKAARKSAAKHKFPGISIFKREQKAATTLGIIVGAFTVCWLPFFLLSTARPFICSCIPLWVERTFLWLGYANSLINPFIYAFFNRDLRTTYRSLL</v>
      </c>
      <c r="C7" s="29" t="str">
        <f>IF(ISERROR(MATCH(A7,'SegEnds_Xtal_Prot#'!B:B, 0)), "NoXtal", "Xtal")</f>
        <v>NoXtal</v>
      </c>
      <c r="D7" s="4" t="str">
        <f>VLOOKUP(A7,Classification!A:D,2,FALSE)</f>
        <v>A</v>
      </c>
      <c r="E7" s="5" t="str">
        <f>VLOOKUP(A7,Seqs!A:B,2,FALSE)</f>
        <v>MMDVNSSGRPDLYGHLRSFLLPEVGRGLPDLSPDGGADPVAGSWAPHLLSEVTASPAPTWDAPPDNASGCGEQINYGRVEKVVIGSILTLITLLTIAGNCLVVISVCFVKKLRQPSNYLIVSLALADLSVAVAVMPFVSVTDLIGGKWIFGHFFCNVFIAMDVMCCTASIMTLCVISIDRYLGITRPLTYPVRQNGKCMAKMILSVWLLSASITLPPLFGWAQNVNDDKVCLISQDFGYTIYSTAVAFYIPMSVMLFMYYQIYKAARKSAAKHKFPGFPRVEPDSVIALNGIVKLQKEVEECANLSRLLKHERKNISIFKREQKAATTLGIIVGAFTVCWLPFFLLSTARPFICGTSCSCIPLWVERTFLWLGYANSLINPFIYAFFNRDLRTTYRSLLQCQYRNINRKLSAAGMHEALKLAERPERPEFVLRACTRRVLLRPEKRPPVSVWVLQSPDHHNWLADKMLTTVEKKVMIHD</v>
      </c>
      <c r="F7" s="5" t="str">
        <f t="shared" si="1"/>
        <v>GRVEKVVIGSILTLITLLTIAGNCLVVISVCFV</v>
      </c>
      <c r="G7" s="4" t="str">
        <f t="shared" si="2"/>
        <v>KKLR</v>
      </c>
      <c r="H7" s="4" t="str">
        <f t="shared" si="3"/>
        <v>QPSNYLIVSLALADLSVAVAVMPFVSVTDLIG</v>
      </c>
      <c r="I7" s="4" t="str">
        <f t="shared" si="4"/>
        <v>KWIF</v>
      </c>
      <c r="J7" s="4" t="str">
        <f t="shared" si="5"/>
        <v>GHFFCNVFIAMDVMCCTASIMTLCVISIDRYLGITR</v>
      </c>
      <c r="K7" s="4" t="str">
        <f t="shared" si="6"/>
        <v>PLTYPVRQ</v>
      </c>
      <c r="L7" s="4" t="str">
        <f t="shared" si="7"/>
        <v>NGKCMAKMILSVWLLSASITLPPLFG</v>
      </c>
      <c r="M7" s="4" t="str">
        <f t="shared" si="8"/>
        <v>CLI</v>
      </c>
      <c r="N7" s="4" t="str">
        <f t="shared" si="9"/>
        <v>DFGYTIYSTAVAFYIPMSVMLFMYYQIYKAARKSAAKHKFPG</v>
      </c>
      <c r="O7" s="4" t="str">
        <f t="shared" si="10"/>
        <v>ISIFKREQKAATTLGIIVGAFTVCWLPFFLLSTARPFI</v>
      </c>
      <c r="P7" s="4" t="str">
        <f t="shared" si="11"/>
        <v>CSCIPLWVERTFLWLGYANSLINPFIYAFF</v>
      </c>
      <c r="Q7" s="4" t="str">
        <f t="shared" si="12"/>
        <v>NRDLRTTYRSLL</v>
      </c>
      <c r="R7" s="5">
        <f>VLOOKUP($A7,'SegEnds_NonXtal_Prot#'!$A:$AL,3,FALSE)</f>
        <v>77</v>
      </c>
      <c r="S7" s="5">
        <f>VLOOKUP($A7,'SegEnds_NonXtal_Prot#'!$A:$AL,6,FALSE)</f>
        <v>110</v>
      </c>
      <c r="T7" s="5">
        <f>VLOOKUP($A7,'SegEnds_NonXtal_Prot#'!$A:$AL,9,FALSE)</f>
        <v>114</v>
      </c>
      <c r="U7" s="5">
        <f>VLOOKUP($A7,'SegEnds_NonXtal_Prot#'!$A:$AL,12,FALSE)</f>
        <v>147</v>
      </c>
      <c r="V7" s="5">
        <f>VLOOKUP($A7,'SegEnds_NonXtal_Prot#'!$A:$AL,15,FALSE)</f>
        <v>151</v>
      </c>
      <c r="W7" s="5">
        <f>VLOOKUP($A7,'SegEnds_NonXtal_Prot#'!$A:$AL,18,FALSE)</f>
        <v>187</v>
      </c>
      <c r="X7" s="5">
        <f>VLOOKUP($A7,'SegEnds_NonXtal_Prot#'!$A:$AL,21,FALSE)</f>
        <v>195</v>
      </c>
      <c r="Y7" s="5">
        <f>VLOOKUP($A7,'SegEnds_NonXtal_Prot#'!$A:$AL,24,FALSE)</f>
        <v>231</v>
      </c>
      <c r="Z7" s="5">
        <f>VLOOKUP($A7,'SegEnds_NonXtal_Prot#'!$A:$AL,27,FALSE)</f>
        <v>236</v>
      </c>
      <c r="AA7" s="5">
        <f>VLOOKUP($A7,'SegEnds_NonXtal_Prot#'!$A:$AL,30,FALSE)</f>
        <v>316</v>
      </c>
      <c r="AB7" s="5">
        <f>VLOOKUP($A7,'SegEnds_NonXtal_Prot#'!$A:$AL,33,FALSE)</f>
        <v>358</v>
      </c>
      <c r="AC7" s="5">
        <f>VLOOKUP($A7,'SegEnds_NonXtal_Prot#'!$A:$AL,36,FALSE)</f>
        <v>388</v>
      </c>
      <c r="AD7" s="5">
        <f>VLOOKUP($A7,'SegEnds_NonXtal_Prot#'!$A:$AL,5,FALSE)</f>
        <v>109</v>
      </c>
      <c r="AE7" s="5">
        <f>VLOOKUP($A7,'SegEnds_NonXtal_Prot#'!$A:$AL,8,FALSE)</f>
        <v>113</v>
      </c>
      <c r="AF7" s="5">
        <f>VLOOKUP($A7,'SegEnds_NonXtal_Prot#'!$A:$AL,11,FALSE)</f>
        <v>145</v>
      </c>
      <c r="AG7" s="5">
        <f>VLOOKUP($A7,'SegEnds_NonXtal_Prot#'!$A:$AL,14,FALSE)</f>
        <v>150</v>
      </c>
      <c r="AH7" s="5">
        <f>VLOOKUP($A7,'SegEnds_NonXtal_Prot#'!$A:$AL,17,FALSE)</f>
        <v>186</v>
      </c>
      <c r="AI7" s="5">
        <f>VLOOKUP($A7,'SegEnds_NonXtal_Prot#'!$A:$AL,20,FALSE)</f>
        <v>194</v>
      </c>
      <c r="AJ7" s="5">
        <f>VLOOKUP($A7,'SegEnds_NonXtal_Prot#'!$A:$AL,23,FALSE)</f>
        <v>220</v>
      </c>
      <c r="AK7" s="5">
        <f>VLOOKUP($A7,'SegEnds_NonXtal_Prot#'!$A:$AL,26,FALSE)</f>
        <v>233</v>
      </c>
      <c r="AL7" s="5">
        <f>VLOOKUP($A7,'SegEnds_NonXtal_Prot#'!$A:$AL,29,FALSE)</f>
        <v>277</v>
      </c>
      <c r="AM7" s="5">
        <f>VLOOKUP($A7,'SegEnds_NonXtal_Prot#'!$A:$AL,32,FALSE)</f>
        <v>353</v>
      </c>
      <c r="AN7" s="5">
        <f>VLOOKUP($A7,'SegEnds_NonXtal_Prot#'!$A:$AL,35,FALSE)</f>
        <v>387</v>
      </c>
      <c r="AO7" s="5">
        <f>VLOOKUP($A7,'SegEnds_NonXtal_Prot#'!$A:$AL,38,FALSE)</f>
        <v>399</v>
      </c>
      <c r="AP7" s="5">
        <f t="shared" si="13"/>
        <v>32</v>
      </c>
      <c r="AQ7" s="4">
        <f t="shared" si="14"/>
        <v>3</v>
      </c>
      <c r="AR7" s="4">
        <f t="shared" si="15"/>
        <v>31</v>
      </c>
      <c r="AS7" s="4">
        <f t="shared" si="16"/>
        <v>3</v>
      </c>
      <c r="AT7" s="4">
        <f t="shared" si="17"/>
        <v>35</v>
      </c>
      <c r="AU7" s="4">
        <f t="shared" si="18"/>
        <v>7</v>
      </c>
      <c r="AV7" s="4">
        <f t="shared" si="19"/>
        <v>25</v>
      </c>
      <c r="AW7" s="4">
        <f t="shared" si="20"/>
        <v>2</v>
      </c>
      <c r="AX7" s="4">
        <f t="shared" si="21"/>
        <v>41</v>
      </c>
      <c r="AY7" s="4">
        <f t="shared" si="22"/>
        <v>37</v>
      </c>
      <c r="AZ7" s="4">
        <f t="shared" si="23"/>
        <v>29</v>
      </c>
      <c r="BA7" s="4">
        <f t="shared" si="24"/>
        <v>11</v>
      </c>
    </row>
    <row r="8" spans="1:53" x14ac:dyDescent="0.2">
      <c r="A8" s="1" t="str">
        <f>'SegEnds_NonXtal_Prot#'!A113</f>
        <v>gasr_human</v>
      </c>
      <c r="B8" s="1" t="str">
        <f t="shared" si="0"/>
        <v>ELAIRITLYAVIFLMSVGGNMLIIVVLGLSTVTNAFLLSLAVSDLLLAVACMPFTLLPNLMGGTVICKAVSYLMGVSVSVSTLSLVAIALERYSAICRTRSHAARVIVATWLLSGLLMVPYPVYTRVRQTWSVLLLLLLFFIPGVVMAVAYGLISRELYLGLRFDGDSDQAKLLAKKRVVRMLLVIVVLFFLCWLPVYSANTWRAFDHRALSGAPISFIHLLSYASACVNPLVYCFMHRRFRQACLETC</v>
      </c>
      <c r="C8" s="29" t="str">
        <f>IF(ISERROR(MATCH(A8,'SegEnds_Xtal_Prot#'!B:B, 0)), "NoXtal", "Xtal")</f>
        <v>NoXtal</v>
      </c>
      <c r="D8" s="4" t="str">
        <f>VLOOKUP(A8,Classification!A:D,2,FALSE)</f>
        <v>A</v>
      </c>
      <c r="E8" s="5" t="str">
        <f>VLOOKUP(A8,Seqs!A:B,2,FALSE)</f>
        <v>MELLKLNRSVQGTGPGPGASLCRPGAPLLNSSSVGNLSCEPPRIRGAGTRELELAIRITLYAVIFLMSVGGNMLIIVVLGLSRRLRTVTNAFLLSLAVSDLLLAVACMPFTLLPNLMGTFIFGTVICKAVSYLMGVSVSVSTLSLVAIALERYSAICRPLQARVWQTRSHAARVIVATWLLSGLLMVPYPVYTVVQPVGPRVLQCVHRWPSARVRQTWSVLLLLLLFFIPGVVMAVAYGLISRELYLGLRFDGDSDSDSQSRVRNQGGLPGAVHQNGRCRPETGAVGEDSDGCYVQLPRSRPALELTALTAPGPGSGSRPTQAKLLAKKRVVRMLLVIVVLFFLCWLPVYSANTWRAFDGPGAHRALSGAPISFIHLLSYASACVNPLVYCFMHRRFRQACLETCARCCPRPPRARPRALPDEDPPTPSIASLSRLSYTTISTLGPG</v>
      </c>
      <c r="F8" s="5" t="str">
        <f t="shared" si="1"/>
        <v>ELAIRITLYAVIFLMSVGGNMLIIVVLGLS</v>
      </c>
      <c r="G8" s="4" t="str">
        <f t="shared" si="2"/>
        <v>RRLR</v>
      </c>
      <c r="H8" s="4" t="str">
        <f t="shared" si="3"/>
        <v>TVTNAFLLSLAVSDLLLAVACMPFTLLPNLMG</v>
      </c>
      <c r="I8" s="4" t="str">
        <f t="shared" si="4"/>
        <v>TFIF</v>
      </c>
      <c r="J8" s="4" t="str">
        <f t="shared" si="5"/>
        <v>GTVICKAVSYLMGVSVSVSTLSLVAIALERYSAICR</v>
      </c>
      <c r="K8" s="4" t="str">
        <f t="shared" si="6"/>
        <v>PLQARVWQ</v>
      </c>
      <c r="L8" s="4" t="str">
        <f t="shared" si="7"/>
        <v>TRSHAARVIVATWLLSGLLMVPYPVYT</v>
      </c>
      <c r="M8" s="4" t="str">
        <f t="shared" si="8"/>
        <v>CVH</v>
      </c>
      <c r="N8" s="4" t="str">
        <f t="shared" si="9"/>
        <v>RVRQTWSVLLLLLLFFIPGVVMAVAYGLISRELYLGLRFDGDSD</v>
      </c>
      <c r="O8" s="4" t="str">
        <f t="shared" si="10"/>
        <v>QAKLLAKKRVVRMLLVIVVLFFLCWLPVYSANTWRAFD</v>
      </c>
      <c r="P8" s="4" t="str">
        <f t="shared" si="11"/>
        <v>HRALSGAPISFIHLLSYASACVNPLVYCFM</v>
      </c>
      <c r="Q8" s="4" t="str">
        <f t="shared" si="12"/>
        <v>HRRFRQACLETC</v>
      </c>
      <c r="R8" s="5">
        <f>VLOOKUP($A8,'SegEnds_NonXtal_Prot#'!$A:$AL,3,FALSE)</f>
        <v>53</v>
      </c>
      <c r="S8" s="5">
        <f>VLOOKUP($A8,'SegEnds_NonXtal_Prot#'!$A:$AL,6,FALSE)</f>
        <v>83</v>
      </c>
      <c r="T8" s="5">
        <f>VLOOKUP($A8,'SegEnds_NonXtal_Prot#'!$A:$AL,9,FALSE)</f>
        <v>87</v>
      </c>
      <c r="U8" s="5">
        <f>VLOOKUP($A8,'SegEnds_NonXtal_Prot#'!$A:$AL,12,FALSE)</f>
        <v>119</v>
      </c>
      <c r="V8" s="5">
        <f>VLOOKUP($A8,'SegEnds_NonXtal_Prot#'!$A:$AL,15,FALSE)</f>
        <v>123</v>
      </c>
      <c r="W8" s="5">
        <f>VLOOKUP($A8,'SegEnds_NonXtal_Prot#'!$A:$AL,18,FALSE)</f>
        <v>159</v>
      </c>
      <c r="X8" s="5">
        <f>VLOOKUP($A8,'SegEnds_NonXtal_Prot#'!$A:$AL,21,FALSE)</f>
        <v>167</v>
      </c>
      <c r="Y8" s="5">
        <f>VLOOKUP($A8,'SegEnds_NonXtal_Prot#'!$A:$AL,24,FALSE)</f>
        <v>205</v>
      </c>
      <c r="Z8" s="5">
        <f>VLOOKUP($A8,'SegEnds_NonXtal_Prot#'!$A:$AL,27,FALSE)</f>
        <v>213</v>
      </c>
      <c r="AA8" s="5">
        <f>VLOOKUP($A8,'SegEnds_NonXtal_Prot#'!$A:$AL,30,FALSE)</f>
        <v>322</v>
      </c>
      <c r="AB8" s="5">
        <f>VLOOKUP($A8,'SegEnds_NonXtal_Prot#'!$A:$AL,33,FALSE)</f>
        <v>364</v>
      </c>
      <c r="AC8" s="5">
        <f>VLOOKUP($A8,'SegEnds_NonXtal_Prot#'!$A:$AL,36,FALSE)</f>
        <v>394</v>
      </c>
      <c r="AD8" s="5">
        <f>VLOOKUP($A8,'SegEnds_NonXtal_Prot#'!$A:$AL,5,FALSE)</f>
        <v>82</v>
      </c>
      <c r="AE8" s="5">
        <f>VLOOKUP($A8,'SegEnds_NonXtal_Prot#'!$A:$AL,8,FALSE)</f>
        <v>86</v>
      </c>
      <c r="AF8" s="5">
        <f>VLOOKUP($A8,'SegEnds_NonXtal_Prot#'!$A:$AL,11,FALSE)</f>
        <v>118</v>
      </c>
      <c r="AG8" s="5">
        <f>VLOOKUP($A8,'SegEnds_NonXtal_Prot#'!$A:$AL,14,FALSE)</f>
        <v>122</v>
      </c>
      <c r="AH8" s="5">
        <f>VLOOKUP($A8,'SegEnds_NonXtal_Prot#'!$A:$AL,17,FALSE)</f>
        <v>158</v>
      </c>
      <c r="AI8" s="5">
        <f>VLOOKUP($A8,'SegEnds_NonXtal_Prot#'!$A:$AL,20,FALSE)</f>
        <v>166</v>
      </c>
      <c r="AJ8" s="5">
        <f>VLOOKUP($A8,'SegEnds_NonXtal_Prot#'!$A:$AL,23,FALSE)</f>
        <v>193</v>
      </c>
      <c r="AK8" s="5">
        <f>VLOOKUP($A8,'SegEnds_NonXtal_Prot#'!$A:$AL,26,FALSE)</f>
        <v>207</v>
      </c>
      <c r="AL8" s="5">
        <f>VLOOKUP($A8,'SegEnds_NonXtal_Prot#'!$A:$AL,29,FALSE)</f>
        <v>256</v>
      </c>
      <c r="AM8" s="5">
        <f>VLOOKUP($A8,'SegEnds_NonXtal_Prot#'!$A:$AL,32,FALSE)</f>
        <v>359</v>
      </c>
      <c r="AN8" s="5">
        <f>VLOOKUP($A8,'SegEnds_NonXtal_Prot#'!$A:$AL,35,FALSE)</f>
        <v>393</v>
      </c>
      <c r="AO8" s="5">
        <f>VLOOKUP($A8,'SegEnds_NonXtal_Prot#'!$A:$AL,38,FALSE)</f>
        <v>405</v>
      </c>
      <c r="AP8" s="5">
        <f t="shared" si="13"/>
        <v>29</v>
      </c>
      <c r="AQ8" s="4">
        <f t="shared" si="14"/>
        <v>3</v>
      </c>
      <c r="AR8" s="4">
        <f t="shared" si="15"/>
        <v>31</v>
      </c>
      <c r="AS8" s="4">
        <f t="shared" si="16"/>
        <v>3</v>
      </c>
      <c r="AT8" s="4">
        <f t="shared" si="17"/>
        <v>35</v>
      </c>
      <c r="AU8" s="4">
        <f t="shared" si="18"/>
        <v>7</v>
      </c>
      <c r="AV8" s="4">
        <f t="shared" si="19"/>
        <v>26</v>
      </c>
      <c r="AW8" s="4">
        <f t="shared" si="20"/>
        <v>2</v>
      </c>
      <c r="AX8" s="4">
        <f t="shared" si="21"/>
        <v>43</v>
      </c>
      <c r="AY8" s="4">
        <f t="shared" si="22"/>
        <v>37</v>
      </c>
      <c r="AZ8" s="4">
        <f t="shared" si="23"/>
        <v>29</v>
      </c>
      <c r="BA8" s="4">
        <f t="shared" si="24"/>
        <v>11</v>
      </c>
    </row>
    <row r="9" spans="1:53" x14ac:dyDescent="0.2">
      <c r="A9" s="1" t="str">
        <f>'SegEnds_NonXtal_Prot#'!A123</f>
        <v>gp171_human</v>
      </c>
      <c r="B9" s="1" t="str">
        <f t="shared" si="0"/>
        <v>VYKDLEPFTYFFYLVFLVGIIGSCFATWAFIQKRCVSIYLINLLTADFLLTLALPVKIVVDLGWKLKIFHCQVTACLIYINMYLSIIFLAFVSIDRCLQLTHEPGFAKMISTVVWLMVLLIMVPNMMIPEFGRNWHLLTNFICVAIFLNFSAIILISNCLVIRQLYRNYPNVKKALINILLVTTGYIICFVPYHIVRIPYTLSQTEDCSTRISLFKAKEATLLLAVSNLCFDPILYYHLSKAFRSKVTET</v>
      </c>
      <c r="C9" s="29" t="str">
        <f>IF(ISERROR(MATCH(A9,'SegEnds_Xtal_Prot#'!B:B, 0)), "NoXtal", "Xtal")</f>
        <v>NoXtal</v>
      </c>
      <c r="D9" s="4" t="str">
        <f>VLOOKUP(A9,Classification!A:D,2,FALSE)</f>
        <v>A</v>
      </c>
      <c r="E9" s="5" t="str">
        <f>VLOOKUP(A9,Seqs!A:B,2,FALSE)</f>
        <v>MTNSSFFCPVYKDLEPFTYFFYLVFLVGIIGSCFATWAFIQKNTNHRCVSIYLINLLTADFLLTLALPVKIVVDLGVAPWKLKIFHCQVTACLIYINMYLSIIFLAFVSIDRCLQLTHSCKIYRIQEPGFAKMISTVVWLMVLLIMVPNMMIPIKDIKEKSNVGCMEFKKEFGRNWHLLTNFICVAIFLNFSAIILISNCLVIRQLYRNKDNENYPNVKKALINILLVTTGYIICFVPYHIVRIPYTLSQTEVITDCSTRISLFKAKEATLLLAVSNLCFDPILYYHLSKAFRSKVTETFASPKETKAQKEKLRCENNA</v>
      </c>
      <c r="F9" s="5" t="str">
        <f t="shared" si="1"/>
        <v>VYKDLEPFTYFFYLVFLVGIIGSCFATWAFIQK</v>
      </c>
      <c r="G9" s="4" t="str">
        <f t="shared" si="2"/>
        <v/>
      </c>
      <c r="H9" s="4" t="str">
        <f t="shared" si="3"/>
        <v>RCVSIYLINLLTADFLLTLALPVKIVVDLG</v>
      </c>
      <c r="I9" s="4" t="str">
        <f t="shared" si="4"/>
        <v/>
      </c>
      <c r="J9" s="4" t="str">
        <f t="shared" si="5"/>
        <v>WKLKIFHCQVTACLIYINMYLSIIFLAFVSIDRCLQLTH</v>
      </c>
      <c r="K9" s="4" t="str">
        <f t="shared" si="6"/>
        <v>SCKIYRIQ</v>
      </c>
      <c r="L9" s="4" t="str">
        <f t="shared" si="7"/>
        <v>EPGFAKMISTVVWLMVLLIMVPNMMIP</v>
      </c>
      <c r="M9" s="4" t="str">
        <f t="shared" si="8"/>
        <v>CME</v>
      </c>
      <c r="N9" s="4" t="str">
        <f t="shared" si="9"/>
        <v>EFGRNWHLLTNFICVAIFLNFSAIILISNCLVIRQLYR</v>
      </c>
      <c r="O9" s="4" t="str">
        <f t="shared" si="10"/>
        <v>NYPNVKKALINILLVTTGYIICFVPYHIVRIPYTLSQTE</v>
      </c>
      <c r="P9" s="4" t="str">
        <f t="shared" si="11"/>
        <v>DCSTRISLFKAKEATLLLAVSNLCFDPILYYHL</v>
      </c>
      <c r="Q9" s="4" t="str">
        <f t="shared" si="12"/>
        <v>SKAFRSKVTET</v>
      </c>
      <c r="R9" s="5">
        <f>VLOOKUP($A9,'SegEnds_NonXtal_Prot#'!$A:$AL,3,FALSE)</f>
        <v>10</v>
      </c>
      <c r="S9" s="5" t="str">
        <f>VLOOKUP($A9,'SegEnds_NonXtal_Prot#'!$A:$AL,6,FALSE)</f>
        <v>-</v>
      </c>
      <c r="T9" s="5">
        <f>VLOOKUP($A9,'SegEnds_NonXtal_Prot#'!$A:$AL,9,FALSE)</f>
        <v>47</v>
      </c>
      <c r="U9" s="5" t="str">
        <f>VLOOKUP($A9,'SegEnds_NonXtal_Prot#'!$A:$AL,12,FALSE)</f>
        <v>-</v>
      </c>
      <c r="V9" s="5">
        <f>VLOOKUP($A9,'SegEnds_NonXtal_Prot#'!$A:$AL,15,FALSE)</f>
        <v>80</v>
      </c>
      <c r="W9" s="5">
        <f>VLOOKUP($A9,'SegEnds_NonXtal_Prot#'!$A:$AL,18,FALSE)</f>
        <v>119</v>
      </c>
      <c r="X9" s="5">
        <f>VLOOKUP($A9,'SegEnds_NonXtal_Prot#'!$A:$AL,21,FALSE)</f>
        <v>127</v>
      </c>
      <c r="Y9" s="5">
        <f>VLOOKUP($A9,'SegEnds_NonXtal_Prot#'!$A:$AL,24,FALSE)</f>
        <v>165</v>
      </c>
      <c r="Z9" s="5">
        <f>VLOOKUP($A9,'SegEnds_NonXtal_Prot#'!$A:$AL,27,FALSE)</f>
        <v>171</v>
      </c>
      <c r="AA9" s="5">
        <f>VLOOKUP($A9,'SegEnds_NonXtal_Prot#'!$A:$AL,30,FALSE)</f>
        <v>214</v>
      </c>
      <c r="AB9" s="5">
        <f>VLOOKUP($A9,'SegEnds_NonXtal_Prot#'!$A:$AL,33,FALSE)</f>
        <v>256</v>
      </c>
      <c r="AC9" s="5">
        <f>VLOOKUP($A9,'SegEnds_NonXtal_Prot#'!$A:$AL,36,FALSE)</f>
        <v>289</v>
      </c>
      <c r="AD9" s="5">
        <f>VLOOKUP($A9,'SegEnds_NonXtal_Prot#'!$A:$AL,5,FALSE)</f>
        <v>42</v>
      </c>
      <c r="AE9" s="5" t="str">
        <f>VLOOKUP($A9,'SegEnds_NonXtal_Prot#'!$A:$AL,8,FALSE)</f>
        <v>-</v>
      </c>
      <c r="AF9" s="5">
        <f>VLOOKUP($A9,'SegEnds_NonXtal_Prot#'!$A:$AL,11,FALSE)</f>
        <v>76</v>
      </c>
      <c r="AG9" s="5" t="str">
        <f>VLOOKUP($A9,'SegEnds_NonXtal_Prot#'!$A:$AL,14,FALSE)</f>
        <v>-</v>
      </c>
      <c r="AH9" s="5">
        <f>VLOOKUP($A9,'SegEnds_NonXtal_Prot#'!$A:$AL,17,FALSE)</f>
        <v>118</v>
      </c>
      <c r="AI9" s="5">
        <f>VLOOKUP($A9,'SegEnds_NonXtal_Prot#'!$A:$AL,20,FALSE)</f>
        <v>126</v>
      </c>
      <c r="AJ9" s="5">
        <f>VLOOKUP($A9,'SegEnds_NonXtal_Prot#'!$A:$AL,23,FALSE)</f>
        <v>153</v>
      </c>
      <c r="AK9" s="5">
        <f>VLOOKUP($A9,'SegEnds_NonXtal_Prot#'!$A:$AL,26,FALSE)</f>
        <v>167</v>
      </c>
      <c r="AL9" s="5">
        <f>VLOOKUP($A9,'SegEnds_NonXtal_Prot#'!$A:$AL,29,FALSE)</f>
        <v>208</v>
      </c>
      <c r="AM9" s="5">
        <f>VLOOKUP($A9,'SegEnds_NonXtal_Prot#'!$A:$AL,32,FALSE)</f>
        <v>252</v>
      </c>
      <c r="AN9" s="5">
        <f>VLOOKUP($A9,'SegEnds_NonXtal_Prot#'!$A:$AL,35,FALSE)</f>
        <v>288</v>
      </c>
      <c r="AO9" s="5">
        <f>VLOOKUP($A9,'SegEnds_NonXtal_Prot#'!$A:$AL,38,FALSE)</f>
        <v>299</v>
      </c>
      <c r="AP9" s="5">
        <f t="shared" si="13"/>
        <v>32</v>
      </c>
      <c r="AQ9" s="4" t="str">
        <f t="shared" si="14"/>
        <v>-</v>
      </c>
      <c r="AR9" s="4">
        <f t="shared" si="15"/>
        <v>29</v>
      </c>
      <c r="AS9" s="4" t="str">
        <f t="shared" si="16"/>
        <v>-</v>
      </c>
      <c r="AT9" s="4">
        <f t="shared" si="17"/>
        <v>38</v>
      </c>
      <c r="AU9" s="4">
        <f t="shared" si="18"/>
        <v>7</v>
      </c>
      <c r="AV9" s="4">
        <f t="shared" si="19"/>
        <v>26</v>
      </c>
      <c r="AW9" s="4">
        <f t="shared" si="20"/>
        <v>2</v>
      </c>
      <c r="AX9" s="4">
        <f t="shared" si="21"/>
        <v>37</v>
      </c>
      <c r="AY9" s="4">
        <f t="shared" si="22"/>
        <v>38</v>
      </c>
      <c r="AZ9" s="4">
        <f t="shared" si="23"/>
        <v>32</v>
      </c>
      <c r="BA9" s="4">
        <f t="shared" si="24"/>
        <v>10</v>
      </c>
    </row>
    <row r="10" spans="1:53" x14ac:dyDescent="0.2">
      <c r="A10" s="1" t="str">
        <f>'SegEnds_NonXtal_Prot#'!A124</f>
        <v>gp173_human</v>
      </c>
      <c r="B10" s="1" t="str">
        <f t="shared" si="0"/>
        <v>PPSASAYVKLVLLGLIMCVSLAGNAILSLLVLKEKAPYYFLLDLCLADGIRSAVCFPFVLASVRHGSALSCKIVAFMAVLFCFHAAFMLFCISVTRYMAIAHTLWTCAAVICMAWTLSVAMAFPPVFDVGTYVQMVPAISQNWTFHGPGATGQAAANWIAGFGRGPMPPTLLLLGMDEVKGEKQLGRMFYAITLLFLLLWSPYIVACYWRVFVPHRYLATAVWMSFAQAAVNPIVCFLLNKDLKKCLRTHAPC</v>
      </c>
      <c r="C10" s="29" t="str">
        <f>IF(ISERROR(MATCH(A10,'SegEnds_Xtal_Prot#'!B:B, 0)), "NoXtal", "Xtal")</f>
        <v>NoXtal</v>
      </c>
      <c r="D10" s="4" t="str">
        <f>VLOOKUP(A10,Classification!A:D,2,FALSE)</f>
        <v>A</v>
      </c>
      <c r="E10" s="5" t="str">
        <f>VLOOKUP(A10,Seqs!A:B,2,FALSE)</f>
        <v>MANTTGEPEEVSGALSPPSASAYVKLVLLGLIMCVSLAGNAILSLLVLKERALHKAPYYFLLDLCLADGIRSAVCFPFVLASVRHGSSWTFSALSCKIVAFMAVLFCFHAAFMLFCISVTRYMAIAHHRFYAKRMTLWTCAAVICMAWTLSVAMAFPPVFDVGTYKFIREEDQCIFEHRYFKANDTLGFMLMLAVLMAATHAVYGKLLLFEYRHRKMKPVQMVPAISQNWTFHGPGATGQAAANWIAGFGRGPMPPTLLGIRQNGHAASRRLLGMDEVKGEKQLGRMFYAITLLFLLLWSPYIVACYWRVFVKACAVPHRYLATAVWMSFAQAAVNPIVCFLLNKDLKKCLRTHAPCWGTGGAPAPREPYCVM</v>
      </c>
      <c r="F10" s="5" t="str">
        <f t="shared" si="1"/>
        <v>PPSASAYVKLVLLGLIMCVSLAGNAILSLLVLKE</v>
      </c>
      <c r="G10" s="4" t="str">
        <f t="shared" si="2"/>
        <v>RALH</v>
      </c>
      <c r="H10" s="4" t="str">
        <f t="shared" si="3"/>
        <v>KAPYYFLLDLCLADGIRSAVCFPFVLASVRHG</v>
      </c>
      <c r="I10" s="4" t="str">
        <f t="shared" si="4"/>
        <v>SWTF</v>
      </c>
      <c r="J10" s="4" t="str">
        <f t="shared" si="5"/>
        <v>SALSCKIVAFMAVLFCFHAAFMLFCISVTRYMAIAH</v>
      </c>
      <c r="K10" s="4" t="str">
        <f t="shared" si="6"/>
        <v>HRFYAKRM</v>
      </c>
      <c r="L10" s="4" t="str">
        <f t="shared" si="7"/>
        <v>TLWTCAAVICMAWTLSVAMAFPPVFDVGTY</v>
      </c>
      <c r="M10" s="4" t="str">
        <f t="shared" si="8"/>
        <v>CIF</v>
      </c>
      <c r="N10" s="4" t="str">
        <f t="shared" si="9"/>
        <v>VQMVPAISQNWTFHGPGATGQAAANWIAGFGRGPMPPTLL</v>
      </c>
      <c r="O10" s="4" t="str">
        <f t="shared" si="10"/>
        <v>LLGMDEVKGEKQLGRMFYAITLLFLLLWSPYIVACYWRVFV</v>
      </c>
      <c r="P10" s="4" t="str">
        <f t="shared" si="11"/>
        <v>PHRYLATAVWMSFAQAAVNPIVCFLL</v>
      </c>
      <c r="Q10" s="4" t="str">
        <f t="shared" si="12"/>
        <v>NKDLKKCLRTHAPC</v>
      </c>
      <c r="R10" s="5">
        <f>VLOOKUP($A10,'SegEnds_NonXtal_Prot#'!$A:$AL,3,FALSE)</f>
        <v>17</v>
      </c>
      <c r="S10" s="5">
        <f>VLOOKUP($A10,'SegEnds_NonXtal_Prot#'!$A:$AL,6,FALSE)</f>
        <v>51</v>
      </c>
      <c r="T10" s="5">
        <f>VLOOKUP($A10,'SegEnds_NonXtal_Prot#'!$A:$AL,9,FALSE)</f>
        <v>55</v>
      </c>
      <c r="U10" s="5">
        <f>VLOOKUP($A10,'SegEnds_NonXtal_Prot#'!$A:$AL,12,FALSE)</f>
        <v>88</v>
      </c>
      <c r="V10" s="5">
        <f>VLOOKUP($A10,'SegEnds_NonXtal_Prot#'!$A:$AL,15,FALSE)</f>
        <v>92</v>
      </c>
      <c r="W10" s="5">
        <f>VLOOKUP($A10,'SegEnds_NonXtal_Prot#'!$A:$AL,18,FALSE)</f>
        <v>128</v>
      </c>
      <c r="X10" s="5">
        <f>VLOOKUP($A10,'SegEnds_NonXtal_Prot#'!$A:$AL,21,FALSE)</f>
        <v>136</v>
      </c>
      <c r="Y10" s="5">
        <f>VLOOKUP($A10,'SegEnds_NonXtal_Prot#'!$A:$AL,24,FALSE)</f>
        <v>174</v>
      </c>
      <c r="Z10" s="5">
        <f>VLOOKUP($A10,'SegEnds_NonXtal_Prot#'!$A:$AL,27,FALSE)</f>
        <v>220</v>
      </c>
      <c r="AA10" s="5">
        <f>VLOOKUP($A10,'SegEnds_NonXtal_Prot#'!$A:$AL,30,FALSE)</f>
        <v>272</v>
      </c>
      <c r="AB10" s="5">
        <f>VLOOKUP($A10,'SegEnds_NonXtal_Prot#'!$A:$AL,33,FALSE)</f>
        <v>318</v>
      </c>
      <c r="AC10" s="5">
        <f>VLOOKUP($A10,'SegEnds_NonXtal_Prot#'!$A:$AL,36,FALSE)</f>
        <v>344</v>
      </c>
      <c r="AD10" s="5">
        <f>VLOOKUP($A10,'SegEnds_NonXtal_Prot#'!$A:$AL,5,FALSE)</f>
        <v>50</v>
      </c>
      <c r="AE10" s="5">
        <f>VLOOKUP($A10,'SegEnds_NonXtal_Prot#'!$A:$AL,8,FALSE)</f>
        <v>54</v>
      </c>
      <c r="AF10" s="5">
        <f>VLOOKUP($A10,'SegEnds_NonXtal_Prot#'!$A:$AL,11,FALSE)</f>
        <v>86</v>
      </c>
      <c r="AG10" s="5">
        <f>VLOOKUP($A10,'SegEnds_NonXtal_Prot#'!$A:$AL,14,FALSE)</f>
        <v>91</v>
      </c>
      <c r="AH10" s="5">
        <f>VLOOKUP($A10,'SegEnds_NonXtal_Prot#'!$A:$AL,17,FALSE)</f>
        <v>127</v>
      </c>
      <c r="AI10" s="5">
        <f>VLOOKUP($A10,'SegEnds_NonXtal_Prot#'!$A:$AL,20,FALSE)</f>
        <v>135</v>
      </c>
      <c r="AJ10" s="5">
        <f>VLOOKUP($A10,'SegEnds_NonXtal_Prot#'!$A:$AL,23,FALSE)</f>
        <v>165</v>
      </c>
      <c r="AK10" s="5">
        <f>VLOOKUP($A10,'SegEnds_NonXtal_Prot#'!$A:$AL,26,FALSE)</f>
        <v>176</v>
      </c>
      <c r="AL10" s="5">
        <f>VLOOKUP($A10,'SegEnds_NonXtal_Prot#'!$A:$AL,29,FALSE)</f>
        <v>259</v>
      </c>
      <c r="AM10" s="5">
        <f>VLOOKUP($A10,'SegEnds_NonXtal_Prot#'!$A:$AL,32,FALSE)</f>
        <v>312</v>
      </c>
      <c r="AN10" s="5">
        <f>VLOOKUP($A10,'SegEnds_NonXtal_Prot#'!$A:$AL,35,FALSE)</f>
        <v>343</v>
      </c>
      <c r="AO10" s="5">
        <f>VLOOKUP($A10,'SegEnds_NonXtal_Prot#'!$A:$AL,38,FALSE)</f>
        <v>357</v>
      </c>
      <c r="AP10" s="5">
        <f t="shared" si="13"/>
        <v>33</v>
      </c>
      <c r="AQ10" s="4">
        <f t="shared" si="14"/>
        <v>3</v>
      </c>
      <c r="AR10" s="4">
        <f t="shared" si="15"/>
        <v>31</v>
      </c>
      <c r="AS10" s="4">
        <f t="shared" si="16"/>
        <v>3</v>
      </c>
      <c r="AT10" s="4">
        <f t="shared" si="17"/>
        <v>35</v>
      </c>
      <c r="AU10" s="4">
        <f t="shared" si="18"/>
        <v>7</v>
      </c>
      <c r="AV10" s="4">
        <f t="shared" si="19"/>
        <v>29</v>
      </c>
      <c r="AW10" s="4">
        <f t="shared" si="20"/>
        <v>2</v>
      </c>
      <c r="AX10" s="4">
        <f t="shared" si="21"/>
        <v>39</v>
      </c>
      <c r="AY10" s="4">
        <f t="shared" si="22"/>
        <v>40</v>
      </c>
      <c r="AZ10" s="4">
        <f t="shared" si="23"/>
        <v>25</v>
      </c>
      <c r="BA10" s="4">
        <f t="shared" si="24"/>
        <v>13</v>
      </c>
    </row>
    <row r="11" spans="1:53" x14ac:dyDescent="0.2">
      <c r="A11" s="1" t="str">
        <f>'SegEnds_NonXtal_Prot#'!A125</f>
        <v>gp182_human</v>
      </c>
      <c r="B11" s="1" t="str">
        <f t="shared" si="0"/>
        <v>VVLFALYLAMFVVGLVENLLVICVNWRGGLMNLYILNMAIADLGIVLSLPVWMLEVTLDGSFSCRFTHYFYFVNMYSSIFFLVCLSVDRYVTLTSQHRVRRAMCAGIWVLSAIIPLPEVVHITYSTWALAVALSTTILGFLLPFPLITVFNVLTACRLRQPSRRHCLLLCAYVAVFVMCWLPYHVTLLLLTLHGTHHCHLVHLLYFFYDVIDCFSMLHCVINPILYNFLSPHFRGRLLNAVVHY</v>
      </c>
      <c r="C11" s="29" t="str">
        <f>IF(ISERROR(MATCH(A11,'SegEnds_Xtal_Prot#'!B:B, 0)), "NoXtal", "Xtal")</f>
        <v>NoXtal</v>
      </c>
      <c r="D11" s="4" t="str">
        <f>VLOOKUP(A11,Classification!A:D,2,FALSE)</f>
        <v>A</v>
      </c>
      <c r="E11" s="5" t="str">
        <f>VLOOKUP(A11,Seqs!A:B,2,FALSE)</f>
        <v>MSVKPSWGPGPSEGVTAVPTSDLGEIHNWTELLDLFNHTLSECHVELSQSTKRVVLFALYLAMFVVGLVENLLVICVNWRGSGRAGLMNLYILNMAIADLGIVLSLPVWMLEVTLDYTWLWGSFSCRFTHYFYFVNMYSSIFFLVCLSVDRYVTLTSASPSWQRYQHRVRRAMCAGIWVLSAIIPLPEVVHIQLVEGPEPMCLFMAPFETYSTWALAVALSTTILGFLLPFPLITVFNVLTACRLRQPGQPKSRRHCLLLCAYVAVFVMCWLPYHVTLLLLTLHGTHISLHCHLVHLLYFFYDVIDCFSMLHCVINPILYNFLSPHFRGRLLNAVVHYLPKDQTKAGTCASSSSCSTQHSIIITKGDSQPAAAAPHPEPSLSFQAHHLLPNTSPISPTQPLTPS</v>
      </c>
      <c r="F11" s="5" t="str">
        <f t="shared" si="1"/>
        <v>VVLFALYLAMFVVGLVENLLVICVNWRG</v>
      </c>
      <c r="G11" s="4" t="str">
        <f t="shared" si="2"/>
        <v>SGRA</v>
      </c>
      <c r="H11" s="4" t="str">
        <f t="shared" si="3"/>
        <v>GLMNLYILNMAIADLGIVLSLPVWMLEVTLD</v>
      </c>
      <c r="I11" s="4" t="str">
        <f t="shared" si="4"/>
        <v>TWLW</v>
      </c>
      <c r="J11" s="4" t="str">
        <f t="shared" si="5"/>
        <v>GSFSCRFTHYFYFVNMYSSIFFLVCLSVDRYVTLTS</v>
      </c>
      <c r="K11" s="4" t="str">
        <f t="shared" si="6"/>
        <v>ASPSWQRY</v>
      </c>
      <c r="L11" s="4" t="str">
        <f t="shared" si="7"/>
        <v>QHRVRRAMCAGIWVLSAIIPLPEVVHI</v>
      </c>
      <c r="M11" s="4" t="str">
        <f t="shared" si="8"/>
        <v>CLF</v>
      </c>
      <c r="N11" s="4" t="str">
        <f t="shared" si="9"/>
        <v>TYSTWALAVALSTTILGFLLPFPLITVFNVLTACRLRQP</v>
      </c>
      <c r="O11" s="4" t="str">
        <f t="shared" si="10"/>
        <v>SRRHCLLLCAYVAVFVMCWLPYHVTLLLLTLHGTH</v>
      </c>
      <c r="P11" s="4" t="str">
        <f t="shared" si="11"/>
        <v>HCHLVHLLYFFYDVIDCFSMLHCVINPILYNFL</v>
      </c>
      <c r="Q11" s="4" t="str">
        <f t="shared" si="12"/>
        <v>SPHFRGRLLNAVVHY</v>
      </c>
      <c r="R11" s="5">
        <f>VLOOKUP($A11,'SegEnds_NonXtal_Prot#'!$A:$AL,3,FALSE)</f>
        <v>54</v>
      </c>
      <c r="S11" s="5">
        <f>VLOOKUP($A11,'SegEnds_NonXtal_Prot#'!$A:$AL,6,FALSE)</f>
        <v>82</v>
      </c>
      <c r="T11" s="5">
        <f>VLOOKUP($A11,'SegEnds_NonXtal_Prot#'!$A:$AL,9,FALSE)</f>
        <v>86</v>
      </c>
      <c r="U11" s="5">
        <f>VLOOKUP($A11,'SegEnds_NonXtal_Prot#'!$A:$AL,12,FALSE)</f>
        <v>118</v>
      </c>
      <c r="V11" s="5">
        <f>VLOOKUP($A11,'SegEnds_NonXtal_Prot#'!$A:$AL,15,FALSE)</f>
        <v>122</v>
      </c>
      <c r="W11" s="5">
        <f>VLOOKUP($A11,'SegEnds_NonXtal_Prot#'!$A:$AL,18,FALSE)</f>
        <v>158</v>
      </c>
      <c r="X11" s="5">
        <f>VLOOKUP($A11,'SegEnds_NonXtal_Prot#'!$A:$AL,21,FALSE)</f>
        <v>166</v>
      </c>
      <c r="Y11" s="5">
        <f>VLOOKUP($A11,'SegEnds_NonXtal_Prot#'!$A:$AL,24,FALSE)</f>
        <v>202</v>
      </c>
      <c r="Z11" s="5">
        <f>VLOOKUP($A11,'SegEnds_NonXtal_Prot#'!$A:$AL,27,FALSE)</f>
        <v>210</v>
      </c>
      <c r="AA11" s="5">
        <f>VLOOKUP($A11,'SegEnds_NonXtal_Prot#'!$A:$AL,30,FALSE)</f>
        <v>253</v>
      </c>
      <c r="AB11" s="5">
        <f>VLOOKUP($A11,'SegEnds_NonXtal_Prot#'!$A:$AL,33,FALSE)</f>
        <v>291</v>
      </c>
      <c r="AC11" s="5">
        <f>VLOOKUP($A11,'SegEnds_NonXtal_Prot#'!$A:$AL,36,FALSE)</f>
        <v>324</v>
      </c>
      <c r="AD11" s="5">
        <f>VLOOKUP($A11,'SegEnds_NonXtal_Prot#'!$A:$AL,5,FALSE)</f>
        <v>81</v>
      </c>
      <c r="AE11" s="5">
        <f>VLOOKUP($A11,'SegEnds_NonXtal_Prot#'!$A:$AL,8,FALSE)</f>
        <v>85</v>
      </c>
      <c r="AF11" s="5">
        <f>VLOOKUP($A11,'SegEnds_NonXtal_Prot#'!$A:$AL,11,FALSE)</f>
        <v>116</v>
      </c>
      <c r="AG11" s="5">
        <f>VLOOKUP($A11,'SegEnds_NonXtal_Prot#'!$A:$AL,14,FALSE)</f>
        <v>121</v>
      </c>
      <c r="AH11" s="5">
        <f>VLOOKUP($A11,'SegEnds_NonXtal_Prot#'!$A:$AL,17,FALSE)</f>
        <v>157</v>
      </c>
      <c r="AI11" s="5">
        <f>VLOOKUP($A11,'SegEnds_NonXtal_Prot#'!$A:$AL,20,FALSE)</f>
        <v>165</v>
      </c>
      <c r="AJ11" s="5">
        <f>VLOOKUP($A11,'SegEnds_NonXtal_Prot#'!$A:$AL,23,FALSE)</f>
        <v>192</v>
      </c>
      <c r="AK11" s="5">
        <f>VLOOKUP($A11,'SegEnds_NonXtal_Prot#'!$A:$AL,26,FALSE)</f>
        <v>204</v>
      </c>
      <c r="AL11" s="5">
        <f>VLOOKUP($A11,'SegEnds_NonXtal_Prot#'!$A:$AL,29,FALSE)</f>
        <v>248</v>
      </c>
      <c r="AM11" s="5">
        <f>VLOOKUP($A11,'SegEnds_NonXtal_Prot#'!$A:$AL,32,FALSE)</f>
        <v>287</v>
      </c>
      <c r="AN11" s="5">
        <f>VLOOKUP($A11,'SegEnds_NonXtal_Prot#'!$A:$AL,35,FALSE)</f>
        <v>323</v>
      </c>
      <c r="AO11" s="5">
        <f>VLOOKUP($A11,'SegEnds_NonXtal_Prot#'!$A:$AL,38,FALSE)</f>
        <v>338</v>
      </c>
      <c r="AP11" s="5">
        <f t="shared" si="13"/>
        <v>27</v>
      </c>
      <c r="AQ11" s="4">
        <f t="shared" si="14"/>
        <v>3</v>
      </c>
      <c r="AR11" s="4">
        <f t="shared" si="15"/>
        <v>30</v>
      </c>
      <c r="AS11" s="4">
        <f t="shared" si="16"/>
        <v>3</v>
      </c>
      <c r="AT11" s="4">
        <f t="shared" si="17"/>
        <v>35</v>
      </c>
      <c r="AU11" s="4">
        <f t="shared" si="18"/>
        <v>7</v>
      </c>
      <c r="AV11" s="4">
        <f t="shared" si="19"/>
        <v>26</v>
      </c>
      <c r="AW11" s="4">
        <f t="shared" si="20"/>
        <v>2</v>
      </c>
      <c r="AX11" s="4">
        <f t="shared" si="21"/>
        <v>38</v>
      </c>
      <c r="AY11" s="4">
        <f t="shared" si="22"/>
        <v>34</v>
      </c>
      <c r="AZ11" s="4">
        <f t="shared" si="23"/>
        <v>32</v>
      </c>
      <c r="BA11" s="4">
        <f t="shared" si="24"/>
        <v>14</v>
      </c>
    </row>
    <row r="12" spans="1:53" x14ac:dyDescent="0.2">
      <c r="A12" s="1" t="str">
        <f>'SegEnds_NonXtal_Prot#'!A148</f>
        <v>gpr55_human</v>
      </c>
      <c r="B12" s="1" t="str">
        <f t="shared" si="0"/>
        <v>LMKTLQFAVHIPTFVLGLLLNLLAIHGFSTFAATSIYMINLAVFDLLLVLSLPFKMVLSQVLCTLVECLYFVSMYGSVFTICFISMDRFLAIRYSPRKIFGICCTIWVLVWTGSIPIYSFHSDDTWSAKVFFPLEVFGFLLPMGIMGFCCSRSIHILLGRTQDWVQQKACIYSIAASLAVFVVSFLPVHLGFFLQFLVRNSECRAKQSISFFLQLSMCFSNVNCCLDVFCYYFVIKEFRMNIRAHRP</v>
      </c>
      <c r="C12" s="29" t="str">
        <f>IF(ISERROR(MATCH(A12,'SegEnds_Xtal_Prot#'!B:B, 0)), "NoXtal", "Xtal")</f>
        <v>NoXtal</v>
      </c>
      <c r="D12" s="4" t="str">
        <f>VLOOKUP(A12,Classification!A:D,2,FALSE)</f>
        <v>A</v>
      </c>
      <c r="E12" s="5" t="str">
        <f>VLOOKUP(A12,Seqs!A:B,2,FALSE)</f>
        <v>MSQQNTSGDCLFDGVNELMKTLQFAVHIPTFVLGLLLNLLAIHGFSTFLKNRWPDYAATSIYMINLAVFDLLLVLSLPFKMVLSQVQSPFPSLCTLVECLYFVSMYGSVFTICFISMDRFLAIRYPLLVSHLRSPRKIFGICCTIWVLVWTGSIPIYSFHGKVEKYMCFHNMSDDTWSAKVFFPLEVFGFLLPMGIMGFCCSRSIHILLGRRDHTQDWVQQKACIYSIAASLAVFVVSFLPVHLGFFLQFLVRNSFIVECRAKQSISFFLQLSMCFSNVNCCLDVFCYYFVIKEFRMNIRAHRPSRVQLVLQDTTISRG</v>
      </c>
      <c r="F12" s="5" t="str">
        <f t="shared" si="1"/>
        <v>LMKTLQFAVHIPTFVLGLLLNLLAIHGFSTF</v>
      </c>
      <c r="G12" s="4" t="str">
        <f t="shared" si="2"/>
        <v/>
      </c>
      <c r="H12" s="4" t="str">
        <f t="shared" si="3"/>
        <v>AATSIYMINLAVFDLLLVLSLPFKMVLSQV</v>
      </c>
      <c r="I12" s="4" t="str">
        <f t="shared" si="4"/>
        <v/>
      </c>
      <c r="J12" s="4" t="str">
        <f t="shared" si="5"/>
        <v>LCTLVECLYFVSMYGSVFTICFISMDRFLAIRY</v>
      </c>
      <c r="K12" s="4" t="str">
        <f t="shared" si="6"/>
        <v>PLLVSHLR</v>
      </c>
      <c r="L12" s="4" t="str">
        <f t="shared" si="7"/>
        <v>SPRKIFGICCTIWVLVWTGSIPIYSFH</v>
      </c>
      <c r="M12" s="4" t="str">
        <f t="shared" si="8"/>
        <v>CFH</v>
      </c>
      <c r="N12" s="4" t="str">
        <f t="shared" si="9"/>
        <v>SDDTWSAKVFFPLEVFGFLLPMGIMGFCCSRSIHILLGR</v>
      </c>
      <c r="O12" s="4" t="str">
        <f t="shared" si="10"/>
        <v>TQDWVQQKACIYSIAASLAVFVVSFLPVHLGFFLQFLVRNS</v>
      </c>
      <c r="P12" s="4" t="str">
        <f t="shared" si="11"/>
        <v>ECRAKQSISFFLQLSMCFSNVNCCLDVFCYYFV</v>
      </c>
      <c r="Q12" s="4" t="str">
        <f t="shared" si="12"/>
        <v>IKEFRMNIRAHRP</v>
      </c>
      <c r="R12" s="5">
        <f>VLOOKUP($A12,'SegEnds_NonXtal_Prot#'!$A:$AL,3,FALSE)</f>
        <v>18</v>
      </c>
      <c r="S12" s="5" t="str">
        <f>VLOOKUP($A12,'SegEnds_NonXtal_Prot#'!$A:$AL,6,FALSE)</f>
        <v>-</v>
      </c>
      <c r="T12" s="5">
        <f>VLOOKUP($A12,'SegEnds_NonXtal_Prot#'!$A:$AL,9,FALSE)</f>
        <v>57</v>
      </c>
      <c r="U12" s="5" t="str">
        <f>VLOOKUP($A12,'SegEnds_NonXtal_Prot#'!$A:$AL,12,FALSE)</f>
        <v>-</v>
      </c>
      <c r="V12" s="5">
        <f>VLOOKUP($A12,'SegEnds_NonXtal_Prot#'!$A:$AL,15,FALSE)</f>
        <v>93</v>
      </c>
      <c r="W12" s="5">
        <f>VLOOKUP($A12,'SegEnds_NonXtal_Prot#'!$A:$AL,18,FALSE)</f>
        <v>126</v>
      </c>
      <c r="X12" s="5">
        <f>VLOOKUP($A12,'SegEnds_NonXtal_Prot#'!$A:$AL,21,FALSE)</f>
        <v>134</v>
      </c>
      <c r="Y12" s="5">
        <f>VLOOKUP($A12,'SegEnds_NonXtal_Prot#'!$A:$AL,24,FALSE)</f>
        <v>168</v>
      </c>
      <c r="Z12" s="5">
        <f>VLOOKUP($A12,'SegEnds_NonXtal_Prot#'!$A:$AL,27,FALSE)</f>
        <v>173</v>
      </c>
      <c r="AA12" s="5">
        <f>VLOOKUP($A12,'SegEnds_NonXtal_Prot#'!$A:$AL,30,FALSE)</f>
        <v>215</v>
      </c>
      <c r="AB12" s="5">
        <f>VLOOKUP($A12,'SegEnds_NonXtal_Prot#'!$A:$AL,33,FALSE)</f>
        <v>259</v>
      </c>
      <c r="AC12" s="5">
        <f>VLOOKUP($A12,'SegEnds_NonXtal_Prot#'!$A:$AL,36,FALSE)</f>
        <v>292</v>
      </c>
      <c r="AD12" s="5">
        <f>VLOOKUP($A12,'SegEnds_NonXtal_Prot#'!$A:$AL,5,FALSE)</f>
        <v>48</v>
      </c>
      <c r="AE12" s="5" t="str">
        <f>VLOOKUP($A12,'SegEnds_NonXtal_Prot#'!$A:$AL,8,FALSE)</f>
        <v>-</v>
      </c>
      <c r="AF12" s="5">
        <f>VLOOKUP($A12,'SegEnds_NonXtal_Prot#'!$A:$AL,11,FALSE)</f>
        <v>86</v>
      </c>
      <c r="AG12" s="5" t="str">
        <f>VLOOKUP($A12,'SegEnds_NonXtal_Prot#'!$A:$AL,14,FALSE)</f>
        <v>-</v>
      </c>
      <c r="AH12" s="5">
        <f>VLOOKUP($A12,'SegEnds_NonXtal_Prot#'!$A:$AL,17,FALSE)</f>
        <v>125</v>
      </c>
      <c r="AI12" s="5">
        <f>VLOOKUP($A12,'SegEnds_NonXtal_Prot#'!$A:$AL,20,FALSE)</f>
        <v>133</v>
      </c>
      <c r="AJ12" s="5">
        <f>VLOOKUP($A12,'SegEnds_NonXtal_Prot#'!$A:$AL,23,FALSE)</f>
        <v>160</v>
      </c>
      <c r="AK12" s="5">
        <f>VLOOKUP($A12,'SegEnds_NonXtal_Prot#'!$A:$AL,26,FALSE)</f>
        <v>170</v>
      </c>
      <c r="AL12" s="5">
        <f>VLOOKUP($A12,'SegEnds_NonXtal_Prot#'!$A:$AL,29,FALSE)</f>
        <v>211</v>
      </c>
      <c r="AM12" s="5">
        <f>VLOOKUP($A12,'SegEnds_NonXtal_Prot#'!$A:$AL,32,FALSE)</f>
        <v>255</v>
      </c>
      <c r="AN12" s="5">
        <f>VLOOKUP($A12,'SegEnds_NonXtal_Prot#'!$A:$AL,35,FALSE)</f>
        <v>291</v>
      </c>
      <c r="AO12" s="5">
        <f>VLOOKUP($A12,'SegEnds_NonXtal_Prot#'!$A:$AL,38,FALSE)</f>
        <v>304</v>
      </c>
      <c r="AP12" s="5">
        <f t="shared" si="13"/>
        <v>30</v>
      </c>
      <c r="AQ12" s="4" t="str">
        <f t="shared" si="14"/>
        <v>-</v>
      </c>
      <c r="AR12" s="4">
        <f t="shared" si="15"/>
        <v>29</v>
      </c>
      <c r="AS12" s="4" t="str">
        <f t="shared" si="16"/>
        <v>-</v>
      </c>
      <c r="AT12" s="4">
        <f t="shared" si="17"/>
        <v>32</v>
      </c>
      <c r="AU12" s="4">
        <f t="shared" si="18"/>
        <v>7</v>
      </c>
      <c r="AV12" s="4">
        <f t="shared" si="19"/>
        <v>26</v>
      </c>
      <c r="AW12" s="4">
        <f t="shared" si="20"/>
        <v>2</v>
      </c>
      <c r="AX12" s="4">
        <f t="shared" si="21"/>
        <v>38</v>
      </c>
      <c r="AY12" s="4">
        <f t="shared" si="22"/>
        <v>40</v>
      </c>
      <c r="AZ12" s="4">
        <f t="shared" si="23"/>
        <v>32</v>
      </c>
      <c r="BA12" s="4">
        <f t="shared" si="24"/>
        <v>12</v>
      </c>
    </row>
    <row r="13" spans="1:53" x14ac:dyDescent="0.2">
      <c r="A13" s="1" t="str">
        <f>'SegEnds_NonXtal_Prot#'!A159</f>
        <v>hcar2_human</v>
      </c>
      <c r="B13" s="1" t="str">
        <f t="shared" si="0"/>
        <v>FIVKVLPPVLGLEFIFGLLGNGLALWIFCFHKSSRIFLFNLAVADFLLIICLPFLMDNYVRRGDIPCRLMLFMLAMNRQGSIIFLTVVAVDRYFRVVHSNRTAAIISCLLWGITIGLTVHLLKKKFSICHTFQWHEAMFLLEFFLPLGIILFCSARIIWSLRQRHAKIKRAITFIMVVAIVFVICFLPSVVVRIRIFWLLHTNCEVYRSVDLAFFITLSFTYMNSMLDPVVYYFSSPSFPNFFSTLIN</v>
      </c>
      <c r="C13" s="29" t="str">
        <f>IF(ISERROR(MATCH(A13,'SegEnds_Xtal_Prot#'!B:B, 0)), "NoXtal", "Xtal")</f>
        <v>NoXtal</v>
      </c>
      <c r="D13" s="4" t="str">
        <f>VLOOKUP(A13,Classification!A:D,2,FALSE)</f>
        <v>A</v>
      </c>
      <c r="E13" s="5" t="str">
        <f>VLOOKUP(A13,Seqs!A:B,2,FALSE)</f>
        <v>MNRHHLQDHFLEIDKKNCCVFRDDFIVKVLPPVLGLEFIFGLLGNGLALWIFCFHLKSWKSSRIFLFNLAVADFLLIICLPFLMDNYVRRWDWKFGDIPCRLMLFMLAMNRQGSIIFLTVVAVDRYFRVVHPHHALNKISNRTAAIISCLLWGITIGLTVHLLKKKMPIQNGGANLCSSFSICHTFQWHEAMFLLEFFLPLGIILFCSARIIWSLRQRQMDRHAKIKRAITFIMVVAIVFVICFLPSVVVRIRIFWLLHTSGTQNCEVYRSVDLAFFITLSFTYMNSMLDPVVYYFSSPSFPNFFSTLINRCLQRKMTGEPDNNRSTSVELTGDPNKTRGAPEALMANSGEPWSPSYLGPTSP</v>
      </c>
      <c r="F13" s="5" t="str">
        <f t="shared" si="1"/>
        <v>FIVKVLPPVLGLEFIFGLLGNGLALWIFCFH</v>
      </c>
      <c r="G13" s="4" t="str">
        <f t="shared" si="2"/>
        <v/>
      </c>
      <c r="H13" s="4" t="str">
        <f t="shared" si="3"/>
        <v>KSSRIFLFNLAVADFLLIICLPFLMDNYVRR</v>
      </c>
      <c r="I13" s="4" t="str">
        <f t="shared" si="4"/>
        <v>DWKF</v>
      </c>
      <c r="J13" s="4" t="str">
        <f t="shared" si="5"/>
        <v>GDIPCRLMLFMLAMNRQGSIIFLTVVAVDRYFRVVH</v>
      </c>
      <c r="K13" s="4" t="str">
        <f t="shared" si="6"/>
        <v>PHHALNKI</v>
      </c>
      <c r="L13" s="4" t="str">
        <f t="shared" si="7"/>
        <v>SNRTAAIISCLLWGITIGLTVHLLKKK</v>
      </c>
      <c r="M13" s="4" t="str">
        <f t="shared" si="8"/>
        <v>CSS</v>
      </c>
      <c r="N13" s="4" t="str">
        <f t="shared" si="9"/>
        <v>FSICHTFQWHEAMFLLEFFLPLGIILFCSARIIWSLRQ</v>
      </c>
      <c r="O13" s="4" t="str">
        <f t="shared" si="10"/>
        <v>RHAKIKRAITFIMVVAIVFVICFLPSVVVRIRIFWLLHT</v>
      </c>
      <c r="P13" s="4" t="str">
        <f t="shared" si="11"/>
        <v>NCEVYRSVDLAFFITLSFTYMNSMLDPVVYYFS</v>
      </c>
      <c r="Q13" s="4" t="str">
        <f t="shared" si="12"/>
        <v>SPSFPNFFSTLIN</v>
      </c>
      <c r="R13" s="5">
        <f>VLOOKUP($A13,'SegEnds_NonXtal_Prot#'!$A:$AL,3,FALSE)</f>
        <v>25</v>
      </c>
      <c r="S13" s="5" t="str">
        <f>VLOOKUP($A13,'SegEnds_NonXtal_Prot#'!$A:$AL,6,FALSE)</f>
        <v>-</v>
      </c>
      <c r="T13" s="5">
        <f>VLOOKUP($A13,'SegEnds_NonXtal_Prot#'!$A:$AL,9,FALSE)</f>
        <v>60</v>
      </c>
      <c r="U13" s="5">
        <f>VLOOKUP($A13,'SegEnds_NonXtal_Prot#'!$A:$AL,12,FALSE)</f>
        <v>92</v>
      </c>
      <c r="V13" s="5">
        <f>VLOOKUP($A13,'SegEnds_NonXtal_Prot#'!$A:$AL,15,FALSE)</f>
        <v>96</v>
      </c>
      <c r="W13" s="5">
        <f>VLOOKUP($A13,'SegEnds_NonXtal_Prot#'!$A:$AL,18,FALSE)</f>
        <v>132</v>
      </c>
      <c r="X13" s="5">
        <f>VLOOKUP($A13,'SegEnds_NonXtal_Prot#'!$A:$AL,21,FALSE)</f>
        <v>140</v>
      </c>
      <c r="Y13" s="5">
        <f>VLOOKUP($A13,'SegEnds_NonXtal_Prot#'!$A:$AL,24,FALSE)</f>
        <v>177</v>
      </c>
      <c r="Z13" s="5">
        <f>VLOOKUP($A13,'SegEnds_NonXtal_Prot#'!$A:$AL,27,FALSE)</f>
        <v>180</v>
      </c>
      <c r="AA13" s="5">
        <f>VLOOKUP($A13,'SegEnds_NonXtal_Prot#'!$A:$AL,30,FALSE)</f>
        <v>222</v>
      </c>
      <c r="AB13" s="5">
        <f>VLOOKUP($A13,'SegEnds_NonXtal_Prot#'!$A:$AL,33,FALSE)</f>
        <v>265</v>
      </c>
      <c r="AC13" s="5">
        <f>VLOOKUP($A13,'SegEnds_NonXtal_Prot#'!$A:$AL,36,FALSE)</f>
        <v>298</v>
      </c>
      <c r="AD13" s="5">
        <f>VLOOKUP($A13,'SegEnds_NonXtal_Prot#'!$A:$AL,5,FALSE)</f>
        <v>55</v>
      </c>
      <c r="AE13" s="5" t="str">
        <f>VLOOKUP($A13,'SegEnds_NonXtal_Prot#'!$A:$AL,8,FALSE)</f>
        <v>-</v>
      </c>
      <c r="AF13" s="5">
        <f>VLOOKUP($A13,'SegEnds_NonXtal_Prot#'!$A:$AL,11,FALSE)</f>
        <v>90</v>
      </c>
      <c r="AG13" s="5">
        <f>VLOOKUP($A13,'SegEnds_NonXtal_Prot#'!$A:$AL,14,FALSE)</f>
        <v>95</v>
      </c>
      <c r="AH13" s="5">
        <f>VLOOKUP($A13,'SegEnds_NonXtal_Prot#'!$A:$AL,17,FALSE)</f>
        <v>131</v>
      </c>
      <c r="AI13" s="5">
        <f>VLOOKUP($A13,'SegEnds_NonXtal_Prot#'!$A:$AL,20,FALSE)</f>
        <v>139</v>
      </c>
      <c r="AJ13" s="5">
        <f>VLOOKUP($A13,'SegEnds_NonXtal_Prot#'!$A:$AL,23,FALSE)</f>
        <v>166</v>
      </c>
      <c r="AK13" s="5">
        <f>VLOOKUP($A13,'SegEnds_NonXtal_Prot#'!$A:$AL,26,FALSE)</f>
        <v>179</v>
      </c>
      <c r="AL13" s="5">
        <f>VLOOKUP($A13,'SegEnds_NonXtal_Prot#'!$A:$AL,29,FALSE)</f>
        <v>217</v>
      </c>
      <c r="AM13" s="5">
        <f>VLOOKUP($A13,'SegEnds_NonXtal_Prot#'!$A:$AL,32,FALSE)</f>
        <v>260</v>
      </c>
      <c r="AN13" s="5">
        <f>VLOOKUP($A13,'SegEnds_NonXtal_Prot#'!$A:$AL,35,FALSE)</f>
        <v>297</v>
      </c>
      <c r="AO13" s="5">
        <f>VLOOKUP($A13,'SegEnds_NonXtal_Prot#'!$A:$AL,38,FALSE)</f>
        <v>310</v>
      </c>
      <c r="AP13" s="5">
        <f t="shared" si="13"/>
        <v>30</v>
      </c>
      <c r="AQ13" s="4" t="str">
        <f t="shared" si="14"/>
        <v>-</v>
      </c>
      <c r="AR13" s="4">
        <f t="shared" si="15"/>
        <v>30</v>
      </c>
      <c r="AS13" s="4">
        <f t="shared" si="16"/>
        <v>3</v>
      </c>
      <c r="AT13" s="4">
        <f t="shared" si="17"/>
        <v>35</v>
      </c>
      <c r="AU13" s="4">
        <f t="shared" si="18"/>
        <v>7</v>
      </c>
      <c r="AV13" s="4">
        <f t="shared" si="19"/>
        <v>26</v>
      </c>
      <c r="AW13" s="4">
        <f t="shared" si="20"/>
        <v>2</v>
      </c>
      <c r="AX13" s="4">
        <f t="shared" si="21"/>
        <v>37</v>
      </c>
      <c r="AY13" s="4">
        <f t="shared" si="22"/>
        <v>38</v>
      </c>
      <c r="AZ13" s="4">
        <f t="shared" si="23"/>
        <v>32</v>
      </c>
      <c r="BA13" s="4">
        <f t="shared" si="24"/>
        <v>12</v>
      </c>
    </row>
    <row r="14" spans="1:53" x14ac:dyDescent="0.2">
      <c r="A14" s="1" t="str">
        <f>'SegEnds_NonXtal_Prot#'!A172</f>
        <v>lt4r2_human</v>
      </c>
      <c r="B14" s="1" t="str">
        <f t="shared" si="0"/>
        <v>RATGTAFLLLAALLGLPGNGFVVWSLAGWGRPLAATLVLHLALADGAVLLLTPLFVAFLTRGQAGCKAVYYVCALSMYASVLLTGLLSLQRCLAVTRSPALARRLLLAVWLAALLLAVPAAVYRAAAHLSLETLTAFVLPFGLMLGCYSVTLARLRGSGRHGARVGRLVSAIVLAFGLLWAPYHAVNLLQAVAALALAKLGGAGQAARAGTTALAFFSSSVNPVLYVFTAGDLLPRAGPRFLTRLFE</v>
      </c>
      <c r="C14" s="29" t="str">
        <f>IF(ISERROR(MATCH(A14,'SegEnds_Xtal_Prot#'!B:B, 0)), "NoXtal", "Xtal")</f>
        <v>NoXtal</v>
      </c>
      <c r="D14" s="4" t="str">
        <f>VLOOKUP(A14,Classification!A:D,2,FALSE)</f>
        <v>A</v>
      </c>
      <c r="E14" s="5" t="str">
        <f>VLOOKUP(A14,Seqs!A:B,2,FALSE)</f>
        <v>MAPSHRASQVGFCPTPERPLWRLPPTCRPRRMSVCYRPPGNETLLSWKTSRATGTAFLLLAALLGLPGNGFVVWSLAGWRPARGRPLAATLVLHLALADGAVLLLTPLFVAFLTRQAWPLGQAGCKAVYYVCALSMYASVLLTGLLSLQRCLAVTRPFLAPRLRSPALARRLLLAVWLAALLLAVPAAVYRHLWRDRVCQLCHPSPVHAAAHLSLETLTAFVLPFGLMLGCYSVTLARLRGARWGSGRHGARVGRLVSAIVLAFGLLWAPYHAVNLLQAVAALAPPEGALAKLGGAGQAARAGTTALAFFSSSVNPVLYVFTAGDLLPRAGPRFLTRLFEGSGEARGGGRSREGTMELRTTPQLKVVGQGRGNGDPGGGMEKDGPEWDL</v>
      </c>
      <c r="F14" s="5" t="str">
        <f t="shared" si="1"/>
        <v>RATGTAFLLLAALLGLPGNGFVVWSLAGW</v>
      </c>
      <c r="G14" s="4" t="str">
        <f t="shared" si="2"/>
        <v>RPAR</v>
      </c>
      <c r="H14" s="4" t="str">
        <f t="shared" si="3"/>
        <v>GRPLAATLVLHLALADGAVLLLTPLFVAFLTR</v>
      </c>
      <c r="I14" s="4" t="str">
        <f t="shared" si="4"/>
        <v>AWPL</v>
      </c>
      <c r="J14" s="4" t="str">
        <f t="shared" si="5"/>
        <v>GQAGCKAVYYVCALSMYASVLLTGLLSLQRCLAVTR</v>
      </c>
      <c r="K14" s="4" t="str">
        <f t="shared" si="6"/>
        <v>PFLAPRLR</v>
      </c>
      <c r="L14" s="4" t="str">
        <f t="shared" si="7"/>
        <v>SPALARRLLLAVWLAALLLAVPAAVYR</v>
      </c>
      <c r="M14" s="4" t="str">
        <f t="shared" si="8"/>
        <v>CHP</v>
      </c>
      <c r="N14" s="4" t="str">
        <f t="shared" si="9"/>
        <v>AAAHLSLETLTAFVLPFGLMLGCYSVTLARLRG</v>
      </c>
      <c r="O14" s="4" t="str">
        <f t="shared" si="10"/>
        <v>SGRHGARVGRLVSAIVLAFGLLWAPYHAVNLLQAVAALA</v>
      </c>
      <c r="P14" s="4" t="str">
        <f t="shared" si="11"/>
        <v>LAKLGGAGQAARAGTTALAFFSSSVNPVLYVFT</v>
      </c>
      <c r="Q14" s="4" t="str">
        <f t="shared" si="12"/>
        <v>AGDLLPRAGPRFLTRLFE</v>
      </c>
      <c r="R14" s="5">
        <f>VLOOKUP($A14,'SegEnds_NonXtal_Prot#'!$A:$AL,3,FALSE)</f>
        <v>51</v>
      </c>
      <c r="S14" s="5">
        <f>VLOOKUP($A14,'SegEnds_NonXtal_Prot#'!$A:$AL,6,FALSE)</f>
        <v>80</v>
      </c>
      <c r="T14" s="5">
        <f>VLOOKUP($A14,'SegEnds_NonXtal_Prot#'!$A:$AL,9,FALSE)</f>
        <v>84</v>
      </c>
      <c r="U14" s="5">
        <f>VLOOKUP($A14,'SegEnds_NonXtal_Prot#'!$A:$AL,12,FALSE)</f>
        <v>117</v>
      </c>
      <c r="V14" s="5">
        <f>VLOOKUP($A14,'SegEnds_NonXtal_Prot#'!$A:$AL,15,FALSE)</f>
        <v>121</v>
      </c>
      <c r="W14" s="5">
        <f>VLOOKUP($A14,'SegEnds_NonXtal_Prot#'!$A:$AL,18,FALSE)</f>
        <v>157</v>
      </c>
      <c r="X14" s="5">
        <f>VLOOKUP($A14,'SegEnds_NonXtal_Prot#'!$A:$AL,21,FALSE)</f>
        <v>165</v>
      </c>
      <c r="Y14" s="5">
        <f>VLOOKUP($A14,'SegEnds_NonXtal_Prot#'!$A:$AL,24,FALSE)</f>
        <v>202</v>
      </c>
      <c r="Z14" s="5">
        <f>VLOOKUP($A14,'SegEnds_NonXtal_Prot#'!$A:$AL,27,FALSE)</f>
        <v>209</v>
      </c>
      <c r="AA14" s="5">
        <f>VLOOKUP($A14,'SegEnds_NonXtal_Prot#'!$A:$AL,30,FALSE)</f>
        <v>246</v>
      </c>
      <c r="AB14" s="5">
        <f>VLOOKUP($A14,'SegEnds_NonXtal_Prot#'!$A:$AL,33,FALSE)</f>
        <v>290</v>
      </c>
      <c r="AC14" s="5">
        <f>VLOOKUP($A14,'SegEnds_NonXtal_Prot#'!$A:$AL,36,FALSE)</f>
        <v>323</v>
      </c>
      <c r="AD14" s="5">
        <f>VLOOKUP($A14,'SegEnds_NonXtal_Prot#'!$A:$AL,5,FALSE)</f>
        <v>79</v>
      </c>
      <c r="AE14" s="5">
        <f>VLOOKUP($A14,'SegEnds_NonXtal_Prot#'!$A:$AL,8,FALSE)</f>
        <v>83</v>
      </c>
      <c r="AF14" s="5">
        <f>VLOOKUP($A14,'SegEnds_NonXtal_Prot#'!$A:$AL,11,FALSE)</f>
        <v>115</v>
      </c>
      <c r="AG14" s="5">
        <f>VLOOKUP($A14,'SegEnds_NonXtal_Prot#'!$A:$AL,14,FALSE)</f>
        <v>120</v>
      </c>
      <c r="AH14" s="5">
        <f>VLOOKUP($A14,'SegEnds_NonXtal_Prot#'!$A:$AL,17,FALSE)</f>
        <v>156</v>
      </c>
      <c r="AI14" s="5">
        <f>VLOOKUP($A14,'SegEnds_NonXtal_Prot#'!$A:$AL,20,FALSE)</f>
        <v>164</v>
      </c>
      <c r="AJ14" s="5">
        <f>VLOOKUP($A14,'SegEnds_NonXtal_Prot#'!$A:$AL,23,FALSE)</f>
        <v>191</v>
      </c>
      <c r="AK14" s="5">
        <f>VLOOKUP($A14,'SegEnds_NonXtal_Prot#'!$A:$AL,26,FALSE)</f>
        <v>204</v>
      </c>
      <c r="AL14" s="5">
        <f>VLOOKUP($A14,'SegEnds_NonXtal_Prot#'!$A:$AL,29,FALSE)</f>
        <v>241</v>
      </c>
      <c r="AM14" s="5">
        <f>VLOOKUP($A14,'SegEnds_NonXtal_Prot#'!$A:$AL,32,FALSE)</f>
        <v>284</v>
      </c>
      <c r="AN14" s="5">
        <f>VLOOKUP($A14,'SegEnds_NonXtal_Prot#'!$A:$AL,35,FALSE)</f>
        <v>322</v>
      </c>
      <c r="AO14" s="5">
        <f>VLOOKUP($A14,'SegEnds_NonXtal_Prot#'!$A:$AL,38,FALSE)</f>
        <v>340</v>
      </c>
      <c r="AP14" s="5">
        <f t="shared" si="13"/>
        <v>28</v>
      </c>
      <c r="AQ14" s="4">
        <f t="shared" si="14"/>
        <v>3</v>
      </c>
      <c r="AR14" s="4">
        <f t="shared" si="15"/>
        <v>31</v>
      </c>
      <c r="AS14" s="4">
        <f t="shared" si="16"/>
        <v>3</v>
      </c>
      <c r="AT14" s="4">
        <f t="shared" si="17"/>
        <v>35</v>
      </c>
      <c r="AU14" s="4">
        <f t="shared" si="18"/>
        <v>7</v>
      </c>
      <c r="AV14" s="4">
        <f t="shared" si="19"/>
        <v>26</v>
      </c>
      <c r="AW14" s="4">
        <f t="shared" si="20"/>
        <v>2</v>
      </c>
      <c r="AX14" s="4">
        <f t="shared" si="21"/>
        <v>32</v>
      </c>
      <c r="AY14" s="4">
        <f t="shared" si="22"/>
        <v>38</v>
      </c>
      <c r="AZ14" s="4">
        <f t="shared" si="23"/>
        <v>32</v>
      </c>
      <c r="BA14" s="4">
        <f t="shared" si="24"/>
        <v>17</v>
      </c>
    </row>
    <row r="15" spans="1:53" x14ac:dyDescent="0.2">
      <c r="A15" s="1" t="str">
        <f>'SegEnds_NonXtal_Prot#'!A180</f>
        <v>mrgrd_human</v>
      </c>
      <c r="B15" s="1" t="str">
        <f t="shared" si="0"/>
        <v>VHTAYLVLSSLAMFTCLCGMAGNSMVIWLLGFRNPFCIYILNLAAADLLFLFSMASTLSLETQTDKVHELMKRLMYFAYTVGLSLLTAISTQRCLSVLFPRHLSAWVCGLLWTLCLLMNGLTSSFCFRVDMVQAALIMGVLTPVMTLSSLTLFVWVRRSSQRQPTRLFVVVLASVLVFLICSLPLSIYWFVLYWLQVLCFSLSRLSSSVSSSANPVIYFLVGSRRSHRLPTRSLGT</v>
      </c>
      <c r="C15" s="29" t="str">
        <f>IF(ISERROR(MATCH(A15,'SegEnds_Xtal_Prot#'!B:B, 0)), "NoXtal", "Xtal")</f>
        <v>NoXtal</v>
      </c>
      <c r="D15" s="4" t="str">
        <f>VLOOKUP(A15,Classification!A:D,2,FALSE)</f>
        <v>A</v>
      </c>
      <c r="E15" s="5" t="str">
        <f>VLOOKUP(A15,Seqs!A:B,2,FALSE)</f>
        <v>MNQTLNSSGTVESALNYSRGSTVHTAYLVLSSLAMFTCLCGMAGNSMVIWLLGFRMHRNPFCIYILNLAAADLLFLFSMASTLSLETQPLVNTTDKVHELMKRLMYFAYTVGLSLLTAISTQRCLSVLFPIWFKCHRPRHLSAWVCGLLWTLCLLMNGLTSSFCSKFLKFNEDRCFRVDMVQAALIMGVLTPVMTLSSLTLFVWVRRSSQQWRRQPTRLFVVVLASVLVFLICSLPLSIYWFVLYWLSLPPEMQVLCFSLSRLSSSVSSSANPVIYFLVGSRRSHRLPTRSLGTVLQQALREEPELEGGETPTVGTNEMGA</v>
      </c>
      <c r="F15" s="5" t="str">
        <f t="shared" si="1"/>
        <v>VHTAYLVLSSLAMFTCLCGMAGNSMVIWLLGFR</v>
      </c>
      <c r="G15" s="4" t="str">
        <f t="shared" si="2"/>
        <v/>
      </c>
      <c r="H15" s="4" t="str">
        <f t="shared" si="3"/>
        <v>NPFCIYILNLAAADLLFLFSMASTLSLETQ</v>
      </c>
      <c r="I15" s="4" t="str">
        <f t="shared" si="4"/>
        <v/>
      </c>
      <c r="J15" s="4" t="str">
        <f t="shared" si="5"/>
        <v>TDKVHELMKRLMYFAYTVGLSLLTAISTQRCLSVLF</v>
      </c>
      <c r="K15" s="4" t="str">
        <f t="shared" si="6"/>
        <v>PIWFKCHR</v>
      </c>
      <c r="L15" s="4" t="str">
        <f t="shared" si="7"/>
        <v>PRHLSAWVCGLLWTLCLLMNGLTSSFC</v>
      </c>
      <c r="M15" s="4" t="str">
        <f t="shared" si="8"/>
        <v/>
      </c>
      <c r="N15" s="4" t="str">
        <f t="shared" si="9"/>
        <v>FRVDMVQAALIMGVLTPVMTLSSLTLFVWVRRSSQ</v>
      </c>
      <c r="O15" s="4" t="str">
        <f t="shared" si="10"/>
        <v>RQPTRLFVVVLASVLVFLICSLPLSIYWFVLYWL</v>
      </c>
      <c r="P15" s="4" t="str">
        <f t="shared" si="11"/>
        <v>QVLCFSLSRLSSSVSSSANPVIYFLV</v>
      </c>
      <c r="Q15" s="4" t="str">
        <f t="shared" si="12"/>
        <v>GSRRSHRLPTRSLGT</v>
      </c>
      <c r="R15" s="5">
        <f>VLOOKUP($A15,'SegEnds_NonXtal_Prot#'!$A:$AL,3,FALSE)</f>
        <v>23</v>
      </c>
      <c r="S15" s="5" t="str">
        <f>VLOOKUP($A15,'SegEnds_NonXtal_Prot#'!$A:$AL,6,FALSE)</f>
        <v>-</v>
      </c>
      <c r="T15" s="5">
        <f>VLOOKUP($A15,'SegEnds_NonXtal_Prot#'!$A:$AL,9,FALSE)</f>
        <v>59</v>
      </c>
      <c r="U15" s="5" t="str">
        <f>VLOOKUP($A15,'SegEnds_NonXtal_Prot#'!$A:$AL,12,FALSE)</f>
        <v>-</v>
      </c>
      <c r="V15" s="5">
        <f>VLOOKUP($A15,'SegEnds_NonXtal_Prot#'!$A:$AL,15,FALSE)</f>
        <v>94</v>
      </c>
      <c r="W15" s="5">
        <f>VLOOKUP($A15,'SegEnds_NonXtal_Prot#'!$A:$AL,18,FALSE)</f>
        <v>130</v>
      </c>
      <c r="X15" s="5">
        <f>VLOOKUP($A15,'SegEnds_NonXtal_Prot#'!$A:$AL,21,FALSE)</f>
        <v>138</v>
      </c>
      <c r="Y15" s="5" t="str">
        <f>VLOOKUP($A15,'SegEnds_NonXtal_Prot#'!$A:$AL,24,FALSE)</f>
        <v>-</v>
      </c>
      <c r="Z15" s="5">
        <f>VLOOKUP($A15,'SegEnds_NonXtal_Prot#'!$A:$AL,27,FALSE)</f>
        <v>176</v>
      </c>
      <c r="AA15" s="5">
        <f>VLOOKUP($A15,'SegEnds_NonXtal_Prot#'!$A:$AL,30,FALSE)</f>
        <v>214</v>
      </c>
      <c r="AB15" s="5">
        <f>VLOOKUP($A15,'SegEnds_NonXtal_Prot#'!$A:$AL,33,FALSE)</f>
        <v>254</v>
      </c>
      <c r="AC15" s="5">
        <f>VLOOKUP($A15,'SegEnds_NonXtal_Prot#'!$A:$AL,36,FALSE)</f>
        <v>280</v>
      </c>
      <c r="AD15" s="5">
        <f>VLOOKUP($A15,'SegEnds_NonXtal_Prot#'!$A:$AL,5,FALSE)</f>
        <v>55</v>
      </c>
      <c r="AE15" s="5" t="str">
        <f>VLOOKUP($A15,'SegEnds_NonXtal_Prot#'!$A:$AL,8,FALSE)</f>
        <v>-</v>
      </c>
      <c r="AF15" s="5">
        <f>VLOOKUP($A15,'SegEnds_NonXtal_Prot#'!$A:$AL,11,FALSE)</f>
        <v>88</v>
      </c>
      <c r="AG15" s="5" t="str">
        <f>VLOOKUP($A15,'SegEnds_NonXtal_Prot#'!$A:$AL,14,FALSE)</f>
        <v>-</v>
      </c>
      <c r="AH15" s="5">
        <f>VLOOKUP($A15,'SegEnds_NonXtal_Prot#'!$A:$AL,17,FALSE)</f>
        <v>129</v>
      </c>
      <c r="AI15" s="5">
        <f>VLOOKUP($A15,'SegEnds_NonXtal_Prot#'!$A:$AL,20,FALSE)</f>
        <v>137</v>
      </c>
      <c r="AJ15" s="5">
        <f>VLOOKUP($A15,'SegEnds_NonXtal_Prot#'!$A:$AL,23,FALSE)</f>
        <v>164</v>
      </c>
      <c r="AK15" s="5" t="str">
        <f>VLOOKUP($A15,'SegEnds_NonXtal_Prot#'!$A:$AL,26,FALSE)</f>
        <v>-</v>
      </c>
      <c r="AL15" s="5">
        <f>VLOOKUP($A15,'SegEnds_NonXtal_Prot#'!$A:$AL,29,FALSE)</f>
        <v>210</v>
      </c>
      <c r="AM15" s="5">
        <f>VLOOKUP($A15,'SegEnds_NonXtal_Prot#'!$A:$AL,32,FALSE)</f>
        <v>247</v>
      </c>
      <c r="AN15" s="5">
        <f>VLOOKUP($A15,'SegEnds_NonXtal_Prot#'!$A:$AL,35,FALSE)</f>
        <v>279</v>
      </c>
      <c r="AO15" s="5">
        <f>VLOOKUP($A15,'SegEnds_NonXtal_Prot#'!$A:$AL,38,FALSE)</f>
        <v>294</v>
      </c>
      <c r="AP15" s="5">
        <f t="shared" si="13"/>
        <v>32</v>
      </c>
      <c r="AQ15" s="4" t="str">
        <f t="shared" si="14"/>
        <v>-</v>
      </c>
      <c r="AR15" s="4">
        <f t="shared" si="15"/>
        <v>29</v>
      </c>
      <c r="AS15" s="4" t="str">
        <f t="shared" si="16"/>
        <v>-</v>
      </c>
      <c r="AT15" s="4">
        <f t="shared" si="17"/>
        <v>35</v>
      </c>
      <c r="AU15" s="4">
        <f t="shared" si="18"/>
        <v>7</v>
      </c>
      <c r="AV15" s="4">
        <f t="shared" si="19"/>
        <v>26</v>
      </c>
      <c r="AW15" s="4" t="str">
        <f t="shared" si="20"/>
        <v>-</v>
      </c>
      <c r="AX15" s="4">
        <f t="shared" si="21"/>
        <v>34</v>
      </c>
      <c r="AY15" s="4">
        <f t="shared" si="22"/>
        <v>33</v>
      </c>
      <c r="AZ15" s="4">
        <f t="shared" si="23"/>
        <v>25</v>
      </c>
      <c r="BA15" s="4">
        <f t="shared" si="24"/>
        <v>14</v>
      </c>
    </row>
    <row r="16" spans="1:53" x14ac:dyDescent="0.2">
      <c r="A16" s="1" t="str">
        <f>'SegEnds_NonXtal_Prot#'!A183</f>
        <v>mrgrg_human</v>
      </c>
      <c r="B16" s="1" t="str">
        <f t="shared" si="0"/>
        <v>DSVVFYLTLIVGLGGPVGNGLVLWNLGFRGPFSIYLLHLAAADFLFLSCRVGFSVAQDTLYFVLTFLWFAVGLWLLAAFSVERCLSDLFPRHASAVLCALVWTPTLPAVPLPANACRNSACPLVCPRYHVASVTWFLVLARVAWTAGVVLFVWVTCCSRPRLYGIVLGALLLLFFCGLPSVFYWSLQPLLPVFSPLATLLACVNSSSKPLIYSGLGRQPGKREPLRSVLRRAL</v>
      </c>
      <c r="C16" s="29" t="str">
        <f>IF(ISERROR(MATCH(A16,'SegEnds_Xtal_Prot#'!B:B, 0)), "NoXtal", "Xtal")</f>
        <v>NoXtal</v>
      </c>
      <c r="D16" s="4" t="str">
        <f>VLOOKUP(A16,Classification!A:D,2,FALSE)</f>
        <v>A</v>
      </c>
      <c r="E16" s="5" t="str">
        <f>VLOOKUP(A16,Seqs!A:B,2,FALSE)</f>
        <v>MFGLFGLWRTFDSVVFYLTLIVGLGGPVGNGLVLWNLGFRIKKGPFSIYLLHLAAADFLFLSCRVGFSVAQAALGAQDTLYFVLTFLWFAVGLWLLAAFSVERCLSDLFPACYQGCRPRHASAVLCALVWTPTLPAVPLPANACGLLRNSACPLVCPRYHVASVTWFLVLARVAWTAGVVLFVWVTCCSTRPRPRLYGIVLGALLLLFFCGLPSVFYWSLQPLLNFLLPVFSPLATLLACVNSSSKPLIYSGLGRQPGKREPLRSVLRRALGEGAELGARGQSLPMGLL</v>
      </c>
      <c r="F16" s="5" t="str">
        <f t="shared" si="1"/>
        <v>DSVVFYLTLIVGLGGPVGNGLVLWNLGFR</v>
      </c>
      <c r="G16" s="4" t="str">
        <f t="shared" si="2"/>
        <v/>
      </c>
      <c r="H16" s="4" t="str">
        <f t="shared" si="3"/>
        <v>GPFSIYLLHLAAADFLFLSCRVGFSVA</v>
      </c>
      <c r="I16" s="4" t="str">
        <f t="shared" si="4"/>
        <v/>
      </c>
      <c r="J16" s="4" t="str">
        <f t="shared" si="5"/>
        <v>QDTLYFVLTFLWFAVGLWLLAAFSVERCLSDLF</v>
      </c>
      <c r="K16" s="4" t="str">
        <f t="shared" si="6"/>
        <v>PACYQGCR</v>
      </c>
      <c r="L16" s="4" t="str">
        <f t="shared" si="7"/>
        <v>PRHASAVLCALVWTPTLPAVPLPANAC</v>
      </c>
      <c r="M16" s="4" t="str">
        <f t="shared" si="8"/>
        <v/>
      </c>
      <c r="N16" s="4" t="str">
        <f t="shared" si="9"/>
        <v>RNSACPLVCPRYHVASVTWFLVLARVAWTAGVVLFVWVTCCS</v>
      </c>
      <c r="O16" s="4" t="str">
        <f t="shared" si="10"/>
        <v>RPRLYGIVLGALLLLFFCGLPSVFYWSLQPLL</v>
      </c>
      <c r="P16" s="4" t="str">
        <f t="shared" si="11"/>
        <v>PVFSPLATLLACVNSSSKPLIYSGL</v>
      </c>
      <c r="Q16" s="4" t="str">
        <f t="shared" si="12"/>
        <v>GRQPGKREPLRSVLRRAL</v>
      </c>
      <c r="R16" s="5">
        <f>VLOOKUP($A16,'SegEnds_NonXtal_Prot#'!$A:$AL,3,FALSE)</f>
        <v>12</v>
      </c>
      <c r="S16" s="5" t="str">
        <f>VLOOKUP($A16,'SegEnds_NonXtal_Prot#'!$A:$AL,6,FALSE)</f>
        <v>-</v>
      </c>
      <c r="T16" s="5">
        <f>VLOOKUP($A16,'SegEnds_NonXtal_Prot#'!$A:$AL,9,FALSE)</f>
        <v>44</v>
      </c>
      <c r="U16" s="5" t="str">
        <f>VLOOKUP($A16,'SegEnds_NonXtal_Prot#'!$A:$AL,12,FALSE)</f>
        <v>-</v>
      </c>
      <c r="V16" s="5">
        <f>VLOOKUP($A16,'SegEnds_NonXtal_Prot#'!$A:$AL,15,FALSE)</f>
        <v>77</v>
      </c>
      <c r="W16" s="5">
        <f>VLOOKUP($A16,'SegEnds_NonXtal_Prot#'!$A:$AL,18,FALSE)</f>
        <v>110</v>
      </c>
      <c r="X16" s="5">
        <f>VLOOKUP($A16,'SegEnds_NonXtal_Prot#'!$A:$AL,21,FALSE)</f>
        <v>118</v>
      </c>
      <c r="Y16" s="5" t="str">
        <f>VLOOKUP($A16,'SegEnds_NonXtal_Prot#'!$A:$AL,24,FALSE)</f>
        <v>-</v>
      </c>
      <c r="Z16" s="5">
        <f>VLOOKUP($A16,'SegEnds_NonXtal_Prot#'!$A:$AL,27,FALSE)</f>
        <v>148</v>
      </c>
      <c r="AA16" s="5">
        <f>VLOOKUP($A16,'SegEnds_NonXtal_Prot#'!$A:$AL,30,FALSE)</f>
        <v>193</v>
      </c>
      <c r="AB16" s="5">
        <f>VLOOKUP($A16,'SegEnds_NonXtal_Prot#'!$A:$AL,33,FALSE)</f>
        <v>229</v>
      </c>
      <c r="AC16" s="5">
        <f>VLOOKUP($A16,'SegEnds_NonXtal_Prot#'!$A:$AL,36,FALSE)</f>
        <v>254</v>
      </c>
      <c r="AD16" s="5">
        <f>VLOOKUP($A16,'SegEnds_NonXtal_Prot#'!$A:$AL,5,FALSE)</f>
        <v>40</v>
      </c>
      <c r="AE16" s="5" t="str">
        <f>VLOOKUP($A16,'SegEnds_NonXtal_Prot#'!$A:$AL,8,FALSE)</f>
        <v>-</v>
      </c>
      <c r="AF16" s="5">
        <f>VLOOKUP($A16,'SegEnds_NonXtal_Prot#'!$A:$AL,11,FALSE)</f>
        <v>70</v>
      </c>
      <c r="AG16" s="5" t="str">
        <f>VLOOKUP($A16,'SegEnds_NonXtal_Prot#'!$A:$AL,14,FALSE)</f>
        <v>-</v>
      </c>
      <c r="AH16" s="5">
        <f>VLOOKUP($A16,'SegEnds_NonXtal_Prot#'!$A:$AL,17,FALSE)</f>
        <v>109</v>
      </c>
      <c r="AI16" s="5">
        <f>VLOOKUP($A16,'SegEnds_NonXtal_Prot#'!$A:$AL,20,FALSE)</f>
        <v>117</v>
      </c>
      <c r="AJ16" s="5">
        <f>VLOOKUP($A16,'SegEnds_NonXtal_Prot#'!$A:$AL,23,FALSE)</f>
        <v>144</v>
      </c>
      <c r="AK16" s="5" t="str">
        <f>VLOOKUP($A16,'SegEnds_NonXtal_Prot#'!$A:$AL,26,FALSE)</f>
        <v>-</v>
      </c>
      <c r="AL16" s="5">
        <f>VLOOKUP($A16,'SegEnds_NonXtal_Prot#'!$A:$AL,29,FALSE)</f>
        <v>189</v>
      </c>
      <c r="AM16" s="5">
        <f>VLOOKUP($A16,'SegEnds_NonXtal_Prot#'!$A:$AL,32,FALSE)</f>
        <v>224</v>
      </c>
      <c r="AN16" s="5">
        <f>VLOOKUP($A16,'SegEnds_NonXtal_Prot#'!$A:$AL,35,FALSE)</f>
        <v>253</v>
      </c>
      <c r="AO16" s="5">
        <f>VLOOKUP($A16,'SegEnds_NonXtal_Prot#'!$A:$AL,38,FALSE)</f>
        <v>271</v>
      </c>
      <c r="AP16" s="5">
        <f t="shared" si="13"/>
        <v>28</v>
      </c>
      <c r="AQ16" s="4" t="str">
        <f t="shared" si="14"/>
        <v>-</v>
      </c>
      <c r="AR16" s="4">
        <f t="shared" si="15"/>
        <v>26</v>
      </c>
      <c r="AS16" s="4" t="str">
        <f t="shared" si="16"/>
        <v>-</v>
      </c>
      <c r="AT16" s="4">
        <f t="shared" si="17"/>
        <v>32</v>
      </c>
      <c r="AU16" s="4">
        <f t="shared" si="18"/>
        <v>7</v>
      </c>
      <c r="AV16" s="4">
        <f t="shared" si="19"/>
        <v>26</v>
      </c>
      <c r="AW16" s="4" t="str">
        <f t="shared" si="20"/>
        <v>-</v>
      </c>
      <c r="AX16" s="4">
        <f t="shared" si="21"/>
        <v>41</v>
      </c>
      <c r="AY16" s="4">
        <f t="shared" si="22"/>
        <v>31</v>
      </c>
      <c r="AZ16" s="4">
        <f t="shared" si="23"/>
        <v>24</v>
      </c>
      <c r="BA16" s="4">
        <f t="shared" si="24"/>
        <v>17</v>
      </c>
    </row>
    <row r="17" spans="1:53" x14ac:dyDescent="0.2">
      <c r="A17" s="1" t="str">
        <f>'SegEnds_NonXtal_Prot#'!A190</f>
        <v>mtr1a_human</v>
      </c>
      <c r="B17" s="1" t="str">
        <f t="shared" si="0"/>
        <v>PSWLASALACVLIFTIVVDILGNLLVILSVYRNNAGNIFVVSLAVADLVVAIYPYPLVLMSIFNNGYLHCQVSGFLMGLSVIGSIFNITGIAINRYCYICHSSKNSLCYVLLIWLLTLAAVLPNLRAGSSAYTIAVVVFHFLVPMIIVIFCYLRIWILVLQVRQRVPKLKPQDFRNFVTMFVVFVLFAICWAPLNFIGLAVASDPRIPEWLFVASYYMAYFNSCLNAIIYGLLNQNFRKEYRRII</v>
      </c>
      <c r="C17" s="29" t="str">
        <f>IF(ISERROR(MATCH(A17,'SegEnds_Xtal_Prot#'!B:B, 0)), "NoXtal", "Xtal")</f>
        <v>NoXtal</v>
      </c>
      <c r="D17" s="4" t="str">
        <f>VLOOKUP(A17,Classification!A:D,2,FALSE)</f>
        <v>A</v>
      </c>
      <c r="E17" s="5" t="str">
        <f>VLOOKUP(A17,Seqs!A:B,2,FALSE)</f>
        <v>MQGNGSALPNASQPVLRGDGARPSWLASALACVLIFTIVVDILGNLLVILSVYRNKKLRNAGNIFVVSLAVADLVVAIYPYPLVLMSIFNNGWNLGYLHCQVSGFLMGLSVIGSIFNITGIAINRYCYICHSLKYDKLYSSKNSLCYVLLIWLLTLAAVLPNLRAGTLQYDPRIYSCTFAQSVSSAYTIAVVVFHFLVPMIIVIFCYLRIWILVLQVRQRVKPDRKPKLKPQDFRNFVTMFVVFVLFAICWAPLNFIGLAVASDPASMVPRIPEWLFVASYYMAYFNSCLNAIIYGLLNQNFRKEYRRIIVSLCTARVFFVDSSNDVADRVKWKPSPLMTNNNVVKVDSV</v>
      </c>
      <c r="F17" s="5" t="str">
        <f t="shared" si="1"/>
        <v>PSWLASALACVLIFTIVVDILGNLLVILSVYRN</v>
      </c>
      <c r="G17" s="4" t="str">
        <f t="shared" si="2"/>
        <v>KKLR</v>
      </c>
      <c r="H17" s="4" t="str">
        <f t="shared" si="3"/>
        <v>NAGNIFVVSLAVADLVVAIYPYPLVLMSIFNN</v>
      </c>
      <c r="I17" s="4" t="str">
        <f t="shared" si="4"/>
        <v>GWNL</v>
      </c>
      <c r="J17" s="4" t="str">
        <f t="shared" si="5"/>
        <v>GYLHCQVSGFLMGLSVIGSIFNITGIAINRYCYICH</v>
      </c>
      <c r="K17" s="4" t="str">
        <f t="shared" si="6"/>
        <v>SLKYDKLY</v>
      </c>
      <c r="L17" s="4" t="str">
        <f t="shared" si="7"/>
        <v>SSKNSLCYVLLIWLLTLAAVLPNLRAG</v>
      </c>
      <c r="M17" s="4" t="str">
        <f t="shared" si="8"/>
        <v>CTF</v>
      </c>
      <c r="N17" s="4" t="str">
        <f t="shared" si="9"/>
        <v>SSAYTIAVVVFHFLVPMIIVIFCYLRIWILVLQVRQRV</v>
      </c>
      <c r="O17" s="4" t="str">
        <f t="shared" si="10"/>
        <v>PKLKPQDFRNFVTMFVVFVLFAICWAPLNFIGLAVASD</v>
      </c>
      <c r="P17" s="4" t="str">
        <f t="shared" si="11"/>
        <v>PRIPEWLFVASYYMAYFNSCLNAIIYGLL</v>
      </c>
      <c r="Q17" s="4" t="str">
        <f t="shared" si="12"/>
        <v>NQNFRKEYRRII</v>
      </c>
      <c r="R17" s="5">
        <f>VLOOKUP($A17,'SegEnds_NonXtal_Prot#'!$A:$AL,3,FALSE)</f>
        <v>23</v>
      </c>
      <c r="S17" s="5">
        <f>VLOOKUP($A17,'SegEnds_NonXtal_Prot#'!$A:$AL,6,FALSE)</f>
        <v>56</v>
      </c>
      <c r="T17" s="5">
        <f>VLOOKUP($A17,'SegEnds_NonXtal_Prot#'!$A:$AL,9,FALSE)</f>
        <v>60</v>
      </c>
      <c r="U17" s="5">
        <f>VLOOKUP($A17,'SegEnds_NonXtal_Prot#'!$A:$AL,12,FALSE)</f>
        <v>92</v>
      </c>
      <c r="V17" s="5">
        <f>VLOOKUP($A17,'SegEnds_NonXtal_Prot#'!$A:$AL,15,FALSE)</f>
        <v>96</v>
      </c>
      <c r="W17" s="5">
        <f>VLOOKUP($A17,'SegEnds_NonXtal_Prot#'!$A:$AL,18,FALSE)</f>
        <v>132</v>
      </c>
      <c r="X17" s="5">
        <f>VLOOKUP($A17,'SegEnds_NonXtal_Prot#'!$A:$AL,21,FALSE)</f>
        <v>140</v>
      </c>
      <c r="Y17" s="5">
        <f>VLOOKUP($A17,'SegEnds_NonXtal_Prot#'!$A:$AL,24,FALSE)</f>
        <v>177</v>
      </c>
      <c r="Z17" s="5">
        <f>VLOOKUP($A17,'SegEnds_NonXtal_Prot#'!$A:$AL,27,FALSE)</f>
        <v>184</v>
      </c>
      <c r="AA17" s="5">
        <f>VLOOKUP($A17,'SegEnds_NonXtal_Prot#'!$A:$AL,30,FALSE)</f>
        <v>227</v>
      </c>
      <c r="AB17" s="5">
        <f>VLOOKUP($A17,'SegEnds_NonXtal_Prot#'!$A:$AL,33,FALSE)</f>
        <v>270</v>
      </c>
      <c r="AC17" s="5">
        <f>VLOOKUP($A17,'SegEnds_NonXtal_Prot#'!$A:$AL,36,FALSE)</f>
        <v>299</v>
      </c>
      <c r="AD17" s="5">
        <f>VLOOKUP($A17,'SegEnds_NonXtal_Prot#'!$A:$AL,5,FALSE)</f>
        <v>55</v>
      </c>
      <c r="AE17" s="5">
        <f>VLOOKUP($A17,'SegEnds_NonXtal_Prot#'!$A:$AL,8,FALSE)</f>
        <v>59</v>
      </c>
      <c r="AF17" s="5">
        <f>VLOOKUP($A17,'SegEnds_NonXtal_Prot#'!$A:$AL,11,FALSE)</f>
        <v>91</v>
      </c>
      <c r="AG17" s="5">
        <f>VLOOKUP($A17,'SegEnds_NonXtal_Prot#'!$A:$AL,14,FALSE)</f>
        <v>95</v>
      </c>
      <c r="AH17" s="5">
        <f>VLOOKUP($A17,'SegEnds_NonXtal_Prot#'!$A:$AL,17,FALSE)</f>
        <v>131</v>
      </c>
      <c r="AI17" s="5">
        <f>VLOOKUP($A17,'SegEnds_NonXtal_Prot#'!$A:$AL,20,FALSE)</f>
        <v>139</v>
      </c>
      <c r="AJ17" s="5">
        <f>VLOOKUP($A17,'SegEnds_NonXtal_Prot#'!$A:$AL,23,FALSE)</f>
        <v>166</v>
      </c>
      <c r="AK17" s="5">
        <f>VLOOKUP($A17,'SegEnds_NonXtal_Prot#'!$A:$AL,26,FALSE)</f>
        <v>179</v>
      </c>
      <c r="AL17" s="5">
        <f>VLOOKUP($A17,'SegEnds_NonXtal_Prot#'!$A:$AL,29,FALSE)</f>
        <v>221</v>
      </c>
      <c r="AM17" s="5">
        <f>VLOOKUP($A17,'SegEnds_NonXtal_Prot#'!$A:$AL,32,FALSE)</f>
        <v>264</v>
      </c>
      <c r="AN17" s="5">
        <f>VLOOKUP($A17,'SegEnds_NonXtal_Prot#'!$A:$AL,35,FALSE)</f>
        <v>298</v>
      </c>
      <c r="AO17" s="5">
        <f>VLOOKUP($A17,'SegEnds_NonXtal_Prot#'!$A:$AL,38,FALSE)</f>
        <v>310</v>
      </c>
      <c r="AP17" s="5">
        <f t="shared" si="13"/>
        <v>32</v>
      </c>
      <c r="AQ17" s="4">
        <f t="shared" si="14"/>
        <v>3</v>
      </c>
      <c r="AR17" s="4">
        <f t="shared" si="15"/>
        <v>31</v>
      </c>
      <c r="AS17" s="4">
        <f t="shared" si="16"/>
        <v>3</v>
      </c>
      <c r="AT17" s="4">
        <f t="shared" si="17"/>
        <v>35</v>
      </c>
      <c r="AU17" s="4">
        <f t="shared" si="18"/>
        <v>7</v>
      </c>
      <c r="AV17" s="4">
        <f t="shared" si="19"/>
        <v>26</v>
      </c>
      <c r="AW17" s="4">
        <f t="shared" si="20"/>
        <v>2</v>
      </c>
      <c r="AX17" s="4">
        <f t="shared" si="21"/>
        <v>37</v>
      </c>
      <c r="AY17" s="4">
        <f t="shared" si="22"/>
        <v>37</v>
      </c>
      <c r="AZ17" s="4">
        <f t="shared" si="23"/>
        <v>28</v>
      </c>
      <c r="BA17" s="4">
        <f t="shared" si="24"/>
        <v>11</v>
      </c>
    </row>
    <row r="18" spans="1:53" x14ac:dyDescent="0.2">
      <c r="A18" s="1" t="str">
        <f>'SegEnds_NonXtal_Prot#'!A200</f>
        <v>opn4_human</v>
      </c>
      <c r="B18" s="1" t="str">
        <f t="shared" si="0"/>
        <v>DHAHYTLGTVILLVGLTGMLGNLTVIYTFCRSTPANMFIINLAVSDFLMSFTQAPVFFTSSLYKGETGCEFYAFCGALFGISSMITLTAIALDRYLVITRSKRRAAFVLLGVWLYALAWSLPPFFAVRAYTMLLCCFVFFLPLLIIIYCYIFIFRAIRETGRALQTLWQRQRLQSECKMAKIMLLVILLFVLSWAPYSAVALVAFAGTPYMSSVPAVIAKASAIHNPIIYAITHPKYRVAIAQHLP</v>
      </c>
      <c r="C18" s="29" t="str">
        <f>IF(ISERROR(MATCH(A18,'SegEnds_Xtal_Prot#'!B:B, 0)), "NoXtal", "Xtal")</f>
        <v>NoXtal</v>
      </c>
      <c r="D18" s="4" t="str">
        <f>VLOOKUP(A18,Classification!A:D,2,FALSE)</f>
        <v>A</v>
      </c>
      <c r="E18" s="5" t="str">
        <f>VLOOKUP(A18,Seqs!A:B,2,FALSE)</f>
        <v>MNPPSGPRVPPSPTQEPSCMATPAPPSWWDSSQSSISSLGRLPSISPTAPGTWAAAWVPLPTVDVPDHAHYTLGTVILLVGLTGMLGNLTVIYTFCRSRSLRTPANMFIINLAVSDFLMSFTQAPVFFTSSLYKQWLFGETGCEFYAFCGALFGISSMITLTAIALDRYLVITRPLATFGVASKRRAAFVLLGVWLYALAWSLPPFFGWSAYVPEGLLTSCSWDYMSFTPAVRAYTMLLCCFVFFLPLLIIIYCYIFIFRAIRETGRALQTFGACKGNGESLWQRQRLQSECKMAKIMLLVILLFVLSWAPYSAVALVAFAGYAHVLTPYMSSVPAVIAKASAIHNPIIYAITHPKYRVAIAQHLPCLGVLLGVSRRHSRPYPSYRSTHRSTLTSHTSNLSWISIRRRQESLGSESEVGWTHMEAAAVWGAAQQANGRSLYGQGLEDLEAKAPPRPQGHEAETPGKTKGLIPSQDPRM</v>
      </c>
      <c r="F18" s="5" t="str">
        <f t="shared" si="1"/>
        <v>DHAHYTLGTVILLVGLTGMLGNLTVIYTFCRS</v>
      </c>
      <c r="G18" s="4" t="str">
        <f t="shared" si="2"/>
        <v>RSLR</v>
      </c>
      <c r="H18" s="4" t="str">
        <f t="shared" si="3"/>
        <v>TPANMFIINLAVSDFLMSFTQAPVFFTSSLYK</v>
      </c>
      <c r="I18" s="4" t="str">
        <f t="shared" si="4"/>
        <v>QWLF</v>
      </c>
      <c r="J18" s="4" t="str">
        <f t="shared" si="5"/>
        <v>GETGCEFYAFCGALFGISSMITLTAIALDRYLVITR</v>
      </c>
      <c r="K18" s="4" t="str">
        <f t="shared" si="6"/>
        <v>PLATFGVA</v>
      </c>
      <c r="L18" s="4" t="str">
        <f t="shared" si="7"/>
        <v>SKRRAAFVLLGVWLYALAWSLPPFF</v>
      </c>
      <c r="M18" s="4" t="str">
        <f t="shared" si="8"/>
        <v>CSW</v>
      </c>
      <c r="N18" s="4" t="str">
        <f t="shared" si="9"/>
        <v>AVRAYTMLLCCFVFFLPLLIIIYCYIFIFRAIRETGRALQT</v>
      </c>
      <c r="O18" s="4" t="str">
        <f t="shared" si="10"/>
        <v>LWQRQRLQSECKMAKIMLLVILLFVLSWAPYSAVALVAFAG</v>
      </c>
      <c r="P18" s="4" t="str">
        <f t="shared" si="11"/>
        <v>TPYMSSVPAVIAKASAIHNPIIYAIT</v>
      </c>
      <c r="Q18" s="4" t="str">
        <f t="shared" si="12"/>
        <v>HPKYRVAIAQHLP</v>
      </c>
      <c r="R18" s="5">
        <f>VLOOKUP($A18,'SegEnds_NonXtal_Prot#'!$A:$AL,3,FALSE)</f>
        <v>67</v>
      </c>
      <c r="S18" s="5">
        <f>VLOOKUP($A18,'SegEnds_NonXtal_Prot#'!$A:$AL,6,FALSE)</f>
        <v>99</v>
      </c>
      <c r="T18" s="5">
        <f>VLOOKUP($A18,'SegEnds_NonXtal_Prot#'!$A:$AL,9,FALSE)</f>
        <v>103</v>
      </c>
      <c r="U18" s="5">
        <f>VLOOKUP($A18,'SegEnds_NonXtal_Prot#'!$A:$AL,12,FALSE)</f>
        <v>135</v>
      </c>
      <c r="V18" s="5">
        <f>VLOOKUP($A18,'SegEnds_NonXtal_Prot#'!$A:$AL,15,FALSE)</f>
        <v>139</v>
      </c>
      <c r="W18" s="5">
        <f>VLOOKUP($A18,'SegEnds_NonXtal_Prot#'!$A:$AL,18,FALSE)</f>
        <v>175</v>
      </c>
      <c r="X18" s="5">
        <f>VLOOKUP($A18,'SegEnds_NonXtal_Prot#'!$A:$AL,21,FALSE)</f>
        <v>183</v>
      </c>
      <c r="Y18" s="5">
        <f>VLOOKUP($A18,'SegEnds_NonXtal_Prot#'!$A:$AL,24,FALSE)</f>
        <v>221</v>
      </c>
      <c r="Z18" s="5">
        <f>VLOOKUP($A18,'SegEnds_NonXtal_Prot#'!$A:$AL,27,FALSE)</f>
        <v>231</v>
      </c>
      <c r="AA18" s="5">
        <f>VLOOKUP($A18,'SegEnds_NonXtal_Prot#'!$A:$AL,30,FALSE)</f>
        <v>282</v>
      </c>
      <c r="AB18" s="5">
        <f>VLOOKUP($A18,'SegEnds_NonXtal_Prot#'!$A:$AL,33,FALSE)</f>
        <v>328</v>
      </c>
      <c r="AC18" s="5">
        <f>VLOOKUP($A18,'SegEnds_NonXtal_Prot#'!$A:$AL,36,FALSE)</f>
        <v>354</v>
      </c>
      <c r="AD18" s="5">
        <f>VLOOKUP($A18,'SegEnds_NonXtal_Prot#'!$A:$AL,5,FALSE)</f>
        <v>98</v>
      </c>
      <c r="AE18" s="5">
        <f>VLOOKUP($A18,'SegEnds_NonXtal_Prot#'!$A:$AL,8,FALSE)</f>
        <v>102</v>
      </c>
      <c r="AF18" s="5">
        <f>VLOOKUP($A18,'SegEnds_NonXtal_Prot#'!$A:$AL,11,FALSE)</f>
        <v>134</v>
      </c>
      <c r="AG18" s="5">
        <f>VLOOKUP($A18,'SegEnds_NonXtal_Prot#'!$A:$AL,14,FALSE)</f>
        <v>138</v>
      </c>
      <c r="AH18" s="5">
        <f>VLOOKUP($A18,'SegEnds_NonXtal_Prot#'!$A:$AL,17,FALSE)</f>
        <v>174</v>
      </c>
      <c r="AI18" s="5">
        <f>VLOOKUP($A18,'SegEnds_NonXtal_Prot#'!$A:$AL,20,FALSE)</f>
        <v>182</v>
      </c>
      <c r="AJ18" s="5">
        <f>VLOOKUP($A18,'SegEnds_NonXtal_Prot#'!$A:$AL,23,FALSE)</f>
        <v>207</v>
      </c>
      <c r="AK18" s="5">
        <f>VLOOKUP($A18,'SegEnds_NonXtal_Prot#'!$A:$AL,26,FALSE)</f>
        <v>223</v>
      </c>
      <c r="AL18" s="5">
        <f>VLOOKUP($A18,'SegEnds_NonXtal_Prot#'!$A:$AL,29,FALSE)</f>
        <v>271</v>
      </c>
      <c r="AM18" s="5">
        <f>VLOOKUP($A18,'SegEnds_NonXtal_Prot#'!$A:$AL,32,FALSE)</f>
        <v>322</v>
      </c>
      <c r="AN18" s="5">
        <f>VLOOKUP($A18,'SegEnds_NonXtal_Prot#'!$A:$AL,35,FALSE)</f>
        <v>353</v>
      </c>
      <c r="AO18" s="5">
        <f>VLOOKUP($A18,'SegEnds_NonXtal_Prot#'!$A:$AL,38,FALSE)</f>
        <v>366</v>
      </c>
      <c r="AP18" s="5">
        <f t="shared" si="13"/>
        <v>31</v>
      </c>
      <c r="AQ18" s="4">
        <f t="shared" si="14"/>
        <v>3</v>
      </c>
      <c r="AR18" s="4">
        <f t="shared" si="15"/>
        <v>31</v>
      </c>
      <c r="AS18" s="4">
        <f t="shared" si="16"/>
        <v>3</v>
      </c>
      <c r="AT18" s="4">
        <f t="shared" si="17"/>
        <v>35</v>
      </c>
      <c r="AU18" s="4">
        <f t="shared" si="18"/>
        <v>7</v>
      </c>
      <c r="AV18" s="4">
        <f t="shared" si="19"/>
        <v>24</v>
      </c>
      <c r="AW18" s="4">
        <f t="shared" si="20"/>
        <v>2</v>
      </c>
      <c r="AX18" s="4">
        <f t="shared" si="21"/>
        <v>40</v>
      </c>
      <c r="AY18" s="4">
        <f t="shared" si="22"/>
        <v>40</v>
      </c>
      <c r="AZ18" s="4">
        <f t="shared" si="23"/>
        <v>25</v>
      </c>
      <c r="BA18" s="4">
        <f t="shared" si="24"/>
        <v>12</v>
      </c>
    </row>
    <row r="19" spans="1:53" x14ac:dyDescent="0.2">
      <c r="A19" s="1" t="str">
        <f>'SegEnds_NonXtal_Prot#'!A203</f>
        <v>oprk_human</v>
      </c>
      <c r="B19" s="1" t="str">
        <f t="shared" si="0"/>
        <v>AIPVIITAVYSVVFVVGLVGNSLVMFVIIRYTATNIYIFNLALADALVTTTMPFQSTVYLMGDVLCKIVISIDYYNMFTSIFTLTMMSVDRYIAVCHTPLKAKIINICIWLLSSSVGISAIVLGDYSWWDLFMKICVFIFAFVIPVLIIIVCYTLMILRLKSVSREKDRNLRRITRLVLVVVAVFVVCWTPIHIFILVEALGSTAALSSYYFCIALGYTNSSLNPILYAFLDENFKRCFRDFCF</v>
      </c>
      <c r="C19" s="29" t="str">
        <f>IF(ISERROR(MATCH(A19,'SegEnds_Xtal_Prot#'!B:B, 0)), "NoXtal", "Xtal")</f>
        <v>Xtal</v>
      </c>
      <c r="D19" s="4" t="str">
        <f>VLOOKUP(A19,Classification!A:D,2,FALSE)</f>
        <v>A</v>
      </c>
      <c r="E19" s="5" t="str">
        <f>VLOOKUP(A19,Seqs!A:B,2,FALSE)</f>
        <v>MDSPIQIFRGEPGPTCAPSACLPPNSSAWFPGWAEPDSNGSAGSEDAQLEPAHISPAIPVIITAVYSVVFVVGLVGNSLVMFVIIRYTKMKTATNIYIFNLALADALVTTTMPFQSTVYLMNSWPFGDVLCKIVISIDYYNMFTSIFTLTMMSVDRYIAVCHPVKALDFRTPLKAKIINICIWLLSSSVGISAIVLGGTKVREDVDVIECSLQFPDDDYSWWDLFMKICVFIFAFVIPVLIIIVCYTLMILRLKSVRLLSGSREKDRNLRRITRLVLVVVAVFVVCWTPIHIFILVEALGSTSHSTAALSSYYFCIALGYTNSSLNPILYAFLDENFKRCFRDFCFPLKMRMERQSTSRVRNTVQDPAYLRDIDGMNKPV</v>
      </c>
      <c r="F19" s="5" t="str">
        <f t="shared" si="1"/>
        <v>AIPVIITAVYSVVFVVGLVGNSLVMFVIIRY</v>
      </c>
      <c r="G19" s="4" t="str">
        <f t="shared" si="2"/>
        <v>TKMK</v>
      </c>
      <c r="H19" s="4" t="str">
        <f t="shared" si="3"/>
        <v>TATNIYIFNLALADALVTTTMPFQSTVYLM</v>
      </c>
      <c r="I19" s="4" t="str">
        <f t="shared" si="4"/>
        <v>SWPF</v>
      </c>
      <c r="J19" s="4" t="str">
        <f t="shared" si="5"/>
        <v>GDVLCKIVISIDYYNMFTSIFTLTMMSVDRYIAVCH</v>
      </c>
      <c r="K19" s="4" t="str">
        <f t="shared" si="6"/>
        <v>PVKALDFR</v>
      </c>
      <c r="L19" s="4" t="str">
        <f t="shared" si="7"/>
        <v>TPLKAKIINICIWLLSSSVGISAIVLG</v>
      </c>
      <c r="M19" s="4" t="str">
        <f t="shared" si="8"/>
        <v>CSL</v>
      </c>
      <c r="N19" s="4" t="str">
        <f t="shared" si="9"/>
        <v>DYSWWDLFMKICVFIFAFVIPVLIIIVCYTLMILRLKSV</v>
      </c>
      <c r="O19" s="4" t="str">
        <f t="shared" si="10"/>
        <v>SREKDRNLRRITRLVLVVVAVFVVCWTPIHIFILVEALG</v>
      </c>
      <c r="P19" s="4" t="str">
        <f t="shared" si="11"/>
        <v>STAALSSYYFCIALGYTNSSLNPILYAFL</v>
      </c>
      <c r="Q19" s="4" t="str">
        <f t="shared" si="12"/>
        <v>DENFKRCFRDFCF</v>
      </c>
      <c r="R19" s="5">
        <f>VLOOKUP($A19,'SegEnds_NonXtal_Prot#'!$A:$AL,3,FALSE)</f>
        <v>57</v>
      </c>
      <c r="S19" s="5">
        <f>VLOOKUP($A19,'SegEnds_NonXtal_Prot#'!$A:$AL,6,FALSE)</f>
        <v>88</v>
      </c>
      <c r="T19" s="5">
        <f>VLOOKUP($A19,'SegEnds_NonXtal_Prot#'!$A:$AL,9,FALSE)</f>
        <v>92</v>
      </c>
      <c r="U19" s="5">
        <f>VLOOKUP($A19,'SegEnds_NonXtal_Prot#'!$A:$AL,12,FALSE)</f>
        <v>123</v>
      </c>
      <c r="V19" s="5">
        <f>VLOOKUP($A19,'SegEnds_NonXtal_Prot#'!$A:$AL,15,FALSE)</f>
        <v>127</v>
      </c>
      <c r="W19" s="5">
        <f>VLOOKUP($A19,'SegEnds_NonXtal_Prot#'!$A:$AL,18,FALSE)</f>
        <v>163</v>
      </c>
      <c r="X19" s="5">
        <f>VLOOKUP($A19,'SegEnds_NonXtal_Prot#'!$A:$AL,21,FALSE)</f>
        <v>171</v>
      </c>
      <c r="Y19" s="5">
        <f>VLOOKUP($A19,'SegEnds_NonXtal_Prot#'!$A:$AL,24,FALSE)</f>
        <v>210</v>
      </c>
      <c r="Z19" s="5">
        <f>VLOOKUP($A19,'SegEnds_NonXtal_Prot#'!$A:$AL,27,FALSE)</f>
        <v>218</v>
      </c>
      <c r="AA19" s="5">
        <f>VLOOKUP($A19,'SegEnds_NonXtal_Prot#'!$A:$AL,30,FALSE)</f>
        <v>262</v>
      </c>
      <c r="AB19" s="5">
        <f>VLOOKUP($A19,'SegEnds_NonXtal_Prot#'!$A:$AL,33,FALSE)</f>
        <v>305</v>
      </c>
      <c r="AC19" s="5">
        <f>VLOOKUP($A19,'SegEnds_NonXtal_Prot#'!$A:$AL,36,FALSE)</f>
        <v>334</v>
      </c>
      <c r="AD19" s="5">
        <f>VLOOKUP($A19,'SegEnds_NonXtal_Prot#'!$A:$AL,5,FALSE)</f>
        <v>87</v>
      </c>
      <c r="AE19" s="5">
        <f>VLOOKUP($A19,'SegEnds_NonXtal_Prot#'!$A:$AL,8,FALSE)</f>
        <v>91</v>
      </c>
      <c r="AF19" s="5">
        <f>VLOOKUP($A19,'SegEnds_NonXtal_Prot#'!$A:$AL,11,FALSE)</f>
        <v>121</v>
      </c>
      <c r="AG19" s="5">
        <f>VLOOKUP($A19,'SegEnds_NonXtal_Prot#'!$A:$AL,14,FALSE)</f>
        <v>126</v>
      </c>
      <c r="AH19" s="5">
        <f>VLOOKUP($A19,'SegEnds_NonXtal_Prot#'!$A:$AL,17,FALSE)</f>
        <v>162</v>
      </c>
      <c r="AI19" s="5">
        <f>VLOOKUP($A19,'SegEnds_NonXtal_Prot#'!$A:$AL,20,FALSE)</f>
        <v>170</v>
      </c>
      <c r="AJ19" s="5">
        <f>VLOOKUP($A19,'SegEnds_NonXtal_Prot#'!$A:$AL,23,FALSE)</f>
        <v>197</v>
      </c>
      <c r="AK19" s="5">
        <f>VLOOKUP($A19,'SegEnds_NonXtal_Prot#'!$A:$AL,26,FALSE)</f>
        <v>212</v>
      </c>
      <c r="AL19" s="5">
        <f>VLOOKUP($A19,'SegEnds_NonXtal_Prot#'!$A:$AL,29,FALSE)</f>
        <v>256</v>
      </c>
      <c r="AM19" s="5">
        <f>VLOOKUP($A19,'SegEnds_NonXtal_Prot#'!$A:$AL,32,FALSE)</f>
        <v>300</v>
      </c>
      <c r="AN19" s="5">
        <f>VLOOKUP($A19,'SegEnds_NonXtal_Prot#'!$A:$AL,35,FALSE)</f>
        <v>333</v>
      </c>
      <c r="AO19" s="5">
        <f>VLOOKUP($A19,'SegEnds_NonXtal_Prot#'!$A:$AL,38,FALSE)</f>
        <v>346</v>
      </c>
      <c r="AP19" s="5">
        <f t="shared" si="13"/>
        <v>30</v>
      </c>
      <c r="AQ19" s="4">
        <f t="shared" si="14"/>
        <v>3</v>
      </c>
      <c r="AR19" s="4">
        <f t="shared" si="15"/>
        <v>29</v>
      </c>
      <c r="AS19" s="4">
        <f t="shared" si="16"/>
        <v>3</v>
      </c>
      <c r="AT19" s="4">
        <f t="shared" si="17"/>
        <v>35</v>
      </c>
      <c r="AU19" s="4">
        <f t="shared" si="18"/>
        <v>7</v>
      </c>
      <c r="AV19" s="4">
        <f t="shared" si="19"/>
        <v>26</v>
      </c>
      <c r="AW19" s="4">
        <f t="shared" si="20"/>
        <v>2</v>
      </c>
      <c r="AX19" s="4">
        <f t="shared" si="21"/>
        <v>38</v>
      </c>
      <c r="AY19" s="4">
        <f t="shared" si="22"/>
        <v>38</v>
      </c>
      <c r="AZ19" s="4">
        <f t="shared" si="23"/>
        <v>28</v>
      </c>
      <c r="BA19" s="4">
        <f t="shared" si="24"/>
        <v>12</v>
      </c>
    </row>
    <row r="20" spans="1:53" x14ac:dyDescent="0.2">
      <c r="A20" s="1" t="str">
        <f>'SegEnds_NonXtal_Prot#'!A204</f>
        <v>oprm_human</v>
      </c>
      <c r="B20" s="1" t="str">
        <f t="shared" si="0"/>
        <v>MITAITIMALYSIVCVVGLFGNFLVMYVIVRYTATNIYIFNLALADALATSTLPFQSVNYLMGTILCKIVISIDYYNMFTSIFTLCTMSVDRYIAVCHTPRNAKIINVCNWILSSAIGLPVMFMATWYWENLLKICVFIFAFIMPVLIITVCYGLMILRLKSVSKEKDRNLRRITRMVLVVVAVFIVCWTPIHIYVIIKALVTTFQTVSWHFCIALGYTNSCLNPVLYAFLDENFKRCFREFCI</v>
      </c>
      <c r="C20" s="29" t="str">
        <f>IF(ISERROR(MATCH(A20,'SegEnds_Xtal_Prot#'!B:B, 0)), "NoXtal", "Xtal")</f>
        <v>NoXtal</v>
      </c>
      <c r="D20" s="4" t="str">
        <f>VLOOKUP(A20,Classification!A:D,2,FALSE)</f>
        <v>A</v>
      </c>
      <c r="E20" s="5" t="str">
        <f>VLOOKUP(A20,Seqs!A:B,2,FALSE)</f>
        <v>MDSSAAPTNASNCTDALAYSSCSPAPSPGSWVNLSHLDGNLSDPCGPNRTDLGGRDSLCPPTGSPSMITAITIMALYSIVCVVGLFGNFLVMYVIVRYTKMKTATNIYIFNLALADALATSTLPFQSVNYLMGTWPFGTILCKIVISIDYYNMFTSIFTLCTMSVDRYIAVCHPVKALDFRTPRNAKIINVCNWILSSAIGLPVMFMATTKYRQGSIDCTLTFSHPTWYWENLLKICVFIFAFIMPVLIITVCYGLMILRLKSVRMLSGSKEKDRNLRRITRMVLVVVAVFIVCWTPIHIYVIIKALVTIPETTFQTVSWHFCIALGYTNSCLNPVLYAFLDENFKRCFREFCIPTSSNIEQQNSTRIRQNTRDHPSTANTVDRTNHQLENLEAETAPLP</v>
      </c>
      <c r="F20" s="5" t="str">
        <f t="shared" si="1"/>
        <v>MITAITIMALYSIVCVVGLFGNFLVMYVIVRY</v>
      </c>
      <c r="G20" s="4" t="str">
        <f t="shared" si="2"/>
        <v>TKMK</v>
      </c>
      <c r="H20" s="4" t="str">
        <f t="shared" si="3"/>
        <v>TATNIYIFNLALADALATSTLPFQSVNYLM</v>
      </c>
      <c r="I20" s="4" t="str">
        <f t="shared" si="4"/>
        <v>TWPF</v>
      </c>
      <c r="J20" s="4" t="str">
        <f t="shared" si="5"/>
        <v>GTILCKIVISIDYYNMFTSIFTLCTMSVDRYIAVCH</v>
      </c>
      <c r="K20" s="4" t="str">
        <f t="shared" si="6"/>
        <v>PVKALDFR</v>
      </c>
      <c r="L20" s="4" t="str">
        <f t="shared" si="7"/>
        <v>TPRNAKIINVCNWILSSAIGLPVMFMA</v>
      </c>
      <c r="M20" s="4" t="str">
        <f t="shared" si="8"/>
        <v>CTL</v>
      </c>
      <c r="N20" s="4" t="str">
        <f t="shared" si="9"/>
        <v>TWYWENLLKICVFIFAFIMPVLIITVCYGLMILRLKSV</v>
      </c>
      <c r="O20" s="4" t="str">
        <f t="shared" si="10"/>
        <v>SKEKDRNLRRITRMVLVVVAVFIVCWTPIHIYVIIKALV</v>
      </c>
      <c r="P20" s="4" t="str">
        <f t="shared" si="11"/>
        <v>TTFQTVSWHFCIALGYTNSCLNPVLYAFL</v>
      </c>
      <c r="Q20" s="4" t="str">
        <f t="shared" si="12"/>
        <v>DENFKRCFREFCI</v>
      </c>
      <c r="R20" s="5">
        <f>VLOOKUP($A20,'SegEnds_NonXtal_Prot#'!$A:$AL,3,FALSE)</f>
        <v>67</v>
      </c>
      <c r="S20" s="5">
        <f>VLOOKUP($A20,'SegEnds_NonXtal_Prot#'!$A:$AL,6,FALSE)</f>
        <v>99</v>
      </c>
      <c r="T20" s="5">
        <f>VLOOKUP($A20,'SegEnds_NonXtal_Prot#'!$A:$AL,9,FALSE)</f>
        <v>103</v>
      </c>
      <c r="U20" s="5">
        <f>VLOOKUP($A20,'SegEnds_NonXtal_Prot#'!$A:$AL,12,FALSE)</f>
        <v>134</v>
      </c>
      <c r="V20" s="5">
        <f>VLOOKUP($A20,'SegEnds_NonXtal_Prot#'!$A:$AL,15,FALSE)</f>
        <v>138</v>
      </c>
      <c r="W20" s="5">
        <f>VLOOKUP($A20,'SegEnds_NonXtal_Prot#'!$A:$AL,18,FALSE)</f>
        <v>174</v>
      </c>
      <c r="X20" s="5">
        <f>VLOOKUP($A20,'SegEnds_NonXtal_Prot#'!$A:$AL,21,FALSE)</f>
        <v>182</v>
      </c>
      <c r="Y20" s="5">
        <f>VLOOKUP($A20,'SegEnds_NonXtal_Prot#'!$A:$AL,24,FALSE)</f>
        <v>219</v>
      </c>
      <c r="Z20" s="5">
        <f>VLOOKUP($A20,'SegEnds_NonXtal_Prot#'!$A:$AL,27,FALSE)</f>
        <v>227</v>
      </c>
      <c r="AA20" s="5">
        <f>VLOOKUP($A20,'SegEnds_NonXtal_Prot#'!$A:$AL,30,FALSE)</f>
        <v>270</v>
      </c>
      <c r="AB20" s="5">
        <f>VLOOKUP($A20,'SegEnds_NonXtal_Prot#'!$A:$AL,33,FALSE)</f>
        <v>313</v>
      </c>
      <c r="AC20" s="5">
        <f>VLOOKUP($A20,'SegEnds_NonXtal_Prot#'!$A:$AL,36,FALSE)</f>
        <v>342</v>
      </c>
      <c r="AD20" s="5">
        <f>VLOOKUP($A20,'SegEnds_NonXtal_Prot#'!$A:$AL,5,FALSE)</f>
        <v>98</v>
      </c>
      <c r="AE20" s="5">
        <f>VLOOKUP($A20,'SegEnds_NonXtal_Prot#'!$A:$AL,8,FALSE)</f>
        <v>102</v>
      </c>
      <c r="AF20" s="5">
        <f>VLOOKUP($A20,'SegEnds_NonXtal_Prot#'!$A:$AL,11,FALSE)</f>
        <v>132</v>
      </c>
      <c r="AG20" s="5">
        <f>VLOOKUP($A20,'SegEnds_NonXtal_Prot#'!$A:$AL,14,FALSE)</f>
        <v>137</v>
      </c>
      <c r="AH20" s="5">
        <f>VLOOKUP($A20,'SegEnds_NonXtal_Prot#'!$A:$AL,17,FALSE)</f>
        <v>173</v>
      </c>
      <c r="AI20" s="5">
        <f>VLOOKUP($A20,'SegEnds_NonXtal_Prot#'!$A:$AL,20,FALSE)</f>
        <v>181</v>
      </c>
      <c r="AJ20" s="5">
        <f>VLOOKUP($A20,'SegEnds_NonXtal_Prot#'!$A:$AL,23,FALSE)</f>
        <v>208</v>
      </c>
      <c r="AK20" s="5">
        <f>VLOOKUP($A20,'SegEnds_NonXtal_Prot#'!$A:$AL,26,FALSE)</f>
        <v>221</v>
      </c>
      <c r="AL20" s="5">
        <f>VLOOKUP($A20,'SegEnds_NonXtal_Prot#'!$A:$AL,29,FALSE)</f>
        <v>264</v>
      </c>
      <c r="AM20" s="5">
        <f>VLOOKUP($A20,'SegEnds_NonXtal_Prot#'!$A:$AL,32,FALSE)</f>
        <v>308</v>
      </c>
      <c r="AN20" s="5">
        <f>VLOOKUP($A20,'SegEnds_NonXtal_Prot#'!$A:$AL,35,FALSE)</f>
        <v>341</v>
      </c>
      <c r="AO20" s="5">
        <f>VLOOKUP($A20,'SegEnds_NonXtal_Prot#'!$A:$AL,38,FALSE)</f>
        <v>354</v>
      </c>
      <c r="AP20" s="5">
        <f t="shared" si="13"/>
        <v>31</v>
      </c>
      <c r="AQ20" s="4">
        <f t="shared" si="14"/>
        <v>3</v>
      </c>
      <c r="AR20" s="4">
        <f t="shared" si="15"/>
        <v>29</v>
      </c>
      <c r="AS20" s="4">
        <f t="shared" si="16"/>
        <v>3</v>
      </c>
      <c r="AT20" s="4">
        <f t="shared" si="17"/>
        <v>35</v>
      </c>
      <c r="AU20" s="4">
        <f t="shared" si="18"/>
        <v>7</v>
      </c>
      <c r="AV20" s="4">
        <f t="shared" si="19"/>
        <v>26</v>
      </c>
      <c r="AW20" s="4">
        <f t="shared" si="20"/>
        <v>2</v>
      </c>
      <c r="AX20" s="4">
        <f t="shared" si="21"/>
        <v>37</v>
      </c>
      <c r="AY20" s="4">
        <f t="shared" si="22"/>
        <v>38</v>
      </c>
      <c r="AZ20" s="4">
        <f t="shared" si="23"/>
        <v>28</v>
      </c>
      <c r="BA20" s="4">
        <f t="shared" si="24"/>
        <v>12</v>
      </c>
    </row>
    <row r="21" spans="1:53" x14ac:dyDescent="0.2">
      <c r="A21" s="1" t="str">
        <f>'SegEnds_NonXtal_Prot#'!A205</f>
        <v>oprm_mouse</v>
      </c>
      <c r="B21" s="1" t="str">
        <f t="shared" si="0"/>
        <v>MVTAITIMALYSIVCVVGLFGNFLVMYVIVRYTATNIYIFNLALADALATSTLPFQSVNYLMGNILCKIVISIDYYNMFTSIFTLCTMSVDRYIAVCHTPRNAKIVNVCNWILSSAIGLPVMFMATWYWENLLKICVFIFAFIMPVLIITVCYGLMILRLKSVSKEKDRNLRRITRMVLVVVAVFIVCWTPIHIYVIIKALITTFQTVSWHFCIALGYTNSCLNPVLYAFLDENFKRCFREFCI</v>
      </c>
      <c r="C21" s="29" t="str">
        <f>IF(ISERROR(MATCH(A21,'SegEnds_Xtal_Prot#'!B:B, 0)), "NoXtal", "Xtal")</f>
        <v>Xtal</v>
      </c>
      <c r="D21" s="4" t="str">
        <f>VLOOKUP(A21,Classification!A:D,2,FALSE)</f>
        <v>A</v>
      </c>
      <c r="E21" s="5" t="str">
        <f>VLOOKUP(A21,Seqs!A:B,2,FALSE)</f>
        <v>MDSSAGPGNISDCSDPLAPASCSPAPGSWLNLSHVDGNQSDPCGPNRTGLGGSHSLCPQTGSPSMVTAITIMALYSIVCVVGLFGNFLVMYVIVRYTKMKTATNIYIFNLALADALATSTLPFQSVNYLMGTWPFGNILCKIVISIDYYNMFTSIFTLCTMSVDRYIAVCHPVKALDFRTPRNAKIVNVCNWILSSAIGLPVMFMATTKYRQGSIDCTLTFSHPTWYWENLLKICVFIFAFIMPVLIITVCYGLMILRLKSVRMLSGSKEKDRNLRRITRMVLVVVAVFIVCWTPIHIYVIIKALITIPETTFQTVSWHFCIALGYTNSCLNPVLYAFLDENFKRCFREFCIPTSSTIEQQNSARIRQNTREHPSTANTVDRTNHQLENLEAETAPLP</v>
      </c>
      <c r="F21" s="5" t="str">
        <f t="shared" si="1"/>
        <v>MVTAITIMALYSIVCVVGLFGNFLVMYVIVRY</v>
      </c>
      <c r="G21" s="4" t="str">
        <f t="shared" si="2"/>
        <v>TKMK</v>
      </c>
      <c r="H21" s="4" t="str">
        <f t="shared" si="3"/>
        <v>TATNIYIFNLALADALATSTLPFQSVNYLM</v>
      </c>
      <c r="I21" s="4" t="str">
        <f t="shared" si="4"/>
        <v>TWPF</v>
      </c>
      <c r="J21" s="4" t="str">
        <f t="shared" si="5"/>
        <v>GNILCKIVISIDYYNMFTSIFTLCTMSVDRYIAVCH</v>
      </c>
      <c r="K21" s="4" t="str">
        <f t="shared" si="6"/>
        <v>PVKALDFR</v>
      </c>
      <c r="L21" s="4" t="str">
        <f t="shared" si="7"/>
        <v>TPRNAKIVNVCNWILSSAIGLPVMFMA</v>
      </c>
      <c r="M21" s="4" t="str">
        <f t="shared" si="8"/>
        <v>CTL</v>
      </c>
      <c r="N21" s="4" t="str">
        <f t="shared" si="9"/>
        <v>TWYWENLLKICVFIFAFIMPVLIITVCYGLMILRLKSV</v>
      </c>
      <c r="O21" s="4" t="str">
        <f t="shared" si="10"/>
        <v>SKEKDRNLRRITRMVLVVVAVFIVCWTPIHIYVIIKALI</v>
      </c>
      <c r="P21" s="4" t="str">
        <f t="shared" si="11"/>
        <v>TTFQTVSWHFCIALGYTNSCLNPVLYAFL</v>
      </c>
      <c r="Q21" s="4" t="str">
        <f t="shared" si="12"/>
        <v>DENFKRCFREFCI</v>
      </c>
      <c r="R21" s="5">
        <f>VLOOKUP($A21,'SegEnds_NonXtal_Prot#'!$A:$AL,3,FALSE)</f>
        <v>65</v>
      </c>
      <c r="S21" s="5">
        <f>VLOOKUP($A21,'SegEnds_NonXtal_Prot#'!$A:$AL,6,FALSE)</f>
        <v>97</v>
      </c>
      <c r="T21" s="5">
        <f>VLOOKUP($A21,'SegEnds_NonXtal_Prot#'!$A:$AL,9,FALSE)</f>
        <v>101</v>
      </c>
      <c r="U21" s="5">
        <f>VLOOKUP($A21,'SegEnds_NonXtal_Prot#'!$A:$AL,12,FALSE)</f>
        <v>132</v>
      </c>
      <c r="V21" s="5">
        <f>VLOOKUP($A21,'SegEnds_NonXtal_Prot#'!$A:$AL,15,FALSE)</f>
        <v>136</v>
      </c>
      <c r="W21" s="5">
        <f>VLOOKUP($A21,'SegEnds_NonXtal_Prot#'!$A:$AL,18,FALSE)</f>
        <v>172</v>
      </c>
      <c r="X21" s="5">
        <f>VLOOKUP($A21,'SegEnds_NonXtal_Prot#'!$A:$AL,21,FALSE)</f>
        <v>180</v>
      </c>
      <c r="Y21" s="5">
        <f>VLOOKUP($A21,'SegEnds_NonXtal_Prot#'!$A:$AL,24,FALSE)</f>
        <v>217</v>
      </c>
      <c r="Z21" s="5">
        <f>VLOOKUP($A21,'SegEnds_NonXtal_Prot#'!$A:$AL,27,FALSE)</f>
        <v>225</v>
      </c>
      <c r="AA21" s="5">
        <f>VLOOKUP($A21,'SegEnds_NonXtal_Prot#'!$A:$AL,30,FALSE)</f>
        <v>268</v>
      </c>
      <c r="AB21" s="5">
        <f>VLOOKUP($A21,'SegEnds_NonXtal_Prot#'!$A:$AL,33,FALSE)</f>
        <v>311</v>
      </c>
      <c r="AC21" s="5">
        <f>VLOOKUP($A21,'SegEnds_NonXtal_Prot#'!$A:$AL,36,FALSE)</f>
        <v>340</v>
      </c>
      <c r="AD21" s="5">
        <f>VLOOKUP($A21,'SegEnds_NonXtal_Prot#'!$A:$AL,5,FALSE)</f>
        <v>96</v>
      </c>
      <c r="AE21" s="5">
        <f>VLOOKUP($A21,'SegEnds_NonXtal_Prot#'!$A:$AL,8,FALSE)</f>
        <v>100</v>
      </c>
      <c r="AF21" s="5">
        <f>VLOOKUP($A21,'SegEnds_NonXtal_Prot#'!$A:$AL,11,FALSE)</f>
        <v>130</v>
      </c>
      <c r="AG21" s="5">
        <f>VLOOKUP($A21,'SegEnds_NonXtal_Prot#'!$A:$AL,14,FALSE)</f>
        <v>135</v>
      </c>
      <c r="AH21" s="5">
        <f>VLOOKUP($A21,'SegEnds_NonXtal_Prot#'!$A:$AL,17,FALSE)</f>
        <v>171</v>
      </c>
      <c r="AI21" s="5">
        <f>VLOOKUP($A21,'SegEnds_NonXtal_Prot#'!$A:$AL,20,FALSE)</f>
        <v>179</v>
      </c>
      <c r="AJ21" s="5">
        <f>VLOOKUP($A21,'SegEnds_NonXtal_Prot#'!$A:$AL,23,FALSE)</f>
        <v>206</v>
      </c>
      <c r="AK21" s="5">
        <f>VLOOKUP($A21,'SegEnds_NonXtal_Prot#'!$A:$AL,26,FALSE)</f>
        <v>219</v>
      </c>
      <c r="AL21" s="5">
        <f>VLOOKUP($A21,'SegEnds_NonXtal_Prot#'!$A:$AL,29,FALSE)</f>
        <v>262</v>
      </c>
      <c r="AM21" s="5">
        <f>VLOOKUP($A21,'SegEnds_NonXtal_Prot#'!$A:$AL,32,FALSE)</f>
        <v>306</v>
      </c>
      <c r="AN21" s="5">
        <f>VLOOKUP($A21,'SegEnds_NonXtal_Prot#'!$A:$AL,35,FALSE)</f>
        <v>339</v>
      </c>
      <c r="AO21" s="5">
        <f>VLOOKUP($A21,'SegEnds_NonXtal_Prot#'!$A:$AL,38,FALSE)</f>
        <v>352</v>
      </c>
      <c r="AP21" s="5">
        <f t="shared" si="13"/>
        <v>31</v>
      </c>
      <c r="AQ21" s="4">
        <f t="shared" si="14"/>
        <v>3</v>
      </c>
      <c r="AR21" s="4">
        <f t="shared" si="15"/>
        <v>29</v>
      </c>
      <c r="AS21" s="4">
        <f t="shared" si="16"/>
        <v>3</v>
      </c>
      <c r="AT21" s="4">
        <f t="shared" si="17"/>
        <v>35</v>
      </c>
      <c r="AU21" s="4">
        <f t="shared" si="18"/>
        <v>7</v>
      </c>
      <c r="AV21" s="4">
        <f t="shared" si="19"/>
        <v>26</v>
      </c>
      <c r="AW21" s="4">
        <f t="shared" si="20"/>
        <v>2</v>
      </c>
      <c r="AX21" s="4">
        <f t="shared" si="21"/>
        <v>37</v>
      </c>
      <c r="AY21" s="4">
        <f t="shared" si="22"/>
        <v>38</v>
      </c>
      <c r="AZ21" s="4">
        <f t="shared" si="23"/>
        <v>28</v>
      </c>
      <c r="BA21" s="4">
        <f t="shared" si="24"/>
        <v>12</v>
      </c>
    </row>
    <row r="22" spans="1:53" x14ac:dyDescent="0.2">
      <c r="A22" s="1" t="str">
        <f>'SegEnds_NonXtal_Prot#'!A214</f>
        <v>p2y11_human</v>
      </c>
      <c r="B22" s="1" t="str">
        <f t="shared" si="0"/>
        <v>FQGDFLWPILVVEFLVAVASNGLALYRFSIRHPAVVFSVQLAVSDLLCALTLPPLAAYLYPGEAACRLERFLFTCNLLGSVIFITCISLNRYLGIVHRPKHAWAVSAAGWVLAALLAMPTLSFSLAAYRAYSLVLAGLGCGLPLLLTLAAYGALGRAVLRTVAEKLRVAALVASGVALYASSYVPYHIMRVLNVDARRRTAALELGPYVGYQVMRGLMPLAFCVHPLLYMAAVPSLGCCCRHCPG</v>
      </c>
      <c r="C22" s="29" t="str">
        <f>IF(ISERROR(MATCH(A22,'SegEnds_Xtal_Prot#'!B:B, 0)), "NoXtal", "Xtal")</f>
        <v>NoXtal</v>
      </c>
      <c r="D22" s="4" t="str">
        <f>VLOOKUP(A22,Classification!A:D,2,FALSE)</f>
        <v>A</v>
      </c>
      <c r="E22" s="5" t="str">
        <f>VLOOKUP(A22,Seqs!A:B,2,FALSE)</f>
        <v>MAANVSGAKSCPANFLAAADDKLSGFQGDFLWPILVVEFLVAVASNGLALYRFSIRKQRPWHPAVVFSVQLAVSDLLCALTLPPLAAYLYPPKHWRYGEAACRLERFLFTCNLLGSVIFITCISLNRYLGIVHPFFARSHLRPKHAWAVSAAGWVLAALLAMPTLSFSHLKRPQQGAGNCSVARPEACIKCLGTADHGLAAYRAYSLVLAGLGCGLPLLLTLAAYGALGRAVLRSPGMTVAEKLRVAALVASGVALYASSYVPYHIMRVLNVDARRRWSTRCPSFADIAQATAALELGPYVGYQVMRGLMPLAFCVHPLLYMAAVPSLGCCCRHCPGYRDSWNPEDAKSTGQALPLNATAAPKPSEPQSRELSQ</v>
      </c>
      <c r="F22" s="5" t="str">
        <f t="shared" si="1"/>
        <v>FQGDFLWPILVVEFLVAVASNGLALYRFSIR</v>
      </c>
      <c r="G22" s="4" t="str">
        <f t="shared" si="2"/>
        <v/>
      </c>
      <c r="H22" s="4" t="str">
        <f t="shared" si="3"/>
        <v>HPAVVFSVQLAVSDLLCALTLPPLAAYLYP</v>
      </c>
      <c r="I22" s="4" t="str">
        <f t="shared" si="4"/>
        <v>HWRY</v>
      </c>
      <c r="J22" s="4" t="str">
        <f t="shared" si="5"/>
        <v>GEAACRLERFLFTCNLLGSVIFITCISLNRYLGIVH</v>
      </c>
      <c r="K22" s="4" t="str">
        <f t="shared" si="6"/>
        <v>PFFARSHL</v>
      </c>
      <c r="L22" s="4" t="str">
        <f t="shared" si="7"/>
        <v>RPKHAWAVSAAGWVLAALLAMPTLSFS</v>
      </c>
      <c r="M22" s="4" t="str">
        <f t="shared" si="8"/>
        <v>CLG</v>
      </c>
      <c r="N22" s="4" t="str">
        <f t="shared" si="9"/>
        <v>LAAYRAYSLVLAGLGCGLPLLLTLAAYGALGRAVLR</v>
      </c>
      <c r="O22" s="4" t="str">
        <f t="shared" si="10"/>
        <v>TVAEKLRVAALVASGVALYASSYVPYHIMRVLNVDARRR</v>
      </c>
      <c r="P22" s="4" t="str">
        <f t="shared" si="11"/>
        <v>TAALELGPYVGYQVMRGLMPLAFCVHPLLYMAA</v>
      </c>
      <c r="Q22" s="4" t="str">
        <f t="shared" si="12"/>
        <v>VPSLGCCCRHCPG</v>
      </c>
      <c r="R22" s="5">
        <f>VLOOKUP($A22,'SegEnds_NonXtal_Prot#'!$A:$AL,3,FALSE)</f>
        <v>26</v>
      </c>
      <c r="S22" s="5" t="str">
        <f>VLOOKUP($A22,'SegEnds_NonXtal_Prot#'!$A:$AL,6,FALSE)</f>
        <v>-</v>
      </c>
      <c r="T22" s="5">
        <f>VLOOKUP($A22,'SegEnds_NonXtal_Prot#'!$A:$AL,9,FALSE)</f>
        <v>62</v>
      </c>
      <c r="U22" s="5">
        <f>VLOOKUP($A22,'SegEnds_NonXtal_Prot#'!$A:$AL,12,FALSE)</f>
        <v>94</v>
      </c>
      <c r="V22" s="5">
        <f>VLOOKUP($A22,'SegEnds_NonXtal_Prot#'!$A:$AL,15,FALSE)</f>
        <v>98</v>
      </c>
      <c r="W22" s="5">
        <f>VLOOKUP($A22,'SegEnds_NonXtal_Prot#'!$A:$AL,18,FALSE)</f>
        <v>134</v>
      </c>
      <c r="X22" s="5">
        <f>VLOOKUP($A22,'SegEnds_NonXtal_Prot#'!$A:$AL,21,FALSE)</f>
        <v>142</v>
      </c>
      <c r="Y22" s="5">
        <f>VLOOKUP($A22,'SegEnds_NonXtal_Prot#'!$A:$AL,24,FALSE)</f>
        <v>191</v>
      </c>
      <c r="Z22" s="5">
        <f>VLOOKUP($A22,'SegEnds_NonXtal_Prot#'!$A:$AL,27,FALSE)</f>
        <v>199</v>
      </c>
      <c r="AA22" s="5">
        <f>VLOOKUP($A22,'SegEnds_NonXtal_Prot#'!$A:$AL,30,FALSE)</f>
        <v>239</v>
      </c>
      <c r="AB22" s="5">
        <f>VLOOKUP($A22,'SegEnds_NonXtal_Prot#'!$A:$AL,33,FALSE)</f>
        <v>292</v>
      </c>
      <c r="AC22" s="5">
        <f>VLOOKUP($A22,'SegEnds_NonXtal_Prot#'!$A:$AL,36,FALSE)</f>
        <v>325</v>
      </c>
      <c r="AD22" s="5">
        <f>VLOOKUP($A22,'SegEnds_NonXtal_Prot#'!$A:$AL,5,FALSE)</f>
        <v>56</v>
      </c>
      <c r="AE22" s="5" t="str">
        <f>VLOOKUP($A22,'SegEnds_NonXtal_Prot#'!$A:$AL,8,FALSE)</f>
        <v>-</v>
      </c>
      <c r="AF22" s="5">
        <f>VLOOKUP($A22,'SegEnds_NonXtal_Prot#'!$A:$AL,11,FALSE)</f>
        <v>91</v>
      </c>
      <c r="AG22" s="5">
        <f>VLOOKUP($A22,'SegEnds_NonXtal_Prot#'!$A:$AL,14,FALSE)</f>
        <v>97</v>
      </c>
      <c r="AH22" s="5">
        <f>VLOOKUP($A22,'SegEnds_NonXtal_Prot#'!$A:$AL,17,FALSE)</f>
        <v>133</v>
      </c>
      <c r="AI22" s="5">
        <f>VLOOKUP($A22,'SegEnds_NonXtal_Prot#'!$A:$AL,20,FALSE)</f>
        <v>141</v>
      </c>
      <c r="AJ22" s="5">
        <f>VLOOKUP($A22,'SegEnds_NonXtal_Prot#'!$A:$AL,23,FALSE)</f>
        <v>168</v>
      </c>
      <c r="AK22" s="5">
        <f>VLOOKUP($A22,'SegEnds_NonXtal_Prot#'!$A:$AL,26,FALSE)</f>
        <v>193</v>
      </c>
      <c r="AL22" s="5">
        <f>VLOOKUP($A22,'SegEnds_NonXtal_Prot#'!$A:$AL,29,FALSE)</f>
        <v>234</v>
      </c>
      <c r="AM22" s="5">
        <f>VLOOKUP($A22,'SegEnds_NonXtal_Prot#'!$A:$AL,32,FALSE)</f>
        <v>277</v>
      </c>
      <c r="AN22" s="5">
        <f>VLOOKUP($A22,'SegEnds_NonXtal_Prot#'!$A:$AL,35,FALSE)</f>
        <v>324</v>
      </c>
      <c r="AO22" s="5">
        <f>VLOOKUP($A22,'SegEnds_NonXtal_Prot#'!$A:$AL,38,FALSE)</f>
        <v>337</v>
      </c>
      <c r="AP22" s="5">
        <f t="shared" si="13"/>
        <v>30</v>
      </c>
      <c r="AQ22" s="4" t="str">
        <f t="shared" si="14"/>
        <v>-</v>
      </c>
      <c r="AR22" s="4">
        <f t="shared" si="15"/>
        <v>29</v>
      </c>
      <c r="AS22" s="4">
        <f t="shared" si="16"/>
        <v>3</v>
      </c>
      <c r="AT22" s="4">
        <f t="shared" si="17"/>
        <v>35</v>
      </c>
      <c r="AU22" s="4">
        <f t="shared" si="18"/>
        <v>7</v>
      </c>
      <c r="AV22" s="4">
        <f t="shared" si="19"/>
        <v>26</v>
      </c>
      <c r="AW22" s="4">
        <f t="shared" si="20"/>
        <v>2</v>
      </c>
      <c r="AX22" s="4">
        <f t="shared" si="21"/>
        <v>35</v>
      </c>
      <c r="AY22" s="4">
        <f t="shared" si="22"/>
        <v>38</v>
      </c>
      <c r="AZ22" s="4">
        <f t="shared" si="23"/>
        <v>32</v>
      </c>
      <c r="BA22" s="4">
        <f t="shared" si="24"/>
        <v>12</v>
      </c>
    </row>
    <row r="23" spans="1:53" x14ac:dyDescent="0.2">
      <c r="A23" s="1" t="str">
        <f>'SegEnds_NonXtal_Prot#'!A215</f>
        <v>p2y12_human</v>
      </c>
      <c r="B23" s="1" t="str">
        <f t="shared" si="0"/>
        <v>YKITQVLFPLLYTVLFFVGLITNGLAMRIFFQISNFIIFLKNTVISDLLMILTFPFKILSDAKGPLRTFVCQVTSVIFYFTMYISISFLGLITIDRYQKTTRNLLGAKILSVVIWAFMFLLSLPNMILTEFGLVWHEIVNYICQVIFWINFLIVIVCYTLITKELYRSYVRTPRKKVNVKVFIIIAVFFICFVPFHFARIPYTLSQTRDCTAENTLFYVKESTLWLTSLNACLDPFIYFFLCKSFRNSLISM</v>
      </c>
      <c r="C23" s="29" t="str">
        <f>IF(ISERROR(MATCH(A23,'SegEnds_Xtal_Prot#'!B:B, 0)), "NoXtal", "Xtal")</f>
        <v>Xtal</v>
      </c>
      <c r="D23" s="4" t="str">
        <f>VLOOKUP(A23,Classification!A:D,2,FALSE)</f>
        <v>A</v>
      </c>
      <c r="E23" s="5" t="str">
        <f>VLOOKUP(A23,Seqs!A:B,2,FALSE)</f>
        <v>MQAVDNLTSAPGNTSLCTRDYKITQVLFPLLYTVLFFVGLITNGLAMRIFFQIRSKSNFIIFLKNTVISDLLMILTFPFKILSDAKLGTGPLRTFVCQVTSVIFYFTMYISISFLGLITIDRYQKTTRPFKTSNPKNLLGAKILSVVIWAFMFLLSLPNMILTNRQPRDKNVKKCSFLKSEFGLVWHEIVNYICQVIFWINFLIVIVCYTLITKELYRSYVRTRGVGKVPRKKVNVKVFIIIAVFFICFVPFHFARIPYTLSQTRDVFDCTAENTLFYVKESTLWLTSLNACLDPFIYFFLCKSFRNSLISMLKCPNSATSLSQDNRKKEQDGGDPNEETPM</v>
      </c>
      <c r="F23" s="5" t="str">
        <f t="shared" si="1"/>
        <v>YKITQVLFPLLYTVLFFVGLITNGLAMRIFFQI</v>
      </c>
      <c r="G23" s="4" t="str">
        <f t="shared" si="2"/>
        <v/>
      </c>
      <c r="H23" s="4" t="str">
        <f t="shared" si="3"/>
        <v>SNFIIFLKNTVISDLLMILTFPFKILSDAK</v>
      </c>
      <c r="I23" s="4" t="str">
        <f t="shared" si="4"/>
        <v/>
      </c>
      <c r="J23" s="4" t="str">
        <f t="shared" si="5"/>
        <v>GPLRTFVCQVTSVIFYFTMYISISFLGLITIDRYQKTTR</v>
      </c>
      <c r="K23" s="4" t="str">
        <f t="shared" si="6"/>
        <v>PFKTSNPK</v>
      </c>
      <c r="L23" s="4" t="str">
        <f t="shared" si="7"/>
        <v>NLLGAKILSVVIWAFMFLLSLPNMILT</v>
      </c>
      <c r="M23" s="4" t="str">
        <f t="shared" si="8"/>
        <v>CSF</v>
      </c>
      <c r="N23" s="4" t="str">
        <f t="shared" si="9"/>
        <v>EFGLVWHEIVNYICQVIFWINFLIVIVCYTLITKELYRSYVRT</v>
      </c>
      <c r="O23" s="4" t="str">
        <f t="shared" si="10"/>
        <v>PRKKVNVKVFIIIAVFFICFVPFHFARIPYTLSQTR</v>
      </c>
      <c r="P23" s="4" t="str">
        <f t="shared" si="11"/>
        <v>DCTAENTLFYVKESTLWLTSLNACLDPFIYFFL</v>
      </c>
      <c r="Q23" s="4" t="str">
        <f t="shared" si="12"/>
        <v>CKSFRNSLISM</v>
      </c>
      <c r="R23" s="5">
        <f>VLOOKUP($A23,'SegEnds_NonXtal_Prot#'!$A:$AL,3,FALSE)</f>
        <v>21</v>
      </c>
      <c r="S23" s="5" t="str">
        <f>VLOOKUP($A23,'SegEnds_NonXtal_Prot#'!$A:$AL,6,FALSE)</f>
        <v>-</v>
      </c>
      <c r="T23" s="5">
        <f>VLOOKUP($A23,'SegEnds_NonXtal_Prot#'!$A:$AL,9,FALSE)</f>
        <v>57</v>
      </c>
      <c r="U23" s="5" t="str">
        <f>VLOOKUP($A23,'SegEnds_NonXtal_Prot#'!$A:$AL,12,FALSE)</f>
        <v>-</v>
      </c>
      <c r="V23" s="5">
        <f>VLOOKUP($A23,'SegEnds_NonXtal_Prot#'!$A:$AL,15,FALSE)</f>
        <v>90</v>
      </c>
      <c r="W23" s="5">
        <f>VLOOKUP($A23,'SegEnds_NonXtal_Prot#'!$A:$AL,18,FALSE)</f>
        <v>129</v>
      </c>
      <c r="X23" s="5">
        <f>VLOOKUP($A23,'SegEnds_NonXtal_Prot#'!$A:$AL,21,FALSE)</f>
        <v>137</v>
      </c>
      <c r="Y23" s="5">
        <f>VLOOKUP($A23,'SegEnds_NonXtal_Prot#'!$A:$AL,24,FALSE)</f>
        <v>175</v>
      </c>
      <c r="Z23" s="5">
        <f>VLOOKUP($A23,'SegEnds_NonXtal_Prot#'!$A:$AL,27,FALSE)</f>
        <v>181</v>
      </c>
      <c r="AA23" s="5">
        <f>VLOOKUP($A23,'SegEnds_NonXtal_Prot#'!$A:$AL,30,FALSE)</f>
        <v>230</v>
      </c>
      <c r="AB23" s="5">
        <f>VLOOKUP($A23,'SegEnds_NonXtal_Prot#'!$A:$AL,33,FALSE)</f>
        <v>269</v>
      </c>
      <c r="AC23" s="5">
        <f>VLOOKUP($A23,'SegEnds_NonXtal_Prot#'!$A:$AL,36,FALSE)</f>
        <v>302</v>
      </c>
      <c r="AD23" s="5">
        <f>VLOOKUP($A23,'SegEnds_NonXtal_Prot#'!$A:$AL,5,FALSE)</f>
        <v>53</v>
      </c>
      <c r="AE23" s="5" t="str">
        <f>VLOOKUP($A23,'SegEnds_NonXtal_Prot#'!$A:$AL,8,FALSE)</f>
        <v>-</v>
      </c>
      <c r="AF23" s="5">
        <f>VLOOKUP($A23,'SegEnds_NonXtal_Prot#'!$A:$AL,11,FALSE)</f>
        <v>86</v>
      </c>
      <c r="AG23" s="5" t="str">
        <f>VLOOKUP($A23,'SegEnds_NonXtal_Prot#'!$A:$AL,14,FALSE)</f>
        <v>-</v>
      </c>
      <c r="AH23" s="5">
        <f>VLOOKUP($A23,'SegEnds_NonXtal_Prot#'!$A:$AL,17,FALSE)</f>
        <v>128</v>
      </c>
      <c r="AI23" s="5">
        <f>VLOOKUP($A23,'SegEnds_NonXtal_Prot#'!$A:$AL,20,FALSE)</f>
        <v>136</v>
      </c>
      <c r="AJ23" s="5">
        <f>VLOOKUP($A23,'SegEnds_NonXtal_Prot#'!$A:$AL,23,FALSE)</f>
        <v>163</v>
      </c>
      <c r="AK23" s="5">
        <f>VLOOKUP($A23,'SegEnds_NonXtal_Prot#'!$A:$AL,26,FALSE)</f>
        <v>177</v>
      </c>
      <c r="AL23" s="5">
        <f>VLOOKUP($A23,'SegEnds_NonXtal_Prot#'!$A:$AL,29,FALSE)</f>
        <v>223</v>
      </c>
      <c r="AM23" s="5">
        <f>VLOOKUP($A23,'SegEnds_NonXtal_Prot#'!$A:$AL,32,FALSE)</f>
        <v>265</v>
      </c>
      <c r="AN23" s="5">
        <f>VLOOKUP($A23,'SegEnds_NonXtal_Prot#'!$A:$AL,35,FALSE)</f>
        <v>301</v>
      </c>
      <c r="AO23" s="5">
        <f>VLOOKUP($A23,'SegEnds_NonXtal_Prot#'!$A:$AL,38,FALSE)</f>
        <v>312</v>
      </c>
      <c r="AP23" s="5">
        <f t="shared" si="13"/>
        <v>32</v>
      </c>
      <c r="AQ23" s="4" t="str">
        <f t="shared" si="14"/>
        <v>-</v>
      </c>
      <c r="AR23" s="4">
        <f t="shared" si="15"/>
        <v>29</v>
      </c>
      <c r="AS23" s="4" t="str">
        <f t="shared" si="16"/>
        <v>-</v>
      </c>
      <c r="AT23" s="4">
        <f t="shared" si="17"/>
        <v>38</v>
      </c>
      <c r="AU23" s="4">
        <f t="shared" si="18"/>
        <v>7</v>
      </c>
      <c r="AV23" s="4">
        <f t="shared" si="19"/>
        <v>26</v>
      </c>
      <c r="AW23" s="4">
        <f t="shared" si="20"/>
        <v>2</v>
      </c>
      <c r="AX23" s="4">
        <f t="shared" si="21"/>
        <v>42</v>
      </c>
      <c r="AY23" s="4">
        <f t="shared" si="22"/>
        <v>35</v>
      </c>
      <c r="AZ23" s="4">
        <f t="shared" si="23"/>
        <v>32</v>
      </c>
      <c r="BA23" s="4">
        <f t="shared" si="24"/>
        <v>10</v>
      </c>
    </row>
    <row r="24" spans="1:53" x14ac:dyDescent="0.2">
      <c r="A24" s="1" t="str">
        <f>'SegEnds_NonXtal_Prot#'!A228</f>
        <v>pi2r_human</v>
      </c>
      <c r="B24" s="1" t="str">
        <f t="shared" si="0"/>
        <v>SVGPATSTLMFVAGVVGNGLALGILSSAFAVLVTGLAATDLLGTSFLSPAVFVAYARARGGPALCDAFAFAMTFFGLASMLILFAMAVERCLALSHGPRCARLALPAIYAFCVLFCALPLLGGGAAFSLAYAGLVALLVAAIFLCNGSVTLSLCRMYRQQKRHPRPRTGEDEVDHLILLALMTVVMAVCSLPLTIRCFTQAVASEMGDLLAFRFYAFNPILDPWVFILFRKAVFQRLKLWVCC</v>
      </c>
      <c r="C24" s="29" t="str">
        <f>IF(ISERROR(MATCH(A24,'SegEnds_Xtal_Prot#'!B:B, 0)), "NoXtal", "Xtal")</f>
        <v>NoXtal</v>
      </c>
      <c r="D24" s="4" t="str">
        <f>VLOOKUP(A24,Classification!A:D,2,FALSE)</f>
        <v>A</v>
      </c>
      <c r="E24" s="5" t="str">
        <f>VLOOKUP(A24,Seqs!A:B,2,FALSE)</f>
        <v>MADSCRNLTYVRGSVGPATSTLMFVAGVVGNGLALGILSARRPARPSAFAVLVTGLAATDLLGTSFLSPAVFVAYARNSSLLGLARGGPALCDAFAFAMTFFGLASMLILFAMAVERCLALSHPYLYAQLDGPRCARLALPAIYAFCVLFCALPLLGLGQHQQYCPGSWCFLRMRWAQPGGAAFSLAYAGLVALLVAAIFLCNGSVTLSLCRMYRQQKRHQGSLGPRPRTGEDEVDHLILLALMTVVMAVCSLPLTIRCFTQAVAPDSSSEMGDLLAFRFYAFNPILDPWVFILFRKAVFQRLKLWVCCLCLGPAHGDSQTPLSQLASGRRDPRAPSAPVGKEGSCVPLSAWGEGQVEPLPPTQQSSGSAVGTSSKAEASVACSLC</v>
      </c>
      <c r="F24" s="5" t="str">
        <f t="shared" si="1"/>
        <v>SVGPATSTLMFVAGVVGNGLALGILS</v>
      </c>
      <c r="G24" s="4" t="str">
        <f t="shared" si="2"/>
        <v/>
      </c>
      <c r="H24" s="4" t="str">
        <f t="shared" si="3"/>
        <v>SAFAVLVTGLAATDLLGTSFLSPAVFVAYAR</v>
      </c>
      <c r="I24" s="4" t="str">
        <f t="shared" si="4"/>
        <v/>
      </c>
      <c r="J24" s="4" t="str">
        <f t="shared" si="5"/>
        <v>ARGGPALCDAFAFAMTFFGLASMLILFAMAVERCLALSH</v>
      </c>
      <c r="K24" s="4" t="str">
        <f t="shared" si="6"/>
        <v>PYLYAQLD</v>
      </c>
      <c r="L24" s="4" t="str">
        <f t="shared" si="7"/>
        <v>GPRCARLALPAIYAFCVLFCALPLLG</v>
      </c>
      <c r="M24" s="4" t="str">
        <f t="shared" si="8"/>
        <v>CFL</v>
      </c>
      <c r="N24" s="4" t="str">
        <f t="shared" si="9"/>
        <v>GGAAFSLAYAGLVALLVAAIFLCNGSVTLSLCRMYRQQKRH</v>
      </c>
      <c r="O24" s="4" t="str">
        <f t="shared" si="10"/>
        <v>PRPRTGEDEVDHLILLALMTVVMAVCSLPLTIRCFTQAVA</v>
      </c>
      <c r="P24" s="4" t="str">
        <f t="shared" si="11"/>
        <v>SEMGDLLAFRFYAFNPILDPWVFILF</v>
      </c>
      <c r="Q24" s="4" t="str">
        <f t="shared" si="12"/>
        <v>RKAVFQRLKLWVCC</v>
      </c>
      <c r="R24" s="5">
        <f>VLOOKUP($A24,'SegEnds_NonXtal_Prot#'!$A:$AL,3,FALSE)</f>
        <v>14</v>
      </c>
      <c r="S24" s="5" t="str">
        <f>VLOOKUP($A24,'SegEnds_NonXtal_Prot#'!$A:$AL,6,FALSE)</f>
        <v>-</v>
      </c>
      <c r="T24" s="5">
        <f>VLOOKUP($A24,'SegEnds_NonXtal_Prot#'!$A:$AL,9,FALSE)</f>
        <v>47</v>
      </c>
      <c r="U24" s="5" t="str">
        <f>VLOOKUP($A24,'SegEnds_NonXtal_Prot#'!$A:$AL,12,FALSE)</f>
        <v>-</v>
      </c>
      <c r="V24" s="5">
        <f>VLOOKUP($A24,'SegEnds_NonXtal_Prot#'!$A:$AL,15,FALSE)</f>
        <v>85</v>
      </c>
      <c r="W24" s="5">
        <f>VLOOKUP($A24,'SegEnds_NonXtal_Prot#'!$A:$AL,18,FALSE)</f>
        <v>124</v>
      </c>
      <c r="X24" s="5">
        <f>VLOOKUP($A24,'SegEnds_NonXtal_Prot#'!$A:$AL,21,FALSE)</f>
        <v>132</v>
      </c>
      <c r="Y24" s="5">
        <f>VLOOKUP($A24,'SegEnds_NonXtal_Prot#'!$A:$AL,24,FALSE)</f>
        <v>170</v>
      </c>
      <c r="Z24" s="5">
        <f>VLOOKUP($A24,'SegEnds_NonXtal_Prot#'!$A:$AL,27,FALSE)</f>
        <v>180</v>
      </c>
      <c r="AA24" s="5">
        <f>VLOOKUP($A24,'SegEnds_NonXtal_Prot#'!$A:$AL,30,FALSE)</f>
        <v>226</v>
      </c>
      <c r="AB24" s="5">
        <f>VLOOKUP($A24,'SegEnds_NonXtal_Prot#'!$A:$AL,33,FALSE)</f>
        <v>270</v>
      </c>
      <c r="AC24" s="5">
        <f>VLOOKUP($A24,'SegEnds_NonXtal_Prot#'!$A:$AL,36,FALSE)</f>
        <v>296</v>
      </c>
      <c r="AD24" s="5">
        <f>VLOOKUP($A24,'SegEnds_NonXtal_Prot#'!$A:$AL,5,FALSE)</f>
        <v>39</v>
      </c>
      <c r="AE24" s="5" t="str">
        <f>VLOOKUP($A24,'SegEnds_NonXtal_Prot#'!$A:$AL,8,FALSE)</f>
        <v>-</v>
      </c>
      <c r="AF24" s="5">
        <f>VLOOKUP($A24,'SegEnds_NonXtal_Prot#'!$A:$AL,11,FALSE)</f>
        <v>77</v>
      </c>
      <c r="AG24" s="5" t="str">
        <f>VLOOKUP($A24,'SegEnds_NonXtal_Prot#'!$A:$AL,14,FALSE)</f>
        <v>-</v>
      </c>
      <c r="AH24" s="5">
        <f>VLOOKUP($A24,'SegEnds_NonXtal_Prot#'!$A:$AL,17,FALSE)</f>
        <v>123</v>
      </c>
      <c r="AI24" s="5">
        <f>VLOOKUP($A24,'SegEnds_NonXtal_Prot#'!$A:$AL,20,FALSE)</f>
        <v>131</v>
      </c>
      <c r="AJ24" s="5">
        <f>VLOOKUP($A24,'SegEnds_NonXtal_Prot#'!$A:$AL,23,FALSE)</f>
        <v>157</v>
      </c>
      <c r="AK24" s="5">
        <f>VLOOKUP($A24,'SegEnds_NonXtal_Prot#'!$A:$AL,26,FALSE)</f>
        <v>172</v>
      </c>
      <c r="AL24" s="5">
        <f>VLOOKUP($A24,'SegEnds_NonXtal_Prot#'!$A:$AL,29,FALSE)</f>
        <v>220</v>
      </c>
      <c r="AM24" s="5">
        <f>VLOOKUP($A24,'SegEnds_NonXtal_Prot#'!$A:$AL,32,FALSE)</f>
        <v>265</v>
      </c>
      <c r="AN24" s="5">
        <f>VLOOKUP($A24,'SegEnds_NonXtal_Prot#'!$A:$AL,35,FALSE)</f>
        <v>295</v>
      </c>
      <c r="AO24" s="5">
        <f>VLOOKUP($A24,'SegEnds_NonXtal_Prot#'!$A:$AL,38,FALSE)</f>
        <v>309</v>
      </c>
      <c r="AP24" s="5">
        <f t="shared" si="13"/>
        <v>25</v>
      </c>
      <c r="AQ24" s="4" t="str">
        <f t="shared" si="14"/>
        <v>-</v>
      </c>
      <c r="AR24" s="4">
        <f t="shared" si="15"/>
        <v>30</v>
      </c>
      <c r="AS24" s="4" t="str">
        <f t="shared" si="16"/>
        <v>-</v>
      </c>
      <c r="AT24" s="4">
        <f t="shared" si="17"/>
        <v>38</v>
      </c>
      <c r="AU24" s="4">
        <f t="shared" si="18"/>
        <v>7</v>
      </c>
      <c r="AV24" s="4">
        <f t="shared" si="19"/>
        <v>25</v>
      </c>
      <c r="AW24" s="4">
        <f t="shared" si="20"/>
        <v>2</v>
      </c>
      <c r="AX24" s="4">
        <f t="shared" si="21"/>
        <v>40</v>
      </c>
      <c r="AY24" s="4">
        <f t="shared" si="22"/>
        <v>39</v>
      </c>
      <c r="AZ24" s="4">
        <f t="shared" si="23"/>
        <v>25</v>
      </c>
      <c r="BA24" s="4">
        <f t="shared" si="24"/>
        <v>13</v>
      </c>
    </row>
    <row r="25" spans="1:53" x14ac:dyDescent="0.2">
      <c r="A25" s="1" t="str">
        <f>'SegEnds_NonXtal_Prot#'!A247</f>
        <v>taar9_human</v>
      </c>
      <c r="B25" s="1" t="str">
        <f t="shared" si="0"/>
        <v>SPGPRSILYAVLGFGAVLAAFGNLLVMIAILHFTPTNFLIASLACADFLVGVTVMPFSTVRSVESGDSYCKFHTCFDTSFCFASLFHLCCISVDRYIAVTDTVSVSGICIVLSWFFSVTYSFSIFYTLNQNWVLLCFLLFFIPNVAMVFIYSKIFLVAKHQARKIESSYKERVAKRERKAAKTLGIAMAAFLVSWLPYLVDAVIDAYMPPYVYEILVWCVYYNSAMNPLIYAFFYQWFGKAIKLIV</v>
      </c>
      <c r="C25" s="29" t="str">
        <f>IF(ISERROR(MATCH(A25,'SegEnds_Xtal_Prot#'!B:B, 0)), "NoXtal", "Xtal")</f>
        <v>NoXtal</v>
      </c>
      <c r="D25" s="4" t="str">
        <f>VLOOKUP(A25,Classification!A:D,2,FALSE)</f>
        <v>A</v>
      </c>
      <c r="E25" s="5" t="str">
        <f>VLOOKUP(A25,Seqs!A:B,2,FALSE)</f>
        <v>MVNNFSQAEAVELCYKNVNESCIKTPYSPGPRSILYAVLGFGAVLAAFGNLLVMIAILHFKQLHTPTNFLIASLACADFLVGVTVMPFSTVRSVESCWYFGDSYCKFHTCFDTSFCFASLFHLCCISVDRYIAVTDPLTYPTKFTVSVSGICIVLSWFFSVTYSFSIFYTGANEEGIEELVVALTCVGGCQAPLNQNWVLLCFLLFFIPNVAMVFIYSKIFLVAKHQARKIESTASQAQSSSESYKERVAKRERKAAKTLGIAMAAFLVSWLPYLVDAVIDAYMNFITPPYVYEILVWCVYYNSAMNPLIYAFFYQWFGKAIKLIVSGKVLRTDSSTTNLFSEEVETD</v>
      </c>
      <c r="F25" s="5" t="str">
        <f t="shared" si="1"/>
        <v>SPGPRSILYAVLGFGAVLAAFGNLLVMIAILHF</v>
      </c>
      <c r="G25" s="4" t="str">
        <f t="shared" si="2"/>
        <v>KQLH</v>
      </c>
      <c r="H25" s="4" t="str">
        <f t="shared" si="3"/>
        <v>TPTNFLIASLACADFLVGVTVMPFSTVRSVES</v>
      </c>
      <c r="I25" s="4" t="str">
        <f t="shared" si="4"/>
        <v>CWYF</v>
      </c>
      <c r="J25" s="4" t="str">
        <f t="shared" si="5"/>
        <v>GDSYCKFHTCFDTSFCFASLFHLCCISVDRYIAVTD</v>
      </c>
      <c r="K25" s="4" t="str">
        <f t="shared" si="6"/>
        <v>PLTYPTKF</v>
      </c>
      <c r="L25" s="4" t="str">
        <f t="shared" si="7"/>
        <v>TVSVSGICIVLSWFFSVTYSFSIFYT</v>
      </c>
      <c r="M25" s="4" t="str">
        <f t="shared" si="8"/>
        <v>CQA</v>
      </c>
      <c r="N25" s="4" t="str">
        <f t="shared" si="9"/>
        <v>LNQNWVLLCFLLFFIPNVAMVFIYSKIFLVAKHQARKIES</v>
      </c>
      <c r="O25" s="4" t="str">
        <f t="shared" si="10"/>
        <v>SYKERVAKRERKAAKTLGIAMAAFLVSWLPYLVDAVIDAYM</v>
      </c>
      <c r="P25" s="4" t="str">
        <f t="shared" si="11"/>
        <v>PPYVYEILVWCVYYNSAMNPLIYAFF</v>
      </c>
      <c r="Q25" s="4" t="str">
        <f t="shared" si="12"/>
        <v>YQWFGKAIKLIV</v>
      </c>
      <c r="R25" s="5">
        <f>VLOOKUP($A25,'SegEnds_NonXtal_Prot#'!$A:$AL,3,FALSE)</f>
        <v>28</v>
      </c>
      <c r="S25" s="5">
        <f>VLOOKUP($A25,'SegEnds_NonXtal_Prot#'!$A:$AL,6,FALSE)</f>
        <v>61</v>
      </c>
      <c r="T25" s="5">
        <f>VLOOKUP($A25,'SegEnds_NonXtal_Prot#'!$A:$AL,9,FALSE)</f>
        <v>65</v>
      </c>
      <c r="U25" s="5">
        <f>VLOOKUP($A25,'SegEnds_NonXtal_Prot#'!$A:$AL,12,FALSE)</f>
        <v>97</v>
      </c>
      <c r="V25" s="5">
        <f>VLOOKUP($A25,'SegEnds_NonXtal_Prot#'!$A:$AL,15,FALSE)</f>
        <v>101</v>
      </c>
      <c r="W25" s="5">
        <f>VLOOKUP($A25,'SegEnds_NonXtal_Prot#'!$A:$AL,18,FALSE)</f>
        <v>137</v>
      </c>
      <c r="X25" s="5">
        <f>VLOOKUP($A25,'SegEnds_NonXtal_Prot#'!$A:$AL,21,FALSE)</f>
        <v>145</v>
      </c>
      <c r="Y25" s="5">
        <f>VLOOKUP($A25,'SegEnds_NonXtal_Prot#'!$A:$AL,24,FALSE)</f>
        <v>190</v>
      </c>
      <c r="Z25" s="5">
        <f>VLOOKUP($A25,'SegEnds_NonXtal_Prot#'!$A:$AL,27,FALSE)</f>
        <v>194</v>
      </c>
      <c r="AA25" s="5">
        <f>VLOOKUP($A25,'SegEnds_NonXtal_Prot#'!$A:$AL,30,FALSE)</f>
        <v>244</v>
      </c>
      <c r="AB25" s="5">
        <f>VLOOKUP($A25,'SegEnds_NonXtal_Prot#'!$A:$AL,33,FALSE)</f>
        <v>289</v>
      </c>
      <c r="AC25" s="5">
        <f>VLOOKUP($A25,'SegEnds_NonXtal_Prot#'!$A:$AL,36,FALSE)</f>
        <v>315</v>
      </c>
      <c r="AD25" s="5">
        <f>VLOOKUP($A25,'SegEnds_NonXtal_Prot#'!$A:$AL,5,FALSE)</f>
        <v>60</v>
      </c>
      <c r="AE25" s="5">
        <f>VLOOKUP($A25,'SegEnds_NonXtal_Prot#'!$A:$AL,8,FALSE)</f>
        <v>64</v>
      </c>
      <c r="AF25" s="5">
        <f>VLOOKUP($A25,'SegEnds_NonXtal_Prot#'!$A:$AL,11,FALSE)</f>
        <v>96</v>
      </c>
      <c r="AG25" s="5">
        <f>VLOOKUP($A25,'SegEnds_NonXtal_Prot#'!$A:$AL,14,FALSE)</f>
        <v>100</v>
      </c>
      <c r="AH25" s="5">
        <f>VLOOKUP($A25,'SegEnds_NonXtal_Prot#'!$A:$AL,17,FALSE)</f>
        <v>136</v>
      </c>
      <c r="AI25" s="5">
        <f>VLOOKUP($A25,'SegEnds_NonXtal_Prot#'!$A:$AL,20,FALSE)</f>
        <v>144</v>
      </c>
      <c r="AJ25" s="5">
        <f>VLOOKUP($A25,'SegEnds_NonXtal_Prot#'!$A:$AL,23,FALSE)</f>
        <v>170</v>
      </c>
      <c r="AK25" s="5">
        <f>VLOOKUP($A25,'SegEnds_NonXtal_Prot#'!$A:$AL,26,FALSE)</f>
        <v>192</v>
      </c>
      <c r="AL25" s="5">
        <f>VLOOKUP($A25,'SegEnds_NonXtal_Prot#'!$A:$AL,29,FALSE)</f>
        <v>233</v>
      </c>
      <c r="AM25" s="5">
        <f>VLOOKUP($A25,'SegEnds_NonXtal_Prot#'!$A:$AL,32,FALSE)</f>
        <v>284</v>
      </c>
      <c r="AN25" s="5">
        <f>VLOOKUP($A25,'SegEnds_NonXtal_Prot#'!$A:$AL,35,FALSE)</f>
        <v>314</v>
      </c>
      <c r="AO25" s="5">
        <f>VLOOKUP($A25,'SegEnds_NonXtal_Prot#'!$A:$AL,38,FALSE)</f>
        <v>326</v>
      </c>
      <c r="AP25" s="5">
        <f t="shared" si="13"/>
        <v>32</v>
      </c>
      <c r="AQ25" s="4">
        <f t="shared" si="14"/>
        <v>3</v>
      </c>
      <c r="AR25" s="4">
        <f t="shared" si="15"/>
        <v>31</v>
      </c>
      <c r="AS25" s="4">
        <f t="shared" si="16"/>
        <v>3</v>
      </c>
      <c r="AT25" s="4">
        <f t="shared" si="17"/>
        <v>35</v>
      </c>
      <c r="AU25" s="4">
        <f t="shared" si="18"/>
        <v>7</v>
      </c>
      <c r="AV25" s="4">
        <f t="shared" si="19"/>
        <v>25</v>
      </c>
      <c r="AW25" s="4">
        <f t="shared" si="20"/>
        <v>2</v>
      </c>
      <c r="AX25" s="4">
        <f t="shared" si="21"/>
        <v>39</v>
      </c>
      <c r="AY25" s="4">
        <f t="shared" si="22"/>
        <v>40</v>
      </c>
      <c r="AZ25" s="4">
        <f t="shared" si="23"/>
        <v>25</v>
      </c>
      <c r="BA25" s="4">
        <f t="shared" si="24"/>
        <v>11</v>
      </c>
    </row>
    <row r="26" spans="1:53" x14ac:dyDescent="0.2">
      <c r="A26" s="1" t="str">
        <f>'SegEnds_NonXtal_Prot#'!A253</f>
        <v>drd2_human</v>
      </c>
      <c r="B26" s="1" t="str">
        <f t="shared" si="0"/>
        <v>RPHYNYYATLLTLLIAVIVFGNVLVCMAVSRETTTNYLIVSLAVADLLVATLVMPWVVYLEVVGSRIHCDIFVTLDVMMCTASILNLCAISIDRYTAVAMSKRRVTVMISIVWVLSFTISCPLLFNPAFVVYSSIVSFYVPFIVTLLVYIKIYIVLRRRRKRVNTKKLSQQKEKKATQMLAIVLGVFIICWLPFFITHILNIHCPPVLYSAFTWLGYVNSAVNPIIYTTFNIEFRKAFLKILH</v>
      </c>
      <c r="C26" s="29" t="str">
        <f>IF(ISERROR(MATCH(A26,'SegEnds_Xtal_Prot#'!B:B, 0)), "NoXtal", "Xtal")</f>
        <v>Xtal</v>
      </c>
      <c r="D26" s="4" t="str">
        <f>VLOOKUP(A26,Classification!A:D,2,FALSE)</f>
        <v>A</v>
      </c>
      <c r="E26" s="5" t="str">
        <f>VLOOKUP(A26,Seqs!A:B,2,FALSE)</f>
        <v>MDPLNLSWYDDDLERQNWSRPFNGSDGKADRPHYNYYATLLTLLIAVIVFGNVLVCMAVSREKALQTTTNYLIVSLAVADLLVATLVMPWVVYLEVVGEWKFSRIHCDIFVTLDVMMCTASILNLCAISIDRYTAVAMPMLYNTRYSSKRRVTVMISIVWVLSFTISCPLLFGLNNADQNECIIANPAFVVYSSIVSFYVPFIVTLLVYIKIYIVLRRRRKRVNTKRSSRAFRAHLRAPLKGNCTHPEDMKLCTVIMKSNGSFPVNRRRVEAARRAQELEMEMLSSTSPPERTRYSPIPPSHHQLTLPDPSHHGLHSTPDSPAKPEKNGHAKDHPKIAKIFEIQTMPNGKTRTSLKTMSRRKLSQQKEKKATQMLAIVLGVFIICWLPFFITHILNIHCDCNIPPVLYSAFTWLGYVNSAVNPIIYTTFNIEFRKAFLKILHC</v>
      </c>
      <c r="F26" s="5" t="str">
        <f t="shared" si="1"/>
        <v>RPHYNYYATLLTLLIAVIVFGNVLVCMAVSRE</v>
      </c>
      <c r="G26" s="4" t="str">
        <f t="shared" si="2"/>
        <v>KALQ</v>
      </c>
      <c r="H26" s="4" t="str">
        <f t="shared" si="3"/>
        <v>TTTNYLIVSLAVADLLVATLVMPWVVYLEVVG</v>
      </c>
      <c r="I26" s="4" t="str">
        <f t="shared" si="4"/>
        <v>EWKF</v>
      </c>
      <c r="J26" s="4" t="str">
        <f t="shared" si="5"/>
        <v>SRIHCDIFVTLDVMMCTASILNLCAISIDRYTAVAM</v>
      </c>
      <c r="K26" s="4" t="str">
        <f t="shared" si="6"/>
        <v>PMLYNTRYS</v>
      </c>
      <c r="L26" s="4" t="str">
        <f t="shared" si="7"/>
        <v>SKRRVTVMISIVWVLSFTISCPLLF</v>
      </c>
      <c r="M26" s="4" t="str">
        <f t="shared" si="8"/>
        <v>CII</v>
      </c>
      <c r="N26" s="4" t="str">
        <f t="shared" si="9"/>
        <v>NPAFVVYSSIVSFYVPFIVTLLVYIKIYIVLRRRRKRVNTK</v>
      </c>
      <c r="O26" s="4" t="str">
        <f t="shared" si="10"/>
        <v>KLSQQKEKKATQMLAIVLGVFIICWLPFFITHILNIHC</v>
      </c>
      <c r="P26" s="4" t="str">
        <f t="shared" si="11"/>
        <v>PPVLYSAFTWLGYVNSAVNPIIYTTF</v>
      </c>
      <c r="Q26" s="4" t="str">
        <f t="shared" si="12"/>
        <v>NIEFRKAFLKILH</v>
      </c>
      <c r="R26" s="5">
        <f>VLOOKUP($A26,'SegEnds_NonXtal_Prot#'!$A:$AL,3,FALSE)</f>
        <v>31</v>
      </c>
      <c r="S26" s="5">
        <f>VLOOKUP($A26,'SegEnds_NonXtal_Prot#'!$A:$AL,6,FALSE)</f>
        <v>63</v>
      </c>
      <c r="T26" s="5">
        <f>VLOOKUP($A26,'SegEnds_NonXtal_Prot#'!$A:$AL,9,FALSE)</f>
        <v>67</v>
      </c>
      <c r="U26" s="5">
        <f>VLOOKUP($A26,'SegEnds_NonXtal_Prot#'!$A:$AL,12,FALSE)</f>
        <v>99</v>
      </c>
      <c r="V26" s="5">
        <f>VLOOKUP($A26,'SegEnds_NonXtal_Prot#'!$A:$AL,15,FALSE)</f>
        <v>103</v>
      </c>
      <c r="W26" s="5">
        <f>VLOOKUP($A26,'SegEnds_NonXtal_Prot#'!$A:$AL,18,FALSE)</f>
        <v>139</v>
      </c>
      <c r="X26" s="5">
        <f>VLOOKUP($A26,'SegEnds_NonXtal_Prot#'!$A:$AL,21,FALSE)</f>
        <v>148</v>
      </c>
      <c r="Y26" s="5">
        <f>VLOOKUP($A26,'SegEnds_NonXtal_Prot#'!$A:$AL,24,FALSE)</f>
        <v>182</v>
      </c>
      <c r="Z26" s="5">
        <f>VLOOKUP($A26,'SegEnds_NonXtal_Prot#'!$A:$AL,27,FALSE)</f>
        <v>186</v>
      </c>
      <c r="AA26" s="5">
        <f>VLOOKUP($A26,'SegEnds_NonXtal_Prot#'!$A:$AL,30,FALSE)</f>
        <v>362</v>
      </c>
      <c r="AB26" s="5">
        <f>VLOOKUP($A26,'SegEnds_NonXtal_Prot#'!$A:$AL,33,FALSE)</f>
        <v>404</v>
      </c>
      <c r="AC26" s="5">
        <f>VLOOKUP($A26,'SegEnds_NonXtal_Prot#'!$A:$AL,36,FALSE)</f>
        <v>430</v>
      </c>
      <c r="AD26" s="5">
        <f>VLOOKUP($A26,'SegEnds_NonXtal_Prot#'!$A:$AL,5,FALSE)</f>
        <v>62</v>
      </c>
      <c r="AE26" s="5">
        <f>VLOOKUP($A26,'SegEnds_NonXtal_Prot#'!$A:$AL,8,FALSE)</f>
        <v>66</v>
      </c>
      <c r="AF26" s="5">
        <f>VLOOKUP($A26,'SegEnds_NonXtal_Prot#'!$A:$AL,11,FALSE)</f>
        <v>98</v>
      </c>
      <c r="AG26" s="5">
        <f>VLOOKUP($A26,'SegEnds_NonXtal_Prot#'!$A:$AL,14,FALSE)</f>
        <v>102</v>
      </c>
      <c r="AH26" s="5">
        <f>VLOOKUP($A26,'SegEnds_NonXtal_Prot#'!$A:$AL,17,FALSE)</f>
        <v>138</v>
      </c>
      <c r="AI26" s="5">
        <f>VLOOKUP($A26,'SegEnds_NonXtal_Prot#'!$A:$AL,20,FALSE)</f>
        <v>147</v>
      </c>
      <c r="AJ26" s="5">
        <f>VLOOKUP($A26,'SegEnds_NonXtal_Prot#'!$A:$AL,23,FALSE)</f>
        <v>172</v>
      </c>
      <c r="AK26" s="5">
        <f>VLOOKUP($A26,'SegEnds_NonXtal_Prot#'!$A:$AL,26,FALSE)</f>
        <v>184</v>
      </c>
      <c r="AL26" s="5">
        <f>VLOOKUP($A26,'SegEnds_NonXtal_Prot#'!$A:$AL,29,FALSE)</f>
        <v>226</v>
      </c>
      <c r="AM26" s="5">
        <f>VLOOKUP($A26,'SegEnds_NonXtal_Prot#'!$A:$AL,32,FALSE)</f>
        <v>399</v>
      </c>
      <c r="AN26" s="5">
        <f>VLOOKUP($A26,'SegEnds_NonXtal_Prot#'!$A:$AL,35,FALSE)</f>
        <v>429</v>
      </c>
      <c r="AO26" s="5">
        <f>VLOOKUP($A26,'SegEnds_NonXtal_Prot#'!$A:$AL,38,FALSE)</f>
        <v>442</v>
      </c>
      <c r="AP26" s="5">
        <f t="shared" si="13"/>
        <v>31</v>
      </c>
      <c r="AQ26" s="4">
        <f t="shared" si="14"/>
        <v>3</v>
      </c>
      <c r="AR26" s="4">
        <f t="shared" si="15"/>
        <v>31</v>
      </c>
      <c r="AS26" s="4">
        <f t="shared" si="16"/>
        <v>3</v>
      </c>
      <c r="AT26" s="4">
        <f t="shared" si="17"/>
        <v>35</v>
      </c>
      <c r="AU26" s="4">
        <f t="shared" si="18"/>
        <v>8</v>
      </c>
      <c r="AV26" s="4">
        <f t="shared" si="19"/>
        <v>24</v>
      </c>
      <c r="AW26" s="4">
        <f t="shared" si="20"/>
        <v>2</v>
      </c>
      <c r="AX26" s="4">
        <f t="shared" si="21"/>
        <v>40</v>
      </c>
      <c r="AY26" s="4">
        <f t="shared" si="22"/>
        <v>37</v>
      </c>
      <c r="AZ26" s="4">
        <f t="shared" si="23"/>
        <v>25</v>
      </c>
      <c r="BA26" s="4">
        <f t="shared" si="24"/>
        <v>12</v>
      </c>
    </row>
    <row r="27" spans="1:53" x14ac:dyDescent="0.2">
      <c r="A27" s="1" t="str">
        <f>'SegEnds_NonXtal_Prot#'!A264</f>
        <v>ackr3_human</v>
      </c>
      <c r="B27" s="1" t="str">
        <f t="shared" si="0"/>
        <v>KSVLLYTLSFIYIFIFVIGMIANSVVVWVNIQAYDTHCYILNLAIADLWVVLTIPVWVVSLVQGELTCKVTHLIFSINLFGSIFFLTCMSVDRYLSITYKKMVRRVVCILVWLLAFCVSLPDTYYLWLIGMELVSVVLGFAVPFSIIAVFYFLLARAISASKHSSRKIIFSYVVVFLVCWLPYHVAVLLDIFSILHTCRLEHALFTALHVTQCLSLVHCCVNPVLYSFINRNYRYELMKAFIFK</v>
      </c>
      <c r="C27" s="29" t="str">
        <f>IF(ISERROR(MATCH(A27,'SegEnds_Xtal_Prot#'!B:B, 0)), "NoXtal", "Xtal")</f>
        <v>NoXtal</v>
      </c>
      <c r="D27" s="4" t="str">
        <f>VLOOKUP(A27,Classification!A:D,2,FALSE)</f>
        <v>A</v>
      </c>
      <c r="E27" s="5" t="str">
        <f>VLOOKUP(A27,Seqs!A:B,2,FALSE)</f>
        <v>MDLHLFDYSEPGNFSDISWPCNSSDCIVVDTVMCPNMPNKSVLLYTLSFIYIFIFVIGMIANSVVVWVNIQAKTTGYDTHCYILNLAIADLWVVLTIPVWVVSLVQHNQWPMGELTCKVTHLIFSINLFGSIFFLTCMSVDRYLSITYFTNTPSSRKKMVRRVVCILVWLLAFCVSLPDTYYLKTVTSASNNETYCRSFYPEHSIKEWLIGMELVSVVLGFAVPFSIIAVFYFLLARAISASSDQEKHSSRKIIFSYVVVFLVCWLPYHVAVLLDIFSILHYIPFTCRLEHALFTALHVTQCLSLVHCCVNPVLYSFINRNYRYELMKAFIFKYSAKTGLTKLIDASRVSETEYSALEQSTK</v>
      </c>
      <c r="F27" s="5" t="str">
        <f t="shared" si="1"/>
        <v>KSVLLYTLSFIYIFIFVIGMIANSVVVWVNIQA</v>
      </c>
      <c r="G27" s="4" t="str">
        <f t="shared" si="2"/>
        <v>KTTG</v>
      </c>
      <c r="H27" s="4" t="str">
        <f t="shared" si="3"/>
        <v>YDTHCYILNLAIADLWVVLTIPVWVVSLVQ</v>
      </c>
      <c r="I27" s="4" t="str">
        <f t="shared" si="4"/>
        <v>QWPM</v>
      </c>
      <c r="J27" s="4" t="str">
        <f t="shared" si="5"/>
        <v>GELTCKVTHLIFSINLFGSIFFLTCMSVDRYLSITY</v>
      </c>
      <c r="K27" s="4" t="str">
        <f t="shared" si="6"/>
        <v/>
      </c>
      <c r="L27" s="4" t="str">
        <f t="shared" si="7"/>
        <v>KKMVRRVVCILVWLLAFCVSLPDTYYL</v>
      </c>
      <c r="M27" s="4" t="str">
        <f t="shared" si="8"/>
        <v>CRS</v>
      </c>
      <c r="N27" s="4" t="str">
        <f t="shared" si="9"/>
        <v>WLIGMELVSVVLGFAVPFSIIAVFYFLLARAISAS</v>
      </c>
      <c r="O27" s="4" t="str">
        <f t="shared" si="10"/>
        <v>KHSSRKIIFSYVVVFLVCWLPYHVAVLLDIFSILH</v>
      </c>
      <c r="P27" s="4" t="str">
        <f t="shared" si="11"/>
        <v>TCRLEHALFTALHVTQCLSLVHCCVNPVLYSFI</v>
      </c>
      <c r="Q27" s="4" t="str">
        <f t="shared" si="12"/>
        <v>NRNYRYELMKAFIFK</v>
      </c>
      <c r="R27" s="5">
        <f>VLOOKUP($A27,'SegEnds_NonXtal_Prot#'!$A:$AL,3,FALSE)</f>
        <v>40</v>
      </c>
      <c r="S27" s="5">
        <f>VLOOKUP($A27,'SegEnds_NonXtal_Prot#'!$A:$AL,6,FALSE)</f>
        <v>73</v>
      </c>
      <c r="T27" s="5">
        <f>VLOOKUP($A27,'SegEnds_NonXtal_Prot#'!$A:$AL,9,FALSE)</f>
        <v>77</v>
      </c>
      <c r="U27" s="5">
        <f>VLOOKUP($A27,'SegEnds_NonXtal_Prot#'!$A:$AL,12,FALSE)</f>
        <v>109</v>
      </c>
      <c r="V27" s="5">
        <f>VLOOKUP($A27,'SegEnds_NonXtal_Prot#'!$A:$AL,15,FALSE)</f>
        <v>113</v>
      </c>
      <c r="W27" s="5" t="str">
        <f>VLOOKUP($A27,'SegEnds_NonXtal_Prot#'!$A:$AL,18,FALSE)</f>
        <v>-</v>
      </c>
      <c r="X27" s="5">
        <f>VLOOKUP($A27,'SegEnds_NonXtal_Prot#'!$A:$AL,21,FALSE)</f>
        <v>157</v>
      </c>
      <c r="Y27" s="5">
        <f>VLOOKUP($A27,'SegEnds_NonXtal_Prot#'!$A:$AL,24,FALSE)</f>
        <v>196</v>
      </c>
      <c r="Z27" s="5">
        <f>VLOOKUP($A27,'SegEnds_NonXtal_Prot#'!$A:$AL,27,FALSE)</f>
        <v>208</v>
      </c>
      <c r="AA27" s="5">
        <f>VLOOKUP($A27,'SegEnds_NonXtal_Prot#'!$A:$AL,30,FALSE)</f>
        <v>247</v>
      </c>
      <c r="AB27" s="5">
        <f>VLOOKUP($A27,'SegEnds_NonXtal_Prot#'!$A:$AL,33,FALSE)</f>
        <v>286</v>
      </c>
      <c r="AC27" s="5">
        <f>VLOOKUP($A27,'SegEnds_NonXtal_Prot#'!$A:$AL,36,FALSE)</f>
        <v>319</v>
      </c>
      <c r="AD27" s="5">
        <f>VLOOKUP($A27,'SegEnds_NonXtal_Prot#'!$A:$AL,5,FALSE)</f>
        <v>72</v>
      </c>
      <c r="AE27" s="5">
        <f>VLOOKUP($A27,'SegEnds_NonXtal_Prot#'!$A:$AL,8,FALSE)</f>
        <v>76</v>
      </c>
      <c r="AF27" s="5">
        <f>VLOOKUP($A27,'SegEnds_NonXtal_Prot#'!$A:$AL,11,FALSE)</f>
        <v>106</v>
      </c>
      <c r="AG27" s="5">
        <f>VLOOKUP($A27,'SegEnds_NonXtal_Prot#'!$A:$AL,14,FALSE)</f>
        <v>112</v>
      </c>
      <c r="AH27" s="5">
        <f>VLOOKUP($A27,'SegEnds_NonXtal_Prot#'!$A:$AL,17,FALSE)</f>
        <v>148</v>
      </c>
      <c r="AI27" s="5" t="str">
        <f>VLOOKUP($A27,'SegEnds_NonXtal_Prot#'!$A:$AL,20,FALSE)</f>
        <v>-</v>
      </c>
      <c r="AJ27" s="5">
        <f>VLOOKUP($A27,'SegEnds_NonXtal_Prot#'!$A:$AL,23,FALSE)</f>
        <v>183</v>
      </c>
      <c r="AK27" s="5">
        <f>VLOOKUP($A27,'SegEnds_NonXtal_Prot#'!$A:$AL,26,FALSE)</f>
        <v>198</v>
      </c>
      <c r="AL27" s="5">
        <f>VLOOKUP($A27,'SegEnds_NonXtal_Prot#'!$A:$AL,29,FALSE)</f>
        <v>242</v>
      </c>
      <c r="AM27" s="5">
        <f>VLOOKUP($A27,'SegEnds_NonXtal_Prot#'!$A:$AL,32,FALSE)</f>
        <v>281</v>
      </c>
      <c r="AN27" s="5">
        <f>VLOOKUP($A27,'SegEnds_NonXtal_Prot#'!$A:$AL,35,FALSE)</f>
        <v>318</v>
      </c>
      <c r="AO27" s="5">
        <f>VLOOKUP($A27,'SegEnds_NonXtal_Prot#'!$A:$AL,38,FALSE)</f>
        <v>333</v>
      </c>
      <c r="AP27" s="5">
        <f t="shared" si="13"/>
        <v>32</v>
      </c>
      <c r="AQ27" s="4">
        <f t="shared" si="14"/>
        <v>3</v>
      </c>
      <c r="AR27" s="4">
        <f t="shared" si="15"/>
        <v>29</v>
      </c>
      <c r="AS27" s="4">
        <f t="shared" si="16"/>
        <v>3</v>
      </c>
      <c r="AT27" s="4">
        <f t="shared" si="17"/>
        <v>35</v>
      </c>
      <c r="AU27" s="4" t="str">
        <f t="shared" si="18"/>
        <v>-</v>
      </c>
      <c r="AV27" s="4">
        <f t="shared" si="19"/>
        <v>26</v>
      </c>
      <c r="AW27" s="4">
        <f t="shared" si="20"/>
        <v>2</v>
      </c>
      <c r="AX27" s="4">
        <f t="shared" si="21"/>
        <v>34</v>
      </c>
      <c r="AY27" s="4">
        <f t="shared" si="22"/>
        <v>34</v>
      </c>
      <c r="AZ27" s="4">
        <f t="shared" si="23"/>
        <v>32</v>
      </c>
      <c r="BA27" s="4">
        <f t="shared" si="24"/>
        <v>14</v>
      </c>
    </row>
    <row r="28" spans="1:53" x14ac:dyDescent="0.2">
      <c r="A28" s="1" t="str">
        <f>'SegEnds_NonXtal_Prot#'!A278</f>
        <v>gpr75_human</v>
      </c>
      <c r="B28" s="1" t="str">
        <f t="shared" si="0"/>
        <v>TATLVTCTFLLAVIFCLGSYGNFIVFLSFFDPTNFDFMILNLSFCDLFICGVTAPMFTFVLFFSSIPDAFCFTFHLTSSGFIIMSLKTVAVIALHRLRMVLGSFPCTVLLTLLLWATSFTLATLATLKGKAILSLYVVDFTFCVAVVSVSYIMIAQTLRKNAQVRKCPPNLSTAKDSKAVVTCVIIVLSVLVCCLPLGISLVQVVLSLYQFELFGFTLIFFKSGLNPFIYSRNSAGLRRKVLWCLQ</v>
      </c>
      <c r="C28" s="29" t="str">
        <f>IF(ISERROR(MATCH(A28,'SegEnds_Xtal_Prot#'!B:B, 0)), "NoXtal", "Xtal")</f>
        <v>NoXtal</v>
      </c>
      <c r="D28" s="4" t="str">
        <f>VLOOKUP(A28,Classification!A:D,2,FALSE)</f>
        <v>A</v>
      </c>
      <c r="E28" s="5" t="str">
        <f>VLOOKUP(A28,Seqs!A:B,2,FALSE)</f>
        <v>MNSTGHLQDAPNATSLHVPHSQEGNSTSLQEGLQDLIHTATLVTCTFLLAVIFCLGSYGNFIVFLSFFDPAFRKFRTNFDFMILNLSFCDLFICGVTAPMFTFVLFFSSASSIPDAFCFTFHLTSSGFIIMSLKTVAVIALHRLRMVLGKQPNRTASFPCTVLLTLLLWATSFTLATLATLKTSKSHLCLPMSSLIAGKGKAILSLYVVDFTFCVAVVSVSYIMIAQTLRKNAQVRKCPPVITVDASRPQPFMGVPVQGGGDPIQCAMPALYRNQNYNKLQHVQTRGYTKSPNQLVTPAASRLQLVSAINLSTAKDSKAVVTCVIIVLSVLVCCLPLGISLVQVVLSSNGSFILYQFELFGFTLIFFKSGLNPFIYSRNSAGLRRKVLWCLQYIGLGFFCCKQKTRLRAMGKGNLEVNRNKSSHHETNSAYMLSPKPQKKFVDQACGPSHSKESMVSPKISAGHQHCGQSSSTPINTRIEPYYSIYNSSPSQEESSPCNLQPVNSFGFANSYIAMHYHTTNDLVQEYDSTSAKQIPVPSV</v>
      </c>
      <c r="F28" s="5" t="str">
        <f t="shared" si="1"/>
        <v>TATLVTCTFLLAVIFCLGSYGNFIVFLSFFDP</v>
      </c>
      <c r="G28" s="4" t="str">
        <f t="shared" si="2"/>
        <v>RKFR</v>
      </c>
      <c r="H28" s="4" t="str">
        <f t="shared" si="3"/>
        <v>TNFDFMILNLSFCDLFICGVTAPMFTFVLFF</v>
      </c>
      <c r="I28" s="4" t="str">
        <f t="shared" si="4"/>
        <v/>
      </c>
      <c r="J28" s="4" t="str">
        <f t="shared" si="5"/>
        <v>SSIPDAFCFTFHLTSSGFIIMSLKTVAVIALHRLRMVLG</v>
      </c>
      <c r="K28" s="4" t="str">
        <f t="shared" si="6"/>
        <v/>
      </c>
      <c r="L28" s="4" t="str">
        <f t="shared" si="7"/>
        <v>SFPCTVLLTLLLWATSFTLATLATL</v>
      </c>
      <c r="M28" s="4" t="str">
        <f t="shared" si="8"/>
        <v>CLP</v>
      </c>
      <c r="N28" s="4" t="str">
        <f t="shared" si="9"/>
        <v>KGKAILSLYVVDFTFCVAVVSVSYIMIAQTLRKNAQVRKCPP</v>
      </c>
      <c r="O28" s="4" t="str">
        <f t="shared" si="10"/>
        <v>NLSTAKDSKAVVTCVIIVLSVLVCCLPLGISLVQVVLS</v>
      </c>
      <c r="P28" s="4" t="str">
        <f t="shared" si="11"/>
        <v>LYQFELFGFTLIFFKSGLNPFIYSRN</v>
      </c>
      <c r="Q28" s="4" t="str">
        <f t="shared" si="12"/>
        <v>SAGLRRKVLWCLQ</v>
      </c>
      <c r="R28" s="5">
        <f>VLOOKUP($A28,'SegEnds_NonXtal_Prot#'!$A:$AL,3,FALSE)</f>
        <v>39</v>
      </c>
      <c r="S28" s="5">
        <f>VLOOKUP($A28,'SegEnds_NonXtal_Prot#'!$A:$AL,6,FALSE)</f>
        <v>73</v>
      </c>
      <c r="T28" s="5">
        <f>VLOOKUP($A28,'SegEnds_NonXtal_Prot#'!$A:$AL,9,FALSE)</f>
        <v>77</v>
      </c>
      <c r="U28" s="5" t="str">
        <f>VLOOKUP($A28,'SegEnds_NonXtal_Prot#'!$A:$AL,12,FALSE)</f>
        <v>-</v>
      </c>
      <c r="V28" s="5">
        <f>VLOOKUP($A28,'SegEnds_NonXtal_Prot#'!$A:$AL,15,FALSE)</f>
        <v>111</v>
      </c>
      <c r="W28" s="5" t="str">
        <f>VLOOKUP($A28,'SegEnds_NonXtal_Prot#'!$A:$AL,18,FALSE)</f>
        <v>-</v>
      </c>
      <c r="X28" s="5">
        <f>VLOOKUP($A28,'SegEnds_NonXtal_Prot#'!$A:$AL,21,FALSE)</f>
        <v>157</v>
      </c>
      <c r="Y28" s="5">
        <f>VLOOKUP($A28,'SegEnds_NonXtal_Prot#'!$A:$AL,24,FALSE)</f>
        <v>189</v>
      </c>
      <c r="Z28" s="5">
        <f>VLOOKUP($A28,'SegEnds_NonXtal_Prot#'!$A:$AL,27,FALSE)</f>
        <v>199</v>
      </c>
      <c r="AA28" s="5">
        <f>VLOOKUP($A28,'SegEnds_NonXtal_Prot#'!$A:$AL,30,FALSE)</f>
        <v>310</v>
      </c>
      <c r="AB28" s="5">
        <f>VLOOKUP($A28,'SegEnds_NonXtal_Prot#'!$A:$AL,33,FALSE)</f>
        <v>354</v>
      </c>
      <c r="AC28" s="5">
        <f>VLOOKUP($A28,'SegEnds_NonXtal_Prot#'!$A:$AL,36,FALSE)</f>
        <v>380</v>
      </c>
      <c r="AD28" s="5">
        <f>VLOOKUP($A28,'SegEnds_NonXtal_Prot#'!$A:$AL,5,FALSE)</f>
        <v>70</v>
      </c>
      <c r="AE28" s="5">
        <f>VLOOKUP($A28,'SegEnds_NonXtal_Prot#'!$A:$AL,8,FALSE)</f>
        <v>76</v>
      </c>
      <c r="AF28" s="5">
        <f>VLOOKUP($A28,'SegEnds_NonXtal_Prot#'!$A:$AL,11,FALSE)</f>
        <v>107</v>
      </c>
      <c r="AG28" s="5" t="str">
        <f>VLOOKUP($A28,'SegEnds_NonXtal_Prot#'!$A:$AL,14,FALSE)</f>
        <v>-</v>
      </c>
      <c r="AH28" s="5">
        <f>VLOOKUP($A28,'SegEnds_NonXtal_Prot#'!$A:$AL,17,FALSE)</f>
        <v>149</v>
      </c>
      <c r="AI28" s="5" t="str">
        <f>VLOOKUP($A28,'SegEnds_NonXtal_Prot#'!$A:$AL,20,FALSE)</f>
        <v>-</v>
      </c>
      <c r="AJ28" s="5">
        <f>VLOOKUP($A28,'SegEnds_NonXtal_Prot#'!$A:$AL,23,FALSE)</f>
        <v>181</v>
      </c>
      <c r="AK28" s="5">
        <f>VLOOKUP($A28,'SegEnds_NonXtal_Prot#'!$A:$AL,26,FALSE)</f>
        <v>191</v>
      </c>
      <c r="AL28" s="5">
        <f>VLOOKUP($A28,'SegEnds_NonXtal_Prot#'!$A:$AL,29,FALSE)</f>
        <v>240</v>
      </c>
      <c r="AM28" s="5">
        <f>VLOOKUP($A28,'SegEnds_NonXtal_Prot#'!$A:$AL,32,FALSE)</f>
        <v>347</v>
      </c>
      <c r="AN28" s="5">
        <f>VLOOKUP($A28,'SegEnds_NonXtal_Prot#'!$A:$AL,35,FALSE)</f>
        <v>379</v>
      </c>
      <c r="AO28" s="5">
        <f>VLOOKUP($A28,'SegEnds_NonXtal_Prot#'!$A:$AL,38,FALSE)</f>
        <v>392</v>
      </c>
      <c r="AP28" s="5">
        <f t="shared" si="13"/>
        <v>31</v>
      </c>
      <c r="AQ28" s="4">
        <f t="shared" si="14"/>
        <v>3</v>
      </c>
      <c r="AR28" s="4">
        <f t="shared" si="15"/>
        <v>30</v>
      </c>
      <c r="AS28" s="4" t="str">
        <f t="shared" si="16"/>
        <v>-</v>
      </c>
      <c r="AT28" s="4">
        <f t="shared" si="17"/>
        <v>38</v>
      </c>
      <c r="AU28" s="4" t="str">
        <f t="shared" si="18"/>
        <v>-</v>
      </c>
      <c r="AV28" s="4">
        <f t="shared" si="19"/>
        <v>24</v>
      </c>
      <c r="AW28" s="4">
        <f t="shared" si="20"/>
        <v>2</v>
      </c>
      <c r="AX28" s="4">
        <f t="shared" si="21"/>
        <v>41</v>
      </c>
      <c r="AY28" s="4">
        <f t="shared" si="22"/>
        <v>37</v>
      </c>
      <c r="AZ28" s="4">
        <f t="shared" si="23"/>
        <v>25</v>
      </c>
      <c r="BA28" s="4">
        <f t="shared" si="24"/>
        <v>12</v>
      </c>
    </row>
    <row r="29" spans="1:53" x14ac:dyDescent="0.2">
      <c r="A29" s="1" t="str">
        <f>'SegEnds_NonXtal_Prot#'!A295</f>
        <v>pkr2_human</v>
      </c>
      <c r="B29" s="1" t="str">
        <f t="shared" si="0"/>
        <v>AKIVIGIALAGIMLVCGIGNFVFIAALTRYNLTNLLIANLAISDFLVAIICCPFEMDYYVVRGHVLCASVNYLRTVSLYVSTNALLAIAIDRYLAIVHNYQTASFLIALVWMVSILIAIPSAYFALYYKSYFLFIFGVEFVGPVVTMTLCYARISRELWFKAVPGFQIRKRLRCRRKTVLVLMCILTAYVLCWAPFYGFTIVRDFFEKHYLTAFYVVECIAMSNSMINTVCFVTVNNTMKYFKKMML</v>
      </c>
      <c r="C29" s="29" t="str">
        <f>IF(ISERROR(MATCH(A29,'SegEnds_Xtal_Prot#'!B:B, 0)), "NoXtal", "Xtal")</f>
        <v>NoXtal</v>
      </c>
      <c r="D29" s="4" t="str">
        <f>VLOOKUP(A29,Classification!A:D,2,FALSE)</f>
        <v>A</v>
      </c>
      <c r="E29" s="5" t="str">
        <f>VLOOKUP(A29,Seqs!A:B,2,FALSE)</f>
        <v>MAAQNGNTSFTPNFNPPQDHASSLSFNFSYGDYDLPMDEDEDMTKTRTFFAAKIVIGIALAGIMLVCGIGNFVFIAALTRYKKLRNLTNLLIANLAISDFLVAIICCPFEMDYYVVRQLSWEHGHVLCASVNYLRTVSLYVSTNALLAIAIDRYLAIVHPLKPRMNYQTASFLIALVWMVSILIAIPSAYFATETVLFIVKSQEKIFCGQIWPVDQQLYYKSYFLFIFGVEFVGPVVTMTLCYARISRELWFKAVPGFQTEQIRKRLRCRRKTVLVLMCILTAYVLCWAPFYGFTIVRDFFPTVFVKEKHYLTAFYVVECIAMSNSMINTVCFVTVKNNTMKYFKKMMLLHWRPSQRGSKSSADLDLRTNGVPTTEEVDCIRLK</v>
      </c>
      <c r="F29" s="5" t="str">
        <f t="shared" si="1"/>
        <v>AKIVIGIALAGIMLVCGIGNFVFIAALTRY</v>
      </c>
      <c r="G29" s="4" t="str">
        <f t="shared" si="2"/>
        <v>KKLR</v>
      </c>
      <c r="H29" s="4" t="str">
        <f t="shared" si="3"/>
        <v>NLTNLLIANLAISDFLVAIICCPFEMDYYVVR</v>
      </c>
      <c r="I29" s="4" t="str">
        <f t="shared" si="4"/>
        <v>SWEH</v>
      </c>
      <c r="J29" s="4" t="str">
        <f t="shared" si="5"/>
        <v>GHVLCASVNYLRTVSLYVSTNALLAIAIDRYLAIVH</v>
      </c>
      <c r="K29" s="4" t="str">
        <f t="shared" si="6"/>
        <v/>
      </c>
      <c r="L29" s="4" t="str">
        <f t="shared" si="7"/>
        <v>NYQTASFLIALVWMVSILIAIPSAYFA</v>
      </c>
      <c r="M29" s="4" t="str">
        <f t="shared" si="8"/>
        <v>CGQ</v>
      </c>
      <c r="N29" s="4" t="str">
        <f t="shared" si="9"/>
        <v>LYYKSYFLFIFGVEFVGPVVTMTLCYARISRELWFKAVPGF</v>
      </c>
      <c r="O29" s="4" t="str">
        <f t="shared" si="10"/>
        <v>QIRKRLRCRRKTVLVLMCILTAYVLCWAPFYGFTIVRDFF</v>
      </c>
      <c r="P29" s="4" t="str">
        <f t="shared" si="11"/>
        <v>EKHYLTAFYVVECIAMSNSMINTVCFVTV</v>
      </c>
      <c r="Q29" s="4" t="str">
        <f t="shared" si="12"/>
        <v>NNTMKYFKKMML</v>
      </c>
      <c r="R29" s="5">
        <f>VLOOKUP($A29,'SegEnds_NonXtal_Prot#'!$A:$AL,3,FALSE)</f>
        <v>52</v>
      </c>
      <c r="S29" s="5">
        <f>VLOOKUP($A29,'SegEnds_NonXtal_Prot#'!$A:$AL,6,FALSE)</f>
        <v>82</v>
      </c>
      <c r="T29" s="5">
        <f>VLOOKUP($A29,'SegEnds_NonXtal_Prot#'!$A:$AL,9,FALSE)</f>
        <v>86</v>
      </c>
      <c r="U29" s="5">
        <f>VLOOKUP($A29,'SegEnds_NonXtal_Prot#'!$A:$AL,12,FALSE)</f>
        <v>120</v>
      </c>
      <c r="V29" s="5">
        <f>VLOOKUP($A29,'SegEnds_NonXtal_Prot#'!$A:$AL,15,FALSE)</f>
        <v>124</v>
      </c>
      <c r="W29" s="5" t="str">
        <f>VLOOKUP($A29,'SegEnds_NonXtal_Prot#'!$A:$AL,18,FALSE)</f>
        <v>-</v>
      </c>
      <c r="X29" s="5">
        <f>VLOOKUP($A29,'SegEnds_NonXtal_Prot#'!$A:$AL,21,FALSE)</f>
        <v>166</v>
      </c>
      <c r="Y29" s="5">
        <f>VLOOKUP($A29,'SegEnds_NonXtal_Prot#'!$A:$AL,24,FALSE)</f>
        <v>208</v>
      </c>
      <c r="Z29" s="5">
        <f>VLOOKUP($A29,'SegEnds_NonXtal_Prot#'!$A:$AL,27,FALSE)</f>
        <v>218</v>
      </c>
      <c r="AA29" s="5">
        <f>VLOOKUP($A29,'SegEnds_NonXtal_Prot#'!$A:$AL,30,FALSE)</f>
        <v>262</v>
      </c>
      <c r="AB29" s="5">
        <f>VLOOKUP($A29,'SegEnds_NonXtal_Prot#'!$A:$AL,33,FALSE)</f>
        <v>308</v>
      </c>
      <c r="AC29" s="5">
        <f>VLOOKUP($A29,'SegEnds_NonXtal_Prot#'!$A:$AL,36,FALSE)</f>
        <v>338</v>
      </c>
      <c r="AD29" s="5">
        <f>VLOOKUP($A29,'SegEnds_NonXtal_Prot#'!$A:$AL,5,FALSE)</f>
        <v>81</v>
      </c>
      <c r="AE29" s="5">
        <f>VLOOKUP($A29,'SegEnds_NonXtal_Prot#'!$A:$AL,8,FALSE)</f>
        <v>85</v>
      </c>
      <c r="AF29" s="5">
        <f>VLOOKUP($A29,'SegEnds_NonXtal_Prot#'!$A:$AL,11,FALSE)</f>
        <v>117</v>
      </c>
      <c r="AG29" s="5">
        <f>VLOOKUP($A29,'SegEnds_NonXtal_Prot#'!$A:$AL,14,FALSE)</f>
        <v>123</v>
      </c>
      <c r="AH29" s="5">
        <f>VLOOKUP($A29,'SegEnds_NonXtal_Prot#'!$A:$AL,17,FALSE)</f>
        <v>159</v>
      </c>
      <c r="AI29" s="5" t="str">
        <f>VLOOKUP($A29,'SegEnds_NonXtal_Prot#'!$A:$AL,20,FALSE)</f>
        <v>-</v>
      </c>
      <c r="AJ29" s="5">
        <f>VLOOKUP($A29,'SegEnds_NonXtal_Prot#'!$A:$AL,23,FALSE)</f>
        <v>192</v>
      </c>
      <c r="AK29" s="5">
        <f>VLOOKUP($A29,'SegEnds_NonXtal_Prot#'!$A:$AL,26,FALSE)</f>
        <v>210</v>
      </c>
      <c r="AL29" s="5">
        <f>VLOOKUP($A29,'SegEnds_NonXtal_Prot#'!$A:$AL,29,FALSE)</f>
        <v>258</v>
      </c>
      <c r="AM29" s="5">
        <f>VLOOKUP($A29,'SegEnds_NonXtal_Prot#'!$A:$AL,32,FALSE)</f>
        <v>301</v>
      </c>
      <c r="AN29" s="5">
        <f>VLOOKUP($A29,'SegEnds_NonXtal_Prot#'!$A:$AL,35,FALSE)</f>
        <v>336</v>
      </c>
      <c r="AO29" s="5">
        <f>VLOOKUP($A29,'SegEnds_NonXtal_Prot#'!$A:$AL,38,FALSE)</f>
        <v>349</v>
      </c>
      <c r="AP29" s="5">
        <f t="shared" si="13"/>
        <v>29</v>
      </c>
      <c r="AQ29" s="4">
        <f t="shared" si="14"/>
        <v>3</v>
      </c>
      <c r="AR29" s="4">
        <f t="shared" si="15"/>
        <v>31</v>
      </c>
      <c r="AS29" s="4">
        <f t="shared" si="16"/>
        <v>3</v>
      </c>
      <c r="AT29" s="4">
        <f t="shared" si="17"/>
        <v>35</v>
      </c>
      <c r="AU29" s="4" t="str">
        <f t="shared" si="18"/>
        <v>-</v>
      </c>
      <c r="AV29" s="4">
        <f t="shared" si="19"/>
        <v>26</v>
      </c>
      <c r="AW29" s="4">
        <f t="shared" si="20"/>
        <v>2</v>
      </c>
      <c r="AX29" s="4">
        <f t="shared" si="21"/>
        <v>40</v>
      </c>
      <c r="AY29" s="4">
        <f t="shared" si="22"/>
        <v>39</v>
      </c>
      <c r="AZ29" s="4">
        <f t="shared" si="23"/>
        <v>28</v>
      </c>
      <c r="BA29" s="4">
        <f t="shared" si="24"/>
        <v>11</v>
      </c>
    </row>
    <row r="30" spans="1:53" x14ac:dyDescent="0.2">
      <c r="A30" s="1" t="str">
        <f>'SegEnds_NonXtal_Prot#'!A321</f>
        <v>agrd2_human</v>
      </c>
      <c r="B30" s="1" t="str">
        <f t="shared" si="0"/>
        <v>YEVQRGPEEESLLRTLSFVGCGVSFCALTTTFLLFLVASERTTVHKNLTFSLASAEGFLMTSEWAVACVAVTVAMHFLFLVAFSWMLVEGLLLWRKVVAPGMRLYHATGWGVPVGIVAVTLAMLPHDYHTNAIWAFVGPVLFVLTANTCILARVVMITVSSAKPVLVLLPVLGLTWLAGILVHLAWAYAAVGLNSIQGLYIFLVYAACNEEVRSALQRMAEKKVA</v>
      </c>
      <c r="C30" s="29" t="str">
        <f>IF(ISERROR(MATCH(A30,'SegEnds_Xtal_Prot#'!B:B, 0)), "NoXtal", "Xtal")</f>
        <v>NoXtal</v>
      </c>
      <c r="D30" s="4" t="str">
        <f>VLOOKUP(A30,Classification!A:D,2,FALSE)</f>
        <v>B2</v>
      </c>
      <c r="E30" s="5" t="str">
        <f>VLOOKUP(A30,Seqs!A:B,2,FALSE)</f>
        <v>MDAPWGAGERWLHGAAVDRSGVSLGPPPTPQVNQGTLGPQVAPVAAGEVVKTAGGVCKFSGQRLSWWQAQESCEQQFGHLALQPPDGVLASRLRDPVWVGQREAPLRRPPQRRARTTAVLVFDERTADRAARLRSPLPELAALTACTHVQWDCASPDPAALFSVAAPALPNALQLRAFAEPGGVVRAALVVRGQHAPFLAAFRADGRWHHVCATWEQRGGRWALFSDGRRRAGARGLGAGHPVPSGGILVLGQDQDSLGGGFSVRHALSGNLTDFHLWARALSPAQLHRARACAPPSEGLLFRWDPGALDVTPSLLPTVWVRLLCPVPSEECPTWNPGPRSEGSELCLEPQPFLCCYRTEPYRRLQDAQSWPGQDVISRVNALANDIVLLPDPLSEVHGALSPAEASSFLGLLEHVLAMEMAPLGPAALLAVVRFLKRVVALGAGDPELLLTGPWEQLSQGVVSVASLVLEEQVADTWLSLREVIGGPMALVASVQRLAPLLSTSMTSERPRMRIQHRHAGLSGVTVIHSWFTSRVFQHTLEGPDLEPQAPASSEEANRVQRFLSTQVGSAIISSEVWDVTGEVNVAMTFHLQHRAQSPLFPPHPPSPYTGGAWATTGCSVAALYLDSTACFCNHSTSFAILLQIYEVQRGPEEESLLRTLSFVGCGVSFCALTTTFLLFLVAGVPKSERTTVHKNLTFSLASAEGFLMTSEWAKANEVACVAVTVAMHFLFLVAFSWMLVEGLLLWRKVVAVSMHPGPGMRLYHATGWGVPVGIVAVTLAMLPHDYVAPGHCWLNVHTNAIWAFVGPVLFVLTANTCILARVVMITVSSARRRARMLSPQPCLQQQIWTQIWATVKPVLVLLPVLGLTWLAGILVHLSPAWAYAAVGLNSIQGLYIFLVYAACNEEVRSALQRMAEKKVAEVLRALGVWGGAAKEHSLPFSVLPLFLPPKPSTPRHPLKAPA</v>
      </c>
      <c r="F30" s="5" t="str">
        <f t="shared" si="1"/>
        <v>YEVQRGPEEESLLRTLSFVGCGVSFCALTTTFLLFLVA</v>
      </c>
      <c r="G30" s="4" t="str">
        <f t="shared" si="2"/>
        <v/>
      </c>
      <c r="H30" s="4" t="str">
        <f t="shared" si="3"/>
        <v>SERTTVHKNLTFSLASAEGFLMTSEWA</v>
      </c>
      <c r="I30" s="4" t="str">
        <f t="shared" si="4"/>
        <v/>
      </c>
      <c r="J30" s="4" t="str">
        <f t="shared" si="5"/>
        <v>VACVAVTVAMHFLFLVAFSWMLVEGLLLWRKVVA</v>
      </c>
      <c r="K30" s="4" t="str">
        <f t="shared" si="6"/>
        <v/>
      </c>
      <c r="L30" s="4" t="str">
        <f t="shared" si="7"/>
        <v>PGMRLYHATGWGVPVGIVAVTLAMLPHDY</v>
      </c>
      <c r="M30" s="4" t="str">
        <f t="shared" si="8"/>
        <v>CWL</v>
      </c>
      <c r="N30" s="4" t="str">
        <f t="shared" si="9"/>
        <v>HTNAIWAFVGPVLFVLTANTCILARVVMITVSSA</v>
      </c>
      <c r="O30" s="4" t="str">
        <f t="shared" si="10"/>
        <v>KPVLVLLPVLGLTWLAGILVHL</v>
      </c>
      <c r="P30" s="4" t="str">
        <f t="shared" si="11"/>
        <v>AWAYAAVGLNSIQGLYIFLVYAAC</v>
      </c>
      <c r="Q30" s="4" t="str">
        <f t="shared" si="12"/>
        <v>NEEVRSALQRMAEKKVA</v>
      </c>
      <c r="R30" s="5">
        <f>VLOOKUP($A30,'SegEnds_NonXtal_Prot#'!$A:$AL,3,FALSE)</f>
        <v>646</v>
      </c>
      <c r="S30" s="5" t="str">
        <f>VLOOKUP($A30,'SegEnds_NonXtal_Prot#'!$A:$AL,6,FALSE)</f>
        <v>-</v>
      </c>
      <c r="T30" s="5">
        <f>VLOOKUP($A30,'SegEnds_NonXtal_Prot#'!$A:$AL,9,FALSE)</f>
        <v>688</v>
      </c>
      <c r="U30" s="5" t="str">
        <f>VLOOKUP($A30,'SegEnds_NonXtal_Prot#'!$A:$AL,12,FALSE)</f>
        <v>-</v>
      </c>
      <c r="V30" s="5">
        <f>VLOOKUP($A30,'SegEnds_NonXtal_Prot#'!$A:$AL,15,FALSE)</f>
        <v>719</v>
      </c>
      <c r="W30" s="5" t="str">
        <f>VLOOKUP($A30,'SegEnds_NonXtal_Prot#'!$A:$AL,18,FALSE)</f>
        <v>-</v>
      </c>
      <c r="X30" s="5">
        <f>VLOOKUP($A30,'SegEnds_NonXtal_Prot#'!$A:$AL,21,FALSE)</f>
        <v>759</v>
      </c>
      <c r="Y30" s="5">
        <f>VLOOKUP($A30,'SegEnds_NonXtal_Prot#'!$A:$AL,24,FALSE)</f>
        <v>793</v>
      </c>
      <c r="Z30" s="5">
        <f>VLOOKUP($A30,'SegEnds_NonXtal_Prot#'!$A:$AL,27,FALSE)</f>
        <v>798</v>
      </c>
      <c r="AA30" s="5">
        <f>VLOOKUP($A30,'SegEnds_NonXtal_Prot#'!$A:$AL,30,FALSE)</f>
        <v>857</v>
      </c>
      <c r="AB30" s="5">
        <f>VLOOKUP($A30,'SegEnds_NonXtal_Prot#'!$A:$AL,33,FALSE)</f>
        <v>881</v>
      </c>
      <c r="AC30" s="5">
        <f>VLOOKUP($A30,'SegEnds_NonXtal_Prot#'!$A:$AL,36,FALSE)</f>
        <v>905</v>
      </c>
      <c r="AD30" s="5">
        <f>VLOOKUP($A30,'SegEnds_NonXtal_Prot#'!$A:$AL,5,FALSE)</f>
        <v>683</v>
      </c>
      <c r="AE30" s="5" t="str">
        <f>VLOOKUP($A30,'SegEnds_NonXtal_Prot#'!$A:$AL,8,FALSE)</f>
        <v>-</v>
      </c>
      <c r="AF30" s="5">
        <f>VLOOKUP($A30,'SegEnds_NonXtal_Prot#'!$A:$AL,11,FALSE)</f>
        <v>714</v>
      </c>
      <c r="AG30" s="5" t="str">
        <f>VLOOKUP($A30,'SegEnds_NonXtal_Prot#'!$A:$AL,14,FALSE)</f>
        <v>-</v>
      </c>
      <c r="AH30" s="5">
        <f>VLOOKUP($A30,'SegEnds_NonXtal_Prot#'!$A:$AL,17,FALSE)</f>
        <v>752</v>
      </c>
      <c r="AI30" s="5" t="str">
        <f>VLOOKUP($A30,'SegEnds_NonXtal_Prot#'!$A:$AL,20,FALSE)</f>
        <v>-</v>
      </c>
      <c r="AJ30" s="5">
        <f>VLOOKUP($A30,'SegEnds_NonXtal_Prot#'!$A:$AL,23,FALSE)</f>
        <v>787</v>
      </c>
      <c r="AK30" s="5">
        <f>VLOOKUP($A30,'SegEnds_NonXtal_Prot#'!$A:$AL,26,FALSE)</f>
        <v>795</v>
      </c>
      <c r="AL30" s="5">
        <f>VLOOKUP($A30,'SegEnds_NonXtal_Prot#'!$A:$AL,29,FALSE)</f>
        <v>831</v>
      </c>
      <c r="AM30" s="5">
        <f>VLOOKUP($A30,'SegEnds_NonXtal_Prot#'!$A:$AL,32,FALSE)</f>
        <v>878</v>
      </c>
      <c r="AN30" s="5">
        <f>VLOOKUP($A30,'SegEnds_NonXtal_Prot#'!$A:$AL,35,FALSE)</f>
        <v>904</v>
      </c>
      <c r="AO30" s="5">
        <f>VLOOKUP($A30,'SegEnds_NonXtal_Prot#'!$A:$AL,38,FALSE)</f>
        <v>921</v>
      </c>
      <c r="AP30" s="5">
        <f t="shared" si="13"/>
        <v>37</v>
      </c>
      <c r="AQ30" s="4" t="str">
        <f t="shared" si="14"/>
        <v>-</v>
      </c>
      <c r="AR30" s="4">
        <f t="shared" si="15"/>
        <v>26</v>
      </c>
      <c r="AS30" s="4" t="str">
        <f t="shared" si="16"/>
        <v>-</v>
      </c>
      <c r="AT30" s="4">
        <f t="shared" si="17"/>
        <v>33</v>
      </c>
      <c r="AU30" s="4" t="str">
        <f t="shared" si="18"/>
        <v>-</v>
      </c>
      <c r="AV30" s="4">
        <f t="shared" si="19"/>
        <v>28</v>
      </c>
      <c r="AW30" s="4">
        <f t="shared" si="20"/>
        <v>2</v>
      </c>
      <c r="AX30" s="4">
        <f t="shared" si="21"/>
        <v>33</v>
      </c>
      <c r="AY30" s="4">
        <f t="shared" si="22"/>
        <v>21</v>
      </c>
      <c r="AZ30" s="4">
        <f t="shared" si="23"/>
        <v>23</v>
      </c>
      <c r="BA30" s="4">
        <f t="shared" si="24"/>
        <v>16</v>
      </c>
    </row>
    <row r="31" spans="1:53" x14ac:dyDescent="0.2">
      <c r="A31" s="1" t="str">
        <f>'SegEnds_NonXtal_Prot#'!A327</f>
        <v>agrf2_human</v>
      </c>
      <c r="B31" s="1" t="str">
        <f t="shared" si="0"/>
        <v>ILMSPHILESLILTYITYVGLGISICSLILCLSIEVLVEITYLRHVCIVNIAATLLMADVWFIVAKGCVAATFFVHFFYLSVFFWMLAKALLILYGIMILVASLFSVGYGCPLAIAAITVAATEPGMTKALLAFVIPALAIVVVNLITVTLVIVKTQRAAKNIAILTPLLGLTWGFGVATVISLAFHIIFSLLNAFQVSPDASDQVQS</v>
      </c>
      <c r="C31" s="29" t="str">
        <f>IF(ISERROR(MATCH(A31,'SegEnds_Xtal_Prot#'!B:B, 0)), "NoXtal", "Xtal")</f>
        <v>NoXtal</v>
      </c>
      <c r="D31" s="4" t="str">
        <f>VLOOKUP(A31,Classification!A:D,2,FALSE)</f>
        <v>B2</v>
      </c>
      <c r="E31" s="5" t="str">
        <f>VLOOKUP(A31,Seqs!A:B,2,FALSE)</f>
        <v>MGLTAYGNRRVQPGELPFGANLTLIHTRAQPVICSKLLLTKRVSPISFFLSKFQNSWGEDGWVQLDQLPSPNAVSSDQVHCSAGCTHRKCGWAASKSKEKVPARPHGVCDGVCTDYSQCTQPCPPDTQGNMGFSCRQKTWHKITDTCQTLNALNIFEEDSRLVQPFEDNIKISVYTGKSETITDMLLQKCPTDLSCVIRNIQQSPWIPGNIAVIVQLLHNISTAIWTGVDEAKMQSYSTIANHILNSKSISNWTFIPDRNSSYILLHSVNSFARRLFIDKHPVDISDVFIHTMGTTISGDNIGKNFTFSMRINDTSNEVTGRVLISRDELRKVPSPSQVISIAFPTIGAILEASLLENVTVNGLVLSAILPKELKRISLIFEKISKSEERRTQCVGWHSVENRWDQQACKMIQENSQQAVCKCRPSKLFTSFSILMSPHILESLILTYITYVGLGISICSLILCLSIEVLVWSQVTKTEITYLRHVCIVNIAATLLMADVWFIVASFLSGPITHHKGCVAATFFVHFFYLSVFFWMLAKALLILYGIMIVFHTLPKSVLVASLFSVGYGCPLAIAAITVAATEPGKGYLRPEICWLNWDMTKALLAFVIPALAIVVVNLITVTLVIVKTQRAAIGNSMFQEVRAIVRISKNIAILTPLLGLTWGFGVATVIDDRSLAFHIIFSLLNAFQVSPDASDQVQSERIHEDVL</v>
      </c>
      <c r="F31" s="5" t="str">
        <f t="shared" si="1"/>
        <v>ILMSPHILESLILTYITYVGLGISICSLILCLSIEVLV</v>
      </c>
      <c r="G31" s="4" t="str">
        <f t="shared" si="2"/>
        <v/>
      </c>
      <c r="H31" s="4" t="str">
        <f t="shared" si="3"/>
        <v>EITYLRHVCIVNIAATLLMADVWFIVA</v>
      </c>
      <c r="I31" s="4" t="str">
        <f t="shared" si="4"/>
        <v/>
      </c>
      <c r="J31" s="4" t="str">
        <f t="shared" si="5"/>
        <v>KGCVAATFFVHFFYLSVFFWMLAKALLILYGIMI</v>
      </c>
      <c r="K31" s="4" t="str">
        <f t="shared" si="6"/>
        <v/>
      </c>
      <c r="L31" s="4" t="str">
        <f t="shared" si="7"/>
        <v>LVASLFSVGYGCPLAIAAITVAATEPG</v>
      </c>
      <c r="M31" s="4" t="str">
        <f t="shared" si="8"/>
        <v>CWL</v>
      </c>
      <c r="N31" s="4" t="str">
        <f t="shared" si="9"/>
        <v>MTKALLAFVIPALAIVVVNLITVTLVIVKTQRAA</v>
      </c>
      <c r="O31" s="4" t="str">
        <f t="shared" si="10"/>
        <v>KNIAILTPLLGLTWGFGVATVI</v>
      </c>
      <c r="P31" s="4" t="str">
        <f t="shared" si="11"/>
        <v>SLAFHIIFSLLNAFQVSPDASDQVQS</v>
      </c>
      <c r="Q31" s="4" t="str">
        <f t="shared" si="12"/>
        <v/>
      </c>
      <c r="R31" s="5">
        <f>VLOOKUP($A31,'SegEnds_NonXtal_Prot#'!$A:$AL,3,FALSE)</f>
        <v>434</v>
      </c>
      <c r="S31" s="5" t="str">
        <f>VLOOKUP($A31,'SegEnds_NonXtal_Prot#'!$A:$AL,6,FALSE)</f>
        <v>-</v>
      </c>
      <c r="T31" s="5">
        <f>VLOOKUP($A31,'SegEnds_NonXtal_Prot#'!$A:$AL,9,FALSE)</f>
        <v>479</v>
      </c>
      <c r="U31" s="5" t="str">
        <f>VLOOKUP($A31,'SegEnds_NonXtal_Prot#'!$A:$AL,12,FALSE)</f>
        <v>-</v>
      </c>
      <c r="V31" s="5">
        <f>VLOOKUP($A31,'SegEnds_NonXtal_Prot#'!$A:$AL,15,FALSE)</f>
        <v>516</v>
      </c>
      <c r="W31" s="5" t="str">
        <f>VLOOKUP($A31,'SegEnds_NonXtal_Prot#'!$A:$AL,18,FALSE)</f>
        <v>-</v>
      </c>
      <c r="X31" s="5">
        <f>VLOOKUP($A31,'SegEnds_NonXtal_Prot#'!$A:$AL,21,FALSE)</f>
        <v>559</v>
      </c>
      <c r="Y31" s="5">
        <f>VLOOKUP($A31,'SegEnds_NonXtal_Prot#'!$A:$AL,24,FALSE)</f>
        <v>594</v>
      </c>
      <c r="Z31" s="5">
        <f>VLOOKUP($A31,'SegEnds_NonXtal_Prot#'!$A:$AL,27,FALSE)</f>
        <v>600</v>
      </c>
      <c r="AA31" s="5">
        <f>VLOOKUP($A31,'SegEnds_NonXtal_Prot#'!$A:$AL,30,FALSE)</f>
        <v>650</v>
      </c>
      <c r="AB31" s="5">
        <f>VLOOKUP($A31,'SegEnds_NonXtal_Prot#'!$A:$AL,33,FALSE)</f>
        <v>675</v>
      </c>
      <c r="AC31" s="5" t="str">
        <f>VLOOKUP($A31,'SegEnds_NonXtal_Prot#'!$A:$AL,36,FALSE)</f>
        <v>-</v>
      </c>
      <c r="AD31" s="5">
        <f>VLOOKUP($A31,'SegEnds_NonXtal_Prot#'!$A:$AL,5,FALSE)</f>
        <v>471</v>
      </c>
      <c r="AE31" s="5" t="str">
        <f>VLOOKUP($A31,'SegEnds_NonXtal_Prot#'!$A:$AL,8,FALSE)</f>
        <v>-</v>
      </c>
      <c r="AF31" s="5">
        <f>VLOOKUP($A31,'SegEnds_NonXtal_Prot#'!$A:$AL,11,FALSE)</f>
        <v>505</v>
      </c>
      <c r="AG31" s="5" t="str">
        <f>VLOOKUP($A31,'SegEnds_NonXtal_Prot#'!$A:$AL,14,FALSE)</f>
        <v>-</v>
      </c>
      <c r="AH31" s="5">
        <f>VLOOKUP($A31,'SegEnds_NonXtal_Prot#'!$A:$AL,17,FALSE)</f>
        <v>549</v>
      </c>
      <c r="AI31" s="5" t="str">
        <f>VLOOKUP($A31,'SegEnds_NonXtal_Prot#'!$A:$AL,20,FALSE)</f>
        <v>-</v>
      </c>
      <c r="AJ31" s="5">
        <f>VLOOKUP($A31,'SegEnds_NonXtal_Prot#'!$A:$AL,23,FALSE)</f>
        <v>585</v>
      </c>
      <c r="AK31" s="5">
        <f>VLOOKUP($A31,'SegEnds_NonXtal_Prot#'!$A:$AL,26,FALSE)</f>
        <v>596</v>
      </c>
      <c r="AL31" s="5">
        <f>VLOOKUP($A31,'SegEnds_NonXtal_Prot#'!$A:$AL,29,FALSE)</f>
        <v>633</v>
      </c>
      <c r="AM31" s="5">
        <f>VLOOKUP($A31,'SegEnds_NonXtal_Prot#'!$A:$AL,32,FALSE)</f>
        <v>671</v>
      </c>
      <c r="AN31" s="5">
        <f>VLOOKUP($A31,'SegEnds_NonXtal_Prot#'!$A:$AL,35,FALSE)</f>
        <v>700</v>
      </c>
      <c r="AO31" s="5" t="str">
        <f>VLOOKUP($A31,'SegEnds_NonXtal_Prot#'!$A:$AL,38,FALSE)</f>
        <v>-</v>
      </c>
      <c r="AP31" s="5">
        <f t="shared" si="13"/>
        <v>37</v>
      </c>
      <c r="AQ31" s="4" t="str">
        <f t="shared" si="14"/>
        <v>-</v>
      </c>
      <c r="AR31" s="4">
        <f t="shared" si="15"/>
        <v>26</v>
      </c>
      <c r="AS31" s="4" t="str">
        <f t="shared" si="16"/>
        <v>-</v>
      </c>
      <c r="AT31" s="4">
        <f t="shared" si="17"/>
        <v>33</v>
      </c>
      <c r="AU31" s="4" t="str">
        <f t="shared" si="18"/>
        <v>-</v>
      </c>
      <c r="AV31" s="4">
        <f t="shared" si="19"/>
        <v>26</v>
      </c>
      <c r="AW31" s="4">
        <f t="shared" si="20"/>
        <v>2</v>
      </c>
      <c r="AX31" s="4">
        <f t="shared" si="21"/>
        <v>33</v>
      </c>
      <c r="AY31" s="4">
        <f t="shared" si="22"/>
        <v>21</v>
      </c>
      <c r="AZ31" s="4">
        <f t="shared" si="23"/>
        <v>25</v>
      </c>
      <c r="BA31" s="4" t="str">
        <f t="shared" si="24"/>
        <v>-</v>
      </c>
    </row>
    <row r="32" spans="1:53" x14ac:dyDescent="0.2">
      <c r="A32" s="1" t="str">
        <f>'SegEnds_NonXtal_Prot#'!A347</f>
        <v>gpr98_human</v>
      </c>
      <c r="B32" s="1" t="str">
        <f t="shared" si="0"/>
        <v>VYARTDNLSSYNEAFFTSGFICISGLCLAVLSHIFCARMFAAKLLTHMMAASLGTQILFLASAYAESCSAMAAVTHYLYLCQFSWMLIQSVNFWYVLVMRRYLLFFLLSWGLPAFVVILLIVILKGIYYAALFTAALVPLTCLVVVFVVFIHAYQVKPQWKATNAAEIPLILYLFALISVTWLWGGLHFWMLVLFVIFNSLQGLYVFMVYFILHNQMCCPMKASYTVEMN</v>
      </c>
      <c r="C32" s="29" t="str">
        <f>IF(ISERROR(MATCH(A32,'SegEnds_Xtal_Prot#'!B:B, 0)), "NoXtal", "Xtal")</f>
        <v>NoXtal</v>
      </c>
      <c r="D32" s="4" t="str">
        <f>VLOOKUP(A32,Classification!A:D,2,FALSE)</f>
        <v>B2</v>
      </c>
      <c r="E32" s="5" t="str">
        <f>VLOOKUP(A32,Seqs!A:B,2,FALSE)</f>
        <v>MSVFLGPGMPSASLLVNLLSALLILFVFGETEIRFTGQTEFVVNETSTTVIRLIIERIGEPANVTAIVSLYGEDAGDFFDTYAAAFIPAGETNRTVYIAVCDDDLPEPDETFIFHLTLQKPSANVKLGWPRTVTVTILSNDNAFGIISFNMLPSIAVSEPKGRNESMPLTLIREKGTYGMVMVTFEVEGGPNPPDEDLSPVKGNITFPPGRATVIYNLTVLDDEVPENDEIFLIQLKSVEGGAEINTSRNSIEIIIKKNDSPVRFLQSIYLVPEEDHILIIPVVRGKDNNGNLIGSDEYEVSISYAVTTGNSTAHAQQNLDFIDLQPNTTVVFPPFIHESHLKFQIVDDTIPEIAESFHIMLLKDTLQGDAVLISPSVVQVTIKPNDKPYGVLSFNSVLFERTVIIDEDRISRYEEITVVRNGGTHGNVSANWVLTRNSTDPSPVTADIRPSSGVLHFAQGQMLATIPLTVVDDDLPEEAEAYLLQILPHTIRGGAEVSEPAELLFYIQDSDDVYGLITFFPMENQKIESSPGERYLSLSFTRLGGTKGDVRLLYSVLYIPAGAVDPLQAKEGILNISRRNDLIFPEQKTQVTTKLPIRNDAFLQNGAHFLVQLETVELLNIIPLIPPISPRFGEICNISLLVTPAIANGEIGFLSNLPIILHEPEDFAAEVVYIPLHRDGTDGQATVYWSLKPSGFNSKAVTPDDIGPFNGSVLFLSGQSDTTINITIKGDDIPEMNETVTLSLDRVNVENQVLKSGYTSRDLIILENDDPGGVFEFSPASRGPYVIKEGESVELHIIRSRGSLVKQFLHYRVEPRDSNEFYGNTGVLEFKPGEREIVITLLARLDGIPELDEHYWVVLSSHGERESKLGSATIVNITILKNDDPHGIIEFVSDGLIVMINESKGDAIYSAVYDVVRNRGNFGDVSVSWVVSPDFTQDVFPVQGTVVFGDQEFSKNITIYSLPDEIPEEMEEFTVILLNGTGGAKVGNRTTATLRIRRNDDPIYFAEPRVVRVQEGETANFTVLRNGSVDVTCMVQYATKDGKATARERDFIPVEKGETLIFEVGSRQQSISIFVNEDGIPETDEPFYIILLNSTGDTVVYQYGVATVIIEANDDPNGIFSLEPIDKAVEEGKTNAFWILRHRGYFGSVSVSWQLFQNDSALQPGQEFYETSGTVNFMDGEEAKPIILHAFPDKIPEFNEFYFLKLVNISGGSPGPGGQLAETNLQVTVMVPFNDDPFGVFILDPECLEREVAEDVLSEDDMSYITNFTILRQQGVFGDVQLGWEILSSEFPAGLPPMIDFLLVGIFPTTVHLQQHMRRHHSGTDALYFTGLEGAFGTVNPKYHPSRNNTIANFTFSAWVMPNANTNGFIIAKDDGNGSIYYGVKIQTNESHVTLSLHYKTLGSNATYIAKTTVMKYLEESVWLHLLIILEDGIIEFYLDGNAMPRGIKSLKGEAITDGPGILRIGAGINGNDRFTGLMQDVRSYERKLTLEEIYELHAMPAKSDLHPISGYLEFRQGETNKSFIISARDDNDEEGEELFILKLVSVYGGARISEENTTARLTIQKSDNANGLFGFTGACIPEIAEEGSTISCVVERTRGALDYVHVFYTISQIETDGINYLVDDFANASGTITFLPWQRSEVLNIYVLDDDIPELNEYFRVTLVSAIPGDGKLGSTPTSGASIDPEKETTDITIKASDHPYGLLQFSTGLPPQPKDAMTLPASSVPHITVEEEDGEIRLLVIRAQGLLGRVTAEFRTVSLTAFSPEDYQNVAGTLEFQPGERYKYIFINITDNSIPELEKSFKVELLNLEGGVAELFRVDGSGSGDGDMEFFLPTIHKRASLGVASQILVTIAASDHAHGVFEFSPESLFVSGTEPEDGYSTVTLNVIRHHGTLSPVTLHWNIDSDPDGDLAFTSGNITFEIGQTSANITVEILPDEDPELDKAFSVSVLSVSSGSLGAHINATLTVLASDDPYGIFIFSEKNRPVKVEEATQNITLSIIRLKGLMGKVLVSYATLDDMEKPPYFPPNLARATQGRDYIPASGFALFGANQSEATIAISILDDDEPERSESVFIELLNSTLVAKVQSRSIPNSPRLGPKVETIAQLIIIANDDAFGTLQLSAPIVRVAENHVGPIINVTRTGGAFADVSVKFKAVPITAIAGEDYSIASSDVVLLEGETSKAVPIYVINDIYPELEESFLVQLMNETTGGARLGALTEAVIIIEASDDPYGLFGFQITKLIVEEPEFNSVKVNLPIIRNSGTLGNVTVQWVATINGQLATGDLRVVSGNVTFAPGETIQTLLLEVLADDVPEIEEVIQVQLTDASGGGTIGLDRIANIIIPANDDPYGTVAFAQMVYRVQEPLERSSCANITVRRSGGHFGRLLLFYSTSDIDVVALAMEEGQDLLSYYESPIQGVPDPLWRTWMNVSAVGEPLYTCATLCLKEQACSAFSFFSASEGPQCFWMTSWISPAVNNSDFWTYRKNMTRVASLFSGQAVAGSDYEPVTRQWAIMQEGDEFANLTVSILPDDFPEMDESFLISLLEVHLMNISASLKNQPTIGQPNISTVVIALNGDAFGVFVIYNISPNTSEDGLFVEVQEQPQTLVELMIHRTGGSLGQVAVEWRVVGGTATEGLDFIGAGEILTFAEGETKKTVILTILDDSEPEDDESIIVSLVYTEGGSRILPSSDTVRVNILANDNVAGIVSFQTASRSVIGHEGEILQFHVIRTFPGRGNVTVNWKIIGQNLELNFANFSGQLFFPEGSLNTTLFVHLLDDNIPEEKEVYQVILYDVRTQGVPPAGIALLDAQGYAAVLTVEASDEPHGVLNFALSSRFVLLQEANITIQLFINREFGSLGAINVTYTTVPGMLSLKNQTVGNLAEPEVDFVPIIGFLILEEGETAAAINITILEDDVPELEEYFLVNLTYVGLTMAASTSFPPRLDSEGLTAQVIIDANDGARGVIEWQQSRFEVNETHGSLTLVAQRSREPLGHVSLFVYAQNLEAQVGLDYIFTPMILHFADGERYKNVNIMILDDDIPEGDEKFQLILTNPSPGLELGKNTIALIIVLANDDGPGVLSFNNSEHFFLREPTALYVQESVAVLYIVREPAQGLFGTVTVQFIVTEVNSSNESKDLTPSKGYIVLEEGVRFKALQISAILDTEPEMDEYFVCTLFNPTGGARLGVHVQTLITVLQNQAPLGLFSISAVENRATSIDIEEANRTVYLNVSRTNGIDLAVSVQWETVSETAFGMRGMDVVFSVFQSFLDESASGWCFFTLENLIYGIMLRKSSVTVYRWQGIFIPVEDLNIENPKTCEAFNIGFSPYFVITHEERNEEKPSLNSVFTFTSGFKLFLVQTIIILESSQVRYFTSDSQDYLIIASQRDDSELTQVFRWNGGSFVLHQKLPVRGVLTVALFNKGGSVFLAISQANARLNSLLFRWSGSGFINFQEVPVSGTTEVEALSSANDIYLIFAENVFLGDQNSIDIFIWEMGQSSFRYFQSVDFAAVNRIHSFTPASGIAHILLIGQDMSALYCWNSERNQFSFVLEVPSAYDVASVTVKSLNSSKNLIALVGAHSHIYELAYISSHSDFIPSSGELIFEPGEREATIAVNILDDTVPEKEESFKVQLKNPKGGAEIGINDSVTITILSNDDAYGIVAFAQNSLYKQVEEMEQDSLVTLNVERLKGTYGRITIAWEADGSISDIFPTSGVILFTEGQVLSTITLTILADNIPELSEVVIVTLTRITTEGVEDSYKGATIDQDRSKSVITTLPNDSPFGLVGWRAASVFIRVAEPKENTTTLQLQIARDKGLLGDIAIHLRAQPNFLLHVDNQATENEDYVLQETIIIMKENIKEAHAEVSILPDDLPELEEGFIVTITEVNLVNSDFSTGQPSVRRPGMEIAEIMIEENDDPRGIFMFHVTRGAGEVITAYEVPPPLNVLQVPVVRLAGSFGAVNVYWKASPDSAGLEDFKPSHGILEFADKQVTAMIEITIIDDAEFELTETFNISLISVAGGGRLGDDVVVTVVIPQNDSPFGVFGFEEKTVMIDESLSSDDPDSYVTLTVVRSPGGKGTVRLEWTIDEKAKHNLSPLNGTLHFDETESQKTIVLHTLQDTVLEEDRRFTIQLISIDEVEISPVKGSASIIIRGDKRASGEVGIAPSSRHILIGEPSAKYNGTAIISLVRGPGILGEVTVFWRIFPPSVGEFAETSGKLTMRDEQSAVIVVIQALNDDIPEEKSFYEFQLTAVSEGGVLSESSSTANITVVASDSPYGRFAFSHEQLRVSEAQRVNITIIRSSGDFGHVRLWYKTMSGTAEAGLDFVPAAGELLFEAGEMRKSLHVEILDDDYPEGPEEFSLTITKVELQGRGYDFTIQENGLQIDQPPEIGNISIVRIIIMKNDNAEGIIEFDPKYTAFEVEEDVGLIMIPVVRLHGTYGYVTADFISQSSSASPGGVDYILHGSTVTFQHGQNLSFINISIIDDNESEFEEPIEILLTGATGGAVLGRHLVSRIIIAKSDSPFGVIRFLNQSKISIANPNSTMILSLVLERTGGLLGEIQVNWETVGPNSQEALLPQNRDIADPVSGLFYFGEGEGGVRTIILTIYPHEEIEVEETFIIKLHLVKGEAKLDSRAKDVTLTIQEFGDPNGVVQFAPETLSKKTYSEPLALEGPLLITFFVRRVKGTFGEIMVYWELSSEFDITEDFLSTSGFFTIADGESEASFDVHLLPDEVPEIEEDYVIQLVSVEGGAELDLEKSITWFSVYANDDPHGVFALYSDRQSILIGQNLIRSIQINITRLAGTFGDVAVGLRISSDHKEQPIVTENAERQLVVKDGATYKVDVVPIKNQVFLSLGSNFTLQLVTVMLVGGRFYGMPTILQEAKSAVLPVSEKAANSQVGFESTAFQLMNITAGTSHVMISRRGTYGALSVAWTTGYAPGLEIPEFIVVGNMTPTLGSLSFSHGEQRKGVFLWTFPSPGWPEAFVLHLSGVQSSAPGGAQLRSGFIVAEIEPMGVFQFSTSSRNIIVSEDTQMIRLHVQRLFGFHSDLIKVSYQTTAGSAKPLEDFEPVQNGELFFQKFQTEVDFEITIINDQLSEIEEFFYINLTSVEIRGLQKFDVNWSPRLNLDFSVAVITILDNDDLAGMDISFPETTVAVAVDTTLIPVETESTTYLSTSKTTTILQPTNVVAIVTEATGVSAIPEKLVTLHGTPAVSEKPDVATVTANVSIHGTFSLGPSIVYIEEEMKNGTFNTAEVLIRRTGGFTGNVSITVKTFGERCAQMEPNALPFRGIYGISNLTWAVEEEDFEEQTLTLIFLDGERERKVSVQILDDDEPEGQEFFYVFLTNPQGGAQIVEEKDDTGFAAFAMVIITGSDLHNGIIGFSEESQSGLELREGAVMRRLHLIVTRQPNRAFEDVKVFWRVTLNKTVVVLQKDGVNLVEELQSVSGTTTCTMGQTKCFISIELKPEKVPQVEVYFFVELYEATAGAAINNSARFAQIKILESDESQSLVYFSVGSRLAVAHKKATLISLQVARDSGTGLMMSVNFSTQELRSAETIGRTIISPAISGKDFVITEGTLVFEPGQRSTVLDVILTPETGSLNSFPKRFQIVLFDPKGGARIDKVYGTANITLVSDADSQAIWGLADQLHQPVNDDILNRVLHTISMKVATENTDEQLSAMMHLIEKITTEGKIQAFSVASRTLFYEILCSLINPKRKDTRGFSHFAEVTENFAFSLLTNVTCGSPGEKSKTILDSCPYLSILALHWYPQQINGHKFEGKEGDYIRIPERLLDVQDAEIMAGKSTCKLVQFTEYSSQQWFISGNNLPTLKNKVLSLSVKGQSSQLLTNDNEVLYRIYAAEPRIIPQTSLCLLWNQAAASWLSDSQFCKVVEETADYVECACSHMSVYAVYARTDNLSSYNEAFFTSGFICISGLCLAVLSHIFCARYSMFAAKLLTHMMAASLGTQILFLASAYASPQLAEESCSAMAAVTHYLYLCQFSWMLIQSVNFWYVLVMNDEHTERRYLLFFLLSWGLPAFVVILLIVILKGIYHQSMSQIYGLIHGDLCFIPNVYAALFTAALVPLTCLVVVFVVFIHAYQVKPQWKAYDDVFRGRTNAAEIPLILYLFALISVTWLWGGLHMAYRHFWMLVLFVIFNSLQGLYVFMVYFILHNQMCCPMKASYTVEMNGHPGPSTAFFTPGSGMPPAGGEISKSTQNLIGAMEEVPPDWERASFQQGSQASPDLKPSPQNGATFPSSGGYGQGSLIADEESQEFDDLIFALKTGAGLSVSDNESGQGSQEGGTLTDSQIVELRRIPIADTHL</v>
      </c>
      <c r="F32" s="5" t="str">
        <f t="shared" si="1"/>
        <v>VYARTDNLSSYNEAFFTSGFICISGLCLAVLSHIFCAR</v>
      </c>
      <c r="G32" s="4" t="str">
        <f t="shared" si="2"/>
        <v/>
      </c>
      <c r="H32" s="4" t="str">
        <f t="shared" si="3"/>
        <v>MFAAKLLTHMMAASLGTQILFLASAYA</v>
      </c>
      <c r="I32" s="4" t="str">
        <f t="shared" si="4"/>
        <v/>
      </c>
      <c r="J32" s="4" t="str">
        <f t="shared" si="5"/>
        <v>ESCSAMAAVTHYLYLCQFSWMLIQSVNFWYVLVM</v>
      </c>
      <c r="K32" s="4" t="str">
        <f t="shared" si="6"/>
        <v/>
      </c>
      <c r="L32" s="4" t="str">
        <f t="shared" si="7"/>
        <v>RRYLLFFLLSWGLPAFVVILLIVILKGIY</v>
      </c>
      <c r="M32" s="4" t="str">
        <f t="shared" si="8"/>
        <v>CFI</v>
      </c>
      <c r="N32" s="4" t="str">
        <f t="shared" si="9"/>
        <v>YAALFTAALVPLTCLVVVFVVFIHAYQVKPQWKA</v>
      </c>
      <c r="O32" s="4" t="str">
        <f t="shared" si="10"/>
        <v>TNAAEIPLILYLFALISVTWLWGGL</v>
      </c>
      <c r="P32" s="4" t="str">
        <f t="shared" si="11"/>
        <v>HFWMLVLFVIFNSLQGLYVFMVYFIL</v>
      </c>
      <c r="Q32" s="4" t="str">
        <f t="shared" si="12"/>
        <v>HNQMCCPMKASYTVEMN</v>
      </c>
      <c r="R32" s="5">
        <f>VLOOKUP($A32,'SegEnds_NonXtal_Prot#'!$A:$AL,3,FALSE)</f>
        <v>5895</v>
      </c>
      <c r="S32" s="5" t="str">
        <f>VLOOKUP($A32,'SegEnds_NonXtal_Prot#'!$A:$AL,6,FALSE)</f>
        <v>-</v>
      </c>
      <c r="T32" s="5">
        <f>VLOOKUP($A32,'SegEnds_NonXtal_Prot#'!$A:$AL,9,FALSE)</f>
        <v>5935</v>
      </c>
      <c r="U32" s="5" t="str">
        <f>VLOOKUP($A32,'SegEnds_NonXtal_Prot#'!$A:$AL,12,FALSE)</f>
        <v>-</v>
      </c>
      <c r="V32" s="5">
        <f>VLOOKUP($A32,'SegEnds_NonXtal_Prot#'!$A:$AL,15,FALSE)</f>
        <v>5968</v>
      </c>
      <c r="W32" s="5" t="str">
        <f>VLOOKUP($A32,'SegEnds_NonXtal_Prot#'!$A:$AL,18,FALSE)</f>
        <v>-</v>
      </c>
      <c r="X32" s="5">
        <f>VLOOKUP($A32,'SegEnds_NonXtal_Prot#'!$A:$AL,21,FALSE)</f>
        <v>6008</v>
      </c>
      <c r="Y32" s="5">
        <f>VLOOKUP($A32,'SegEnds_NonXtal_Prot#'!$A:$AL,24,FALSE)</f>
        <v>6052</v>
      </c>
      <c r="Z32" s="5">
        <f>VLOOKUP($A32,'SegEnds_NonXtal_Prot#'!$A:$AL,27,FALSE)</f>
        <v>6058</v>
      </c>
      <c r="AA32" s="5">
        <f>VLOOKUP($A32,'SegEnds_NonXtal_Prot#'!$A:$AL,30,FALSE)</f>
        <v>6100</v>
      </c>
      <c r="AB32" s="5">
        <f>VLOOKUP($A32,'SegEnds_NonXtal_Prot#'!$A:$AL,33,FALSE)</f>
        <v>6130</v>
      </c>
      <c r="AC32" s="5">
        <f>VLOOKUP($A32,'SegEnds_NonXtal_Prot#'!$A:$AL,36,FALSE)</f>
        <v>6156</v>
      </c>
      <c r="AD32" s="5">
        <f>VLOOKUP($A32,'SegEnds_NonXtal_Prot#'!$A:$AL,5,FALSE)</f>
        <v>5932</v>
      </c>
      <c r="AE32" s="5" t="str">
        <f>VLOOKUP($A32,'SegEnds_NonXtal_Prot#'!$A:$AL,8,FALSE)</f>
        <v>-</v>
      </c>
      <c r="AF32" s="5">
        <f>VLOOKUP($A32,'SegEnds_NonXtal_Prot#'!$A:$AL,11,FALSE)</f>
        <v>5961</v>
      </c>
      <c r="AG32" s="5" t="str">
        <f>VLOOKUP($A32,'SegEnds_NonXtal_Prot#'!$A:$AL,14,FALSE)</f>
        <v>-</v>
      </c>
      <c r="AH32" s="5">
        <f>VLOOKUP($A32,'SegEnds_NonXtal_Prot#'!$A:$AL,17,FALSE)</f>
        <v>6001</v>
      </c>
      <c r="AI32" s="5" t="str">
        <f>VLOOKUP($A32,'SegEnds_NonXtal_Prot#'!$A:$AL,20,FALSE)</f>
        <v>-</v>
      </c>
      <c r="AJ32" s="5">
        <f>VLOOKUP($A32,'SegEnds_NonXtal_Prot#'!$A:$AL,23,FALSE)</f>
        <v>6036</v>
      </c>
      <c r="AK32" s="5">
        <f>VLOOKUP($A32,'SegEnds_NonXtal_Prot#'!$A:$AL,26,FALSE)</f>
        <v>6054</v>
      </c>
      <c r="AL32" s="5">
        <f>VLOOKUP($A32,'SegEnds_NonXtal_Prot#'!$A:$AL,29,FALSE)</f>
        <v>6091</v>
      </c>
      <c r="AM32" s="5">
        <f>VLOOKUP($A32,'SegEnds_NonXtal_Prot#'!$A:$AL,32,FALSE)</f>
        <v>6124</v>
      </c>
      <c r="AN32" s="5">
        <f>VLOOKUP($A32,'SegEnds_NonXtal_Prot#'!$A:$AL,35,FALSE)</f>
        <v>6155</v>
      </c>
      <c r="AO32" s="5">
        <f>VLOOKUP($A32,'SegEnds_NonXtal_Prot#'!$A:$AL,38,FALSE)</f>
        <v>6172</v>
      </c>
      <c r="AP32" s="5">
        <f t="shared" si="13"/>
        <v>37</v>
      </c>
      <c r="AQ32" s="4" t="str">
        <f t="shared" si="14"/>
        <v>-</v>
      </c>
      <c r="AR32" s="4">
        <f t="shared" si="15"/>
        <v>26</v>
      </c>
      <c r="AS32" s="4" t="str">
        <f t="shared" si="16"/>
        <v>-</v>
      </c>
      <c r="AT32" s="4">
        <f t="shared" si="17"/>
        <v>33</v>
      </c>
      <c r="AU32" s="4" t="str">
        <f t="shared" si="18"/>
        <v>-</v>
      </c>
      <c r="AV32" s="4">
        <f t="shared" si="19"/>
        <v>28</v>
      </c>
      <c r="AW32" s="4">
        <f t="shared" si="20"/>
        <v>2</v>
      </c>
      <c r="AX32" s="4">
        <f t="shared" si="21"/>
        <v>33</v>
      </c>
      <c r="AY32" s="4">
        <f t="shared" si="22"/>
        <v>24</v>
      </c>
      <c r="AZ32" s="4">
        <f t="shared" si="23"/>
        <v>25</v>
      </c>
      <c r="BA32" s="4">
        <f t="shared" si="24"/>
        <v>16</v>
      </c>
    </row>
    <row r="33" spans="1:53" x14ac:dyDescent="0.2">
      <c r="A33" s="1" t="str">
        <f>'SegEnds_NonXtal_Prot#'!A358</f>
        <v>grm1_human</v>
      </c>
      <c r="B33" s="1" t="str">
        <f t="shared" si="0"/>
        <v>IESIIAIAFSCLGILVTLFVTLIFVLYSRELCYIILAGIFLGYVCPFTLITTSCYLQRLLVGLSSAMCYSALVTKTNRIARILSAWAQVIIASILISVQLTLVVTLIIMESNLGVVAPLGYNGLLIMSCTYYAFKTEAKYIAFTMYTTCIIWLAFVPIYFGYKIITTCFAVSLSVTVALGCMFTPKMYIIIAKPERNVRSAFTTS</v>
      </c>
      <c r="C33" s="29" t="str">
        <f>IF(ISERROR(MATCH(A33,'SegEnds_Xtal_Prot#'!B:B, 0)), "NoXtal", "Xtal")</f>
        <v>Xtal</v>
      </c>
      <c r="D33" s="4" t="str">
        <f>VLOOKUP(A33,Classification!A:D,2,FALSE)</f>
        <v>C</v>
      </c>
      <c r="E33" s="5" t="str">
        <f>VLOOKUP(A33,Seqs!A:B,2,FALSE)</f>
        <v>MVGLLLFFFPAIFLEVSLLPRSPGRKVLLAGASSQRSVARMDGDVIIGALFSVHHQPPAEKVPERKCGEIREQYGIQRVEAMFHTLDKINADPVLLPNITLGSEIRDSCWHSSVALEQSIEFIRDSLISIRDEKDGINRCLPDGQSLPPGRTKKPIAGVIGPGSSSVAIQVQNLLQLFDIPQIAYSATSIDLSDKTLYKYFLRVVPSDTLQARAMLDIVKRYNWTYVSAVHTEGNYGESGMDAFKELAAQEGLCIAHSDKIYSNAGEKSFDRLLRKLRERLPKARVVVCFCEGMTVRGLLSAMRRLGVVGEFSLIGSDGWADRDEVIEGYEVEANGGITIKLQSPEVRSFDDYFLKLRLDTNTRNPWFPEFWQHRFQCRLPGHLLENPNFKRICTGNESLEENYVQDSKMGFVINAIYAMAHGLQNMHHALCPGHVGLCDAMKPIDGSKLLDFLIKSSFIGVSGEEVWFDEKGDAPGRYDIMNLQYTEANRYDYVHVGTWHEGVLNIDDYKIQMNKSGVVRSVCSEPCLKGQIKVIRKGEVSCCWICTACKENEYVQDEFTCKACDLGWWPNADLTGCEPIPVRYLEWSNIESIIAIAFSCLGILVTLFVTLIFVLYRDTPVVKSSSRELCYIILAGIFLGYVCPFTLIAKPTTTSCYLQRLLVGLSSAMCYSALVTKTNRIARILAGSKKKICTRKPRFMSAWAQVIIASILISVQLTLVVTLIIMEPPMPILSYPSIKEVYLICNTSNLGVVAPLGYNGLLIMSCTYYAFKTRNVPANFNEAKYIAFTMYTTCIIWLAFVPIYFGSNYKIITTCFAVSLSVTVALGCMFTPKMYIIIAKPERNVRSAFTTSDVVRMHVGDGKLPCRSNTFLNIFRRKKAGAGNANSNGKSVSWSEPGGGQVPKGQHMWHRLSVHVKTNETACNQTAVIKPLTKSYQGSGKSLTFSDTSTKTLYNVEEEEDAQPIRFSPPGSPSMVVHRRVPSAATTPPLPSHLTAEETPLFLAEPALPKGLPPPLQQQQQPPPQQKSLMDQLQGVVSNFSTAIPDFHAVLAGPGGPGNGLRSLYPPPPPPQHLQMLPLQLSTFGEELVSPPADDDDDSERFKLLQEYVYEHEREGNTEEDELEEEEEDLQAASKLTPDDSPALTPPSPFRDSVASGSSVPSSPVSESVLCTPPNVSYASVILRDYKQSSSTL</v>
      </c>
      <c r="F33" s="5" t="str">
        <f t="shared" si="1"/>
        <v>IESIIAIAFSCLGILVTLFVTLIFVLY</v>
      </c>
      <c r="G33" s="4" t="str">
        <f t="shared" si="2"/>
        <v>TPVVKSS</v>
      </c>
      <c r="H33" s="4" t="str">
        <f t="shared" si="3"/>
        <v>SRELCYIILAGIFLGYVCPFTLI</v>
      </c>
      <c r="I33" s="4" t="str">
        <f t="shared" si="4"/>
        <v/>
      </c>
      <c r="J33" s="4" t="str">
        <f t="shared" si="5"/>
        <v>TTSCYLQRLLVGLSSAMCYSALVTKTNRIARIL</v>
      </c>
      <c r="K33" s="4" t="str">
        <f t="shared" si="6"/>
        <v/>
      </c>
      <c r="L33" s="4" t="str">
        <f t="shared" si="7"/>
        <v>SAWAQVIIASILISVQLTLVVTLIIME</v>
      </c>
      <c r="M33" s="4" t="str">
        <f t="shared" si="8"/>
        <v>CNT</v>
      </c>
      <c r="N33" s="4" t="str">
        <f t="shared" si="9"/>
        <v>SNLGVVAPLGYNGLLIMSCTYYAFKT</v>
      </c>
      <c r="O33" s="4" t="str">
        <f t="shared" si="10"/>
        <v>EAKYIAFTMYTTCIIWLAFVPIYFG</v>
      </c>
      <c r="P33" s="4" t="str">
        <f t="shared" si="11"/>
        <v>YKIITTCFAVSLSVTVALGCMFTPKMYIIIAK</v>
      </c>
      <c r="Q33" s="4" t="str">
        <f t="shared" si="12"/>
        <v>PERNVRSAFTTS</v>
      </c>
      <c r="R33" s="5">
        <f>VLOOKUP($A33,'SegEnds_NonXtal_Prot#'!$A:$AL,3,FALSE)</f>
        <v>591</v>
      </c>
      <c r="S33" s="5">
        <f>VLOOKUP($A33,'SegEnds_NonXtal_Prot#'!$A:$AL,6,FALSE)</f>
        <v>620</v>
      </c>
      <c r="T33" s="5">
        <f>VLOOKUP($A33,'SegEnds_NonXtal_Prot#'!$A:$AL,9,FALSE)</f>
        <v>627</v>
      </c>
      <c r="U33" s="5" t="str">
        <f>VLOOKUP($A33,'SegEnds_NonXtal_Prot#'!$A:$AL,12,FALSE)</f>
        <v>-</v>
      </c>
      <c r="V33" s="5">
        <f>VLOOKUP($A33,'SegEnds_NonXtal_Prot#'!$A:$AL,15,FALSE)</f>
        <v>654</v>
      </c>
      <c r="W33" s="5" t="str">
        <f>VLOOKUP($A33,'SegEnds_NonXtal_Prot#'!$A:$AL,18,FALSE)</f>
        <v>-</v>
      </c>
      <c r="X33" s="5">
        <f>VLOOKUP($A33,'SegEnds_NonXtal_Prot#'!$A:$AL,21,FALSE)</f>
        <v>702</v>
      </c>
      <c r="Y33" s="5">
        <f>VLOOKUP($A33,'SegEnds_NonXtal_Prot#'!$A:$AL,24,FALSE)</f>
        <v>746</v>
      </c>
      <c r="Z33" s="5">
        <f>VLOOKUP($A33,'SegEnds_NonXtal_Prot#'!$A:$AL,27,FALSE)</f>
        <v>749</v>
      </c>
      <c r="AA33" s="5">
        <f>VLOOKUP($A33,'SegEnds_NonXtal_Prot#'!$A:$AL,30,FALSE)</f>
        <v>783</v>
      </c>
      <c r="AB33" s="5">
        <f>VLOOKUP($A33,'SegEnds_NonXtal_Prot#'!$A:$AL,33,FALSE)</f>
        <v>810</v>
      </c>
      <c r="AC33" s="5">
        <f>VLOOKUP($A33,'SegEnds_NonXtal_Prot#'!$A:$AL,36,FALSE)</f>
        <v>842</v>
      </c>
      <c r="AD33" s="5">
        <f>VLOOKUP($A33,'SegEnds_NonXtal_Prot#'!$A:$AL,5,FALSE)</f>
        <v>617</v>
      </c>
      <c r="AE33" s="5">
        <f>VLOOKUP($A33,'SegEnds_NonXtal_Prot#'!$A:$AL,8,FALSE)</f>
        <v>626</v>
      </c>
      <c r="AF33" s="5">
        <f>VLOOKUP($A33,'SegEnds_NonXtal_Prot#'!$A:$AL,11,FALSE)</f>
        <v>649</v>
      </c>
      <c r="AG33" s="5" t="str">
        <f>VLOOKUP($A33,'SegEnds_NonXtal_Prot#'!$A:$AL,14,FALSE)</f>
        <v>-</v>
      </c>
      <c r="AH33" s="5">
        <f>VLOOKUP($A33,'SegEnds_NonXtal_Prot#'!$A:$AL,17,FALSE)</f>
        <v>686</v>
      </c>
      <c r="AI33" s="5" t="str">
        <f>VLOOKUP($A33,'SegEnds_NonXtal_Prot#'!$A:$AL,20,FALSE)</f>
        <v>-</v>
      </c>
      <c r="AJ33" s="5">
        <f>VLOOKUP($A33,'SegEnds_NonXtal_Prot#'!$A:$AL,23,FALSE)</f>
        <v>728</v>
      </c>
      <c r="AK33" s="5">
        <f>VLOOKUP($A33,'SegEnds_NonXtal_Prot#'!$A:$AL,26,FALSE)</f>
        <v>748</v>
      </c>
      <c r="AL33" s="5">
        <f>VLOOKUP($A33,'SegEnds_NonXtal_Prot#'!$A:$AL,29,FALSE)</f>
        <v>774</v>
      </c>
      <c r="AM33" s="5">
        <f>VLOOKUP($A33,'SegEnds_NonXtal_Prot#'!$A:$AL,32,FALSE)</f>
        <v>807</v>
      </c>
      <c r="AN33" s="5">
        <f>VLOOKUP($A33,'SegEnds_NonXtal_Prot#'!$A:$AL,35,FALSE)</f>
        <v>841</v>
      </c>
      <c r="AO33" s="5">
        <f>VLOOKUP($A33,'SegEnds_NonXtal_Prot#'!$A:$AL,38,FALSE)</f>
        <v>853</v>
      </c>
      <c r="AP33" s="5">
        <f t="shared" si="13"/>
        <v>26</v>
      </c>
      <c r="AQ33" s="4">
        <f t="shared" si="14"/>
        <v>6</v>
      </c>
      <c r="AR33" s="4">
        <f t="shared" si="15"/>
        <v>22</v>
      </c>
      <c r="AS33" s="4" t="str">
        <f t="shared" si="16"/>
        <v>-</v>
      </c>
      <c r="AT33" s="4">
        <f t="shared" si="17"/>
        <v>32</v>
      </c>
      <c r="AU33" s="4" t="str">
        <f t="shared" si="18"/>
        <v>-</v>
      </c>
      <c r="AV33" s="4">
        <f t="shared" si="19"/>
        <v>26</v>
      </c>
      <c r="AW33" s="4">
        <f t="shared" si="20"/>
        <v>2</v>
      </c>
      <c r="AX33" s="4">
        <f t="shared" si="21"/>
        <v>25</v>
      </c>
      <c r="AY33" s="4">
        <f t="shared" si="22"/>
        <v>24</v>
      </c>
      <c r="AZ33" s="4">
        <f t="shared" si="23"/>
        <v>31</v>
      </c>
      <c r="BA33" s="4">
        <f t="shared" si="24"/>
        <v>11</v>
      </c>
    </row>
    <row r="34" spans="1:53" x14ac:dyDescent="0.2">
      <c r="A34" s="1" t="str">
        <f>'SegEnds_NonXtal_Prot#'!A366</f>
        <v>rai3_human</v>
      </c>
      <c r="B34" s="1" t="str">
        <f t="shared" si="0"/>
        <v>AWGIVLETVATAGVVTSVAFMLTLPILNRRKMLPTQFLFLLGVLGIFGLTFAFIGSTGPTRFFLFGILFSICFSCLLAHAVSLTKLVSLLVILGLAVGFSLVQDVIAIEYIVLTRNEDFVLLLTYVLFLMALTFLMSSFTHGAHIYLTMLLSIAIWVAWITLLMLWDDTILSSALAANGWVFLLAYVSPEFWLLTKQNPMDYPVEDAFCK</v>
      </c>
      <c r="C34" s="29" t="str">
        <f>IF(ISERROR(MATCH(A34,'SegEnds_Xtal_Prot#'!B:B, 0)), "NoXtal", "Xtal")</f>
        <v>NoXtal</v>
      </c>
      <c r="D34" s="4" t="str">
        <f>VLOOKUP(A34,Classification!A:D,2,FALSE)</f>
        <v>C</v>
      </c>
      <c r="E34" s="5" t="str">
        <f>VLOOKUP(A34,Seqs!A:B,2,FALSE)</f>
        <v>MATTVPDGCRNGLKSKYYRLCDKAEAWGIVLETVATAGVVTSVAFMLTLPILVCKVQDSNRRKMLPTQFLFLLGVLGIFGLTFAFIIGLDGSTGPTRFFLFGILFSICFSCLLAHAVSLTKLVRGRKPLSLLVILGLAVGFSLVQDVIAIEYIVLTMNRTNVNVFSELSAPRRNEDFVLLLTYVLFLMALTFLMSSFTFCGSFTGWKRHGAHIYLTMLLSIAIWVAWITLLMLPDFDRRWDDTILSSALAANGWVFLLAYVSPEFWLLTKQRNPMDYPVEDAFCKPQLVKKSYGVENRAYSQEEITQGFEETGDTLYAPYSTHFQLQNQPPQKEFSIPRAHAWPSPYKDYEVKKEGS</v>
      </c>
      <c r="F34" s="5" t="str">
        <f t="shared" si="1"/>
        <v>AWGIVLETVATAGVVTSVAFMLTLPIL</v>
      </c>
      <c r="G34" s="4" t="str">
        <f t="shared" si="2"/>
        <v>VCKVQDS</v>
      </c>
      <c r="H34" s="4" t="str">
        <f t="shared" si="3"/>
        <v>NRRKMLPTQFLFLLGVLGIFGLTFAFI</v>
      </c>
      <c r="I34" s="4" t="str">
        <f t="shared" si="4"/>
        <v/>
      </c>
      <c r="J34" s="4" t="str">
        <f t="shared" si="5"/>
        <v>GSTGPTRFFLFGILFSICFSCLLAHAVSLTKLV</v>
      </c>
      <c r="K34" s="4" t="str">
        <f t="shared" si="6"/>
        <v/>
      </c>
      <c r="L34" s="4" t="str">
        <f t="shared" si="7"/>
        <v>SLLVILGLAVGFSLVQDVIAIEYIVLT</v>
      </c>
      <c r="M34" s="4" t="str">
        <f t="shared" si="8"/>
        <v/>
      </c>
      <c r="N34" s="4" t="str">
        <f t="shared" si="9"/>
        <v>RNEDFVLLLTYVLFLMALTFLMSSFT</v>
      </c>
      <c r="O34" s="4" t="str">
        <f t="shared" si="10"/>
        <v>HGAHIYLTMLLSIAIWVAWITLLML</v>
      </c>
      <c r="P34" s="4" t="str">
        <f t="shared" si="11"/>
        <v>WDDTILSSALAANGWVFLLAYVSPEFWLLTKQ</v>
      </c>
      <c r="Q34" s="4" t="str">
        <f t="shared" si="12"/>
        <v>NPMDYPVEDAFCK</v>
      </c>
      <c r="R34" s="5">
        <f>VLOOKUP($A34,'SegEnds_NonXtal_Prot#'!$A:$AL,3,FALSE)</f>
        <v>26</v>
      </c>
      <c r="S34" s="5">
        <f>VLOOKUP($A34,'SegEnds_NonXtal_Prot#'!$A:$AL,6,FALSE)</f>
        <v>53</v>
      </c>
      <c r="T34" s="5">
        <f>VLOOKUP($A34,'SegEnds_NonXtal_Prot#'!$A:$AL,9,FALSE)</f>
        <v>60</v>
      </c>
      <c r="U34" s="5" t="str">
        <f>VLOOKUP($A34,'SegEnds_NonXtal_Prot#'!$A:$AL,12,FALSE)</f>
        <v>-</v>
      </c>
      <c r="V34" s="5">
        <f>VLOOKUP($A34,'SegEnds_NonXtal_Prot#'!$A:$AL,15,FALSE)</f>
        <v>91</v>
      </c>
      <c r="W34" s="5" t="str">
        <f>VLOOKUP($A34,'SegEnds_NonXtal_Prot#'!$A:$AL,18,FALSE)</f>
        <v>-</v>
      </c>
      <c r="X34" s="5">
        <f>VLOOKUP($A34,'SegEnds_NonXtal_Prot#'!$A:$AL,21,FALSE)</f>
        <v>130</v>
      </c>
      <c r="Y34" s="5" t="str">
        <f>VLOOKUP($A34,'SegEnds_NonXtal_Prot#'!$A:$AL,24,FALSE)</f>
        <v>-</v>
      </c>
      <c r="Z34" s="5">
        <f>VLOOKUP($A34,'SegEnds_NonXtal_Prot#'!$A:$AL,27,FALSE)</f>
        <v>173</v>
      </c>
      <c r="AA34" s="5">
        <f>VLOOKUP($A34,'SegEnds_NonXtal_Prot#'!$A:$AL,30,FALSE)</f>
        <v>209</v>
      </c>
      <c r="AB34" s="5">
        <f>VLOOKUP($A34,'SegEnds_NonXtal_Prot#'!$A:$AL,33,FALSE)</f>
        <v>240</v>
      </c>
      <c r="AC34" s="5">
        <f>VLOOKUP($A34,'SegEnds_NonXtal_Prot#'!$A:$AL,36,FALSE)</f>
        <v>273</v>
      </c>
      <c r="AD34" s="5">
        <f>VLOOKUP($A34,'SegEnds_NonXtal_Prot#'!$A:$AL,5,FALSE)</f>
        <v>52</v>
      </c>
      <c r="AE34" s="5">
        <f>VLOOKUP($A34,'SegEnds_NonXtal_Prot#'!$A:$AL,8,FALSE)</f>
        <v>59</v>
      </c>
      <c r="AF34" s="5">
        <f>VLOOKUP($A34,'SegEnds_NonXtal_Prot#'!$A:$AL,11,FALSE)</f>
        <v>86</v>
      </c>
      <c r="AG34" s="5" t="str">
        <f>VLOOKUP($A34,'SegEnds_NonXtal_Prot#'!$A:$AL,14,FALSE)</f>
        <v>-</v>
      </c>
      <c r="AH34" s="5">
        <f>VLOOKUP($A34,'SegEnds_NonXtal_Prot#'!$A:$AL,17,FALSE)</f>
        <v>123</v>
      </c>
      <c r="AI34" s="5" t="str">
        <f>VLOOKUP($A34,'SegEnds_NonXtal_Prot#'!$A:$AL,20,FALSE)</f>
        <v>-</v>
      </c>
      <c r="AJ34" s="5">
        <f>VLOOKUP($A34,'SegEnds_NonXtal_Prot#'!$A:$AL,23,FALSE)</f>
        <v>156</v>
      </c>
      <c r="AK34" s="5" t="str">
        <f>VLOOKUP($A34,'SegEnds_NonXtal_Prot#'!$A:$AL,26,FALSE)</f>
        <v>-</v>
      </c>
      <c r="AL34" s="5">
        <f>VLOOKUP($A34,'SegEnds_NonXtal_Prot#'!$A:$AL,29,FALSE)</f>
        <v>198</v>
      </c>
      <c r="AM34" s="5">
        <f>VLOOKUP($A34,'SegEnds_NonXtal_Prot#'!$A:$AL,32,FALSE)</f>
        <v>233</v>
      </c>
      <c r="AN34" s="5">
        <f>VLOOKUP($A34,'SegEnds_NonXtal_Prot#'!$A:$AL,35,FALSE)</f>
        <v>271</v>
      </c>
      <c r="AO34" s="5">
        <f>VLOOKUP($A34,'SegEnds_NonXtal_Prot#'!$A:$AL,38,FALSE)</f>
        <v>285</v>
      </c>
      <c r="AP34" s="5">
        <f t="shared" si="13"/>
        <v>26</v>
      </c>
      <c r="AQ34" s="4">
        <f t="shared" si="14"/>
        <v>6</v>
      </c>
      <c r="AR34" s="4">
        <f t="shared" si="15"/>
        <v>26</v>
      </c>
      <c r="AS34" s="4" t="str">
        <f t="shared" si="16"/>
        <v>-</v>
      </c>
      <c r="AT34" s="4">
        <f t="shared" si="17"/>
        <v>32</v>
      </c>
      <c r="AU34" s="4" t="str">
        <f t="shared" si="18"/>
        <v>-</v>
      </c>
      <c r="AV34" s="4">
        <f t="shared" si="19"/>
        <v>26</v>
      </c>
      <c r="AW34" s="4" t="str">
        <f t="shared" si="20"/>
        <v>-</v>
      </c>
      <c r="AX34" s="4">
        <f t="shared" si="21"/>
        <v>25</v>
      </c>
      <c r="AY34" s="4">
        <f t="shared" si="22"/>
        <v>24</v>
      </c>
      <c r="AZ34" s="4">
        <f t="shared" si="23"/>
        <v>31</v>
      </c>
      <c r="BA34" s="4">
        <f t="shared" si="24"/>
        <v>12</v>
      </c>
    </row>
    <row r="35" spans="1:53" x14ac:dyDescent="0.2">
      <c r="A35" s="1" t="str">
        <f>'SegEnds_NonXtal_Prot#'!A370</f>
        <v>fzd1_human</v>
      </c>
      <c r="B35" s="1" t="str">
        <f t="shared" si="0"/>
        <v>GPEELRFSRTWIGIWSVLCCASTLFTVLTYLVDYPERPIIFLSGCYTAVAVAYIAGFLLEKEGCTILFMMLYFFSMASSIWWVILSLTWFLAAGNSQYFHLAAWAVPAIKTITILALGNVDALRGFVLAPLFVYLFIGTSFLLAGFVSLFRIRTIMEKLMVRIGVFSVLYTVPATIVIACYFYEQAFRDQWERSWVAQSCKSYAIPCDFTVFMIKYLMTLIVGITSGFWIWSGKTLNSWRKFYTRLT</v>
      </c>
      <c r="C35" s="29" t="str">
        <f>IF(ISERROR(MATCH(A35,'SegEnds_Xtal_Prot#'!B:B, 0)), "NoXtal", "Xtal")</f>
        <v>NoXtal</v>
      </c>
      <c r="D35" s="4" t="str">
        <f>VLOOKUP(A35,Classification!A:D,2,FALSE)</f>
        <v>F</v>
      </c>
      <c r="E35" s="5" t="str">
        <f>VLOOKUP(A35,Seqs!A:B,2,FALSE)</f>
        <v>MAEEEAPKKSRAAGGGASWELCAGALSARLAEEGSGDAGGRRRPPVDPRRLARQLLLLLWLLEAPLLLGVRAQAAGQGPGQGPGPGQQPPPPPQQQQSGQQYNGERGISVPDHGYCQPISIPLCTDIAYNQTIMPNLLGHTNQEDAGLEVHQFYPLVKVQCSAELKFFLCSMYAPVCTVLEQALPPCRSLCERARQGCEALMNKFGFQWPDTLKCEKFPVHGAGELCVGQNTSDKGTPTPSLLPEFWTSNPQHGGGGHRGGFPGGAGASERGKFSCPRALKVPSYLNYHFLGEKDCGAPCEPTKVYGLMYFGPEELRFSRTWIGIWSVLCCASTLFTVLTYLVDMRRFSYPERPIIFLSGCYTAVAVAYIAGFLLEDRVVCNDKFAEDGARTVAQGTKKEGCTILFMMLYFFSMASSIWWVILSLTWFLAAGMKWGHEAIEANSQYFHLAAWAVPAIKTITILALGQVDGDVLSGVCFVGLNNVDALRGFVLAPLFVYLFIGTSFLLAGFVSLFRIRTIMKHDGTKTEKLEKLMVRIGVFSVLYTVPATIVIACYFYEQAFRDQWERSWVAQSCKSYAIPCPHLQAGGGAPPHPPMSPDFTVFMIKYLMTLIVGITSGFWIWSGKTLNSWRKFYTRLTNSKQGETTV</v>
      </c>
      <c r="F35" s="5" t="str">
        <f t="shared" si="1"/>
        <v>GPEELRFSRTWIGIWSVLCCASTLFTVLTYLVD</v>
      </c>
      <c r="G35" s="4" t="str">
        <f t="shared" si="2"/>
        <v>MRRFS</v>
      </c>
      <c r="H35" s="4" t="str">
        <f t="shared" si="3"/>
        <v>YPERPIIFLSGCYTAVAVAYIAGFLLE</v>
      </c>
      <c r="I35" s="4" t="str">
        <f t="shared" si="4"/>
        <v/>
      </c>
      <c r="J35" s="4" t="str">
        <f t="shared" si="5"/>
        <v>KEGCTILFMMLYFFSMASSIWWVILSLTWFLAAG</v>
      </c>
      <c r="K35" s="4" t="str">
        <f t="shared" si="6"/>
        <v/>
      </c>
      <c r="L35" s="4" t="str">
        <f t="shared" si="7"/>
        <v>NSQYFHLAAWAVPAIKTITILALG</v>
      </c>
      <c r="M35" s="4" t="str">
        <f t="shared" si="8"/>
        <v>CFV</v>
      </c>
      <c r="N35" s="4" t="str">
        <f t="shared" si="9"/>
        <v>NVDALRGFVLAPLFVYLFIGTSFLLAGFVSLFRIRTIM</v>
      </c>
      <c r="O35" s="4" t="str">
        <f t="shared" si="10"/>
        <v>EKLMVRIGVFSVLYTVPATIVIACYFYEQAFRDQWERSWVAQSCKSYAIPC</v>
      </c>
      <c r="P35" s="4" t="str">
        <f t="shared" si="11"/>
        <v>DFTVFMIKYLMTLIVGITSGFWIW</v>
      </c>
      <c r="Q35" s="4" t="str">
        <f t="shared" si="12"/>
        <v>SGKTLNSWRKFYTRLT</v>
      </c>
      <c r="R35" s="5">
        <f>VLOOKUP($A35,'SegEnds_NonXtal_Prot#'!$A:$AL,3,FALSE)</f>
        <v>312</v>
      </c>
      <c r="S35" s="5">
        <f>VLOOKUP($A35,'SegEnds_NonXtal_Prot#'!$A:$AL,6,FALSE)</f>
        <v>345</v>
      </c>
      <c r="T35" s="5">
        <f>VLOOKUP($A35,'SegEnds_NonXtal_Prot#'!$A:$AL,9,FALSE)</f>
        <v>350</v>
      </c>
      <c r="U35" s="5" t="str">
        <f>VLOOKUP($A35,'SegEnds_NonXtal_Prot#'!$A:$AL,12,FALSE)</f>
        <v>-</v>
      </c>
      <c r="V35" s="5">
        <f>VLOOKUP($A35,'SegEnds_NonXtal_Prot#'!$A:$AL,15,FALSE)</f>
        <v>399</v>
      </c>
      <c r="W35" s="5" t="str">
        <f>VLOOKUP($A35,'SegEnds_NonXtal_Prot#'!$A:$AL,18,FALSE)</f>
        <v>-</v>
      </c>
      <c r="X35" s="5">
        <f>VLOOKUP($A35,'SegEnds_NonXtal_Prot#'!$A:$AL,21,FALSE)</f>
        <v>443</v>
      </c>
      <c r="Y35" s="5">
        <f>VLOOKUP($A35,'SegEnds_NonXtal_Prot#'!$A:$AL,24,FALSE)</f>
        <v>477</v>
      </c>
      <c r="Z35" s="5">
        <f>VLOOKUP($A35,'SegEnds_NonXtal_Prot#'!$A:$AL,27,FALSE)</f>
        <v>483</v>
      </c>
      <c r="AA35" s="5">
        <f>VLOOKUP($A35,'SegEnds_NonXtal_Prot#'!$A:$AL,30,FALSE)</f>
        <v>531</v>
      </c>
      <c r="AB35" s="5">
        <f>VLOOKUP($A35,'SegEnds_NonXtal_Prot#'!$A:$AL,33,FALSE)</f>
        <v>599</v>
      </c>
      <c r="AC35" s="5">
        <f>VLOOKUP($A35,'SegEnds_NonXtal_Prot#'!$A:$AL,36,FALSE)</f>
        <v>623</v>
      </c>
      <c r="AD35" s="5">
        <f>VLOOKUP($A35,'SegEnds_NonXtal_Prot#'!$A:$AL,5,FALSE)</f>
        <v>344</v>
      </c>
      <c r="AE35" s="5">
        <f>VLOOKUP($A35,'SegEnds_NonXtal_Prot#'!$A:$AL,8,FALSE)</f>
        <v>349</v>
      </c>
      <c r="AF35" s="5">
        <f>VLOOKUP($A35,'SegEnds_NonXtal_Prot#'!$A:$AL,11,FALSE)</f>
        <v>376</v>
      </c>
      <c r="AG35" s="5" t="str">
        <f>VLOOKUP($A35,'SegEnds_NonXtal_Prot#'!$A:$AL,14,FALSE)</f>
        <v>-</v>
      </c>
      <c r="AH35" s="5">
        <f>VLOOKUP($A35,'SegEnds_NonXtal_Prot#'!$A:$AL,17,FALSE)</f>
        <v>432</v>
      </c>
      <c r="AI35" s="5" t="str">
        <f>VLOOKUP($A35,'SegEnds_NonXtal_Prot#'!$A:$AL,20,FALSE)</f>
        <v>-</v>
      </c>
      <c r="AJ35" s="5">
        <f>VLOOKUP($A35,'SegEnds_NonXtal_Prot#'!$A:$AL,23,FALSE)</f>
        <v>466</v>
      </c>
      <c r="AK35" s="5">
        <f>VLOOKUP($A35,'SegEnds_NonXtal_Prot#'!$A:$AL,26,FALSE)</f>
        <v>479</v>
      </c>
      <c r="AL35" s="5">
        <f>VLOOKUP($A35,'SegEnds_NonXtal_Prot#'!$A:$AL,29,FALSE)</f>
        <v>520</v>
      </c>
      <c r="AM35" s="5">
        <f>VLOOKUP($A35,'SegEnds_NonXtal_Prot#'!$A:$AL,32,FALSE)</f>
        <v>581</v>
      </c>
      <c r="AN35" s="5">
        <f>VLOOKUP($A35,'SegEnds_NonXtal_Prot#'!$A:$AL,35,FALSE)</f>
        <v>622</v>
      </c>
      <c r="AO35" s="5">
        <f>VLOOKUP($A35,'SegEnds_NonXtal_Prot#'!$A:$AL,38,FALSE)</f>
        <v>638</v>
      </c>
      <c r="AP35" s="5">
        <f t="shared" si="13"/>
        <v>32</v>
      </c>
      <c r="AQ35" s="4">
        <f t="shared" si="14"/>
        <v>4</v>
      </c>
      <c r="AR35" s="4">
        <f t="shared" si="15"/>
        <v>26</v>
      </c>
      <c r="AS35" s="4" t="str">
        <f t="shared" si="16"/>
        <v>-</v>
      </c>
      <c r="AT35" s="4">
        <f t="shared" si="17"/>
        <v>33</v>
      </c>
      <c r="AU35" s="4" t="str">
        <f t="shared" si="18"/>
        <v>-</v>
      </c>
      <c r="AV35" s="4">
        <f t="shared" si="19"/>
        <v>23</v>
      </c>
      <c r="AW35" s="4">
        <f t="shared" si="20"/>
        <v>2</v>
      </c>
      <c r="AX35" s="4">
        <f t="shared" si="21"/>
        <v>37</v>
      </c>
      <c r="AY35" s="4">
        <f t="shared" si="22"/>
        <v>50</v>
      </c>
      <c r="AZ35" s="4">
        <f t="shared" si="23"/>
        <v>23</v>
      </c>
      <c r="BA35" s="4">
        <f t="shared" si="24"/>
        <v>15</v>
      </c>
    </row>
    <row r="36" spans="1:53" x14ac:dyDescent="0.2">
      <c r="A36" s="1" t="str">
        <f>'SegEnds_NonXtal_Prot#'!A387</f>
        <v>t2r10_human</v>
      </c>
      <c r="B36" s="1" t="str">
        <f t="shared" si="0"/>
        <v>EGIFIFVVVSESVFGVLGNGFIGLVNCIDCASTIGFILTGLAISRIFLIWIIITDGFIQIFSSGNLIEYISYFWVIGNQSSMWFATSLSIFYFLKIANSRTNMVLPFMIVFLLISSLLNFAYIYKSEYFIKQILLNLGVIFFFTLSLITCIFLIISLWRHNRQMSNTEAHVKAMKVLISFIILFILYFIGMAIEISCNKLLLMFGMTTTAIYPWGHSFILILGNSKLKQASLRVLQQ</v>
      </c>
      <c r="C36" s="29" t="str">
        <f>IF(ISERROR(MATCH(A36,'SegEnds_Xtal_Prot#'!B:B, 0)), "NoXtal", "Xtal")</f>
        <v>NoXtal</v>
      </c>
      <c r="D36" s="4" t="str">
        <f>VLOOKUP(A36,Classification!A:D,2,FALSE)</f>
        <v>T</v>
      </c>
      <c r="E36" s="5" t="str">
        <f>VLOOKUP(A36,Seqs!A:B,2,FALSE)</f>
        <v>MLRVVEGIFIFVVVSESVFGVLGNGFIGLVNCIDCAKNKLSTIGFILTGLAISRIFLIWIIITDGFIQIFSPNIYASGNLIEYISYFWVIGNQSSMWFATSLSIFYFLKIANFSNYIFLWLKSRTNMVLPFMIVFLLISSLLNFAYIAKILNDYKTKNDTVWDLNMYKSEYFIKQILLNLGVIFFFTLSLITCIFLIISLWRHNRQMQSNVTGLRDSNTEAHVKAMKVLISFIILFILYFIGMAIEISCFTVRENKLLLMFGMTTTAIYPWGHSFILILGNSKLKQASLRVLQQLKCCEKRKNLRVT</v>
      </c>
      <c r="F36" s="5" t="str">
        <f t="shared" si="1"/>
        <v>EGIFIFVVVSESVFGVLGNGFIGLVNCIDCA</v>
      </c>
      <c r="G36" s="4" t="str">
        <f t="shared" si="2"/>
        <v>KNKL</v>
      </c>
      <c r="H36" s="4" t="str">
        <f t="shared" si="3"/>
        <v>STIGFILTGLAISRIFLIWIIITDGFIQIFS</v>
      </c>
      <c r="I36" s="4" t="str">
        <f t="shared" si="4"/>
        <v/>
      </c>
      <c r="J36" s="4" t="str">
        <f t="shared" si="5"/>
        <v>SGNLIEYISYFWVIGNQSSMWFATSLSIFYFLKIAN</v>
      </c>
      <c r="K36" s="4" t="str">
        <f t="shared" si="6"/>
        <v>NYIFLWLK</v>
      </c>
      <c r="L36" s="4" t="str">
        <f t="shared" si="7"/>
        <v>SRTNMVLPFMIVFLLISSLLNFAYI</v>
      </c>
      <c r="M36" s="4" t="str">
        <f t="shared" si="8"/>
        <v/>
      </c>
      <c r="N36" s="4" t="str">
        <f t="shared" si="9"/>
        <v>YKSEYFIKQILLNLGVIFFFTLSLITCIFLIISLWRHNRQM</v>
      </c>
      <c r="O36" s="4" t="str">
        <f t="shared" si="10"/>
        <v>SNTEAHVKAMKVLISFIILFILYFIGMAIEISC</v>
      </c>
      <c r="P36" s="4" t="str">
        <f t="shared" si="11"/>
        <v>NKLLLMFGMTTTAIYPWGHSFILILG</v>
      </c>
      <c r="Q36" s="4" t="str">
        <f t="shared" si="12"/>
        <v>NSKLKQASLRVLQQ</v>
      </c>
      <c r="R36" s="5">
        <f>VLOOKUP($A36,'SegEnds_NonXtal_Prot#'!$A:$AL,3,FALSE)</f>
        <v>6</v>
      </c>
      <c r="S36" s="5">
        <f>VLOOKUP($A36,'SegEnds_NonXtal_Prot#'!$A:$AL,6,FALSE)</f>
        <v>37</v>
      </c>
      <c r="T36" s="5">
        <f>VLOOKUP($A36,'SegEnds_NonXtal_Prot#'!$A:$AL,9,FALSE)</f>
        <v>41</v>
      </c>
      <c r="U36" s="5" t="str">
        <f>VLOOKUP($A36,'SegEnds_NonXtal_Prot#'!$A:$AL,12,FALSE)</f>
        <v>-</v>
      </c>
      <c r="V36" s="5">
        <f>VLOOKUP($A36,'SegEnds_NonXtal_Prot#'!$A:$AL,15,FALSE)</f>
        <v>77</v>
      </c>
      <c r="W36" s="5">
        <f>VLOOKUP($A36,'SegEnds_NonXtal_Prot#'!$A:$AL,18,FALSE)</f>
        <v>115</v>
      </c>
      <c r="X36" s="5">
        <f>VLOOKUP($A36,'SegEnds_NonXtal_Prot#'!$A:$AL,21,FALSE)</f>
        <v>123</v>
      </c>
      <c r="Y36" s="5" t="str">
        <f>VLOOKUP($A36,'SegEnds_NonXtal_Prot#'!$A:$AL,24,FALSE)</f>
        <v>-</v>
      </c>
      <c r="Z36" s="5">
        <f>VLOOKUP($A36,'SegEnds_NonXtal_Prot#'!$A:$AL,27,FALSE)</f>
        <v>167</v>
      </c>
      <c r="AA36" s="5">
        <f>VLOOKUP($A36,'SegEnds_NonXtal_Prot#'!$A:$AL,30,FALSE)</f>
        <v>217</v>
      </c>
      <c r="AB36" s="5">
        <f>VLOOKUP($A36,'SegEnds_NonXtal_Prot#'!$A:$AL,33,FALSE)</f>
        <v>255</v>
      </c>
      <c r="AC36" s="5">
        <f>VLOOKUP($A36,'SegEnds_NonXtal_Prot#'!$A:$AL,36,FALSE)</f>
        <v>281</v>
      </c>
      <c r="AD36" s="5">
        <f>VLOOKUP($A36,'SegEnds_NonXtal_Prot#'!$A:$AL,5,FALSE)</f>
        <v>36</v>
      </c>
      <c r="AE36" s="5">
        <f>VLOOKUP($A36,'SegEnds_NonXtal_Prot#'!$A:$AL,8,FALSE)</f>
        <v>40</v>
      </c>
      <c r="AF36" s="5">
        <f>VLOOKUP($A36,'SegEnds_NonXtal_Prot#'!$A:$AL,11,FALSE)</f>
        <v>71</v>
      </c>
      <c r="AG36" s="5" t="str">
        <f>VLOOKUP($A36,'SegEnds_NonXtal_Prot#'!$A:$AL,14,FALSE)</f>
        <v>-</v>
      </c>
      <c r="AH36" s="5">
        <f>VLOOKUP($A36,'SegEnds_NonXtal_Prot#'!$A:$AL,17,FALSE)</f>
        <v>112</v>
      </c>
      <c r="AI36" s="5">
        <f>VLOOKUP($A36,'SegEnds_NonXtal_Prot#'!$A:$AL,20,FALSE)</f>
        <v>122</v>
      </c>
      <c r="AJ36" s="5">
        <f>VLOOKUP($A36,'SegEnds_NonXtal_Prot#'!$A:$AL,23,FALSE)</f>
        <v>147</v>
      </c>
      <c r="AK36" s="5" t="str">
        <f>VLOOKUP($A36,'SegEnds_NonXtal_Prot#'!$A:$AL,26,FALSE)</f>
        <v>-</v>
      </c>
      <c r="AL36" s="5">
        <f>VLOOKUP($A36,'SegEnds_NonXtal_Prot#'!$A:$AL,29,FALSE)</f>
        <v>207</v>
      </c>
      <c r="AM36" s="5">
        <f>VLOOKUP($A36,'SegEnds_NonXtal_Prot#'!$A:$AL,32,FALSE)</f>
        <v>249</v>
      </c>
      <c r="AN36" s="5">
        <f>VLOOKUP($A36,'SegEnds_NonXtal_Prot#'!$A:$AL,35,FALSE)</f>
        <v>280</v>
      </c>
      <c r="AO36" s="5">
        <f>VLOOKUP($A36,'SegEnds_NonXtal_Prot#'!$A:$AL,38,FALSE)</f>
        <v>294</v>
      </c>
      <c r="AP36" s="5">
        <f t="shared" si="13"/>
        <v>30</v>
      </c>
      <c r="AQ36" s="4">
        <f t="shared" si="14"/>
        <v>3</v>
      </c>
      <c r="AR36" s="4">
        <f t="shared" si="15"/>
        <v>30</v>
      </c>
      <c r="AS36" s="4" t="str">
        <f t="shared" si="16"/>
        <v>-</v>
      </c>
      <c r="AT36" s="4">
        <f t="shared" si="17"/>
        <v>35</v>
      </c>
      <c r="AU36" s="4">
        <f t="shared" si="18"/>
        <v>7</v>
      </c>
      <c r="AV36" s="4">
        <f t="shared" si="19"/>
        <v>24</v>
      </c>
      <c r="AW36" s="4" t="str">
        <f t="shared" si="20"/>
        <v>-</v>
      </c>
      <c r="AX36" s="4">
        <f t="shared" si="21"/>
        <v>40</v>
      </c>
      <c r="AY36" s="4">
        <f t="shared" si="22"/>
        <v>32</v>
      </c>
      <c r="AZ36" s="4">
        <f t="shared" si="23"/>
        <v>25</v>
      </c>
      <c r="BA36" s="4">
        <f t="shared" si="24"/>
        <v>13</v>
      </c>
    </row>
    <row r="37" spans="1:53" x14ac:dyDescent="0.2">
      <c r="A37" s="1" t="str">
        <f>'SegEnds_NonXtal_Prot#'!A396</f>
        <v>t2r39_human</v>
      </c>
      <c r="B37" s="1" t="str">
        <f t="shared" si="0"/>
        <v>ITLILAVLLAEYLIGIIANGFIMAIHAAEWVVSTSGRILVFLSVSRIALQSLMMLEITISSTFYSEDAVYYAFKISFIFLNFCSLWFAAWLSFFYFVKIANWRITGLIPWLLWLSVFISFSHSMFCINSEINVVGLAFFFNLGIVTPLIMFILTATLLILSLKRHTLHMPSMEAHMGAIKAISYFLILYIFNAVALFIYLSNNSLWNNLCQIIMAAYPASHSILLIQDNPGLRRAWKRLQLR</v>
      </c>
      <c r="C37" s="29" t="str">
        <f>IF(ISERROR(MATCH(A37,'SegEnds_Xtal_Prot#'!B:B, 0)), "NoXtal", "Xtal")</f>
        <v>NoXtal</v>
      </c>
      <c r="D37" s="4" t="str">
        <f>VLOOKUP(A37,Classification!A:D,2,FALSE)</f>
        <v>T</v>
      </c>
      <c r="E37" s="5" t="str">
        <f>VLOOKUP(A37,Seqs!A:B,2,FALSE)</f>
        <v>MLGRCFPPDTKEKQQLRMTKLCDPAESELSPFLITLILAVLLAEYLIGIIANGFIMAIHAAEWVQNKAVSTSGRILVFLSVSRIALQSLMMLEITISSTSLSFYSEDAVYYAFKISFIFLNFCSLWFAAWLSFFYFVKIANFSYPLFLKLRWRITGLIPWLLWLSVFISFSHSMFCINICTVYCNNSFPIHSSNSTKKTYLSEINVVGLAFFFNLGIVTPLIMFILTATLLILSLKRHTLHMGSNATGSNDPSMEAHMGAIKAISYFLILYIFNAVALFIYLSNMFDINSLWNNLCQIIMAAYPASHSILLIQDNPGLRRAWKRLQLRLHLYPKEWTL</v>
      </c>
      <c r="F37" s="5" t="str">
        <f t="shared" si="1"/>
        <v>ITLILAVLLAEYLIGIIANGFIMAIHAAEWV</v>
      </c>
      <c r="G37" s="4" t="str">
        <f t="shared" si="2"/>
        <v>QNKA</v>
      </c>
      <c r="H37" s="4" t="str">
        <f t="shared" si="3"/>
        <v>VSTSGRILVFLSVSRIALQSLMMLEITISST</v>
      </c>
      <c r="I37" s="4" t="str">
        <f t="shared" si="4"/>
        <v/>
      </c>
      <c r="J37" s="4" t="str">
        <f t="shared" si="5"/>
        <v>FYSEDAVYYAFKISFIFLNFCSLWFAAWLSFFYFVKIAN</v>
      </c>
      <c r="K37" s="4" t="str">
        <f t="shared" si="6"/>
        <v>YPLFLKLR</v>
      </c>
      <c r="L37" s="4" t="str">
        <f t="shared" si="7"/>
        <v>WRITGLIPWLLWLSVFISFSHSMFCIN</v>
      </c>
      <c r="M37" s="4" t="str">
        <f t="shared" si="8"/>
        <v/>
      </c>
      <c r="N37" s="4" t="str">
        <f t="shared" si="9"/>
        <v>SEINVVGLAFFFNLGIVTPLIMFILTATLLILSLKRHTLHM</v>
      </c>
      <c r="O37" s="4" t="str">
        <f t="shared" si="10"/>
        <v>PSMEAHMGAIKAISYFLILYIFNAVALFIYLSN</v>
      </c>
      <c r="P37" s="4" t="str">
        <f t="shared" si="11"/>
        <v>NSLWNNLCQIIMAAYPASHSILLIQD</v>
      </c>
      <c r="Q37" s="4" t="str">
        <f t="shared" si="12"/>
        <v>NPGLRRAWKRLQLR</v>
      </c>
      <c r="R37" s="5">
        <f>VLOOKUP($A37,'SegEnds_NonXtal_Prot#'!$A:$AL,3,FALSE)</f>
        <v>34</v>
      </c>
      <c r="S37" s="5">
        <f>VLOOKUP($A37,'SegEnds_NonXtal_Prot#'!$A:$AL,6,FALSE)</f>
        <v>65</v>
      </c>
      <c r="T37" s="5">
        <f>VLOOKUP($A37,'SegEnds_NonXtal_Prot#'!$A:$AL,9,FALSE)</f>
        <v>69</v>
      </c>
      <c r="U37" s="5" t="str">
        <f>VLOOKUP($A37,'SegEnds_NonXtal_Prot#'!$A:$AL,12,FALSE)</f>
        <v>-</v>
      </c>
      <c r="V37" s="5">
        <f>VLOOKUP($A37,'SegEnds_NonXtal_Prot#'!$A:$AL,15,FALSE)</f>
        <v>103</v>
      </c>
      <c r="W37" s="5">
        <f>VLOOKUP($A37,'SegEnds_NonXtal_Prot#'!$A:$AL,18,FALSE)</f>
        <v>144</v>
      </c>
      <c r="X37" s="5">
        <f>VLOOKUP($A37,'SegEnds_NonXtal_Prot#'!$A:$AL,21,FALSE)</f>
        <v>152</v>
      </c>
      <c r="Y37" s="5" t="str">
        <f>VLOOKUP($A37,'SegEnds_NonXtal_Prot#'!$A:$AL,24,FALSE)</f>
        <v>-</v>
      </c>
      <c r="Z37" s="5">
        <f>VLOOKUP($A37,'SegEnds_NonXtal_Prot#'!$A:$AL,27,FALSE)</f>
        <v>202</v>
      </c>
      <c r="AA37" s="5">
        <f>VLOOKUP($A37,'SegEnds_NonXtal_Prot#'!$A:$AL,30,FALSE)</f>
        <v>252</v>
      </c>
      <c r="AB37" s="5">
        <f>VLOOKUP($A37,'SegEnds_NonXtal_Prot#'!$A:$AL,33,FALSE)</f>
        <v>289</v>
      </c>
      <c r="AC37" s="5">
        <f>VLOOKUP($A37,'SegEnds_NonXtal_Prot#'!$A:$AL,36,FALSE)</f>
        <v>315</v>
      </c>
      <c r="AD37" s="5">
        <f>VLOOKUP($A37,'SegEnds_NonXtal_Prot#'!$A:$AL,5,FALSE)</f>
        <v>64</v>
      </c>
      <c r="AE37" s="5">
        <f>VLOOKUP($A37,'SegEnds_NonXtal_Prot#'!$A:$AL,8,FALSE)</f>
        <v>68</v>
      </c>
      <c r="AF37" s="5">
        <f>VLOOKUP($A37,'SegEnds_NonXtal_Prot#'!$A:$AL,11,FALSE)</f>
        <v>99</v>
      </c>
      <c r="AG37" s="5" t="str">
        <f>VLOOKUP($A37,'SegEnds_NonXtal_Prot#'!$A:$AL,14,FALSE)</f>
        <v>-</v>
      </c>
      <c r="AH37" s="5">
        <f>VLOOKUP($A37,'SegEnds_NonXtal_Prot#'!$A:$AL,17,FALSE)</f>
        <v>141</v>
      </c>
      <c r="AI37" s="5">
        <f>VLOOKUP($A37,'SegEnds_NonXtal_Prot#'!$A:$AL,20,FALSE)</f>
        <v>151</v>
      </c>
      <c r="AJ37" s="5">
        <f>VLOOKUP($A37,'SegEnds_NonXtal_Prot#'!$A:$AL,23,FALSE)</f>
        <v>178</v>
      </c>
      <c r="AK37" s="5" t="str">
        <f>VLOOKUP($A37,'SegEnds_NonXtal_Prot#'!$A:$AL,26,FALSE)</f>
        <v>-</v>
      </c>
      <c r="AL37" s="5">
        <f>VLOOKUP($A37,'SegEnds_NonXtal_Prot#'!$A:$AL,29,FALSE)</f>
        <v>242</v>
      </c>
      <c r="AM37" s="5">
        <f>VLOOKUP($A37,'SegEnds_NonXtal_Prot#'!$A:$AL,32,FALSE)</f>
        <v>284</v>
      </c>
      <c r="AN37" s="5">
        <f>VLOOKUP($A37,'SegEnds_NonXtal_Prot#'!$A:$AL,35,FALSE)</f>
        <v>314</v>
      </c>
      <c r="AO37" s="5">
        <f>VLOOKUP($A37,'SegEnds_NonXtal_Prot#'!$A:$AL,38,FALSE)</f>
        <v>328</v>
      </c>
      <c r="AP37" s="5">
        <f t="shared" si="13"/>
        <v>30</v>
      </c>
      <c r="AQ37" s="4">
        <f t="shared" si="14"/>
        <v>3</v>
      </c>
      <c r="AR37" s="4">
        <f t="shared" si="15"/>
        <v>30</v>
      </c>
      <c r="AS37" s="4" t="str">
        <f t="shared" si="16"/>
        <v>-</v>
      </c>
      <c r="AT37" s="4">
        <f t="shared" si="17"/>
        <v>38</v>
      </c>
      <c r="AU37" s="4">
        <f t="shared" si="18"/>
        <v>7</v>
      </c>
      <c r="AV37" s="4">
        <f t="shared" si="19"/>
        <v>26</v>
      </c>
      <c r="AW37" s="4" t="str">
        <f t="shared" si="20"/>
        <v>-</v>
      </c>
      <c r="AX37" s="4">
        <f t="shared" si="21"/>
        <v>40</v>
      </c>
      <c r="AY37" s="4">
        <f t="shared" si="22"/>
        <v>32</v>
      </c>
      <c r="AZ37" s="4">
        <f t="shared" si="23"/>
        <v>25</v>
      </c>
      <c r="BA37" s="4">
        <f t="shared" si="24"/>
        <v>13</v>
      </c>
    </row>
    <row r="38" spans="1:53" x14ac:dyDescent="0.2">
      <c r="A38" s="1" t="str">
        <f>'SegEnds_NonXtal_Prot#'!A402</f>
        <v>t2r46_human</v>
      </c>
      <c r="B38" s="1" t="str">
        <f t="shared" si="0"/>
        <v>PIIFSILIVVTFVIGNFANGFIALVNSIEWFISFADQILTALAVSRVGLLWVLVLNWYATELSIEVRITAYNVWAVINHFSNWLATSLSIFYLLKIANRRVKSVVLVILLGPLLFLVCHLFVINMNQIRSAMYLSNTTVTILANLVPFTLTLISFLLLICSLCKHLKKMPSMKVHIKALQTVTSFLLLCAIYFLSIIMSVWSNKPVFMFCEAIAFSYPSTHPFILIWGNKKLKQTFLSVLWH</v>
      </c>
      <c r="C38" s="29" t="str">
        <f>IF(ISERROR(MATCH(A38,'SegEnds_Xtal_Prot#'!B:B, 0)), "NoXtal", "Xtal")</f>
        <v>NoXtal</v>
      </c>
      <c r="D38" s="4" t="str">
        <f>VLOOKUP(A38,Classification!A:D,2,FALSE)</f>
        <v>T</v>
      </c>
      <c r="E38" s="5" t="str">
        <f>VLOOKUP(A38,Seqs!A:B,2,FALSE)</f>
        <v>MITFLPIIFSILIVVTFVIGNFANGFIALVNSIEWFKRQKISFADQILTALAVSRVGLLWVLVLNWYATELNPAFNSIEVRITAYNVWAVINHFSNWLATSLSIFYLLKIANFSNLIFLHLKRRVKSVVLVILLGPLLFLVCHLFVINMNQIIWTKEYEGNMTWKIKLRSAMYLSNTTVTILANLVPFTLTLISFLLLICSLCKHLKKMQLHGKGSQDPSMKVHIKALQTVTSFLLLCAIYFLSIIMSVWSFESLENKPVFMFCEAIAFSYPSTHPFILIWGNKKLKQTFLSVLWHVRYWVKGEKPSSS</v>
      </c>
      <c r="F38" s="5" t="str">
        <f t="shared" si="1"/>
        <v>PIIFSILIVVTFVIGNFANGFIALVNSIEWF</v>
      </c>
      <c r="G38" s="4" t="str">
        <f t="shared" si="2"/>
        <v>KRQK</v>
      </c>
      <c r="H38" s="4" t="str">
        <f t="shared" si="3"/>
        <v>ISFADQILTALAVSRVGLLWVLVLNWYATEL</v>
      </c>
      <c r="I38" s="4" t="str">
        <f t="shared" si="4"/>
        <v/>
      </c>
      <c r="J38" s="4" t="str">
        <f t="shared" si="5"/>
        <v>SIEVRITAYNVWAVINHFSNWLATSLSIFYLLKIAN</v>
      </c>
      <c r="K38" s="4" t="str">
        <f t="shared" si="6"/>
        <v>NLIFLHLK</v>
      </c>
      <c r="L38" s="4" t="str">
        <f t="shared" si="7"/>
        <v>RRVKSVVLVILLGPLLFLVCHLFVINMNQI</v>
      </c>
      <c r="M38" s="4" t="str">
        <f t="shared" si="8"/>
        <v/>
      </c>
      <c r="N38" s="4" t="str">
        <f t="shared" si="9"/>
        <v>RSAMYLSNTTVTILANLVPFTLTLISFLLLICSLCKHLKKM</v>
      </c>
      <c r="O38" s="4" t="str">
        <f t="shared" si="10"/>
        <v>PSMKVHIKALQTVTSFLLLCAIYFLSIIMSVWS</v>
      </c>
      <c r="P38" s="4" t="str">
        <f t="shared" si="11"/>
        <v>NKPVFMFCEAIAFSYPSTHPFILIWG</v>
      </c>
      <c r="Q38" s="4" t="str">
        <f t="shared" si="12"/>
        <v>NKKLKQTFLSVLWH</v>
      </c>
      <c r="R38" s="5">
        <f>VLOOKUP($A38,'SegEnds_NonXtal_Prot#'!$A:$AL,3,FALSE)</f>
        <v>6</v>
      </c>
      <c r="S38" s="5">
        <f>VLOOKUP($A38,'SegEnds_NonXtal_Prot#'!$A:$AL,6,FALSE)</f>
        <v>37</v>
      </c>
      <c r="T38" s="5">
        <f>VLOOKUP($A38,'SegEnds_NonXtal_Prot#'!$A:$AL,9,FALSE)</f>
        <v>41</v>
      </c>
      <c r="U38" s="5" t="str">
        <f>VLOOKUP($A38,'SegEnds_NonXtal_Prot#'!$A:$AL,12,FALSE)</f>
        <v>-</v>
      </c>
      <c r="V38" s="5">
        <f>VLOOKUP($A38,'SegEnds_NonXtal_Prot#'!$A:$AL,15,FALSE)</f>
        <v>77</v>
      </c>
      <c r="W38" s="5">
        <f>VLOOKUP($A38,'SegEnds_NonXtal_Prot#'!$A:$AL,18,FALSE)</f>
        <v>115</v>
      </c>
      <c r="X38" s="5">
        <f>VLOOKUP($A38,'SegEnds_NonXtal_Prot#'!$A:$AL,21,FALSE)</f>
        <v>123</v>
      </c>
      <c r="Y38" s="5" t="str">
        <f>VLOOKUP($A38,'SegEnds_NonXtal_Prot#'!$A:$AL,24,FALSE)</f>
        <v>-</v>
      </c>
      <c r="Z38" s="5">
        <f>VLOOKUP($A38,'SegEnds_NonXtal_Prot#'!$A:$AL,27,FALSE)</f>
        <v>169</v>
      </c>
      <c r="AA38" s="5">
        <f>VLOOKUP($A38,'SegEnds_NonXtal_Prot#'!$A:$AL,30,FALSE)</f>
        <v>219</v>
      </c>
      <c r="AB38" s="5">
        <f>VLOOKUP($A38,'SegEnds_NonXtal_Prot#'!$A:$AL,33,FALSE)</f>
        <v>257</v>
      </c>
      <c r="AC38" s="5">
        <f>VLOOKUP($A38,'SegEnds_NonXtal_Prot#'!$A:$AL,36,FALSE)</f>
        <v>283</v>
      </c>
      <c r="AD38" s="5">
        <f>VLOOKUP($A38,'SegEnds_NonXtal_Prot#'!$A:$AL,5,FALSE)</f>
        <v>36</v>
      </c>
      <c r="AE38" s="5">
        <f>VLOOKUP($A38,'SegEnds_NonXtal_Prot#'!$A:$AL,8,FALSE)</f>
        <v>40</v>
      </c>
      <c r="AF38" s="5">
        <f>VLOOKUP($A38,'SegEnds_NonXtal_Prot#'!$A:$AL,11,FALSE)</f>
        <v>71</v>
      </c>
      <c r="AG38" s="5" t="str">
        <f>VLOOKUP($A38,'SegEnds_NonXtal_Prot#'!$A:$AL,14,FALSE)</f>
        <v>-</v>
      </c>
      <c r="AH38" s="5">
        <f>VLOOKUP($A38,'SegEnds_NonXtal_Prot#'!$A:$AL,17,FALSE)</f>
        <v>112</v>
      </c>
      <c r="AI38" s="5">
        <f>VLOOKUP($A38,'SegEnds_NonXtal_Prot#'!$A:$AL,20,FALSE)</f>
        <v>122</v>
      </c>
      <c r="AJ38" s="5">
        <f>VLOOKUP($A38,'SegEnds_NonXtal_Prot#'!$A:$AL,23,FALSE)</f>
        <v>152</v>
      </c>
      <c r="AK38" s="5" t="str">
        <f>VLOOKUP($A38,'SegEnds_NonXtal_Prot#'!$A:$AL,26,FALSE)</f>
        <v>-</v>
      </c>
      <c r="AL38" s="5">
        <f>VLOOKUP($A38,'SegEnds_NonXtal_Prot#'!$A:$AL,29,FALSE)</f>
        <v>209</v>
      </c>
      <c r="AM38" s="5">
        <f>VLOOKUP($A38,'SegEnds_NonXtal_Prot#'!$A:$AL,32,FALSE)</f>
        <v>251</v>
      </c>
      <c r="AN38" s="5">
        <f>VLOOKUP($A38,'SegEnds_NonXtal_Prot#'!$A:$AL,35,FALSE)</f>
        <v>282</v>
      </c>
      <c r="AO38" s="5">
        <f>VLOOKUP($A38,'SegEnds_NonXtal_Prot#'!$A:$AL,38,FALSE)</f>
        <v>296</v>
      </c>
      <c r="AP38" s="5">
        <f t="shared" si="13"/>
        <v>30</v>
      </c>
      <c r="AQ38" s="4">
        <f t="shared" si="14"/>
        <v>3</v>
      </c>
      <c r="AR38" s="4">
        <f t="shared" si="15"/>
        <v>30</v>
      </c>
      <c r="AS38" s="4" t="str">
        <f t="shared" si="16"/>
        <v>-</v>
      </c>
      <c r="AT38" s="4">
        <f t="shared" si="17"/>
        <v>35</v>
      </c>
      <c r="AU38" s="4">
        <f t="shared" si="18"/>
        <v>7</v>
      </c>
      <c r="AV38" s="4">
        <f t="shared" si="19"/>
        <v>29</v>
      </c>
      <c r="AW38" s="4" t="str">
        <f t="shared" si="20"/>
        <v>-</v>
      </c>
      <c r="AX38" s="4">
        <f t="shared" si="21"/>
        <v>40</v>
      </c>
      <c r="AY38" s="4">
        <f t="shared" si="22"/>
        <v>32</v>
      </c>
      <c r="AZ38" s="4">
        <f t="shared" si="23"/>
        <v>25</v>
      </c>
      <c r="BA38" s="4">
        <f t="shared" si="24"/>
        <v>13</v>
      </c>
    </row>
    <row r="39" spans="1:53" x14ac:dyDescent="0.2">
      <c r="A39" s="1" t="str">
        <f>'SegEnds_NonXtal_Prot#'!A2</f>
        <v>gnrhr_human</v>
      </c>
      <c r="B39" s="1" t="str">
        <f t="shared" si="0"/>
        <v>KIRVTVTFFLFLLSATFNASFLLKLQKWRMKLLLKHLTLANLLETLIVMPLDGMWNIGELLCKVLSYLKLFSMYAPAFMMVVISLDRSLAITRNSKVGQSMVGLAWILSSVFAGPQLYIFSQWWHQAFYNFFTFSCLFIIPLFIMLICNAKIIFTLTRVLHQDPHQSKNNIPRARLKTLKMTVAFATSFTVCWTPYYVLGIWYWFDEMLNRLSDPVNHFFFLFAFLNPCFDPLIYGYF</v>
      </c>
      <c r="C39" s="29" t="str">
        <f>IF(ISERROR(MATCH(A39,'SegEnds_Xtal_Prot#'!B:B, 0)), "NoXtal", "Xtal")</f>
        <v>NoXtal</v>
      </c>
      <c r="D39" s="4" t="str">
        <f>VLOOKUP(A39,Classification!A:D,2,FALSE)</f>
        <v>A</v>
      </c>
      <c r="E39" s="5" t="str">
        <f>VLOOKUP(A39,Seqs!A:B,2,FALSE)</f>
        <v>MANSASPEQNQNHCSAINNSIPLMQGNLPTLTLSGKIRVTVTFFLFLLSATFNASFLLKLQKWTQKKEKGKKLSRMKLLLKHLTLANLLETLIVMPLDGMWNITVQWYAGELLCKVLSYLKLFSMYAPAFMMVVISLDRSLAITRPLALKSNSKVGQSMVGLAWILSSVFAGPQLYIFRMIHLADSSGQTKVFSQCVTHCSFSQWWHQAFYNFFTFSCLFIIPLFIMLICNAKIIFTLTRVLHQDPHELQLNQSKNNIPRARLKTLKMTVAFATSFTVCWTPYYVLGIWYWFDPEMLNRLSDPVNHFFFLFAFLNPCFDPLIYGYFSL</v>
      </c>
      <c r="F39" s="5" t="str">
        <f t="shared" si="1"/>
        <v>KIRVTVTFFLFLLSATFNASFLLKLQKW</v>
      </c>
      <c r="G39" s="4" t="str">
        <f t="shared" si="2"/>
        <v>KKLS</v>
      </c>
      <c r="H39" s="4" t="str">
        <f t="shared" si="3"/>
        <v>RMKLLLKHLTLANLLETLIVMPLDGMWNI</v>
      </c>
      <c r="I39" s="4" t="str">
        <f t="shared" si="4"/>
        <v>QWYA</v>
      </c>
      <c r="J39" s="4" t="str">
        <f t="shared" si="5"/>
        <v>GELLCKVLSYLKLFSMYAPAFMMVVISLDRSLAITR</v>
      </c>
      <c r="K39" s="4" t="str">
        <f t="shared" si="6"/>
        <v>PLAL</v>
      </c>
      <c r="L39" s="4" t="str">
        <f t="shared" si="7"/>
        <v>NSKVGQSMVGLAWILSSVFAGPQLYIF</v>
      </c>
      <c r="M39" s="4" t="str">
        <f t="shared" si="8"/>
        <v>CSF</v>
      </c>
      <c r="N39" s="4" t="str">
        <f t="shared" si="9"/>
        <v>SQWWHQAFYNFFTFSCLFIIPLFIMLICNAKIIFTLTRVLHQDPH</v>
      </c>
      <c r="O39" s="4" t="str">
        <f t="shared" si="10"/>
        <v>QSKNNIPRARLKTLKMTVAFATSFTVCWTPYYVLGIWYWFD</v>
      </c>
      <c r="P39" s="4" t="str">
        <f t="shared" si="11"/>
        <v>EMLNRLSDPVNHFFFLFAFLNPCFDPLIYGYF</v>
      </c>
      <c r="Q39" s="4" t="str">
        <f t="shared" si="12"/>
        <v/>
      </c>
      <c r="R39" s="5">
        <f>VLOOKUP($A39,'SegEnds_NonXtal_Prot#'!$A:$AL,3,FALSE)</f>
        <v>36</v>
      </c>
      <c r="S39" s="5">
        <f>VLOOKUP($A39,'SegEnds_NonXtal_Prot#'!$A:$AL,6,FALSE)</f>
        <v>71</v>
      </c>
      <c r="T39" s="5">
        <f>VLOOKUP($A39,'SegEnds_NonXtal_Prot#'!$A:$AL,9,FALSE)</f>
        <v>75</v>
      </c>
      <c r="U39" s="5">
        <f>VLOOKUP($A39,'SegEnds_NonXtal_Prot#'!$A:$AL,12,FALSE)</f>
        <v>106</v>
      </c>
      <c r="V39" s="5">
        <f>VLOOKUP($A39,'SegEnds_NonXtal_Prot#'!$A:$AL,15,FALSE)</f>
        <v>110</v>
      </c>
      <c r="W39" s="5">
        <f>VLOOKUP($A39,'SegEnds_NonXtal_Prot#'!$A:$AL,18,FALSE)</f>
        <v>146</v>
      </c>
      <c r="X39" s="5">
        <f>VLOOKUP($A39,'SegEnds_NonXtal_Prot#'!$A:$AL,21,FALSE)</f>
        <v>152</v>
      </c>
      <c r="Y39" s="5">
        <f>VLOOKUP($A39,'SegEnds_NonXtal_Prot#'!$A:$AL,24,FALSE)</f>
        <v>200</v>
      </c>
      <c r="Z39" s="5">
        <f>VLOOKUP($A39,'SegEnds_NonXtal_Prot#'!$A:$AL,27,FALSE)</f>
        <v>203</v>
      </c>
      <c r="AA39" s="5">
        <f>VLOOKUP($A39,'SegEnds_NonXtal_Prot#'!$A:$AL,30,FALSE)</f>
        <v>253</v>
      </c>
      <c r="AB39" s="5">
        <f>VLOOKUP($A39,'SegEnds_NonXtal_Prot#'!$A:$AL,33,FALSE)</f>
        <v>295</v>
      </c>
      <c r="AC39" s="5" t="str">
        <f>VLOOKUP($A39,'SegEnds_NonXtal_Prot#'!$A:$AL,36,FALSE)</f>
        <v>-</v>
      </c>
      <c r="AD39" s="5">
        <f>VLOOKUP($A39,'SegEnds_NonXtal_Prot#'!$A:$AL,5,FALSE)</f>
        <v>63</v>
      </c>
      <c r="AE39" s="5">
        <f>VLOOKUP($A39,'SegEnds_NonXtal_Prot#'!$A:$AL,8,FALSE)</f>
        <v>74</v>
      </c>
      <c r="AF39" s="5">
        <f>VLOOKUP($A39,'SegEnds_NonXtal_Prot#'!$A:$AL,11,FALSE)</f>
        <v>103</v>
      </c>
      <c r="AG39" s="5">
        <f>VLOOKUP($A39,'SegEnds_NonXtal_Prot#'!$A:$AL,14,FALSE)</f>
        <v>109</v>
      </c>
      <c r="AH39" s="5">
        <f>VLOOKUP($A39,'SegEnds_NonXtal_Prot#'!$A:$AL,17,FALSE)</f>
        <v>145</v>
      </c>
      <c r="AI39" s="5">
        <f>VLOOKUP($A39,'SegEnds_NonXtal_Prot#'!$A:$AL,20,FALSE)</f>
        <v>149</v>
      </c>
      <c r="AJ39" s="5">
        <f>VLOOKUP($A39,'SegEnds_NonXtal_Prot#'!$A:$AL,23,FALSE)</f>
        <v>178</v>
      </c>
      <c r="AK39" s="5">
        <f>VLOOKUP($A39,'SegEnds_NonXtal_Prot#'!$A:$AL,26,FALSE)</f>
        <v>202</v>
      </c>
      <c r="AL39" s="5">
        <f>VLOOKUP($A39,'SegEnds_NonXtal_Prot#'!$A:$AL,29,FALSE)</f>
        <v>247</v>
      </c>
      <c r="AM39" s="5">
        <f>VLOOKUP($A39,'SegEnds_NonXtal_Prot#'!$A:$AL,32,FALSE)</f>
        <v>293</v>
      </c>
      <c r="AN39" s="5">
        <f>VLOOKUP($A39,'SegEnds_NonXtal_Prot#'!$A:$AL,35,FALSE)</f>
        <v>326</v>
      </c>
      <c r="AO39" s="5" t="str">
        <f>VLOOKUP($A39,'SegEnds_NonXtal_Prot#'!$A:$AL,38,FALSE)</f>
        <v>-</v>
      </c>
      <c r="AP39" s="5">
        <f t="shared" si="13"/>
        <v>27</v>
      </c>
      <c r="AQ39" s="4">
        <f t="shared" si="14"/>
        <v>3</v>
      </c>
      <c r="AR39" s="4">
        <f t="shared" si="15"/>
        <v>28</v>
      </c>
      <c r="AS39" s="4">
        <f t="shared" si="16"/>
        <v>3</v>
      </c>
      <c r="AT39" s="4">
        <f t="shared" si="17"/>
        <v>35</v>
      </c>
      <c r="AU39" s="4">
        <f t="shared" si="18"/>
        <v>3</v>
      </c>
      <c r="AV39" s="4">
        <f t="shared" si="19"/>
        <v>26</v>
      </c>
      <c r="AW39" s="4">
        <f t="shared" si="20"/>
        <v>2</v>
      </c>
      <c r="AX39" s="4">
        <f t="shared" si="21"/>
        <v>44</v>
      </c>
      <c r="AY39" s="4">
        <f t="shared" si="22"/>
        <v>40</v>
      </c>
      <c r="AZ39" s="4">
        <f t="shared" si="23"/>
        <v>31</v>
      </c>
      <c r="BA39" s="4" t="str">
        <f t="shared" si="24"/>
        <v>-</v>
      </c>
    </row>
    <row r="40" spans="1:53" x14ac:dyDescent="0.2">
      <c r="A40" s="1" t="str">
        <f>'SegEnds_NonXtal_Prot#'!A3</f>
        <v>gpr19_human</v>
      </c>
      <c r="B40" s="1" t="str">
        <f t="shared" si="0"/>
        <v>EVATASIFFGILWLFSIFGNSLVCLVIHRSSTTNYFVVSMACADLLISVASTPFVLLQFTTGGSATCKVVRYFQYLTPGVQIYVLLSICIDRFYTIVYSREKAKKMIAASWVFDAGFVTPVLFFYWEGTAYTVIHFLVGFVIPSVLIILFYQKVIKYIWRIGTDGRTMNIVPRTKVKTIKMFLILNLLFLLSWLPFHVAQLWHPHESSLVFTAITWISFSSSASKPTLYSIYNANFRRGMKETF</v>
      </c>
      <c r="C40" s="29" t="str">
        <f>IF(ISERROR(MATCH(A40,'SegEnds_Xtal_Prot#'!B:B, 0)), "NoXtal", "Xtal")</f>
        <v>NoXtal</v>
      </c>
      <c r="D40" s="4" t="str">
        <f>VLOOKUP(A40,Classification!A:D,2,FALSE)</f>
        <v>A</v>
      </c>
      <c r="E40" s="5" t="str">
        <f>VLOOKUP(A40,Seqs!A:B,2,FALSE)</f>
        <v>MVFAHRMDNSKPHLIIPTLLVPLQNRSCTETATPLPSQYLMELSEEHSWMSNQTDLHYVLKPGEVATASIFFGILWLFSIFGNSLVCLVIHRSRRTQSTTNYFVVSMACADLLISVASTPFVLLQFTTGRWTLGSATCKVVRYFQYLTPGVQIYVLLSICIDRFYTIVYPLSFKVSREKAKKMIAASWVFDAGFVTPVLFFYGSNWDSHCNYFLPSSWEGTAYTVIHFLVGFVIPSVLIILFYQKVIKYIWRIGTDGRTVRRTMNIVPRTKVKTIKMFLILNLLFLLSWLPFHVAQLWHPHEQDYKKSSLVFTAITWISFSSSASKPTLYSIYNANFRRGMKETFCMSSMKCYRSNAYTITTSSRMAKKNYVGISEIPSMAKTITKDSIYDSFDREAKEKKLAWPINSNPPNTFV</v>
      </c>
      <c r="F40" s="5" t="str">
        <f t="shared" si="1"/>
        <v>EVATASIFFGILWLFSIFGNSLVCLVIHRS</v>
      </c>
      <c r="G40" s="4" t="str">
        <f t="shared" si="2"/>
        <v>RRTQ</v>
      </c>
      <c r="H40" s="4" t="str">
        <f t="shared" si="3"/>
        <v>STTNYFVVSMACADLLISVASTPFVLLQFTTG</v>
      </c>
      <c r="I40" s="4" t="str">
        <f t="shared" si="4"/>
        <v>RWTL</v>
      </c>
      <c r="J40" s="4" t="str">
        <f t="shared" si="5"/>
        <v>GSATCKVVRYFQYLTPGVQIYVLLSICIDRFYTIVY</v>
      </c>
      <c r="K40" s="4" t="str">
        <f t="shared" si="6"/>
        <v>PLSF</v>
      </c>
      <c r="L40" s="4" t="str">
        <f t="shared" si="7"/>
        <v>SREKAKKMIAASWVFDAGFVTPVLFFY</v>
      </c>
      <c r="M40" s="4" t="str">
        <f t="shared" si="8"/>
        <v>CNY</v>
      </c>
      <c r="N40" s="4" t="str">
        <f t="shared" si="9"/>
        <v>WEGTAYTVIHFLVGFVIPSVLIILFYQKVIKYIWRIGTDGR</v>
      </c>
      <c r="O40" s="4" t="str">
        <f t="shared" si="10"/>
        <v>TMNIVPRTKVKTIKMFLILNLLFLLSWLPFHVAQLWHPHE</v>
      </c>
      <c r="P40" s="4" t="str">
        <f t="shared" si="11"/>
        <v>SSLVFTAITWISFSSSASKPTLYSIY</v>
      </c>
      <c r="Q40" s="4" t="str">
        <f t="shared" si="12"/>
        <v>NANFRRGMKETF</v>
      </c>
      <c r="R40" s="5">
        <f>VLOOKUP($A40,'SegEnds_NonXtal_Prot#'!$A:$AL,3,FALSE)</f>
        <v>64</v>
      </c>
      <c r="S40" s="5">
        <f>VLOOKUP($A40,'SegEnds_NonXtal_Prot#'!$A:$AL,6,FALSE)</f>
        <v>94</v>
      </c>
      <c r="T40" s="5">
        <f>VLOOKUP($A40,'SegEnds_NonXtal_Prot#'!$A:$AL,9,FALSE)</f>
        <v>98</v>
      </c>
      <c r="U40" s="5">
        <f>VLOOKUP($A40,'SegEnds_NonXtal_Prot#'!$A:$AL,12,FALSE)</f>
        <v>130</v>
      </c>
      <c r="V40" s="5">
        <f>VLOOKUP($A40,'SegEnds_NonXtal_Prot#'!$A:$AL,15,FALSE)</f>
        <v>134</v>
      </c>
      <c r="W40" s="5">
        <f>VLOOKUP($A40,'SegEnds_NonXtal_Prot#'!$A:$AL,18,FALSE)</f>
        <v>170</v>
      </c>
      <c r="X40" s="5">
        <f>VLOOKUP($A40,'SegEnds_NonXtal_Prot#'!$A:$AL,21,FALSE)</f>
        <v>176</v>
      </c>
      <c r="Y40" s="5">
        <f>VLOOKUP($A40,'SegEnds_NonXtal_Prot#'!$A:$AL,24,FALSE)</f>
        <v>210</v>
      </c>
      <c r="Z40" s="5">
        <f>VLOOKUP($A40,'SegEnds_NonXtal_Prot#'!$A:$AL,27,FALSE)</f>
        <v>218</v>
      </c>
      <c r="AA40" s="5">
        <f>VLOOKUP($A40,'SegEnds_NonXtal_Prot#'!$A:$AL,30,FALSE)</f>
        <v>263</v>
      </c>
      <c r="AB40" s="5">
        <f>VLOOKUP($A40,'SegEnds_NonXtal_Prot#'!$A:$AL,33,FALSE)</f>
        <v>308</v>
      </c>
      <c r="AC40" s="5">
        <f>VLOOKUP($A40,'SegEnds_NonXtal_Prot#'!$A:$AL,36,FALSE)</f>
        <v>334</v>
      </c>
      <c r="AD40" s="5">
        <f>VLOOKUP($A40,'SegEnds_NonXtal_Prot#'!$A:$AL,5,FALSE)</f>
        <v>93</v>
      </c>
      <c r="AE40" s="5">
        <f>VLOOKUP($A40,'SegEnds_NonXtal_Prot#'!$A:$AL,8,FALSE)</f>
        <v>97</v>
      </c>
      <c r="AF40" s="5">
        <f>VLOOKUP($A40,'SegEnds_NonXtal_Prot#'!$A:$AL,11,FALSE)</f>
        <v>129</v>
      </c>
      <c r="AG40" s="5">
        <f>VLOOKUP($A40,'SegEnds_NonXtal_Prot#'!$A:$AL,14,FALSE)</f>
        <v>133</v>
      </c>
      <c r="AH40" s="5">
        <f>VLOOKUP($A40,'SegEnds_NonXtal_Prot#'!$A:$AL,17,FALSE)</f>
        <v>169</v>
      </c>
      <c r="AI40" s="5">
        <f>VLOOKUP($A40,'SegEnds_NonXtal_Prot#'!$A:$AL,20,FALSE)</f>
        <v>173</v>
      </c>
      <c r="AJ40" s="5">
        <f>VLOOKUP($A40,'SegEnds_NonXtal_Prot#'!$A:$AL,23,FALSE)</f>
        <v>202</v>
      </c>
      <c r="AK40" s="5">
        <f>VLOOKUP($A40,'SegEnds_NonXtal_Prot#'!$A:$AL,26,FALSE)</f>
        <v>212</v>
      </c>
      <c r="AL40" s="5">
        <f>VLOOKUP($A40,'SegEnds_NonXtal_Prot#'!$A:$AL,29,FALSE)</f>
        <v>258</v>
      </c>
      <c r="AM40" s="5">
        <f>VLOOKUP($A40,'SegEnds_NonXtal_Prot#'!$A:$AL,32,FALSE)</f>
        <v>302</v>
      </c>
      <c r="AN40" s="5">
        <f>VLOOKUP($A40,'SegEnds_NonXtal_Prot#'!$A:$AL,35,FALSE)</f>
        <v>333</v>
      </c>
      <c r="AO40" s="5">
        <f>VLOOKUP($A40,'SegEnds_NonXtal_Prot#'!$A:$AL,38,FALSE)</f>
        <v>345</v>
      </c>
      <c r="AP40" s="5">
        <f t="shared" si="13"/>
        <v>29</v>
      </c>
      <c r="AQ40" s="4">
        <f t="shared" si="14"/>
        <v>3</v>
      </c>
      <c r="AR40" s="4">
        <f t="shared" si="15"/>
        <v>31</v>
      </c>
      <c r="AS40" s="4">
        <f t="shared" si="16"/>
        <v>3</v>
      </c>
      <c r="AT40" s="4">
        <f t="shared" si="17"/>
        <v>35</v>
      </c>
      <c r="AU40" s="4">
        <f t="shared" si="18"/>
        <v>3</v>
      </c>
      <c r="AV40" s="4">
        <f t="shared" si="19"/>
        <v>26</v>
      </c>
      <c r="AW40" s="4">
        <f t="shared" si="20"/>
        <v>2</v>
      </c>
      <c r="AX40" s="4">
        <f t="shared" si="21"/>
        <v>40</v>
      </c>
      <c r="AY40" s="4">
        <f t="shared" si="22"/>
        <v>39</v>
      </c>
      <c r="AZ40" s="4">
        <f t="shared" si="23"/>
        <v>25</v>
      </c>
      <c r="BA40" s="4">
        <f t="shared" si="24"/>
        <v>11</v>
      </c>
    </row>
    <row r="41" spans="1:53" x14ac:dyDescent="0.2">
      <c r="A41" s="1" t="str">
        <f>'SegEnds_NonXtal_Prot#'!A4</f>
        <v>gpr22_human</v>
      </c>
      <c r="B41" s="1" t="str">
        <f t="shared" si="0"/>
        <v>SLTGFLMLEIVLGLGSNLTVLVLYCMKNSVSNIITMNLHVLDVIICVGCIPLTIVILLLTALICCFHEACVSFASVSTAINVFAITLDRYDISVKTMGRAVMLMISIWIFSFFSFLIPFIEGMYYHLLVQIPIFFFTVVVMLITYTKILQALNIRIGTRFSRERRERQKRVFRMSLLIISTFLLCWTPISVLNTTILCLLVKLRLCFLVMAYGTTIFHPLLYAFTRQKFQKVLKSKMK</v>
      </c>
      <c r="C41" s="29" t="str">
        <f>IF(ISERROR(MATCH(A41,'SegEnds_Xtal_Prot#'!B:B, 0)), "NoXtal", "Xtal")</f>
        <v>NoXtal</v>
      </c>
      <c r="D41" s="4" t="str">
        <f>VLOOKUP(A41,Classification!A:D,2,FALSE)</f>
        <v>A</v>
      </c>
      <c r="E41" s="5" t="str">
        <f>VLOOKUP(A41,Seqs!A:B,2,FALSE)</f>
        <v>MCFSPILEINMQSESNITVRDDIDDINTNMYQPLSYPLSFQVSLTGFLMLEIVLGLGSNLTVLVLYCMKSNLINSVSNIITMNLHVLDVIICVGCIPLTIVILLLSLESNTALICCFHEACVSFASVSTAINVFAITLDRYDISVKPANRILTMGRAVMLMISIWIFSFFSFLIPFIEVNFFSLQSGNTWENKTLLCVSTNEYYTELGMYYHLLVQIPIFFFTVVVMLITYTKILQALNIRIGTRFSTGQKKKARKKKTISLTTQHEATDMSQSSGGRNVVFGVRTSVSVIIALRRAVKRHRERRERQKRVFRMSLLIISTFLLCWTPISVLNTTILCLGPSDLLVKLRLCFLVMAYGTTIFHPLLYAFTRQKFQKVLKSKMKKRVVSIVEADPLPNNAVIHNSWIDPKRNKKITFEDSEIREKCLVPQVVTD</v>
      </c>
      <c r="F41" s="5" t="str">
        <f t="shared" si="1"/>
        <v>SLTGFLMLEIVLGLGSNLTVLVLYCMK</v>
      </c>
      <c r="G41" s="4" t="str">
        <f t="shared" si="2"/>
        <v>SNLI</v>
      </c>
      <c r="H41" s="4" t="str">
        <f t="shared" si="3"/>
        <v>NSVSNIITMNLHVLDVIICVGCIPLTIVILLL</v>
      </c>
      <c r="I41" s="4" t="str">
        <f t="shared" si="4"/>
        <v/>
      </c>
      <c r="J41" s="4" t="str">
        <f t="shared" si="5"/>
        <v>TALICCFHEACVSFASVSTAINVFAITLDRYDISVK</v>
      </c>
      <c r="K41" s="4" t="str">
        <f t="shared" si="6"/>
        <v>PANR</v>
      </c>
      <c r="L41" s="4" t="str">
        <f t="shared" si="7"/>
        <v>TMGRAVMLMISIWIFSFFSFLIPFIE</v>
      </c>
      <c r="M41" s="4" t="str">
        <f t="shared" si="8"/>
        <v>CVS</v>
      </c>
      <c r="N41" s="4" t="str">
        <f t="shared" si="9"/>
        <v>GMYYHLLVQIPIFFFTVVVMLITYTKILQALNIRIGTRFS</v>
      </c>
      <c r="O41" s="4" t="str">
        <f t="shared" si="10"/>
        <v>RERRERQKRVFRMSLLIISTFLLCWTPISVLNTTILCL</v>
      </c>
      <c r="P41" s="4" t="str">
        <f t="shared" si="11"/>
        <v>LVKLRLCFLVMAYGTTIFHPLLYAFT</v>
      </c>
      <c r="Q41" s="4" t="str">
        <f t="shared" si="12"/>
        <v>RQKFQKVLKSKMK</v>
      </c>
      <c r="R41" s="5">
        <f>VLOOKUP($A41,'SegEnds_NonXtal_Prot#'!$A:$AL,3,FALSE)</f>
        <v>43</v>
      </c>
      <c r="S41" s="5">
        <f>VLOOKUP($A41,'SegEnds_NonXtal_Prot#'!$A:$AL,6,FALSE)</f>
        <v>70</v>
      </c>
      <c r="T41" s="5">
        <f>VLOOKUP($A41,'SegEnds_NonXtal_Prot#'!$A:$AL,9,FALSE)</f>
        <v>74</v>
      </c>
      <c r="U41" s="5" t="str">
        <f>VLOOKUP($A41,'SegEnds_NonXtal_Prot#'!$A:$AL,12,FALSE)</f>
        <v>-</v>
      </c>
      <c r="V41" s="5">
        <f>VLOOKUP($A41,'SegEnds_NonXtal_Prot#'!$A:$AL,15,FALSE)</f>
        <v>111</v>
      </c>
      <c r="W41" s="5">
        <f>VLOOKUP($A41,'SegEnds_NonXtal_Prot#'!$A:$AL,18,FALSE)</f>
        <v>147</v>
      </c>
      <c r="X41" s="5">
        <f>VLOOKUP($A41,'SegEnds_NonXtal_Prot#'!$A:$AL,21,FALSE)</f>
        <v>153</v>
      </c>
      <c r="Y41" s="5">
        <f>VLOOKUP($A41,'SegEnds_NonXtal_Prot#'!$A:$AL,24,FALSE)</f>
        <v>197</v>
      </c>
      <c r="Z41" s="5">
        <f>VLOOKUP($A41,'SegEnds_NonXtal_Prot#'!$A:$AL,27,FALSE)</f>
        <v>208</v>
      </c>
      <c r="AA41" s="5">
        <f>VLOOKUP($A41,'SegEnds_NonXtal_Prot#'!$A:$AL,30,FALSE)</f>
        <v>302</v>
      </c>
      <c r="AB41" s="5">
        <f>VLOOKUP($A41,'SegEnds_NonXtal_Prot#'!$A:$AL,33,FALSE)</f>
        <v>345</v>
      </c>
      <c r="AC41" s="5">
        <f>VLOOKUP($A41,'SegEnds_NonXtal_Prot#'!$A:$AL,36,FALSE)</f>
        <v>371</v>
      </c>
      <c r="AD41" s="5">
        <f>VLOOKUP($A41,'SegEnds_NonXtal_Prot#'!$A:$AL,5,FALSE)</f>
        <v>69</v>
      </c>
      <c r="AE41" s="5">
        <f>VLOOKUP($A41,'SegEnds_NonXtal_Prot#'!$A:$AL,8,FALSE)</f>
        <v>73</v>
      </c>
      <c r="AF41" s="5">
        <f>VLOOKUP($A41,'SegEnds_NonXtal_Prot#'!$A:$AL,11,FALSE)</f>
        <v>105</v>
      </c>
      <c r="AG41" s="5" t="str">
        <f>VLOOKUP($A41,'SegEnds_NonXtal_Prot#'!$A:$AL,14,FALSE)</f>
        <v>-</v>
      </c>
      <c r="AH41" s="5">
        <f>VLOOKUP($A41,'SegEnds_NonXtal_Prot#'!$A:$AL,17,FALSE)</f>
        <v>146</v>
      </c>
      <c r="AI41" s="5">
        <f>VLOOKUP($A41,'SegEnds_NonXtal_Prot#'!$A:$AL,20,FALSE)</f>
        <v>150</v>
      </c>
      <c r="AJ41" s="5">
        <f>VLOOKUP($A41,'SegEnds_NonXtal_Prot#'!$A:$AL,23,FALSE)</f>
        <v>178</v>
      </c>
      <c r="AK41" s="5">
        <f>VLOOKUP($A41,'SegEnds_NonXtal_Prot#'!$A:$AL,26,FALSE)</f>
        <v>199</v>
      </c>
      <c r="AL41" s="5">
        <f>VLOOKUP($A41,'SegEnds_NonXtal_Prot#'!$A:$AL,29,FALSE)</f>
        <v>247</v>
      </c>
      <c r="AM41" s="5">
        <f>VLOOKUP($A41,'SegEnds_NonXtal_Prot#'!$A:$AL,32,FALSE)</f>
        <v>339</v>
      </c>
      <c r="AN41" s="5">
        <f>VLOOKUP($A41,'SegEnds_NonXtal_Prot#'!$A:$AL,35,FALSE)</f>
        <v>370</v>
      </c>
      <c r="AO41" s="5">
        <f>VLOOKUP($A41,'SegEnds_NonXtal_Prot#'!$A:$AL,38,FALSE)</f>
        <v>383</v>
      </c>
      <c r="AP41" s="5">
        <f t="shared" si="13"/>
        <v>26</v>
      </c>
      <c r="AQ41" s="4">
        <f t="shared" si="14"/>
        <v>3</v>
      </c>
      <c r="AR41" s="4">
        <f t="shared" si="15"/>
        <v>31</v>
      </c>
      <c r="AS41" s="4" t="str">
        <f t="shared" si="16"/>
        <v>-</v>
      </c>
      <c r="AT41" s="4">
        <f t="shared" si="17"/>
        <v>35</v>
      </c>
      <c r="AU41" s="4">
        <f t="shared" si="18"/>
        <v>3</v>
      </c>
      <c r="AV41" s="4">
        <f t="shared" si="19"/>
        <v>25</v>
      </c>
      <c r="AW41" s="4">
        <f t="shared" si="20"/>
        <v>2</v>
      </c>
      <c r="AX41" s="4">
        <f t="shared" si="21"/>
        <v>39</v>
      </c>
      <c r="AY41" s="4">
        <f t="shared" si="22"/>
        <v>37</v>
      </c>
      <c r="AZ41" s="4">
        <f t="shared" si="23"/>
        <v>25</v>
      </c>
      <c r="BA41" s="4">
        <f t="shared" si="24"/>
        <v>12</v>
      </c>
    </row>
    <row r="42" spans="1:53" x14ac:dyDescent="0.2">
      <c r="A42" s="1" t="str">
        <f>'SegEnds_NonXtal_Prot#'!A6</f>
        <v>ox1r_human</v>
      </c>
      <c r="B42" s="1" t="str">
        <f t="shared" si="0"/>
        <v>EWVLIAAYVAVFVVALVGNTLVCLAVWRNTVTNYFIVNLSLADVLVTAICLPASLLVDITGHALCKVIPYLQAVSVSVAVLTLSFIALDRWYAICHTARRARGSILGIWAVSLAIMVPQAAVMDLYPKIYHSCFFIVTYLAPLGLMAMAYFQIFRKLWGRQIPFLAEVKQMRARRKTAKMLMVVLLVFALCYLPISVLNVLKRVFREAVYACFTFSHWLVYANSAANPIIYNFLSGKFREQFKAAF</v>
      </c>
      <c r="C42" s="29" t="str">
        <f>IF(ISERROR(MATCH(A42,'SegEnds_Xtal_Prot#'!B:B, 0)), "NoXtal", "Xtal")</f>
        <v>Xtal</v>
      </c>
      <c r="D42" s="4" t="str">
        <f>VLOOKUP(A42,Classification!A:D,2,FALSE)</f>
        <v>A</v>
      </c>
      <c r="E42" s="5" t="str">
        <f>VLOOKUP(A42,Seqs!A:B,2,FALSE)</f>
        <v>MEPSATPGAQMGVPPGSREPSPVPPDYEDEFLRYLWRDYLYPKQYEWVLIAAYVAVFVVALVGNTLVCLAVWRNHHMRTVTNYFIVNLSLADVLVTAICLPASLLVDITESWLFGHALCKVIPYLQAVSVSVAVLTLSFIALDRWYAICHPLLFKSTARRARGSILGIWAVSLAIMVPQAAVMECSSVLPELANRTRLFSVCDERWADDLYPKIYHSCFFIVTYLAPLGLMAMAYFQIFRKLWGRQIPGTTSALVRNWKRPSDQLGDLEQGLSGEPQPRARAFLAEVKQMRARRKTAKMLMVVLLVFALCYLPISVLNVLKRVFGMFRQASDREAVYACFTFSHWLVYANSAANPIIYNFLSGKFREQFKAAFSCCLPGLGPCGSLKAPSPRSSASHKSLSLQSRCSISKISEHVVLTSVTTVLP</v>
      </c>
      <c r="F42" s="5" t="str">
        <f t="shared" si="1"/>
        <v>EWVLIAAYVAVFVVALVGNTLVCLAVWRN</v>
      </c>
      <c r="G42" s="4" t="str">
        <f t="shared" si="2"/>
        <v>HHMR</v>
      </c>
      <c r="H42" s="4" t="str">
        <f t="shared" si="3"/>
        <v>TVTNYFIVNLSLADVLVTAICLPASLLVDIT</v>
      </c>
      <c r="I42" s="4" t="str">
        <f t="shared" si="4"/>
        <v>SWLF</v>
      </c>
      <c r="J42" s="4" t="str">
        <f t="shared" si="5"/>
        <v>GHALCKVIPYLQAVSVSVAVLTLSFIALDRWYAICH</v>
      </c>
      <c r="K42" s="4" t="str">
        <f t="shared" si="6"/>
        <v>PLLF</v>
      </c>
      <c r="L42" s="4" t="str">
        <f t="shared" si="7"/>
        <v>TARRARGSILGIWAVSLAIMVPQAAVM</v>
      </c>
      <c r="M42" s="4" t="str">
        <f t="shared" si="8"/>
        <v>CDE</v>
      </c>
      <c r="N42" s="4" t="str">
        <f t="shared" si="9"/>
        <v>DLYPKIYHSCFFIVTYLAPLGLMAMAYFQIFRKLWGRQIP</v>
      </c>
      <c r="O42" s="4" t="str">
        <f t="shared" si="10"/>
        <v>FLAEVKQMRARRKTAKMLMVVLLVFALCYLPISVLNVLKRVF</v>
      </c>
      <c r="P42" s="4" t="str">
        <f t="shared" si="11"/>
        <v>REAVYACFTFSHWLVYANSAANPIIYNFL</v>
      </c>
      <c r="Q42" s="4" t="str">
        <f t="shared" si="12"/>
        <v>SGKFREQFKAAF</v>
      </c>
      <c r="R42" s="5">
        <f>VLOOKUP($A42,'SegEnds_NonXtal_Prot#'!$A:$AL,3,FALSE)</f>
        <v>46</v>
      </c>
      <c r="S42" s="5">
        <f>VLOOKUP($A42,'SegEnds_NonXtal_Prot#'!$A:$AL,6,FALSE)</f>
        <v>75</v>
      </c>
      <c r="T42" s="5">
        <f>VLOOKUP($A42,'SegEnds_NonXtal_Prot#'!$A:$AL,9,FALSE)</f>
        <v>79</v>
      </c>
      <c r="U42" s="5">
        <f>VLOOKUP($A42,'SegEnds_NonXtal_Prot#'!$A:$AL,12,FALSE)</f>
        <v>111</v>
      </c>
      <c r="V42" s="5">
        <f>VLOOKUP($A42,'SegEnds_NonXtal_Prot#'!$A:$AL,15,FALSE)</f>
        <v>115</v>
      </c>
      <c r="W42" s="5">
        <f>VLOOKUP($A42,'SegEnds_NonXtal_Prot#'!$A:$AL,18,FALSE)</f>
        <v>151</v>
      </c>
      <c r="X42" s="5">
        <f>VLOOKUP($A42,'SegEnds_NonXtal_Prot#'!$A:$AL,21,FALSE)</f>
        <v>157</v>
      </c>
      <c r="Y42" s="5">
        <f>VLOOKUP($A42,'SegEnds_NonXtal_Prot#'!$A:$AL,24,FALSE)</f>
        <v>202</v>
      </c>
      <c r="Z42" s="5">
        <f>VLOOKUP($A42,'SegEnds_NonXtal_Prot#'!$A:$AL,27,FALSE)</f>
        <v>209</v>
      </c>
      <c r="AA42" s="5">
        <f>VLOOKUP($A42,'SegEnds_NonXtal_Prot#'!$A:$AL,30,FALSE)</f>
        <v>283</v>
      </c>
      <c r="AB42" s="5">
        <f>VLOOKUP($A42,'SegEnds_NonXtal_Prot#'!$A:$AL,33,FALSE)</f>
        <v>333</v>
      </c>
      <c r="AC42" s="5">
        <f>VLOOKUP($A42,'SegEnds_NonXtal_Prot#'!$A:$AL,36,FALSE)</f>
        <v>362</v>
      </c>
      <c r="AD42" s="5">
        <f>VLOOKUP($A42,'SegEnds_NonXtal_Prot#'!$A:$AL,5,FALSE)</f>
        <v>74</v>
      </c>
      <c r="AE42" s="5">
        <f>VLOOKUP($A42,'SegEnds_NonXtal_Prot#'!$A:$AL,8,FALSE)</f>
        <v>78</v>
      </c>
      <c r="AF42" s="5">
        <f>VLOOKUP($A42,'SegEnds_NonXtal_Prot#'!$A:$AL,11,FALSE)</f>
        <v>109</v>
      </c>
      <c r="AG42" s="5">
        <f>VLOOKUP($A42,'SegEnds_NonXtal_Prot#'!$A:$AL,14,FALSE)</f>
        <v>114</v>
      </c>
      <c r="AH42" s="5">
        <f>VLOOKUP($A42,'SegEnds_NonXtal_Prot#'!$A:$AL,17,FALSE)</f>
        <v>150</v>
      </c>
      <c r="AI42" s="5">
        <f>VLOOKUP($A42,'SegEnds_NonXtal_Prot#'!$A:$AL,20,FALSE)</f>
        <v>154</v>
      </c>
      <c r="AJ42" s="5">
        <f>VLOOKUP($A42,'SegEnds_NonXtal_Prot#'!$A:$AL,23,FALSE)</f>
        <v>183</v>
      </c>
      <c r="AK42" s="5">
        <f>VLOOKUP($A42,'SegEnds_NonXtal_Prot#'!$A:$AL,26,FALSE)</f>
        <v>204</v>
      </c>
      <c r="AL42" s="5">
        <f>VLOOKUP($A42,'SegEnds_NonXtal_Prot#'!$A:$AL,29,FALSE)</f>
        <v>248</v>
      </c>
      <c r="AM42" s="5">
        <f>VLOOKUP($A42,'SegEnds_NonXtal_Prot#'!$A:$AL,32,FALSE)</f>
        <v>324</v>
      </c>
      <c r="AN42" s="5">
        <f>VLOOKUP($A42,'SegEnds_NonXtal_Prot#'!$A:$AL,35,FALSE)</f>
        <v>361</v>
      </c>
      <c r="AO42" s="5">
        <f>VLOOKUP($A42,'SegEnds_NonXtal_Prot#'!$A:$AL,38,FALSE)</f>
        <v>373</v>
      </c>
      <c r="AP42" s="5">
        <f t="shared" si="13"/>
        <v>28</v>
      </c>
      <c r="AQ42" s="4">
        <f t="shared" si="14"/>
        <v>3</v>
      </c>
      <c r="AR42" s="4">
        <f t="shared" si="15"/>
        <v>30</v>
      </c>
      <c r="AS42" s="4">
        <f t="shared" si="16"/>
        <v>3</v>
      </c>
      <c r="AT42" s="4">
        <f t="shared" si="17"/>
        <v>35</v>
      </c>
      <c r="AU42" s="4">
        <f t="shared" si="18"/>
        <v>3</v>
      </c>
      <c r="AV42" s="4">
        <f t="shared" si="19"/>
        <v>26</v>
      </c>
      <c r="AW42" s="4">
        <f t="shared" si="20"/>
        <v>2</v>
      </c>
      <c r="AX42" s="4">
        <f t="shared" si="21"/>
        <v>39</v>
      </c>
      <c r="AY42" s="4">
        <f t="shared" si="22"/>
        <v>41</v>
      </c>
      <c r="AZ42" s="4">
        <f t="shared" si="23"/>
        <v>28</v>
      </c>
      <c r="BA42" s="4">
        <f t="shared" si="24"/>
        <v>11</v>
      </c>
    </row>
    <row r="43" spans="1:53" x14ac:dyDescent="0.2">
      <c r="A43" s="1" t="str">
        <f>'SegEnds_NonXtal_Prot#'!A7</f>
        <v>ox2r_human</v>
      </c>
      <c r="B43" s="1" t="str">
        <f t="shared" si="0"/>
        <v>YEWVLIAGYIIVFVVALIGNVLVCVAVWKNTVTNYFIVNLSLADVLVTITCLPATLVVDITEGQSLCKVIPYLQTVSVSVSVLTLSCIALDRWYAICHTAKRARNSIVIIWIVSCIIMIPQAIVMIYPKMYHICFFLVTYMAPLCLMVLAYLQIFRKLWCRQIPVAAEIKQIRARRKTARMLMIVLLVFAICYLPISILNVLKRVFDRETVYAWFTFSHWLVYANSAANPIIYNFLSGKFREEFKAAF</v>
      </c>
      <c r="C43" s="29" t="str">
        <f>IF(ISERROR(MATCH(A43,'SegEnds_Xtal_Prot#'!B:B, 0)), "NoXtal", "Xtal")</f>
        <v>Xtal</v>
      </c>
      <c r="D43" s="4" t="str">
        <f>VLOOKUP(A43,Classification!A:D,2,FALSE)</f>
        <v>A</v>
      </c>
      <c r="E43" s="5" t="str">
        <f>VLOOKUP(A43,Seqs!A:B,2,FALSE)</f>
        <v>MSGTKLEDSPPCRNWSSASELNETQEPFLNPTDYDDEEFLRYLWREYLHPKEYEWVLIAGYIIVFVVALIGNVLVCVAVWKNHHMRTVTNYFIVNLSLADVLVTITCLPATLVVDITETWFFGQSLCKVIPYLQTVSVSVSVLTLSCIALDRWYAICHPLMFKSTAKRARNSIVIIWIVSCIIMIPQAIVMECSTVFPGLANKTTLFTVCDERWGGEIYPKMYHICFFLVTYMAPLCLMVLAYLQIFRKLWCRQIPGTSSVVQRKWKPLQPVSQPRGPGQPTKSRMSAVAAEIKQIRARRKTARMLMIVLLVFAICYLPISILNVLKRVFGMFAHTEDRETVYAWFTFSHWLVYANSAANPIIYNFLSGKFREEFKAAFSCCCLGVHHRQEDRLTRGRTSTESRKSLTTQISNFDNISKLSEQVVLTSISTLPAANGAGPLQNW</v>
      </c>
      <c r="F43" s="5" t="str">
        <f t="shared" si="1"/>
        <v>YEWVLIAGYIIVFVVALIGNVLVCVAVWKN</v>
      </c>
      <c r="G43" s="4" t="str">
        <f t="shared" si="2"/>
        <v>HHMR</v>
      </c>
      <c r="H43" s="4" t="str">
        <f t="shared" si="3"/>
        <v>TVTNYFIVNLSLADVLVTITCLPATLVVDITE</v>
      </c>
      <c r="I43" s="4" t="str">
        <f t="shared" si="4"/>
        <v>TWFF</v>
      </c>
      <c r="J43" s="4" t="str">
        <f t="shared" si="5"/>
        <v>GQSLCKVIPYLQTVSVSVSVLTLSCIALDRWYAICH</v>
      </c>
      <c r="K43" s="4" t="str">
        <f t="shared" si="6"/>
        <v>PLMF</v>
      </c>
      <c r="L43" s="4" t="str">
        <f t="shared" si="7"/>
        <v>TAKRARNSIVIIWIVSCIIMIPQAIVM</v>
      </c>
      <c r="M43" s="4" t="str">
        <f t="shared" si="8"/>
        <v>CDE</v>
      </c>
      <c r="N43" s="4" t="str">
        <f t="shared" si="9"/>
        <v>IYPKMYHICFFLVTYMAPLCLMVLAYLQIFRKLWCRQIP</v>
      </c>
      <c r="O43" s="4" t="str">
        <f t="shared" si="10"/>
        <v>VAAEIKQIRARRKTARMLMIVLLVFAICYLPISILNVLKRVF</v>
      </c>
      <c r="P43" s="4" t="str">
        <f t="shared" si="11"/>
        <v>DRETVYAWFTFSHWLVYANSAANPIIYNFL</v>
      </c>
      <c r="Q43" s="4" t="str">
        <f t="shared" si="12"/>
        <v>SGKFREEFKAAF</v>
      </c>
      <c r="R43" s="5">
        <f>VLOOKUP($A43,'SegEnds_NonXtal_Prot#'!$A:$AL,3,FALSE)</f>
        <v>53</v>
      </c>
      <c r="S43" s="5">
        <f>VLOOKUP($A43,'SegEnds_NonXtal_Prot#'!$A:$AL,6,FALSE)</f>
        <v>83</v>
      </c>
      <c r="T43" s="5">
        <f>VLOOKUP($A43,'SegEnds_NonXtal_Prot#'!$A:$AL,9,FALSE)</f>
        <v>87</v>
      </c>
      <c r="U43" s="5">
        <f>VLOOKUP($A43,'SegEnds_NonXtal_Prot#'!$A:$AL,12,FALSE)</f>
        <v>119</v>
      </c>
      <c r="V43" s="5">
        <f>VLOOKUP($A43,'SegEnds_NonXtal_Prot#'!$A:$AL,15,FALSE)</f>
        <v>123</v>
      </c>
      <c r="W43" s="5">
        <f>VLOOKUP($A43,'SegEnds_NonXtal_Prot#'!$A:$AL,18,FALSE)</f>
        <v>159</v>
      </c>
      <c r="X43" s="5">
        <f>VLOOKUP($A43,'SegEnds_NonXtal_Prot#'!$A:$AL,21,FALSE)</f>
        <v>165</v>
      </c>
      <c r="Y43" s="5">
        <f>VLOOKUP($A43,'SegEnds_NonXtal_Prot#'!$A:$AL,24,FALSE)</f>
        <v>210</v>
      </c>
      <c r="Z43" s="5">
        <f>VLOOKUP($A43,'SegEnds_NonXtal_Prot#'!$A:$AL,27,FALSE)</f>
        <v>218</v>
      </c>
      <c r="AA43" s="5">
        <f>VLOOKUP($A43,'SegEnds_NonXtal_Prot#'!$A:$AL,30,FALSE)</f>
        <v>289</v>
      </c>
      <c r="AB43" s="5">
        <f>VLOOKUP($A43,'SegEnds_NonXtal_Prot#'!$A:$AL,33,FALSE)</f>
        <v>338</v>
      </c>
      <c r="AC43" s="5">
        <f>VLOOKUP($A43,'SegEnds_NonXtal_Prot#'!$A:$AL,36,FALSE)</f>
        <v>368</v>
      </c>
      <c r="AD43" s="5">
        <f>VLOOKUP($A43,'SegEnds_NonXtal_Prot#'!$A:$AL,5,FALSE)</f>
        <v>82</v>
      </c>
      <c r="AE43" s="5">
        <f>VLOOKUP($A43,'SegEnds_NonXtal_Prot#'!$A:$AL,8,FALSE)</f>
        <v>86</v>
      </c>
      <c r="AF43" s="5">
        <f>VLOOKUP($A43,'SegEnds_NonXtal_Prot#'!$A:$AL,11,FALSE)</f>
        <v>118</v>
      </c>
      <c r="AG43" s="5">
        <f>VLOOKUP($A43,'SegEnds_NonXtal_Prot#'!$A:$AL,14,FALSE)</f>
        <v>122</v>
      </c>
      <c r="AH43" s="5">
        <f>VLOOKUP($A43,'SegEnds_NonXtal_Prot#'!$A:$AL,17,FALSE)</f>
        <v>158</v>
      </c>
      <c r="AI43" s="5">
        <f>VLOOKUP($A43,'SegEnds_NonXtal_Prot#'!$A:$AL,20,FALSE)</f>
        <v>162</v>
      </c>
      <c r="AJ43" s="5">
        <f>VLOOKUP($A43,'SegEnds_NonXtal_Prot#'!$A:$AL,23,FALSE)</f>
        <v>191</v>
      </c>
      <c r="AK43" s="5">
        <f>VLOOKUP($A43,'SegEnds_NonXtal_Prot#'!$A:$AL,26,FALSE)</f>
        <v>212</v>
      </c>
      <c r="AL43" s="5">
        <f>VLOOKUP($A43,'SegEnds_NonXtal_Prot#'!$A:$AL,29,FALSE)</f>
        <v>256</v>
      </c>
      <c r="AM43" s="5">
        <f>VLOOKUP($A43,'SegEnds_NonXtal_Prot#'!$A:$AL,32,FALSE)</f>
        <v>330</v>
      </c>
      <c r="AN43" s="5">
        <f>VLOOKUP($A43,'SegEnds_NonXtal_Prot#'!$A:$AL,35,FALSE)</f>
        <v>367</v>
      </c>
      <c r="AO43" s="5">
        <f>VLOOKUP($A43,'SegEnds_NonXtal_Prot#'!$A:$AL,38,FALSE)</f>
        <v>379</v>
      </c>
      <c r="AP43" s="5">
        <f t="shared" si="13"/>
        <v>29</v>
      </c>
      <c r="AQ43" s="4">
        <f t="shared" si="14"/>
        <v>3</v>
      </c>
      <c r="AR43" s="4">
        <f t="shared" si="15"/>
        <v>31</v>
      </c>
      <c r="AS43" s="4">
        <f t="shared" si="16"/>
        <v>3</v>
      </c>
      <c r="AT43" s="4">
        <f t="shared" si="17"/>
        <v>35</v>
      </c>
      <c r="AU43" s="4">
        <f t="shared" si="18"/>
        <v>3</v>
      </c>
      <c r="AV43" s="4">
        <f t="shared" si="19"/>
        <v>26</v>
      </c>
      <c r="AW43" s="4">
        <f t="shared" si="20"/>
        <v>2</v>
      </c>
      <c r="AX43" s="4">
        <f t="shared" si="21"/>
        <v>38</v>
      </c>
      <c r="AY43" s="4">
        <f t="shared" si="22"/>
        <v>41</v>
      </c>
      <c r="AZ43" s="4">
        <f t="shared" si="23"/>
        <v>29</v>
      </c>
      <c r="BA43" s="4">
        <f t="shared" si="24"/>
        <v>11</v>
      </c>
    </row>
    <row r="44" spans="1:53" x14ac:dyDescent="0.2">
      <c r="A44" s="1" t="str">
        <f>'SegEnds_NonXtal_Prot#'!A8</f>
        <v>prlhr_human</v>
      </c>
      <c r="B44" s="1" t="str">
        <f t="shared" si="0"/>
        <v>LKGLIVLLYSVVVVVGLVGNCLLVLVIARVNVTNFLIGNLALSDVLMCTACVPLTLAYAFEPGGGLCHLVFFLQPVTVYVSVFTLTTIAVDRYVVLVHSLRLSAYAVLAIWALSAVLALPAAVHTRQRQLYAWGLLLVTYLLPLLVILLSYVRVSVKLRNRVVPGCQADWDRARRRRTFCLLVVIVVVFAVCWLPLHVFNLLRDLDDPYAFGLVQLLCHWLAMSSACYNPFIYAWLHDSFREELRKLL</v>
      </c>
      <c r="C44" s="29" t="str">
        <f>IF(ISERROR(MATCH(A44,'SegEnds_Xtal_Prot#'!B:B, 0)), "NoXtal", "Xtal")</f>
        <v>NoXtal</v>
      </c>
      <c r="D44" s="4" t="str">
        <f>VLOOKUP(A44,Classification!A:D,2,FALSE)</f>
        <v>A</v>
      </c>
      <c r="E44" s="5" t="str">
        <f>VLOOKUP(A44,Seqs!A:B,2,FALSE)</f>
        <v>MASSTTRGPRVSDLFSGLPPAVTTPANQSAEASAGNGSVAGADAPAVTPFQSLQLVHQLKGLIVLLYSVVVVVGLVGNCLLVLVIARVRRLHNVTNFLIGNLALSDVLMCTACVPLTLAYAFEPRGWVFGGGLCHLVFFLQPVTVYVSVFTLTTIAVDRYVVLVHPLRRRISLRLSAYAVLAIWALSAVLALPAAVHTYHVELKPHDVRLCEEFWGSQERQRQLYAWGLLLVTYLLPLLVILLSYVRVSVKLRNRVVPGCVTQSQADWDRARRRRTFCLLVVIVVVFAVCWLPLHVFNLLRDLDPHAIDPYAFGLVQLLCHWLAMSSACYNPFIYAWLHDSFREELRKLLVAWPRKIAPHGQNMTVSVVI</v>
      </c>
      <c r="F44" s="5" t="str">
        <f t="shared" si="1"/>
        <v>LKGLIVLLYSVVVVVGLVGNCLLVLVIARV</v>
      </c>
      <c r="G44" s="4" t="str">
        <f t="shared" si="2"/>
        <v>RRLH</v>
      </c>
      <c r="H44" s="4" t="str">
        <f t="shared" si="3"/>
        <v>NVTNFLIGNLALSDVLMCTACVPLTLAYAFEP</v>
      </c>
      <c r="I44" s="4" t="str">
        <f t="shared" si="4"/>
        <v>GWVF</v>
      </c>
      <c r="J44" s="4" t="str">
        <f t="shared" si="5"/>
        <v>GGGLCHLVFFLQPVTVYVSVFTLTTIAVDRYVVLVH</v>
      </c>
      <c r="K44" s="4" t="str">
        <f t="shared" si="6"/>
        <v>PLRR</v>
      </c>
      <c r="L44" s="4" t="str">
        <f t="shared" si="7"/>
        <v>SLRLSAYAVLAIWALSAVLALPAAVHT</v>
      </c>
      <c r="M44" s="4" t="str">
        <f t="shared" si="8"/>
        <v>CEE</v>
      </c>
      <c r="N44" s="4" t="str">
        <f t="shared" si="9"/>
        <v>RQRQLYAWGLLLVTYLLPLLVILLSYVRVSVKLRNRVVPGC</v>
      </c>
      <c r="O44" s="4" t="str">
        <f t="shared" si="10"/>
        <v>QADWDRARRRRTFCLLVVIVVVFAVCWLPLHVFNLLRDLD</v>
      </c>
      <c r="P44" s="4" t="str">
        <f t="shared" si="11"/>
        <v>DPYAFGLVQLLCHWLAMSSACYNPFIYAWL</v>
      </c>
      <c r="Q44" s="4" t="str">
        <f t="shared" si="12"/>
        <v>HDSFREELRKLL</v>
      </c>
      <c r="R44" s="5">
        <f>VLOOKUP($A44,'SegEnds_NonXtal_Prot#'!$A:$AL,3,FALSE)</f>
        <v>59</v>
      </c>
      <c r="S44" s="5">
        <f>VLOOKUP($A44,'SegEnds_NonXtal_Prot#'!$A:$AL,6,FALSE)</f>
        <v>89</v>
      </c>
      <c r="T44" s="5">
        <f>VLOOKUP($A44,'SegEnds_NonXtal_Prot#'!$A:$AL,9,FALSE)</f>
        <v>93</v>
      </c>
      <c r="U44" s="5">
        <f>VLOOKUP($A44,'SegEnds_NonXtal_Prot#'!$A:$AL,12,FALSE)</f>
        <v>126</v>
      </c>
      <c r="V44" s="5">
        <f>VLOOKUP($A44,'SegEnds_NonXtal_Prot#'!$A:$AL,15,FALSE)</f>
        <v>130</v>
      </c>
      <c r="W44" s="5">
        <f>VLOOKUP($A44,'SegEnds_NonXtal_Prot#'!$A:$AL,18,FALSE)</f>
        <v>166</v>
      </c>
      <c r="X44" s="5">
        <f>VLOOKUP($A44,'SegEnds_NonXtal_Prot#'!$A:$AL,21,FALSE)</f>
        <v>172</v>
      </c>
      <c r="Y44" s="5">
        <f>VLOOKUP($A44,'SegEnds_NonXtal_Prot#'!$A:$AL,24,FALSE)</f>
        <v>211</v>
      </c>
      <c r="Z44" s="5">
        <f>VLOOKUP($A44,'SegEnds_NonXtal_Prot#'!$A:$AL,27,FALSE)</f>
        <v>220</v>
      </c>
      <c r="AA44" s="5">
        <f>VLOOKUP($A44,'SegEnds_NonXtal_Prot#'!$A:$AL,30,FALSE)</f>
        <v>265</v>
      </c>
      <c r="AB44" s="5">
        <f>VLOOKUP($A44,'SegEnds_NonXtal_Prot#'!$A:$AL,33,FALSE)</f>
        <v>309</v>
      </c>
      <c r="AC44" s="5">
        <f>VLOOKUP($A44,'SegEnds_NonXtal_Prot#'!$A:$AL,36,FALSE)</f>
        <v>339</v>
      </c>
      <c r="AD44" s="5">
        <f>VLOOKUP($A44,'SegEnds_NonXtal_Prot#'!$A:$AL,5,FALSE)</f>
        <v>88</v>
      </c>
      <c r="AE44" s="5">
        <f>VLOOKUP($A44,'SegEnds_NonXtal_Prot#'!$A:$AL,8,FALSE)</f>
        <v>92</v>
      </c>
      <c r="AF44" s="5">
        <f>VLOOKUP($A44,'SegEnds_NonXtal_Prot#'!$A:$AL,11,FALSE)</f>
        <v>124</v>
      </c>
      <c r="AG44" s="5">
        <f>VLOOKUP($A44,'SegEnds_NonXtal_Prot#'!$A:$AL,14,FALSE)</f>
        <v>129</v>
      </c>
      <c r="AH44" s="5">
        <f>VLOOKUP($A44,'SegEnds_NonXtal_Prot#'!$A:$AL,17,FALSE)</f>
        <v>165</v>
      </c>
      <c r="AI44" s="5">
        <f>VLOOKUP($A44,'SegEnds_NonXtal_Prot#'!$A:$AL,20,FALSE)</f>
        <v>169</v>
      </c>
      <c r="AJ44" s="5">
        <f>VLOOKUP($A44,'SegEnds_NonXtal_Prot#'!$A:$AL,23,FALSE)</f>
        <v>198</v>
      </c>
      <c r="AK44" s="5">
        <f>VLOOKUP($A44,'SegEnds_NonXtal_Prot#'!$A:$AL,26,FALSE)</f>
        <v>213</v>
      </c>
      <c r="AL44" s="5">
        <f>VLOOKUP($A44,'SegEnds_NonXtal_Prot#'!$A:$AL,29,FALSE)</f>
        <v>260</v>
      </c>
      <c r="AM44" s="5">
        <f>VLOOKUP($A44,'SegEnds_NonXtal_Prot#'!$A:$AL,32,FALSE)</f>
        <v>304</v>
      </c>
      <c r="AN44" s="5">
        <f>VLOOKUP($A44,'SegEnds_NonXtal_Prot#'!$A:$AL,35,FALSE)</f>
        <v>338</v>
      </c>
      <c r="AO44" s="5">
        <f>VLOOKUP($A44,'SegEnds_NonXtal_Prot#'!$A:$AL,38,FALSE)</f>
        <v>350</v>
      </c>
      <c r="AP44" s="5">
        <f t="shared" si="13"/>
        <v>29</v>
      </c>
      <c r="AQ44" s="4">
        <f t="shared" si="14"/>
        <v>3</v>
      </c>
      <c r="AR44" s="4">
        <f t="shared" si="15"/>
        <v>31</v>
      </c>
      <c r="AS44" s="4">
        <f t="shared" si="16"/>
        <v>3</v>
      </c>
      <c r="AT44" s="4">
        <f t="shared" si="17"/>
        <v>35</v>
      </c>
      <c r="AU44" s="4">
        <f t="shared" si="18"/>
        <v>3</v>
      </c>
      <c r="AV44" s="4">
        <f t="shared" si="19"/>
        <v>26</v>
      </c>
      <c r="AW44" s="4">
        <f t="shared" si="20"/>
        <v>2</v>
      </c>
      <c r="AX44" s="4">
        <f t="shared" si="21"/>
        <v>40</v>
      </c>
      <c r="AY44" s="4">
        <f t="shared" si="22"/>
        <v>39</v>
      </c>
      <c r="AZ44" s="4">
        <f t="shared" si="23"/>
        <v>29</v>
      </c>
      <c r="BA44" s="4">
        <f t="shared" si="24"/>
        <v>11</v>
      </c>
    </row>
    <row r="45" spans="1:53" x14ac:dyDescent="0.2">
      <c r="A45" s="1" t="str">
        <f>'SegEnds_NonXtal_Prot#'!A9</f>
        <v>agtr2_human</v>
      </c>
      <c r="B45" s="1" t="str">
        <f t="shared" si="0"/>
        <v>DAIPILYYIIFVIGFLVNIVVVTLFCCQVSSIYIFNLAVADLLLLATLPLWATYYSYGPVMCKVFGSFLTLNMFASIFFITCMSVDRYQSVIYNPWQASYIVPLVWCMACLSSLPTFYFRKYAQWSAGIALMKNILGFIIPLIFIATCYFGIRKHLLKTGKNRITRDQVLKMAAAVVLAFIICWLPFHVLTFLDALAWMGSCEVIAVIDLALPFAILLGFTNSCVNPFLYCFVGNRFQQKLRSVFRVP</v>
      </c>
      <c r="C45" s="29" t="str">
        <f>IF(ISERROR(MATCH(A45,'SegEnds_Xtal_Prot#'!B:B, 0)), "NoXtal", "Xtal")</f>
        <v>Xtal</v>
      </c>
      <c r="D45" s="4" t="str">
        <f>VLOOKUP(A45,Classification!A:D,2,FALSE)</f>
        <v>A</v>
      </c>
      <c r="E45" s="5" t="str">
        <f>VLOOKUP(A45,Seqs!A:B,2,FALSE)</f>
        <v>MKGNSTLATTSKNITSGLHFGLVNISGNNESTLNCSQKPSDKHLDAIPILYYIIFVIGFLVNIVVVTLFCCQKGPKKVSSIYIFNLAVADLLLLATLPLWATYYSYRYDWLFGPVMCKVFGSFLTLNMFASIFFITCMSVDRYQSVIYPFLSQRRNPWQASYIVPLVWCMACLSSLPTFYFRDVRTIEYLGVNACIMAFPPEKYAQWSAGIALMKNILGFIIPLIFIATCYFGIRKHLLKTNSYGKNRITRDQVLKMAAAVVLAFIICWLPFHVLTFLDALAWMGVINSCEVIAVIDLALPFAILLGFTNSCVNPFLYCFVGNRFQQKLRSVFRVPITWLQGKRESMSCRKSSSLREMETFVS</v>
      </c>
      <c r="F45" s="5" t="str">
        <f t="shared" si="1"/>
        <v>DAIPILYYIIFVIGFLVNIVVVTLFCCQ</v>
      </c>
      <c r="G45" s="4" t="str">
        <f t="shared" si="2"/>
        <v/>
      </c>
      <c r="H45" s="4" t="str">
        <f t="shared" si="3"/>
        <v>VSSIYIFNLAVADLLLLATLPLWATYYSY</v>
      </c>
      <c r="I45" s="4" t="str">
        <f t="shared" si="4"/>
        <v>DWLF</v>
      </c>
      <c r="J45" s="4" t="str">
        <f t="shared" si="5"/>
        <v>GPVMCKVFGSFLTLNMFASIFFITCMSVDRYQSVIY</v>
      </c>
      <c r="K45" s="4" t="str">
        <f t="shared" si="6"/>
        <v>PFLSQRR</v>
      </c>
      <c r="L45" s="4" t="str">
        <f t="shared" si="7"/>
        <v>NPWQASYIVPLVWCMACLSSLPTFYFR</v>
      </c>
      <c r="M45" s="4" t="str">
        <f t="shared" si="8"/>
        <v>CIM</v>
      </c>
      <c r="N45" s="4" t="str">
        <f t="shared" si="9"/>
        <v>KYAQWSAGIALMKNILGFIIPLIFIATCYFGIRKHLLKT</v>
      </c>
      <c r="O45" s="4" t="str">
        <f t="shared" si="10"/>
        <v>GKNRITRDQVLKMAAAVVLAFIICWLPFHVLTFLDALAWMG</v>
      </c>
      <c r="P45" s="4" t="str">
        <f t="shared" si="11"/>
        <v>SCEVIAVIDLALPFAILLGFTNSCVNPFLYCFV</v>
      </c>
      <c r="Q45" s="4" t="str">
        <f t="shared" si="12"/>
        <v>GNRFQQKLRSVFRVP</v>
      </c>
      <c r="R45" s="5">
        <f>VLOOKUP($A45,'SegEnds_NonXtal_Prot#'!$A:$AL,3,FALSE)</f>
        <v>45</v>
      </c>
      <c r="S45" s="5" t="str">
        <f>VLOOKUP($A45,'SegEnds_NonXtal_Prot#'!$A:$AL,6,FALSE)</f>
        <v>-</v>
      </c>
      <c r="T45" s="5">
        <f>VLOOKUP($A45,'SegEnds_NonXtal_Prot#'!$A:$AL,9,FALSE)</f>
        <v>78</v>
      </c>
      <c r="U45" s="5">
        <f>VLOOKUP($A45,'SegEnds_NonXtal_Prot#'!$A:$AL,12,FALSE)</f>
        <v>109</v>
      </c>
      <c r="V45" s="5">
        <f>VLOOKUP($A45,'SegEnds_NonXtal_Prot#'!$A:$AL,15,FALSE)</f>
        <v>113</v>
      </c>
      <c r="W45" s="5">
        <f>VLOOKUP($A45,'SegEnds_NonXtal_Prot#'!$A:$AL,18,FALSE)</f>
        <v>149</v>
      </c>
      <c r="X45" s="5">
        <f>VLOOKUP($A45,'SegEnds_NonXtal_Prot#'!$A:$AL,21,FALSE)</f>
        <v>156</v>
      </c>
      <c r="Y45" s="5">
        <f>VLOOKUP($A45,'SegEnds_NonXtal_Prot#'!$A:$AL,24,FALSE)</f>
        <v>195</v>
      </c>
      <c r="Z45" s="5">
        <f>VLOOKUP($A45,'SegEnds_NonXtal_Prot#'!$A:$AL,27,FALSE)</f>
        <v>203</v>
      </c>
      <c r="AA45" s="5">
        <f>VLOOKUP($A45,'SegEnds_NonXtal_Prot#'!$A:$AL,30,FALSE)</f>
        <v>245</v>
      </c>
      <c r="AB45" s="5">
        <f>VLOOKUP($A45,'SegEnds_NonXtal_Prot#'!$A:$AL,33,FALSE)</f>
        <v>289</v>
      </c>
      <c r="AC45" s="5">
        <f>VLOOKUP($A45,'SegEnds_NonXtal_Prot#'!$A:$AL,36,FALSE)</f>
        <v>322</v>
      </c>
      <c r="AD45" s="5">
        <f>VLOOKUP($A45,'SegEnds_NonXtal_Prot#'!$A:$AL,5,FALSE)</f>
        <v>72</v>
      </c>
      <c r="AE45" s="5" t="str">
        <f>VLOOKUP($A45,'SegEnds_NonXtal_Prot#'!$A:$AL,8,FALSE)</f>
        <v>-</v>
      </c>
      <c r="AF45" s="5">
        <f>VLOOKUP($A45,'SegEnds_NonXtal_Prot#'!$A:$AL,11,FALSE)</f>
        <v>106</v>
      </c>
      <c r="AG45" s="5">
        <f>VLOOKUP($A45,'SegEnds_NonXtal_Prot#'!$A:$AL,14,FALSE)</f>
        <v>112</v>
      </c>
      <c r="AH45" s="5">
        <f>VLOOKUP($A45,'SegEnds_NonXtal_Prot#'!$A:$AL,17,FALSE)</f>
        <v>148</v>
      </c>
      <c r="AI45" s="5">
        <f>VLOOKUP($A45,'SegEnds_NonXtal_Prot#'!$A:$AL,20,FALSE)</f>
        <v>155</v>
      </c>
      <c r="AJ45" s="5">
        <f>VLOOKUP($A45,'SegEnds_NonXtal_Prot#'!$A:$AL,23,FALSE)</f>
        <v>182</v>
      </c>
      <c r="AK45" s="5">
        <f>VLOOKUP($A45,'SegEnds_NonXtal_Prot#'!$A:$AL,26,FALSE)</f>
        <v>197</v>
      </c>
      <c r="AL45" s="5">
        <f>VLOOKUP($A45,'SegEnds_NonXtal_Prot#'!$A:$AL,29,FALSE)</f>
        <v>241</v>
      </c>
      <c r="AM45" s="5">
        <f>VLOOKUP($A45,'SegEnds_NonXtal_Prot#'!$A:$AL,32,FALSE)</f>
        <v>285</v>
      </c>
      <c r="AN45" s="5">
        <f>VLOOKUP($A45,'SegEnds_NonXtal_Prot#'!$A:$AL,35,FALSE)</f>
        <v>321</v>
      </c>
      <c r="AO45" s="5">
        <f>VLOOKUP($A45,'SegEnds_NonXtal_Prot#'!$A:$AL,38,FALSE)</f>
        <v>336</v>
      </c>
      <c r="AP45" s="5">
        <f t="shared" si="13"/>
        <v>27</v>
      </c>
      <c r="AQ45" s="4" t="str">
        <f t="shared" si="14"/>
        <v>-</v>
      </c>
      <c r="AR45" s="4">
        <f t="shared" si="15"/>
        <v>28</v>
      </c>
      <c r="AS45" s="4">
        <f t="shared" si="16"/>
        <v>3</v>
      </c>
      <c r="AT45" s="4">
        <f t="shared" si="17"/>
        <v>35</v>
      </c>
      <c r="AU45" s="4">
        <f t="shared" si="18"/>
        <v>6</v>
      </c>
      <c r="AV45" s="4">
        <f t="shared" si="19"/>
        <v>26</v>
      </c>
      <c r="AW45" s="4">
        <f t="shared" si="20"/>
        <v>2</v>
      </c>
      <c r="AX45" s="4">
        <f t="shared" si="21"/>
        <v>38</v>
      </c>
      <c r="AY45" s="4">
        <f t="shared" si="22"/>
        <v>40</v>
      </c>
      <c r="AZ45" s="4">
        <f t="shared" si="23"/>
        <v>32</v>
      </c>
      <c r="BA45" s="4">
        <f t="shared" si="24"/>
        <v>14</v>
      </c>
    </row>
    <row r="46" spans="1:53" x14ac:dyDescent="0.2">
      <c r="A46" s="1" t="str">
        <f>'SegEnds_NonXtal_Prot#'!A10</f>
        <v>cxcr1_human</v>
      </c>
      <c r="B46" s="1" t="str">
        <f t="shared" si="0"/>
        <v>TETLNKYVVIIAYALVFLLSLLGNSLVMLVILYSSVTDVYLLNLALADLLFALTLPIWAASKVNGTFLCKVVSLLKEVNFYSGILLLACISVDRYLAIVHKRHLVKFVCLGCWGLSMNLSLPFFLFRTAKWRMVLRILPHTFGFIVPLFVMLFCYGFTLRTLFKAKHRAMRVIFAVVLIFLLCWLPYNLVLLADTLMRTQSCERRNNIGRALDATEILGFLHSCLNPIIYAFIGQNFRHGFLKIL</v>
      </c>
      <c r="C46" s="29" t="str">
        <f>IF(ISERROR(MATCH(A46,'SegEnds_Xtal_Prot#'!B:B, 0)), "NoXtal", "Xtal")</f>
        <v>NoXtal</v>
      </c>
      <c r="D46" s="4" t="str">
        <f>VLOOKUP(A46,Classification!A:D,2,FALSE)</f>
        <v>A</v>
      </c>
      <c r="E46" s="5" t="str">
        <f>VLOOKUP(A46,Seqs!A:B,2,FALSE)</f>
        <v>MSNITDPQMWDFDDLNFTGMPPADEDYSPCMLETETLNKYVVIIAYALVFLLSLLGNSLVMLVILYSRVGRSVTDVYLLNLALADLLFALTLPIWAASKVNGWIFGTFLCKVVSLLKEVNFYSGILLLACISVDRYLAIVHATRTLTQKRHLVKFVCLGCWGLSMNLSLPFFLFRQAYHPNNSSPVCYEVLGNDTAKWRMVLRILPHTFGFIVPLFVMLFCYGFTLRTLFKAHMGQKHRAMRVIFAVVLIFLLCWLPYNLVLLADTLMRTQVIQESCERRNNIGRALDATEILGFLHSCLNPIIYAFIGQNFRHGFLKILAMHGLVSKEFLARHRVTSYTSSSVNVSSNL</v>
      </c>
      <c r="F46" s="5" t="str">
        <f t="shared" si="1"/>
        <v>TETLNKYVVIIAYALVFLLSLLGNSLVMLVILYS</v>
      </c>
      <c r="G46" s="4" t="str">
        <f t="shared" si="2"/>
        <v>RVGR</v>
      </c>
      <c r="H46" s="4" t="str">
        <f t="shared" si="3"/>
        <v>SVTDVYLLNLALADLLFALTLPIWAASKVN</v>
      </c>
      <c r="I46" s="4" t="str">
        <f t="shared" si="4"/>
        <v>GWIF</v>
      </c>
      <c r="J46" s="4" t="str">
        <f t="shared" si="5"/>
        <v>GTFLCKVVSLLKEVNFYSGILLLACISVDRYLAIVH</v>
      </c>
      <c r="K46" s="4" t="str">
        <f t="shared" si="6"/>
        <v>ATRTLTQ</v>
      </c>
      <c r="L46" s="4" t="str">
        <f t="shared" si="7"/>
        <v>KRHLVKFVCLGCWGLSMNLSLPFFLFR</v>
      </c>
      <c r="M46" s="4" t="str">
        <f t="shared" si="8"/>
        <v>CYE</v>
      </c>
      <c r="N46" s="4" t="str">
        <f t="shared" si="9"/>
        <v>TAKWRMVLRILPHTFGFIVPLFVMLFCYGFTLRTLFKA</v>
      </c>
      <c r="O46" s="4" t="str">
        <f t="shared" si="10"/>
        <v>KHRAMRVIFAVVLIFLLCWLPYNLVLLADTLMRTQ</v>
      </c>
      <c r="P46" s="4" t="str">
        <f t="shared" si="11"/>
        <v>SCERRNNIGRALDATEILGFLHSCLNPIIYAFI</v>
      </c>
      <c r="Q46" s="4" t="str">
        <f t="shared" si="12"/>
        <v>GQNFRHGFLKIL</v>
      </c>
      <c r="R46" s="5">
        <f>VLOOKUP($A46,'SegEnds_NonXtal_Prot#'!$A:$AL,3,FALSE)</f>
        <v>34</v>
      </c>
      <c r="S46" s="5">
        <f>VLOOKUP($A46,'SegEnds_NonXtal_Prot#'!$A:$AL,6,FALSE)</f>
        <v>68</v>
      </c>
      <c r="T46" s="5">
        <f>VLOOKUP($A46,'SegEnds_NonXtal_Prot#'!$A:$AL,9,FALSE)</f>
        <v>72</v>
      </c>
      <c r="U46" s="5">
        <f>VLOOKUP($A46,'SegEnds_NonXtal_Prot#'!$A:$AL,12,FALSE)</f>
        <v>102</v>
      </c>
      <c r="V46" s="5">
        <f>VLOOKUP($A46,'SegEnds_NonXtal_Prot#'!$A:$AL,15,FALSE)</f>
        <v>106</v>
      </c>
      <c r="W46" s="5">
        <f>VLOOKUP($A46,'SegEnds_NonXtal_Prot#'!$A:$AL,18,FALSE)</f>
        <v>142</v>
      </c>
      <c r="X46" s="5">
        <f>VLOOKUP($A46,'SegEnds_NonXtal_Prot#'!$A:$AL,21,FALSE)</f>
        <v>149</v>
      </c>
      <c r="Y46" s="5">
        <f>VLOOKUP($A46,'SegEnds_NonXtal_Prot#'!$A:$AL,24,FALSE)</f>
        <v>187</v>
      </c>
      <c r="Z46" s="5">
        <f>VLOOKUP($A46,'SegEnds_NonXtal_Prot#'!$A:$AL,27,FALSE)</f>
        <v>195</v>
      </c>
      <c r="AA46" s="5">
        <f>VLOOKUP($A46,'SegEnds_NonXtal_Prot#'!$A:$AL,30,FALSE)</f>
        <v>237</v>
      </c>
      <c r="AB46" s="5">
        <f>VLOOKUP($A46,'SegEnds_NonXtal_Prot#'!$A:$AL,33,FALSE)</f>
        <v>276</v>
      </c>
      <c r="AC46" s="5">
        <f>VLOOKUP($A46,'SegEnds_NonXtal_Prot#'!$A:$AL,36,FALSE)</f>
        <v>309</v>
      </c>
      <c r="AD46" s="5">
        <f>VLOOKUP($A46,'SegEnds_NonXtal_Prot#'!$A:$AL,5,FALSE)</f>
        <v>67</v>
      </c>
      <c r="AE46" s="5">
        <f>VLOOKUP($A46,'SegEnds_NonXtal_Prot#'!$A:$AL,8,FALSE)</f>
        <v>71</v>
      </c>
      <c r="AF46" s="5">
        <f>VLOOKUP($A46,'SegEnds_NonXtal_Prot#'!$A:$AL,11,FALSE)</f>
        <v>101</v>
      </c>
      <c r="AG46" s="5">
        <f>VLOOKUP($A46,'SegEnds_NonXtal_Prot#'!$A:$AL,14,FALSE)</f>
        <v>105</v>
      </c>
      <c r="AH46" s="5">
        <f>VLOOKUP($A46,'SegEnds_NonXtal_Prot#'!$A:$AL,17,FALSE)</f>
        <v>141</v>
      </c>
      <c r="AI46" s="5">
        <f>VLOOKUP($A46,'SegEnds_NonXtal_Prot#'!$A:$AL,20,FALSE)</f>
        <v>148</v>
      </c>
      <c r="AJ46" s="5">
        <f>VLOOKUP($A46,'SegEnds_NonXtal_Prot#'!$A:$AL,23,FALSE)</f>
        <v>175</v>
      </c>
      <c r="AK46" s="5">
        <f>VLOOKUP($A46,'SegEnds_NonXtal_Prot#'!$A:$AL,26,FALSE)</f>
        <v>189</v>
      </c>
      <c r="AL46" s="5">
        <f>VLOOKUP($A46,'SegEnds_NonXtal_Prot#'!$A:$AL,29,FALSE)</f>
        <v>232</v>
      </c>
      <c r="AM46" s="5">
        <f>VLOOKUP($A46,'SegEnds_NonXtal_Prot#'!$A:$AL,32,FALSE)</f>
        <v>271</v>
      </c>
      <c r="AN46" s="5">
        <f>VLOOKUP($A46,'SegEnds_NonXtal_Prot#'!$A:$AL,35,FALSE)</f>
        <v>308</v>
      </c>
      <c r="AO46" s="5">
        <f>VLOOKUP($A46,'SegEnds_NonXtal_Prot#'!$A:$AL,38,FALSE)</f>
        <v>320</v>
      </c>
      <c r="AP46" s="5">
        <f t="shared" si="13"/>
        <v>33</v>
      </c>
      <c r="AQ46" s="4">
        <f t="shared" si="14"/>
        <v>3</v>
      </c>
      <c r="AR46" s="4">
        <f t="shared" si="15"/>
        <v>29</v>
      </c>
      <c r="AS46" s="4">
        <f t="shared" si="16"/>
        <v>3</v>
      </c>
      <c r="AT46" s="4">
        <f t="shared" si="17"/>
        <v>35</v>
      </c>
      <c r="AU46" s="4">
        <f t="shared" si="18"/>
        <v>6</v>
      </c>
      <c r="AV46" s="4">
        <f t="shared" si="19"/>
        <v>26</v>
      </c>
      <c r="AW46" s="4">
        <f t="shared" si="20"/>
        <v>2</v>
      </c>
      <c r="AX46" s="4">
        <f t="shared" si="21"/>
        <v>37</v>
      </c>
      <c r="AY46" s="4">
        <f t="shared" si="22"/>
        <v>34</v>
      </c>
      <c r="AZ46" s="4">
        <f t="shared" si="23"/>
        <v>32</v>
      </c>
      <c r="BA46" s="4">
        <f t="shared" si="24"/>
        <v>11</v>
      </c>
    </row>
    <row r="47" spans="1:53" x14ac:dyDescent="0.2">
      <c r="A47" s="1" t="str">
        <f>'SegEnds_NonXtal_Prot#'!A11</f>
        <v>cxcr2_human</v>
      </c>
      <c r="B47" s="1" t="str">
        <f t="shared" si="0"/>
        <v>SLEINKYFVVIIYALVFLLSLLGNSLVMLVILYSSVTDVYLLNLALADLLFALTLPIWAASKVNGTFLCKVVSLLKEVNFYSGILLLACISVDRYLAIVHKRYLVKFICLSIWGLSLLLALPVLLFRNWRMLLRILPQSFGFIVPLLIMLFCYGFTLRTLFKAKHRAMRVIFAVVLIFLLCWLPYNLVLLADTLMRTQTCERRNHIDRALDATEILGILHSCLNPLIYAFIGQKFRHGLLKILAIHGLISKD</v>
      </c>
      <c r="C47" s="29" t="str">
        <f>IF(ISERROR(MATCH(A47,'SegEnds_Xtal_Prot#'!B:B, 0)), "NoXtal", "Xtal")</f>
        <v>NoXtal</v>
      </c>
      <c r="D47" s="4" t="str">
        <f>VLOOKUP(A47,Classification!A:D,2,FALSE)</f>
        <v>A</v>
      </c>
      <c r="E47" s="5" t="str">
        <f>VLOOKUP(A47,Seqs!A:B,2,FALSE)</f>
        <v>MEDFNMESDSFEDFWKGEDLSNYSYSSTLPPFLLDAAPCEPESLEINKYFVVIIYALVFLLSLLGNSLVMLVILYSRVGRSVTDVYLLNLALADLLFALTLPIWAASKVNGWIFGTFLCKVVSLLKEVNFYSGILLLACISVDRYLAIVHATRTLTQKRYLVKFICLSIWGLSLLLALPVLLFRRTVYSSNVSPACYEDMGNNTANWRMLLRILPQSFGFIVPLLIMLFCYGFTLRTLFKAHMGQKHRAMRVIFAVVLIFLLCWLPYNLVLLADTLMRTQVIQETCERRNHIDRALDATEILGILHSCLNPLIYAFIGQKFRHGLLKILAIHGLISKDSLPKDSRPSFVGSSSGHTSTTL</v>
      </c>
      <c r="F47" s="5" t="str">
        <f t="shared" si="1"/>
        <v>SLEINKYFVVIIYALVFLLSLLGNSLVMLVILYS</v>
      </c>
      <c r="G47" s="4" t="str">
        <f t="shared" si="2"/>
        <v>RVGR</v>
      </c>
      <c r="H47" s="4" t="str">
        <f t="shared" si="3"/>
        <v>SVTDVYLLNLALADLLFALTLPIWAASKVN</v>
      </c>
      <c r="I47" s="4" t="str">
        <f t="shared" si="4"/>
        <v>GWIF</v>
      </c>
      <c r="J47" s="4" t="str">
        <f t="shared" si="5"/>
        <v>GTFLCKVVSLLKEVNFYSGILLLACISVDRYLAIVH</v>
      </c>
      <c r="K47" s="4" t="str">
        <f t="shared" si="6"/>
        <v>ATRTLTQ</v>
      </c>
      <c r="L47" s="4" t="str">
        <f t="shared" si="7"/>
        <v>KRYLVKFICLSIWGLSLLLALPVLLFR</v>
      </c>
      <c r="M47" s="4" t="str">
        <f t="shared" si="8"/>
        <v>CYE</v>
      </c>
      <c r="N47" s="4" t="str">
        <f t="shared" si="9"/>
        <v>NWRMLLRILPQSFGFIVPLLIMLFCYGFTLRTLFKA</v>
      </c>
      <c r="O47" s="4" t="str">
        <f t="shared" si="10"/>
        <v>KHRAMRVIFAVVLIFLLCWLPYNLVLLADTLMRTQ</v>
      </c>
      <c r="P47" s="4" t="str">
        <f t="shared" si="11"/>
        <v>TCERRNHIDRALDATEILGILHSCLNPLIYAFI</v>
      </c>
      <c r="Q47" s="4" t="str">
        <f t="shared" si="12"/>
        <v>GQKFRHGLLKILAIHGLISKD</v>
      </c>
      <c r="R47" s="5">
        <f>VLOOKUP($A47,'SegEnds_NonXtal_Prot#'!$A:$AL,3,FALSE)</f>
        <v>43</v>
      </c>
      <c r="S47" s="5">
        <f>VLOOKUP($A47,'SegEnds_NonXtal_Prot#'!$A:$AL,6,FALSE)</f>
        <v>77</v>
      </c>
      <c r="T47" s="5">
        <f>VLOOKUP($A47,'SegEnds_NonXtal_Prot#'!$A:$AL,9,FALSE)</f>
        <v>81</v>
      </c>
      <c r="U47" s="5">
        <f>VLOOKUP($A47,'SegEnds_NonXtal_Prot#'!$A:$AL,12,FALSE)</f>
        <v>111</v>
      </c>
      <c r="V47" s="5">
        <f>VLOOKUP($A47,'SegEnds_NonXtal_Prot#'!$A:$AL,15,FALSE)</f>
        <v>115</v>
      </c>
      <c r="W47" s="5">
        <f>VLOOKUP($A47,'SegEnds_NonXtal_Prot#'!$A:$AL,18,FALSE)</f>
        <v>151</v>
      </c>
      <c r="X47" s="5">
        <f>VLOOKUP($A47,'SegEnds_NonXtal_Prot#'!$A:$AL,21,FALSE)</f>
        <v>158</v>
      </c>
      <c r="Y47" s="5">
        <f>VLOOKUP($A47,'SegEnds_NonXtal_Prot#'!$A:$AL,24,FALSE)</f>
        <v>196</v>
      </c>
      <c r="Z47" s="5">
        <f>VLOOKUP($A47,'SegEnds_NonXtal_Prot#'!$A:$AL,27,FALSE)</f>
        <v>206</v>
      </c>
      <c r="AA47" s="5">
        <f>VLOOKUP($A47,'SegEnds_NonXtal_Prot#'!$A:$AL,30,FALSE)</f>
        <v>246</v>
      </c>
      <c r="AB47" s="5">
        <f>VLOOKUP($A47,'SegEnds_NonXtal_Prot#'!$A:$AL,33,FALSE)</f>
        <v>285</v>
      </c>
      <c r="AC47" s="5">
        <f>VLOOKUP($A47,'SegEnds_NonXtal_Prot#'!$A:$AL,36,FALSE)</f>
        <v>318</v>
      </c>
      <c r="AD47" s="5">
        <f>VLOOKUP($A47,'SegEnds_NonXtal_Prot#'!$A:$AL,5,FALSE)</f>
        <v>76</v>
      </c>
      <c r="AE47" s="5">
        <f>VLOOKUP($A47,'SegEnds_NonXtal_Prot#'!$A:$AL,8,FALSE)</f>
        <v>80</v>
      </c>
      <c r="AF47" s="5">
        <f>VLOOKUP($A47,'SegEnds_NonXtal_Prot#'!$A:$AL,11,FALSE)</f>
        <v>110</v>
      </c>
      <c r="AG47" s="5">
        <f>VLOOKUP($A47,'SegEnds_NonXtal_Prot#'!$A:$AL,14,FALSE)</f>
        <v>114</v>
      </c>
      <c r="AH47" s="5">
        <f>VLOOKUP($A47,'SegEnds_NonXtal_Prot#'!$A:$AL,17,FALSE)</f>
        <v>150</v>
      </c>
      <c r="AI47" s="5">
        <f>VLOOKUP($A47,'SegEnds_NonXtal_Prot#'!$A:$AL,20,FALSE)</f>
        <v>157</v>
      </c>
      <c r="AJ47" s="5">
        <f>VLOOKUP($A47,'SegEnds_NonXtal_Prot#'!$A:$AL,23,FALSE)</f>
        <v>184</v>
      </c>
      <c r="AK47" s="5">
        <f>VLOOKUP($A47,'SegEnds_NonXtal_Prot#'!$A:$AL,26,FALSE)</f>
        <v>198</v>
      </c>
      <c r="AL47" s="5">
        <f>VLOOKUP($A47,'SegEnds_NonXtal_Prot#'!$A:$AL,29,FALSE)</f>
        <v>241</v>
      </c>
      <c r="AM47" s="5">
        <f>VLOOKUP($A47,'SegEnds_NonXtal_Prot#'!$A:$AL,32,FALSE)</f>
        <v>280</v>
      </c>
      <c r="AN47" s="5">
        <f>VLOOKUP($A47,'SegEnds_NonXtal_Prot#'!$A:$AL,35,FALSE)</f>
        <v>317</v>
      </c>
      <c r="AO47" s="5">
        <f>VLOOKUP($A47,'SegEnds_NonXtal_Prot#'!$A:$AL,38,FALSE)</f>
        <v>338</v>
      </c>
      <c r="AP47" s="5">
        <f t="shared" si="13"/>
        <v>33</v>
      </c>
      <c r="AQ47" s="4">
        <f t="shared" si="14"/>
        <v>3</v>
      </c>
      <c r="AR47" s="4">
        <f t="shared" si="15"/>
        <v>29</v>
      </c>
      <c r="AS47" s="4">
        <f t="shared" si="16"/>
        <v>3</v>
      </c>
      <c r="AT47" s="4">
        <f t="shared" si="17"/>
        <v>35</v>
      </c>
      <c r="AU47" s="4">
        <f t="shared" si="18"/>
        <v>6</v>
      </c>
      <c r="AV47" s="4">
        <f t="shared" si="19"/>
        <v>26</v>
      </c>
      <c r="AW47" s="4">
        <f t="shared" si="20"/>
        <v>2</v>
      </c>
      <c r="AX47" s="4">
        <f t="shared" si="21"/>
        <v>35</v>
      </c>
      <c r="AY47" s="4">
        <f t="shared" si="22"/>
        <v>34</v>
      </c>
      <c r="AZ47" s="4">
        <f t="shared" si="23"/>
        <v>32</v>
      </c>
      <c r="BA47" s="4">
        <f t="shared" si="24"/>
        <v>20</v>
      </c>
    </row>
    <row r="48" spans="1:53" x14ac:dyDescent="0.2">
      <c r="A48" s="1" t="str">
        <f>'SegEnds_NonXtal_Prot#'!A13</f>
        <v>gp142_human</v>
      </c>
      <c r="B48" s="1" t="str">
        <f t="shared" si="0"/>
        <v>SPCVAGVIPVIYYSVLLGLGLPVSLLTAVALARLRPSYYYLLALTASDIIIQVVIVFAGFLLQGARQVPQAVVRTANILEFAANHASVWIAILLTVDRYTALCHSSPGRTRRAIAAVLSAALLTGIPFYWWLDMDEVLKWAHCLTVYFIPCGVFLVTNSAIIHRLRRLQPRVGKSTAILLGITTLFTLLWAPRVFVMLYHMYVRDWRVHLALDVANMVAMLHTAANFGLYCFVSKTFRATVRQVIHD</v>
      </c>
      <c r="C48" s="29" t="str">
        <f>IF(ISERROR(MATCH(A48,'SegEnds_Xtal_Prot#'!B:B, 0)), "NoXtal", "Xtal")</f>
        <v>NoXtal</v>
      </c>
      <c r="D48" s="4" t="str">
        <f>VLOOKUP(A48,Classification!A:D,2,FALSE)</f>
        <v>A</v>
      </c>
      <c r="E48" s="5" t="str">
        <f>VLOOKUP(A48,Seqs!A:B,2,FALSE)</f>
        <v>MSIMMLPMEQKIQWVPTSLQDITAVLGTEAYTEEDKSMVSHAQKSQHSCLSHSRWLRSPQVTGGSWDLRIRPSKDSSSFRQAQCLRKDPGANNHLESQGVRGTAGDADRELRGPSEKATAGQPRVTLLPTPHVSGLSQEFESHWPEIAERSPCVAGVIPVIYYSVLLGLGLPVSLLTAVALARLATRTRRPSYYYLLALTASDIIIQVVIVFAGFLLQGAVLARQVPQAVVRTANILEFAANHASVWIAILLTVDRYTALCHPLHHRAASSPGRTRRAIAAVLSAALLTGIPFYWWLDMWRDTDSPRTLDEVLKWAHCLTVYFIPCGVFLVTNSAIIHRLRRRGRSGLQPRVGKSTAILLGITTLFTLLWAPRVFVMLYHMYVAPVHRDWRVHLALDVANMVAMLHTAANFGLYCFVSKTFRATVRQVIHDAYLPCTLASQPEGMAAKPVMEPPGLPTGAEV</v>
      </c>
      <c r="F48" s="5" t="str">
        <f t="shared" si="1"/>
        <v>SPCVAGVIPVIYYSVLLGLGLPVSLLTAVALARL</v>
      </c>
      <c r="G48" s="4" t="str">
        <f t="shared" si="2"/>
        <v/>
      </c>
      <c r="H48" s="4" t="str">
        <f t="shared" si="3"/>
        <v>RPSYYYLLALTASDIIIQVVIVFAGFLLQGA</v>
      </c>
      <c r="I48" s="4" t="str">
        <f t="shared" si="4"/>
        <v/>
      </c>
      <c r="J48" s="4" t="str">
        <f t="shared" si="5"/>
        <v>RQVPQAVVRTANILEFAANHASVWIAILLTVDRYTALCH</v>
      </c>
      <c r="K48" s="4" t="str">
        <f t="shared" si="6"/>
        <v>PLHHRAA</v>
      </c>
      <c r="L48" s="4" t="str">
        <f t="shared" si="7"/>
        <v>SSPGRTRRAIAAVLSAALLTGIPFYWWLDM</v>
      </c>
      <c r="M48" s="4" t="str">
        <f t="shared" si="8"/>
        <v/>
      </c>
      <c r="N48" s="4" t="str">
        <f t="shared" si="9"/>
        <v>DEVLKWAHCLTVYFIPCGVFLVTNSAIIHRLRR</v>
      </c>
      <c r="O48" s="4" t="str">
        <f t="shared" si="10"/>
        <v>LQPRVGKSTAILLGITTLFTLLWAPRVFVMLYHMYV</v>
      </c>
      <c r="P48" s="4" t="str">
        <f t="shared" si="11"/>
        <v>RDWRVHLALDVANMVAMLHTAANFGLYCFV</v>
      </c>
      <c r="Q48" s="4" t="str">
        <f t="shared" si="12"/>
        <v>SKTFRATVRQVIHD</v>
      </c>
      <c r="R48" s="5">
        <f>VLOOKUP($A48,'SegEnds_NonXtal_Prot#'!$A:$AL,3,FALSE)</f>
        <v>151</v>
      </c>
      <c r="S48" s="5" t="str">
        <f>VLOOKUP($A48,'SegEnds_NonXtal_Prot#'!$A:$AL,6,FALSE)</f>
        <v>-</v>
      </c>
      <c r="T48" s="5">
        <f>VLOOKUP($A48,'SegEnds_NonXtal_Prot#'!$A:$AL,9,FALSE)</f>
        <v>190</v>
      </c>
      <c r="U48" s="5" t="str">
        <f>VLOOKUP($A48,'SegEnds_NonXtal_Prot#'!$A:$AL,12,FALSE)</f>
        <v>-</v>
      </c>
      <c r="V48" s="5">
        <f>VLOOKUP($A48,'SegEnds_NonXtal_Prot#'!$A:$AL,15,FALSE)</f>
        <v>224</v>
      </c>
      <c r="W48" s="5">
        <f>VLOOKUP($A48,'SegEnds_NonXtal_Prot#'!$A:$AL,18,FALSE)</f>
        <v>263</v>
      </c>
      <c r="X48" s="5">
        <f>VLOOKUP($A48,'SegEnds_NonXtal_Prot#'!$A:$AL,21,FALSE)</f>
        <v>270</v>
      </c>
      <c r="Y48" s="5" t="str">
        <f>VLOOKUP($A48,'SegEnds_NonXtal_Prot#'!$A:$AL,24,FALSE)</f>
        <v>-</v>
      </c>
      <c r="Z48" s="5">
        <f>VLOOKUP($A48,'SegEnds_NonXtal_Prot#'!$A:$AL,27,FALSE)</f>
        <v>310</v>
      </c>
      <c r="AA48" s="5">
        <f>VLOOKUP($A48,'SegEnds_NonXtal_Prot#'!$A:$AL,30,FALSE)</f>
        <v>348</v>
      </c>
      <c r="AB48" s="5">
        <f>VLOOKUP($A48,'SegEnds_NonXtal_Prot#'!$A:$AL,33,FALSE)</f>
        <v>388</v>
      </c>
      <c r="AC48" s="5">
        <f>VLOOKUP($A48,'SegEnds_NonXtal_Prot#'!$A:$AL,36,FALSE)</f>
        <v>418</v>
      </c>
      <c r="AD48" s="5">
        <f>VLOOKUP($A48,'SegEnds_NonXtal_Prot#'!$A:$AL,5,FALSE)</f>
        <v>184</v>
      </c>
      <c r="AE48" s="5" t="str">
        <f>VLOOKUP($A48,'SegEnds_NonXtal_Prot#'!$A:$AL,8,FALSE)</f>
        <v>-</v>
      </c>
      <c r="AF48" s="5">
        <f>VLOOKUP($A48,'SegEnds_NonXtal_Prot#'!$A:$AL,11,FALSE)</f>
        <v>220</v>
      </c>
      <c r="AG48" s="5" t="str">
        <f>VLOOKUP($A48,'SegEnds_NonXtal_Prot#'!$A:$AL,14,FALSE)</f>
        <v>-</v>
      </c>
      <c r="AH48" s="5">
        <f>VLOOKUP($A48,'SegEnds_NonXtal_Prot#'!$A:$AL,17,FALSE)</f>
        <v>262</v>
      </c>
      <c r="AI48" s="5">
        <f>VLOOKUP($A48,'SegEnds_NonXtal_Prot#'!$A:$AL,20,FALSE)</f>
        <v>269</v>
      </c>
      <c r="AJ48" s="5">
        <f>VLOOKUP($A48,'SegEnds_NonXtal_Prot#'!$A:$AL,23,FALSE)</f>
        <v>299</v>
      </c>
      <c r="AK48" s="5" t="str">
        <f>VLOOKUP($A48,'SegEnds_NonXtal_Prot#'!$A:$AL,26,FALSE)</f>
        <v>-</v>
      </c>
      <c r="AL48" s="5">
        <f>VLOOKUP($A48,'SegEnds_NonXtal_Prot#'!$A:$AL,29,FALSE)</f>
        <v>342</v>
      </c>
      <c r="AM48" s="5">
        <f>VLOOKUP($A48,'SegEnds_NonXtal_Prot#'!$A:$AL,32,FALSE)</f>
        <v>383</v>
      </c>
      <c r="AN48" s="5">
        <f>VLOOKUP($A48,'SegEnds_NonXtal_Prot#'!$A:$AL,35,FALSE)</f>
        <v>417</v>
      </c>
      <c r="AO48" s="5">
        <f>VLOOKUP($A48,'SegEnds_NonXtal_Prot#'!$A:$AL,38,FALSE)</f>
        <v>431</v>
      </c>
      <c r="AP48" s="5">
        <f t="shared" si="13"/>
        <v>33</v>
      </c>
      <c r="AQ48" s="4" t="str">
        <f t="shared" si="14"/>
        <v>-</v>
      </c>
      <c r="AR48" s="4">
        <f t="shared" si="15"/>
        <v>30</v>
      </c>
      <c r="AS48" s="4" t="str">
        <f t="shared" si="16"/>
        <v>-</v>
      </c>
      <c r="AT48" s="4">
        <f t="shared" si="17"/>
        <v>38</v>
      </c>
      <c r="AU48" s="4">
        <f t="shared" si="18"/>
        <v>6</v>
      </c>
      <c r="AV48" s="4">
        <f t="shared" si="19"/>
        <v>29</v>
      </c>
      <c r="AW48" s="4" t="str">
        <f t="shared" si="20"/>
        <v>-</v>
      </c>
      <c r="AX48" s="4">
        <f t="shared" si="21"/>
        <v>32</v>
      </c>
      <c r="AY48" s="4">
        <f t="shared" si="22"/>
        <v>35</v>
      </c>
      <c r="AZ48" s="4">
        <f t="shared" si="23"/>
        <v>29</v>
      </c>
      <c r="BA48" s="4">
        <f t="shared" si="24"/>
        <v>13</v>
      </c>
    </row>
    <row r="49" spans="1:53" x14ac:dyDescent="0.2">
      <c r="A49" s="1" t="str">
        <f>'SegEnds_NonXtal_Prot#'!A14</f>
        <v>gp151_human</v>
      </c>
      <c r="B49" s="1" t="str">
        <f t="shared" si="0"/>
        <v>TIIPALLVAVCLVGFVGNLCVIGILLHNSMIHSLILNLSLADLSLLLFSAPIRATAYSGWFVCKSSDWFIHTCMAAKSLTIVVVAKVCFMYASDHNYTIWSVLVAIWTVASLLPLPEWFFSVAEEFMSMFGKLYPLLAFGLPLFFASFYFWRAYDQCKKRNLRNQIRSKQVTVMLLSIAIISALLWLPEWVAWLWVWHLAAGPAPPQGFIALSQVLMFSISSANPLIFLVMSEEFREGLKGVWKWM</v>
      </c>
      <c r="C49" s="29" t="str">
        <f>IF(ISERROR(MATCH(A49,'SegEnds_Xtal_Prot#'!B:B, 0)), "NoXtal", "Xtal")</f>
        <v>NoXtal</v>
      </c>
      <c r="D49" s="4" t="str">
        <f>VLOOKUP(A49,Classification!A:D,2,FALSE)</f>
        <v>A</v>
      </c>
      <c r="E49" s="5" t="str">
        <f>VLOOKUP(A49,Seqs!A:B,2,FALSE)</f>
        <v>MLAAAFADSNSSSMNVSFAHLHFAGGYLPSDSQDWRTIIPALLVAVCLVGFVGNLCVIGILLHNAWKGKPSMIHSLILNLSLADLSLLLFSAPIRATAYSKSVWDLGWFVCKSSDWFIHTCMAAKSLTIVVVAKVCFMYASDPAKQVSIHNYTIWSVLVAIWTVASLLPLPEWFFSTIRHHEGVEMCLVDVPAVAEEFMSMFGKLYPLLAFGLPLFFASFYFWRAYDQCKKRGTKTQNLRNQIRSKQVTVMLLSIAIISALLWLPEWVAWLWVWHLKAAGPAPPQGFIALSQVLMFSISSANPLIFLVMSEEFREGLKGVWKWMITKKPPTVSESQETPAGNSEGLPDKVPSPESPASIPEKEKPSSPSSGKGKTEKAEIPILPDVEQFWHERDTVPSVQDNDPIPWEHEDQETGEGVK</v>
      </c>
      <c r="F49" s="5" t="str">
        <f t="shared" si="1"/>
        <v>TIIPALLVAVCLVGFVGNLCVIGILLHN</v>
      </c>
      <c r="G49" s="4" t="str">
        <f t="shared" si="2"/>
        <v/>
      </c>
      <c r="H49" s="4" t="str">
        <f t="shared" si="3"/>
        <v>SMIHSLILNLSLADLSLLLFSAPIRATAYS</v>
      </c>
      <c r="I49" s="4" t="str">
        <f t="shared" si="4"/>
        <v>VWDL</v>
      </c>
      <c r="J49" s="4" t="str">
        <f t="shared" si="5"/>
        <v>GWFVCKSSDWFIHTCMAAKSLTIVVVAKVCFMYASD</v>
      </c>
      <c r="K49" s="4" t="str">
        <f t="shared" si="6"/>
        <v>PAKQVSI</v>
      </c>
      <c r="L49" s="4" t="str">
        <f t="shared" si="7"/>
        <v>HNYTIWSVLVAIWTVASLLPLPEWFFS</v>
      </c>
      <c r="M49" s="4" t="str">
        <f t="shared" si="8"/>
        <v>CLV</v>
      </c>
      <c r="N49" s="4" t="str">
        <f t="shared" si="9"/>
        <v>VAEEFMSMFGKLYPLLAFGLPLFFASFYFWRAYDQCKKR</v>
      </c>
      <c r="O49" s="4" t="str">
        <f t="shared" si="10"/>
        <v>NLRNQIRSKQVTVMLLSIAIISALLWLPEWVAWLWVWHL</v>
      </c>
      <c r="P49" s="4" t="str">
        <f t="shared" si="11"/>
        <v>AAGPAPPQGFIALSQVLMFSISSANPLIFLVM</v>
      </c>
      <c r="Q49" s="4" t="str">
        <f t="shared" si="12"/>
        <v>SEEFREGLKGVWKWM</v>
      </c>
      <c r="R49" s="5">
        <f>VLOOKUP($A49,'SegEnds_NonXtal_Prot#'!$A:$AL,3,FALSE)</f>
        <v>37</v>
      </c>
      <c r="S49" s="5" t="str">
        <f>VLOOKUP($A49,'SegEnds_NonXtal_Prot#'!$A:$AL,6,FALSE)</f>
        <v>-</v>
      </c>
      <c r="T49" s="5">
        <f>VLOOKUP($A49,'SegEnds_NonXtal_Prot#'!$A:$AL,9,FALSE)</f>
        <v>71</v>
      </c>
      <c r="U49" s="5">
        <f>VLOOKUP($A49,'SegEnds_NonXtal_Prot#'!$A:$AL,12,FALSE)</f>
        <v>103</v>
      </c>
      <c r="V49" s="5">
        <f>VLOOKUP($A49,'SegEnds_NonXtal_Prot#'!$A:$AL,15,FALSE)</f>
        <v>107</v>
      </c>
      <c r="W49" s="5">
        <f>VLOOKUP($A49,'SegEnds_NonXtal_Prot#'!$A:$AL,18,FALSE)</f>
        <v>143</v>
      </c>
      <c r="X49" s="5">
        <f>VLOOKUP($A49,'SegEnds_NonXtal_Prot#'!$A:$AL,21,FALSE)</f>
        <v>150</v>
      </c>
      <c r="Y49" s="5">
        <f>VLOOKUP($A49,'SegEnds_NonXtal_Prot#'!$A:$AL,24,FALSE)</f>
        <v>187</v>
      </c>
      <c r="Z49" s="5">
        <f>VLOOKUP($A49,'SegEnds_NonXtal_Prot#'!$A:$AL,27,FALSE)</f>
        <v>194</v>
      </c>
      <c r="AA49" s="5">
        <f>VLOOKUP($A49,'SegEnds_NonXtal_Prot#'!$A:$AL,30,FALSE)</f>
        <v>238</v>
      </c>
      <c r="AB49" s="5">
        <f>VLOOKUP($A49,'SegEnds_NonXtal_Prot#'!$A:$AL,33,FALSE)</f>
        <v>278</v>
      </c>
      <c r="AC49" s="5">
        <f>VLOOKUP($A49,'SegEnds_NonXtal_Prot#'!$A:$AL,36,FALSE)</f>
        <v>310</v>
      </c>
      <c r="AD49" s="5">
        <f>VLOOKUP($A49,'SegEnds_NonXtal_Prot#'!$A:$AL,5,FALSE)</f>
        <v>64</v>
      </c>
      <c r="AE49" s="5" t="str">
        <f>VLOOKUP($A49,'SegEnds_NonXtal_Prot#'!$A:$AL,8,FALSE)</f>
        <v>-</v>
      </c>
      <c r="AF49" s="5">
        <f>VLOOKUP($A49,'SegEnds_NonXtal_Prot#'!$A:$AL,11,FALSE)</f>
        <v>100</v>
      </c>
      <c r="AG49" s="5">
        <f>VLOOKUP($A49,'SegEnds_NonXtal_Prot#'!$A:$AL,14,FALSE)</f>
        <v>106</v>
      </c>
      <c r="AH49" s="5">
        <f>VLOOKUP($A49,'SegEnds_NonXtal_Prot#'!$A:$AL,17,FALSE)</f>
        <v>142</v>
      </c>
      <c r="AI49" s="5">
        <f>VLOOKUP($A49,'SegEnds_NonXtal_Prot#'!$A:$AL,20,FALSE)</f>
        <v>149</v>
      </c>
      <c r="AJ49" s="5">
        <f>VLOOKUP($A49,'SegEnds_NonXtal_Prot#'!$A:$AL,23,FALSE)</f>
        <v>176</v>
      </c>
      <c r="AK49" s="5">
        <f>VLOOKUP($A49,'SegEnds_NonXtal_Prot#'!$A:$AL,26,FALSE)</f>
        <v>189</v>
      </c>
      <c r="AL49" s="5">
        <f>VLOOKUP($A49,'SegEnds_NonXtal_Prot#'!$A:$AL,29,FALSE)</f>
        <v>232</v>
      </c>
      <c r="AM49" s="5">
        <f>VLOOKUP($A49,'SegEnds_NonXtal_Prot#'!$A:$AL,32,FALSE)</f>
        <v>276</v>
      </c>
      <c r="AN49" s="5">
        <f>VLOOKUP($A49,'SegEnds_NonXtal_Prot#'!$A:$AL,35,FALSE)</f>
        <v>309</v>
      </c>
      <c r="AO49" s="5">
        <f>VLOOKUP($A49,'SegEnds_NonXtal_Prot#'!$A:$AL,38,FALSE)</f>
        <v>324</v>
      </c>
      <c r="AP49" s="5">
        <f t="shared" si="13"/>
        <v>27</v>
      </c>
      <c r="AQ49" s="4" t="str">
        <f t="shared" si="14"/>
        <v>-</v>
      </c>
      <c r="AR49" s="4">
        <f t="shared" si="15"/>
        <v>29</v>
      </c>
      <c r="AS49" s="4">
        <f t="shared" si="16"/>
        <v>3</v>
      </c>
      <c r="AT49" s="4">
        <f t="shared" si="17"/>
        <v>35</v>
      </c>
      <c r="AU49" s="4">
        <f t="shared" si="18"/>
        <v>6</v>
      </c>
      <c r="AV49" s="4">
        <f t="shared" si="19"/>
        <v>26</v>
      </c>
      <c r="AW49" s="4">
        <f t="shared" si="20"/>
        <v>2</v>
      </c>
      <c r="AX49" s="4">
        <f t="shared" si="21"/>
        <v>38</v>
      </c>
      <c r="AY49" s="4">
        <f t="shared" si="22"/>
        <v>38</v>
      </c>
      <c r="AZ49" s="4">
        <f t="shared" si="23"/>
        <v>31</v>
      </c>
      <c r="BA49" s="4">
        <f t="shared" si="24"/>
        <v>14</v>
      </c>
    </row>
    <row r="50" spans="1:53" x14ac:dyDescent="0.2">
      <c r="A50" s="1" t="str">
        <f>'SegEnds_NonXtal_Prot#'!A15</f>
        <v>gp174_human</v>
      </c>
      <c r="B50" s="1" t="str">
        <f t="shared" si="0"/>
        <v>FRYFIYAVTYTVILVPGLIGNILALWVFYGYKRAVIFMINLAIADLLQVLSLPLRIFYYLNGPGLCMFCFYLKYVNMYASIYFLVCISVRRFWFLMYKQKYDLYISIAGWLIICLACVLFPLLRLAQSVVMMTIGELIGFVTPLLIVLYCTWKTVLSLQDKAQDLGEKQKALKMILTCAGVFLICFAPYHFSFPLDFLVKSNSCLARRVILIFHSVALCLASLNSCLDPVIYYFSTNEFRRRLSRQDL</v>
      </c>
      <c r="C50" s="29" t="str">
        <f>IF(ISERROR(MATCH(A50,'SegEnds_Xtal_Prot#'!B:B, 0)), "NoXtal", "Xtal")</f>
        <v>NoXtal</v>
      </c>
      <c r="D50" s="4" t="str">
        <f>VLOOKUP(A50,Classification!A:D,2,FALSE)</f>
        <v>A</v>
      </c>
      <c r="E50" s="5" t="str">
        <f>VLOOKUP(A50,Seqs!A:B,2,FALSE)</f>
        <v>MPANYTCTRPDGDNTDFRYFIYAVTYTVILVPGLIGNILALWVFYGYMKETKRAVIFMINLAIADLLQVLSLPLRIFYYLNHDWPFGPGLCMFCFYLKYVNMYASIYFLVCISVRRFWFLMYPFRFHDCKQKYDLYISIAGWLIICLACVLFPLLRTSDDTSGNRTKCFVDLPTRNVNLAQSVVMMTIGELIGFVTPLLIVLYCTWKTVLSLQDKYPMAQDLGEKQKALKMILTCAGVFLICFAPYHFSFPLDFLVKSNEIKSCLARRVILIFHSVALCLASLNSCLDPVIYYFSTNEFRRRLSRQDLHDSIQLHAKSFVSNHTASTMTPELC</v>
      </c>
      <c r="F50" s="5" t="str">
        <f t="shared" si="1"/>
        <v>FRYFIYAVTYTVILVPGLIGNILALWVFYGY</v>
      </c>
      <c r="G50" s="4" t="str">
        <f t="shared" si="2"/>
        <v/>
      </c>
      <c r="H50" s="4" t="str">
        <f t="shared" si="3"/>
        <v>KRAVIFMINLAIADLLQVLSLPLRIFYYLN</v>
      </c>
      <c r="I50" s="4" t="str">
        <f t="shared" si="4"/>
        <v>DWPF</v>
      </c>
      <c r="J50" s="4" t="str">
        <f t="shared" si="5"/>
        <v>GPGLCMFCFYLKYVNMYASIYFLVCISVRRFWFLMY</v>
      </c>
      <c r="K50" s="4" t="str">
        <f t="shared" si="6"/>
        <v>PFRFHDC</v>
      </c>
      <c r="L50" s="4" t="str">
        <f t="shared" si="7"/>
        <v>KQKYDLYISIAGWLIICLACVLFPLLR</v>
      </c>
      <c r="M50" s="4" t="str">
        <f t="shared" si="8"/>
        <v>CFV</v>
      </c>
      <c r="N50" s="4" t="str">
        <f t="shared" si="9"/>
        <v>LAQSVVMMTIGELIGFVTPLLIVLYCTWKTVLSLQDK</v>
      </c>
      <c r="O50" s="4" t="str">
        <f t="shared" si="10"/>
        <v>AQDLGEKQKALKMILTCAGVFLICFAPYHFSFPLDFLVKSN</v>
      </c>
      <c r="P50" s="4" t="str">
        <f t="shared" si="11"/>
        <v>SCLARRVILIFHSVALCLASLNSCLDPVIYYFS</v>
      </c>
      <c r="Q50" s="4" t="str">
        <f t="shared" si="12"/>
        <v>TNEFRRRLSRQDL</v>
      </c>
      <c r="R50" s="5">
        <f>VLOOKUP($A50,'SegEnds_NonXtal_Prot#'!$A:$AL,3,FALSE)</f>
        <v>17</v>
      </c>
      <c r="S50" s="5" t="str">
        <f>VLOOKUP($A50,'SegEnds_NonXtal_Prot#'!$A:$AL,6,FALSE)</f>
        <v>-</v>
      </c>
      <c r="T50" s="5">
        <f>VLOOKUP($A50,'SegEnds_NonXtal_Prot#'!$A:$AL,9,FALSE)</f>
        <v>52</v>
      </c>
      <c r="U50" s="5">
        <f>VLOOKUP($A50,'SegEnds_NonXtal_Prot#'!$A:$AL,12,FALSE)</f>
        <v>83</v>
      </c>
      <c r="V50" s="5">
        <f>VLOOKUP($A50,'SegEnds_NonXtal_Prot#'!$A:$AL,15,FALSE)</f>
        <v>87</v>
      </c>
      <c r="W50" s="5">
        <f>VLOOKUP($A50,'SegEnds_NonXtal_Prot#'!$A:$AL,18,FALSE)</f>
        <v>123</v>
      </c>
      <c r="X50" s="5">
        <f>VLOOKUP($A50,'SegEnds_NonXtal_Prot#'!$A:$AL,21,FALSE)</f>
        <v>130</v>
      </c>
      <c r="Y50" s="5">
        <f>VLOOKUP($A50,'SegEnds_NonXtal_Prot#'!$A:$AL,24,FALSE)</f>
        <v>168</v>
      </c>
      <c r="Z50" s="5">
        <f>VLOOKUP($A50,'SegEnds_NonXtal_Prot#'!$A:$AL,27,FALSE)</f>
        <v>179</v>
      </c>
      <c r="AA50" s="5">
        <f>VLOOKUP($A50,'SegEnds_NonXtal_Prot#'!$A:$AL,30,FALSE)</f>
        <v>219</v>
      </c>
      <c r="AB50" s="5">
        <f>VLOOKUP($A50,'SegEnds_NonXtal_Prot#'!$A:$AL,33,FALSE)</f>
        <v>263</v>
      </c>
      <c r="AC50" s="5">
        <f>VLOOKUP($A50,'SegEnds_NonXtal_Prot#'!$A:$AL,36,FALSE)</f>
        <v>296</v>
      </c>
      <c r="AD50" s="5">
        <f>VLOOKUP($A50,'SegEnds_NonXtal_Prot#'!$A:$AL,5,FALSE)</f>
        <v>47</v>
      </c>
      <c r="AE50" s="5" t="str">
        <f>VLOOKUP($A50,'SegEnds_NonXtal_Prot#'!$A:$AL,8,FALSE)</f>
        <v>-</v>
      </c>
      <c r="AF50" s="5">
        <f>VLOOKUP($A50,'SegEnds_NonXtal_Prot#'!$A:$AL,11,FALSE)</f>
        <v>81</v>
      </c>
      <c r="AG50" s="5">
        <f>VLOOKUP($A50,'SegEnds_NonXtal_Prot#'!$A:$AL,14,FALSE)</f>
        <v>86</v>
      </c>
      <c r="AH50" s="5">
        <f>VLOOKUP($A50,'SegEnds_NonXtal_Prot#'!$A:$AL,17,FALSE)</f>
        <v>122</v>
      </c>
      <c r="AI50" s="5">
        <f>VLOOKUP($A50,'SegEnds_NonXtal_Prot#'!$A:$AL,20,FALSE)</f>
        <v>129</v>
      </c>
      <c r="AJ50" s="5">
        <f>VLOOKUP($A50,'SegEnds_NonXtal_Prot#'!$A:$AL,23,FALSE)</f>
        <v>156</v>
      </c>
      <c r="AK50" s="5">
        <f>VLOOKUP($A50,'SegEnds_NonXtal_Prot#'!$A:$AL,26,FALSE)</f>
        <v>170</v>
      </c>
      <c r="AL50" s="5">
        <f>VLOOKUP($A50,'SegEnds_NonXtal_Prot#'!$A:$AL,29,FALSE)</f>
        <v>215</v>
      </c>
      <c r="AM50" s="5">
        <f>VLOOKUP($A50,'SegEnds_NonXtal_Prot#'!$A:$AL,32,FALSE)</f>
        <v>259</v>
      </c>
      <c r="AN50" s="5">
        <f>VLOOKUP($A50,'SegEnds_NonXtal_Prot#'!$A:$AL,35,FALSE)</f>
        <v>295</v>
      </c>
      <c r="AO50" s="5">
        <f>VLOOKUP($A50,'SegEnds_NonXtal_Prot#'!$A:$AL,38,FALSE)</f>
        <v>308</v>
      </c>
      <c r="AP50" s="5">
        <f t="shared" si="13"/>
        <v>30</v>
      </c>
      <c r="AQ50" s="4" t="str">
        <f t="shared" si="14"/>
        <v>-</v>
      </c>
      <c r="AR50" s="4">
        <f t="shared" si="15"/>
        <v>29</v>
      </c>
      <c r="AS50" s="4">
        <f t="shared" si="16"/>
        <v>3</v>
      </c>
      <c r="AT50" s="4">
        <f t="shared" si="17"/>
        <v>35</v>
      </c>
      <c r="AU50" s="4">
        <f t="shared" si="18"/>
        <v>6</v>
      </c>
      <c r="AV50" s="4">
        <f t="shared" si="19"/>
        <v>26</v>
      </c>
      <c r="AW50" s="4">
        <f t="shared" si="20"/>
        <v>2</v>
      </c>
      <c r="AX50" s="4">
        <f t="shared" si="21"/>
        <v>36</v>
      </c>
      <c r="AY50" s="4">
        <f t="shared" si="22"/>
        <v>40</v>
      </c>
      <c r="AZ50" s="4">
        <f t="shared" si="23"/>
        <v>32</v>
      </c>
      <c r="BA50" s="4">
        <f t="shared" si="24"/>
        <v>12</v>
      </c>
    </row>
    <row r="51" spans="1:53" x14ac:dyDescent="0.2">
      <c r="A51" s="1" t="str">
        <f>'SegEnds_NonXtal_Prot#'!A16</f>
        <v>lpar1_human</v>
      </c>
      <c r="B51" s="1" t="str">
        <f t="shared" si="0"/>
        <v>TVSKLVMGLGITVCIFIMLANLLVMVAIYVNFPIYYLMANLAAADFFAGLAYFYLMFNTVSTWLLRQGLIDTSLTASVANLLAIAIERHITVFRSNRRVVVVIVVIWTMAIVMGAIPSVGSDSYLVFWAIFNLVTFVVMVVLYAHIFGYVRQRTMRMSGPRRNRDTMMSLLKTVVIVLGAFIICWTPGLVLLLLDVCCDVLAYEKFFLLLAEFNSAMNPIIYSYRDKEMSATFRQILC</v>
      </c>
      <c r="C51" s="29" t="str">
        <f>IF(ISERROR(MATCH(A51,'SegEnds_Xtal_Prot#'!B:B, 0)), "NoXtal", "Xtal")</f>
        <v>Xtal</v>
      </c>
      <c r="D51" s="4" t="str">
        <f>VLOOKUP(A51,Classification!A:D,2,FALSE)</f>
        <v>A</v>
      </c>
      <c r="E51" s="5" t="str">
        <f>VLOOKUP(A51,Seqs!A:B,2,FALSE)</f>
        <v>MAAISTSIPVISQPQFTAMNEPQCFYNESIAFFYNRSGKHLATEWNTVSKLVMGLGITVCIFIMLANLLVMVAIYVNRRFHFPIYYLMANLAAADFFAGLAYFYLMFNTGPNTRRLTVSTWLLRQGLIDTSLTASVANLLAIAIERHITVFRMQLHTRMSNRRVVVVIVVIWTMAIVMGAIPSVGWNCICDIENCSNMAPLYSDSYLVFWAIFNLVTFVVMVVLYAHIFGYVRQRTMRMSRHSSGPRRNRDTMMSLLKTVVIVLGAFIICWTPGLVLLLLDVCCPQCDVLAYEKFFLLLAEFNSAMNPIIYSYRDKEMSATFRQILCCQRSENPTGPTEGSDRSASSLNHTILAGVHSNDHSVV</v>
      </c>
      <c r="F51" s="5" t="str">
        <f t="shared" si="1"/>
        <v>TVSKLVMGLGITVCIFIMLANLLVMVAIYVN</v>
      </c>
      <c r="G51" s="4" t="str">
        <f t="shared" si="2"/>
        <v>RRFH</v>
      </c>
      <c r="H51" s="4" t="str">
        <f t="shared" si="3"/>
        <v>FPIYYLMANLAAADFFAGLAYFYLMFN</v>
      </c>
      <c r="I51" s="4" t="str">
        <f t="shared" si="4"/>
        <v>GPNTRRL</v>
      </c>
      <c r="J51" s="4" t="str">
        <f t="shared" si="5"/>
        <v>TVSTWLLRQGLIDTSLTASVANLLAIAIERHITVFR</v>
      </c>
      <c r="K51" s="4" t="str">
        <f t="shared" si="6"/>
        <v>MQLHTRM</v>
      </c>
      <c r="L51" s="4" t="str">
        <f t="shared" si="7"/>
        <v>SNRRVVVVIVVIWTMAIVMGAIPSVG</v>
      </c>
      <c r="M51" s="4" t="str">
        <f t="shared" si="8"/>
        <v/>
      </c>
      <c r="N51" s="4" t="str">
        <f t="shared" si="9"/>
        <v>SDSYLVFWAIFNLVTFVVMVVLYAHIFGYVRQRTMRMS</v>
      </c>
      <c r="O51" s="4" t="str">
        <f t="shared" si="10"/>
        <v>GPRRNRDTMMSLLKTVVIVLGAFIICWTPGLVLLLLDVCC</v>
      </c>
      <c r="P51" s="4" t="str">
        <f t="shared" si="11"/>
        <v>DVLAYEKFFLLLAEFNSAMNPIIYSYR</v>
      </c>
      <c r="Q51" s="4" t="str">
        <f t="shared" si="12"/>
        <v>DKEMSATFRQILC</v>
      </c>
      <c r="R51" s="5">
        <f>VLOOKUP($A51,'SegEnds_NonXtal_Prot#'!$A:$AL,3,FALSE)</f>
        <v>47</v>
      </c>
      <c r="S51" s="5">
        <f>VLOOKUP($A51,'SegEnds_NonXtal_Prot#'!$A:$AL,6,FALSE)</f>
        <v>78</v>
      </c>
      <c r="T51" s="5">
        <f>VLOOKUP($A51,'SegEnds_NonXtal_Prot#'!$A:$AL,9,FALSE)</f>
        <v>82</v>
      </c>
      <c r="U51" s="5">
        <f>VLOOKUP($A51,'SegEnds_NonXtal_Prot#'!$A:$AL,12,FALSE)</f>
        <v>110</v>
      </c>
      <c r="V51" s="5">
        <f>VLOOKUP($A51,'SegEnds_NonXtal_Prot#'!$A:$AL,15,FALSE)</f>
        <v>117</v>
      </c>
      <c r="W51" s="5">
        <f>VLOOKUP($A51,'SegEnds_NonXtal_Prot#'!$A:$AL,18,FALSE)</f>
        <v>153</v>
      </c>
      <c r="X51" s="5">
        <f>VLOOKUP($A51,'SegEnds_NonXtal_Prot#'!$A:$AL,21,FALSE)</f>
        <v>160</v>
      </c>
      <c r="Y51" s="5" t="str">
        <f>VLOOKUP($A51,'SegEnds_NonXtal_Prot#'!$A:$AL,24,FALSE)</f>
        <v>-</v>
      </c>
      <c r="Z51" s="5">
        <f>VLOOKUP($A51,'SegEnds_NonXtal_Prot#'!$A:$AL,27,FALSE)</f>
        <v>203</v>
      </c>
      <c r="AA51" s="5">
        <f>VLOOKUP($A51,'SegEnds_NonXtal_Prot#'!$A:$AL,30,FALSE)</f>
        <v>245</v>
      </c>
      <c r="AB51" s="5">
        <f>VLOOKUP($A51,'SegEnds_NonXtal_Prot#'!$A:$AL,33,FALSE)</f>
        <v>288</v>
      </c>
      <c r="AC51" s="5">
        <f>VLOOKUP($A51,'SegEnds_NonXtal_Prot#'!$A:$AL,36,FALSE)</f>
        <v>315</v>
      </c>
      <c r="AD51" s="5">
        <f>VLOOKUP($A51,'SegEnds_NonXtal_Prot#'!$A:$AL,5,FALSE)</f>
        <v>77</v>
      </c>
      <c r="AE51" s="5">
        <f>VLOOKUP($A51,'SegEnds_NonXtal_Prot#'!$A:$AL,8,FALSE)</f>
        <v>81</v>
      </c>
      <c r="AF51" s="5">
        <f>VLOOKUP($A51,'SegEnds_NonXtal_Prot#'!$A:$AL,11,FALSE)</f>
        <v>108</v>
      </c>
      <c r="AG51" s="5">
        <f>VLOOKUP($A51,'SegEnds_NonXtal_Prot#'!$A:$AL,14,FALSE)</f>
        <v>116</v>
      </c>
      <c r="AH51" s="5">
        <f>VLOOKUP($A51,'SegEnds_NonXtal_Prot#'!$A:$AL,17,FALSE)</f>
        <v>152</v>
      </c>
      <c r="AI51" s="5">
        <f>VLOOKUP($A51,'SegEnds_NonXtal_Prot#'!$A:$AL,20,FALSE)</f>
        <v>159</v>
      </c>
      <c r="AJ51" s="5">
        <f>VLOOKUP($A51,'SegEnds_NonXtal_Prot#'!$A:$AL,23,FALSE)</f>
        <v>185</v>
      </c>
      <c r="AK51" s="5" t="str">
        <f>VLOOKUP($A51,'SegEnds_NonXtal_Prot#'!$A:$AL,26,FALSE)</f>
        <v>-</v>
      </c>
      <c r="AL51" s="5">
        <f>VLOOKUP($A51,'SegEnds_NonXtal_Prot#'!$A:$AL,29,FALSE)</f>
        <v>240</v>
      </c>
      <c r="AM51" s="5">
        <f>VLOOKUP($A51,'SegEnds_NonXtal_Prot#'!$A:$AL,32,FALSE)</f>
        <v>284</v>
      </c>
      <c r="AN51" s="5">
        <f>VLOOKUP($A51,'SegEnds_NonXtal_Prot#'!$A:$AL,35,FALSE)</f>
        <v>314</v>
      </c>
      <c r="AO51" s="5">
        <f>VLOOKUP($A51,'SegEnds_NonXtal_Prot#'!$A:$AL,38,FALSE)</f>
        <v>327</v>
      </c>
      <c r="AP51" s="5">
        <f t="shared" si="13"/>
        <v>30</v>
      </c>
      <c r="AQ51" s="4">
        <f t="shared" si="14"/>
        <v>3</v>
      </c>
      <c r="AR51" s="4">
        <f t="shared" si="15"/>
        <v>26</v>
      </c>
      <c r="AS51" s="4">
        <f t="shared" si="16"/>
        <v>6</v>
      </c>
      <c r="AT51" s="4">
        <f t="shared" si="17"/>
        <v>35</v>
      </c>
      <c r="AU51" s="4">
        <f t="shared" si="18"/>
        <v>6</v>
      </c>
      <c r="AV51" s="4">
        <f t="shared" si="19"/>
        <v>25</v>
      </c>
      <c r="AW51" s="4" t="str">
        <f t="shared" si="20"/>
        <v>-</v>
      </c>
      <c r="AX51" s="4">
        <f t="shared" si="21"/>
        <v>37</v>
      </c>
      <c r="AY51" s="4">
        <f t="shared" si="22"/>
        <v>39</v>
      </c>
      <c r="AZ51" s="4">
        <f t="shared" si="23"/>
        <v>26</v>
      </c>
      <c r="BA51" s="4">
        <f t="shared" si="24"/>
        <v>12</v>
      </c>
    </row>
    <row r="52" spans="1:53" x14ac:dyDescent="0.2">
      <c r="A52" s="1" t="str">
        <f>'SegEnds_NonXtal_Prot#'!A17</f>
        <v>lpar2_human</v>
      </c>
      <c r="B52" s="1" t="str">
        <f t="shared" si="0"/>
        <v>PKDVVVVALGLTVSVLVLLTNLLVIAAIASNQPIYYLLGNLAAADLFAGVAYLFLMFHSLEGWFLRQGLLDTSLTASVATLLAIAVERHRSVMAPRGRVVMLIVGVWVAALGLGLLPAHSSRSYLAVWALSSLLVFLLMVAVYTRIFFYVRRRVQRMACHPRYRETTLSLVKTVVIILGAFVVCWTPGQVVLLLDGLGNVLAVEKYFLLLAEANSLVNAAVYSCRDAEMRRTFRRLLC</v>
      </c>
      <c r="C52" s="29" t="str">
        <f>IF(ISERROR(MATCH(A52,'SegEnds_Xtal_Prot#'!B:B, 0)), "NoXtal", "Xtal")</f>
        <v>NoXtal</v>
      </c>
      <c r="D52" s="4" t="str">
        <f>VLOOKUP(A52,Classification!A:D,2,FALSE)</f>
        <v>A</v>
      </c>
      <c r="E52" s="5" t="str">
        <f>VLOOKUP(A52,Seqs!A:B,2,FALSE)</f>
        <v>MVIMGQCYYNETIGFFYNNSGKELSSHWRPKDVVVVALGLTVSVLVLLTNLLVIAAIASNRRFHQPIYYLLGNLAAADLFAGVAYLFLMFHTGPRTARLSLEGWFLRQGLLDTSLTASVATLLAIAVERHRSVMAVQLHSRLPRGRVVMLIVGVWVAALGLGLLPAHSWHCLCALDRCSRMAPLLSRSYLAVWALSSLLVFLLMVAVYTRIFFYVRRRVQRMAEHVSCHPRYRETTLSLVKTVVIILGAFVVCWTPGQVVLLLDGLGCESCNVLAVEKYFLLLAEANSLVNAAVYSCRDAEMRRTFRRLLCCACLRQSTRESVHYTSSAQGGASTRIMLPENGHPLMDSTL</v>
      </c>
      <c r="F52" s="5" t="str">
        <f t="shared" si="1"/>
        <v>PKDVVVVALGLTVSVLVLLTNLLVIAAIASN</v>
      </c>
      <c r="G52" s="4" t="str">
        <f t="shared" si="2"/>
        <v>RRFH</v>
      </c>
      <c r="H52" s="4" t="str">
        <f t="shared" si="3"/>
        <v>QPIYYLLGNLAAADLFAGVAYLFLMFH</v>
      </c>
      <c r="I52" s="4" t="str">
        <f t="shared" si="4"/>
        <v>GPRTARL</v>
      </c>
      <c r="J52" s="4" t="str">
        <f t="shared" si="5"/>
        <v>SLEGWFLRQGLLDTSLTASVATLLAIAVERHRSVMA</v>
      </c>
      <c r="K52" s="4" t="str">
        <f t="shared" si="6"/>
        <v>VQLHSRL</v>
      </c>
      <c r="L52" s="4" t="str">
        <f t="shared" si="7"/>
        <v>PRGRVVMLIVGVWVAALGLGLLPAHS</v>
      </c>
      <c r="M52" s="4" t="str">
        <f t="shared" si="8"/>
        <v/>
      </c>
      <c r="N52" s="4" t="str">
        <f t="shared" si="9"/>
        <v>SRSYLAVWALSSLLVFLLMVAVYTRIFFYVRRRVQRMA</v>
      </c>
      <c r="O52" s="4" t="str">
        <f t="shared" si="10"/>
        <v>CHPRYRETTLSLVKTVVIILGAFVVCWTPGQVVLLLDGLG</v>
      </c>
      <c r="P52" s="4" t="str">
        <f t="shared" si="11"/>
        <v>NVLAVEKYFLLLAEANSLVNAAVYSCR</v>
      </c>
      <c r="Q52" s="4" t="str">
        <f t="shared" si="12"/>
        <v>DAEMRRTFRRLLC</v>
      </c>
      <c r="R52" s="5">
        <f>VLOOKUP($A52,'SegEnds_NonXtal_Prot#'!$A:$AL,3,FALSE)</f>
        <v>30</v>
      </c>
      <c r="S52" s="5">
        <f>VLOOKUP($A52,'SegEnds_NonXtal_Prot#'!$A:$AL,6,FALSE)</f>
        <v>61</v>
      </c>
      <c r="T52" s="5">
        <f>VLOOKUP($A52,'SegEnds_NonXtal_Prot#'!$A:$AL,9,FALSE)</f>
        <v>65</v>
      </c>
      <c r="U52" s="5">
        <f>VLOOKUP($A52,'SegEnds_NonXtal_Prot#'!$A:$AL,12,FALSE)</f>
        <v>93</v>
      </c>
      <c r="V52" s="5">
        <f>VLOOKUP($A52,'SegEnds_NonXtal_Prot#'!$A:$AL,15,FALSE)</f>
        <v>100</v>
      </c>
      <c r="W52" s="5">
        <f>VLOOKUP($A52,'SegEnds_NonXtal_Prot#'!$A:$AL,18,FALSE)</f>
        <v>136</v>
      </c>
      <c r="X52" s="5">
        <f>VLOOKUP($A52,'SegEnds_NonXtal_Prot#'!$A:$AL,21,FALSE)</f>
        <v>143</v>
      </c>
      <c r="Y52" s="5" t="str">
        <f>VLOOKUP($A52,'SegEnds_NonXtal_Prot#'!$A:$AL,24,FALSE)</f>
        <v>-</v>
      </c>
      <c r="Z52" s="5">
        <f>VLOOKUP($A52,'SegEnds_NonXtal_Prot#'!$A:$AL,27,FALSE)</f>
        <v>186</v>
      </c>
      <c r="AA52" s="5">
        <f>VLOOKUP($A52,'SegEnds_NonXtal_Prot#'!$A:$AL,30,FALSE)</f>
        <v>228</v>
      </c>
      <c r="AB52" s="5">
        <f>VLOOKUP($A52,'SegEnds_NonXtal_Prot#'!$A:$AL,33,FALSE)</f>
        <v>272</v>
      </c>
      <c r="AC52" s="5">
        <f>VLOOKUP($A52,'SegEnds_NonXtal_Prot#'!$A:$AL,36,FALSE)</f>
        <v>299</v>
      </c>
      <c r="AD52" s="5">
        <f>VLOOKUP($A52,'SegEnds_NonXtal_Prot#'!$A:$AL,5,FALSE)</f>
        <v>60</v>
      </c>
      <c r="AE52" s="5">
        <f>VLOOKUP($A52,'SegEnds_NonXtal_Prot#'!$A:$AL,8,FALSE)</f>
        <v>64</v>
      </c>
      <c r="AF52" s="5">
        <f>VLOOKUP($A52,'SegEnds_NonXtal_Prot#'!$A:$AL,11,FALSE)</f>
        <v>91</v>
      </c>
      <c r="AG52" s="5">
        <f>VLOOKUP($A52,'SegEnds_NonXtal_Prot#'!$A:$AL,14,FALSE)</f>
        <v>99</v>
      </c>
      <c r="AH52" s="5">
        <f>VLOOKUP($A52,'SegEnds_NonXtal_Prot#'!$A:$AL,17,FALSE)</f>
        <v>135</v>
      </c>
      <c r="AI52" s="5">
        <f>VLOOKUP($A52,'SegEnds_NonXtal_Prot#'!$A:$AL,20,FALSE)</f>
        <v>142</v>
      </c>
      <c r="AJ52" s="5">
        <f>VLOOKUP($A52,'SegEnds_NonXtal_Prot#'!$A:$AL,23,FALSE)</f>
        <v>168</v>
      </c>
      <c r="AK52" s="5" t="str">
        <f>VLOOKUP($A52,'SegEnds_NonXtal_Prot#'!$A:$AL,26,FALSE)</f>
        <v>-</v>
      </c>
      <c r="AL52" s="5">
        <f>VLOOKUP($A52,'SegEnds_NonXtal_Prot#'!$A:$AL,29,FALSE)</f>
        <v>223</v>
      </c>
      <c r="AM52" s="5">
        <f>VLOOKUP($A52,'SegEnds_NonXtal_Prot#'!$A:$AL,32,FALSE)</f>
        <v>267</v>
      </c>
      <c r="AN52" s="5">
        <f>VLOOKUP($A52,'SegEnds_NonXtal_Prot#'!$A:$AL,35,FALSE)</f>
        <v>298</v>
      </c>
      <c r="AO52" s="5">
        <f>VLOOKUP($A52,'SegEnds_NonXtal_Prot#'!$A:$AL,38,FALSE)</f>
        <v>311</v>
      </c>
      <c r="AP52" s="5">
        <f t="shared" si="13"/>
        <v>30</v>
      </c>
      <c r="AQ52" s="4">
        <f t="shared" si="14"/>
        <v>3</v>
      </c>
      <c r="AR52" s="4">
        <f t="shared" si="15"/>
        <v>26</v>
      </c>
      <c r="AS52" s="4">
        <f t="shared" si="16"/>
        <v>6</v>
      </c>
      <c r="AT52" s="4">
        <f t="shared" si="17"/>
        <v>35</v>
      </c>
      <c r="AU52" s="4">
        <f t="shared" si="18"/>
        <v>6</v>
      </c>
      <c r="AV52" s="4">
        <f t="shared" si="19"/>
        <v>25</v>
      </c>
      <c r="AW52" s="4" t="str">
        <f t="shared" si="20"/>
        <v>-</v>
      </c>
      <c r="AX52" s="4">
        <f t="shared" si="21"/>
        <v>37</v>
      </c>
      <c r="AY52" s="4">
        <f t="shared" si="22"/>
        <v>39</v>
      </c>
      <c r="AZ52" s="4">
        <f t="shared" si="23"/>
        <v>26</v>
      </c>
      <c r="BA52" s="4">
        <f t="shared" si="24"/>
        <v>12</v>
      </c>
    </row>
    <row r="53" spans="1:53" x14ac:dyDescent="0.2">
      <c r="A53" s="1" t="str">
        <f>'SegEnds_NonXtal_Prot#'!A18</f>
        <v>lpar3_human</v>
      </c>
      <c r="B53" s="1" t="str">
        <f t="shared" si="0"/>
        <v>TKLVIVLCVGTFFCLFIFFSNSLVIAAVIKNFPFYYLLANLAAADFFAGIAYVFLMFNTVNRWFLRQGLLDSSLTASLTNLLVIAVERHMSIMRTKKRVTLLILLVWAIAIFMGAVPTLGSRSYLVFWTVSNLMAFLIMVVVYLRIYVYVKRKTNVLSGSISRRRTPMKLMKTVMTVLGAFVVCWTPGLVVLLLDGLNGVQHVKRWFLLLALLNSVVNPIIYSYKDEDMYGTMKKMIC</v>
      </c>
      <c r="C53" s="29" t="str">
        <f>IF(ISERROR(MATCH(A53,'SegEnds_Xtal_Prot#'!B:B, 0)), "NoXtal", "Xtal")</f>
        <v>NoXtal</v>
      </c>
      <c r="D53" s="4" t="str">
        <f>VLOOKUP(A53,Classification!A:D,2,FALSE)</f>
        <v>A</v>
      </c>
      <c r="E53" s="5" t="str">
        <f>VLOOKUP(A53,Seqs!A:B,2,FALSE)</f>
        <v>MNECHYDKHMDFFYNRSNTDTVDDWTGTKLVIVLCVGTFFCLFIFFSNSLVIAAVIKNRKFHFPFYYLLANLAAADFFAGIAYVFLMFNTGPVSKTLTVNRWFLRQGLLDSSLTASLTNLLVIAVERHMSIMRMRVHSNLTKKRVTLLILLVWAIAIFMGAVPTLGWNCLCNISACSSLAPIYSRSYLVFWTVSNLMAFLIMVVVYLRIYVYVKRKTNVLSPHTSGSISRRRTPMKLMKTVMTVLGAFVVCWTPGLVVLLLDGLNCRQCGVQHVKRWFLLLALLNSVVNPIIYSYKDEDMYGTMKKMICCFSQENPERRPSRIPSTVLSRSDTGSQYIEDSISQGAVCNKSTS</v>
      </c>
      <c r="F53" s="5" t="str">
        <f t="shared" si="1"/>
        <v>TKLVIVLCVGTFFCLFIFFSNSLVIAAVIKN</v>
      </c>
      <c r="G53" s="4" t="str">
        <f t="shared" si="2"/>
        <v>RKFH</v>
      </c>
      <c r="H53" s="4" t="str">
        <f t="shared" si="3"/>
        <v>FPFYYLLANLAAADFFAGIAYVFLMFN</v>
      </c>
      <c r="I53" s="4" t="str">
        <f t="shared" si="4"/>
        <v>GPVSKTL</v>
      </c>
      <c r="J53" s="4" t="str">
        <f t="shared" si="5"/>
        <v>TVNRWFLRQGLLDSSLTASLTNLLVIAVERHMSIMR</v>
      </c>
      <c r="K53" s="4" t="str">
        <f t="shared" si="6"/>
        <v>MRVHSNL</v>
      </c>
      <c r="L53" s="4" t="str">
        <f t="shared" si="7"/>
        <v>TKKRVTLLILLVWAIAIFMGAVPTLG</v>
      </c>
      <c r="M53" s="4" t="str">
        <f t="shared" si="8"/>
        <v/>
      </c>
      <c r="N53" s="4" t="str">
        <f t="shared" si="9"/>
        <v>SRSYLVFWTVSNLMAFLIMVVVYLRIYVYVKRKTNVLS</v>
      </c>
      <c r="O53" s="4" t="str">
        <f t="shared" si="10"/>
        <v>GSISRRRTPMKLMKTVMTVLGAFVVCWTPGLVVLLLDGLN</v>
      </c>
      <c r="P53" s="4" t="str">
        <f t="shared" si="11"/>
        <v>GVQHVKRWFLLLALLNSVVNPIIYSYK</v>
      </c>
      <c r="Q53" s="4" t="str">
        <f t="shared" si="12"/>
        <v>DEDMYGTMKKMIC</v>
      </c>
      <c r="R53" s="5">
        <f>VLOOKUP($A53,'SegEnds_NonXtal_Prot#'!$A:$AL,3,FALSE)</f>
        <v>28</v>
      </c>
      <c r="S53" s="5">
        <f>VLOOKUP($A53,'SegEnds_NonXtal_Prot#'!$A:$AL,6,FALSE)</f>
        <v>59</v>
      </c>
      <c r="T53" s="5">
        <f>VLOOKUP($A53,'SegEnds_NonXtal_Prot#'!$A:$AL,9,FALSE)</f>
        <v>63</v>
      </c>
      <c r="U53" s="5">
        <f>VLOOKUP($A53,'SegEnds_NonXtal_Prot#'!$A:$AL,12,FALSE)</f>
        <v>91</v>
      </c>
      <c r="V53" s="5">
        <f>VLOOKUP($A53,'SegEnds_NonXtal_Prot#'!$A:$AL,15,FALSE)</f>
        <v>98</v>
      </c>
      <c r="W53" s="5">
        <f>VLOOKUP($A53,'SegEnds_NonXtal_Prot#'!$A:$AL,18,FALSE)</f>
        <v>134</v>
      </c>
      <c r="X53" s="5">
        <f>VLOOKUP($A53,'SegEnds_NonXtal_Prot#'!$A:$AL,21,FALSE)</f>
        <v>141</v>
      </c>
      <c r="Y53" s="5" t="str">
        <f>VLOOKUP($A53,'SegEnds_NonXtal_Prot#'!$A:$AL,24,FALSE)</f>
        <v>-</v>
      </c>
      <c r="Z53" s="5">
        <f>VLOOKUP($A53,'SegEnds_NonXtal_Prot#'!$A:$AL,27,FALSE)</f>
        <v>184</v>
      </c>
      <c r="AA53" s="5">
        <f>VLOOKUP($A53,'SegEnds_NonXtal_Prot#'!$A:$AL,30,FALSE)</f>
        <v>226</v>
      </c>
      <c r="AB53" s="5">
        <f>VLOOKUP($A53,'SegEnds_NonXtal_Prot#'!$A:$AL,33,FALSE)</f>
        <v>270</v>
      </c>
      <c r="AC53" s="5">
        <f>VLOOKUP($A53,'SegEnds_NonXtal_Prot#'!$A:$AL,36,FALSE)</f>
        <v>297</v>
      </c>
      <c r="AD53" s="5">
        <f>VLOOKUP($A53,'SegEnds_NonXtal_Prot#'!$A:$AL,5,FALSE)</f>
        <v>58</v>
      </c>
      <c r="AE53" s="5">
        <f>VLOOKUP($A53,'SegEnds_NonXtal_Prot#'!$A:$AL,8,FALSE)</f>
        <v>62</v>
      </c>
      <c r="AF53" s="5">
        <f>VLOOKUP($A53,'SegEnds_NonXtal_Prot#'!$A:$AL,11,FALSE)</f>
        <v>89</v>
      </c>
      <c r="AG53" s="5">
        <f>VLOOKUP($A53,'SegEnds_NonXtal_Prot#'!$A:$AL,14,FALSE)</f>
        <v>97</v>
      </c>
      <c r="AH53" s="5">
        <f>VLOOKUP($A53,'SegEnds_NonXtal_Prot#'!$A:$AL,17,FALSE)</f>
        <v>133</v>
      </c>
      <c r="AI53" s="5">
        <f>VLOOKUP($A53,'SegEnds_NonXtal_Prot#'!$A:$AL,20,FALSE)</f>
        <v>140</v>
      </c>
      <c r="AJ53" s="5">
        <f>VLOOKUP($A53,'SegEnds_NonXtal_Prot#'!$A:$AL,23,FALSE)</f>
        <v>166</v>
      </c>
      <c r="AK53" s="5" t="str">
        <f>VLOOKUP($A53,'SegEnds_NonXtal_Prot#'!$A:$AL,26,FALSE)</f>
        <v>-</v>
      </c>
      <c r="AL53" s="5">
        <f>VLOOKUP($A53,'SegEnds_NonXtal_Prot#'!$A:$AL,29,FALSE)</f>
        <v>221</v>
      </c>
      <c r="AM53" s="5">
        <f>VLOOKUP($A53,'SegEnds_NonXtal_Prot#'!$A:$AL,32,FALSE)</f>
        <v>265</v>
      </c>
      <c r="AN53" s="5">
        <f>VLOOKUP($A53,'SegEnds_NonXtal_Prot#'!$A:$AL,35,FALSE)</f>
        <v>296</v>
      </c>
      <c r="AO53" s="5">
        <f>VLOOKUP($A53,'SegEnds_NonXtal_Prot#'!$A:$AL,38,FALSE)</f>
        <v>309</v>
      </c>
      <c r="AP53" s="5">
        <f t="shared" si="13"/>
        <v>30</v>
      </c>
      <c r="AQ53" s="4">
        <f t="shared" si="14"/>
        <v>3</v>
      </c>
      <c r="AR53" s="4">
        <f t="shared" si="15"/>
        <v>26</v>
      </c>
      <c r="AS53" s="4">
        <f t="shared" si="16"/>
        <v>6</v>
      </c>
      <c r="AT53" s="4">
        <f t="shared" si="17"/>
        <v>35</v>
      </c>
      <c r="AU53" s="4">
        <f t="shared" si="18"/>
        <v>6</v>
      </c>
      <c r="AV53" s="4">
        <f t="shared" si="19"/>
        <v>25</v>
      </c>
      <c r="AW53" s="4" t="str">
        <f t="shared" si="20"/>
        <v>-</v>
      </c>
      <c r="AX53" s="4">
        <f t="shared" si="21"/>
        <v>37</v>
      </c>
      <c r="AY53" s="4">
        <f t="shared" si="22"/>
        <v>39</v>
      </c>
      <c r="AZ53" s="4">
        <f t="shared" si="23"/>
        <v>26</v>
      </c>
      <c r="BA53" s="4">
        <f t="shared" si="24"/>
        <v>12</v>
      </c>
    </row>
    <row r="54" spans="1:53" x14ac:dyDescent="0.2">
      <c r="A54" s="1" t="str">
        <f>'SegEnds_NonXtal_Prot#'!A21</f>
        <v>opn5_human</v>
      </c>
      <c r="B54" s="1" t="str">
        <f t="shared" si="0"/>
        <v>SWEADLVAGFYLTIIGILSTFGNGYVLYMSSRRPAEIMTINLAVCDLGISVVGKPFTIISCFCHGWIGCRWYGWAGFFFGCGSLITMTAVSLDRYLKICYKRKHAYICLAAIWAYASFWTTMPLVGGQVFILNILFFCLLLPTAVIVFSYVKIIAKVKSSSKEVARIHSSHVLEMKLTKVAMLICAGFLIAWIPYAVVSVWSAFGPIQLSVVPTLLAKSAAMYNPIIYQVIDYKFACCQTGGLK</v>
      </c>
      <c r="C54" s="29" t="str">
        <f>IF(ISERROR(MATCH(A54,'SegEnds_Xtal_Prot#'!B:B, 0)), "NoXtal", "Xtal")</f>
        <v>NoXtal</v>
      </c>
      <c r="D54" s="4" t="str">
        <f>VLOOKUP(A54,Classification!A:D,2,FALSE)</f>
        <v>A</v>
      </c>
      <c r="E54" s="5" t="str">
        <f>VLOOKUP(A54,Seqs!A:B,2,FALSE)</f>
        <v>MALNHTALPQDERLPHYLRDGDPFASKLSWEADLVAGFYLTIIGILSTFGNGYVLYMSSRRKKKLRPAEIMTINLAVCDLGISVVGKPFTIISCFCHRWVFGWIGCRWYGWAGFFFGCGSLITMTAVSLDRYLKICYLSYGVWLKRKHAYICLAAIWAYASFWTTMPLVGLGDYVPEPFGTSCTLDWWLAQASVGGQVFILNILFFCLLLPTAVIVFSYVKIIAKVKSSSKEVAHFDSRIHSSHVLEMKLTKVAMLICAGFLIAWIPYAVVSVWSAFGRPDSIPIQLSVVPTLLAKSAAMYNPIIYQVIDYKFACCQTGGLKATKKKSLEGFRLHTVTTVRKSSAVLEIHEEWE</v>
      </c>
      <c r="F54" s="5" t="str">
        <f t="shared" si="1"/>
        <v>SWEADLVAGFYLTIIGILSTFGNGYVLYMSSRR</v>
      </c>
      <c r="G54" s="4" t="str">
        <f t="shared" si="2"/>
        <v>KKLR</v>
      </c>
      <c r="H54" s="4" t="str">
        <f t="shared" si="3"/>
        <v>PAEIMTINLAVCDLGISVVGKPFTIISCFCH</v>
      </c>
      <c r="I54" s="4" t="str">
        <f t="shared" si="4"/>
        <v>RWVF</v>
      </c>
      <c r="J54" s="4" t="str">
        <f t="shared" si="5"/>
        <v>GWIGCRWYGWAGFFFGCGSLITMTAVSLDRYLKICY</v>
      </c>
      <c r="K54" s="4" t="str">
        <f t="shared" si="6"/>
        <v>LSYGVWL</v>
      </c>
      <c r="L54" s="4" t="str">
        <f t="shared" si="7"/>
        <v>KRKHAYICLAAIWAYASFWTTMPLV</v>
      </c>
      <c r="M54" s="4" t="str">
        <f t="shared" si="8"/>
        <v>CTL</v>
      </c>
      <c r="N54" s="4" t="str">
        <f t="shared" si="9"/>
        <v>GGQVFILNILFFCLLLPTAVIVFSYVKIIAKVKSSSKEVA</v>
      </c>
      <c r="O54" s="4" t="str">
        <f t="shared" si="10"/>
        <v>RIHSSHVLEMKLTKVAMLICAGFLIAWIPYAVVSVWSAFG</v>
      </c>
      <c r="P54" s="4" t="str">
        <f t="shared" si="11"/>
        <v>PIQLSVVPTLLAKSAAMYNPIIYQVI</v>
      </c>
      <c r="Q54" s="4" t="str">
        <f t="shared" si="12"/>
        <v>DYKFACCQTGGLK</v>
      </c>
      <c r="R54" s="5">
        <f>VLOOKUP($A54,'SegEnds_NonXtal_Prot#'!$A:$AL,3,FALSE)</f>
        <v>29</v>
      </c>
      <c r="S54" s="5">
        <f>VLOOKUP($A54,'SegEnds_NonXtal_Prot#'!$A:$AL,6,FALSE)</f>
        <v>63</v>
      </c>
      <c r="T54" s="5">
        <f>VLOOKUP($A54,'SegEnds_NonXtal_Prot#'!$A:$AL,9,FALSE)</f>
        <v>67</v>
      </c>
      <c r="U54" s="5">
        <f>VLOOKUP($A54,'SegEnds_NonXtal_Prot#'!$A:$AL,12,FALSE)</f>
        <v>98</v>
      </c>
      <c r="V54" s="5">
        <f>VLOOKUP($A54,'SegEnds_NonXtal_Prot#'!$A:$AL,15,FALSE)</f>
        <v>102</v>
      </c>
      <c r="W54" s="5">
        <f>VLOOKUP($A54,'SegEnds_NonXtal_Prot#'!$A:$AL,18,FALSE)</f>
        <v>138</v>
      </c>
      <c r="X54" s="5">
        <f>VLOOKUP($A54,'SegEnds_NonXtal_Prot#'!$A:$AL,21,FALSE)</f>
        <v>145</v>
      </c>
      <c r="Y54" s="5">
        <f>VLOOKUP($A54,'SegEnds_NonXtal_Prot#'!$A:$AL,24,FALSE)</f>
        <v>183</v>
      </c>
      <c r="Z54" s="5">
        <f>VLOOKUP($A54,'SegEnds_NonXtal_Prot#'!$A:$AL,27,FALSE)</f>
        <v>195</v>
      </c>
      <c r="AA54" s="5">
        <f>VLOOKUP($A54,'SegEnds_NonXtal_Prot#'!$A:$AL,30,FALSE)</f>
        <v>239</v>
      </c>
      <c r="AB54" s="5">
        <f>VLOOKUP($A54,'SegEnds_NonXtal_Prot#'!$A:$AL,33,FALSE)</f>
        <v>284</v>
      </c>
      <c r="AC54" s="5">
        <f>VLOOKUP($A54,'SegEnds_NonXtal_Prot#'!$A:$AL,36,FALSE)</f>
        <v>310</v>
      </c>
      <c r="AD54" s="5">
        <f>VLOOKUP($A54,'SegEnds_NonXtal_Prot#'!$A:$AL,5,FALSE)</f>
        <v>61</v>
      </c>
      <c r="AE54" s="5">
        <f>VLOOKUP($A54,'SegEnds_NonXtal_Prot#'!$A:$AL,8,FALSE)</f>
        <v>66</v>
      </c>
      <c r="AF54" s="5">
        <f>VLOOKUP($A54,'SegEnds_NonXtal_Prot#'!$A:$AL,11,FALSE)</f>
        <v>97</v>
      </c>
      <c r="AG54" s="5">
        <f>VLOOKUP($A54,'SegEnds_NonXtal_Prot#'!$A:$AL,14,FALSE)</f>
        <v>101</v>
      </c>
      <c r="AH54" s="5">
        <f>VLOOKUP($A54,'SegEnds_NonXtal_Prot#'!$A:$AL,17,FALSE)</f>
        <v>137</v>
      </c>
      <c r="AI54" s="5">
        <f>VLOOKUP($A54,'SegEnds_NonXtal_Prot#'!$A:$AL,20,FALSE)</f>
        <v>144</v>
      </c>
      <c r="AJ54" s="5">
        <f>VLOOKUP($A54,'SegEnds_NonXtal_Prot#'!$A:$AL,23,FALSE)</f>
        <v>169</v>
      </c>
      <c r="AK54" s="5">
        <f>VLOOKUP($A54,'SegEnds_NonXtal_Prot#'!$A:$AL,26,FALSE)</f>
        <v>185</v>
      </c>
      <c r="AL54" s="5">
        <f>VLOOKUP($A54,'SegEnds_NonXtal_Prot#'!$A:$AL,29,FALSE)</f>
        <v>234</v>
      </c>
      <c r="AM54" s="5">
        <f>VLOOKUP($A54,'SegEnds_NonXtal_Prot#'!$A:$AL,32,FALSE)</f>
        <v>278</v>
      </c>
      <c r="AN54" s="5">
        <f>VLOOKUP($A54,'SegEnds_NonXtal_Prot#'!$A:$AL,35,FALSE)</f>
        <v>309</v>
      </c>
      <c r="AO54" s="5">
        <f>VLOOKUP($A54,'SegEnds_NonXtal_Prot#'!$A:$AL,38,FALSE)</f>
        <v>322</v>
      </c>
      <c r="AP54" s="5">
        <f t="shared" si="13"/>
        <v>32</v>
      </c>
      <c r="AQ54" s="4">
        <f t="shared" si="14"/>
        <v>3</v>
      </c>
      <c r="AR54" s="4">
        <f t="shared" si="15"/>
        <v>30</v>
      </c>
      <c r="AS54" s="4">
        <f t="shared" si="16"/>
        <v>3</v>
      </c>
      <c r="AT54" s="4">
        <f t="shared" si="17"/>
        <v>35</v>
      </c>
      <c r="AU54" s="4">
        <f t="shared" si="18"/>
        <v>6</v>
      </c>
      <c r="AV54" s="4">
        <f t="shared" si="19"/>
        <v>24</v>
      </c>
      <c r="AW54" s="4">
        <f t="shared" si="20"/>
        <v>2</v>
      </c>
      <c r="AX54" s="4">
        <f t="shared" si="21"/>
        <v>39</v>
      </c>
      <c r="AY54" s="4">
        <f t="shared" si="22"/>
        <v>39</v>
      </c>
      <c r="AZ54" s="4">
        <f t="shared" si="23"/>
        <v>25</v>
      </c>
      <c r="BA54" s="4">
        <f t="shared" si="24"/>
        <v>12</v>
      </c>
    </row>
    <row r="55" spans="1:53" x14ac:dyDescent="0.2">
      <c r="A55" s="1" t="str">
        <f>'SegEnds_NonXtal_Prot#'!A22</f>
        <v>opsb_human</v>
      </c>
      <c r="B55" s="1" t="str">
        <f t="shared" si="0"/>
        <v>VWAFYLQAAFMGTVFLIGFPLNAMVLVATLRYQPLNYILVNVSFGGFLLCIFSVFPVFVASCNGRHVCALEGFLGTVAGLVTGWSLAFLAFERYIVICKSSKHALTVVLATWTIGIGVSIPPFFRSESYTWFLFIFCFIVPLSLICFSYTQLLRALKAVAAQQATTQKAEREVSRMVVVMVGSFCVCYVPYAAFAMYMVNNDLRLVTIPSFFSKSACIYNPIIYCFMNKQFQACIMKMVC</v>
      </c>
      <c r="C55" s="29" t="str">
        <f>IF(ISERROR(MATCH(A55,'SegEnds_Xtal_Prot#'!B:B, 0)), "NoXtal", "Xtal")</f>
        <v>NoXtal</v>
      </c>
      <c r="D55" s="4" t="str">
        <f>VLOOKUP(A55,Classification!A:D,2,FALSE)</f>
        <v>A</v>
      </c>
      <c r="E55" s="5" t="str">
        <f>VLOOKUP(A55,Seqs!A:B,2,FALSE)</f>
        <v>MRKMSEEEFYLFKNISSVGPWDGPQYHIAPVWAFYLQAAFMGTVFLIGFPLNAMVLVATLRYKKLRQPLNYILVNVSFGGFLLCIFSVFPVFVASCNGYFVFGRHVCALEGFLGTVAGLVTGWSLAFLAFERYIVICKPFGNFRFSSKHALTVVLATWTIGIGVSIPPFFGWSRFIPEGLQCSCGPDWYTVGTKYRSESYTWFLFIFCFIVPLSLICFSYTQLLRALKAVAAQQQESATTQKAEREVSRMVVVMVGSFCVCYVPYAAFAMYMVNNRNHGLDLRLVTIPSFFSKSACIYNPIIYCFMNKQFQACIMKMVCGKAMTDESDTCSSQKTEVSTVSSTQVGPN</v>
      </c>
      <c r="F55" s="5" t="str">
        <f t="shared" si="1"/>
        <v>VWAFYLQAAFMGTVFLIGFPLNAMVLVATLRY</v>
      </c>
      <c r="G55" s="4" t="str">
        <f t="shared" si="2"/>
        <v>KKLR</v>
      </c>
      <c r="H55" s="4" t="str">
        <f t="shared" si="3"/>
        <v>QPLNYILVNVSFGGFLLCIFSVFPVFVASCN</v>
      </c>
      <c r="I55" s="4" t="str">
        <f t="shared" si="4"/>
        <v>YFVF</v>
      </c>
      <c r="J55" s="4" t="str">
        <f t="shared" si="5"/>
        <v>GRHVCALEGFLGTVAGLVTGWSLAFLAFERYIVICK</v>
      </c>
      <c r="K55" s="4" t="str">
        <f t="shared" si="6"/>
        <v>PFGNFRF</v>
      </c>
      <c r="L55" s="4" t="str">
        <f t="shared" si="7"/>
        <v>SSKHALTVVLATWTIGIGVSIPPFF</v>
      </c>
      <c r="M55" s="4" t="str">
        <f t="shared" si="8"/>
        <v>CGP</v>
      </c>
      <c r="N55" s="4" t="str">
        <f t="shared" si="9"/>
        <v>RSESYTWFLFIFCFIVPLSLICFSYTQLLRALKAVAAQQ</v>
      </c>
      <c r="O55" s="4" t="str">
        <f t="shared" si="10"/>
        <v>ATTQKAEREVSRMVVVMVGSFCVCYVPYAAFAMYMVNN</v>
      </c>
      <c r="P55" s="4" t="str">
        <f t="shared" si="11"/>
        <v>DLRLVTIPSFFSKSACIYNPIIYCFM</v>
      </c>
      <c r="Q55" s="4" t="str">
        <f t="shared" si="12"/>
        <v>NKQFQACIMKMVC</v>
      </c>
      <c r="R55" s="5">
        <f>VLOOKUP($A55,'SegEnds_NonXtal_Prot#'!$A:$AL,3,FALSE)</f>
        <v>31</v>
      </c>
      <c r="S55" s="5">
        <f>VLOOKUP($A55,'SegEnds_NonXtal_Prot#'!$A:$AL,6,FALSE)</f>
        <v>63</v>
      </c>
      <c r="T55" s="5">
        <f>VLOOKUP($A55,'SegEnds_NonXtal_Prot#'!$A:$AL,9,FALSE)</f>
        <v>67</v>
      </c>
      <c r="U55" s="5">
        <f>VLOOKUP($A55,'SegEnds_NonXtal_Prot#'!$A:$AL,12,FALSE)</f>
        <v>99</v>
      </c>
      <c r="V55" s="5">
        <f>VLOOKUP($A55,'SegEnds_NonXtal_Prot#'!$A:$AL,15,FALSE)</f>
        <v>103</v>
      </c>
      <c r="W55" s="5">
        <f>VLOOKUP($A55,'SegEnds_NonXtal_Prot#'!$A:$AL,18,FALSE)</f>
        <v>139</v>
      </c>
      <c r="X55" s="5">
        <f>VLOOKUP($A55,'SegEnds_NonXtal_Prot#'!$A:$AL,21,FALSE)</f>
        <v>146</v>
      </c>
      <c r="Y55" s="5">
        <f>VLOOKUP($A55,'SegEnds_NonXtal_Prot#'!$A:$AL,24,FALSE)</f>
        <v>184</v>
      </c>
      <c r="Z55" s="5">
        <f>VLOOKUP($A55,'SegEnds_NonXtal_Prot#'!$A:$AL,27,FALSE)</f>
        <v>196</v>
      </c>
      <c r="AA55" s="5">
        <f>VLOOKUP($A55,'SegEnds_NonXtal_Prot#'!$A:$AL,30,FALSE)</f>
        <v>238</v>
      </c>
      <c r="AB55" s="5">
        <f>VLOOKUP($A55,'SegEnds_NonXtal_Prot#'!$A:$AL,33,FALSE)</f>
        <v>281</v>
      </c>
      <c r="AC55" s="5">
        <f>VLOOKUP($A55,'SegEnds_NonXtal_Prot#'!$A:$AL,36,FALSE)</f>
        <v>307</v>
      </c>
      <c r="AD55" s="5">
        <f>VLOOKUP($A55,'SegEnds_NonXtal_Prot#'!$A:$AL,5,FALSE)</f>
        <v>62</v>
      </c>
      <c r="AE55" s="5">
        <f>VLOOKUP($A55,'SegEnds_NonXtal_Prot#'!$A:$AL,8,FALSE)</f>
        <v>66</v>
      </c>
      <c r="AF55" s="5">
        <f>VLOOKUP($A55,'SegEnds_NonXtal_Prot#'!$A:$AL,11,FALSE)</f>
        <v>97</v>
      </c>
      <c r="AG55" s="5">
        <f>VLOOKUP($A55,'SegEnds_NonXtal_Prot#'!$A:$AL,14,FALSE)</f>
        <v>102</v>
      </c>
      <c r="AH55" s="5">
        <f>VLOOKUP($A55,'SegEnds_NonXtal_Prot#'!$A:$AL,17,FALSE)</f>
        <v>138</v>
      </c>
      <c r="AI55" s="5">
        <f>VLOOKUP($A55,'SegEnds_NonXtal_Prot#'!$A:$AL,20,FALSE)</f>
        <v>145</v>
      </c>
      <c r="AJ55" s="5">
        <f>VLOOKUP($A55,'SegEnds_NonXtal_Prot#'!$A:$AL,23,FALSE)</f>
        <v>170</v>
      </c>
      <c r="AK55" s="5">
        <f>VLOOKUP($A55,'SegEnds_NonXtal_Prot#'!$A:$AL,26,FALSE)</f>
        <v>186</v>
      </c>
      <c r="AL55" s="5">
        <f>VLOOKUP($A55,'SegEnds_NonXtal_Prot#'!$A:$AL,29,FALSE)</f>
        <v>234</v>
      </c>
      <c r="AM55" s="5">
        <f>VLOOKUP($A55,'SegEnds_NonXtal_Prot#'!$A:$AL,32,FALSE)</f>
        <v>275</v>
      </c>
      <c r="AN55" s="5">
        <f>VLOOKUP($A55,'SegEnds_NonXtal_Prot#'!$A:$AL,35,FALSE)</f>
        <v>306</v>
      </c>
      <c r="AO55" s="5">
        <f>VLOOKUP($A55,'SegEnds_NonXtal_Prot#'!$A:$AL,38,FALSE)</f>
        <v>319</v>
      </c>
      <c r="AP55" s="5">
        <f t="shared" si="13"/>
        <v>31</v>
      </c>
      <c r="AQ55" s="4">
        <f t="shared" si="14"/>
        <v>3</v>
      </c>
      <c r="AR55" s="4">
        <f t="shared" si="15"/>
        <v>30</v>
      </c>
      <c r="AS55" s="4">
        <f t="shared" si="16"/>
        <v>3</v>
      </c>
      <c r="AT55" s="4">
        <f t="shared" si="17"/>
        <v>35</v>
      </c>
      <c r="AU55" s="4">
        <f t="shared" si="18"/>
        <v>6</v>
      </c>
      <c r="AV55" s="4">
        <f t="shared" si="19"/>
        <v>24</v>
      </c>
      <c r="AW55" s="4">
        <f t="shared" si="20"/>
        <v>2</v>
      </c>
      <c r="AX55" s="4">
        <f t="shared" si="21"/>
        <v>38</v>
      </c>
      <c r="AY55" s="4">
        <f t="shared" si="22"/>
        <v>37</v>
      </c>
      <c r="AZ55" s="4">
        <f t="shared" si="23"/>
        <v>25</v>
      </c>
      <c r="BA55" s="4">
        <f t="shared" si="24"/>
        <v>12</v>
      </c>
    </row>
    <row r="56" spans="1:53" x14ac:dyDescent="0.2">
      <c r="A56" s="1" t="str">
        <f>'SegEnds_NonXtal_Prot#'!A23</f>
        <v>opsd_bovin</v>
      </c>
      <c r="B56" s="1" t="str">
        <f t="shared" si="0"/>
        <v>EPWQFSMLAAYMFLLIMLGFPINFLTLYVTVQHTPLNYILLNLAVADLFMVFGGFTTTLYTSLHGPTGCNLEGFFATLGGEIALWSLVVLAIERYVVVCKGENHAIMGVAFTWVMALACAAPPLVNNESFVIYMFVVHFIIPLIVIFFCYGQLVFTVKEAAAQQATTQKAEKEVTRMVIIMVIAFLICWLPYAGVAFYIFTHGPIFMTIPAFFAKTSAVYNPVIYIMMNKQFRNCMVTTLC</v>
      </c>
      <c r="C56" s="29" t="str">
        <f>IF(ISERROR(MATCH(A56,'SegEnds_Xtal_Prot#'!B:B, 0)), "NoXtal", "Xtal")</f>
        <v>Xtal</v>
      </c>
      <c r="D56" s="4" t="str">
        <f>VLOOKUP(A56,Classification!A:D,2,FALSE)</f>
        <v>A</v>
      </c>
      <c r="E56" s="5" t="str">
        <f>VLOOKUP(A56,Seqs!A:B,2,FALSE)</f>
        <v>MNGTEGPNFYVPFSNKTGVVRSPFEAPQYYLAEPWQFSMLAAYMFLLIMLGFPINFLTLYVTVQHKKLRTPLNYILLNLAVADLFMVFGGFTTTLYTSLHGYFVFGPTGCNLEGFFATLGGEIALWSLVVLAIERYVVVCKPMSNFRFGENHAIMGVAFTWVMALACAAPPLVGWSRYIPEGMQCSCGIDYYTPHEETNNESFVIYMFVVHFIIPLIVIFFCYGQLVFTVKEAAAQQQESATTQKAEKEVTRMVIIMVIAFLICWLPYAGVAFYIFTHQGSDFGPIFMTIPAFFAKTSAVYNPVIYIMMNKQFRNCMVTTLCCGKNPLGDDEASTTVSKTETSQVAPA</v>
      </c>
      <c r="F56" s="5" t="str">
        <f t="shared" si="1"/>
        <v>EPWQFSMLAAYMFLLIMLGFPINFLTLYVTVQH</v>
      </c>
      <c r="G56" s="4" t="str">
        <f t="shared" si="2"/>
        <v>KKLR</v>
      </c>
      <c r="H56" s="4" t="str">
        <f t="shared" si="3"/>
        <v>TPLNYILLNLAVADLFMVFGGFTTTLYTSLH</v>
      </c>
      <c r="I56" s="4" t="str">
        <f t="shared" si="4"/>
        <v>YFVF</v>
      </c>
      <c r="J56" s="4" t="str">
        <f t="shared" si="5"/>
        <v>GPTGCNLEGFFATLGGEIALWSLVVLAIERYVVVCK</v>
      </c>
      <c r="K56" s="4" t="str">
        <f t="shared" si="6"/>
        <v>PMSNFRF</v>
      </c>
      <c r="L56" s="4" t="str">
        <f t="shared" si="7"/>
        <v>GENHAIMGVAFTWVMALACAAPPLV</v>
      </c>
      <c r="M56" s="4" t="str">
        <f t="shared" si="8"/>
        <v>CGI</v>
      </c>
      <c r="N56" s="4" t="str">
        <f t="shared" si="9"/>
        <v>NNESFVIYMFVVHFIIPLIVIFFCYGQLVFTVKEAAAQQ</v>
      </c>
      <c r="O56" s="4" t="str">
        <f t="shared" si="10"/>
        <v>ATTQKAEKEVTRMVIIMVIAFLICWLPYAGVAFYIFTH</v>
      </c>
      <c r="P56" s="4" t="str">
        <f t="shared" si="11"/>
        <v>GPIFMTIPAFFAKTSAVYNPVIYIMM</v>
      </c>
      <c r="Q56" s="4" t="str">
        <f t="shared" si="12"/>
        <v>NKQFRNCMVTTLC</v>
      </c>
      <c r="R56" s="5">
        <f>VLOOKUP($A56,'SegEnds_NonXtal_Prot#'!$A:$AL,3,FALSE)</f>
        <v>33</v>
      </c>
      <c r="S56" s="5">
        <f>VLOOKUP($A56,'SegEnds_NonXtal_Prot#'!$A:$AL,6,FALSE)</f>
        <v>66</v>
      </c>
      <c r="T56" s="5">
        <f>VLOOKUP($A56,'SegEnds_NonXtal_Prot#'!$A:$AL,9,FALSE)</f>
        <v>70</v>
      </c>
      <c r="U56" s="5">
        <f>VLOOKUP($A56,'SegEnds_NonXtal_Prot#'!$A:$AL,12,FALSE)</f>
        <v>102</v>
      </c>
      <c r="V56" s="5">
        <f>VLOOKUP($A56,'SegEnds_NonXtal_Prot#'!$A:$AL,15,FALSE)</f>
        <v>106</v>
      </c>
      <c r="W56" s="5">
        <f>VLOOKUP($A56,'SegEnds_NonXtal_Prot#'!$A:$AL,18,FALSE)</f>
        <v>142</v>
      </c>
      <c r="X56" s="5">
        <f>VLOOKUP($A56,'SegEnds_NonXtal_Prot#'!$A:$AL,21,FALSE)</f>
        <v>149</v>
      </c>
      <c r="Y56" s="5">
        <f>VLOOKUP($A56,'SegEnds_NonXtal_Prot#'!$A:$AL,24,FALSE)</f>
        <v>187</v>
      </c>
      <c r="Z56" s="5">
        <f>VLOOKUP($A56,'SegEnds_NonXtal_Prot#'!$A:$AL,27,FALSE)</f>
        <v>199</v>
      </c>
      <c r="AA56" s="5">
        <f>VLOOKUP($A56,'SegEnds_NonXtal_Prot#'!$A:$AL,30,FALSE)</f>
        <v>241</v>
      </c>
      <c r="AB56" s="5">
        <f>VLOOKUP($A56,'SegEnds_NonXtal_Prot#'!$A:$AL,33,FALSE)</f>
        <v>284</v>
      </c>
      <c r="AC56" s="5">
        <f>VLOOKUP($A56,'SegEnds_NonXtal_Prot#'!$A:$AL,36,FALSE)</f>
        <v>310</v>
      </c>
      <c r="AD56" s="5">
        <f>VLOOKUP($A56,'SegEnds_NonXtal_Prot#'!$A:$AL,5,FALSE)</f>
        <v>65</v>
      </c>
      <c r="AE56" s="5">
        <f>VLOOKUP($A56,'SegEnds_NonXtal_Prot#'!$A:$AL,8,FALSE)</f>
        <v>69</v>
      </c>
      <c r="AF56" s="5">
        <f>VLOOKUP($A56,'SegEnds_NonXtal_Prot#'!$A:$AL,11,FALSE)</f>
        <v>100</v>
      </c>
      <c r="AG56" s="5">
        <f>VLOOKUP($A56,'SegEnds_NonXtal_Prot#'!$A:$AL,14,FALSE)</f>
        <v>105</v>
      </c>
      <c r="AH56" s="5">
        <f>VLOOKUP($A56,'SegEnds_NonXtal_Prot#'!$A:$AL,17,FALSE)</f>
        <v>141</v>
      </c>
      <c r="AI56" s="5">
        <f>VLOOKUP($A56,'SegEnds_NonXtal_Prot#'!$A:$AL,20,FALSE)</f>
        <v>148</v>
      </c>
      <c r="AJ56" s="5">
        <f>VLOOKUP($A56,'SegEnds_NonXtal_Prot#'!$A:$AL,23,FALSE)</f>
        <v>173</v>
      </c>
      <c r="AK56" s="5">
        <f>VLOOKUP($A56,'SegEnds_NonXtal_Prot#'!$A:$AL,26,FALSE)</f>
        <v>189</v>
      </c>
      <c r="AL56" s="5">
        <f>VLOOKUP($A56,'SegEnds_NonXtal_Prot#'!$A:$AL,29,FALSE)</f>
        <v>237</v>
      </c>
      <c r="AM56" s="5">
        <f>VLOOKUP($A56,'SegEnds_NonXtal_Prot#'!$A:$AL,32,FALSE)</f>
        <v>278</v>
      </c>
      <c r="AN56" s="5">
        <f>VLOOKUP($A56,'SegEnds_NonXtal_Prot#'!$A:$AL,35,FALSE)</f>
        <v>309</v>
      </c>
      <c r="AO56" s="5">
        <f>VLOOKUP($A56,'SegEnds_NonXtal_Prot#'!$A:$AL,38,FALSE)</f>
        <v>322</v>
      </c>
      <c r="AP56" s="5">
        <f t="shared" si="13"/>
        <v>32</v>
      </c>
      <c r="AQ56" s="4">
        <f t="shared" si="14"/>
        <v>3</v>
      </c>
      <c r="AR56" s="4">
        <f t="shared" si="15"/>
        <v>30</v>
      </c>
      <c r="AS56" s="4">
        <f t="shared" si="16"/>
        <v>3</v>
      </c>
      <c r="AT56" s="4">
        <f t="shared" si="17"/>
        <v>35</v>
      </c>
      <c r="AU56" s="4">
        <f t="shared" si="18"/>
        <v>6</v>
      </c>
      <c r="AV56" s="4">
        <f t="shared" si="19"/>
        <v>24</v>
      </c>
      <c r="AW56" s="4">
        <f t="shared" si="20"/>
        <v>2</v>
      </c>
      <c r="AX56" s="4">
        <f t="shared" si="21"/>
        <v>38</v>
      </c>
      <c r="AY56" s="4">
        <f t="shared" si="22"/>
        <v>37</v>
      </c>
      <c r="AZ56" s="4">
        <f t="shared" si="23"/>
        <v>25</v>
      </c>
      <c r="BA56" s="4">
        <f t="shared" si="24"/>
        <v>12</v>
      </c>
    </row>
    <row r="57" spans="1:53" x14ac:dyDescent="0.2">
      <c r="A57" s="1" t="str">
        <f>'SegEnds_NonXtal_Prot#'!A24</f>
        <v>opsd_human</v>
      </c>
      <c r="B57" s="1" t="str">
        <f t="shared" si="0"/>
        <v>PWQFSMLAAYMFLLIVLGFPINFLTLYVTVQHTPLNYILLNLAVADLFMVLGGFTSTLYTSLHGPTGCNLEGFFATLGGEIALWSLVVLAIERYVVVCKGENHAIMGVAFTWVMALACAAPPLANNESFVIYMFVVHFTIPMIIIFFCYGQLVFTVKEAAAQQATTQKAEKEVTRMVIIMVIAFLICWVPYASVAFYIFTHGPIFMTIPAFFAKSAAIYNPVIYIMMNKQFRNCMLTTIC</v>
      </c>
      <c r="C57" s="29" t="str">
        <f>IF(ISERROR(MATCH(A57,'SegEnds_Xtal_Prot#'!B:B, 0)), "NoXtal", "Xtal")</f>
        <v>Xtal</v>
      </c>
      <c r="D57" s="4" t="str">
        <f>VLOOKUP(A57,Classification!A:D,2,FALSE)</f>
        <v>A</v>
      </c>
      <c r="E57" s="5" t="str">
        <f>VLOOKUP(A57,Seqs!A:B,2,FALSE)</f>
        <v>MNGTEGPNFYVPFSNATGVVRSPFEYPQYYLAEPWQFSMLAAYMFLLIVLGFPINFLTLYVTVQHKKLRTPLNYILLNLAVADLFMVLGGFTSTLYTSLHGYFVFGPTGCNLEGFFATLGGEIALWSLVVLAIERYVVVCKPMSNFRFGENHAIMGVAFTWVMALACAAPPLAGWSRYIPEGLQCSCGIDYYTLKPEVNNESFVIYMFVVHFTIPMIIIFFCYGQLVFTVKEAAAQQQESATTQKAEKEVTRMVIIMVIAFLICWVPYASVAFYIFTHQGSNFGPIFMTIPAFFAKSAAIYNPVIYIMMNKQFRNCMLTTICCGKNPLGDDEASATVSKTETSQVAPA</v>
      </c>
      <c r="F57" s="5" t="str">
        <f t="shared" si="1"/>
        <v>PWQFSMLAAYMFLLIVLGFPINFLTLYVTVQH</v>
      </c>
      <c r="G57" s="4" t="str">
        <f t="shared" si="2"/>
        <v>KKLR</v>
      </c>
      <c r="H57" s="4" t="str">
        <f t="shared" si="3"/>
        <v>TPLNYILLNLAVADLFMVLGGFTSTLYTSLH</v>
      </c>
      <c r="I57" s="4" t="str">
        <f t="shared" si="4"/>
        <v>YFVF</v>
      </c>
      <c r="J57" s="4" t="str">
        <f t="shared" si="5"/>
        <v>GPTGCNLEGFFATLGGEIALWSLVVLAIERYVVVCK</v>
      </c>
      <c r="K57" s="4" t="str">
        <f t="shared" si="6"/>
        <v>PMSNFRF</v>
      </c>
      <c r="L57" s="4" t="str">
        <f t="shared" si="7"/>
        <v>GENHAIMGVAFTWVMALACAAPPLA</v>
      </c>
      <c r="M57" s="4" t="str">
        <f t="shared" si="8"/>
        <v>CGI</v>
      </c>
      <c r="N57" s="4" t="str">
        <f t="shared" si="9"/>
        <v>NNESFVIYMFVVHFTIPMIIIFFCYGQLVFTVKEAAAQQ</v>
      </c>
      <c r="O57" s="4" t="str">
        <f t="shared" si="10"/>
        <v>ATTQKAEKEVTRMVIIMVIAFLICWVPYASVAFYIFTH</v>
      </c>
      <c r="P57" s="4" t="str">
        <f t="shared" si="11"/>
        <v>GPIFMTIPAFFAKSAAIYNPVIYIMM</v>
      </c>
      <c r="Q57" s="4" t="str">
        <f t="shared" si="12"/>
        <v>NKQFRNCMLTTIC</v>
      </c>
      <c r="R57" s="5">
        <f>VLOOKUP($A57,'SegEnds_NonXtal_Prot#'!$A:$AL,3,FALSE)</f>
        <v>34</v>
      </c>
      <c r="S57" s="5">
        <f>VLOOKUP($A57,'SegEnds_NonXtal_Prot#'!$A:$AL,6,FALSE)</f>
        <v>66</v>
      </c>
      <c r="T57" s="5">
        <f>VLOOKUP($A57,'SegEnds_NonXtal_Prot#'!$A:$AL,9,FALSE)</f>
        <v>70</v>
      </c>
      <c r="U57" s="5">
        <f>VLOOKUP($A57,'SegEnds_NonXtal_Prot#'!$A:$AL,12,FALSE)</f>
        <v>102</v>
      </c>
      <c r="V57" s="5">
        <f>VLOOKUP($A57,'SegEnds_NonXtal_Prot#'!$A:$AL,15,FALSE)</f>
        <v>106</v>
      </c>
      <c r="W57" s="5">
        <f>VLOOKUP($A57,'SegEnds_NonXtal_Prot#'!$A:$AL,18,FALSE)</f>
        <v>142</v>
      </c>
      <c r="X57" s="5">
        <f>VLOOKUP($A57,'SegEnds_NonXtal_Prot#'!$A:$AL,21,FALSE)</f>
        <v>149</v>
      </c>
      <c r="Y57" s="5">
        <f>VLOOKUP($A57,'SegEnds_NonXtal_Prot#'!$A:$AL,24,FALSE)</f>
        <v>187</v>
      </c>
      <c r="Z57" s="5">
        <f>VLOOKUP($A57,'SegEnds_NonXtal_Prot#'!$A:$AL,27,FALSE)</f>
        <v>199</v>
      </c>
      <c r="AA57" s="5">
        <f>VLOOKUP($A57,'SegEnds_NonXtal_Prot#'!$A:$AL,30,FALSE)</f>
        <v>241</v>
      </c>
      <c r="AB57" s="5">
        <f>VLOOKUP($A57,'SegEnds_NonXtal_Prot#'!$A:$AL,33,FALSE)</f>
        <v>284</v>
      </c>
      <c r="AC57" s="5">
        <f>VLOOKUP($A57,'SegEnds_NonXtal_Prot#'!$A:$AL,36,FALSE)</f>
        <v>310</v>
      </c>
      <c r="AD57" s="5">
        <f>VLOOKUP($A57,'SegEnds_NonXtal_Prot#'!$A:$AL,5,FALSE)</f>
        <v>65</v>
      </c>
      <c r="AE57" s="5">
        <f>VLOOKUP($A57,'SegEnds_NonXtal_Prot#'!$A:$AL,8,FALSE)</f>
        <v>69</v>
      </c>
      <c r="AF57" s="5">
        <f>VLOOKUP($A57,'SegEnds_NonXtal_Prot#'!$A:$AL,11,FALSE)</f>
        <v>100</v>
      </c>
      <c r="AG57" s="5">
        <f>VLOOKUP($A57,'SegEnds_NonXtal_Prot#'!$A:$AL,14,FALSE)</f>
        <v>105</v>
      </c>
      <c r="AH57" s="5">
        <f>VLOOKUP($A57,'SegEnds_NonXtal_Prot#'!$A:$AL,17,FALSE)</f>
        <v>141</v>
      </c>
      <c r="AI57" s="5">
        <f>VLOOKUP($A57,'SegEnds_NonXtal_Prot#'!$A:$AL,20,FALSE)</f>
        <v>148</v>
      </c>
      <c r="AJ57" s="5">
        <f>VLOOKUP($A57,'SegEnds_NonXtal_Prot#'!$A:$AL,23,FALSE)</f>
        <v>173</v>
      </c>
      <c r="AK57" s="5">
        <f>VLOOKUP($A57,'SegEnds_NonXtal_Prot#'!$A:$AL,26,FALSE)</f>
        <v>189</v>
      </c>
      <c r="AL57" s="5">
        <f>VLOOKUP($A57,'SegEnds_NonXtal_Prot#'!$A:$AL,29,FALSE)</f>
        <v>237</v>
      </c>
      <c r="AM57" s="5">
        <f>VLOOKUP($A57,'SegEnds_NonXtal_Prot#'!$A:$AL,32,FALSE)</f>
        <v>278</v>
      </c>
      <c r="AN57" s="5">
        <f>VLOOKUP($A57,'SegEnds_NonXtal_Prot#'!$A:$AL,35,FALSE)</f>
        <v>309</v>
      </c>
      <c r="AO57" s="5">
        <f>VLOOKUP($A57,'SegEnds_NonXtal_Prot#'!$A:$AL,38,FALSE)</f>
        <v>322</v>
      </c>
      <c r="AP57" s="5">
        <f t="shared" si="13"/>
        <v>31</v>
      </c>
      <c r="AQ57" s="4">
        <f t="shared" si="14"/>
        <v>3</v>
      </c>
      <c r="AR57" s="4">
        <f t="shared" si="15"/>
        <v>30</v>
      </c>
      <c r="AS57" s="4">
        <f t="shared" si="16"/>
        <v>3</v>
      </c>
      <c r="AT57" s="4">
        <f t="shared" si="17"/>
        <v>35</v>
      </c>
      <c r="AU57" s="4">
        <f t="shared" si="18"/>
        <v>6</v>
      </c>
      <c r="AV57" s="4">
        <f t="shared" si="19"/>
        <v>24</v>
      </c>
      <c r="AW57" s="4">
        <f t="shared" si="20"/>
        <v>2</v>
      </c>
      <c r="AX57" s="4">
        <f t="shared" si="21"/>
        <v>38</v>
      </c>
      <c r="AY57" s="4">
        <f t="shared" si="22"/>
        <v>37</v>
      </c>
      <c r="AZ57" s="4">
        <f t="shared" si="23"/>
        <v>25</v>
      </c>
      <c r="BA57" s="4">
        <f t="shared" si="24"/>
        <v>12</v>
      </c>
    </row>
    <row r="58" spans="1:53" x14ac:dyDescent="0.2">
      <c r="A58" s="1" t="str">
        <f>'SegEnds_NonXtal_Prot#'!A25</f>
        <v>opsg_human</v>
      </c>
      <c r="B58" s="1" t="str">
        <f t="shared" si="0"/>
        <v>RWVYHLTSVWMIFVVIASVFTNGLVLAATMKFHPLNWILVNLAVADLAETVIASTISVVNQVYGHPMCVLEGYTVSLCGITGLWSLAIISWERWMVVCKDAKLAIVGIAFSWIWAAVWTAPPIFGVQSYMIVLMVTCCITPLSIIVLCYLQVWLAIRAVAKQQESTQKAEKEVTRMVVVMVLAFCFCWGPYAFFACFAAANHPLMAALPAFFAKSATIYNPVIYVFMNRQFRNCILQLFG</v>
      </c>
      <c r="C58" s="29" t="str">
        <f>IF(ISERROR(MATCH(A58,'SegEnds_Xtal_Prot#'!B:B, 0)), "NoXtal", "Xtal")</f>
        <v>NoXtal</v>
      </c>
      <c r="D58" s="4" t="str">
        <f>VLOOKUP(A58,Classification!A:D,2,FALSE)</f>
        <v>A</v>
      </c>
      <c r="E58" s="5" t="str">
        <f>VLOOKUP(A58,Seqs!A:B,2,FALSE)</f>
        <v>MAQQWSLQRLAGRHPQDSYEDSTQSSIFTYTNSNSTRGPFEGPNYHIAPRWVYHLTSVWMIFVVIASVFTNGLVLAATMKFKKLRHPLNWILVNLAVADLAETVIASTISVVNQVYGYFVLGHPMCVLEGYTVSLCGITGLWSLAIISWERWMVVCKPFGNVRFDAKLAIVGIAFSWIWAAVWTAPPIFGWSRYWPHGLKTSCGPDVFSGSSYPGVQSYMIVLMVTCCITPLSIIVLCYLQVWLAIRAVAKQQKESESTQKAEKEVTRMVVVMVLAFCFCWGPYAFFACFAAANPGYPFHPLMAALPAFFAKSATIYNPVIYVFMNRQFRNCILQLFGKKVDDGSELSSASKTEVSSVSSVSPA</v>
      </c>
      <c r="F58" s="5" t="str">
        <f t="shared" si="1"/>
        <v>RWVYHLTSVWMIFVVIASVFTNGLVLAATMKF</v>
      </c>
      <c r="G58" s="4" t="str">
        <f t="shared" si="2"/>
        <v>KKLR</v>
      </c>
      <c r="H58" s="4" t="str">
        <f t="shared" si="3"/>
        <v>HPLNWILVNLAVADLAETVIASTISVVNQVY</v>
      </c>
      <c r="I58" s="4" t="str">
        <f t="shared" si="4"/>
        <v>YFVL</v>
      </c>
      <c r="J58" s="4" t="str">
        <f t="shared" si="5"/>
        <v>GHPMCVLEGYTVSLCGITGLWSLAIISWERWMVVCK</v>
      </c>
      <c r="K58" s="4" t="str">
        <f t="shared" si="6"/>
        <v>PFGNVRF</v>
      </c>
      <c r="L58" s="4" t="str">
        <f t="shared" si="7"/>
        <v>DAKLAIVGIAFSWIWAAVWTAPPIF</v>
      </c>
      <c r="M58" s="4" t="str">
        <f t="shared" si="8"/>
        <v>CGP</v>
      </c>
      <c r="N58" s="4" t="str">
        <f t="shared" si="9"/>
        <v>GVQSYMIVLMVTCCITPLSIIVLCYLQVWLAIRAVAKQQ</v>
      </c>
      <c r="O58" s="4" t="str">
        <f t="shared" si="10"/>
        <v>ESTQKAEKEVTRMVVVMVLAFCFCWGPYAFFACFAAAN</v>
      </c>
      <c r="P58" s="4" t="str">
        <f t="shared" si="11"/>
        <v>HPLMAALPAFFAKSATIYNPVIYVFM</v>
      </c>
      <c r="Q58" s="4" t="str">
        <f t="shared" si="12"/>
        <v>NRQFRNCILQLFG</v>
      </c>
      <c r="R58" s="5">
        <f>VLOOKUP($A58,'SegEnds_NonXtal_Prot#'!$A:$AL,3,FALSE)</f>
        <v>50</v>
      </c>
      <c r="S58" s="5">
        <f>VLOOKUP($A58,'SegEnds_NonXtal_Prot#'!$A:$AL,6,FALSE)</f>
        <v>82</v>
      </c>
      <c r="T58" s="5">
        <f>VLOOKUP($A58,'SegEnds_NonXtal_Prot#'!$A:$AL,9,FALSE)</f>
        <v>86</v>
      </c>
      <c r="U58" s="5">
        <f>VLOOKUP($A58,'SegEnds_NonXtal_Prot#'!$A:$AL,12,FALSE)</f>
        <v>118</v>
      </c>
      <c r="V58" s="5">
        <f>VLOOKUP($A58,'SegEnds_NonXtal_Prot#'!$A:$AL,15,FALSE)</f>
        <v>122</v>
      </c>
      <c r="W58" s="5">
        <f>VLOOKUP($A58,'SegEnds_NonXtal_Prot#'!$A:$AL,18,FALSE)</f>
        <v>158</v>
      </c>
      <c r="X58" s="5">
        <f>VLOOKUP($A58,'SegEnds_NonXtal_Prot#'!$A:$AL,21,FALSE)</f>
        <v>165</v>
      </c>
      <c r="Y58" s="5">
        <f>VLOOKUP($A58,'SegEnds_NonXtal_Prot#'!$A:$AL,24,FALSE)</f>
        <v>203</v>
      </c>
      <c r="Z58" s="5">
        <f>VLOOKUP($A58,'SegEnds_NonXtal_Prot#'!$A:$AL,27,FALSE)</f>
        <v>215</v>
      </c>
      <c r="AA58" s="5">
        <f>VLOOKUP($A58,'SegEnds_NonXtal_Prot#'!$A:$AL,30,FALSE)</f>
        <v>257</v>
      </c>
      <c r="AB58" s="5">
        <f>VLOOKUP($A58,'SegEnds_NonXtal_Prot#'!$A:$AL,33,FALSE)</f>
        <v>300</v>
      </c>
      <c r="AC58" s="5">
        <f>VLOOKUP($A58,'SegEnds_NonXtal_Prot#'!$A:$AL,36,FALSE)</f>
        <v>326</v>
      </c>
      <c r="AD58" s="5">
        <f>VLOOKUP($A58,'SegEnds_NonXtal_Prot#'!$A:$AL,5,FALSE)</f>
        <v>81</v>
      </c>
      <c r="AE58" s="5">
        <f>VLOOKUP($A58,'SegEnds_NonXtal_Prot#'!$A:$AL,8,FALSE)</f>
        <v>85</v>
      </c>
      <c r="AF58" s="5">
        <f>VLOOKUP($A58,'SegEnds_NonXtal_Prot#'!$A:$AL,11,FALSE)</f>
        <v>116</v>
      </c>
      <c r="AG58" s="5">
        <f>VLOOKUP($A58,'SegEnds_NonXtal_Prot#'!$A:$AL,14,FALSE)</f>
        <v>121</v>
      </c>
      <c r="AH58" s="5">
        <f>VLOOKUP($A58,'SegEnds_NonXtal_Prot#'!$A:$AL,17,FALSE)</f>
        <v>157</v>
      </c>
      <c r="AI58" s="5">
        <f>VLOOKUP($A58,'SegEnds_NonXtal_Prot#'!$A:$AL,20,FALSE)</f>
        <v>164</v>
      </c>
      <c r="AJ58" s="5">
        <f>VLOOKUP($A58,'SegEnds_NonXtal_Prot#'!$A:$AL,23,FALSE)</f>
        <v>189</v>
      </c>
      <c r="AK58" s="5">
        <f>VLOOKUP($A58,'SegEnds_NonXtal_Prot#'!$A:$AL,26,FALSE)</f>
        <v>205</v>
      </c>
      <c r="AL58" s="5">
        <f>VLOOKUP($A58,'SegEnds_NonXtal_Prot#'!$A:$AL,29,FALSE)</f>
        <v>253</v>
      </c>
      <c r="AM58" s="5">
        <f>VLOOKUP($A58,'SegEnds_NonXtal_Prot#'!$A:$AL,32,FALSE)</f>
        <v>294</v>
      </c>
      <c r="AN58" s="5">
        <f>VLOOKUP($A58,'SegEnds_NonXtal_Prot#'!$A:$AL,35,FALSE)</f>
        <v>325</v>
      </c>
      <c r="AO58" s="5">
        <f>VLOOKUP($A58,'SegEnds_NonXtal_Prot#'!$A:$AL,38,FALSE)</f>
        <v>338</v>
      </c>
      <c r="AP58" s="5">
        <f t="shared" si="13"/>
        <v>31</v>
      </c>
      <c r="AQ58" s="4">
        <f t="shared" si="14"/>
        <v>3</v>
      </c>
      <c r="AR58" s="4">
        <f t="shared" si="15"/>
        <v>30</v>
      </c>
      <c r="AS58" s="4">
        <f t="shared" si="16"/>
        <v>3</v>
      </c>
      <c r="AT58" s="4">
        <f t="shared" si="17"/>
        <v>35</v>
      </c>
      <c r="AU58" s="4">
        <f t="shared" si="18"/>
        <v>6</v>
      </c>
      <c r="AV58" s="4">
        <f t="shared" si="19"/>
        <v>24</v>
      </c>
      <c r="AW58" s="4">
        <f t="shared" si="20"/>
        <v>2</v>
      </c>
      <c r="AX58" s="4">
        <f t="shared" si="21"/>
        <v>38</v>
      </c>
      <c r="AY58" s="4">
        <f t="shared" si="22"/>
        <v>37</v>
      </c>
      <c r="AZ58" s="4">
        <f t="shared" si="23"/>
        <v>25</v>
      </c>
      <c r="BA58" s="4">
        <f t="shared" si="24"/>
        <v>12</v>
      </c>
    </row>
    <row r="59" spans="1:53" x14ac:dyDescent="0.2">
      <c r="A59" s="1" t="str">
        <f>'SegEnds_NonXtal_Prot#'!A26</f>
        <v>opsr_human</v>
      </c>
      <c r="B59" s="1" t="str">
        <f t="shared" si="0"/>
        <v>RWVYHLTSVWMIFVVTASVFTNGLVLAATMKFHPLNWILVNLAVADLAETVIASTISIVNQVSLGHPMCVLEGYTVSLCGITGLWSLAIISWERWLVVCKDAKLAIVGIAFSWIWSAVWTAPPIFGVQSYMIVLMVTCCIIPLAIIMLCYLQVWLAIRAVAKQQESTQKAEKEVTRMVVVMIFAYCVCWGPYTFFACFAAANHPLMAALPAYFAKSATIYNPVIYVFMNRQFRNCILQLFG</v>
      </c>
      <c r="C59" s="29" t="str">
        <f>IF(ISERROR(MATCH(A59,'SegEnds_Xtal_Prot#'!B:B, 0)), "NoXtal", "Xtal")</f>
        <v>NoXtal</v>
      </c>
      <c r="D59" s="4" t="str">
        <f>VLOOKUP(A59,Classification!A:D,2,FALSE)</f>
        <v>A</v>
      </c>
      <c r="E59" s="5" t="str">
        <f>VLOOKUP(A59,Seqs!A:B,2,FALSE)</f>
        <v>MAQQWSLQRLAGRHPQDSYEDSTQSSIFTYTNSNSTRGPFEGPNYHIAPRWVYHLTSVWMIFVVTASVFTNGLVLAATMKFKKLRHPLNWILVNLAVADLAETVIASTISIVNQVSGYFVLGHPMCVLEGYTVSLCGITGLWSLAIISWERWLVVCKPFGNVRFDAKLAIVGIAFSWIWSAVWTAPPIFGWSRYWPHGLKTSCGPDVFSGSSYPGVQSYMIVLMVTCCIIPLAIIMLCYLQVWLAIRAVAKQQKESESTQKAEKEVTRMVVVMIFAYCVCWGPYTFFACFAAANPGYAFHPLMAALPAYFAKSATIYNPVIYVFMNRQFRNCILQLFGKKVDDGSELSSASKTEVSSVSSVSPA</v>
      </c>
      <c r="F59" s="5" t="str">
        <f t="shared" si="1"/>
        <v>RWVYHLTSVWMIFVVTASVFTNGLVLAATMKF</v>
      </c>
      <c r="G59" s="4" t="str">
        <f t="shared" si="2"/>
        <v>KKLR</v>
      </c>
      <c r="H59" s="4" t="str">
        <f t="shared" si="3"/>
        <v>HPLNWILVNLAVADLAETVIASTISIVNQVS</v>
      </c>
      <c r="I59" s="4" t="str">
        <f t="shared" si="4"/>
        <v>GYFV</v>
      </c>
      <c r="J59" s="4" t="str">
        <f t="shared" si="5"/>
        <v>LGHPMCVLEGYTVSLCGITGLWSLAIISWERWLVVCK</v>
      </c>
      <c r="K59" s="4" t="str">
        <f t="shared" si="6"/>
        <v>PFGNVRF</v>
      </c>
      <c r="L59" s="4" t="str">
        <f t="shared" si="7"/>
        <v>DAKLAIVGIAFSWIWSAVWTAPPIF</v>
      </c>
      <c r="M59" s="4" t="str">
        <f t="shared" si="8"/>
        <v>CGP</v>
      </c>
      <c r="N59" s="4" t="str">
        <f t="shared" si="9"/>
        <v>GVQSYMIVLMVTCCIIPLAIIMLCYLQVWLAIRAVAKQQ</v>
      </c>
      <c r="O59" s="4" t="str">
        <f t="shared" si="10"/>
        <v>ESTQKAEKEVTRMVVVMIFAYCVCWGPYTFFACFAAAN</v>
      </c>
      <c r="P59" s="4" t="str">
        <f t="shared" si="11"/>
        <v>HPLMAALPAYFAKSATIYNPVIYVFM</v>
      </c>
      <c r="Q59" s="4" t="str">
        <f t="shared" si="12"/>
        <v>NRQFRNCILQLFG</v>
      </c>
      <c r="R59" s="5">
        <f>VLOOKUP($A59,'SegEnds_NonXtal_Prot#'!$A:$AL,3,FALSE)</f>
        <v>50</v>
      </c>
      <c r="S59" s="5">
        <f>VLOOKUP($A59,'SegEnds_NonXtal_Prot#'!$A:$AL,6,FALSE)</f>
        <v>82</v>
      </c>
      <c r="T59" s="5">
        <f>VLOOKUP($A59,'SegEnds_NonXtal_Prot#'!$A:$AL,9,FALSE)</f>
        <v>86</v>
      </c>
      <c r="U59" s="5">
        <f>VLOOKUP($A59,'SegEnds_NonXtal_Prot#'!$A:$AL,12,FALSE)</f>
        <v>117</v>
      </c>
      <c r="V59" s="5">
        <f>VLOOKUP($A59,'SegEnds_NonXtal_Prot#'!$A:$AL,15,FALSE)</f>
        <v>121</v>
      </c>
      <c r="W59" s="5">
        <f>VLOOKUP($A59,'SegEnds_NonXtal_Prot#'!$A:$AL,18,FALSE)</f>
        <v>158</v>
      </c>
      <c r="X59" s="5">
        <f>VLOOKUP($A59,'SegEnds_NonXtal_Prot#'!$A:$AL,21,FALSE)</f>
        <v>165</v>
      </c>
      <c r="Y59" s="5">
        <f>VLOOKUP($A59,'SegEnds_NonXtal_Prot#'!$A:$AL,24,FALSE)</f>
        <v>203</v>
      </c>
      <c r="Z59" s="5">
        <f>VLOOKUP($A59,'SegEnds_NonXtal_Prot#'!$A:$AL,27,FALSE)</f>
        <v>215</v>
      </c>
      <c r="AA59" s="5">
        <f>VLOOKUP($A59,'SegEnds_NonXtal_Prot#'!$A:$AL,30,FALSE)</f>
        <v>257</v>
      </c>
      <c r="AB59" s="5">
        <f>VLOOKUP($A59,'SegEnds_NonXtal_Prot#'!$A:$AL,33,FALSE)</f>
        <v>300</v>
      </c>
      <c r="AC59" s="5">
        <f>VLOOKUP($A59,'SegEnds_NonXtal_Prot#'!$A:$AL,36,FALSE)</f>
        <v>326</v>
      </c>
      <c r="AD59" s="5">
        <f>VLOOKUP($A59,'SegEnds_NonXtal_Prot#'!$A:$AL,5,FALSE)</f>
        <v>81</v>
      </c>
      <c r="AE59" s="5">
        <f>VLOOKUP($A59,'SegEnds_NonXtal_Prot#'!$A:$AL,8,FALSE)</f>
        <v>85</v>
      </c>
      <c r="AF59" s="5">
        <f>VLOOKUP($A59,'SegEnds_NonXtal_Prot#'!$A:$AL,11,FALSE)</f>
        <v>116</v>
      </c>
      <c r="AG59" s="5">
        <f>VLOOKUP($A59,'SegEnds_NonXtal_Prot#'!$A:$AL,14,FALSE)</f>
        <v>120</v>
      </c>
      <c r="AH59" s="5">
        <f>VLOOKUP($A59,'SegEnds_NonXtal_Prot#'!$A:$AL,17,FALSE)</f>
        <v>157</v>
      </c>
      <c r="AI59" s="5">
        <f>VLOOKUP($A59,'SegEnds_NonXtal_Prot#'!$A:$AL,20,FALSE)</f>
        <v>164</v>
      </c>
      <c r="AJ59" s="5">
        <f>VLOOKUP($A59,'SegEnds_NonXtal_Prot#'!$A:$AL,23,FALSE)</f>
        <v>189</v>
      </c>
      <c r="AK59" s="5">
        <f>VLOOKUP($A59,'SegEnds_NonXtal_Prot#'!$A:$AL,26,FALSE)</f>
        <v>205</v>
      </c>
      <c r="AL59" s="5">
        <f>VLOOKUP($A59,'SegEnds_NonXtal_Prot#'!$A:$AL,29,FALSE)</f>
        <v>253</v>
      </c>
      <c r="AM59" s="5">
        <f>VLOOKUP($A59,'SegEnds_NonXtal_Prot#'!$A:$AL,32,FALSE)</f>
        <v>294</v>
      </c>
      <c r="AN59" s="5">
        <f>VLOOKUP($A59,'SegEnds_NonXtal_Prot#'!$A:$AL,35,FALSE)</f>
        <v>325</v>
      </c>
      <c r="AO59" s="5">
        <f>VLOOKUP($A59,'SegEnds_NonXtal_Prot#'!$A:$AL,38,FALSE)</f>
        <v>338</v>
      </c>
      <c r="AP59" s="5">
        <f t="shared" si="13"/>
        <v>31</v>
      </c>
      <c r="AQ59" s="4">
        <f t="shared" si="14"/>
        <v>3</v>
      </c>
      <c r="AR59" s="4">
        <f t="shared" si="15"/>
        <v>30</v>
      </c>
      <c r="AS59" s="4">
        <f t="shared" si="16"/>
        <v>3</v>
      </c>
      <c r="AT59" s="4">
        <f t="shared" si="17"/>
        <v>36</v>
      </c>
      <c r="AU59" s="4">
        <f t="shared" si="18"/>
        <v>6</v>
      </c>
      <c r="AV59" s="4">
        <f t="shared" si="19"/>
        <v>24</v>
      </c>
      <c r="AW59" s="4">
        <f t="shared" si="20"/>
        <v>2</v>
      </c>
      <c r="AX59" s="4">
        <f t="shared" si="21"/>
        <v>38</v>
      </c>
      <c r="AY59" s="4">
        <f t="shared" si="22"/>
        <v>37</v>
      </c>
      <c r="AZ59" s="4">
        <f t="shared" si="23"/>
        <v>25</v>
      </c>
      <c r="BA59" s="4">
        <f t="shared" si="24"/>
        <v>12</v>
      </c>
    </row>
    <row r="60" spans="1:53" x14ac:dyDescent="0.2">
      <c r="A60" s="1" t="str">
        <f>'SegEnds_NonXtal_Prot#'!A27</f>
        <v>p2y10_human</v>
      </c>
      <c r="B60" s="1" t="str">
        <f t="shared" si="0"/>
        <v>NVKFQYSLYATTYILIFIPGLLANSAALWVLCRFINKAIIFMINLSVADLAHVLSLPLRIYYYISQRALCLLCFYLKYLNMYASICFLTCISLQRCFFLLKKRRYDVGISAAIWIVVGTACLPFPILVALVGMITVAELAGFVIPVIIIAWCTWKTTISLRQPFQGISERQKALRMVFMCAAVFFICFTPYHINFIFYTMVKETSCPVVRIALYFHPFCLCLASLCCLLDPILYYFMASEFRDQLSRHGSSVTR</v>
      </c>
      <c r="C60" s="29" t="str">
        <f>IF(ISERROR(MATCH(A60,'SegEnds_Xtal_Prot#'!B:B, 0)), "NoXtal", "Xtal")</f>
        <v>NoXtal</v>
      </c>
      <c r="D60" s="4" t="str">
        <f>VLOOKUP(A60,Classification!A:D,2,FALSE)</f>
        <v>A</v>
      </c>
      <c r="E60" s="5" t="str">
        <f>VLOOKUP(A60,Seqs!A:B,2,FALSE)</f>
        <v>MANLDKYTETFKMGSNSTSTAEIYCNVTNVKFQYSLYATTYILIFIPGLLANSAALWVLCRFISKKNKAIIFMINLSVADLAHVLSLPLRIYYYISHHWPFQRALCLLCFYLKYLNMYASICFLTCISLQRCFFLLKPFRARDWKRRYDVGISAAIWIVVGTACLPFPILRSTDLNNNKSCFADLGYKQMNAVALVGMITVAELAGFVIPVIIIAWCTWKTTISLRQPPMAFQGISERQKALRMVFMCAAVFFICFTPYHINFIFYTMVKETIISSCPVVRIALYFHPFCLCLASLCCLLDPILYYFMASEFRDQLSRHGSSVTRSRLMSKESGSSMIG</v>
      </c>
      <c r="F60" s="5" t="str">
        <f t="shared" si="1"/>
        <v>NVKFQYSLYATTYILIFIPGLLANSAALWVLCRFI</v>
      </c>
      <c r="G60" s="4" t="str">
        <f t="shared" si="2"/>
        <v/>
      </c>
      <c r="H60" s="4" t="str">
        <f t="shared" si="3"/>
        <v>NKAIIFMINLSVADLAHVLSLPLRIYYYIS</v>
      </c>
      <c r="I60" s="4" t="str">
        <f t="shared" si="4"/>
        <v>HWPF</v>
      </c>
      <c r="J60" s="4" t="str">
        <f t="shared" si="5"/>
        <v>QRALCLLCFYLKYLNMYASICFLTCISLQRCFFLLK</v>
      </c>
      <c r="K60" s="4" t="str">
        <f t="shared" si="6"/>
        <v>PFRARDW</v>
      </c>
      <c r="L60" s="4" t="str">
        <f t="shared" si="7"/>
        <v>KRRYDVGISAAIWIVVGTACLPFPIL</v>
      </c>
      <c r="M60" s="4" t="str">
        <f t="shared" si="8"/>
        <v>CFA</v>
      </c>
      <c r="N60" s="4" t="str">
        <f t="shared" si="9"/>
        <v>VALVGMITVAELAGFVIPVIIIAWCTWKTTISLRQP</v>
      </c>
      <c r="O60" s="4" t="str">
        <f t="shared" si="10"/>
        <v>FQGISERQKALRMVFMCAAVFFICFTPYHINFIFYTMVKET</v>
      </c>
      <c r="P60" s="4" t="str">
        <f t="shared" si="11"/>
        <v>SCPVVRIALYFHPFCLCLASLCCLLDPILYYFMASE</v>
      </c>
      <c r="Q60" s="4" t="str">
        <f t="shared" si="12"/>
        <v>FRDQLSRHGSSVTR</v>
      </c>
      <c r="R60" s="5">
        <f>VLOOKUP($A60,'SegEnds_NonXtal_Prot#'!$A:$AL,3,FALSE)</f>
        <v>29</v>
      </c>
      <c r="S60" s="5" t="str">
        <f>VLOOKUP($A60,'SegEnds_NonXtal_Prot#'!$A:$AL,6,FALSE)</f>
        <v>-</v>
      </c>
      <c r="T60" s="5">
        <f>VLOOKUP($A60,'SegEnds_NonXtal_Prot#'!$A:$AL,9,FALSE)</f>
        <v>67</v>
      </c>
      <c r="U60" s="5">
        <f>VLOOKUP($A60,'SegEnds_NonXtal_Prot#'!$A:$AL,12,FALSE)</f>
        <v>98</v>
      </c>
      <c r="V60" s="5">
        <f>VLOOKUP($A60,'SegEnds_NonXtal_Prot#'!$A:$AL,15,FALSE)</f>
        <v>102</v>
      </c>
      <c r="W60" s="5">
        <f>VLOOKUP($A60,'SegEnds_NonXtal_Prot#'!$A:$AL,18,FALSE)</f>
        <v>138</v>
      </c>
      <c r="X60" s="5">
        <f>VLOOKUP($A60,'SegEnds_NonXtal_Prot#'!$A:$AL,21,FALSE)</f>
        <v>145</v>
      </c>
      <c r="Y60" s="5">
        <f>VLOOKUP($A60,'SegEnds_NonXtal_Prot#'!$A:$AL,24,FALSE)</f>
        <v>181</v>
      </c>
      <c r="Z60" s="5">
        <f>VLOOKUP($A60,'SegEnds_NonXtal_Prot#'!$A:$AL,27,FALSE)</f>
        <v>193</v>
      </c>
      <c r="AA60" s="5">
        <f>VLOOKUP($A60,'SegEnds_NonXtal_Prot#'!$A:$AL,30,FALSE)</f>
        <v>232</v>
      </c>
      <c r="AB60" s="5">
        <f>VLOOKUP($A60,'SegEnds_NonXtal_Prot#'!$A:$AL,33,FALSE)</f>
        <v>276</v>
      </c>
      <c r="AC60" s="5">
        <f>VLOOKUP($A60,'SegEnds_NonXtal_Prot#'!$A:$AL,36,FALSE)</f>
        <v>312</v>
      </c>
      <c r="AD60" s="5">
        <f>VLOOKUP($A60,'SegEnds_NonXtal_Prot#'!$A:$AL,5,FALSE)</f>
        <v>63</v>
      </c>
      <c r="AE60" s="5" t="str">
        <f>VLOOKUP($A60,'SegEnds_NonXtal_Prot#'!$A:$AL,8,FALSE)</f>
        <v>-</v>
      </c>
      <c r="AF60" s="5">
        <f>VLOOKUP($A60,'SegEnds_NonXtal_Prot#'!$A:$AL,11,FALSE)</f>
        <v>96</v>
      </c>
      <c r="AG60" s="5">
        <f>VLOOKUP($A60,'SegEnds_NonXtal_Prot#'!$A:$AL,14,FALSE)</f>
        <v>101</v>
      </c>
      <c r="AH60" s="5">
        <f>VLOOKUP($A60,'SegEnds_NonXtal_Prot#'!$A:$AL,17,FALSE)</f>
        <v>137</v>
      </c>
      <c r="AI60" s="5">
        <f>VLOOKUP($A60,'SegEnds_NonXtal_Prot#'!$A:$AL,20,FALSE)</f>
        <v>144</v>
      </c>
      <c r="AJ60" s="5">
        <f>VLOOKUP($A60,'SegEnds_NonXtal_Prot#'!$A:$AL,23,FALSE)</f>
        <v>170</v>
      </c>
      <c r="AK60" s="5">
        <f>VLOOKUP($A60,'SegEnds_NonXtal_Prot#'!$A:$AL,26,FALSE)</f>
        <v>183</v>
      </c>
      <c r="AL60" s="5">
        <f>VLOOKUP($A60,'SegEnds_NonXtal_Prot#'!$A:$AL,29,FALSE)</f>
        <v>228</v>
      </c>
      <c r="AM60" s="5">
        <f>VLOOKUP($A60,'SegEnds_NonXtal_Prot#'!$A:$AL,32,FALSE)</f>
        <v>272</v>
      </c>
      <c r="AN60" s="5">
        <f>VLOOKUP($A60,'SegEnds_NonXtal_Prot#'!$A:$AL,35,FALSE)</f>
        <v>311</v>
      </c>
      <c r="AO60" s="5">
        <f>VLOOKUP($A60,'SegEnds_NonXtal_Prot#'!$A:$AL,38,FALSE)</f>
        <v>325</v>
      </c>
      <c r="AP60" s="5">
        <f t="shared" si="13"/>
        <v>34</v>
      </c>
      <c r="AQ60" s="4" t="str">
        <f t="shared" si="14"/>
        <v>-</v>
      </c>
      <c r="AR60" s="4">
        <f t="shared" si="15"/>
        <v>29</v>
      </c>
      <c r="AS60" s="4">
        <f t="shared" si="16"/>
        <v>3</v>
      </c>
      <c r="AT60" s="4">
        <f t="shared" si="17"/>
        <v>35</v>
      </c>
      <c r="AU60" s="4">
        <f t="shared" si="18"/>
        <v>6</v>
      </c>
      <c r="AV60" s="4">
        <f t="shared" si="19"/>
        <v>25</v>
      </c>
      <c r="AW60" s="4">
        <f t="shared" si="20"/>
        <v>2</v>
      </c>
      <c r="AX60" s="4">
        <f t="shared" si="21"/>
        <v>35</v>
      </c>
      <c r="AY60" s="4">
        <f t="shared" si="22"/>
        <v>40</v>
      </c>
      <c r="AZ60" s="4">
        <f t="shared" si="23"/>
        <v>35</v>
      </c>
      <c r="BA60" s="4">
        <f t="shared" si="24"/>
        <v>13</v>
      </c>
    </row>
    <row r="61" spans="1:53" x14ac:dyDescent="0.2">
      <c r="A61" s="1" t="str">
        <f>'SegEnds_NonXtal_Prot#'!A29</f>
        <v>rxfp1_human</v>
      </c>
      <c r="B61" s="1" t="str">
        <f t="shared" si="0"/>
        <v>LLASIIQRVFVWVVSAVTCFGNIFVICMRPYIKLYAMSIISLCCADCLMGIYLFVIGGFDLKFLWMESTHCQLVGSLAILSTEVSVLLLTFLTLEKYICIVYGKCRTITVLILIWITGFIVAFIPLSNAQIYSVAIFLGINLAAFIIIVFSYGSMFYSVHQSAITARNQVKKEMILAKRFFFIVFTDALCWIPIFVVKFLSLLQGTITSWVVIFILPINSALNPILYTLTTRPFKEMIHRFWYNYRQRKSMDS</v>
      </c>
      <c r="C61" s="29" t="str">
        <f>IF(ISERROR(MATCH(A61,'SegEnds_Xtal_Prot#'!B:B, 0)), "NoXtal", "Xtal")</f>
        <v>NoXtal</v>
      </c>
      <c r="D61" s="4" t="str">
        <f>VLOOKUP(A61,Classification!A:D,2,FALSE)</f>
        <v>A</v>
      </c>
      <c r="E61" s="5" t="str">
        <f>VLOOKUP(A61,Seqs!A:B,2,FALSE)</f>
        <v>MTSGSVFFYILIFGKYFSHGGGQDVKCSLGYFPCGNITKCLPQLLHCNGVDDCGNQADEDNCGDNNGWSLQFDKYFASYYKMTSQYPFEAETPECLVGSVPVQCLCQGLELDCDETNLRAVPSVSSNVTAMSLQWNLIRKLPPDCFKNYHDLQKLYLQNNKITSISIYAFRGLNSLTKLYLSHNRITFLKPGVFEDLHRLEWLIIEDNHLSRISPPTFYGLNSLILLVLMNNVLTRLPDKPLCQHMPRLHWLDLEGNHIHNLRNLTFISCSNLTVLVMRKNKINHLNENTFAPLQKLDELDLGSNKIENLPPLIFKDLKELSQLNLSYNPIQKIQANQFDYLVKLKSLSLEGIEISNIQQRMFRPLMNLSHIYFKKFQYCGYAPHVRSCKPNTDGISSLENLLASIIQRVFVWVVSAVTCFGNIFVICMRPYIRSENKLYAMSIISLCCADCLMGIYLFVIGGFDLKFRGEYNKHAQLWMESTHCQLVGSLAILSTEVSVLLLTFLTLEKYICIVYPFRCVRPGKCRTITVLILIWITGFIVAFIPLSNKEFFKNYYGTNGVCFPLHSEDTESIGAQIYSVAIFLGINLAAFIIIVFSYGSMFYSVHQSAITATEIRNQVKKEMILAKRFFFIVFTDALCWIPIFVVKFLSLLQVEIPGTITSWVVIFILPINSALNPILYTLTTRPFKEMIHRFWYNYRQRKSMDSKGQKTYAPSFIWVEMWPLQEMPPELMKPDLFTYPCEMSLISQSTRLNSYS</v>
      </c>
      <c r="F61" s="5" t="str">
        <f t="shared" si="1"/>
        <v>LLASIIQRVFVWVVSAVTCFGNIFVICMRPYI</v>
      </c>
      <c r="G61" s="4" t="str">
        <f t="shared" si="2"/>
        <v>RSEN</v>
      </c>
      <c r="H61" s="4" t="str">
        <f t="shared" si="3"/>
        <v>KLYAMSIISLCCADCLMGIYLFVIGGFDLKF</v>
      </c>
      <c r="I61" s="4" t="str">
        <f t="shared" si="4"/>
        <v/>
      </c>
      <c r="J61" s="4" t="str">
        <f t="shared" si="5"/>
        <v>LWMESTHCQLVGSLAILSTEVSVLLLTFLTLEKYICIVY</v>
      </c>
      <c r="K61" s="4" t="str">
        <f t="shared" si="6"/>
        <v>PFRCVRP</v>
      </c>
      <c r="L61" s="4" t="str">
        <f t="shared" si="7"/>
        <v>GKCRTITVLILIWITGFIVAFIPLSN</v>
      </c>
      <c r="M61" s="4" t="str">
        <f t="shared" si="8"/>
        <v>CFP</v>
      </c>
      <c r="N61" s="4" t="str">
        <f t="shared" si="9"/>
        <v>AQIYSVAIFLGINLAAFIIIVFSYGSMFYSVHQSAITA</v>
      </c>
      <c r="O61" s="4" t="str">
        <f t="shared" si="10"/>
        <v>RNQVKKEMILAKRFFFIVFTDALCWIPIFVVKFLSLLQ</v>
      </c>
      <c r="P61" s="4" t="str">
        <f t="shared" si="11"/>
        <v>GTITSWVVIFILPINSALNPILYTLT</v>
      </c>
      <c r="Q61" s="4" t="str">
        <f t="shared" si="12"/>
        <v>TRPFKEMIHRFWYNYRQRKSMDS</v>
      </c>
      <c r="R61" s="5">
        <f>VLOOKUP($A61,'SegEnds_NonXtal_Prot#'!$A:$AL,3,FALSE)</f>
        <v>402</v>
      </c>
      <c r="S61" s="5">
        <f>VLOOKUP($A61,'SegEnds_NonXtal_Prot#'!$A:$AL,6,FALSE)</f>
        <v>434</v>
      </c>
      <c r="T61" s="5">
        <f>VLOOKUP($A61,'SegEnds_NonXtal_Prot#'!$A:$AL,9,FALSE)</f>
        <v>438</v>
      </c>
      <c r="U61" s="5" t="str">
        <f>VLOOKUP($A61,'SegEnds_NonXtal_Prot#'!$A:$AL,12,FALSE)</f>
        <v>-</v>
      </c>
      <c r="V61" s="5">
        <f>VLOOKUP($A61,'SegEnds_NonXtal_Prot#'!$A:$AL,15,FALSE)</f>
        <v>478</v>
      </c>
      <c r="W61" s="5">
        <f>VLOOKUP($A61,'SegEnds_NonXtal_Prot#'!$A:$AL,18,FALSE)</f>
        <v>517</v>
      </c>
      <c r="X61" s="5">
        <f>VLOOKUP($A61,'SegEnds_NonXtal_Prot#'!$A:$AL,21,FALSE)</f>
        <v>524</v>
      </c>
      <c r="Y61" s="5">
        <f>VLOOKUP($A61,'SegEnds_NonXtal_Prot#'!$A:$AL,24,FALSE)</f>
        <v>563</v>
      </c>
      <c r="Z61" s="5">
        <f>VLOOKUP($A61,'SegEnds_NonXtal_Prot#'!$A:$AL,27,FALSE)</f>
        <v>576</v>
      </c>
      <c r="AA61" s="5">
        <f>VLOOKUP($A61,'SegEnds_NonXtal_Prot#'!$A:$AL,30,FALSE)</f>
        <v>617</v>
      </c>
      <c r="AB61" s="5">
        <f>VLOOKUP($A61,'SegEnds_NonXtal_Prot#'!$A:$AL,33,FALSE)</f>
        <v>659</v>
      </c>
      <c r="AC61" s="5">
        <f>VLOOKUP($A61,'SegEnds_NonXtal_Prot#'!$A:$AL,36,FALSE)</f>
        <v>685</v>
      </c>
      <c r="AD61" s="5">
        <f>VLOOKUP($A61,'SegEnds_NonXtal_Prot#'!$A:$AL,5,FALSE)</f>
        <v>433</v>
      </c>
      <c r="AE61" s="5">
        <f>VLOOKUP($A61,'SegEnds_NonXtal_Prot#'!$A:$AL,8,FALSE)</f>
        <v>437</v>
      </c>
      <c r="AF61" s="5">
        <f>VLOOKUP($A61,'SegEnds_NonXtal_Prot#'!$A:$AL,11,FALSE)</f>
        <v>468</v>
      </c>
      <c r="AG61" s="5" t="str">
        <f>VLOOKUP($A61,'SegEnds_NonXtal_Prot#'!$A:$AL,14,FALSE)</f>
        <v>-</v>
      </c>
      <c r="AH61" s="5">
        <f>VLOOKUP($A61,'SegEnds_NonXtal_Prot#'!$A:$AL,17,FALSE)</f>
        <v>516</v>
      </c>
      <c r="AI61" s="5">
        <f>VLOOKUP($A61,'SegEnds_NonXtal_Prot#'!$A:$AL,20,FALSE)</f>
        <v>523</v>
      </c>
      <c r="AJ61" s="5">
        <f>VLOOKUP($A61,'SegEnds_NonXtal_Prot#'!$A:$AL,23,FALSE)</f>
        <v>549</v>
      </c>
      <c r="AK61" s="5">
        <f>VLOOKUP($A61,'SegEnds_NonXtal_Prot#'!$A:$AL,26,FALSE)</f>
        <v>565</v>
      </c>
      <c r="AL61" s="5">
        <f>VLOOKUP($A61,'SegEnds_NonXtal_Prot#'!$A:$AL,29,FALSE)</f>
        <v>613</v>
      </c>
      <c r="AM61" s="5">
        <f>VLOOKUP($A61,'SegEnds_NonXtal_Prot#'!$A:$AL,32,FALSE)</f>
        <v>654</v>
      </c>
      <c r="AN61" s="5">
        <f>VLOOKUP($A61,'SegEnds_NonXtal_Prot#'!$A:$AL,35,FALSE)</f>
        <v>684</v>
      </c>
      <c r="AO61" s="5">
        <f>VLOOKUP($A61,'SegEnds_NonXtal_Prot#'!$A:$AL,38,FALSE)</f>
        <v>707</v>
      </c>
      <c r="AP61" s="5">
        <f t="shared" si="13"/>
        <v>31</v>
      </c>
      <c r="AQ61" s="4">
        <f t="shared" si="14"/>
        <v>3</v>
      </c>
      <c r="AR61" s="4">
        <f t="shared" si="15"/>
        <v>30</v>
      </c>
      <c r="AS61" s="4" t="str">
        <f t="shared" si="16"/>
        <v>-</v>
      </c>
      <c r="AT61" s="4">
        <f t="shared" si="17"/>
        <v>38</v>
      </c>
      <c r="AU61" s="4">
        <f t="shared" si="18"/>
        <v>6</v>
      </c>
      <c r="AV61" s="4">
        <f t="shared" si="19"/>
        <v>25</v>
      </c>
      <c r="AW61" s="4">
        <f t="shared" si="20"/>
        <v>2</v>
      </c>
      <c r="AX61" s="4">
        <f t="shared" si="21"/>
        <v>37</v>
      </c>
      <c r="AY61" s="4">
        <f t="shared" si="22"/>
        <v>37</v>
      </c>
      <c r="AZ61" s="4">
        <f t="shared" si="23"/>
        <v>25</v>
      </c>
      <c r="BA61" s="4">
        <f t="shared" si="24"/>
        <v>22</v>
      </c>
    </row>
    <row r="62" spans="1:53" x14ac:dyDescent="0.2">
      <c r="A62" s="1" t="str">
        <f>'SegEnds_NonXtal_Prot#'!A30</f>
        <v>rxfp2_human</v>
      </c>
      <c r="B62" s="1" t="str">
        <f t="shared" si="0"/>
        <v>LLANNILRIFVWVIAFITCFGNLFVIGMRSFITTHAMSIKILCCADCLMGVYLFFVGIFDIKYLWMESVQCRLMGFLAMLSTEVSVLLLTYLTLEKFLVIVFGKRQTSVILICIWMAGFLIAVIPFWNSKGYSLGIFLGVNLLAFLIIVFSYITMFCSIQKTALQTRNCFGREVAVANRFFFIVFSDAICWIPVFVVKILSLFRDTMTSWIVIFFLPVNSALNPILYTLTTNFFKDKLKQLLHKHQRKSIFKI</v>
      </c>
      <c r="C62" s="29" t="str">
        <f>IF(ISERROR(MATCH(A62,'SegEnds_Xtal_Prot#'!B:B, 0)), "NoXtal", "Xtal")</f>
        <v>NoXtal</v>
      </c>
      <c r="D62" s="4" t="str">
        <f>VLOOKUP(A62,Classification!A:D,2,FALSE)</f>
        <v>A</v>
      </c>
      <c r="E62" s="5" t="str">
        <f>VLOOKUP(A62,Seqs!A:B,2,FALSE)</f>
        <v>MIVFLVFKHLFSLRLITMFFLLHFIVLINVKDFALTQGSMITPSCQKGYFPCGNLTKCLPRAFHCDGKDDCGNGADEENCGDTSGWATIFGTVHGNANSVALTQECFLKQYPQCCDCKETELECVNGDLKSVPMISNNVTLLSLKKNKIHSLPDKVFIKYTKLKKIFLQHNCIRHISRKAFFGLCNLQILYLNHNCITTLRPGIFKDLHQLTWLILDDNPITRISQRLFTGLNSLFFLSMVNNYLEALPKQMCAQMPQLNWVDLEGNRIKYLTNSTFLSCDSLTVLFLPRNQIGFVPEKTFSSLKNLGELDLSSNTITELSPHLFKDLKLLQKLNLSSNPLMYLHKNQFESLKQLQSLDLERIEIPNINTRMFQPMKNLSHIYFKNFRYCSYAPHVRICMPLTDGISSFEDLLANNILRIFVWVIAFITCFGNLFVIGMRSFIKAENTTHAMSIKILCCADCLMGVYLFFVGIFDIKYRGQYQKYALLWMESVQCRLMGFLAMLSTEVSVLLLTYLTLEKFLVIVFPFSNIRPGKRQTSVILICIWMAGFLIAVIPFWNKDYFGNFYGKNGVCFPLYYDQTEDIGSKGYSLGIFLGVNLLAFLIIVFSYITMFCSIQKTALQTTEVRNCFGREVAVANRFFFIVFSDAICWIPVFVVKILSLFRVEIPDTMTSWIVIFFLPVNSALNPILYTLTTNFFKDKLKQLLHKHQRKSIFKIKKKSLSTSIVWIEDSSSLKLGVLNKITLGDSIMKPVS</v>
      </c>
      <c r="F62" s="5" t="str">
        <f t="shared" si="1"/>
        <v>LLANNILRIFVWVIAFITCFGNLFVIGMRSFI</v>
      </c>
      <c r="G62" s="4" t="str">
        <f t="shared" si="2"/>
        <v>KAEN</v>
      </c>
      <c r="H62" s="4" t="str">
        <f t="shared" si="3"/>
        <v>TTHAMSIKILCCADCLMGVYLFFVGIFDIKY</v>
      </c>
      <c r="I62" s="4" t="str">
        <f t="shared" si="4"/>
        <v>KYAL</v>
      </c>
      <c r="J62" s="4" t="str">
        <f t="shared" si="5"/>
        <v>LWMESVQCRLMGFLAMLSTEVSVLLLTYLTLEKFLVIVF</v>
      </c>
      <c r="K62" s="4" t="str">
        <f t="shared" si="6"/>
        <v>PFSNIRP</v>
      </c>
      <c r="L62" s="4" t="str">
        <f t="shared" si="7"/>
        <v>GKRQTSVILICIWMAGFLIAVIPFWN</v>
      </c>
      <c r="M62" s="4" t="str">
        <f t="shared" si="8"/>
        <v>CFP</v>
      </c>
      <c r="N62" s="4" t="str">
        <f t="shared" si="9"/>
        <v>SKGYSLGIFLGVNLLAFLIIVFSYITMFCSIQKTALQT</v>
      </c>
      <c r="O62" s="4" t="str">
        <f t="shared" si="10"/>
        <v>RNCFGREVAVANRFFFIVFSDAICWIPVFVVKILSLFR</v>
      </c>
      <c r="P62" s="4" t="str">
        <f t="shared" si="11"/>
        <v>DTMTSWIVIFFLPVNSALNPILYTLT</v>
      </c>
      <c r="Q62" s="4" t="str">
        <f t="shared" si="12"/>
        <v>TNFFKDKLKQLLHKHQRKSIFKI</v>
      </c>
      <c r="R62" s="5">
        <f>VLOOKUP($A62,'SegEnds_NonXtal_Prot#'!$A:$AL,3,FALSE)</f>
        <v>412</v>
      </c>
      <c r="S62" s="5">
        <f>VLOOKUP($A62,'SegEnds_NonXtal_Prot#'!$A:$AL,6,FALSE)</f>
        <v>444</v>
      </c>
      <c r="T62" s="5">
        <f>VLOOKUP($A62,'SegEnds_NonXtal_Prot#'!$A:$AL,9,FALSE)</f>
        <v>448</v>
      </c>
      <c r="U62" s="5">
        <f>VLOOKUP($A62,'SegEnds_NonXtal_Prot#'!$A:$AL,12,FALSE)</f>
        <v>484</v>
      </c>
      <c r="V62" s="5">
        <f>VLOOKUP($A62,'SegEnds_NonXtal_Prot#'!$A:$AL,15,FALSE)</f>
        <v>488</v>
      </c>
      <c r="W62" s="5">
        <f>VLOOKUP($A62,'SegEnds_NonXtal_Prot#'!$A:$AL,18,FALSE)</f>
        <v>527</v>
      </c>
      <c r="X62" s="5">
        <f>VLOOKUP($A62,'SegEnds_NonXtal_Prot#'!$A:$AL,21,FALSE)</f>
        <v>534</v>
      </c>
      <c r="Y62" s="5">
        <f>VLOOKUP($A62,'SegEnds_NonXtal_Prot#'!$A:$AL,24,FALSE)</f>
        <v>573</v>
      </c>
      <c r="Z62" s="5">
        <f>VLOOKUP($A62,'SegEnds_NonXtal_Prot#'!$A:$AL,27,FALSE)</f>
        <v>586</v>
      </c>
      <c r="AA62" s="5">
        <f>VLOOKUP($A62,'SegEnds_NonXtal_Prot#'!$A:$AL,30,FALSE)</f>
        <v>627</v>
      </c>
      <c r="AB62" s="5">
        <f>VLOOKUP($A62,'SegEnds_NonXtal_Prot#'!$A:$AL,33,FALSE)</f>
        <v>669</v>
      </c>
      <c r="AC62" s="5">
        <f>VLOOKUP($A62,'SegEnds_NonXtal_Prot#'!$A:$AL,36,FALSE)</f>
        <v>695</v>
      </c>
      <c r="AD62" s="5">
        <f>VLOOKUP($A62,'SegEnds_NonXtal_Prot#'!$A:$AL,5,FALSE)</f>
        <v>443</v>
      </c>
      <c r="AE62" s="5">
        <f>VLOOKUP($A62,'SegEnds_NonXtal_Prot#'!$A:$AL,8,FALSE)</f>
        <v>447</v>
      </c>
      <c r="AF62" s="5">
        <f>VLOOKUP($A62,'SegEnds_NonXtal_Prot#'!$A:$AL,11,FALSE)</f>
        <v>478</v>
      </c>
      <c r="AG62" s="5">
        <f>VLOOKUP($A62,'SegEnds_NonXtal_Prot#'!$A:$AL,14,FALSE)</f>
        <v>487</v>
      </c>
      <c r="AH62" s="5">
        <f>VLOOKUP($A62,'SegEnds_NonXtal_Prot#'!$A:$AL,17,FALSE)</f>
        <v>526</v>
      </c>
      <c r="AI62" s="5">
        <f>VLOOKUP($A62,'SegEnds_NonXtal_Prot#'!$A:$AL,20,FALSE)</f>
        <v>533</v>
      </c>
      <c r="AJ62" s="5">
        <f>VLOOKUP($A62,'SegEnds_NonXtal_Prot#'!$A:$AL,23,FALSE)</f>
        <v>559</v>
      </c>
      <c r="AK62" s="5">
        <f>VLOOKUP($A62,'SegEnds_NonXtal_Prot#'!$A:$AL,26,FALSE)</f>
        <v>575</v>
      </c>
      <c r="AL62" s="5">
        <f>VLOOKUP($A62,'SegEnds_NonXtal_Prot#'!$A:$AL,29,FALSE)</f>
        <v>623</v>
      </c>
      <c r="AM62" s="5">
        <f>VLOOKUP($A62,'SegEnds_NonXtal_Prot#'!$A:$AL,32,FALSE)</f>
        <v>664</v>
      </c>
      <c r="AN62" s="5">
        <f>VLOOKUP($A62,'SegEnds_NonXtal_Prot#'!$A:$AL,35,FALSE)</f>
        <v>694</v>
      </c>
      <c r="AO62" s="5">
        <f>VLOOKUP($A62,'SegEnds_NonXtal_Prot#'!$A:$AL,38,FALSE)</f>
        <v>717</v>
      </c>
      <c r="AP62" s="5">
        <f t="shared" si="13"/>
        <v>31</v>
      </c>
      <c r="AQ62" s="4">
        <f t="shared" si="14"/>
        <v>3</v>
      </c>
      <c r="AR62" s="4">
        <f t="shared" si="15"/>
        <v>30</v>
      </c>
      <c r="AS62" s="4">
        <f t="shared" si="16"/>
        <v>3</v>
      </c>
      <c r="AT62" s="4">
        <f t="shared" si="17"/>
        <v>38</v>
      </c>
      <c r="AU62" s="4">
        <f t="shared" si="18"/>
        <v>6</v>
      </c>
      <c r="AV62" s="4">
        <f t="shared" si="19"/>
        <v>25</v>
      </c>
      <c r="AW62" s="4">
        <f t="shared" si="20"/>
        <v>2</v>
      </c>
      <c r="AX62" s="4">
        <f t="shared" si="21"/>
        <v>37</v>
      </c>
      <c r="AY62" s="4">
        <f t="shared" si="22"/>
        <v>37</v>
      </c>
      <c r="AZ62" s="4">
        <f t="shared" si="23"/>
        <v>25</v>
      </c>
      <c r="BA62" s="4">
        <f t="shared" si="24"/>
        <v>22</v>
      </c>
    </row>
    <row r="63" spans="1:53" x14ac:dyDescent="0.2">
      <c r="A63" s="1" t="str">
        <f>'SegEnds_NonXtal_Prot#'!A32</f>
        <v>s1pr2_human</v>
      </c>
      <c r="B63" s="1" t="str">
        <f t="shared" si="0"/>
        <v>TTSRQVASAFIVILCCAIVVENLLVLIAVARNSAMYLFLGNLAASDLLAGVAFVANTLLTPVQWFAREGSAFITLSASVFSLLAIAIERHVAIAKKSCRMLLLIGASWLISLVLGGLPILGAKHYVLCVVTIFSIILLAIVALYVRIYCVVRSAAPQTLALLKTVTIVLGVFIVCWLPAFSILLLDYACPILYKAHYFFAVSTLNSLLNPVIYTWRSRDLRREVLRPLQ</v>
      </c>
      <c r="C63" s="29" t="str">
        <f>IF(ISERROR(MATCH(A63,'SegEnds_Xtal_Prot#'!B:B, 0)), "NoXtal", "Xtal")</f>
        <v>NoXtal</v>
      </c>
      <c r="D63" s="4" t="str">
        <f>VLOOKUP(A63,Classification!A:D,2,FALSE)</f>
        <v>A</v>
      </c>
      <c r="E63" s="5" t="str">
        <f>VLOOKUP(A63,Seqs!A:B,2,FALSE)</f>
        <v>MGSLYSEYLNPNKVQEHYNYTKETLETQETTSRQVASAFIVILCCAIVVENLLVLIAVARNSKFHSAMYLFLGNLAASDLLAGVAFVANTLLSGSVTLRLTPVQWFAREGSAFITLSASVFSLLAIAIERHVAIAKVKLYGSDKSCRMLLLIGASWLISLVLGGLPILGWNCLGHLEACSTVLPLYAKHYVLCVVTIFSIILLAIVALYVRIYCVVRSSHADMAAPQTLALLKTVTIVLGVFIVCWLPAFSILLLDYACPVHSCPILYKAHYFFAVSTLNSLLNPVIYTWRSRDLRREVLRPLQCWRPGVGVQGRRRGGTPGHHLLPLRSSSSLERGMHMPTSPTFLEGNTVV</v>
      </c>
      <c r="F63" s="5" t="str">
        <f t="shared" si="1"/>
        <v>TTSRQVASAFIVILCCAIVVENLLVLIAVARN</v>
      </c>
      <c r="G63" s="4" t="str">
        <f t="shared" si="2"/>
        <v>SKFH</v>
      </c>
      <c r="H63" s="4" t="str">
        <f t="shared" si="3"/>
        <v>SAMYLFLGNLAASDLLAGVAFVANTLL</v>
      </c>
      <c r="I63" s="4" t="str">
        <f t="shared" si="4"/>
        <v>GSVTLRL</v>
      </c>
      <c r="J63" s="4" t="str">
        <f t="shared" si="5"/>
        <v>TPVQWFAREGSAFITLSASVFSLLAIAIERHVAIAK</v>
      </c>
      <c r="K63" s="4" t="str">
        <f t="shared" si="6"/>
        <v>VKLYGSD</v>
      </c>
      <c r="L63" s="4" t="str">
        <f t="shared" si="7"/>
        <v>KSCRMLLLIGASWLISLVLGGLPILG</v>
      </c>
      <c r="M63" s="4" t="str">
        <f t="shared" si="8"/>
        <v/>
      </c>
      <c r="N63" s="4" t="str">
        <f t="shared" si="9"/>
        <v>AKHYVLCVVTIFSIILLAIVALYVRIYCVVRS</v>
      </c>
      <c r="O63" s="4" t="str">
        <f t="shared" si="10"/>
        <v>AAPQTLALLKTVTIVLGVFIVCWLPAFSILLLDYAC</v>
      </c>
      <c r="P63" s="4" t="str">
        <f t="shared" si="11"/>
        <v>PILYKAHYFFAVSTLNSLLNPVIYTWR</v>
      </c>
      <c r="Q63" s="4" t="str">
        <f t="shared" si="12"/>
        <v>SRDLRREVLRPLQ</v>
      </c>
      <c r="R63" s="5">
        <f>VLOOKUP($A63,'SegEnds_NonXtal_Prot#'!$A:$AL,3,FALSE)</f>
        <v>30</v>
      </c>
      <c r="S63" s="5">
        <f>VLOOKUP($A63,'SegEnds_NonXtal_Prot#'!$A:$AL,6,FALSE)</f>
        <v>62</v>
      </c>
      <c r="T63" s="5">
        <f>VLOOKUP($A63,'SegEnds_NonXtal_Prot#'!$A:$AL,9,FALSE)</f>
        <v>66</v>
      </c>
      <c r="U63" s="5">
        <f>VLOOKUP($A63,'SegEnds_NonXtal_Prot#'!$A:$AL,12,FALSE)</f>
        <v>94</v>
      </c>
      <c r="V63" s="5">
        <f>VLOOKUP($A63,'SegEnds_NonXtal_Prot#'!$A:$AL,15,FALSE)</f>
        <v>101</v>
      </c>
      <c r="W63" s="5">
        <f>VLOOKUP($A63,'SegEnds_NonXtal_Prot#'!$A:$AL,18,FALSE)</f>
        <v>137</v>
      </c>
      <c r="X63" s="5">
        <f>VLOOKUP($A63,'SegEnds_NonXtal_Prot#'!$A:$AL,21,FALSE)</f>
        <v>144</v>
      </c>
      <c r="Y63" s="5" t="str">
        <f>VLOOKUP($A63,'SegEnds_NonXtal_Prot#'!$A:$AL,24,FALSE)</f>
        <v>-</v>
      </c>
      <c r="Z63" s="5">
        <f>VLOOKUP($A63,'SegEnds_NonXtal_Prot#'!$A:$AL,27,FALSE)</f>
        <v>187</v>
      </c>
      <c r="AA63" s="5">
        <f>VLOOKUP($A63,'SegEnds_NonXtal_Prot#'!$A:$AL,30,FALSE)</f>
        <v>224</v>
      </c>
      <c r="AB63" s="5">
        <f>VLOOKUP($A63,'SegEnds_NonXtal_Prot#'!$A:$AL,33,FALSE)</f>
        <v>265</v>
      </c>
      <c r="AC63" s="5">
        <f>VLOOKUP($A63,'SegEnds_NonXtal_Prot#'!$A:$AL,36,FALSE)</f>
        <v>292</v>
      </c>
      <c r="AD63" s="5">
        <f>VLOOKUP($A63,'SegEnds_NonXtal_Prot#'!$A:$AL,5,FALSE)</f>
        <v>61</v>
      </c>
      <c r="AE63" s="5">
        <f>VLOOKUP($A63,'SegEnds_NonXtal_Prot#'!$A:$AL,8,FALSE)</f>
        <v>65</v>
      </c>
      <c r="AF63" s="5">
        <f>VLOOKUP($A63,'SegEnds_NonXtal_Prot#'!$A:$AL,11,FALSE)</f>
        <v>92</v>
      </c>
      <c r="AG63" s="5">
        <f>VLOOKUP($A63,'SegEnds_NonXtal_Prot#'!$A:$AL,14,FALSE)</f>
        <v>100</v>
      </c>
      <c r="AH63" s="5">
        <f>VLOOKUP($A63,'SegEnds_NonXtal_Prot#'!$A:$AL,17,FALSE)</f>
        <v>136</v>
      </c>
      <c r="AI63" s="5">
        <f>VLOOKUP($A63,'SegEnds_NonXtal_Prot#'!$A:$AL,20,FALSE)</f>
        <v>143</v>
      </c>
      <c r="AJ63" s="5">
        <f>VLOOKUP($A63,'SegEnds_NonXtal_Prot#'!$A:$AL,23,FALSE)</f>
        <v>169</v>
      </c>
      <c r="AK63" s="5" t="str">
        <f>VLOOKUP($A63,'SegEnds_NonXtal_Prot#'!$A:$AL,26,FALSE)</f>
        <v>-</v>
      </c>
      <c r="AL63" s="5">
        <f>VLOOKUP($A63,'SegEnds_NonXtal_Prot#'!$A:$AL,29,FALSE)</f>
        <v>218</v>
      </c>
      <c r="AM63" s="5">
        <f>VLOOKUP($A63,'SegEnds_NonXtal_Prot#'!$A:$AL,32,FALSE)</f>
        <v>259</v>
      </c>
      <c r="AN63" s="5">
        <f>VLOOKUP($A63,'SegEnds_NonXtal_Prot#'!$A:$AL,35,FALSE)</f>
        <v>291</v>
      </c>
      <c r="AO63" s="5">
        <f>VLOOKUP($A63,'SegEnds_NonXtal_Prot#'!$A:$AL,38,FALSE)</f>
        <v>304</v>
      </c>
      <c r="AP63" s="5">
        <f t="shared" si="13"/>
        <v>31</v>
      </c>
      <c r="AQ63" s="4">
        <f t="shared" si="14"/>
        <v>3</v>
      </c>
      <c r="AR63" s="4">
        <f t="shared" si="15"/>
        <v>26</v>
      </c>
      <c r="AS63" s="4">
        <f t="shared" si="16"/>
        <v>6</v>
      </c>
      <c r="AT63" s="4">
        <f t="shared" si="17"/>
        <v>35</v>
      </c>
      <c r="AU63" s="4">
        <f t="shared" si="18"/>
        <v>6</v>
      </c>
      <c r="AV63" s="4">
        <f t="shared" si="19"/>
        <v>25</v>
      </c>
      <c r="AW63" s="4" t="str">
        <f t="shared" si="20"/>
        <v>-</v>
      </c>
      <c r="AX63" s="4">
        <f t="shared" si="21"/>
        <v>31</v>
      </c>
      <c r="AY63" s="4">
        <f t="shared" si="22"/>
        <v>35</v>
      </c>
      <c r="AZ63" s="4">
        <f t="shared" si="23"/>
        <v>26</v>
      </c>
      <c r="BA63" s="4">
        <f t="shared" si="24"/>
        <v>12</v>
      </c>
    </row>
    <row r="64" spans="1:53" x14ac:dyDescent="0.2">
      <c r="A64" s="1" t="str">
        <f>'SegEnds_NonXtal_Prot#'!A33</f>
        <v>s1pr3_human</v>
      </c>
      <c r="B64" s="1" t="str">
        <f t="shared" si="0"/>
        <v>SEGSTLTTVLFLVICSFIVLENLMVLIAIWKNNRMYFFIGNLALCDLLAGIAYKVNILMSPTVWFLREGSMFVALGASTCSLLAIAIERHLTMIKKRHRVFLLIGMCWLIAFTLGALPILGSKKYIAFCISIFTAILVTIVILYARIYFLVKSSNHNNSERSMALLRTVVIVVSVFIACWSPLFILFLIDVACPILFKAQWFIVLAVLNSAMNPVIYTLASKEMRRAFFRLVC</v>
      </c>
      <c r="C64" s="29" t="str">
        <f>IF(ISERROR(MATCH(A64,'SegEnds_Xtal_Prot#'!B:B, 0)), "NoXtal", "Xtal")</f>
        <v>NoXtal</v>
      </c>
      <c r="D64" s="4" t="str">
        <f>VLOOKUP(A64,Classification!A:D,2,FALSE)</f>
        <v>A</v>
      </c>
      <c r="E64" s="5" t="str">
        <f>VLOOKUP(A64,Seqs!A:B,2,FALSE)</f>
        <v>MATALPPRLQPVRGNETLREHYQYVGKLAGRLKEASEGSTLTTVLFLVICSFIVLENLMVLIAIWKNNKFHNRMYFFIGNLALCDLLAGIAYKVNILMSGKKTFSLSPTVWFLREGSMFVALGASTCSLLAIAIERHLTMIKMRPYDANKRHRVFLLIGMCWLIAFTLGALPILGWNCLHNLPDCSTILPLYSKKYIAFCISIFTAILVTIVILYARIYFLVKSSSRKVANHNNSERSMALLRTVVIVVSVFIACWSPLFILFLIDVACRVQACPILFKAQWFIVLAVLNSAMNPVIYTLASKEMRRAFFRLVCNCLVRGRGARASPIQPALDPSRSKSSSSNNSSHSPKVKEDLPHTAPSSCIMDKNAALQNGIFCN</v>
      </c>
      <c r="F64" s="5" t="str">
        <f t="shared" si="1"/>
        <v>SEGSTLTTVLFLVICSFIVLENLMVLIAIWKN</v>
      </c>
      <c r="G64" s="4" t="str">
        <f t="shared" si="2"/>
        <v>NKFH</v>
      </c>
      <c r="H64" s="4" t="str">
        <f t="shared" si="3"/>
        <v>NRMYFFIGNLALCDLLAGIAYKVNILM</v>
      </c>
      <c r="I64" s="4" t="str">
        <f t="shared" si="4"/>
        <v>GKKTFSL</v>
      </c>
      <c r="J64" s="4" t="str">
        <f t="shared" si="5"/>
        <v>SPTVWFLREGSMFVALGASTCSLLAIAIERHLTMIK</v>
      </c>
      <c r="K64" s="4" t="str">
        <f t="shared" si="6"/>
        <v>MRPYDAN</v>
      </c>
      <c r="L64" s="4" t="str">
        <f t="shared" si="7"/>
        <v>KRHRVFLLIGMCWLIAFTLGALPILG</v>
      </c>
      <c r="M64" s="4" t="str">
        <f t="shared" si="8"/>
        <v/>
      </c>
      <c r="N64" s="4" t="str">
        <f t="shared" si="9"/>
        <v>SKKYIAFCISIFTAILVTIVILYARIYFLVKSS</v>
      </c>
      <c r="O64" s="4" t="str">
        <f t="shared" si="10"/>
        <v>NHNNSERSMALLRTVVIVVSVFIACWSPLFILFLIDVAC</v>
      </c>
      <c r="P64" s="4" t="str">
        <f t="shared" si="11"/>
        <v>PILFKAQWFIVLAVLNSAMNPVIYTLA</v>
      </c>
      <c r="Q64" s="4" t="str">
        <f t="shared" si="12"/>
        <v>SKEMRRAFFRLVC</v>
      </c>
      <c r="R64" s="5">
        <f>VLOOKUP($A64,'SegEnds_NonXtal_Prot#'!$A:$AL,3,FALSE)</f>
        <v>36</v>
      </c>
      <c r="S64" s="5">
        <f>VLOOKUP($A64,'SegEnds_NonXtal_Prot#'!$A:$AL,6,FALSE)</f>
        <v>68</v>
      </c>
      <c r="T64" s="5">
        <f>VLOOKUP($A64,'SegEnds_NonXtal_Prot#'!$A:$AL,9,FALSE)</f>
        <v>72</v>
      </c>
      <c r="U64" s="5">
        <f>VLOOKUP($A64,'SegEnds_NonXtal_Prot#'!$A:$AL,12,FALSE)</f>
        <v>100</v>
      </c>
      <c r="V64" s="5">
        <f>VLOOKUP($A64,'SegEnds_NonXtal_Prot#'!$A:$AL,15,FALSE)</f>
        <v>107</v>
      </c>
      <c r="W64" s="5">
        <f>VLOOKUP($A64,'SegEnds_NonXtal_Prot#'!$A:$AL,18,FALSE)</f>
        <v>143</v>
      </c>
      <c r="X64" s="5">
        <f>VLOOKUP($A64,'SegEnds_NonXtal_Prot#'!$A:$AL,21,FALSE)</f>
        <v>150</v>
      </c>
      <c r="Y64" s="5" t="str">
        <f>VLOOKUP($A64,'SegEnds_NonXtal_Prot#'!$A:$AL,24,FALSE)</f>
        <v>-</v>
      </c>
      <c r="Z64" s="5">
        <f>VLOOKUP($A64,'SegEnds_NonXtal_Prot#'!$A:$AL,27,FALSE)</f>
        <v>193</v>
      </c>
      <c r="AA64" s="5">
        <f>VLOOKUP($A64,'SegEnds_NonXtal_Prot#'!$A:$AL,30,FALSE)</f>
        <v>231</v>
      </c>
      <c r="AB64" s="5">
        <f>VLOOKUP($A64,'SegEnds_NonXtal_Prot#'!$A:$AL,33,FALSE)</f>
        <v>275</v>
      </c>
      <c r="AC64" s="5">
        <f>VLOOKUP($A64,'SegEnds_NonXtal_Prot#'!$A:$AL,36,FALSE)</f>
        <v>302</v>
      </c>
      <c r="AD64" s="5">
        <f>VLOOKUP($A64,'SegEnds_NonXtal_Prot#'!$A:$AL,5,FALSE)</f>
        <v>67</v>
      </c>
      <c r="AE64" s="5">
        <f>VLOOKUP($A64,'SegEnds_NonXtal_Prot#'!$A:$AL,8,FALSE)</f>
        <v>71</v>
      </c>
      <c r="AF64" s="5">
        <f>VLOOKUP($A64,'SegEnds_NonXtal_Prot#'!$A:$AL,11,FALSE)</f>
        <v>98</v>
      </c>
      <c r="AG64" s="5">
        <f>VLOOKUP($A64,'SegEnds_NonXtal_Prot#'!$A:$AL,14,FALSE)</f>
        <v>106</v>
      </c>
      <c r="AH64" s="5">
        <f>VLOOKUP($A64,'SegEnds_NonXtal_Prot#'!$A:$AL,17,FALSE)</f>
        <v>142</v>
      </c>
      <c r="AI64" s="5">
        <f>VLOOKUP($A64,'SegEnds_NonXtal_Prot#'!$A:$AL,20,FALSE)</f>
        <v>149</v>
      </c>
      <c r="AJ64" s="5">
        <f>VLOOKUP($A64,'SegEnds_NonXtal_Prot#'!$A:$AL,23,FALSE)</f>
        <v>175</v>
      </c>
      <c r="AK64" s="5" t="str">
        <f>VLOOKUP($A64,'SegEnds_NonXtal_Prot#'!$A:$AL,26,FALSE)</f>
        <v>-</v>
      </c>
      <c r="AL64" s="5">
        <f>VLOOKUP($A64,'SegEnds_NonXtal_Prot#'!$A:$AL,29,FALSE)</f>
        <v>225</v>
      </c>
      <c r="AM64" s="5">
        <f>VLOOKUP($A64,'SegEnds_NonXtal_Prot#'!$A:$AL,32,FALSE)</f>
        <v>269</v>
      </c>
      <c r="AN64" s="5">
        <f>VLOOKUP($A64,'SegEnds_NonXtal_Prot#'!$A:$AL,35,FALSE)</f>
        <v>301</v>
      </c>
      <c r="AO64" s="5">
        <f>VLOOKUP($A64,'SegEnds_NonXtal_Prot#'!$A:$AL,38,FALSE)</f>
        <v>314</v>
      </c>
      <c r="AP64" s="5">
        <f t="shared" si="13"/>
        <v>31</v>
      </c>
      <c r="AQ64" s="4">
        <f t="shared" si="14"/>
        <v>3</v>
      </c>
      <c r="AR64" s="4">
        <f t="shared" si="15"/>
        <v>26</v>
      </c>
      <c r="AS64" s="4">
        <f t="shared" si="16"/>
        <v>6</v>
      </c>
      <c r="AT64" s="4">
        <f t="shared" si="17"/>
        <v>35</v>
      </c>
      <c r="AU64" s="4">
        <f t="shared" si="18"/>
        <v>6</v>
      </c>
      <c r="AV64" s="4">
        <f t="shared" si="19"/>
        <v>25</v>
      </c>
      <c r="AW64" s="4" t="str">
        <f t="shared" si="20"/>
        <v>-</v>
      </c>
      <c r="AX64" s="4">
        <f t="shared" si="21"/>
        <v>32</v>
      </c>
      <c r="AY64" s="4">
        <f t="shared" si="22"/>
        <v>38</v>
      </c>
      <c r="AZ64" s="4">
        <f t="shared" si="23"/>
        <v>26</v>
      </c>
      <c r="BA64" s="4">
        <f t="shared" si="24"/>
        <v>12</v>
      </c>
    </row>
    <row r="65" spans="1:53" x14ac:dyDescent="0.2">
      <c r="A65" s="1" t="str">
        <f>'SegEnds_NonXtal_Prot#'!A34</f>
        <v>s1pr5_human</v>
      </c>
      <c r="B65" s="1" t="str">
        <f t="shared" si="0"/>
        <v>GAGLRADAVVCLAVCAFIVLENLAVLLVLGRHAPMFLLLGSLTLSDLLAGAAYAANILLSPALWFAREGGVFVALTASVLSLLAIALERSLTMARSRGRTLAMAAAAWGVSLLLGLLPALGAKAYVLFCVLAFVGILAAICALYARIYCQVRANARRLPASTRARRKPRSLALLRTLSVVLLAFVACWGPLFLLLLLDVACPVLLQADPFLGLAMANSLLNPIIYTLTNRDLRHALLRLVC</v>
      </c>
      <c r="C65" s="29" t="str">
        <f>IF(ISERROR(MATCH(A65,'SegEnds_Xtal_Prot#'!B:B, 0)), "NoXtal", "Xtal")</f>
        <v>NoXtal</v>
      </c>
      <c r="D65" s="4" t="str">
        <f>VLOOKUP(A65,Classification!A:D,2,FALSE)</f>
        <v>A</v>
      </c>
      <c r="E65" s="5" t="str">
        <f>VLOOKUP(A65,Seqs!A:B,2,FALSE)</f>
        <v>MESGLLRPAPVSEVIVLHYNYTGKLRGARYQPGAGLRADAVVCLAVCAFIVLENLAVLLVLGRHPRFHAPMFLLLGSLTLSDLLAGAAYAANILLSGPLTLKLSPALWFAREGGVFVALTASVLSLLAIALERSLTMARRGPAPVSSRGRTLAMAAAAWGVSLLLGLLPALGWNCLGRLDACSTVLPLYAKAYVLFCVLAFVGILAAICALYARIYCQVRANARRLPARPGTAGTTSTRARRKPRSLALLRTLSVVLLAFVACWGPLFLLLLLDVACPARTCPVLLQADPFLGLAMANSLLNPIIYTLTNRDLRHALLRLVCCGRHSCGRDPSGSQQSASAAEASGGLRRCLPPGLDGSFSGSERSSPQRDGLDTSGSTGSPGAPTAARTLVSEPAAD</v>
      </c>
      <c r="F65" s="5" t="str">
        <f t="shared" si="1"/>
        <v>GAGLRADAVVCLAVCAFIVLENLAVLLVLGRH</v>
      </c>
      <c r="G65" s="4" t="str">
        <f t="shared" si="2"/>
        <v>PRFH</v>
      </c>
      <c r="H65" s="4" t="str">
        <f t="shared" si="3"/>
        <v>APMFLLLGSLTLSDLLAGAAYAANILL</v>
      </c>
      <c r="I65" s="4" t="str">
        <f t="shared" si="4"/>
        <v>GPLTLKL</v>
      </c>
      <c r="J65" s="4" t="str">
        <f t="shared" si="5"/>
        <v>SPALWFAREGGVFVALTASVLSLLAIALERSLTMAR</v>
      </c>
      <c r="K65" s="4" t="str">
        <f t="shared" si="6"/>
        <v>RGPAPVS</v>
      </c>
      <c r="L65" s="4" t="str">
        <f t="shared" si="7"/>
        <v>SRGRTLAMAAAAWGVSLLLGLLPALG</v>
      </c>
      <c r="M65" s="4" t="str">
        <f t="shared" si="8"/>
        <v/>
      </c>
      <c r="N65" s="4" t="str">
        <f t="shared" si="9"/>
        <v>AKAYVLFCVLAFVGILAAICALYARIYCQVRANARRLPA</v>
      </c>
      <c r="O65" s="4" t="str">
        <f t="shared" si="10"/>
        <v>STRARRKPRSLALLRTLSVVLLAFVACWGPLFLLLLLDVAC</v>
      </c>
      <c r="P65" s="4" t="str">
        <f t="shared" si="11"/>
        <v>PVLLQADPFLGLAMANSLLNPIIYTLT</v>
      </c>
      <c r="Q65" s="4" t="str">
        <f t="shared" si="12"/>
        <v>NRDLRHALLRLVC</v>
      </c>
      <c r="R65" s="5">
        <f>VLOOKUP($A65,'SegEnds_NonXtal_Prot#'!$A:$AL,3,FALSE)</f>
        <v>33</v>
      </c>
      <c r="S65" s="5">
        <f>VLOOKUP($A65,'SegEnds_NonXtal_Prot#'!$A:$AL,6,FALSE)</f>
        <v>65</v>
      </c>
      <c r="T65" s="5">
        <f>VLOOKUP($A65,'SegEnds_NonXtal_Prot#'!$A:$AL,9,FALSE)</f>
        <v>69</v>
      </c>
      <c r="U65" s="5">
        <f>VLOOKUP($A65,'SegEnds_NonXtal_Prot#'!$A:$AL,12,FALSE)</f>
        <v>97</v>
      </c>
      <c r="V65" s="5">
        <f>VLOOKUP($A65,'SegEnds_NonXtal_Prot#'!$A:$AL,15,FALSE)</f>
        <v>104</v>
      </c>
      <c r="W65" s="5">
        <f>VLOOKUP($A65,'SegEnds_NonXtal_Prot#'!$A:$AL,18,FALSE)</f>
        <v>140</v>
      </c>
      <c r="X65" s="5">
        <f>VLOOKUP($A65,'SegEnds_NonXtal_Prot#'!$A:$AL,21,FALSE)</f>
        <v>147</v>
      </c>
      <c r="Y65" s="5" t="str">
        <f>VLOOKUP($A65,'SegEnds_NonXtal_Prot#'!$A:$AL,24,FALSE)</f>
        <v>-</v>
      </c>
      <c r="Z65" s="5">
        <f>VLOOKUP($A65,'SegEnds_NonXtal_Prot#'!$A:$AL,27,FALSE)</f>
        <v>190</v>
      </c>
      <c r="AA65" s="5">
        <f>VLOOKUP($A65,'SegEnds_NonXtal_Prot#'!$A:$AL,30,FALSE)</f>
        <v>237</v>
      </c>
      <c r="AB65" s="5">
        <f>VLOOKUP($A65,'SegEnds_NonXtal_Prot#'!$A:$AL,33,FALSE)</f>
        <v>283</v>
      </c>
      <c r="AC65" s="5">
        <f>VLOOKUP($A65,'SegEnds_NonXtal_Prot#'!$A:$AL,36,FALSE)</f>
        <v>310</v>
      </c>
      <c r="AD65" s="5">
        <f>VLOOKUP($A65,'SegEnds_NonXtal_Prot#'!$A:$AL,5,FALSE)</f>
        <v>64</v>
      </c>
      <c r="AE65" s="5">
        <f>VLOOKUP($A65,'SegEnds_NonXtal_Prot#'!$A:$AL,8,FALSE)</f>
        <v>68</v>
      </c>
      <c r="AF65" s="5">
        <f>VLOOKUP($A65,'SegEnds_NonXtal_Prot#'!$A:$AL,11,FALSE)</f>
        <v>95</v>
      </c>
      <c r="AG65" s="5">
        <f>VLOOKUP($A65,'SegEnds_NonXtal_Prot#'!$A:$AL,14,FALSE)</f>
        <v>103</v>
      </c>
      <c r="AH65" s="5">
        <f>VLOOKUP($A65,'SegEnds_NonXtal_Prot#'!$A:$AL,17,FALSE)</f>
        <v>139</v>
      </c>
      <c r="AI65" s="5">
        <f>VLOOKUP($A65,'SegEnds_NonXtal_Prot#'!$A:$AL,20,FALSE)</f>
        <v>146</v>
      </c>
      <c r="AJ65" s="5">
        <f>VLOOKUP($A65,'SegEnds_NonXtal_Prot#'!$A:$AL,23,FALSE)</f>
        <v>172</v>
      </c>
      <c r="AK65" s="5" t="str">
        <f>VLOOKUP($A65,'SegEnds_NonXtal_Prot#'!$A:$AL,26,FALSE)</f>
        <v>-</v>
      </c>
      <c r="AL65" s="5">
        <f>VLOOKUP($A65,'SegEnds_NonXtal_Prot#'!$A:$AL,29,FALSE)</f>
        <v>228</v>
      </c>
      <c r="AM65" s="5">
        <f>VLOOKUP($A65,'SegEnds_NonXtal_Prot#'!$A:$AL,32,FALSE)</f>
        <v>277</v>
      </c>
      <c r="AN65" s="5">
        <f>VLOOKUP($A65,'SegEnds_NonXtal_Prot#'!$A:$AL,35,FALSE)</f>
        <v>309</v>
      </c>
      <c r="AO65" s="5">
        <f>VLOOKUP($A65,'SegEnds_NonXtal_Prot#'!$A:$AL,38,FALSE)</f>
        <v>322</v>
      </c>
      <c r="AP65" s="5">
        <f t="shared" si="13"/>
        <v>31</v>
      </c>
      <c r="AQ65" s="4">
        <f t="shared" si="14"/>
        <v>3</v>
      </c>
      <c r="AR65" s="4">
        <f t="shared" si="15"/>
        <v>26</v>
      </c>
      <c r="AS65" s="4">
        <f t="shared" si="16"/>
        <v>6</v>
      </c>
      <c r="AT65" s="4">
        <f t="shared" si="17"/>
        <v>35</v>
      </c>
      <c r="AU65" s="4">
        <f t="shared" si="18"/>
        <v>6</v>
      </c>
      <c r="AV65" s="4">
        <f t="shared" si="19"/>
        <v>25</v>
      </c>
      <c r="AW65" s="4" t="str">
        <f t="shared" si="20"/>
        <v>-</v>
      </c>
      <c r="AX65" s="4">
        <f t="shared" si="21"/>
        <v>38</v>
      </c>
      <c r="AY65" s="4">
        <f t="shared" si="22"/>
        <v>40</v>
      </c>
      <c r="AZ65" s="4">
        <f t="shared" si="23"/>
        <v>26</v>
      </c>
      <c r="BA65" s="4">
        <f t="shared" si="24"/>
        <v>12</v>
      </c>
    </row>
    <row r="66" spans="1:53" x14ac:dyDescent="0.2">
      <c r="A66" s="1" t="str">
        <f>'SegEnds_NonXtal_Prot#'!A35</f>
        <v>ur2r_human</v>
      </c>
      <c r="B66" s="1" t="str">
        <f t="shared" ref="B66:B129" si="25">F66&amp;H66&amp;J66&amp;L66&amp;N66&amp;O66&amp;P66&amp;Q66</f>
        <v>SLEDLVATGTIGTLLSAMGVVGVVGNAYTLVVTCRSASMYVYVVNLALADLLYLLSIPFIVATYVTGDVGCRVLFGLDFLTMHASIFTLTVMSSERYAAVLRPKGYRKLLALGTWLLALLLTLPVMLAMHRAYLTLLFATSIAGPGLLIGLLYARLARAYRRSQRASPGARALRLVLGIVLLFWACFLPFWLWQLLAQYHARIVNYLTTCLTYGNSCANPFLYTLLTRNYRDHLRGRVR</v>
      </c>
      <c r="C66" s="29" t="str">
        <f>IF(ISERROR(MATCH(A66,'SegEnds_Xtal_Prot#'!B:B, 0)), "NoXtal", "Xtal")</f>
        <v>NoXtal</v>
      </c>
      <c r="D66" s="4" t="str">
        <f>VLOOKUP(A66,Classification!A:D,2,FALSE)</f>
        <v>A</v>
      </c>
      <c r="E66" s="5" t="str">
        <f>VLOOKUP(A66,Seqs!A:B,2,FALSE)</f>
        <v>MALTPESPSSFPGLAATGSSVPEPPGGPNATLNSSWASPTEPSSLEDLVATGTIGTLLSAMGVVGVVGNAYTLVVTCRSLRAVASMYVYVVNLALADLLYLLSIPFIVATYVTKEWHFGDVGCRVLFGLDFLTMHASIFTLTVMSSERYAAVLRPLDTVQRPKGYRKLLALGTWLLALLLTLPVMLAMRLVRRGPKSLCLPAWGPRAHRAYLTLLFATSIAGPGLLIGLLYARLARAYRRSQRASFKRARRPGARALRLVLGIVLLFWACFLPFWLWQLLAQYHQAPLAPRTARIVNYLTTCLTYGNSCANPFLYTLLTRNYRDHLRGRVRGPGSGGGRGPVPSLQPRARFQRCSGRSLSSCSPQPTDSLVLAPAAPARPAPEGPRAPA</v>
      </c>
      <c r="F66" s="5" t="str">
        <f t="shared" ref="F66:F129" si="26">IFERROR(MID($E66,R66,(AP66+1)),"")</f>
        <v>SLEDLVATGTIGTLLSAMGVVGVVGNAYTLVVTCRS</v>
      </c>
      <c r="G66" s="4" t="str">
        <f t="shared" ref="G66:G129" si="27">IFERROR(MID($E66,S66,(AQ66+1)),"")</f>
        <v>LRAV</v>
      </c>
      <c r="H66" s="4" t="str">
        <f t="shared" ref="H66:H129" si="28">IFERROR(MID($E66,T66,(AR66+1)),"")</f>
        <v>ASMYVYVVNLALADLLYLLSIPFIVATYVT</v>
      </c>
      <c r="I66" s="4" t="str">
        <f t="shared" ref="I66:I129" si="29">IFERROR(MID($E66,U66,(AS66+1)),"")</f>
        <v>EWHF</v>
      </c>
      <c r="J66" s="4" t="str">
        <f t="shared" ref="J66:J129" si="30">IFERROR(MID($E66,V66,(AT66+1)),"")</f>
        <v>GDVGCRVLFGLDFLTMHASIFTLTVMSSERYAAVLR</v>
      </c>
      <c r="K66" s="4" t="str">
        <f t="shared" ref="K66:K129" si="31">IFERROR(MID($E66,W66,(AU66+1)),"")</f>
        <v>PLDTVQR</v>
      </c>
      <c r="L66" s="4" t="str">
        <f t="shared" ref="L66:L129" si="32">IFERROR(MID($E66,X66,(AV66+1)),"")</f>
        <v>PKGYRKLLALGTWLLALLLTLPVMLAM</v>
      </c>
      <c r="M66" s="4" t="str">
        <f t="shared" ref="M66:M129" si="33">IFERROR(MID($E66,Y66,(AW66+1)),"")</f>
        <v>CLP</v>
      </c>
      <c r="N66" s="4" t="str">
        <f t="shared" ref="N66:N129" si="34">IFERROR(MID($E66,Z66,(AX66+1)),"")</f>
        <v>HRAYLTLLFATSIAGPGLLIGLLYARLARAYRRSQRAS</v>
      </c>
      <c r="O66" s="4" t="str">
        <f t="shared" ref="O66:O129" si="35">IFERROR(MID($E66,AA66,(AY66+1)),"")</f>
        <v>PGARALRLVLGIVLLFWACFLPFWLWQLLAQYH</v>
      </c>
      <c r="P66" s="4" t="str">
        <f t="shared" ref="P66:P129" si="36">IFERROR(MID($E66,AB66,(AZ66+1)),"")</f>
        <v>ARIVNYLTTCLTYGNSCANPFLYTLL</v>
      </c>
      <c r="Q66" s="4" t="str">
        <f t="shared" ref="Q66:Q129" si="37">IFERROR(MID($E66,AC66,(BA66+1)),"")</f>
        <v>TRNYRDHLRGRVR</v>
      </c>
      <c r="R66" s="5">
        <f>VLOOKUP($A66,'SegEnds_NonXtal_Prot#'!$A:$AL,3,FALSE)</f>
        <v>44</v>
      </c>
      <c r="S66" s="5">
        <f>VLOOKUP($A66,'SegEnds_NonXtal_Prot#'!$A:$AL,6,FALSE)</f>
        <v>80</v>
      </c>
      <c r="T66" s="5">
        <f>VLOOKUP($A66,'SegEnds_NonXtal_Prot#'!$A:$AL,9,FALSE)</f>
        <v>84</v>
      </c>
      <c r="U66" s="5">
        <f>VLOOKUP($A66,'SegEnds_NonXtal_Prot#'!$A:$AL,12,FALSE)</f>
        <v>115</v>
      </c>
      <c r="V66" s="5">
        <f>VLOOKUP($A66,'SegEnds_NonXtal_Prot#'!$A:$AL,15,FALSE)</f>
        <v>119</v>
      </c>
      <c r="W66" s="5">
        <f>VLOOKUP($A66,'SegEnds_NonXtal_Prot#'!$A:$AL,18,FALSE)</f>
        <v>155</v>
      </c>
      <c r="X66" s="5">
        <f>VLOOKUP($A66,'SegEnds_NonXtal_Prot#'!$A:$AL,21,FALSE)</f>
        <v>162</v>
      </c>
      <c r="Y66" s="5">
        <f>VLOOKUP($A66,'SegEnds_NonXtal_Prot#'!$A:$AL,24,FALSE)</f>
        <v>199</v>
      </c>
      <c r="Z66" s="5">
        <f>VLOOKUP($A66,'SegEnds_NonXtal_Prot#'!$A:$AL,27,FALSE)</f>
        <v>208</v>
      </c>
      <c r="AA66" s="5">
        <f>VLOOKUP($A66,'SegEnds_NonXtal_Prot#'!$A:$AL,30,FALSE)</f>
        <v>252</v>
      </c>
      <c r="AB66" s="5">
        <f>VLOOKUP($A66,'SegEnds_NonXtal_Prot#'!$A:$AL,33,FALSE)</f>
        <v>293</v>
      </c>
      <c r="AC66" s="5">
        <f>VLOOKUP($A66,'SegEnds_NonXtal_Prot#'!$A:$AL,36,FALSE)</f>
        <v>319</v>
      </c>
      <c r="AD66" s="5">
        <f>VLOOKUP($A66,'SegEnds_NonXtal_Prot#'!$A:$AL,5,FALSE)</f>
        <v>79</v>
      </c>
      <c r="AE66" s="5">
        <f>VLOOKUP($A66,'SegEnds_NonXtal_Prot#'!$A:$AL,8,FALSE)</f>
        <v>83</v>
      </c>
      <c r="AF66" s="5">
        <f>VLOOKUP($A66,'SegEnds_NonXtal_Prot#'!$A:$AL,11,FALSE)</f>
        <v>113</v>
      </c>
      <c r="AG66" s="5">
        <f>VLOOKUP($A66,'SegEnds_NonXtal_Prot#'!$A:$AL,14,FALSE)</f>
        <v>118</v>
      </c>
      <c r="AH66" s="5">
        <f>VLOOKUP($A66,'SegEnds_NonXtal_Prot#'!$A:$AL,17,FALSE)</f>
        <v>154</v>
      </c>
      <c r="AI66" s="5">
        <f>VLOOKUP($A66,'SegEnds_NonXtal_Prot#'!$A:$AL,20,FALSE)</f>
        <v>161</v>
      </c>
      <c r="AJ66" s="5">
        <f>VLOOKUP($A66,'SegEnds_NonXtal_Prot#'!$A:$AL,23,FALSE)</f>
        <v>188</v>
      </c>
      <c r="AK66" s="5">
        <f>VLOOKUP($A66,'SegEnds_NonXtal_Prot#'!$A:$AL,26,FALSE)</f>
        <v>201</v>
      </c>
      <c r="AL66" s="5">
        <f>VLOOKUP($A66,'SegEnds_NonXtal_Prot#'!$A:$AL,29,FALSE)</f>
        <v>245</v>
      </c>
      <c r="AM66" s="5">
        <f>VLOOKUP($A66,'SegEnds_NonXtal_Prot#'!$A:$AL,32,FALSE)</f>
        <v>284</v>
      </c>
      <c r="AN66" s="5">
        <f>VLOOKUP($A66,'SegEnds_NonXtal_Prot#'!$A:$AL,35,FALSE)</f>
        <v>318</v>
      </c>
      <c r="AO66" s="5">
        <f>VLOOKUP($A66,'SegEnds_NonXtal_Prot#'!$A:$AL,38,FALSE)</f>
        <v>331</v>
      </c>
      <c r="AP66" s="5">
        <f t="shared" ref="AP66:AP129" si="38">IFERROR(AD66-R66,"-")</f>
        <v>35</v>
      </c>
      <c r="AQ66" s="4">
        <f t="shared" ref="AQ66:AQ129" si="39">IFERROR(AE66-S66,"-")</f>
        <v>3</v>
      </c>
      <c r="AR66" s="4">
        <f t="shared" ref="AR66:AR129" si="40">IFERROR(AF66-T66,"-")</f>
        <v>29</v>
      </c>
      <c r="AS66" s="4">
        <f t="shared" ref="AS66:AS129" si="41">IFERROR(AG66-U66,"-")</f>
        <v>3</v>
      </c>
      <c r="AT66" s="4">
        <f t="shared" ref="AT66:AT129" si="42">IFERROR(AH66-V66,"-")</f>
        <v>35</v>
      </c>
      <c r="AU66" s="4">
        <f t="shared" ref="AU66:AU129" si="43">IFERROR(AI66-W66,"-")</f>
        <v>6</v>
      </c>
      <c r="AV66" s="4">
        <f t="shared" ref="AV66:AV129" si="44">IFERROR(AJ66-X66,"-")</f>
        <v>26</v>
      </c>
      <c r="AW66" s="4">
        <f t="shared" ref="AW66:AW129" si="45">IFERROR(AK66-Y66,"-")</f>
        <v>2</v>
      </c>
      <c r="AX66" s="4">
        <f t="shared" ref="AX66:AX129" si="46">IFERROR(AL66-Z66,"-")</f>
        <v>37</v>
      </c>
      <c r="AY66" s="4">
        <f t="shared" ref="AY66:AY129" si="47">IFERROR(AM66-AA66,"-")</f>
        <v>32</v>
      </c>
      <c r="AZ66" s="4">
        <f t="shared" ref="AZ66:AZ129" si="48">IFERROR(AN66-AB66,"-")</f>
        <v>25</v>
      </c>
      <c r="BA66" s="4">
        <f t="shared" ref="BA66:BA129" si="49">IFERROR(AO66-AC66,"-")</f>
        <v>12</v>
      </c>
    </row>
    <row r="67" spans="1:53" x14ac:dyDescent="0.2">
      <c r="A67" s="1" t="str">
        <f>'SegEnds_NonXtal_Prot#'!A36</f>
        <v>v1ar_human</v>
      </c>
      <c r="B67" s="1" t="str">
        <f t="shared" si="25"/>
        <v>LAKLEIAVLAVTFAVAVLGNSSVLLALHRTSRMHLFIRHLSLADLAVAFFQVLPQMCWDIRGPDWLCRVVKHLQVFGMFASAYMLVVMTADRYIAVCHPARRSRLMIAAAWVLSFVLSTPQYFVFWGSRAYVTWMTGGIFVAPVVILGTCYGFICYNIWCNVRGKTASRKSISRAKIRTVKMTFVIVTAYIVCWAPFFIIQMWSVWDWTESENPTITITALLGSLNSCCNPWIYMFFSGHLLQDCVQSF</v>
      </c>
      <c r="C67" s="29" t="str">
        <f>IF(ISERROR(MATCH(A67,'SegEnds_Xtal_Prot#'!B:B, 0)), "NoXtal", "Xtal")</f>
        <v>NoXtal</v>
      </c>
      <c r="D67" s="4" t="str">
        <f>VLOOKUP(A67,Classification!A:D,2,FALSE)</f>
        <v>A</v>
      </c>
      <c r="E67" s="5" t="str">
        <f>VLOOKUP(A67,Seqs!A:B,2,FALSE)</f>
        <v>MRLSAGPDAGPSGNSSPWWPLATGAGNTSREAEALGEGNGPPRDVRNEELAKLEIAVLAVTFAVAVLGNSSVLLALHRTPRKTSRMHLFIRHLSLADLAVAFFQVLPQMCWDITYRFRGPDWLCRVVKHLQVFGMFASAYMLVVMTADRYIAVCHPLKTLQQPARRSRLMIAAAWVLSFVLSTPQYFVFSMIEVNNVTKARDCWATFIQPWGSRAYVTWMTGGIFVAPVVILGTCYGFICYNIWCNVRGKTASRQSKGAEQAGVAFQKGFLLAPCVSSVKSISRAKIRTVKMTFVIVTAYIVCWAPFFIIQMWSVWDPMSVWTESENPTITITALLGSLNSCCNPWIYMFFSGHLLQDCVQSFPCCQNMKEKFNKEDTDSMSRRQTFYSNNRSPTNSTGMWKDSPKSSKSIKFIPVST</v>
      </c>
      <c r="F67" s="5" t="str">
        <f t="shared" si="26"/>
        <v>LAKLEIAVLAVTFAVAVLGNSSVLLALHRT</v>
      </c>
      <c r="G67" s="4" t="str">
        <f t="shared" si="27"/>
        <v>PRKT</v>
      </c>
      <c r="H67" s="4" t="str">
        <f t="shared" si="28"/>
        <v>SRMHLFIRHLSLADLAVAFFQVLPQMCWDI</v>
      </c>
      <c r="I67" s="4" t="str">
        <f t="shared" si="29"/>
        <v>YRF</v>
      </c>
      <c r="J67" s="4" t="str">
        <f t="shared" si="30"/>
        <v>RGPDWLCRVVKHLQVFGMFASAYMLVVMTADRYIAVCH</v>
      </c>
      <c r="K67" s="4" t="str">
        <f t="shared" si="31"/>
        <v>PLKTLQQ</v>
      </c>
      <c r="L67" s="4" t="str">
        <f t="shared" si="32"/>
        <v>PARRSRLMIAAAWVLSFVLSTPQYFVF</v>
      </c>
      <c r="M67" s="4" t="str">
        <f t="shared" si="33"/>
        <v>CWA</v>
      </c>
      <c r="N67" s="4" t="str">
        <f t="shared" si="34"/>
        <v>WGSRAYVTWMTGGIFVAPVVILGTCYGFICYNIWCNVRGKTASR</v>
      </c>
      <c r="O67" s="4" t="str">
        <f t="shared" si="35"/>
        <v>KSISRAKIRTVKMTFVIVTAYIVCWAPFFIIQMWSVWD</v>
      </c>
      <c r="P67" s="4" t="str">
        <f t="shared" si="36"/>
        <v>WTESENPTITITALLGSLNSCCNPWIYMFF</v>
      </c>
      <c r="Q67" s="4" t="str">
        <f t="shared" si="37"/>
        <v>SGHLLQDCVQSF</v>
      </c>
      <c r="R67" s="5">
        <f>VLOOKUP($A67,'SegEnds_NonXtal_Prot#'!$A:$AL,3,FALSE)</f>
        <v>50</v>
      </c>
      <c r="S67" s="5">
        <f>VLOOKUP($A67,'SegEnds_NonXtal_Prot#'!$A:$AL,6,FALSE)</f>
        <v>80</v>
      </c>
      <c r="T67" s="5">
        <f>VLOOKUP($A67,'SegEnds_NonXtal_Prot#'!$A:$AL,9,FALSE)</f>
        <v>84</v>
      </c>
      <c r="U67" s="5">
        <f>VLOOKUP($A67,'SegEnds_NonXtal_Prot#'!$A:$AL,12,FALSE)</f>
        <v>115</v>
      </c>
      <c r="V67" s="5">
        <f>VLOOKUP($A67,'SegEnds_NonXtal_Prot#'!$A:$AL,15,FALSE)</f>
        <v>118</v>
      </c>
      <c r="W67" s="5">
        <f>VLOOKUP($A67,'SegEnds_NonXtal_Prot#'!$A:$AL,18,FALSE)</f>
        <v>156</v>
      </c>
      <c r="X67" s="5">
        <f>VLOOKUP($A67,'SegEnds_NonXtal_Prot#'!$A:$AL,21,FALSE)</f>
        <v>163</v>
      </c>
      <c r="Y67" s="5">
        <f>VLOOKUP($A67,'SegEnds_NonXtal_Prot#'!$A:$AL,24,FALSE)</f>
        <v>203</v>
      </c>
      <c r="Z67" s="5">
        <f>VLOOKUP($A67,'SegEnds_NonXtal_Prot#'!$A:$AL,27,FALSE)</f>
        <v>211</v>
      </c>
      <c r="AA67" s="5">
        <f>VLOOKUP($A67,'SegEnds_NonXtal_Prot#'!$A:$AL,30,FALSE)</f>
        <v>280</v>
      </c>
      <c r="AB67" s="5">
        <f>VLOOKUP($A67,'SegEnds_NonXtal_Prot#'!$A:$AL,33,FALSE)</f>
        <v>322</v>
      </c>
      <c r="AC67" s="5">
        <f>VLOOKUP($A67,'SegEnds_NonXtal_Prot#'!$A:$AL,36,FALSE)</f>
        <v>352</v>
      </c>
      <c r="AD67" s="5">
        <f>VLOOKUP($A67,'SegEnds_NonXtal_Prot#'!$A:$AL,5,FALSE)</f>
        <v>79</v>
      </c>
      <c r="AE67" s="5">
        <f>VLOOKUP($A67,'SegEnds_NonXtal_Prot#'!$A:$AL,8,FALSE)</f>
        <v>83</v>
      </c>
      <c r="AF67" s="5">
        <f>VLOOKUP($A67,'SegEnds_NonXtal_Prot#'!$A:$AL,11,FALSE)</f>
        <v>113</v>
      </c>
      <c r="AG67" s="5">
        <f>VLOOKUP($A67,'SegEnds_NonXtal_Prot#'!$A:$AL,14,FALSE)</f>
        <v>117</v>
      </c>
      <c r="AH67" s="5">
        <f>VLOOKUP($A67,'SegEnds_NonXtal_Prot#'!$A:$AL,17,FALSE)</f>
        <v>155</v>
      </c>
      <c r="AI67" s="5">
        <f>VLOOKUP($A67,'SegEnds_NonXtal_Prot#'!$A:$AL,20,FALSE)</f>
        <v>162</v>
      </c>
      <c r="AJ67" s="5">
        <f>VLOOKUP($A67,'SegEnds_NonXtal_Prot#'!$A:$AL,23,FALSE)</f>
        <v>189</v>
      </c>
      <c r="AK67" s="5">
        <f>VLOOKUP($A67,'SegEnds_NonXtal_Prot#'!$A:$AL,26,FALSE)</f>
        <v>205</v>
      </c>
      <c r="AL67" s="5">
        <f>VLOOKUP($A67,'SegEnds_NonXtal_Prot#'!$A:$AL,29,FALSE)</f>
        <v>254</v>
      </c>
      <c r="AM67" s="5">
        <f>VLOOKUP($A67,'SegEnds_NonXtal_Prot#'!$A:$AL,32,FALSE)</f>
        <v>317</v>
      </c>
      <c r="AN67" s="5">
        <f>VLOOKUP($A67,'SegEnds_NonXtal_Prot#'!$A:$AL,35,FALSE)</f>
        <v>351</v>
      </c>
      <c r="AO67" s="5">
        <f>VLOOKUP($A67,'SegEnds_NonXtal_Prot#'!$A:$AL,38,FALSE)</f>
        <v>363</v>
      </c>
      <c r="AP67" s="5">
        <f t="shared" si="38"/>
        <v>29</v>
      </c>
      <c r="AQ67" s="4">
        <f t="shared" si="39"/>
        <v>3</v>
      </c>
      <c r="AR67" s="4">
        <f t="shared" si="40"/>
        <v>29</v>
      </c>
      <c r="AS67" s="4">
        <f t="shared" si="41"/>
        <v>2</v>
      </c>
      <c r="AT67" s="4">
        <f t="shared" si="42"/>
        <v>37</v>
      </c>
      <c r="AU67" s="4">
        <f t="shared" si="43"/>
        <v>6</v>
      </c>
      <c r="AV67" s="4">
        <f t="shared" si="44"/>
        <v>26</v>
      </c>
      <c r="AW67" s="4">
        <f t="shared" si="45"/>
        <v>2</v>
      </c>
      <c r="AX67" s="4">
        <f t="shared" si="46"/>
        <v>43</v>
      </c>
      <c r="AY67" s="4">
        <f t="shared" si="47"/>
        <v>37</v>
      </c>
      <c r="AZ67" s="4">
        <f t="shared" si="48"/>
        <v>29</v>
      </c>
      <c r="BA67" s="4">
        <f t="shared" si="49"/>
        <v>11</v>
      </c>
    </row>
    <row r="68" spans="1:53" x14ac:dyDescent="0.2">
      <c r="A68" s="1" t="str">
        <f>'SegEnds_NonXtal_Prot#'!A37</f>
        <v>v1br_human</v>
      </c>
      <c r="B68" s="1" t="str">
        <f t="shared" si="25"/>
        <v>EELAKVEIGVLATVLVLATGGNLAVLLTLGQLSRMHLFVLHLALTDLAVALFQVLPQLLWDIQGPDLLCRAVKYLQVLSMFASTYMLLAMTLDRYLAVCHPGQSTYLLIAAPWLLAAIFSLPQVFIFPWGPRAYLTWTTLAIFVLPVTMLTACYSLICHEICKNLKVKTQAWNTISRAKIRTVKMTFVIVLAYIACWAPFFSVQMWSVWDNAPDEDSTNVAFTISMLLGNLNSCCNPWIYMGFNSHLLPRPLRHL</v>
      </c>
      <c r="C68" s="29" t="str">
        <f>IF(ISERROR(MATCH(A68,'SegEnds_Xtal_Prot#'!B:B, 0)), "NoXtal", "Xtal")</f>
        <v>NoXtal</v>
      </c>
      <c r="D68" s="4" t="str">
        <f>VLOOKUP(A68,Classification!A:D,2,FALSE)</f>
        <v>A</v>
      </c>
      <c r="E68" s="5" t="str">
        <f>VLOOKUP(A68,Seqs!A:B,2,FALSE)</f>
        <v>MDSGPLWDANPTPRGTLSAPNATTPWLGRDEELAKVEIGVLATVLVLATGGNLAVLLTLGQLGRKRSRMHLFVLHLALTDLAVALFQVLPQLLWDITYRFQGPDLLCRAVKYLQVLSMFASTYMLLAMTLDRYLAVCHPLRSLQQPGQSTYLLIAAPWLLAAIFSLPQVFIFSLREVIQGSGVLDCWADFGFPWGPRAYLTWTTLAIFVLPVTMLTACYSLICHEICKNLKVKTQAWRVGGGGWRTWDRPSPSTLAATTRGLPSRVSSINTISRAKIRTVKMTFVIVLAYIACWAPFFSVQMWSVWDKNAPDEDSTNVAFTISMLLGNLNSCCNPWIYMGFNSHLLPRPLRHLACCGGPQPRMRRRLSDGSLSSRHTTLLTRSSCPATLSLSLSLTLSGRPRPEESPRDLELADGEGTAETIIF</v>
      </c>
      <c r="F68" s="5" t="str">
        <f t="shared" si="26"/>
        <v>EELAKVEIGVLATVLVLATGGNLAVLLTLGQL</v>
      </c>
      <c r="G68" s="4" t="str">
        <f t="shared" si="27"/>
        <v>GRKR</v>
      </c>
      <c r="H68" s="4" t="str">
        <f t="shared" si="28"/>
        <v>SRMHLFVLHLALTDLAVALFQVLPQLLWDI</v>
      </c>
      <c r="I68" s="4" t="str">
        <f t="shared" si="29"/>
        <v>YRF</v>
      </c>
      <c r="J68" s="4" t="str">
        <f t="shared" si="30"/>
        <v>QGPDLLCRAVKYLQVLSMFASTYMLLAMTLDRYLAVCH</v>
      </c>
      <c r="K68" s="4" t="str">
        <f t="shared" si="31"/>
        <v>PLRSLQQ</v>
      </c>
      <c r="L68" s="4" t="str">
        <f t="shared" si="32"/>
        <v>PGQSTYLLIAAPWLLAAIFSLPQVFIF</v>
      </c>
      <c r="M68" s="4" t="str">
        <f t="shared" si="33"/>
        <v>CWA</v>
      </c>
      <c r="N68" s="4" t="str">
        <f t="shared" si="34"/>
        <v>PWGPRAYLTWTTLAIFVLPVTMLTACYSLICHEICKNLKVKTQAW</v>
      </c>
      <c r="O68" s="4" t="str">
        <f t="shared" si="35"/>
        <v>NTISRAKIRTVKMTFVIVLAYIACWAPFFSVQMWSVWD</v>
      </c>
      <c r="P68" s="4" t="str">
        <f t="shared" si="36"/>
        <v>NAPDEDSTNVAFTISMLLGNLNSCCNPWIYMGF</v>
      </c>
      <c r="Q68" s="4" t="str">
        <f t="shared" si="37"/>
        <v>NSHLLPRPLRHL</v>
      </c>
      <c r="R68" s="5">
        <f>VLOOKUP($A68,'SegEnds_NonXtal_Prot#'!$A:$AL,3,FALSE)</f>
        <v>31</v>
      </c>
      <c r="S68" s="5">
        <f>VLOOKUP($A68,'SegEnds_NonXtal_Prot#'!$A:$AL,6,FALSE)</f>
        <v>63</v>
      </c>
      <c r="T68" s="5">
        <f>VLOOKUP($A68,'SegEnds_NonXtal_Prot#'!$A:$AL,9,FALSE)</f>
        <v>67</v>
      </c>
      <c r="U68" s="5">
        <f>VLOOKUP($A68,'SegEnds_NonXtal_Prot#'!$A:$AL,12,FALSE)</f>
        <v>98</v>
      </c>
      <c r="V68" s="5">
        <f>VLOOKUP($A68,'SegEnds_NonXtal_Prot#'!$A:$AL,15,FALSE)</f>
        <v>101</v>
      </c>
      <c r="W68" s="5">
        <f>VLOOKUP($A68,'SegEnds_NonXtal_Prot#'!$A:$AL,18,FALSE)</f>
        <v>139</v>
      </c>
      <c r="X68" s="5">
        <f>VLOOKUP($A68,'SegEnds_NonXtal_Prot#'!$A:$AL,21,FALSE)</f>
        <v>146</v>
      </c>
      <c r="Y68" s="5">
        <f>VLOOKUP($A68,'SegEnds_NonXtal_Prot#'!$A:$AL,24,FALSE)</f>
        <v>186</v>
      </c>
      <c r="Z68" s="5">
        <f>VLOOKUP($A68,'SegEnds_NonXtal_Prot#'!$A:$AL,27,FALSE)</f>
        <v>193</v>
      </c>
      <c r="AA68" s="5">
        <f>VLOOKUP($A68,'SegEnds_NonXtal_Prot#'!$A:$AL,30,FALSE)</f>
        <v>270</v>
      </c>
      <c r="AB68" s="5">
        <f>VLOOKUP($A68,'SegEnds_NonXtal_Prot#'!$A:$AL,33,FALSE)</f>
        <v>309</v>
      </c>
      <c r="AC68" s="5">
        <f>VLOOKUP($A68,'SegEnds_NonXtal_Prot#'!$A:$AL,36,FALSE)</f>
        <v>342</v>
      </c>
      <c r="AD68" s="5">
        <f>VLOOKUP($A68,'SegEnds_NonXtal_Prot#'!$A:$AL,5,FALSE)</f>
        <v>62</v>
      </c>
      <c r="AE68" s="5">
        <f>VLOOKUP($A68,'SegEnds_NonXtal_Prot#'!$A:$AL,8,FALSE)</f>
        <v>66</v>
      </c>
      <c r="AF68" s="5">
        <f>VLOOKUP($A68,'SegEnds_NonXtal_Prot#'!$A:$AL,11,FALSE)</f>
        <v>96</v>
      </c>
      <c r="AG68" s="5">
        <f>VLOOKUP($A68,'SegEnds_NonXtal_Prot#'!$A:$AL,14,FALSE)</f>
        <v>100</v>
      </c>
      <c r="AH68" s="5">
        <f>VLOOKUP($A68,'SegEnds_NonXtal_Prot#'!$A:$AL,17,FALSE)</f>
        <v>138</v>
      </c>
      <c r="AI68" s="5">
        <f>VLOOKUP($A68,'SegEnds_NonXtal_Prot#'!$A:$AL,20,FALSE)</f>
        <v>145</v>
      </c>
      <c r="AJ68" s="5">
        <f>VLOOKUP($A68,'SegEnds_NonXtal_Prot#'!$A:$AL,23,FALSE)</f>
        <v>172</v>
      </c>
      <c r="AK68" s="5">
        <f>VLOOKUP($A68,'SegEnds_NonXtal_Prot#'!$A:$AL,26,FALSE)</f>
        <v>188</v>
      </c>
      <c r="AL68" s="5">
        <f>VLOOKUP($A68,'SegEnds_NonXtal_Prot#'!$A:$AL,29,FALSE)</f>
        <v>237</v>
      </c>
      <c r="AM68" s="5">
        <f>VLOOKUP($A68,'SegEnds_NonXtal_Prot#'!$A:$AL,32,FALSE)</f>
        <v>307</v>
      </c>
      <c r="AN68" s="5">
        <f>VLOOKUP($A68,'SegEnds_NonXtal_Prot#'!$A:$AL,35,FALSE)</f>
        <v>341</v>
      </c>
      <c r="AO68" s="5">
        <f>VLOOKUP($A68,'SegEnds_NonXtal_Prot#'!$A:$AL,38,FALSE)</f>
        <v>353</v>
      </c>
      <c r="AP68" s="5">
        <f t="shared" si="38"/>
        <v>31</v>
      </c>
      <c r="AQ68" s="4">
        <f t="shared" si="39"/>
        <v>3</v>
      </c>
      <c r="AR68" s="4">
        <f t="shared" si="40"/>
        <v>29</v>
      </c>
      <c r="AS68" s="4">
        <f t="shared" si="41"/>
        <v>2</v>
      </c>
      <c r="AT68" s="4">
        <f t="shared" si="42"/>
        <v>37</v>
      </c>
      <c r="AU68" s="4">
        <f t="shared" si="43"/>
        <v>6</v>
      </c>
      <c r="AV68" s="4">
        <f t="shared" si="44"/>
        <v>26</v>
      </c>
      <c r="AW68" s="4">
        <f t="shared" si="45"/>
        <v>2</v>
      </c>
      <c r="AX68" s="4">
        <f t="shared" si="46"/>
        <v>44</v>
      </c>
      <c r="AY68" s="4">
        <f t="shared" si="47"/>
        <v>37</v>
      </c>
      <c r="AZ68" s="4">
        <f t="shared" si="48"/>
        <v>32</v>
      </c>
      <c r="BA68" s="4">
        <f t="shared" si="49"/>
        <v>11</v>
      </c>
    </row>
    <row r="69" spans="1:53" x14ac:dyDescent="0.2">
      <c r="A69" s="1" t="str">
        <f>'SegEnds_NonXtal_Prot#'!A38</f>
        <v>5ht1a_human</v>
      </c>
      <c r="B69" s="1" t="str">
        <f t="shared" si="25"/>
        <v>TVSYQVITSLLLGTLIFCAVLGNACVVAAIALENVANYLIGSLAVTDLMVSVLVLPMAALYQVLNGQVTCDLFIALDVLCCTSSILHLCAIALDRYWAITDTPRRAAALISLTWLIGFLISIPPMLGDHGYTIYSTFGAFYIPLLLMLVLYGRIFRAARFRIRKTVKKVKMALARERKTVKTLGIIMGTFILCWLPFFIVALVLPFPTLLGAIINWLGYSNSLLNPVIYAYFNKDFQNAFKKII</v>
      </c>
      <c r="C69" s="29" t="str">
        <f>IF(ISERROR(MATCH(A69,'SegEnds_Xtal_Prot#'!B:B, 0)), "NoXtal", "Xtal")</f>
        <v>NoXtal</v>
      </c>
      <c r="D69" s="4" t="str">
        <f>VLOOKUP(A69,Classification!A:D,2,FALSE)</f>
        <v>A</v>
      </c>
      <c r="E69" s="5" t="str">
        <f>VLOOKUP(A69,Seqs!A:B,2,FALSE)</f>
        <v>MDVLSPGQGNNTTSPPAPFETGGNTTGISDVTVSYQVITSLLLGTLIFCAVLGNACVVAAIALERSLQNVANYLIGSLAVTDLMVSVLVLPMAALYQVLNKWTLGQVTCDLFIALDVLCCTSSILHLCAIALDRYWAITDPIDYVNKRTPRRAAALISLTWLIGFLISIPPMLGWRTPEDRSDPDACTISKDHGYTIYSTFGAFYIPLLLMLVLYGRIFRAARFRIRKTVKKVEKTGADTRHGASPAPQPKKSVNGESGSRNWRLGVESKAGGALCANGAVRQGDDGAALEVIEVHRVGNSKEHLPLPSEAGPTPCAPASFERKNERNAEAKRKMALARERKTVKTLGIIMGTFILCWLPFFIVALVLPFCESSCHMPTLLGAIINWLGYSNSLLNPVIYAYFNKDFQNAFKKIIKCKFCRQ</v>
      </c>
      <c r="F69" s="5" t="str">
        <f t="shared" si="26"/>
        <v>TVSYQVITSLLLGTLIFCAVLGNACVVAAIALE</v>
      </c>
      <c r="G69" s="4" t="str">
        <f t="shared" si="27"/>
        <v>RSLQ</v>
      </c>
      <c r="H69" s="4" t="str">
        <f t="shared" si="28"/>
        <v>NVANYLIGSLAVTDLMVSVLVLPMAALYQVLN</v>
      </c>
      <c r="I69" s="4" t="str">
        <f t="shared" si="29"/>
        <v>KWTL</v>
      </c>
      <c r="J69" s="4" t="str">
        <f t="shared" si="30"/>
        <v>GQVTCDLFIALDVLCCTSSILHLCAIALDRYWAITD</v>
      </c>
      <c r="K69" s="4" t="str">
        <f t="shared" si="31"/>
        <v>PIDYVNKR</v>
      </c>
      <c r="L69" s="4" t="str">
        <f t="shared" si="32"/>
        <v>TPRRAAALISLTWLIGFLISIPPMLG</v>
      </c>
      <c r="M69" s="4" t="str">
        <f t="shared" si="33"/>
        <v>CTI</v>
      </c>
      <c r="N69" s="4" t="str">
        <f t="shared" si="34"/>
        <v>DHGYTIYSTFGAFYIPLLLMLVLYGRIFRAARFRIRKTVKKV</v>
      </c>
      <c r="O69" s="4" t="str">
        <f t="shared" si="35"/>
        <v>KMALARERKTVKTLGIIMGTFILCWLPFFIVALVLPF</v>
      </c>
      <c r="P69" s="4" t="str">
        <f t="shared" si="36"/>
        <v>PTLLGAIINWLGYSNSLLNPVIYAYF</v>
      </c>
      <c r="Q69" s="4" t="str">
        <f t="shared" si="37"/>
        <v>NKDFQNAFKKII</v>
      </c>
      <c r="R69" s="5">
        <f>VLOOKUP($A69,'SegEnds_NonXtal_Prot#'!$A:$AL,3,FALSE)</f>
        <v>32</v>
      </c>
      <c r="S69" s="5">
        <f>VLOOKUP($A69,'SegEnds_NonXtal_Prot#'!$A:$AL,6,FALSE)</f>
        <v>65</v>
      </c>
      <c r="T69" s="5">
        <f>VLOOKUP($A69,'SegEnds_NonXtal_Prot#'!$A:$AL,9,FALSE)</f>
        <v>69</v>
      </c>
      <c r="U69" s="5">
        <f>VLOOKUP($A69,'SegEnds_NonXtal_Prot#'!$A:$AL,12,FALSE)</f>
        <v>101</v>
      </c>
      <c r="V69" s="5">
        <f>VLOOKUP($A69,'SegEnds_NonXtal_Prot#'!$A:$AL,15,FALSE)</f>
        <v>105</v>
      </c>
      <c r="W69" s="5">
        <f>VLOOKUP($A69,'SegEnds_NonXtal_Prot#'!$A:$AL,18,FALSE)</f>
        <v>141</v>
      </c>
      <c r="X69" s="5">
        <f>VLOOKUP($A69,'SegEnds_NonXtal_Prot#'!$A:$AL,21,FALSE)</f>
        <v>149</v>
      </c>
      <c r="Y69" s="5">
        <f>VLOOKUP($A69,'SegEnds_NonXtal_Prot#'!$A:$AL,24,FALSE)</f>
        <v>187</v>
      </c>
      <c r="Z69" s="5">
        <f>VLOOKUP($A69,'SegEnds_NonXtal_Prot#'!$A:$AL,27,FALSE)</f>
        <v>192</v>
      </c>
      <c r="AA69" s="5">
        <f>VLOOKUP($A69,'SegEnds_NonXtal_Prot#'!$A:$AL,30,FALSE)</f>
        <v>334</v>
      </c>
      <c r="AB69" s="5">
        <f>VLOOKUP($A69,'SegEnds_NonXtal_Prot#'!$A:$AL,33,FALSE)</f>
        <v>378</v>
      </c>
      <c r="AC69" s="5">
        <f>VLOOKUP($A69,'SegEnds_NonXtal_Prot#'!$A:$AL,36,FALSE)</f>
        <v>404</v>
      </c>
      <c r="AD69" s="5">
        <f>VLOOKUP($A69,'SegEnds_NonXtal_Prot#'!$A:$AL,5,FALSE)</f>
        <v>64</v>
      </c>
      <c r="AE69" s="5">
        <f>VLOOKUP($A69,'SegEnds_NonXtal_Prot#'!$A:$AL,8,FALSE)</f>
        <v>68</v>
      </c>
      <c r="AF69" s="5">
        <f>VLOOKUP($A69,'SegEnds_NonXtal_Prot#'!$A:$AL,11,FALSE)</f>
        <v>100</v>
      </c>
      <c r="AG69" s="5">
        <f>VLOOKUP($A69,'SegEnds_NonXtal_Prot#'!$A:$AL,14,FALSE)</f>
        <v>104</v>
      </c>
      <c r="AH69" s="5">
        <f>VLOOKUP($A69,'SegEnds_NonXtal_Prot#'!$A:$AL,17,FALSE)</f>
        <v>140</v>
      </c>
      <c r="AI69" s="5">
        <f>VLOOKUP($A69,'SegEnds_NonXtal_Prot#'!$A:$AL,20,FALSE)</f>
        <v>148</v>
      </c>
      <c r="AJ69" s="5">
        <f>VLOOKUP($A69,'SegEnds_NonXtal_Prot#'!$A:$AL,23,FALSE)</f>
        <v>174</v>
      </c>
      <c r="AK69" s="5">
        <f>VLOOKUP($A69,'SegEnds_NonXtal_Prot#'!$A:$AL,26,FALSE)</f>
        <v>189</v>
      </c>
      <c r="AL69" s="5">
        <f>VLOOKUP($A69,'SegEnds_NonXtal_Prot#'!$A:$AL,29,FALSE)</f>
        <v>233</v>
      </c>
      <c r="AM69" s="5">
        <f>VLOOKUP($A69,'SegEnds_NonXtal_Prot#'!$A:$AL,32,FALSE)</f>
        <v>370</v>
      </c>
      <c r="AN69" s="5">
        <f>VLOOKUP($A69,'SegEnds_NonXtal_Prot#'!$A:$AL,35,FALSE)</f>
        <v>403</v>
      </c>
      <c r="AO69" s="5">
        <f>VLOOKUP($A69,'SegEnds_NonXtal_Prot#'!$A:$AL,38,FALSE)</f>
        <v>415</v>
      </c>
      <c r="AP69" s="5">
        <f t="shared" si="38"/>
        <v>32</v>
      </c>
      <c r="AQ69" s="4">
        <f t="shared" si="39"/>
        <v>3</v>
      </c>
      <c r="AR69" s="4">
        <f t="shared" si="40"/>
        <v>31</v>
      </c>
      <c r="AS69" s="4">
        <f t="shared" si="41"/>
        <v>3</v>
      </c>
      <c r="AT69" s="4">
        <f t="shared" si="42"/>
        <v>35</v>
      </c>
      <c r="AU69" s="4">
        <f t="shared" si="43"/>
        <v>7</v>
      </c>
      <c r="AV69" s="4">
        <f t="shared" si="44"/>
        <v>25</v>
      </c>
      <c r="AW69" s="4">
        <f t="shared" si="45"/>
        <v>2</v>
      </c>
      <c r="AX69" s="4">
        <f t="shared" si="46"/>
        <v>41</v>
      </c>
      <c r="AY69" s="4">
        <f t="shared" si="47"/>
        <v>36</v>
      </c>
      <c r="AZ69" s="4">
        <f t="shared" si="48"/>
        <v>25</v>
      </c>
      <c r="BA69" s="4">
        <f t="shared" si="49"/>
        <v>11</v>
      </c>
    </row>
    <row r="70" spans="1:53" x14ac:dyDescent="0.2">
      <c r="A70" s="1" t="str">
        <f>'SegEnds_NonXtal_Prot#'!A39</f>
        <v>5ht1b_human</v>
      </c>
      <c r="B70" s="1" t="str">
        <f t="shared" si="25"/>
        <v>SLPWKVLLVMLLALITLATTLSNAFVIATVYRTTPANYLIASLAVTDLLVSILVMPISTMYTVTGGQVVCDFWLSSDITCCTASILHLCVIALDRYWAITDTPKRAAVMIALVWVFSISISLPPFFWHILYTVYSTVGAFYFPTLLLIALYGRIYVEARSRILKQTPKLMAARERKATKTLGIILGAFIVCWLPFFIISLVMPIHLAIFDFFTWLGYLNSLINPIIYTMSNEDFKQAFHKLI</v>
      </c>
      <c r="C70" s="29" t="str">
        <f>IF(ISERROR(MATCH(A70,'SegEnds_Xtal_Prot#'!B:B, 0)), "NoXtal", "Xtal")</f>
        <v>Xtal</v>
      </c>
      <c r="D70" s="4" t="str">
        <f>VLOOKUP(A70,Classification!A:D,2,FALSE)</f>
        <v>A</v>
      </c>
      <c r="E70" s="5" t="str">
        <f>VLOOKUP(A70,Seqs!A:B,2,FALSE)</f>
        <v>MEEPGAQCAPPPPAGSETWVPQANLSSAPSQNCSAKDYIYQDSISLPWKVLLVMLLALITLATTLSNAFVIATVYRTRKLHTPANYLIASLAVTDLLVSILVMPISTMYTVTGRWTLGQVVCDFWLSSDITCCTASILHLCVIALDRYWAITDAVEYSAKRTPKRAAVMIALVWVFSISISLPPFFWRQAKAEEEVSECVVNTDHILYTVYSTVGAFYFPTLLLIALYGRIYVEARSRILKQTPNRTGKRLTRAQLITDSPGSTSSVTSINSRVPDVPSESGSPVYVNQVKVRVSDALLEKKKLMAARERKATKTLGIILGAFIVCWLPFFIISLVMPICKDACWFHLAIFDFFTWLGYLNSLINPIIYTMSNEDFKQAFHKLIRFKCTS</v>
      </c>
      <c r="F70" s="5" t="str">
        <f t="shared" si="26"/>
        <v>SLPWKVLLVMLLALITLATTLSNAFVIATVYRT</v>
      </c>
      <c r="G70" s="4" t="str">
        <f t="shared" si="27"/>
        <v>RKLH</v>
      </c>
      <c r="H70" s="4" t="str">
        <f t="shared" si="28"/>
        <v>TPANYLIASLAVTDLLVSILVMPISTMYTVTG</v>
      </c>
      <c r="I70" s="4" t="str">
        <f t="shared" si="29"/>
        <v>RWTL</v>
      </c>
      <c r="J70" s="4" t="str">
        <f t="shared" si="30"/>
        <v>GQVVCDFWLSSDITCCTASILHLCVIALDRYWAITD</v>
      </c>
      <c r="K70" s="4" t="str">
        <f t="shared" si="31"/>
        <v>AVEYSAKR</v>
      </c>
      <c r="L70" s="4" t="str">
        <f t="shared" si="32"/>
        <v>TPKRAAVMIALVWVFSISISLPPFFW</v>
      </c>
      <c r="M70" s="4" t="str">
        <f t="shared" si="33"/>
        <v>CVV</v>
      </c>
      <c r="N70" s="4" t="str">
        <f t="shared" si="34"/>
        <v>HILYTVYSTVGAFYFPTLLLIALYGRIYVEARSRILKQTP</v>
      </c>
      <c r="O70" s="4" t="str">
        <f t="shared" si="35"/>
        <v>KLMAARERKATKTLGIILGAFIVCWLPFFIISLVMPI</v>
      </c>
      <c r="P70" s="4" t="str">
        <f t="shared" si="36"/>
        <v>HLAIFDFFTWLGYLNSLINPIIYTMS</v>
      </c>
      <c r="Q70" s="4" t="str">
        <f t="shared" si="37"/>
        <v>NEDFKQAFHKLI</v>
      </c>
      <c r="R70" s="5">
        <f>VLOOKUP($A70,'SegEnds_NonXtal_Prot#'!$A:$AL,3,FALSE)</f>
        <v>45</v>
      </c>
      <c r="S70" s="5">
        <f>VLOOKUP($A70,'SegEnds_NonXtal_Prot#'!$A:$AL,6,FALSE)</f>
        <v>78</v>
      </c>
      <c r="T70" s="5">
        <f>VLOOKUP($A70,'SegEnds_NonXtal_Prot#'!$A:$AL,9,FALSE)</f>
        <v>82</v>
      </c>
      <c r="U70" s="5">
        <f>VLOOKUP($A70,'SegEnds_NonXtal_Prot#'!$A:$AL,12,FALSE)</f>
        <v>114</v>
      </c>
      <c r="V70" s="5">
        <f>VLOOKUP($A70,'SegEnds_NonXtal_Prot#'!$A:$AL,15,FALSE)</f>
        <v>118</v>
      </c>
      <c r="W70" s="5">
        <f>VLOOKUP($A70,'SegEnds_NonXtal_Prot#'!$A:$AL,18,FALSE)</f>
        <v>154</v>
      </c>
      <c r="X70" s="5">
        <f>VLOOKUP($A70,'SegEnds_NonXtal_Prot#'!$A:$AL,21,FALSE)</f>
        <v>162</v>
      </c>
      <c r="Y70" s="5">
        <f>VLOOKUP($A70,'SegEnds_NonXtal_Prot#'!$A:$AL,24,FALSE)</f>
        <v>199</v>
      </c>
      <c r="Z70" s="5">
        <f>VLOOKUP($A70,'SegEnds_NonXtal_Prot#'!$A:$AL,27,FALSE)</f>
        <v>205</v>
      </c>
      <c r="AA70" s="5">
        <f>VLOOKUP($A70,'SegEnds_NonXtal_Prot#'!$A:$AL,30,FALSE)</f>
        <v>303</v>
      </c>
      <c r="AB70" s="5">
        <f>VLOOKUP($A70,'SegEnds_NonXtal_Prot#'!$A:$AL,33,FALSE)</f>
        <v>347</v>
      </c>
      <c r="AC70" s="5">
        <f>VLOOKUP($A70,'SegEnds_NonXtal_Prot#'!$A:$AL,36,FALSE)</f>
        <v>373</v>
      </c>
      <c r="AD70" s="5">
        <f>VLOOKUP($A70,'SegEnds_NonXtal_Prot#'!$A:$AL,5,FALSE)</f>
        <v>77</v>
      </c>
      <c r="AE70" s="5">
        <f>VLOOKUP($A70,'SegEnds_NonXtal_Prot#'!$A:$AL,8,FALSE)</f>
        <v>81</v>
      </c>
      <c r="AF70" s="5">
        <f>VLOOKUP($A70,'SegEnds_NonXtal_Prot#'!$A:$AL,11,FALSE)</f>
        <v>113</v>
      </c>
      <c r="AG70" s="5">
        <f>VLOOKUP($A70,'SegEnds_NonXtal_Prot#'!$A:$AL,14,FALSE)</f>
        <v>117</v>
      </c>
      <c r="AH70" s="5">
        <f>VLOOKUP($A70,'SegEnds_NonXtal_Prot#'!$A:$AL,17,FALSE)</f>
        <v>153</v>
      </c>
      <c r="AI70" s="5">
        <f>VLOOKUP($A70,'SegEnds_NonXtal_Prot#'!$A:$AL,20,FALSE)</f>
        <v>161</v>
      </c>
      <c r="AJ70" s="5">
        <f>VLOOKUP($A70,'SegEnds_NonXtal_Prot#'!$A:$AL,23,FALSE)</f>
        <v>187</v>
      </c>
      <c r="AK70" s="5">
        <f>VLOOKUP($A70,'SegEnds_NonXtal_Prot#'!$A:$AL,26,FALSE)</f>
        <v>201</v>
      </c>
      <c r="AL70" s="5">
        <f>VLOOKUP($A70,'SegEnds_NonXtal_Prot#'!$A:$AL,29,FALSE)</f>
        <v>244</v>
      </c>
      <c r="AM70" s="5">
        <f>VLOOKUP($A70,'SegEnds_NonXtal_Prot#'!$A:$AL,32,FALSE)</f>
        <v>339</v>
      </c>
      <c r="AN70" s="5">
        <f>VLOOKUP($A70,'SegEnds_NonXtal_Prot#'!$A:$AL,35,FALSE)</f>
        <v>372</v>
      </c>
      <c r="AO70" s="5">
        <f>VLOOKUP($A70,'SegEnds_NonXtal_Prot#'!$A:$AL,38,FALSE)</f>
        <v>384</v>
      </c>
      <c r="AP70" s="5">
        <f t="shared" si="38"/>
        <v>32</v>
      </c>
      <c r="AQ70" s="4">
        <f t="shared" si="39"/>
        <v>3</v>
      </c>
      <c r="AR70" s="4">
        <f t="shared" si="40"/>
        <v>31</v>
      </c>
      <c r="AS70" s="4">
        <f t="shared" si="41"/>
        <v>3</v>
      </c>
      <c r="AT70" s="4">
        <f t="shared" si="42"/>
        <v>35</v>
      </c>
      <c r="AU70" s="4">
        <f t="shared" si="43"/>
        <v>7</v>
      </c>
      <c r="AV70" s="4">
        <f t="shared" si="44"/>
        <v>25</v>
      </c>
      <c r="AW70" s="4">
        <f t="shared" si="45"/>
        <v>2</v>
      </c>
      <c r="AX70" s="4">
        <f t="shared" si="46"/>
        <v>39</v>
      </c>
      <c r="AY70" s="4">
        <f t="shared" si="47"/>
        <v>36</v>
      </c>
      <c r="AZ70" s="4">
        <f t="shared" si="48"/>
        <v>25</v>
      </c>
      <c r="BA70" s="4">
        <f t="shared" si="49"/>
        <v>11</v>
      </c>
    </row>
    <row r="71" spans="1:53" x14ac:dyDescent="0.2">
      <c r="A71" s="1" t="str">
        <f>'SegEnds_NonXtal_Prot#'!A40</f>
        <v>5ht1d_human</v>
      </c>
      <c r="B71" s="1" t="str">
        <f t="shared" si="25"/>
        <v>LQALKISLAVVLSVITLATVLSNAFVLTTILLTTPANYLIGSLATTDLLVSILVMPISIAYTITHGQILCDIWLSSDITCCTASILHLCVIALDRYWAITDTAGHAATMIAIVWAISICISIPPLFWQISYTIYSTCGAFYIPSVLLIILYGRIYRAARNRILNPPSRISAARERKATKILGIILGAFIICWLPFFVVSLVLPIHPALFDFFTWLGYLNSLINPIIYTVFNEEFRQAFQKIV</v>
      </c>
      <c r="C71" s="29" t="str">
        <f>IF(ISERROR(MATCH(A71,'SegEnds_Xtal_Prot#'!B:B, 0)), "NoXtal", "Xtal")</f>
        <v>NoXtal</v>
      </c>
      <c r="D71" s="4" t="str">
        <f>VLOOKUP(A71,Classification!A:D,2,FALSE)</f>
        <v>A</v>
      </c>
      <c r="E71" s="5" t="str">
        <f>VLOOKUP(A71,Seqs!A:B,2,FALSE)</f>
        <v>MSPLNQSAEGLPQEASNRSLNATETSEAWDPRTLQALKISLAVVLSVITLATVLSNAFVLTTILLTRKLHTPANYLIGSLATTDLLVSILVMPISIAYTITHTWNFGQILCDIWLSSDITCCTASILHLCVIALDRYWAITDALEYSKRRTAGHAATMIAIVWAISICISIPPLFWRQAKAQEEMSDCLVNTSQISYTIYSTCGAFYIPSVLLIILYGRIYRAARNRILNPPSLYGKRFTTAHLITGSAGSSLCSLNSSLHEGHSHSAGSPLFFNHVKIKLADSALERKRISAARERKATKILGIILGAFIICWLPFFVVSLVLPICRDSCWIHPALFDFFTWLGYLNSLINPIIYTVFNEEFRQAFQKIVPFRKAS</v>
      </c>
      <c r="F71" s="5" t="str">
        <f t="shared" si="26"/>
        <v>LQALKISLAVVLSVITLATVLSNAFVLTTILLT</v>
      </c>
      <c r="G71" s="4" t="str">
        <f t="shared" si="27"/>
        <v>RKLH</v>
      </c>
      <c r="H71" s="4" t="str">
        <f t="shared" si="28"/>
        <v>TPANYLIGSLATTDLLVSILVMPISIAYTITH</v>
      </c>
      <c r="I71" s="4" t="str">
        <f t="shared" si="29"/>
        <v>TWNF</v>
      </c>
      <c r="J71" s="4" t="str">
        <f t="shared" si="30"/>
        <v>GQILCDIWLSSDITCCTASILHLCVIALDRYWAITD</v>
      </c>
      <c r="K71" s="4" t="str">
        <f t="shared" si="31"/>
        <v>ALEYSKRR</v>
      </c>
      <c r="L71" s="4" t="str">
        <f t="shared" si="32"/>
        <v>TAGHAATMIAIVWAISICISIPPLFW</v>
      </c>
      <c r="M71" s="4" t="str">
        <f t="shared" si="33"/>
        <v>CLV</v>
      </c>
      <c r="N71" s="4" t="str">
        <f t="shared" si="34"/>
        <v>QISYTIYSTCGAFYIPSVLLIILYGRIYRAARNRILNPPS</v>
      </c>
      <c r="O71" s="4" t="str">
        <f t="shared" si="35"/>
        <v>RISAARERKATKILGIILGAFIICWLPFFVVSLVLPI</v>
      </c>
      <c r="P71" s="4" t="str">
        <f t="shared" si="36"/>
        <v>HPALFDFFTWLGYLNSLINPIIYTVF</v>
      </c>
      <c r="Q71" s="4" t="str">
        <f t="shared" si="37"/>
        <v>NEEFRQAFQKIV</v>
      </c>
      <c r="R71" s="5">
        <f>VLOOKUP($A71,'SegEnds_NonXtal_Prot#'!$A:$AL,3,FALSE)</f>
        <v>34</v>
      </c>
      <c r="S71" s="5">
        <f>VLOOKUP($A71,'SegEnds_NonXtal_Prot#'!$A:$AL,6,FALSE)</f>
        <v>67</v>
      </c>
      <c r="T71" s="5">
        <f>VLOOKUP($A71,'SegEnds_NonXtal_Prot#'!$A:$AL,9,FALSE)</f>
        <v>71</v>
      </c>
      <c r="U71" s="5">
        <f>VLOOKUP($A71,'SegEnds_NonXtal_Prot#'!$A:$AL,12,FALSE)</f>
        <v>103</v>
      </c>
      <c r="V71" s="5">
        <f>VLOOKUP($A71,'SegEnds_NonXtal_Prot#'!$A:$AL,15,FALSE)</f>
        <v>107</v>
      </c>
      <c r="W71" s="5">
        <f>VLOOKUP($A71,'SegEnds_NonXtal_Prot#'!$A:$AL,18,FALSE)</f>
        <v>143</v>
      </c>
      <c r="X71" s="5">
        <f>VLOOKUP($A71,'SegEnds_NonXtal_Prot#'!$A:$AL,21,FALSE)</f>
        <v>151</v>
      </c>
      <c r="Y71" s="5">
        <f>VLOOKUP($A71,'SegEnds_NonXtal_Prot#'!$A:$AL,24,FALSE)</f>
        <v>188</v>
      </c>
      <c r="Z71" s="5">
        <f>VLOOKUP($A71,'SegEnds_NonXtal_Prot#'!$A:$AL,27,FALSE)</f>
        <v>194</v>
      </c>
      <c r="AA71" s="5">
        <f>VLOOKUP($A71,'SegEnds_NonXtal_Prot#'!$A:$AL,30,FALSE)</f>
        <v>290</v>
      </c>
      <c r="AB71" s="5">
        <f>VLOOKUP($A71,'SegEnds_NonXtal_Prot#'!$A:$AL,33,FALSE)</f>
        <v>334</v>
      </c>
      <c r="AC71" s="5">
        <f>VLOOKUP($A71,'SegEnds_NonXtal_Prot#'!$A:$AL,36,FALSE)</f>
        <v>360</v>
      </c>
      <c r="AD71" s="5">
        <f>VLOOKUP($A71,'SegEnds_NonXtal_Prot#'!$A:$AL,5,FALSE)</f>
        <v>66</v>
      </c>
      <c r="AE71" s="5">
        <f>VLOOKUP($A71,'SegEnds_NonXtal_Prot#'!$A:$AL,8,FALSE)</f>
        <v>70</v>
      </c>
      <c r="AF71" s="5">
        <f>VLOOKUP($A71,'SegEnds_NonXtal_Prot#'!$A:$AL,11,FALSE)</f>
        <v>102</v>
      </c>
      <c r="AG71" s="5">
        <f>VLOOKUP($A71,'SegEnds_NonXtal_Prot#'!$A:$AL,14,FALSE)</f>
        <v>106</v>
      </c>
      <c r="AH71" s="5">
        <f>VLOOKUP($A71,'SegEnds_NonXtal_Prot#'!$A:$AL,17,FALSE)</f>
        <v>142</v>
      </c>
      <c r="AI71" s="5">
        <f>VLOOKUP($A71,'SegEnds_NonXtal_Prot#'!$A:$AL,20,FALSE)</f>
        <v>150</v>
      </c>
      <c r="AJ71" s="5">
        <f>VLOOKUP($A71,'SegEnds_NonXtal_Prot#'!$A:$AL,23,FALSE)</f>
        <v>176</v>
      </c>
      <c r="AK71" s="5">
        <f>VLOOKUP($A71,'SegEnds_NonXtal_Prot#'!$A:$AL,26,FALSE)</f>
        <v>190</v>
      </c>
      <c r="AL71" s="5">
        <f>VLOOKUP($A71,'SegEnds_NonXtal_Prot#'!$A:$AL,29,FALSE)</f>
        <v>233</v>
      </c>
      <c r="AM71" s="5">
        <f>VLOOKUP($A71,'SegEnds_NonXtal_Prot#'!$A:$AL,32,FALSE)</f>
        <v>326</v>
      </c>
      <c r="AN71" s="5">
        <f>VLOOKUP($A71,'SegEnds_NonXtal_Prot#'!$A:$AL,35,FALSE)</f>
        <v>359</v>
      </c>
      <c r="AO71" s="5">
        <f>VLOOKUP($A71,'SegEnds_NonXtal_Prot#'!$A:$AL,38,FALSE)</f>
        <v>371</v>
      </c>
      <c r="AP71" s="5">
        <f t="shared" si="38"/>
        <v>32</v>
      </c>
      <c r="AQ71" s="4">
        <f t="shared" si="39"/>
        <v>3</v>
      </c>
      <c r="AR71" s="4">
        <f t="shared" si="40"/>
        <v>31</v>
      </c>
      <c r="AS71" s="4">
        <f t="shared" si="41"/>
        <v>3</v>
      </c>
      <c r="AT71" s="4">
        <f t="shared" si="42"/>
        <v>35</v>
      </c>
      <c r="AU71" s="4">
        <f t="shared" si="43"/>
        <v>7</v>
      </c>
      <c r="AV71" s="4">
        <f t="shared" si="44"/>
        <v>25</v>
      </c>
      <c r="AW71" s="4">
        <f t="shared" si="45"/>
        <v>2</v>
      </c>
      <c r="AX71" s="4">
        <f t="shared" si="46"/>
        <v>39</v>
      </c>
      <c r="AY71" s="4">
        <f t="shared" si="47"/>
        <v>36</v>
      </c>
      <c r="AZ71" s="4">
        <f t="shared" si="48"/>
        <v>25</v>
      </c>
      <c r="BA71" s="4">
        <f t="shared" si="49"/>
        <v>11</v>
      </c>
    </row>
    <row r="72" spans="1:53" x14ac:dyDescent="0.2">
      <c r="A72" s="1" t="str">
        <f>'SegEnds_NonXtal_Prot#'!A41</f>
        <v>5ht1e_human</v>
      </c>
      <c r="B72" s="1" t="str">
        <f t="shared" si="25"/>
        <v>TITEKMLICMTLVVITTLTTLLNLAVIMAIGTTQPANYLICSLAVTDLLVAVLVMPLSIIYIVMDGYFLCEVWLSVDMTCCTCSILHLCVIALDRYWAITNTAKRAALMILTVWTISIFISMPPLFWHVIYTIYSTLGAFYIPLTLILILYYRIYHAAKSLYQKRGSSRQISSTRERKAARILGLILGAFILSWLPFFIKELIVGLSSSEVADFLTWLGYVNSLINPLLYTSFNEDFKLAFKKLI</v>
      </c>
      <c r="C72" s="29" t="str">
        <f>IF(ISERROR(MATCH(A72,'SegEnds_Xtal_Prot#'!B:B, 0)), "NoXtal", "Xtal")</f>
        <v>NoXtal</v>
      </c>
      <c r="D72" s="4" t="str">
        <f>VLOOKUP(A72,Classification!A:D,2,FALSE)</f>
        <v>A</v>
      </c>
      <c r="E72" s="5" t="str">
        <f>VLOOKUP(A72,Seqs!A:B,2,FALSE)</f>
        <v>MNITNCTTEASMAIRPKTITEKMLICMTLVVITTLTTLLNLAVIMAIGTTKKLHQPANYLICSLAVTDLLVAVLVMPLSIIYIVMDRWKLGYFLCEVWLSVDMTCCTCSILHLCVIALDRYWAITNAIEYARKRTAKRAALMILTVWTISIFISMPPLFWRSHRRLSPPPSQCTIQHDHVIYTIYSTLGAFYIPLTLILILYYRIYHAAKSLYQKRGSSRHLSNRSTDSQNSFASCKLTQTFCVSDFSTSDPTTEFEKFHASIRIPPFDNDLDHPGERQQISSTRERKAARILGLILGAFILSWLPFFIKELIVGLSIYTVSSEVADFLTWLGYVNSLINPLLYTSFNEDFKLAFKKLIRCREHT</v>
      </c>
      <c r="F72" s="5" t="str">
        <f t="shared" si="26"/>
        <v>TITEKMLICMTLVVITTLTTLLNLAVIMAIGTT</v>
      </c>
      <c r="G72" s="4" t="str">
        <f t="shared" si="27"/>
        <v>KKLH</v>
      </c>
      <c r="H72" s="4" t="str">
        <f t="shared" si="28"/>
        <v>QPANYLICSLAVTDLLVAVLVMPLSIIYIVMD</v>
      </c>
      <c r="I72" s="4" t="str">
        <f t="shared" si="29"/>
        <v>RWKL</v>
      </c>
      <c r="J72" s="4" t="str">
        <f t="shared" si="30"/>
        <v>GYFLCEVWLSVDMTCCTCSILHLCVIALDRYWAITN</v>
      </c>
      <c r="K72" s="4" t="str">
        <f t="shared" si="31"/>
        <v>AIEYARKR</v>
      </c>
      <c r="L72" s="4" t="str">
        <f t="shared" si="32"/>
        <v>TAKRAALMILTVWTISIFISMPPLFW</v>
      </c>
      <c r="M72" s="4" t="str">
        <f t="shared" si="33"/>
        <v>CTI</v>
      </c>
      <c r="N72" s="4" t="str">
        <f t="shared" si="34"/>
        <v>HVIYTIYSTLGAFYIPLTLILILYYRIYHAAKSLYQKRGSSR</v>
      </c>
      <c r="O72" s="4" t="str">
        <f t="shared" si="35"/>
        <v>QISSTRERKAARILGLILGAFILSWLPFFIKELIVGLS</v>
      </c>
      <c r="P72" s="4" t="str">
        <f t="shared" si="36"/>
        <v>SSEVADFLTWLGYVNSLINPLLYTSF</v>
      </c>
      <c r="Q72" s="4" t="str">
        <f t="shared" si="37"/>
        <v>NEDFKLAFKKLI</v>
      </c>
      <c r="R72" s="5">
        <f>VLOOKUP($A72,'SegEnds_NonXtal_Prot#'!$A:$AL,3,FALSE)</f>
        <v>18</v>
      </c>
      <c r="S72" s="5">
        <f>VLOOKUP($A72,'SegEnds_NonXtal_Prot#'!$A:$AL,6,FALSE)</f>
        <v>51</v>
      </c>
      <c r="T72" s="5">
        <f>VLOOKUP($A72,'SegEnds_NonXtal_Prot#'!$A:$AL,9,FALSE)</f>
        <v>55</v>
      </c>
      <c r="U72" s="5">
        <f>VLOOKUP($A72,'SegEnds_NonXtal_Prot#'!$A:$AL,12,FALSE)</f>
        <v>87</v>
      </c>
      <c r="V72" s="5">
        <f>VLOOKUP($A72,'SegEnds_NonXtal_Prot#'!$A:$AL,15,FALSE)</f>
        <v>91</v>
      </c>
      <c r="W72" s="5">
        <f>VLOOKUP($A72,'SegEnds_NonXtal_Prot#'!$A:$AL,18,FALSE)</f>
        <v>127</v>
      </c>
      <c r="X72" s="5">
        <f>VLOOKUP($A72,'SegEnds_NonXtal_Prot#'!$A:$AL,21,FALSE)</f>
        <v>135</v>
      </c>
      <c r="Y72" s="5">
        <f>VLOOKUP($A72,'SegEnds_NonXtal_Prot#'!$A:$AL,24,FALSE)</f>
        <v>173</v>
      </c>
      <c r="Z72" s="5">
        <f>VLOOKUP($A72,'SegEnds_NonXtal_Prot#'!$A:$AL,27,FALSE)</f>
        <v>179</v>
      </c>
      <c r="AA72" s="5">
        <f>VLOOKUP($A72,'SegEnds_NonXtal_Prot#'!$A:$AL,30,FALSE)</f>
        <v>280</v>
      </c>
      <c r="AB72" s="5">
        <f>VLOOKUP($A72,'SegEnds_NonXtal_Prot#'!$A:$AL,33,FALSE)</f>
        <v>322</v>
      </c>
      <c r="AC72" s="5">
        <f>VLOOKUP($A72,'SegEnds_NonXtal_Prot#'!$A:$AL,36,FALSE)</f>
        <v>348</v>
      </c>
      <c r="AD72" s="5">
        <f>VLOOKUP($A72,'SegEnds_NonXtal_Prot#'!$A:$AL,5,FALSE)</f>
        <v>50</v>
      </c>
      <c r="AE72" s="5">
        <f>VLOOKUP($A72,'SegEnds_NonXtal_Prot#'!$A:$AL,8,FALSE)</f>
        <v>54</v>
      </c>
      <c r="AF72" s="5">
        <f>VLOOKUP($A72,'SegEnds_NonXtal_Prot#'!$A:$AL,11,FALSE)</f>
        <v>86</v>
      </c>
      <c r="AG72" s="5">
        <f>VLOOKUP($A72,'SegEnds_NonXtal_Prot#'!$A:$AL,14,FALSE)</f>
        <v>90</v>
      </c>
      <c r="AH72" s="5">
        <f>VLOOKUP($A72,'SegEnds_NonXtal_Prot#'!$A:$AL,17,FALSE)</f>
        <v>126</v>
      </c>
      <c r="AI72" s="5">
        <f>VLOOKUP($A72,'SegEnds_NonXtal_Prot#'!$A:$AL,20,FALSE)</f>
        <v>134</v>
      </c>
      <c r="AJ72" s="5">
        <f>VLOOKUP($A72,'SegEnds_NonXtal_Prot#'!$A:$AL,23,FALSE)</f>
        <v>160</v>
      </c>
      <c r="AK72" s="5">
        <f>VLOOKUP($A72,'SegEnds_NonXtal_Prot#'!$A:$AL,26,FALSE)</f>
        <v>175</v>
      </c>
      <c r="AL72" s="5">
        <f>VLOOKUP($A72,'SegEnds_NonXtal_Prot#'!$A:$AL,29,FALSE)</f>
        <v>220</v>
      </c>
      <c r="AM72" s="5">
        <f>VLOOKUP($A72,'SegEnds_NonXtal_Prot#'!$A:$AL,32,FALSE)</f>
        <v>317</v>
      </c>
      <c r="AN72" s="5">
        <f>VLOOKUP($A72,'SegEnds_NonXtal_Prot#'!$A:$AL,35,FALSE)</f>
        <v>347</v>
      </c>
      <c r="AO72" s="5">
        <f>VLOOKUP($A72,'SegEnds_NonXtal_Prot#'!$A:$AL,38,FALSE)</f>
        <v>359</v>
      </c>
      <c r="AP72" s="5">
        <f t="shared" si="38"/>
        <v>32</v>
      </c>
      <c r="AQ72" s="4">
        <f t="shared" si="39"/>
        <v>3</v>
      </c>
      <c r="AR72" s="4">
        <f t="shared" si="40"/>
        <v>31</v>
      </c>
      <c r="AS72" s="4">
        <f t="shared" si="41"/>
        <v>3</v>
      </c>
      <c r="AT72" s="4">
        <f t="shared" si="42"/>
        <v>35</v>
      </c>
      <c r="AU72" s="4">
        <f t="shared" si="43"/>
        <v>7</v>
      </c>
      <c r="AV72" s="4">
        <f t="shared" si="44"/>
        <v>25</v>
      </c>
      <c r="AW72" s="4">
        <f t="shared" si="45"/>
        <v>2</v>
      </c>
      <c r="AX72" s="4">
        <f t="shared" si="46"/>
        <v>41</v>
      </c>
      <c r="AY72" s="4">
        <f t="shared" si="47"/>
        <v>37</v>
      </c>
      <c r="AZ72" s="4">
        <f t="shared" si="48"/>
        <v>25</v>
      </c>
      <c r="BA72" s="4">
        <f t="shared" si="49"/>
        <v>11</v>
      </c>
    </row>
    <row r="73" spans="1:53" x14ac:dyDescent="0.2">
      <c r="A73" s="1" t="str">
        <f>'SegEnds_NonXtal_Prot#'!A42</f>
        <v>5ht1f_human</v>
      </c>
      <c r="B73" s="1" t="str">
        <f t="shared" si="25"/>
        <v>RMPSKILVSLTLSGLALMTTTINSLVIAAIIVTHPANYLICSLAVTDFLVAVLVMPFSIVYIVREGQVVCDIWLSVDITCCTCSILHLSAIALDRYRAITDTPKHAGIMITIVWIISVFISMPPLFWHIVSTIYSTFGAFYIPLALILILYYKIYRAAKTLYHKRQASRKISGTRERKAATTLGLILGAFVICWLPFFVKELVVNVCSEEMSNFLAWLGYLNSLINPLIYTIFNEDFKKAFQKLV</v>
      </c>
      <c r="C73" s="29" t="str">
        <f>IF(ISERROR(MATCH(A73,'SegEnds_Xtal_Prot#'!B:B, 0)), "NoXtal", "Xtal")</f>
        <v>NoXtal</v>
      </c>
      <c r="D73" s="4" t="str">
        <f>VLOOKUP(A73,Classification!A:D,2,FALSE)</f>
        <v>A</v>
      </c>
      <c r="E73" s="5" t="str">
        <f>VLOOKUP(A73,Seqs!A:B,2,FALSE)</f>
        <v>MDFLNSSDQNLTSEELLNRMPSKILVSLTLSGLALMTTTINSLVIAAIIVTRKLHHPANYLICSLAVTDFLVAVLVMPFSIVYIVRESWIMGQVVCDIWLSVDITCCTCSILHLSAIALDRYRAITDAVEYARKRTPKHAGIMITIVWIISVFISMPPLFWRHQGTSRDDECIIKHDHIVSTIYSTFGAFYIPLALILILYYKIYRAAKTLYHKRQASRIAKEEVNGQVLLESGEKSTKSVSTSYVLEKSLSDPSTDFDKIHSTVRSLRSEFKHEKSWRRQKISGTRERKAATTLGLILGAFVICWLPFFVKELVVNVCDKCKISEEMSNFLAWLGYLNSLINPLIYTIFNEDFKKAFQKLVRCRC</v>
      </c>
      <c r="F73" s="5" t="str">
        <f t="shared" si="26"/>
        <v>RMPSKILVSLTLSGLALMTTTINSLVIAAIIVT</v>
      </c>
      <c r="G73" s="4" t="str">
        <f t="shared" si="27"/>
        <v>RKLH</v>
      </c>
      <c r="H73" s="4" t="str">
        <f t="shared" si="28"/>
        <v>HPANYLICSLAVTDFLVAVLVMPFSIVYIVRE</v>
      </c>
      <c r="I73" s="4" t="str">
        <f t="shared" si="29"/>
        <v>SWIM</v>
      </c>
      <c r="J73" s="4" t="str">
        <f t="shared" si="30"/>
        <v>GQVVCDIWLSVDITCCTCSILHLSAIALDRYRAITD</v>
      </c>
      <c r="K73" s="4" t="str">
        <f t="shared" si="31"/>
        <v>AVEYARKR</v>
      </c>
      <c r="L73" s="4" t="str">
        <f t="shared" si="32"/>
        <v>TPKHAGIMITIVWIISVFISMPPLFW</v>
      </c>
      <c r="M73" s="4" t="str">
        <f t="shared" si="33"/>
        <v>CII</v>
      </c>
      <c r="N73" s="4" t="str">
        <f t="shared" si="34"/>
        <v>HIVSTIYSTFGAFYIPLALILILYYKIYRAAKTLYHKRQASR</v>
      </c>
      <c r="O73" s="4" t="str">
        <f t="shared" si="35"/>
        <v>KISGTRERKAATTLGLILGAFVICWLPFFVKELVVNVC</v>
      </c>
      <c r="P73" s="4" t="str">
        <f t="shared" si="36"/>
        <v>SEEMSNFLAWLGYLNSLINPLIYTIF</v>
      </c>
      <c r="Q73" s="4" t="str">
        <f t="shared" si="37"/>
        <v>NEDFKKAFQKLV</v>
      </c>
      <c r="R73" s="5">
        <f>VLOOKUP($A73,'SegEnds_NonXtal_Prot#'!$A:$AL,3,FALSE)</f>
        <v>19</v>
      </c>
      <c r="S73" s="5">
        <f>VLOOKUP($A73,'SegEnds_NonXtal_Prot#'!$A:$AL,6,FALSE)</f>
        <v>52</v>
      </c>
      <c r="T73" s="5">
        <f>VLOOKUP($A73,'SegEnds_NonXtal_Prot#'!$A:$AL,9,FALSE)</f>
        <v>56</v>
      </c>
      <c r="U73" s="5">
        <f>VLOOKUP($A73,'SegEnds_NonXtal_Prot#'!$A:$AL,12,FALSE)</f>
        <v>88</v>
      </c>
      <c r="V73" s="5">
        <f>VLOOKUP($A73,'SegEnds_NonXtal_Prot#'!$A:$AL,15,FALSE)</f>
        <v>92</v>
      </c>
      <c r="W73" s="5">
        <f>VLOOKUP($A73,'SegEnds_NonXtal_Prot#'!$A:$AL,18,FALSE)</f>
        <v>128</v>
      </c>
      <c r="X73" s="5">
        <f>VLOOKUP($A73,'SegEnds_NonXtal_Prot#'!$A:$AL,21,FALSE)</f>
        <v>136</v>
      </c>
      <c r="Y73" s="5">
        <f>VLOOKUP($A73,'SegEnds_NonXtal_Prot#'!$A:$AL,24,FALSE)</f>
        <v>172</v>
      </c>
      <c r="Z73" s="5">
        <f>VLOOKUP($A73,'SegEnds_NonXtal_Prot#'!$A:$AL,27,FALSE)</f>
        <v>178</v>
      </c>
      <c r="AA73" s="5">
        <f>VLOOKUP($A73,'SegEnds_NonXtal_Prot#'!$A:$AL,30,FALSE)</f>
        <v>282</v>
      </c>
      <c r="AB73" s="5">
        <f>VLOOKUP($A73,'SegEnds_NonXtal_Prot#'!$A:$AL,33,FALSE)</f>
        <v>325</v>
      </c>
      <c r="AC73" s="5">
        <f>VLOOKUP($A73,'SegEnds_NonXtal_Prot#'!$A:$AL,36,FALSE)</f>
        <v>351</v>
      </c>
      <c r="AD73" s="5">
        <f>VLOOKUP($A73,'SegEnds_NonXtal_Prot#'!$A:$AL,5,FALSE)</f>
        <v>51</v>
      </c>
      <c r="AE73" s="5">
        <f>VLOOKUP($A73,'SegEnds_NonXtal_Prot#'!$A:$AL,8,FALSE)</f>
        <v>55</v>
      </c>
      <c r="AF73" s="5">
        <f>VLOOKUP($A73,'SegEnds_NonXtal_Prot#'!$A:$AL,11,FALSE)</f>
        <v>87</v>
      </c>
      <c r="AG73" s="5">
        <f>VLOOKUP($A73,'SegEnds_NonXtal_Prot#'!$A:$AL,14,FALSE)</f>
        <v>91</v>
      </c>
      <c r="AH73" s="5">
        <f>VLOOKUP($A73,'SegEnds_NonXtal_Prot#'!$A:$AL,17,FALSE)</f>
        <v>127</v>
      </c>
      <c r="AI73" s="5">
        <f>VLOOKUP($A73,'SegEnds_NonXtal_Prot#'!$A:$AL,20,FALSE)</f>
        <v>135</v>
      </c>
      <c r="AJ73" s="5">
        <f>VLOOKUP($A73,'SegEnds_NonXtal_Prot#'!$A:$AL,23,FALSE)</f>
        <v>161</v>
      </c>
      <c r="AK73" s="5">
        <f>VLOOKUP($A73,'SegEnds_NonXtal_Prot#'!$A:$AL,26,FALSE)</f>
        <v>174</v>
      </c>
      <c r="AL73" s="5">
        <f>VLOOKUP($A73,'SegEnds_NonXtal_Prot#'!$A:$AL,29,FALSE)</f>
        <v>219</v>
      </c>
      <c r="AM73" s="5">
        <f>VLOOKUP($A73,'SegEnds_NonXtal_Prot#'!$A:$AL,32,FALSE)</f>
        <v>319</v>
      </c>
      <c r="AN73" s="5">
        <f>VLOOKUP($A73,'SegEnds_NonXtal_Prot#'!$A:$AL,35,FALSE)</f>
        <v>350</v>
      </c>
      <c r="AO73" s="5">
        <f>VLOOKUP($A73,'SegEnds_NonXtal_Prot#'!$A:$AL,38,FALSE)</f>
        <v>362</v>
      </c>
      <c r="AP73" s="5">
        <f t="shared" si="38"/>
        <v>32</v>
      </c>
      <c r="AQ73" s="4">
        <f t="shared" si="39"/>
        <v>3</v>
      </c>
      <c r="AR73" s="4">
        <f t="shared" si="40"/>
        <v>31</v>
      </c>
      <c r="AS73" s="4">
        <f t="shared" si="41"/>
        <v>3</v>
      </c>
      <c r="AT73" s="4">
        <f t="shared" si="42"/>
        <v>35</v>
      </c>
      <c r="AU73" s="4">
        <f t="shared" si="43"/>
        <v>7</v>
      </c>
      <c r="AV73" s="4">
        <f t="shared" si="44"/>
        <v>25</v>
      </c>
      <c r="AW73" s="4">
        <f t="shared" si="45"/>
        <v>2</v>
      </c>
      <c r="AX73" s="4">
        <f t="shared" si="46"/>
        <v>41</v>
      </c>
      <c r="AY73" s="4">
        <f t="shared" si="47"/>
        <v>37</v>
      </c>
      <c r="AZ73" s="4">
        <f t="shared" si="48"/>
        <v>25</v>
      </c>
      <c r="BA73" s="4">
        <f t="shared" si="49"/>
        <v>11</v>
      </c>
    </row>
    <row r="74" spans="1:53" x14ac:dyDescent="0.2">
      <c r="A74" s="1" t="str">
        <f>'SegEnds_NonXtal_Prot#'!A43</f>
        <v>5ht2a_human</v>
      </c>
      <c r="B74" s="1" t="str">
        <f t="shared" si="25"/>
        <v>LHLQEKNWSALLTAVVIILTIAGNILVIMAVSLENATNYFLMSLAIADMLLGFLVMPVSMLTILYGPSKLCAVWIYLDVLFSTASIMHLCAISLDRYVAIQNSRTKAFLKIIAVWTISVGISMPIPVFGLQDDDNFVLIGSFVSFFIPLTIMVITYFLTIKSLQKEATLCVSDLMQSISNEQKACKVLGIVFFLFVVMWCPFFITNIMAVICNEDVIGALLNVFVWIGYLSSAVNPLVYTLFNKTYRSAFSRYIQC</v>
      </c>
      <c r="C74" s="29" t="str">
        <f>IF(ISERROR(MATCH(A74,'SegEnds_Xtal_Prot#'!B:B, 0)), "NoXtal", "Xtal")</f>
        <v>Xtal</v>
      </c>
      <c r="D74" s="4" t="str">
        <f>VLOOKUP(A74,Classification!A:D,2,FALSE)</f>
        <v>A</v>
      </c>
      <c r="E74" s="5" t="str">
        <f>VLOOKUP(A74,Seqs!A:B,2,FALSE)</f>
        <v>MDILCEENTSLSSTTNSLMQLNDDTRLYSNDFNSGEANTSDAFNWTVDSENRTNLSCEGCLSPSCLSLLHLQEKNWSALLTAVVIILTIAGNILVIMAVSLEKKLQNATNYFLMSLAIADMLLGFLVMPVSMLTILYGYRWPLPSKLCAVWIYLDVLFSTASIMHLCAISLDRYVAIQNPIHHSRFNSRTKAFLKIIAVWTISVGISMPIPVFGLQDDSKVFKEGSCLLADDNFVLIGSFVSFFIPLTIMVITYFLTIKSLQKEATLCVSDLGTRAKLASFSFLPQSSLSSEKLFQRSIHREPGSYTGRRTMQSISNEQKACKVLGIVFFLFVVMWCPFFITNIMAVICKESCNEDVIGALLNVFVWIGYLSSAVNPLVYTLFNKTYRSAFSRYIQCQYKENKKPLQLILVNTIPALAYKSSQLQMGQKKNSKQDAKTTDNDCSMVALGKQHSEEASKDNSDGVNEKVSCV</v>
      </c>
      <c r="F74" s="5" t="str">
        <f t="shared" si="26"/>
        <v>LHLQEKNWSALLTAVVIILTIAGNILVIMAVSLE</v>
      </c>
      <c r="G74" s="4" t="str">
        <f t="shared" si="27"/>
        <v>KKLQ</v>
      </c>
      <c r="H74" s="4" t="str">
        <f t="shared" si="28"/>
        <v>NATNYFLMSLAIADMLLGFLVMPVSMLTILYG</v>
      </c>
      <c r="I74" s="4" t="str">
        <f t="shared" si="29"/>
        <v>RWPL</v>
      </c>
      <c r="J74" s="4" t="str">
        <f t="shared" si="30"/>
        <v>PSKLCAVWIYLDVLFSTASIMHLCAISLDRYVAIQN</v>
      </c>
      <c r="K74" s="4" t="str">
        <f t="shared" si="31"/>
        <v>PIHHSRFN</v>
      </c>
      <c r="L74" s="4" t="str">
        <f t="shared" si="32"/>
        <v>SRTKAFLKIIAVWTISVGISMPIPVFGLQD</v>
      </c>
      <c r="M74" s="4" t="str">
        <f t="shared" si="33"/>
        <v>CLL</v>
      </c>
      <c r="N74" s="4" t="str">
        <f t="shared" si="34"/>
        <v>DDNFVLIGSFVSFFIPLTIMVITYFLTIKSLQKEATLCVSDL</v>
      </c>
      <c r="O74" s="4" t="str">
        <f t="shared" si="35"/>
        <v>MQSISNEQKACKVLGIVFFLFVVMWCPFFITNIMAVIC</v>
      </c>
      <c r="P74" s="4" t="str">
        <f t="shared" si="36"/>
        <v>NEDVIGALLNVFVWIGYLSSAVNPLVYTLF</v>
      </c>
      <c r="Q74" s="4" t="str">
        <f t="shared" si="37"/>
        <v>NKTYRSAFSRYIQC</v>
      </c>
      <c r="R74" s="5">
        <f>VLOOKUP($A74,'SegEnds_NonXtal_Prot#'!$A:$AL,3,FALSE)</f>
        <v>69</v>
      </c>
      <c r="S74" s="5">
        <f>VLOOKUP($A74,'SegEnds_NonXtal_Prot#'!$A:$AL,6,FALSE)</f>
        <v>103</v>
      </c>
      <c r="T74" s="5">
        <f>VLOOKUP($A74,'SegEnds_NonXtal_Prot#'!$A:$AL,9,FALSE)</f>
        <v>107</v>
      </c>
      <c r="U74" s="5">
        <f>VLOOKUP($A74,'SegEnds_NonXtal_Prot#'!$A:$AL,12,FALSE)</f>
        <v>140</v>
      </c>
      <c r="V74" s="5">
        <f>VLOOKUP($A74,'SegEnds_NonXtal_Prot#'!$A:$AL,15,FALSE)</f>
        <v>144</v>
      </c>
      <c r="W74" s="5">
        <f>VLOOKUP($A74,'SegEnds_NonXtal_Prot#'!$A:$AL,18,FALSE)</f>
        <v>180</v>
      </c>
      <c r="X74" s="5">
        <f>VLOOKUP($A74,'SegEnds_NonXtal_Prot#'!$A:$AL,21,FALSE)</f>
        <v>188</v>
      </c>
      <c r="Y74" s="5">
        <f>VLOOKUP($A74,'SegEnds_NonXtal_Prot#'!$A:$AL,24,FALSE)</f>
        <v>227</v>
      </c>
      <c r="Z74" s="5">
        <f>VLOOKUP($A74,'SegEnds_NonXtal_Prot#'!$A:$AL,27,FALSE)</f>
        <v>231</v>
      </c>
      <c r="AA74" s="5">
        <f>VLOOKUP($A74,'SegEnds_NonXtal_Prot#'!$A:$AL,30,FALSE)</f>
        <v>312</v>
      </c>
      <c r="AB74" s="5">
        <f>VLOOKUP($A74,'SegEnds_NonXtal_Prot#'!$A:$AL,33,FALSE)</f>
        <v>354</v>
      </c>
      <c r="AC74" s="5">
        <f>VLOOKUP($A74,'SegEnds_NonXtal_Prot#'!$A:$AL,36,FALSE)</f>
        <v>384</v>
      </c>
      <c r="AD74" s="5">
        <f>VLOOKUP($A74,'SegEnds_NonXtal_Prot#'!$A:$AL,5,FALSE)</f>
        <v>102</v>
      </c>
      <c r="AE74" s="5">
        <f>VLOOKUP($A74,'SegEnds_NonXtal_Prot#'!$A:$AL,8,FALSE)</f>
        <v>106</v>
      </c>
      <c r="AF74" s="5">
        <f>VLOOKUP($A74,'SegEnds_NonXtal_Prot#'!$A:$AL,11,FALSE)</f>
        <v>138</v>
      </c>
      <c r="AG74" s="5">
        <f>VLOOKUP($A74,'SegEnds_NonXtal_Prot#'!$A:$AL,14,FALSE)</f>
        <v>143</v>
      </c>
      <c r="AH74" s="5">
        <f>VLOOKUP($A74,'SegEnds_NonXtal_Prot#'!$A:$AL,17,FALSE)</f>
        <v>179</v>
      </c>
      <c r="AI74" s="5">
        <f>VLOOKUP($A74,'SegEnds_NonXtal_Prot#'!$A:$AL,20,FALSE)</f>
        <v>187</v>
      </c>
      <c r="AJ74" s="5">
        <f>VLOOKUP($A74,'SegEnds_NonXtal_Prot#'!$A:$AL,23,FALSE)</f>
        <v>217</v>
      </c>
      <c r="AK74" s="5">
        <f>VLOOKUP($A74,'SegEnds_NonXtal_Prot#'!$A:$AL,26,FALSE)</f>
        <v>229</v>
      </c>
      <c r="AL74" s="5">
        <f>VLOOKUP($A74,'SegEnds_NonXtal_Prot#'!$A:$AL,29,FALSE)</f>
        <v>272</v>
      </c>
      <c r="AM74" s="5">
        <f>VLOOKUP($A74,'SegEnds_NonXtal_Prot#'!$A:$AL,32,FALSE)</f>
        <v>349</v>
      </c>
      <c r="AN74" s="5">
        <f>VLOOKUP($A74,'SegEnds_NonXtal_Prot#'!$A:$AL,35,FALSE)</f>
        <v>383</v>
      </c>
      <c r="AO74" s="5">
        <f>VLOOKUP($A74,'SegEnds_NonXtal_Prot#'!$A:$AL,38,FALSE)</f>
        <v>397</v>
      </c>
      <c r="AP74" s="5">
        <f t="shared" si="38"/>
        <v>33</v>
      </c>
      <c r="AQ74" s="4">
        <f t="shared" si="39"/>
        <v>3</v>
      </c>
      <c r="AR74" s="4">
        <f t="shared" si="40"/>
        <v>31</v>
      </c>
      <c r="AS74" s="4">
        <f t="shared" si="41"/>
        <v>3</v>
      </c>
      <c r="AT74" s="4">
        <f t="shared" si="42"/>
        <v>35</v>
      </c>
      <c r="AU74" s="4">
        <f t="shared" si="43"/>
        <v>7</v>
      </c>
      <c r="AV74" s="4">
        <f t="shared" si="44"/>
        <v>29</v>
      </c>
      <c r="AW74" s="4">
        <f t="shared" si="45"/>
        <v>2</v>
      </c>
      <c r="AX74" s="4">
        <f t="shared" si="46"/>
        <v>41</v>
      </c>
      <c r="AY74" s="4">
        <f t="shared" si="47"/>
        <v>37</v>
      </c>
      <c r="AZ74" s="4">
        <f t="shared" si="48"/>
        <v>29</v>
      </c>
      <c r="BA74" s="4">
        <f t="shared" si="49"/>
        <v>13</v>
      </c>
    </row>
    <row r="75" spans="1:53" x14ac:dyDescent="0.2">
      <c r="A75" s="1" t="str">
        <f>'SegEnds_NonXtal_Prot#'!A44</f>
        <v>5ht2b_human</v>
      </c>
      <c r="B75" s="1" t="str">
        <f t="shared" si="25"/>
        <v>KLHWAALLILMVIIPTIGGNTLVILAVSLEYATNYFLMSLAVADLLVGLFVMPIALLTIMFPLVLCPAWLFLDVLFSTASIMHLCAISVDRYIAIKKSRATAFIKITVVWLISIGIAIPVPIKGFGDFMLFGSLAAFFTPLAIMIVTYFLTIHALQKKAYLVKNKPVQTISNEQRASKVLGIVFFLFLLMWCPFFITNITLVLCNQTTLQMLLEIFVWIGYVSSGVNPLVYTLFNKTFRDAFGRYI</v>
      </c>
      <c r="C75" s="29" t="str">
        <f>IF(ISERROR(MATCH(A75,'SegEnds_Xtal_Prot#'!B:B, 0)), "NoXtal", "Xtal")</f>
        <v>Xtal</v>
      </c>
      <c r="D75" s="4" t="str">
        <f>VLOOKUP(A75,Classification!A:D,2,FALSE)</f>
        <v>A</v>
      </c>
      <c r="E75" s="5" t="str">
        <f>VLOOKUP(A75,Seqs!A:B,2,FALSE)</f>
        <v>MALSYRVSELQSTIPEHILQSTFVHVISSNWSGLQTESIPEEMKQIVEEQGNKLHWAALLILMVIIPTIGGNTLVILAVSLEKKLQYATNYFLMSLAVADLLVGLFVMPIALLTIMFEAMWPLPLVLCPAWLFLDVLFSTASIMHLCAISVDRYIAIKKPIQANQYNSRATAFIKITVVWLISIGIAIPVPIKGIETDVDNPNNITCVLTKERFGDFMLFGSLAAFFTPLAIMIVTYFLTIHALQKKAYLVKNKPPQRLTWLTVSTVFQRDETPCSSPEKVAMLDGSRKDKALPNSGDETLMRRTSTIGKKSVQTISNEQRASKVLGIVFFLFLLMWCPFFITNITLVLCDSCNQTTLQMLLEIFVWIGYVSSGVNPLVYTLFNKTFRDAFGRYITCNYRATKSVKTLRKRSSKIYFRNPMAENSKFFKKHGIRNGINPAMYQSPMRLRSSTIQSSSIILLDTLLLTENEGDKTEEQVSYV</v>
      </c>
      <c r="F75" s="5" t="str">
        <f t="shared" si="26"/>
        <v>KLHWAALLILMVIIPTIGGNTLVILAVSLE</v>
      </c>
      <c r="G75" s="4" t="str">
        <f t="shared" si="27"/>
        <v>KKLQ</v>
      </c>
      <c r="H75" s="4" t="str">
        <f t="shared" si="28"/>
        <v>YATNYFLMSLAVADLLVGLFVMPIALLTIMF</v>
      </c>
      <c r="I75" s="4" t="str">
        <f t="shared" si="29"/>
        <v>MWPL</v>
      </c>
      <c r="J75" s="4" t="str">
        <f t="shared" si="30"/>
        <v>PLVLCPAWLFLDVLFSTASIMHLCAISVDRYIAIKK</v>
      </c>
      <c r="K75" s="4" t="str">
        <f t="shared" si="31"/>
        <v>PIQANQYN</v>
      </c>
      <c r="L75" s="4" t="str">
        <f t="shared" si="32"/>
        <v>SRATAFIKITVVWLISIGIAIPVPIKG</v>
      </c>
      <c r="M75" s="4" t="str">
        <f t="shared" si="33"/>
        <v>CVL</v>
      </c>
      <c r="N75" s="4" t="str">
        <f t="shared" si="34"/>
        <v>FGDFMLFGSLAAFFTPLAIMIVTYFLTIHALQKKAYLVKNKP</v>
      </c>
      <c r="O75" s="4" t="str">
        <f t="shared" si="35"/>
        <v>VQTISNEQRASKVLGIVFFLFLLMWCPFFITNITLVLC</v>
      </c>
      <c r="P75" s="4" t="str">
        <f t="shared" si="36"/>
        <v>NQTTLQMLLEIFVWIGYVSSGVNPLVYTLF</v>
      </c>
      <c r="Q75" s="4" t="str">
        <f t="shared" si="37"/>
        <v>NKTFRDAFGRYI</v>
      </c>
      <c r="R75" s="5">
        <f>VLOOKUP($A75,'SegEnds_NonXtal_Prot#'!$A:$AL,3,FALSE)</f>
        <v>53</v>
      </c>
      <c r="S75" s="5">
        <f>VLOOKUP($A75,'SegEnds_NonXtal_Prot#'!$A:$AL,6,FALSE)</f>
        <v>83</v>
      </c>
      <c r="T75" s="5">
        <f>VLOOKUP($A75,'SegEnds_NonXtal_Prot#'!$A:$AL,9,FALSE)</f>
        <v>87</v>
      </c>
      <c r="U75" s="5">
        <f>VLOOKUP($A75,'SegEnds_NonXtal_Prot#'!$A:$AL,12,FALSE)</f>
        <v>120</v>
      </c>
      <c r="V75" s="5">
        <f>VLOOKUP($A75,'SegEnds_NonXtal_Prot#'!$A:$AL,15,FALSE)</f>
        <v>124</v>
      </c>
      <c r="W75" s="5">
        <f>VLOOKUP($A75,'SegEnds_NonXtal_Prot#'!$A:$AL,18,FALSE)</f>
        <v>160</v>
      </c>
      <c r="X75" s="5">
        <f>VLOOKUP($A75,'SegEnds_NonXtal_Prot#'!$A:$AL,21,FALSE)</f>
        <v>168</v>
      </c>
      <c r="Y75" s="5">
        <f>VLOOKUP($A75,'SegEnds_NonXtal_Prot#'!$A:$AL,24,FALSE)</f>
        <v>207</v>
      </c>
      <c r="Z75" s="5">
        <f>VLOOKUP($A75,'SegEnds_NonXtal_Prot#'!$A:$AL,27,FALSE)</f>
        <v>214</v>
      </c>
      <c r="AA75" s="5">
        <f>VLOOKUP($A75,'SegEnds_NonXtal_Prot#'!$A:$AL,30,FALSE)</f>
        <v>313</v>
      </c>
      <c r="AB75" s="5">
        <f>VLOOKUP($A75,'SegEnds_NonXtal_Prot#'!$A:$AL,33,FALSE)</f>
        <v>354</v>
      </c>
      <c r="AC75" s="5">
        <f>VLOOKUP($A75,'SegEnds_NonXtal_Prot#'!$A:$AL,36,FALSE)</f>
        <v>384</v>
      </c>
      <c r="AD75" s="5">
        <f>VLOOKUP($A75,'SegEnds_NonXtal_Prot#'!$A:$AL,5,FALSE)</f>
        <v>82</v>
      </c>
      <c r="AE75" s="5">
        <f>VLOOKUP($A75,'SegEnds_NonXtal_Prot#'!$A:$AL,8,FALSE)</f>
        <v>86</v>
      </c>
      <c r="AF75" s="5">
        <f>VLOOKUP($A75,'SegEnds_NonXtal_Prot#'!$A:$AL,11,FALSE)</f>
        <v>117</v>
      </c>
      <c r="AG75" s="5">
        <f>VLOOKUP($A75,'SegEnds_NonXtal_Prot#'!$A:$AL,14,FALSE)</f>
        <v>123</v>
      </c>
      <c r="AH75" s="5">
        <f>VLOOKUP($A75,'SegEnds_NonXtal_Prot#'!$A:$AL,17,FALSE)</f>
        <v>159</v>
      </c>
      <c r="AI75" s="5">
        <f>VLOOKUP($A75,'SegEnds_NonXtal_Prot#'!$A:$AL,20,FALSE)</f>
        <v>167</v>
      </c>
      <c r="AJ75" s="5">
        <f>VLOOKUP($A75,'SegEnds_NonXtal_Prot#'!$A:$AL,23,FALSE)</f>
        <v>194</v>
      </c>
      <c r="AK75" s="5">
        <f>VLOOKUP($A75,'SegEnds_NonXtal_Prot#'!$A:$AL,26,FALSE)</f>
        <v>209</v>
      </c>
      <c r="AL75" s="5">
        <f>VLOOKUP($A75,'SegEnds_NonXtal_Prot#'!$A:$AL,29,FALSE)</f>
        <v>255</v>
      </c>
      <c r="AM75" s="5">
        <f>VLOOKUP($A75,'SegEnds_NonXtal_Prot#'!$A:$AL,32,FALSE)</f>
        <v>350</v>
      </c>
      <c r="AN75" s="5">
        <f>VLOOKUP($A75,'SegEnds_NonXtal_Prot#'!$A:$AL,35,FALSE)</f>
        <v>383</v>
      </c>
      <c r="AO75" s="5">
        <f>VLOOKUP($A75,'SegEnds_NonXtal_Prot#'!$A:$AL,38,FALSE)</f>
        <v>395</v>
      </c>
      <c r="AP75" s="5">
        <f t="shared" si="38"/>
        <v>29</v>
      </c>
      <c r="AQ75" s="4">
        <f t="shared" si="39"/>
        <v>3</v>
      </c>
      <c r="AR75" s="4">
        <f t="shared" si="40"/>
        <v>30</v>
      </c>
      <c r="AS75" s="4">
        <f t="shared" si="41"/>
        <v>3</v>
      </c>
      <c r="AT75" s="4">
        <f t="shared" si="42"/>
        <v>35</v>
      </c>
      <c r="AU75" s="4">
        <f t="shared" si="43"/>
        <v>7</v>
      </c>
      <c r="AV75" s="4">
        <f t="shared" si="44"/>
        <v>26</v>
      </c>
      <c r="AW75" s="4">
        <f t="shared" si="45"/>
        <v>2</v>
      </c>
      <c r="AX75" s="4">
        <f t="shared" si="46"/>
        <v>41</v>
      </c>
      <c r="AY75" s="4">
        <f t="shared" si="47"/>
        <v>37</v>
      </c>
      <c r="AZ75" s="4">
        <f t="shared" si="48"/>
        <v>29</v>
      </c>
      <c r="BA75" s="4">
        <f t="shared" si="49"/>
        <v>11</v>
      </c>
    </row>
    <row r="76" spans="1:53" x14ac:dyDescent="0.2">
      <c r="A76" s="1" t="str">
        <f>'SegEnds_NonXtal_Prot#'!A45</f>
        <v>5ht2c_human</v>
      </c>
      <c r="B76" s="1" t="str">
        <f t="shared" si="25"/>
        <v>NWPALSIVIIIIMTIGGNILVIMAVSMENATNYFLMSLAIADMLVGLLVMPLSLLAILYDPRYLCPVWISLDVLFSTASIMHLCAISLDRYVAIRNSRTKAIMKIAIVWAISIGVSVPIPVIGLRDDPNFVLIGSFVAFFIPLTIMVITYCLTIYVLRRQALMLLHMQAINNERKASKVLGIVFFVFLIMWCPFFITNILSVLCNQKLMEKLLNVFVWIGYVCSGINPLVYTLFNKIYRRAFSNYLRC</v>
      </c>
      <c r="C76" s="29" t="str">
        <f>IF(ISERROR(MATCH(A76,'SegEnds_Xtal_Prot#'!B:B, 0)), "NoXtal", "Xtal")</f>
        <v>Xtal</v>
      </c>
      <c r="D76" s="4" t="str">
        <f>VLOOKUP(A76,Classification!A:D,2,FALSE)</f>
        <v>A</v>
      </c>
      <c r="E76" s="5" t="str">
        <f>VLOOKUP(A76,Seqs!A:B,2,FALSE)</f>
        <v>MVNLRNAVHSFLVHLIGLLVWQCDISVSPVAAIVTDIFNTSDGGRFKFPDGVQNWPALSIVIIIIMTIGGNILVIMAVSMEKKLHNATNYFLMSLAIADMLVGLLVMPLSLLAILYDYVWPLPRYLCPVWISLDVLFSTASIMHLCAISLDRYVAIRNPIEHSRFNSRTKAIMKIAIVWAISIGVSVPIPVIGLRDEEKVFVNNTTCVLNDPNFVLIGSFVAFFIPLTIMVITYCLTIYVLRRQALMLLHGHTEEPPGLSLDFLKCCKRNTAEEENSANPNQDQNARRRKKKERRPRGTMQAINNERKASKVLGIVFFVFLIMWCPFFITNILSVLCEKSCNQKLMEKLLNVFVWIGYVCSGINPLVYTLFNKIYRRAFSNYLRCNYKVEKKPPVRQIPRVAATALSGRELNVNIYRHTNEPVIEKASDNEPGIEMQVENLELPVNPSSVVSERISSV</v>
      </c>
      <c r="F76" s="5" t="str">
        <f t="shared" si="26"/>
        <v>NWPALSIVIIIIMTIGGNILVIMAVSME</v>
      </c>
      <c r="G76" s="4" t="str">
        <f t="shared" si="27"/>
        <v>KKLH</v>
      </c>
      <c r="H76" s="4" t="str">
        <f t="shared" si="28"/>
        <v>NATNYFLMSLAIADMLVGLLVMPLSLLAILYD</v>
      </c>
      <c r="I76" s="4" t="str">
        <f t="shared" si="29"/>
        <v>VWPL</v>
      </c>
      <c r="J76" s="4" t="str">
        <f t="shared" si="30"/>
        <v>PRYLCPVWISLDVLFSTASIMHLCAISLDRYVAIRN</v>
      </c>
      <c r="K76" s="4" t="str">
        <f t="shared" si="31"/>
        <v>PIEHSRFN</v>
      </c>
      <c r="L76" s="4" t="str">
        <f t="shared" si="32"/>
        <v>SRTKAIMKIAIVWAISIGVSVPIPVIGLRD</v>
      </c>
      <c r="M76" s="4" t="str">
        <f t="shared" si="33"/>
        <v>CVL</v>
      </c>
      <c r="N76" s="4" t="str">
        <f t="shared" si="34"/>
        <v>DPNFVLIGSFVAFFIPLTIMVITYCLTIYVLRRQALMLLH</v>
      </c>
      <c r="O76" s="4" t="str">
        <f t="shared" si="35"/>
        <v>MQAINNERKASKVLGIVFFVFLIMWCPFFITNILSVLC</v>
      </c>
      <c r="P76" s="4" t="str">
        <f t="shared" si="36"/>
        <v>NQKLMEKLLNVFVWIGYVCSGINPLVYTLF</v>
      </c>
      <c r="Q76" s="4" t="str">
        <f t="shared" si="37"/>
        <v>NKIYRRAFSNYLRC</v>
      </c>
      <c r="R76" s="5">
        <f>VLOOKUP($A76,'SegEnds_NonXtal_Prot#'!$A:$AL,3,FALSE)</f>
        <v>54</v>
      </c>
      <c r="S76" s="5">
        <f>VLOOKUP($A76,'SegEnds_NonXtal_Prot#'!$A:$AL,6,FALSE)</f>
        <v>82</v>
      </c>
      <c r="T76" s="5">
        <f>VLOOKUP($A76,'SegEnds_NonXtal_Prot#'!$A:$AL,9,FALSE)</f>
        <v>86</v>
      </c>
      <c r="U76" s="5">
        <f>VLOOKUP($A76,'SegEnds_NonXtal_Prot#'!$A:$AL,12,FALSE)</f>
        <v>119</v>
      </c>
      <c r="V76" s="5">
        <f>VLOOKUP($A76,'SegEnds_NonXtal_Prot#'!$A:$AL,15,FALSE)</f>
        <v>123</v>
      </c>
      <c r="W76" s="5">
        <f>VLOOKUP($A76,'SegEnds_NonXtal_Prot#'!$A:$AL,18,FALSE)</f>
        <v>159</v>
      </c>
      <c r="X76" s="5">
        <f>VLOOKUP($A76,'SegEnds_NonXtal_Prot#'!$A:$AL,21,FALSE)</f>
        <v>167</v>
      </c>
      <c r="Y76" s="5">
        <f>VLOOKUP($A76,'SegEnds_NonXtal_Prot#'!$A:$AL,24,FALSE)</f>
        <v>207</v>
      </c>
      <c r="Z76" s="5">
        <f>VLOOKUP($A76,'SegEnds_NonXtal_Prot#'!$A:$AL,27,FALSE)</f>
        <v>211</v>
      </c>
      <c r="AA76" s="5">
        <f>VLOOKUP($A76,'SegEnds_NonXtal_Prot#'!$A:$AL,30,FALSE)</f>
        <v>300</v>
      </c>
      <c r="AB76" s="5">
        <f>VLOOKUP($A76,'SegEnds_NonXtal_Prot#'!$A:$AL,33,FALSE)</f>
        <v>342</v>
      </c>
      <c r="AC76" s="5">
        <f>VLOOKUP($A76,'SegEnds_NonXtal_Prot#'!$A:$AL,36,FALSE)</f>
        <v>372</v>
      </c>
      <c r="AD76" s="5">
        <f>VLOOKUP($A76,'SegEnds_NonXtal_Prot#'!$A:$AL,5,FALSE)</f>
        <v>81</v>
      </c>
      <c r="AE76" s="5">
        <f>VLOOKUP($A76,'SegEnds_NonXtal_Prot#'!$A:$AL,8,FALSE)</f>
        <v>85</v>
      </c>
      <c r="AF76" s="5">
        <f>VLOOKUP($A76,'SegEnds_NonXtal_Prot#'!$A:$AL,11,FALSE)</f>
        <v>117</v>
      </c>
      <c r="AG76" s="5">
        <f>VLOOKUP($A76,'SegEnds_NonXtal_Prot#'!$A:$AL,14,FALSE)</f>
        <v>122</v>
      </c>
      <c r="AH76" s="5">
        <f>VLOOKUP($A76,'SegEnds_NonXtal_Prot#'!$A:$AL,17,FALSE)</f>
        <v>158</v>
      </c>
      <c r="AI76" s="5">
        <f>VLOOKUP($A76,'SegEnds_NonXtal_Prot#'!$A:$AL,20,FALSE)</f>
        <v>166</v>
      </c>
      <c r="AJ76" s="5">
        <f>VLOOKUP($A76,'SegEnds_NonXtal_Prot#'!$A:$AL,23,FALSE)</f>
        <v>196</v>
      </c>
      <c r="AK76" s="5">
        <f>VLOOKUP($A76,'SegEnds_NonXtal_Prot#'!$A:$AL,26,FALSE)</f>
        <v>209</v>
      </c>
      <c r="AL76" s="5">
        <f>VLOOKUP($A76,'SegEnds_NonXtal_Prot#'!$A:$AL,29,FALSE)</f>
        <v>250</v>
      </c>
      <c r="AM76" s="5">
        <f>VLOOKUP($A76,'SegEnds_NonXtal_Prot#'!$A:$AL,32,FALSE)</f>
        <v>337</v>
      </c>
      <c r="AN76" s="5">
        <f>VLOOKUP($A76,'SegEnds_NonXtal_Prot#'!$A:$AL,35,FALSE)</f>
        <v>371</v>
      </c>
      <c r="AO76" s="5">
        <f>VLOOKUP($A76,'SegEnds_NonXtal_Prot#'!$A:$AL,38,FALSE)</f>
        <v>385</v>
      </c>
      <c r="AP76" s="5">
        <f t="shared" si="38"/>
        <v>27</v>
      </c>
      <c r="AQ76" s="4">
        <f t="shared" si="39"/>
        <v>3</v>
      </c>
      <c r="AR76" s="4">
        <f t="shared" si="40"/>
        <v>31</v>
      </c>
      <c r="AS76" s="4">
        <f t="shared" si="41"/>
        <v>3</v>
      </c>
      <c r="AT76" s="4">
        <f t="shared" si="42"/>
        <v>35</v>
      </c>
      <c r="AU76" s="4">
        <f t="shared" si="43"/>
        <v>7</v>
      </c>
      <c r="AV76" s="4">
        <f t="shared" si="44"/>
        <v>29</v>
      </c>
      <c r="AW76" s="4">
        <f t="shared" si="45"/>
        <v>2</v>
      </c>
      <c r="AX76" s="4">
        <f t="shared" si="46"/>
        <v>39</v>
      </c>
      <c r="AY76" s="4">
        <f t="shared" si="47"/>
        <v>37</v>
      </c>
      <c r="AZ76" s="4">
        <f t="shared" si="48"/>
        <v>29</v>
      </c>
      <c r="BA76" s="4">
        <f t="shared" si="49"/>
        <v>13</v>
      </c>
    </row>
    <row r="77" spans="1:53" x14ac:dyDescent="0.2">
      <c r="A77" s="1" t="str">
        <f>'SegEnds_NonXtal_Prot#'!A46</f>
        <v>5ht4r_human</v>
      </c>
      <c r="B77" s="1" t="str">
        <f t="shared" si="25"/>
        <v>SVEKVVLLTFLSTVILMAILGNLLVMVAVCWDKIKTNYFIVSLAFADLLVSVLVMPFGAIELVQDGEVFCLVRTSLDVLLTTASIFHLCCISLDRYYAICCTPLRIALMLGGCWVIPTFISFLPIMNKPYAITCSVVAFYIPFLLMVLAYYRIYVTAKEHAHQIQMLQTHRMRTETKAAKTLCIIMGCFCLCWAPFFVTNIVDPFIPGQVWTAFLWLGYINSGLNPFLYAFLNKSFRRAFLIILC</v>
      </c>
      <c r="C77" s="29" t="str">
        <f>IF(ISERROR(MATCH(A77,'SegEnds_Xtal_Prot#'!B:B, 0)), "NoXtal", "Xtal")</f>
        <v>NoXtal</v>
      </c>
      <c r="D77" s="4" t="str">
        <f>VLOOKUP(A77,Classification!A:D,2,FALSE)</f>
        <v>A</v>
      </c>
      <c r="E77" s="5" t="str">
        <f>VLOOKUP(A77,Seqs!A:B,2,FALSE)</f>
        <v>MDKLDANVSSEEGFGSVEKVVLLTFLSTVILMAILGNLLVMVAVCWDRQLRKIKTNYFIVSLAFADLLVSVLVMPFGAIELVQDIWIYGEVFCLVRTSLDVLLTTASIFHLCCISLDRYYAICCQPLVYRNKMTPLRIALMLGGCWVIPTFISFLPIMQGWNNIGIIDLIEKRKFNQNSNSTYCVFMVNKPYAITCSVVAFYIPFLLMVLAYYRIYVTAKEHAHQIQMLQRAGASSESRPQSADQHSTHRMRTETKAAKTLCIIMGCFCLCWAPFFVTNIVDPFIDYTVPGQVWTAFLWLGYINSGLNPFLYAFLNKSFRRAFLIILCCDDERYRRPSILGQTVPCSTTTINGSTHVLRDAVECGGQWESQCHPPATSPLVAAQPSDT</v>
      </c>
      <c r="F77" s="5" t="str">
        <f t="shared" si="26"/>
        <v>SVEKVVLLTFLSTVILMAILGNLLVMVAVCWD</v>
      </c>
      <c r="G77" s="4" t="str">
        <f t="shared" si="27"/>
        <v>RQLR</v>
      </c>
      <c r="H77" s="4" t="str">
        <f t="shared" si="28"/>
        <v>KIKTNYFIVSLAFADLLVSVLVMPFGAIELVQD</v>
      </c>
      <c r="I77" s="4" t="str">
        <f t="shared" si="29"/>
        <v>IWIY</v>
      </c>
      <c r="J77" s="4" t="str">
        <f t="shared" si="30"/>
        <v>GEVFCLVRTSLDVLLTTASIFHLCCISLDRYYAICC</v>
      </c>
      <c r="K77" s="4" t="str">
        <f t="shared" si="31"/>
        <v>PLVYRNKM</v>
      </c>
      <c r="L77" s="4" t="str">
        <f t="shared" si="32"/>
        <v>TPLRIALMLGGCWVIPTFISFLPIM</v>
      </c>
      <c r="M77" s="4" t="str">
        <f t="shared" si="33"/>
        <v>CVF</v>
      </c>
      <c r="N77" s="4" t="str">
        <f t="shared" si="34"/>
        <v>NKPYAITCSVVAFYIPFLLMVLAYYRIYVTAKEHAHQIQMLQ</v>
      </c>
      <c r="O77" s="4" t="str">
        <f t="shared" si="35"/>
        <v>THRMRTETKAAKTLCIIMGCFCLCWAPFFVTNIVDPFI</v>
      </c>
      <c r="P77" s="4" t="str">
        <f t="shared" si="36"/>
        <v>PGQVWTAFLWLGYINSGLNPFLYAFL</v>
      </c>
      <c r="Q77" s="4" t="str">
        <f t="shared" si="37"/>
        <v>NKSFRRAFLIILC</v>
      </c>
      <c r="R77" s="5">
        <f>VLOOKUP($A77,'SegEnds_NonXtal_Prot#'!$A:$AL,3,FALSE)</f>
        <v>16</v>
      </c>
      <c r="S77" s="5">
        <f>VLOOKUP($A77,'SegEnds_NonXtal_Prot#'!$A:$AL,6,FALSE)</f>
        <v>48</v>
      </c>
      <c r="T77" s="5">
        <f>VLOOKUP($A77,'SegEnds_NonXtal_Prot#'!$A:$AL,9,FALSE)</f>
        <v>52</v>
      </c>
      <c r="U77" s="5">
        <f>VLOOKUP($A77,'SegEnds_NonXtal_Prot#'!$A:$AL,12,FALSE)</f>
        <v>85</v>
      </c>
      <c r="V77" s="5">
        <f>VLOOKUP($A77,'SegEnds_NonXtal_Prot#'!$A:$AL,15,FALSE)</f>
        <v>89</v>
      </c>
      <c r="W77" s="5">
        <f>VLOOKUP($A77,'SegEnds_NonXtal_Prot#'!$A:$AL,18,FALSE)</f>
        <v>126</v>
      </c>
      <c r="X77" s="5">
        <f>VLOOKUP($A77,'SegEnds_NonXtal_Prot#'!$A:$AL,21,FALSE)</f>
        <v>134</v>
      </c>
      <c r="Y77" s="5">
        <f>VLOOKUP($A77,'SegEnds_NonXtal_Prot#'!$A:$AL,24,FALSE)</f>
        <v>184</v>
      </c>
      <c r="Z77" s="5">
        <f>VLOOKUP($A77,'SegEnds_NonXtal_Prot#'!$A:$AL,27,FALSE)</f>
        <v>189</v>
      </c>
      <c r="AA77" s="5">
        <f>VLOOKUP($A77,'SegEnds_NonXtal_Prot#'!$A:$AL,30,FALSE)</f>
        <v>248</v>
      </c>
      <c r="AB77" s="5">
        <f>VLOOKUP($A77,'SegEnds_NonXtal_Prot#'!$A:$AL,33,FALSE)</f>
        <v>290</v>
      </c>
      <c r="AC77" s="5">
        <f>VLOOKUP($A77,'SegEnds_NonXtal_Prot#'!$A:$AL,36,FALSE)</f>
        <v>316</v>
      </c>
      <c r="AD77" s="5">
        <f>VLOOKUP($A77,'SegEnds_NonXtal_Prot#'!$A:$AL,5,FALSE)</f>
        <v>47</v>
      </c>
      <c r="AE77" s="5">
        <f>VLOOKUP($A77,'SegEnds_NonXtal_Prot#'!$A:$AL,8,FALSE)</f>
        <v>51</v>
      </c>
      <c r="AF77" s="5">
        <f>VLOOKUP($A77,'SegEnds_NonXtal_Prot#'!$A:$AL,11,FALSE)</f>
        <v>84</v>
      </c>
      <c r="AG77" s="5">
        <f>VLOOKUP($A77,'SegEnds_NonXtal_Prot#'!$A:$AL,14,FALSE)</f>
        <v>88</v>
      </c>
      <c r="AH77" s="5">
        <f>VLOOKUP($A77,'SegEnds_NonXtal_Prot#'!$A:$AL,17,FALSE)</f>
        <v>124</v>
      </c>
      <c r="AI77" s="5">
        <f>VLOOKUP($A77,'SegEnds_NonXtal_Prot#'!$A:$AL,20,FALSE)</f>
        <v>133</v>
      </c>
      <c r="AJ77" s="5">
        <f>VLOOKUP($A77,'SegEnds_NonXtal_Prot#'!$A:$AL,23,FALSE)</f>
        <v>158</v>
      </c>
      <c r="AK77" s="5">
        <f>VLOOKUP($A77,'SegEnds_NonXtal_Prot#'!$A:$AL,26,FALSE)</f>
        <v>186</v>
      </c>
      <c r="AL77" s="5">
        <f>VLOOKUP($A77,'SegEnds_NonXtal_Prot#'!$A:$AL,29,FALSE)</f>
        <v>230</v>
      </c>
      <c r="AM77" s="5">
        <f>VLOOKUP($A77,'SegEnds_NonXtal_Prot#'!$A:$AL,32,FALSE)</f>
        <v>285</v>
      </c>
      <c r="AN77" s="5">
        <f>VLOOKUP($A77,'SegEnds_NonXtal_Prot#'!$A:$AL,35,FALSE)</f>
        <v>315</v>
      </c>
      <c r="AO77" s="5">
        <f>VLOOKUP($A77,'SegEnds_NonXtal_Prot#'!$A:$AL,38,FALSE)</f>
        <v>328</v>
      </c>
      <c r="AP77" s="5">
        <f t="shared" si="38"/>
        <v>31</v>
      </c>
      <c r="AQ77" s="4">
        <f t="shared" si="39"/>
        <v>3</v>
      </c>
      <c r="AR77" s="4">
        <f t="shared" si="40"/>
        <v>32</v>
      </c>
      <c r="AS77" s="4">
        <f t="shared" si="41"/>
        <v>3</v>
      </c>
      <c r="AT77" s="4">
        <f t="shared" si="42"/>
        <v>35</v>
      </c>
      <c r="AU77" s="4">
        <f t="shared" si="43"/>
        <v>7</v>
      </c>
      <c r="AV77" s="4">
        <f t="shared" si="44"/>
        <v>24</v>
      </c>
      <c r="AW77" s="4">
        <f t="shared" si="45"/>
        <v>2</v>
      </c>
      <c r="AX77" s="4">
        <f t="shared" si="46"/>
        <v>41</v>
      </c>
      <c r="AY77" s="4">
        <f t="shared" si="47"/>
        <v>37</v>
      </c>
      <c r="AZ77" s="4">
        <f t="shared" si="48"/>
        <v>25</v>
      </c>
      <c r="BA77" s="4">
        <f t="shared" si="49"/>
        <v>12</v>
      </c>
    </row>
    <row r="78" spans="1:53" x14ac:dyDescent="0.2">
      <c r="A78" s="1" t="str">
        <f>'SegEnds_NonXtal_Prot#'!A47</f>
        <v>5ht5a_human</v>
      </c>
      <c r="B78" s="1" t="str">
        <f t="shared" si="25"/>
        <v>LSVFGVLILTLLGFLVAATFAWNLLVLATILRVRVPHNLVASMAVSDVLVAALVMPLSLVHELSGGRRLCQLWIACDVLCCTASIWNVTAIALDRYWSITRRKCVSNVMIALTWALSAVISLAPLLFEPSYAVFSTVGAFYLPLCVVLFVYWKIYKAAKFRVGSRKTNSTWREQKEQRAALMVGILIGVFVLCWIPFFLTELISPLCPAIWKSIFLWLGYSNSFFNPLIYTAFNKNYNSAFKNFF</v>
      </c>
      <c r="C78" s="29" t="str">
        <f>IF(ISERROR(MATCH(A78,'SegEnds_Xtal_Prot#'!B:B, 0)), "NoXtal", "Xtal")</f>
        <v>NoXtal</v>
      </c>
      <c r="D78" s="4" t="str">
        <f>VLOOKUP(A78,Classification!A:D,2,FALSE)</f>
        <v>A</v>
      </c>
      <c r="E78" s="5" t="str">
        <f>VLOOKUP(A78,Seqs!A:B,2,FALSE)</f>
        <v>MDLPVNLTSFSLSTPSPLETNHSLGKDDLRPSSPLLSVFGVLILTLLGFLVAATFAWNLLVLATILRVRTFHRVPHNLVASMAVSDVLVAALVMPLSLVHELSGRRWQLGRRLCQLWIACDVLCCTASIWNVTAIALDRYWSITRHMEYTLRTRKCVSNVMIALTWALSAVISLAPLLFGWGETYSEGSEECQVSREPSYAVFSTVGAFYLPLCVVLFVYWKIYKAAKFRVGSRKTNSVSPISEAVEVKDSAKQPQMVFTVRHATVTFQPEGDTWREQKEQRAALMVGILIGVFVLCWIPFFLTELISPLCSCDIPAIWKSIFLWLGYSNSFFNPLIYTAFNKNYNSAFKNFFSRQH</v>
      </c>
      <c r="F78" s="5" t="str">
        <f t="shared" si="26"/>
        <v>LSVFGVLILTLLGFLVAATFAWNLLVLATILRV</v>
      </c>
      <c r="G78" s="4" t="str">
        <f t="shared" si="27"/>
        <v>RTFH</v>
      </c>
      <c r="H78" s="4" t="str">
        <f t="shared" si="28"/>
        <v>RVPHNLVASMAVSDVLVAALVMPLSLVHELSG</v>
      </c>
      <c r="I78" s="4" t="str">
        <f t="shared" si="29"/>
        <v>RWQL</v>
      </c>
      <c r="J78" s="4" t="str">
        <f t="shared" si="30"/>
        <v>GRRLCQLWIACDVLCCTASIWNVTAIALDRYWSITR</v>
      </c>
      <c r="K78" s="4" t="str">
        <f t="shared" si="31"/>
        <v>HMEYTLRT</v>
      </c>
      <c r="L78" s="4" t="str">
        <f t="shared" si="32"/>
        <v>RKCVSNVMIALTWALSAVISLAPLLF</v>
      </c>
      <c r="M78" s="4" t="str">
        <f t="shared" si="33"/>
        <v>CQV</v>
      </c>
      <c r="N78" s="4" t="str">
        <f t="shared" si="34"/>
        <v>EPSYAVFSTVGAFYLPLCVVLFVYWKIYKAAKFRVGSRKTNS</v>
      </c>
      <c r="O78" s="4" t="str">
        <f t="shared" si="35"/>
        <v>TWREQKEQRAALMVGILIGVFVLCWIPFFLTELISPLC</v>
      </c>
      <c r="P78" s="4" t="str">
        <f t="shared" si="36"/>
        <v>PAIWKSIFLWLGYSNSFFNPLIYTAF</v>
      </c>
      <c r="Q78" s="4" t="str">
        <f t="shared" si="37"/>
        <v>NKNYNSAFKNFF</v>
      </c>
      <c r="R78" s="5">
        <f>VLOOKUP($A78,'SegEnds_NonXtal_Prot#'!$A:$AL,3,FALSE)</f>
        <v>36</v>
      </c>
      <c r="S78" s="5">
        <f>VLOOKUP($A78,'SegEnds_NonXtal_Prot#'!$A:$AL,6,FALSE)</f>
        <v>69</v>
      </c>
      <c r="T78" s="5">
        <f>VLOOKUP($A78,'SegEnds_NonXtal_Prot#'!$A:$AL,9,FALSE)</f>
        <v>73</v>
      </c>
      <c r="U78" s="5">
        <f>VLOOKUP($A78,'SegEnds_NonXtal_Prot#'!$A:$AL,12,FALSE)</f>
        <v>106</v>
      </c>
      <c r="V78" s="5">
        <f>VLOOKUP($A78,'SegEnds_NonXtal_Prot#'!$A:$AL,15,FALSE)</f>
        <v>110</v>
      </c>
      <c r="W78" s="5">
        <f>VLOOKUP($A78,'SegEnds_NonXtal_Prot#'!$A:$AL,18,FALSE)</f>
        <v>146</v>
      </c>
      <c r="X78" s="5">
        <f>VLOOKUP($A78,'SegEnds_NonXtal_Prot#'!$A:$AL,21,FALSE)</f>
        <v>154</v>
      </c>
      <c r="Y78" s="5">
        <f>VLOOKUP($A78,'SegEnds_NonXtal_Prot#'!$A:$AL,24,FALSE)</f>
        <v>192</v>
      </c>
      <c r="Z78" s="5">
        <f>VLOOKUP($A78,'SegEnds_NonXtal_Prot#'!$A:$AL,27,FALSE)</f>
        <v>197</v>
      </c>
      <c r="AA78" s="5">
        <f>VLOOKUP($A78,'SegEnds_NonXtal_Prot#'!$A:$AL,30,FALSE)</f>
        <v>274</v>
      </c>
      <c r="AB78" s="5">
        <f>VLOOKUP($A78,'SegEnds_NonXtal_Prot#'!$A:$AL,33,FALSE)</f>
        <v>316</v>
      </c>
      <c r="AC78" s="5">
        <f>VLOOKUP($A78,'SegEnds_NonXtal_Prot#'!$A:$AL,36,FALSE)</f>
        <v>342</v>
      </c>
      <c r="AD78" s="5">
        <f>VLOOKUP($A78,'SegEnds_NonXtal_Prot#'!$A:$AL,5,FALSE)</f>
        <v>68</v>
      </c>
      <c r="AE78" s="5">
        <f>VLOOKUP($A78,'SegEnds_NonXtal_Prot#'!$A:$AL,8,FALSE)</f>
        <v>72</v>
      </c>
      <c r="AF78" s="5">
        <f>VLOOKUP($A78,'SegEnds_NonXtal_Prot#'!$A:$AL,11,FALSE)</f>
        <v>104</v>
      </c>
      <c r="AG78" s="5">
        <f>VLOOKUP($A78,'SegEnds_NonXtal_Prot#'!$A:$AL,14,FALSE)</f>
        <v>109</v>
      </c>
      <c r="AH78" s="5">
        <f>VLOOKUP($A78,'SegEnds_NonXtal_Prot#'!$A:$AL,17,FALSE)</f>
        <v>145</v>
      </c>
      <c r="AI78" s="5">
        <f>VLOOKUP($A78,'SegEnds_NonXtal_Prot#'!$A:$AL,20,FALSE)</f>
        <v>153</v>
      </c>
      <c r="AJ78" s="5">
        <f>VLOOKUP($A78,'SegEnds_NonXtal_Prot#'!$A:$AL,23,FALSE)</f>
        <v>179</v>
      </c>
      <c r="AK78" s="5">
        <f>VLOOKUP($A78,'SegEnds_NonXtal_Prot#'!$A:$AL,26,FALSE)</f>
        <v>194</v>
      </c>
      <c r="AL78" s="5">
        <f>VLOOKUP($A78,'SegEnds_NonXtal_Prot#'!$A:$AL,29,FALSE)</f>
        <v>238</v>
      </c>
      <c r="AM78" s="5">
        <f>VLOOKUP($A78,'SegEnds_NonXtal_Prot#'!$A:$AL,32,FALSE)</f>
        <v>311</v>
      </c>
      <c r="AN78" s="5">
        <f>VLOOKUP($A78,'SegEnds_NonXtal_Prot#'!$A:$AL,35,FALSE)</f>
        <v>341</v>
      </c>
      <c r="AO78" s="5">
        <f>VLOOKUP($A78,'SegEnds_NonXtal_Prot#'!$A:$AL,38,FALSE)</f>
        <v>353</v>
      </c>
      <c r="AP78" s="5">
        <f t="shared" si="38"/>
        <v>32</v>
      </c>
      <c r="AQ78" s="4">
        <f t="shared" si="39"/>
        <v>3</v>
      </c>
      <c r="AR78" s="4">
        <f t="shared" si="40"/>
        <v>31</v>
      </c>
      <c r="AS78" s="4">
        <f t="shared" si="41"/>
        <v>3</v>
      </c>
      <c r="AT78" s="4">
        <f t="shared" si="42"/>
        <v>35</v>
      </c>
      <c r="AU78" s="4">
        <f t="shared" si="43"/>
        <v>7</v>
      </c>
      <c r="AV78" s="4">
        <f t="shared" si="44"/>
        <v>25</v>
      </c>
      <c r="AW78" s="4">
        <f t="shared" si="45"/>
        <v>2</v>
      </c>
      <c r="AX78" s="4">
        <f t="shared" si="46"/>
        <v>41</v>
      </c>
      <c r="AY78" s="4">
        <f t="shared" si="47"/>
        <v>37</v>
      </c>
      <c r="AZ78" s="4">
        <f t="shared" si="48"/>
        <v>25</v>
      </c>
      <c r="BA78" s="4">
        <f t="shared" si="49"/>
        <v>11</v>
      </c>
    </row>
    <row r="79" spans="1:53" x14ac:dyDescent="0.2">
      <c r="A79" s="1" t="str">
        <f>'SegEnds_NonXtal_Prot#'!A50</f>
        <v>aa1r_human</v>
      </c>
      <c r="B79" s="1" t="str">
        <f t="shared" si="25"/>
        <v>SAFQAAYIGIEVLIALVSVPGNVLVIWAVKVNDATFCFIVSLAVADVAVGALVIPLAILINIGYFHTCLMVACPVLILTQSSILALLAIAVDRYLRVKITPRRAAVAIAGCWILSFVVGLTPMFGSMEYMVYFNFFVWVLPPLLLMVLIYLEVFYLIRKQLNKKVDPQKYYGKELKIAKSLALILFLFALSWLPLHILNCITLFCPSILTYIAIFLTHGNSAMNPIVYAFRIQKFRVTFLKIWNDHFRCQPAPP</v>
      </c>
      <c r="C79" s="29" t="str">
        <f>IF(ISERROR(MATCH(A79,'SegEnds_Xtal_Prot#'!B:B, 0)), "NoXtal", "Xtal")</f>
        <v>Xtal</v>
      </c>
      <c r="D79" s="4" t="str">
        <f>VLOOKUP(A79,Classification!A:D,2,FALSE)</f>
        <v>A</v>
      </c>
      <c r="E79" s="5" t="str">
        <f>VLOOKUP(A79,Seqs!A:B,2,FALSE)</f>
        <v>MPPSISAFQAAYIGIEVLIALVSVPGNVLVIWAVKVNQALRDATFCFIVSLAVADVAVGALVIPLAILINIGPQTYFHTCLMVACPVLILTQSSILALLAIAVDRYLRVKIPLRYKMVVTPRRAAVAIAGCWILSFVVGLTPMFGWNNLSAVERAWAANGSMGEPVIKCEFEKVISMEYMVYFNFFVWVLPPLLLMVLIYLEVFYLIRKQLNKKVSASSGDPQKYYGKELKIAKSLALILFLFALSWLPLHILNCITLFCPSCHKPSILTYIAIFLTHGNSAMNPIVYAFRIQKFRVTFLKIWNDHFRCQPAPPIDEDLPEERPDD</v>
      </c>
      <c r="F79" s="5" t="str">
        <f t="shared" si="26"/>
        <v>SAFQAAYIGIEVLIALVSVPGNVLVIWAVKVN</v>
      </c>
      <c r="G79" s="4" t="str">
        <f t="shared" si="27"/>
        <v>QALR</v>
      </c>
      <c r="H79" s="4" t="str">
        <f t="shared" si="28"/>
        <v>DATFCFIVSLAVADVAVGALVIPLAILINIG</v>
      </c>
      <c r="I79" s="4" t="str">
        <f t="shared" si="29"/>
        <v>PQT</v>
      </c>
      <c r="J79" s="4" t="str">
        <f t="shared" si="30"/>
        <v>YFHTCLMVACPVLILTQSSILALLAIAVDRYLRVKI</v>
      </c>
      <c r="K79" s="4" t="str">
        <f t="shared" si="31"/>
        <v>PLRYKMVV</v>
      </c>
      <c r="L79" s="4" t="str">
        <f t="shared" si="32"/>
        <v>TPRRAAVAIAGCWILSFVVGLTPMFG</v>
      </c>
      <c r="M79" s="4" t="str">
        <f t="shared" si="33"/>
        <v>CEF</v>
      </c>
      <c r="N79" s="4" t="str">
        <f t="shared" si="34"/>
        <v>SMEYMVYFNFFVWVLPPLLLMVLIYLEVFYLIRKQLNKKV</v>
      </c>
      <c r="O79" s="4" t="str">
        <f t="shared" si="35"/>
        <v>DPQKYYGKELKIAKSLALILFLFALSWLPLHILNCITLFC</v>
      </c>
      <c r="P79" s="4" t="str">
        <f t="shared" si="36"/>
        <v>PSILTYIAIFLTHGNSAMNPIVYAFR</v>
      </c>
      <c r="Q79" s="4" t="str">
        <f t="shared" si="37"/>
        <v>IQKFRVTFLKIWNDHFRCQPAPP</v>
      </c>
      <c r="R79" s="5">
        <f>VLOOKUP($A79,'SegEnds_NonXtal_Prot#'!$A:$AL,3,FALSE)</f>
        <v>6</v>
      </c>
      <c r="S79" s="5">
        <f>VLOOKUP($A79,'SegEnds_NonXtal_Prot#'!$A:$AL,6,FALSE)</f>
        <v>38</v>
      </c>
      <c r="T79" s="5">
        <f>VLOOKUP($A79,'SegEnds_NonXtal_Prot#'!$A:$AL,9,FALSE)</f>
        <v>42</v>
      </c>
      <c r="U79" s="5">
        <f>VLOOKUP($A79,'SegEnds_NonXtal_Prot#'!$A:$AL,12,FALSE)</f>
        <v>73</v>
      </c>
      <c r="V79" s="5">
        <f>VLOOKUP($A79,'SegEnds_NonXtal_Prot#'!$A:$AL,15,FALSE)</f>
        <v>76</v>
      </c>
      <c r="W79" s="5">
        <f>VLOOKUP($A79,'SegEnds_NonXtal_Prot#'!$A:$AL,18,FALSE)</f>
        <v>112</v>
      </c>
      <c r="X79" s="5">
        <f>VLOOKUP($A79,'SegEnds_NonXtal_Prot#'!$A:$AL,21,FALSE)</f>
        <v>120</v>
      </c>
      <c r="Y79" s="5">
        <f>VLOOKUP($A79,'SegEnds_NonXtal_Prot#'!$A:$AL,24,FALSE)</f>
        <v>169</v>
      </c>
      <c r="Z79" s="5">
        <f>VLOOKUP($A79,'SegEnds_NonXtal_Prot#'!$A:$AL,27,FALSE)</f>
        <v>176</v>
      </c>
      <c r="AA79" s="5">
        <f>VLOOKUP($A79,'SegEnds_NonXtal_Prot#'!$A:$AL,30,FALSE)</f>
        <v>221</v>
      </c>
      <c r="AB79" s="5">
        <f>VLOOKUP($A79,'SegEnds_NonXtal_Prot#'!$A:$AL,33,FALSE)</f>
        <v>266</v>
      </c>
      <c r="AC79" s="5">
        <f>VLOOKUP($A79,'SegEnds_NonXtal_Prot#'!$A:$AL,36,FALSE)</f>
        <v>292</v>
      </c>
      <c r="AD79" s="5">
        <f>VLOOKUP($A79,'SegEnds_NonXtal_Prot#'!$A:$AL,5,FALSE)</f>
        <v>37</v>
      </c>
      <c r="AE79" s="5">
        <f>VLOOKUP($A79,'SegEnds_NonXtal_Prot#'!$A:$AL,8,FALSE)</f>
        <v>41</v>
      </c>
      <c r="AF79" s="5">
        <f>VLOOKUP($A79,'SegEnds_NonXtal_Prot#'!$A:$AL,11,FALSE)</f>
        <v>72</v>
      </c>
      <c r="AG79" s="5">
        <f>VLOOKUP($A79,'SegEnds_NonXtal_Prot#'!$A:$AL,14,FALSE)</f>
        <v>75</v>
      </c>
      <c r="AH79" s="5">
        <f>VLOOKUP($A79,'SegEnds_NonXtal_Prot#'!$A:$AL,17,FALSE)</f>
        <v>111</v>
      </c>
      <c r="AI79" s="5">
        <f>VLOOKUP($A79,'SegEnds_NonXtal_Prot#'!$A:$AL,20,FALSE)</f>
        <v>119</v>
      </c>
      <c r="AJ79" s="5">
        <f>VLOOKUP($A79,'SegEnds_NonXtal_Prot#'!$A:$AL,23,FALSE)</f>
        <v>145</v>
      </c>
      <c r="AK79" s="5">
        <f>VLOOKUP($A79,'SegEnds_NonXtal_Prot#'!$A:$AL,26,FALSE)</f>
        <v>171</v>
      </c>
      <c r="AL79" s="5">
        <f>VLOOKUP($A79,'SegEnds_NonXtal_Prot#'!$A:$AL,29,FALSE)</f>
        <v>215</v>
      </c>
      <c r="AM79" s="5">
        <f>VLOOKUP($A79,'SegEnds_NonXtal_Prot#'!$A:$AL,32,FALSE)</f>
        <v>260</v>
      </c>
      <c r="AN79" s="5">
        <f>VLOOKUP($A79,'SegEnds_NonXtal_Prot#'!$A:$AL,35,FALSE)</f>
        <v>291</v>
      </c>
      <c r="AO79" s="5">
        <f>VLOOKUP($A79,'SegEnds_NonXtal_Prot#'!$A:$AL,38,FALSE)</f>
        <v>314</v>
      </c>
      <c r="AP79" s="5">
        <f t="shared" si="38"/>
        <v>31</v>
      </c>
      <c r="AQ79" s="4">
        <f t="shared" si="39"/>
        <v>3</v>
      </c>
      <c r="AR79" s="4">
        <f t="shared" si="40"/>
        <v>30</v>
      </c>
      <c r="AS79" s="4">
        <f t="shared" si="41"/>
        <v>2</v>
      </c>
      <c r="AT79" s="4">
        <f t="shared" si="42"/>
        <v>35</v>
      </c>
      <c r="AU79" s="4">
        <f t="shared" si="43"/>
        <v>7</v>
      </c>
      <c r="AV79" s="4">
        <f t="shared" si="44"/>
        <v>25</v>
      </c>
      <c r="AW79" s="4">
        <f t="shared" si="45"/>
        <v>2</v>
      </c>
      <c r="AX79" s="4">
        <f t="shared" si="46"/>
        <v>39</v>
      </c>
      <c r="AY79" s="4">
        <f t="shared" si="47"/>
        <v>39</v>
      </c>
      <c r="AZ79" s="4">
        <f t="shared" si="48"/>
        <v>25</v>
      </c>
      <c r="BA79" s="4">
        <f t="shared" si="49"/>
        <v>22</v>
      </c>
    </row>
    <row r="80" spans="1:53" x14ac:dyDescent="0.2">
      <c r="A80" s="1" t="str">
        <f>'SegEnds_NonXtal_Prot#'!A51</f>
        <v>aa2ar_human</v>
      </c>
      <c r="B80" s="1" t="str">
        <f t="shared" si="25"/>
        <v>MPIMGSSVYITVELAIAVLAILGNVLVCWAVWLNNVTNYFVVSLAAADIAVGVLAIPFAITISTGACHGCLFIACFVLVLTQSSIFSLLAIAIDRYIAIRITGTRAKGIIAICWVLSFAIGLTPMLGPMNYMVYFNFFACVLVPLLLMLGVYLRIFLAARRQLKQMESERARSTLQKEVHAAKSLAIIVGLFALCWLPLHIINCFTFFCPLWLMYLAIVLSHTNSVVNPFIYAYRIREFRQTFRKIIRSHVLRQQEPF</v>
      </c>
      <c r="C80" s="29" t="str">
        <f>IF(ISERROR(MATCH(A80,'SegEnds_Xtal_Prot#'!B:B, 0)), "NoXtal", "Xtal")</f>
        <v>Xtal</v>
      </c>
      <c r="D80" s="4" t="str">
        <f>VLOOKUP(A80,Classification!A:D,2,FALSE)</f>
        <v>A</v>
      </c>
      <c r="E80" s="5" t="str">
        <f>VLOOKUP(A80,Seqs!A:B,2,FALSE)</f>
        <v>MPIMGSSVYITVELAIAVLAILGNVLVCWAVWLNSNLQNVTNYFVVSLAAADIAVGVLAIPFAITISTGFCAACHGCLFIACFVLVLTQSSIFSLLAIAIDRYIAIRIPLRYNGLVTGTRAKGIIAICWVLSFAIGLTPMLGWNNCGQPKEGKNHSQGCGEGQVACLFEDVVPMNYMVYFNFFACVLVPLLLMLGVYLRIFLAARRQLKQMESQPLPGERARSTLQKEVHAAKSLAIIVGLFALCWLPLHIINCFTFFCPDCSHAPLWLMYLAIVLSHTNSVVNPFIYAYRIREFRQTFRKIIRSHVLRQQEPFKAAGTSARVLAAHGSDGEQVSLRLNGHPPGVWANGSAPHPERRPNGYALGLVSGGSAQESQGNTGLPDVELLSHELKGVCPEPPGLDDPLAQDGAGVS</v>
      </c>
      <c r="F80" s="5" t="str">
        <f t="shared" si="26"/>
        <v>MPIMGSSVYITVELAIAVLAILGNVLVCWAVWLN</v>
      </c>
      <c r="G80" s="4" t="str">
        <f t="shared" si="27"/>
        <v>SNLQ</v>
      </c>
      <c r="H80" s="4" t="str">
        <f t="shared" si="28"/>
        <v>NVTNYFVVSLAAADIAVGVLAIPFAITISTG</v>
      </c>
      <c r="I80" s="4" t="str">
        <f t="shared" si="29"/>
        <v>FCA</v>
      </c>
      <c r="J80" s="4" t="str">
        <f t="shared" si="30"/>
        <v>ACHGCLFIACFVLVLTQSSIFSLLAIAIDRYIAIRI</v>
      </c>
      <c r="K80" s="4" t="str">
        <f t="shared" si="31"/>
        <v>PLRYNGLV</v>
      </c>
      <c r="L80" s="4" t="str">
        <f t="shared" si="32"/>
        <v>TGTRAKGIIAICWVLSFAIGLTPMLG</v>
      </c>
      <c r="M80" s="4" t="str">
        <f t="shared" si="33"/>
        <v>CLF</v>
      </c>
      <c r="N80" s="4" t="str">
        <f t="shared" si="34"/>
        <v>PMNYMVYFNFFACVLVPLLLMLGVYLRIFLAARRQLKQMES</v>
      </c>
      <c r="O80" s="4" t="str">
        <f t="shared" si="35"/>
        <v>ERARSTLQKEVHAAKSLAIIVGLFALCWLPLHIINCFTFFC</v>
      </c>
      <c r="P80" s="4" t="str">
        <f t="shared" si="36"/>
        <v>PLWLMYLAIVLSHTNSVVNPFIYAYR</v>
      </c>
      <c r="Q80" s="4" t="str">
        <f t="shared" si="37"/>
        <v>IREFRQTFRKIIRSHVLRQQEPF</v>
      </c>
      <c r="R80" s="5">
        <f>VLOOKUP($A80,'SegEnds_NonXtal_Prot#'!$A:$AL,3,FALSE)</f>
        <v>1</v>
      </c>
      <c r="S80" s="5">
        <f>VLOOKUP($A80,'SegEnds_NonXtal_Prot#'!$A:$AL,6,FALSE)</f>
        <v>35</v>
      </c>
      <c r="T80" s="5">
        <f>VLOOKUP($A80,'SegEnds_NonXtal_Prot#'!$A:$AL,9,FALSE)</f>
        <v>39</v>
      </c>
      <c r="U80" s="5">
        <f>VLOOKUP($A80,'SegEnds_NonXtal_Prot#'!$A:$AL,12,FALSE)</f>
        <v>70</v>
      </c>
      <c r="V80" s="5">
        <f>VLOOKUP($A80,'SegEnds_NonXtal_Prot#'!$A:$AL,15,FALSE)</f>
        <v>73</v>
      </c>
      <c r="W80" s="5">
        <f>VLOOKUP($A80,'SegEnds_NonXtal_Prot#'!$A:$AL,18,FALSE)</f>
        <v>109</v>
      </c>
      <c r="X80" s="5">
        <f>VLOOKUP($A80,'SegEnds_NonXtal_Prot#'!$A:$AL,21,FALSE)</f>
        <v>117</v>
      </c>
      <c r="Y80" s="5">
        <f>VLOOKUP($A80,'SegEnds_NonXtal_Prot#'!$A:$AL,24,FALSE)</f>
        <v>166</v>
      </c>
      <c r="Z80" s="5">
        <f>VLOOKUP($A80,'SegEnds_NonXtal_Prot#'!$A:$AL,27,FALSE)</f>
        <v>173</v>
      </c>
      <c r="AA80" s="5">
        <f>VLOOKUP($A80,'SegEnds_NonXtal_Prot#'!$A:$AL,30,FALSE)</f>
        <v>219</v>
      </c>
      <c r="AB80" s="5">
        <f>VLOOKUP($A80,'SegEnds_NonXtal_Prot#'!$A:$AL,33,FALSE)</f>
        <v>266</v>
      </c>
      <c r="AC80" s="5">
        <f>VLOOKUP($A80,'SegEnds_NonXtal_Prot#'!$A:$AL,36,FALSE)</f>
        <v>292</v>
      </c>
      <c r="AD80" s="5">
        <f>VLOOKUP($A80,'SegEnds_NonXtal_Prot#'!$A:$AL,5,FALSE)</f>
        <v>34</v>
      </c>
      <c r="AE80" s="5">
        <f>VLOOKUP($A80,'SegEnds_NonXtal_Prot#'!$A:$AL,8,FALSE)</f>
        <v>38</v>
      </c>
      <c r="AF80" s="5">
        <f>VLOOKUP($A80,'SegEnds_NonXtal_Prot#'!$A:$AL,11,FALSE)</f>
        <v>69</v>
      </c>
      <c r="AG80" s="5">
        <f>VLOOKUP($A80,'SegEnds_NonXtal_Prot#'!$A:$AL,14,FALSE)</f>
        <v>72</v>
      </c>
      <c r="AH80" s="5">
        <f>VLOOKUP($A80,'SegEnds_NonXtal_Prot#'!$A:$AL,17,FALSE)</f>
        <v>108</v>
      </c>
      <c r="AI80" s="5">
        <f>VLOOKUP($A80,'SegEnds_NonXtal_Prot#'!$A:$AL,20,FALSE)</f>
        <v>116</v>
      </c>
      <c r="AJ80" s="5">
        <f>VLOOKUP($A80,'SegEnds_NonXtal_Prot#'!$A:$AL,23,FALSE)</f>
        <v>142</v>
      </c>
      <c r="AK80" s="5">
        <f>VLOOKUP($A80,'SegEnds_NonXtal_Prot#'!$A:$AL,26,FALSE)</f>
        <v>168</v>
      </c>
      <c r="AL80" s="5">
        <f>VLOOKUP($A80,'SegEnds_NonXtal_Prot#'!$A:$AL,29,FALSE)</f>
        <v>213</v>
      </c>
      <c r="AM80" s="5">
        <f>VLOOKUP($A80,'SegEnds_NonXtal_Prot#'!$A:$AL,32,FALSE)</f>
        <v>259</v>
      </c>
      <c r="AN80" s="5">
        <f>VLOOKUP($A80,'SegEnds_NonXtal_Prot#'!$A:$AL,35,FALSE)</f>
        <v>291</v>
      </c>
      <c r="AO80" s="5">
        <f>VLOOKUP($A80,'SegEnds_NonXtal_Prot#'!$A:$AL,38,FALSE)</f>
        <v>314</v>
      </c>
      <c r="AP80" s="5">
        <f t="shared" si="38"/>
        <v>33</v>
      </c>
      <c r="AQ80" s="4">
        <f t="shared" si="39"/>
        <v>3</v>
      </c>
      <c r="AR80" s="4">
        <f t="shared" si="40"/>
        <v>30</v>
      </c>
      <c r="AS80" s="4">
        <f t="shared" si="41"/>
        <v>2</v>
      </c>
      <c r="AT80" s="4">
        <f t="shared" si="42"/>
        <v>35</v>
      </c>
      <c r="AU80" s="4">
        <f t="shared" si="43"/>
        <v>7</v>
      </c>
      <c r="AV80" s="4">
        <f t="shared" si="44"/>
        <v>25</v>
      </c>
      <c r="AW80" s="4">
        <f t="shared" si="45"/>
        <v>2</v>
      </c>
      <c r="AX80" s="4">
        <f t="shared" si="46"/>
        <v>40</v>
      </c>
      <c r="AY80" s="4">
        <f t="shared" si="47"/>
        <v>40</v>
      </c>
      <c r="AZ80" s="4">
        <f t="shared" si="48"/>
        <v>25</v>
      </c>
      <c r="BA80" s="4">
        <f t="shared" si="49"/>
        <v>22</v>
      </c>
    </row>
    <row r="81" spans="1:53" x14ac:dyDescent="0.2">
      <c r="A81" s="1" t="str">
        <f>'SegEnds_NonXtal_Prot#'!A52</f>
        <v>aa2br_human</v>
      </c>
      <c r="B81" s="1" t="str">
        <f t="shared" si="25"/>
        <v>LLETQDALYVALELVIAALSVAGNVLVCAAVGTATPTNYFLVSLAAADVAVGLFAIPFAITISLGDFYGCLFLACFVLVLTQSSIFSLLAVAVDRYLAICVTGTRARGVIAVLWVLAFGIGLTPFLGPMSYMVYFNFFGCVLPPLLIMLVIYIKIFLVACRQLQRTEHSRTTLQREIHAAKSLAMIVGIFALCWLPVHAVNCVTLFQPKWAMNMAILLSHANSVVNPIVYAYRNRDFRYTFHKIISRYLLCQADVK</v>
      </c>
      <c r="C81" s="29" t="str">
        <f>IF(ISERROR(MATCH(A81,'SegEnds_Xtal_Prot#'!B:B, 0)), "NoXtal", "Xtal")</f>
        <v>NoXtal</v>
      </c>
      <c r="D81" s="4" t="str">
        <f>VLOOKUP(A81,Classification!A:D,2,FALSE)</f>
        <v>A</v>
      </c>
      <c r="E81" s="5" t="str">
        <f>VLOOKUP(A81,Seqs!A:B,2,FALSE)</f>
        <v>MLLETQDALYVALELVIAALSVAGNVLVCAAVGTANTLQTPTNYFLVSLAAADVAVGLFAIPFAITISLGFCTDFYGCLFLACFVLVLTQSSIFSLLAVAVDRYLAICVPLRYKSLVTGTRARGVIAVLWVLAFGIGLTPFLGWNSKDSATNNCTEPWDGTTNESCCLVKCLFENVVPMSYMVYFNFFGCVLPPLLIMLVIYIKIFLVACRQLQRTELMDHSRTTLQREIHAAKSLAMIVGIFALCWLPVHAVNCVTLFQPAQGKNKPKWAMNMAILLSHANSVVNPIVYAYRNRDFRYTFHKIISRYLLCQADVKSGNGQAGVQPALGVGL</v>
      </c>
      <c r="F81" s="5" t="str">
        <f t="shared" si="26"/>
        <v>LLETQDALYVALELVIAALSVAGNVLVCAAVGTA</v>
      </c>
      <c r="G81" s="4" t="str">
        <f t="shared" si="27"/>
        <v>NTLQ</v>
      </c>
      <c r="H81" s="4" t="str">
        <f t="shared" si="28"/>
        <v>TPTNYFLVSLAAADVAVGLFAIPFAITISLG</v>
      </c>
      <c r="I81" s="4" t="str">
        <f t="shared" si="29"/>
        <v>FCT</v>
      </c>
      <c r="J81" s="4" t="str">
        <f t="shared" si="30"/>
        <v>DFYGCLFLACFVLVLTQSSIFSLLAVAVDRYLAICV</v>
      </c>
      <c r="K81" s="4" t="str">
        <f t="shared" si="31"/>
        <v>PLRYKSLV</v>
      </c>
      <c r="L81" s="4" t="str">
        <f t="shared" si="32"/>
        <v>TGTRARGVIAVLWVLAFGIGLTPFLG</v>
      </c>
      <c r="M81" s="4" t="str">
        <f t="shared" si="33"/>
        <v>CLF</v>
      </c>
      <c r="N81" s="4" t="str">
        <f t="shared" si="34"/>
        <v>PMSYMVYFNFFGCVLPPLLIMLVIYIKIFLVACRQLQRTE</v>
      </c>
      <c r="O81" s="4" t="str">
        <f t="shared" si="35"/>
        <v>HSRTTLQREIHAAKSLAMIVGIFALCWLPVHAVNCVTLFQ</v>
      </c>
      <c r="P81" s="4" t="str">
        <f t="shared" si="36"/>
        <v>PKWAMNMAILLSHANSVVNPIVYAYR</v>
      </c>
      <c r="Q81" s="4" t="str">
        <f t="shared" si="37"/>
        <v>NRDFRYTFHKIISRYLLCQADVK</v>
      </c>
      <c r="R81" s="5">
        <f>VLOOKUP($A81,'SegEnds_NonXtal_Prot#'!$A:$AL,3,FALSE)</f>
        <v>2</v>
      </c>
      <c r="S81" s="5">
        <f>VLOOKUP($A81,'SegEnds_NonXtal_Prot#'!$A:$AL,6,FALSE)</f>
        <v>36</v>
      </c>
      <c r="T81" s="5">
        <f>VLOOKUP($A81,'SegEnds_NonXtal_Prot#'!$A:$AL,9,FALSE)</f>
        <v>40</v>
      </c>
      <c r="U81" s="5">
        <f>VLOOKUP($A81,'SegEnds_NonXtal_Prot#'!$A:$AL,12,FALSE)</f>
        <v>71</v>
      </c>
      <c r="V81" s="5">
        <f>VLOOKUP($A81,'SegEnds_NonXtal_Prot#'!$A:$AL,15,FALSE)</f>
        <v>74</v>
      </c>
      <c r="W81" s="5">
        <f>VLOOKUP($A81,'SegEnds_NonXtal_Prot#'!$A:$AL,18,FALSE)</f>
        <v>110</v>
      </c>
      <c r="X81" s="5">
        <f>VLOOKUP($A81,'SegEnds_NonXtal_Prot#'!$A:$AL,21,FALSE)</f>
        <v>118</v>
      </c>
      <c r="Y81" s="5">
        <f>VLOOKUP($A81,'SegEnds_NonXtal_Prot#'!$A:$AL,24,FALSE)</f>
        <v>171</v>
      </c>
      <c r="Z81" s="5">
        <f>VLOOKUP($A81,'SegEnds_NonXtal_Prot#'!$A:$AL,27,FALSE)</f>
        <v>178</v>
      </c>
      <c r="AA81" s="5">
        <f>VLOOKUP($A81,'SegEnds_NonXtal_Prot#'!$A:$AL,30,FALSE)</f>
        <v>221</v>
      </c>
      <c r="AB81" s="5">
        <f>VLOOKUP($A81,'SegEnds_NonXtal_Prot#'!$A:$AL,33,FALSE)</f>
        <v>268</v>
      </c>
      <c r="AC81" s="5">
        <f>VLOOKUP($A81,'SegEnds_NonXtal_Prot#'!$A:$AL,36,FALSE)</f>
        <v>294</v>
      </c>
      <c r="AD81" s="5">
        <f>VLOOKUP($A81,'SegEnds_NonXtal_Prot#'!$A:$AL,5,FALSE)</f>
        <v>35</v>
      </c>
      <c r="AE81" s="5">
        <f>VLOOKUP($A81,'SegEnds_NonXtal_Prot#'!$A:$AL,8,FALSE)</f>
        <v>39</v>
      </c>
      <c r="AF81" s="5">
        <f>VLOOKUP($A81,'SegEnds_NonXtal_Prot#'!$A:$AL,11,FALSE)</f>
        <v>70</v>
      </c>
      <c r="AG81" s="5">
        <f>VLOOKUP($A81,'SegEnds_NonXtal_Prot#'!$A:$AL,14,FALSE)</f>
        <v>73</v>
      </c>
      <c r="AH81" s="5">
        <f>VLOOKUP($A81,'SegEnds_NonXtal_Prot#'!$A:$AL,17,FALSE)</f>
        <v>109</v>
      </c>
      <c r="AI81" s="5">
        <f>VLOOKUP($A81,'SegEnds_NonXtal_Prot#'!$A:$AL,20,FALSE)</f>
        <v>117</v>
      </c>
      <c r="AJ81" s="5">
        <f>VLOOKUP($A81,'SegEnds_NonXtal_Prot#'!$A:$AL,23,FALSE)</f>
        <v>143</v>
      </c>
      <c r="AK81" s="5">
        <f>VLOOKUP($A81,'SegEnds_NonXtal_Prot#'!$A:$AL,26,FALSE)</f>
        <v>173</v>
      </c>
      <c r="AL81" s="5">
        <f>VLOOKUP($A81,'SegEnds_NonXtal_Prot#'!$A:$AL,29,FALSE)</f>
        <v>217</v>
      </c>
      <c r="AM81" s="5">
        <f>VLOOKUP($A81,'SegEnds_NonXtal_Prot#'!$A:$AL,32,FALSE)</f>
        <v>260</v>
      </c>
      <c r="AN81" s="5">
        <f>VLOOKUP($A81,'SegEnds_NonXtal_Prot#'!$A:$AL,35,FALSE)</f>
        <v>293</v>
      </c>
      <c r="AO81" s="5">
        <f>VLOOKUP($A81,'SegEnds_NonXtal_Prot#'!$A:$AL,38,FALSE)</f>
        <v>316</v>
      </c>
      <c r="AP81" s="5">
        <f t="shared" si="38"/>
        <v>33</v>
      </c>
      <c r="AQ81" s="4">
        <f t="shared" si="39"/>
        <v>3</v>
      </c>
      <c r="AR81" s="4">
        <f t="shared" si="40"/>
        <v>30</v>
      </c>
      <c r="AS81" s="4">
        <f t="shared" si="41"/>
        <v>2</v>
      </c>
      <c r="AT81" s="4">
        <f t="shared" si="42"/>
        <v>35</v>
      </c>
      <c r="AU81" s="4">
        <f t="shared" si="43"/>
        <v>7</v>
      </c>
      <c r="AV81" s="4">
        <f t="shared" si="44"/>
        <v>25</v>
      </c>
      <c r="AW81" s="4">
        <f t="shared" si="45"/>
        <v>2</v>
      </c>
      <c r="AX81" s="4">
        <f t="shared" si="46"/>
        <v>39</v>
      </c>
      <c r="AY81" s="4">
        <f t="shared" si="47"/>
        <v>39</v>
      </c>
      <c r="AZ81" s="4">
        <f t="shared" si="48"/>
        <v>25</v>
      </c>
      <c r="BA81" s="4">
        <f t="shared" si="49"/>
        <v>22</v>
      </c>
    </row>
    <row r="82" spans="1:53" x14ac:dyDescent="0.2">
      <c r="A82" s="1" t="str">
        <f>'SegEnds_NonXtal_Prot#'!A53</f>
        <v>aa3r_human</v>
      </c>
      <c r="B82" s="1" t="str">
        <f t="shared" si="25"/>
        <v>SLANVTYITMEIFIGLCAIVGNVLVICVVKLNTTTFYFIVSLALADIAVGVLVMPLAIVVSLGHFYSCLFMTCLLLIFTHASIMSLLAIAVDRYLRVKLTHRRIWLALGLCWLVSFLVGLTPMFGRMDYMVYFSFLTWIFIPLVVMCAIYLDIFYIIRNKLSLNLETGAFYGREFKTAKSLFLVLFLFALSWLPLSIINCIIYFNQLVLYMGILLSHANSMMNPIVYAYKIKKFKETYLLILKACVVCHPSDS</v>
      </c>
      <c r="C82" s="29" t="str">
        <f>IF(ISERROR(MATCH(A82,'SegEnds_Xtal_Prot#'!B:B, 0)), "NoXtal", "Xtal")</f>
        <v>NoXtal</v>
      </c>
      <c r="D82" s="4" t="str">
        <f>VLOOKUP(A82,Classification!A:D,2,FALSE)</f>
        <v>A</v>
      </c>
      <c r="E82" s="5" t="str">
        <f>VLOOKUP(A82,Seqs!A:B,2,FALSE)</f>
        <v>MPNNSTALSLANVTYITMEIFIGLCAIVGNVLVICVVKLNPSLQTTTFYFIVSLALADIAVGVLVMPLAIVVSLGITIHFYSCLFMTCLLLIFTHASIMSLLAIAVDRYLRVKLTVRYKRVTTHRRIWLALGLCWLVSFLVGLTPMFGWNMKLTSEYHRNVTFLSCQFVSVMRMDYMVYFSFLTWIFIPLVVMCAIYLDIFYIIRNKLSLNLSNSKETGAFYGREFKTAKSLFLVLFLFALSWLPLSIINCIIYFNGEVPQLVLYMGILLSHANSMMNPIVYAYKIKKFKETYLLILKACVVCHPSDSLDTSIEKNSE</v>
      </c>
      <c r="F82" s="5" t="str">
        <f t="shared" si="26"/>
        <v>SLANVTYITMEIFIGLCAIVGNVLVICVVKLN</v>
      </c>
      <c r="G82" s="4" t="str">
        <f t="shared" si="27"/>
        <v>PSLQ</v>
      </c>
      <c r="H82" s="4" t="str">
        <f t="shared" si="28"/>
        <v>TTTFYFIVSLALADIAVGVLVMPLAIVVSLG</v>
      </c>
      <c r="I82" s="4" t="str">
        <f t="shared" si="29"/>
        <v>ITI</v>
      </c>
      <c r="J82" s="4" t="str">
        <f t="shared" si="30"/>
        <v>HFYSCLFMTCLLLIFTHASIMSLLAIAVDRYLRVKL</v>
      </c>
      <c r="K82" s="4" t="str">
        <f t="shared" si="31"/>
        <v>TVRYKRVT</v>
      </c>
      <c r="L82" s="4" t="str">
        <f t="shared" si="32"/>
        <v>THRRIWLALGLCWLVSFLVGLTPMFG</v>
      </c>
      <c r="M82" s="4" t="str">
        <f t="shared" si="33"/>
        <v>CQF</v>
      </c>
      <c r="N82" s="4" t="str">
        <f t="shared" si="34"/>
        <v>RMDYMVYFSFLTWIFIPLVVMCAIYLDIFYIIRNKLSLNL</v>
      </c>
      <c r="O82" s="4" t="str">
        <f t="shared" si="35"/>
        <v>ETGAFYGREFKTAKSLFLVLFLFALSWLPLSIINCIIYFN</v>
      </c>
      <c r="P82" s="4" t="str">
        <f t="shared" si="36"/>
        <v>QLVLYMGILLSHANSMMNPIVYAYK</v>
      </c>
      <c r="Q82" s="4" t="str">
        <f t="shared" si="37"/>
        <v>IKKFKETYLLILKACVVCHPSDS</v>
      </c>
      <c r="R82" s="5">
        <f>VLOOKUP($A82,'SegEnds_NonXtal_Prot#'!$A:$AL,3,FALSE)</f>
        <v>9</v>
      </c>
      <c r="S82" s="5">
        <f>VLOOKUP($A82,'SegEnds_NonXtal_Prot#'!$A:$AL,6,FALSE)</f>
        <v>41</v>
      </c>
      <c r="T82" s="5">
        <f>VLOOKUP($A82,'SegEnds_NonXtal_Prot#'!$A:$AL,9,FALSE)</f>
        <v>45</v>
      </c>
      <c r="U82" s="5">
        <f>VLOOKUP($A82,'SegEnds_NonXtal_Prot#'!$A:$AL,12,FALSE)</f>
        <v>76</v>
      </c>
      <c r="V82" s="5">
        <f>VLOOKUP($A82,'SegEnds_NonXtal_Prot#'!$A:$AL,15,FALSE)</f>
        <v>79</v>
      </c>
      <c r="W82" s="5">
        <f>VLOOKUP($A82,'SegEnds_NonXtal_Prot#'!$A:$AL,18,FALSE)</f>
        <v>115</v>
      </c>
      <c r="X82" s="5">
        <f>VLOOKUP($A82,'SegEnds_NonXtal_Prot#'!$A:$AL,21,FALSE)</f>
        <v>123</v>
      </c>
      <c r="Y82" s="5">
        <f>VLOOKUP($A82,'SegEnds_NonXtal_Prot#'!$A:$AL,24,FALSE)</f>
        <v>166</v>
      </c>
      <c r="Z82" s="5">
        <f>VLOOKUP($A82,'SegEnds_NonXtal_Prot#'!$A:$AL,27,FALSE)</f>
        <v>173</v>
      </c>
      <c r="AA82" s="5">
        <f>VLOOKUP($A82,'SegEnds_NonXtal_Prot#'!$A:$AL,30,FALSE)</f>
        <v>217</v>
      </c>
      <c r="AB82" s="5">
        <f>VLOOKUP($A82,'SegEnds_NonXtal_Prot#'!$A:$AL,33,FALSE)</f>
        <v>261</v>
      </c>
      <c r="AC82" s="5">
        <f>VLOOKUP($A82,'SegEnds_NonXtal_Prot#'!$A:$AL,36,FALSE)</f>
        <v>286</v>
      </c>
      <c r="AD82" s="5">
        <f>VLOOKUP($A82,'SegEnds_NonXtal_Prot#'!$A:$AL,5,FALSE)</f>
        <v>40</v>
      </c>
      <c r="AE82" s="5">
        <f>VLOOKUP($A82,'SegEnds_NonXtal_Prot#'!$A:$AL,8,FALSE)</f>
        <v>44</v>
      </c>
      <c r="AF82" s="5">
        <f>VLOOKUP($A82,'SegEnds_NonXtal_Prot#'!$A:$AL,11,FALSE)</f>
        <v>75</v>
      </c>
      <c r="AG82" s="5">
        <f>VLOOKUP($A82,'SegEnds_NonXtal_Prot#'!$A:$AL,14,FALSE)</f>
        <v>78</v>
      </c>
      <c r="AH82" s="5">
        <f>VLOOKUP($A82,'SegEnds_NonXtal_Prot#'!$A:$AL,17,FALSE)</f>
        <v>114</v>
      </c>
      <c r="AI82" s="5">
        <f>VLOOKUP($A82,'SegEnds_NonXtal_Prot#'!$A:$AL,20,FALSE)</f>
        <v>122</v>
      </c>
      <c r="AJ82" s="5">
        <f>VLOOKUP($A82,'SegEnds_NonXtal_Prot#'!$A:$AL,23,FALSE)</f>
        <v>148</v>
      </c>
      <c r="AK82" s="5">
        <f>VLOOKUP($A82,'SegEnds_NonXtal_Prot#'!$A:$AL,26,FALSE)</f>
        <v>168</v>
      </c>
      <c r="AL82" s="5">
        <f>VLOOKUP($A82,'SegEnds_NonXtal_Prot#'!$A:$AL,29,FALSE)</f>
        <v>212</v>
      </c>
      <c r="AM82" s="5">
        <f>VLOOKUP($A82,'SegEnds_NonXtal_Prot#'!$A:$AL,32,FALSE)</f>
        <v>256</v>
      </c>
      <c r="AN82" s="5">
        <f>VLOOKUP($A82,'SegEnds_NonXtal_Prot#'!$A:$AL,35,FALSE)</f>
        <v>285</v>
      </c>
      <c r="AO82" s="5">
        <f>VLOOKUP($A82,'SegEnds_NonXtal_Prot#'!$A:$AL,38,FALSE)</f>
        <v>308</v>
      </c>
      <c r="AP82" s="5">
        <f t="shared" si="38"/>
        <v>31</v>
      </c>
      <c r="AQ82" s="4">
        <f t="shared" si="39"/>
        <v>3</v>
      </c>
      <c r="AR82" s="4">
        <f t="shared" si="40"/>
        <v>30</v>
      </c>
      <c r="AS82" s="4">
        <f t="shared" si="41"/>
        <v>2</v>
      </c>
      <c r="AT82" s="4">
        <f t="shared" si="42"/>
        <v>35</v>
      </c>
      <c r="AU82" s="4">
        <f t="shared" si="43"/>
        <v>7</v>
      </c>
      <c r="AV82" s="4">
        <f t="shared" si="44"/>
        <v>25</v>
      </c>
      <c r="AW82" s="4">
        <f t="shared" si="45"/>
        <v>2</v>
      </c>
      <c r="AX82" s="4">
        <f t="shared" si="46"/>
        <v>39</v>
      </c>
      <c r="AY82" s="4">
        <f t="shared" si="47"/>
        <v>39</v>
      </c>
      <c r="AZ82" s="4">
        <f t="shared" si="48"/>
        <v>24</v>
      </c>
      <c r="BA82" s="4">
        <f t="shared" si="49"/>
        <v>22</v>
      </c>
    </row>
    <row r="83" spans="1:53" x14ac:dyDescent="0.2">
      <c r="A83" s="1" t="str">
        <f>'SegEnds_NonXtal_Prot#'!A54</f>
        <v>ackr2_human</v>
      </c>
      <c r="B83" s="1" t="str">
        <f t="shared" si="25"/>
        <v>KDAVVSFGKVFLPVFYSLIFVLGLSGNLLLLMVLLRYRMVEIYLLNLAISNLLFLVTLPFWGISVAWGSFLCKMVSTLYTINFYSGIFFISCMSLDKYLEIVHTRAKSLLLATIVWAVSLAVSIPDMVFVHGTIWKLFLRFQQNLLGFLLPLLAMIFFYSRIGCVLVRLQGRALKIAAALVVAFFVLWFPYNLTLFLHTLLDLQNCEVSQHLDYALQVTESIAFLHCCFSPILYAFSSHRFRQYLKAFLA</v>
      </c>
      <c r="C83" s="29" t="str">
        <f>IF(ISERROR(MATCH(A83,'SegEnds_Xtal_Prot#'!B:B, 0)), "NoXtal", "Xtal")</f>
        <v>NoXtal</v>
      </c>
      <c r="D83" s="4" t="str">
        <f>VLOOKUP(A83,Classification!A:D,2,FALSE)</f>
        <v>A</v>
      </c>
      <c r="E83" s="5" t="str">
        <f>VLOOKUP(A83,Seqs!A:B,2,FALSE)</f>
        <v>MAATASPQPLATEDADSENSSFYYYDYLDEVAFMLCRKDAVVSFGKVFLPVFYSLIFVLGLSGNLLLLMVLLRYVPRRRMVEIYLLNLAISNLLFLVTLPFWGISVAWHWVFGSFLCKMVSTLYTINFYSGIFFISCMSLDKYLEIVHAQPYHRLRTRAKSLLLATIVWAVSLAVSIPDMVFVQTHENPKGVWNCHADFGGHGTIWKLFLRFQQNLLGFLLPLLAMIFFYSRIGCVLVRLRPAGQGRALKIAAALVVAFFVLWFPYNLTLFLHTLLDLQVFGNCEVSQHLDYALQVTESIAFLHCCFSPILYAFSSHRFRQYLKAFLAAVLGWHLAPGTAQASLSSCSESSILTAQEEMTGMNDLGERQSENYPNKEDVGNKSA</v>
      </c>
      <c r="F83" s="5" t="str">
        <f t="shared" si="26"/>
        <v>KDAVVSFGKVFLPVFYSLIFVLGLSGNLLLLMVLLRY</v>
      </c>
      <c r="G83" s="4" t="str">
        <f t="shared" si="27"/>
        <v>VPRR</v>
      </c>
      <c r="H83" s="4" t="str">
        <f t="shared" si="28"/>
        <v>RMVEIYLLNLAISNLLFLVTLPFWGISVAW</v>
      </c>
      <c r="I83" s="4" t="str">
        <f t="shared" si="29"/>
        <v>HWVF</v>
      </c>
      <c r="J83" s="4" t="str">
        <f t="shared" si="30"/>
        <v>GSFLCKMVSTLYTINFYSGIFFISCMSLDKYLEIVH</v>
      </c>
      <c r="K83" s="4" t="str">
        <f t="shared" si="31"/>
        <v>AQPYHRLR</v>
      </c>
      <c r="L83" s="4" t="str">
        <f t="shared" si="32"/>
        <v>TRAKSLLLATIVWAVSLAVSIPDMVFV</v>
      </c>
      <c r="M83" s="4" t="str">
        <f t="shared" si="33"/>
        <v>CHA</v>
      </c>
      <c r="N83" s="4" t="str">
        <f t="shared" si="34"/>
        <v>HGTIWKLFLRFQQNLLGFLLPLLAMIFFYSRIGCVLVRL</v>
      </c>
      <c r="O83" s="4" t="str">
        <f t="shared" si="35"/>
        <v>QGRALKIAAALVVAFFVLWFPYNLTLFLHTLLDLQ</v>
      </c>
      <c r="P83" s="4" t="str">
        <f t="shared" si="36"/>
        <v>NCEVSQHLDYALQVTESIAFLHCCFSPILYAFS</v>
      </c>
      <c r="Q83" s="4" t="str">
        <f t="shared" si="37"/>
        <v>SHRFRQYLKAFLA</v>
      </c>
      <c r="R83" s="5">
        <f>VLOOKUP($A83,'SegEnds_NonXtal_Prot#'!$A:$AL,3,FALSE)</f>
        <v>38</v>
      </c>
      <c r="S83" s="5">
        <f>VLOOKUP($A83,'SegEnds_NonXtal_Prot#'!$A:$AL,6,FALSE)</f>
        <v>75</v>
      </c>
      <c r="T83" s="5">
        <f>VLOOKUP($A83,'SegEnds_NonXtal_Prot#'!$A:$AL,9,FALSE)</f>
        <v>79</v>
      </c>
      <c r="U83" s="5">
        <f>VLOOKUP($A83,'SegEnds_NonXtal_Prot#'!$A:$AL,12,FALSE)</f>
        <v>109</v>
      </c>
      <c r="V83" s="5">
        <f>VLOOKUP($A83,'SegEnds_NonXtal_Prot#'!$A:$AL,15,FALSE)</f>
        <v>113</v>
      </c>
      <c r="W83" s="5">
        <f>VLOOKUP($A83,'SegEnds_NonXtal_Prot#'!$A:$AL,18,FALSE)</f>
        <v>149</v>
      </c>
      <c r="X83" s="5">
        <f>VLOOKUP($A83,'SegEnds_NonXtal_Prot#'!$A:$AL,21,FALSE)</f>
        <v>157</v>
      </c>
      <c r="Y83" s="5">
        <f>VLOOKUP($A83,'SegEnds_NonXtal_Prot#'!$A:$AL,24,FALSE)</f>
        <v>195</v>
      </c>
      <c r="Z83" s="5">
        <f>VLOOKUP($A83,'SegEnds_NonXtal_Prot#'!$A:$AL,27,FALSE)</f>
        <v>202</v>
      </c>
      <c r="AA83" s="5">
        <f>VLOOKUP($A83,'SegEnds_NonXtal_Prot#'!$A:$AL,30,FALSE)</f>
        <v>245</v>
      </c>
      <c r="AB83" s="5">
        <f>VLOOKUP($A83,'SegEnds_NonXtal_Prot#'!$A:$AL,33,FALSE)</f>
        <v>283</v>
      </c>
      <c r="AC83" s="5">
        <f>VLOOKUP($A83,'SegEnds_NonXtal_Prot#'!$A:$AL,36,FALSE)</f>
        <v>316</v>
      </c>
      <c r="AD83" s="5">
        <f>VLOOKUP($A83,'SegEnds_NonXtal_Prot#'!$A:$AL,5,FALSE)</f>
        <v>74</v>
      </c>
      <c r="AE83" s="5">
        <f>VLOOKUP($A83,'SegEnds_NonXtal_Prot#'!$A:$AL,8,FALSE)</f>
        <v>78</v>
      </c>
      <c r="AF83" s="5">
        <f>VLOOKUP($A83,'SegEnds_NonXtal_Prot#'!$A:$AL,11,FALSE)</f>
        <v>108</v>
      </c>
      <c r="AG83" s="5">
        <f>VLOOKUP($A83,'SegEnds_NonXtal_Prot#'!$A:$AL,14,FALSE)</f>
        <v>112</v>
      </c>
      <c r="AH83" s="5">
        <f>VLOOKUP($A83,'SegEnds_NonXtal_Prot#'!$A:$AL,17,FALSE)</f>
        <v>148</v>
      </c>
      <c r="AI83" s="5">
        <f>VLOOKUP($A83,'SegEnds_NonXtal_Prot#'!$A:$AL,20,FALSE)</f>
        <v>156</v>
      </c>
      <c r="AJ83" s="5">
        <f>VLOOKUP($A83,'SegEnds_NonXtal_Prot#'!$A:$AL,23,FALSE)</f>
        <v>183</v>
      </c>
      <c r="AK83" s="5">
        <f>VLOOKUP($A83,'SegEnds_NonXtal_Prot#'!$A:$AL,26,FALSE)</f>
        <v>197</v>
      </c>
      <c r="AL83" s="5">
        <f>VLOOKUP($A83,'SegEnds_NonXtal_Prot#'!$A:$AL,29,FALSE)</f>
        <v>240</v>
      </c>
      <c r="AM83" s="5">
        <f>VLOOKUP($A83,'SegEnds_NonXtal_Prot#'!$A:$AL,32,FALSE)</f>
        <v>279</v>
      </c>
      <c r="AN83" s="5">
        <f>VLOOKUP($A83,'SegEnds_NonXtal_Prot#'!$A:$AL,35,FALSE)</f>
        <v>315</v>
      </c>
      <c r="AO83" s="5">
        <f>VLOOKUP($A83,'SegEnds_NonXtal_Prot#'!$A:$AL,38,FALSE)</f>
        <v>328</v>
      </c>
      <c r="AP83" s="5">
        <f t="shared" si="38"/>
        <v>36</v>
      </c>
      <c r="AQ83" s="4">
        <f t="shared" si="39"/>
        <v>3</v>
      </c>
      <c r="AR83" s="4">
        <f t="shared" si="40"/>
        <v>29</v>
      </c>
      <c r="AS83" s="4">
        <f t="shared" si="41"/>
        <v>3</v>
      </c>
      <c r="AT83" s="4">
        <f t="shared" si="42"/>
        <v>35</v>
      </c>
      <c r="AU83" s="4">
        <f t="shared" si="43"/>
        <v>7</v>
      </c>
      <c r="AV83" s="4">
        <f t="shared" si="44"/>
        <v>26</v>
      </c>
      <c r="AW83" s="4">
        <f t="shared" si="45"/>
        <v>2</v>
      </c>
      <c r="AX83" s="4">
        <f t="shared" si="46"/>
        <v>38</v>
      </c>
      <c r="AY83" s="4">
        <f t="shared" si="47"/>
        <v>34</v>
      </c>
      <c r="AZ83" s="4">
        <f t="shared" si="48"/>
        <v>32</v>
      </c>
      <c r="BA83" s="4">
        <f t="shared" si="49"/>
        <v>12</v>
      </c>
    </row>
    <row r="84" spans="1:53" x14ac:dyDescent="0.2">
      <c r="A84" s="1" t="str">
        <f>'SegEnds_NonXtal_Prot#'!A55</f>
        <v>acm1_human</v>
      </c>
      <c r="B84" s="1" t="str">
        <f t="shared" si="25"/>
        <v>PWQVAFIGITTGLLSLATVTGNLLVLISFKVNTVNNYFLLSLACADLIIGTFSMNLYTTYLLMGGTLACDLWLALDYVASNASVMNLLLISFDRYFSVTRTPRRAALMIGLAWLVSFVLWAPAILFWQYLVGQPIITFGTAMAAFYLPVTVMCTLYWRIYRETENRARELAALTFSLVKEKKAARTLSAILLAFILTWTPYNIMVLVSTFCPETLWELGYWLCYVNSTINPMCYALCNKAFRDTFRLLLL</v>
      </c>
      <c r="C84" s="29" t="str">
        <f>IF(ISERROR(MATCH(A84,'SegEnds_Xtal_Prot#'!B:B, 0)), "NoXtal", "Xtal")</f>
        <v>Xtal</v>
      </c>
      <c r="D84" s="4" t="str">
        <f>VLOOKUP(A84,Classification!A:D,2,FALSE)</f>
        <v>A</v>
      </c>
      <c r="E84" s="5" t="str">
        <f>VLOOKUP(A84,Seqs!A:B,2,FALSE)</f>
        <v>MNTSAPPAVSPNITVLAPGKGPWQVAFIGITTGLLSLATVTGNLLVLISFKVNTELKTVNNYFLLSLACADLIIGTFSMNLYTTYLLMGHWALGTLACDLWLALDYVASNASVMNLLLISFDRYFSVTRPLSYRAKRTPRRAALMIGLAWLVSFVLWAPAILFWQYLVGERTVLAGQCYIQFLSQPIITFGTAMAAFYLPVTVMCTLYWRIYRETENRARELAALQGSETPGKGGGSSSSSERSQPGAEGSPETPPGRCCRCCRAPRLLQAYSWKEEEEEDEGSMESLTSSEGEEPGSEVVIKMPMVDPEAQAPTKQPPRSSPNTVKRPTKKGRDRAGKGQKPRGKEQLAKRKTFSLVKEKKAARTLSAILLAFILTWTPYNIMVLVSTFCKDCVPETLWELGYWLCYVNSTINPMCYALCNKAFRDTFRLLLLCRWDKRRWRKIPKRPGSVHRTPSRQC</v>
      </c>
      <c r="F84" s="5" t="str">
        <f t="shared" si="26"/>
        <v>PWQVAFIGITTGLLSLATVTGNLLVLISFKVN</v>
      </c>
      <c r="G84" s="4" t="str">
        <f t="shared" si="27"/>
        <v>TELK</v>
      </c>
      <c r="H84" s="4" t="str">
        <f t="shared" si="28"/>
        <v>TVNNYFLLSLACADLIIGTFSMNLYTTYLLMG</v>
      </c>
      <c r="I84" s="4" t="str">
        <f t="shared" si="29"/>
        <v>HWAL</v>
      </c>
      <c r="J84" s="4" t="str">
        <f t="shared" si="30"/>
        <v>GTLACDLWLALDYVASNASVMNLLLISFDRYFSVTR</v>
      </c>
      <c r="K84" s="4" t="str">
        <f t="shared" si="31"/>
        <v>PLSYRAKR</v>
      </c>
      <c r="L84" s="4" t="str">
        <f t="shared" si="32"/>
        <v>TPRRAALMIGLAWLVSFVLWAPAILFWQYLVG</v>
      </c>
      <c r="M84" s="4" t="str">
        <f t="shared" si="33"/>
        <v>CYI</v>
      </c>
      <c r="N84" s="4" t="str">
        <f t="shared" si="34"/>
        <v>QPIITFGTAMAAFYLPVTVMCTLYWRIYRETENRARELAAL</v>
      </c>
      <c r="O84" s="4" t="str">
        <f t="shared" si="35"/>
        <v>TFSLVKEKKAARTLSAILLAFILTWTPYNIMVLVSTFC</v>
      </c>
      <c r="P84" s="4" t="str">
        <f t="shared" si="36"/>
        <v>PETLWELGYWLCYVNSTINPMCYALC</v>
      </c>
      <c r="Q84" s="4" t="str">
        <f t="shared" si="37"/>
        <v>NKAFRDTFRLLLL</v>
      </c>
      <c r="R84" s="5">
        <f>VLOOKUP($A84,'SegEnds_NonXtal_Prot#'!$A:$AL,3,FALSE)</f>
        <v>22</v>
      </c>
      <c r="S84" s="5">
        <f>VLOOKUP($A84,'SegEnds_NonXtal_Prot#'!$A:$AL,6,FALSE)</f>
        <v>54</v>
      </c>
      <c r="T84" s="5">
        <f>VLOOKUP($A84,'SegEnds_NonXtal_Prot#'!$A:$AL,9,FALSE)</f>
        <v>58</v>
      </c>
      <c r="U84" s="5">
        <f>VLOOKUP($A84,'SegEnds_NonXtal_Prot#'!$A:$AL,12,FALSE)</f>
        <v>90</v>
      </c>
      <c r="V84" s="5">
        <f>VLOOKUP($A84,'SegEnds_NonXtal_Prot#'!$A:$AL,15,FALSE)</f>
        <v>94</v>
      </c>
      <c r="W84" s="5">
        <f>VLOOKUP($A84,'SegEnds_NonXtal_Prot#'!$A:$AL,18,FALSE)</f>
        <v>130</v>
      </c>
      <c r="X84" s="5">
        <f>VLOOKUP($A84,'SegEnds_NonXtal_Prot#'!$A:$AL,21,FALSE)</f>
        <v>138</v>
      </c>
      <c r="Y84" s="5">
        <f>VLOOKUP($A84,'SegEnds_NonXtal_Prot#'!$A:$AL,24,FALSE)</f>
        <v>178</v>
      </c>
      <c r="Z84" s="5">
        <f>VLOOKUP($A84,'SegEnds_NonXtal_Prot#'!$A:$AL,27,FALSE)</f>
        <v>185</v>
      </c>
      <c r="AA84" s="5">
        <f>VLOOKUP($A84,'SegEnds_NonXtal_Prot#'!$A:$AL,30,FALSE)</f>
        <v>354</v>
      </c>
      <c r="AB84" s="5">
        <f>VLOOKUP($A84,'SegEnds_NonXtal_Prot#'!$A:$AL,33,FALSE)</f>
        <v>396</v>
      </c>
      <c r="AC84" s="5">
        <f>VLOOKUP($A84,'SegEnds_NonXtal_Prot#'!$A:$AL,36,FALSE)</f>
        <v>422</v>
      </c>
      <c r="AD84" s="5">
        <f>VLOOKUP($A84,'SegEnds_NonXtal_Prot#'!$A:$AL,5,FALSE)</f>
        <v>53</v>
      </c>
      <c r="AE84" s="5">
        <f>VLOOKUP($A84,'SegEnds_NonXtal_Prot#'!$A:$AL,8,FALSE)</f>
        <v>57</v>
      </c>
      <c r="AF84" s="5">
        <f>VLOOKUP($A84,'SegEnds_NonXtal_Prot#'!$A:$AL,11,FALSE)</f>
        <v>89</v>
      </c>
      <c r="AG84" s="5">
        <f>VLOOKUP($A84,'SegEnds_NonXtal_Prot#'!$A:$AL,14,FALSE)</f>
        <v>93</v>
      </c>
      <c r="AH84" s="5">
        <f>VLOOKUP($A84,'SegEnds_NonXtal_Prot#'!$A:$AL,17,FALSE)</f>
        <v>129</v>
      </c>
      <c r="AI84" s="5">
        <f>VLOOKUP($A84,'SegEnds_NonXtal_Prot#'!$A:$AL,20,FALSE)</f>
        <v>137</v>
      </c>
      <c r="AJ84" s="5">
        <f>VLOOKUP($A84,'SegEnds_NonXtal_Prot#'!$A:$AL,23,FALSE)</f>
        <v>169</v>
      </c>
      <c r="AK84" s="5">
        <f>VLOOKUP($A84,'SegEnds_NonXtal_Prot#'!$A:$AL,26,FALSE)</f>
        <v>180</v>
      </c>
      <c r="AL84" s="5">
        <f>VLOOKUP($A84,'SegEnds_NonXtal_Prot#'!$A:$AL,29,FALSE)</f>
        <v>225</v>
      </c>
      <c r="AM84" s="5">
        <f>VLOOKUP($A84,'SegEnds_NonXtal_Prot#'!$A:$AL,32,FALSE)</f>
        <v>391</v>
      </c>
      <c r="AN84" s="5">
        <f>VLOOKUP($A84,'SegEnds_NonXtal_Prot#'!$A:$AL,35,FALSE)</f>
        <v>421</v>
      </c>
      <c r="AO84" s="5">
        <f>VLOOKUP($A84,'SegEnds_NonXtal_Prot#'!$A:$AL,38,FALSE)</f>
        <v>434</v>
      </c>
      <c r="AP84" s="5">
        <f t="shared" si="38"/>
        <v>31</v>
      </c>
      <c r="AQ84" s="4">
        <f t="shared" si="39"/>
        <v>3</v>
      </c>
      <c r="AR84" s="4">
        <f t="shared" si="40"/>
        <v>31</v>
      </c>
      <c r="AS84" s="4">
        <f t="shared" si="41"/>
        <v>3</v>
      </c>
      <c r="AT84" s="4">
        <f t="shared" si="42"/>
        <v>35</v>
      </c>
      <c r="AU84" s="4">
        <f t="shared" si="43"/>
        <v>7</v>
      </c>
      <c r="AV84" s="4">
        <f t="shared" si="44"/>
        <v>31</v>
      </c>
      <c r="AW84" s="4">
        <f t="shared" si="45"/>
        <v>2</v>
      </c>
      <c r="AX84" s="4">
        <f t="shared" si="46"/>
        <v>40</v>
      </c>
      <c r="AY84" s="4">
        <f t="shared" si="47"/>
        <v>37</v>
      </c>
      <c r="AZ84" s="4">
        <f t="shared" si="48"/>
        <v>25</v>
      </c>
      <c r="BA84" s="4">
        <f t="shared" si="49"/>
        <v>12</v>
      </c>
    </row>
    <row r="85" spans="1:53" x14ac:dyDescent="0.2">
      <c r="A85" s="1" t="str">
        <f>'SegEnds_NonXtal_Prot#'!A56</f>
        <v>acm2_human</v>
      </c>
      <c r="B85" s="1" t="str">
        <f t="shared" si="25"/>
        <v>KTFEVVFIVLVAGSLSLVTIIGNILVMVSIKVNTVNNYFLFSLACADLIIGVFSMNLYTLYTVIGGPVVCDLWLALDYVVSNASVMNLLIISFDRYFCVTKTTKMAGMMIAAAWVLSFILWAPAILFWQFIVGNAAVTFGTAIAAFYLPVIIMTVLYWHISRASKSRIKKDKKEKPPPSREKKVTRTILAILLAFIITWAPYNVMVLINTFCPNTVWTIGYWLCYINSTINPACYALCNATFKKTFKHLLM</v>
      </c>
      <c r="C85" s="29" t="str">
        <f>IF(ISERROR(MATCH(A85,'SegEnds_Xtal_Prot#'!B:B, 0)), "NoXtal", "Xtal")</f>
        <v>Xtal</v>
      </c>
      <c r="D85" s="4" t="str">
        <f>VLOOKUP(A85,Classification!A:D,2,FALSE)</f>
        <v>A</v>
      </c>
      <c r="E85" s="5" t="str">
        <f>VLOOKUP(A85,Seqs!A:B,2,FALSE)</f>
        <v>MNNSTNSSNNSLALTSPYKTFEVVFIVLVAGSLSLVTIIGNILVMVSIKVNRHLQTVNNYFLFSLACADLIIGVFSMNLYTLYTVIGYWPLGPVVCDLWLALDYVVSNASVMNLLIISFDRYFCVTKPLTYPVKRTTKMAGMMIAAAWVLSFILWAPAILFWQFIVGVRTVEDGECYIQFFSNAAVTFGTAIAAFYLPVIIMTVLYWHISRASKSRIKKDKKEPVANQDPVSPSLVQGRIVKPNNNNMPSSDDGLEHNKIQNGKAPRDPVTENCVQGEEKESSNDSTSVSAVASNMRDDEITQDENTVSTSLGHSKDENSKQTCIRIGTKTPKSDSCTPTNTTVEVVGSSGQNGDEKQNIVARKIVKMTKQPAKKKPPPSREKKVTRTILAILLAFIITWAPYNVMVLINTFCAPCIPNTVWTIGYWLCYINSTINPACYALCNATFKKTFKHLLMCHYKNIGATR</v>
      </c>
      <c r="F85" s="5" t="str">
        <f t="shared" si="26"/>
        <v>KTFEVVFIVLVAGSLSLVTIIGNILVMVSIKVN</v>
      </c>
      <c r="G85" s="4" t="str">
        <f t="shared" si="27"/>
        <v>RHLQ</v>
      </c>
      <c r="H85" s="4" t="str">
        <f t="shared" si="28"/>
        <v>TVNNYFLFSLACADLIIGVFSMNLYTLYTVIG</v>
      </c>
      <c r="I85" s="4" t="str">
        <f t="shared" si="29"/>
        <v>YWPL</v>
      </c>
      <c r="J85" s="4" t="str">
        <f t="shared" si="30"/>
        <v>GPVVCDLWLALDYVVSNASVMNLLIISFDRYFCVTK</v>
      </c>
      <c r="K85" s="4" t="str">
        <f t="shared" si="31"/>
        <v>PLTYPVKR</v>
      </c>
      <c r="L85" s="4" t="str">
        <f t="shared" si="32"/>
        <v>TTKMAGMMIAAAWVLSFILWAPAILFWQFIVG</v>
      </c>
      <c r="M85" s="4" t="str">
        <f t="shared" si="33"/>
        <v>CYI</v>
      </c>
      <c r="N85" s="4" t="str">
        <f t="shared" si="34"/>
        <v>NAAVTFGTAIAAFYLPVIIMTVLYWHISRASKSRIKKDKKE</v>
      </c>
      <c r="O85" s="4" t="str">
        <f t="shared" si="35"/>
        <v>KPPPSREKKVTRTILAILLAFIITWAPYNVMVLINTFC</v>
      </c>
      <c r="P85" s="4" t="str">
        <f t="shared" si="36"/>
        <v>PNTVWTIGYWLCYINSTINPACYALC</v>
      </c>
      <c r="Q85" s="4" t="str">
        <f t="shared" si="37"/>
        <v>NATFKKTFKHLLM</v>
      </c>
      <c r="R85" s="5">
        <f>VLOOKUP($A85,'SegEnds_NonXtal_Prot#'!$A:$AL,3,FALSE)</f>
        <v>19</v>
      </c>
      <c r="S85" s="5">
        <f>VLOOKUP($A85,'SegEnds_NonXtal_Prot#'!$A:$AL,6,FALSE)</f>
        <v>52</v>
      </c>
      <c r="T85" s="5">
        <f>VLOOKUP($A85,'SegEnds_NonXtal_Prot#'!$A:$AL,9,FALSE)</f>
        <v>56</v>
      </c>
      <c r="U85" s="5">
        <f>VLOOKUP($A85,'SegEnds_NonXtal_Prot#'!$A:$AL,12,FALSE)</f>
        <v>88</v>
      </c>
      <c r="V85" s="5">
        <f>VLOOKUP($A85,'SegEnds_NonXtal_Prot#'!$A:$AL,15,FALSE)</f>
        <v>92</v>
      </c>
      <c r="W85" s="5">
        <f>VLOOKUP($A85,'SegEnds_NonXtal_Prot#'!$A:$AL,18,FALSE)</f>
        <v>128</v>
      </c>
      <c r="X85" s="5">
        <f>VLOOKUP($A85,'SegEnds_NonXtal_Prot#'!$A:$AL,21,FALSE)</f>
        <v>136</v>
      </c>
      <c r="Y85" s="5">
        <f>VLOOKUP($A85,'SegEnds_NonXtal_Prot#'!$A:$AL,24,FALSE)</f>
        <v>176</v>
      </c>
      <c r="Z85" s="5">
        <f>VLOOKUP($A85,'SegEnds_NonXtal_Prot#'!$A:$AL,27,FALSE)</f>
        <v>183</v>
      </c>
      <c r="AA85" s="5">
        <f>VLOOKUP($A85,'SegEnds_NonXtal_Prot#'!$A:$AL,30,FALSE)</f>
        <v>376</v>
      </c>
      <c r="AB85" s="5">
        <f>VLOOKUP($A85,'SegEnds_NonXtal_Prot#'!$A:$AL,33,FALSE)</f>
        <v>418</v>
      </c>
      <c r="AC85" s="5">
        <f>VLOOKUP($A85,'SegEnds_NonXtal_Prot#'!$A:$AL,36,FALSE)</f>
        <v>444</v>
      </c>
      <c r="AD85" s="5">
        <f>VLOOKUP($A85,'SegEnds_NonXtal_Prot#'!$A:$AL,5,FALSE)</f>
        <v>51</v>
      </c>
      <c r="AE85" s="5">
        <f>VLOOKUP($A85,'SegEnds_NonXtal_Prot#'!$A:$AL,8,FALSE)</f>
        <v>55</v>
      </c>
      <c r="AF85" s="5">
        <f>VLOOKUP($A85,'SegEnds_NonXtal_Prot#'!$A:$AL,11,FALSE)</f>
        <v>87</v>
      </c>
      <c r="AG85" s="5">
        <f>VLOOKUP($A85,'SegEnds_NonXtal_Prot#'!$A:$AL,14,FALSE)</f>
        <v>91</v>
      </c>
      <c r="AH85" s="5">
        <f>VLOOKUP($A85,'SegEnds_NonXtal_Prot#'!$A:$AL,17,FALSE)</f>
        <v>127</v>
      </c>
      <c r="AI85" s="5">
        <f>VLOOKUP($A85,'SegEnds_NonXtal_Prot#'!$A:$AL,20,FALSE)</f>
        <v>135</v>
      </c>
      <c r="AJ85" s="5">
        <f>VLOOKUP($A85,'SegEnds_NonXtal_Prot#'!$A:$AL,23,FALSE)</f>
        <v>167</v>
      </c>
      <c r="AK85" s="5">
        <f>VLOOKUP($A85,'SegEnds_NonXtal_Prot#'!$A:$AL,26,FALSE)</f>
        <v>178</v>
      </c>
      <c r="AL85" s="5">
        <f>VLOOKUP($A85,'SegEnds_NonXtal_Prot#'!$A:$AL,29,FALSE)</f>
        <v>223</v>
      </c>
      <c r="AM85" s="5">
        <f>VLOOKUP($A85,'SegEnds_NonXtal_Prot#'!$A:$AL,32,FALSE)</f>
        <v>413</v>
      </c>
      <c r="AN85" s="5">
        <f>VLOOKUP($A85,'SegEnds_NonXtal_Prot#'!$A:$AL,35,FALSE)</f>
        <v>443</v>
      </c>
      <c r="AO85" s="5">
        <f>VLOOKUP($A85,'SegEnds_NonXtal_Prot#'!$A:$AL,38,FALSE)</f>
        <v>456</v>
      </c>
      <c r="AP85" s="5">
        <f t="shared" si="38"/>
        <v>32</v>
      </c>
      <c r="AQ85" s="4">
        <f t="shared" si="39"/>
        <v>3</v>
      </c>
      <c r="AR85" s="4">
        <f t="shared" si="40"/>
        <v>31</v>
      </c>
      <c r="AS85" s="4">
        <f t="shared" si="41"/>
        <v>3</v>
      </c>
      <c r="AT85" s="4">
        <f t="shared" si="42"/>
        <v>35</v>
      </c>
      <c r="AU85" s="4">
        <f t="shared" si="43"/>
        <v>7</v>
      </c>
      <c r="AV85" s="4">
        <f t="shared" si="44"/>
        <v>31</v>
      </c>
      <c r="AW85" s="4">
        <f t="shared" si="45"/>
        <v>2</v>
      </c>
      <c r="AX85" s="4">
        <f t="shared" si="46"/>
        <v>40</v>
      </c>
      <c r="AY85" s="4">
        <f t="shared" si="47"/>
        <v>37</v>
      </c>
      <c r="AZ85" s="4">
        <f t="shared" si="48"/>
        <v>25</v>
      </c>
      <c r="BA85" s="4">
        <f t="shared" si="49"/>
        <v>12</v>
      </c>
    </row>
    <row r="86" spans="1:53" x14ac:dyDescent="0.2">
      <c r="A86" s="1" t="str">
        <f>'SegEnds_NonXtal_Prot#'!A57</f>
        <v>acm3_human</v>
      </c>
      <c r="B86" s="1" t="str">
        <f t="shared" si="25"/>
        <v>VWQVVFIAFLTGILALVTIIGNILVIVSFKVNTVNNYFLLSLACADLIIGVISMNLFTTYIIMGNLACDLWLAIDYVASNASVMNLLVISFDRYFSITRTTKRAGVMIGLAWVISFVLWAPAILFWQYFVGEPTITFGTAIAAFYMPVTIMTILYWRIYKETEKRTKELAGLRMSLVKEKKAAQTLSAILLAFIITWTPYNIMVLVNTFCPKTFWNLGYWLCYINSTVNPVCYALCNKTFRTTFKMLL</v>
      </c>
      <c r="C86" s="29" t="str">
        <f>IF(ISERROR(MATCH(A86,'SegEnds_Xtal_Prot#'!B:B, 0)), "NoXtal", "Xtal")</f>
        <v>NoXtal</v>
      </c>
      <c r="D86" s="4" t="str">
        <f>VLOOKUP(A86,Classification!A:D,2,FALSE)</f>
        <v>A</v>
      </c>
      <c r="E86" s="5" t="str">
        <f>VLOOKUP(A86,Seqs!A:B,2,FALSE)</f>
        <v>MTLHNNSTTSPLFPNISSSWIHSPSDAGLPPGTVTHFGSYNVSRAAGNFSSPDGTTDDPLGGHTVWQVVFIAFLTGILALVTIIGNILVIVSFKVNKQLKTVNNYFLLSLACADLIIGVISMNLFTTYIIMNRWALGNLACDLWLAIDYVASNASVMNLLVISFDRYFSITRPLTYRAKRTTKRAGVMIGLAWVISFVLWAPAILFWQYFVGKRTVPPGECFIQFLSEPTITFGTAIAAFYMPVTIMTILYWRIYKETEKRTKELAGLQASGTEAETENFVHPTGSSRSCSSYELQQQSMKRSNRRKYGRCHFWFTTKSWKPSSEQMDQDHSSSDSWNNNDAAASLENSASSDEEDIGSETRAIYSIVLKLPGHSTILNSTKLPSSDNLQVPEEELGMVDLERKADKLQAQKSVDDGGSFPKSFSKLPIQLESAVDTAKTSDVNSSVGKSTATLPLSFKEATLAKRFALKTRSQITKRKRMSLVKEKKAAQTLSAILLAFIITWTPYNIMVLVNTFCDSCIPKTFWNLGYWLCYINSTVNPVCYALCNKTFRTTFKMLLLCQCDKKKRRKQQYQQRQSVIFHKRAPEQAL</v>
      </c>
      <c r="F86" s="5" t="str">
        <f t="shared" si="26"/>
        <v>VWQVVFIAFLTGILALVTIIGNILVIVSFKVN</v>
      </c>
      <c r="G86" s="4" t="str">
        <f t="shared" si="27"/>
        <v>KQLK</v>
      </c>
      <c r="H86" s="4" t="str">
        <f t="shared" si="28"/>
        <v>TVNNYFLLSLACADLIIGVISMNLFTTYIIM</v>
      </c>
      <c r="I86" s="4" t="str">
        <f t="shared" si="29"/>
        <v>RWAL</v>
      </c>
      <c r="J86" s="4" t="str">
        <f t="shared" si="30"/>
        <v>GNLACDLWLAIDYVASNASVMNLLVISFDRYFSITR</v>
      </c>
      <c r="K86" s="4" t="str">
        <f t="shared" si="31"/>
        <v>PLTYRAKR</v>
      </c>
      <c r="L86" s="4" t="str">
        <f t="shared" si="32"/>
        <v>TTKRAGVMIGLAWVISFVLWAPAILFWQYFVG</v>
      </c>
      <c r="M86" s="4" t="str">
        <f t="shared" si="33"/>
        <v>CFI</v>
      </c>
      <c r="N86" s="4" t="str">
        <f t="shared" si="34"/>
        <v>EPTITFGTAIAAFYMPVTIMTILYWRIYKETEKRTKELAGL</v>
      </c>
      <c r="O86" s="4" t="str">
        <f t="shared" si="35"/>
        <v>RMSLVKEKKAAQTLSAILLAFIITWTPYNIMVLVNTFC</v>
      </c>
      <c r="P86" s="4" t="str">
        <f t="shared" si="36"/>
        <v>PKTFWNLGYWLCYINSTVNPVCYALC</v>
      </c>
      <c r="Q86" s="4" t="str">
        <f t="shared" si="37"/>
        <v>NKTFRTTFKMLL</v>
      </c>
      <c r="R86" s="5">
        <f>VLOOKUP($A86,'SegEnds_NonXtal_Prot#'!$A:$AL,3,FALSE)</f>
        <v>65</v>
      </c>
      <c r="S86" s="5">
        <f>VLOOKUP($A86,'SegEnds_NonXtal_Prot#'!$A:$AL,6,FALSE)</f>
        <v>97</v>
      </c>
      <c r="T86" s="5">
        <f>VLOOKUP($A86,'SegEnds_NonXtal_Prot#'!$A:$AL,9,FALSE)</f>
        <v>101</v>
      </c>
      <c r="U86" s="5">
        <f>VLOOKUP($A86,'SegEnds_NonXtal_Prot#'!$A:$AL,12,FALSE)</f>
        <v>133</v>
      </c>
      <c r="V86" s="5">
        <f>VLOOKUP($A86,'SegEnds_NonXtal_Prot#'!$A:$AL,15,FALSE)</f>
        <v>137</v>
      </c>
      <c r="W86" s="5">
        <f>VLOOKUP($A86,'SegEnds_NonXtal_Prot#'!$A:$AL,18,FALSE)</f>
        <v>173</v>
      </c>
      <c r="X86" s="5">
        <f>VLOOKUP($A86,'SegEnds_NonXtal_Prot#'!$A:$AL,21,FALSE)</f>
        <v>181</v>
      </c>
      <c r="Y86" s="5">
        <f>VLOOKUP($A86,'SegEnds_NonXtal_Prot#'!$A:$AL,24,FALSE)</f>
        <v>221</v>
      </c>
      <c r="Z86" s="5">
        <f>VLOOKUP($A86,'SegEnds_NonXtal_Prot#'!$A:$AL,27,FALSE)</f>
        <v>228</v>
      </c>
      <c r="AA86" s="5">
        <f>VLOOKUP($A86,'SegEnds_NonXtal_Prot#'!$A:$AL,30,FALSE)</f>
        <v>480</v>
      </c>
      <c r="AB86" s="5">
        <f>VLOOKUP($A86,'SegEnds_NonXtal_Prot#'!$A:$AL,33,FALSE)</f>
        <v>522</v>
      </c>
      <c r="AC86" s="5">
        <f>VLOOKUP($A86,'SegEnds_NonXtal_Prot#'!$A:$AL,36,FALSE)</f>
        <v>548</v>
      </c>
      <c r="AD86" s="5">
        <f>VLOOKUP($A86,'SegEnds_NonXtal_Prot#'!$A:$AL,5,FALSE)</f>
        <v>96</v>
      </c>
      <c r="AE86" s="5">
        <f>VLOOKUP($A86,'SegEnds_NonXtal_Prot#'!$A:$AL,8,FALSE)</f>
        <v>100</v>
      </c>
      <c r="AF86" s="5">
        <f>VLOOKUP($A86,'SegEnds_NonXtal_Prot#'!$A:$AL,11,FALSE)</f>
        <v>131</v>
      </c>
      <c r="AG86" s="5">
        <f>VLOOKUP($A86,'SegEnds_NonXtal_Prot#'!$A:$AL,14,FALSE)</f>
        <v>136</v>
      </c>
      <c r="AH86" s="5">
        <f>VLOOKUP($A86,'SegEnds_NonXtal_Prot#'!$A:$AL,17,FALSE)</f>
        <v>172</v>
      </c>
      <c r="AI86" s="5">
        <f>VLOOKUP($A86,'SegEnds_NonXtal_Prot#'!$A:$AL,20,FALSE)</f>
        <v>180</v>
      </c>
      <c r="AJ86" s="5">
        <f>VLOOKUP($A86,'SegEnds_NonXtal_Prot#'!$A:$AL,23,FALSE)</f>
        <v>212</v>
      </c>
      <c r="AK86" s="5">
        <f>VLOOKUP($A86,'SegEnds_NonXtal_Prot#'!$A:$AL,26,FALSE)</f>
        <v>223</v>
      </c>
      <c r="AL86" s="5">
        <f>VLOOKUP($A86,'SegEnds_NonXtal_Prot#'!$A:$AL,29,FALSE)</f>
        <v>268</v>
      </c>
      <c r="AM86" s="5">
        <f>VLOOKUP($A86,'SegEnds_NonXtal_Prot#'!$A:$AL,32,FALSE)</f>
        <v>517</v>
      </c>
      <c r="AN86" s="5">
        <f>VLOOKUP($A86,'SegEnds_NonXtal_Prot#'!$A:$AL,35,FALSE)</f>
        <v>547</v>
      </c>
      <c r="AO86" s="5">
        <f>VLOOKUP($A86,'SegEnds_NonXtal_Prot#'!$A:$AL,38,FALSE)</f>
        <v>559</v>
      </c>
      <c r="AP86" s="5">
        <f t="shared" si="38"/>
        <v>31</v>
      </c>
      <c r="AQ86" s="4">
        <f t="shared" si="39"/>
        <v>3</v>
      </c>
      <c r="AR86" s="4">
        <f t="shared" si="40"/>
        <v>30</v>
      </c>
      <c r="AS86" s="4">
        <f t="shared" si="41"/>
        <v>3</v>
      </c>
      <c r="AT86" s="4">
        <f t="shared" si="42"/>
        <v>35</v>
      </c>
      <c r="AU86" s="4">
        <f t="shared" si="43"/>
        <v>7</v>
      </c>
      <c r="AV86" s="4">
        <f t="shared" si="44"/>
        <v>31</v>
      </c>
      <c r="AW86" s="4">
        <f t="shared" si="45"/>
        <v>2</v>
      </c>
      <c r="AX86" s="4">
        <f t="shared" si="46"/>
        <v>40</v>
      </c>
      <c r="AY86" s="4">
        <f t="shared" si="47"/>
        <v>37</v>
      </c>
      <c r="AZ86" s="4">
        <f t="shared" si="48"/>
        <v>25</v>
      </c>
      <c r="BA86" s="4">
        <f t="shared" si="49"/>
        <v>11</v>
      </c>
    </row>
    <row r="87" spans="1:53" x14ac:dyDescent="0.2">
      <c r="A87" s="1" t="str">
        <f>'SegEnds_NonXtal_Prot#'!A58</f>
        <v>acm3_rat</v>
      </c>
      <c r="B87" s="1" t="str">
        <f t="shared" si="25"/>
        <v>IWQVVFIAFLTGFLALVTIIGNILVIVAFKVNTVNNYFLLSLACADLIIGVISMNLFTTYIIMGNLACDLWLSIDYVASNASVMNLLVISFDRYFSITRTTKRAGVMIGLAWVISFVLWAPAILFWQYFVGEPTITFGTAIAAFYMPVTIMTILYWRIYKETEKRTKELAGLRMSLIKEKKAAQTLSAILLAFIITWTPYNIMVLVNTFCPKTYWNLGYWLCYINSTVNPVCYALCNKTFRTTFKTLL</v>
      </c>
      <c r="C87" s="29" t="str">
        <f>IF(ISERROR(MATCH(A87,'SegEnds_Xtal_Prot#'!B:B, 0)), "NoXtal", "Xtal")</f>
        <v>Xtal</v>
      </c>
      <c r="D87" s="4" t="str">
        <f>VLOOKUP(A87,Classification!A:D,2,FALSE)</f>
        <v>A</v>
      </c>
      <c r="E87" s="5" t="str">
        <f>VLOOKUP(A87,Seqs!A:B,2,FALSE)</f>
        <v>MTLHSNSTTSPLFPNISSSWVHSPSEAGLPLGTVTQLGSYNISQETGNFSSNDTSSDPLGGHTIWQVVFIAFLTGFLALVTIIGNILVIVAFKVNKQLKTVNNYFLLSLACADLIIGVISMNLFTTYIIMNRWALGNLACDLWLSIDYVASNASVMNLLVISFDRYFSITRPLTYRAKRTTKRAGVMIGLAWVISFVLWAPAILFWQYFVGKRTVPPGECFIQFLSEPTITFGTAIAAFYMPVTIMTILYWRIYKETEKRTKELAGLQASGTEAEAENFVHPTGSSRSCSSYELQQQGVKRSSRRKYGRCHFWFTTKSWKPSAEQMDQDHSSSDSWNNNDAAASLENSASSDEEDIGSETRAIYSIVLKLPGHSSILNSTKLPSSDNLQVSNEDLGTVDVERNAHKLQAQKSMGDGDNCQKDFTKLPIQLESAVDTGKTSDTNSSADKTTATLPLSFKEATLAKRFALKTRSQITKRKRMSLIKEKKAAQTLSAILLAFIITWTPYNIMVLVNTFCDSCIPKTYWNLGYWLCYINSTVNPVCYALCNKTFRTTFKTLLLCQCDKRKRRKQQYQQRQSVIFHKRVPEQAL</v>
      </c>
      <c r="F87" s="5" t="str">
        <f t="shared" si="26"/>
        <v>IWQVVFIAFLTGFLALVTIIGNILVIVAFKVN</v>
      </c>
      <c r="G87" s="4" t="str">
        <f t="shared" si="27"/>
        <v>KQLK</v>
      </c>
      <c r="H87" s="4" t="str">
        <f t="shared" si="28"/>
        <v>TVNNYFLLSLACADLIIGVISMNLFTTYIIM</v>
      </c>
      <c r="I87" s="4" t="str">
        <f t="shared" si="29"/>
        <v>RWAL</v>
      </c>
      <c r="J87" s="4" t="str">
        <f t="shared" si="30"/>
        <v>GNLACDLWLSIDYVASNASVMNLLVISFDRYFSITR</v>
      </c>
      <c r="K87" s="4" t="str">
        <f t="shared" si="31"/>
        <v>PLTYRAKR</v>
      </c>
      <c r="L87" s="4" t="str">
        <f t="shared" si="32"/>
        <v>TTKRAGVMIGLAWVISFVLWAPAILFWQYFVG</v>
      </c>
      <c r="M87" s="4" t="str">
        <f t="shared" si="33"/>
        <v>CFI</v>
      </c>
      <c r="N87" s="4" t="str">
        <f t="shared" si="34"/>
        <v>EPTITFGTAIAAFYMPVTIMTILYWRIYKETEKRTKELAGL</v>
      </c>
      <c r="O87" s="4" t="str">
        <f t="shared" si="35"/>
        <v>RMSLIKEKKAAQTLSAILLAFIITWTPYNIMVLVNTFC</v>
      </c>
      <c r="P87" s="4" t="str">
        <f t="shared" si="36"/>
        <v>PKTYWNLGYWLCYINSTVNPVCYALC</v>
      </c>
      <c r="Q87" s="4" t="str">
        <f t="shared" si="37"/>
        <v>NKTFRTTFKTLL</v>
      </c>
      <c r="R87" s="5">
        <f>VLOOKUP($A87,'SegEnds_NonXtal_Prot#'!$A:$AL,3,FALSE)</f>
        <v>64</v>
      </c>
      <c r="S87" s="5">
        <f>VLOOKUP($A87,'SegEnds_NonXtal_Prot#'!$A:$AL,6,FALSE)</f>
        <v>96</v>
      </c>
      <c r="T87" s="5">
        <f>VLOOKUP($A87,'SegEnds_NonXtal_Prot#'!$A:$AL,9,FALSE)</f>
        <v>100</v>
      </c>
      <c r="U87" s="5">
        <f>VLOOKUP($A87,'SegEnds_NonXtal_Prot#'!$A:$AL,12,FALSE)</f>
        <v>132</v>
      </c>
      <c r="V87" s="5">
        <f>VLOOKUP($A87,'SegEnds_NonXtal_Prot#'!$A:$AL,15,FALSE)</f>
        <v>136</v>
      </c>
      <c r="W87" s="5">
        <f>VLOOKUP($A87,'SegEnds_NonXtal_Prot#'!$A:$AL,18,FALSE)</f>
        <v>172</v>
      </c>
      <c r="X87" s="5">
        <f>VLOOKUP($A87,'SegEnds_NonXtal_Prot#'!$A:$AL,21,FALSE)</f>
        <v>180</v>
      </c>
      <c r="Y87" s="5">
        <f>VLOOKUP($A87,'SegEnds_NonXtal_Prot#'!$A:$AL,24,FALSE)</f>
        <v>220</v>
      </c>
      <c r="Z87" s="5">
        <f>VLOOKUP($A87,'SegEnds_NonXtal_Prot#'!$A:$AL,27,FALSE)</f>
        <v>227</v>
      </c>
      <c r="AA87" s="5">
        <f>VLOOKUP($A87,'SegEnds_NonXtal_Prot#'!$A:$AL,30,FALSE)</f>
        <v>479</v>
      </c>
      <c r="AB87" s="5">
        <f>VLOOKUP($A87,'SegEnds_NonXtal_Prot#'!$A:$AL,33,FALSE)</f>
        <v>521</v>
      </c>
      <c r="AC87" s="5">
        <f>VLOOKUP($A87,'SegEnds_NonXtal_Prot#'!$A:$AL,36,FALSE)</f>
        <v>547</v>
      </c>
      <c r="AD87" s="5">
        <f>VLOOKUP($A87,'SegEnds_NonXtal_Prot#'!$A:$AL,5,FALSE)</f>
        <v>95</v>
      </c>
      <c r="AE87" s="5">
        <f>VLOOKUP($A87,'SegEnds_NonXtal_Prot#'!$A:$AL,8,FALSE)</f>
        <v>99</v>
      </c>
      <c r="AF87" s="5">
        <f>VLOOKUP($A87,'SegEnds_NonXtal_Prot#'!$A:$AL,11,FALSE)</f>
        <v>130</v>
      </c>
      <c r="AG87" s="5">
        <f>VLOOKUP($A87,'SegEnds_NonXtal_Prot#'!$A:$AL,14,FALSE)</f>
        <v>135</v>
      </c>
      <c r="AH87" s="5">
        <f>VLOOKUP($A87,'SegEnds_NonXtal_Prot#'!$A:$AL,17,FALSE)</f>
        <v>171</v>
      </c>
      <c r="AI87" s="5">
        <f>VLOOKUP($A87,'SegEnds_NonXtal_Prot#'!$A:$AL,20,FALSE)</f>
        <v>179</v>
      </c>
      <c r="AJ87" s="5">
        <f>VLOOKUP($A87,'SegEnds_NonXtal_Prot#'!$A:$AL,23,FALSE)</f>
        <v>211</v>
      </c>
      <c r="AK87" s="5">
        <f>VLOOKUP($A87,'SegEnds_NonXtal_Prot#'!$A:$AL,26,FALSE)</f>
        <v>222</v>
      </c>
      <c r="AL87" s="5">
        <f>VLOOKUP($A87,'SegEnds_NonXtal_Prot#'!$A:$AL,29,FALSE)</f>
        <v>267</v>
      </c>
      <c r="AM87" s="5">
        <f>VLOOKUP($A87,'SegEnds_NonXtal_Prot#'!$A:$AL,32,FALSE)</f>
        <v>516</v>
      </c>
      <c r="AN87" s="5">
        <f>VLOOKUP($A87,'SegEnds_NonXtal_Prot#'!$A:$AL,35,FALSE)</f>
        <v>546</v>
      </c>
      <c r="AO87" s="5">
        <f>VLOOKUP($A87,'SegEnds_NonXtal_Prot#'!$A:$AL,38,FALSE)</f>
        <v>558</v>
      </c>
      <c r="AP87" s="5">
        <f t="shared" si="38"/>
        <v>31</v>
      </c>
      <c r="AQ87" s="4">
        <f t="shared" si="39"/>
        <v>3</v>
      </c>
      <c r="AR87" s="4">
        <f t="shared" si="40"/>
        <v>30</v>
      </c>
      <c r="AS87" s="4">
        <f t="shared" si="41"/>
        <v>3</v>
      </c>
      <c r="AT87" s="4">
        <f t="shared" si="42"/>
        <v>35</v>
      </c>
      <c r="AU87" s="4">
        <f t="shared" si="43"/>
        <v>7</v>
      </c>
      <c r="AV87" s="4">
        <f t="shared" si="44"/>
        <v>31</v>
      </c>
      <c r="AW87" s="4">
        <f t="shared" si="45"/>
        <v>2</v>
      </c>
      <c r="AX87" s="4">
        <f t="shared" si="46"/>
        <v>40</v>
      </c>
      <c r="AY87" s="4">
        <f t="shared" si="47"/>
        <v>37</v>
      </c>
      <c r="AZ87" s="4">
        <f t="shared" si="48"/>
        <v>25</v>
      </c>
      <c r="BA87" s="4">
        <f t="shared" si="49"/>
        <v>11</v>
      </c>
    </row>
    <row r="88" spans="1:53" x14ac:dyDescent="0.2">
      <c r="A88" s="1" t="str">
        <f>'SegEnds_NonXtal_Prot#'!A59</f>
        <v>acm4_human</v>
      </c>
      <c r="B88" s="1" t="str">
        <f t="shared" si="25"/>
        <v>RYETVEMVFIATVTGSLSLVTVVGNILVMLSIKVNTVNNYFLFSLACADLIIGAFSMNLYTVYIIKGAVVCDLWLALDYVVSNASVMNLLIISFDRYFCVTKTTKMAGLMIAAAWVLSFVLWAPAILFWQFVVGNPAVTFGTAIAAFYLPVVIMTVLYIHISLASRSRVHKHRPERQMAARERKVTRTIFAILLAFILTWTPYNVMVLVNTFCPDTVWSIGYWLCYVNSTINPACYALCNATFKKTFRHLLL</v>
      </c>
      <c r="C88" s="29" t="str">
        <f>IF(ISERROR(MATCH(A88,'SegEnds_Xtal_Prot#'!B:B, 0)), "NoXtal", "Xtal")</f>
        <v>Xtal</v>
      </c>
      <c r="D88" s="4" t="str">
        <f>VLOOKUP(A88,Classification!A:D,2,FALSE)</f>
        <v>A</v>
      </c>
      <c r="E88" s="5" t="str">
        <f>VLOOKUP(A88,Seqs!A:B,2,FALSE)</f>
        <v>MANFTPVNGSSGNQSVRLVTSSSHNRYETVEMVFIATVTGSLSLVTVVGNILVMLSIKVNRQLQTVNNYFLFSLACADLIIGAFSMNLYTVYIIKGYWPLGAVVCDLWLALDYVVSNASVMNLLIISFDRYFCVTKPLTYPARRTTKMAGLMIAAAWVLSFVLWAPAILFWQFVVGKRTVPDNQCFIQFLSNPAVTFGTAIAAFYLPVVIMTVLYIHISLASRSRVHKHRPEGPKEKKAKTLAFLKSPLMKQSVKKPPPGEAAREELRNGKLEEAPPPALPPPPRPVADKDTSNESSSGSATQNTKERPATELSTTEATTPAMPAPPLQPRALNPASRWSKIQIVTKQTGNECVTAIEIVPATPAGMRPAANVARKFASIARNQVRKKRQMAARERKVTRTIFAILLAFILTWTPYNVMVLVNTFCQSCIPDTVWSIGYWLCYVNSTINPACYALCNATFKKTFRHLLLCQYRNIGTAR</v>
      </c>
      <c r="F88" s="5" t="str">
        <f t="shared" si="26"/>
        <v>RYETVEMVFIATVTGSLSLVTVVGNILVMLSIKVN</v>
      </c>
      <c r="G88" s="4" t="str">
        <f t="shared" si="27"/>
        <v>RQLQ</v>
      </c>
      <c r="H88" s="4" t="str">
        <f t="shared" si="28"/>
        <v>TVNNYFLFSLACADLIIGAFSMNLYTVYIIK</v>
      </c>
      <c r="I88" s="4" t="str">
        <f t="shared" si="29"/>
        <v>YWPL</v>
      </c>
      <c r="J88" s="4" t="str">
        <f t="shared" si="30"/>
        <v>GAVVCDLWLALDYVVSNASVMNLLIISFDRYFCVTK</v>
      </c>
      <c r="K88" s="4" t="str">
        <f t="shared" si="31"/>
        <v>PLTYPARR</v>
      </c>
      <c r="L88" s="4" t="str">
        <f t="shared" si="32"/>
        <v>TTKMAGLMIAAAWVLSFVLWAPAILFWQFVVG</v>
      </c>
      <c r="M88" s="4" t="str">
        <f t="shared" si="33"/>
        <v>CFI</v>
      </c>
      <c r="N88" s="4" t="str">
        <f t="shared" si="34"/>
        <v>NPAVTFGTAIAAFYLPVVIMTVLYIHISLASRSRVHKHRPE</v>
      </c>
      <c r="O88" s="4" t="str">
        <f t="shared" si="35"/>
        <v>RQMAARERKVTRTIFAILLAFILTWTPYNVMVLVNTFC</v>
      </c>
      <c r="P88" s="4" t="str">
        <f t="shared" si="36"/>
        <v>PDTVWSIGYWLCYVNSTINPACYALC</v>
      </c>
      <c r="Q88" s="4" t="str">
        <f t="shared" si="37"/>
        <v>NATFKKTFRHLLL</v>
      </c>
      <c r="R88" s="5">
        <f>VLOOKUP($A88,'SegEnds_NonXtal_Prot#'!$A:$AL,3,FALSE)</f>
        <v>26</v>
      </c>
      <c r="S88" s="5">
        <f>VLOOKUP($A88,'SegEnds_NonXtal_Prot#'!$A:$AL,6,FALSE)</f>
        <v>61</v>
      </c>
      <c r="T88" s="5">
        <f>VLOOKUP($A88,'SegEnds_NonXtal_Prot#'!$A:$AL,9,FALSE)</f>
        <v>65</v>
      </c>
      <c r="U88" s="5">
        <f>VLOOKUP($A88,'SegEnds_NonXtal_Prot#'!$A:$AL,12,FALSE)</f>
        <v>97</v>
      </c>
      <c r="V88" s="5">
        <f>VLOOKUP($A88,'SegEnds_NonXtal_Prot#'!$A:$AL,15,FALSE)</f>
        <v>101</v>
      </c>
      <c r="W88" s="5">
        <f>VLOOKUP($A88,'SegEnds_NonXtal_Prot#'!$A:$AL,18,FALSE)</f>
        <v>137</v>
      </c>
      <c r="X88" s="5">
        <f>VLOOKUP($A88,'SegEnds_NonXtal_Prot#'!$A:$AL,21,FALSE)</f>
        <v>145</v>
      </c>
      <c r="Y88" s="5">
        <f>VLOOKUP($A88,'SegEnds_NonXtal_Prot#'!$A:$AL,24,FALSE)</f>
        <v>185</v>
      </c>
      <c r="Z88" s="5">
        <f>VLOOKUP($A88,'SegEnds_NonXtal_Prot#'!$A:$AL,27,FALSE)</f>
        <v>192</v>
      </c>
      <c r="AA88" s="5">
        <f>VLOOKUP($A88,'SegEnds_NonXtal_Prot#'!$A:$AL,30,FALSE)</f>
        <v>389</v>
      </c>
      <c r="AB88" s="5">
        <f>VLOOKUP($A88,'SegEnds_NonXtal_Prot#'!$A:$AL,33,FALSE)</f>
        <v>431</v>
      </c>
      <c r="AC88" s="5">
        <f>VLOOKUP($A88,'SegEnds_NonXtal_Prot#'!$A:$AL,36,FALSE)</f>
        <v>457</v>
      </c>
      <c r="AD88" s="5">
        <f>VLOOKUP($A88,'SegEnds_NonXtal_Prot#'!$A:$AL,5,FALSE)</f>
        <v>60</v>
      </c>
      <c r="AE88" s="5">
        <f>VLOOKUP($A88,'SegEnds_NonXtal_Prot#'!$A:$AL,8,FALSE)</f>
        <v>64</v>
      </c>
      <c r="AF88" s="5">
        <f>VLOOKUP($A88,'SegEnds_NonXtal_Prot#'!$A:$AL,11,FALSE)</f>
        <v>95</v>
      </c>
      <c r="AG88" s="5">
        <f>VLOOKUP($A88,'SegEnds_NonXtal_Prot#'!$A:$AL,14,FALSE)</f>
        <v>100</v>
      </c>
      <c r="AH88" s="5">
        <f>VLOOKUP($A88,'SegEnds_NonXtal_Prot#'!$A:$AL,17,FALSE)</f>
        <v>136</v>
      </c>
      <c r="AI88" s="5">
        <f>VLOOKUP($A88,'SegEnds_NonXtal_Prot#'!$A:$AL,20,FALSE)</f>
        <v>144</v>
      </c>
      <c r="AJ88" s="5">
        <f>VLOOKUP($A88,'SegEnds_NonXtal_Prot#'!$A:$AL,23,FALSE)</f>
        <v>176</v>
      </c>
      <c r="AK88" s="5">
        <f>VLOOKUP($A88,'SegEnds_NonXtal_Prot#'!$A:$AL,26,FALSE)</f>
        <v>187</v>
      </c>
      <c r="AL88" s="5">
        <f>VLOOKUP($A88,'SegEnds_NonXtal_Prot#'!$A:$AL,29,FALSE)</f>
        <v>232</v>
      </c>
      <c r="AM88" s="5">
        <f>VLOOKUP($A88,'SegEnds_NonXtal_Prot#'!$A:$AL,32,FALSE)</f>
        <v>426</v>
      </c>
      <c r="AN88" s="5">
        <f>VLOOKUP($A88,'SegEnds_NonXtal_Prot#'!$A:$AL,35,FALSE)</f>
        <v>456</v>
      </c>
      <c r="AO88" s="5">
        <f>VLOOKUP($A88,'SegEnds_NonXtal_Prot#'!$A:$AL,38,FALSE)</f>
        <v>469</v>
      </c>
      <c r="AP88" s="5">
        <f t="shared" si="38"/>
        <v>34</v>
      </c>
      <c r="AQ88" s="4">
        <f t="shared" si="39"/>
        <v>3</v>
      </c>
      <c r="AR88" s="4">
        <f t="shared" si="40"/>
        <v>30</v>
      </c>
      <c r="AS88" s="4">
        <f t="shared" si="41"/>
        <v>3</v>
      </c>
      <c r="AT88" s="4">
        <f t="shared" si="42"/>
        <v>35</v>
      </c>
      <c r="AU88" s="4">
        <f t="shared" si="43"/>
        <v>7</v>
      </c>
      <c r="AV88" s="4">
        <f t="shared" si="44"/>
        <v>31</v>
      </c>
      <c r="AW88" s="4">
        <f t="shared" si="45"/>
        <v>2</v>
      </c>
      <c r="AX88" s="4">
        <f t="shared" si="46"/>
        <v>40</v>
      </c>
      <c r="AY88" s="4">
        <f t="shared" si="47"/>
        <v>37</v>
      </c>
      <c r="AZ88" s="4">
        <f t="shared" si="48"/>
        <v>25</v>
      </c>
      <c r="BA88" s="4">
        <f t="shared" si="49"/>
        <v>12</v>
      </c>
    </row>
    <row r="89" spans="1:53" x14ac:dyDescent="0.2">
      <c r="A89" s="1" t="str">
        <f>'SegEnds_NonXtal_Prot#'!A60</f>
        <v>acm5_human</v>
      </c>
      <c r="B89" s="1" t="str">
        <f t="shared" si="25"/>
        <v>LWEVITIAAVTAVVSLITIVGNVLVMISFKVNTVNNYYLLSLACADLIIGIFSMNLYTTYILMGSLACDLWLALDYVASNASVMNLLVISFDRYFSITRTPKRAGIMIGLAWLISFILWAPAILCWQYLVGEPTITFGTAIAAFYIPVSVMTILYCRIYRETEKRTKDLADLRVVLVKERKAAQTLSAILLAFIITWTPYNIMVLVSTFCPVTLWHLGYWLCYVNSTVNPICYALCNRTFRKTFKMLL</v>
      </c>
      <c r="C89" s="29" t="str">
        <f>IF(ISERROR(MATCH(A89,'SegEnds_Xtal_Prot#'!B:B, 0)), "NoXtal", "Xtal")</f>
        <v>NoXtal</v>
      </c>
      <c r="D89" s="4" t="str">
        <f>VLOOKUP(A89,Classification!A:D,2,FALSE)</f>
        <v>A</v>
      </c>
      <c r="E89" s="5" t="str">
        <f>VLOOKUP(A89,Seqs!A:B,2,FALSE)</f>
        <v>MEGDSYHNATTVNGTPVNHQPLERHRLWEVITIAAVTAVVSLITIVGNVLVMISFKVNSQLKTVNNYYLLSLACADLIIGIFSMNLYTTYILMGRWALGSLACDLWLALDYVASNASVMNLLVISFDRYFSITRPLTYRAKRTPKRAGIMIGLAWLISFILWAPAILCWQYLVGKRTVPLDECQIQFLSEPTITFGTAIAAFYIPVSVMTILYCRIYRETEKRTKDLADLQGSDSVTKAEKRKPAHRALFRSCLRCPRPTLAQRERNQASWSSSRRSTSTTGKPSQATGPSANWAKAEQLTTCSSYPSSEDEDKPATDPVLQVVYKSQGKESPGEEFSAEETEETFVKAETEKSDYDTPNYLLSPAAAHRPKSQKCVAYKFRLVVKADGNQETNNGCHKVKIMPCPFPVAKEPSTKGLNPNPSHQMTKRKRVVLVKERKAAQTLSAILLAFIITWTPYNIMVLVSTFCDKCVPVTLWHLGYWLCYVNSTVNPICYALCNRTFRKTFKMLLLCRWKKKKVEEKLYWQGNSKLP</v>
      </c>
      <c r="F89" s="5" t="str">
        <f t="shared" si="26"/>
        <v>LWEVITIAAVTAVVSLITIVGNVLVMISFKVN</v>
      </c>
      <c r="G89" s="4" t="str">
        <f t="shared" si="27"/>
        <v>SQLK</v>
      </c>
      <c r="H89" s="4" t="str">
        <f t="shared" si="28"/>
        <v>TVNNYYLLSLACADLIIGIFSMNLYTTYILM</v>
      </c>
      <c r="I89" s="4" t="str">
        <f t="shared" si="29"/>
        <v>RWAL</v>
      </c>
      <c r="J89" s="4" t="str">
        <f t="shared" si="30"/>
        <v>GSLACDLWLALDYVASNASVMNLLVISFDRYFSITR</v>
      </c>
      <c r="K89" s="4" t="str">
        <f t="shared" si="31"/>
        <v>PLTYRAKR</v>
      </c>
      <c r="L89" s="4" t="str">
        <f t="shared" si="32"/>
        <v>TPKRAGIMIGLAWLISFILWAPAILCWQYLVG</v>
      </c>
      <c r="M89" s="4" t="str">
        <f t="shared" si="33"/>
        <v>CQI</v>
      </c>
      <c r="N89" s="4" t="str">
        <f t="shared" si="34"/>
        <v>EPTITFGTAIAAFYIPVSVMTILYCRIYRETEKRTKDLADL</v>
      </c>
      <c r="O89" s="4" t="str">
        <f t="shared" si="35"/>
        <v>RVVLVKERKAAQTLSAILLAFIITWTPYNIMVLVSTFC</v>
      </c>
      <c r="P89" s="4" t="str">
        <f t="shared" si="36"/>
        <v>PVTLWHLGYWLCYVNSTVNPICYALC</v>
      </c>
      <c r="Q89" s="4" t="str">
        <f t="shared" si="37"/>
        <v>NRTFRKTFKMLL</v>
      </c>
      <c r="R89" s="5">
        <f>VLOOKUP($A89,'SegEnds_NonXtal_Prot#'!$A:$AL,3,FALSE)</f>
        <v>27</v>
      </c>
      <c r="S89" s="5">
        <f>VLOOKUP($A89,'SegEnds_NonXtal_Prot#'!$A:$AL,6,FALSE)</f>
        <v>59</v>
      </c>
      <c r="T89" s="5">
        <f>VLOOKUP($A89,'SegEnds_NonXtal_Prot#'!$A:$AL,9,FALSE)</f>
        <v>63</v>
      </c>
      <c r="U89" s="5">
        <f>VLOOKUP($A89,'SegEnds_NonXtal_Prot#'!$A:$AL,12,FALSE)</f>
        <v>95</v>
      </c>
      <c r="V89" s="5">
        <f>VLOOKUP($A89,'SegEnds_NonXtal_Prot#'!$A:$AL,15,FALSE)</f>
        <v>99</v>
      </c>
      <c r="W89" s="5">
        <f>VLOOKUP($A89,'SegEnds_NonXtal_Prot#'!$A:$AL,18,FALSE)</f>
        <v>135</v>
      </c>
      <c r="X89" s="5">
        <f>VLOOKUP($A89,'SegEnds_NonXtal_Prot#'!$A:$AL,21,FALSE)</f>
        <v>143</v>
      </c>
      <c r="Y89" s="5">
        <f>VLOOKUP($A89,'SegEnds_NonXtal_Prot#'!$A:$AL,24,FALSE)</f>
        <v>183</v>
      </c>
      <c r="Z89" s="5">
        <f>VLOOKUP($A89,'SegEnds_NonXtal_Prot#'!$A:$AL,27,FALSE)</f>
        <v>190</v>
      </c>
      <c r="AA89" s="5">
        <f>VLOOKUP($A89,'SegEnds_NonXtal_Prot#'!$A:$AL,30,FALSE)</f>
        <v>431</v>
      </c>
      <c r="AB89" s="5">
        <f>VLOOKUP($A89,'SegEnds_NonXtal_Prot#'!$A:$AL,33,FALSE)</f>
        <v>473</v>
      </c>
      <c r="AC89" s="5">
        <f>VLOOKUP($A89,'SegEnds_NonXtal_Prot#'!$A:$AL,36,FALSE)</f>
        <v>499</v>
      </c>
      <c r="AD89" s="5">
        <f>VLOOKUP($A89,'SegEnds_NonXtal_Prot#'!$A:$AL,5,FALSE)</f>
        <v>58</v>
      </c>
      <c r="AE89" s="5">
        <f>VLOOKUP($A89,'SegEnds_NonXtal_Prot#'!$A:$AL,8,FALSE)</f>
        <v>62</v>
      </c>
      <c r="AF89" s="5">
        <f>VLOOKUP($A89,'SegEnds_NonXtal_Prot#'!$A:$AL,11,FALSE)</f>
        <v>93</v>
      </c>
      <c r="AG89" s="5">
        <f>VLOOKUP($A89,'SegEnds_NonXtal_Prot#'!$A:$AL,14,FALSE)</f>
        <v>98</v>
      </c>
      <c r="AH89" s="5">
        <f>VLOOKUP($A89,'SegEnds_NonXtal_Prot#'!$A:$AL,17,FALSE)</f>
        <v>134</v>
      </c>
      <c r="AI89" s="5">
        <f>VLOOKUP($A89,'SegEnds_NonXtal_Prot#'!$A:$AL,20,FALSE)</f>
        <v>142</v>
      </c>
      <c r="AJ89" s="5">
        <f>VLOOKUP($A89,'SegEnds_NonXtal_Prot#'!$A:$AL,23,FALSE)</f>
        <v>174</v>
      </c>
      <c r="AK89" s="5">
        <f>VLOOKUP($A89,'SegEnds_NonXtal_Prot#'!$A:$AL,26,FALSE)</f>
        <v>185</v>
      </c>
      <c r="AL89" s="5">
        <f>VLOOKUP($A89,'SegEnds_NonXtal_Prot#'!$A:$AL,29,FALSE)</f>
        <v>230</v>
      </c>
      <c r="AM89" s="5">
        <f>VLOOKUP($A89,'SegEnds_NonXtal_Prot#'!$A:$AL,32,FALSE)</f>
        <v>468</v>
      </c>
      <c r="AN89" s="5">
        <f>VLOOKUP($A89,'SegEnds_NonXtal_Prot#'!$A:$AL,35,FALSE)</f>
        <v>498</v>
      </c>
      <c r="AO89" s="5">
        <f>VLOOKUP($A89,'SegEnds_NonXtal_Prot#'!$A:$AL,38,FALSE)</f>
        <v>510</v>
      </c>
      <c r="AP89" s="5">
        <f t="shared" si="38"/>
        <v>31</v>
      </c>
      <c r="AQ89" s="4">
        <f t="shared" si="39"/>
        <v>3</v>
      </c>
      <c r="AR89" s="4">
        <f t="shared" si="40"/>
        <v>30</v>
      </c>
      <c r="AS89" s="4">
        <f t="shared" si="41"/>
        <v>3</v>
      </c>
      <c r="AT89" s="4">
        <f t="shared" si="42"/>
        <v>35</v>
      </c>
      <c r="AU89" s="4">
        <f t="shared" si="43"/>
        <v>7</v>
      </c>
      <c r="AV89" s="4">
        <f t="shared" si="44"/>
        <v>31</v>
      </c>
      <c r="AW89" s="4">
        <f t="shared" si="45"/>
        <v>2</v>
      </c>
      <c r="AX89" s="4">
        <f t="shared" si="46"/>
        <v>40</v>
      </c>
      <c r="AY89" s="4">
        <f t="shared" si="47"/>
        <v>37</v>
      </c>
      <c r="AZ89" s="4">
        <f t="shared" si="48"/>
        <v>25</v>
      </c>
      <c r="BA89" s="4">
        <f t="shared" si="49"/>
        <v>11</v>
      </c>
    </row>
    <row r="90" spans="1:53" x14ac:dyDescent="0.2">
      <c r="A90" s="1" t="str">
        <f>'SegEnds_NonXtal_Prot#'!A61</f>
        <v>acthr_human</v>
      </c>
      <c r="B90" s="1" t="str">
        <f t="shared" si="25"/>
        <v>CPRVVLPEEIFFTISIVGVLENLIVLLAVFKNAPMYFFICSLAISDMLGSLYKILENILIILRGSFETTADDIIDSLFVLSLLGSIFSLSVIAADRYITIFHTMRRTVVVLTVIWTFCTGTGITMVIFFTSLFPLMLVFILCLYVHMFLLARSHTRKISTLPNMKGAITLTILLGVFIFCWAPFVLHVLLMTFCCYMSLFQVNGMLIMCNAVIDPFIYAFRSPELRDAFKKMIF</v>
      </c>
      <c r="C90" s="29" t="str">
        <f>IF(ISERROR(MATCH(A90,'SegEnds_Xtal_Prot#'!B:B, 0)), "NoXtal", "Xtal")</f>
        <v>NoXtal</v>
      </c>
      <c r="D90" s="4" t="str">
        <f>VLOOKUP(A90,Classification!A:D,2,FALSE)</f>
        <v>A</v>
      </c>
      <c r="E90" s="5" t="str">
        <f>VLOOKUP(A90,Seqs!A:B,2,FALSE)</f>
        <v>MKHIINSYENINNTARNNSDCPRVVLPEEIFFTISIVGVLENLIVLLAVFKNKNLQAPMYFFICSLAISDMLGSLYKILENILIILRNMGYLKPRGSFETTADDIIDSLFVLSLLGSIFSLSVIAADRYITIFHALRYHSIVTMRRTVVVLTVIWTFCTGTGITMVIFSHHVPTVITFTSLFPLMLVFILCLYVHMFLLARSHTRKISTLPRANMKGAITLTILLGVFIFCWAPFVLHVLLMTFCPSNPYCACYMSLFQVNGMLIMCNAVIDPFIYAFRSPELRDAFKKMIFCSRYW</v>
      </c>
      <c r="F90" s="5" t="str">
        <f t="shared" si="26"/>
        <v>CPRVVLPEEIFFTISIVGVLENLIVLLAVFKN</v>
      </c>
      <c r="G90" s="4" t="str">
        <f t="shared" si="27"/>
        <v>KNLQ</v>
      </c>
      <c r="H90" s="4" t="str">
        <f t="shared" si="28"/>
        <v>APMYFFICSLAISDMLGSLYKILENILIILR</v>
      </c>
      <c r="I90" s="4" t="str">
        <f t="shared" si="29"/>
        <v/>
      </c>
      <c r="J90" s="4" t="str">
        <f t="shared" si="30"/>
        <v>GSFETTADDIIDSLFVLSLLGSIFSLSVIAADRYITIFH</v>
      </c>
      <c r="K90" s="4" t="str">
        <f t="shared" si="31"/>
        <v>ALRYHSIV</v>
      </c>
      <c r="L90" s="4" t="str">
        <f t="shared" si="32"/>
        <v>TMRRTVVVLTVIWTFCTGTGITMVIF</v>
      </c>
      <c r="M90" s="4" t="str">
        <f t="shared" si="33"/>
        <v/>
      </c>
      <c r="N90" s="4" t="str">
        <f t="shared" si="34"/>
        <v>FTSLFPLMLVFILCLYVHMFLLARSHTRKISTLP</v>
      </c>
      <c r="O90" s="4" t="str">
        <f t="shared" si="35"/>
        <v>NMKGAITLTILLGVFIFCWAPFVLHVLLMTFC</v>
      </c>
      <c r="P90" s="4" t="str">
        <f t="shared" si="36"/>
        <v>CYMSLFQVNGMLIMCNAVIDPFIYAFR</v>
      </c>
      <c r="Q90" s="4" t="str">
        <f t="shared" si="37"/>
        <v>SPELRDAFKKMIF</v>
      </c>
      <c r="R90" s="5">
        <f>VLOOKUP($A90,'SegEnds_NonXtal_Prot#'!$A:$AL,3,FALSE)</f>
        <v>21</v>
      </c>
      <c r="S90" s="5">
        <f>VLOOKUP($A90,'SegEnds_NonXtal_Prot#'!$A:$AL,6,FALSE)</f>
        <v>53</v>
      </c>
      <c r="T90" s="5">
        <f>VLOOKUP($A90,'SegEnds_NonXtal_Prot#'!$A:$AL,9,FALSE)</f>
        <v>57</v>
      </c>
      <c r="U90" s="5" t="str">
        <f>VLOOKUP($A90,'SegEnds_NonXtal_Prot#'!$A:$AL,12,FALSE)</f>
        <v>-</v>
      </c>
      <c r="V90" s="5">
        <f>VLOOKUP($A90,'SegEnds_NonXtal_Prot#'!$A:$AL,15,FALSE)</f>
        <v>96</v>
      </c>
      <c r="W90" s="5">
        <f>VLOOKUP($A90,'SegEnds_NonXtal_Prot#'!$A:$AL,18,FALSE)</f>
        <v>135</v>
      </c>
      <c r="X90" s="5">
        <f>VLOOKUP($A90,'SegEnds_NonXtal_Prot#'!$A:$AL,21,FALSE)</f>
        <v>143</v>
      </c>
      <c r="Y90" s="5" t="str">
        <f>VLOOKUP($A90,'SegEnds_NonXtal_Prot#'!$A:$AL,24,FALSE)</f>
        <v>-</v>
      </c>
      <c r="Z90" s="5">
        <f>VLOOKUP($A90,'SegEnds_NonXtal_Prot#'!$A:$AL,27,FALSE)</f>
        <v>178</v>
      </c>
      <c r="AA90" s="5">
        <f>VLOOKUP($A90,'SegEnds_NonXtal_Prot#'!$A:$AL,30,FALSE)</f>
        <v>214</v>
      </c>
      <c r="AB90" s="5">
        <f>VLOOKUP($A90,'SegEnds_NonXtal_Prot#'!$A:$AL,33,FALSE)</f>
        <v>253</v>
      </c>
      <c r="AC90" s="5">
        <f>VLOOKUP($A90,'SegEnds_NonXtal_Prot#'!$A:$AL,36,FALSE)</f>
        <v>280</v>
      </c>
      <c r="AD90" s="5">
        <f>VLOOKUP($A90,'SegEnds_NonXtal_Prot#'!$A:$AL,5,FALSE)</f>
        <v>52</v>
      </c>
      <c r="AE90" s="5">
        <f>VLOOKUP($A90,'SegEnds_NonXtal_Prot#'!$A:$AL,8,FALSE)</f>
        <v>56</v>
      </c>
      <c r="AF90" s="5">
        <f>VLOOKUP($A90,'SegEnds_NonXtal_Prot#'!$A:$AL,11,FALSE)</f>
        <v>87</v>
      </c>
      <c r="AG90" s="5" t="str">
        <f>VLOOKUP($A90,'SegEnds_NonXtal_Prot#'!$A:$AL,14,FALSE)</f>
        <v>-</v>
      </c>
      <c r="AH90" s="5">
        <f>VLOOKUP($A90,'SegEnds_NonXtal_Prot#'!$A:$AL,17,FALSE)</f>
        <v>134</v>
      </c>
      <c r="AI90" s="5">
        <f>VLOOKUP($A90,'SegEnds_NonXtal_Prot#'!$A:$AL,20,FALSE)</f>
        <v>142</v>
      </c>
      <c r="AJ90" s="5">
        <f>VLOOKUP($A90,'SegEnds_NonXtal_Prot#'!$A:$AL,23,FALSE)</f>
        <v>168</v>
      </c>
      <c r="AK90" s="5" t="str">
        <f>VLOOKUP($A90,'SegEnds_NonXtal_Prot#'!$A:$AL,26,FALSE)</f>
        <v>-</v>
      </c>
      <c r="AL90" s="5">
        <f>VLOOKUP($A90,'SegEnds_NonXtal_Prot#'!$A:$AL,29,FALSE)</f>
        <v>211</v>
      </c>
      <c r="AM90" s="5">
        <f>VLOOKUP($A90,'SegEnds_NonXtal_Prot#'!$A:$AL,32,FALSE)</f>
        <v>245</v>
      </c>
      <c r="AN90" s="5">
        <f>VLOOKUP($A90,'SegEnds_NonXtal_Prot#'!$A:$AL,35,FALSE)</f>
        <v>279</v>
      </c>
      <c r="AO90" s="5">
        <f>VLOOKUP($A90,'SegEnds_NonXtal_Prot#'!$A:$AL,38,FALSE)</f>
        <v>292</v>
      </c>
      <c r="AP90" s="5">
        <f t="shared" si="38"/>
        <v>31</v>
      </c>
      <c r="AQ90" s="4">
        <f t="shared" si="39"/>
        <v>3</v>
      </c>
      <c r="AR90" s="4">
        <f t="shared" si="40"/>
        <v>30</v>
      </c>
      <c r="AS90" s="4" t="str">
        <f t="shared" si="41"/>
        <v>-</v>
      </c>
      <c r="AT90" s="4">
        <f t="shared" si="42"/>
        <v>38</v>
      </c>
      <c r="AU90" s="4">
        <f t="shared" si="43"/>
        <v>7</v>
      </c>
      <c r="AV90" s="4">
        <f t="shared" si="44"/>
        <v>25</v>
      </c>
      <c r="AW90" s="4" t="str">
        <f t="shared" si="45"/>
        <v>-</v>
      </c>
      <c r="AX90" s="4">
        <f t="shared" si="46"/>
        <v>33</v>
      </c>
      <c r="AY90" s="4">
        <f t="shared" si="47"/>
        <v>31</v>
      </c>
      <c r="AZ90" s="4">
        <f t="shared" si="48"/>
        <v>26</v>
      </c>
      <c r="BA90" s="4">
        <f t="shared" si="49"/>
        <v>12</v>
      </c>
    </row>
    <row r="91" spans="1:53" x14ac:dyDescent="0.2">
      <c r="A91" s="1" t="str">
        <f>'SegEnds_NonXtal_Prot#'!A62</f>
        <v>ada1a_human</v>
      </c>
      <c r="B91" s="1" t="str">
        <f t="shared" si="25"/>
        <v>ISKAILLGVILGGLILFGVLGNILVILSVACHSVTHYYIVNLAVADLLLTSTVLPFSAIFEVLGGRVFCNIWAAVDVLCCTASIMGLCIISIDRYIGVSYTQRRGLMALLCVWALSLVISIGPLFEPGYVLFSALGSFYLPLAIILVMYCRVYVVAKRESRGLKSGLLLKFSREKKAAKTLGIVVGCFVLCWLPFFLVMPIGSFFSETVFKIVFWLGYLNSCINPIIYPCSSQEFKKAFQNVLR</v>
      </c>
      <c r="C91" s="29" t="str">
        <f>IF(ISERROR(MATCH(A91,'SegEnds_Xtal_Prot#'!B:B, 0)), "NoXtal", "Xtal")</f>
        <v>NoXtal</v>
      </c>
      <c r="D91" s="4" t="str">
        <f>VLOOKUP(A91,Classification!A:D,2,FALSE)</f>
        <v>A</v>
      </c>
      <c r="E91" s="5" t="str">
        <f>VLOOKUP(A91,Seqs!A:B,2,FALSE)</f>
        <v>MVFLSGNASDSSNCTQPPAPVNISKAILLGVILGGLILFGVLGNILVILSVACHRHLHSVTHYYIVNLAVADLLLTSTVLPFSAIFEVLGYWAFGRVFCNIWAAVDVLCCTASIMGLCIISIDRYIGVSYPLRYPTIVTQRRGLMALLCVWALSLVISIGPLFGWRQPAPEDETICQINEEPGYVLFSALGSFYLPLAIILVMYCRVYVVAKRESRGLKSGLKTDKSDSEQVTLRIHRKNAPAGGSGMASAKTKTHFSVRLLKFSREKKAAKTLGIVVGCFVLCWLPFFLVMPIGSFFPDFKPSETVFKIVFWLGYLNSCINPIIYPCSSQEFKKAFQNVLRIQCLCRKQSSKHALGYTLHPPSQAVEGQHKDMVRIPVGSRETFYRISKTDGVCEWKFFSSMPRGSARITVSKDQSSCTTARVRSKSFLQVCCCVGPSTPSLDKNHQVPTIKVHTISLSENGEEV</v>
      </c>
      <c r="F91" s="5" t="str">
        <f t="shared" si="26"/>
        <v>ISKAILLGVILGGLILFGVLGNILVILSVACH</v>
      </c>
      <c r="G91" s="4" t="str">
        <f t="shared" si="27"/>
        <v>RHLH</v>
      </c>
      <c r="H91" s="4" t="str">
        <f t="shared" si="28"/>
        <v>SVTHYYIVNLAVADLLLTSTVLPFSAIFEVLG</v>
      </c>
      <c r="I91" s="4" t="str">
        <f t="shared" si="29"/>
        <v>YWAF</v>
      </c>
      <c r="J91" s="4" t="str">
        <f t="shared" si="30"/>
        <v>GRVFCNIWAAVDVLCCTASIMGLCIISIDRYIGVSY</v>
      </c>
      <c r="K91" s="4" t="str">
        <f t="shared" si="31"/>
        <v>PLRYPTIV</v>
      </c>
      <c r="L91" s="4" t="str">
        <f t="shared" si="32"/>
        <v>TQRRGLMALLCVWALSLVISIGPLF</v>
      </c>
      <c r="M91" s="4" t="str">
        <f t="shared" si="33"/>
        <v>CQI</v>
      </c>
      <c r="N91" s="4" t="str">
        <f t="shared" si="34"/>
        <v>EPGYVLFSALGSFYLPLAIILVMYCRVYVVAKRESRGLKSGL</v>
      </c>
      <c r="O91" s="4" t="str">
        <f t="shared" si="35"/>
        <v>LLKFSREKKAAKTLGIVVGCFVLCWLPFFLVMPIGSFF</v>
      </c>
      <c r="P91" s="4" t="str">
        <f t="shared" si="36"/>
        <v>SETVFKIVFWLGYLNSCINPIIYPCS</v>
      </c>
      <c r="Q91" s="4" t="str">
        <f t="shared" si="37"/>
        <v>SQEFKKAFQNVLR</v>
      </c>
      <c r="R91" s="5">
        <f>VLOOKUP($A91,'SegEnds_NonXtal_Prot#'!$A:$AL,3,FALSE)</f>
        <v>23</v>
      </c>
      <c r="S91" s="5">
        <f>VLOOKUP($A91,'SegEnds_NonXtal_Prot#'!$A:$AL,6,FALSE)</f>
        <v>55</v>
      </c>
      <c r="T91" s="5">
        <f>VLOOKUP($A91,'SegEnds_NonXtal_Prot#'!$A:$AL,9,FALSE)</f>
        <v>59</v>
      </c>
      <c r="U91" s="5">
        <f>VLOOKUP($A91,'SegEnds_NonXtal_Prot#'!$A:$AL,12,FALSE)</f>
        <v>91</v>
      </c>
      <c r="V91" s="5">
        <f>VLOOKUP($A91,'SegEnds_NonXtal_Prot#'!$A:$AL,15,FALSE)</f>
        <v>95</v>
      </c>
      <c r="W91" s="5">
        <f>VLOOKUP($A91,'SegEnds_NonXtal_Prot#'!$A:$AL,18,FALSE)</f>
        <v>131</v>
      </c>
      <c r="X91" s="5">
        <f>VLOOKUP($A91,'SegEnds_NonXtal_Prot#'!$A:$AL,21,FALSE)</f>
        <v>139</v>
      </c>
      <c r="Y91" s="5">
        <f>VLOOKUP($A91,'SegEnds_NonXtal_Prot#'!$A:$AL,24,FALSE)</f>
        <v>176</v>
      </c>
      <c r="Z91" s="5">
        <f>VLOOKUP($A91,'SegEnds_NonXtal_Prot#'!$A:$AL,27,FALSE)</f>
        <v>181</v>
      </c>
      <c r="AA91" s="5">
        <f>VLOOKUP($A91,'SegEnds_NonXtal_Prot#'!$A:$AL,30,FALSE)</f>
        <v>261</v>
      </c>
      <c r="AB91" s="5">
        <f>VLOOKUP($A91,'SegEnds_NonXtal_Prot#'!$A:$AL,33,FALSE)</f>
        <v>304</v>
      </c>
      <c r="AC91" s="5">
        <f>VLOOKUP($A91,'SegEnds_NonXtal_Prot#'!$A:$AL,36,FALSE)</f>
        <v>330</v>
      </c>
      <c r="AD91" s="5">
        <f>VLOOKUP($A91,'SegEnds_NonXtal_Prot#'!$A:$AL,5,FALSE)</f>
        <v>54</v>
      </c>
      <c r="AE91" s="5">
        <f>VLOOKUP($A91,'SegEnds_NonXtal_Prot#'!$A:$AL,8,FALSE)</f>
        <v>58</v>
      </c>
      <c r="AF91" s="5">
        <f>VLOOKUP($A91,'SegEnds_NonXtal_Prot#'!$A:$AL,11,FALSE)</f>
        <v>90</v>
      </c>
      <c r="AG91" s="5">
        <f>VLOOKUP($A91,'SegEnds_NonXtal_Prot#'!$A:$AL,14,FALSE)</f>
        <v>94</v>
      </c>
      <c r="AH91" s="5">
        <f>VLOOKUP($A91,'SegEnds_NonXtal_Prot#'!$A:$AL,17,FALSE)</f>
        <v>130</v>
      </c>
      <c r="AI91" s="5">
        <f>VLOOKUP($A91,'SegEnds_NonXtal_Prot#'!$A:$AL,20,FALSE)</f>
        <v>138</v>
      </c>
      <c r="AJ91" s="5">
        <f>VLOOKUP($A91,'SegEnds_NonXtal_Prot#'!$A:$AL,23,FALSE)</f>
        <v>163</v>
      </c>
      <c r="AK91" s="5">
        <f>VLOOKUP($A91,'SegEnds_NonXtal_Prot#'!$A:$AL,26,FALSE)</f>
        <v>178</v>
      </c>
      <c r="AL91" s="5">
        <f>VLOOKUP($A91,'SegEnds_NonXtal_Prot#'!$A:$AL,29,FALSE)</f>
        <v>222</v>
      </c>
      <c r="AM91" s="5">
        <f>VLOOKUP($A91,'SegEnds_NonXtal_Prot#'!$A:$AL,32,FALSE)</f>
        <v>298</v>
      </c>
      <c r="AN91" s="5">
        <f>VLOOKUP($A91,'SegEnds_NonXtal_Prot#'!$A:$AL,35,FALSE)</f>
        <v>329</v>
      </c>
      <c r="AO91" s="5">
        <f>VLOOKUP($A91,'SegEnds_NonXtal_Prot#'!$A:$AL,38,FALSE)</f>
        <v>342</v>
      </c>
      <c r="AP91" s="5">
        <f t="shared" si="38"/>
        <v>31</v>
      </c>
      <c r="AQ91" s="4">
        <f t="shared" si="39"/>
        <v>3</v>
      </c>
      <c r="AR91" s="4">
        <f t="shared" si="40"/>
        <v>31</v>
      </c>
      <c r="AS91" s="4">
        <f t="shared" si="41"/>
        <v>3</v>
      </c>
      <c r="AT91" s="4">
        <f t="shared" si="42"/>
        <v>35</v>
      </c>
      <c r="AU91" s="4">
        <f t="shared" si="43"/>
        <v>7</v>
      </c>
      <c r="AV91" s="4">
        <f t="shared" si="44"/>
        <v>24</v>
      </c>
      <c r="AW91" s="4">
        <f t="shared" si="45"/>
        <v>2</v>
      </c>
      <c r="AX91" s="4">
        <f t="shared" si="46"/>
        <v>41</v>
      </c>
      <c r="AY91" s="4">
        <f t="shared" si="47"/>
        <v>37</v>
      </c>
      <c r="AZ91" s="4">
        <f t="shared" si="48"/>
        <v>25</v>
      </c>
      <c r="BA91" s="4">
        <f t="shared" si="49"/>
        <v>12</v>
      </c>
    </row>
    <row r="92" spans="1:53" x14ac:dyDescent="0.2">
      <c r="A92" s="1" t="str">
        <f>'SegEnds_NonXtal_Prot#'!A63</f>
        <v>ada1b_human</v>
      </c>
      <c r="B92" s="1" t="str">
        <f t="shared" si="25"/>
        <v>ITRAISVGLVLGAFILFAIVGNILVILSVACNTPTNYFIVNLAMADLLLSFTVLPFSAALEVLGGRIFCDIWAAVDVLCCTASILSLCAISIDRYIGVRYTRRKAILALLSVWVLSTVISIGPLLEPFYALFSSLGSFYIPLAVILVMYCRVYIVAKRTTKNLEALFKFSREKKAAKTLGIVVGMFILCWLPFFIALPLGSLFPDAVFKVVFWLGYFNSCLNPIIYPCSSKEFKRAFVRILG</v>
      </c>
      <c r="C92" s="29" t="str">
        <f>IF(ISERROR(MATCH(A92,'SegEnds_Xtal_Prot#'!B:B, 0)), "NoXtal", "Xtal")</f>
        <v>NoXtal</v>
      </c>
      <c r="D92" s="4" t="str">
        <f>VLOOKUP(A92,Classification!A:D,2,FALSE)</f>
        <v>A</v>
      </c>
      <c r="E92" s="5" t="str">
        <f>VLOOKUP(A92,Seqs!A:B,2,FALSE)</f>
        <v>MNPDLDTGHNTSAPAHWGELKNANFTGPNQTSSNSTLPQLDITRAISVGLVLGAFILFAIVGNILVILSVACNRHLRTPTNYFIVNLAMADLLLSFTVLPFSAALEVLGYWVLGRIFCDIWAAVDVLCCTASILSLCAISIDRYIGVRYSLQYPTLVTRRKAILALLSVWVLSTVISIGPLLGWKEPAPNDDKECGVTEEPFYALFSSLGSFYIPLAVILVMYCRVYIVAKRTTKNLEAGVMKEMSNSKELTLRIHSKNFHEDTLSSTKAKGHNPRSSIAVKLFKFSREKKAAKTLGIVVGMFILCWLPFFIALPLGSLFSTLKPPDAVFKVVFWLGYFNSCLNPIIYPCSSKEFKRAFVRILGCQCRGRGRRRRRRRRRLGGCAYTYRPWTRGGSLERSQSRKDSLDDSGSCLSGSQRTLPSASPSPGYLGRGAPPPVELCAFPEWKAPGALLSLPAPEPPGRRGRHDSGPLFTFKLLTEPESPGTDGGASNGGCEAAADVANGQPGFKSNMPLAPGQF</v>
      </c>
      <c r="F92" s="5" t="str">
        <f t="shared" si="26"/>
        <v>ITRAISVGLVLGAFILFAIVGNILVILSVACN</v>
      </c>
      <c r="G92" s="4" t="str">
        <f t="shared" si="27"/>
        <v>RHLR</v>
      </c>
      <c r="H92" s="4" t="str">
        <f t="shared" si="28"/>
        <v>TPTNYFIVNLAMADLLLSFTVLPFSAALEVLG</v>
      </c>
      <c r="I92" s="4" t="str">
        <f t="shared" si="29"/>
        <v>YWVL</v>
      </c>
      <c r="J92" s="4" t="str">
        <f t="shared" si="30"/>
        <v>GRIFCDIWAAVDVLCCTASILSLCAISIDRYIGVRY</v>
      </c>
      <c r="K92" s="4" t="str">
        <f t="shared" si="31"/>
        <v>SLQYPTLV</v>
      </c>
      <c r="L92" s="4" t="str">
        <f t="shared" si="32"/>
        <v>TRRKAILALLSVWVLSTVISIGPLL</v>
      </c>
      <c r="M92" s="4" t="str">
        <f t="shared" si="33"/>
        <v>CGV</v>
      </c>
      <c r="N92" s="4" t="str">
        <f t="shared" si="34"/>
        <v>EPFYALFSSLGSFYIPLAVILVMYCRVYIVAKRTTKNLEA</v>
      </c>
      <c r="O92" s="4" t="str">
        <f t="shared" si="35"/>
        <v>LFKFSREKKAAKTLGIVVGMFILCWLPFFIALPLGSLF</v>
      </c>
      <c r="P92" s="4" t="str">
        <f t="shared" si="36"/>
        <v>PDAVFKVVFWLGYFNSCLNPIIYPCS</v>
      </c>
      <c r="Q92" s="4" t="str">
        <f t="shared" si="37"/>
        <v>SKEFKRAFVRILG</v>
      </c>
      <c r="R92" s="5">
        <f>VLOOKUP($A92,'SegEnds_NonXtal_Prot#'!$A:$AL,3,FALSE)</f>
        <v>42</v>
      </c>
      <c r="S92" s="5">
        <f>VLOOKUP($A92,'SegEnds_NonXtal_Prot#'!$A:$AL,6,FALSE)</f>
        <v>74</v>
      </c>
      <c r="T92" s="5">
        <f>VLOOKUP($A92,'SegEnds_NonXtal_Prot#'!$A:$AL,9,FALSE)</f>
        <v>78</v>
      </c>
      <c r="U92" s="5">
        <f>VLOOKUP($A92,'SegEnds_NonXtal_Prot#'!$A:$AL,12,FALSE)</f>
        <v>110</v>
      </c>
      <c r="V92" s="5">
        <f>VLOOKUP($A92,'SegEnds_NonXtal_Prot#'!$A:$AL,15,FALSE)</f>
        <v>114</v>
      </c>
      <c r="W92" s="5">
        <f>VLOOKUP($A92,'SegEnds_NonXtal_Prot#'!$A:$AL,18,FALSE)</f>
        <v>150</v>
      </c>
      <c r="X92" s="5">
        <f>VLOOKUP($A92,'SegEnds_NonXtal_Prot#'!$A:$AL,21,FALSE)</f>
        <v>158</v>
      </c>
      <c r="Y92" s="5">
        <f>VLOOKUP($A92,'SegEnds_NonXtal_Prot#'!$A:$AL,24,FALSE)</f>
        <v>195</v>
      </c>
      <c r="Z92" s="5">
        <f>VLOOKUP($A92,'SegEnds_NonXtal_Prot#'!$A:$AL,27,FALSE)</f>
        <v>200</v>
      </c>
      <c r="AA92" s="5">
        <f>VLOOKUP($A92,'SegEnds_NonXtal_Prot#'!$A:$AL,30,FALSE)</f>
        <v>283</v>
      </c>
      <c r="AB92" s="5">
        <f>VLOOKUP($A92,'SegEnds_NonXtal_Prot#'!$A:$AL,33,FALSE)</f>
        <v>326</v>
      </c>
      <c r="AC92" s="5">
        <f>VLOOKUP($A92,'SegEnds_NonXtal_Prot#'!$A:$AL,36,FALSE)</f>
        <v>352</v>
      </c>
      <c r="AD92" s="5">
        <f>VLOOKUP($A92,'SegEnds_NonXtal_Prot#'!$A:$AL,5,FALSE)</f>
        <v>73</v>
      </c>
      <c r="AE92" s="5">
        <f>VLOOKUP($A92,'SegEnds_NonXtal_Prot#'!$A:$AL,8,FALSE)</f>
        <v>77</v>
      </c>
      <c r="AF92" s="5">
        <f>VLOOKUP($A92,'SegEnds_NonXtal_Prot#'!$A:$AL,11,FALSE)</f>
        <v>109</v>
      </c>
      <c r="AG92" s="5">
        <f>VLOOKUP($A92,'SegEnds_NonXtal_Prot#'!$A:$AL,14,FALSE)</f>
        <v>113</v>
      </c>
      <c r="AH92" s="5">
        <f>VLOOKUP($A92,'SegEnds_NonXtal_Prot#'!$A:$AL,17,FALSE)</f>
        <v>149</v>
      </c>
      <c r="AI92" s="5">
        <f>VLOOKUP($A92,'SegEnds_NonXtal_Prot#'!$A:$AL,20,FALSE)</f>
        <v>157</v>
      </c>
      <c r="AJ92" s="5">
        <f>VLOOKUP($A92,'SegEnds_NonXtal_Prot#'!$A:$AL,23,FALSE)</f>
        <v>182</v>
      </c>
      <c r="AK92" s="5">
        <f>VLOOKUP($A92,'SegEnds_NonXtal_Prot#'!$A:$AL,26,FALSE)</f>
        <v>197</v>
      </c>
      <c r="AL92" s="5">
        <f>VLOOKUP($A92,'SegEnds_NonXtal_Prot#'!$A:$AL,29,FALSE)</f>
        <v>239</v>
      </c>
      <c r="AM92" s="5">
        <f>VLOOKUP($A92,'SegEnds_NonXtal_Prot#'!$A:$AL,32,FALSE)</f>
        <v>320</v>
      </c>
      <c r="AN92" s="5">
        <f>VLOOKUP($A92,'SegEnds_NonXtal_Prot#'!$A:$AL,35,FALSE)</f>
        <v>351</v>
      </c>
      <c r="AO92" s="5">
        <f>VLOOKUP($A92,'SegEnds_NonXtal_Prot#'!$A:$AL,38,FALSE)</f>
        <v>364</v>
      </c>
      <c r="AP92" s="5">
        <f t="shared" si="38"/>
        <v>31</v>
      </c>
      <c r="AQ92" s="4">
        <f t="shared" si="39"/>
        <v>3</v>
      </c>
      <c r="AR92" s="4">
        <f t="shared" si="40"/>
        <v>31</v>
      </c>
      <c r="AS92" s="4">
        <f t="shared" si="41"/>
        <v>3</v>
      </c>
      <c r="AT92" s="4">
        <f t="shared" si="42"/>
        <v>35</v>
      </c>
      <c r="AU92" s="4">
        <f t="shared" si="43"/>
        <v>7</v>
      </c>
      <c r="AV92" s="4">
        <f t="shared" si="44"/>
        <v>24</v>
      </c>
      <c r="AW92" s="4">
        <f t="shared" si="45"/>
        <v>2</v>
      </c>
      <c r="AX92" s="4">
        <f t="shared" si="46"/>
        <v>39</v>
      </c>
      <c r="AY92" s="4">
        <f t="shared" si="47"/>
        <v>37</v>
      </c>
      <c r="AZ92" s="4">
        <f t="shared" si="48"/>
        <v>25</v>
      </c>
      <c r="BA92" s="4">
        <f t="shared" si="49"/>
        <v>12</v>
      </c>
    </row>
    <row r="93" spans="1:53" x14ac:dyDescent="0.2">
      <c r="A93" s="1" t="str">
        <f>'SegEnds_NonXtal_Prot#'!A64</f>
        <v>ada1d_human</v>
      </c>
      <c r="B93" s="1" t="str">
        <f t="shared" si="25"/>
        <v>SAQGVGVGVFLAAFILMAVAGNLLVILSVACNTVTNYFIVNLAVADLLLSATVLPFSATMEVLGGRAFCDVWAAVDVLCCTASILSLCTISVDRYVGVRHTERKAAAILALLWVVALVVSVGPLLEAGYAVFSSVCSFYLPMAVIVVMYCRVYVVARSTTRSLEALLKFSREKKAAKTLAIVVGVFVLCWFPFFFVLPLGSLFSEGVFKVIFWLGYFNSCVNPLIYPCSSREFKRAFLRLLR</v>
      </c>
      <c r="C93" s="29" t="str">
        <f>IF(ISERROR(MATCH(A93,'SegEnds_Xtal_Prot#'!B:B, 0)), "NoXtal", "Xtal")</f>
        <v>NoXtal</v>
      </c>
      <c r="D93" s="4" t="str">
        <f>VLOOKUP(A93,Classification!A:D,2,FALSE)</f>
        <v>A</v>
      </c>
      <c r="E93" s="5" t="str">
        <f>VLOOKUP(A93,Seqs!A:B,2,FALSE)</f>
        <v>MTFRDLLSVSFEGPRPDSSAGGSSAGGGGGSAGGAAPSEGPAVGGVPGGAGGGGGVVGAGSGEDNRSSAGEPGSAGAGGDVNGTAAVGGLVVSAQGVGVGVFLAAFILMAVAGNLLVILSVACNRHLQTVTNYFIVNLAVADLLLSATVLPFSATMEVLGFWAFGRAFCDVWAAVDVLCCTASILSLCTISVDRYVGVRHSLKYPAIMTERKAAAILALLWVVALVVSVGPLLGWKEPVPPDERFCGITEEAGYAVFSSVCSFYLPMAVIVVMYCRVYVVARSTTRSLEAGVKRERGKASEVVLRIHCRGAATGADGAHGMRSAKGHTFRSSLSVRLLKFSREKKAAKTLAIVVGVFVLCWFPFFFVLPLGSLFPQLKPSEGVFKVIFWLGYFNSCVNPLIYPCSSREFKRAFLRLLRCQCRRRRRRRPLWRVYGHHWRASTSGLRQDCAPSSGDAPPGAPLALTALPDPDPEPPGTPEMQAPVASRRKPPSAFREWRLLGPFRRPTTQLRAKVSSLSHKIRAGGAQRAEAACAQRSEVEAVSLGVPHEVAEGATCQAYELADYSNLRETDI</v>
      </c>
      <c r="F93" s="5" t="str">
        <f t="shared" si="26"/>
        <v>SAQGVGVGVFLAAFILMAVAGNLLVILSVACN</v>
      </c>
      <c r="G93" s="4" t="str">
        <f t="shared" si="27"/>
        <v>RHLQ</v>
      </c>
      <c r="H93" s="4" t="str">
        <f t="shared" si="28"/>
        <v>TVTNYFIVNLAVADLLLSATVLPFSATMEVLG</v>
      </c>
      <c r="I93" s="4" t="str">
        <f t="shared" si="29"/>
        <v>FWAF</v>
      </c>
      <c r="J93" s="4" t="str">
        <f t="shared" si="30"/>
        <v>GRAFCDVWAAVDVLCCTASILSLCTISVDRYVGVRH</v>
      </c>
      <c r="K93" s="4" t="str">
        <f t="shared" si="31"/>
        <v>SLKYPAIM</v>
      </c>
      <c r="L93" s="4" t="str">
        <f t="shared" si="32"/>
        <v>TERKAAAILALLWVVALVVSVGPLL</v>
      </c>
      <c r="M93" s="4" t="str">
        <f t="shared" si="33"/>
        <v>CGI</v>
      </c>
      <c r="N93" s="4" t="str">
        <f t="shared" si="34"/>
        <v>EAGYAVFSSVCSFYLPMAVIVVMYCRVYVVARSTTRSLEA</v>
      </c>
      <c r="O93" s="4" t="str">
        <f t="shared" si="35"/>
        <v>LLKFSREKKAAKTLAIVVGVFVLCWFPFFFVLPLGSLF</v>
      </c>
      <c r="P93" s="4" t="str">
        <f t="shared" si="36"/>
        <v>SEGVFKVIFWLGYFNSCVNPLIYPCS</v>
      </c>
      <c r="Q93" s="4" t="str">
        <f t="shared" si="37"/>
        <v>SREFKRAFLRLLR</v>
      </c>
      <c r="R93" s="5">
        <f>VLOOKUP($A93,'SegEnds_NonXtal_Prot#'!$A:$AL,3,FALSE)</f>
        <v>93</v>
      </c>
      <c r="S93" s="5">
        <f>VLOOKUP($A93,'SegEnds_NonXtal_Prot#'!$A:$AL,6,FALSE)</f>
        <v>125</v>
      </c>
      <c r="T93" s="5">
        <f>VLOOKUP($A93,'SegEnds_NonXtal_Prot#'!$A:$AL,9,FALSE)</f>
        <v>129</v>
      </c>
      <c r="U93" s="5">
        <f>VLOOKUP($A93,'SegEnds_NonXtal_Prot#'!$A:$AL,12,FALSE)</f>
        <v>161</v>
      </c>
      <c r="V93" s="5">
        <f>VLOOKUP($A93,'SegEnds_NonXtal_Prot#'!$A:$AL,15,FALSE)</f>
        <v>165</v>
      </c>
      <c r="W93" s="5">
        <f>VLOOKUP($A93,'SegEnds_NonXtal_Prot#'!$A:$AL,18,FALSE)</f>
        <v>201</v>
      </c>
      <c r="X93" s="5">
        <f>VLOOKUP($A93,'SegEnds_NonXtal_Prot#'!$A:$AL,21,FALSE)</f>
        <v>209</v>
      </c>
      <c r="Y93" s="5">
        <f>VLOOKUP($A93,'SegEnds_NonXtal_Prot#'!$A:$AL,24,FALSE)</f>
        <v>246</v>
      </c>
      <c r="Z93" s="5">
        <f>VLOOKUP($A93,'SegEnds_NonXtal_Prot#'!$A:$AL,27,FALSE)</f>
        <v>251</v>
      </c>
      <c r="AA93" s="5">
        <f>VLOOKUP($A93,'SegEnds_NonXtal_Prot#'!$A:$AL,30,FALSE)</f>
        <v>337</v>
      </c>
      <c r="AB93" s="5">
        <f>VLOOKUP($A93,'SegEnds_NonXtal_Prot#'!$A:$AL,33,FALSE)</f>
        <v>380</v>
      </c>
      <c r="AC93" s="5">
        <f>VLOOKUP($A93,'SegEnds_NonXtal_Prot#'!$A:$AL,36,FALSE)</f>
        <v>406</v>
      </c>
      <c r="AD93" s="5">
        <f>VLOOKUP($A93,'SegEnds_NonXtal_Prot#'!$A:$AL,5,FALSE)</f>
        <v>124</v>
      </c>
      <c r="AE93" s="5">
        <f>VLOOKUP($A93,'SegEnds_NonXtal_Prot#'!$A:$AL,8,FALSE)</f>
        <v>128</v>
      </c>
      <c r="AF93" s="5">
        <f>VLOOKUP($A93,'SegEnds_NonXtal_Prot#'!$A:$AL,11,FALSE)</f>
        <v>160</v>
      </c>
      <c r="AG93" s="5">
        <f>VLOOKUP($A93,'SegEnds_NonXtal_Prot#'!$A:$AL,14,FALSE)</f>
        <v>164</v>
      </c>
      <c r="AH93" s="5">
        <f>VLOOKUP($A93,'SegEnds_NonXtal_Prot#'!$A:$AL,17,FALSE)</f>
        <v>200</v>
      </c>
      <c r="AI93" s="5">
        <f>VLOOKUP($A93,'SegEnds_NonXtal_Prot#'!$A:$AL,20,FALSE)</f>
        <v>208</v>
      </c>
      <c r="AJ93" s="5">
        <f>VLOOKUP($A93,'SegEnds_NonXtal_Prot#'!$A:$AL,23,FALSE)</f>
        <v>233</v>
      </c>
      <c r="AK93" s="5">
        <f>VLOOKUP($A93,'SegEnds_NonXtal_Prot#'!$A:$AL,26,FALSE)</f>
        <v>248</v>
      </c>
      <c r="AL93" s="5">
        <f>VLOOKUP($A93,'SegEnds_NonXtal_Prot#'!$A:$AL,29,FALSE)</f>
        <v>290</v>
      </c>
      <c r="AM93" s="5">
        <f>VLOOKUP($A93,'SegEnds_NonXtal_Prot#'!$A:$AL,32,FALSE)</f>
        <v>374</v>
      </c>
      <c r="AN93" s="5">
        <f>VLOOKUP($A93,'SegEnds_NonXtal_Prot#'!$A:$AL,35,FALSE)</f>
        <v>405</v>
      </c>
      <c r="AO93" s="5">
        <f>VLOOKUP($A93,'SegEnds_NonXtal_Prot#'!$A:$AL,38,FALSE)</f>
        <v>418</v>
      </c>
      <c r="AP93" s="5">
        <f t="shared" si="38"/>
        <v>31</v>
      </c>
      <c r="AQ93" s="4">
        <f t="shared" si="39"/>
        <v>3</v>
      </c>
      <c r="AR93" s="4">
        <f t="shared" si="40"/>
        <v>31</v>
      </c>
      <c r="AS93" s="4">
        <f t="shared" si="41"/>
        <v>3</v>
      </c>
      <c r="AT93" s="4">
        <f t="shared" si="42"/>
        <v>35</v>
      </c>
      <c r="AU93" s="4">
        <f t="shared" si="43"/>
        <v>7</v>
      </c>
      <c r="AV93" s="4">
        <f t="shared" si="44"/>
        <v>24</v>
      </c>
      <c r="AW93" s="4">
        <f t="shared" si="45"/>
        <v>2</v>
      </c>
      <c r="AX93" s="4">
        <f t="shared" si="46"/>
        <v>39</v>
      </c>
      <c r="AY93" s="4">
        <f t="shared" si="47"/>
        <v>37</v>
      </c>
      <c r="AZ93" s="4">
        <f t="shared" si="48"/>
        <v>25</v>
      </c>
      <c r="BA93" s="4">
        <f t="shared" si="49"/>
        <v>12</v>
      </c>
    </row>
    <row r="94" spans="1:53" x14ac:dyDescent="0.2">
      <c r="A94" s="1" t="str">
        <f>'SegEnds_NonXtal_Prot#'!A65</f>
        <v>ada2a_human</v>
      </c>
      <c r="B94" s="1" t="str">
        <f t="shared" si="25"/>
        <v>LQVTLTLVCLAGLLMLLTVFGNVLVIIAVFTSAPQNLFLVSLASADILVATLVIPFSLANEVMGGKAWCEIYLALDVLFCTSSIVHLCAISLDRYWSITQTPRRIKAIIITVWVISAVISFPPLIQKWYVISSCIGSFFAPCLIMILVYVRIYQIAKRRTRVPPSRRGRQNREKRFTFVLAVVIGVFVVCWFPFFFTYTLTAVGRTLFKFFFWFGYCNSSLNPVIYTIFNHDFRRAFKKILC</v>
      </c>
      <c r="C94" s="29" t="str">
        <f>IF(ISERROR(MATCH(A94,'SegEnds_Xtal_Prot#'!B:B, 0)), "NoXtal", "Xtal")</f>
        <v>NoXtal</v>
      </c>
      <c r="D94" s="4" t="str">
        <f>VLOOKUP(A94,Classification!A:D,2,FALSE)</f>
        <v>A</v>
      </c>
      <c r="E94" s="5" t="str">
        <f>VLOOKUP(A94,Seqs!A:B,2,FALSE)</f>
        <v>MGSLQPDAGNASWNGTEAPGGGARATPYSLQVTLTLVCLAGLLMLLTVFGNVLVIIAVFTSRALKAPQNLFLVSLASADILVATLVIPFSLANEVMGYWYFGKAWCEIYLALDVLFCTSSIVHLCAISLDRYWSITQAIEYNLKRTPRRIKAIIITVWVISAVISFPPLISIEKKGGGGGPQPAEPRCEINDQKWYVISSCIGSFFAPCLIMILVYVRIYQIAKRRTRVPPSRRGPDAVAAPPGGTERRPNGLGPERSAGPGGAEAEPLPTQLNGAPGEPAPAGPRDTDALDLEESSSSDHAERPPGPRRPERGPRGKGKARASQVKPGDSLPRRGPGATGIGTPAAGPGEERVGAAKASRWRGRQNREKRFTFVLAVVIGVFVVCWFPFFFTYTLTAVGCSVPRTLFKFFFWFGYCNSSLNPVIYTIFNHDFRRAFKKILCRGDRKRIV</v>
      </c>
      <c r="F94" s="5" t="str">
        <f t="shared" si="26"/>
        <v>LQVTLTLVCLAGLLMLLTVFGNVLVIIAVFTS</v>
      </c>
      <c r="G94" s="4" t="str">
        <f t="shared" si="27"/>
        <v>RALK</v>
      </c>
      <c r="H94" s="4" t="str">
        <f t="shared" si="28"/>
        <v>APQNLFLVSLASADILVATLVIPFSLANEVMG</v>
      </c>
      <c r="I94" s="4" t="str">
        <f t="shared" si="29"/>
        <v>YWYF</v>
      </c>
      <c r="J94" s="4" t="str">
        <f t="shared" si="30"/>
        <v>GKAWCEIYLALDVLFCTSSIVHLCAISLDRYWSITQ</v>
      </c>
      <c r="K94" s="4" t="str">
        <f t="shared" si="31"/>
        <v>AIEYNLKR</v>
      </c>
      <c r="L94" s="4" t="str">
        <f t="shared" si="32"/>
        <v>TPRRIKAIIITVWVISAVISFPPLI</v>
      </c>
      <c r="M94" s="4" t="str">
        <f t="shared" si="33"/>
        <v>CEI</v>
      </c>
      <c r="N94" s="4" t="str">
        <f t="shared" si="34"/>
        <v>QKWYVISSCIGSFFAPCLIMILVYVRIYQIAKRRTRVPPSR</v>
      </c>
      <c r="O94" s="4" t="str">
        <f t="shared" si="35"/>
        <v>RGRQNREKRFTFVLAVVIGVFVVCWFPFFFTYTLTAVG</v>
      </c>
      <c r="P94" s="4" t="str">
        <f t="shared" si="36"/>
        <v>RTLFKFFFWFGYCNSSLNPVIYTIF</v>
      </c>
      <c r="Q94" s="4" t="str">
        <f t="shared" si="37"/>
        <v>NHDFRRAFKKILC</v>
      </c>
      <c r="R94" s="5">
        <f>VLOOKUP($A94,'SegEnds_NonXtal_Prot#'!$A:$AL,3,FALSE)</f>
        <v>30</v>
      </c>
      <c r="S94" s="5">
        <f>VLOOKUP($A94,'SegEnds_NonXtal_Prot#'!$A:$AL,6,FALSE)</f>
        <v>62</v>
      </c>
      <c r="T94" s="5">
        <f>VLOOKUP($A94,'SegEnds_NonXtal_Prot#'!$A:$AL,9,FALSE)</f>
        <v>66</v>
      </c>
      <c r="U94" s="5">
        <f>VLOOKUP($A94,'SegEnds_NonXtal_Prot#'!$A:$AL,12,FALSE)</f>
        <v>98</v>
      </c>
      <c r="V94" s="5">
        <f>VLOOKUP($A94,'SegEnds_NonXtal_Prot#'!$A:$AL,15,FALSE)</f>
        <v>102</v>
      </c>
      <c r="W94" s="5">
        <f>VLOOKUP($A94,'SegEnds_NonXtal_Prot#'!$A:$AL,18,FALSE)</f>
        <v>138</v>
      </c>
      <c r="X94" s="5">
        <f>VLOOKUP($A94,'SegEnds_NonXtal_Prot#'!$A:$AL,21,FALSE)</f>
        <v>146</v>
      </c>
      <c r="Y94" s="5">
        <f>VLOOKUP($A94,'SegEnds_NonXtal_Prot#'!$A:$AL,24,FALSE)</f>
        <v>188</v>
      </c>
      <c r="Z94" s="5">
        <f>VLOOKUP($A94,'SegEnds_NonXtal_Prot#'!$A:$AL,27,FALSE)</f>
        <v>193</v>
      </c>
      <c r="AA94" s="5">
        <f>VLOOKUP($A94,'SegEnds_NonXtal_Prot#'!$A:$AL,30,FALSE)</f>
        <v>363</v>
      </c>
      <c r="AB94" s="5">
        <f>VLOOKUP($A94,'SegEnds_NonXtal_Prot#'!$A:$AL,33,FALSE)</f>
        <v>405</v>
      </c>
      <c r="AC94" s="5">
        <f>VLOOKUP($A94,'SegEnds_NonXtal_Prot#'!$A:$AL,36,FALSE)</f>
        <v>430</v>
      </c>
      <c r="AD94" s="5">
        <f>VLOOKUP($A94,'SegEnds_NonXtal_Prot#'!$A:$AL,5,FALSE)</f>
        <v>61</v>
      </c>
      <c r="AE94" s="5">
        <f>VLOOKUP($A94,'SegEnds_NonXtal_Prot#'!$A:$AL,8,FALSE)</f>
        <v>65</v>
      </c>
      <c r="AF94" s="5">
        <f>VLOOKUP($A94,'SegEnds_NonXtal_Prot#'!$A:$AL,11,FALSE)</f>
        <v>97</v>
      </c>
      <c r="AG94" s="5">
        <f>VLOOKUP($A94,'SegEnds_NonXtal_Prot#'!$A:$AL,14,FALSE)</f>
        <v>101</v>
      </c>
      <c r="AH94" s="5">
        <f>VLOOKUP($A94,'SegEnds_NonXtal_Prot#'!$A:$AL,17,FALSE)</f>
        <v>137</v>
      </c>
      <c r="AI94" s="5">
        <f>VLOOKUP($A94,'SegEnds_NonXtal_Prot#'!$A:$AL,20,FALSE)</f>
        <v>145</v>
      </c>
      <c r="AJ94" s="5">
        <f>VLOOKUP($A94,'SegEnds_NonXtal_Prot#'!$A:$AL,23,FALSE)</f>
        <v>170</v>
      </c>
      <c r="AK94" s="5">
        <f>VLOOKUP($A94,'SegEnds_NonXtal_Prot#'!$A:$AL,26,FALSE)</f>
        <v>190</v>
      </c>
      <c r="AL94" s="5">
        <f>VLOOKUP($A94,'SegEnds_NonXtal_Prot#'!$A:$AL,29,FALSE)</f>
        <v>233</v>
      </c>
      <c r="AM94" s="5">
        <f>VLOOKUP($A94,'SegEnds_NonXtal_Prot#'!$A:$AL,32,FALSE)</f>
        <v>400</v>
      </c>
      <c r="AN94" s="5">
        <f>VLOOKUP($A94,'SegEnds_NonXtal_Prot#'!$A:$AL,35,FALSE)</f>
        <v>429</v>
      </c>
      <c r="AO94" s="5">
        <f>VLOOKUP($A94,'SegEnds_NonXtal_Prot#'!$A:$AL,38,FALSE)</f>
        <v>442</v>
      </c>
      <c r="AP94" s="5">
        <f t="shared" si="38"/>
        <v>31</v>
      </c>
      <c r="AQ94" s="4">
        <f t="shared" si="39"/>
        <v>3</v>
      </c>
      <c r="AR94" s="4">
        <f t="shared" si="40"/>
        <v>31</v>
      </c>
      <c r="AS94" s="4">
        <f t="shared" si="41"/>
        <v>3</v>
      </c>
      <c r="AT94" s="4">
        <f t="shared" si="42"/>
        <v>35</v>
      </c>
      <c r="AU94" s="4">
        <f t="shared" si="43"/>
        <v>7</v>
      </c>
      <c r="AV94" s="4">
        <f t="shared" si="44"/>
        <v>24</v>
      </c>
      <c r="AW94" s="4">
        <f t="shared" si="45"/>
        <v>2</v>
      </c>
      <c r="AX94" s="4">
        <f t="shared" si="46"/>
        <v>40</v>
      </c>
      <c r="AY94" s="4">
        <f t="shared" si="47"/>
        <v>37</v>
      </c>
      <c r="AZ94" s="4">
        <f t="shared" si="48"/>
        <v>24</v>
      </c>
      <c r="BA94" s="4">
        <f t="shared" si="49"/>
        <v>12</v>
      </c>
    </row>
    <row r="95" spans="1:53" x14ac:dyDescent="0.2">
      <c r="A95" s="1" t="str">
        <f>'SegEnds_NonXtal_Prot#'!A66</f>
        <v>ada2b_human</v>
      </c>
      <c r="B95" s="1" t="str">
        <f t="shared" si="25"/>
        <v>VQATAAIAAAITFLILFTIFGNALVILAVLTSAPQNLFLVSLAAADILVATLIIPFSLANELLGRRTWCEVYLALDVLFCTSSIVHLCAISLDRYWAVSRTPRRIKCIILTVWLIAAVISLPPLIEAWYILASSIGSFFAPCLIMILVYLRIYLIAKRSNRRGPRARAQLTREKRFTFVLAVVIGVFVLCWFPFFFSYSLGAICPHGLFQFFFWIGYCNSSLNPVIYTIFNQDFRRAFRRILC</v>
      </c>
      <c r="C95" s="29" t="str">
        <f>IF(ISERROR(MATCH(A95,'SegEnds_Xtal_Prot#'!B:B, 0)), "NoXtal", "Xtal")</f>
        <v>NoXtal</v>
      </c>
      <c r="D95" s="4" t="str">
        <f>VLOOKUP(A95,Classification!A:D,2,FALSE)</f>
        <v>A</v>
      </c>
      <c r="E95" s="5" t="str">
        <f>VLOOKUP(A95,Seqs!A:B,2,FALSE)</f>
        <v>MDHQDPYSVQATAAIAAAITFLILFTIFGNALVILAVLTSRSLRAPQNLFLVSLAAADILVATLIIPFSLANELLGYWYFRRTWCEVYLALDVLFCTSSIVHLCAISLDRYWAVSRALEYNSKRTPRRIKCIILTVWLIAAVISLPPLIYKGDQGPQPRGRPQCKLNQEAWYILASSIGSFFAPCLIMILVYLRIYLIAKRSNRRGPRAKGGPGQGESKQPRPDHGGALASAKLPALASVASAREVNGHSKSTGEKEEGETPEDTGTRALPPSWAALPNSGQGQKEGVCGASPEDEAEEEEEEEEECEPQAVPVSPASACSPPLQQPQGSRVLATLRGQVLLGRGVGAIGGQWWRRRAQLTREKRFTFVLAVVIGVFVLCWFPFFFSYSLGAICPKHCKVPHGLFQFFFWIGYCNSSLNPVIYTIFNQDFRRAFRRILCRPWTQTAW</v>
      </c>
      <c r="F95" s="5" t="str">
        <f t="shared" si="26"/>
        <v>VQATAAIAAAITFLILFTIFGNALVILAVLTS</v>
      </c>
      <c r="G95" s="4" t="str">
        <f t="shared" si="27"/>
        <v>RSLR</v>
      </c>
      <c r="H95" s="4" t="str">
        <f t="shared" si="28"/>
        <v>APQNLFLVSLAAADILVATLIIPFSLANELLG</v>
      </c>
      <c r="I95" s="4" t="str">
        <f t="shared" si="29"/>
        <v>YWYF</v>
      </c>
      <c r="J95" s="4" t="str">
        <f t="shared" si="30"/>
        <v>RRTWCEVYLALDVLFCTSSIVHLCAISLDRYWAVSR</v>
      </c>
      <c r="K95" s="4" t="str">
        <f t="shared" si="31"/>
        <v>ALEYNSKR</v>
      </c>
      <c r="L95" s="4" t="str">
        <f t="shared" si="32"/>
        <v>TPRRIKCIILTVWLIAAVISLPPLI</v>
      </c>
      <c r="M95" s="4" t="str">
        <f t="shared" si="33"/>
        <v>CKL</v>
      </c>
      <c r="N95" s="4" t="str">
        <f t="shared" si="34"/>
        <v>EAWYILASSIGSFFAPCLIMILVYLRIYLIAKRSNRRGPRA</v>
      </c>
      <c r="O95" s="4" t="str">
        <f t="shared" si="35"/>
        <v>RAQLTREKRFTFVLAVVIGVFVLCWFPFFFSYSLGAIC</v>
      </c>
      <c r="P95" s="4" t="str">
        <f t="shared" si="36"/>
        <v>PHGLFQFFFWIGYCNSSLNPVIYTIF</v>
      </c>
      <c r="Q95" s="4" t="str">
        <f t="shared" si="37"/>
        <v>NQDFRRAFRRILC</v>
      </c>
      <c r="R95" s="5">
        <f>VLOOKUP($A95,'SegEnds_NonXtal_Prot#'!$A:$AL,3,FALSE)</f>
        <v>9</v>
      </c>
      <c r="S95" s="5">
        <f>VLOOKUP($A95,'SegEnds_NonXtal_Prot#'!$A:$AL,6,FALSE)</f>
        <v>41</v>
      </c>
      <c r="T95" s="5">
        <f>VLOOKUP($A95,'SegEnds_NonXtal_Prot#'!$A:$AL,9,FALSE)</f>
        <v>45</v>
      </c>
      <c r="U95" s="5">
        <f>VLOOKUP($A95,'SegEnds_NonXtal_Prot#'!$A:$AL,12,FALSE)</f>
        <v>77</v>
      </c>
      <c r="V95" s="5">
        <f>VLOOKUP($A95,'SegEnds_NonXtal_Prot#'!$A:$AL,15,FALSE)</f>
        <v>81</v>
      </c>
      <c r="W95" s="5">
        <f>VLOOKUP($A95,'SegEnds_NonXtal_Prot#'!$A:$AL,18,FALSE)</f>
        <v>117</v>
      </c>
      <c r="X95" s="5">
        <f>VLOOKUP($A95,'SegEnds_NonXtal_Prot#'!$A:$AL,21,FALSE)</f>
        <v>125</v>
      </c>
      <c r="Y95" s="5">
        <f>VLOOKUP($A95,'SegEnds_NonXtal_Prot#'!$A:$AL,24,FALSE)</f>
        <v>164</v>
      </c>
      <c r="Z95" s="5">
        <f>VLOOKUP($A95,'SegEnds_NonXtal_Prot#'!$A:$AL,27,FALSE)</f>
        <v>169</v>
      </c>
      <c r="AA95" s="5">
        <f>VLOOKUP($A95,'SegEnds_NonXtal_Prot#'!$A:$AL,30,FALSE)</f>
        <v>357</v>
      </c>
      <c r="AB95" s="5">
        <f>VLOOKUP($A95,'SegEnds_NonXtal_Prot#'!$A:$AL,33,FALSE)</f>
        <v>401</v>
      </c>
      <c r="AC95" s="5">
        <f>VLOOKUP($A95,'SegEnds_NonXtal_Prot#'!$A:$AL,36,FALSE)</f>
        <v>427</v>
      </c>
      <c r="AD95" s="5">
        <f>VLOOKUP($A95,'SegEnds_NonXtal_Prot#'!$A:$AL,5,FALSE)</f>
        <v>40</v>
      </c>
      <c r="AE95" s="5">
        <f>VLOOKUP($A95,'SegEnds_NonXtal_Prot#'!$A:$AL,8,FALSE)</f>
        <v>44</v>
      </c>
      <c r="AF95" s="5">
        <f>VLOOKUP($A95,'SegEnds_NonXtal_Prot#'!$A:$AL,11,FALSE)</f>
        <v>76</v>
      </c>
      <c r="AG95" s="5">
        <f>VLOOKUP($A95,'SegEnds_NonXtal_Prot#'!$A:$AL,14,FALSE)</f>
        <v>80</v>
      </c>
      <c r="AH95" s="5">
        <f>VLOOKUP($A95,'SegEnds_NonXtal_Prot#'!$A:$AL,17,FALSE)</f>
        <v>116</v>
      </c>
      <c r="AI95" s="5">
        <f>VLOOKUP($A95,'SegEnds_NonXtal_Prot#'!$A:$AL,20,FALSE)</f>
        <v>124</v>
      </c>
      <c r="AJ95" s="5">
        <f>VLOOKUP($A95,'SegEnds_NonXtal_Prot#'!$A:$AL,23,FALSE)</f>
        <v>149</v>
      </c>
      <c r="AK95" s="5">
        <f>VLOOKUP($A95,'SegEnds_NonXtal_Prot#'!$A:$AL,26,FALSE)</f>
        <v>166</v>
      </c>
      <c r="AL95" s="5">
        <f>VLOOKUP($A95,'SegEnds_NonXtal_Prot#'!$A:$AL,29,FALSE)</f>
        <v>209</v>
      </c>
      <c r="AM95" s="5">
        <f>VLOOKUP($A95,'SegEnds_NonXtal_Prot#'!$A:$AL,32,FALSE)</f>
        <v>394</v>
      </c>
      <c r="AN95" s="5">
        <f>VLOOKUP($A95,'SegEnds_NonXtal_Prot#'!$A:$AL,35,FALSE)</f>
        <v>426</v>
      </c>
      <c r="AO95" s="5">
        <f>VLOOKUP($A95,'SegEnds_NonXtal_Prot#'!$A:$AL,38,FALSE)</f>
        <v>439</v>
      </c>
      <c r="AP95" s="5">
        <f t="shared" si="38"/>
        <v>31</v>
      </c>
      <c r="AQ95" s="4">
        <f t="shared" si="39"/>
        <v>3</v>
      </c>
      <c r="AR95" s="4">
        <f t="shared" si="40"/>
        <v>31</v>
      </c>
      <c r="AS95" s="4">
        <f t="shared" si="41"/>
        <v>3</v>
      </c>
      <c r="AT95" s="4">
        <f t="shared" si="42"/>
        <v>35</v>
      </c>
      <c r="AU95" s="4">
        <f t="shared" si="43"/>
        <v>7</v>
      </c>
      <c r="AV95" s="4">
        <f t="shared" si="44"/>
        <v>24</v>
      </c>
      <c r="AW95" s="4">
        <f t="shared" si="45"/>
        <v>2</v>
      </c>
      <c r="AX95" s="4">
        <f t="shared" si="46"/>
        <v>40</v>
      </c>
      <c r="AY95" s="4">
        <f t="shared" si="47"/>
        <v>37</v>
      </c>
      <c r="AZ95" s="4">
        <f t="shared" si="48"/>
        <v>25</v>
      </c>
      <c r="BA95" s="4">
        <f t="shared" si="49"/>
        <v>12</v>
      </c>
    </row>
    <row r="96" spans="1:53" x14ac:dyDescent="0.2">
      <c r="A96" s="1" t="str">
        <f>'SegEnds_NonXtal_Prot#'!A67</f>
        <v>ada2c_human</v>
      </c>
      <c r="B96" s="1" t="str">
        <f t="shared" si="25"/>
        <v>AGAVAGLAAVVGFLIVFTVVGNVLVVIAVLTSAPQNLFLVSLASADILVATLVMPFSLANELMAGQVWCGVYLALDVLFCTSSIVHLCAISLDRYWSVTQTPRRVKATIVAVWLISAVISFPPLVETWYILSSCIGSFFAPCLIMGLVYARIYRVAKLRTRTLSEKKVAQAREKRFTFVLAVVMGVFVLCWFPFFFSYSLYGICPGPLFKFFFWIGYCNSSLNPVIYTVFNQDFRRSFKHILF</v>
      </c>
      <c r="C96" s="29" t="str">
        <f>IF(ISERROR(MATCH(A96,'SegEnds_Xtal_Prot#'!B:B, 0)), "NoXtal", "Xtal")</f>
        <v>NoXtal</v>
      </c>
      <c r="D96" s="4" t="str">
        <f>VLOOKUP(A96,Classification!A:D,2,FALSE)</f>
        <v>A</v>
      </c>
      <c r="E96" s="5" t="str">
        <f>VLOOKUP(A96,Seqs!A:B,2,FALSE)</f>
        <v>MASPALAAALAVAAAAGPNASGAGERGSGGVANASGASWGPPRGQYSAGAVAGLAAVVGFLIVFTVVGNVLVVIAVLTSRALRAPQNLFLVSLASADILVATLVMPFSLANELMAYWYFGQVWCGVYLALDVLFCTSSIVHLCAISLDRYWSVTQAVEYNLKRTPRRVKATIVAVWLISAVISFPPLVSLYRQPDGAAYPQCGLNDETWYILSSCIGSFFAPCLIMGLVYARIYRVAKLRTRTLSEKRAPVGPDGASPTTENGLGAAAGAGENGHCAPPPADVEPDESSAAAERRRRRGALRRGGRRRAGAEGGAGGADGQGAGPGAAESGALTASRSPGPGGRLSRASSRSVEFFLSRRRRARSSVCRRKVAQAREKRFTFVLAVVMGVFVLCWFPFFFSYSLYGICREACQVPGPLFKFFFWIGYCNSSLNPVIYTVFNQDFRRSFKHILFRRRRRGFRQ</v>
      </c>
      <c r="F96" s="5" t="str">
        <f t="shared" si="26"/>
        <v>AGAVAGLAAVVGFLIVFTVVGNVLVVIAVLTS</v>
      </c>
      <c r="G96" s="4" t="str">
        <f t="shared" si="27"/>
        <v>RALR</v>
      </c>
      <c r="H96" s="4" t="str">
        <f t="shared" si="28"/>
        <v>APQNLFLVSLASADILVATLVMPFSLANELMA</v>
      </c>
      <c r="I96" s="4" t="str">
        <f t="shared" si="29"/>
        <v>YWYF</v>
      </c>
      <c r="J96" s="4" t="str">
        <f t="shared" si="30"/>
        <v>GQVWCGVYLALDVLFCTSSIVHLCAISLDRYWSVTQ</v>
      </c>
      <c r="K96" s="4" t="str">
        <f t="shared" si="31"/>
        <v>AVEYNLKR</v>
      </c>
      <c r="L96" s="4" t="str">
        <f t="shared" si="32"/>
        <v>TPRRVKATIVAVWLISAVISFPPLV</v>
      </c>
      <c r="M96" s="4" t="str">
        <f t="shared" si="33"/>
        <v>CGL</v>
      </c>
      <c r="N96" s="4" t="str">
        <f t="shared" si="34"/>
        <v>ETWYILSSCIGSFFAPCLIMGLVYARIYRVAKLRTRTLSEK</v>
      </c>
      <c r="O96" s="4" t="str">
        <f t="shared" si="35"/>
        <v>KVAQAREKRFTFVLAVVMGVFVLCWFPFFFSYSLYGIC</v>
      </c>
      <c r="P96" s="4" t="str">
        <f t="shared" si="36"/>
        <v>PGPLFKFFFWIGYCNSSLNPVIYTVF</v>
      </c>
      <c r="Q96" s="4" t="str">
        <f t="shared" si="37"/>
        <v>NQDFRRSFKHILF</v>
      </c>
      <c r="R96" s="5">
        <f>VLOOKUP($A96,'SegEnds_NonXtal_Prot#'!$A:$AL,3,FALSE)</f>
        <v>48</v>
      </c>
      <c r="S96" s="5">
        <f>VLOOKUP($A96,'SegEnds_NonXtal_Prot#'!$A:$AL,6,FALSE)</f>
        <v>80</v>
      </c>
      <c r="T96" s="5">
        <f>VLOOKUP($A96,'SegEnds_NonXtal_Prot#'!$A:$AL,9,FALSE)</f>
        <v>84</v>
      </c>
      <c r="U96" s="5">
        <f>VLOOKUP($A96,'SegEnds_NonXtal_Prot#'!$A:$AL,12,FALSE)</f>
        <v>116</v>
      </c>
      <c r="V96" s="5">
        <f>VLOOKUP($A96,'SegEnds_NonXtal_Prot#'!$A:$AL,15,FALSE)</f>
        <v>120</v>
      </c>
      <c r="W96" s="5">
        <f>VLOOKUP($A96,'SegEnds_NonXtal_Prot#'!$A:$AL,18,FALSE)</f>
        <v>156</v>
      </c>
      <c r="X96" s="5">
        <f>VLOOKUP($A96,'SegEnds_NonXtal_Prot#'!$A:$AL,21,FALSE)</f>
        <v>164</v>
      </c>
      <c r="Y96" s="5">
        <f>VLOOKUP($A96,'SegEnds_NonXtal_Prot#'!$A:$AL,24,FALSE)</f>
        <v>202</v>
      </c>
      <c r="Z96" s="5">
        <f>VLOOKUP($A96,'SegEnds_NonXtal_Prot#'!$A:$AL,27,FALSE)</f>
        <v>207</v>
      </c>
      <c r="AA96" s="5">
        <f>VLOOKUP($A96,'SegEnds_NonXtal_Prot#'!$A:$AL,30,FALSE)</f>
        <v>371</v>
      </c>
      <c r="AB96" s="5">
        <f>VLOOKUP($A96,'SegEnds_NonXtal_Prot#'!$A:$AL,33,FALSE)</f>
        <v>415</v>
      </c>
      <c r="AC96" s="5">
        <f>VLOOKUP($A96,'SegEnds_NonXtal_Prot#'!$A:$AL,36,FALSE)</f>
        <v>441</v>
      </c>
      <c r="AD96" s="5">
        <f>VLOOKUP($A96,'SegEnds_NonXtal_Prot#'!$A:$AL,5,FALSE)</f>
        <v>79</v>
      </c>
      <c r="AE96" s="5">
        <f>VLOOKUP($A96,'SegEnds_NonXtal_Prot#'!$A:$AL,8,FALSE)</f>
        <v>83</v>
      </c>
      <c r="AF96" s="5">
        <f>VLOOKUP($A96,'SegEnds_NonXtal_Prot#'!$A:$AL,11,FALSE)</f>
        <v>115</v>
      </c>
      <c r="AG96" s="5">
        <f>VLOOKUP($A96,'SegEnds_NonXtal_Prot#'!$A:$AL,14,FALSE)</f>
        <v>119</v>
      </c>
      <c r="AH96" s="5">
        <f>VLOOKUP($A96,'SegEnds_NonXtal_Prot#'!$A:$AL,17,FALSE)</f>
        <v>155</v>
      </c>
      <c r="AI96" s="5">
        <f>VLOOKUP($A96,'SegEnds_NonXtal_Prot#'!$A:$AL,20,FALSE)</f>
        <v>163</v>
      </c>
      <c r="AJ96" s="5">
        <f>VLOOKUP($A96,'SegEnds_NonXtal_Prot#'!$A:$AL,23,FALSE)</f>
        <v>188</v>
      </c>
      <c r="AK96" s="5">
        <f>VLOOKUP($A96,'SegEnds_NonXtal_Prot#'!$A:$AL,26,FALSE)</f>
        <v>204</v>
      </c>
      <c r="AL96" s="5">
        <f>VLOOKUP($A96,'SegEnds_NonXtal_Prot#'!$A:$AL,29,FALSE)</f>
        <v>247</v>
      </c>
      <c r="AM96" s="5">
        <f>VLOOKUP($A96,'SegEnds_NonXtal_Prot#'!$A:$AL,32,FALSE)</f>
        <v>408</v>
      </c>
      <c r="AN96" s="5">
        <f>VLOOKUP($A96,'SegEnds_NonXtal_Prot#'!$A:$AL,35,FALSE)</f>
        <v>440</v>
      </c>
      <c r="AO96" s="5">
        <f>VLOOKUP($A96,'SegEnds_NonXtal_Prot#'!$A:$AL,38,FALSE)</f>
        <v>453</v>
      </c>
      <c r="AP96" s="5">
        <f t="shared" si="38"/>
        <v>31</v>
      </c>
      <c r="AQ96" s="4">
        <f t="shared" si="39"/>
        <v>3</v>
      </c>
      <c r="AR96" s="4">
        <f t="shared" si="40"/>
        <v>31</v>
      </c>
      <c r="AS96" s="4">
        <f t="shared" si="41"/>
        <v>3</v>
      </c>
      <c r="AT96" s="4">
        <f t="shared" si="42"/>
        <v>35</v>
      </c>
      <c r="AU96" s="4">
        <f t="shared" si="43"/>
        <v>7</v>
      </c>
      <c r="AV96" s="4">
        <f t="shared" si="44"/>
        <v>24</v>
      </c>
      <c r="AW96" s="4">
        <f t="shared" si="45"/>
        <v>2</v>
      </c>
      <c r="AX96" s="4">
        <f t="shared" si="46"/>
        <v>40</v>
      </c>
      <c r="AY96" s="4">
        <f t="shared" si="47"/>
        <v>37</v>
      </c>
      <c r="AZ96" s="4">
        <f t="shared" si="48"/>
        <v>25</v>
      </c>
      <c r="BA96" s="4">
        <f t="shared" si="49"/>
        <v>12</v>
      </c>
    </row>
    <row r="97" spans="1:53" x14ac:dyDescent="0.2">
      <c r="A97" s="1" t="str">
        <f>'SegEnds_NonXtal_Prot#'!A68</f>
        <v>adrb1_human</v>
      </c>
      <c r="B97" s="1" t="str">
        <f t="shared" si="25"/>
        <v>EPLSQQWTAGMGLLMALIVLLIVAGNVLVIVAIAKTTLTNLFIMSLASADLVMGLLVVPFGATIVVWGSFFCELWTSVDVLCVTASIETLCVIALDRYLAITSTRARARGLVCTVWAISALVSFLPILMHNRAYAIASSVVSFYVPLCIMAFVYLRVFREAQKQVKKIDSRLVALREQKALKTLGIIMGVFTLCWLPFFLANVVKAFHPDRLFVFFNWLGYANSAFNPIIYCRSPDFRKAFQRLLC</v>
      </c>
      <c r="C97" s="29" t="str">
        <f>IF(ISERROR(MATCH(A97,'SegEnds_Xtal_Prot#'!B:B, 0)), "NoXtal", "Xtal")</f>
        <v>NoXtal</v>
      </c>
      <c r="D97" s="4" t="str">
        <f>VLOOKUP(A97,Classification!A:D,2,FALSE)</f>
        <v>A</v>
      </c>
      <c r="E97" s="5" t="str">
        <f>VLOOKUP(A97,Seqs!A:B,2,FALSE)</f>
        <v>MGAGVLVLGASEPGNLSSAAPLPDGAATAARLLVPASPPASLLPPASESPEPLSQQWTAGMGLLMALIVLLIVAGNVLVIVAIAKTPRLQTLTNLFIMSLASADLVMGLLVVPFGATIVVWGRWEYGSFFCELWTSVDVLCVTASIETLCVIALDRYLAITSPFRYQSLLTRARARGLVCTVWAISALVSFLPILMHWWRAESDEARRCYNDPKCCDFVTNRAYAIASSVVSFYVPLCIMAFVYLRVFREAQKQVKKIDSCERRFLGGPARPPSPSPSPVPAPAPPPGPPRPAAAAATAPLANGRAGKRRPSRLVALREQKALKTLGIIMGVFTLCWLPFFLANVVKAFHRELVPDRLFVFFNWLGYANSAFNPIIYCRSPDFRKAFQRLLCCARRAARRRHATHGDRPRASGCLARPGPPPSPGAASDDDDDDVVGATPPARLLEPWAGCNGGAAADSDSSLDEPCRPGFASESKV</v>
      </c>
      <c r="F97" s="5" t="str">
        <f t="shared" si="26"/>
        <v>EPLSQQWTAGMGLLMALIVLLIVAGNVLVIVAIAKT</v>
      </c>
      <c r="G97" s="4" t="str">
        <f t="shared" si="27"/>
        <v>PRLQ</v>
      </c>
      <c r="H97" s="4" t="str">
        <f t="shared" si="28"/>
        <v>TLTNLFIMSLASADLVMGLLVVPFGATIVVW</v>
      </c>
      <c r="I97" s="4" t="str">
        <f t="shared" si="29"/>
        <v>RWEY</v>
      </c>
      <c r="J97" s="4" t="str">
        <f t="shared" si="30"/>
        <v>GSFFCELWTSVDVLCVTASIETLCVIALDRYLAITS</v>
      </c>
      <c r="K97" s="4" t="str">
        <f t="shared" si="31"/>
        <v>PFRYQSLL</v>
      </c>
      <c r="L97" s="4" t="str">
        <f t="shared" si="32"/>
        <v>TRARARGLVCTVWAISALVSFLPILMH</v>
      </c>
      <c r="M97" s="4" t="str">
        <f t="shared" si="33"/>
        <v>CDF</v>
      </c>
      <c r="N97" s="4" t="str">
        <f t="shared" si="34"/>
        <v>NRAYAIASSVVSFYVPLCIMAFVYLRVFREAQKQVKKIDS</v>
      </c>
      <c r="O97" s="4" t="str">
        <f t="shared" si="35"/>
        <v>RLVALREQKALKTLGIIMGVFTLCWLPFFLANVVKAFH</v>
      </c>
      <c r="P97" s="4" t="str">
        <f t="shared" si="36"/>
        <v>PDRLFVFFNWLGYANSAFNPIIYCR</v>
      </c>
      <c r="Q97" s="4" t="str">
        <f t="shared" si="37"/>
        <v>SPDFRKAFQRLLC</v>
      </c>
      <c r="R97" s="5">
        <f>VLOOKUP($A97,'SegEnds_NonXtal_Prot#'!$A:$AL,3,FALSE)</f>
        <v>51</v>
      </c>
      <c r="S97" s="5">
        <f>VLOOKUP($A97,'SegEnds_NonXtal_Prot#'!$A:$AL,6,FALSE)</f>
        <v>87</v>
      </c>
      <c r="T97" s="5">
        <f>VLOOKUP($A97,'SegEnds_NonXtal_Prot#'!$A:$AL,9,FALSE)</f>
        <v>91</v>
      </c>
      <c r="U97" s="5">
        <f>VLOOKUP($A97,'SegEnds_NonXtal_Prot#'!$A:$AL,12,FALSE)</f>
        <v>123</v>
      </c>
      <c r="V97" s="5">
        <f>VLOOKUP($A97,'SegEnds_NonXtal_Prot#'!$A:$AL,15,FALSE)</f>
        <v>127</v>
      </c>
      <c r="W97" s="5">
        <f>VLOOKUP($A97,'SegEnds_NonXtal_Prot#'!$A:$AL,18,FALSE)</f>
        <v>163</v>
      </c>
      <c r="X97" s="5">
        <f>VLOOKUP($A97,'SegEnds_NonXtal_Prot#'!$A:$AL,21,FALSE)</f>
        <v>171</v>
      </c>
      <c r="Y97" s="5">
        <f>VLOOKUP($A97,'SegEnds_NonXtal_Prot#'!$A:$AL,24,FALSE)</f>
        <v>216</v>
      </c>
      <c r="Z97" s="5">
        <f>VLOOKUP($A97,'SegEnds_NonXtal_Prot#'!$A:$AL,27,FALSE)</f>
        <v>221</v>
      </c>
      <c r="AA97" s="5">
        <f>VLOOKUP($A97,'SegEnds_NonXtal_Prot#'!$A:$AL,30,FALSE)</f>
        <v>313</v>
      </c>
      <c r="AB97" s="5">
        <f>VLOOKUP($A97,'SegEnds_NonXtal_Prot#'!$A:$AL,33,FALSE)</f>
        <v>355</v>
      </c>
      <c r="AC97" s="5">
        <f>VLOOKUP($A97,'SegEnds_NonXtal_Prot#'!$A:$AL,36,FALSE)</f>
        <v>380</v>
      </c>
      <c r="AD97" s="5">
        <f>VLOOKUP($A97,'SegEnds_NonXtal_Prot#'!$A:$AL,5,FALSE)</f>
        <v>86</v>
      </c>
      <c r="AE97" s="5">
        <f>VLOOKUP($A97,'SegEnds_NonXtal_Prot#'!$A:$AL,8,FALSE)</f>
        <v>90</v>
      </c>
      <c r="AF97" s="5">
        <f>VLOOKUP($A97,'SegEnds_NonXtal_Prot#'!$A:$AL,11,FALSE)</f>
        <v>121</v>
      </c>
      <c r="AG97" s="5">
        <f>VLOOKUP($A97,'SegEnds_NonXtal_Prot#'!$A:$AL,14,FALSE)</f>
        <v>126</v>
      </c>
      <c r="AH97" s="5">
        <f>VLOOKUP($A97,'SegEnds_NonXtal_Prot#'!$A:$AL,17,FALSE)</f>
        <v>162</v>
      </c>
      <c r="AI97" s="5">
        <f>VLOOKUP($A97,'SegEnds_NonXtal_Prot#'!$A:$AL,20,FALSE)</f>
        <v>170</v>
      </c>
      <c r="AJ97" s="5">
        <f>VLOOKUP($A97,'SegEnds_NonXtal_Prot#'!$A:$AL,23,FALSE)</f>
        <v>197</v>
      </c>
      <c r="AK97" s="5">
        <f>VLOOKUP($A97,'SegEnds_NonXtal_Prot#'!$A:$AL,26,FALSE)</f>
        <v>218</v>
      </c>
      <c r="AL97" s="5">
        <f>VLOOKUP($A97,'SegEnds_NonXtal_Prot#'!$A:$AL,29,FALSE)</f>
        <v>260</v>
      </c>
      <c r="AM97" s="5">
        <f>VLOOKUP($A97,'SegEnds_NonXtal_Prot#'!$A:$AL,32,FALSE)</f>
        <v>350</v>
      </c>
      <c r="AN97" s="5">
        <f>VLOOKUP($A97,'SegEnds_NonXtal_Prot#'!$A:$AL,35,FALSE)</f>
        <v>379</v>
      </c>
      <c r="AO97" s="5">
        <f>VLOOKUP($A97,'SegEnds_NonXtal_Prot#'!$A:$AL,38,FALSE)</f>
        <v>392</v>
      </c>
      <c r="AP97" s="5">
        <f t="shared" si="38"/>
        <v>35</v>
      </c>
      <c r="AQ97" s="4">
        <f t="shared" si="39"/>
        <v>3</v>
      </c>
      <c r="AR97" s="4">
        <f t="shared" si="40"/>
        <v>30</v>
      </c>
      <c r="AS97" s="4">
        <f t="shared" si="41"/>
        <v>3</v>
      </c>
      <c r="AT97" s="4">
        <f t="shared" si="42"/>
        <v>35</v>
      </c>
      <c r="AU97" s="4">
        <f t="shared" si="43"/>
        <v>7</v>
      </c>
      <c r="AV97" s="4">
        <f t="shared" si="44"/>
        <v>26</v>
      </c>
      <c r="AW97" s="4">
        <f t="shared" si="45"/>
        <v>2</v>
      </c>
      <c r="AX97" s="4">
        <f t="shared" si="46"/>
        <v>39</v>
      </c>
      <c r="AY97" s="4">
        <f t="shared" si="47"/>
        <v>37</v>
      </c>
      <c r="AZ97" s="4">
        <f t="shared" si="48"/>
        <v>24</v>
      </c>
      <c r="BA97" s="4">
        <f t="shared" si="49"/>
        <v>12</v>
      </c>
    </row>
    <row r="98" spans="1:53" x14ac:dyDescent="0.2">
      <c r="A98" s="1" t="str">
        <f>'SegEnds_NonXtal_Prot#'!A69</f>
        <v>adrb1_melga</v>
      </c>
      <c r="B98" s="1" t="str">
        <f t="shared" si="25"/>
        <v>AELLSQQWEAGMSLLMALVVLLIVAGNVLVIAAIGRTTLTNLFITSLACADLVMGLLVVPFGATLVVRGSFLCECWTSLDVLCVTASIETLCVIAIDRYLAITSTRARAKVIICTVWAISALVSFLPIMMHNRAYAIASSIISFYIPLLIMIFVYLRVYREAKEQIRKIDRCERKTSRVMAMREHKALKTLGIIMGVFTLCWLPFFLVNIVNVFNPDWLFVFFNWLGYANSAFNPIIYCRSPDFRKAFKRLLC</v>
      </c>
      <c r="C98" s="29" t="str">
        <f>IF(ISERROR(MATCH(A98,'SegEnds_Xtal_Prot#'!B:B, 0)), "NoXtal", "Xtal")</f>
        <v>Xtal</v>
      </c>
      <c r="D98" s="4" t="str">
        <f>VLOOKUP(A98,Classification!A:D,2,FALSE)</f>
        <v>A</v>
      </c>
      <c r="E98" s="5" t="str">
        <f>VLOOKUP(A98,Seqs!A:B,2,FALSE)</f>
        <v>MGDGWLPPDCGPHNRSGGGGATAAPTGSRQVSAELLSQQWEAGMSLLMALVVLLIVAGNVLVIAAIGRTQRLQTLTNLFITSLACADLVMGLLVVPFGATLVVRGTWLWGSFLCECWTSLDVLCVTASIETLCVIAIDRYLAITSPFRYQSLMTRARAKVIICTVWAISALVSFLPIMMHWWRDEDPQALKCYQDPGCCDFVTNRAYAIASSIISFYIPLLIMIFVYLRVYREAKEQIRKIDRCEGRFYGSQEQPQPPPLPQHQPILGNGRASKRKTSRVMAMREHKALKTLGIIMGVFTLCWLPFFLVNIVNVFNRDLVPDWLFVFFNWLGYANSAFNPIIYCRSPDFRKAFKRLLCFPRKADRRLHAGGQPAPLPGGFISTLGSPEHSPGGTWSDCNGGTRGGSESSLEERHSKTSRSESKMEREKNILATTRFYCTFLGNGDKAVFCTVLRIVKLFEDATCTCPHTHKLKMKWRFKQHQA</v>
      </c>
      <c r="F98" s="5" t="str">
        <f t="shared" si="26"/>
        <v>AELLSQQWEAGMSLLMALVVLLIVAGNVLVIAAIGRT</v>
      </c>
      <c r="G98" s="4" t="str">
        <f t="shared" si="27"/>
        <v>QRLQ</v>
      </c>
      <c r="H98" s="4" t="str">
        <f t="shared" si="28"/>
        <v>TLTNLFITSLACADLVMGLLVVPFGATLVVR</v>
      </c>
      <c r="I98" s="4" t="str">
        <f t="shared" si="29"/>
        <v>TWLW</v>
      </c>
      <c r="J98" s="4" t="str">
        <f t="shared" si="30"/>
        <v>GSFLCECWTSLDVLCVTASIETLCVIAIDRYLAITS</v>
      </c>
      <c r="K98" s="4" t="str">
        <f t="shared" si="31"/>
        <v>PFRYQSLM</v>
      </c>
      <c r="L98" s="4" t="str">
        <f t="shared" si="32"/>
        <v>TRARAKVIICTVWAISALVSFLPIMMH</v>
      </c>
      <c r="M98" s="4" t="str">
        <f t="shared" si="33"/>
        <v>CDF</v>
      </c>
      <c r="N98" s="4" t="str">
        <f t="shared" si="34"/>
        <v>NRAYAIASSIISFYIPLLIMIFVYLRVYREAKEQIRKIDRCE</v>
      </c>
      <c r="O98" s="4" t="str">
        <f t="shared" si="35"/>
        <v>RKTSRVMAMREHKALKTLGIIMGVFTLCWLPFFLVNIVNVFN</v>
      </c>
      <c r="P98" s="4" t="str">
        <f t="shared" si="36"/>
        <v>PDWLFVFFNWLGYANSAFNPIIYCR</v>
      </c>
      <c r="Q98" s="4" t="str">
        <f t="shared" si="37"/>
        <v>SPDFRKAFKRLLC</v>
      </c>
      <c r="R98" s="5">
        <f>VLOOKUP($A98,'SegEnds_NonXtal_Prot#'!$A:$AL,3,FALSE)</f>
        <v>33</v>
      </c>
      <c r="S98" s="5">
        <f>VLOOKUP($A98,'SegEnds_NonXtal_Prot#'!$A:$AL,6,FALSE)</f>
        <v>70</v>
      </c>
      <c r="T98" s="5">
        <f>VLOOKUP($A98,'SegEnds_NonXtal_Prot#'!$A:$AL,9,FALSE)</f>
        <v>74</v>
      </c>
      <c r="U98" s="5">
        <f>VLOOKUP($A98,'SegEnds_NonXtal_Prot#'!$A:$AL,12,FALSE)</f>
        <v>106</v>
      </c>
      <c r="V98" s="5">
        <f>VLOOKUP($A98,'SegEnds_NonXtal_Prot#'!$A:$AL,15,FALSE)</f>
        <v>110</v>
      </c>
      <c r="W98" s="5">
        <f>VLOOKUP($A98,'SegEnds_NonXtal_Prot#'!$A:$AL,18,FALSE)</f>
        <v>146</v>
      </c>
      <c r="X98" s="5">
        <f>VLOOKUP($A98,'SegEnds_NonXtal_Prot#'!$A:$AL,21,FALSE)</f>
        <v>154</v>
      </c>
      <c r="Y98" s="5">
        <f>VLOOKUP($A98,'SegEnds_NonXtal_Prot#'!$A:$AL,24,FALSE)</f>
        <v>199</v>
      </c>
      <c r="Z98" s="5">
        <f>VLOOKUP($A98,'SegEnds_NonXtal_Prot#'!$A:$AL,27,FALSE)</f>
        <v>204</v>
      </c>
      <c r="AA98" s="5">
        <f>VLOOKUP($A98,'SegEnds_NonXtal_Prot#'!$A:$AL,30,FALSE)</f>
        <v>275</v>
      </c>
      <c r="AB98" s="5">
        <f>VLOOKUP($A98,'SegEnds_NonXtal_Prot#'!$A:$AL,33,FALSE)</f>
        <v>321</v>
      </c>
      <c r="AC98" s="5">
        <f>VLOOKUP($A98,'SegEnds_NonXtal_Prot#'!$A:$AL,36,FALSE)</f>
        <v>346</v>
      </c>
      <c r="AD98" s="5">
        <f>VLOOKUP($A98,'SegEnds_NonXtal_Prot#'!$A:$AL,5,FALSE)</f>
        <v>69</v>
      </c>
      <c r="AE98" s="5">
        <f>VLOOKUP($A98,'SegEnds_NonXtal_Prot#'!$A:$AL,8,FALSE)</f>
        <v>73</v>
      </c>
      <c r="AF98" s="5">
        <f>VLOOKUP($A98,'SegEnds_NonXtal_Prot#'!$A:$AL,11,FALSE)</f>
        <v>104</v>
      </c>
      <c r="AG98" s="5">
        <f>VLOOKUP($A98,'SegEnds_NonXtal_Prot#'!$A:$AL,14,FALSE)</f>
        <v>109</v>
      </c>
      <c r="AH98" s="5">
        <f>VLOOKUP($A98,'SegEnds_NonXtal_Prot#'!$A:$AL,17,FALSE)</f>
        <v>145</v>
      </c>
      <c r="AI98" s="5">
        <f>VLOOKUP($A98,'SegEnds_NonXtal_Prot#'!$A:$AL,20,FALSE)</f>
        <v>153</v>
      </c>
      <c r="AJ98" s="5">
        <f>VLOOKUP($A98,'SegEnds_NonXtal_Prot#'!$A:$AL,23,FALSE)</f>
        <v>180</v>
      </c>
      <c r="AK98" s="5">
        <f>VLOOKUP($A98,'SegEnds_NonXtal_Prot#'!$A:$AL,26,FALSE)</f>
        <v>201</v>
      </c>
      <c r="AL98" s="5">
        <f>VLOOKUP($A98,'SegEnds_NonXtal_Prot#'!$A:$AL,29,FALSE)</f>
        <v>245</v>
      </c>
      <c r="AM98" s="5">
        <f>VLOOKUP($A98,'SegEnds_NonXtal_Prot#'!$A:$AL,32,FALSE)</f>
        <v>316</v>
      </c>
      <c r="AN98" s="5">
        <f>VLOOKUP($A98,'SegEnds_NonXtal_Prot#'!$A:$AL,35,FALSE)</f>
        <v>345</v>
      </c>
      <c r="AO98" s="5">
        <f>VLOOKUP($A98,'SegEnds_NonXtal_Prot#'!$A:$AL,38,FALSE)</f>
        <v>358</v>
      </c>
      <c r="AP98" s="5">
        <f t="shared" si="38"/>
        <v>36</v>
      </c>
      <c r="AQ98" s="4">
        <f t="shared" si="39"/>
        <v>3</v>
      </c>
      <c r="AR98" s="4">
        <f t="shared" si="40"/>
        <v>30</v>
      </c>
      <c r="AS98" s="4">
        <f t="shared" si="41"/>
        <v>3</v>
      </c>
      <c r="AT98" s="4">
        <f t="shared" si="42"/>
        <v>35</v>
      </c>
      <c r="AU98" s="4">
        <f t="shared" si="43"/>
        <v>7</v>
      </c>
      <c r="AV98" s="4">
        <f t="shared" si="44"/>
        <v>26</v>
      </c>
      <c r="AW98" s="4">
        <f t="shared" si="45"/>
        <v>2</v>
      </c>
      <c r="AX98" s="4">
        <f t="shared" si="46"/>
        <v>41</v>
      </c>
      <c r="AY98" s="4">
        <f t="shared" si="47"/>
        <v>41</v>
      </c>
      <c r="AZ98" s="4">
        <f t="shared" si="48"/>
        <v>24</v>
      </c>
      <c r="BA98" s="4">
        <f t="shared" si="49"/>
        <v>12</v>
      </c>
    </row>
    <row r="99" spans="1:53" x14ac:dyDescent="0.2">
      <c r="A99" s="1" t="str">
        <f>'SegEnds_NonXtal_Prot#'!A70</f>
        <v>adrb2_human</v>
      </c>
      <c r="B99" s="1" t="str">
        <f t="shared" si="25"/>
        <v>QERDEVWVVGMGIVMSLIVLAIVFGNVLVITAIAKFTVTNYFITSLACADLVMGLAVVPFGAAHILMGNFWCEFWTSIDVLCVTASIETLCVIAVDRYFAITSTKNKARVIILMVWIVSGLTSFLPIQMHNQAYAIASSIVSFYVPLVIMVFVYSRVFQEAKRQLQKIDKSESKFCLKEHKALKTLGIIMGTFTLCWLPFFIVNIVHVIQRKEVYILLNWIGYVNSGFNPLIYCRSPDFRIAFQELLC</v>
      </c>
      <c r="C99" s="29" t="str">
        <f>IF(ISERROR(MATCH(A99,'SegEnds_Xtal_Prot#'!B:B, 0)), "NoXtal", "Xtal")</f>
        <v>Xtal</v>
      </c>
      <c r="D99" s="4" t="str">
        <f>VLOOKUP(A99,Classification!A:D,2,FALSE)</f>
        <v>A</v>
      </c>
      <c r="E99" s="5" t="str">
        <f>VLOOKUP(A99,Seqs!A:B,2,FALSE)</f>
        <v>MGQPGNGSAFLLAPNGSHAPDHDVTQERDEVWVVGMGIVMSLIVLAIVFGNVLVITAIAKFERLQTVTNYFITSLACADLVMGLAVVPFGAAHILMKMWTFGNFWCEFWTSIDVLCVTASIETLCVIAVDRYFAITSPFKYQSLLTKNKARVIILMVWIVSGLTSFLPIQMHWYRATHQEAINCYANETCCDFFTNQAYAIASSIVSFYVPLVIMVFVYSRVFQEAKRQLQKIDKSEGRFHVQNLSQVEQDGRTGHGLRRSSKFCLKEHKALKTLGIIMGTFTLCWLPFFIVNIVHVIQDNLIRKEVYILLNWIGYVNSGFNPLIYCRSPDFRIAFQELLCLRRSSLKAYGNGYSSNGNTGEQSGYHVEQEKENKLLCEDLPGTEDFVGHQGTVPSDNIDSQGRNCSTNDSLL</v>
      </c>
      <c r="F99" s="5" t="str">
        <f t="shared" si="26"/>
        <v>QERDEVWVVGMGIVMSLIVLAIVFGNVLVITAIAKF</v>
      </c>
      <c r="G99" s="4" t="str">
        <f t="shared" si="27"/>
        <v>ERLQ</v>
      </c>
      <c r="H99" s="4" t="str">
        <f t="shared" si="28"/>
        <v>TVTNYFITSLACADLVMGLAVVPFGAAHILM</v>
      </c>
      <c r="I99" s="4" t="str">
        <f t="shared" si="29"/>
        <v>MWTF</v>
      </c>
      <c r="J99" s="4" t="str">
        <f t="shared" si="30"/>
        <v>GNFWCEFWTSIDVLCVTASIETLCVIAVDRYFAITS</v>
      </c>
      <c r="K99" s="4" t="str">
        <f t="shared" si="31"/>
        <v>PFKYQSLL</v>
      </c>
      <c r="L99" s="4" t="str">
        <f t="shared" si="32"/>
        <v>TKNKARVIILMVWIVSGLTSFLPIQMH</v>
      </c>
      <c r="M99" s="4" t="str">
        <f t="shared" si="33"/>
        <v>CDF</v>
      </c>
      <c r="N99" s="4" t="str">
        <f t="shared" si="34"/>
        <v>NQAYAIASSIVSFYVPLVIMVFVYSRVFQEAKRQLQKIDKSE</v>
      </c>
      <c r="O99" s="4" t="str">
        <f t="shared" si="35"/>
        <v>SKFCLKEHKALKTLGIIMGTFTLCWLPFFIVNIVHVIQ</v>
      </c>
      <c r="P99" s="4" t="str">
        <f t="shared" si="36"/>
        <v>RKEVYILLNWIGYVNSGFNPLIYCR</v>
      </c>
      <c r="Q99" s="4" t="str">
        <f t="shared" si="37"/>
        <v>SPDFRIAFQELLC</v>
      </c>
      <c r="R99" s="5">
        <f>VLOOKUP($A99,'SegEnds_NonXtal_Prot#'!$A:$AL,3,FALSE)</f>
        <v>26</v>
      </c>
      <c r="S99" s="5">
        <f>VLOOKUP($A99,'SegEnds_NonXtal_Prot#'!$A:$AL,6,FALSE)</f>
        <v>62</v>
      </c>
      <c r="T99" s="5">
        <f>VLOOKUP($A99,'SegEnds_NonXtal_Prot#'!$A:$AL,9,FALSE)</f>
        <v>66</v>
      </c>
      <c r="U99" s="5">
        <f>VLOOKUP($A99,'SegEnds_NonXtal_Prot#'!$A:$AL,12,FALSE)</f>
        <v>98</v>
      </c>
      <c r="V99" s="5">
        <f>VLOOKUP($A99,'SegEnds_NonXtal_Prot#'!$A:$AL,15,FALSE)</f>
        <v>102</v>
      </c>
      <c r="W99" s="5">
        <f>VLOOKUP($A99,'SegEnds_NonXtal_Prot#'!$A:$AL,18,FALSE)</f>
        <v>138</v>
      </c>
      <c r="X99" s="5">
        <f>VLOOKUP($A99,'SegEnds_NonXtal_Prot#'!$A:$AL,21,FALSE)</f>
        <v>146</v>
      </c>
      <c r="Y99" s="5">
        <f>VLOOKUP($A99,'SegEnds_NonXtal_Prot#'!$A:$AL,24,FALSE)</f>
        <v>191</v>
      </c>
      <c r="Z99" s="5">
        <f>VLOOKUP($A99,'SegEnds_NonXtal_Prot#'!$A:$AL,27,FALSE)</f>
        <v>196</v>
      </c>
      <c r="AA99" s="5">
        <f>VLOOKUP($A99,'SegEnds_NonXtal_Prot#'!$A:$AL,30,FALSE)</f>
        <v>262</v>
      </c>
      <c r="AB99" s="5">
        <f>VLOOKUP($A99,'SegEnds_NonXtal_Prot#'!$A:$AL,33,FALSE)</f>
        <v>304</v>
      </c>
      <c r="AC99" s="5">
        <f>VLOOKUP($A99,'SegEnds_NonXtal_Prot#'!$A:$AL,36,FALSE)</f>
        <v>329</v>
      </c>
      <c r="AD99" s="5">
        <f>VLOOKUP($A99,'SegEnds_NonXtal_Prot#'!$A:$AL,5,FALSE)</f>
        <v>61</v>
      </c>
      <c r="AE99" s="5">
        <f>VLOOKUP($A99,'SegEnds_NonXtal_Prot#'!$A:$AL,8,FALSE)</f>
        <v>65</v>
      </c>
      <c r="AF99" s="5">
        <f>VLOOKUP($A99,'SegEnds_NonXtal_Prot#'!$A:$AL,11,FALSE)</f>
        <v>96</v>
      </c>
      <c r="AG99" s="5">
        <f>VLOOKUP($A99,'SegEnds_NonXtal_Prot#'!$A:$AL,14,FALSE)</f>
        <v>101</v>
      </c>
      <c r="AH99" s="5">
        <f>VLOOKUP($A99,'SegEnds_NonXtal_Prot#'!$A:$AL,17,FALSE)</f>
        <v>137</v>
      </c>
      <c r="AI99" s="5">
        <f>VLOOKUP($A99,'SegEnds_NonXtal_Prot#'!$A:$AL,20,FALSE)</f>
        <v>145</v>
      </c>
      <c r="AJ99" s="5">
        <f>VLOOKUP($A99,'SegEnds_NonXtal_Prot#'!$A:$AL,23,FALSE)</f>
        <v>172</v>
      </c>
      <c r="AK99" s="5">
        <f>VLOOKUP($A99,'SegEnds_NonXtal_Prot#'!$A:$AL,26,FALSE)</f>
        <v>193</v>
      </c>
      <c r="AL99" s="5">
        <f>VLOOKUP($A99,'SegEnds_NonXtal_Prot#'!$A:$AL,29,FALSE)</f>
        <v>237</v>
      </c>
      <c r="AM99" s="5">
        <f>VLOOKUP($A99,'SegEnds_NonXtal_Prot#'!$A:$AL,32,FALSE)</f>
        <v>299</v>
      </c>
      <c r="AN99" s="5">
        <f>VLOOKUP($A99,'SegEnds_NonXtal_Prot#'!$A:$AL,35,FALSE)</f>
        <v>328</v>
      </c>
      <c r="AO99" s="5">
        <f>VLOOKUP($A99,'SegEnds_NonXtal_Prot#'!$A:$AL,38,FALSE)</f>
        <v>341</v>
      </c>
      <c r="AP99" s="5">
        <f t="shared" si="38"/>
        <v>35</v>
      </c>
      <c r="AQ99" s="4">
        <f t="shared" si="39"/>
        <v>3</v>
      </c>
      <c r="AR99" s="4">
        <f t="shared" si="40"/>
        <v>30</v>
      </c>
      <c r="AS99" s="4">
        <f t="shared" si="41"/>
        <v>3</v>
      </c>
      <c r="AT99" s="4">
        <f t="shared" si="42"/>
        <v>35</v>
      </c>
      <c r="AU99" s="4">
        <f t="shared" si="43"/>
        <v>7</v>
      </c>
      <c r="AV99" s="4">
        <f t="shared" si="44"/>
        <v>26</v>
      </c>
      <c r="AW99" s="4">
        <f t="shared" si="45"/>
        <v>2</v>
      </c>
      <c r="AX99" s="4">
        <f t="shared" si="46"/>
        <v>41</v>
      </c>
      <c r="AY99" s="4">
        <f t="shared" si="47"/>
        <v>37</v>
      </c>
      <c r="AZ99" s="4">
        <f t="shared" si="48"/>
        <v>24</v>
      </c>
      <c r="BA99" s="4">
        <f t="shared" si="49"/>
        <v>12</v>
      </c>
    </row>
    <row r="100" spans="1:53" x14ac:dyDescent="0.2">
      <c r="A100" s="1" t="str">
        <f>'SegEnds_NonXtal_Prot#'!A71</f>
        <v>adrb3_human</v>
      </c>
      <c r="B100" s="1" t="str">
        <f t="shared" si="25"/>
        <v>LPGVPWEAALAGALLALAVLATVGGNLLVIVAIAWTTMTNVFVTSLAAADLVMGLLVVPPAATLALTGATGCELWTSVDVLCVTASIETLCALAVDRYLAVTNTKRCARTAVVLVWVVSAAVSFAPIMSQNMPYVLLSSSVSFYLPLLVMLFVYARVFVVATRQLRLLRGELRLLPLREHRALCTLGLIMGTFTLCWLPFFLANVLRALGPGPAFLALNWLGYANSAFNPLIYCRSPDFRSAFRRLLC</v>
      </c>
      <c r="C100" s="29" t="str">
        <f>IF(ISERROR(MATCH(A100,'SegEnds_Xtal_Prot#'!B:B, 0)), "NoXtal", "Xtal")</f>
        <v>NoXtal</v>
      </c>
      <c r="D100" s="4" t="str">
        <f>VLOOKUP(A100,Classification!A:D,2,FALSE)</f>
        <v>A</v>
      </c>
      <c r="E100" s="5" t="str">
        <f>VLOOKUP(A100,Seqs!A:B,2,FALSE)</f>
        <v>MAPWPHENSSLAPWPDLPTLAPNTANTSGLPGVPWEAALAGALLALAVLATVGGNLLVIVAIAWTPRLQTMTNVFVTSLAAADLVMGLLVVPPAATLALTGHWPLGATGCELWTSVDVLCVTASIETLCALAVDRYLAVTNPLRYGALVTKRCARTAVVLVWVVSAAVSFAPIMSQWWRVGADAEAQRCHSNPRCCAFASNMPYVLLSSSVSFYLPLLVMLFVYARVFVVATRQLRLLRGELGRFPPEESPPAPSRSLAPAPVGTCAPPEGVPACGRRPARLLPLREHRALCTLGLIMGTFTLCWLPFFLANVLRALGGPSLVPGPAFLALNWLGYANSAFNPLIYCRSPDFRSAFRRLLCRCGRRLPPEPCAAARPALFPSGVPAARSSPAQPRLCQRLDGASWGVS</v>
      </c>
      <c r="F100" s="5" t="str">
        <f t="shared" si="26"/>
        <v>LPGVPWEAALAGALLALAVLATVGGNLLVIVAIAWT</v>
      </c>
      <c r="G100" s="4" t="str">
        <f t="shared" si="27"/>
        <v>PRLQ</v>
      </c>
      <c r="H100" s="4" t="str">
        <f t="shared" si="28"/>
        <v>TMTNVFVTSLAAADLVMGLLVVPPAATLALT</v>
      </c>
      <c r="I100" s="4" t="str">
        <f t="shared" si="29"/>
        <v>HWPL</v>
      </c>
      <c r="J100" s="4" t="str">
        <f t="shared" si="30"/>
        <v>GATGCELWTSVDVLCVTASIETLCALAVDRYLAVTN</v>
      </c>
      <c r="K100" s="4" t="str">
        <f t="shared" si="31"/>
        <v>PLRYGALV</v>
      </c>
      <c r="L100" s="4" t="str">
        <f t="shared" si="32"/>
        <v>TKRCARTAVVLVWVVSAAVSFAPIMSQ</v>
      </c>
      <c r="M100" s="4" t="str">
        <f t="shared" si="33"/>
        <v>CAF</v>
      </c>
      <c r="N100" s="4" t="str">
        <f t="shared" si="34"/>
        <v>NMPYVLLSSSVSFYLPLLVMLFVYARVFVVATRQLRLLRGEL</v>
      </c>
      <c r="O100" s="4" t="str">
        <f t="shared" si="35"/>
        <v>RLLPLREHRALCTLGLIMGTFTLCWLPFFLANVLRALG</v>
      </c>
      <c r="P100" s="4" t="str">
        <f t="shared" si="36"/>
        <v>PGPAFLALNWLGYANSAFNPLIYCR</v>
      </c>
      <c r="Q100" s="4" t="str">
        <f t="shared" si="37"/>
        <v>SPDFRSAFRRLLC</v>
      </c>
      <c r="R100" s="5">
        <f>VLOOKUP($A100,'SegEnds_NonXtal_Prot#'!$A:$AL,3,FALSE)</f>
        <v>30</v>
      </c>
      <c r="S100" s="5">
        <f>VLOOKUP($A100,'SegEnds_NonXtal_Prot#'!$A:$AL,6,FALSE)</f>
        <v>66</v>
      </c>
      <c r="T100" s="5">
        <f>VLOOKUP($A100,'SegEnds_NonXtal_Prot#'!$A:$AL,9,FALSE)</f>
        <v>70</v>
      </c>
      <c r="U100" s="5">
        <f>VLOOKUP($A100,'SegEnds_NonXtal_Prot#'!$A:$AL,12,FALSE)</f>
        <v>102</v>
      </c>
      <c r="V100" s="5">
        <f>VLOOKUP($A100,'SegEnds_NonXtal_Prot#'!$A:$AL,15,FALSE)</f>
        <v>106</v>
      </c>
      <c r="W100" s="5">
        <f>VLOOKUP($A100,'SegEnds_NonXtal_Prot#'!$A:$AL,18,FALSE)</f>
        <v>142</v>
      </c>
      <c r="X100" s="5">
        <f>VLOOKUP($A100,'SegEnds_NonXtal_Prot#'!$A:$AL,21,FALSE)</f>
        <v>150</v>
      </c>
      <c r="Y100" s="5">
        <f>VLOOKUP($A100,'SegEnds_NonXtal_Prot#'!$A:$AL,24,FALSE)</f>
        <v>196</v>
      </c>
      <c r="Z100" s="5">
        <f>VLOOKUP($A100,'SegEnds_NonXtal_Prot#'!$A:$AL,27,FALSE)</f>
        <v>201</v>
      </c>
      <c r="AA100" s="5">
        <f>VLOOKUP($A100,'SegEnds_NonXtal_Prot#'!$A:$AL,30,FALSE)</f>
        <v>281</v>
      </c>
      <c r="AB100" s="5">
        <f>VLOOKUP($A100,'SegEnds_NonXtal_Prot#'!$A:$AL,33,FALSE)</f>
        <v>324</v>
      </c>
      <c r="AC100" s="5">
        <f>VLOOKUP($A100,'SegEnds_NonXtal_Prot#'!$A:$AL,36,FALSE)</f>
        <v>349</v>
      </c>
      <c r="AD100" s="5">
        <f>VLOOKUP($A100,'SegEnds_NonXtal_Prot#'!$A:$AL,5,FALSE)</f>
        <v>65</v>
      </c>
      <c r="AE100" s="5">
        <f>VLOOKUP($A100,'SegEnds_NonXtal_Prot#'!$A:$AL,8,FALSE)</f>
        <v>69</v>
      </c>
      <c r="AF100" s="5">
        <f>VLOOKUP($A100,'SegEnds_NonXtal_Prot#'!$A:$AL,11,FALSE)</f>
        <v>100</v>
      </c>
      <c r="AG100" s="5">
        <f>VLOOKUP($A100,'SegEnds_NonXtal_Prot#'!$A:$AL,14,FALSE)</f>
        <v>105</v>
      </c>
      <c r="AH100" s="5">
        <f>VLOOKUP($A100,'SegEnds_NonXtal_Prot#'!$A:$AL,17,FALSE)</f>
        <v>141</v>
      </c>
      <c r="AI100" s="5">
        <f>VLOOKUP($A100,'SegEnds_NonXtal_Prot#'!$A:$AL,20,FALSE)</f>
        <v>149</v>
      </c>
      <c r="AJ100" s="5">
        <f>VLOOKUP($A100,'SegEnds_NonXtal_Prot#'!$A:$AL,23,FALSE)</f>
        <v>176</v>
      </c>
      <c r="AK100" s="5">
        <f>VLOOKUP($A100,'SegEnds_NonXtal_Prot#'!$A:$AL,26,FALSE)</f>
        <v>198</v>
      </c>
      <c r="AL100" s="5">
        <f>VLOOKUP($A100,'SegEnds_NonXtal_Prot#'!$A:$AL,29,FALSE)</f>
        <v>242</v>
      </c>
      <c r="AM100" s="5">
        <f>VLOOKUP($A100,'SegEnds_NonXtal_Prot#'!$A:$AL,32,FALSE)</f>
        <v>318</v>
      </c>
      <c r="AN100" s="5">
        <f>VLOOKUP($A100,'SegEnds_NonXtal_Prot#'!$A:$AL,35,FALSE)</f>
        <v>348</v>
      </c>
      <c r="AO100" s="5">
        <f>VLOOKUP($A100,'SegEnds_NonXtal_Prot#'!$A:$AL,38,FALSE)</f>
        <v>361</v>
      </c>
      <c r="AP100" s="5">
        <f t="shared" si="38"/>
        <v>35</v>
      </c>
      <c r="AQ100" s="4">
        <f t="shared" si="39"/>
        <v>3</v>
      </c>
      <c r="AR100" s="4">
        <f t="shared" si="40"/>
        <v>30</v>
      </c>
      <c r="AS100" s="4">
        <f t="shared" si="41"/>
        <v>3</v>
      </c>
      <c r="AT100" s="4">
        <f t="shared" si="42"/>
        <v>35</v>
      </c>
      <c r="AU100" s="4">
        <f t="shared" si="43"/>
        <v>7</v>
      </c>
      <c r="AV100" s="4">
        <f t="shared" si="44"/>
        <v>26</v>
      </c>
      <c r="AW100" s="4">
        <f t="shared" si="45"/>
        <v>2</v>
      </c>
      <c r="AX100" s="4">
        <f t="shared" si="46"/>
        <v>41</v>
      </c>
      <c r="AY100" s="4">
        <f t="shared" si="47"/>
        <v>37</v>
      </c>
      <c r="AZ100" s="4">
        <f t="shared" si="48"/>
        <v>24</v>
      </c>
      <c r="BA100" s="4">
        <f t="shared" si="49"/>
        <v>12</v>
      </c>
    </row>
    <row r="101" spans="1:53" x14ac:dyDescent="0.2">
      <c r="A101" s="1" t="str">
        <f>'SegEnds_NonXtal_Prot#'!A72</f>
        <v>agtr1_human</v>
      </c>
      <c r="B101" s="1" t="str">
        <f t="shared" si="25"/>
        <v>HNYIFVMIPTLYSIIFVVGIFGNSLVVIVIYFYTVASVFLLNLALADLCFLLTLPLWAVYTAMGNYLCKIASASVSFNLYASVFLLTCLSIDRYLAIVHTMLVAKVTCIIIWLLAGLASLPAIIHRLPIGLGLTKNILGFLFPFLIILTSYTLIWKALKKAQKNKPRNDDIFKIIMAIVLFFFFSWIPHQIFTFLDVLIQLGDCRIADIVDTAMPITICIAYFNNCLNPLFYGFLGKKFKRYFLQLLKYI</v>
      </c>
      <c r="C101" s="29" t="str">
        <f>IF(ISERROR(MATCH(A101,'SegEnds_Xtal_Prot#'!B:B, 0)), "NoXtal", "Xtal")</f>
        <v>Xtal</v>
      </c>
      <c r="D101" s="4" t="str">
        <f>VLOOKUP(A101,Classification!A:D,2,FALSE)</f>
        <v>A</v>
      </c>
      <c r="E101" s="5" t="str">
        <f>VLOOKUP(A101,Seqs!A:B,2,FALSE)</f>
        <v>MILNSSTEDGIKRIQDDCPKAGRHNYIFVMIPTLYSIIFVVGIFGNSLVVIVIYFYMKLKTVASVFLLNLALADLCFLLTLPLWAVYTAMEYRWPFGNYLCKIASASVSFNLYASVFLLTCLSIDRYLAIVHPMKSRLRRTMLVAKVTCIIIWLLAGLASLPAIIHRNVFFIENTNITVCAFHYESQNSTLPIGLGLTKNILGFLFPFLIILTSYTLIWKALKKAYEIQKNKPRNDDIFKIIMAIVLFFFFSWIPHQIFTFLDVLIQLGIIRDCRIADIVDTAMPITICIAYFNNCLNPLFYGFLGKKFKRYFLQLLKYIPPKAKSHSNLSTKMSTLSYRPSDNVSSSTKKPAPCFEVE</v>
      </c>
      <c r="F101" s="5" t="str">
        <f t="shared" si="26"/>
        <v>HNYIFVMIPTLYSIIFVVGIFGNSLVVIVIYFY</v>
      </c>
      <c r="G101" s="4" t="str">
        <f t="shared" si="27"/>
        <v>MKLK</v>
      </c>
      <c r="H101" s="4" t="str">
        <f t="shared" si="28"/>
        <v>TVASVFLLNLALADLCFLLTLPLWAVYTAM</v>
      </c>
      <c r="I101" s="4" t="str">
        <f t="shared" si="29"/>
        <v>RWPF</v>
      </c>
      <c r="J101" s="4" t="str">
        <f t="shared" si="30"/>
        <v>GNYLCKIASASVSFNLYASVFLLTCLSIDRYLAIVH</v>
      </c>
      <c r="K101" s="4" t="str">
        <f t="shared" si="31"/>
        <v>PMKSRLRR</v>
      </c>
      <c r="L101" s="4" t="str">
        <f t="shared" si="32"/>
        <v>TMLVAKVTCIIIWLLAGLASLPAIIHR</v>
      </c>
      <c r="M101" s="4" t="str">
        <f t="shared" si="33"/>
        <v>CAF</v>
      </c>
      <c r="N101" s="4" t="str">
        <f t="shared" si="34"/>
        <v>LPIGLGLTKNILGFLFPFLIILTSYTLIWKALKKA</v>
      </c>
      <c r="O101" s="4" t="str">
        <f t="shared" si="35"/>
        <v>QKNKPRNDDIFKIIMAIVLFFFFSWIPHQIFTFLDVLIQLG</v>
      </c>
      <c r="P101" s="4" t="str">
        <f t="shared" si="36"/>
        <v>DCRIADIVDTAMPITICIAYFNNCLNPLFYGFL</v>
      </c>
      <c r="Q101" s="4" t="str">
        <f t="shared" si="37"/>
        <v>GKKFKRYFLQLLKYI</v>
      </c>
      <c r="R101" s="5">
        <f>VLOOKUP($A101,'SegEnds_NonXtal_Prot#'!$A:$AL,3,FALSE)</f>
        <v>24</v>
      </c>
      <c r="S101" s="5">
        <f>VLOOKUP($A101,'SegEnds_NonXtal_Prot#'!$A:$AL,6,FALSE)</f>
        <v>57</v>
      </c>
      <c r="T101" s="5">
        <f>VLOOKUP($A101,'SegEnds_NonXtal_Prot#'!$A:$AL,9,FALSE)</f>
        <v>61</v>
      </c>
      <c r="U101" s="5">
        <f>VLOOKUP($A101,'SegEnds_NonXtal_Prot#'!$A:$AL,12,FALSE)</f>
        <v>93</v>
      </c>
      <c r="V101" s="5">
        <f>VLOOKUP($A101,'SegEnds_NonXtal_Prot#'!$A:$AL,15,FALSE)</f>
        <v>97</v>
      </c>
      <c r="W101" s="5">
        <f>VLOOKUP($A101,'SegEnds_NonXtal_Prot#'!$A:$AL,18,FALSE)</f>
        <v>133</v>
      </c>
      <c r="X101" s="5">
        <f>VLOOKUP($A101,'SegEnds_NonXtal_Prot#'!$A:$AL,21,FALSE)</f>
        <v>141</v>
      </c>
      <c r="Y101" s="5">
        <f>VLOOKUP($A101,'SegEnds_NonXtal_Prot#'!$A:$AL,24,FALSE)</f>
        <v>180</v>
      </c>
      <c r="Z101" s="5">
        <f>VLOOKUP($A101,'SegEnds_NonXtal_Prot#'!$A:$AL,27,FALSE)</f>
        <v>191</v>
      </c>
      <c r="AA101" s="5">
        <f>VLOOKUP($A101,'SegEnds_NonXtal_Prot#'!$A:$AL,30,FALSE)</f>
        <v>229</v>
      </c>
      <c r="AB101" s="5">
        <f>VLOOKUP($A101,'SegEnds_NonXtal_Prot#'!$A:$AL,33,FALSE)</f>
        <v>273</v>
      </c>
      <c r="AC101" s="5">
        <f>VLOOKUP($A101,'SegEnds_NonXtal_Prot#'!$A:$AL,36,FALSE)</f>
        <v>306</v>
      </c>
      <c r="AD101" s="5">
        <f>VLOOKUP($A101,'SegEnds_NonXtal_Prot#'!$A:$AL,5,FALSE)</f>
        <v>56</v>
      </c>
      <c r="AE101" s="5">
        <f>VLOOKUP($A101,'SegEnds_NonXtal_Prot#'!$A:$AL,8,FALSE)</f>
        <v>60</v>
      </c>
      <c r="AF101" s="5">
        <f>VLOOKUP($A101,'SegEnds_NonXtal_Prot#'!$A:$AL,11,FALSE)</f>
        <v>90</v>
      </c>
      <c r="AG101" s="5">
        <f>VLOOKUP($A101,'SegEnds_NonXtal_Prot#'!$A:$AL,14,FALSE)</f>
        <v>96</v>
      </c>
      <c r="AH101" s="5">
        <f>VLOOKUP($A101,'SegEnds_NonXtal_Prot#'!$A:$AL,17,FALSE)</f>
        <v>132</v>
      </c>
      <c r="AI101" s="5">
        <f>VLOOKUP($A101,'SegEnds_NonXtal_Prot#'!$A:$AL,20,FALSE)</f>
        <v>140</v>
      </c>
      <c r="AJ101" s="5">
        <f>VLOOKUP($A101,'SegEnds_NonXtal_Prot#'!$A:$AL,23,FALSE)</f>
        <v>167</v>
      </c>
      <c r="AK101" s="5">
        <f>VLOOKUP($A101,'SegEnds_NonXtal_Prot#'!$A:$AL,26,FALSE)</f>
        <v>182</v>
      </c>
      <c r="AL101" s="5">
        <f>VLOOKUP($A101,'SegEnds_NonXtal_Prot#'!$A:$AL,29,FALSE)</f>
        <v>225</v>
      </c>
      <c r="AM101" s="5">
        <f>VLOOKUP($A101,'SegEnds_NonXtal_Prot#'!$A:$AL,32,FALSE)</f>
        <v>269</v>
      </c>
      <c r="AN101" s="5">
        <f>VLOOKUP($A101,'SegEnds_NonXtal_Prot#'!$A:$AL,35,FALSE)</f>
        <v>305</v>
      </c>
      <c r="AO101" s="5">
        <f>VLOOKUP($A101,'SegEnds_NonXtal_Prot#'!$A:$AL,38,FALSE)</f>
        <v>320</v>
      </c>
      <c r="AP101" s="5">
        <f t="shared" si="38"/>
        <v>32</v>
      </c>
      <c r="AQ101" s="4">
        <f t="shared" si="39"/>
        <v>3</v>
      </c>
      <c r="AR101" s="4">
        <f t="shared" si="40"/>
        <v>29</v>
      </c>
      <c r="AS101" s="4">
        <f t="shared" si="41"/>
        <v>3</v>
      </c>
      <c r="AT101" s="4">
        <f t="shared" si="42"/>
        <v>35</v>
      </c>
      <c r="AU101" s="4">
        <f t="shared" si="43"/>
        <v>7</v>
      </c>
      <c r="AV101" s="4">
        <f t="shared" si="44"/>
        <v>26</v>
      </c>
      <c r="AW101" s="4">
        <f t="shared" si="45"/>
        <v>2</v>
      </c>
      <c r="AX101" s="4">
        <f t="shared" si="46"/>
        <v>34</v>
      </c>
      <c r="AY101" s="4">
        <f t="shared" si="47"/>
        <v>40</v>
      </c>
      <c r="AZ101" s="4">
        <f t="shared" si="48"/>
        <v>32</v>
      </c>
      <c r="BA101" s="4">
        <f t="shared" si="49"/>
        <v>14</v>
      </c>
    </row>
    <row r="102" spans="1:53" x14ac:dyDescent="0.2">
      <c r="A102" s="1" t="str">
        <f>'SegEnds_NonXtal_Prot#'!A73</f>
        <v>apj_human</v>
      </c>
      <c r="B102" s="1" t="str">
        <f t="shared" si="25"/>
        <v>ALIPAIYMLVFLLGTTGNGLVLWTVFRSRSADIFIASLAVADLTFVVTLPLWATYTYRDGTFFCKLSSYLIFVNMYASVFCLTGLSFDRYLAIVRLRVSGAVATAVLWVLAALLAMPVMVLRSEWAWEVGLGVSSTTVGFVVPFTIMLTCYFFIAQTIAGHFRKEKRRRLLSIIVVLVVTFALCWMPYHLVKTLYMLGSLPCDFDLFLMNIFPYCTCISYVNSCLNPFLYAFFDPRFRQACTSMLCCG</v>
      </c>
      <c r="C102" s="29" t="str">
        <f>IF(ISERROR(MATCH(A102,'SegEnds_Xtal_Prot#'!B:B, 0)), "NoXtal", "Xtal")</f>
        <v>Xtal</v>
      </c>
      <c r="D102" s="4" t="str">
        <f>VLOOKUP(A102,Classification!A:D,2,FALSE)</f>
        <v>A</v>
      </c>
      <c r="E102" s="5" t="str">
        <f>VLOOKUP(A102,Seqs!A:B,2,FALSE)</f>
        <v>MEEGGDFDNYYGADNQSECEYTDWKSSGALIPAIYMLVFLLGTTGNGLVLWTVFRSSREKRRSADIFIASLAVADLTFVVTLPLWATYTYRDYDWPFGTFFCKLSSYLIFVNMYASVFCLTGLSFDRYLAIVRPVANARLRLRVSGAVATAVLWVLAALLAMPVMVLRTTGDLENTTKVQCYMDYSMVATVSSEWAWEVGLGVSSTTVGFVVPFTIMLTCYFFIAQTIAGHFRKERIEGLRKRRRLLSIIVVLVVTFALCWMPYHLVKTLYMLGSLLHWPCDFDLFLMNIFPYCTCISYVNSCLNPFLYAFFDPRFRQACTSMLCCGQSRCAGTSHSSSGEKSASYSSGHSQGPGPNMGKGGEQMHEKSIPYSQETLVVD</v>
      </c>
      <c r="F102" s="5" t="str">
        <f t="shared" si="26"/>
        <v>ALIPAIYMLVFLLGTTGNGLVLWTVFRS</v>
      </c>
      <c r="G102" s="4" t="str">
        <f t="shared" si="27"/>
        <v>SREKR</v>
      </c>
      <c r="H102" s="4" t="str">
        <f t="shared" si="28"/>
        <v>RSADIFIASLAVADLTFVVTLPLWATYTYRD</v>
      </c>
      <c r="I102" s="4" t="str">
        <f t="shared" si="29"/>
        <v>DWPF</v>
      </c>
      <c r="J102" s="4" t="str">
        <f t="shared" si="30"/>
        <v>GTFFCKLSSYLIFVNMYASVFCLTGLSFDRYLAIVR</v>
      </c>
      <c r="K102" s="4" t="str">
        <f t="shared" si="31"/>
        <v>PVANARLR</v>
      </c>
      <c r="L102" s="4" t="str">
        <f t="shared" si="32"/>
        <v>LRVSGAVATAVLWVLAALLAMPVMVLR</v>
      </c>
      <c r="M102" s="4" t="str">
        <f t="shared" si="33"/>
        <v>CYM</v>
      </c>
      <c r="N102" s="4" t="str">
        <f t="shared" si="34"/>
        <v>SEWAWEVGLGVSSTTVGFVVPFTIMLTCYFFIAQTIAGHFRKE</v>
      </c>
      <c r="O102" s="4" t="str">
        <f t="shared" si="35"/>
        <v>KRRRLLSIIVVLVVTFALCWMPYHLVKTLYMLGSL</v>
      </c>
      <c r="P102" s="4" t="str">
        <f t="shared" si="36"/>
        <v>PCDFDLFLMNIFPYCTCISYVNSCLNPFLYAFF</v>
      </c>
      <c r="Q102" s="4" t="str">
        <f t="shared" si="37"/>
        <v>DPRFRQACTSMLCCG</v>
      </c>
      <c r="R102" s="5">
        <f>VLOOKUP($A102,'SegEnds_NonXtal_Prot#'!$A:$AL,3,FALSE)</f>
        <v>29</v>
      </c>
      <c r="S102" s="5">
        <f>VLOOKUP($A102,'SegEnds_NonXtal_Prot#'!$A:$AL,6,FALSE)</f>
        <v>57</v>
      </c>
      <c r="T102" s="5">
        <f>VLOOKUP($A102,'SegEnds_NonXtal_Prot#'!$A:$AL,9,FALSE)</f>
        <v>62</v>
      </c>
      <c r="U102" s="5">
        <f>VLOOKUP($A102,'SegEnds_NonXtal_Prot#'!$A:$AL,12,FALSE)</f>
        <v>94</v>
      </c>
      <c r="V102" s="5">
        <f>VLOOKUP($A102,'SegEnds_NonXtal_Prot#'!$A:$AL,15,FALSE)</f>
        <v>98</v>
      </c>
      <c r="W102" s="5">
        <f>VLOOKUP($A102,'SegEnds_NonXtal_Prot#'!$A:$AL,18,FALSE)</f>
        <v>134</v>
      </c>
      <c r="X102" s="5">
        <f>VLOOKUP($A102,'SegEnds_NonXtal_Prot#'!$A:$AL,21,FALSE)</f>
        <v>142</v>
      </c>
      <c r="Y102" s="5">
        <f>VLOOKUP($A102,'SegEnds_NonXtal_Prot#'!$A:$AL,24,FALSE)</f>
        <v>181</v>
      </c>
      <c r="Z102" s="5">
        <f>VLOOKUP($A102,'SegEnds_NonXtal_Prot#'!$A:$AL,27,FALSE)</f>
        <v>193</v>
      </c>
      <c r="AA102" s="5">
        <f>VLOOKUP($A102,'SegEnds_NonXtal_Prot#'!$A:$AL,30,FALSE)</f>
        <v>242</v>
      </c>
      <c r="AB102" s="5">
        <f>VLOOKUP($A102,'SegEnds_NonXtal_Prot#'!$A:$AL,33,FALSE)</f>
        <v>280</v>
      </c>
      <c r="AC102" s="5">
        <f>VLOOKUP($A102,'SegEnds_NonXtal_Prot#'!$A:$AL,36,FALSE)</f>
        <v>313</v>
      </c>
      <c r="AD102" s="5">
        <f>VLOOKUP($A102,'SegEnds_NonXtal_Prot#'!$A:$AL,5,FALSE)</f>
        <v>56</v>
      </c>
      <c r="AE102" s="5">
        <f>VLOOKUP($A102,'SegEnds_NonXtal_Prot#'!$A:$AL,8,FALSE)</f>
        <v>61</v>
      </c>
      <c r="AF102" s="5">
        <f>VLOOKUP($A102,'SegEnds_NonXtal_Prot#'!$A:$AL,11,FALSE)</f>
        <v>92</v>
      </c>
      <c r="AG102" s="5">
        <f>VLOOKUP($A102,'SegEnds_NonXtal_Prot#'!$A:$AL,14,FALSE)</f>
        <v>97</v>
      </c>
      <c r="AH102" s="5">
        <f>VLOOKUP($A102,'SegEnds_NonXtal_Prot#'!$A:$AL,17,FALSE)</f>
        <v>133</v>
      </c>
      <c r="AI102" s="5">
        <f>VLOOKUP($A102,'SegEnds_NonXtal_Prot#'!$A:$AL,20,FALSE)</f>
        <v>141</v>
      </c>
      <c r="AJ102" s="5">
        <f>VLOOKUP($A102,'SegEnds_NonXtal_Prot#'!$A:$AL,23,FALSE)</f>
        <v>168</v>
      </c>
      <c r="AK102" s="5">
        <f>VLOOKUP($A102,'SegEnds_NonXtal_Prot#'!$A:$AL,26,FALSE)</f>
        <v>183</v>
      </c>
      <c r="AL102" s="5">
        <f>VLOOKUP($A102,'SegEnds_NonXtal_Prot#'!$A:$AL,29,FALSE)</f>
        <v>235</v>
      </c>
      <c r="AM102" s="5">
        <f>VLOOKUP($A102,'SegEnds_NonXtal_Prot#'!$A:$AL,32,FALSE)</f>
        <v>276</v>
      </c>
      <c r="AN102" s="5">
        <f>VLOOKUP($A102,'SegEnds_NonXtal_Prot#'!$A:$AL,35,FALSE)</f>
        <v>312</v>
      </c>
      <c r="AO102" s="5">
        <f>VLOOKUP($A102,'SegEnds_NonXtal_Prot#'!$A:$AL,38,FALSE)</f>
        <v>327</v>
      </c>
      <c r="AP102" s="5">
        <f t="shared" si="38"/>
        <v>27</v>
      </c>
      <c r="AQ102" s="4">
        <f t="shared" si="39"/>
        <v>4</v>
      </c>
      <c r="AR102" s="4">
        <f t="shared" si="40"/>
        <v>30</v>
      </c>
      <c r="AS102" s="4">
        <f t="shared" si="41"/>
        <v>3</v>
      </c>
      <c r="AT102" s="4">
        <f t="shared" si="42"/>
        <v>35</v>
      </c>
      <c r="AU102" s="4">
        <f t="shared" si="43"/>
        <v>7</v>
      </c>
      <c r="AV102" s="4">
        <f t="shared" si="44"/>
        <v>26</v>
      </c>
      <c r="AW102" s="4">
        <f t="shared" si="45"/>
        <v>2</v>
      </c>
      <c r="AX102" s="4">
        <f t="shared" si="46"/>
        <v>42</v>
      </c>
      <c r="AY102" s="4">
        <f t="shared" si="47"/>
        <v>34</v>
      </c>
      <c r="AZ102" s="4">
        <f t="shared" si="48"/>
        <v>32</v>
      </c>
      <c r="BA102" s="4">
        <f t="shared" si="49"/>
        <v>14</v>
      </c>
    </row>
    <row r="103" spans="1:53" x14ac:dyDescent="0.2">
      <c r="A103" s="1" t="str">
        <f>'SegEnds_NonXtal_Prot#'!A74</f>
        <v>bkrb1_human</v>
      </c>
      <c r="B103" s="1" t="str">
        <f t="shared" si="25"/>
        <v>WDLLHRVLPTFIISICFFGLLGNLFVLLVFLLPNVAEIYLANLAASDLVFVLGLPFWAENIWNGALLCRVINGVIKANLFISIFLVVAISQDRYRVLVHRRRQARVTCVLIWVVGGLLSIPTFLLRWHFARIVELNILGFLLPLAAIVFFNYHILASLRTRTRCGGRKDSKTTALILTLVVAFLVCWAPYHFFAFLEFLFQVQGCFWEDFIDLGLQLANFFAFTNSSLNPVIYVFVGRLFRTKVWELYKQC</v>
      </c>
      <c r="C103" s="29" t="str">
        <f>IF(ISERROR(MATCH(A103,'SegEnds_Xtal_Prot#'!B:B, 0)), "NoXtal", "Xtal")</f>
        <v>NoXtal</v>
      </c>
      <c r="D103" s="4" t="str">
        <f>VLOOKUP(A103,Classification!A:D,2,FALSE)</f>
        <v>A</v>
      </c>
      <c r="E103" s="5" t="str">
        <f>VLOOKUP(A103,Seqs!A:B,2,FALSE)</f>
        <v>MASSWPPLELQSSNQSQLFPQNATACDNAPEAWDLLHRVLPTFIISICFFGLLGNLFVLLVFLLPRRQLNVAEIYLANLAASDLVFVLGLPFWAENIWNQFNWPFGALLCRVINGVIKANLFISIFLVVAISQDRYRVLVHPMASRRQQRRRQARVTCVLIWVVGGLLSIPTFLLRSIQAVPDLNITACILLLPHEAWHFARIVELNILGFLLPLAAIVFFNYHILASLRTREEVSRTRCGGRKDSKTTALILTLVVAFLVCWAPYHFFAFLEFLFQVQAVRGCFWEDFIDLGLQLANFFAFTNSSLNPVIYVFVGRLFRTKVWELYKQCTPKSLAPISSSHRKEIFQLFWRN</v>
      </c>
      <c r="F103" s="5" t="str">
        <f t="shared" si="26"/>
        <v>WDLLHRVLPTFIISICFFGLLGNLFVLLVFLLP</v>
      </c>
      <c r="G103" s="4" t="str">
        <f t="shared" si="27"/>
        <v>RRQL</v>
      </c>
      <c r="H103" s="4" t="str">
        <f t="shared" si="28"/>
        <v>NVAEIYLANLAASDLVFVLGLPFWAENIWN</v>
      </c>
      <c r="I103" s="4" t="str">
        <f t="shared" si="29"/>
        <v>NWPF</v>
      </c>
      <c r="J103" s="4" t="str">
        <f t="shared" si="30"/>
        <v>GALLCRVINGVIKANLFISIFLVVAISQDRYRVLVH</v>
      </c>
      <c r="K103" s="4" t="str">
        <f t="shared" si="31"/>
        <v>PMASRRQQ</v>
      </c>
      <c r="L103" s="4" t="str">
        <f t="shared" si="32"/>
        <v>RRRQARVTCVLIWVVGGLLSIPTFLLR</v>
      </c>
      <c r="M103" s="4" t="str">
        <f t="shared" si="33"/>
        <v>CIL</v>
      </c>
      <c r="N103" s="4" t="str">
        <f t="shared" si="34"/>
        <v>WHFARIVELNILGFLLPLAAIVFFNYHILASLRTR</v>
      </c>
      <c r="O103" s="4" t="str">
        <f t="shared" si="35"/>
        <v>TRCGGRKDSKTTALILTLVVAFLVCWAPYHFFAFLEFLFQVQ</v>
      </c>
      <c r="P103" s="4" t="str">
        <f t="shared" si="36"/>
        <v>GCFWEDFIDLGLQLANFFAFTNSSLNPVIYVFV</v>
      </c>
      <c r="Q103" s="4" t="str">
        <f t="shared" si="37"/>
        <v>GRLFRTKVWELYKQC</v>
      </c>
      <c r="R103" s="5">
        <f>VLOOKUP($A103,'SegEnds_NonXtal_Prot#'!$A:$AL,3,FALSE)</f>
        <v>33</v>
      </c>
      <c r="S103" s="5">
        <f>VLOOKUP($A103,'SegEnds_NonXtal_Prot#'!$A:$AL,6,FALSE)</f>
        <v>66</v>
      </c>
      <c r="T103" s="5">
        <f>VLOOKUP($A103,'SegEnds_NonXtal_Prot#'!$A:$AL,9,FALSE)</f>
        <v>70</v>
      </c>
      <c r="U103" s="5">
        <f>VLOOKUP($A103,'SegEnds_NonXtal_Prot#'!$A:$AL,12,FALSE)</f>
        <v>102</v>
      </c>
      <c r="V103" s="5">
        <f>VLOOKUP($A103,'SegEnds_NonXtal_Prot#'!$A:$AL,15,FALSE)</f>
        <v>106</v>
      </c>
      <c r="W103" s="5">
        <f>VLOOKUP($A103,'SegEnds_NonXtal_Prot#'!$A:$AL,18,FALSE)</f>
        <v>142</v>
      </c>
      <c r="X103" s="5">
        <f>VLOOKUP($A103,'SegEnds_NonXtal_Prot#'!$A:$AL,21,FALSE)</f>
        <v>150</v>
      </c>
      <c r="Y103" s="5">
        <f>VLOOKUP($A103,'SegEnds_NonXtal_Prot#'!$A:$AL,24,FALSE)</f>
        <v>189</v>
      </c>
      <c r="Z103" s="5">
        <f>VLOOKUP($A103,'SegEnds_NonXtal_Prot#'!$A:$AL,27,FALSE)</f>
        <v>198</v>
      </c>
      <c r="AA103" s="5">
        <f>VLOOKUP($A103,'SegEnds_NonXtal_Prot#'!$A:$AL,30,FALSE)</f>
        <v>238</v>
      </c>
      <c r="AB103" s="5">
        <f>VLOOKUP($A103,'SegEnds_NonXtal_Prot#'!$A:$AL,33,FALSE)</f>
        <v>283</v>
      </c>
      <c r="AC103" s="5">
        <f>VLOOKUP($A103,'SegEnds_NonXtal_Prot#'!$A:$AL,36,FALSE)</f>
        <v>316</v>
      </c>
      <c r="AD103" s="5">
        <f>VLOOKUP($A103,'SegEnds_NonXtal_Prot#'!$A:$AL,5,FALSE)</f>
        <v>65</v>
      </c>
      <c r="AE103" s="5">
        <f>VLOOKUP($A103,'SegEnds_NonXtal_Prot#'!$A:$AL,8,FALSE)</f>
        <v>69</v>
      </c>
      <c r="AF103" s="5">
        <f>VLOOKUP($A103,'SegEnds_NonXtal_Prot#'!$A:$AL,11,FALSE)</f>
        <v>99</v>
      </c>
      <c r="AG103" s="5">
        <f>VLOOKUP($A103,'SegEnds_NonXtal_Prot#'!$A:$AL,14,FALSE)</f>
        <v>105</v>
      </c>
      <c r="AH103" s="5">
        <f>VLOOKUP($A103,'SegEnds_NonXtal_Prot#'!$A:$AL,17,FALSE)</f>
        <v>141</v>
      </c>
      <c r="AI103" s="5">
        <f>VLOOKUP($A103,'SegEnds_NonXtal_Prot#'!$A:$AL,20,FALSE)</f>
        <v>149</v>
      </c>
      <c r="AJ103" s="5">
        <f>VLOOKUP($A103,'SegEnds_NonXtal_Prot#'!$A:$AL,23,FALSE)</f>
        <v>176</v>
      </c>
      <c r="AK103" s="5">
        <f>VLOOKUP($A103,'SegEnds_NonXtal_Prot#'!$A:$AL,26,FALSE)</f>
        <v>191</v>
      </c>
      <c r="AL103" s="5">
        <f>VLOOKUP($A103,'SegEnds_NonXtal_Prot#'!$A:$AL,29,FALSE)</f>
        <v>232</v>
      </c>
      <c r="AM103" s="5">
        <f>VLOOKUP($A103,'SegEnds_NonXtal_Prot#'!$A:$AL,32,FALSE)</f>
        <v>279</v>
      </c>
      <c r="AN103" s="5">
        <f>VLOOKUP($A103,'SegEnds_NonXtal_Prot#'!$A:$AL,35,FALSE)</f>
        <v>315</v>
      </c>
      <c r="AO103" s="5">
        <f>VLOOKUP($A103,'SegEnds_NonXtal_Prot#'!$A:$AL,38,FALSE)</f>
        <v>330</v>
      </c>
      <c r="AP103" s="5">
        <f t="shared" si="38"/>
        <v>32</v>
      </c>
      <c r="AQ103" s="4">
        <f t="shared" si="39"/>
        <v>3</v>
      </c>
      <c r="AR103" s="4">
        <f t="shared" si="40"/>
        <v>29</v>
      </c>
      <c r="AS103" s="4">
        <f t="shared" si="41"/>
        <v>3</v>
      </c>
      <c r="AT103" s="4">
        <f t="shared" si="42"/>
        <v>35</v>
      </c>
      <c r="AU103" s="4">
        <f t="shared" si="43"/>
        <v>7</v>
      </c>
      <c r="AV103" s="4">
        <f t="shared" si="44"/>
        <v>26</v>
      </c>
      <c r="AW103" s="4">
        <f t="shared" si="45"/>
        <v>2</v>
      </c>
      <c r="AX103" s="4">
        <f t="shared" si="46"/>
        <v>34</v>
      </c>
      <c r="AY103" s="4">
        <f t="shared" si="47"/>
        <v>41</v>
      </c>
      <c r="AZ103" s="4">
        <f t="shared" si="48"/>
        <v>32</v>
      </c>
      <c r="BA103" s="4">
        <f t="shared" si="49"/>
        <v>14</v>
      </c>
    </row>
    <row r="104" spans="1:53" x14ac:dyDescent="0.2">
      <c r="A104" s="1" t="str">
        <f>'SegEnds_NonXtal_Prot#'!A75</f>
        <v>bkrb2_human</v>
      </c>
      <c r="B104" s="1" t="str">
        <f t="shared" si="25"/>
        <v>TIQPPFLWVLFVLATLENIFVLSVFCLHTVAEIYLGNLAAADLILACGLPFWAITISNGETLCRVVNAIISMNLYSSICFLMLVSIDRYLALVKGVRWAKLYSLVIWGCTLLLSSPMLVFRPSLIWEVFTNMLLNVVGFLLPLSVITFCTMQIMQVLRNNFKEIQTERRATVLVLVVLLLFIICWLPFQISTFLDTLHRLGSCQDERIIDVITQIASFMAYSNSCLNPLVYVIVGKRFRKKSWEVYQGV</v>
      </c>
      <c r="C104" s="29" t="str">
        <f>IF(ISERROR(MATCH(A104,'SegEnds_Xtal_Prot#'!B:B, 0)), "NoXtal", "Xtal")</f>
        <v>NoXtal</v>
      </c>
      <c r="D104" s="4" t="str">
        <f>VLOOKUP(A104,Classification!A:D,2,FALSE)</f>
        <v>A</v>
      </c>
      <c r="E104" s="5" t="str">
        <f>VLOOKUP(A104,Seqs!A:B,2,FALSE)</f>
        <v>MFSPWKISMFLSVREDSVPTTASFSADMLNVTLQGPTLNGTFAQSKCPQVEWLGWLNTIQPPFLWVLFVLATLENIFVLSVFCLHKSSCTVAEIYLGNLAAADLILACGLPFWAITISNNFDWLFGETLCRVVNAIISMNLYSSICFLMLVSIDRYLALVKTMSMGRMRGVRWAKLYSLVIWGCTLLLSSPMLVFRTMKEYSDEGHNVTACVISYPSLIWEVFTNMLLNVVGFLLPLSVITFCTMQIMQVLRNNEMQKFKEIQTERRATVLVLVVLLLFIICWLPFQISTFLDTLHRLGILSSCQDERIIDVITQIASFMAYSNSCLNPLVYVIVGKRFRKKSWEVYQGVCQKGGCRSEPIQMENSMGTLRTSISVERQIHKLQDWAGSRQ</v>
      </c>
      <c r="F104" s="5" t="str">
        <f t="shared" si="26"/>
        <v>TIQPPFLWVLFVLATLENIFVLSVFCLH</v>
      </c>
      <c r="G104" s="4" t="str">
        <f t="shared" si="27"/>
        <v>KSSC</v>
      </c>
      <c r="H104" s="4" t="str">
        <f t="shared" si="28"/>
        <v>TVAEIYLGNLAAADLILACGLPFWAITISN</v>
      </c>
      <c r="I104" s="4" t="str">
        <f t="shared" si="29"/>
        <v>DWLF</v>
      </c>
      <c r="J104" s="4" t="str">
        <f t="shared" si="30"/>
        <v>GETLCRVVNAIISMNLYSSICFLMLVSIDRYLALVK</v>
      </c>
      <c r="K104" s="4" t="str">
        <f t="shared" si="31"/>
        <v>TMSMGRMR</v>
      </c>
      <c r="L104" s="4" t="str">
        <f t="shared" si="32"/>
        <v>GVRWAKLYSLVIWGCTLLLSSPMLVFR</v>
      </c>
      <c r="M104" s="4" t="str">
        <f t="shared" si="33"/>
        <v>CVI</v>
      </c>
      <c r="N104" s="4" t="str">
        <f t="shared" si="34"/>
        <v>PSLIWEVFTNMLLNVVGFLLPLSVITFCTMQIMQVLRNN</v>
      </c>
      <c r="O104" s="4" t="str">
        <f t="shared" si="35"/>
        <v>FKEIQTERRATVLVLVVLLLFIICWLPFQISTFLDTLHRLG</v>
      </c>
      <c r="P104" s="4" t="str">
        <f t="shared" si="36"/>
        <v>SCQDERIIDVITQIASFMAYSNSCLNPLVYVIV</v>
      </c>
      <c r="Q104" s="4" t="str">
        <f t="shared" si="37"/>
        <v>GKRFRKKSWEVYQGV</v>
      </c>
      <c r="R104" s="5">
        <f>VLOOKUP($A104,'SegEnds_NonXtal_Prot#'!$A:$AL,3,FALSE)</f>
        <v>58</v>
      </c>
      <c r="S104" s="5">
        <f>VLOOKUP($A104,'SegEnds_NonXtal_Prot#'!$A:$AL,6,FALSE)</f>
        <v>86</v>
      </c>
      <c r="T104" s="5">
        <f>VLOOKUP($A104,'SegEnds_NonXtal_Prot#'!$A:$AL,9,FALSE)</f>
        <v>90</v>
      </c>
      <c r="U104" s="5">
        <f>VLOOKUP($A104,'SegEnds_NonXtal_Prot#'!$A:$AL,12,FALSE)</f>
        <v>122</v>
      </c>
      <c r="V104" s="5">
        <f>VLOOKUP($A104,'SegEnds_NonXtal_Prot#'!$A:$AL,15,FALSE)</f>
        <v>126</v>
      </c>
      <c r="W104" s="5">
        <f>VLOOKUP($A104,'SegEnds_NonXtal_Prot#'!$A:$AL,18,FALSE)</f>
        <v>162</v>
      </c>
      <c r="X104" s="5">
        <f>VLOOKUP($A104,'SegEnds_NonXtal_Prot#'!$A:$AL,21,FALSE)</f>
        <v>170</v>
      </c>
      <c r="Y104" s="5">
        <f>VLOOKUP($A104,'SegEnds_NonXtal_Prot#'!$A:$AL,24,FALSE)</f>
        <v>211</v>
      </c>
      <c r="Z104" s="5">
        <f>VLOOKUP($A104,'SegEnds_NonXtal_Prot#'!$A:$AL,27,FALSE)</f>
        <v>216</v>
      </c>
      <c r="AA104" s="5">
        <f>VLOOKUP($A104,'SegEnds_NonXtal_Prot#'!$A:$AL,30,FALSE)</f>
        <v>259</v>
      </c>
      <c r="AB104" s="5">
        <f>VLOOKUP($A104,'SegEnds_NonXtal_Prot#'!$A:$AL,33,FALSE)</f>
        <v>303</v>
      </c>
      <c r="AC104" s="5">
        <f>VLOOKUP($A104,'SegEnds_NonXtal_Prot#'!$A:$AL,36,FALSE)</f>
        <v>336</v>
      </c>
      <c r="AD104" s="5">
        <f>VLOOKUP($A104,'SegEnds_NonXtal_Prot#'!$A:$AL,5,FALSE)</f>
        <v>85</v>
      </c>
      <c r="AE104" s="5">
        <f>VLOOKUP($A104,'SegEnds_NonXtal_Prot#'!$A:$AL,8,FALSE)</f>
        <v>89</v>
      </c>
      <c r="AF104" s="5">
        <f>VLOOKUP($A104,'SegEnds_NonXtal_Prot#'!$A:$AL,11,FALSE)</f>
        <v>119</v>
      </c>
      <c r="AG104" s="5">
        <f>VLOOKUP($A104,'SegEnds_NonXtal_Prot#'!$A:$AL,14,FALSE)</f>
        <v>125</v>
      </c>
      <c r="AH104" s="5">
        <f>VLOOKUP($A104,'SegEnds_NonXtal_Prot#'!$A:$AL,17,FALSE)</f>
        <v>161</v>
      </c>
      <c r="AI104" s="5">
        <f>VLOOKUP($A104,'SegEnds_NonXtal_Prot#'!$A:$AL,20,FALSE)</f>
        <v>169</v>
      </c>
      <c r="AJ104" s="5">
        <f>VLOOKUP($A104,'SegEnds_NonXtal_Prot#'!$A:$AL,23,FALSE)</f>
        <v>196</v>
      </c>
      <c r="AK104" s="5">
        <f>VLOOKUP($A104,'SegEnds_NonXtal_Prot#'!$A:$AL,26,FALSE)</f>
        <v>213</v>
      </c>
      <c r="AL104" s="5">
        <f>VLOOKUP($A104,'SegEnds_NonXtal_Prot#'!$A:$AL,29,FALSE)</f>
        <v>254</v>
      </c>
      <c r="AM104" s="5">
        <f>VLOOKUP($A104,'SegEnds_NonXtal_Prot#'!$A:$AL,32,FALSE)</f>
        <v>299</v>
      </c>
      <c r="AN104" s="5">
        <f>VLOOKUP($A104,'SegEnds_NonXtal_Prot#'!$A:$AL,35,FALSE)</f>
        <v>335</v>
      </c>
      <c r="AO104" s="5">
        <f>VLOOKUP($A104,'SegEnds_NonXtal_Prot#'!$A:$AL,38,FALSE)</f>
        <v>350</v>
      </c>
      <c r="AP104" s="5">
        <f t="shared" si="38"/>
        <v>27</v>
      </c>
      <c r="AQ104" s="4">
        <f t="shared" si="39"/>
        <v>3</v>
      </c>
      <c r="AR104" s="4">
        <f t="shared" si="40"/>
        <v>29</v>
      </c>
      <c r="AS104" s="4">
        <f t="shared" si="41"/>
        <v>3</v>
      </c>
      <c r="AT104" s="4">
        <f t="shared" si="42"/>
        <v>35</v>
      </c>
      <c r="AU104" s="4">
        <f t="shared" si="43"/>
        <v>7</v>
      </c>
      <c r="AV104" s="4">
        <f t="shared" si="44"/>
        <v>26</v>
      </c>
      <c r="AW104" s="4">
        <f t="shared" si="45"/>
        <v>2</v>
      </c>
      <c r="AX104" s="4">
        <f t="shared" si="46"/>
        <v>38</v>
      </c>
      <c r="AY104" s="4">
        <f t="shared" si="47"/>
        <v>40</v>
      </c>
      <c r="AZ104" s="4">
        <f t="shared" si="48"/>
        <v>32</v>
      </c>
      <c r="BA104" s="4">
        <f t="shared" si="49"/>
        <v>14</v>
      </c>
    </row>
    <row r="105" spans="1:53" x14ac:dyDescent="0.2">
      <c r="A105" s="1" t="str">
        <f>'SegEnds_NonXtal_Prot#'!A76</f>
        <v>brs3_human</v>
      </c>
      <c r="B105" s="1" t="str">
        <f t="shared" si="25"/>
        <v>SGDNSPGIEALCAIYITYAVIISVGILGNAILIKVFFKTTVPNIFITSLAFGDLLLLLTCVPVDATHYLAGRIGCKVLSFIRLTSVGVSVFTLTILSADRYKAVVKAILKTCVKAGCVWIVSMIFALPEAIFSPVSKKLLQEIHSLLCFLVFYIIPLSIISVYYSLIARTLYKSTLNIPHARKQIESRKRIARTVLVLVALFALCWLPNHLLYLYHSFTSAMHFIFTIFSRVLAFSNSCVNPFALYWLSKSFQKHFKAQLFC</v>
      </c>
      <c r="C105" s="29" t="str">
        <f>IF(ISERROR(MATCH(A105,'SegEnds_Xtal_Prot#'!B:B, 0)), "NoXtal", "Xtal")</f>
        <v>NoXtal</v>
      </c>
      <c r="D105" s="4" t="str">
        <f>VLOOKUP(A105,Classification!A:D,2,FALSE)</f>
        <v>A</v>
      </c>
      <c r="E105" s="5" t="str">
        <f>VLOOKUP(A105,Seqs!A:B,2,FALSE)</f>
        <v>MAQRQPHSPNQTLISITNDTESSSSVVSNDNTNKGWSGDNSPGIEALCAIYITYAVIISVGILGNAILIKVFFKTKSMQTVPNIFITSLAFGDLLLLLTCVPVDATHYLAEGWLFGRIGCKVLSFIRLTSVGVSVFTLTILSADRYKAVVKPLERQPSNAILKTCVKAGCVWIVSMIFALPEAIFSNVYTFRDPNKNMTFESCTSYPVSKKLLQEIHSLLCFLVFYIIPLSIISVYYSLIARTLYKSTLNIPTEEQSHARKQIESRKRIARTVLVLVALFALCWLPNHLLYLYHSFTSQTYVDPSAMHFIFTIFSRVLAFSNSCVNPFALYWLSKSFQKHFKAQLFCCKAERPEPPVADTSLTTLAVMGTVPGTGSIQMSEISVTSFTGCSVKQAEDRF</v>
      </c>
      <c r="F105" s="5" t="str">
        <f t="shared" si="26"/>
        <v>SGDNSPGIEALCAIYITYAVIISVGILGNAILIKVFFKT</v>
      </c>
      <c r="G105" s="4" t="str">
        <f t="shared" si="27"/>
        <v>KSMQ</v>
      </c>
      <c r="H105" s="4" t="str">
        <f t="shared" si="28"/>
        <v>TVPNIFITSLAFGDLLLLLTCVPVDATHYLA</v>
      </c>
      <c r="I105" s="4" t="str">
        <f t="shared" si="29"/>
        <v>GWLF</v>
      </c>
      <c r="J105" s="4" t="str">
        <f t="shared" si="30"/>
        <v>GRIGCKVLSFIRLTSVGVSVFTLTILSADRYKAVVK</v>
      </c>
      <c r="K105" s="4" t="str">
        <f t="shared" si="31"/>
        <v>PLERQPSN</v>
      </c>
      <c r="L105" s="4" t="str">
        <f t="shared" si="32"/>
        <v>AILKTCVKAGCVWIVSMIFALPEAIFS</v>
      </c>
      <c r="M105" s="4" t="str">
        <f t="shared" si="33"/>
        <v>CTS</v>
      </c>
      <c r="N105" s="4" t="str">
        <f t="shared" si="34"/>
        <v>PVSKKLLQEIHSLLCFLVFYIIPLSIISVYYSLIARTLYKSTLNIP</v>
      </c>
      <c r="O105" s="4" t="str">
        <f t="shared" si="35"/>
        <v>HARKQIESRKRIARTVLVLVALFALCWLPNHLLYLYHSFT</v>
      </c>
      <c r="P105" s="4" t="str">
        <f t="shared" si="36"/>
        <v>SAMHFIFTIFSRVLAFSNSCVNPFALYWL</v>
      </c>
      <c r="Q105" s="4" t="str">
        <f t="shared" si="37"/>
        <v>SKSFQKHFKAQLFC</v>
      </c>
      <c r="R105" s="5">
        <f>VLOOKUP($A105,'SegEnds_NonXtal_Prot#'!$A:$AL,3,FALSE)</f>
        <v>37</v>
      </c>
      <c r="S105" s="5">
        <f>VLOOKUP($A105,'SegEnds_NonXtal_Prot#'!$A:$AL,6,FALSE)</f>
        <v>76</v>
      </c>
      <c r="T105" s="5">
        <f>VLOOKUP($A105,'SegEnds_NonXtal_Prot#'!$A:$AL,9,FALSE)</f>
        <v>80</v>
      </c>
      <c r="U105" s="5">
        <f>VLOOKUP($A105,'SegEnds_NonXtal_Prot#'!$A:$AL,12,FALSE)</f>
        <v>112</v>
      </c>
      <c r="V105" s="5">
        <f>VLOOKUP($A105,'SegEnds_NonXtal_Prot#'!$A:$AL,15,FALSE)</f>
        <v>116</v>
      </c>
      <c r="W105" s="5">
        <f>VLOOKUP($A105,'SegEnds_NonXtal_Prot#'!$A:$AL,18,FALSE)</f>
        <v>152</v>
      </c>
      <c r="X105" s="5">
        <f>VLOOKUP($A105,'SegEnds_NonXtal_Prot#'!$A:$AL,21,FALSE)</f>
        <v>160</v>
      </c>
      <c r="Y105" s="5">
        <f>VLOOKUP($A105,'SegEnds_NonXtal_Prot#'!$A:$AL,24,FALSE)</f>
        <v>203</v>
      </c>
      <c r="Z105" s="5">
        <f>VLOOKUP($A105,'SegEnds_NonXtal_Prot#'!$A:$AL,27,FALSE)</f>
        <v>207</v>
      </c>
      <c r="AA105" s="5">
        <f>VLOOKUP($A105,'SegEnds_NonXtal_Prot#'!$A:$AL,30,FALSE)</f>
        <v>258</v>
      </c>
      <c r="AB105" s="5">
        <f>VLOOKUP($A105,'SegEnds_NonXtal_Prot#'!$A:$AL,33,FALSE)</f>
        <v>305</v>
      </c>
      <c r="AC105" s="5">
        <f>VLOOKUP($A105,'SegEnds_NonXtal_Prot#'!$A:$AL,36,FALSE)</f>
        <v>334</v>
      </c>
      <c r="AD105" s="5">
        <f>VLOOKUP($A105,'SegEnds_NonXtal_Prot#'!$A:$AL,5,FALSE)</f>
        <v>75</v>
      </c>
      <c r="AE105" s="5">
        <f>VLOOKUP($A105,'SegEnds_NonXtal_Prot#'!$A:$AL,8,FALSE)</f>
        <v>79</v>
      </c>
      <c r="AF105" s="5">
        <f>VLOOKUP($A105,'SegEnds_NonXtal_Prot#'!$A:$AL,11,FALSE)</f>
        <v>110</v>
      </c>
      <c r="AG105" s="5">
        <f>VLOOKUP($A105,'SegEnds_NonXtal_Prot#'!$A:$AL,14,FALSE)</f>
        <v>115</v>
      </c>
      <c r="AH105" s="5">
        <f>VLOOKUP($A105,'SegEnds_NonXtal_Prot#'!$A:$AL,17,FALSE)</f>
        <v>151</v>
      </c>
      <c r="AI105" s="5">
        <f>VLOOKUP($A105,'SegEnds_NonXtal_Prot#'!$A:$AL,20,FALSE)</f>
        <v>159</v>
      </c>
      <c r="AJ105" s="5">
        <f>VLOOKUP($A105,'SegEnds_NonXtal_Prot#'!$A:$AL,23,FALSE)</f>
        <v>186</v>
      </c>
      <c r="AK105" s="5">
        <f>VLOOKUP($A105,'SegEnds_NonXtal_Prot#'!$A:$AL,26,FALSE)</f>
        <v>205</v>
      </c>
      <c r="AL105" s="5">
        <f>VLOOKUP($A105,'SegEnds_NonXtal_Prot#'!$A:$AL,29,FALSE)</f>
        <v>252</v>
      </c>
      <c r="AM105" s="5">
        <f>VLOOKUP($A105,'SegEnds_NonXtal_Prot#'!$A:$AL,32,FALSE)</f>
        <v>297</v>
      </c>
      <c r="AN105" s="5">
        <f>VLOOKUP($A105,'SegEnds_NonXtal_Prot#'!$A:$AL,35,FALSE)</f>
        <v>333</v>
      </c>
      <c r="AO105" s="5">
        <f>VLOOKUP($A105,'SegEnds_NonXtal_Prot#'!$A:$AL,38,FALSE)</f>
        <v>347</v>
      </c>
      <c r="AP105" s="5">
        <f t="shared" si="38"/>
        <v>38</v>
      </c>
      <c r="AQ105" s="4">
        <f t="shared" si="39"/>
        <v>3</v>
      </c>
      <c r="AR105" s="4">
        <f t="shared" si="40"/>
        <v>30</v>
      </c>
      <c r="AS105" s="4">
        <f t="shared" si="41"/>
        <v>3</v>
      </c>
      <c r="AT105" s="4">
        <f t="shared" si="42"/>
        <v>35</v>
      </c>
      <c r="AU105" s="4">
        <f t="shared" si="43"/>
        <v>7</v>
      </c>
      <c r="AV105" s="4">
        <f t="shared" si="44"/>
        <v>26</v>
      </c>
      <c r="AW105" s="4">
        <f t="shared" si="45"/>
        <v>2</v>
      </c>
      <c r="AX105" s="4">
        <f t="shared" si="46"/>
        <v>45</v>
      </c>
      <c r="AY105" s="4">
        <f t="shared" si="47"/>
        <v>39</v>
      </c>
      <c r="AZ105" s="4">
        <f t="shared" si="48"/>
        <v>28</v>
      </c>
      <c r="BA105" s="4">
        <f t="shared" si="49"/>
        <v>13</v>
      </c>
    </row>
    <row r="106" spans="1:53" x14ac:dyDescent="0.2">
      <c r="A106" s="1" t="str">
        <f>'SegEnds_NonXtal_Prot#'!A77</f>
        <v>c3ar_human</v>
      </c>
      <c r="B106" s="1" t="str">
        <f t="shared" si="25"/>
        <v>EPPVILSMVILSLTFLLGLPGNGLVLWVAGLKTVNTIWFLHLTLADLLCCLSLPFSLAHLALQGRFLCKLIPSIIVLNMFASVFLLTAISLDRCLVVFKNVGMACSICGCIWVVAFVMCIPVFVYRVPTPLVAITITRLVVGFLLPSVIMIACYSFIVFRMQRGSKTFRVAVVVVAVFLVCWTPYHIFGVLSLLTTPLGKTLMSWDHVCIALASANSCFNPFLYALLGKDFRKKARQ</v>
      </c>
      <c r="C106" s="29" t="str">
        <f>IF(ISERROR(MATCH(A106,'SegEnds_Xtal_Prot#'!B:B, 0)), "NoXtal", "Xtal")</f>
        <v>NoXtal</v>
      </c>
      <c r="D106" s="4" t="str">
        <f>VLOOKUP(A106,Classification!A:D,2,FALSE)</f>
        <v>A</v>
      </c>
      <c r="E106" s="5" t="str">
        <f>VLOOKUP(A106,Seqs!A:B,2,FALSE)</f>
        <v>MASFSAETNSTDLLSQPWNEPPVILSMVILSLTFLLGLPGNGLVLWVAGLKMQRTVNTIWFLHLTLADLLCCLSLPFSLAHLALQGQWPYGRFLCKLIPSIIVLNMFASVFLLTAISLDRCLVVFKPIWCQNHRNVGMACSICGCIWVVAFVMCIPVFVYREIFTTDNHNRCGYKFGLSSSLDYPDFYGDPLENRSLENIVQPPGEMNDRLDPSSFQTNDHPWTVPTVFQPQTFQRPSADSLPRGSARLTSQNLYSNVFKPADVVSPKIPSGFPIEDHETSPLDNSDAFLSTHLKLFPSASSNSFYESELPQGFQDYYNLGQFTDDDQVPTPLVAITITRLVVGFLLPSVIMIACYSFIVFRMQRGRFAKSQSKTFRVAVVVVAVFLVCWTPYHIFGVLSLLTDPETPLGKTLMSWDHVCIALASANSCFNPFLYALLGKDFRKKARQSIQGILEAAFSEELTRSTHCPSNNVISERNSTTV</v>
      </c>
      <c r="F106" s="5" t="str">
        <f t="shared" si="26"/>
        <v>EPPVILSMVILSLTFLLGLPGNGLVLWVAGLK</v>
      </c>
      <c r="G106" s="4" t="str">
        <f t="shared" si="27"/>
        <v/>
      </c>
      <c r="H106" s="4" t="str">
        <f t="shared" si="28"/>
        <v>TVNTIWFLHLTLADLLCCLSLPFSLAHLALQ</v>
      </c>
      <c r="I106" s="4" t="str">
        <f t="shared" si="29"/>
        <v>QWPY</v>
      </c>
      <c r="J106" s="4" t="str">
        <f t="shared" si="30"/>
        <v>GRFLCKLIPSIIVLNMFASVFLLTAISLDRCLVVFK</v>
      </c>
      <c r="K106" s="4" t="str">
        <f t="shared" si="31"/>
        <v>PIWCQNHR</v>
      </c>
      <c r="L106" s="4" t="str">
        <f t="shared" si="32"/>
        <v>NVGMACSICGCIWVVAFVMCIPVFVYR</v>
      </c>
      <c r="M106" s="4" t="str">
        <f t="shared" si="33"/>
        <v>CGY</v>
      </c>
      <c r="N106" s="4" t="str">
        <f t="shared" si="34"/>
        <v>VPTPLVAITITRLVVGFLLPSVIMIACYSFIVFRMQRG</v>
      </c>
      <c r="O106" s="4" t="str">
        <f t="shared" si="35"/>
        <v>SKTFRVAVVVVAVFLVCWTPYHIFGVLSLLT</v>
      </c>
      <c r="P106" s="4" t="str">
        <f t="shared" si="36"/>
        <v>TPLGKTLMSWDHVCIALASANSCFNPFLYALL</v>
      </c>
      <c r="Q106" s="4" t="str">
        <f t="shared" si="37"/>
        <v>GKDFRKKARQ</v>
      </c>
      <c r="R106" s="5">
        <f>VLOOKUP($A106,'SegEnds_NonXtal_Prot#'!$A:$AL,3,FALSE)</f>
        <v>20</v>
      </c>
      <c r="S106" s="5" t="str">
        <f>VLOOKUP($A106,'SegEnds_NonXtal_Prot#'!$A:$AL,6,FALSE)</f>
        <v>-</v>
      </c>
      <c r="T106" s="5">
        <f>VLOOKUP($A106,'SegEnds_NonXtal_Prot#'!$A:$AL,9,FALSE)</f>
        <v>55</v>
      </c>
      <c r="U106" s="5">
        <f>VLOOKUP($A106,'SegEnds_NonXtal_Prot#'!$A:$AL,12,FALSE)</f>
        <v>87</v>
      </c>
      <c r="V106" s="5">
        <f>VLOOKUP($A106,'SegEnds_NonXtal_Prot#'!$A:$AL,15,FALSE)</f>
        <v>91</v>
      </c>
      <c r="W106" s="5">
        <f>VLOOKUP($A106,'SegEnds_NonXtal_Prot#'!$A:$AL,18,FALSE)</f>
        <v>127</v>
      </c>
      <c r="X106" s="5">
        <f>VLOOKUP($A106,'SegEnds_NonXtal_Prot#'!$A:$AL,21,FALSE)</f>
        <v>135</v>
      </c>
      <c r="Y106" s="5">
        <f>VLOOKUP($A106,'SegEnds_NonXtal_Prot#'!$A:$AL,24,FALSE)</f>
        <v>172</v>
      </c>
      <c r="Z106" s="5">
        <f>VLOOKUP($A106,'SegEnds_NonXtal_Prot#'!$A:$AL,27,FALSE)</f>
        <v>329</v>
      </c>
      <c r="AA106" s="5">
        <f>VLOOKUP($A106,'SegEnds_NonXtal_Prot#'!$A:$AL,30,FALSE)</f>
        <v>373</v>
      </c>
      <c r="AB106" s="5">
        <f>VLOOKUP($A106,'SegEnds_NonXtal_Prot#'!$A:$AL,33,FALSE)</f>
        <v>407</v>
      </c>
      <c r="AC106" s="5">
        <f>VLOOKUP($A106,'SegEnds_NonXtal_Prot#'!$A:$AL,36,FALSE)</f>
        <v>439</v>
      </c>
      <c r="AD106" s="5">
        <f>VLOOKUP($A106,'SegEnds_NonXtal_Prot#'!$A:$AL,5,FALSE)</f>
        <v>51</v>
      </c>
      <c r="AE106" s="5" t="str">
        <f>VLOOKUP($A106,'SegEnds_NonXtal_Prot#'!$A:$AL,8,FALSE)</f>
        <v>-</v>
      </c>
      <c r="AF106" s="5">
        <f>VLOOKUP($A106,'SegEnds_NonXtal_Prot#'!$A:$AL,11,FALSE)</f>
        <v>85</v>
      </c>
      <c r="AG106" s="5">
        <f>VLOOKUP($A106,'SegEnds_NonXtal_Prot#'!$A:$AL,14,FALSE)</f>
        <v>90</v>
      </c>
      <c r="AH106" s="5">
        <f>VLOOKUP($A106,'SegEnds_NonXtal_Prot#'!$A:$AL,17,FALSE)</f>
        <v>126</v>
      </c>
      <c r="AI106" s="5">
        <f>VLOOKUP($A106,'SegEnds_NonXtal_Prot#'!$A:$AL,20,FALSE)</f>
        <v>134</v>
      </c>
      <c r="AJ106" s="5">
        <f>VLOOKUP($A106,'SegEnds_NonXtal_Prot#'!$A:$AL,23,FALSE)</f>
        <v>161</v>
      </c>
      <c r="AK106" s="5">
        <f>VLOOKUP($A106,'SegEnds_NonXtal_Prot#'!$A:$AL,26,FALSE)</f>
        <v>174</v>
      </c>
      <c r="AL106" s="5">
        <f>VLOOKUP($A106,'SegEnds_NonXtal_Prot#'!$A:$AL,29,FALSE)</f>
        <v>366</v>
      </c>
      <c r="AM106" s="5">
        <f>VLOOKUP($A106,'SegEnds_NonXtal_Prot#'!$A:$AL,32,FALSE)</f>
        <v>403</v>
      </c>
      <c r="AN106" s="5">
        <f>VLOOKUP($A106,'SegEnds_NonXtal_Prot#'!$A:$AL,35,FALSE)</f>
        <v>438</v>
      </c>
      <c r="AO106" s="5">
        <f>VLOOKUP($A106,'SegEnds_NonXtal_Prot#'!$A:$AL,38,FALSE)</f>
        <v>448</v>
      </c>
      <c r="AP106" s="5">
        <f t="shared" si="38"/>
        <v>31</v>
      </c>
      <c r="AQ106" s="4" t="str">
        <f t="shared" si="39"/>
        <v>-</v>
      </c>
      <c r="AR106" s="4">
        <f t="shared" si="40"/>
        <v>30</v>
      </c>
      <c r="AS106" s="4">
        <f t="shared" si="41"/>
        <v>3</v>
      </c>
      <c r="AT106" s="4">
        <f t="shared" si="42"/>
        <v>35</v>
      </c>
      <c r="AU106" s="4">
        <f t="shared" si="43"/>
        <v>7</v>
      </c>
      <c r="AV106" s="4">
        <f t="shared" si="44"/>
        <v>26</v>
      </c>
      <c r="AW106" s="4">
        <f t="shared" si="45"/>
        <v>2</v>
      </c>
      <c r="AX106" s="4">
        <f t="shared" si="46"/>
        <v>37</v>
      </c>
      <c r="AY106" s="4">
        <f t="shared" si="47"/>
        <v>30</v>
      </c>
      <c r="AZ106" s="4">
        <f t="shared" si="48"/>
        <v>31</v>
      </c>
      <c r="BA106" s="4">
        <f t="shared" si="49"/>
        <v>9</v>
      </c>
    </row>
    <row r="107" spans="1:53" x14ac:dyDescent="0.2">
      <c r="A107" s="1" t="str">
        <f>'SegEnds_NonXtal_Prot#'!A78</f>
        <v>c5ar1_human</v>
      </c>
      <c r="B107" s="1" t="str">
        <f t="shared" si="25"/>
        <v>RVPDILALVIFAVVFLVGVLGNALVVWVTAFETINAIWFLNLAVADFLSCLALPILFTSIVQHGGAACSILPSLILLNMYASILLLATISADRFLLVFKGAGLAWIACAVAWGLALLLTIPSFLYRDKRRERAVAIVRLVLGFLWPLLTLTICYTFILLRTWSRTKTLKVVVAVVASFFIFWLPYQVTGIMMSFLSPTFLLLKKLDSLCVSFAYINCCINPIIYVVAGQGFQGRLRK</v>
      </c>
      <c r="C107" s="29" t="str">
        <f>IF(ISERROR(MATCH(A107,'SegEnds_Xtal_Prot#'!B:B, 0)), "NoXtal", "Xtal")</f>
        <v>Xtal</v>
      </c>
      <c r="D107" s="4" t="str">
        <f>VLOOKUP(A107,Classification!A:D,2,FALSE)</f>
        <v>A</v>
      </c>
      <c r="E107" s="5" t="str">
        <f>VLOOKUP(A107,Seqs!A:B,2,FALSE)</f>
        <v>MDSFNYTTPDYGHYDDKDTLDLNTPVDKTSNTLRVPDILALVIFAVVFLVGVLGNALVVWVTAFEAKRTINAIWFLNLAVADFLSCLALPILFTSIVQHHHWPFGGAACSILPSLILLNMYASILLLATISADRFLLVFKPIWCQNFRGAGLAWIACAVAWGLALLLTIPSFLYRVVREEYFPPKVLCGVDYSHDKRRERAVAIVRLVLGFLWPLLTLTICYTFILLRTWSRRATRSTKTLKVVVAVVASFFIFWLPYQVTGIMMSFLEPSSPTFLLLKKLDSLCVSFAYINCCINPIIYVVAGQGFQGRLRKSLPSLLRNVLTEESVVRESKSFTRSTVDTMAQKTQAV</v>
      </c>
      <c r="F107" s="5" t="str">
        <f t="shared" si="26"/>
        <v>RVPDILALVIFAVVFLVGVLGNALVVWVTAFE</v>
      </c>
      <c r="G107" s="4" t="str">
        <f t="shared" si="27"/>
        <v/>
      </c>
      <c r="H107" s="4" t="str">
        <f t="shared" si="28"/>
        <v>TINAIWFLNLAVADFLSCLALPILFTSIVQH</v>
      </c>
      <c r="I107" s="4" t="str">
        <f t="shared" si="29"/>
        <v>HWPF</v>
      </c>
      <c r="J107" s="4" t="str">
        <f t="shared" si="30"/>
        <v>GGAACSILPSLILLNMYASILLLATISADRFLLVFK</v>
      </c>
      <c r="K107" s="4" t="str">
        <f t="shared" si="31"/>
        <v>PIWCQNFR</v>
      </c>
      <c r="L107" s="4" t="str">
        <f t="shared" si="32"/>
        <v>GAGLAWIACAVAWGLALLLTIPSFLYR</v>
      </c>
      <c r="M107" s="4" t="str">
        <f t="shared" si="33"/>
        <v>CGV</v>
      </c>
      <c r="N107" s="4" t="str">
        <f t="shared" si="34"/>
        <v>DKRRERAVAIVRLVLGFLWPLLTLTICYTFILLRTWSR</v>
      </c>
      <c r="O107" s="4" t="str">
        <f t="shared" si="35"/>
        <v>TKTLKVVVAVVASFFIFWLPYQVTGIMMSFL</v>
      </c>
      <c r="P107" s="4" t="str">
        <f t="shared" si="36"/>
        <v>SPTFLLLKKLDSLCVSFAYINCCINPIIYVVA</v>
      </c>
      <c r="Q107" s="4" t="str">
        <f t="shared" si="37"/>
        <v>GQGFQGRLRK</v>
      </c>
      <c r="R107" s="5">
        <f>VLOOKUP($A107,'SegEnds_NonXtal_Prot#'!$A:$AL,3,FALSE)</f>
        <v>34</v>
      </c>
      <c r="S107" s="5" t="str">
        <f>VLOOKUP($A107,'SegEnds_NonXtal_Prot#'!$A:$AL,6,FALSE)</f>
        <v>-</v>
      </c>
      <c r="T107" s="5">
        <f>VLOOKUP($A107,'SegEnds_NonXtal_Prot#'!$A:$AL,9,FALSE)</f>
        <v>69</v>
      </c>
      <c r="U107" s="5">
        <f>VLOOKUP($A107,'SegEnds_NonXtal_Prot#'!$A:$AL,12,FALSE)</f>
        <v>101</v>
      </c>
      <c r="V107" s="5">
        <f>VLOOKUP($A107,'SegEnds_NonXtal_Prot#'!$A:$AL,15,FALSE)</f>
        <v>105</v>
      </c>
      <c r="W107" s="5">
        <f>VLOOKUP($A107,'SegEnds_NonXtal_Prot#'!$A:$AL,18,FALSE)</f>
        <v>141</v>
      </c>
      <c r="X107" s="5">
        <f>VLOOKUP($A107,'SegEnds_NonXtal_Prot#'!$A:$AL,21,FALSE)</f>
        <v>149</v>
      </c>
      <c r="Y107" s="5">
        <f>VLOOKUP($A107,'SegEnds_NonXtal_Prot#'!$A:$AL,24,FALSE)</f>
        <v>188</v>
      </c>
      <c r="Z107" s="5">
        <f>VLOOKUP($A107,'SegEnds_NonXtal_Prot#'!$A:$AL,27,FALSE)</f>
        <v>195</v>
      </c>
      <c r="AA107" s="5">
        <f>VLOOKUP($A107,'SegEnds_NonXtal_Prot#'!$A:$AL,30,FALSE)</f>
        <v>238</v>
      </c>
      <c r="AB107" s="5">
        <f>VLOOKUP($A107,'SegEnds_NonXtal_Prot#'!$A:$AL,33,FALSE)</f>
        <v>272</v>
      </c>
      <c r="AC107" s="5">
        <f>VLOOKUP($A107,'SegEnds_NonXtal_Prot#'!$A:$AL,36,FALSE)</f>
        <v>304</v>
      </c>
      <c r="AD107" s="5">
        <f>VLOOKUP($A107,'SegEnds_NonXtal_Prot#'!$A:$AL,5,FALSE)</f>
        <v>65</v>
      </c>
      <c r="AE107" s="5" t="str">
        <f>VLOOKUP($A107,'SegEnds_NonXtal_Prot#'!$A:$AL,8,FALSE)</f>
        <v>-</v>
      </c>
      <c r="AF107" s="5">
        <f>VLOOKUP($A107,'SegEnds_NonXtal_Prot#'!$A:$AL,11,FALSE)</f>
        <v>99</v>
      </c>
      <c r="AG107" s="5">
        <f>VLOOKUP($A107,'SegEnds_NonXtal_Prot#'!$A:$AL,14,FALSE)</f>
        <v>104</v>
      </c>
      <c r="AH107" s="5">
        <f>VLOOKUP($A107,'SegEnds_NonXtal_Prot#'!$A:$AL,17,FALSE)</f>
        <v>140</v>
      </c>
      <c r="AI107" s="5">
        <f>VLOOKUP($A107,'SegEnds_NonXtal_Prot#'!$A:$AL,20,FALSE)</f>
        <v>148</v>
      </c>
      <c r="AJ107" s="5">
        <f>VLOOKUP($A107,'SegEnds_NonXtal_Prot#'!$A:$AL,23,FALSE)</f>
        <v>175</v>
      </c>
      <c r="AK107" s="5">
        <f>VLOOKUP($A107,'SegEnds_NonXtal_Prot#'!$A:$AL,26,FALSE)</f>
        <v>190</v>
      </c>
      <c r="AL107" s="5">
        <f>VLOOKUP($A107,'SegEnds_NonXtal_Prot#'!$A:$AL,29,FALSE)</f>
        <v>232</v>
      </c>
      <c r="AM107" s="5">
        <f>VLOOKUP($A107,'SegEnds_NonXtal_Prot#'!$A:$AL,32,FALSE)</f>
        <v>268</v>
      </c>
      <c r="AN107" s="5">
        <f>VLOOKUP($A107,'SegEnds_NonXtal_Prot#'!$A:$AL,35,FALSE)</f>
        <v>303</v>
      </c>
      <c r="AO107" s="5">
        <f>VLOOKUP($A107,'SegEnds_NonXtal_Prot#'!$A:$AL,38,FALSE)</f>
        <v>313</v>
      </c>
      <c r="AP107" s="5">
        <f t="shared" si="38"/>
        <v>31</v>
      </c>
      <c r="AQ107" s="4" t="str">
        <f t="shared" si="39"/>
        <v>-</v>
      </c>
      <c r="AR107" s="4">
        <f t="shared" si="40"/>
        <v>30</v>
      </c>
      <c r="AS107" s="4">
        <f t="shared" si="41"/>
        <v>3</v>
      </c>
      <c r="AT107" s="4">
        <f t="shared" si="42"/>
        <v>35</v>
      </c>
      <c r="AU107" s="4">
        <f t="shared" si="43"/>
        <v>7</v>
      </c>
      <c r="AV107" s="4">
        <f t="shared" si="44"/>
        <v>26</v>
      </c>
      <c r="AW107" s="4">
        <f t="shared" si="45"/>
        <v>2</v>
      </c>
      <c r="AX107" s="4">
        <f t="shared" si="46"/>
        <v>37</v>
      </c>
      <c r="AY107" s="4">
        <f t="shared" si="47"/>
        <v>30</v>
      </c>
      <c r="AZ107" s="4">
        <f t="shared" si="48"/>
        <v>31</v>
      </c>
      <c r="BA107" s="4">
        <f t="shared" si="49"/>
        <v>9</v>
      </c>
    </row>
    <row r="108" spans="1:53" x14ac:dyDescent="0.2">
      <c r="A108" s="1" t="str">
        <f>'SegEnds_NonXtal_Prot#'!A79</f>
        <v>c5ar2_human</v>
      </c>
      <c r="B108" s="1" t="str">
        <f t="shared" si="25"/>
        <v>DPLRVAPLPLYAAIFLVGVPGNAMVAWVAGKVRVGATWLLHLAVADLLCCLSLPILAVPIARGGAVGCRALPSIILLTMYASVLLLAALSADLCFLALGRACGVQVACGAAWTLALLLTVPSAIYRSSSTENAVTAIRFLFGFLGPLVAVASCHSALLCWRRCRPLGTAIVVGFFVCWAPYHLLGLVLTVASALLARALRAEPLIVGLALAHSCLNPMLFLYFGRAQLRRSLP</v>
      </c>
      <c r="C108" s="29" t="str">
        <f>IF(ISERROR(MATCH(A108,'SegEnds_Xtal_Prot#'!B:B, 0)), "NoXtal", "Xtal")</f>
        <v>NoXtal</v>
      </c>
      <c r="D108" s="4" t="str">
        <f>VLOOKUP(A108,Classification!A:D,2,FALSE)</f>
        <v>A</v>
      </c>
      <c r="E108" s="5" t="str">
        <f>VLOOKUP(A108,Seqs!A:B,2,FALSE)</f>
        <v>MGNDSVSYEYGDYSDLSDRPVDCLDGACLAIDPLRVAPLPLYAAIFLVGVPGNAMVAWVAGKVARRRVGATWLLHLAVADLLCCLSLPILAVPIARGGHWPYGAVGCRALPSIILLTMYASVLLLAALSADLCFLALGPAWWSTVQRACGVQVACGAAWTLALLLTVPSAIYRRLHQEHFPARLQCVVDYGGSSSTENAVTAIRFLFGFLGPLVAVASCHSALLCWAARRCRPLGTAIVVGFFVCWAPYHLLGLVLTVAAPNSALLARALRAEPLIVGLALAHSCLNPMLFLYFGRAQLRRSLPAACHWALRESQGQDESVDSKKSTSHDLVSEMEV</v>
      </c>
      <c r="F108" s="5" t="str">
        <f t="shared" si="26"/>
        <v>DPLRVAPLPLYAAIFLVGVPGNAMVAWVAGKV</v>
      </c>
      <c r="G108" s="4" t="str">
        <f t="shared" si="27"/>
        <v/>
      </c>
      <c r="H108" s="4" t="str">
        <f t="shared" si="28"/>
        <v>RVGATWLLHLAVADLLCCLSLPILAVPIARG</v>
      </c>
      <c r="I108" s="4" t="str">
        <f t="shared" si="29"/>
        <v>HWPY</v>
      </c>
      <c r="J108" s="4" t="str">
        <f t="shared" si="30"/>
        <v>GAVGCRALPSIILLTMYASVLLLAALSADLCFLALG</v>
      </c>
      <c r="K108" s="4" t="str">
        <f t="shared" si="31"/>
        <v>PAWWSTVQ</v>
      </c>
      <c r="L108" s="4" t="str">
        <f t="shared" si="32"/>
        <v>RACGVQVACGAAWTLALLLTVPSAIYR</v>
      </c>
      <c r="M108" s="4" t="str">
        <f t="shared" si="33"/>
        <v>CVV</v>
      </c>
      <c r="N108" s="4" t="str">
        <f t="shared" si="34"/>
        <v>SSSTENAVTAIRFLFGFLGPLVAVASCHSALLCW</v>
      </c>
      <c r="O108" s="4" t="str">
        <f t="shared" si="35"/>
        <v>RRCRPLGTAIVVGFFVCWAPYHLLGLVLTVA</v>
      </c>
      <c r="P108" s="4" t="str">
        <f t="shared" si="36"/>
        <v>SALLARALRAEPLIVGLALAHSCLNPMLFLYF</v>
      </c>
      <c r="Q108" s="4" t="str">
        <f t="shared" si="37"/>
        <v>GRAQLRRSLP</v>
      </c>
      <c r="R108" s="5">
        <f>VLOOKUP($A108,'SegEnds_NonXtal_Prot#'!$A:$AL,3,FALSE)</f>
        <v>32</v>
      </c>
      <c r="S108" s="5" t="str">
        <f>VLOOKUP($A108,'SegEnds_NonXtal_Prot#'!$A:$AL,6,FALSE)</f>
        <v>-</v>
      </c>
      <c r="T108" s="5">
        <f>VLOOKUP($A108,'SegEnds_NonXtal_Prot#'!$A:$AL,9,FALSE)</f>
        <v>67</v>
      </c>
      <c r="U108" s="5">
        <f>VLOOKUP($A108,'SegEnds_NonXtal_Prot#'!$A:$AL,12,FALSE)</f>
        <v>99</v>
      </c>
      <c r="V108" s="5">
        <f>VLOOKUP($A108,'SegEnds_NonXtal_Prot#'!$A:$AL,15,FALSE)</f>
        <v>103</v>
      </c>
      <c r="W108" s="5">
        <f>VLOOKUP($A108,'SegEnds_NonXtal_Prot#'!$A:$AL,18,FALSE)</f>
        <v>139</v>
      </c>
      <c r="X108" s="5">
        <f>VLOOKUP($A108,'SegEnds_NonXtal_Prot#'!$A:$AL,21,FALSE)</f>
        <v>147</v>
      </c>
      <c r="Y108" s="5">
        <f>VLOOKUP($A108,'SegEnds_NonXtal_Prot#'!$A:$AL,24,FALSE)</f>
        <v>186</v>
      </c>
      <c r="Z108" s="5">
        <f>VLOOKUP($A108,'SegEnds_NonXtal_Prot#'!$A:$AL,27,FALSE)</f>
        <v>193</v>
      </c>
      <c r="AA108" s="5">
        <f>VLOOKUP($A108,'SegEnds_NonXtal_Prot#'!$A:$AL,30,FALSE)</f>
        <v>229</v>
      </c>
      <c r="AB108" s="5">
        <f>VLOOKUP($A108,'SegEnds_NonXtal_Prot#'!$A:$AL,33,FALSE)</f>
        <v>263</v>
      </c>
      <c r="AC108" s="5">
        <f>VLOOKUP($A108,'SegEnds_NonXtal_Prot#'!$A:$AL,36,FALSE)</f>
        <v>295</v>
      </c>
      <c r="AD108" s="5">
        <f>VLOOKUP($A108,'SegEnds_NonXtal_Prot#'!$A:$AL,5,FALSE)</f>
        <v>63</v>
      </c>
      <c r="AE108" s="5" t="str">
        <f>VLOOKUP($A108,'SegEnds_NonXtal_Prot#'!$A:$AL,8,FALSE)</f>
        <v>-</v>
      </c>
      <c r="AF108" s="5">
        <f>VLOOKUP($A108,'SegEnds_NonXtal_Prot#'!$A:$AL,11,FALSE)</f>
        <v>97</v>
      </c>
      <c r="AG108" s="5">
        <f>VLOOKUP($A108,'SegEnds_NonXtal_Prot#'!$A:$AL,14,FALSE)</f>
        <v>102</v>
      </c>
      <c r="AH108" s="5">
        <f>VLOOKUP($A108,'SegEnds_NonXtal_Prot#'!$A:$AL,17,FALSE)</f>
        <v>138</v>
      </c>
      <c r="AI108" s="5">
        <f>VLOOKUP($A108,'SegEnds_NonXtal_Prot#'!$A:$AL,20,FALSE)</f>
        <v>146</v>
      </c>
      <c r="AJ108" s="5">
        <f>VLOOKUP($A108,'SegEnds_NonXtal_Prot#'!$A:$AL,23,FALSE)</f>
        <v>173</v>
      </c>
      <c r="AK108" s="5">
        <f>VLOOKUP($A108,'SegEnds_NonXtal_Prot#'!$A:$AL,26,FALSE)</f>
        <v>188</v>
      </c>
      <c r="AL108" s="5">
        <f>VLOOKUP($A108,'SegEnds_NonXtal_Prot#'!$A:$AL,29,FALSE)</f>
        <v>226</v>
      </c>
      <c r="AM108" s="5">
        <f>VLOOKUP($A108,'SegEnds_NonXtal_Prot#'!$A:$AL,32,FALSE)</f>
        <v>259</v>
      </c>
      <c r="AN108" s="5">
        <f>VLOOKUP($A108,'SegEnds_NonXtal_Prot#'!$A:$AL,35,FALSE)</f>
        <v>294</v>
      </c>
      <c r="AO108" s="5">
        <f>VLOOKUP($A108,'SegEnds_NonXtal_Prot#'!$A:$AL,38,FALSE)</f>
        <v>304</v>
      </c>
      <c r="AP108" s="5">
        <f t="shared" si="38"/>
        <v>31</v>
      </c>
      <c r="AQ108" s="4" t="str">
        <f t="shared" si="39"/>
        <v>-</v>
      </c>
      <c r="AR108" s="4">
        <f t="shared" si="40"/>
        <v>30</v>
      </c>
      <c r="AS108" s="4">
        <f t="shared" si="41"/>
        <v>3</v>
      </c>
      <c r="AT108" s="4">
        <f t="shared" si="42"/>
        <v>35</v>
      </c>
      <c r="AU108" s="4">
        <f t="shared" si="43"/>
        <v>7</v>
      </c>
      <c r="AV108" s="4">
        <f t="shared" si="44"/>
        <v>26</v>
      </c>
      <c r="AW108" s="4">
        <f t="shared" si="45"/>
        <v>2</v>
      </c>
      <c r="AX108" s="4">
        <f t="shared" si="46"/>
        <v>33</v>
      </c>
      <c r="AY108" s="4">
        <f t="shared" si="47"/>
        <v>30</v>
      </c>
      <c r="AZ108" s="4">
        <f t="shared" si="48"/>
        <v>31</v>
      </c>
      <c r="BA108" s="4">
        <f t="shared" si="49"/>
        <v>9</v>
      </c>
    </row>
    <row r="109" spans="1:53" x14ac:dyDescent="0.2">
      <c r="A109" s="1" t="str">
        <f>'SegEnds_NonXtal_Prot#'!A80</f>
        <v>cckar_human</v>
      </c>
      <c r="B109" s="1" t="str">
        <f t="shared" si="25"/>
        <v>PAVQILLYSLIFLLSVLGNTLVITVLIRNTVTNIFLLSLAVSDLMLCLFCMPFNLIPNLLGSAVCKTTTYFMGTSVSVSTFNLVAISLERYGAICKTKSHALKVIAATWCLSFTIMTPYPIYSDVMQQSWHTFLLLILFLIPGIVMMVAYGLISLELYQGIKFEASAANLMAKKRVIRMLIVIVVLFFLCWMPIFSANAWRAYDRRLSGTPISFILLLSYTSSCVNPIIYCFMNKRFRLGFMATF</v>
      </c>
      <c r="C109" s="29" t="str">
        <f>IF(ISERROR(MATCH(A109,'SegEnds_Xtal_Prot#'!B:B, 0)), "NoXtal", "Xtal")</f>
        <v>NoXtal</v>
      </c>
      <c r="D109" s="4" t="str">
        <f>VLOOKUP(A109,Classification!A:D,2,FALSE)</f>
        <v>A</v>
      </c>
      <c r="E109" s="5" t="str">
        <f>VLOOKUP(A109,Seqs!A:B,2,FALSE)</f>
        <v>MDVVDSLLVNGSNITPPCELGLENETLFCLDQPRPSKEWQPAVQILLYSLIFLLSVLGNTLVITVLIRNKRMRTVTNIFLLSLAVSDLMLCLFCMPFNLIPNLLKDFIFGSAVCKTTTYFMGTSVSVSTFNLVAISLERYGAICKPLQSRVWQTKSHALKVIAATWCLSFTIMTPYPIYSNLVPFTKNNNQTANMCRFLLPNDVMQQSWHTFLLLILFLIPGIVMMVAYGLISLELYQGIKFEASQKKSAKERKPSTTSSGKYEDSDGCYLQKTRPPRKLELRQLSTGSSSRANRIRSNSSAANLMAKKRVIRMLIVIVVLFFLCWMPIFSANAWRAYDTASAERRLSGTPISFILLLSYTSSCVNPIIYCFMNKRFRLGFMATFPCCPNPGPPGARGEVGEEEEGGTTGASLSRFSYSHMSASVPPQ</v>
      </c>
      <c r="F109" s="5" t="str">
        <f t="shared" si="26"/>
        <v>PAVQILLYSLIFLLSVLGNTLVITVLIRN</v>
      </c>
      <c r="G109" s="4" t="str">
        <f t="shared" si="27"/>
        <v>KRMR</v>
      </c>
      <c r="H109" s="4" t="str">
        <f t="shared" si="28"/>
        <v>TVTNIFLLSLAVSDLMLCLFCMPFNLIPNLL</v>
      </c>
      <c r="I109" s="4" t="str">
        <f t="shared" si="29"/>
        <v>DFIF</v>
      </c>
      <c r="J109" s="4" t="str">
        <f t="shared" si="30"/>
        <v>GSAVCKTTTYFMGTSVSVSTFNLVAISLERYGAICK</v>
      </c>
      <c r="K109" s="4" t="str">
        <f t="shared" si="31"/>
        <v>PLQSRVWQ</v>
      </c>
      <c r="L109" s="4" t="str">
        <f t="shared" si="32"/>
        <v>TKSHALKVIAATWCLSFTIMTPYPIYS</v>
      </c>
      <c r="M109" s="4" t="str">
        <f t="shared" si="33"/>
        <v>CRF</v>
      </c>
      <c r="N109" s="4" t="str">
        <f t="shared" si="34"/>
        <v>DVMQQSWHTFLLLILFLIPGIVMMVAYGLISLELYQGIKFEAS</v>
      </c>
      <c r="O109" s="4" t="str">
        <f t="shared" si="35"/>
        <v>AANLMAKKRVIRMLIVIVVLFFLCWMPIFSANAWRAYD</v>
      </c>
      <c r="P109" s="4" t="str">
        <f t="shared" si="36"/>
        <v>RRLSGTPISFILLLSYTSSCVNPIIYCFM</v>
      </c>
      <c r="Q109" s="4" t="str">
        <f t="shared" si="37"/>
        <v>NKRFRLGFMATF</v>
      </c>
      <c r="R109" s="5">
        <f>VLOOKUP($A109,'SegEnds_NonXtal_Prot#'!$A:$AL,3,FALSE)</f>
        <v>41</v>
      </c>
      <c r="S109" s="5">
        <f>VLOOKUP($A109,'SegEnds_NonXtal_Prot#'!$A:$AL,6,FALSE)</f>
        <v>70</v>
      </c>
      <c r="T109" s="5">
        <f>VLOOKUP($A109,'SegEnds_NonXtal_Prot#'!$A:$AL,9,FALSE)</f>
        <v>74</v>
      </c>
      <c r="U109" s="5">
        <f>VLOOKUP($A109,'SegEnds_NonXtal_Prot#'!$A:$AL,12,FALSE)</f>
        <v>106</v>
      </c>
      <c r="V109" s="5">
        <f>VLOOKUP($A109,'SegEnds_NonXtal_Prot#'!$A:$AL,15,FALSE)</f>
        <v>110</v>
      </c>
      <c r="W109" s="5">
        <f>VLOOKUP($A109,'SegEnds_NonXtal_Prot#'!$A:$AL,18,FALSE)</f>
        <v>146</v>
      </c>
      <c r="X109" s="5">
        <f>VLOOKUP($A109,'SegEnds_NonXtal_Prot#'!$A:$AL,21,FALSE)</f>
        <v>154</v>
      </c>
      <c r="Y109" s="5">
        <f>VLOOKUP($A109,'SegEnds_NonXtal_Prot#'!$A:$AL,24,FALSE)</f>
        <v>196</v>
      </c>
      <c r="Z109" s="5">
        <f>VLOOKUP($A109,'SegEnds_NonXtal_Prot#'!$A:$AL,27,FALSE)</f>
        <v>203</v>
      </c>
      <c r="AA109" s="5">
        <f>VLOOKUP($A109,'SegEnds_NonXtal_Prot#'!$A:$AL,30,FALSE)</f>
        <v>302</v>
      </c>
      <c r="AB109" s="5">
        <f>VLOOKUP($A109,'SegEnds_NonXtal_Prot#'!$A:$AL,33,FALSE)</f>
        <v>345</v>
      </c>
      <c r="AC109" s="5">
        <f>VLOOKUP($A109,'SegEnds_NonXtal_Prot#'!$A:$AL,36,FALSE)</f>
        <v>374</v>
      </c>
      <c r="AD109" s="5">
        <f>VLOOKUP($A109,'SegEnds_NonXtal_Prot#'!$A:$AL,5,FALSE)</f>
        <v>69</v>
      </c>
      <c r="AE109" s="5">
        <f>VLOOKUP($A109,'SegEnds_NonXtal_Prot#'!$A:$AL,8,FALSE)</f>
        <v>73</v>
      </c>
      <c r="AF109" s="5">
        <f>VLOOKUP($A109,'SegEnds_NonXtal_Prot#'!$A:$AL,11,FALSE)</f>
        <v>104</v>
      </c>
      <c r="AG109" s="5">
        <f>VLOOKUP($A109,'SegEnds_NonXtal_Prot#'!$A:$AL,14,FALSE)</f>
        <v>109</v>
      </c>
      <c r="AH109" s="5">
        <f>VLOOKUP($A109,'SegEnds_NonXtal_Prot#'!$A:$AL,17,FALSE)</f>
        <v>145</v>
      </c>
      <c r="AI109" s="5">
        <f>VLOOKUP($A109,'SegEnds_NonXtal_Prot#'!$A:$AL,20,FALSE)</f>
        <v>153</v>
      </c>
      <c r="AJ109" s="5">
        <f>VLOOKUP($A109,'SegEnds_NonXtal_Prot#'!$A:$AL,23,FALSE)</f>
        <v>180</v>
      </c>
      <c r="AK109" s="5">
        <f>VLOOKUP($A109,'SegEnds_NonXtal_Prot#'!$A:$AL,26,FALSE)</f>
        <v>198</v>
      </c>
      <c r="AL109" s="5">
        <f>VLOOKUP($A109,'SegEnds_NonXtal_Prot#'!$A:$AL,29,FALSE)</f>
        <v>245</v>
      </c>
      <c r="AM109" s="5">
        <f>VLOOKUP($A109,'SegEnds_NonXtal_Prot#'!$A:$AL,32,FALSE)</f>
        <v>339</v>
      </c>
      <c r="AN109" s="5">
        <f>VLOOKUP($A109,'SegEnds_NonXtal_Prot#'!$A:$AL,35,FALSE)</f>
        <v>373</v>
      </c>
      <c r="AO109" s="5">
        <f>VLOOKUP($A109,'SegEnds_NonXtal_Prot#'!$A:$AL,38,FALSE)</f>
        <v>385</v>
      </c>
      <c r="AP109" s="5">
        <f t="shared" si="38"/>
        <v>28</v>
      </c>
      <c r="AQ109" s="4">
        <f t="shared" si="39"/>
        <v>3</v>
      </c>
      <c r="AR109" s="4">
        <f t="shared" si="40"/>
        <v>30</v>
      </c>
      <c r="AS109" s="4">
        <f t="shared" si="41"/>
        <v>3</v>
      </c>
      <c r="AT109" s="4">
        <f t="shared" si="42"/>
        <v>35</v>
      </c>
      <c r="AU109" s="4">
        <f t="shared" si="43"/>
        <v>7</v>
      </c>
      <c r="AV109" s="4">
        <f t="shared" si="44"/>
        <v>26</v>
      </c>
      <c r="AW109" s="4">
        <f t="shared" si="45"/>
        <v>2</v>
      </c>
      <c r="AX109" s="4">
        <f t="shared" si="46"/>
        <v>42</v>
      </c>
      <c r="AY109" s="4">
        <f t="shared" si="47"/>
        <v>37</v>
      </c>
      <c r="AZ109" s="4">
        <f t="shared" si="48"/>
        <v>28</v>
      </c>
      <c r="BA109" s="4">
        <f t="shared" si="49"/>
        <v>11</v>
      </c>
    </row>
    <row r="110" spans="1:53" x14ac:dyDescent="0.2">
      <c r="A110" s="1" t="str">
        <f>'SegEnds_NonXtal_Prot#'!A81</f>
        <v>ccr1_human</v>
      </c>
      <c r="B110" s="1" t="str">
        <f t="shared" si="25"/>
        <v>KVNERAFGAQLLPPLYSLVFVIGLVGNILVVLVLVQYNMTSIYLLNLAISDLLFLFTLPFWIDYKLKGDAMCKILSGFYYTGLYSEIFFIILLTIDRYLAIVHTVTFGVITSIIIWALAILASMPGLYFSSLREWKLFQALKLNLFGLVLPLLVMIICYTGIIKILLRRKSKAVRLIFVIMIIFFLFWTPYNLTILISVFQDFLFECEQSRHLDLAVQVTEVIAYTHCCVNPVIYAFVGERFRKYLRQLFH</v>
      </c>
      <c r="C110" s="29" t="str">
        <f>IF(ISERROR(MATCH(A110,'SegEnds_Xtal_Prot#'!B:B, 0)), "NoXtal", "Xtal")</f>
        <v>NoXtal</v>
      </c>
      <c r="D110" s="4" t="str">
        <f>VLOOKUP(A110,Classification!A:D,2,FALSE)</f>
        <v>A</v>
      </c>
      <c r="E110" s="5" t="str">
        <f>VLOOKUP(A110,Seqs!A:B,2,FALSE)</f>
        <v>METPNTTEDYDTTTEFDYGDATPCQKVNERAFGAQLLPPLYSLVFVIGLVGNILVVLVLVQYKRLKNMTSIYLLNLAISDLLFLFTLPFWIDYKLKDDWVFGDAMCKILSGFYYTGLYSEIFFIILLTIDRYLAIVHAVFALRARTVTFGVITSIIIWALAILASMPGLYFSKTQWEFTHHTCSLHFPHESLREWKLFQALKLNLFGLVLPLLVMIICYTGIIKILLRRPNEKKSKAVRLIFVIMIIFFLFWTPYNLTILISVFQDFLFTHECEQSRHLDLAVQVTEVIAYTHCCVNPVIYAFVGERFRKYLRQLFHRRVAVHLVKWLPFLSVDRLERVSSTSPSTGEHELSAGF</v>
      </c>
      <c r="F110" s="5" t="str">
        <f t="shared" si="26"/>
        <v>KVNERAFGAQLLPPLYSLVFVIGLVGNILVVLVLVQY</v>
      </c>
      <c r="G110" s="4" t="str">
        <f t="shared" si="27"/>
        <v>KRLK</v>
      </c>
      <c r="H110" s="4" t="str">
        <f t="shared" si="28"/>
        <v>NMTSIYLLNLAISDLLFLFTLPFWIDYKLK</v>
      </c>
      <c r="I110" s="4" t="str">
        <f t="shared" si="29"/>
        <v>DWVF</v>
      </c>
      <c r="J110" s="4" t="str">
        <f t="shared" si="30"/>
        <v>GDAMCKILSGFYYTGLYSEIFFIILLTIDRYLAIVH</v>
      </c>
      <c r="K110" s="4" t="str">
        <f t="shared" si="31"/>
        <v>AVFALRAR</v>
      </c>
      <c r="L110" s="4" t="str">
        <f t="shared" si="32"/>
        <v>TVTFGVITSIIIWALAILASMPGLYFS</v>
      </c>
      <c r="M110" s="4" t="str">
        <f t="shared" si="33"/>
        <v>CSL</v>
      </c>
      <c r="N110" s="4" t="str">
        <f t="shared" si="34"/>
        <v>SLREWKLFQALKLNLFGLVLPLLVMIICYTGIIKILLRR</v>
      </c>
      <c r="O110" s="4" t="str">
        <f t="shared" si="35"/>
        <v>KSKAVRLIFVIMIIFFLFWTPYNLTILISVFQDFLF</v>
      </c>
      <c r="P110" s="4" t="str">
        <f t="shared" si="36"/>
        <v>ECEQSRHLDLAVQVTEVIAYTHCCVNPVIYAFV</v>
      </c>
      <c r="Q110" s="4" t="str">
        <f t="shared" si="37"/>
        <v>GERFRKYLRQLFH</v>
      </c>
      <c r="R110" s="5">
        <f>VLOOKUP($A110,'SegEnds_NonXtal_Prot#'!$A:$AL,3,FALSE)</f>
        <v>26</v>
      </c>
      <c r="S110" s="5">
        <f>VLOOKUP($A110,'SegEnds_NonXtal_Prot#'!$A:$AL,6,FALSE)</f>
        <v>63</v>
      </c>
      <c r="T110" s="5">
        <f>VLOOKUP($A110,'SegEnds_NonXtal_Prot#'!$A:$AL,9,FALSE)</f>
        <v>67</v>
      </c>
      <c r="U110" s="5">
        <f>VLOOKUP($A110,'SegEnds_NonXtal_Prot#'!$A:$AL,12,FALSE)</f>
        <v>98</v>
      </c>
      <c r="V110" s="5">
        <f>VLOOKUP($A110,'SegEnds_NonXtal_Prot#'!$A:$AL,15,FALSE)</f>
        <v>102</v>
      </c>
      <c r="W110" s="5">
        <f>VLOOKUP($A110,'SegEnds_NonXtal_Prot#'!$A:$AL,18,FALSE)</f>
        <v>138</v>
      </c>
      <c r="X110" s="5">
        <f>VLOOKUP($A110,'SegEnds_NonXtal_Prot#'!$A:$AL,21,FALSE)</f>
        <v>146</v>
      </c>
      <c r="Y110" s="5">
        <f>VLOOKUP($A110,'SegEnds_NonXtal_Prot#'!$A:$AL,24,FALSE)</f>
        <v>183</v>
      </c>
      <c r="Z110" s="5">
        <f>VLOOKUP($A110,'SegEnds_NonXtal_Prot#'!$A:$AL,27,FALSE)</f>
        <v>191</v>
      </c>
      <c r="AA110" s="5">
        <f>VLOOKUP($A110,'SegEnds_NonXtal_Prot#'!$A:$AL,30,FALSE)</f>
        <v>234</v>
      </c>
      <c r="AB110" s="5">
        <f>VLOOKUP($A110,'SegEnds_NonXtal_Prot#'!$A:$AL,33,FALSE)</f>
        <v>272</v>
      </c>
      <c r="AC110" s="5">
        <f>VLOOKUP($A110,'SegEnds_NonXtal_Prot#'!$A:$AL,36,FALSE)</f>
        <v>305</v>
      </c>
      <c r="AD110" s="5">
        <f>VLOOKUP($A110,'SegEnds_NonXtal_Prot#'!$A:$AL,5,FALSE)</f>
        <v>62</v>
      </c>
      <c r="AE110" s="5">
        <f>VLOOKUP($A110,'SegEnds_NonXtal_Prot#'!$A:$AL,8,FALSE)</f>
        <v>66</v>
      </c>
      <c r="AF110" s="5">
        <f>VLOOKUP($A110,'SegEnds_NonXtal_Prot#'!$A:$AL,11,FALSE)</f>
        <v>96</v>
      </c>
      <c r="AG110" s="5">
        <f>VLOOKUP($A110,'SegEnds_NonXtal_Prot#'!$A:$AL,14,FALSE)</f>
        <v>101</v>
      </c>
      <c r="AH110" s="5">
        <f>VLOOKUP($A110,'SegEnds_NonXtal_Prot#'!$A:$AL,17,FALSE)</f>
        <v>137</v>
      </c>
      <c r="AI110" s="5">
        <f>VLOOKUP($A110,'SegEnds_NonXtal_Prot#'!$A:$AL,20,FALSE)</f>
        <v>145</v>
      </c>
      <c r="AJ110" s="5">
        <f>VLOOKUP($A110,'SegEnds_NonXtal_Prot#'!$A:$AL,23,FALSE)</f>
        <v>172</v>
      </c>
      <c r="AK110" s="5">
        <f>VLOOKUP($A110,'SegEnds_NonXtal_Prot#'!$A:$AL,26,FALSE)</f>
        <v>185</v>
      </c>
      <c r="AL110" s="5">
        <f>VLOOKUP($A110,'SegEnds_NonXtal_Prot#'!$A:$AL,29,FALSE)</f>
        <v>229</v>
      </c>
      <c r="AM110" s="5">
        <f>VLOOKUP($A110,'SegEnds_NonXtal_Prot#'!$A:$AL,32,FALSE)</f>
        <v>269</v>
      </c>
      <c r="AN110" s="5">
        <f>VLOOKUP($A110,'SegEnds_NonXtal_Prot#'!$A:$AL,35,FALSE)</f>
        <v>304</v>
      </c>
      <c r="AO110" s="5">
        <f>VLOOKUP($A110,'SegEnds_NonXtal_Prot#'!$A:$AL,38,FALSE)</f>
        <v>317</v>
      </c>
      <c r="AP110" s="5">
        <f t="shared" si="38"/>
        <v>36</v>
      </c>
      <c r="AQ110" s="4">
        <f t="shared" si="39"/>
        <v>3</v>
      </c>
      <c r="AR110" s="4">
        <f t="shared" si="40"/>
        <v>29</v>
      </c>
      <c r="AS110" s="4">
        <f t="shared" si="41"/>
        <v>3</v>
      </c>
      <c r="AT110" s="4">
        <f t="shared" si="42"/>
        <v>35</v>
      </c>
      <c r="AU110" s="4">
        <f t="shared" si="43"/>
        <v>7</v>
      </c>
      <c r="AV110" s="4">
        <f t="shared" si="44"/>
        <v>26</v>
      </c>
      <c r="AW110" s="4">
        <f t="shared" si="45"/>
        <v>2</v>
      </c>
      <c r="AX110" s="4">
        <f t="shared" si="46"/>
        <v>38</v>
      </c>
      <c r="AY110" s="4">
        <f t="shared" si="47"/>
        <v>35</v>
      </c>
      <c r="AZ110" s="4">
        <f t="shared" si="48"/>
        <v>32</v>
      </c>
      <c r="BA110" s="4">
        <f t="shared" si="49"/>
        <v>12</v>
      </c>
    </row>
    <row r="111" spans="1:53" x14ac:dyDescent="0.2">
      <c r="A111" s="1" t="str">
        <f>'SegEnds_NonXtal_Prot#'!A82</f>
        <v>ccr2_human</v>
      </c>
      <c r="B111" s="1" t="str">
        <f t="shared" si="25"/>
        <v>VKQIGAQLLPPLYSLVFIFGFVGNMLVVLILINCCLTDIYLLNLAISDLLFLITLPLWAHSAANGNAMCKLFTGLYHIGYFGGIFFIILLTIDRYLAIVHTVTFGVVTSVITWLVAVFASVPGIIFTPRGWNNFHTIMRNILGLVLPLLIMVICYSGILKTLLRCKKRHRAVRVIFTIMIVYFLFWTPYNIVILLNTFQEFFGNCESTSQLDQATQVTETLGMTHCCINPIIYAFVGEKFRSLFHIAL</v>
      </c>
      <c r="C111" s="29" t="str">
        <f>IF(ISERROR(MATCH(A111,'SegEnds_Xtal_Prot#'!B:B, 0)), "NoXtal", "Xtal")</f>
        <v>Xtal</v>
      </c>
      <c r="D111" s="4" t="str">
        <f>VLOOKUP(A111,Classification!A:D,2,FALSE)</f>
        <v>A</v>
      </c>
      <c r="E111" s="5" t="str">
        <f>VLOOKUP(A111,Seqs!A:B,2,FALSE)</f>
        <v>MLSTSRSRFIRNTNESGEEVTTFFDYDYGAPCHKFDVKQIGAQLLPPLYSLVFIFGFVGNMLVVLILINCKKLKCLTDIYLLNLAISDLLFLITLPLWAHSAANEWVFGNAMCKLFTGLYHIGYFGGIFFIILLTIDRYLAIVHAVFALKARTVTFGVVTSVITWLVAVFASVPGIIFTKCQKEDSVYVCGPYFPRGWNNFHTIMRNILGLVLPLLIMVICYSGILKTLLRCRNEKKRHRAVRVIFTIMIVYFLFWTPYNIVILLNTFQEFFGLSNCESTSQLDQATQVTETLGMTHCCINPIIYAFVGEKFRSLFHIALGCRIAPLQKPVCGGPGVRPGKNVKVTTQGLLDGRGKGKSIGRAPEASLQDKEGA</v>
      </c>
      <c r="F111" s="5" t="str">
        <f t="shared" si="26"/>
        <v>VKQIGAQLLPPLYSLVFIFGFVGNMLVVLILINC</v>
      </c>
      <c r="G111" s="4" t="str">
        <f t="shared" si="27"/>
        <v>KKLK</v>
      </c>
      <c r="H111" s="4" t="str">
        <f t="shared" si="28"/>
        <v>CLTDIYLLNLAISDLLFLITLPLWAHSAAN</v>
      </c>
      <c r="I111" s="4" t="str">
        <f t="shared" si="29"/>
        <v>EWVF</v>
      </c>
      <c r="J111" s="4" t="str">
        <f t="shared" si="30"/>
        <v>GNAMCKLFTGLYHIGYFGGIFFIILLTIDRYLAIVH</v>
      </c>
      <c r="K111" s="4" t="str">
        <f t="shared" si="31"/>
        <v>AVFALKAR</v>
      </c>
      <c r="L111" s="4" t="str">
        <f t="shared" si="32"/>
        <v>TVTFGVVTSVITWLVAVFASVPGIIFT</v>
      </c>
      <c r="M111" s="4" t="str">
        <f t="shared" si="33"/>
        <v>CGP</v>
      </c>
      <c r="N111" s="4" t="str">
        <f t="shared" si="34"/>
        <v>PRGWNNFHTIMRNILGLVLPLLIMVICYSGILKTLLRC</v>
      </c>
      <c r="O111" s="4" t="str">
        <f t="shared" si="35"/>
        <v>KKRHRAVRVIFTIMIVYFLFWTPYNIVILLNTFQEFFG</v>
      </c>
      <c r="P111" s="4" t="str">
        <f t="shared" si="36"/>
        <v>NCESTSQLDQATQVTETLGMTHCCINPIIYAFV</v>
      </c>
      <c r="Q111" s="4" t="str">
        <f t="shared" si="37"/>
        <v>GEKFRSLFHIAL</v>
      </c>
      <c r="R111" s="5">
        <f>VLOOKUP($A111,'SegEnds_NonXtal_Prot#'!$A:$AL,3,FALSE)</f>
        <v>37</v>
      </c>
      <c r="S111" s="5">
        <f>VLOOKUP($A111,'SegEnds_NonXtal_Prot#'!$A:$AL,6,FALSE)</f>
        <v>71</v>
      </c>
      <c r="T111" s="5">
        <f>VLOOKUP($A111,'SegEnds_NonXtal_Prot#'!$A:$AL,9,FALSE)</f>
        <v>75</v>
      </c>
      <c r="U111" s="5">
        <f>VLOOKUP($A111,'SegEnds_NonXtal_Prot#'!$A:$AL,12,FALSE)</f>
        <v>105</v>
      </c>
      <c r="V111" s="5">
        <f>VLOOKUP($A111,'SegEnds_NonXtal_Prot#'!$A:$AL,15,FALSE)</f>
        <v>109</v>
      </c>
      <c r="W111" s="5">
        <f>VLOOKUP($A111,'SegEnds_NonXtal_Prot#'!$A:$AL,18,FALSE)</f>
        <v>145</v>
      </c>
      <c r="X111" s="5">
        <f>VLOOKUP($A111,'SegEnds_NonXtal_Prot#'!$A:$AL,21,FALSE)</f>
        <v>153</v>
      </c>
      <c r="Y111" s="5">
        <f>VLOOKUP($A111,'SegEnds_NonXtal_Prot#'!$A:$AL,24,FALSE)</f>
        <v>190</v>
      </c>
      <c r="Z111" s="5">
        <f>VLOOKUP($A111,'SegEnds_NonXtal_Prot#'!$A:$AL,27,FALSE)</f>
        <v>195</v>
      </c>
      <c r="AA111" s="5">
        <f>VLOOKUP($A111,'SegEnds_NonXtal_Prot#'!$A:$AL,30,FALSE)</f>
        <v>236</v>
      </c>
      <c r="AB111" s="5">
        <f>VLOOKUP($A111,'SegEnds_NonXtal_Prot#'!$A:$AL,33,FALSE)</f>
        <v>276</v>
      </c>
      <c r="AC111" s="5">
        <f>VLOOKUP($A111,'SegEnds_NonXtal_Prot#'!$A:$AL,36,FALSE)</f>
        <v>309</v>
      </c>
      <c r="AD111" s="5">
        <f>VLOOKUP($A111,'SegEnds_NonXtal_Prot#'!$A:$AL,5,FALSE)</f>
        <v>70</v>
      </c>
      <c r="AE111" s="5">
        <f>VLOOKUP($A111,'SegEnds_NonXtal_Prot#'!$A:$AL,8,FALSE)</f>
        <v>74</v>
      </c>
      <c r="AF111" s="5">
        <f>VLOOKUP($A111,'SegEnds_NonXtal_Prot#'!$A:$AL,11,FALSE)</f>
        <v>104</v>
      </c>
      <c r="AG111" s="5">
        <f>VLOOKUP($A111,'SegEnds_NonXtal_Prot#'!$A:$AL,14,FALSE)</f>
        <v>108</v>
      </c>
      <c r="AH111" s="5">
        <f>VLOOKUP($A111,'SegEnds_NonXtal_Prot#'!$A:$AL,17,FALSE)</f>
        <v>144</v>
      </c>
      <c r="AI111" s="5">
        <f>VLOOKUP($A111,'SegEnds_NonXtal_Prot#'!$A:$AL,20,FALSE)</f>
        <v>152</v>
      </c>
      <c r="AJ111" s="5">
        <f>VLOOKUP($A111,'SegEnds_NonXtal_Prot#'!$A:$AL,23,FALSE)</f>
        <v>179</v>
      </c>
      <c r="AK111" s="5">
        <f>VLOOKUP($A111,'SegEnds_NonXtal_Prot#'!$A:$AL,26,FALSE)</f>
        <v>192</v>
      </c>
      <c r="AL111" s="5">
        <f>VLOOKUP($A111,'SegEnds_NonXtal_Prot#'!$A:$AL,29,FALSE)</f>
        <v>232</v>
      </c>
      <c r="AM111" s="5">
        <f>VLOOKUP($A111,'SegEnds_NonXtal_Prot#'!$A:$AL,32,FALSE)</f>
        <v>273</v>
      </c>
      <c r="AN111" s="5">
        <f>VLOOKUP($A111,'SegEnds_NonXtal_Prot#'!$A:$AL,35,FALSE)</f>
        <v>308</v>
      </c>
      <c r="AO111" s="5">
        <f>VLOOKUP($A111,'SegEnds_NonXtal_Prot#'!$A:$AL,38,FALSE)</f>
        <v>320</v>
      </c>
      <c r="AP111" s="5">
        <f t="shared" si="38"/>
        <v>33</v>
      </c>
      <c r="AQ111" s="4">
        <f t="shared" si="39"/>
        <v>3</v>
      </c>
      <c r="AR111" s="4">
        <f t="shared" si="40"/>
        <v>29</v>
      </c>
      <c r="AS111" s="4">
        <f t="shared" si="41"/>
        <v>3</v>
      </c>
      <c r="AT111" s="4">
        <f t="shared" si="42"/>
        <v>35</v>
      </c>
      <c r="AU111" s="4">
        <f t="shared" si="43"/>
        <v>7</v>
      </c>
      <c r="AV111" s="4">
        <f t="shared" si="44"/>
        <v>26</v>
      </c>
      <c r="AW111" s="4">
        <f t="shared" si="45"/>
        <v>2</v>
      </c>
      <c r="AX111" s="4">
        <f t="shared" si="46"/>
        <v>37</v>
      </c>
      <c r="AY111" s="4">
        <f t="shared" si="47"/>
        <v>37</v>
      </c>
      <c r="AZ111" s="4">
        <f t="shared" si="48"/>
        <v>32</v>
      </c>
      <c r="BA111" s="4">
        <f t="shared" si="49"/>
        <v>11</v>
      </c>
    </row>
    <row r="112" spans="1:53" x14ac:dyDescent="0.2">
      <c r="A112" s="1" t="str">
        <f>'SegEnds_NonXtal_Prot#'!A83</f>
        <v>ccr3_human</v>
      </c>
      <c r="B112" s="1" t="str">
        <f t="shared" si="25"/>
        <v>KADTRALMAQFVPPLYSLVFTVGLLGNVVVVMILIKYIMTNIYLLNLAISDLLFLVTLPFWIHYVRGGHGMCKLLSGFYHTGLYSEIFFIILLTIDRYLAIVHTVTFGVITSIVTWGLAVLAALPEFIFYTVYSWRHFHTLRMTIFCLVLPLLVMAICYTGIIKTLLRCKYKAIRLIFVIMAVFFIFWTPYNVAILLSSYQSILFDCERSKHLDLVMLVTEVIAYSHCCMNPVIYAFVGERFRKYLRHFFH</v>
      </c>
      <c r="C112" s="29" t="str">
        <f>IF(ISERROR(MATCH(A112,'SegEnds_Xtal_Prot#'!B:B, 0)), "NoXtal", "Xtal")</f>
        <v>NoXtal</v>
      </c>
      <c r="D112" s="4" t="str">
        <f>VLOOKUP(A112,Classification!A:D,2,FALSE)</f>
        <v>A</v>
      </c>
      <c r="E112" s="5" t="str">
        <f>VLOOKUP(A112,Seqs!A:B,2,FALSE)</f>
        <v>MTTSLDTVETFGTTSYYDDVGLLCEKADTRALMAQFVPPLYSLVFTVGLLGNVVVVMILIKYRRLRIMTNIYLLNLAISDLLFLVTLPFWIHYVRGHNWVFGHGMCKLLSGFYHTGLYSEIFFIILLTIDRYLAIVHAVFALRARTVTFGVITSIVTWGLAVLAALPEFIFYETEELFEETLCSALYPEDTVYSWRHFHTLRMTIFCLVLPLLVMAICYTGIIKTLLRCPSKKKYKAIRLIFVIMAVFFIFWTPYNVAILLSSYQSILFGNDCERSKHLDLVMLVTEVIAYSHCCMNPVIYAFVGERFRKYLRHFFHRHLLMHLGRYIPFLPSEKLERTSSVSPSTAEPELSIVF</v>
      </c>
      <c r="F112" s="5" t="str">
        <f t="shared" si="26"/>
        <v>KADTRALMAQFVPPLYSLVFTVGLLGNVVVVMILIKY</v>
      </c>
      <c r="G112" s="4" t="str">
        <f t="shared" si="27"/>
        <v>RRLR</v>
      </c>
      <c r="H112" s="4" t="str">
        <f t="shared" si="28"/>
        <v>IMTNIYLLNLAISDLLFLVTLPFWIHYVRG</v>
      </c>
      <c r="I112" s="4" t="str">
        <f t="shared" si="29"/>
        <v>NWVF</v>
      </c>
      <c r="J112" s="4" t="str">
        <f t="shared" si="30"/>
        <v>GHGMCKLLSGFYHTGLYSEIFFIILLTIDRYLAIVH</v>
      </c>
      <c r="K112" s="4" t="str">
        <f t="shared" si="31"/>
        <v>AVFALRAR</v>
      </c>
      <c r="L112" s="4" t="str">
        <f t="shared" si="32"/>
        <v>TVTFGVITSIVTWGLAVLAALPEFIFY</v>
      </c>
      <c r="M112" s="4" t="str">
        <f t="shared" si="33"/>
        <v>CSA</v>
      </c>
      <c r="N112" s="4" t="str">
        <f t="shared" si="34"/>
        <v>TVYSWRHFHTLRMTIFCLVLPLLVMAICYTGIIKTLLRC</v>
      </c>
      <c r="O112" s="4" t="str">
        <f t="shared" si="35"/>
        <v>KYKAIRLIFVIMAVFFIFWTPYNVAILLSSYQSILF</v>
      </c>
      <c r="P112" s="4" t="str">
        <f t="shared" si="36"/>
        <v>DCERSKHLDLVMLVTEVIAYSHCCMNPVIYAFV</v>
      </c>
      <c r="Q112" s="4" t="str">
        <f t="shared" si="37"/>
        <v>GERFRKYLRHFFH</v>
      </c>
      <c r="R112" s="5">
        <f>VLOOKUP($A112,'SegEnds_NonXtal_Prot#'!$A:$AL,3,FALSE)</f>
        <v>26</v>
      </c>
      <c r="S112" s="5">
        <f>VLOOKUP($A112,'SegEnds_NonXtal_Prot#'!$A:$AL,6,FALSE)</f>
        <v>63</v>
      </c>
      <c r="T112" s="5">
        <f>VLOOKUP($A112,'SegEnds_NonXtal_Prot#'!$A:$AL,9,FALSE)</f>
        <v>67</v>
      </c>
      <c r="U112" s="5">
        <f>VLOOKUP($A112,'SegEnds_NonXtal_Prot#'!$A:$AL,12,FALSE)</f>
        <v>98</v>
      </c>
      <c r="V112" s="5">
        <f>VLOOKUP($A112,'SegEnds_NonXtal_Prot#'!$A:$AL,15,FALSE)</f>
        <v>102</v>
      </c>
      <c r="W112" s="5">
        <f>VLOOKUP($A112,'SegEnds_NonXtal_Prot#'!$A:$AL,18,FALSE)</f>
        <v>138</v>
      </c>
      <c r="X112" s="5">
        <f>VLOOKUP($A112,'SegEnds_NonXtal_Prot#'!$A:$AL,21,FALSE)</f>
        <v>146</v>
      </c>
      <c r="Y112" s="5">
        <f>VLOOKUP($A112,'SegEnds_NonXtal_Prot#'!$A:$AL,24,FALSE)</f>
        <v>183</v>
      </c>
      <c r="Z112" s="5">
        <f>VLOOKUP($A112,'SegEnds_NonXtal_Prot#'!$A:$AL,27,FALSE)</f>
        <v>191</v>
      </c>
      <c r="AA112" s="5">
        <f>VLOOKUP($A112,'SegEnds_NonXtal_Prot#'!$A:$AL,30,FALSE)</f>
        <v>234</v>
      </c>
      <c r="AB112" s="5">
        <f>VLOOKUP($A112,'SegEnds_NonXtal_Prot#'!$A:$AL,33,FALSE)</f>
        <v>272</v>
      </c>
      <c r="AC112" s="5">
        <f>VLOOKUP($A112,'SegEnds_NonXtal_Prot#'!$A:$AL,36,FALSE)</f>
        <v>305</v>
      </c>
      <c r="AD112" s="5">
        <f>VLOOKUP($A112,'SegEnds_NonXtal_Prot#'!$A:$AL,5,FALSE)</f>
        <v>62</v>
      </c>
      <c r="AE112" s="5">
        <f>VLOOKUP($A112,'SegEnds_NonXtal_Prot#'!$A:$AL,8,FALSE)</f>
        <v>66</v>
      </c>
      <c r="AF112" s="5">
        <f>VLOOKUP($A112,'SegEnds_NonXtal_Prot#'!$A:$AL,11,FALSE)</f>
        <v>96</v>
      </c>
      <c r="AG112" s="5">
        <f>VLOOKUP($A112,'SegEnds_NonXtal_Prot#'!$A:$AL,14,FALSE)</f>
        <v>101</v>
      </c>
      <c r="AH112" s="5">
        <f>VLOOKUP($A112,'SegEnds_NonXtal_Prot#'!$A:$AL,17,FALSE)</f>
        <v>137</v>
      </c>
      <c r="AI112" s="5">
        <f>VLOOKUP($A112,'SegEnds_NonXtal_Prot#'!$A:$AL,20,FALSE)</f>
        <v>145</v>
      </c>
      <c r="AJ112" s="5">
        <f>VLOOKUP($A112,'SegEnds_NonXtal_Prot#'!$A:$AL,23,FALSE)</f>
        <v>172</v>
      </c>
      <c r="AK112" s="5">
        <f>VLOOKUP($A112,'SegEnds_NonXtal_Prot#'!$A:$AL,26,FALSE)</f>
        <v>185</v>
      </c>
      <c r="AL112" s="5">
        <f>VLOOKUP($A112,'SegEnds_NonXtal_Prot#'!$A:$AL,29,FALSE)</f>
        <v>229</v>
      </c>
      <c r="AM112" s="5">
        <f>VLOOKUP($A112,'SegEnds_NonXtal_Prot#'!$A:$AL,32,FALSE)</f>
        <v>269</v>
      </c>
      <c r="AN112" s="5">
        <f>VLOOKUP($A112,'SegEnds_NonXtal_Prot#'!$A:$AL,35,FALSE)</f>
        <v>304</v>
      </c>
      <c r="AO112" s="5">
        <f>VLOOKUP($A112,'SegEnds_NonXtal_Prot#'!$A:$AL,38,FALSE)</f>
        <v>317</v>
      </c>
      <c r="AP112" s="5">
        <f t="shared" si="38"/>
        <v>36</v>
      </c>
      <c r="AQ112" s="4">
        <f t="shared" si="39"/>
        <v>3</v>
      </c>
      <c r="AR112" s="4">
        <f t="shared" si="40"/>
        <v>29</v>
      </c>
      <c r="AS112" s="4">
        <f t="shared" si="41"/>
        <v>3</v>
      </c>
      <c r="AT112" s="4">
        <f t="shared" si="42"/>
        <v>35</v>
      </c>
      <c r="AU112" s="4">
        <f t="shared" si="43"/>
        <v>7</v>
      </c>
      <c r="AV112" s="4">
        <f t="shared" si="44"/>
        <v>26</v>
      </c>
      <c r="AW112" s="4">
        <f t="shared" si="45"/>
        <v>2</v>
      </c>
      <c r="AX112" s="4">
        <f t="shared" si="46"/>
        <v>38</v>
      </c>
      <c r="AY112" s="4">
        <f t="shared" si="47"/>
        <v>35</v>
      </c>
      <c r="AZ112" s="4">
        <f t="shared" si="48"/>
        <v>32</v>
      </c>
      <c r="BA112" s="4">
        <f t="shared" si="49"/>
        <v>12</v>
      </c>
    </row>
    <row r="113" spans="1:53" x14ac:dyDescent="0.2">
      <c r="A113" s="1" t="str">
        <f>'SegEnds_NonXtal_Prot#'!A84</f>
        <v>ccr4_human</v>
      </c>
      <c r="B113" s="1" t="str">
        <f t="shared" si="25"/>
        <v>KEGIKAFGELFLPPLYSLVFVFGLLGNSVVVLVLFKYSMTDVYLLNLAISDLLFVFSLPFWGYYAADGLGLCKMISWMYLVGFYSGIFFVMLMSIDRYLAIVHTLTYGVITSLATWSVAVFASLPGFLFSNSTTWKVLSSLEINILGLVIPLGIMLFCYSMIIRTLQHCKNKAVKMIFAVVVLFLGFWTPYNIVLFLETLVELEVDCTFERYLDYAIQATETLAFVHCCLNPIIYFFLGEKFRKYILQLFK</v>
      </c>
      <c r="C113" s="29" t="str">
        <f>IF(ISERROR(MATCH(A113,'SegEnds_Xtal_Prot#'!B:B, 0)), "NoXtal", "Xtal")</f>
        <v>NoXtal</v>
      </c>
      <c r="D113" s="4" t="str">
        <f>VLOOKUP(A113,Classification!A:D,2,FALSE)</f>
        <v>A</v>
      </c>
      <c r="E113" s="5" t="str">
        <f>VLOOKUP(A113,Seqs!A:B,2,FALSE)</f>
        <v>MNPTDIADTTLDESIYSNYYLYESIPKPCTKEGIKAFGELFLPPLYSLVFVFGLLGNSVVVLVLFKYKRLRSMTDVYLLNLAISDLLFVFSLPFWGYYAADQWVFGLGLCKMISWMYLVGFYSGIFFVMLMSIDRYLAIVHAVFSLRARTLTYGVITSLATWSVAVFASLPGFLFSTCYTERNHTYCKTKYSLNSTTWKVLSSLEINILGLVIPLGIMLFCYSMIIRTLQHCKNEKKNKAVKMIFAVVVLFLGFWTPYNIVLFLETLVELEVLQDCTFERYLDYAIQATETLAFVHCCLNPIIYFFLGEKFRKYILQLFKTCRGLFVLCQYCGLLQIYSADTPSSSYTQSTMDHDLHDAL</v>
      </c>
      <c r="F113" s="5" t="str">
        <f t="shared" si="26"/>
        <v>KEGIKAFGELFLPPLYSLVFVFGLLGNSVVVLVLFKY</v>
      </c>
      <c r="G113" s="4" t="str">
        <f t="shared" si="27"/>
        <v>KRLR</v>
      </c>
      <c r="H113" s="4" t="str">
        <f t="shared" si="28"/>
        <v>SMTDVYLLNLAISDLLFVFSLPFWGYYAAD</v>
      </c>
      <c r="I113" s="4" t="str">
        <f t="shared" si="29"/>
        <v>QWVF</v>
      </c>
      <c r="J113" s="4" t="str">
        <f t="shared" si="30"/>
        <v>GLGLCKMISWMYLVGFYSGIFFVMLMSIDRYLAIVH</v>
      </c>
      <c r="K113" s="4" t="str">
        <f t="shared" si="31"/>
        <v>AVFSLRAR</v>
      </c>
      <c r="L113" s="4" t="str">
        <f t="shared" si="32"/>
        <v>TLTYGVITSLATWSVAVFASLPGFLFS</v>
      </c>
      <c r="M113" s="4" t="str">
        <f t="shared" si="33"/>
        <v>CKT</v>
      </c>
      <c r="N113" s="4" t="str">
        <f t="shared" si="34"/>
        <v>NSTTWKVLSSLEINILGLVIPLGIMLFCYSMIIRTLQHC</v>
      </c>
      <c r="O113" s="4" t="str">
        <f t="shared" si="35"/>
        <v>KNKAVKMIFAVVVLFLGFWTPYNIVLFLETLVELEV</v>
      </c>
      <c r="P113" s="4" t="str">
        <f t="shared" si="36"/>
        <v>DCTFERYLDYAIQATETLAFVHCCLNPIIYFFL</v>
      </c>
      <c r="Q113" s="4" t="str">
        <f t="shared" si="37"/>
        <v>GEKFRKYILQLFK</v>
      </c>
      <c r="R113" s="5">
        <f>VLOOKUP($A113,'SegEnds_NonXtal_Prot#'!$A:$AL,3,FALSE)</f>
        <v>31</v>
      </c>
      <c r="S113" s="5">
        <f>VLOOKUP($A113,'SegEnds_NonXtal_Prot#'!$A:$AL,6,FALSE)</f>
        <v>68</v>
      </c>
      <c r="T113" s="5">
        <f>VLOOKUP($A113,'SegEnds_NonXtal_Prot#'!$A:$AL,9,FALSE)</f>
        <v>72</v>
      </c>
      <c r="U113" s="5">
        <f>VLOOKUP($A113,'SegEnds_NonXtal_Prot#'!$A:$AL,12,FALSE)</f>
        <v>102</v>
      </c>
      <c r="V113" s="5">
        <f>VLOOKUP($A113,'SegEnds_NonXtal_Prot#'!$A:$AL,15,FALSE)</f>
        <v>106</v>
      </c>
      <c r="W113" s="5">
        <f>VLOOKUP($A113,'SegEnds_NonXtal_Prot#'!$A:$AL,18,FALSE)</f>
        <v>142</v>
      </c>
      <c r="X113" s="5">
        <f>VLOOKUP($A113,'SegEnds_NonXtal_Prot#'!$A:$AL,21,FALSE)</f>
        <v>150</v>
      </c>
      <c r="Y113" s="5">
        <f>VLOOKUP($A113,'SegEnds_NonXtal_Prot#'!$A:$AL,24,FALSE)</f>
        <v>187</v>
      </c>
      <c r="Z113" s="5">
        <f>VLOOKUP($A113,'SegEnds_NonXtal_Prot#'!$A:$AL,27,FALSE)</f>
        <v>194</v>
      </c>
      <c r="AA113" s="5">
        <f>VLOOKUP($A113,'SegEnds_NonXtal_Prot#'!$A:$AL,30,FALSE)</f>
        <v>237</v>
      </c>
      <c r="AB113" s="5">
        <f>VLOOKUP($A113,'SegEnds_NonXtal_Prot#'!$A:$AL,33,FALSE)</f>
        <v>275</v>
      </c>
      <c r="AC113" s="5">
        <f>VLOOKUP($A113,'SegEnds_NonXtal_Prot#'!$A:$AL,36,FALSE)</f>
        <v>308</v>
      </c>
      <c r="AD113" s="5">
        <f>VLOOKUP($A113,'SegEnds_NonXtal_Prot#'!$A:$AL,5,FALSE)</f>
        <v>67</v>
      </c>
      <c r="AE113" s="5">
        <f>VLOOKUP($A113,'SegEnds_NonXtal_Prot#'!$A:$AL,8,FALSE)</f>
        <v>71</v>
      </c>
      <c r="AF113" s="5">
        <f>VLOOKUP($A113,'SegEnds_NonXtal_Prot#'!$A:$AL,11,FALSE)</f>
        <v>101</v>
      </c>
      <c r="AG113" s="5">
        <f>VLOOKUP($A113,'SegEnds_NonXtal_Prot#'!$A:$AL,14,FALSE)</f>
        <v>105</v>
      </c>
      <c r="AH113" s="5">
        <f>VLOOKUP($A113,'SegEnds_NonXtal_Prot#'!$A:$AL,17,FALSE)</f>
        <v>141</v>
      </c>
      <c r="AI113" s="5">
        <f>VLOOKUP($A113,'SegEnds_NonXtal_Prot#'!$A:$AL,20,FALSE)</f>
        <v>149</v>
      </c>
      <c r="AJ113" s="5">
        <f>VLOOKUP($A113,'SegEnds_NonXtal_Prot#'!$A:$AL,23,FALSE)</f>
        <v>176</v>
      </c>
      <c r="AK113" s="5">
        <f>VLOOKUP($A113,'SegEnds_NonXtal_Prot#'!$A:$AL,26,FALSE)</f>
        <v>189</v>
      </c>
      <c r="AL113" s="5">
        <f>VLOOKUP($A113,'SegEnds_NonXtal_Prot#'!$A:$AL,29,FALSE)</f>
        <v>232</v>
      </c>
      <c r="AM113" s="5">
        <f>VLOOKUP($A113,'SegEnds_NonXtal_Prot#'!$A:$AL,32,FALSE)</f>
        <v>272</v>
      </c>
      <c r="AN113" s="5">
        <f>VLOOKUP($A113,'SegEnds_NonXtal_Prot#'!$A:$AL,35,FALSE)</f>
        <v>307</v>
      </c>
      <c r="AO113" s="5">
        <f>VLOOKUP($A113,'SegEnds_NonXtal_Prot#'!$A:$AL,38,FALSE)</f>
        <v>320</v>
      </c>
      <c r="AP113" s="5">
        <f t="shared" si="38"/>
        <v>36</v>
      </c>
      <c r="AQ113" s="4">
        <f t="shared" si="39"/>
        <v>3</v>
      </c>
      <c r="AR113" s="4">
        <f t="shared" si="40"/>
        <v>29</v>
      </c>
      <c r="AS113" s="4">
        <f t="shared" si="41"/>
        <v>3</v>
      </c>
      <c r="AT113" s="4">
        <f t="shared" si="42"/>
        <v>35</v>
      </c>
      <c r="AU113" s="4">
        <f t="shared" si="43"/>
        <v>7</v>
      </c>
      <c r="AV113" s="4">
        <f t="shared" si="44"/>
        <v>26</v>
      </c>
      <c r="AW113" s="4">
        <f t="shared" si="45"/>
        <v>2</v>
      </c>
      <c r="AX113" s="4">
        <f t="shared" si="46"/>
        <v>38</v>
      </c>
      <c r="AY113" s="4">
        <f t="shared" si="47"/>
        <v>35</v>
      </c>
      <c r="AZ113" s="4">
        <f t="shared" si="48"/>
        <v>32</v>
      </c>
      <c r="BA113" s="4">
        <f t="shared" si="49"/>
        <v>12</v>
      </c>
    </row>
    <row r="114" spans="1:53" x14ac:dyDescent="0.2">
      <c r="A114" s="1" t="str">
        <f>'SegEnds_NonXtal_Prot#'!A85</f>
        <v>ccr5_human</v>
      </c>
      <c r="B114" s="1" t="str">
        <f t="shared" si="25"/>
        <v>KINVKQIAARLLPPLYSLVFIFGFVGNMLVILILINCSMTDIYLLNLAISDLFFLLTVPFWAHYAAAGNTMCQLLTGLYFIGFFSGIFFIILLTIDRYLAVVHTVTFGVVTSVITWVVAVFASLPGIIFTQYQFWKNFQTLKIVILGLVLPLLVMVICYSGILKTLLRCKKRHRAVRLIFTIMIVYFLFWAPYNIVLLLNTFQEFFGNCSSSNRLDQAMQVTETLGMTHCCINPIIYAFVGEKFRNYLLVFFQ</v>
      </c>
      <c r="C114" s="29" t="str">
        <f>IF(ISERROR(MATCH(A114,'SegEnds_Xtal_Prot#'!B:B, 0)), "NoXtal", "Xtal")</f>
        <v>Xtal</v>
      </c>
      <c r="D114" s="4" t="str">
        <f>VLOOKUP(A114,Classification!A:D,2,FALSE)</f>
        <v>A</v>
      </c>
      <c r="E114" s="5" t="str">
        <f>VLOOKUP(A114,Seqs!A:B,2,FALSE)</f>
        <v>MDYQVSSPIYDINYYTSEPCQKINVKQIAARLLPPLYSLVFIFGFVGNMLVILILINCKRLKSMTDIYLLNLAISDLFFLLTVPFWAHYAAAQWDFGNTMCQLLTGLYFIGFFSGIFFIILLTIDRYLAVVHAVFALKARTVTFGVVTSVITWVVAVFASLPGIIFTRSQKEGLHYTCSSHFPYSQYQFWKNFQTLKIVILGLVLPLLVMVICYSGILKTLLRCRNEKKRHRAVRLIFTIMIVYFLFWAPYNIVLLLNTFQEFFGLNNCSSSNRLDQAMQVTETLGMTHCCINPIIYAFVGEKFRNYLLVFFQKHIAKRFCKCCSIFQQEAPERASSVYTRSTGEQEISVGL</v>
      </c>
      <c r="F114" s="5" t="str">
        <f t="shared" si="26"/>
        <v>KINVKQIAARLLPPLYSLVFIFGFVGNMLVILILINC</v>
      </c>
      <c r="G114" s="4" t="str">
        <f t="shared" si="27"/>
        <v>KRLK</v>
      </c>
      <c r="H114" s="4" t="str">
        <f t="shared" si="28"/>
        <v>SMTDIYLLNLAISDLFFLLTVPFWAHYAAA</v>
      </c>
      <c r="I114" s="4" t="str">
        <f t="shared" si="29"/>
        <v>QWDF</v>
      </c>
      <c r="J114" s="4" t="str">
        <f t="shared" si="30"/>
        <v>GNTMCQLLTGLYFIGFFSGIFFIILLTIDRYLAVVH</v>
      </c>
      <c r="K114" s="4" t="str">
        <f t="shared" si="31"/>
        <v>AVFALKAR</v>
      </c>
      <c r="L114" s="4" t="str">
        <f t="shared" si="32"/>
        <v>TVTFGVVTSVITWVVAVFASLPGIIFT</v>
      </c>
      <c r="M114" s="4" t="str">
        <f t="shared" si="33"/>
        <v>CSS</v>
      </c>
      <c r="N114" s="4" t="str">
        <f t="shared" si="34"/>
        <v>QYQFWKNFQTLKIVILGLVLPLLVMVICYSGILKTLLRC</v>
      </c>
      <c r="O114" s="4" t="str">
        <f t="shared" si="35"/>
        <v>KKRHRAVRLIFTIMIVYFLFWAPYNIVLLLNTFQEFFG</v>
      </c>
      <c r="P114" s="4" t="str">
        <f t="shared" si="36"/>
        <v>NCSSSNRLDQAMQVTETLGMTHCCINPIIYAFV</v>
      </c>
      <c r="Q114" s="4" t="str">
        <f t="shared" si="37"/>
        <v>GEKFRNYLLVFFQ</v>
      </c>
      <c r="R114" s="5">
        <f>VLOOKUP($A114,'SegEnds_NonXtal_Prot#'!$A:$AL,3,FALSE)</f>
        <v>22</v>
      </c>
      <c r="S114" s="5">
        <f>VLOOKUP($A114,'SegEnds_NonXtal_Prot#'!$A:$AL,6,FALSE)</f>
        <v>59</v>
      </c>
      <c r="T114" s="5">
        <f>VLOOKUP($A114,'SegEnds_NonXtal_Prot#'!$A:$AL,9,FALSE)</f>
        <v>63</v>
      </c>
      <c r="U114" s="5">
        <f>VLOOKUP($A114,'SegEnds_NonXtal_Prot#'!$A:$AL,12,FALSE)</f>
        <v>93</v>
      </c>
      <c r="V114" s="5">
        <f>VLOOKUP($A114,'SegEnds_NonXtal_Prot#'!$A:$AL,15,FALSE)</f>
        <v>97</v>
      </c>
      <c r="W114" s="5">
        <f>VLOOKUP($A114,'SegEnds_NonXtal_Prot#'!$A:$AL,18,FALSE)</f>
        <v>133</v>
      </c>
      <c r="X114" s="5">
        <f>VLOOKUP($A114,'SegEnds_NonXtal_Prot#'!$A:$AL,21,FALSE)</f>
        <v>141</v>
      </c>
      <c r="Y114" s="5">
        <f>VLOOKUP($A114,'SegEnds_NonXtal_Prot#'!$A:$AL,24,FALSE)</f>
        <v>178</v>
      </c>
      <c r="Z114" s="5">
        <f>VLOOKUP($A114,'SegEnds_NonXtal_Prot#'!$A:$AL,27,FALSE)</f>
        <v>186</v>
      </c>
      <c r="AA114" s="5">
        <f>VLOOKUP($A114,'SegEnds_NonXtal_Prot#'!$A:$AL,30,FALSE)</f>
        <v>228</v>
      </c>
      <c r="AB114" s="5">
        <f>VLOOKUP($A114,'SegEnds_NonXtal_Prot#'!$A:$AL,33,FALSE)</f>
        <v>268</v>
      </c>
      <c r="AC114" s="5">
        <f>VLOOKUP($A114,'SegEnds_NonXtal_Prot#'!$A:$AL,36,FALSE)</f>
        <v>301</v>
      </c>
      <c r="AD114" s="5">
        <f>VLOOKUP($A114,'SegEnds_NonXtal_Prot#'!$A:$AL,5,FALSE)</f>
        <v>58</v>
      </c>
      <c r="AE114" s="5">
        <f>VLOOKUP($A114,'SegEnds_NonXtal_Prot#'!$A:$AL,8,FALSE)</f>
        <v>62</v>
      </c>
      <c r="AF114" s="5">
        <f>VLOOKUP($A114,'SegEnds_NonXtal_Prot#'!$A:$AL,11,FALSE)</f>
        <v>92</v>
      </c>
      <c r="AG114" s="5">
        <f>VLOOKUP($A114,'SegEnds_NonXtal_Prot#'!$A:$AL,14,FALSE)</f>
        <v>96</v>
      </c>
      <c r="AH114" s="5">
        <f>VLOOKUP($A114,'SegEnds_NonXtal_Prot#'!$A:$AL,17,FALSE)</f>
        <v>132</v>
      </c>
      <c r="AI114" s="5">
        <f>VLOOKUP($A114,'SegEnds_NonXtal_Prot#'!$A:$AL,20,FALSE)</f>
        <v>140</v>
      </c>
      <c r="AJ114" s="5">
        <f>VLOOKUP($A114,'SegEnds_NonXtal_Prot#'!$A:$AL,23,FALSE)</f>
        <v>167</v>
      </c>
      <c r="AK114" s="5">
        <f>VLOOKUP($A114,'SegEnds_NonXtal_Prot#'!$A:$AL,26,FALSE)</f>
        <v>180</v>
      </c>
      <c r="AL114" s="5">
        <f>VLOOKUP($A114,'SegEnds_NonXtal_Prot#'!$A:$AL,29,FALSE)</f>
        <v>224</v>
      </c>
      <c r="AM114" s="5">
        <f>VLOOKUP($A114,'SegEnds_NonXtal_Prot#'!$A:$AL,32,FALSE)</f>
        <v>265</v>
      </c>
      <c r="AN114" s="5">
        <f>VLOOKUP($A114,'SegEnds_NonXtal_Prot#'!$A:$AL,35,FALSE)</f>
        <v>300</v>
      </c>
      <c r="AO114" s="5">
        <f>VLOOKUP($A114,'SegEnds_NonXtal_Prot#'!$A:$AL,38,FALSE)</f>
        <v>313</v>
      </c>
      <c r="AP114" s="5">
        <f t="shared" si="38"/>
        <v>36</v>
      </c>
      <c r="AQ114" s="4">
        <f t="shared" si="39"/>
        <v>3</v>
      </c>
      <c r="AR114" s="4">
        <f t="shared" si="40"/>
        <v>29</v>
      </c>
      <c r="AS114" s="4">
        <f t="shared" si="41"/>
        <v>3</v>
      </c>
      <c r="AT114" s="4">
        <f t="shared" si="42"/>
        <v>35</v>
      </c>
      <c r="AU114" s="4">
        <f t="shared" si="43"/>
        <v>7</v>
      </c>
      <c r="AV114" s="4">
        <f t="shared" si="44"/>
        <v>26</v>
      </c>
      <c r="AW114" s="4">
        <f t="shared" si="45"/>
        <v>2</v>
      </c>
      <c r="AX114" s="4">
        <f t="shared" si="46"/>
        <v>38</v>
      </c>
      <c r="AY114" s="4">
        <f t="shared" si="47"/>
        <v>37</v>
      </c>
      <c r="AZ114" s="4">
        <f t="shared" si="48"/>
        <v>32</v>
      </c>
      <c r="BA114" s="4">
        <f t="shared" si="49"/>
        <v>12</v>
      </c>
    </row>
    <row r="115" spans="1:53" x14ac:dyDescent="0.2">
      <c r="A115" s="1" t="str">
        <f>'SegEnds_NonXtal_Prot#'!A86</f>
        <v>ccr8_human</v>
      </c>
      <c r="B115" s="1" t="str">
        <f t="shared" si="25"/>
        <v>AELIQTNGKLLLAVFYCLLFVFSLLGNSLVILVLVVCSITDVYLLNLALSDLLFVFSFPFQTYYLLDGTVMCKVVSGFYYIGFYSSMFFITLMSVDRYLAVVHTIRMGTTLCLAVWLTAIMATIPLLVFYQTLKWKIFTNFKMNILGLLIPFTIFMFCYIKILHQLKRCKTKAIRLVLIVVIASLLFWVPFNVVLFLTSLHSMHIGCSISQQLTYATHVTEIISFTHCCVNPVIYAFVGEKFKKHLSEIFQ</v>
      </c>
      <c r="C115" s="29" t="str">
        <f>IF(ISERROR(MATCH(A115,'SegEnds_Xtal_Prot#'!B:B, 0)), "NoXtal", "Xtal")</f>
        <v>NoXtal</v>
      </c>
      <c r="D115" s="4" t="str">
        <f>VLOOKUP(A115,Classification!A:D,2,FALSE)</f>
        <v>A</v>
      </c>
      <c r="E115" s="5" t="str">
        <f>VLOOKUP(A115,Seqs!A:B,2,FALSE)</f>
        <v>MDYTLDLSVTTVTDYYYPDIFSSPCDAELIQTNGKLLLAVFYCLLFVFSLLGNSLVILVLVVCKKLRSITDVYLLNLALSDLLFVFSFPFQTYYLLDQWVFGTVMCKVVSGFYYIGFYSSMFFITLMSVDRYLAVVHAVYALKVRTIRMGTTLCLAVWLTAIMATIPLLVFYQVASEDGVLQCYSFYNQQTLKWKIFTNFKMNILGLLIPFTIFMFCYIKILHQLKRCQNHNKTKAIRLVLIVVIASLLFWVPFNVVLFLTSLHSMHILDGCSISQQLTYATHVTEIISFTHCCVNPVIYAFVGEKFKKHLSEIFQKSCSQIFNYLGRQMPRESCEKSSSCQQHSSRSSSVDYIL</v>
      </c>
      <c r="F115" s="5" t="str">
        <f t="shared" si="26"/>
        <v>AELIQTNGKLLLAVFYCLLFVFSLLGNSLVILVLVVC</v>
      </c>
      <c r="G115" s="4" t="str">
        <f t="shared" si="27"/>
        <v>KKLR</v>
      </c>
      <c r="H115" s="4" t="str">
        <f t="shared" si="28"/>
        <v>SITDVYLLNLALSDLLFVFSFPFQTYYLLD</v>
      </c>
      <c r="I115" s="4" t="str">
        <f t="shared" si="29"/>
        <v>QWVF</v>
      </c>
      <c r="J115" s="4" t="str">
        <f t="shared" si="30"/>
        <v>GTVMCKVVSGFYYIGFYSSMFFITLMSVDRYLAVVH</v>
      </c>
      <c r="K115" s="4" t="str">
        <f t="shared" si="31"/>
        <v>AVYALKVR</v>
      </c>
      <c r="L115" s="4" t="str">
        <f t="shared" si="32"/>
        <v>TIRMGTTLCLAVWLTAIMATIPLLVFY</v>
      </c>
      <c r="M115" s="4" t="str">
        <f t="shared" si="33"/>
        <v>CYS</v>
      </c>
      <c r="N115" s="4" t="str">
        <f t="shared" si="34"/>
        <v>QTLKWKIFTNFKMNILGLLIPFTIFMFCYIKILHQLKRC</v>
      </c>
      <c r="O115" s="4" t="str">
        <f t="shared" si="35"/>
        <v>KTKAIRLVLIVVIASLLFWVPFNVVLFLTSLHSMHI</v>
      </c>
      <c r="P115" s="4" t="str">
        <f t="shared" si="36"/>
        <v>GCSISQQLTYATHVTEIISFTHCCVNPVIYAFV</v>
      </c>
      <c r="Q115" s="4" t="str">
        <f t="shared" si="37"/>
        <v>GEKFKKHLSEIFQ</v>
      </c>
      <c r="R115" s="5">
        <f>VLOOKUP($A115,'SegEnds_NonXtal_Prot#'!$A:$AL,3,FALSE)</f>
        <v>27</v>
      </c>
      <c r="S115" s="5">
        <f>VLOOKUP($A115,'SegEnds_NonXtal_Prot#'!$A:$AL,6,FALSE)</f>
        <v>64</v>
      </c>
      <c r="T115" s="5">
        <f>VLOOKUP($A115,'SegEnds_NonXtal_Prot#'!$A:$AL,9,FALSE)</f>
        <v>68</v>
      </c>
      <c r="U115" s="5">
        <f>VLOOKUP($A115,'SegEnds_NonXtal_Prot#'!$A:$AL,12,FALSE)</f>
        <v>98</v>
      </c>
      <c r="V115" s="5">
        <f>VLOOKUP($A115,'SegEnds_NonXtal_Prot#'!$A:$AL,15,FALSE)</f>
        <v>102</v>
      </c>
      <c r="W115" s="5">
        <f>VLOOKUP($A115,'SegEnds_NonXtal_Prot#'!$A:$AL,18,FALSE)</f>
        <v>138</v>
      </c>
      <c r="X115" s="5">
        <f>VLOOKUP($A115,'SegEnds_NonXtal_Prot#'!$A:$AL,21,FALSE)</f>
        <v>146</v>
      </c>
      <c r="Y115" s="5">
        <f>VLOOKUP($A115,'SegEnds_NonXtal_Prot#'!$A:$AL,24,FALSE)</f>
        <v>183</v>
      </c>
      <c r="Z115" s="5">
        <f>VLOOKUP($A115,'SegEnds_NonXtal_Prot#'!$A:$AL,27,FALSE)</f>
        <v>190</v>
      </c>
      <c r="AA115" s="5">
        <f>VLOOKUP($A115,'SegEnds_NonXtal_Prot#'!$A:$AL,30,FALSE)</f>
        <v>233</v>
      </c>
      <c r="AB115" s="5">
        <f>VLOOKUP($A115,'SegEnds_NonXtal_Prot#'!$A:$AL,33,FALSE)</f>
        <v>271</v>
      </c>
      <c r="AC115" s="5">
        <f>VLOOKUP($A115,'SegEnds_NonXtal_Prot#'!$A:$AL,36,FALSE)</f>
        <v>304</v>
      </c>
      <c r="AD115" s="5">
        <f>VLOOKUP($A115,'SegEnds_NonXtal_Prot#'!$A:$AL,5,FALSE)</f>
        <v>63</v>
      </c>
      <c r="AE115" s="5">
        <f>VLOOKUP($A115,'SegEnds_NonXtal_Prot#'!$A:$AL,8,FALSE)</f>
        <v>67</v>
      </c>
      <c r="AF115" s="5">
        <f>VLOOKUP($A115,'SegEnds_NonXtal_Prot#'!$A:$AL,11,FALSE)</f>
        <v>97</v>
      </c>
      <c r="AG115" s="5">
        <f>VLOOKUP($A115,'SegEnds_NonXtal_Prot#'!$A:$AL,14,FALSE)</f>
        <v>101</v>
      </c>
      <c r="AH115" s="5">
        <f>VLOOKUP($A115,'SegEnds_NonXtal_Prot#'!$A:$AL,17,FALSE)</f>
        <v>137</v>
      </c>
      <c r="AI115" s="5">
        <f>VLOOKUP($A115,'SegEnds_NonXtal_Prot#'!$A:$AL,20,FALSE)</f>
        <v>145</v>
      </c>
      <c r="AJ115" s="5">
        <f>VLOOKUP($A115,'SegEnds_NonXtal_Prot#'!$A:$AL,23,FALSE)</f>
        <v>172</v>
      </c>
      <c r="AK115" s="5">
        <f>VLOOKUP($A115,'SegEnds_NonXtal_Prot#'!$A:$AL,26,FALSE)</f>
        <v>185</v>
      </c>
      <c r="AL115" s="5">
        <f>VLOOKUP($A115,'SegEnds_NonXtal_Prot#'!$A:$AL,29,FALSE)</f>
        <v>228</v>
      </c>
      <c r="AM115" s="5">
        <f>VLOOKUP($A115,'SegEnds_NonXtal_Prot#'!$A:$AL,32,FALSE)</f>
        <v>268</v>
      </c>
      <c r="AN115" s="5">
        <f>VLOOKUP($A115,'SegEnds_NonXtal_Prot#'!$A:$AL,35,FALSE)</f>
        <v>303</v>
      </c>
      <c r="AO115" s="5">
        <f>VLOOKUP($A115,'SegEnds_NonXtal_Prot#'!$A:$AL,38,FALSE)</f>
        <v>316</v>
      </c>
      <c r="AP115" s="5">
        <f t="shared" si="38"/>
        <v>36</v>
      </c>
      <c r="AQ115" s="4">
        <f t="shared" si="39"/>
        <v>3</v>
      </c>
      <c r="AR115" s="4">
        <f t="shared" si="40"/>
        <v>29</v>
      </c>
      <c r="AS115" s="4">
        <f t="shared" si="41"/>
        <v>3</v>
      </c>
      <c r="AT115" s="4">
        <f t="shared" si="42"/>
        <v>35</v>
      </c>
      <c r="AU115" s="4">
        <f t="shared" si="43"/>
        <v>7</v>
      </c>
      <c r="AV115" s="4">
        <f t="shared" si="44"/>
        <v>26</v>
      </c>
      <c r="AW115" s="4">
        <f t="shared" si="45"/>
        <v>2</v>
      </c>
      <c r="AX115" s="4">
        <f t="shared" si="46"/>
        <v>38</v>
      </c>
      <c r="AY115" s="4">
        <f t="shared" si="47"/>
        <v>35</v>
      </c>
      <c r="AZ115" s="4">
        <f t="shared" si="48"/>
        <v>32</v>
      </c>
      <c r="BA115" s="4">
        <f t="shared" si="49"/>
        <v>12</v>
      </c>
    </row>
    <row r="116" spans="1:53" x14ac:dyDescent="0.2">
      <c r="A116" s="1" t="str">
        <f>'SegEnds_NonXtal_Prot#'!A87</f>
        <v>cltr1_human</v>
      </c>
      <c r="B116" s="1" t="str">
        <f t="shared" si="25"/>
        <v>FRNQVYSTLYSMISVVGFFGNGFVLYVLIKTSAFQVYMINLAVADLLCVCTLPLRVVYYVHGDFLCRLSTYALYVNLYCSIFFMTAMSFFRCIAIVFTQKKARFVCVGIWIFVILTSSPFLMAKKNHVLVLHYVSLFVGFIIPFVIIIVCYTMIILTLLKNLSSHKKAIGMIMVVTAAFLVSFMPYHIQRTIHLHFLHNPCDSVLRMQKSVVITLSLAASNCCFDPLLYFFSGGNFRKRLSTFRK</v>
      </c>
      <c r="C116" s="29" t="str">
        <f>IF(ISERROR(MATCH(A116,'SegEnds_Xtal_Prot#'!B:B, 0)), "NoXtal", "Xtal")</f>
        <v>NoXtal</v>
      </c>
      <c r="D116" s="4" t="str">
        <f>VLOOKUP(A116,Classification!A:D,2,FALSE)</f>
        <v>A</v>
      </c>
      <c r="E116" s="5" t="str">
        <f>VLOOKUP(A116,Seqs!A:B,2,FALSE)</f>
        <v>MDETGNLTVSSATCHDTIDDFRNQVYSTLYSMISVVGFFGNGFVLYVLIKTYHKKSAFQVYMINLAVADLLCVCTLPLRVVYYVHKGIWLFGDFLCRLSTYALYVNLYCSIFFMTAMSFFRCIAIVFPVQNINLVTQKKARFVCVGIWIFVILTSSPFLMAKPQKDEKNNTKCFEPPQDNQTKNHVLVLHYVSLFVGFIIPFVIIIVCYTMIILTLLKKSMKKNLSSHKKAIGMIMVVTAAFLVSFMPYHIQRTIHLHFLHNETKPCDSVLRMQKSVVITLSLAASNCCFDPLLYFFSGGNFRKRLSTFRKHSLSSVTYVPRKKASLPEKGEEICKV</v>
      </c>
      <c r="F116" s="5" t="str">
        <f t="shared" si="26"/>
        <v>FRNQVYSTLYSMISVVGFFGNGFVLYVLIKT</v>
      </c>
      <c r="G116" s="4" t="str">
        <f t="shared" si="27"/>
        <v/>
      </c>
      <c r="H116" s="4" t="str">
        <f t="shared" si="28"/>
        <v>SAFQVYMINLAVADLLCVCTLPLRVVYYVH</v>
      </c>
      <c r="I116" s="4" t="str">
        <f t="shared" si="29"/>
        <v>IWLF</v>
      </c>
      <c r="J116" s="4" t="str">
        <f t="shared" si="30"/>
        <v>GDFLCRLSTYALYVNLYCSIFFMTAMSFFRCIAIVF</v>
      </c>
      <c r="K116" s="4" t="str">
        <f t="shared" si="31"/>
        <v>PVQNINLV</v>
      </c>
      <c r="L116" s="4" t="str">
        <f t="shared" si="32"/>
        <v>TQKKARFVCVGIWIFVILTSSPFLMAK</v>
      </c>
      <c r="M116" s="4" t="str">
        <f t="shared" si="33"/>
        <v>CFE</v>
      </c>
      <c r="N116" s="4" t="str">
        <f t="shared" si="34"/>
        <v>KNHVLVLHYVSLFVGFIIPFVIIIVCYTMIILTLLK</v>
      </c>
      <c r="O116" s="4" t="str">
        <f t="shared" si="35"/>
        <v>NLSSHKKAIGMIMVVTAAFLVSFMPYHIQRTIHLHFLHN</v>
      </c>
      <c r="P116" s="4" t="str">
        <f t="shared" si="36"/>
        <v>PCDSVLRMQKSVVITLSLAASNCCFDPLLYFFS</v>
      </c>
      <c r="Q116" s="4" t="str">
        <f t="shared" si="37"/>
        <v>GGNFRKRLSTFRK</v>
      </c>
      <c r="R116" s="5">
        <f>VLOOKUP($A116,'SegEnds_NonXtal_Prot#'!$A:$AL,3,FALSE)</f>
        <v>21</v>
      </c>
      <c r="S116" s="5" t="str">
        <f>VLOOKUP($A116,'SegEnds_NonXtal_Prot#'!$A:$AL,6,FALSE)</f>
        <v>-</v>
      </c>
      <c r="T116" s="5">
        <f>VLOOKUP($A116,'SegEnds_NonXtal_Prot#'!$A:$AL,9,FALSE)</f>
        <v>56</v>
      </c>
      <c r="U116" s="5">
        <f>VLOOKUP($A116,'SegEnds_NonXtal_Prot#'!$A:$AL,12,FALSE)</f>
        <v>88</v>
      </c>
      <c r="V116" s="5">
        <f>VLOOKUP($A116,'SegEnds_NonXtal_Prot#'!$A:$AL,15,FALSE)</f>
        <v>92</v>
      </c>
      <c r="W116" s="5">
        <f>VLOOKUP($A116,'SegEnds_NonXtal_Prot#'!$A:$AL,18,FALSE)</f>
        <v>128</v>
      </c>
      <c r="X116" s="5">
        <f>VLOOKUP($A116,'SegEnds_NonXtal_Prot#'!$A:$AL,21,FALSE)</f>
        <v>136</v>
      </c>
      <c r="Y116" s="5">
        <f>VLOOKUP($A116,'SegEnds_NonXtal_Prot#'!$A:$AL,24,FALSE)</f>
        <v>173</v>
      </c>
      <c r="Z116" s="5">
        <f>VLOOKUP($A116,'SegEnds_NonXtal_Prot#'!$A:$AL,27,FALSE)</f>
        <v>183</v>
      </c>
      <c r="AA116" s="5">
        <f>VLOOKUP($A116,'SegEnds_NonXtal_Prot#'!$A:$AL,30,FALSE)</f>
        <v>224</v>
      </c>
      <c r="AB116" s="5">
        <f>VLOOKUP($A116,'SegEnds_NonXtal_Prot#'!$A:$AL,33,FALSE)</f>
        <v>266</v>
      </c>
      <c r="AC116" s="5">
        <f>VLOOKUP($A116,'SegEnds_NonXtal_Prot#'!$A:$AL,36,FALSE)</f>
        <v>299</v>
      </c>
      <c r="AD116" s="5">
        <f>VLOOKUP($A116,'SegEnds_NonXtal_Prot#'!$A:$AL,5,FALSE)</f>
        <v>51</v>
      </c>
      <c r="AE116" s="5" t="str">
        <f>VLOOKUP($A116,'SegEnds_NonXtal_Prot#'!$A:$AL,8,FALSE)</f>
        <v>-</v>
      </c>
      <c r="AF116" s="5">
        <f>VLOOKUP($A116,'SegEnds_NonXtal_Prot#'!$A:$AL,11,FALSE)</f>
        <v>85</v>
      </c>
      <c r="AG116" s="5">
        <f>VLOOKUP($A116,'SegEnds_NonXtal_Prot#'!$A:$AL,14,FALSE)</f>
        <v>91</v>
      </c>
      <c r="AH116" s="5">
        <f>VLOOKUP($A116,'SegEnds_NonXtal_Prot#'!$A:$AL,17,FALSE)</f>
        <v>127</v>
      </c>
      <c r="AI116" s="5">
        <f>VLOOKUP($A116,'SegEnds_NonXtal_Prot#'!$A:$AL,20,FALSE)</f>
        <v>135</v>
      </c>
      <c r="AJ116" s="5">
        <f>VLOOKUP($A116,'SegEnds_NonXtal_Prot#'!$A:$AL,23,FALSE)</f>
        <v>162</v>
      </c>
      <c r="AK116" s="5">
        <f>VLOOKUP($A116,'SegEnds_NonXtal_Prot#'!$A:$AL,26,FALSE)</f>
        <v>175</v>
      </c>
      <c r="AL116" s="5">
        <f>VLOOKUP($A116,'SegEnds_NonXtal_Prot#'!$A:$AL,29,FALSE)</f>
        <v>218</v>
      </c>
      <c r="AM116" s="5">
        <f>VLOOKUP($A116,'SegEnds_NonXtal_Prot#'!$A:$AL,32,FALSE)</f>
        <v>262</v>
      </c>
      <c r="AN116" s="5">
        <f>VLOOKUP($A116,'SegEnds_NonXtal_Prot#'!$A:$AL,35,FALSE)</f>
        <v>298</v>
      </c>
      <c r="AO116" s="5">
        <f>VLOOKUP($A116,'SegEnds_NonXtal_Prot#'!$A:$AL,38,FALSE)</f>
        <v>311</v>
      </c>
      <c r="AP116" s="5">
        <f t="shared" si="38"/>
        <v>30</v>
      </c>
      <c r="AQ116" s="4" t="str">
        <f t="shared" si="39"/>
        <v>-</v>
      </c>
      <c r="AR116" s="4">
        <f t="shared" si="40"/>
        <v>29</v>
      </c>
      <c r="AS116" s="4">
        <f t="shared" si="41"/>
        <v>3</v>
      </c>
      <c r="AT116" s="4">
        <f t="shared" si="42"/>
        <v>35</v>
      </c>
      <c r="AU116" s="4">
        <f t="shared" si="43"/>
        <v>7</v>
      </c>
      <c r="AV116" s="4">
        <f t="shared" si="44"/>
        <v>26</v>
      </c>
      <c r="AW116" s="4">
        <f t="shared" si="45"/>
        <v>2</v>
      </c>
      <c r="AX116" s="4">
        <f t="shared" si="46"/>
        <v>35</v>
      </c>
      <c r="AY116" s="4">
        <f t="shared" si="47"/>
        <v>38</v>
      </c>
      <c r="AZ116" s="4">
        <f t="shared" si="48"/>
        <v>32</v>
      </c>
      <c r="BA116" s="4">
        <f t="shared" si="49"/>
        <v>12</v>
      </c>
    </row>
    <row r="117" spans="1:53" x14ac:dyDescent="0.2">
      <c r="A117" s="1" t="str">
        <f>'SegEnds_NonXtal_Prot#'!A88</f>
        <v>cltr2_human</v>
      </c>
      <c r="B117" s="1" t="str">
        <f t="shared" si="25"/>
        <v>FKREFFPIVYLIIFFWGVLGNGLSIYVFLQPTSVNVFMLNLAISDLLFISTLPFRADYYLRGDLACRIMSYSLYVNMYSSIYFLTVLSVVRFLAMVHSIRSAWILCGIIWILIMASSIMLLDSGIAKLQTMNYIALVVGCLLPFFTLSICYLLIIRVLLKVSGLRVSHRKALTTIIITLIIFFLCFLPYHTLRTVHLTTKDRLHKALVITLALAAANACFNPLLYYFAGENFKDRLKSALR</v>
      </c>
      <c r="C117" s="29" t="str">
        <f>IF(ISERROR(MATCH(A117,'SegEnds_Xtal_Prot#'!B:B, 0)), "NoXtal", "Xtal")</f>
        <v>NoXtal</v>
      </c>
      <c r="D117" s="4" t="str">
        <f>VLOOKUP(A117,Classification!A:D,2,FALSE)</f>
        <v>A</v>
      </c>
      <c r="E117" s="5" t="str">
        <f>VLOOKUP(A117,Seqs!A:B,2,FALSE)</f>
        <v>MERKFMSLQPSISVSEMEPNGTFSNNNSRNCTIENFKREFFPIVYLIIFFWGVLGNGLSIYVFLQPYKKSTSVNVFMLNLAISDLLFISTLPFRADYYLRGSNWIFGDLACRIMSYSLYVNMYSSIYFLTVLSVVRFLAMVHPFRLLHVTSIRSAWILCGIIWILIMASSIMLLDSGSEQNGSVTSCLELNLYKIAKLQTMNYIALVVGCLLPFFTLSICYLLIIRVLLKVEVPESGLRVSHRKALTTIIITLIIFFLCFLPYHTLRTVHLTTWKVGLCKDRLHKALVITLALAAANACFNPLLYYFAGENFKDRLKSALRKGHPQKAKTKCVFPVSVWLRKETRV</v>
      </c>
      <c r="F117" s="5" t="str">
        <f t="shared" si="26"/>
        <v>FKREFFPIVYLIIFFWGVLGNGLSIYVFLQP</v>
      </c>
      <c r="G117" s="4" t="str">
        <f t="shared" si="27"/>
        <v/>
      </c>
      <c r="H117" s="4" t="str">
        <f t="shared" si="28"/>
        <v>TSVNVFMLNLAISDLLFISTLPFRADYYLR</v>
      </c>
      <c r="I117" s="4" t="str">
        <f t="shared" si="29"/>
        <v>NWIF</v>
      </c>
      <c r="J117" s="4" t="str">
        <f t="shared" si="30"/>
        <v>GDLACRIMSYSLYVNMYSSIYFLTVLSVVRFLAMVH</v>
      </c>
      <c r="K117" s="4" t="str">
        <f t="shared" si="31"/>
        <v>PFRLLHVT</v>
      </c>
      <c r="L117" s="4" t="str">
        <f t="shared" si="32"/>
        <v>SIRSAWILCGIIWILIMASSIMLLDSG</v>
      </c>
      <c r="M117" s="4" t="str">
        <f t="shared" si="33"/>
        <v>CLE</v>
      </c>
      <c r="N117" s="4" t="str">
        <f t="shared" si="34"/>
        <v>IAKLQTMNYIALVVGCLLPFFTLSICYLLIIRVLLKV</v>
      </c>
      <c r="O117" s="4" t="str">
        <f t="shared" si="35"/>
        <v>SGLRVSHRKALTTIIITLIIFFLCFLPYHTLRTVHLTT</v>
      </c>
      <c r="P117" s="4" t="str">
        <f t="shared" si="36"/>
        <v>KDRLHKALVITLALAAANACFNPLLYYFA</v>
      </c>
      <c r="Q117" s="4" t="str">
        <f t="shared" si="37"/>
        <v>GENFKDRLKSALR</v>
      </c>
      <c r="R117" s="5">
        <f>VLOOKUP($A117,'SegEnds_NonXtal_Prot#'!$A:$AL,3,FALSE)</f>
        <v>36</v>
      </c>
      <c r="S117" s="5" t="str">
        <f>VLOOKUP($A117,'SegEnds_NonXtal_Prot#'!$A:$AL,6,FALSE)</f>
        <v>-</v>
      </c>
      <c r="T117" s="5">
        <f>VLOOKUP($A117,'SegEnds_NonXtal_Prot#'!$A:$AL,9,FALSE)</f>
        <v>71</v>
      </c>
      <c r="U117" s="5">
        <f>VLOOKUP($A117,'SegEnds_NonXtal_Prot#'!$A:$AL,12,FALSE)</f>
        <v>103</v>
      </c>
      <c r="V117" s="5">
        <f>VLOOKUP($A117,'SegEnds_NonXtal_Prot#'!$A:$AL,15,FALSE)</f>
        <v>107</v>
      </c>
      <c r="W117" s="5">
        <f>VLOOKUP($A117,'SegEnds_NonXtal_Prot#'!$A:$AL,18,FALSE)</f>
        <v>143</v>
      </c>
      <c r="X117" s="5">
        <f>VLOOKUP($A117,'SegEnds_NonXtal_Prot#'!$A:$AL,21,FALSE)</f>
        <v>151</v>
      </c>
      <c r="Y117" s="5">
        <f>VLOOKUP($A117,'SegEnds_NonXtal_Prot#'!$A:$AL,24,FALSE)</f>
        <v>187</v>
      </c>
      <c r="Z117" s="5">
        <f>VLOOKUP($A117,'SegEnds_NonXtal_Prot#'!$A:$AL,27,FALSE)</f>
        <v>195</v>
      </c>
      <c r="AA117" s="5">
        <f>VLOOKUP($A117,'SegEnds_NonXtal_Prot#'!$A:$AL,30,FALSE)</f>
        <v>236</v>
      </c>
      <c r="AB117" s="5">
        <f>VLOOKUP($A117,'SegEnds_NonXtal_Prot#'!$A:$AL,33,FALSE)</f>
        <v>280</v>
      </c>
      <c r="AC117" s="5">
        <f>VLOOKUP($A117,'SegEnds_NonXtal_Prot#'!$A:$AL,36,FALSE)</f>
        <v>309</v>
      </c>
      <c r="AD117" s="5">
        <f>VLOOKUP($A117,'SegEnds_NonXtal_Prot#'!$A:$AL,5,FALSE)</f>
        <v>66</v>
      </c>
      <c r="AE117" s="5" t="str">
        <f>VLOOKUP($A117,'SegEnds_NonXtal_Prot#'!$A:$AL,8,FALSE)</f>
        <v>-</v>
      </c>
      <c r="AF117" s="5">
        <f>VLOOKUP($A117,'SegEnds_NonXtal_Prot#'!$A:$AL,11,FALSE)</f>
        <v>100</v>
      </c>
      <c r="AG117" s="5">
        <f>VLOOKUP($A117,'SegEnds_NonXtal_Prot#'!$A:$AL,14,FALSE)</f>
        <v>106</v>
      </c>
      <c r="AH117" s="5">
        <f>VLOOKUP($A117,'SegEnds_NonXtal_Prot#'!$A:$AL,17,FALSE)</f>
        <v>142</v>
      </c>
      <c r="AI117" s="5">
        <f>VLOOKUP($A117,'SegEnds_NonXtal_Prot#'!$A:$AL,20,FALSE)</f>
        <v>150</v>
      </c>
      <c r="AJ117" s="5">
        <f>VLOOKUP($A117,'SegEnds_NonXtal_Prot#'!$A:$AL,23,FALSE)</f>
        <v>177</v>
      </c>
      <c r="AK117" s="5">
        <f>VLOOKUP($A117,'SegEnds_NonXtal_Prot#'!$A:$AL,26,FALSE)</f>
        <v>189</v>
      </c>
      <c r="AL117" s="5">
        <f>VLOOKUP($A117,'SegEnds_NonXtal_Prot#'!$A:$AL,29,FALSE)</f>
        <v>231</v>
      </c>
      <c r="AM117" s="5">
        <f>VLOOKUP($A117,'SegEnds_NonXtal_Prot#'!$A:$AL,32,FALSE)</f>
        <v>273</v>
      </c>
      <c r="AN117" s="5">
        <f>VLOOKUP($A117,'SegEnds_NonXtal_Prot#'!$A:$AL,35,FALSE)</f>
        <v>308</v>
      </c>
      <c r="AO117" s="5">
        <f>VLOOKUP($A117,'SegEnds_NonXtal_Prot#'!$A:$AL,38,FALSE)</f>
        <v>321</v>
      </c>
      <c r="AP117" s="5">
        <f t="shared" si="38"/>
        <v>30</v>
      </c>
      <c r="AQ117" s="4" t="str">
        <f t="shared" si="39"/>
        <v>-</v>
      </c>
      <c r="AR117" s="4">
        <f t="shared" si="40"/>
        <v>29</v>
      </c>
      <c r="AS117" s="4">
        <f t="shared" si="41"/>
        <v>3</v>
      </c>
      <c r="AT117" s="4">
        <f t="shared" si="42"/>
        <v>35</v>
      </c>
      <c r="AU117" s="4">
        <f t="shared" si="43"/>
        <v>7</v>
      </c>
      <c r="AV117" s="4">
        <f t="shared" si="44"/>
        <v>26</v>
      </c>
      <c r="AW117" s="4">
        <f t="shared" si="45"/>
        <v>2</v>
      </c>
      <c r="AX117" s="4">
        <f t="shared" si="46"/>
        <v>36</v>
      </c>
      <c r="AY117" s="4">
        <f t="shared" si="47"/>
        <v>37</v>
      </c>
      <c r="AZ117" s="4">
        <f t="shared" si="48"/>
        <v>28</v>
      </c>
      <c r="BA117" s="4">
        <f t="shared" si="49"/>
        <v>12</v>
      </c>
    </row>
    <row r="118" spans="1:53" x14ac:dyDescent="0.2">
      <c r="A118" s="1" t="str">
        <f>'SegEnds_NonXtal_Prot#'!A89</f>
        <v>cml1_human</v>
      </c>
      <c r="B118" s="1" t="str">
        <f t="shared" si="25"/>
        <v>ARVTRIFLVVVYSIVCFLGILGNGLVIIIATFKTVNMVWFLNLAVADFLFNVFLPIHITYAAMGTAMCKISNFLLIHNMFTSVFLLTIISSDRCISVLLSVRLAYMACMVIWVLAFFLSSPSLVFRRHMVVTVTRFLCGFLVPVLIITACYLTIVCKLQRNTKKPFKIIVTIIITFFLCWCPYHTLNLLELHHAMPGSVFSLGLPLATALAIANSCMNPILYVFMGQDFKKFKVALFSRL</v>
      </c>
      <c r="C118" s="29" t="str">
        <f>IF(ISERROR(MATCH(A118,'SegEnds_Xtal_Prot#'!B:B, 0)), "NoXtal", "Xtal")</f>
        <v>NoXtal</v>
      </c>
      <c r="D118" s="4" t="str">
        <f>VLOOKUP(A118,Classification!A:D,2,FALSE)</f>
        <v>A</v>
      </c>
      <c r="E118" s="5" t="str">
        <f>VLOOKUP(A118,Seqs!A:B,2,FALSE)</f>
        <v>MRMEDEDYNTSISYGDEYPDYLDSIVVLEDLSPLEARVTRIFLVVVYSIVCFLGILGNGLVIIIATFKMKKTVNMVWFLNLAVADFLFNVFLPIHITYAAMDYHWVFGTAMCKISNFLLIHNMFTSVFLLTIISSDRCISVLLPVWSQNHRSVRLAYMACMVIWVLAFFLSSPSLVFRDTANLHGKISCFNNFSLSTPGSSSWPTHSQMDPVGYSRHMVVTVTRFLCGFLVPVLIITACYLTIVCKLQRNRLAKTKKPFKIIVTIIITFFLCWCPYHTLNLLELHHTAMPGSVFSLGLPLATALAIANSCMNPILYVFMGQDFKKFKVALFSRLVNALSEDTGHSSYPSHRSFTKMSSMNERTSMNERETGML</v>
      </c>
      <c r="F118" s="5" t="str">
        <f t="shared" si="26"/>
        <v>ARVTRIFLVVVYSIVCFLGILGNGLVIIIATFK</v>
      </c>
      <c r="G118" s="4" t="str">
        <f t="shared" si="27"/>
        <v/>
      </c>
      <c r="H118" s="4" t="str">
        <f t="shared" si="28"/>
        <v>TVNMVWFLNLAVADFLFNVFLPIHITYAAM</v>
      </c>
      <c r="I118" s="4" t="str">
        <f t="shared" si="29"/>
        <v>HWVF</v>
      </c>
      <c r="J118" s="4" t="str">
        <f t="shared" si="30"/>
        <v>GTAMCKISNFLLIHNMFTSVFLLTIISSDRCISVLL</v>
      </c>
      <c r="K118" s="4" t="str">
        <f t="shared" si="31"/>
        <v>PVWSQNHR</v>
      </c>
      <c r="L118" s="4" t="str">
        <f t="shared" si="32"/>
        <v>SVRLAYMACMVIWVLAFFLSSPSLVFR</v>
      </c>
      <c r="M118" s="4" t="str">
        <f t="shared" si="33"/>
        <v>CFN</v>
      </c>
      <c r="N118" s="4" t="str">
        <f t="shared" si="34"/>
        <v>RHMVVTVTRFLCGFLVPVLIITACYLTIVCKLQRN</v>
      </c>
      <c r="O118" s="4" t="str">
        <f t="shared" si="35"/>
        <v>TKKPFKIIVTIIITFFLCWCPYHTLNLLELHH</v>
      </c>
      <c r="P118" s="4" t="str">
        <f t="shared" si="36"/>
        <v>AMPGSVFSLGLPLATALAIANSCMNPILYVFM</v>
      </c>
      <c r="Q118" s="4" t="str">
        <f t="shared" si="37"/>
        <v>GQDFKKFKVALFSRL</v>
      </c>
      <c r="R118" s="5">
        <f>VLOOKUP($A118,'SegEnds_NonXtal_Prot#'!$A:$AL,3,FALSE)</f>
        <v>36</v>
      </c>
      <c r="S118" s="5" t="str">
        <f>VLOOKUP($A118,'SegEnds_NonXtal_Prot#'!$A:$AL,6,FALSE)</f>
        <v>-</v>
      </c>
      <c r="T118" s="5">
        <f>VLOOKUP($A118,'SegEnds_NonXtal_Prot#'!$A:$AL,9,FALSE)</f>
        <v>72</v>
      </c>
      <c r="U118" s="5">
        <f>VLOOKUP($A118,'SegEnds_NonXtal_Prot#'!$A:$AL,12,FALSE)</f>
        <v>104</v>
      </c>
      <c r="V118" s="5">
        <f>VLOOKUP($A118,'SegEnds_NonXtal_Prot#'!$A:$AL,15,FALSE)</f>
        <v>108</v>
      </c>
      <c r="W118" s="5">
        <f>VLOOKUP($A118,'SegEnds_NonXtal_Prot#'!$A:$AL,18,FALSE)</f>
        <v>144</v>
      </c>
      <c r="X118" s="5">
        <f>VLOOKUP($A118,'SegEnds_NonXtal_Prot#'!$A:$AL,21,FALSE)</f>
        <v>152</v>
      </c>
      <c r="Y118" s="5">
        <f>VLOOKUP($A118,'SegEnds_NonXtal_Prot#'!$A:$AL,24,FALSE)</f>
        <v>189</v>
      </c>
      <c r="Z118" s="5">
        <f>VLOOKUP($A118,'SegEnds_NonXtal_Prot#'!$A:$AL,27,FALSE)</f>
        <v>216</v>
      </c>
      <c r="AA118" s="5">
        <f>VLOOKUP($A118,'SegEnds_NonXtal_Prot#'!$A:$AL,30,FALSE)</f>
        <v>255</v>
      </c>
      <c r="AB118" s="5">
        <f>VLOOKUP($A118,'SegEnds_NonXtal_Prot#'!$A:$AL,33,FALSE)</f>
        <v>288</v>
      </c>
      <c r="AC118" s="5">
        <f>VLOOKUP($A118,'SegEnds_NonXtal_Prot#'!$A:$AL,36,FALSE)</f>
        <v>320</v>
      </c>
      <c r="AD118" s="5">
        <f>VLOOKUP($A118,'SegEnds_NonXtal_Prot#'!$A:$AL,5,FALSE)</f>
        <v>68</v>
      </c>
      <c r="AE118" s="5" t="str">
        <f>VLOOKUP($A118,'SegEnds_NonXtal_Prot#'!$A:$AL,8,FALSE)</f>
        <v>-</v>
      </c>
      <c r="AF118" s="5">
        <f>VLOOKUP($A118,'SegEnds_NonXtal_Prot#'!$A:$AL,11,FALSE)</f>
        <v>101</v>
      </c>
      <c r="AG118" s="5">
        <f>VLOOKUP($A118,'SegEnds_NonXtal_Prot#'!$A:$AL,14,FALSE)</f>
        <v>107</v>
      </c>
      <c r="AH118" s="5">
        <f>VLOOKUP($A118,'SegEnds_NonXtal_Prot#'!$A:$AL,17,FALSE)</f>
        <v>143</v>
      </c>
      <c r="AI118" s="5">
        <f>VLOOKUP($A118,'SegEnds_NonXtal_Prot#'!$A:$AL,20,FALSE)</f>
        <v>151</v>
      </c>
      <c r="AJ118" s="5">
        <f>VLOOKUP($A118,'SegEnds_NonXtal_Prot#'!$A:$AL,23,FALSE)</f>
        <v>178</v>
      </c>
      <c r="AK118" s="5">
        <f>VLOOKUP($A118,'SegEnds_NonXtal_Prot#'!$A:$AL,26,FALSE)</f>
        <v>191</v>
      </c>
      <c r="AL118" s="5">
        <f>VLOOKUP($A118,'SegEnds_NonXtal_Prot#'!$A:$AL,29,FALSE)</f>
        <v>250</v>
      </c>
      <c r="AM118" s="5">
        <f>VLOOKUP($A118,'SegEnds_NonXtal_Prot#'!$A:$AL,32,FALSE)</f>
        <v>286</v>
      </c>
      <c r="AN118" s="5">
        <f>VLOOKUP($A118,'SegEnds_NonXtal_Prot#'!$A:$AL,35,FALSE)</f>
        <v>319</v>
      </c>
      <c r="AO118" s="5">
        <f>VLOOKUP($A118,'SegEnds_NonXtal_Prot#'!$A:$AL,38,FALSE)</f>
        <v>334</v>
      </c>
      <c r="AP118" s="5">
        <f t="shared" si="38"/>
        <v>32</v>
      </c>
      <c r="AQ118" s="4" t="str">
        <f t="shared" si="39"/>
        <v>-</v>
      </c>
      <c r="AR118" s="4">
        <f t="shared" si="40"/>
        <v>29</v>
      </c>
      <c r="AS118" s="4">
        <f t="shared" si="41"/>
        <v>3</v>
      </c>
      <c r="AT118" s="4">
        <f t="shared" si="42"/>
        <v>35</v>
      </c>
      <c r="AU118" s="4">
        <f t="shared" si="43"/>
        <v>7</v>
      </c>
      <c r="AV118" s="4">
        <f t="shared" si="44"/>
        <v>26</v>
      </c>
      <c r="AW118" s="4">
        <f t="shared" si="45"/>
        <v>2</v>
      </c>
      <c r="AX118" s="4">
        <f t="shared" si="46"/>
        <v>34</v>
      </c>
      <c r="AY118" s="4">
        <f t="shared" si="47"/>
        <v>31</v>
      </c>
      <c r="AZ118" s="4">
        <f t="shared" si="48"/>
        <v>31</v>
      </c>
      <c r="BA118" s="4">
        <f t="shared" si="49"/>
        <v>14</v>
      </c>
    </row>
    <row r="119" spans="1:53" x14ac:dyDescent="0.2">
      <c r="A119" s="1" t="str">
        <f>'SegEnds_NonXtal_Prot#'!A90</f>
        <v>cnr1_human</v>
      </c>
      <c r="B119" s="1" t="str">
        <f t="shared" si="25"/>
        <v>NPSQQLAIAVLSLTLGTFTVLENLLVLCVILHSRPSYHFIGSLAVADLLGSVIFVYSFIDFHVSRNVFLFKLGGVTASFTASVGSLFLTAIDRYISIHRTRPKAVVAFCLMWTIAIVIAVLPLLGDETYLMFWIGVTSVLLLFIVYAYMYILWKAHSHAVRMIQRGPDQARMDIRLAKTLVLILVVLIICWGPLLAIMVYDVFGNKLIKTVFAFCSMLCLLNSTVNPIIYALRSKDLRHAFRSMFP</v>
      </c>
      <c r="C119" s="29" t="str">
        <f>IF(ISERROR(MATCH(A119,'SegEnds_Xtal_Prot#'!B:B, 0)), "NoXtal", "Xtal")</f>
        <v>Xtal</v>
      </c>
      <c r="D119" s="4" t="str">
        <f>VLOOKUP(A119,Classification!A:D,2,FALSE)</f>
        <v>A</v>
      </c>
      <c r="E119" s="5" t="str">
        <f>VLOOKUP(A119,Seqs!A:B,2,FALSE)</f>
        <v>MKSILDGLADTTFRTITTDLLYVGSNDIQYEDIKGDMASKLGYFPQKFPLTSFRGSPFQEKMTAGDNPQLVPADQVNITEFYNKSLSSFKENEENIQCGENFMDIECFMVLNPSQQLAIAVLSLTLGTFTVLENLLVLCVILHSRSLRCRPSYHFIGSLAVADLLGSVIFVYSFIDFHVFHRKDSRNVFLFKLGGVTASFTASVGSLFLTAIDRYISIHRPLAYKRIVTRPKAVVAFCLMWTIAIVIAVLPLLGWNCEKLQSVCSDIFPHIDETYLMFWIGVTSVLLLFIVYAYMYILWKAHSHAVRMIQRGTQKSIIIHTSEDGKVQVTRPDQARMDIRLAKTLVLILVVLIICWGPLLAIMVYDVFGKMNKLIKTVFAFCSMLCLLNSTVNPIIYALRSKDLRHAFRSMFPSCEGTAQPLDNSMGDSDCLHKHANNAASVHRAAESCIKSTVKIAKVTMSVSTDTSAEAL</v>
      </c>
      <c r="F119" s="5" t="str">
        <f t="shared" si="26"/>
        <v>NPSQQLAIAVLSLTLGTFTVLENLLVLCVILHS</v>
      </c>
      <c r="G119" s="4" t="str">
        <f t="shared" si="27"/>
        <v>RSLR</v>
      </c>
      <c r="H119" s="4" t="str">
        <f t="shared" si="28"/>
        <v>RPSYHFIGSLAVADLLGSVIFVYSFIDFHV</v>
      </c>
      <c r="I119" s="4" t="str">
        <f t="shared" si="29"/>
        <v/>
      </c>
      <c r="J119" s="4" t="str">
        <f t="shared" si="30"/>
        <v>SRNVFLFKLGGVTASFTASVGSLFLTAIDRYISIHR</v>
      </c>
      <c r="K119" s="4" t="str">
        <f t="shared" si="31"/>
        <v>PLAYKRIV</v>
      </c>
      <c r="L119" s="4" t="str">
        <f t="shared" si="32"/>
        <v>TRPKAVVAFCLMWTIAIVIAVLPLLG</v>
      </c>
      <c r="M119" s="4" t="str">
        <f t="shared" si="33"/>
        <v/>
      </c>
      <c r="N119" s="4" t="str">
        <f t="shared" si="34"/>
        <v>DETYLMFWIGVTSVLLLFIVYAYMYILWKAHSHAVRMIQRG</v>
      </c>
      <c r="O119" s="4" t="str">
        <f t="shared" si="35"/>
        <v>PDQARMDIRLAKTLVLILVVLIICWGPLLAIMVYDVFG</v>
      </c>
      <c r="P119" s="4" t="str">
        <f t="shared" si="36"/>
        <v>NKLIKTVFAFCSMLCLLNSTVNPIIYALR</v>
      </c>
      <c r="Q119" s="4" t="str">
        <f t="shared" si="37"/>
        <v>SKDLRHAFRSMFP</v>
      </c>
      <c r="R119" s="5">
        <f>VLOOKUP($A119,'SegEnds_NonXtal_Prot#'!$A:$AL,3,FALSE)</f>
        <v>112</v>
      </c>
      <c r="S119" s="5">
        <f>VLOOKUP($A119,'SegEnds_NonXtal_Prot#'!$A:$AL,6,FALSE)</f>
        <v>145</v>
      </c>
      <c r="T119" s="5">
        <f>VLOOKUP($A119,'SegEnds_NonXtal_Prot#'!$A:$AL,9,FALSE)</f>
        <v>150</v>
      </c>
      <c r="U119" s="5" t="str">
        <f>VLOOKUP($A119,'SegEnds_NonXtal_Prot#'!$A:$AL,12,FALSE)</f>
        <v>-</v>
      </c>
      <c r="V119" s="5">
        <f>VLOOKUP($A119,'SegEnds_NonXtal_Prot#'!$A:$AL,15,FALSE)</f>
        <v>185</v>
      </c>
      <c r="W119" s="5">
        <f>VLOOKUP($A119,'SegEnds_NonXtal_Prot#'!$A:$AL,18,FALSE)</f>
        <v>221</v>
      </c>
      <c r="X119" s="5">
        <f>VLOOKUP($A119,'SegEnds_NonXtal_Prot#'!$A:$AL,21,FALSE)</f>
        <v>229</v>
      </c>
      <c r="Y119" s="5" t="str">
        <f>VLOOKUP($A119,'SegEnds_NonXtal_Prot#'!$A:$AL,24,FALSE)</f>
        <v>-</v>
      </c>
      <c r="Z119" s="5">
        <f>VLOOKUP($A119,'SegEnds_NonXtal_Prot#'!$A:$AL,27,FALSE)</f>
        <v>272</v>
      </c>
      <c r="AA119" s="5">
        <f>VLOOKUP($A119,'SegEnds_NonXtal_Prot#'!$A:$AL,30,FALSE)</f>
        <v>332</v>
      </c>
      <c r="AB119" s="5">
        <f>VLOOKUP($A119,'SegEnds_NonXtal_Prot#'!$A:$AL,33,FALSE)</f>
        <v>372</v>
      </c>
      <c r="AC119" s="5">
        <f>VLOOKUP($A119,'SegEnds_NonXtal_Prot#'!$A:$AL,36,FALSE)</f>
        <v>401</v>
      </c>
      <c r="AD119" s="5">
        <f>VLOOKUP($A119,'SegEnds_NonXtal_Prot#'!$A:$AL,5,FALSE)</f>
        <v>144</v>
      </c>
      <c r="AE119" s="5">
        <f>VLOOKUP($A119,'SegEnds_NonXtal_Prot#'!$A:$AL,8,FALSE)</f>
        <v>148</v>
      </c>
      <c r="AF119" s="5">
        <f>VLOOKUP($A119,'SegEnds_NonXtal_Prot#'!$A:$AL,11,FALSE)</f>
        <v>179</v>
      </c>
      <c r="AG119" s="5" t="str">
        <f>VLOOKUP($A119,'SegEnds_NonXtal_Prot#'!$A:$AL,14,FALSE)</f>
        <v>-</v>
      </c>
      <c r="AH119" s="5">
        <f>VLOOKUP($A119,'SegEnds_NonXtal_Prot#'!$A:$AL,17,FALSE)</f>
        <v>220</v>
      </c>
      <c r="AI119" s="5">
        <f>VLOOKUP($A119,'SegEnds_NonXtal_Prot#'!$A:$AL,20,FALSE)</f>
        <v>228</v>
      </c>
      <c r="AJ119" s="5">
        <f>VLOOKUP($A119,'SegEnds_NonXtal_Prot#'!$A:$AL,23,FALSE)</f>
        <v>254</v>
      </c>
      <c r="AK119" s="5" t="str">
        <f>VLOOKUP($A119,'SegEnds_NonXtal_Prot#'!$A:$AL,26,FALSE)</f>
        <v>-</v>
      </c>
      <c r="AL119" s="5">
        <f>VLOOKUP($A119,'SegEnds_NonXtal_Prot#'!$A:$AL,29,FALSE)</f>
        <v>312</v>
      </c>
      <c r="AM119" s="5">
        <f>VLOOKUP($A119,'SegEnds_NonXtal_Prot#'!$A:$AL,32,FALSE)</f>
        <v>369</v>
      </c>
      <c r="AN119" s="5">
        <f>VLOOKUP($A119,'SegEnds_NonXtal_Prot#'!$A:$AL,35,FALSE)</f>
        <v>400</v>
      </c>
      <c r="AO119" s="5">
        <f>VLOOKUP($A119,'SegEnds_NonXtal_Prot#'!$A:$AL,38,FALSE)</f>
        <v>413</v>
      </c>
      <c r="AP119" s="5">
        <f t="shared" si="38"/>
        <v>32</v>
      </c>
      <c r="AQ119" s="4">
        <f t="shared" si="39"/>
        <v>3</v>
      </c>
      <c r="AR119" s="4">
        <f t="shared" si="40"/>
        <v>29</v>
      </c>
      <c r="AS119" s="4" t="str">
        <f t="shared" si="41"/>
        <v>-</v>
      </c>
      <c r="AT119" s="4">
        <f t="shared" si="42"/>
        <v>35</v>
      </c>
      <c r="AU119" s="4">
        <f t="shared" si="43"/>
        <v>7</v>
      </c>
      <c r="AV119" s="4">
        <f t="shared" si="44"/>
        <v>25</v>
      </c>
      <c r="AW119" s="4" t="str">
        <f t="shared" si="45"/>
        <v>-</v>
      </c>
      <c r="AX119" s="4">
        <f t="shared" si="46"/>
        <v>40</v>
      </c>
      <c r="AY119" s="4">
        <f t="shared" si="47"/>
        <v>37</v>
      </c>
      <c r="AZ119" s="4">
        <f t="shared" si="48"/>
        <v>28</v>
      </c>
      <c r="BA119" s="4">
        <f t="shared" si="49"/>
        <v>12</v>
      </c>
    </row>
    <row r="120" spans="1:53" x14ac:dyDescent="0.2">
      <c r="A120" s="1" t="str">
        <f>'SegEnds_NonXtal_Prot#'!A91</f>
        <v>cnr2_human</v>
      </c>
      <c r="B120" s="1" t="str">
        <f t="shared" si="25"/>
        <v>SGPQKTAVAVLCTLLGLLSALENVAVLYLILSSKPSYLFIGSLAGADFLASVVFACSFVNFHVSKAVFLLKIGSVTMTFTASVGSLLLTAIDRYLCLRYTRGRALVTLGIMWVLSALVSYLPLMGPNDYLLSWLLFIAFLFSGIIYTYGHVLWKAHQHVASLSGVPGMARMRLDVRLAKTLGLVLAVLLICWFPVLALMAHSLATSDQVKKAFAFCSMLCLINSMVNPVIYALRSGEIRSSAHHCLAHWKK</v>
      </c>
      <c r="C120" s="29" t="str">
        <f>IF(ISERROR(MATCH(A120,'SegEnds_Xtal_Prot#'!B:B, 0)), "NoXtal", "Xtal")</f>
        <v>Xtal</v>
      </c>
      <c r="D120" s="4" t="str">
        <f>VLOOKUP(A120,Classification!A:D,2,FALSE)</f>
        <v>A</v>
      </c>
      <c r="E120" s="5" t="str">
        <f>VLOOKUP(A120,Seqs!A:B,2,FALSE)</f>
        <v>MEECWVTEIANGSKDGLDSNPMKDYMILSGPQKTAVAVLCTLLGLLSALENVAVLYLILSSHQLRRKPSYLFIGSLAGADFLASVVFACSFVNFHVFHGVDSKAVFLLKIGSVTMTFTASVGSLLLTAIDRYLCLRYPPSYKALLTRGRALVTLGIMWVLSALVSYLPLMGWTCCPRPCSELFPLIPNDYLLSWLLFIAFLFSGIIYTYGHVLWKAHQHVASLSGHQDRQVPGMARMRLDVRLAKTLGLVLAVLLICWFPVLALMAHSLATTLSDQVKKAFAFCSMLCLINSMVNPVIYALRSGEIRSSAHHCLAHWKKCVRGLGSEAKEEAPRSSVTETEADGKITPWPDSRDLDLSDC</v>
      </c>
      <c r="F120" s="5" t="str">
        <f t="shared" si="26"/>
        <v>SGPQKTAVAVLCTLLGLLSALENVAVLYLILSS</v>
      </c>
      <c r="G120" s="4" t="str">
        <f t="shared" si="27"/>
        <v>HQLR</v>
      </c>
      <c r="H120" s="4" t="str">
        <f t="shared" si="28"/>
        <v>KPSYLFIGSLAGADFLASVVFACSFVNFHV</v>
      </c>
      <c r="I120" s="4" t="str">
        <f t="shared" si="29"/>
        <v/>
      </c>
      <c r="J120" s="4" t="str">
        <f t="shared" si="30"/>
        <v>SKAVFLLKIGSVTMTFTASVGSLLLTAIDRYLCLRY</v>
      </c>
      <c r="K120" s="4" t="str">
        <f t="shared" si="31"/>
        <v>PPSYKALL</v>
      </c>
      <c r="L120" s="4" t="str">
        <f t="shared" si="32"/>
        <v>TRGRALVTLGIMWVLSALVSYLPLMG</v>
      </c>
      <c r="M120" s="4" t="str">
        <f t="shared" si="33"/>
        <v/>
      </c>
      <c r="N120" s="4" t="str">
        <f t="shared" si="34"/>
        <v>PNDYLLSWLLFIAFLFSGIIYTYGHVLWKAHQHVASLSG</v>
      </c>
      <c r="O120" s="4" t="str">
        <f t="shared" si="35"/>
        <v>VPGMARMRLDVRLAKTLGLVLAVLLICWFPVLALMAHSLAT</v>
      </c>
      <c r="P120" s="4" t="str">
        <f t="shared" si="36"/>
        <v>SDQVKKAFAFCSMLCLINSMVNPVIYALR</v>
      </c>
      <c r="Q120" s="4" t="str">
        <f t="shared" si="37"/>
        <v>SGEIRSSAHHCLAHWKK</v>
      </c>
      <c r="R120" s="5">
        <f>VLOOKUP($A120,'SegEnds_NonXtal_Prot#'!$A:$AL,3,FALSE)</f>
        <v>29</v>
      </c>
      <c r="S120" s="5">
        <f>VLOOKUP($A120,'SegEnds_NonXtal_Prot#'!$A:$AL,6,FALSE)</f>
        <v>62</v>
      </c>
      <c r="T120" s="5">
        <f>VLOOKUP($A120,'SegEnds_NonXtal_Prot#'!$A:$AL,9,FALSE)</f>
        <v>67</v>
      </c>
      <c r="U120" s="5" t="str">
        <f>VLOOKUP($A120,'SegEnds_NonXtal_Prot#'!$A:$AL,12,FALSE)</f>
        <v>-</v>
      </c>
      <c r="V120" s="5">
        <f>VLOOKUP($A120,'SegEnds_NonXtal_Prot#'!$A:$AL,15,FALSE)</f>
        <v>102</v>
      </c>
      <c r="W120" s="5">
        <f>VLOOKUP($A120,'SegEnds_NonXtal_Prot#'!$A:$AL,18,FALSE)</f>
        <v>138</v>
      </c>
      <c r="X120" s="5">
        <f>VLOOKUP($A120,'SegEnds_NonXtal_Prot#'!$A:$AL,21,FALSE)</f>
        <v>146</v>
      </c>
      <c r="Y120" s="5" t="str">
        <f>VLOOKUP($A120,'SegEnds_NonXtal_Prot#'!$A:$AL,24,FALSE)</f>
        <v>-</v>
      </c>
      <c r="Z120" s="5">
        <f>VLOOKUP($A120,'SegEnds_NonXtal_Prot#'!$A:$AL,27,FALSE)</f>
        <v>187</v>
      </c>
      <c r="AA120" s="5">
        <f>VLOOKUP($A120,'SegEnds_NonXtal_Prot#'!$A:$AL,30,FALSE)</f>
        <v>231</v>
      </c>
      <c r="AB120" s="5">
        <f>VLOOKUP($A120,'SegEnds_NonXtal_Prot#'!$A:$AL,33,FALSE)</f>
        <v>274</v>
      </c>
      <c r="AC120" s="5">
        <f>VLOOKUP($A120,'SegEnds_NonXtal_Prot#'!$A:$AL,36,FALSE)</f>
        <v>303</v>
      </c>
      <c r="AD120" s="5">
        <f>VLOOKUP($A120,'SegEnds_NonXtal_Prot#'!$A:$AL,5,FALSE)</f>
        <v>61</v>
      </c>
      <c r="AE120" s="5">
        <f>VLOOKUP($A120,'SegEnds_NonXtal_Prot#'!$A:$AL,8,FALSE)</f>
        <v>65</v>
      </c>
      <c r="AF120" s="5">
        <f>VLOOKUP($A120,'SegEnds_NonXtal_Prot#'!$A:$AL,11,FALSE)</f>
        <v>96</v>
      </c>
      <c r="AG120" s="5" t="str">
        <f>VLOOKUP($A120,'SegEnds_NonXtal_Prot#'!$A:$AL,14,FALSE)</f>
        <v>-</v>
      </c>
      <c r="AH120" s="5">
        <f>VLOOKUP($A120,'SegEnds_NonXtal_Prot#'!$A:$AL,17,FALSE)</f>
        <v>137</v>
      </c>
      <c r="AI120" s="5">
        <f>VLOOKUP($A120,'SegEnds_NonXtal_Prot#'!$A:$AL,20,FALSE)</f>
        <v>145</v>
      </c>
      <c r="AJ120" s="5">
        <f>VLOOKUP($A120,'SegEnds_NonXtal_Prot#'!$A:$AL,23,FALSE)</f>
        <v>171</v>
      </c>
      <c r="AK120" s="5" t="str">
        <f>VLOOKUP($A120,'SegEnds_NonXtal_Prot#'!$A:$AL,26,FALSE)</f>
        <v>-</v>
      </c>
      <c r="AL120" s="5">
        <f>VLOOKUP($A120,'SegEnds_NonXtal_Prot#'!$A:$AL,29,FALSE)</f>
        <v>225</v>
      </c>
      <c r="AM120" s="5">
        <f>VLOOKUP($A120,'SegEnds_NonXtal_Prot#'!$A:$AL,32,FALSE)</f>
        <v>271</v>
      </c>
      <c r="AN120" s="5">
        <f>VLOOKUP($A120,'SegEnds_NonXtal_Prot#'!$A:$AL,35,FALSE)</f>
        <v>302</v>
      </c>
      <c r="AO120" s="5">
        <f>VLOOKUP($A120,'SegEnds_NonXtal_Prot#'!$A:$AL,38,FALSE)</f>
        <v>319</v>
      </c>
      <c r="AP120" s="5">
        <f t="shared" si="38"/>
        <v>32</v>
      </c>
      <c r="AQ120" s="4">
        <f t="shared" si="39"/>
        <v>3</v>
      </c>
      <c r="AR120" s="4">
        <f t="shared" si="40"/>
        <v>29</v>
      </c>
      <c r="AS120" s="4" t="str">
        <f t="shared" si="41"/>
        <v>-</v>
      </c>
      <c r="AT120" s="4">
        <f t="shared" si="42"/>
        <v>35</v>
      </c>
      <c r="AU120" s="4">
        <f t="shared" si="43"/>
        <v>7</v>
      </c>
      <c r="AV120" s="4">
        <f t="shared" si="44"/>
        <v>25</v>
      </c>
      <c r="AW120" s="4" t="str">
        <f t="shared" si="45"/>
        <v>-</v>
      </c>
      <c r="AX120" s="4">
        <f t="shared" si="46"/>
        <v>38</v>
      </c>
      <c r="AY120" s="4">
        <f t="shared" si="47"/>
        <v>40</v>
      </c>
      <c r="AZ120" s="4">
        <f t="shared" si="48"/>
        <v>28</v>
      </c>
      <c r="BA120" s="4">
        <f t="shared" si="49"/>
        <v>16</v>
      </c>
    </row>
    <row r="121" spans="1:53" x14ac:dyDescent="0.2">
      <c r="A121" s="1" t="str">
        <f>'SegEnds_NonXtal_Prot#'!A92</f>
        <v>cx3c1_human</v>
      </c>
      <c r="B121" s="1" t="str">
        <f t="shared" si="25"/>
        <v>IGDIVVFGTVFLSIFYSVIFAIGLVGNLLVVFALTNSSVTDIYLLNLALSDLLFVATLPFWTHYLINMCKFTTAFFFIGFFGSIFFITVISIDRYLAIVLTVQHGVTISLGVWAAAILVAAPQFMFTLQEIWPVLRNVETNFLGFLLPLLIMSYCYFRIIQTLFSCKAKAIKLILLVVIVFFLFWTPYNVMIFLETLKLYDSCDMRKDLRLALSVTETVAFSHCCLNPLIYAFAGEKFRRYLYHLYG</v>
      </c>
      <c r="C121" s="29" t="str">
        <f>IF(ISERROR(MATCH(A121,'SegEnds_Xtal_Prot#'!B:B, 0)), "NoXtal", "Xtal")</f>
        <v>NoXtal</v>
      </c>
      <c r="D121" s="4" t="str">
        <f>VLOOKUP(A121,Classification!A:D,2,FALSE)</f>
        <v>A</v>
      </c>
      <c r="E121" s="5" t="str">
        <f>VLOOKUP(A121,Seqs!A:B,2,FALSE)</f>
        <v>MDQFPESVTENFEYDDLAEACYIGDIVVFGTVFLSIFYSVIFAIGLVGNLLVVFALTNSKKPKSVTDIYLLNLALSDLLFVATLPFWTHYLINEKGLHNAMCKFTTAFFFIGFFGSIFFITVISIDRYLAIVLAANSMNNRTVQHGVTISLGVWAAAILVAAPQFMFTKQKENECLGDYPEVLQEIWPVLRNVETNFLGFLLPLLIMSYCYFRIIQTLFSCKNHKKAKAIKLILLVVIVFFLFWTPYNVMIFLETLKLYDFFPSCDMRKDLRLALSVTETVAFSHCCLNPLIYAFAGEKFRRYLYHLYGKCLAVLCGRSVHVDFSSSESQRSRHGSVLSSNFTYHTSDGDALLLL</v>
      </c>
      <c r="F121" s="5" t="str">
        <f t="shared" si="26"/>
        <v>IGDIVVFGTVFLSIFYSVIFAIGLVGNLLVVFALTNS</v>
      </c>
      <c r="G121" s="4" t="str">
        <f t="shared" si="27"/>
        <v>KKPK</v>
      </c>
      <c r="H121" s="4" t="str">
        <f t="shared" si="28"/>
        <v>SVTDIYLLNLALSDLLFVATLPFWTHYLIN</v>
      </c>
      <c r="I121" s="4" t="str">
        <f t="shared" si="29"/>
        <v/>
      </c>
      <c r="J121" s="4" t="str">
        <f t="shared" si="30"/>
        <v>MCKFTTAFFFIGFFGSIFFITVISIDRYLAIVL</v>
      </c>
      <c r="K121" s="4" t="str">
        <f t="shared" si="31"/>
        <v>AANSMNNR</v>
      </c>
      <c r="L121" s="4" t="str">
        <f t="shared" si="32"/>
        <v>TVQHGVTISLGVWAAAILVAAPQFMFT</v>
      </c>
      <c r="M121" s="4" t="str">
        <f t="shared" si="33"/>
        <v>CLG</v>
      </c>
      <c r="N121" s="4" t="str">
        <f t="shared" si="34"/>
        <v>LQEIWPVLRNVETNFLGFLLPLLIMSYCYFRIIQTLFSC</v>
      </c>
      <c r="O121" s="4" t="str">
        <f t="shared" si="35"/>
        <v>KAKAIKLILLVVIVFFLFWTPYNVMIFLETLKLYD</v>
      </c>
      <c r="P121" s="4" t="str">
        <f t="shared" si="36"/>
        <v>SCDMRKDLRLALSVTETVAFSHCCLNPLIYAFA</v>
      </c>
      <c r="Q121" s="4" t="str">
        <f t="shared" si="37"/>
        <v>GEKFRRYLYHLYG</v>
      </c>
      <c r="R121" s="5">
        <f>VLOOKUP($A121,'SegEnds_NonXtal_Prot#'!$A:$AL,3,FALSE)</f>
        <v>23</v>
      </c>
      <c r="S121" s="5">
        <f>VLOOKUP($A121,'SegEnds_NonXtal_Prot#'!$A:$AL,6,FALSE)</f>
        <v>60</v>
      </c>
      <c r="T121" s="5">
        <f>VLOOKUP($A121,'SegEnds_NonXtal_Prot#'!$A:$AL,9,FALSE)</f>
        <v>64</v>
      </c>
      <c r="U121" s="5" t="str">
        <f>VLOOKUP($A121,'SegEnds_NonXtal_Prot#'!$A:$AL,12,FALSE)</f>
        <v>-</v>
      </c>
      <c r="V121" s="5">
        <f>VLOOKUP($A121,'SegEnds_NonXtal_Prot#'!$A:$AL,15,FALSE)</f>
        <v>101</v>
      </c>
      <c r="W121" s="5">
        <f>VLOOKUP($A121,'SegEnds_NonXtal_Prot#'!$A:$AL,18,FALSE)</f>
        <v>134</v>
      </c>
      <c r="X121" s="5">
        <f>VLOOKUP($A121,'SegEnds_NonXtal_Prot#'!$A:$AL,21,FALSE)</f>
        <v>142</v>
      </c>
      <c r="Y121" s="5">
        <f>VLOOKUP($A121,'SegEnds_NonXtal_Prot#'!$A:$AL,24,FALSE)</f>
        <v>175</v>
      </c>
      <c r="Z121" s="5">
        <f>VLOOKUP($A121,'SegEnds_NonXtal_Prot#'!$A:$AL,27,FALSE)</f>
        <v>183</v>
      </c>
      <c r="AA121" s="5">
        <f>VLOOKUP($A121,'SegEnds_NonXtal_Prot#'!$A:$AL,30,FALSE)</f>
        <v>226</v>
      </c>
      <c r="AB121" s="5">
        <f>VLOOKUP($A121,'SegEnds_NonXtal_Prot#'!$A:$AL,33,FALSE)</f>
        <v>264</v>
      </c>
      <c r="AC121" s="5">
        <f>VLOOKUP($A121,'SegEnds_NonXtal_Prot#'!$A:$AL,36,FALSE)</f>
        <v>297</v>
      </c>
      <c r="AD121" s="5">
        <f>VLOOKUP($A121,'SegEnds_NonXtal_Prot#'!$A:$AL,5,FALSE)</f>
        <v>59</v>
      </c>
      <c r="AE121" s="5">
        <f>VLOOKUP($A121,'SegEnds_NonXtal_Prot#'!$A:$AL,8,FALSE)</f>
        <v>63</v>
      </c>
      <c r="AF121" s="5">
        <f>VLOOKUP($A121,'SegEnds_NonXtal_Prot#'!$A:$AL,11,FALSE)</f>
        <v>93</v>
      </c>
      <c r="AG121" s="5" t="str">
        <f>VLOOKUP($A121,'SegEnds_NonXtal_Prot#'!$A:$AL,14,FALSE)</f>
        <v>-</v>
      </c>
      <c r="AH121" s="5">
        <f>VLOOKUP($A121,'SegEnds_NonXtal_Prot#'!$A:$AL,17,FALSE)</f>
        <v>133</v>
      </c>
      <c r="AI121" s="5">
        <f>VLOOKUP($A121,'SegEnds_NonXtal_Prot#'!$A:$AL,20,FALSE)</f>
        <v>141</v>
      </c>
      <c r="AJ121" s="5">
        <f>VLOOKUP($A121,'SegEnds_NonXtal_Prot#'!$A:$AL,23,FALSE)</f>
        <v>168</v>
      </c>
      <c r="AK121" s="5">
        <f>VLOOKUP($A121,'SegEnds_NonXtal_Prot#'!$A:$AL,26,FALSE)</f>
        <v>177</v>
      </c>
      <c r="AL121" s="5">
        <f>VLOOKUP($A121,'SegEnds_NonXtal_Prot#'!$A:$AL,29,FALSE)</f>
        <v>221</v>
      </c>
      <c r="AM121" s="5">
        <f>VLOOKUP($A121,'SegEnds_NonXtal_Prot#'!$A:$AL,32,FALSE)</f>
        <v>260</v>
      </c>
      <c r="AN121" s="5">
        <f>VLOOKUP($A121,'SegEnds_NonXtal_Prot#'!$A:$AL,35,FALSE)</f>
        <v>296</v>
      </c>
      <c r="AO121" s="5">
        <f>VLOOKUP($A121,'SegEnds_NonXtal_Prot#'!$A:$AL,38,FALSE)</f>
        <v>309</v>
      </c>
      <c r="AP121" s="5">
        <f t="shared" si="38"/>
        <v>36</v>
      </c>
      <c r="AQ121" s="4">
        <f t="shared" si="39"/>
        <v>3</v>
      </c>
      <c r="AR121" s="4">
        <f t="shared" si="40"/>
        <v>29</v>
      </c>
      <c r="AS121" s="4" t="str">
        <f t="shared" si="41"/>
        <v>-</v>
      </c>
      <c r="AT121" s="4">
        <f t="shared" si="42"/>
        <v>32</v>
      </c>
      <c r="AU121" s="4">
        <f t="shared" si="43"/>
        <v>7</v>
      </c>
      <c r="AV121" s="4">
        <f t="shared" si="44"/>
        <v>26</v>
      </c>
      <c r="AW121" s="4">
        <f t="shared" si="45"/>
        <v>2</v>
      </c>
      <c r="AX121" s="4">
        <f t="shared" si="46"/>
        <v>38</v>
      </c>
      <c r="AY121" s="4">
        <f t="shared" si="47"/>
        <v>34</v>
      </c>
      <c r="AZ121" s="4">
        <f t="shared" si="48"/>
        <v>32</v>
      </c>
      <c r="BA121" s="4">
        <f t="shared" si="49"/>
        <v>12</v>
      </c>
    </row>
    <row r="122" spans="1:53" x14ac:dyDescent="0.2">
      <c r="A122" s="1" t="str">
        <f>'SegEnds_NonXtal_Prot#'!A93</f>
        <v>cxcr3_human</v>
      </c>
      <c r="B122" s="1" t="str">
        <f t="shared" si="25"/>
        <v>QDFSLNFDRAFLPALYSLLFLLGLLGNGAVAAVLLSRSSTDTFLLHLAVADTLLVLTLPLWAVDAAVGSGLCKVAGALFNINFYAGALLLACISFDRYLNIVHPPARVTLTCLAVWGLCLLFALPDFIFLQVGRTALRVLQLVAGFLLPLLVMAYCYAHILAVLLVSRLRAMRLVVVVVVAFALCWTPYHLVVLVDILMDLGNCGRESRVDVAKSVTSGLGYMHCCLNPLLYAFVGVKFRERMWMLLL</v>
      </c>
      <c r="C122" s="29" t="str">
        <f>IF(ISERROR(MATCH(A122,'SegEnds_Xtal_Prot#'!B:B, 0)), "NoXtal", "Xtal")</f>
        <v>NoXtal</v>
      </c>
      <c r="D122" s="4" t="str">
        <f>VLOOKUP(A122,Classification!A:D,2,FALSE)</f>
        <v>A</v>
      </c>
      <c r="E122" s="5" t="str">
        <f>VLOOKUP(A122,Seqs!A:B,2,FALSE)</f>
        <v>MVLEVSDHQVLNDAEVAALLENFSSSYDYGENESDSCCTSPPCPQDFSLNFDRAFLPALYSLLFLLGLLGNGAVAAVLLSRRTALSSTDTFLLHLAVADTLLVLTLPLWAVDAAVQWVFGSGLCKVAGALFNINFYAGALLLACISFDRYLNIVHATQLYRRGPPARVTLTCLAVWGLCLLFALPDFIFLSAHHDERLNATHCQYNFPQVGRTALRVLQLVAGFLLPLLVMAYCYAHILAVLLVSRGQRRLRAMRLVVVVVVAFALCWTPYHLVVLVDILMDLGALARNCGRESRVDVAKSVTSGLGYMHCCLNPLLYAFVGVKFRERMWMLLLRLGCPNQRGLQRQPSSSRRDSSWSETSEASYSGL</v>
      </c>
      <c r="F122" s="5" t="str">
        <f t="shared" si="26"/>
        <v>QDFSLNFDRAFLPALYSLLFLLGLLGNGAVAAVLLSR</v>
      </c>
      <c r="G122" s="4" t="str">
        <f t="shared" si="27"/>
        <v>RTAL</v>
      </c>
      <c r="H122" s="4" t="str">
        <f t="shared" si="28"/>
        <v>SSTDTFLLHLAVADTLLVLTLPLWAVDAAV</v>
      </c>
      <c r="I122" s="4" t="str">
        <f t="shared" si="29"/>
        <v>QWVF</v>
      </c>
      <c r="J122" s="4" t="str">
        <f t="shared" si="30"/>
        <v>GSGLCKVAGALFNINFYAGALLLACISFDRYLNIVH</v>
      </c>
      <c r="K122" s="4" t="str">
        <f t="shared" si="31"/>
        <v>ATQLYRRG</v>
      </c>
      <c r="L122" s="4" t="str">
        <f t="shared" si="32"/>
        <v>PPARVTLTCLAVWGLCLLFALPDFIFL</v>
      </c>
      <c r="M122" s="4" t="str">
        <f t="shared" si="33"/>
        <v>CQY</v>
      </c>
      <c r="N122" s="4" t="str">
        <f t="shared" si="34"/>
        <v>QVGRTALRVLQLVAGFLLPLLVMAYCYAHILAVLLVS</v>
      </c>
      <c r="O122" s="4" t="str">
        <f t="shared" si="35"/>
        <v>RLRAMRLVVVVVVAFALCWTPYHLVVLVDILMDLG</v>
      </c>
      <c r="P122" s="4" t="str">
        <f t="shared" si="36"/>
        <v>NCGRESRVDVAKSVTSGLGYMHCCLNPLLYAFV</v>
      </c>
      <c r="Q122" s="4" t="str">
        <f t="shared" si="37"/>
        <v>GVKFRERMWMLLL</v>
      </c>
      <c r="R122" s="5">
        <f>VLOOKUP($A122,'SegEnds_NonXtal_Prot#'!$A:$AL,3,FALSE)</f>
        <v>45</v>
      </c>
      <c r="S122" s="5">
        <f>VLOOKUP($A122,'SegEnds_NonXtal_Prot#'!$A:$AL,6,FALSE)</f>
        <v>82</v>
      </c>
      <c r="T122" s="5">
        <f>VLOOKUP($A122,'SegEnds_NonXtal_Prot#'!$A:$AL,9,FALSE)</f>
        <v>86</v>
      </c>
      <c r="U122" s="5">
        <f>VLOOKUP($A122,'SegEnds_NonXtal_Prot#'!$A:$AL,12,FALSE)</f>
        <v>116</v>
      </c>
      <c r="V122" s="5">
        <f>VLOOKUP($A122,'SegEnds_NonXtal_Prot#'!$A:$AL,15,FALSE)</f>
        <v>120</v>
      </c>
      <c r="W122" s="5">
        <f>VLOOKUP($A122,'SegEnds_NonXtal_Prot#'!$A:$AL,18,FALSE)</f>
        <v>156</v>
      </c>
      <c r="X122" s="5">
        <f>VLOOKUP($A122,'SegEnds_NonXtal_Prot#'!$A:$AL,21,FALSE)</f>
        <v>164</v>
      </c>
      <c r="Y122" s="5">
        <f>VLOOKUP($A122,'SegEnds_NonXtal_Prot#'!$A:$AL,24,FALSE)</f>
        <v>203</v>
      </c>
      <c r="Z122" s="5">
        <f>VLOOKUP($A122,'SegEnds_NonXtal_Prot#'!$A:$AL,27,FALSE)</f>
        <v>209</v>
      </c>
      <c r="AA122" s="5">
        <f>VLOOKUP($A122,'SegEnds_NonXtal_Prot#'!$A:$AL,30,FALSE)</f>
        <v>250</v>
      </c>
      <c r="AB122" s="5">
        <f>VLOOKUP($A122,'SegEnds_NonXtal_Prot#'!$A:$AL,33,FALSE)</f>
        <v>289</v>
      </c>
      <c r="AC122" s="5">
        <f>VLOOKUP($A122,'SegEnds_NonXtal_Prot#'!$A:$AL,36,FALSE)</f>
        <v>322</v>
      </c>
      <c r="AD122" s="5">
        <f>VLOOKUP($A122,'SegEnds_NonXtal_Prot#'!$A:$AL,5,FALSE)</f>
        <v>81</v>
      </c>
      <c r="AE122" s="5">
        <f>VLOOKUP($A122,'SegEnds_NonXtal_Prot#'!$A:$AL,8,FALSE)</f>
        <v>85</v>
      </c>
      <c r="AF122" s="5">
        <f>VLOOKUP($A122,'SegEnds_NonXtal_Prot#'!$A:$AL,11,FALSE)</f>
        <v>115</v>
      </c>
      <c r="AG122" s="5">
        <f>VLOOKUP($A122,'SegEnds_NonXtal_Prot#'!$A:$AL,14,FALSE)</f>
        <v>119</v>
      </c>
      <c r="AH122" s="5">
        <f>VLOOKUP($A122,'SegEnds_NonXtal_Prot#'!$A:$AL,17,FALSE)</f>
        <v>155</v>
      </c>
      <c r="AI122" s="5">
        <f>VLOOKUP($A122,'SegEnds_NonXtal_Prot#'!$A:$AL,20,FALSE)</f>
        <v>163</v>
      </c>
      <c r="AJ122" s="5">
        <f>VLOOKUP($A122,'SegEnds_NonXtal_Prot#'!$A:$AL,23,FALSE)</f>
        <v>190</v>
      </c>
      <c r="AK122" s="5">
        <f>VLOOKUP($A122,'SegEnds_NonXtal_Prot#'!$A:$AL,26,FALSE)</f>
        <v>205</v>
      </c>
      <c r="AL122" s="5">
        <f>VLOOKUP($A122,'SegEnds_NonXtal_Prot#'!$A:$AL,29,FALSE)</f>
        <v>245</v>
      </c>
      <c r="AM122" s="5">
        <f>VLOOKUP($A122,'SegEnds_NonXtal_Prot#'!$A:$AL,32,FALSE)</f>
        <v>284</v>
      </c>
      <c r="AN122" s="5">
        <f>VLOOKUP($A122,'SegEnds_NonXtal_Prot#'!$A:$AL,35,FALSE)</f>
        <v>321</v>
      </c>
      <c r="AO122" s="5">
        <f>VLOOKUP($A122,'SegEnds_NonXtal_Prot#'!$A:$AL,38,FALSE)</f>
        <v>334</v>
      </c>
      <c r="AP122" s="5">
        <f t="shared" si="38"/>
        <v>36</v>
      </c>
      <c r="AQ122" s="4">
        <f t="shared" si="39"/>
        <v>3</v>
      </c>
      <c r="AR122" s="4">
        <f t="shared" si="40"/>
        <v>29</v>
      </c>
      <c r="AS122" s="4">
        <f t="shared" si="41"/>
        <v>3</v>
      </c>
      <c r="AT122" s="4">
        <f t="shared" si="42"/>
        <v>35</v>
      </c>
      <c r="AU122" s="4">
        <f t="shared" si="43"/>
        <v>7</v>
      </c>
      <c r="AV122" s="4">
        <f t="shared" si="44"/>
        <v>26</v>
      </c>
      <c r="AW122" s="4">
        <f t="shared" si="45"/>
        <v>2</v>
      </c>
      <c r="AX122" s="4">
        <f t="shared" si="46"/>
        <v>36</v>
      </c>
      <c r="AY122" s="4">
        <f t="shared" si="47"/>
        <v>34</v>
      </c>
      <c r="AZ122" s="4">
        <f t="shared" si="48"/>
        <v>32</v>
      </c>
      <c r="BA122" s="4">
        <f t="shared" si="49"/>
        <v>12</v>
      </c>
    </row>
    <row r="123" spans="1:53" x14ac:dyDescent="0.2">
      <c r="A123" s="1" t="str">
        <f>'SegEnds_NonXtal_Prot#'!A94</f>
        <v>cxcr4_human</v>
      </c>
      <c r="B123" s="1" t="str">
        <f t="shared" si="25"/>
        <v>REENANFNKIFLPTIYSIIFLTGIVGNGLVILVMGYQSMTDKYRLHLSVADLLFVITLPFWAVDAVAGNFLCKAVHVIYTVNLYSSVLILAFISLDRYLAIVHKLLAEKVVYVGVWIPALLLTIPDFIFADLWVVVFQFQHIMVGLILPGIVILSCYCIIISKLSHSKRKALKTTVILILAFFACWLPYYIGISIDSFILLEGCEFENTVHKWISITEALAFFHCCLNPILYAFLGAKFKTSAQHALT</v>
      </c>
      <c r="C123" s="29" t="str">
        <f>IF(ISERROR(MATCH(A123,'SegEnds_Xtal_Prot#'!B:B, 0)), "NoXtal", "Xtal")</f>
        <v>Xtal</v>
      </c>
      <c r="D123" s="4" t="str">
        <f>VLOOKUP(A123,Classification!A:D,2,FALSE)</f>
        <v>A</v>
      </c>
      <c r="E123" s="5" t="str">
        <f>VLOOKUP(A123,Seqs!A:B,2,FALSE)</f>
        <v>MEGISIYTSDNYTEEMGSGDYDSMKEPCFREENANFNKIFLPTIYSIIFLTGIVGNGLVILVMGYQKKLRSMTDKYRLHLSVADLLFVITLPFWAVDAVANWYFGNFLCKAVHVIYTVNLYSSVLILAFISLDRYLAIVHATNSQRPRKLLAEKVVYVGVWIPALLLTIPDFIFANVSEADDRYICDRFYPNDLWVVVFQFQHIMVGLILPGIVILSCYCIIISKLSHSKGHQKRKALKTTVILILAFFACWLPYYIGISIDSFILLEIIKQGCEFENTVHKWISITEALAFFHCCLNPILYAFLGAKFKTSAQHALTSVSRGSSLKILSKGKRGGHSSVSTESESSSFHSS</v>
      </c>
      <c r="F123" s="5" t="str">
        <f t="shared" si="26"/>
        <v>REENANFNKIFLPTIYSIIFLTGIVGNGLVILVMGYQ</v>
      </c>
      <c r="G123" s="4" t="str">
        <f t="shared" si="27"/>
        <v>KKLR</v>
      </c>
      <c r="H123" s="4" t="str">
        <f t="shared" si="28"/>
        <v>SMTDKYRLHLSVADLLFVITLPFWAVDAVA</v>
      </c>
      <c r="I123" s="4" t="str">
        <f t="shared" si="29"/>
        <v>NWYF</v>
      </c>
      <c r="J123" s="4" t="str">
        <f t="shared" si="30"/>
        <v>GNFLCKAVHVIYTVNLYSSVLILAFISLDRYLAIVH</v>
      </c>
      <c r="K123" s="4" t="str">
        <f t="shared" si="31"/>
        <v>ATNSQRPR</v>
      </c>
      <c r="L123" s="4" t="str">
        <f t="shared" si="32"/>
        <v>KLLAEKVVYVGVWIPALLLTIPDFIFA</v>
      </c>
      <c r="M123" s="4" t="str">
        <f t="shared" si="33"/>
        <v>CDR</v>
      </c>
      <c r="N123" s="4" t="str">
        <f t="shared" si="34"/>
        <v>DLWVVVFQFQHIMVGLILPGIVILSCYCIIISKLSHS</v>
      </c>
      <c r="O123" s="4" t="str">
        <f t="shared" si="35"/>
        <v>KRKALKTTVILILAFFACWLPYYIGISIDSFILLE</v>
      </c>
      <c r="P123" s="4" t="str">
        <f t="shared" si="36"/>
        <v>GCEFENTVHKWISITEALAFFHCCLNPILYAFL</v>
      </c>
      <c r="Q123" s="4" t="str">
        <f t="shared" si="37"/>
        <v>GAKFKTSAQHALT</v>
      </c>
      <c r="R123" s="5">
        <f>VLOOKUP($A123,'SegEnds_NonXtal_Prot#'!$A:$AL,3,FALSE)</f>
        <v>30</v>
      </c>
      <c r="S123" s="5">
        <f>VLOOKUP($A123,'SegEnds_NonXtal_Prot#'!$A:$AL,6,FALSE)</f>
        <v>67</v>
      </c>
      <c r="T123" s="5">
        <f>VLOOKUP($A123,'SegEnds_NonXtal_Prot#'!$A:$AL,9,FALSE)</f>
        <v>71</v>
      </c>
      <c r="U123" s="5">
        <f>VLOOKUP($A123,'SegEnds_NonXtal_Prot#'!$A:$AL,12,FALSE)</f>
        <v>101</v>
      </c>
      <c r="V123" s="5">
        <f>VLOOKUP($A123,'SegEnds_NonXtal_Prot#'!$A:$AL,15,FALSE)</f>
        <v>105</v>
      </c>
      <c r="W123" s="5">
        <f>VLOOKUP($A123,'SegEnds_NonXtal_Prot#'!$A:$AL,18,FALSE)</f>
        <v>141</v>
      </c>
      <c r="X123" s="5">
        <f>VLOOKUP($A123,'SegEnds_NonXtal_Prot#'!$A:$AL,21,FALSE)</f>
        <v>149</v>
      </c>
      <c r="Y123" s="5">
        <f>VLOOKUP($A123,'SegEnds_NonXtal_Prot#'!$A:$AL,24,FALSE)</f>
        <v>186</v>
      </c>
      <c r="Z123" s="5">
        <f>VLOOKUP($A123,'SegEnds_NonXtal_Prot#'!$A:$AL,27,FALSE)</f>
        <v>193</v>
      </c>
      <c r="AA123" s="5">
        <f>VLOOKUP($A123,'SegEnds_NonXtal_Prot#'!$A:$AL,30,FALSE)</f>
        <v>234</v>
      </c>
      <c r="AB123" s="5">
        <f>VLOOKUP($A123,'SegEnds_NonXtal_Prot#'!$A:$AL,33,FALSE)</f>
        <v>273</v>
      </c>
      <c r="AC123" s="5">
        <f>VLOOKUP($A123,'SegEnds_NonXtal_Prot#'!$A:$AL,36,FALSE)</f>
        <v>306</v>
      </c>
      <c r="AD123" s="5">
        <f>VLOOKUP($A123,'SegEnds_NonXtal_Prot#'!$A:$AL,5,FALSE)</f>
        <v>66</v>
      </c>
      <c r="AE123" s="5">
        <f>VLOOKUP($A123,'SegEnds_NonXtal_Prot#'!$A:$AL,8,FALSE)</f>
        <v>70</v>
      </c>
      <c r="AF123" s="5">
        <f>VLOOKUP($A123,'SegEnds_NonXtal_Prot#'!$A:$AL,11,FALSE)</f>
        <v>100</v>
      </c>
      <c r="AG123" s="5">
        <f>VLOOKUP($A123,'SegEnds_NonXtal_Prot#'!$A:$AL,14,FALSE)</f>
        <v>104</v>
      </c>
      <c r="AH123" s="5">
        <f>VLOOKUP($A123,'SegEnds_NonXtal_Prot#'!$A:$AL,17,FALSE)</f>
        <v>140</v>
      </c>
      <c r="AI123" s="5">
        <f>VLOOKUP($A123,'SegEnds_NonXtal_Prot#'!$A:$AL,20,FALSE)</f>
        <v>148</v>
      </c>
      <c r="AJ123" s="5">
        <f>VLOOKUP($A123,'SegEnds_NonXtal_Prot#'!$A:$AL,23,FALSE)</f>
        <v>175</v>
      </c>
      <c r="AK123" s="5">
        <f>VLOOKUP($A123,'SegEnds_NonXtal_Prot#'!$A:$AL,26,FALSE)</f>
        <v>188</v>
      </c>
      <c r="AL123" s="5">
        <f>VLOOKUP($A123,'SegEnds_NonXtal_Prot#'!$A:$AL,29,FALSE)</f>
        <v>229</v>
      </c>
      <c r="AM123" s="5">
        <f>VLOOKUP($A123,'SegEnds_NonXtal_Prot#'!$A:$AL,32,FALSE)</f>
        <v>268</v>
      </c>
      <c r="AN123" s="5">
        <f>VLOOKUP($A123,'SegEnds_NonXtal_Prot#'!$A:$AL,35,FALSE)</f>
        <v>305</v>
      </c>
      <c r="AO123" s="5">
        <f>VLOOKUP($A123,'SegEnds_NonXtal_Prot#'!$A:$AL,38,FALSE)</f>
        <v>318</v>
      </c>
      <c r="AP123" s="5">
        <f t="shared" si="38"/>
        <v>36</v>
      </c>
      <c r="AQ123" s="4">
        <f t="shared" si="39"/>
        <v>3</v>
      </c>
      <c r="AR123" s="4">
        <f t="shared" si="40"/>
        <v>29</v>
      </c>
      <c r="AS123" s="4">
        <f t="shared" si="41"/>
        <v>3</v>
      </c>
      <c r="AT123" s="4">
        <f t="shared" si="42"/>
        <v>35</v>
      </c>
      <c r="AU123" s="4">
        <f t="shared" si="43"/>
        <v>7</v>
      </c>
      <c r="AV123" s="4">
        <f t="shared" si="44"/>
        <v>26</v>
      </c>
      <c r="AW123" s="4">
        <f t="shared" si="45"/>
        <v>2</v>
      </c>
      <c r="AX123" s="4">
        <f t="shared" si="46"/>
        <v>36</v>
      </c>
      <c r="AY123" s="4">
        <f t="shared" si="47"/>
        <v>34</v>
      </c>
      <c r="AZ123" s="4">
        <f t="shared" si="48"/>
        <v>32</v>
      </c>
      <c r="BA123" s="4">
        <f t="shared" si="49"/>
        <v>12</v>
      </c>
    </row>
    <row r="124" spans="1:53" x14ac:dyDescent="0.2">
      <c r="A124" s="1" t="str">
        <f>'SegEnds_NonXtal_Prot#'!A95</f>
        <v>cxcr5_human</v>
      </c>
      <c r="B124" s="1" t="str">
        <f t="shared" si="25"/>
        <v>GPLMASFKAVFVPVAYSLIFLLGVIGNVLVLVILERHSSTETFLFHLAVADLLLVFILPFAVAEGSVGTFLCKTVIALHKVNFYCSSLLLACIAVDRYLAIVHRLLSIHITCGTIWLVGFLLALPEILFATHAWFTSRFLYHVAGFLLPMLVMGWCYVGVVHRLRQAPQRQKAVRVAILVTSIFFLCWSPYHIVIFLDTLARLKTCKLNGSLPVAITMCEFLGLAHCCLNPMLYTFAGVKFRSDLSRLLT</v>
      </c>
      <c r="C124" s="29" t="str">
        <f>IF(ISERROR(MATCH(A124,'SegEnds_Xtal_Prot#'!B:B, 0)), "NoXtal", "Xtal")</f>
        <v>NoXtal</v>
      </c>
      <c r="D124" s="4" t="str">
        <f>VLOOKUP(A124,Classification!A:D,2,FALSE)</f>
        <v>A</v>
      </c>
      <c r="E124" s="5" t="str">
        <f>VLOOKUP(A124,Seqs!A:B,2,FALSE)</f>
        <v>MNYPLTLEMDLENLEDLFWELDRLDNYNDTSLVENHLCPATEGPLMASFKAVFVPVAYSLIFLLGVIGNVLVLVILERHRQTRSSTETFLFHLAVADLLLVFILPFAVAEGSVGWVLGTFLCKTVIALHKVNFYCSSLLLACIAVDRYLAIVHAVHAYRHRRLLSIHITCGTIWLVGFLLALPEILFAKVSQGHHNNSLPRCTFSQENQAETHAWFTSRFLYHVAGFLLPMLVMGWCYVGVVHRLRQAQRRPQRQKAVRVAILVTSIFFLCWSPYHIVIFLDTLARLKAVDNTCKLNGSLPVAITMCEFLGLAHCCLNPMLYTFAGVKFRSDLSRLLTKLGCTGPASLCQLFPSWRRSSLSESENATSLTTF</v>
      </c>
      <c r="F124" s="5" t="str">
        <f t="shared" si="26"/>
        <v>GPLMASFKAVFVPVAYSLIFLLGVIGNVLVLVILERH</v>
      </c>
      <c r="G124" s="4" t="str">
        <f t="shared" si="27"/>
        <v>RQTR</v>
      </c>
      <c r="H124" s="4" t="str">
        <f t="shared" si="28"/>
        <v>SSTETFLFHLAVADLLLVFILPFAVAEGSV</v>
      </c>
      <c r="I124" s="4" t="str">
        <f t="shared" si="29"/>
        <v>GWVL</v>
      </c>
      <c r="J124" s="4" t="str">
        <f t="shared" si="30"/>
        <v>GTFLCKTVIALHKVNFYCSSLLLACIAVDRYLAIVH</v>
      </c>
      <c r="K124" s="4" t="str">
        <f t="shared" si="31"/>
        <v>AVHAYRHR</v>
      </c>
      <c r="L124" s="4" t="str">
        <f t="shared" si="32"/>
        <v>RLLSIHITCGTIWLVGFLLALPEILFA</v>
      </c>
      <c r="M124" s="4" t="str">
        <f t="shared" si="33"/>
        <v>CTF</v>
      </c>
      <c r="N124" s="4" t="str">
        <f t="shared" si="34"/>
        <v>THAWFTSRFLYHVAGFLLPMLVMGWCYVGVVHRLRQA</v>
      </c>
      <c r="O124" s="4" t="str">
        <f t="shared" si="35"/>
        <v>PQRQKAVRVAILVTSIFFLCWSPYHIVIFLDTLARLK</v>
      </c>
      <c r="P124" s="4" t="str">
        <f t="shared" si="36"/>
        <v>TCKLNGSLPVAITMCEFLGLAHCCLNPMLYTFA</v>
      </c>
      <c r="Q124" s="4" t="str">
        <f t="shared" si="37"/>
        <v>GVKFRSDLSRLLT</v>
      </c>
      <c r="R124" s="5">
        <f>VLOOKUP($A124,'SegEnds_NonXtal_Prot#'!$A:$AL,3,FALSE)</f>
        <v>43</v>
      </c>
      <c r="S124" s="5">
        <f>VLOOKUP($A124,'SegEnds_NonXtal_Prot#'!$A:$AL,6,FALSE)</f>
        <v>80</v>
      </c>
      <c r="T124" s="5">
        <f>VLOOKUP($A124,'SegEnds_NonXtal_Prot#'!$A:$AL,9,FALSE)</f>
        <v>84</v>
      </c>
      <c r="U124" s="5">
        <f>VLOOKUP($A124,'SegEnds_NonXtal_Prot#'!$A:$AL,12,FALSE)</f>
        <v>114</v>
      </c>
      <c r="V124" s="5">
        <f>VLOOKUP($A124,'SegEnds_NonXtal_Prot#'!$A:$AL,15,FALSE)</f>
        <v>118</v>
      </c>
      <c r="W124" s="5">
        <f>VLOOKUP($A124,'SegEnds_NonXtal_Prot#'!$A:$AL,18,FALSE)</f>
        <v>154</v>
      </c>
      <c r="X124" s="5">
        <f>VLOOKUP($A124,'SegEnds_NonXtal_Prot#'!$A:$AL,21,FALSE)</f>
        <v>162</v>
      </c>
      <c r="Y124" s="5">
        <f>VLOOKUP($A124,'SegEnds_NonXtal_Prot#'!$A:$AL,24,FALSE)</f>
        <v>202</v>
      </c>
      <c r="Z124" s="5">
        <f>VLOOKUP($A124,'SegEnds_NonXtal_Prot#'!$A:$AL,27,FALSE)</f>
        <v>212</v>
      </c>
      <c r="AA124" s="5">
        <f>VLOOKUP($A124,'SegEnds_NonXtal_Prot#'!$A:$AL,30,FALSE)</f>
        <v>252</v>
      </c>
      <c r="AB124" s="5">
        <f>VLOOKUP($A124,'SegEnds_NonXtal_Prot#'!$A:$AL,33,FALSE)</f>
        <v>293</v>
      </c>
      <c r="AC124" s="5">
        <f>VLOOKUP($A124,'SegEnds_NonXtal_Prot#'!$A:$AL,36,FALSE)</f>
        <v>326</v>
      </c>
      <c r="AD124" s="5">
        <f>VLOOKUP($A124,'SegEnds_NonXtal_Prot#'!$A:$AL,5,FALSE)</f>
        <v>79</v>
      </c>
      <c r="AE124" s="5">
        <f>VLOOKUP($A124,'SegEnds_NonXtal_Prot#'!$A:$AL,8,FALSE)</f>
        <v>83</v>
      </c>
      <c r="AF124" s="5">
        <f>VLOOKUP($A124,'SegEnds_NonXtal_Prot#'!$A:$AL,11,FALSE)</f>
        <v>113</v>
      </c>
      <c r="AG124" s="5">
        <f>VLOOKUP($A124,'SegEnds_NonXtal_Prot#'!$A:$AL,14,FALSE)</f>
        <v>117</v>
      </c>
      <c r="AH124" s="5">
        <f>VLOOKUP($A124,'SegEnds_NonXtal_Prot#'!$A:$AL,17,FALSE)</f>
        <v>153</v>
      </c>
      <c r="AI124" s="5">
        <f>VLOOKUP($A124,'SegEnds_NonXtal_Prot#'!$A:$AL,20,FALSE)</f>
        <v>161</v>
      </c>
      <c r="AJ124" s="5">
        <f>VLOOKUP($A124,'SegEnds_NonXtal_Prot#'!$A:$AL,23,FALSE)</f>
        <v>188</v>
      </c>
      <c r="AK124" s="5">
        <f>VLOOKUP($A124,'SegEnds_NonXtal_Prot#'!$A:$AL,26,FALSE)</f>
        <v>204</v>
      </c>
      <c r="AL124" s="5">
        <f>VLOOKUP($A124,'SegEnds_NonXtal_Prot#'!$A:$AL,29,FALSE)</f>
        <v>248</v>
      </c>
      <c r="AM124" s="5">
        <f>VLOOKUP($A124,'SegEnds_NonXtal_Prot#'!$A:$AL,32,FALSE)</f>
        <v>288</v>
      </c>
      <c r="AN124" s="5">
        <f>VLOOKUP($A124,'SegEnds_NonXtal_Prot#'!$A:$AL,35,FALSE)</f>
        <v>325</v>
      </c>
      <c r="AO124" s="5">
        <f>VLOOKUP($A124,'SegEnds_NonXtal_Prot#'!$A:$AL,38,FALSE)</f>
        <v>338</v>
      </c>
      <c r="AP124" s="5">
        <f t="shared" si="38"/>
        <v>36</v>
      </c>
      <c r="AQ124" s="4">
        <f t="shared" si="39"/>
        <v>3</v>
      </c>
      <c r="AR124" s="4">
        <f t="shared" si="40"/>
        <v>29</v>
      </c>
      <c r="AS124" s="4">
        <f t="shared" si="41"/>
        <v>3</v>
      </c>
      <c r="AT124" s="4">
        <f t="shared" si="42"/>
        <v>35</v>
      </c>
      <c r="AU124" s="4">
        <f t="shared" si="43"/>
        <v>7</v>
      </c>
      <c r="AV124" s="4">
        <f t="shared" si="44"/>
        <v>26</v>
      </c>
      <c r="AW124" s="4">
        <f t="shared" si="45"/>
        <v>2</v>
      </c>
      <c r="AX124" s="4">
        <f t="shared" si="46"/>
        <v>36</v>
      </c>
      <c r="AY124" s="4">
        <f t="shared" si="47"/>
        <v>36</v>
      </c>
      <c r="AZ124" s="4">
        <f t="shared" si="48"/>
        <v>32</v>
      </c>
      <c r="BA124" s="4">
        <f t="shared" si="49"/>
        <v>12</v>
      </c>
    </row>
    <row r="125" spans="1:53" x14ac:dyDescent="0.2">
      <c r="A125" s="1" t="str">
        <f>'SegEnds_NonXtal_Prot#'!A96</f>
        <v>drd1_human</v>
      </c>
      <c r="B125" s="1" t="str">
        <f t="shared" si="25"/>
        <v>VERDFSVRILTACFLSLLILSTLLGNTLVCAAVIRFSKVTNFFVISLAVSDLLVAVLVMPWKAVAEIGSFCNIWVAFDIMCSTASILNLCVISVDRYWAISSTPKAAFILISVAWTLSVLISFIPVQLSSRTYAISSSVISFYIPVAIMIVTYTRIYRIAQKQIRRIAALEKMSFKRETKVLKTLSVIMGVFVCCWLPFFILNCILPFCFCIDSNTFDVFVWFGWANSSLNPIIYAFNADFRKAFSTLLGC</v>
      </c>
      <c r="C125" s="29" t="str">
        <f>IF(ISERROR(MATCH(A125,'SegEnds_Xtal_Prot#'!B:B, 0)), "NoXtal", "Xtal")</f>
        <v>NoXtal</v>
      </c>
      <c r="D125" s="4" t="str">
        <f>VLOOKUP(A125,Classification!A:D,2,FALSE)</f>
        <v>A</v>
      </c>
      <c r="E125" s="5" t="str">
        <f>VLOOKUP(A125,Seqs!A:B,2,FALSE)</f>
        <v>MRTLNTSAMDGTGLVVERDFSVRILTACFLSLLILSTLLGNTLVCAAVIRFRHLRSKVTNFFVISLAVSDLLVAVLVMPWKAVAEIAGFWPFGSFCNIWVAFDIMCSTASILNLCVISVDRYWAISSPFRYERKMTPKAAFILISVAWTLSVLISFIPVQLSWHKAKPTSPSDGNATSLAETIDNCDSSLSRTYAISSSVISFYIPVAIMIVTYTRIYRIAQKQIRRIAALERAAVHAKNCQTTTGNGKPVECSQPESSFKMSFKRETKVLKTLSVIMGVFVCCWLPFFILNCILPFCGSGETQPFCIDSNTFDVFVWFGWANSSLNPIIYAFNADFRKAFSTLLGCYRLCPATNNAIETVSINNNGAAMFSSHHEPRGSISKECNLVYLIPHAVGSSEDLKKEEAAGIARPLEKLSPALSVILDYDTDVSLEKIQPITQNGQHPT</v>
      </c>
      <c r="F125" s="5" t="str">
        <f t="shared" si="26"/>
        <v>VERDFSVRILTACFLSLLILSTLLGNTLVCAAVIRF</v>
      </c>
      <c r="G125" s="4" t="str">
        <f t="shared" si="27"/>
        <v>RHLR</v>
      </c>
      <c r="H125" s="4" t="str">
        <f t="shared" si="28"/>
        <v>SKVTNFFVISLAVSDLLVAVLVMPWKAVAEI</v>
      </c>
      <c r="I125" s="4" t="str">
        <f t="shared" si="29"/>
        <v>FWPF</v>
      </c>
      <c r="J125" s="4" t="str">
        <f t="shared" si="30"/>
        <v>GSFCNIWVAFDIMCSTASILNLCVISVDRYWAISS</v>
      </c>
      <c r="K125" s="4" t="str">
        <f t="shared" si="31"/>
        <v>PFRYERKM</v>
      </c>
      <c r="L125" s="4" t="str">
        <f t="shared" si="32"/>
        <v>TPKAAFILISVAWTLSVLISFIPVQLS</v>
      </c>
      <c r="M125" s="4" t="str">
        <f t="shared" si="33"/>
        <v>CDS</v>
      </c>
      <c r="N125" s="4" t="str">
        <f t="shared" si="34"/>
        <v>SRTYAISSSVISFYIPVAIMIVTYTRIYRIAQKQIRRIAALE</v>
      </c>
      <c r="O125" s="4" t="str">
        <f t="shared" si="35"/>
        <v>KMSFKRETKVLKTLSVIMGVFVCCWLPFFILNCILPFC</v>
      </c>
      <c r="P125" s="4" t="str">
        <f t="shared" si="36"/>
        <v>FCIDSNTFDVFVWFGWANSSLNPIIYAFN</v>
      </c>
      <c r="Q125" s="4" t="str">
        <f t="shared" si="37"/>
        <v>ADFRKAFSTLLGC</v>
      </c>
      <c r="R125" s="5">
        <f>VLOOKUP($A125,'SegEnds_NonXtal_Prot#'!$A:$AL,3,FALSE)</f>
        <v>16</v>
      </c>
      <c r="S125" s="5">
        <f>VLOOKUP($A125,'SegEnds_NonXtal_Prot#'!$A:$AL,6,FALSE)</f>
        <v>52</v>
      </c>
      <c r="T125" s="5">
        <f>VLOOKUP($A125,'SegEnds_NonXtal_Prot#'!$A:$AL,9,FALSE)</f>
        <v>56</v>
      </c>
      <c r="U125" s="5">
        <f>VLOOKUP($A125,'SegEnds_NonXtal_Prot#'!$A:$AL,12,FALSE)</f>
        <v>89</v>
      </c>
      <c r="V125" s="5">
        <f>VLOOKUP($A125,'SegEnds_NonXtal_Prot#'!$A:$AL,15,FALSE)</f>
        <v>93</v>
      </c>
      <c r="W125" s="5">
        <f>VLOOKUP($A125,'SegEnds_NonXtal_Prot#'!$A:$AL,18,FALSE)</f>
        <v>128</v>
      </c>
      <c r="X125" s="5">
        <f>VLOOKUP($A125,'SegEnds_NonXtal_Prot#'!$A:$AL,21,FALSE)</f>
        <v>136</v>
      </c>
      <c r="Y125" s="5">
        <f>VLOOKUP($A125,'SegEnds_NonXtal_Prot#'!$A:$AL,24,FALSE)</f>
        <v>186</v>
      </c>
      <c r="Z125" s="5">
        <f>VLOOKUP($A125,'SegEnds_NonXtal_Prot#'!$A:$AL,27,FALSE)</f>
        <v>191</v>
      </c>
      <c r="AA125" s="5">
        <f>VLOOKUP($A125,'SegEnds_NonXtal_Prot#'!$A:$AL,30,FALSE)</f>
        <v>261</v>
      </c>
      <c r="AB125" s="5">
        <f>VLOOKUP($A125,'SegEnds_NonXtal_Prot#'!$A:$AL,33,FALSE)</f>
        <v>306</v>
      </c>
      <c r="AC125" s="5">
        <f>VLOOKUP($A125,'SegEnds_NonXtal_Prot#'!$A:$AL,36,FALSE)</f>
        <v>335</v>
      </c>
      <c r="AD125" s="5">
        <f>VLOOKUP($A125,'SegEnds_NonXtal_Prot#'!$A:$AL,5,FALSE)</f>
        <v>51</v>
      </c>
      <c r="AE125" s="5">
        <f>VLOOKUP($A125,'SegEnds_NonXtal_Prot#'!$A:$AL,8,FALSE)</f>
        <v>55</v>
      </c>
      <c r="AF125" s="5">
        <f>VLOOKUP($A125,'SegEnds_NonXtal_Prot#'!$A:$AL,11,FALSE)</f>
        <v>86</v>
      </c>
      <c r="AG125" s="5">
        <f>VLOOKUP($A125,'SegEnds_NonXtal_Prot#'!$A:$AL,14,FALSE)</f>
        <v>92</v>
      </c>
      <c r="AH125" s="5">
        <f>VLOOKUP($A125,'SegEnds_NonXtal_Prot#'!$A:$AL,17,FALSE)</f>
        <v>127</v>
      </c>
      <c r="AI125" s="5">
        <f>VLOOKUP($A125,'SegEnds_NonXtal_Prot#'!$A:$AL,20,FALSE)</f>
        <v>135</v>
      </c>
      <c r="AJ125" s="5">
        <f>VLOOKUP($A125,'SegEnds_NonXtal_Prot#'!$A:$AL,23,FALSE)</f>
        <v>162</v>
      </c>
      <c r="AK125" s="5">
        <f>VLOOKUP($A125,'SegEnds_NonXtal_Prot#'!$A:$AL,26,FALSE)</f>
        <v>188</v>
      </c>
      <c r="AL125" s="5">
        <f>VLOOKUP($A125,'SegEnds_NonXtal_Prot#'!$A:$AL,29,FALSE)</f>
        <v>232</v>
      </c>
      <c r="AM125" s="5">
        <f>VLOOKUP($A125,'SegEnds_NonXtal_Prot#'!$A:$AL,32,FALSE)</f>
        <v>298</v>
      </c>
      <c r="AN125" s="5">
        <f>VLOOKUP($A125,'SegEnds_NonXtal_Prot#'!$A:$AL,35,FALSE)</f>
        <v>334</v>
      </c>
      <c r="AO125" s="5">
        <f>VLOOKUP($A125,'SegEnds_NonXtal_Prot#'!$A:$AL,38,FALSE)</f>
        <v>347</v>
      </c>
      <c r="AP125" s="5">
        <f t="shared" si="38"/>
        <v>35</v>
      </c>
      <c r="AQ125" s="4">
        <f t="shared" si="39"/>
        <v>3</v>
      </c>
      <c r="AR125" s="4">
        <f t="shared" si="40"/>
        <v>30</v>
      </c>
      <c r="AS125" s="4">
        <f t="shared" si="41"/>
        <v>3</v>
      </c>
      <c r="AT125" s="4">
        <f t="shared" si="42"/>
        <v>34</v>
      </c>
      <c r="AU125" s="4">
        <f t="shared" si="43"/>
        <v>7</v>
      </c>
      <c r="AV125" s="4">
        <f t="shared" si="44"/>
        <v>26</v>
      </c>
      <c r="AW125" s="4">
        <f t="shared" si="45"/>
        <v>2</v>
      </c>
      <c r="AX125" s="4">
        <f t="shared" si="46"/>
        <v>41</v>
      </c>
      <c r="AY125" s="4">
        <f t="shared" si="47"/>
        <v>37</v>
      </c>
      <c r="AZ125" s="4">
        <f t="shared" si="48"/>
        <v>28</v>
      </c>
      <c r="BA125" s="4">
        <f t="shared" si="49"/>
        <v>12</v>
      </c>
    </row>
    <row r="126" spans="1:53" x14ac:dyDescent="0.2">
      <c r="A126" s="1" t="str">
        <f>'SegEnds_NonXtal_Prot#'!A97</f>
        <v>drd4_human</v>
      </c>
      <c r="B126" s="1" t="str">
        <f t="shared" si="25"/>
        <v>AGQGAAALVGGVLLIGAVLAGNSLVCVSVATETPTNSFIVSLAAADLLLALLVLPLFVYSEVQSPRLCDALMAMDVMLCTASIFNLCAISVDRFVAVAVGSRRQLLLIGATWLLSAAVAAPVLCGDRDYVVYSSVCSFFLPCPLMLLLYWATFRGLQRWEVARRAKAKITGRERKAMRVLPVVVGAFLLCWTPFFVVHITQALCPPRLVSAVTWLGYVNSALNPVIYTVFNAEFRNVFRKALR</v>
      </c>
      <c r="C126" s="29" t="str">
        <f>IF(ISERROR(MATCH(A126,'SegEnds_Xtal_Prot#'!B:B, 0)), "NoXtal", "Xtal")</f>
        <v>Xtal</v>
      </c>
      <c r="D126" s="4" t="str">
        <f>VLOOKUP(A126,Classification!A:D,2,FALSE)</f>
        <v>A</v>
      </c>
      <c r="E126" s="5" t="str">
        <f>VLOOKUP(A126,Seqs!A:B,2,FALSE)</f>
        <v>MGNRSTADADGLLAGRGPAAGASAGASAGLAGQGAAALVGGVLLIGAVLAGNSLVCVSVATERALQTPTNSFIVSLAAADLLLALLVLPLFVYSEVQGGAWLLSPRLCDALMAMDVMLCTASIFNLCAISVDRFVAVAVPLRYNRQGGSRRQLLLIGATWLLSAAVAAPVLCGLNDVRGRDPAVCRLEDRDYVVYSSVCSFFLPCPLMLLLYWATFRGLQRWEVARRAKLHGRAPRRPSGPGPPSPTPPAPRLPQDPCGPDCAPPAPGLPRGPCGPDCAPAAPGLPPDPCGPDCAPPAPGLPQDPCGPDCAPPAPGLPRGPCGPDCAPPAPGLPQDPCGPDCAPPAPGLPPDPCGSNCAPPDAVRAAALPPQTPPQTRRRRRAKITGRERKAMRVLPVVVGAFLLCWTPFFVVHITQALCPACSVPPRLVSAVTWLGYVNSALNPVIYTVFNAEFRNVFRKALRACC</v>
      </c>
      <c r="F126" s="5" t="str">
        <f t="shared" si="26"/>
        <v>AGQGAAALVGGVLLIGAVLAGNSLVCVSVATE</v>
      </c>
      <c r="G126" s="4" t="str">
        <f t="shared" si="27"/>
        <v>RALQ</v>
      </c>
      <c r="H126" s="4" t="str">
        <f t="shared" si="28"/>
        <v>TPTNSFIVSLAAADLLLALLVLPLFVYSEVQ</v>
      </c>
      <c r="I126" s="4" t="str">
        <f t="shared" si="29"/>
        <v>AWLL</v>
      </c>
      <c r="J126" s="4" t="str">
        <f t="shared" si="30"/>
        <v>SPRLCDALMAMDVMLCTASIFNLCAISVDRFVAVAV</v>
      </c>
      <c r="K126" s="4" t="str">
        <f t="shared" si="31"/>
        <v>PLRYNRQG</v>
      </c>
      <c r="L126" s="4" t="str">
        <f t="shared" si="32"/>
        <v>GSRRQLLLIGATWLLSAAVAAPVLCG</v>
      </c>
      <c r="M126" s="4" t="str">
        <f t="shared" si="33"/>
        <v>CRL</v>
      </c>
      <c r="N126" s="4" t="str">
        <f t="shared" si="34"/>
        <v>DRDYVVYSSVCSFFLPCPLMLLLYWATFRGLQRWEVARRAK</v>
      </c>
      <c r="O126" s="4" t="str">
        <f t="shared" si="35"/>
        <v>AKITGRERKAMRVLPVVVGAFLLCWTPFFVVHITQALC</v>
      </c>
      <c r="P126" s="4" t="str">
        <f t="shared" si="36"/>
        <v>PPRLVSAVTWLGYVNSALNPVIYTVF</v>
      </c>
      <c r="Q126" s="4" t="str">
        <f t="shared" si="37"/>
        <v>NAEFRNVFRKALR</v>
      </c>
      <c r="R126" s="5">
        <f>VLOOKUP($A126,'SegEnds_NonXtal_Prot#'!$A:$AL,3,FALSE)</f>
        <v>31</v>
      </c>
      <c r="S126" s="5">
        <f>VLOOKUP($A126,'SegEnds_NonXtal_Prot#'!$A:$AL,6,FALSE)</f>
        <v>63</v>
      </c>
      <c r="T126" s="5">
        <f>VLOOKUP($A126,'SegEnds_NonXtal_Prot#'!$A:$AL,9,FALSE)</f>
        <v>67</v>
      </c>
      <c r="U126" s="5">
        <f>VLOOKUP($A126,'SegEnds_NonXtal_Prot#'!$A:$AL,12,FALSE)</f>
        <v>100</v>
      </c>
      <c r="V126" s="5">
        <f>VLOOKUP($A126,'SegEnds_NonXtal_Prot#'!$A:$AL,15,FALSE)</f>
        <v>104</v>
      </c>
      <c r="W126" s="5">
        <f>VLOOKUP($A126,'SegEnds_NonXtal_Prot#'!$A:$AL,18,FALSE)</f>
        <v>140</v>
      </c>
      <c r="X126" s="5">
        <f>VLOOKUP($A126,'SegEnds_NonXtal_Prot#'!$A:$AL,21,FALSE)</f>
        <v>148</v>
      </c>
      <c r="Y126" s="5">
        <f>VLOOKUP($A126,'SegEnds_NonXtal_Prot#'!$A:$AL,24,FALSE)</f>
        <v>185</v>
      </c>
      <c r="Z126" s="5">
        <f>VLOOKUP($A126,'SegEnds_NonXtal_Prot#'!$A:$AL,27,FALSE)</f>
        <v>189</v>
      </c>
      <c r="AA126" s="5">
        <f>VLOOKUP($A126,'SegEnds_NonXtal_Prot#'!$A:$AL,30,FALSE)</f>
        <v>383</v>
      </c>
      <c r="AB126" s="5">
        <f>VLOOKUP($A126,'SegEnds_NonXtal_Prot#'!$A:$AL,33,FALSE)</f>
        <v>426</v>
      </c>
      <c r="AC126" s="5">
        <f>VLOOKUP($A126,'SegEnds_NonXtal_Prot#'!$A:$AL,36,FALSE)</f>
        <v>452</v>
      </c>
      <c r="AD126" s="5">
        <f>VLOOKUP($A126,'SegEnds_NonXtal_Prot#'!$A:$AL,5,FALSE)</f>
        <v>62</v>
      </c>
      <c r="AE126" s="5">
        <f>VLOOKUP($A126,'SegEnds_NonXtal_Prot#'!$A:$AL,8,FALSE)</f>
        <v>66</v>
      </c>
      <c r="AF126" s="5">
        <f>VLOOKUP($A126,'SegEnds_NonXtal_Prot#'!$A:$AL,11,FALSE)</f>
        <v>97</v>
      </c>
      <c r="AG126" s="5">
        <f>VLOOKUP($A126,'SegEnds_NonXtal_Prot#'!$A:$AL,14,FALSE)</f>
        <v>103</v>
      </c>
      <c r="AH126" s="5">
        <f>VLOOKUP($A126,'SegEnds_NonXtal_Prot#'!$A:$AL,17,FALSE)</f>
        <v>139</v>
      </c>
      <c r="AI126" s="5">
        <f>VLOOKUP($A126,'SegEnds_NonXtal_Prot#'!$A:$AL,20,FALSE)</f>
        <v>147</v>
      </c>
      <c r="AJ126" s="5">
        <f>VLOOKUP($A126,'SegEnds_NonXtal_Prot#'!$A:$AL,23,FALSE)</f>
        <v>173</v>
      </c>
      <c r="AK126" s="5">
        <f>VLOOKUP($A126,'SegEnds_NonXtal_Prot#'!$A:$AL,26,FALSE)</f>
        <v>187</v>
      </c>
      <c r="AL126" s="5">
        <f>VLOOKUP($A126,'SegEnds_NonXtal_Prot#'!$A:$AL,29,FALSE)</f>
        <v>229</v>
      </c>
      <c r="AM126" s="5">
        <f>VLOOKUP($A126,'SegEnds_NonXtal_Prot#'!$A:$AL,32,FALSE)</f>
        <v>420</v>
      </c>
      <c r="AN126" s="5">
        <f>VLOOKUP($A126,'SegEnds_NonXtal_Prot#'!$A:$AL,35,FALSE)</f>
        <v>451</v>
      </c>
      <c r="AO126" s="5">
        <f>VLOOKUP($A126,'SegEnds_NonXtal_Prot#'!$A:$AL,38,FALSE)</f>
        <v>464</v>
      </c>
      <c r="AP126" s="5">
        <f t="shared" si="38"/>
        <v>31</v>
      </c>
      <c r="AQ126" s="4">
        <f t="shared" si="39"/>
        <v>3</v>
      </c>
      <c r="AR126" s="4">
        <f t="shared" si="40"/>
        <v>30</v>
      </c>
      <c r="AS126" s="4">
        <f t="shared" si="41"/>
        <v>3</v>
      </c>
      <c r="AT126" s="4">
        <f t="shared" si="42"/>
        <v>35</v>
      </c>
      <c r="AU126" s="4">
        <f t="shared" si="43"/>
        <v>7</v>
      </c>
      <c r="AV126" s="4">
        <f t="shared" si="44"/>
        <v>25</v>
      </c>
      <c r="AW126" s="4">
        <f t="shared" si="45"/>
        <v>2</v>
      </c>
      <c r="AX126" s="4">
        <f t="shared" si="46"/>
        <v>40</v>
      </c>
      <c r="AY126" s="4">
        <f t="shared" si="47"/>
        <v>37</v>
      </c>
      <c r="AZ126" s="4">
        <f t="shared" si="48"/>
        <v>25</v>
      </c>
      <c r="BA126" s="4">
        <f t="shared" si="49"/>
        <v>12</v>
      </c>
    </row>
    <row r="127" spans="1:53" x14ac:dyDescent="0.2">
      <c r="A127" s="1" t="str">
        <f>'SegEnds_NonXtal_Prot#'!A98</f>
        <v>drd5_human</v>
      </c>
      <c r="B127" s="1" t="str">
        <f t="shared" si="25"/>
        <v>APPLGPSQVVTACLLTLLIIWTLLGNVLVCAAIVRSANMTNVFIVSLAVSDLFVALLVMPWKAVAEVGAFCDVWVAFDIMCSTASILNLCVISVDRYWAISRTQRMALVMVGLAWTLSILISFIPVQLNNRTYAISSSLISFYIPVAIMIVTYTRIYRIAQVQIRRISSLERASIKKETKVLKTLSVIMGVFVCCWLPFFILNCMVPFCSGHPAGFPCVSETTFDVFVWFGWANSSLNPVIYAFNADFQKVFAQLLGC</v>
      </c>
      <c r="C127" s="29" t="str">
        <f>IF(ISERROR(MATCH(A127,'SegEnds_Xtal_Prot#'!B:B, 0)), "NoXtal", "Xtal")</f>
        <v>NoXtal</v>
      </c>
      <c r="D127" s="4" t="str">
        <f>VLOOKUP(A127,Classification!A:D,2,FALSE)</f>
        <v>A</v>
      </c>
      <c r="E127" s="5" t="str">
        <f>VLOOKUP(A127,Seqs!A:B,2,FALSE)</f>
        <v>MLPPGSNGTAYPGQFALYQQLAQGNAVGGSAGAPPLGPSQVVTACLLTLLIIWTLLGNVLVCAAIVRSRHLRANMTNVFIVSLAVSDLFVALLVMPWKAVAEVAGYWPFGAFCDVWVAFDIMCSTASILNLCVISVDRYWAISRPFRYKRKMTQRMALVMVGLAWTLSILISFIPVQLNWHRDQAASWGGLDLPNNLANWTPWEEDFWEPDVNAENCDSSLNRTYAISSSLISFYIPVAIMIVTYTRIYRIAQVQIRRISSLERAAEHAQSCRSSAACAPDTSLRASIKKETKVLKTLSVIMGVFVCCWLPFFILNCMVPFCSGHPEGPPAGFPCVSETTFDVFVWFGWANSSLNPVIYAFNADFQKVFAQLLGCSHFCSRTPVETVNISNELISYNQDIVFHKEIAAAYIHMMPNAVTPGNREVDNDEEEGPFDRMFQIYQTSPDGDPVAESVWELDCEGEISLDKITPFTPNGFH</v>
      </c>
      <c r="F127" s="5" t="str">
        <f t="shared" si="26"/>
        <v>APPLGPSQVVTACLLTLLIIWTLLGNVLVCAAIVRS</v>
      </c>
      <c r="G127" s="4" t="str">
        <f t="shared" si="27"/>
        <v>RHLR</v>
      </c>
      <c r="H127" s="4" t="str">
        <f t="shared" si="28"/>
        <v>ANMTNVFIVSLAVSDLFVALLVMPWKAVAEV</v>
      </c>
      <c r="I127" s="4" t="str">
        <f t="shared" si="29"/>
        <v>YWPF</v>
      </c>
      <c r="J127" s="4" t="str">
        <f t="shared" si="30"/>
        <v>GAFCDVWVAFDIMCSTASILNLCVISVDRYWAISR</v>
      </c>
      <c r="K127" s="4" t="str">
        <f t="shared" si="31"/>
        <v>PFRYKRKM</v>
      </c>
      <c r="L127" s="4" t="str">
        <f t="shared" si="32"/>
        <v>TQRMALVMVGLAWTLSILISFIPVQLN</v>
      </c>
      <c r="M127" s="4" t="str">
        <f t="shared" si="33"/>
        <v>CDS</v>
      </c>
      <c r="N127" s="4" t="str">
        <f t="shared" si="34"/>
        <v>NRTYAISSSLISFYIPVAIMIVTYTRIYRIAQVQIRRISSLE</v>
      </c>
      <c r="O127" s="4" t="str">
        <f t="shared" si="35"/>
        <v>RASIKKETKVLKTLSVIMGVFVCCWLPFFILNCMVPFCSGH</v>
      </c>
      <c r="P127" s="4" t="str">
        <f t="shared" si="36"/>
        <v>PAGFPCVSETTFDVFVWFGWANSSLNPVIYAFN</v>
      </c>
      <c r="Q127" s="4" t="str">
        <f t="shared" si="37"/>
        <v>ADFQKVFAQLLGC</v>
      </c>
      <c r="R127" s="5">
        <f>VLOOKUP($A127,'SegEnds_NonXtal_Prot#'!$A:$AL,3,FALSE)</f>
        <v>33</v>
      </c>
      <c r="S127" s="5">
        <f>VLOOKUP($A127,'SegEnds_NonXtal_Prot#'!$A:$AL,6,FALSE)</f>
        <v>69</v>
      </c>
      <c r="T127" s="5">
        <f>VLOOKUP($A127,'SegEnds_NonXtal_Prot#'!$A:$AL,9,FALSE)</f>
        <v>73</v>
      </c>
      <c r="U127" s="5">
        <f>VLOOKUP($A127,'SegEnds_NonXtal_Prot#'!$A:$AL,12,FALSE)</f>
        <v>106</v>
      </c>
      <c r="V127" s="5">
        <f>VLOOKUP($A127,'SegEnds_NonXtal_Prot#'!$A:$AL,15,FALSE)</f>
        <v>110</v>
      </c>
      <c r="W127" s="5">
        <f>VLOOKUP($A127,'SegEnds_NonXtal_Prot#'!$A:$AL,18,FALSE)</f>
        <v>145</v>
      </c>
      <c r="X127" s="5">
        <f>VLOOKUP($A127,'SegEnds_NonXtal_Prot#'!$A:$AL,21,FALSE)</f>
        <v>153</v>
      </c>
      <c r="Y127" s="5">
        <f>VLOOKUP($A127,'SegEnds_NonXtal_Prot#'!$A:$AL,24,FALSE)</f>
        <v>217</v>
      </c>
      <c r="Z127" s="5">
        <f>VLOOKUP($A127,'SegEnds_NonXtal_Prot#'!$A:$AL,27,FALSE)</f>
        <v>222</v>
      </c>
      <c r="AA127" s="5">
        <f>VLOOKUP($A127,'SegEnds_NonXtal_Prot#'!$A:$AL,30,FALSE)</f>
        <v>285</v>
      </c>
      <c r="AB127" s="5">
        <f>VLOOKUP($A127,'SegEnds_NonXtal_Prot#'!$A:$AL,33,FALSE)</f>
        <v>330</v>
      </c>
      <c r="AC127" s="5">
        <f>VLOOKUP($A127,'SegEnds_NonXtal_Prot#'!$A:$AL,36,FALSE)</f>
        <v>363</v>
      </c>
      <c r="AD127" s="5">
        <f>VLOOKUP($A127,'SegEnds_NonXtal_Prot#'!$A:$AL,5,FALSE)</f>
        <v>68</v>
      </c>
      <c r="AE127" s="5">
        <f>VLOOKUP($A127,'SegEnds_NonXtal_Prot#'!$A:$AL,8,FALSE)</f>
        <v>72</v>
      </c>
      <c r="AF127" s="5">
        <f>VLOOKUP($A127,'SegEnds_NonXtal_Prot#'!$A:$AL,11,FALSE)</f>
        <v>103</v>
      </c>
      <c r="AG127" s="5">
        <f>VLOOKUP($A127,'SegEnds_NonXtal_Prot#'!$A:$AL,14,FALSE)</f>
        <v>109</v>
      </c>
      <c r="AH127" s="5">
        <f>VLOOKUP($A127,'SegEnds_NonXtal_Prot#'!$A:$AL,17,FALSE)</f>
        <v>144</v>
      </c>
      <c r="AI127" s="5">
        <f>VLOOKUP($A127,'SegEnds_NonXtal_Prot#'!$A:$AL,20,FALSE)</f>
        <v>152</v>
      </c>
      <c r="AJ127" s="5">
        <f>VLOOKUP($A127,'SegEnds_NonXtal_Prot#'!$A:$AL,23,FALSE)</f>
        <v>179</v>
      </c>
      <c r="AK127" s="5">
        <f>VLOOKUP($A127,'SegEnds_NonXtal_Prot#'!$A:$AL,26,FALSE)</f>
        <v>219</v>
      </c>
      <c r="AL127" s="5">
        <f>VLOOKUP($A127,'SegEnds_NonXtal_Prot#'!$A:$AL,29,FALSE)</f>
        <v>263</v>
      </c>
      <c r="AM127" s="5">
        <f>VLOOKUP($A127,'SegEnds_NonXtal_Prot#'!$A:$AL,32,FALSE)</f>
        <v>325</v>
      </c>
      <c r="AN127" s="5">
        <f>VLOOKUP($A127,'SegEnds_NonXtal_Prot#'!$A:$AL,35,FALSE)</f>
        <v>362</v>
      </c>
      <c r="AO127" s="5">
        <f>VLOOKUP($A127,'SegEnds_NonXtal_Prot#'!$A:$AL,38,FALSE)</f>
        <v>375</v>
      </c>
      <c r="AP127" s="5">
        <f t="shared" si="38"/>
        <v>35</v>
      </c>
      <c r="AQ127" s="4">
        <f t="shared" si="39"/>
        <v>3</v>
      </c>
      <c r="AR127" s="4">
        <f t="shared" si="40"/>
        <v>30</v>
      </c>
      <c r="AS127" s="4">
        <f t="shared" si="41"/>
        <v>3</v>
      </c>
      <c r="AT127" s="4">
        <f t="shared" si="42"/>
        <v>34</v>
      </c>
      <c r="AU127" s="4">
        <f t="shared" si="43"/>
        <v>7</v>
      </c>
      <c r="AV127" s="4">
        <f t="shared" si="44"/>
        <v>26</v>
      </c>
      <c r="AW127" s="4">
        <f t="shared" si="45"/>
        <v>2</v>
      </c>
      <c r="AX127" s="4">
        <f t="shared" si="46"/>
        <v>41</v>
      </c>
      <c r="AY127" s="4">
        <f t="shared" si="47"/>
        <v>40</v>
      </c>
      <c r="AZ127" s="4">
        <f t="shared" si="48"/>
        <v>32</v>
      </c>
      <c r="BA127" s="4">
        <f t="shared" si="49"/>
        <v>12</v>
      </c>
    </row>
    <row r="128" spans="1:53" x14ac:dyDescent="0.2">
      <c r="A128" s="1" t="str">
        <f>'SegEnds_NonXtal_Prot#'!A99</f>
        <v>ednra_human</v>
      </c>
      <c r="B128" s="1" t="str">
        <f t="shared" si="25"/>
        <v>PQQTKITSAFKYINTVISCTIFIVGMVGNATLLRIIYQNGPNALIASLALGDLIYVVIDLPINVFKLLADHNDFGVFLCKLFPFLQKSSVGITVLNLCALSVDRYRAVASIPLVTAIEIVSIWILSFILAIPEAIGFSKFMEFYQDVKDWWLFGFYFCMPLVCTAIFYTLMTCEMLNRRNGSSEHLKQRREVAKTVFCLVVIFALCWFPLHLSRILKKTVYRCELLSFLLLMDYIGINLATMNSCINPIALYFVSKKFKNCFQSCLCC</v>
      </c>
      <c r="C128" s="29" t="str">
        <f>IF(ISERROR(MATCH(A128,'SegEnds_Xtal_Prot#'!B:B, 0)), "NoXtal", "Xtal")</f>
        <v>NoXtal</v>
      </c>
      <c r="D128" s="4" t="str">
        <f>VLOOKUP(A128,Classification!A:D,2,FALSE)</f>
        <v>A</v>
      </c>
      <c r="E128" s="5" t="str">
        <f>VLOOKUP(A128,Seqs!A:B,2,FALSE)</f>
        <v>METLCLRASFWLALVGCVISDNPERYSTNLSNHVDDFTTFRGTELSFLVTTHQPTNLVLPSNGSMHNYCPQQTKITSAFKYINTVISCTIFIVGMVGNATLLRIIYQNKCMRNGPNALIASLALGDLIYVVIDLPINVFKLLAGRWPFDHNDFGVFLCKLFPFLQKSSVGITVLNLCALSVDRYRAVASWSRVQGIGIPLVTAIEIVSIWILSFILAIPEAIGFVMVPFEYRGEQHKTCMLNATSKFMEFYQDVKDWWLFGFYFCMPLVCTAIFYTLMTCEMLNRRNGSLRIALSEHLKQRREVAKTVFCLVVIFALCWFPLHLSRILKKTVYNEMDKNRCELLSFLLLMDYIGINLATMNSCINPIALYFVSKKFKNCFQSCLCCCCYQSKSLMTSVPMNGTSIQWKNHDQNNHNTDRSSHKDSMN</v>
      </c>
      <c r="F128" s="5" t="str">
        <f t="shared" si="26"/>
        <v>PQQTKITSAFKYINTVISCTIFIVGMVGNATLLRIIYQN</v>
      </c>
      <c r="G128" s="4" t="str">
        <f t="shared" si="27"/>
        <v>KCMRN</v>
      </c>
      <c r="H128" s="4" t="str">
        <f t="shared" si="28"/>
        <v>GPNALIASLALGDLIYVVIDLPINVFKLLA</v>
      </c>
      <c r="I128" s="4" t="str">
        <f t="shared" si="29"/>
        <v>RWPF</v>
      </c>
      <c r="J128" s="4" t="str">
        <f t="shared" si="30"/>
        <v>DHNDFGVFLCKLFPFLQKSSVGITVLNLCALSVDRYRAVAS</v>
      </c>
      <c r="K128" s="4" t="str">
        <f t="shared" si="31"/>
        <v>WSRVQGIG</v>
      </c>
      <c r="L128" s="4" t="str">
        <f t="shared" si="32"/>
        <v>IPLVTAIEIVSIWILSFILAIPEAIGF</v>
      </c>
      <c r="M128" s="4" t="str">
        <f t="shared" si="33"/>
        <v>CML</v>
      </c>
      <c r="N128" s="4" t="str">
        <f t="shared" si="34"/>
        <v>SKFMEFYQDVKDWWLFGFYFCMPLVCTAIFYTLMTCEMLNRRNGS</v>
      </c>
      <c r="O128" s="4" t="str">
        <f t="shared" si="35"/>
        <v>SEHLKQRREVAKTVFCLVVIFALCWFPLHLSRILKKTVY</v>
      </c>
      <c r="P128" s="4" t="str">
        <f t="shared" si="36"/>
        <v>RCELLSFLLLMDYIGINLATMNSCINPIALYFV</v>
      </c>
      <c r="Q128" s="4" t="str">
        <f t="shared" si="37"/>
        <v>SKKFKNCFQSCLCC</v>
      </c>
      <c r="R128" s="5">
        <f>VLOOKUP($A128,'SegEnds_NonXtal_Prot#'!$A:$AL,3,FALSE)</f>
        <v>70</v>
      </c>
      <c r="S128" s="5">
        <f>VLOOKUP($A128,'SegEnds_NonXtal_Prot#'!$A:$AL,6,FALSE)</f>
        <v>109</v>
      </c>
      <c r="T128" s="5">
        <f>VLOOKUP($A128,'SegEnds_NonXtal_Prot#'!$A:$AL,9,FALSE)</f>
        <v>114</v>
      </c>
      <c r="U128" s="5">
        <f>VLOOKUP($A128,'SegEnds_NonXtal_Prot#'!$A:$AL,12,FALSE)</f>
        <v>145</v>
      </c>
      <c r="V128" s="5">
        <f>VLOOKUP($A128,'SegEnds_NonXtal_Prot#'!$A:$AL,15,FALSE)</f>
        <v>149</v>
      </c>
      <c r="W128" s="5">
        <f>VLOOKUP($A128,'SegEnds_NonXtal_Prot#'!$A:$AL,18,FALSE)</f>
        <v>190</v>
      </c>
      <c r="X128" s="5">
        <f>VLOOKUP($A128,'SegEnds_NonXtal_Prot#'!$A:$AL,21,FALSE)</f>
        <v>198</v>
      </c>
      <c r="Y128" s="5">
        <f>VLOOKUP($A128,'SegEnds_NonXtal_Prot#'!$A:$AL,24,FALSE)</f>
        <v>239</v>
      </c>
      <c r="Z128" s="5">
        <f>VLOOKUP($A128,'SegEnds_NonXtal_Prot#'!$A:$AL,27,FALSE)</f>
        <v>245</v>
      </c>
      <c r="AA128" s="5">
        <f>VLOOKUP($A128,'SegEnds_NonXtal_Prot#'!$A:$AL,30,FALSE)</f>
        <v>295</v>
      </c>
      <c r="AB128" s="5">
        <f>VLOOKUP($A128,'SegEnds_NonXtal_Prot#'!$A:$AL,33,FALSE)</f>
        <v>340</v>
      </c>
      <c r="AC128" s="5">
        <f>VLOOKUP($A128,'SegEnds_NonXtal_Prot#'!$A:$AL,36,FALSE)</f>
        <v>373</v>
      </c>
      <c r="AD128" s="5">
        <f>VLOOKUP($A128,'SegEnds_NonXtal_Prot#'!$A:$AL,5,FALSE)</f>
        <v>108</v>
      </c>
      <c r="AE128" s="5">
        <f>VLOOKUP($A128,'SegEnds_NonXtal_Prot#'!$A:$AL,8,FALSE)</f>
        <v>113</v>
      </c>
      <c r="AF128" s="5">
        <f>VLOOKUP($A128,'SegEnds_NonXtal_Prot#'!$A:$AL,11,FALSE)</f>
        <v>143</v>
      </c>
      <c r="AG128" s="5">
        <f>VLOOKUP($A128,'SegEnds_NonXtal_Prot#'!$A:$AL,14,FALSE)</f>
        <v>148</v>
      </c>
      <c r="AH128" s="5">
        <f>VLOOKUP($A128,'SegEnds_NonXtal_Prot#'!$A:$AL,17,FALSE)</f>
        <v>189</v>
      </c>
      <c r="AI128" s="5">
        <f>VLOOKUP($A128,'SegEnds_NonXtal_Prot#'!$A:$AL,20,FALSE)</f>
        <v>197</v>
      </c>
      <c r="AJ128" s="5">
        <f>VLOOKUP($A128,'SegEnds_NonXtal_Prot#'!$A:$AL,23,FALSE)</f>
        <v>224</v>
      </c>
      <c r="AK128" s="5">
        <f>VLOOKUP($A128,'SegEnds_NonXtal_Prot#'!$A:$AL,26,FALSE)</f>
        <v>241</v>
      </c>
      <c r="AL128" s="5">
        <f>VLOOKUP($A128,'SegEnds_NonXtal_Prot#'!$A:$AL,29,FALSE)</f>
        <v>289</v>
      </c>
      <c r="AM128" s="5">
        <f>VLOOKUP($A128,'SegEnds_NonXtal_Prot#'!$A:$AL,32,FALSE)</f>
        <v>333</v>
      </c>
      <c r="AN128" s="5">
        <f>VLOOKUP($A128,'SegEnds_NonXtal_Prot#'!$A:$AL,35,FALSE)</f>
        <v>372</v>
      </c>
      <c r="AO128" s="5">
        <f>VLOOKUP($A128,'SegEnds_NonXtal_Prot#'!$A:$AL,38,FALSE)</f>
        <v>386</v>
      </c>
      <c r="AP128" s="5">
        <f t="shared" si="38"/>
        <v>38</v>
      </c>
      <c r="AQ128" s="4">
        <f t="shared" si="39"/>
        <v>4</v>
      </c>
      <c r="AR128" s="4">
        <f t="shared" si="40"/>
        <v>29</v>
      </c>
      <c r="AS128" s="4">
        <f t="shared" si="41"/>
        <v>3</v>
      </c>
      <c r="AT128" s="4">
        <f t="shared" si="42"/>
        <v>40</v>
      </c>
      <c r="AU128" s="4">
        <f t="shared" si="43"/>
        <v>7</v>
      </c>
      <c r="AV128" s="4">
        <f t="shared" si="44"/>
        <v>26</v>
      </c>
      <c r="AW128" s="4">
        <f t="shared" si="45"/>
        <v>2</v>
      </c>
      <c r="AX128" s="4">
        <f t="shared" si="46"/>
        <v>44</v>
      </c>
      <c r="AY128" s="4">
        <f t="shared" si="47"/>
        <v>38</v>
      </c>
      <c r="AZ128" s="4">
        <f t="shared" si="48"/>
        <v>32</v>
      </c>
      <c r="BA128" s="4">
        <f t="shared" si="49"/>
        <v>13</v>
      </c>
    </row>
    <row r="129" spans="1:53" x14ac:dyDescent="0.2">
      <c r="A129" s="1" t="str">
        <f>'SegEnds_NonXtal_Prot#'!A100</f>
        <v>ednrb_human</v>
      </c>
      <c r="B129" s="1" t="str">
        <f t="shared" si="25"/>
        <v>QGPIEIKETFKYINTVVSCLVFVLGIIGNSTLLRIIYKNGPNILIASLALGDLLHIVIDIPINVYKLLAGAEMCKLVPFIQKASVGITVLSLCALSIDRYRAVASVPKWTAVEIVLIWVVSVVLAVPEAIGFTAFMQFYKTAKDWWLFSFYFCLPLAITAFFYTLMTCEMLRKKSGMNDHLKQRREVAKTVFCLVLVFALCWLPLHLSRILKLTLYRCELLSFLLVLDYIGINMASLNSCINPIALYLVSKRFKNCFKSCLCC</v>
      </c>
      <c r="C129" s="29" t="str">
        <f>IF(ISERROR(MATCH(A129,'SegEnds_Xtal_Prot#'!B:B, 0)), "NoXtal", "Xtal")</f>
        <v>Xtal</v>
      </c>
      <c r="D129" s="4" t="str">
        <f>VLOOKUP(A129,Classification!A:D,2,FALSE)</f>
        <v>A</v>
      </c>
      <c r="E129" s="5" t="str">
        <f>VLOOKUP(A129,Seqs!A:B,2,FALSE)</f>
        <v>MQPPPSLCGRALVALVLACGLSRIWGEERGFPPDRATPLLQTAEIMTPPTKTLWPKGSNASLARSLAPAEVPKGDRTAGSPPRTISPPPCQGPIEIKETFKYINTVVSCLVFVLGIIGNSTLLRIIYKNKCMRNGPNILIASLALGDLLHIVIDIPINVYKLLAEDWPFGAEMCKLVPFIQKASVGITVLSLCALSIDRYRAVASWSRIKGIGVPKWTAVEIVLIWVVSVVLAVPEAIGFDIITMDYKGSYLRICLLHPVQKTAFMQFYKTAKDWWLFSFYFCLPLAITAFFYTLMTCEMLRKKSGMQIALNDHLKQRREVAKTVFCLVLVFALCWLPLHLSRILKLTLYNQNDPNRCELLSFLLVLDYIGINMASLNSCINPIALYLVSKRFKNCFKSCLCCWCQSFEEKQSLEEKQSCLKFKANDHGYDNFRSSNKYSSS</v>
      </c>
      <c r="F129" s="5" t="str">
        <f t="shared" si="26"/>
        <v>QGPIEIKETFKYINTVVSCLVFVLGIIGNSTLLRIIYKN</v>
      </c>
      <c r="G129" s="4" t="str">
        <f t="shared" si="27"/>
        <v>KCMRN</v>
      </c>
      <c r="H129" s="4" t="str">
        <f t="shared" si="28"/>
        <v>GPNILIASLALGDLLHIVIDIPINVYKLLA</v>
      </c>
      <c r="I129" s="4" t="str">
        <f t="shared" si="29"/>
        <v>DWPF</v>
      </c>
      <c r="J129" s="4" t="str">
        <f t="shared" si="30"/>
        <v>GAEMCKLVPFIQKASVGITVLSLCALSIDRYRAVAS</v>
      </c>
      <c r="K129" s="4" t="str">
        <f t="shared" si="31"/>
        <v>WSRIKGIG</v>
      </c>
      <c r="L129" s="4" t="str">
        <f t="shared" si="32"/>
        <v>VPKWTAVEIVLIWVVSVVLAVPEAIGF</v>
      </c>
      <c r="M129" s="4" t="str">
        <f t="shared" si="33"/>
        <v>CLL</v>
      </c>
      <c r="N129" s="4" t="str">
        <f t="shared" si="34"/>
        <v>TAFMQFYKTAKDWWLFSFYFCLPLAITAFFYTLMTCEMLRKKSGM</v>
      </c>
      <c r="O129" s="4" t="str">
        <f t="shared" si="35"/>
        <v>NDHLKQRREVAKTVFCLVLVFALCWLPLHLSRILKLTLY</v>
      </c>
      <c r="P129" s="4" t="str">
        <f t="shared" si="36"/>
        <v>RCELLSFLLVLDYIGINMASLNSCINPIALYLV</v>
      </c>
      <c r="Q129" s="4" t="str">
        <f t="shared" si="37"/>
        <v>SKRFKNCFKSCLCC</v>
      </c>
      <c r="R129" s="5">
        <f>VLOOKUP($A129,'SegEnds_NonXtal_Prot#'!$A:$AL,3,FALSE)</f>
        <v>91</v>
      </c>
      <c r="S129" s="5">
        <f>VLOOKUP($A129,'SegEnds_NonXtal_Prot#'!$A:$AL,6,FALSE)</f>
        <v>130</v>
      </c>
      <c r="T129" s="5">
        <f>VLOOKUP($A129,'SegEnds_NonXtal_Prot#'!$A:$AL,9,FALSE)</f>
        <v>135</v>
      </c>
      <c r="U129" s="5">
        <f>VLOOKUP($A129,'SegEnds_NonXtal_Prot#'!$A:$AL,12,FALSE)</f>
        <v>166</v>
      </c>
      <c r="V129" s="5">
        <f>VLOOKUP($A129,'SegEnds_NonXtal_Prot#'!$A:$AL,15,FALSE)</f>
        <v>170</v>
      </c>
      <c r="W129" s="5">
        <f>VLOOKUP($A129,'SegEnds_NonXtal_Prot#'!$A:$AL,18,FALSE)</f>
        <v>206</v>
      </c>
      <c r="X129" s="5">
        <f>VLOOKUP($A129,'SegEnds_NonXtal_Prot#'!$A:$AL,21,FALSE)</f>
        <v>214</v>
      </c>
      <c r="Y129" s="5">
        <f>VLOOKUP($A129,'SegEnds_NonXtal_Prot#'!$A:$AL,24,FALSE)</f>
        <v>255</v>
      </c>
      <c r="Z129" s="5">
        <f>VLOOKUP($A129,'SegEnds_NonXtal_Prot#'!$A:$AL,27,FALSE)</f>
        <v>263</v>
      </c>
      <c r="AA129" s="5">
        <f>VLOOKUP($A129,'SegEnds_NonXtal_Prot#'!$A:$AL,30,FALSE)</f>
        <v>312</v>
      </c>
      <c r="AB129" s="5">
        <f>VLOOKUP($A129,'SegEnds_NonXtal_Prot#'!$A:$AL,33,FALSE)</f>
        <v>357</v>
      </c>
      <c r="AC129" s="5">
        <f>VLOOKUP($A129,'SegEnds_NonXtal_Prot#'!$A:$AL,36,FALSE)</f>
        <v>390</v>
      </c>
      <c r="AD129" s="5">
        <f>VLOOKUP($A129,'SegEnds_NonXtal_Prot#'!$A:$AL,5,FALSE)</f>
        <v>129</v>
      </c>
      <c r="AE129" s="5">
        <f>VLOOKUP($A129,'SegEnds_NonXtal_Prot#'!$A:$AL,8,FALSE)</f>
        <v>134</v>
      </c>
      <c r="AF129" s="5">
        <f>VLOOKUP($A129,'SegEnds_NonXtal_Prot#'!$A:$AL,11,FALSE)</f>
        <v>164</v>
      </c>
      <c r="AG129" s="5">
        <f>VLOOKUP($A129,'SegEnds_NonXtal_Prot#'!$A:$AL,14,FALSE)</f>
        <v>169</v>
      </c>
      <c r="AH129" s="5">
        <f>VLOOKUP($A129,'SegEnds_NonXtal_Prot#'!$A:$AL,17,FALSE)</f>
        <v>205</v>
      </c>
      <c r="AI129" s="5">
        <f>VLOOKUP($A129,'SegEnds_NonXtal_Prot#'!$A:$AL,20,FALSE)</f>
        <v>213</v>
      </c>
      <c r="AJ129" s="5">
        <f>VLOOKUP($A129,'SegEnds_NonXtal_Prot#'!$A:$AL,23,FALSE)</f>
        <v>240</v>
      </c>
      <c r="AK129" s="5">
        <f>VLOOKUP($A129,'SegEnds_NonXtal_Prot#'!$A:$AL,26,FALSE)</f>
        <v>257</v>
      </c>
      <c r="AL129" s="5">
        <f>VLOOKUP($A129,'SegEnds_NonXtal_Prot#'!$A:$AL,29,FALSE)</f>
        <v>307</v>
      </c>
      <c r="AM129" s="5">
        <f>VLOOKUP($A129,'SegEnds_NonXtal_Prot#'!$A:$AL,32,FALSE)</f>
        <v>350</v>
      </c>
      <c r="AN129" s="5">
        <f>VLOOKUP($A129,'SegEnds_NonXtal_Prot#'!$A:$AL,35,FALSE)</f>
        <v>389</v>
      </c>
      <c r="AO129" s="5">
        <f>VLOOKUP($A129,'SegEnds_NonXtal_Prot#'!$A:$AL,38,FALSE)</f>
        <v>403</v>
      </c>
      <c r="AP129" s="5">
        <f t="shared" si="38"/>
        <v>38</v>
      </c>
      <c r="AQ129" s="4">
        <f t="shared" si="39"/>
        <v>4</v>
      </c>
      <c r="AR129" s="4">
        <f t="shared" si="40"/>
        <v>29</v>
      </c>
      <c r="AS129" s="4">
        <f t="shared" si="41"/>
        <v>3</v>
      </c>
      <c r="AT129" s="4">
        <f t="shared" si="42"/>
        <v>35</v>
      </c>
      <c r="AU129" s="4">
        <f t="shared" si="43"/>
        <v>7</v>
      </c>
      <c r="AV129" s="4">
        <f t="shared" si="44"/>
        <v>26</v>
      </c>
      <c r="AW129" s="4">
        <f t="shared" si="45"/>
        <v>2</v>
      </c>
      <c r="AX129" s="4">
        <f t="shared" si="46"/>
        <v>44</v>
      </c>
      <c r="AY129" s="4">
        <f t="shared" si="47"/>
        <v>38</v>
      </c>
      <c r="AZ129" s="4">
        <f t="shared" si="48"/>
        <v>32</v>
      </c>
      <c r="BA129" s="4">
        <f t="shared" si="49"/>
        <v>13</v>
      </c>
    </row>
    <row r="130" spans="1:53" x14ac:dyDescent="0.2">
      <c r="A130" s="1" t="str">
        <f>'SegEnds_NonXtal_Prot#'!A101</f>
        <v>etbr2_human</v>
      </c>
      <c r="B130" s="1" t="str">
        <f t="shared" ref="B130:B193" si="50">F130&amp;H130&amp;J130&amp;L130&amp;N130&amp;O130&amp;P130&amp;Q130</f>
        <v>LYPVTESSYSAYAIMLLALVVFAVGIVGNLSVMCIVWHSSAWNSILASLALWDFLVLFFCLPIVIFNEITGDVSCRAVPFMEVSSLGVTTFSLCALGIDRFHVATSRCQSILAKLAVIWVGSMTLAVPELLLWYSLVMTYQNARMWWYFGCYFCLPILFTVTCQLVTWRVRGPPGRKSSKHEQCESQLNSTVVGLTVVYAFCTLPENVCNIVVAYLTELTRQTLDLLGLINQFSTFFKGAITPVLLLCICRPLGQAFLDCCCC</v>
      </c>
      <c r="C130" s="29" t="str">
        <f>IF(ISERROR(MATCH(A130,'SegEnds_Xtal_Prot#'!B:B, 0)), "NoXtal", "Xtal")</f>
        <v>NoXtal</v>
      </c>
      <c r="D130" s="4" t="str">
        <f>VLOOKUP(A130,Classification!A:D,2,FALSE)</f>
        <v>A</v>
      </c>
      <c r="E130" s="5" t="str">
        <f>VLOOKUP(A130,Seqs!A:B,2,FALSE)</f>
        <v>MRWLWPLAVSLAVILAVGLSRVSGGAPLHLGRHRAETQEQQSRSKRGTEDEEAKGVQQYVPEEWAEYPRPIHPAGLQPTKPLVATSPNPGKDGGTPDSGQELRGNLTGAPGQRLQIQNPLYPVTESSYSAYAIMLLALVVFAVGIVGNLSVMCIVWHSYYLKSAWNSILASLALWDFLVLFFCLPIVIFNEITKQRLLGDVSCRAVPFMEVSSLGVTTFSLCALGIDRFHVATSTLPKVRPIERCQSILAKLAVIWVGSMTLAVPELLLWQLAQEPAPTMGTLDSCIMKPSASLPESLYSLVMTYQNARMWWYFGCYFCLPILFTVTCQLVTWRVRGPPGRKSECRASKHEQCESQLNSTVVGLTVVYAFCTLPENVCNIVVAYLSTELTRQTLDLLGLINQFSTFFKGAITPVLLLCICRPLGQAFLDCCCCCCCEECGGASEASAANGSDNKLKTEVSSSIYFHKPRESPPLLPLGTPC</v>
      </c>
      <c r="F130" s="5" t="str">
        <f t="shared" ref="F130:F193" si="51">IFERROR(MID($E130,R130,(AP130+1)),"")</f>
        <v>LYPVTESSYSAYAIMLLALVVFAVGIVGNLSVMCIVWHS</v>
      </c>
      <c r="G130" s="4" t="str">
        <f t="shared" ref="G130:G193" si="52">IFERROR(MID($E130,S130,(AQ130+1)),"")</f>
        <v>YYLK</v>
      </c>
      <c r="H130" s="4" t="str">
        <f t="shared" ref="H130:H193" si="53">IFERROR(MID($E130,T130,(AR130+1)),"")</f>
        <v>SAWNSILASLALWDFLVLFFCLPIVIFNEIT</v>
      </c>
      <c r="I130" s="4" t="str">
        <f t="shared" ref="I130:I193" si="54">IFERROR(MID($E130,U130,(AS130+1)),"")</f>
        <v/>
      </c>
      <c r="J130" s="4" t="str">
        <f t="shared" ref="J130:J193" si="55">IFERROR(MID($E130,V130,(AT130+1)),"")</f>
        <v>GDVSCRAVPFMEVSSLGVTTFSLCALGIDRFHVATS</v>
      </c>
      <c r="K130" s="4" t="str">
        <f t="shared" ref="K130:K193" si="56">IFERROR(MID($E130,W130,(AU130+1)),"")</f>
        <v>LPKVRPIE</v>
      </c>
      <c r="L130" s="4" t="str">
        <f t="shared" ref="L130:L193" si="57">IFERROR(MID($E130,X130,(AV130+1)),"")</f>
        <v>RCQSILAKLAVIWVGSMTLAVPELLLW</v>
      </c>
      <c r="M130" s="4" t="str">
        <f t="shared" ref="M130:M193" si="58">IFERROR(MID($E130,Y130,(AW130+1)),"")</f>
        <v>CIM</v>
      </c>
      <c r="N130" s="4" t="str">
        <f t="shared" ref="N130:N193" si="59">IFERROR(MID($E130,Z130,(AX130+1)),"")</f>
        <v>YSLVMTYQNARMWWYFGCYFCLPILFTVTCQLVTWRVRGPPGRKS</v>
      </c>
      <c r="O130" s="4" t="str">
        <f t="shared" ref="O130:O193" si="60">IFERROR(MID($E130,AA130,(AY130+1)),"")</f>
        <v>SKHEQCESQLNSTVVGLTVVYAFCTLPENVCNIVVAYL</v>
      </c>
      <c r="P130" s="4" t="str">
        <f t="shared" ref="P130:P193" si="61">IFERROR(MID($E130,AB130,(AZ130+1)),"")</f>
        <v>TELTRQTLDLLGLINQFSTFFKGAITPVLLLCI</v>
      </c>
      <c r="Q130" s="4" t="str">
        <f t="shared" ref="Q130:Q193" si="62">IFERROR(MID($E130,AC130,(BA130+1)),"")</f>
        <v>CRPLGQAFLDCCCC</v>
      </c>
      <c r="R130" s="5">
        <f>VLOOKUP($A130,'SegEnds_NonXtal_Prot#'!$A:$AL,3,FALSE)</f>
        <v>120</v>
      </c>
      <c r="S130" s="5">
        <f>VLOOKUP($A130,'SegEnds_NonXtal_Prot#'!$A:$AL,6,FALSE)</f>
        <v>159</v>
      </c>
      <c r="T130" s="5">
        <f>VLOOKUP($A130,'SegEnds_NonXtal_Prot#'!$A:$AL,9,FALSE)</f>
        <v>163</v>
      </c>
      <c r="U130" s="5" t="str">
        <f>VLOOKUP($A130,'SegEnds_NonXtal_Prot#'!$A:$AL,12,FALSE)</f>
        <v>-</v>
      </c>
      <c r="V130" s="5">
        <f>VLOOKUP($A130,'SegEnds_NonXtal_Prot#'!$A:$AL,15,FALSE)</f>
        <v>199</v>
      </c>
      <c r="W130" s="5">
        <f>VLOOKUP($A130,'SegEnds_NonXtal_Prot#'!$A:$AL,18,FALSE)</f>
        <v>236</v>
      </c>
      <c r="X130" s="5">
        <f>VLOOKUP($A130,'SegEnds_NonXtal_Prot#'!$A:$AL,21,FALSE)</f>
        <v>244</v>
      </c>
      <c r="Y130" s="5">
        <f>VLOOKUP($A130,'SegEnds_NonXtal_Prot#'!$A:$AL,24,FALSE)</f>
        <v>286</v>
      </c>
      <c r="Z130" s="5">
        <f>VLOOKUP($A130,'SegEnds_NonXtal_Prot#'!$A:$AL,27,FALSE)</f>
        <v>299</v>
      </c>
      <c r="AA130" s="5">
        <f>VLOOKUP($A130,'SegEnds_NonXtal_Prot#'!$A:$AL,30,FALSE)</f>
        <v>348</v>
      </c>
      <c r="AB130" s="5">
        <f>VLOOKUP($A130,'SegEnds_NonXtal_Prot#'!$A:$AL,33,FALSE)</f>
        <v>387</v>
      </c>
      <c r="AC130" s="5">
        <f>VLOOKUP($A130,'SegEnds_NonXtal_Prot#'!$A:$AL,36,FALSE)</f>
        <v>420</v>
      </c>
      <c r="AD130" s="5">
        <f>VLOOKUP($A130,'SegEnds_NonXtal_Prot#'!$A:$AL,5,FALSE)</f>
        <v>158</v>
      </c>
      <c r="AE130" s="5">
        <f>VLOOKUP($A130,'SegEnds_NonXtal_Prot#'!$A:$AL,8,FALSE)</f>
        <v>162</v>
      </c>
      <c r="AF130" s="5">
        <f>VLOOKUP($A130,'SegEnds_NonXtal_Prot#'!$A:$AL,11,FALSE)</f>
        <v>193</v>
      </c>
      <c r="AG130" s="5" t="str">
        <f>VLOOKUP($A130,'SegEnds_NonXtal_Prot#'!$A:$AL,14,FALSE)</f>
        <v>-</v>
      </c>
      <c r="AH130" s="5">
        <f>VLOOKUP($A130,'SegEnds_NonXtal_Prot#'!$A:$AL,17,FALSE)</f>
        <v>234</v>
      </c>
      <c r="AI130" s="5">
        <f>VLOOKUP($A130,'SegEnds_NonXtal_Prot#'!$A:$AL,20,FALSE)</f>
        <v>243</v>
      </c>
      <c r="AJ130" s="5">
        <f>VLOOKUP($A130,'SegEnds_NonXtal_Prot#'!$A:$AL,23,FALSE)</f>
        <v>270</v>
      </c>
      <c r="AK130" s="5">
        <f>VLOOKUP($A130,'SegEnds_NonXtal_Prot#'!$A:$AL,26,FALSE)</f>
        <v>288</v>
      </c>
      <c r="AL130" s="5">
        <f>VLOOKUP($A130,'SegEnds_NonXtal_Prot#'!$A:$AL,29,FALSE)</f>
        <v>343</v>
      </c>
      <c r="AM130" s="5">
        <f>VLOOKUP($A130,'SegEnds_NonXtal_Prot#'!$A:$AL,32,FALSE)</f>
        <v>385</v>
      </c>
      <c r="AN130" s="5">
        <f>VLOOKUP($A130,'SegEnds_NonXtal_Prot#'!$A:$AL,35,FALSE)</f>
        <v>419</v>
      </c>
      <c r="AO130" s="5">
        <f>VLOOKUP($A130,'SegEnds_NonXtal_Prot#'!$A:$AL,38,FALSE)</f>
        <v>433</v>
      </c>
      <c r="AP130" s="5">
        <f t="shared" ref="AP130:AP193" si="63">IFERROR(AD130-R130,"-")</f>
        <v>38</v>
      </c>
      <c r="AQ130" s="4">
        <f t="shared" ref="AQ130:AQ193" si="64">IFERROR(AE130-S130,"-")</f>
        <v>3</v>
      </c>
      <c r="AR130" s="4">
        <f t="shared" ref="AR130:AR193" si="65">IFERROR(AF130-T130,"-")</f>
        <v>30</v>
      </c>
      <c r="AS130" s="4" t="str">
        <f t="shared" ref="AS130:AS193" si="66">IFERROR(AG130-U130,"-")</f>
        <v>-</v>
      </c>
      <c r="AT130" s="4">
        <f t="shared" ref="AT130:AT193" si="67">IFERROR(AH130-V130,"-")</f>
        <v>35</v>
      </c>
      <c r="AU130" s="4">
        <f t="shared" ref="AU130:AU193" si="68">IFERROR(AI130-W130,"-")</f>
        <v>7</v>
      </c>
      <c r="AV130" s="4">
        <f t="shared" ref="AV130:AV193" si="69">IFERROR(AJ130-X130,"-")</f>
        <v>26</v>
      </c>
      <c r="AW130" s="4">
        <f t="shared" ref="AW130:AW193" si="70">IFERROR(AK130-Y130,"-")</f>
        <v>2</v>
      </c>
      <c r="AX130" s="4">
        <f t="shared" ref="AX130:AX193" si="71">IFERROR(AL130-Z130,"-")</f>
        <v>44</v>
      </c>
      <c r="AY130" s="4">
        <f t="shared" ref="AY130:AY193" si="72">IFERROR(AM130-AA130,"-")</f>
        <v>37</v>
      </c>
      <c r="AZ130" s="4">
        <f t="shared" ref="AZ130:AZ193" si="73">IFERROR(AN130-AB130,"-")</f>
        <v>32</v>
      </c>
      <c r="BA130" s="4">
        <f t="shared" ref="BA130:BA193" si="74">IFERROR(AO130-AC130,"-")</f>
        <v>13</v>
      </c>
    </row>
    <row r="131" spans="1:53" x14ac:dyDescent="0.2">
      <c r="A131" s="1" t="str">
        <f>'SegEnds_NonXtal_Prot#'!A102</f>
        <v>ffar1_human</v>
      </c>
      <c r="B131" s="1" t="str">
        <f t="shared" si="50"/>
        <v>PPQLSFGLYVAAFALGFPLNVLAIRGATAHARLRTPSLVYALNLGCSDLLLTVSLPLKAVEALASPASLCPVFAVAHFFPLYAGGGFLAALSAGRYLGAAFRPCYSWGVCAAIWALVLCHLGLVFGLEADPASAGPARFSLSLLLFFLPLAITAFCYVGCLRALARRRKLRAAWVAGGALLTLLLCVGPYNASNVASFLYGSWRKLGLITGAWSVVLNPLVTGYLGRGPGLKTVCAARTQ</v>
      </c>
      <c r="C131" s="29" t="str">
        <f>IF(ISERROR(MATCH(A131,'SegEnds_Xtal_Prot#'!B:B, 0)), "NoXtal", "Xtal")</f>
        <v>Xtal</v>
      </c>
      <c r="D131" s="4" t="str">
        <f>VLOOKUP(A131,Classification!A:D,2,FALSE)</f>
        <v>A</v>
      </c>
      <c r="E131" s="5" t="str">
        <f>VLOOKUP(A131,Seqs!A:B,2,FALSE)</f>
        <v>MDLPPQLSFGLYVAAFALGFPLNVLAIRGATAHARLRLTPSLVYALNLGCSDLLLTVSLPLKAVEALASGAWPLPASLCPVFAVAHFFPLYAGGGFLAALSAGRYLGAAFPLGYQAFRRPCYSWGVCAAIWALVLCHLGLVFGLEAPGGWLDHSNTSLGINTPVNGSPVCLEAWDPASAGPARFSLSLLLFFLPLAITAFCYVGCLRALARSGLTHRRKLRAAWVAGGALLTLLLCVGPYNASNVASFLYPNLGGSWRKLGLITGAWSVVLNPLVTGYLGRGPGLKTVCAARTQGGKSQK</v>
      </c>
      <c r="F131" s="5" t="str">
        <f t="shared" si="51"/>
        <v>PPQLSFGLYVAAFALGFPLNVLAIRGATAHARLR</v>
      </c>
      <c r="G131" s="4" t="str">
        <f t="shared" si="52"/>
        <v/>
      </c>
      <c r="H131" s="4" t="str">
        <f t="shared" si="53"/>
        <v>TPSLVYALNLGCSDLLLTVSLPLKAVEALAS</v>
      </c>
      <c r="I131" s="4" t="str">
        <f t="shared" si="54"/>
        <v>AWPL</v>
      </c>
      <c r="J131" s="4" t="str">
        <f t="shared" si="55"/>
        <v>PASLCPVFAVAHFFPLYAGGGFLAALSAGRYLGAAF</v>
      </c>
      <c r="K131" s="4" t="str">
        <f t="shared" si="56"/>
        <v>PLGYQAFR</v>
      </c>
      <c r="L131" s="4" t="str">
        <f t="shared" si="57"/>
        <v>RPCYSWGVCAAIWALVLCHLGLVFGLEA</v>
      </c>
      <c r="M131" s="4" t="str">
        <f t="shared" si="58"/>
        <v>CLE</v>
      </c>
      <c r="N131" s="4" t="str">
        <f t="shared" si="59"/>
        <v>DPASAGPARFSLSLLLFFLPLAITAFCYVGCLRALAR</v>
      </c>
      <c r="O131" s="4" t="str">
        <f t="shared" si="60"/>
        <v>RRKLRAAWVAGGALLTLLLCVGPYNASNVASFLY</v>
      </c>
      <c r="P131" s="4" t="str">
        <f t="shared" si="61"/>
        <v>GSWRKLGLITGAWSVVLNPLVTGYL</v>
      </c>
      <c r="Q131" s="4" t="str">
        <f t="shared" si="62"/>
        <v>GRGPGLKTVCAARTQ</v>
      </c>
      <c r="R131" s="5">
        <f>VLOOKUP($A131,'SegEnds_NonXtal_Prot#'!$A:$AL,3,FALSE)</f>
        <v>4</v>
      </c>
      <c r="S131" s="5" t="str">
        <f>VLOOKUP($A131,'SegEnds_NonXtal_Prot#'!$A:$AL,6,FALSE)</f>
        <v>-</v>
      </c>
      <c r="T131" s="5">
        <f>VLOOKUP($A131,'SegEnds_NonXtal_Prot#'!$A:$AL,9,FALSE)</f>
        <v>39</v>
      </c>
      <c r="U131" s="5">
        <f>VLOOKUP($A131,'SegEnds_NonXtal_Prot#'!$A:$AL,12,FALSE)</f>
        <v>71</v>
      </c>
      <c r="V131" s="5">
        <f>VLOOKUP($A131,'SegEnds_NonXtal_Prot#'!$A:$AL,15,FALSE)</f>
        <v>75</v>
      </c>
      <c r="W131" s="5">
        <f>VLOOKUP($A131,'SegEnds_NonXtal_Prot#'!$A:$AL,18,FALSE)</f>
        <v>111</v>
      </c>
      <c r="X131" s="5">
        <f>VLOOKUP($A131,'SegEnds_NonXtal_Prot#'!$A:$AL,21,FALSE)</f>
        <v>119</v>
      </c>
      <c r="Y131" s="5">
        <f>VLOOKUP($A131,'SegEnds_NonXtal_Prot#'!$A:$AL,24,FALSE)</f>
        <v>170</v>
      </c>
      <c r="Z131" s="5">
        <f>VLOOKUP($A131,'SegEnds_NonXtal_Prot#'!$A:$AL,27,FALSE)</f>
        <v>175</v>
      </c>
      <c r="AA131" s="5">
        <f>VLOOKUP($A131,'SegEnds_NonXtal_Prot#'!$A:$AL,30,FALSE)</f>
        <v>217</v>
      </c>
      <c r="AB131" s="5">
        <f>VLOOKUP($A131,'SegEnds_NonXtal_Prot#'!$A:$AL,33,FALSE)</f>
        <v>255</v>
      </c>
      <c r="AC131" s="5">
        <f>VLOOKUP($A131,'SegEnds_NonXtal_Prot#'!$A:$AL,36,FALSE)</f>
        <v>280</v>
      </c>
      <c r="AD131" s="5">
        <f>VLOOKUP($A131,'SegEnds_NonXtal_Prot#'!$A:$AL,5,FALSE)</f>
        <v>37</v>
      </c>
      <c r="AE131" s="5" t="str">
        <f>VLOOKUP($A131,'SegEnds_NonXtal_Prot#'!$A:$AL,8,FALSE)</f>
        <v>-</v>
      </c>
      <c r="AF131" s="5">
        <f>VLOOKUP($A131,'SegEnds_NonXtal_Prot#'!$A:$AL,11,FALSE)</f>
        <v>69</v>
      </c>
      <c r="AG131" s="5">
        <f>VLOOKUP($A131,'SegEnds_NonXtal_Prot#'!$A:$AL,14,FALSE)</f>
        <v>74</v>
      </c>
      <c r="AH131" s="5">
        <f>VLOOKUP($A131,'SegEnds_NonXtal_Prot#'!$A:$AL,17,FALSE)</f>
        <v>110</v>
      </c>
      <c r="AI131" s="5">
        <f>VLOOKUP($A131,'SegEnds_NonXtal_Prot#'!$A:$AL,20,FALSE)</f>
        <v>118</v>
      </c>
      <c r="AJ131" s="5">
        <f>VLOOKUP($A131,'SegEnds_NonXtal_Prot#'!$A:$AL,23,FALSE)</f>
        <v>146</v>
      </c>
      <c r="AK131" s="5">
        <f>VLOOKUP($A131,'SegEnds_NonXtal_Prot#'!$A:$AL,26,FALSE)</f>
        <v>172</v>
      </c>
      <c r="AL131" s="5">
        <f>VLOOKUP($A131,'SegEnds_NonXtal_Prot#'!$A:$AL,29,FALSE)</f>
        <v>211</v>
      </c>
      <c r="AM131" s="5">
        <f>VLOOKUP($A131,'SegEnds_NonXtal_Prot#'!$A:$AL,32,FALSE)</f>
        <v>250</v>
      </c>
      <c r="AN131" s="5">
        <f>VLOOKUP($A131,'SegEnds_NonXtal_Prot#'!$A:$AL,35,FALSE)</f>
        <v>279</v>
      </c>
      <c r="AO131" s="5">
        <f>VLOOKUP($A131,'SegEnds_NonXtal_Prot#'!$A:$AL,38,FALSE)</f>
        <v>294</v>
      </c>
      <c r="AP131" s="5">
        <f t="shared" si="63"/>
        <v>33</v>
      </c>
      <c r="AQ131" s="4" t="str">
        <f t="shared" si="64"/>
        <v>-</v>
      </c>
      <c r="AR131" s="4">
        <f t="shared" si="65"/>
        <v>30</v>
      </c>
      <c r="AS131" s="4">
        <f t="shared" si="66"/>
        <v>3</v>
      </c>
      <c r="AT131" s="4">
        <f t="shared" si="67"/>
        <v>35</v>
      </c>
      <c r="AU131" s="4">
        <f t="shared" si="68"/>
        <v>7</v>
      </c>
      <c r="AV131" s="4">
        <f t="shared" si="69"/>
        <v>27</v>
      </c>
      <c r="AW131" s="4">
        <f t="shared" si="70"/>
        <v>2</v>
      </c>
      <c r="AX131" s="4">
        <f t="shared" si="71"/>
        <v>36</v>
      </c>
      <c r="AY131" s="4">
        <f t="shared" si="72"/>
        <v>33</v>
      </c>
      <c r="AZ131" s="4">
        <f t="shared" si="73"/>
        <v>24</v>
      </c>
      <c r="BA131" s="4">
        <f t="shared" si="74"/>
        <v>14</v>
      </c>
    </row>
    <row r="132" spans="1:53" x14ac:dyDescent="0.2">
      <c r="A132" s="1" t="str">
        <f>'SegEnds_NonXtal_Prot#'!A103</f>
        <v>ffar2_human</v>
      </c>
      <c r="B132" s="1" t="str">
        <f t="shared" si="50"/>
        <v>PDWKSSLILMAYIIIFLTGLPANLLALRAFVGRAPVHILLLSLTLADLLLLLLLPFKIIEAASPKVVCALTSFGFYSSIYCSTWLLAGISIERYLGVAFRPLYGVIAALVAWVMSFGHCTIVIIQLDVVLPVRLELCLVLFFIPMAVTIFCYWRFVWIMLSGAQRRRRAVGLAVVTLLNFLVCFGPYNVSHLVGYHQWWRSIAVVFSSLNASLDPLLFYFSSSVVRRAFGRGLQVL</v>
      </c>
      <c r="C132" s="29" t="str">
        <f>IF(ISERROR(MATCH(A132,'SegEnds_Xtal_Prot#'!B:B, 0)), "NoXtal", "Xtal")</f>
        <v>NoXtal</v>
      </c>
      <c r="D132" s="4" t="str">
        <f>VLOOKUP(A132,Classification!A:D,2,FALSE)</f>
        <v>A</v>
      </c>
      <c r="E132" s="5" t="str">
        <f>VLOOKUP(A132,Seqs!A:B,2,FALSE)</f>
        <v>MLPDWKSSLILMAYIIIFLTGLPANLLALRAFVGRIRQPQPAPVHILLLSLTLADLLLLLLLPFKIIEAASNFRWYLPKVVCALTSFGFYSSIYCSTWLLAGISIERYLGVAFPVQYKLSRRPLYGVIAALVAWVMSFGHCTIVIIVQYLNTTEQVRSGNEITCYENFTDNQLDVVLPVRLELCLVLFFIPMAVTIFCYWRFVWIMLSQPLVGAQRRRRAVGLAVVTLLNFLVCFGPYNVSHLVGYHQRKSPWWRSIAVVFSSLNASLDPLLFYFSSSVVRRAFGRGLQVLRNQGSSLLGRRGKDTAEGTNEDRGVGQGEGMPSSDFTTE</v>
      </c>
      <c r="F132" s="5" t="str">
        <f t="shared" si="51"/>
        <v>PDWKSSLILMAYIIIFLTGLPANLLALRAFVGR</v>
      </c>
      <c r="G132" s="4" t="str">
        <f t="shared" si="52"/>
        <v/>
      </c>
      <c r="H132" s="4" t="str">
        <f t="shared" si="53"/>
        <v>APVHILLLSLTLADLLLLLLLPFKIIEAAS</v>
      </c>
      <c r="I132" s="4" t="str">
        <f t="shared" si="54"/>
        <v>RWYL</v>
      </c>
      <c r="J132" s="4" t="str">
        <f t="shared" si="55"/>
        <v>PKVVCALTSFGFYSSIYCSTWLLAGISIERYLGVAF</v>
      </c>
      <c r="K132" s="4" t="str">
        <f t="shared" si="56"/>
        <v>PVQYKLSR</v>
      </c>
      <c r="L132" s="4" t="str">
        <f t="shared" si="57"/>
        <v>RPLYGVIAALVAWVMSFGHCTIVII</v>
      </c>
      <c r="M132" s="4" t="str">
        <f t="shared" si="58"/>
        <v>CYE</v>
      </c>
      <c r="N132" s="4" t="str">
        <f t="shared" si="59"/>
        <v>QLDVVLPVRLELCLVLFFIPMAVTIFCYWRFVWIMLS</v>
      </c>
      <c r="O132" s="4" t="str">
        <f t="shared" si="60"/>
        <v>GAQRRRRAVGLAVVTLLNFLVCFGPYNVSHLVGYHQ</v>
      </c>
      <c r="P132" s="4" t="str">
        <f t="shared" si="61"/>
        <v>WWRSIAVVFSSLNASLDPLLFYFS</v>
      </c>
      <c r="Q132" s="4" t="str">
        <f t="shared" si="62"/>
        <v>SSVVRRAFGRGLQVL</v>
      </c>
      <c r="R132" s="5">
        <f>VLOOKUP($A132,'SegEnds_NonXtal_Prot#'!$A:$AL,3,FALSE)</f>
        <v>3</v>
      </c>
      <c r="S132" s="5" t="str">
        <f>VLOOKUP($A132,'SegEnds_NonXtal_Prot#'!$A:$AL,6,FALSE)</f>
        <v>-</v>
      </c>
      <c r="T132" s="5">
        <f>VLOOKUP($A132,'SegEnds_NonXtal_Prot#'!$A:$AL,9,FALSE)</f>
        <v>42</v>
      </c>
      <c r="U132" s="5">
        <f>VLOOKUP($A132,'SegEnds_NonXtal_Prot#'!$A:$AL,12,FALSE)</f>
        <v>74</v>
      </c>
      <c r="V132" s="5">
        <f>VLOOKUP($A132,'SegEnds_NonXtal_Prot#'!$A:$AL,15,FALSE)</f>
        <v>78</v>
      </c>
      <c r="W132" s="5">
        <f>VLOOKUP($A132,'SegEnds_NonXtal_Prot#'!$A:$AL,18,FALSE)</f>
        <v>114</v>
      </c>
      <c r="X132" s="5">
        <f>VLOOKUP($A132,'SegEnds_NonXtal_Prot#'!$A:$AL,21,FALSE)</f>
        <v>122</v>
      </c>
      <c r="Y132" s="5">
        <f>VLOOKUP($A132,'SegEnds_NonXtal_Prot#'!$A:$AL,24,FALSE)</f>
        <v>164</v>
      </c>
      <c r="Z132" s="5">
        <f>VLOOKUP($A132,'SegEnds_NonXtal_Prot#'!$A:$AL,27,FALSE)</f>
        <v>172</v>
      </c>
      <c r="AA132" s="5">
        <f>VLOOKUP($A132,'SegEnds_NonXtal_Prot#'!$A:$AL,30,FALSE)</f>
        <v>213</v>
      </c>
      <c r="AB132" s="5">
        <f>VLOOKUP($A132,'SegEnds_NonXtal_Prot#'!$A:$AL,33,FALSE)</f>
        <v>253</v>
      </c>
      <c r="AC132" s="5">
        <f>VLOOKUP($A132,'SegEnds_NonXtal_Prot#'!$A:$AL,36,FALSE)</f>
        <v>277</v>
      </c>
      <c r="AD132" s="5">
        <f>VLOOKUP($A132,'SegEnds_NonXtal_Prot#'!$A:$AL,5,FALSE)</f>
        <v>35</v>
      </c>
      <c r="AE132" s="5" t="str">
        <f>VLOOKUP($A132,'SegEnds_NonXtal_Prot#'!$A:$AL,8,FALSE)</f>
        <v>-</v>
      </c>
      <c r="AF132" s="5">
        <f>VLOOKUP($A132,'SegEnds_NonXtal_Prot#'!$A:$AL,11,FALSE)</f>
        <v>71</v>
      </c>
      <c r="AG132" s="5">
        <f>VLOOKUP($A132,'SegEnds_NonXtal_Prot#'!$A:$AL,14,FALSE)</f>
        <v>77</v>
      </c>
      <c r="AH132" s="5">
        <f>VLOOKUP($A132,'SegEnds_NonXtal_Prot#'!$A:$AL,17,FALSE)</f>
        <v>113</v>
      </c>
      <c r="AI132" s="5">
        <f>VLOOKUP($A132,'SegEnds_NonXtal_Prot#'!$A:$AL,20,FALSE)</f>
        <v>121</v>
      </c>
      <c r="AJ132" s="5">
        <f>VLOOKUP($A132,'SegEnds_NonXtal_Prot#'!$A:$AL,23,FALSE)</f>
        <v>146</v>
      </c>
      <c r="AK132" s="5">
        <f>VLOOKUP($A132,'SegEnds_NonXtal_Prot#'!$A:$AL,26,FALSE)</f>
        <v>166</v>
      </c>
      <c r="AL132" s="5">
        <f>VLOOKUP($A132,'SegEnds_NonXtal_Prot#'!$A:$AL,29,FALSE)</f>
        <v>208</v>
      </c>
      <c r="AM132" s="5">
        <f>VLOOKUP($A132,'SegEnds_NonXtal_Prot#'!$A:$AL,32,FALSE)</f>
        <v>248</v>
      </c>
      <c r="AN132" s="5">
        <f>VLOOKUP($A132,'SegEnds_NonXtal_Prot#'!$A:$AL,35,FALSE)</f>
        <v>276</v>
      </c>
      <c r="AO132" s="5">
        <f>VLOOKUP($A132,'SegEnds_NonXtal_Prot#'!$A:$AL,38,FALSE)</f>
        <v>291</v>
      </c>
      <c r="AP132" s="5">
        <f t="shared" si="63"/>
        <v>32</v>
      </c>
      <c r="AQ132" s="4" t="str">
        <f t="shared" si="64"/>
        <v>-</v>
      </c>
      <c r="AR132" s="4">
        <f t="shared" si="65"/>
        <v>29</v>
      </c>
      <c r="AS132" s="4">
        <f t="shared" si="66"/>
        <v>3</v>
      </c>
      <c r="AT132" s="4">
        <f t="shared" si="67"/>
        <v>35</v>
      </c>
      <c r="AU132" s="4">
        <f t="shared" si="68"/>
        <v>7</v>
      </c>
      <c r="AV132" s="4">
        <f t="shared" si="69"/>
        <v>24</v>
      </c>
      <c r="AW132" s="4">
        <f t="shared" si="70"/>
        <v>2</v>
      </c>
      <c r="AX132" s="4">
        <f t="shared" si="71"/>
        <v>36</v>
      </c>
      <c r="AY132" s="4">
        <f t="shared" si="72"/>
        <v>35</v>
      </c>
      <c r="AZ132" s="4">
        <f t="shared" si="73"/>
        <v>23</v>
      </c>
      <c r="BA132" s="4">
        <f t="shared" si="74"/>
        <v>14</v>
      </c>
    </row>
    <row r="133" spans="1:53" x14ac:dyDescent="0.2">
      <c r="A133" s="1" t="str">
        <f>'SegEnds_NonXtal_Prot#'!A104</f>
        <v>ffar3_human</v>
      </c>
      <c r="B133" s="1" t="str">
        <f t="shared" si="50"/>
        <v>SGNHWFVFSVYLLTFLVGLPLNLLALVVFVGKVAVDVLLLNLTASDLLLLLFLPFRMVEAANPFILCPLSGFIFFTTIYLTALFLAAVSIERFLSVAHRLGQAGLVSVACWLLASAHCSVVYVILAILLPVRLEMAVVLFVVPLIITSYCYSRLVWILGRGRRQRRVAGLLAATLLNFLVCFGPYNVSHVVGYICAWRIYVTLLSTLNSCVDPFVYYFSSSGFQADFHELLRRL</v>
      </c>
      <c r="C133" s="29" t="str">
        <f>IF(ISERROR(MATCH(A133,'SegEnds_Xtal_Prot#'!B:B, 0)), "NoXtal", "Xtal")</f>
        <v>NoXtal</v>
      </c>
      <c r="D133" s="4" t="str">
        <f>VLOOKUP(A133,Classification!A:D,2,FALSE)</f>
        <v>A</v>
      </c>
      <c r="E133" s="5" t="str">
        <f>VLOOKUP(A133,Seqs!A:B,2,FALSE)</f>
        <v>MDTGPDQSYFSGNHWFVFSVYLLTFLVGLPLNLLALVVFVGKLQRRPVAVDVLLLNLTASDLLLLLFLPFRMVEAANGMHWPLPFILCPLSGFIFFTTIYLTALFLAAVSIERFLSVAHPLWYKTRPRLGQAGLVSVACWLLASAHCSVVYVIEFSGDISHSQGTNGTCYLEFRKDQLAILLPVRLEMAVVLFVVPLIITSYCYSRLVWILGRGGSHRRQRRVAGLLAATLLNFLVCFGPYNVSHVVGYICGESPAWRIYVTLLSTLNSCVDPFVYYFSSSGFQADFHELLRRLCGLWGQWQQESSMELKEQKGGEEQRADRPAERKTSEHSQGCGTGGQVACAES</v>
      </c>
      <c r="F133" s="5" t="str">
        <f t="shared" si="51"/>
        <v>SGNHWFVFSVYLLTFLVGLPLNLLALVVFVGK</v>
      </c>
      <c r="G133" s="4" t="str">
        <f t="shared" si="52"/>
        <v/>
      </c>
      <c r="H133" s="4" t="str">
        <f t="shared" si="53"/>
        <v>VAVDVLLLNLTASDLLLLLFLPFRMVEAAN</v>
      </c>
      <c r="I133" s="4" t="str">
        <f t="shared" si="54"/>
        <v>HWPL</v>
      </c>
      <c r="J133" s="4" t="str">
        <f t="shared" si="55"/>
        <v>PFILCPLSGFIFFTTIYLTALFLAAVSIERFLSVAH</v>
      </c>
      <c r="K133" s="4" t="str">
        <f t="shared" si="56"/>
        <v>PLWYKTRP</v>
      </c>
      <c r="L133" s="4" t="str">
        <f t="shared" si="57"/>
        <v>RLGQAGLVSVACWLLASAHCSVVYVI</v>
      </c>
      <c r="M133" s="4" t="str">
        <f t="shared" si="58"/>
        <v>CYL</v>
      </c>
      <c r="N133" s="4" t="str">
        <f t="shared" si="59"/>
        <v>LAILLPVRLEMAVVLFVVPLIITSYCYSRLVWILGRG</v>
      </c>
      <c r="O133" s="4" t="str">
        <f t="shared" si="60"/>
        <v>RRQRRVAGLLAATLLNFLVCFGPYNVSHVVGYIC</v>
      </c>
      <c r="P133" s="4" t="str">
        <f t="shared" si="61"/>
        <v>AWRIYVTLLSTLNSCVDPFVYYFS</v>
      </c>
      <c r="Q133" s="4" t="str">
        <f t="shared" si="62"/>
        <v>SSGFQADFHELLRRL</v>
      </c>
      <c r="R133" s="5">
        <f>VLOOKUP($A133,'SegEnds_NonXtal_Prot#'!$A:$AL,3,FALSE)</f>
        <v>11</v>
      </c>
      <c r="S133" s="5" t="str">
        <f>VLOOKUP($A133,'SegEnds_NonXtal_Prot#'!$A:$AL,6,FALSE)</f>
        <v>-</v>
      </c>
      <c r="T133" s="5">
        <f>VLOOKUP($A133,'SegEnds_NonXtal_Prot#'!$A:$AL,9,FALSE)</f>
        <v>48</v>
      </c>
      <c r="U133" s="5">
        <f>VLOOKUP($A133,'SegEnds_NonXtal_Prot#'!$A:$AL,12,FALSE)</f>
        <v>80</v>
      </c>
      <c r="V133" s="5">
        <f>VLOOKUP($A133,'SegEnds_NonXtal_Prot#'!$A:$AL,15,FALSE)</f>
        <v>84</v>
      </c>
      <c r="W133" s="5">
        <f>VLOOKUP($A133,'SegEnds_NonXtal_Prot#'!$A:$AL,18,FALSE)</f>
        <v>120</v>
      </c>
      <c r="X133" s="5">
        <f>VLOOKUP($A133,'SegEnds_NonXtal_Prot#'!$A:$AL,21,FALSE)</f>
        <v>128</v>
      </c>
      <c r="Y133" s="5">
        <f>VLOOKUP($A133,'SegEnds_NonXtal_Prot#'!$A:$AL,24,FALSE)</f>
        <v>169</v>
      </c>
      <c r="Z133" s="5">
        <f>VLOOKUP($A133,'SegEnds_NonXtal_Prot#'!$A:$AL,27,FALSE)</f>
        <v>178</v>
      </c>
      <c r="AA133" s="5">
        <f>VLOOKUP($A133,'SegEnds_NonXtal_Prot#'!$A:$AL,30,FALSE)</f>
        <v>218</v>
      </c>
      <c r="AB133" s="5">
        <f>VLOOKUP($A133,'SegEnds_NonXtal_Prot#'!$A:$AL,33,FALSE)</f>
        <v>256</v>
      </c>
      <c r="AC133" s="5">
        <f>VLOOKUP($A133,'SegEnds_NonXtal_Prot#'!$A:$AL,36,FALSE)</f>
        <v>280</v>
      </c>
      <c r="AD133" s="5">
        <f>VLOOKUP($A133,'SegEnds_NonXtal_Prot#'!$A:$AL,5,FALSE)</f>
        <v>42</v>
      </c>
      <c r="AE133" s="5" t="str">
        <f>VLOOKUP($A133,'SegEnds_NonXtal_Prot#'!$A:$AL,8,FALSE)</f>
        <v>-</v>
      </c>
      <c r="AF133" s="5">
        <f>VLOOKUP($A133,'SegEnds_NonXtal_Prot#'!$A:$AL,11,FALSE)</f>
        <v>77</v>
      </c>
      <c r="AG133" s="5">
        <f>VLOOKUP($A133,'SegEnds_NonXtal_Prot#'!$A:$AL,14,FALSE)</f>
        <v>83</v>
      </c>
      <c r="AH133" s="5">
        <f>VLOOKUP($A133,'SegEnds_NonXtal_Prot#'!$A:$AL,17,FALSE)</f>
        <v>119</v>
      </c>
      <c r="AI133" s="5">
        <f>VLOOKUP($A133,'SegEnds_NonXtal_Prot#'!$A:$AL,20,FALSE)</f>
        <v>127</v>
      </c>
      <c r="AJ133" s="5">
        <f>VLOOKUP($A133,'SegEnds_NonXtal_Prot#'!$A:$AL,23,FALSE)</f>
        <v>153</v>
      </c>
      <c r="AK133" s="5">
        <f>VLOOKUP($A133,'SegEnds_NonXtal_Prot#'!$A:$AL,26,FALSE)</f>
        <v>171</v>
      </c>
      <c r="AL133" s="5">
        <f>VLOOKUP($A133,'SegEnds_NonXtal_Prot#'!$A:$AL,29,FALSE)</f>
        <v>214</v>
      </c>
      <c r="AM133" s="5">
        <f>VLOOKUP($A133,'SegEnds_NonXtal_Prot#'!$A:$AL,32,FALSE)</f>
        <v>251</v>
      </c>
      <c r="AN133" s="5">
        <f>VLOOKUP($A133,'SegEnds_NonXtal_Prot#'!$A:$AL,35,FALSE)</f>
        <v>279</v>
      </c>
      <c r="AO133" s="5">
        <f>VLOOKUP($A133,'SegEnds_NonXtal_Prot#'!$A:$AL,38,FALSE)</f>
        <v>294</v>
      </c>
      <c r="AP133" s="5">
        <f t="shared" si="63"/>
        <v>31</v>
      </c>
      <c r="AQ133" s="4" t="str">
        <f t="shared" si="64"/>
        <v>-</v>
      </c>
      <c r="AR133" s="4">
        <f t="shared" si="65"/>
        <v>29</v>
      </c>
      <c r="AS133" s="4">
        <f t="shared" si="66"/>
        <v>3</v>
      </c>
      <c r="AT133" s="4">
        <f t="shared" si="67"/>
        <v>35</v>
      </c>
      <c r="AU133" s="4">
        <f t="shared" si="68"/>
        <v>7</v>
      </c>
      <c r="AV133" s="4">
        <f t="shared" si="69"/>
        <v>25</v>
      </c>
      <c r="AW133" s="4">
        <f t="shared" si="70"/>
        <v>2</v>
      </c>
      <c r="AX133" s="4">
        <f t="shared" si="71"/>
        <v>36</v>
      </c>
      <c r="AY133" s="4">
        <f t="shared" si="72"/>
        <v>33</v>
      </c>
      <c r="AZ133" s="4">
        <f t="shared" si="73"/>
        <v>23</v>
      </c>
      <c r="BA133" s="4">
        <f t="shared" si="74"/>
        <v>14</v>
      </c>
    </row>
    <row r="134" spans="1:53" x14ac:dyDescent="0.2">
      <c r="A134" s="1" t="str">
        <f>'SegEnds_NonXtal_Prot#'!A105</f>
        <v>ffar4_human</v>
      </c>
      <c r="B134" s="1" t="str">
        <f t="shared" si="50"/>
        <v>LAAVETTVLVLIFAVSLLGNVCALVLVARRGATACLVLNLFCADLLFISAIPLVLAVRWTGPVACHLLFYVMTLSGSVTILTLAAVSLERMVCIVHGRRARAVLLALIWGYSAVAALPLCVFFPGEISWDVSFVTLNFLVPGLVIVISYSKILQTSEHLLDARAVVTIRVSQQDFRLFRTLFLLMVSFFIMWSPIIITILLILIQDLVIWPSLFFWVVAFTFANSALNPILYNMTLCRNEWKKIFCC</v>
      </c>
      <c r="C134" s="29" t="str">
        <f>IF(ISERROR(MATCH(A134,'SegEnds_Xtal_Prot#'!B:B, 0)), "NoXtal", "Xtal")</f>
        <v>NoXtal</v>
      </c>
      <c r="D134" s="4" t="str">
        <f>VLOOKUP(A134,Classification!A:D,2,FALSE)</f>
        <v>A</v>
      </c>
      <c r="E134" s="5" t="str">
        <f>VLOOKUP(A134,Seqs!A:B,2,FALSE)</f>
        <v>MSPECARAAGDAPLRSLEQANRTRFPFFSDVKGDHRLVLAAVETTVLVLIFAVSLLGNVCALVLVARRRRRGATACLVLNLFCADLLFISAIPLVLAVRWTEAWLLGPVACHLLFYVMTLSGSVTILTLAAVSLERMVCIVHLQRGVRGPGRRARAVLLALIWGYSAVAALPLCVFFRVVPQRLPGADQEISICTLIWPTIPGEISWDVSFVTLNFLVPGLVIVISYSKILQTSEHLLDARAVVTHSEITKASRKRLTVSLAYSESHQIRVSQQDFRLFRTLFLLMVSFFIMWSPIIITILLILIQNFKQDLVIWPSLFFWVVAFTFANSALNPILYNMTLCRNEWKKIFCCFWFPEKGAILTDTSVKRNDLSIISG</v>
      </c>
      <c r="F134" s="5" t="str">
        <f t="shared" si="51"/>
        <v>LAAVETTVLVLIFAVSLLGNVCALVLVARR</v>
      </c>
      <c r="G134" s="4" t="str">
        <f t="shared" si="52"/>
        <v/>
      </c>
      <c r="H134" s="4" t="str">
        <f t="shared" si="53"/>
        <v>GATACLVLNLFCADLLFISAIPLVLAVRWT</v>
      </c>
      <c r="I134" s="4" t="str">
        <f t="shared" si="54"/>
        <v>AWLL</v>
      </c>
      <c r="J134" s="4" t="str">
        <f t="shared" si="55"/>
        <v>GPVACHLLFYVMTLSGSVTILTLAAVSLERMVCIVH</v>
      </c>
      <c r="K134" s="4" t="str">
        <f t="shared" si="56"/>
        <v>LQRGVRGP</v>
      </c>
      <c r="L134" s="4" t="str">
        <f t="shared" si="57"/>
        <v>GRRARAVLLALIWGYSAVAALPLCVFF</v>
      </c>
      <c r="M134" s="4" t="str">
        <f t="shared" si="58"/>
        <v>CTL</v>
      </c>
      <c r="N134" s="4" t="str">
        <f t="shared" si="59"/>
        <v>PGEISWDVSFVTLNFLVPGLVIVISYSKILQTSEHLLDARAVVT</v>
      </c>
      <c r="O134" s="4" t="str">
        <f t="shared" si="60"/>
        <v>IRVSQQDFRLFRTLFLLMVSFFIMWSPIIITILLILIQ</v>
      </c>
      <c r="P134" s="4" t="str">
        <f t="shared" si="61"/>
        <v>DLVIWPSLFFWVVAFTFANSALNPILYNMT</v>
      </c>
      <c r="Q134" s="4" t="str">
        <f t="shared" si="62"/>
        <v>LCRNEWKKIFCC</v>
      </c>
      <c r="R134" s="5">
        <f>VLOOKUP($A134,'SegEnds_NonXtal_Prot#'!$A:$AL,3,FALSE)</f>
        <v>39</v>
      </c>
      <c r="S134" s="5" t="str">
        <f>VLOOKUP($A134,'SegEnds_NonXtal_Prot#'!$A:$AL,6,FALSE)</f>
        <v>-</v>
      </c>
      <c r="T134" s="5">
        <f>VLOOKUP($A134,'SegEnds_NonXtal_Prot#'!$A:$AL,9,FALSE)</f>
        <v>72</v>
      </c>
      <c r="U134" s="5">
        <f>VLOOKUP($A134,'SegEnds_NonXtal_Prot#'!$A:$AL,12,FALSE)</f>
        <v>103</v>
      </c>
      <c r="V134" s="5">
        <f>VLOOKUP($A134,'SegEnds_NonXtal_Prot#'!$A:$AL,15,FALSE)</f>
        <v>107</v>
      </c>
      <c r="W134" s="5">
        <f>VLOOKUP($A134,'SegEnds_NonXtal_Prot#'!$A:$AL,18,FALSE)</f>
        <v>143</v>
      </c>
      <c r="X134" s="5">
        <f>VLOOKUP($A134,'SegEnds_NonXtal_Prot#'!$A:$AL,21,FALSE)</f>
        <v>151</v>
      </c>
      <c r="Y134" s="5">
        <f>VLOOKUP($A134,'SegEnds_NonXtal_Prot#'!$A:$AL,24,FALSE)</f>
        <v>194</v>
      </c>
      <c r="Z134" s="5">
        <f>VLOOKUP($A134,'SegEnds_NonXtal_Prot#'!$A:$AL,27,FALSE)</f>
        <v>202</v>
      </c>
      <c r="AA134" s="5">
        <f>VLOOKUP($A134,'SegEnds_NonXtal_Prot#'!$A:$AL,30,FALSE)</f>
        <v>269</v>
      </c>
      <c r="AB134" s="5">
        <f>VLOOKUP($A134,'SegEnds_NonXtal_Prot#'!$A:$AL,33,FALSE)</f>
        <v>311</v>
      </c>
      <c r="AC134" s="5">
        <f>VLOOKUP($A134,'SegEnds_NonXtal_Prot#'!$A:$AL,36,FALSE)</f>
        <v>341</v>
      </c>
      <c r="AD134" s="5">
        <f>VLOOKUP($A134,'SegEnds_NonXtal_Prot#'!$A:$AL,5,FALSE)</f>
        <v>68</v>
      </c>
      <c r="AE134" s="5" t="str">
        <f>VLOOKUP($A134,'SegEnds_NonXtal_Prot#'!$A:$AL,8,FALSE)</f>
        <v>-</v>
      </c>
      <c r="AF134" s="5">
        <f>VLOOKUP($A134,'SegEnds_NonXtal_Prot#'!$A:$AL,11,FALSE)</f>
        <v>101</v>
      </c>
      <c r="AG134" s="5">
        <f>VLOOKUP($A134,'SegEnds_NonXtal_Prot#'!$A:$AL,14,FALSE)</f>
        <v>106</v>
      </c>
      <c r="AH134" s="5">
        <f>VLOOKUP($A134,'SegEnds_NonXtal_Prot#'!$A:$AL,17,FALSE)</f>
        <v>142</v>
      </c>
      <c r="AI134" s="5">
        <f>VLOOKUP($A134,'SegEnds_NonXtal_Prot#'!$A:$AL,20,FALSE)</f>
        <v>150</v>
      </c>
      <c r="AJ134" s="5">
        <f>VLOOKUP($A134,'SegEnds_NonXtal_Prot#'!$A:$AL,23,FALSE)</f>
        <v>177</v>
      </c>
      <c r="AK134" s="5">
        <f>VLOOKUP($A134,'SegEnds_NonXtal_Prot#'!$A:$AL,26,FALSE)</f>
        <v>196</v>
      </c>
      <c r="AL134" s="5">
        <f>VLOOKUP($A134,'SegEnds_NonXtal_Prot#'!$A:$AL,29,FALSE)</f>
        <v>245</v>
      </c>
      <c r="AM134" s="5">
        <f>VLOOKUP($A134,'SegEnds_NonXtal_Prot#'!$A:$AL,32,FALSE)</f>
        <v>306</v>
      </c>
      <c r="AN134" s="5">
        <f>VLOOKUP($A134,'SegEnds_NonXtal_Prot#'!$A:$AL,35,FALSE)</f>
        <v>340</v>
      </c>
      <c r="AO134" s="5">
        <f>VLOOKUP($A134,'SegEnds_NonXtal_Prot#'!$A:$AL,38,FALSE)</f>
        <v>352</v>
      </c>
      <c r="AP134" s="5">
        <f t="shared" si="63"/>
        <v>29</v>
      </c>
      <c r="AQ134" s="4" t="str">
        <f t="shared" si="64"/>
        <v>-</v>
      </c>
      <c r="AR134" s="4">
        <f t="shared" si="65"/>
        <v>29</v>
      </c>
      <c r="AS134" s="4">
        <f t="shared" si="66"/>
        <v>3</v>
      </c>
      <c r="AT134" s="4">
        <f t="shared" si="67"/>
        <v>35</v>
      </c>
      <c r="AU134" s="4">
        <f t="shared" si="68"/>
        <v>7</v>
      </c>
      <c r="AV134" s="4">
        <f t="shared" si="69"/>
        <v>26</v>
      </c>
      <c r="AW134" s="4">
        <f t="shared" si="70"/>
        <v>2</v>
      </c>
      <c r="AX134" s="4">
        <f t="shared" si="71"/>
        <v>43</v>
      </c>
      <c r="AY134" s="4">
        <f t="shared" si="72"/>
        <v>37</v>
      </c>
      <c r="AZ134" s="4">
        <f t="shared" si="73"/>
        <v>29</v>
      </c>
      <c r="BA134" s="4">
        <f t="shared" si="74"/>
        <v>11</v>
      </c>
    </row>
    <row r="135" spans="1:53" x14ac:dyDescent="0.2">
      <c r="A135" s="1" t="str">
        <f>'SegEnds_NonXtal_Prot#'!A106</f>
        <v>fpr1_human</v>
      </c>
      <c r="B135" s="1" t="str">
        <f t="shared" si="50"/>
        <v>DIITYLVFAVTFVLGVLGNGLVIWVAGFRTVTTISYLNLAVADFCFTSTLPFFMVRKAMGGWFLCKFVFTIVDINLFGSVFLIALIALDRCVCVLHTVSLAKKVIIGPWVMALLLTLPVIIRVERINVAVAMLTVRGIIRFIIGFSAPMSIVAVSYGLIATKIHKQSSRPLRVLSFVAAAFFLCWSPYQVVALIATVRYKEIGIAVDVTSALAFFNSCLNPMLYVFMGQDFRERLIHALPASLER</v>
      </c>
      <c r="C135" s="29" t="str">
        <f>IF(ISERROR(MATCH(A135,'SegEnds_Xtal_Prot#'!B:B, 0)), "NoXtal", "Xtal")</f>
        <v>NoXtal</v>
      </c>
      <c r="D135" s="4" t="str">
        <f>VLOOKUP(A135,Classification!A:D,2,FALSE)</f>
        <v>A</v>
      </c>
      <c r="E135" s="5" t="str">
        <f>VLOOKUP(A135,Seqs!A:B,2,FALSE)</f>
        <v>METNSSLPTNISGGTPAVSAGYLFLDIITYLVFAVTFVLGVLGNGLVIWVAGFRMTHTVTTISYLNLAVADFCFTSTLPFFMVRKAMGGHWPFGWFLCKFVFTIVDINLFGSVFLIALIALDRCVCVLHPVWTQNHRTVSLAKKVIIGPWVMALLLTLPVIIRVTTVPGKTGTVACTFNFSPWTNDPKERINVAVAMLTVRGIIRFIIGFSAPMSIVAVSYGLIATKIHKQGLIKSSRPLRVLSFVAAAFFLCWSPYQVVALIATVRIRELLQGMYKEIGIAVDVTSALAFFNSCLNPMLYVFMGQDFRERLIHALPASLERALTEDSTQTSDTATNSTLPSAEVELQAK</v>
      </c>
      <c r="F135" s="5" t="str">
        <f t="shared" si="51"/>
        <v>DIITYLVFAVTFVLGVLGNGLVIWVAGFR</v>
      </c>
      <c r="G135" s="4" t="str">
        <f t="shared" si="52"/>
        <v/>
      </c>
      <c r="H135" s="4" t="str">
        <f t="shared" si="53"/>
        <v>TVTTISYLNLAVADFCFTSTLPFFMVRKAMG</v>
      </c>
      <c r="I135" s="4" t="str">
        <f t="shared" si="54"/>
        <v>HWPF</v>
      </c>
      <c r="J135" s="4" t="str">
        <f t="shared" si="55"/>
        <v>GWFLCKFVFTIVDINLFGSVFLIALIALDRCVCVLH</v>
      </c>
      <c r="K135" s="4" t="str">
        <f t="shared" si="56"/>
        <v>PVWTQNHR</v>
      </c>
      <c r="L135" s="4" t="str">
        <f t="shared" si="57"/>
        <v>TVSLAKKVIIGPWVMALLLTLPVIIRV</v>
      </c>
      <c r="M135" s="4" t="str">
        <f t="shared" si="58"/>
        <v>CTF</v>
      </c>
      <c r="N135" s="4" t="str">
        <f t="shared" si="59"/>
        <v>ERINVAVAMLTVRGIIRFIIGFSAPMSIVAVSYGLIATKIHKQ</v>
      </c>
      <c r="O135" s="4" t="str">
        <f t="shared" si="60"/>
        <v>SSRPLRVLSFVAAAFFLCWSPYQVVALIATVR</v>
      </c>
      <c r="P135" s="4" t="str">
        <f t="shared" si="61"/>
        <v>YKEIGIAVDVTSALAFFNSCLNPMLYVFM</v>
      </c>
      <c r="Q135" s="4" t="str">
        <f t="shared" si="62"/>
        <v>GQDFRERLIHALPASLER</v>
      </c>
      <c r="R135" s="5">
        <f>VLOOKUP($A135,'SegEnds_NonXtal_Prot#'!$A:$AL,3,FALSE)</f>
        <v>26</v>
      </c>
      <c r="S135" s="5" t="str">
        <f>VLOOKUP($A135,'SegEnds_NonXtal_Prot#'!$A:$AL,6,FALSE)</f>
        <v>-</v>
      </c>
      <c r="T135" s="5">
        <f>VLOOKUP($A135,'SegEnds_NonXtal_Prot#'!$A:$AL,9,FALSE)</f>
        <v>58</v>
      </c>
      <c r="U135" s="5">
        <f>VLOOKUP($A135,'SegEnds_NonXtal_Prot#'!$A:$AL,12,FALSE)</f>
        <v>90</v>
      </c>
      <c r="V135" s="5">
        <f>VLOOKUP($A135,'SegEnds_NonXtal_Prot#'!$A:$AL,15,FALSE)</f>
        <v>94</v>
      </c>
      <c r="W135" s="5">
        <f>VLOOKUP($A135,'SegEnds_NonXtal_Prot#'!$A:$AL,18,FALSE)</f>
        <v>130</v>
      </c>
      <c r="X135" s="5">
        <f>VLOOKUP($A135,'SegEnds_NonXtal_Prot#'!$A:$AL,21,FALSE)</f>
        <v>138</v>
      </c>
      <c r="Y135" s="5">
        <f>VLOOKUP($A135,'SegEnds_NonXtal_Prot#'!$A:$AL,24,FALSE)</f>
        <v>176</v>
      </c>
      <c r="Z135" s="5">
        <f>VLOOKUP($A135,'SegEnds_NonXtal_Prot#'!$A:$AL,27,FALSE)</f>
        <v>189</v>
      </c>
      <c r="AA135" s="5">
        <f>VLOOKUP($A135,'SegEnds_NonXtal_Prot#'!$A:$AL,30,FALSE)</f>
        <v>236</v>
      </c>
      <c r="AB135" s="5">
        <f>VLOOKUP($A135,'SegEnds_NonXtal_Prot#'!$A:$AL,33,FALSE)</f>
        <v>276</v>
      </c>
      <c r="AC135" s="5">
        <f>VLOOKUP($A135,'SegEnds_NonXtal_Prot#'!$A:$AL,36,FALSE)</f>
        <v>305</v>
      </c>
      <c r="AD135" s="5">
        <f>VLOOKUP($A135,'SegEnds_NonXtal_Prot#'!$A:$AL,5,FALSE)</f>
        <v>54</v>
      </c>
      <c r="AE135" s="5" t="str">
        <f>VLOOKUP($A135,'SegEnds_NonXtal_Prot#'!$A:$AL,8,FALSE)</f>
        <v>-</v>
      </c>
      <c r="AF135" s="5">
        <f>VLOOKUP($A135,'SegEnds_NonXtal_Prot#'!$A:$AL,11,FALSE)</f>
        <v>88</v>
      </c>
      <c r="AG135" s="5">
        <f>VLOOKUP($A135,'SegEnds_NonXtal_Prot#'!$A:$AL,14,FALSE)</f>
        <v>93</v>
      </c>
      <c r="AH135" s="5">
        <f>VLOOKUP($A135,'SegEnds_NonXtal_Prot#'!$A:$AL,17,FALSE)</f>
        <v>129</v>
      </c>
      <c r="AI135" s="5">
        <f>VLOOKUP($A135,'SegEnds_NonXtal_Prot#'!$A:$AL,20,FALSE)</f>
        <v>137</v>
      </c>
      <c r="AJ135" s="5">
        <f>VLOOKUP($A135,'SegEnds_NonXtal_Prot#'!$A:$AL,23,FALSE)</f>
        <v>164</v>
      </c>
      <c r="AK135" s="5">
        <f>VLOOKUP($A135,'SegEnds_NonXtal_Prot#'!$A:$AL,26,FALSE)</f>
        <v>178</v>
      </c>
      <c r="AL135" s="5">
        <f>VLOOKUP($A135,'SegEnds_NonXtal_Prot#'!$A:$AL,29,FALSE)</f>
        <v>231</v>
      </c>
      <c r="AM135" s="5">
        <f>VLOOKUP($A135,'SegEnds_NonXtal_Prot#'!$A:$AL,32,FALSE)</f>
        <v>267</v>
      </c>
      <c r="AN135" s="5">
        <f>VLOOKUP($A135,'SegEnds_NonXtal_Prot#'!$A:$AL,35,FALSE)</f>
        <v>304</v>
      </c>
      <c r="AO135" s="5">
        <f>VLOOKUP($A135,'SegEnds_NonXtal_Prot#'!$A:$AL,38,FALSE)</f>
        <v>322</v>
      </c>
      <c r="AP135" s="5">
        <f t="shared" si="63"/>
        <v>28</v>
      </c>
      <c r="AQ135" s="4" t="str">
        <f t="shared" si="64"/>
        <v>-</v>
      </c>
      <c r="AR135" s="4">
        <f t="shared" si="65"/>
        <v>30</v>
      </c>
      <c r="AS135" s="4">
        <f t="shared" si="66"/>
        <v>3</v>
      </c>
      <c r="AT135" s="4">
        <f t="shared" si="67"/>
        <v>35</v>
      </c>
      <c r="AU135" s="4">
        <f t="shared" si="68"/>
        <v>7</v>
      </c>
      <c r="AV135" s="4">
        <f t="shared" si="69"/>
        <v>26</v>
      </c>
      <c r="AW135" s="4">
        <f t="shared" si="70"/>
        <v>2</v>
      </c>
      <c r="AX135" s="4">
        <f t="shared" si="71"/>
        <v>42</v>
      </c>
      <c r="AY135" s="4">
        <f t="shared" si="72"/>
        <v>31</v>
      </c>
      <c r="AZ135" s="4">
        <f t="shared" si="73"/>
        <v>28</v>
      </c>
      <c r="BA135" s="4">
        <f t="shared" si="74"/>
        <v>17</v>
      </c>
    </row>
    <row r="136" spans="1:53" x14ac:dyDescent="0.2">
      <c r="A136" s="1" t="str">
        <f>'SegEnds_NonXtal_Prot#'!A107</f>
        <v>fpr2_human</v>
      </c>
      <c r="B136" s="1" t="str">
        <f t="shared" si="50"/>
        <v>RILPLVVLGVTFVLGVLGNGLVIWVAGFRTVTTICYLNLALADFSFTATLPFLIVSMAMGGWFLCKLIHIVVDINLFGSVFLIGFIALDRCICVLHTVSLAMKVIVGPWILALVLTLPVFLFLERLKVAITMLTARGIIRFVIGFSLPMSIVAICYGLIAAKIHKKSSRPLRVLTAVVASFFICWFPFQLVALLGTVWFYGKYKIIDILVNPTSSLAFFNSCLNPMLYVFVGQDFRERLIHSLPTSLER</v>
      </c>
      <c r="C136" s="29" t="str">
        <f>IF(ISERROR(MATCH(A136,'SegEnds_Xtal_Prot#'!B:B, 0)), "NoXtal", "Xtal")</f>
        <v>NoXtal</v>
      </c>
      <c r="D136" s="4" t="str">
        <f>VLOOKUP(A136,Classification!A:D,2,FALSE)</f>
        <v>A</v>
      </c>
      <c r="E136" s="5" t="str">
        <f>VLOOKUP(A136,Seqs!A:B,2,FALSE)</f>
        <v>METNFSTPLNEYEEVSYESAGYTVLRILPLVVLGVTFVLGVLGNGLVIWVAGFRMTRTVTTICYLNLALADFSFTATLPFLIVSMAMGEKWPFGWFLCKLIHIVVDINLFGSVFLIGFIALDRCICVLHPVWAQNHRTVSLAMKVIVGPWILALVLTLPVFLFLTTVTIPNGDTYCTFNFASWGGTPEERLKVAITMLTARGIIRFVIGFSLPMSIVAICYGLIAAKIHKKGMIKSSRPLRVLTAVVASFFICWFPFQLVALLGTVWLKEMLFYGKYKIIDILVNPTSSLAFFNSCLNPMLYVFVGQDFRERLIHSLPTSLERALSEDSAPTNDTAANSASPPAETELQAM</v>
      </c>
      <c r="F136" s="5" t="str">
        <f t="shared" si="51"/>
        <v>RILPLVVLGVTFVLGVLGNGLVIWVAGFR</v>
      </c>
      <c r="G136" s="4" t="str">
        <f t="shared" si="52"/>
        <v/>
      </c>
      <c r="H136" s="4" t="str">
        <f t="shared" si="53"/>
        <v>TVTTICYLNLALADFSFTATLPFLIVSMAMG</v>
      </c>
      <c r="I136" s="4" t="str">
        <f t="shared" si="54"/>
        <v>KWPF</v>
      </c>
      <c r="J136" s="4" t="str">
        <f t="shared" si="55"/>
        <v>GWFLCKLIHIVVDINLFGSVFLIGFIALDRCICVLH</v>
      </c>
      <c r="K136" s="4" t="str">
        <f t="shared" si="56"/>
        <v>PVWAQNHR</v>
      </c>
      <c r="L136" s="4" t="str">
        <f t="shared" si="57"/>
        <v>TVSLAMKVIVGPWILALVLTLPVFLFL</v>
      </c>
      <c r="M136" s="4" t="str">
        <f t="shared" si="58"/>
        <v>CTF</v>
      </c>
      <c r="N136" s="4" t="str">
        <f t="shared" si="59"/>
        <v>ERLKVAITMLTARGIIRFVIGFSLPMSIVAICYGLIAAKIHKK</v>
      </c>
      <c r="O136" s="4" t="str">
        <f t="shared" si="60"/>
        <v>SSRPLRVLTAVVASFFICWFPFQLVALLGTVW</v>
      </c>
      <c r="P136" s="4" t="str">
        <f t="shared" si="61"/>
        <v>FYGKYKIIDILVNPTSSLAFFNSCLNPMLYVFV</v>
      </c>
      <c r="Q136" s="4" t="str">
        <f t="shared" si="62"/>
        <v>GQDFRERLIHSLPTSLER</v>
      </c>
      <c r="R136" s="5">
        <f>VLOOKUP($A136,'SegEnds_NonXtal_Prot#'!$A:$AL,3,FALSE)</f>
        <v>26</v>
      </c>
      <c r="S136" s="5" t="str">
        <f>VLOOKUP($A136,'SegEnds_NonXtal_Prot#'!$A:$AL,6,FALSE)</f>
        <v>-</v>
      </c>
      <c r="T136" s="5">
        <f>VLOOKUP($A136,'SegEnds_NonXtal_Prot#'!$A:$AL,9,FALSE)</f>
        <v>58</v>
      </c>
      <c r="U136" s="5">
        <f>VLOOKUP($A136,'SegEnds_NonXtal_Prot#'!$A:$AL,12,FALSE)</f>
        <v>90</v>
      </c>
      <c r="V136" s="5">
        <f>VLOOKUP($A136,'SegEnds_NonXtal_Prot#'!$A:$AL,15,FALSE)</f>
        <v>94</v>
      </c>
      <c r="W136" s="5">
        <f>VLOOKUP($A136,'SegEnds_NonXtal_Prot#'!$A:$AL,18,FALSE)</f>
        <v>130</v>
      </c>
      <c r="X136" s="5">
        <f>VLOOKUP($A136,'SegEnds_NonXtal_Prot#'!$A:$AL,21,FALSE)</f>
        <v>138</v>
      </c>
      <c r="Y136" s="5">
        <f>VLOOKUP($A136,'SegEnds_NonXtal_Prot#'!$A:$AL,24,FALSE)</f>
        <v>176</v>
      </c>
      <c r="Z136" s="5">
        <f>VLOOKUP($A136,'SegEnds_NonXtal_Prot#'!$A:$AL,27,FALSE)</f>
        <v>189</v>
      </c>
      <c r="AA136" s="5">
        <f>VLOOKUP($A136,'SegEnds_NonXtal_Prot#'!$A:$AL,30,FALSE)</f>
        <v>236</v>
      </c>
      <c r="AB136" s="5">
        <f>VLOOKUP($A136,'SegEnds_NonXtal_Prot#'!$A:$AL,33,FALSE)</f>
        <v>273</v>
      </c>
      <c r="AC136" s="5">
        <f>VLOOKUP($A136,'SegEnds_NonXtal_Prot#'!$A:$AL,36,FALSE)</f>
        <v>306</v>
      </c>
      <c r="AD136" s="5">
        <f>VLOOKUP($A136,'SegEnds_NonXtal_Prot#'!$A:$AL,5,FALSE)</f>
        <v>54</v>
      </c>
      <c r="AE136" s="5" t="str">
        <f>VLOOKUP($A136,'SegEnds_NonXtal_Prot#'!$A:$AL,8,FALSE)</f>
        <v>-</v>
      </c>
      <c r="AF136" s="5">
        <f>VLOOKUP($A136,'SegEnds_NonXtal_Prot#'!$A:$AL,11,FALSE)</f>
        <v>88</v>
      </c>
      <c r="AG136" s="5">
        <f>VLOOKUP($A136,'SegEnds_NonXtal_Prot#'!$A:$AL,14,FALSE)</f>
        <v>93</v>
      </c>
      <c r="AH136" s="5">
        <f>VLOOKUP($A136,'SegEnds_NonXtal_Prot#'!$A:$AL,17,FALSE)</f>
        <v>129</v>
      </c>
      <c r="AI136" s="5">
        <f>VLOOKUP($A136,'SegEnds_NonXtal_Prot#'!$A:$AL,20,FALSE)</f>
        <v>137</v>
      </c>
      <c r="AJ136" s="5">
        <f>VLOOKUP($A136,'SegEnds_NonXtal_Prot#'!$A:$AL,23,FALSE)</f>
        <v>164</v>
      </c>
      <c r="AK136" s="5">
        <f>VLOOKUP($A136,'SegEnds_NonXtal_Prot#'!$A:$AL,26,FALSE)</f>
        <v>178</v>
      </c>
      <c r="AL136" s="5">
        <f>VLOOKUP($A136,'SegEnds_NonXtal_Prot#'!$A:$AL,29,FALSE)</f>
        <v>231</v>
      </c>
      <c r="AM136" s="5">
        <f>VLOOKUP($A136,'SegEnds_NonXtal_Prot#'!$A:$AL,32,FALSE)</f>
        <v>267</v>
      </c>
      <c r="AN136" s="5">
        <f>VLOOKUP($A136,'SegEnds_NonXtal_Prot#'!$A:$AL,35,FALSE)</f>
        <v>305</v>
      </c>
      <c r="AO136" s="5">
        <f>VLOOKUP($A136,'SegEnds_NonXtal_Prot#'!$A:$AL,38,FALSE)</f>
        <v>323</v>
      </c>
      <c r="AP136" s="5">
        <f t="shared" si="63"/>
        <v>28</v>
      </c>
      <c r="AQ136" s="4" t="str">
        <f t="shared" si="64"/>
        <v>-</v>
      </c>
      <c r="AR136" s="4">
        <f t="shared" si="65"/>
        <v>30</v>
      </c>
      <c r="AS136" s="4">
        <f t="shared" si="66"/>
        <v>3</v>
      </c>
      <c r="AT136" s="4">
        <f t="shared" si="67"/>
        <v>35</v>
      </c>
      <c r="AU136" s="4">
        <f t="shared" si="68"/>
        <v>7</v>
      </c>
      <c r="AV136" s="4">
        <f t="shared" si="69"/>
        <v>26</v>
      </c>
      <c r="AW136" s="4">
        <f t="shared" si="70"/>
        <v>2</v>
      </c>
      <c r="AX136" s="4">
        <f t="shared" si="71"/>
        <v>42</v>
      </c>
      <c r="AY136" s="4">
        <f t="shared" si="72"/>
        <v>31</v>
      </c>
      <c r="AZ136" s="4">
        <f t="shared" si="73"/>
        <v>32</v>
      </c>
      <c r="BA136" s="4">
        <f t="shared" si="74"/>
        <v>17</v>
      </c>
    </row>
    <row r="137" spans="1:53" x14ac:dyDescent="0.2">
      <c r="A137" s="1" t="str">
        <f>'SegEnds_NonXtal_Prot#'!A108</f>
        <v>fpr3_human</v>
      </c>
      <c r="B137" s="1" t="str">
        <f t="shared" si="50"/>
        <v>WIFSLLVHGVTFVFGVLGNGLVIWVAGFRTVNTICYLNLALADFSFSAILPFRMVSVAMRGSFLCKLVHVMIDINLFVSVYLITIIALDRCICVLHTMSLAKRVMTGLWIFTIVLTLPNFIFWERLNVFITMAKVFLILHFIIGFSVPMSIITVCYGIIAAKIHRNSSRPLRVFAAVVASFFICWFPYELIGILMAVWLNGKYKIILVLINPTSSLAFFNSCLNPILYVFMGRNFQERLIRSLPTSLER</v>
      </c>
      <c r="C137" s="29" t="str">
        <f>IF(ISERROR(MATCH(A137,'SegEnds_Xtal_Prot#'!B:B, 0)), "NoXtal", "Xtal")</f>
        <v>NoXtal</v>
      </c>
      <c r="D137" s="4" t="str">
        <f>VLOOKUP(A137,Classification!A:D,2,FALSE)</f>
        <v>A</v>
      </c>
      <c r="E137" s="5" t="str">
        <f>VLOOKUP(A137,Seqs!A:B,2,FALSE)</f>
        <v>METNFSIPLNETEEVLPEPAGHTVLWIFSLLVHGVTFVFGVLGNGLVIWVAGFRMTRTVNTICYLNLALADFSFSAILPFRMVSVAMREKWPFGSFLCKLVHVMIDINLFVSVYLITIIALDRCICVLHPAWAQNHRTMSLAKRVMTGLWIFTIVLTLPNFIFWTTISTTNGDTYCIFNFAFWGDTAVERLNVFITMAKVFLILHFIIGFSVPMSIITVCYGIIAAKIHRNHMIKSSRPLRVFAAVVASFFICWFPYELIGILMAVWLKEMLLNGKYKIILVLINPTSSLAFFNSCLNPILYVFMGRNFQERLIRSLPTSLERALTEVPDSAQTSNTDTTSASPPEETELQAM</v>
      </c>
      <c r="F137" s="5" t="str">
        <f t="shared" si="51"/>
        <v>WIFSLLVHGVTFVFGVLGNGLVIWVAGFR</v>
      </c>
      <c r="G137" s="4" t="str">
        <f t="shared" si="52"/>
        <v/>
      </c>
      <c r="H137" s="4" t="str">
        <f t="shared" si="53"/>
        <v>TVNTICYLNLALADFSFSAILPFRMVSVAMR</v>
      </c>
      <c r="I137" s="4" t="str">
        <f t="shared" si="54"/>
        <v>KWPF</v>
      </c>
      <c r="J137" s="4" t="str">
        <f t="shared" si="55"/>
        <v>GSFLCKLVHVMIDINLFVSVYLITIIALDRCICVLH</v>
      </c>
      <c r="K137" s="4" t="str">
        <f t="shared" si="56"/>
        <v>PAWAQNHR</v>
      </c>
      <c r="L137" s="4" t="str">
        <f t="shared" si="57"/>
        <v>TMSLAKRVMTGLWIFTIVLTLPNFIFW</v>
      </c>
      <c r="M137" s="4" t="str">
        <f t="shared" si="58"/>
        <v>CIF</v>
      </c>
      <c r="N137" s="4" t="str">
        <f t="shared" si="59"/>
        <v>ERLNVFITMAKVFLILHFIIGFSVPMSIITVCYGIIAAKIHRN</v>
      </c>
      <c r="O137" s="4" t="str">
        <f t="shared" si="60"/>
        <v>SSRPLRVFAAVVASFFICWFPYELIGILMAVW</v>
      </c>
      <c r="P137" s="4" t="str">
        <f t="shared" si="61"/>
        <v>LNGKYKIILVLINPTSSLAFFNSCLNPILYVFM</v>
      </c>
      <c r="Q137" s="4" t="str">
        <f t="shared" si="62"/>
        <v>GRNFQERLIRSLPTSLER</v>
      </c>
      <c r="R137" s="5">
        <f>VLOOKUP($A137,'SegEnds_NonXtal_Prot#'!$A:$AL,3,FALSE)</f>
        <v>26</v>
      </c>
      <c r="S137" s="5" t="str">
        <f>VLOOKUP($A137,'SegEnds_NonXtal_Prot#'!$A:$AL,6,FALSE)</f>
        <v>-</v>
      </c>
      <c r="T137" s="5">
        <f>VLOOKUP($A137,'SegEnds_NonXtal_Prot#'!$A:$AL,9,FALSE)</f>
        <v>58</v>
      </c>
      <c r="U137" s="5">
        <f>VLOOKUP($A137,'SegEnds_NonXtal_Prot#'!$A:$AL,12,FALSE)</f>
        <v>90</v>
      </c>
      <c r="V137" s="5">
        <f>VLOOKUP($A137,'SegEnds_NonXtal_Prot#'!$A:$AL,15,FALSE)</f>
        <v>94</v>
      </c>
      <c r="W137" s="5">
        <f>VLOOKUP($A137,'SegEnds_NonXtal_Prot#'!$A:$AL,18,FALSE)</f>
        <v>130</v>
      </c>
      <c r="X137" s="5">
        <f>VLOOKUP($A137,'SegEnds_NonXtal_Prot#'!$A:$AL,21,FALSE)</f>
        <v>138</v>
      </c>
      <c r="Y137" s="5">
        <f>VLOOKUP($A137,'SegEnds_NonXtal_Prot#'!$A:$AL,24,FALSE)</f>
        <v>176</v>
      </c>
      <c r="Z137" s="5">
        <f>VLOOKUP($A137,'SegEnds_NonXtal_Prot#'!$A:$AL,27,FALSE)</f>
        <v>189</v>
      </c>
      <c r="AA137" s="5">
        <f>VLOOKUP($A137,'SegEnds_NonXtal_Prot#'!$A:$AL,30,FALSE)</f>
        <v>236</v>
      </c>
      <c r="AB137" s="5">
        <f>VLOOKUP($A137,'SegEnds_NonXtal_Prot#'!$A:$AL,33,FALSE)</f>
        <v>273</v>
      </c>
      <c r="AC137" s="5">
        <f>VLOOKUP($A137,'SegEnds_NonXtal_Prot#'!$A:$AL,36,FALSE)</f>
        <v>306</v>
      </c>
      <c r="AD137" s="5">
        <f>VLOOKUP($A137,'SegEnds_NonXtal_Prot#'!$A:$AL,5,FALSE)</f>
        <v>54</v>
      </c>
      <c r="AE137" s="5" t="str">
        <f>VLOOKUP($A137,'SegEnds_NonXtal_Prot#'!$A:$AL,8,FALSE)</f>
        <v>-</v>
      </c>
      <c r="AF137" s="5">
        <f>VLOOKUP($A137,'SegEnds_NonXtal_Prot#'!$A:$AL,11,FALSE)</f>
        <v>88</v>
      </c>
      <c r="AG137" s="5">
        <f>VLOOKUP($A137,'SegEnds_NonXtal_Prot#'!$A:$AL,14,FALSE)</f>
        <v>93</v>
      </c>
      <c r="AH137" s="5">
        <f>VLOOKUP($A137,'SegEnds_NonXtal_Prot#'!$A:$AL,17,FALSE)</f>
        <v>129</v>
      </c>
      <c r="AI137" s="5">
        <f>VLOOKUP($A137,'SegEnds_NonXtal_Prot#'!$A:$AL,20,FALSE)</f>
        <v>137</v>
      </c>
      <c r="AJ137" s="5">
        <f>VLOOKUP($A137,'SegEnds_NonXtal_Prot#'!$A:$AL,23,FALSE)</f>
        <v>164</v>
      </c>
      <c r="AK137" s="5">
        <f>VLOOKUP($A137,'SegEnds_NonXtal_Prot#'!$A:$AL,26,FALSE)</f>
        <v>178</v>
      </c>
      <c r="AL137" s="5">
        <f>VLOOKUP($A137,'SegEnds_NonXtal_Prot#'!$A:$AL,29,FALSE)</f>
        <v>231</v>
      </c>
      <c r="AM137" s="5">
        <f>VLOOKUP($A137,'SegEnds_NonXtal_Prot#'!$A:$AL,32,FALSE)</f>
        <v>267</v>
      </c>
      <c r="AN137" s="5">
        <f>VLOOKUP($A137,'SegEnds_NonXtal_Prot#'!$A:$AL,35,FALSE)</f>
        <v>305</v>
      </c>
      <c r="AO137" s="5">
        <f>VLOOKUP($A137,'SegEnds_NonXtal_Prot#'!$A:$AL,38,FALSE)</f>
        <v>323</v>
      </c>
      <c r="AP137" s="5">
        <f t="shared" si="63"/>
        <v>28</v>
      </c>
      <c r="AQ137" s="4" t="str">
        <f t="shared" si="64"/>
        <v>-</v>
      </c>
      <c r="AR137" s="4">
        <f t="shared" si="65"/>
        <v>30</v>
      </c>
      <c r="AS137" s="4">
        <f t="shared" si="66"/>
        <v>3</v>
      </c>
      <c r="AT137" s="4">
        <f t="shared" si="67"/>
        <v>35</v>
      </c>
      <c r="AU137" s="4">
        <f t="shared" si="68"/>
        <v>7</v>
      </c>
      <c r="AV137" s="4">
        <f t="shared" si="69"/>
        <v>26</v>
      </c>
      <c r="AW137" s="4">
        <f t="shared" si="70"/>
        <v>2</v>
      </c>
      <c r="AX137" s="4">
        <f t="shared" si="71"/>
        <v>42</v>
      </c>
      <c r="AY137" s="4">
        <f t="shared" si="72"/>
        <v>31</v>
      </c>
      <c r="AZ137" s="4">
        <f t="shared" si="73"/>
        <v>32</v>
      </c>
      <c r="BA137" s="4">
        <f t="shared" si="74"/>
        <v>17</v>
      </c>
    </row>
    <row r="138" spans="1:53" x14ac:dyDescent="0.2">
      <c r="A138" s="1" t="str">
        <f>'SegEnds_NonXtal_Prot#'!A109</f>
        <v>fshr_human</v>
      </c>
      <c r="B138" s="1" t="str">
        <f t="shared" si="50"/>
        <v>EDIMGYNILRVLIWFISILAITGNIIVLVILTTSVPRFLMCNLAFADLCIGIYLLLIASVDIHTGAGCDAAGFFTVFASELSVYTLTAITLERWHTITHQLRHAASVMVMGWIFAFAAALFPIFGPLSQLYVMSLLVLNVLAFVVICGCYIHIYLTVRNSSSSDTRIAKRMAMLIFTDFLCMAPISFFAISASLKVSKAKILLVLFHPINSCANPFLYAIFTKNFRRDFFILLSKCGCYEMQAQ</v>
      </c>
      <c r="C138" s="29" t="str">
        <f>IF(ISERROR(MATCH(A138,'SegEnds_Xtal_Prot#'!B:B, 0)), "NoXtal", "Xtal")</f>
        <v>NoXtal</v>
      </c>
      <c r="D138" s="4" t="str">
        <f>VLOOKUP(A138,Classification!A:D,2,FALSE)</f>
        <v>A</v>
      </c>
      <c r="E138" s="5" t="str">
        <f>VLOOKUP(A138,Seqs!A:B,2,FALSE)</f>
        <v>MALLLVSLLAFLSLGSGCHHRICHCSNRVFLCQESKVTEIPSDLPRNAIELRFVLTKLRVIQKGAFSGFGDLEKIEISQNDVLEVIEADVFSNLPKLHEIRIEKANNLLYINPEAFQNLPNLQYLLISNTGIKHLPDVHKIHSLQKVLLDIQDNINIHTIERNSFVGLSFESVILWLNKNGIQEIHNCAFNGTQLDELNLSDNNNLEELPNDVFHGASGPVILDISRTRIHSLPSYGLENLKKLRARSTYNLKKLPTLEKLVALMEASLTYPSHCCAFANWRRQISELHPICNKSILRQEVDYMTQARGQRSSLAEDNESSYSRGFDMTYTEFDYDLCNEVVDVTCSPKPDAFNPCEDIMGYNILRVLIWFISILAITGNIIVLVILTTSQYKLTVPRFLMCNLAFADLCIGIYLLLIASVDIHTKSQYHNYAIDWQTGAGCDAAGFFTVFASELSVYTLTAITLERWHTITHAMQLDCKVQLRHAASVMVMGWIFAFAAALFPIFGISSYMKVSICLPMDIDSPLSQLYVMSLLVLNVLAFVVICGCYIHIYLTVRNPNIVSSSSDTRIAKRMAMLIFTDFLCMAPISFFAISASLKVPLITVSKAKILLVLFHPINSCANPFLYAIFTKNFRRDFFILLSKCGCYEMQAQIYRTETSSTVHNTHPRNGHCSSAPRVTNGSTYILVPLSHLAQN</v>
      </c>
      <c r="F138" s="5" t="str">
        <f t="shared" si="51"/>
        <v>EDIMGYNILRVLIWFISILAITGNIIVLVILTTS</v>
      </c>
      <c r="G138" s="4" t="str">
        <f t="shared" si="52"/>
        <v>YKLT</v>
      </c>
      <c r="H138" s="4" t="str">
        <f t="shared" si="53"/>
        <v>VPRFLMCNLAFADLCIGIYLLLIASVDIHT</v>
      </c>
      <c r="I138" s="4" t="str">
        <f t="shared" si="54"/>
        <v>DWQT</v>
      </c>
      <c r="J138" s="4" t="str">
        <f t="shared" si="55"/>
        <v>GAGCDAAGFFTVFASELSVYTLTAITLERWHTITH</v>
      </c>
      <c r="K138" s="4" t="str">
        <f t="shared" si="56"/>
        <v>AMQLDCKV</v>
      </c>
      <c r="L138" s="4" t="str">
        <f t="shared" si="57"/>
        <v>QLRHAASVMVMGWIFAFAAALFPIFG</v>
      </c>
      <c r="M138" s="4" t="str">
        <f t="shared" si="58"/>
        <v>CLP</v>
      </c>
      <c r="N138" s="4" t="str">
        <f t="shared" si="59"/>
        <v>PLSQLYVMSLLVLNVLAFVVICGCYIHIYLTVRN</v>
      </c>
      <c r="O138" s="4" t="str">
        <f t="shared" si="60"/>
        <v>SSSSDTRIAKRMAMLIFTDFLCMAPISFFAISASLK</v>
      </c>
      <c r="P138" s="4" t="str">
        <f t="shared" si="61"/>
        <v>VSKAKILLVLFHPINSCANPFLYAIF</v>
      </c>
      <c r="Q138" s="4" t="str">
        <f t="shared" si="62"/>
        <v>TKNFRRDFFILLSKCGCYEMQAQ</v>
      </c>
      <c r="R138" s="5">
        <f>VLOOKUP($A138,'SegEnds_NonXtal_Prot#'!$A:$AL,3,FALSE)</f>
        <v>357</v>
      </c>
      <c r="S138" s="5">
        <f>VLOOKUP($A138,'SegEnds_NonXtal_Prot#'!$A:$AL,6,FALSE)</f>
        <v>392</v>
      </c>
      <c r="T138" s="5">
        <f>VLOOKUP($A138,'SegEnds_NonXtal_Prot#'!$A:$AL,9,FALSE)</f>
        <v>396</v>
      </c>
      <c r="U138" s="5">
        <f>VLOOKUP($A138,'SegEnds_NonXtal_Prot#'!$A:$AL,12,FALSE)</f>
        <v>435</v>
      </c>
      <c r="V138" s="5">
        <f>VLOOKUP($A138,'SegEnds_NonXtal_Prot#'!$A:$AL,15,FALSE)</f>
        <v>439</v>
      </c>
      <c r="W138" s="5">
        <f>VLOOKUP($A138,'SegEnds_NonXtal_Prot#'!$A:$AL,18,FALSE)</f>
        <v>474</v>
      </c>
      <c r="X138" s="5">
        <f>VLOOKUP($A138,'SegEnds_NonXtal_Prot#'!$A:$AL,21,FALSE)</f>
        <v>482</v>
      </c>
      <c r="Y138" s="5">
        <f>VLOOKUP($A138,'SegEnds_NonXtal_Prot#'!$A:$AL,24,FALSE)</f>
        <v>517</v>
      </c>
      <c r="Z138" s="5">
        <f>VLOOKUP($A138,'SegEnds_NonXtal_Prot#'!$A:$AL,27,FALSE)</f>
        <v>525</v>
      </c>
      <c r="AA138" s="5">
        <f>VLOOKUP($A138,'SegEnds_NonXtal_Prot#'!$A:$AL,30,FALSE)</f>
        <v>563</v>
      </c>
      <c r="AB138" s="5">
        <f>VLOOKUP($A138,'SegEnds_NonXtal_Prot#'!$A:$AL,33,FALSE)</f>
        <v>604</v>
      </c>
      <c r="AC138" s="5">
        <f>VLOOKUP($A138,'SegEnds_NonXtal_Prot#'!$A:$AL,36,FALSE)</f>
        <v>630</v>
      </c>
      <c r="AD138" s="5">
        <f>VLOOKUP($A138,'SegEnds_NonXtal_Prot#'!$A:$AL,5,FALSE)</f>
        <v>390</v>
      </c>
      <c r="AE138" s="5">
        <f>VLOOKUP($A138,'SegEnds_NonXtal_Prot#'!$A:$AL,8,FALSE)</f>
        <v>395</v>
      </c>
      <c r="AF138" s="5">
        <f>VLOOKUP($A138,'SegEnds_NonXtal_Prot#'!$A:$AL,11,FALSE)</f>
        <v>425</v>
      </c>
      <c r="AG138" s="5">
        <f>VLOOKUP($A138,'SegEnds_NonXtal_Prot#'!$A:$AL,14,FALSE)</f>
        <v>438</v>
      </c>
      <c r="AH138" s="5">
        <f>VLOOKUP($A138,'SegEnds_NonXtal_Prot#'!$A:$AL,17,FALSE)</f>
        <v>473</v>
      </c>
      <c r="AI138" s="5">
        <f>VLOOKUP($A138,'SegEnds_NonXtal_Prot#'!$A:$AL,20,FALSE)</f>
        <v>481</v>
      </c>
      <c r="AJ138" s="5">
        <f>VLOOKUP($A138,'SegEnds_NonXtal_Prot#'!$A:$AL,23,FALSE)</f>
        <v>507</v>
      </c>
      <c r="AK138" s="5">
        <f>VLOOKUP($A138,'SegEnds_NonXtal_Prot#'!$A:$AL,26,FALSE)</f>
        <v>519</v>
      </c>
      <c r="AL138" s="5">
        <f>VLOOKUP($A138,'SegEnds_NonXtal_Prot#'!$A:$AL,29,FALSE)</f>
        <v>558</v>
      </c>
      <c r="AM138" s="5">
        <f>VLOOKUP($A138,'SegEnds_NonXtal_Prot#'!$A:$AL,32,FALSE)</f>
        <v>598</v>
      </c>
      <c r="AN138" s="5">
        <f>VLOOKUP($A138,'SegEnds_NonXtal_Prot#'!$A:$AL,35,FALSE)</f>
        <v>629</v>
      </c>
      <c r="AO138" s="5">
        <f>VLOOKUP($A138,'SegEnds_NonXtal_Prot#'!$A:$AL,38,FALSE)</f>
        <v>652</v>
      </c>
      <c r="AP138" s="5">
        <f t="shared" si="63"/>
        <v>33</v>
      </c>
      <c r="AQ138" s="4">
        <f t="shared" si="64"/>
        <v>3</v>
      </c>
      <c r="AR138" s="4">
        <f t="shared" si="65"/>
        <v>29</v>
      </c>
      <c r="AS138" s="4">
        <f t="shared" si="66"/>
        <v>3</v>
      </c>
      <c r="AT138" s="4">
        <f t="shared" si="67"/>
        <v>34</v>
      </c>
      <c r="AU138" s="4">
        <f t="shared" si="68"/>
        <v>7</v>
      </c>
      <c r="AV138" s="4">
        <f t="shared" si="69"/>
        <v>25</v>
      </c>
      <c r="AW138" s="4">
        <f t="shared" si="70"/>
        <v>2</v>
      </c>
      <c r="AX138" s="4">
        <f t="shared" si="71"/>
        <v>33</v>
      </c>
      <c r="AY138" s="4">
        <f t="shared" si="72"/>
        <v>35</v>
      </c>
      <c r="AZ138" s="4">
        <f t="shared" si="73"/>
        <v>25</v>
      </c>
      <c r="BA138" s="4">
        <f t="shared" si="74"/>
        <v>22</v>
      </c>
    </row>
    <row r="139" spans="1:53" x14ac:dyDescent="0.2">
      <c r="A139" s="1" t="str">
        <f>'SegEnds_NonXtal_Prot#'!A110</f>
        <v>galr1_human</v>
      </c>
      <c r="B139" s="1" t="str">
        <f t="shared" si="50"/>
        <v>VENFVTLVVFGLIFALGVLGNSLVITVLARSSTTNLFILNLSIADLAYLLFCIPFQATVYALGAFICKFIHYFFTVSMLVSIFTLAAMSVDRYVAIVHVSRNALLGVGCIWALSIAMASPVAYHQPDPRHKKAYVVCTFVFGYLLPLLLICFCYAKVLNHLHKKLKNMSKKKTAQTVLVVVVVFGISWLPHHIIHLWAEFGTPASFLFRITAHCLAYSNSSVNPIIYAFLSENFRKAYKQVFK</v>
      </c>
      <c r="C139" s="29" t="str">
        <f>IF(ISERROR(MATCH(A139,'SegEnds_Xtal_Prot#'!B:B, 0)), "NoXtal", "Xtal")</f>
        <v>NoXtal</v>
      </c>
      <c r="D139" s="4" t="str">
        <f>VLOOKUP(A139,Classification!A:D,2,FALSE)</f>
        <v>A</v>
      </c>
      <c r="E139" s="5" t="str">
        <f>VLOOKUP(A139,Seqs!A:B,2,FALSE)</f>
        <v>MELAVGNLSEGNASWPEPPAPEPGPLFGIGVENFVTLVVFGLIFALGVLGNSLVITVLARSKPGKPRSTTNLFILNLSIADLAYLLFCIPFQATVYALPTWVLGAFICKFIHYFFTVSMLVSIFTLAAMSVDRYVAIVHSRRSSSLRVSRNALLGVGCIWALSIAMASPVAYHQGLFHPRASNQTFCWEQWPDPRHKKAYVVCTFVFGYLLPLLLICFCYAKVLNHLHKKLKNMSKKSEASKKKTAQTVLVVVVVFGISWLPHHIIHLWAEFGVFPLTPASFLFRITAHCLAYSNSSVNPIIYAFLSENFRKAYKQVFKCHIRKDSHLSDTKESKSRIDTPPSTNCTHV</v>
      </c>
      <c r="F139" s="5" t="str">
        <f t="shared" si="51"/>
        <v>VENFVTLVVFGLIFALGVLGNSLVITVLARS</v>
      </c>
      <c r="G139" s="4" t="str">
        <f t="shared" si="52"/>
        <v/>
      </c>
      <c r="H139" s="4" t="str">
        <f t="shared" si="53"/>
        <v>STTNLFILNLSIADLAYLLFCIPFQATVYAL</v>
      </c>
      <c r="I139" s="4" t="str">
        <f t="shared" si="54"/>
        <v>TWVL</v>
      </c>
      <c r="J139" s="4" t="str">
        <f t="shared" si="55"/>
        <v>GAFICKFIHYFFTVSMLVSIFTLAAMSVDRYVAIVH</v>
      </c>
      <c r="K139" s="4" t="str">
        <f t="shared" si="56"/>
        <v>SRRSSSLR</v>
      </c>
      <c r="L139" s="4" t="str">
        <f t="shared" si="57"/>
        <v>VSRNALLGVGCIWALSIAMASPVAYHQ</v>
      </c>
      <c r="M139" s="4" t="str">
        <f t="shared" si="58"/>
        <v>CWE</v>
      </c>
      <c r="N139" s="4" t="str">
        <f t="shared" si="59"/>
        <v>PDPRHKKAYVVCTFVFGYLLPLLLICFCYAKVLNHLHKKLKNM</v>
      </c>
      <c r="O139" s="4" t="str">
        <f t="shared" si="60"/>
        <v>SKKKTAQTVLVVVVVFGISWLPHHIIHLWAEFG</v>
      </c>
      <c r="P139" s="4" t="str">
        <f t="shared" si="61"/>
        <v>TPASFLFRITAHCLAYSNSSVNPIIYAFL</v>
      </c>
      <c r="Q139" s="4" t="str">
        <f t="shared" si="62"/>
        <v>SENFRKAYKQVFK</v>
      </c>
      <c r="R139" s="5">
        <f>VLOOKUP($A139,'SegEnds_NonXtal_Prot#'!$A:$AL,3,FALSE)</f>
        <v>31</v>
      </c>
      <c r="S139" s="5" t="str">
        <f>VLOOKUP($A139,'SegEnds_NonXtal_Prot#'!$A:$AL,6,FALSE)</f>
        <v>-</v>
      </c>
      <c r="T139" s="5">
        <f>VLOOKUP($A139,'SegEnds_NonXtal_Prot#'!$A:$AL,9,FALSE)</f>
        <v>68</v>
      </c>
      <c r="U139" s="5">
        <f>VLOOKUP($A139,'SegEnds_NonXtal_Prot#'!$A:$AL,12,FALSE)</f>
        <v>100</v>
      </c>
      <c r="V139" s="5">
        <f>VLOOKUP($A139,'SegEnds_NonXtal_Prot#'!$A:$AL,15,FALSE)</f>
        <v>104</v>
      </c>
      <c r="W139" s="5">
        <f>VLOOKUP($A139,'SegEnds_NonXtal_Prot#'!$A:$AL,18,FALSE)</f>
        <v>140</v>
      </c>
      <c r="X139" s="5">
        <f>VLOOKUP($A139,'SegEnds_NonXtal_Prot#'!$A:$AL,21,FALSE)</f>
        <v>148</v>
      </c>
      <c r="Y139" s="5">
        <f>VLOOKUP($A139,'SegEnds_NonXtal_Prot#'!$A:$AL,24,FALSE)</f>
        <v>187</v>
      </c>
      <c r="Z139" s="5">
        <f>VLOOKUP($A139,'SegEnds_NonXtal_Prot#'!$A:$AL,27,FALSE)</f>
        <v>192</v>
      </c>
      <c r="AA139" s="5">
        <f>VLOOKUP($A139,'SegEnds_NonXtal_Prot#'!$A:$AL,30,FALSE)</f>
        <v>241</v>
      </c>
      <c r="AB139" s="5">
        <f>VLOOKUP($A139,'SegEnds_NonXtal_Prot#'!$A:$AL,33,FALSE)</f>
        <v>278</v>
      </c>
      <c r="AC139" s="5">
        <f>VLOOKUP($A139,'SegEnds_NonXtal_Prot#'!$A:$AL,36,FALSE)</f>
        <v>307</v>
      </c>
      <c r="AD139" s="5">
        <f>VLOOKUP($A139,'SegEnds_NonXtal_Prot#'!$A:$AL,5,FALSE)</f>
        <v>61</v>
      </c>
      <c r="AE139" s="5" t="str">
        <f>VLOOKUP($A139,'SegEnds_NonXtal_Prot#'!$A:$AL,8,FALSE)</f>
        <v>-</v>
      </c>
      <c r="AF139" s="5">
        <f>VLOOKUP($A139,'SegEnds_NonXtal_Prot#'!$A:$AL,11,FALSE)</f>
        <v>98</v>
      </c>
      <c r="AG139" s="5">
        <f>VLOOKUP($A139,'SegEnds_NonXtal_Prot#'!$A:$AL,14,FALSE)</f>
        <v>103</v>
      </c>
      <c r="AH139" s="5">
        <f>VLOOKUP($A139,'SegEnds_NonXtal_Prot#'!$A:$AL,17,FALSE)</f>
        <v>139</v>
      </c>
      <c r="AI139" s="5">
        <f>VLOOKUP($A139,'SegEnds_NonXtal_Prot#'!$A:$AL,20,FALSE)</f>
        <v>147</v>
      </c>
      <c r="AJ139" s="5">
        <f>VLOOKUP($A139,'SegEnds_NonXtal_Prot#'!$A:$AL,23,FALSE)</f>
        <v>174</v>
      </c>
      <c r="AK139" s="5">
        <f>VLOOKUP($A139,'SegEnds_NonXtal_Prot#'!$A:$AL,26,FALSE)</f>
        <v>189</v>
      </c>
      <c r="AL139" s="5">
        <f>VLOOKUP($A139,'SegEnds_NonXtal_Prot#'!$A:$AL,29,FALSE)</f>
        <v>234</v>
      </c>
      <c r="AM139" s="5">
        <f>VLOOKUP($A139,'SegEnds_NonXtal_Prot#'!$A:$AL,32,FALSE)</f>
        <v>273</v>
      </c>
      <c r="AN139" s="5">
        <f>VLOOKUP($A139,'SegEnds_NonXtal_Prot#'!$A:$AL,35,FALSE)</f>
        <v>306</v>
      </c>
      <c r="AO139" s="5">
        <f>VLOOKUP($A139,'SegEnds_NonXtal_Prot#'!$A:$AL,38,FALSE)</f>
        <v>319</v>
      </c>
      <c r="AP139" s="5">
        <f t="shared" si="63"/>
        <v>30</v>
      </c>
      <c r="AQ139" s="4" t="str">
        <f t="shared" si="64"/>
        <v>-</v>
      </c>
      <c r="AR139" s="4">
        <f t="shared" si="65"/>
        <v>30</v>
      </c>
      <c r="AS139" s="4">
        <f t="shared" si="66"/>
        <v>3</v>
      </c>
      <c r="AT139" s="4">
        <f t="shared" si="67"/>
        <v>35</v>
      </c>
      <c r="AU139" s="4">
        <f t="shared" si="68"/>
        <v>7</v>
      </c>
      <c r="AV139" s="4">
        <f t="shared" si="69"/>
        <v>26</v>
      </c>
      <c r="AW139" s="4">
        <f t="shared" si="70"/>
        <v>2</v>
      </c>
      <c r="AX139" s="4">
        <f t="shared" si="71"/>
        <v>42</v>
      </c>
      <c r="AY139" s="4">
        <f t="shared" si="72"/>
        <v>32</v>
      </c>
      <c r="AZ139" s="4">
        <f t="shared" si="73"/>
        <v>28</v>
      </c>
      <c r="BA139" s="4">
        <f t="shared" si="74"/>
        <v>12</v>
      </c>
    </row>
    <row r="140" spans="1:53" x14ac:dyDescent="0.2">
      <c r="A140" s="1" t="str">
        <f>'SegEnds_NonXtal_Prot#'!A111</f>
        <v>galr2_human</v>
      </c>
      <c r="B140" s="1" t="str">
        <f t="shared" si="50"/>
        <v>PEAVIVPLLFALIFLVGTVGNTLVLAVLLRGSTTNLFILNLGVADLCFILCCVPFQATIYTLGSLLCKAVHFLIFLTMHASSFTLAAVSLDRYLAIRYTPRNALAAIGLIWGLSLLFSGPYLSYYWSAPRRRAMDICTFVFSYLLPVLVLGLTYARTLRYLWRAVDPVSGARRAKRKVTRMILIVAALFCLCWMPHHALILCVWFGTRATYALRILSHLVSYANSCVNPIVYALVSKHFRKGFRTICA</v>
      </c>
      <c r="C140" s="29" t="str">
        <f>IF(ISERROR(MATCH(A140,'SegEnds_Xtal_Prot#'!B:B, 0)), "NoXtal", "Xtal")</f>
        <v>NoXtal</v>
      </c>
      <c r="D140" s="4" t="str">
        <f>VLOOKUP(A140,Classification!A:D,2,FALSE)</f>
        <v>A</v>
      </c>
      <c r="E140" s="5" t="str">
        <f>VLOOKUP(A140,Seqs!A:B,2,FALSE)</f>
        <v>MNVSGCPGAGNASQAGGGGGWHPEAVIVPLLFALIFLVGTVGNTLVLAVLLRGGQAVSTTNLFILNLGVADLCFILCCVPFQATIYTLDGWVFGSLLCKAVHFLIFLTMHASSFTLAAVSLDRYLAIRYPLHSRELRTPRNALAAIGLIWGLSLLFSGPYLSYYRQSQLANLTVCHPAWSAPRRRAMDICTFVFSYLLPVLVLGLTYARTLRYLWRAVDPVAAGSGARRAKRKVTRMILIVAALFCLCWMPHHALILCVWFGQFPLTRATYALRILSHLVSYANSCVNPIVYALVSKHFRKGFRTICAGLLGRAPGRASGRVCAAARGTHSGSVLERESSDLLHMSEAAGALRPCPGASQPCILEPCPGPSWQGPKAGDSILTVDVA</v>
      </c>
      <c r="F140" s="5" t="str">
        <f t="shared" si="51"/>
        <v>PEAVIVPLLFALIFLVGTVGNTLVLAVLLRG</v>
      </c>
      <c r="G140" s="4" t="str">
        <f t="shared" si="52"/>
        <v>GQAV</v>
      </c>
      <c r="H140" s="4" t="str">
        <f t="shared" si="53"/>
        <v>STTNLFILNLGVADLCFILCCVPFQATIYTL</v>
      </c>
      <c r="I140" s="4" t="str">
        <f t="shared" si="54"/>
        <v>GWVF</v>
      </c>
      <c r="J140" s="4" t="str">
        <f t="shared" si="55"/>
        <v>GSLLCKAVHFLIFLTMHASSFTLAAVSLDRYLAIRY</v>
      </c>
      <c r="K140" s="4" t="str">
        <f t="shared" si="56"/>
        <v>PLHSRELR</v>
      </c>
      <c r="L140" s="4" t="str">
        <f t="shared" si="57"/>
        <v>TPRNALAAIGLIWGLSLLFSGPYLSYY</v>
      </c>
      <c r="M140" s="4" t="str">
        <f t="shared" si="58"/>
        <v>CHP</v>
      </c>
      <c r="N140" s="4" t="str">
        <f t="shared" si="59"/>
        <v>WSAPRRRAMDICTFVFSYLLPVLVLGLTYARTLRYLWRAVDPV</v>
      </c>
      <c r="O140" s="4" t="str">
        <f t="shared" si="60"/>
        <v>SGARRAKRKVTRMILIVAALFCLCWMPHHALILCVWFG</v>
      </c>
      <c r="P140" s="4" t="str">
        <f t="shared" si="61"/>
        <v>TRATYALRILSHLVSYANSCVNPIVYALV</v>
      </c>
      <c r="Q140" s="4" t="str">
        <f t="shared" si="62"/>
        <v>SKHFRKGFRTICA</v>
      </c>
      <c r="R140" s="5">
        <f>VLOOKUP($A140,'SegEnds_NonXtal_Prot#'!$A:$AL,3,FALSE)</f>
        <v>23</v>
      </c>
      <c r="S140" s="5">
        <f>VLOOKUP($A140,'SegEnds_NonXtal_Prot#'!$A:$AL,6,FALSE)</f>
        <v>54</v>
      </c>
      <c r="T140" s="5">
        <f>VLOOKUP($A140,'SegEnds_NonXtal_Prot#'!$A:$AL,9,FALSE)</f>
        <v>58</v>
      </c>
      <c r="U140" s="5">
        <f>VLOOKUP($A140,'SegEnds_NonXtal_Prot#'!$A:$AL,12,FALSE)</f>
        <v>90</v>
      </c>
      <c r="V140" s="5">
        <f>VLOOKUP($A140,'SegEnds_NonXtal_Prot#'!$A:$AL,15,FALSE)</f>
        <v>94</v>
      </c>
      <c r="W140" s="5">
        <f>VLOOKUP($A140,'SegEnds_NonXtal_Prot#'!$A:$AL,18,FALSE)</f>
        <v>130</v>
      </c>
      <c r="X140" s="5">
        <f>VLOOKUP($A140,'SegEnds_NonXtal_Prot#'!$A:$AL,21,FALSE)</f>
        <v>138</v>
      </c>
      <c r="Y140" s="5">
        <f>VLOOKUP($A140,'SegEnds_NonXtal_Prot#'!$A:$AL,24,FALSE)</f>
        <v>175</v>
      </c>
      <c r="Z140" s="5">
        <f>VLOOKUP($A140,'SegEnds_NonXtal_Prot#'!$A:$AL,27,FALSE)</f>
        <v>179</v>
      </c>
      <c r="AA140" s="5">
        <f>VLOOKUP($A140,'SegEnds_NonXtal_Prot#'!$A:$AL,30,FALSE)</f>
        <v>225</v>
      </c>
      <c r="AB140" s="5">
        <f>VLOOKUP($A140,'SegEnds_NonXtal_Prot#'!$A:$AL,33,FALSE)</f>
        <v>267</v>
      </c>
      <c r="AC140" s="5">
        <f>VLOOKUP($A140,'SegEnds_NonXtal_Prot#'!$A:$AL,36,FALSE)</f>
        <v>296</v>
      </c>
      <c r="AD140" s="5">
        <f>VLOOKUP($A140,'SegEnds_NonXtal_Prot#'!$A:$AL,5,FALSE)</f>
        <v>53</v>
      </c>
      <c r="AE140" s="5">
        <f>VLOOKUP($A140,'SegEnds_NonXtal_Prot#'!$A:$AL,8,FALSE)</f>
        <v>57</v>
      </c>
      <c r="AF140" s="5">
        <f>VLOOKUP($A140,'SegEnds_NonXtal_Prot#'!$A:$AL,11,FALSE)</f>
        <v>88</v>
      </c>
      <c r="AG140" s="5">
        <f>VLOOKUP($A140,'SegEnds_NonXtal_Prot#'!$A:$AL,14,FALSE)</f>
        <v>93</v>
      </c>
      <c r="AH140" s="5">
        <f>VLOOKUP($A140,'SegEnds_NonXtal_Prot#'!$A:$AL,17,FALSE)</f>
        <v>129</v>
      </c>
      <c r="AI140" s="5">
        <f>VLOOKUP($A140,'SegEnds_NonXtal_Prot#'!$A:$AL,20,FALSE)</f>
        <v>137</v>
      </c>
      <c r="AJ140" s="5">
        <f>VLOOKUP($A140,'SegEnds_NonXtal_Prot#'!$A:$AL,23,FALSE)</f>
        <v>164</v>
      </c>
      <c r="AK140" s="5">
        <f>VLOOKUP($A140,'SegEnds_NonXtal_Prot#'!$A:$AL,26,FALSE)</f>
        <v>177</v>
      </c>
      <c r="AL140" s="5">
        <f>VLOOKUP($A140,'SegEnds_NonXtal_Prot#'!$A:$AL,29,FALSE)</f>
        <v>221</v>
      </c>
      <c r="AM140" s="5">
        <f>VLOOKUP($A140,'SegEnds_NonXtal_Prot#'!$A:$AL,32,FALSE)</f>
        <v>262</v>
      </c>
      <c r="AN140" s="5">
        <f>VLOOKUP($A140,'SegEnds_NonXtal_Prot#'!$A:$AL,35,FALSE)</f>
        <v>295</v>
      </c>
      <c r="AO140" s="5">
        <f>VLOOKUP($A140,'SegEnds_NonXtal_Prot#'!$A:$AL,38,FALSE)</f>
        <v>308</v>
      </c>
      <c r="AP140" s="5">
        <f t="shared" si="63"/>
        <v>30</v>
      </c>
      <c r="AQ140" s="4">
        <f t="shared" si="64"/>
        <v>3</v>
      </c>
      <c r="AR140" s="4">
        <f t="shared" si="65"/>
        <v>30</v>
      </c>
      <c r="AS140" s="4">
        <f t="shared" si="66"/>
        <v>3</v>
      </c>
      <c r="AT140" s="4">
        <f t="shared" si="67"/>
        <v>35</v>
      </c>
      <c r="AU140" s="4">
        <f t="shared" si="68"/>
        <v>7</v>
      </c>
      <c r="AV140" s="4">
        <f t="shared" si="69"/>
        <v>26</v>
      </c>
      <c r="AW140" s="4">
        <f t="shared" si="70"/>
        <v>2</v>
      </c>
      <c r="AX140" s="4">
        <f t="shared" si="71"/>
        <v>42</v>
      </c>
      <c r="AY140" s="4">
        <f t="shared" si="72"/>
        <v>37</v>
      </c>
      <c r="AZ140" s="4">
        <f t="shared" si="73"/>
        <v>28</v>
      </c>
      <c r="BA140" s="4">
        <f t="shared" si="74"/>
        <v>12</v>
      </c>
    </row>
    <row r="141" spans="1:53" x14ac:dyDescent="0.2">
      <c r="A141" s="1" t="str">
        <f>'SegEnds_NonXtal_Prot#'!A112</f>
        <v>galr3_human</v>
      </c>
      <c r="B141" s="1" t="str">
        <f t="shared" si="50"/>
        <v>VGAVAVPVVFALIFLLGTVGNGLVLAVLLQPQEPGSTTDLFILNLAVADLCFILCCVPFQATIYTLGALVCKAVHLLIYLTMYASSFTLAAVSVDRYLAVRHTPRNARAAVGLVWLLAALFSAPYLSYYWEDARRRALDVATFAAGYLLPVAVVSLAYGRTLRFLWAAVGPAEARRRATGRAGRAMLAVAALYALCWGPHHALILCFWYGSPATYACRLASHCLAYANSCLNPLVYALASRHFRARFRRLWP</v>
      </c>
      <c r="C141" s="29" t="str">
        <f>IF(ISERROR(MATCH(A141,'SegEnds_Xtal_Prot#'!B:B, 0)), "NoXtal", "Xtal")</f>
        <v>NoXtal</v>
      </c>
      <c r="D141" s="4" t="str">
        <f>VLOOKUP(A141,Classification!A:D,2,FALSE)</f>
        <v>A</v>
      </c>
      <c r="E141" s="5" t="str">
        <f>VLOOKUP(A141,Seqs!A:B,2,FALSE)</f>
        <v>MADAQNISLDSPGSVGAVAVPVVFALIFLLGTVGNGLVLAVLLQPGPSAWQEPGSTTDLFILNLAVADLCFILCCVPFQATIYTLDAWLFGALVCKAVHLLIYLTMYASSFTLAAVSVDRYLAVRHPLRSRALRTPRNARAAVGLVWLLAALFSAPYLSYYGTVRYGALELCVPAWEDARRRALDVATFAAGYLLPVAVVSLAYGRTLRFLWAAVGPAGAAAAEARRRATGRAGRAMLAVAALYALCWGPHHALILCFWYGRFAFSPATYACRLASHCLAYANSCLNPLVYALASRHFRARFRRLWPCGRRRRHRARRALRRVRPASSGPPGCPGDARPSGRLLAGGGQGPEPREGPVHGGEAARGPE</v>
      </c>
      <c r="F141" s="5" t="str">
        <f t="shared" si="51"/>
        <v>VGAVAVPVVFALIFLLGTVGNGLVLAVLLQP</v>
      </c>
      <c r="G141" s="4" t="str">
        <f t="shared" si="52"/>
        <v>PSAW</v>
      </c>
      <c r="H141" s="4" t="str">
        <f t="shared" si="53"/>
        <v>QEPGSTTDLFILNLAVADLCFILCCVPFQATIYTL</v>
      </c>
      <c r="I141" s="4" t="str">
        <f t="shared" si="54"/>
        <v>AWLF</v>
      </c>
      <c r="J141" s="4" t="str">
        <f t="shared" si="55"/>
        <v>GALVCKAVHLLIYLTMYASSFTLAAVSVDRYLAVRH</v>
      </c>
      <c r="K141" s="4" t="str">
        <f t="shared" si="56"/>
        <v>PLRSRALR</v>
      </c>
      <c r="L141" s="4" t="str">
        <f t="shared" si="57"/>
        <v>TPRNARAAVGLVWLLAALFSAPYLSYY</v>
      </c>
      <c r="M141" s="4" t="str">
        <f t="shared" si="58"/>
        <v>CVP</v>
      </c>
      <c r="N141" s="4" t="str">
        <f t="shared" si="59"/>
        <v>WEDARRRALDVATFAAGYLLPVAVVSLAYGRTLRFLWAAVGPA</v>
      </c>
      <c r="O141" s="4" t="str">
        <f t="shared" si="60"/>
        <v>EARRRATGRAGRAMLAVAALYALCWGPHHALILCFWYG</v>
      </c>
      <c r="P141" s="4" t="str">
        <f t="shared" si="61"/>
        <v>SPATYACRLASHCLAYANSCLNPLVYALA</v>
      </c>
      <c r="Q141" s="4" t="str">
        <f t="shared" si="62"/>
        <v>SRHFRARFRRLWP</v>
      </c>
      <c r="R141" s="5">
        <f>VLOOKUP($A141,'SegEnds_NonXtal_Prot#'!$A:$AL,3,FALSE)</f>
        <v>15</v>
      </c>
      <c r="S141" s="5">
        <f>VLOOKUP($A141,'SegEnds_NonXtal_Prot#'!$A:$AL,6,FALSE)</f>
        <v>47</v>
      </c>
      <c r="T141" s="5">
        <f>VLOOKUP($A141,'SegEnds_NonXtal_Prot#'!$A:$AL,9,FALSE)</f>
        <v>51</v>
      </c>
      <c r="U141" s="5">
        <f>VLOOKUP($A141,'SegEnds_NonXtal_Prot#'!$A:$AL,12,FALSE)</f>
        <v>87</v>
      </c>
      <c r="V141" s="5">
        <f>VLOOKUP($A141,'SegEnds_NonXtal_Prot#'!$A:$AL,15,FALSE)</f>
        <v>91</v>
      </c>
      <c r="W141" s="5">
        <f>VLOOKUP($A141,'SegEnds_NonXtal_Prot#'!$A:$AL,18,FALSE)</f>
        <v>127</v>
      </c>
      <c r="X141" s="5">
        <f>VLOOKUP($A141,'SegEnds_NonXtal_Prot#'!$A:$AL,21,FALSE)</f>
        <v>135</v>
      </c>
      <c r="Y141" s="5">
        <f>VLOOKUP($A141,'SegEnds_NonXtal_Prot#'!$A:$AL,24,FALSE)</f>
        <v>172</v>
      </c>
      <c r="Z141" s="5">
        <f>VLOOKUP($A141,'SegEnds_NonXtal_Prot#'!$A:$AL,27,FALSE)</f>
        <v>176</v>
      </c>
      <c r="AA141" s="5">
        <f>VLOOKUP($A141,'SegEnds_NonXtal_Prot#'!$A:$AL,30,FALSE)</f>
        <v>224</v>
      </c>
      <c r="AB141" s="5">
        <f>VLOOKUP($A141,'SegEnds_NonXtal_Prot#'!$A:$AL,33,FALSE)</f>
        <v>266</v>
      </c>
      <c r="AC141" s="5">
        <f>VLOOKUP($A141,'SegEnds_NonXtal_Prot#'!$A:$AL,36,FALSE)</f>
        <v>295</v>
      </c>
      <c r="AD141" s="5">
        <f>VLOOKUP($A141,'SegEnds_NonXtal_Prot#'!$A:$AL,5,FALSE)</f>
        <v>45</v>
      </c>
      <c r="AE141" s="5">
        <f>VLOOKUP($A141,'SegEnds_NonXtal_Prot#'!$A:$AL,8,FALSE)</f>
        <v>50</v>
      </c>
      <c r="AF141" s="5">
        <f>VLOOKUP($A141,'SegEnds_NonXtal_Prot#'!$A:$AL,11,FALSE)</f>
        <v>85</v>
      </c>
      <c r="AG141" s="5">
        <f>VLOOKUP($A141,'SegEnds_NonXtal_Prot#'!$A:$AL,14,FALSE)</f>
        <v>90</v>
      </c>
      <c r="AH141" s="5">
        <f>VLOOKUP($A141,'SegEnds_NonXtal_Prot#'!$A:$AL,17,FALSE)</f>
        <v>126</v>
      </c>
      <c r="AI141" s="5">
        <f>VLOOKUP($A141,'SegEnds_NonXtal_Prot#'!$A:$AL,20,FALSE)</f>
        <v>134</v>
      </c>
      <c r="AJ141" s="5">
        <f>VLOOKUP($A141,'SegEnds_NonXtal_Prot#'!$A:$AL,23,FALSE)</f>
        <v>161</v>
      </c>
      <c r="AK141" s="5">
        <f>VLOOKUP($A141,'SegEnds_NonXtal_Prot#'!$A:$AL,26,FALSE)</f>
        <v>174</v>
      </c>
      <c r="AL141" s="5">
        <f>VLOOKUP($A141,'SegEnds_NonXtal_Prot#'!$A:$AL,29,FALSE)</f>
        <v>218</v>
      </c>
      <c r="AM141" s="5">
        <f>VLOOKUP($A141,'SegEnds_NonXtal_Prot#'!$A:$AL,32,FALSE)</f>
        <v>261</v>
      </c>
      <c r="AN141" s="5">
        <f>VLOOKUP($A141,'SegEnds_NonXtal_Prot#'!$A:$AL,35,FALSE)</f>
        <v>294</v>
      </c>
      <c r="AO141" s="5">
        <f>VLOOKUP($A141,'SegEnds_NonXtal_Prot#'!$A:$AL,38,FALSE)</f>
        <v>307</v>
      </c>
      <c r="AP141" s="5">
        <f t="shared" si="63"/>
        <v>30</v>
      </c>
      <c r="AQ141" s="4">
        <f t="shared" si="64"/>
        <v>3</v>
      </c>
      <c r="AR141" s="4">
        <f t="shared" si="65"/>
        <v>34</v>
      </c>
      <c r="AS141" s="4">
        <f t="shared" si="66"/>
        <v>3</v>
      </c>
      <c r="AT141" s="4">
        <f t="shared" si="67"/>
        <v>35</v>
      </c>
      <c r="AU141" s="4">
        <f t="shared" si="68"/>
        <v>7</v>
      </c>
      <c r="AV141" s="4">
        <f t="shared" si="69"/>
        <v>26</v>
      </c>
      <c r="AW141" s="4">
        <f t="shared" si="70"/>
        <v>2</v>
      </c>
      <c r="AX141" s="4">
        <f t="shared" si="71"/>
        <v>42</v>
      </c>
      <c r="AY141" s="4">
        <f t="shared" si="72"/>
        <v>37</v>
      </c>
      <c r="AZ141" s="4">
        <f t="shared" si="73"/>
        <v>28</v>
      </c>
      <c r="BA141" s="4">
        <f t="shared" si="74"/>
        <v>12</v>
      </c>
    </row>
    <row r="142" spans="1:53" x14ac:dyDescent="0.2">
      <c r="A142" s="1" t="str">
        <f>'SegEnds_NonXtal_Prot#'!A114</f>
        <v>ghsr_human</v>
      </c>
      <c r="B142" s="1" t="str">
        <f t="shared" si="50"/>
        <v>APLLAGVTATCVALFVVGIAGNLLTMLVVSRFTTTNLYLSSMAFSDLLIFLCMPLDLVRLWQYGDLLCKLFQFVSESCTYATVLTITALSVERYFAICFTKGRVKLVIFVIWAVAFCSAGPIFVLVRSGLLTVMVWVSSIFFFLPVFCLTVLYSLIGRKLWRRRRGDSLRDQNHKQTVKMLAVVVFAFILCWLPFHVGRYLFSKSAQISQYCNLVSFVLFYLSAAINPILYNIMSKKYRVAVFRLL</v>
      </c>
      <c r="C142" s="29" t="str">
        <f>IF(ISERROR(MATCH(A142,'SegEnds_Xtal_Prot#'!B:B, 0)), "NoXtal", "Xtal")</f>
        <v>NoXtal</v>
      </c>
      <c r="D142" s="4" t="str">
        <f>VLOOKUP(A142,Classification!A:D,2,FALSE)</f>
        <v>A</v>
      </c>
      <c r="E142" s="5" t="str">
        <f>VLOOKUP(A142,Seqs!A:B,2,FALSE)</f>
        <v>MWNATPSEEPGFNLTLADLDWDASPGNDSLGDELLQLFPAPLLAGVTATCVALFVVGIAGNLLTMLVVSRFRELRTTTNLYLSSMAFSDLLIFLCMPLDLVRLWQYRPWNFGDLLCKLFQFVSESCTYATVLTITALSVERYFAICFPLRAKVVVTKGRVKLVIFVIWAVAFCSAGPIFVLVGVEHENGTDPWDTNECRPTEFAVRSGLLTVMVWVSSIFFFLPVFCLTVLYSLIGRKLWRRRRGDAVVGASLRDQNHKQTVKMLAVVVFAFILCWLPFHVGRYLFSKSFEPGSLEIAQISQYCNLVSFVLFYLSAAINPILYNIMSKKYRVAVFRLLGFEPFSQRKLSTLKDESSRAWTESSINT</v>
      </c>
      <c r="F142" s="5" t="str">
        <f t="shared" si="51"/>
        <v>APLLAGVTATCVALFVVGIAGNLLTMLVVSRF</v>
      </c>
      <c r="G142" s="4" t="str">
        <f t="shared" si="52"/>
        <v>RELR</v>
      </c>
      <c r="H142" s="4" t="str">
        <f t="shared" si="53"/>
        <v>TTTNLYLSSMAFSDLLIFLCMPLDLVRLWQY</v>
      </c>
      <c r="I142" s="4" t="str">
        <f t="shared" si="54"/>
        <v>PWNF</v>
      </c>
      <c r="J142" s="4" t="str">
        <f t="shared" si="55"/>
        <v>GDLLCKLFQFVSESCTYATVLTITALSVERYFAICF</v>
      </c>
      <c r="K142" s="4" t="str">
        <f t="shared" si="56"/>
        <v>PLRAKVVV</v>
      </c>
      <c r="L142" s="4" t="str">
        <f t="shared" si="57"/>
        <v>TKGRVKLVIFVIWAVAFCSAGPIFVLV</v>
      </c>
      <c r="M142" s="4" t="str">
        <f t="shared" si="58"/>
        <v>CRP</v>
      </c>
      <c r="N142" s="4" t="str">
        <f t="shared" si="59"/>
        <v>RSGLLTVMVWVSSIFFFLPVFCLTVLYSLIGRKLWRRRRGD</v>
      </c>
      <c r="O142" s="4" t="str">
        <f t="shared" si="60"/>
        <v>SLRDQNHKQTVKMLAVVVFAFILCWLPFHVGRYLFSKS</v>
      </c>
      <c r="P142" s="4" t="str">
        <f t="shared" si="61"/>
        <v>AQISQYCNLVSFVLFYLSAAINPILYNIM</v>
      </c>
      <c r="Q142" s="4" t="str">
        <f t="shared" si="62"/>
        <v>SKKYRVAVFRLL</v>
      </c>
      <c r="R142" s="5">
        <f>VLOOKUP($A142,'SegEnds_NonXtal_Prot#'!$A:$AL,3,FALSE)</f>
        <v>40</v>
      </c>
      <c r="S142" s="5">
        <f>VLOOKUP($A142,'SegEnds_NonXtal_Prot#'!$A:$AL,6,FALSE)</f>
        <v>72</v>
      </c>
      <c r="T142" s="5">
        <f>VLOOKUP($A142,'SegEnds_NonXtal_Prot#'!$A:$AL,9,FALSE)</f>
        <v>76</v>
      </c>
      <c r="U142" s="5">
        <f>VLOOKUP($A142,'SegEnds_NonXtal_Prot#'!$A:$AL,12,FALSE)</f>
        <v>108</v>
      </c>
      <c r="V142" s="5">
        <f>VLOOKUP($A142,'SegEnds_NonXtal_Prot#'!$A:$AL,15,FALSE)</f>
        <v>112</v>
      </c>
      <c r="W142" s="5">
        <f>VLOOKUP($A142,'SegEnds_NonXtal_Prot#'!$A:$AL,18,FALSE)</f>
        <v>148</v>
      </c>
      <c r="X142" s="5">
        <f>VLOOKUP($A142,'SegEnds_NonXtal_Prot#'!$A:$AL,21,FALSE)</f>
        <v>156</v>
      </c>
      <c r="Y142" s="5">
        <f>VLOOKUP($A142,'SegEnds_NonXtal_Prot#'!$A:$AL,24,FALSE)</f>
        <v>198</v>
      </c>
      <c r="Z142" s="5">
        <f>VLOOKUP($A142,'SegEnds_NonXtal_Prot#'!$A:$AL,27,FALSE)</f>
        <v>206</v>
      </c>
      <c r="AA142" s="5">
        <f>VLOOKUP($A142,'SegEnds_NonXtal_Prot#'!$A:$AL,30,FALSE)</f>
        <v>252</v>
      </c>
      <c r="AB142" s="5">
        <f>VLOOKUP($A142,'SegEnds_NonXtal_Prot#'!$A:$AL,33,FALSE)</f>
        <v>298</v>
      </c>
      <c r="AC142" s="5">
        <f>VLOOKUP($A142,'SegEnds_NonXtal_Prot#'!$A:$AL,36,FALSE)</f>
        <v>327</v>
      </c>
      <c r="AD142" s="5">
        <f>VLOOKUP($A142,'SegEnds_NonXtal_Prot#'!$A:$AL,5,FALSE)</f>
        <v>71</v>
      </c>
      <c r="AE142" s="5">
        <f>VLOOKUP($A142,'SegEnds_NonXtal_Prot#'!$A:$AL,8,FALSE)</f>
        <v>75</v>
      </c>
      <c r="AF142" s="5">
        <f>VLOOKUP($A142,'SegEnds_NonXtal_Prot#'!$A:$AL,11,FALSE)</f>
        <v>106</v>
      </c>
      <c r="AG142" s="5">
        <f>VLOOKUP($A142,'SegEnds_NonXtal_Prot#'!$A:$AL,14,FALSE)</f>
        <v>111</v>
      </c>
      <c r="AH142" s="5">
        <f>VLOOKUP($A142,'SegEnds_NonXtal_Prot#'!$A:$AL,17,FALSE)</f>
        <v>147</v>
      </c>
      <c r="AI142" s="5">
        <f>VLOOKUP($A142,'SegEnds_NonXtal_Prot#'!$A:$AL,20,FALSE)</f>
        <v>155</v>
      </c>
      <c r="AJ142" s="5">
        <f>VLOOKUP($A142,'SegEnds_NonXtal_Prot#'!$A:$AL,23,FALSE)</f>
        <v>182</v>
      </c>
      <c r="AK142" s="5">
        <f>VLOOKUP($A142,'SegEnds_NonXtal_Prot#'!$A:$AL,26,FALSE)</f>
        <v>200</v>
      </c>
      <c r="AL142" s="5">
        <f>VLOOKUP($A142,'SegEnds_NonXtal_Prot#'!$A:$AL,29,FALSE)</f>
        <v>246</v>
      </c>
      <c r="AM142" s="5">
        <f>VLOOKUP($A142,'SegEnds_NonXtal_Prot#'!$A:$AL,32,FALSE)</f>
        <v>289</v>
      </c>
      <c r="AN142" s="5">
        <f>VLOOKUP($A142,'SegEnds_NonXtal_Prot#'!$A:$AL,35,FALSE)</f>
        <v>326</v>
      </c>
      <c r="AO142" s="5">
        <f>VLOOKUP($A142,'SegEnds_NonXtal_Prot#'!$A:$AL,38,FALSE)</f>
        <v>338</v>
      </c>
      <c r="AP142" s="5">
        <f t="shared" si="63"/>
        <v>31</v>
      </c>
      <c r="AQ142" s="4">
        <f t="shared" si="64"/>
        <v>3</v>
      </c>
      <c r="AR142" s="4">
        <f t="shared" si="65"/>
        <v>30</v>
      </c>
      <c r="AS142" s="4">
        <f t="shared" si="66"/>
        <v>3</v>
      </c>
      <c r="AT142" s="4">
        <f t="shared" si="67"/>
        <v>35</v>
      </c>
      <c r="AU142" s="4">
        <f t="shared" si="68"/>
        <v>7</v>
      </c>
      <c r="AV142" s="4">
        <f t="shared" si="69"/>
        <v>26</v>
      </c>
      <c r="AW142" s="4">
        <f t="shared" si="70"/>
        <v>2</v>
      </c>
      <c r="AX142" s="4">
        <f t="shared" si="71"/>
        <v>40</v>
      </c>
      <c r="AY142" s="4">
        <f t="shared" si="72"/>
        <v>37</v>
      </c>
      <c r="AZ142" s="4">
        <f t="shared" si="73"/>
        <v>28</v>
      </c>
      <c r="BA142" s="4">
        <f t="shared" si="74"/>
        <v>11</v>
      </c>
    </row>
    <row r="143" spans="1:53" x14ac:dyDescent="0.2">
      <c r="A143" s="1" t="str">
        <f>'SegEnds_NonXtal_Prot#'!A115</f>
        <v>gp101_human</v>
      </c>
      <c r="B143" s="1" t="str">
        <f t="shared" si="50"/>
        <v>IIRSTVLVIFLAASFVGNIVLALVLQRKQVTNRFIFNLLVTDLLQISLVAPWVVATSVPLNSHFCTALVSLTHLFAFASVNTIVVVSVDRYLSIIHTQRRGYLLLYGTWIVAILQSTPPLYGWGQASPSYTILSVVSFIVIPLIVMIACYSVVFCAARRQHALLYNVPLPRCYQCKAAKVIFIIIFSYVLSLGPYCFLAVLAVWVPQWVITIIIWLFFLQCCIHPYVYGYMHKTIKKEIQDMLKK</v>
      </c>
      <c r="C143" s="29" t="str">
        <f>IF(ISERROR(MATCH(A143,'SegEnds_Xtal_Prot#'!B:B, 0)), "NoXtal", "Xtal")</f>
        <v>NoXtal</v>
      </c>
      <c r="D143" s="4" t="str">
        <f>VLOOKUP(A143,Classification!A:D,2,FALSE)</f>
        <v>A</v>
      </c>
      <c r="E143" s="5" t="str">
        <f>VLOOKUP(A143,Seqs!A:B,2,FALSE)</f>
        <v>MTSTCTNSTRESNSSHTCMPLSKMPISLAHGIIRSTVLVIFLAASFVGNIVLALVLQRKPQLLQVTNRFIFNLLVTDLLQISLVAPWVVATSVPLFWPLNSHFCTALVSLTHLFAFASVNTIVVVSVDRYLSIIHPLSYPSKMTQRRGYLLLYGTWIVAILQSTPPLYGWGQAAFDERNALCSMIWGASPSYTILSVVSFIVIPLIVMIACYSVVFCAARRQHALLYNVKRHSLEVRVKDCVENEDEEGAEKKEEFQDESEFRRQHEGEVKAKEGRMEAKDGSLKAKEGSTGTSESSVEARGSEEVRESSTVASDGSMEGKEGSTKVEENSMKADKGRTEVNQCSIDLGEDDMEFGEDDINFSEDDVEAVNIPESLPPSRRNSNSNPPLPRCYQCKAAKVIFIIIFSYVLSLGPYCFLAVLAVWVDVETQVPQWVITIIIWLFFLQCCIHPYVYGYMHKTIKKEIQDMLKKFFCKEKPPKEDSHPDLPGTEGGTEGKIVPSYDSATFP</v>
      </c>
      <c r="F143" s="5" t="str">
        <f t="shared" si="51"/>
        <v>IIRSTVLVIFLAASFVGNIVLALVLQRK</v>
      </c>
      <c r="G143" s="4" t="str">
        <f t="shared" si="52"/>
        <v>PQLL</v>
      </c>
      <c r="H143" s="4" t="str">
        <f t="shared" si="53"/>
        <v>QVTNRFIFNLLVTDLLQISLVAPWVVATSVPL</v>
      </c>
      <c r="I143" s="4" t="str">
        <f t="shared" si="54"/>
        <v>FWPL</v>
      </c>
      <c r="J143" s="4" t="str">
        <f t="shared" si="55"/>
        <v>NSHFCTALVSLTHLFAFASVNTIVVVSVDRYLSIIH</v>
      </c>
      <c r="K143" s="4" t="str">
        <f t="shared" si="56"/>
        <v>PLSYPSKM</v>
      </c>
      <c r="L143" s="4" t="str">
        <f t="shared" si="57"/>
        <v>TQRRGYLLLYGTWIVAILQSTPPLYGWGQA</v>
      </c>
      <c r="M143" s="4" t="str">
        <f t="shared" si="58"/>
        <v>CSM</v>
      </c>
      <c r="N143" s="4" t="str">
        <f t="shared" si="59"/>
        <v>SPSYTILSVVSFIVIPLIVMIACYSVVFCAARRQHALLYNV</v>
      </c>
      <c r="O143" s="4" t="str">
        <f t="shared" si="60"/>
        <v>PLPRCYQCKAAKVIFIIIFSYVLSLGPYCFLAVLAVWV</v>
      </c>
      <c r="P143" s="4" t="str">
        <f t="shared" si="61"/>
        <v>PQWVITIIIWLFFLQCCIHPYVYGYM</v>
      </c>
      <c r="Q143" s="4" t="str">
        <f t="shared" si="62"/>
        <v>HKTIKKEIQDMLKK</v>
      </c>
      <c r="R143" s="5">
        <f>VLOOKUP($A143,'SegEnds_NonXtal_Prot#'!$A:$AL,3,FALSE)</f>
        <v>32</v>
      </c>
      <c r="S143" s="5">
        <f>VLOOKUP($A143,'SegEnds_NonXtal_Prot#'!$A:$AL,6,FALSE)</f>
        <v>60</v>
      </c>
      <c r="T143" s="5">
        <f>VLOOKUP($A143,'SegEnds_NonXtal_Prot#'!$A:$AL,9,FALSE)</f>
        <v>64</v>
      </c>
      <c r="U143" s="5">
        <f>VLOOKUP($A143,'SegEnds_NonXtal_Prot#'!$A:$AL,12,FALSE)</f>
        <v>96</v>
      </c>
      <c r="V143" s="5">
        <f>VLOOKUP($A143,'SegEnds_NonXtal_Prot#'!$A:$AL,15,FALSE)</f>
        <v>100</v>
      </c>
      <c r="W143" s="5">
        <f>VLOOKUP($A143,'SegEnds_NonXtal_Prot#'!$A:$AL,18,FALSE)</f>
        <v>136</v>
      </c>
      <c r="X143" s="5">
        <f>VLOOKUP($A143,'SegEnds_NonXtal_Prot#'!$A:$AL,21,FALSE)</f>
        <v>144</v>
      </c>
      <c r="Y143" s="5">
        <f>VLOOKUP($A143,'SegEnds_NonXtal_Prot#'!$A:$AL,24,FALSE)</f>
        <v>182</v>
      </c>
      <c r="Z143" s="5">
        <f>VLOOKUP($A143,'SegEnds_NonXtal_Prot#'!$A:$AL,27,FALSE)</f>
        <v>189</v>
      </c>
      <c r="AA143" s="5">
        <f>VLOOKUP($A143,'SegEnds_NonXtal_Prot#'!$A:$AL,30,FALSE)</f>
        <v>388</v>
      </c>
      <c r="AB143" s="5">
        <f>VLOOKUP($A143,'SegEnds_NonXtal_Prot#'!$A:$AL,33,FALSE)</f>
        <v>432</v>
      </c>
      <c r="AC143" s="5">
        <f>VLOOKUP($A143,'SegEnds_NonXtal_Prot#'!$A:$AL,36,FALSE)</f>
        <v>458</v>
      </c>
      <c r="AD143" s="5">
        <f>VLOOKUP($A143,'SegEnds_NonXtal_Prot#'!$A:$AL,5,FALSE)</f>
        <v>59</v>
      </c>
      <c r="AE143" s="5">
        <f>VLOOKUP($A143,'SegEnds_NonXtal_Prot#'!$A:$AL,8,FALSE)</f>
        <v>63</v>
      </c>
      <c r="AF143" s="5">
        <f>VLOOKUP($A143,'SegEnds_NonXtal_Prot#'!$A:$AL,11,FALSE)</f>
        <v>95</v>
      </c>
      <c r="AG143" s="5">
        <f>VLOOKUP($A143,'SegEnds_NonXtal_Prot#'!$A:$AL,14,FALSE)</f>
        <v>99</v>
      </c>
      <c r="AH143" s="5">
        <f>VLOOKUP($A143,'SegEnds_NonXtal_Prot#'!$A:$AL,17,FALSE)</f>
        <v>135</v>
      </c>
      <c r="AI143" s="5">
        <f>VLOOKUP($A143,'SegEnds_NonXtal_Prot#'!$A:$AL,20,FALSE)</f>
        <v>143</v>
      </c>
      <c r="AJ143" s="5">
        <f>VLOOKUP($A143,'SegEnds_NonXtal_Prot#'!$A:$AL,23,FALSE)</f>
        <v>173</v>
      </c>
      <c r="AK143" s="5">
        <f>VLOOKUP($A143,'SegEnds_NonXtal_Prot#'!$A:$AL,26,FALSE)</f>
        <v>184</v>
      </c>
      <c r="AL143" s="5">
        <f>VLOOKUP($A143,'SegEnds_NonXtal_Prot#'!$A:$AL,29,FALSE)</f>
        <v>229</v>
      </c>
      <c r="AM143" s="5">
        <f>VLOOKUP($A143,'SegEnds_NonXtal_Prot#'!$A:$AL,32,FALSE)</f>
        <v>425</v>
      </c>
      <c r="AN143" s="5">
        <f>VLOOKUP($A143,'SegEnds_NonXtal_Prot#'!$A:$AL,35,FALSE)</f>
        <v>457</v>
      </c>
      <c r="AO143" s="5">
        <f>VLOOKUP($A143,'SegEnds_NonXtal_Prot#'!$A:$AL,38,FALSE)</f>
        <v>471</v>
      </c>
      <c r="AP143" s="5">
        <f t="shared" si="63"/>
        <v>27</v>
      </c>
      <c r="AQ143" s="4">
        <f t="shared" si="64"/>
        <v>3</v>
      </c>
      <c r="AR143" s="4">
        <f t="shared" si="65"/>
        <v>31</v>
      </c>
      <c r="AS143" s="4">
        <f t="shared" si="66"/>
        <v>3</v>
      </c>
      <c r="AT143" s="4">
        <f t="shared" si="67"/>
        <v>35</v>
      </c>
      <c r="AU143" s="4">
        <f t="shared" si="68"/>
        <v>7</v>
      </c>
      <c r="AV143" s="4">
        <f t="shared" si="69"/>
        <v>29</v>
      </c>
      <c r="AW143" s="4">
        <f t="shared" si="70"/>
        <v>2</v>
      </c>
      <c r="AX143" s="4">
        <f t="shared" si="71"/>
        <v>40</v>
      </c>
      <c r="AY143" s="4">
        <f t="shared" si="72"/>
        <v>37</v>
      </c>
      <c r="AZ143" s="4">
        <f t="shared" si="73"/>
        <v>25</v>
      </c>
      <c r="BA143" s="4">
        <f t="shared" si="74"/>
        <v>13</v>
      </c>
    </row>
    <row r="144" spans="1:53" x14ac:dyDescent="0.2">
      <c r="A144" s="1" t="str">
        <f>'SegEnds_NonXtal_Prot#'!A116</f>
        <v>gp119_human</v>
      </c>
      <c r="B144" s="1" t="str">
        <f t="shared" si="50"/>
        <v>MESSFSFGVILAVLASLIIATNTLVAVAVLLLGVSLCFTLNLAVADTLIGVAISGLLTDQLSRPTQKTLCSLRMAFVTSSAAASVLTVMLITFDRYLAIKQSGFVAGACIAGLWLVSYLIGFLPLGIPMFQQTFHPHFVLTLSCVGFFPAMLLFVFFYCDMLKIASMHSQQIRGYRSPRTPSDFKALRTVSVLIGSFALSWTPFLITGIVQVACYLVLERYLWLLGVGNSLLNPLIYAYWQKEVRLQLYHMAL</v>
      </c>
      <c r="C144" s="29" t="str">
        <f>IF(ISERROR(MATCH(A144,'SegEnds_Xtal_Prot#'!B:B, 0)), "NoXtal", "Xtal")</f>
        <v>NoXtal</v>
      </c>
      <c r="D144" s="4" t="str">
        <f>VLOOKUP(A144,Classification!A:D,2,FALSE)</f>
        <v>A</v>
      </c>
      <c r="E144" s="5" t="str">
        <f>VLOOKUP(A144,Seqs!A:B,2,FALSE)</f>
        <v>MESSFSFGVILAVLASLIIATNTLVAVAVLLLIHKNDGVSLCFTLNLAVADTLIGVAISGLLTDQLSSPSRPTQKTLCSLRMAFVTSSAAASVLTVMLITFDRYLAIKQPFRYLKIMSGFVAGACIAGLWLVSYLIGFLPLGIPMFQQTAYKGQCSFFAVFHPHFVLTLSCVGFFPAMLLFVFFYCDMLKIASMHSQQIRKMEHAGAMAGGYRSPRTPSDFKALRTVSVLIGSFALSWTPFLITGIVQVACQECHLYLVLERYLWLLGVGNSLLNPLIYAYWQKEVRLQLYHMALGVKKVLTSFLLFLSARNCGPERPRESSCHIVTISSSEFDG</v>
      </c>
      <c r="F144" s="5" t="str">
        <f t="shared" si="51"/>
        <v>MESSFSFGVILAVLASLIIATNTLVAVAVLLL</v>
      </c>
      <c r="G144" s="4" t="str">
        <f t="shared" si="52"/>
        <v/>
      </c>
      <c r="H144" s="4" t="str">
        <f t="shared" si="53"/>
        <v>GVSLCFTLNLAVADTLIGVAISGLLTDQLS</v>
      </c>
      <c r="I144" s="4" t="str">
        <f t="shared" si="54"/>
        <v/>
      </c>
      <c r="J144" s="4" t="str">
        <f t="shared" si="55"/>
        <v>RPTQKTLCSLRMAFVTSSAAASVLTVMLITFDRYLAIKQ</v>
      </c>
      <c r="K144" s="4" t="str">
        <f t="shared" si="56"/>
        <v>PFRYLKIM</v>
      </c>
      <c r="L144" s="4" t="str">
        <f t="shared" si="57"/>
        <v>SGFVAGACIAGLWLVSYLIGFLPLGIPMFQQT</v>
      </c>
      <c r="M144" s="4" t="str">
        <f t="shared" si="58"/>
        <v>CSF</v>
      </c>
      <c r="N144" s="4" t="str">
        <f t="shared" si="59"/>
        <v>FHPHFVLTLSCVGFFPAMLLFVFFYCDMLKIASMHSQQIR</v>
      </c>
      <c r="O144" s="4" t="str">
        <f t="shared" si="60"/>
        <v>GYRSPRTPSDFKALRTVSVLIGSFALSWTPFLITGIVQVAC</v>
      </c>
      <c r="P144" s="4" t="str">
        <f t="shared" si="61"/>
        <v>YLVLERYLWLLGVGNSLLNPLIYAYW</v>
      </c>
      <c r="Q144" s="4" t="str">
        <f t="shared" si="62"/>
        <v>QKEVRLQLYHMAL</v>
      </c>
      <c r="R144" s="5">
        <f>VLOOKUP($A144,'SegEnds_NonXtal_Prot#'!$A:$AL,3,FALSE)</f>
        <v>1</v>
      </c>
      <c r="S144" s="5" t="str">
        <f>VLOOKUP($A144,'SegEnds_NonXtal_Prot#'!$A:$AL,6,FALSE)</f>
        <v>-</v>
      </c>
      <c r="T144" s="5">
        <f>VLOOKUP($A144,'SegEnds_NonXtal_Prot#'!$A:$AL,9,FALSE)</f>
        <v>38</v>
      </c>
      <c r="U144" s="5" t="str">
        <f>VLOOKUP($A144,'SegEnds_NonXtal_Prot#'!$A:$AL,12,FALSE)</f>
        <v>-</v>
      </c>
      <c r="V144" s="5">
        <f>VLOOKUP($A144,'SegEnds_NonXtal_Prot#'!$A:$AL,15,FALSE)</f>
        <v>71</v>
      </c>
      <c r="W144" s="5">
        <f>VLOOKUP($A144,'SegEnds_NonXtal_Prot#'!$A:$AL,18,FALSE)</f>
        <v>110</v>
      </c>
      <c r="X144" s="5">
        <f>VLOOKUP($A144,'SegEnds_NonXtal_Prot#'!$A:$AL,21,FALSE)</f>
        <v>118</v>
      </c>
      <c r="Y144" s="5">
        <f>VLOOKUP($A144,'SegEnds_NonXtal_Prot#'!$A:$AL,24,FALSE)</f>
        <v>155</v>
      </c>
      <c r="Z144" s="5">
        <f>VLOOKUP($A144,'SegEnds_NonXtal_Prot#'!$A:$AL,27,FALSE)</f>
        <v>161</v>
      </c>
      <c r="AA144" s="5">
        <f>VLOOKUP($A144,'SegEnds_NonXtal_Prot#'!$A:$AL,30,FALSE)</f>
        <v>211</v>
      </c>
      <c r="AB144" s="5">
        <f>VLOOKUP($A144,'SegEnds_NonXtal_Prot#'!$A:$AL,33,FALSE)</f>
        <v>257</v>
      </c>
      <c r="AC144" s="5">
        <f>VLOOKUP($A144,'SegEnds_NonXtal_Prot#'!$A:$AL,36,FALSE)</f>
        <v>283</v>
      </c>
      <c r="AD144" s="5">
        <f>VLOOKUP($A144,'SegEnds_NonXtal_Prot#'!$A:$AL,5,FALSE)</f>
        <v>32</v>
      </c>
      <c r="AE144" s="5" t="str">
        <f>VLOOKUP($A144,'SegEnds_NonXtal_Prot#'!$A:$AL,8,FALSE)</f>
        <v>-</v>
      </c>
      <c r="AF144" s="5">
        <f>VLOOKUP($A144,'SegEnds_NonXtal_Prot#'!$A:$AL,11,FALSE)</f>
        <v>67</v>
      </c>
      <c r="AG144" s="5" t="str">
        <f>VLOOKUP($A144,'SegEnds_NonXtal_Prot#'!$A:$AL,14,FALSE)</f>
        <v>-</v>
      </c>
      <c r="AH144" s="5">
        <f>VLOOKUP($A144,'SegEnds_NonXtal_Prot#'!$A:$AL,17,FALSE)</f>
        <v>109</v>
      </c>
      <c r="AI144" s="5">
        <f>VLOOKUP($A144,'SegEnds_NonXtal_Prot#'!$A:$AL,20,FALSE)</f>
        <v>117</v>
      </c>
      <c r="AJ144" s="5">
        <f>VLOOKUP($A144,'SegEnds_NonXtal_Prot#'!$A:$AL,23,FALSE)</f>
        <v>149</v>
      </c>
      <c r="AK144" s="5">
        <f>VLOOKUP($A144,'SegEnds_NonXtal_Prot#'!$A:$AL,26,FALSE)</f>
        <v>157</v>
      </c>
      <c r="AL144" s="5">
        <f>VLOOKUP($A144,'SegEnds_NonXtal_Prot#'!$A:$AL,29,FALSE)</f>
        <v>200</v>
      </c>
      <c r="AM144" s="5">
        <f>VLOOKUP($A144,'SegEnds_NonXtal_Prot#'!$A:$AL,32,FALSE)</f>
        <v>251</v>
      </c>
      <c r="AN144" s="5">
        <f>VLOOKUP($A144,'SegEnds_NonXtal_Prot#'!$A:$AL,35,FALSE)</f>
        <v>282</v>
      </c>
      <c r="AO144" s="5">
        <f>VLOOKUP($A144,'SegEnds_NonXtal_Prot#'!$A:$AL,38,FALSE)</f>
        <v>295</v>
      </c>
      <c r="AP144" s="5">
        <f t="shared" si="63"/>
        <v>31</v>
      </c>
      <c r="AQ144" s="4" t="str">
        <f t="shared" si="64"/>
        <v>-</v>
      </c>
      <c r="AR144" s="4">
        <f t="shared" si="65"/>
        <v>29</v>
      </c>
      <c r="AS144" s="4" t="str">
        <f t="shared" si="66"/>
        <v>-</v>
      </c>
      <c r="AT144" s="4">
        <f t="shared" si="67"/>
        <v>38</v>
      </c>
      <c r="AU144" s="4">
        <f t="shared" si="68"/>
        <v>7</v>
      </c>
      <c r="AV144" s="4">
        <f t="shared" si="69"/>
        <v>31</v>
      </c>
      <c r="AW144" s="4">
        <f t="shared" si="70"/>
        <v>2</v>
      </c>
      <c r="AX144" s="4">
        <f t="shared" si="71"/>
        <v>39</v>
      </c>
      <c r="AY144" s="4">
        <f t="shared" si="72"/>
        <v>40</v>
      </c>
      <c r="AZ144" s="4">
        <f t="shared" si="73"/>
        <v>25</v>
      </c>
      <c r="BA144" s="4">
        <f t="shared" si="74"/>
        <v>12</v>
      </c>
    </row>
    <row r="145" spans="1:53" x14ac:dyDescent="0.2">
      <c r="A145" s="1" t="str">
        <f>'SegEnds_NonXtal_Prot#'!A117</f>
        <v>gp141_human</v>
      </c>
      <c r="B145" s="1" t="str">
        <f t="shared" si="50"/>
        <v>PHLISLYFIVLIGGLVGVISILFLLVKSVTTMAVINLVVVHSVFLLTVPFRLTYLIKGLPFCKFVSAMLHIHMYLTFLFYVVILVTRYLIFFKRKLHAVAASAGMWTLVIVIVVPLVVINYMIVIFVIAVAVILLVFQVFIIMLMVQKLRHSHQEFWAQLKNLFFIGVILVCFLPYQFFRIYYLNVCNSKVAFYNEIFLSVTAISCYDLLLFVFGSHWFKQKIIGLWN</v>
      </c>
      <c r="C145" s="29" t="str">
        <f>IF(ISERROR(MATCH(A145,'SegEnds_Xtal_Prot#'!B:B, 0)), "NoXtal", "Xtal")</f>
        <v>NoXtal</v>
      </c>
      <c r="D145" s="4" t="str">
        <f>VLOOKUP(A145,Classification!A:D,2,FALSE)</f>
        <v>A</v>
      </c>
      <c r="E145" s="5" t="str">
        <f>VLOOKUP(A145,Seqs!A:B,2,FALSE)</f>
        <v>MPGHNTSRNSSCDPIVTPHLISLYFIVLIGGLVGVISILFLLVKMNTRSVTTMAVINLVVVHSVFLLTVPFRLTYLIKKTWMFGLPFCKFVSAMLHIHMYLTFLFYVVILVTRYLIFFKCKDKVEFYRKLHAVAASAGMWTLVIVIVVPLVVSRYGIHEEYNEEHCFKFHKELAYTYVKIINYMIVIFVIAVAVILLVFQVFIIMLMVQKLRHSLLSHQEFWAQLKNLFFIGVILVCFLPYQFFRIYYLNVVTHSNACNSKVAFYNEIFLSVTAISCYDLLLFVFGGSHWFKQKIIGLWNCVLCR</v>
      </c>
      <c r="F145" s="5" t="str">
        <f t="shared" si="51"/>
        <v>PHLISLYFIVLIGGLVGVISILFLLVK</v>
      </c>
      <c r="G145" s="4" t="str">
        <f t="shared" si="52"/>
        <v>MNTR</v>
      </c>
      <c r="H145" s="4" t="str">
        <f t="shared" si="53"/>
        <v>SVTTMAVINLVVVHSVFLLTVPFRLTYLIK</v>
      </c>
      <c r="I145" s="4" t="str">
        <f t="shared" si="54"/>
        <v>TWMF</v>
      </c>
      <c r="J145" s="4" t="str">
        <f t="shared" si="55"/>
        <v>GLPFCKFVSAMLHIHMYLTFLFYVVILVTRYLIFFK</v>
      </c>
      <c r="K145" s="4" t="str">
        <f t="shared" si="56"/>
        <v>CKDKVEFY</v>
      </c>
      <c r="L145" s="4" t="str">
        <f t="shared" si="57"/>
        <v>RKLHAVAASAGMWTLVIVIVVPLVV</v>
      </c>
      <c r="M145" s="4" t="str">
        <f t="shared" si="58"/>
        <v>CFK</v>
      </c>
      <c r="N145" s="4" t="str">
        <f t="shared" si="59"/>
        <v>INYMIVIFVIAVAVILLVFQVFIIMLMVQKLRHS</v>
      </c>
      <c r="O145" s="4" t="str">
        <f t="shared" si="60"/>
        <v>HQEFWAQLKNLFFIGVILVCFLPYQFFRIYYLNV</v>
      </c>
      <c r="P145" s="4" t="str">
        <f t="shared" si="61"/>
        <v>CNSKVAFYNEIFLSVTAISCYDLLLFVFG</v>
      </c>
      <c r="Q145" s="4" t="str">
        <f t="shared" si="62"/>
        <v>SHWFKQKIIGLWN</v>
      </c>
      <c r="R145" s="5">
        <f>VLOOKUP($A145,'SegEnds_NonXtal_Prot#'!$A:$AL,3,FALSE)</f>
        <v>18</v>
      </c>
      <c r="S145" s="5">
        <f>VLOOKUP($A145,'SegEnds_NonXtal_Prot#'!$A:$AL,6,FALSE)</f>
        <v>45</v>
      </c>
      <c r="T145" s="5">
        <f>VLOOKUP($A145,'SegEnds_NonXtal_Prot#'!$A:$AL,9,FALSE)</f>
        <v>49</v>
      </c>
      <c r="U145" s="5">
        <f>VLOOKUP($A145,'SegEnds_NonXtal_Prot#'!$A:$AL,12,FALSE)</f>
        <v>80</v>
      </c>
      <c r="V145" s="5">
        <f>VLOOKUP($A145,'SegEnds_NonXtal_Prot#'!$A:$AL,15,FALSE)</f>
        <v>84</v>
      </c>
      <c r="W145" s="5">
        <f>VLOOKUP($A145,'SegEnds_NonXtal_Prot#'!$A:$AL,18,FALSE)</f>
        <v>120</v>
      </c>
      <c r="X145" s="5">
        <f>VLOOKUP($A145,'SegEnds_NonXtal_Prot#'!$A:$AL,21,FALSE)</f>
        <v>128</v>
      </c>
      <c r="Y145" s="5">
        <f>VLOOKUP($A145,'SegEnds_NonXtal_Prot#'!$A:$AL,24,FALSE)</f>
        <v>166</v>
      </c>
      <c r="Z145" s="5">
        <f>VLOOKUP($A145,'SegEnds_NonXtal_Prot#'!$A:$AL,27,FALSE)</f>
        <v>181</v>
      </c>
      <c r="AA145" s="5">
        <f>VLOOKUP($A145,'SegEnds_NonXtal_Prot#'!$A:$AL,30,FALSE)</f>
        <v>218</v>
      </c>
      <c r="AB145" s="5">
        <f>VLOOKUP($A145,'SegEnds_NonXtal_Prot#'!$A:$AL,33,FALSE)</f>
        <v>258</v>
      </c>
      <c r="AC145" s="5">
        <f>VLOOKUP($A145,'SegEnds_NonXtal_Prot#'!$A:$AL,36,FALSE)</f>
        <v>288</v>
      </c>
      <c r="AD145" s="5">
        <f>VLOOKUP($A145,'SegEnds_NonXtal_Prot#'!$A:$AL,5,FALSE)</f>
        <v>44</v>
      </c>
      <c r="AE145" s="5">
        <f>VLOOKUP($A145,'SegEnds_NonXtal_Prot#'!$A:$AL,8,FALSE)</f>
        <v>48</v>
      </c>
      <c r="AF145" s="5">
        <f>VLOOKUP($A145,'SegEnds_NonXtal_Prot#'!$A:$AL,11,FALSE)</f>
        <v>78</v>
      </c>
      <c r="AG145" s="5">
        <f>VLOOKUP($A145,'SegEnds_NonXtal_Prot#'!$A:$AL,14,FALSE)</f>
        <v>83</v>
      </c>
      <c r="AH145" s="5">
        <f>VLOOKUP($A145,'SegEnds_NonXtal_Prot#'!$A:$AL,17,FALSE)</f>
        <v>119</v>
      </c>
      <c r="AI145" s="5">
        <f>VLOOKUP($A145,'SegEnds_NonXtal_Prot#'!$A:$AL,20,FALSE)</f>
        <v>127</v>
      </c>
      <c r="AJ145" s="5">
        <f>VLOOKUP($A145,'SegEnds_NonXtal_Prot#'!$A:$AL,23,FALSE)</f>
        <v>152</v>
      </c>
      <c r="AK145" s="5">
        <f>VLOOKUP($A145,'SegEnds_NonXtal_Prot#'!$A:$AL,26,FALSE)</f>
        <v>168</v>
      </c>
      <c r="AL145" s="5">
        <f>VLOOKUP($A145,'SegEnds_NonXtal_Prot#'!$A:$AL,29,FALSE)</f>
        <v>214</v>
      </c>
      <c r="AM145" s="5">
        <f>VLOOKUP($A145,'SegEnds_NonXtal_Prot#'!$A:$AL,32,FALSE)</f>
        <v>251</v>
      </c>
      <c r="AN145" s="5">
        <f>VLOOKUP($A145,'SegEnds_NonXtal_Prot#'!$A:$AL,35,FALSE)</f>
        <v>286</v>
      </c>
      <c r="AO145" s="5">
        <f>VLOOKUP($A145,'SegEnds_NonXtal_Prot#'!$A:$AL,38,FALSE)</f>
        <v>300</v>
      </c>
      <c r="AP145" s="5">
        <f t="shared" si="63"/>
        <v>26</v>
      </c>
      <c r="AQ145" s="4">
        <f t="shared" si="64"/>
        <v>3</v>
      </c>
      <c r="AR145" s="4">
        <f t="shared" si="65"/>
        <v>29</v>
      </c>
      <c r="AS145" s="4">
        <f t="shared" si="66"/>
        <v>3</v>
      </c>
      <c r="AT145" s="4">
        <f t="shared" si="67"/>
        <v>35</v>
      </c>
      <c r="AU145" s="4">
        <f t="shared" si="68"/>
        <v>7</v>
      </c>
      <c r="AV145" s="4">
        <f t="shared" si="69"/>
        <v>24</v>
      </c>
      <c r="AW145" s="4">
        <f t="shared" si="70"/>
        <v>2</v>
      </c>
      <c r="AX145" s="4">
        <f t="shared" si="71"/>
        <v>33</v>
      </c>
      <c r="AY145" s="4">
        <f t="shared" si="72"/>
        <v>33</v>
      </c>
      <c r="AZ145" s="4">
        <f t="shared" si="73"/>
        <v>28</v>
      </c>
      <c r="BA145" s="4">
        <f t="shared" si="74"/>
        <v>12</v>
      </c>
    </row>
    <row r="146" spans="1:53" x14ac:dyDescent="0.2">
      <c r="A146" s="1" t="str">
        <f>'SegEnds_NonXtal_Prot#'!A118</f>
        <v>gp148_human</v>
      </c>
      <c r="B146" s="1" t="str">
        <f t="shared" si="50"/>
        <v>SSMLYWLFLPSSLLAAATLAVSPLLLVTILRNQEPHYLLPANILLSDLAYILLHMLISSSSLGGRMACGILTDAVFAACTSTILSFTAIVLHTYLAVIHSHGAAWKAVALIWLVACCFPTFLIWLEQGASYILPPSMGTQPGCGLLVIVTYTSILCVLFLCTALIANGQGYSRARGTLLIHSVLITLYVSTGVVFSLDMVLTGTHTWLLAANSEVLMMLPRAMLTYLYLLRYRQLLGMVRGHLPSRR</v>
      </c>
      <c r="C146" s="29" t="str">
        <f>IF(ISERROR(MATCH(A146,'SegEnds_Xtal_Prot#'!B:B, 0)), "NoXtal", "Xtal")</f>
        <v>NoXtal</v>
      </c>
      <c r="D146" s="4" t="str">
        <f>VLOOKUP(A146,Classification!A:D,2,FALSE)</f>
        <v>A</v>
      </c>
      <c r="E146" s="5" t="str">
        <f>VLOOKUP(A146,Seqs!A:B,2,FALSE)</f>
        <v>MGDELAPCPVGTTAWPALIQLISKTPCMPQAASNTSLGLGDLRVPSSMLYWLFLPSSLLAAATLAVSPLLLVTILRNQRLRQEPHYLLPANILLSDLAYILLHMLISSSSLGGWELGRMACGILTDAVFAACTSTILSFTAIVLHTYLAVIHPLRYLSFMSHGAAWKAVALIWLVACCFPTFLIWLSKWQDAQLEEQGASYILPPSMGTQPGCGLLVIVTYTSILCVLFLCTALIANCFWRIYAEAKTSGIWGQGYSRARGTLLIHSVLITLYVSTGVVFSLDMVLTRYHHIDSGTHTWLLAANSEVLMMLPRAMLTYLYLLRYRQLLGMVRGHLPSRRHQAIFTIS</v>
      </c>
      <c r="F146" s="5" t="str">
        <f t="shared" si="51"/>
        <v>SSMLYWLFLPSSLLAAATLAVSPLLLVTILRN</v>
      </c>
      <c r="G146" s="4" t="str">
        <f t="shared" si="52"/>
        <v>QRLR</v>
      </c>
      <c r="H146" s="4" t="str">
        <f t="shared" si="53"/>
        <v>QEPHYLLPANILLSDLAYILLHMLISSSSLG</v>
      </c>
      <c r="I146" s="4" t="str">
        <f t="shared" si="54"/>
        <v>GWEL</v>
      </c>
      <c r="J146" s="4" t="str">
        <f t="shared" si="55"/>
        <v>GRMACGILTDAVFAACTSTILSFTAIVLHTYLAVIH</v>
      </c>
      <c r="K146" s="4" t="str">
        <f t="shared" si="56"/>
        <v>PLRYLSFM</v>
      </c>
      <c r="L146" s="4" t="str">
        <f t="shared" si="57"/>
        <v>SHGAAWKAVALIWLVACCFPTFLIWL</v>
      </c>
      <c r="M146" s="4" t="str">
        <f t="shared" si="58"/>
        <v/>
      </c>
      <c r="N146" s="4" t="str">
        <f t="shared" si="59"/>
        <v>EQGASYILPPSMGTQPGCGLLVIVTYTSILCVLFLCTALIAN</v>
      </c>
      <c r="O146" s="4" t="str">
        <f t="shared" si="60"/>
        <v>GQGYSRARGTLLIHSVLITLYVSTGVVFSLDMVLT</v>
      </c>
      <c r="P146" s="4" t="str">
        <f t="shared" si="61"/>
        <v>GTHTWLLAANSEVLMMLPRAML</v>
      </c>
      <c r="Q146" s="4" t="str">
        <f t="shared" si="62"/>
        <v>TYLYLLRYRQLLGMVRGHLPSRR</v>
      </c>
      <c r="R146" s="5">
        <f>VLOOKUP($A146,'SegEnds_NonXtal_Prot#'!$A:$AL,3,FALSE)</f>
        <v>46</v>
      </c>
      <c r="S146" s="5">
        <f>VLOOKUP($A146,'SegEnds_NonXtal_Prot#'!$A:$AL,6,FALSE)</f>
        <v>78</v>
      </c>
      <c r="T146" s="5">
        <f>VLOOKUP($A146,'SegEnds_NonXtal_Prot#'!$A:$AL,9,FALSE)</f>
        <v>82</v>
      </c>
      <c r="U146" s="5">
        <f>VLOOKUP($A146,'SegEnds_NonXtal_Prot#'!$A:$AL,12,FALSE)</f>
        <v>113</v>
      </c>
      <c r="V146" s="5">
        <f>VLOOKUP($A146,'SegEnds_NonXtal_Prot#'!$A:$AL,15,FALSE)</f>
        <v>117</v>
      </c>
      <c r="W146" s="5">
        <f>VLOOKUP($A146,'SegEnds_NonXtal_Prot#'!$A:$AL,18,FALSE)</f>
        <v>153</v>
      </c>
      <c r="X146" s="5">
        <f>VLOOKUP($A146,'SegEnds_NonXtal_Prot#'!$A:$AL,21,FALSE)</f>
        <v>161</v>
      </c>
      <c r="Y146" s="5" t="str">
        <f>VLOOKUP($A146,'SegEnds_NonXtal_Prot#'!$A:$AL,24,FALSE)</f>
        <v>-</v>
      </c>
      <c r="Z146" s="5">
        <f>VLOOKUP($A146,'SegEnds_NonXtal_Prot#'!$A:$AL,27,FALSE)</f>
        <v>196</v>
      </c>
      <c r="AA146" s="5">
        <f>VLOOKUP($A146,'SegEnds_NonXtal_Prot#'!$A:$AL,30,FALSE)</f>
        <v>253</v>
      </c>
      <c r="AB146" s="5">
        <f>VLOOKUP($A146,'SegEnds_NonXtal_Prot#'!$A:$AL,33,FALSE)</f>
        <v>295</v>
      </c>
      <c r="AC146" s="5">
        <f>VLOOKUP($A146,'SegEnds_NonXtal_Prot#'!$A:$AL,36,FALSE)</f>
        <v>317</v>
      </c>
      <c r="AD146" s="5">
        <f>VLOOKUP($A146,'SegEnds_NonXtal_Prot#'!$A:$AL,5,FALSE)</f>
        <v>77</v>
      </c>
      <c r="AE146" s="5">
        <f>VLOOKUP($A146,'SegEnds_NonXtal_Prot#'!$A:$AL,8,FALSE)</f>
        <v>81</v>
      </c>
      <c r="AF146" s="5">
        <f>VLOOKUP($A146,'SegEnds_NonXtal_Prot#'!$A:$AL,11,FALSE)</f>
        <v>112</v>
      </c>
      <c r="AG146" s="5">
        <f>VLOOKUP($A146,'SegEnds_NonXtal_Prot#'!$A:$AL,14,FALSE)</f>
        <v>116</v>
      </c>
      <c r="AH146" s="5">
        <f>VLOOKUP($A146,'SegEnds_NonXtal_Prot#'!$A:$AL,17,FALSE)</f>
        <v>152</v>
      </c>
      <c r="AI146" s="5">
        <f>VLOOKUP($A146,'SegEnds_NonXtal_Prot#'!$A:$AL,20,FALSE)</f>
        <v>160</v>
      </c>
      <c r="AJ146" s="5">
        <f>VLOOKUP($A146,'SegEnds_NonXtal_Prot#'!$A:$AL,23,FALSE)</f>
        <v>186</v>
      </c>
      <c r="AK146" s="5" t="str">
        <f>VLOOKUP($A146,'SegEnds_NonXtal_Prot#'!$A:$AL,26,FALSE)</f>
        <v>-</v>
      </c>
      <c r="AL146" s="5">
        <f>VLOOKUP($A146,'SegEnds_NonXtal_Prot#'!$A:$AL,29,FALSE)</f>
        <v>237</v>
      </c>
      <c r="AM146" s="5">
        <f>VLOOKUP($A146,'SegEnds_NonXtal_Prot#'!$A:$AL,32,FALSE)</f>
        <v>287</v>
      </c>
      <c r="AN146" s="5">
        <f>VLOOKUP($A146,'SegEnds_NonXtal_Prot#'!$A:$AL,35,FALSE)</f>
        <v>316</v>
      </c>
      <c r="AO146" s="5">
        <f>VLOOKUP($A146,'SegEnds_NonXtal_Prot#'!$A:$AL,38,FALSE)</f>
        <v>339</v>
      </c>
      <c r="AP146" s="5">
        <f t="shared" si="63"/>
        <v>31</v>
      </c>
      <c r="AQ146" s="4">
        <f t="shared" si="64"/>
        <v>3</v>
      </c>
      <c r="AR146" s="4">
        <f t="shared" si="65"/>
        <v>30</v>
      </c>
      <c r="AS146" s="4">
        <f t="shared" si="66"/>
        <v>3</v>
      </c>
      <c r="AT146" s="4">
        <f t="shared" si="67"/>
        <v>35</v>
      </c>
      <c r="AU146" s="4">
        <f t="shared" si="68"/>
        <v>7</v>
      </c>
      <c r="AV146" s="4">
        <f t="shared" si="69"/>
        <v>25</v>
      </c>
      <c r="AW146" s="4" t="str">
        <f t="shared" si="70"/>
        <v>-</v>
      </c>
      <c r="AX146" s="4">
        <f t="shared" si="71"/>
        <v>41</v>
      </c>
      <c r="AY146" s="4">
        <f t="shared" si="72"/>
        <v>34</v>
      </c>
      <c r="AZ146" s="4">
        <f t="shared" si="73"/>
        <v>21</v>
      </c>
      <c r="BA146" s="4">
        <f t="shared" si="74"/>
        <v>22</v>
      </c>
    </row>
    <row r="147" spans="1:53" x14ac:dyDescent="0.2">
      <c r="A147" s="1" t="str">
        <f>'SegEnds_NonXtal_Prot#'!A119</f>
        <v>gp152_human</v>
      </c>
      <c r="B147" s="1" t="str">
        <f t="shared" si="50"/>
        <v>GGWDTVFLVALLLLGLPANGLMAWLAGSQTRLALLLLSLALSDFLFLAAAAFQILEIRHGGTAACRFYYFLWGVSYSSGLFLLAALSLDRCLLALCPVRLPLWVCAGVWVLATLFSVPWLVFPEELSLRMLEVLGGFLPFLLLLVCHVLTQATACRTQQQPAACRGFARVARTILSAYVVLRLPYQLAQLLYLAFGYLLWEALVYSDYLILLNSCLSPFLCLMASADLRTLLRSVLSSFAAA</v>
      </c>
      <c r="C147" s="29" t="str">
        <f>IF(ISERROR(MATCH(A147,'SegEnds_Xtal_Prot#'!B:B, 0)), "NoXtal", "Xtal")</f>
        <v>NoXtal</v>
      </c>
      <c r="D147" s="4" t="str">
        <f>VLOOKUP(A147,Classification!A:D,2,FALSE)</f>
        <v>A</v>
      </c>
      <c r="E147" s="5" t="str">
        <f>VLOOKUP(A147,Seqs!A:B,2,FALSE)</f>
        <v>MDTTMEADLGATGHRPRTELDDEDSYPQGGWDTVFLVALLLLGLPANGLMAWLAGSQARHGAGTRLALLLLSLALSDFLFLAAAAFQILEIRHGGHWPLGTAACRFYYFLWGVSYSSGLFLLAALSLDRCLLALCPHWYPGHRPVRLPLWVCAGVWVLATLFSVPWLVFPEAAVWWYDLVICLDFWDSEELSLRMLEVLGGFLPFLLLLVCHVLTQATACRTCHRQQQPAACRGFARVARTILSAYVVLRLPYQLAQLLYLAFLWDVYSGYLLWEALVYSDYLILLNSCLSPFLCLMASADLRTLLRSVLSSFAAALCEERPGSFTPTEPQTQLDSEGPTLPEPMAEAQSQMDPVAQPQVNPTLQPRSDPTAQPQLNPTAQPQSDPTAQPQLNLMAQPQSDSVAQPQADTNVQTPAPAASSVPSPCDEASPTPSSHPTPGALEDPATPPASEGESPSSTPPEAAPGAGPT</v>
      </c>
      <c r="F147" s="5" t="str">
        <f t="shared" si="51"/>
        <v>GGWDTVFLVALLLLGLPANGLMAWLAGSQ</v>
      </c>
      <c r="G147" s="4" t="str">
        <f t="shared" si="52"/>
        <v/>
      </c>
      <c r="H147" s="4" t="str">
        <f t="shared" si="53"/>
        <v>TRLALLLLSLALSDFLFLAAAAFQILEIRHG</v>
      </c>
      <c r="I147" s="4" t="str">
        <f t="shared" si="54"/>
        <v>HWPL</v>
      </c>
      <c r="J147" s="4" t="str">
        <f t="shared" si="55"/>
        <v>GTAACRFYYFLWGVSYSSGLFLLAALSLDRCLLALC</v>
      </c>
      <c r="K147" s="4" t="str">
        <f t="shared" si="56"/>
        <v>PHWYPGHR</v>
      </c>
      <c r="L147" s="4" t="str">
        <f t="shared" si="57"/>
        <v>PVRLPLWVCAGVWVLATLFSVPWLVFP</v>
      </c>
      <c r="M147" s="4" t="str">
        <f t="shared" si="58"/>
        <v>CLD</v>
      </c>
      <c r="N147" s="4" t="str">
        <f t="shared" si="59"/>
        <v>EELSLRMLEVLGGFLPFLLLLVCHVLTQATACRT</v>
      </c>
      <c r="O147" s="4" t="str">
        <f t="shared" si="60"/>
        <v>QQQPAACRGFARVARTILSAYVVLRLPYQLAQLLYLAF</v>
      </c>
      <c r="P147" s="4" t="str">
        <f t="shared" si="61"/>
        <v>GYLLWEALVYSDYLILLNSCLSPFLCLMA</v>
      </c>
      <c r="Q147" s="4" t="str">
        <f t="shared" si="62"/>
        <v>SADLRTLLRSVLSSFAAA</v>
      </c>
      <c r="R147" s="5">
        <f>VLOOKUP($A147,'SegEnds_NonXtal_Prot#'!$A:$AL,3,FALSE)</f>
        <v>29</v>
      </c>
      <c r="S147" s="5" t="str">
        <f>VLOOKUP($A147,'SegEnds_NonXtal_Prot#'!$A:$AL,6,FALSE)</f>
        <v>-</v>
      </c>
      <c r="T147" s="5">
        <f>VLOOKUP($A147,'SegEnds_NonXtal_Prot#'!$A:$AL,9,FALSE)</f>
        <v>64</v>
      </c>
      <c r="U147" s="5">
        <f>VLOOKUP($A147,'SegEnds_NonXtal_Prot#'!$A:$AL,12,FALSE)</f>
        <v>96</v>
      </c>
      <c r="V147" s="5">
        <f>VLOOKUP($A147,'SegEnds_NonXtal_Prot#'!$A:$AL,15,FALSE)</f>
        <v>100</v>
      </c>
      <c r="W147" s="5">
        <f>VLOOKUP($A147,'SegEnds_NonXtal_Prot#'!$A:$AL,18,FALSE)</f>
        <v>136</v>
      </c>
      <c r="X147" s="5">
        <f>VLOOKUP($A147,'SegEnds_NonXtal_Prot#'!$A:$AL,21,FALSE)</f>
        <v>144</v>
      </c>
      <c r="Y147" s="5">
        <f>VLOOKUP($A147,'SegEnds_NonXtal_Prot#'!$A:$AL,24,FALSE)</f>
        <v>182</v>
      </c>
      <c r="Z147" s="5">
        <f>VLOOKUP($A147,'SegEnds_NonXtal_Prot#'!$A:$AL,27,FALSE)</f>
        <v>189</v>
      </c>
      <c r="AA147" s="5">
        <f>VLOOKUP($A147,'SegEnds_NonXtal_Prot#'!$A:$AL,30,FALSE)</f>
        <v>226</v>
      </c>
      <c r="AB147" s="5">
        <f>VLOOKUP($A147,'SegEnds_NonXtal_Prot#'!$A:$AL,33,FALSE)</f>
        <v>270</v>
      </c>
      <c r="AC147" s="5">
        <f>VLOOKUP($A147,'SegEnds_NonXtal_Prot#'!$A:$AL,36,FALSE)</f>
        <v>299</v>
      </c>
      <c r="AD147" s="5">
        <f>VLOOKUP($A147,'SegEnds_NonXtal_Prot#'!$A:$AL,5,FALSE)</f>
        <v>57</v>
      </c>
      <c r="AE147" s="5" t="str">
        <f>VLOOKUP($A147,'SegEnds_NonXtal_Prot#'!$A:$AL,8,FALSE)</f>
        <v>-</v>
      </c>
      <c r="AF147" s="5">
        <f>VLOOKUP($A147,'SegEnds_NonXtal_Prot#'!$A:$AL,11,FALSE)</f>
        <v>94</v>
      </c>
      <c r="AG147" s="5">
        <f>VLOOKUP($A147,'SegEnds_NonXtal_Prot#'!$A:$AL,14,FALSE)</f>
        <v>99</v>
      </c>
      <c r="AH147" s="5">
        <f>VLOOKUP($A147,'SegEnds_NonXtal_Prot#'!$A:$AL,17,FALSE)</f>
        <v>135</v>
      </c>
      <c r="AI147" s="5">
        <f>VLOOKUP($A147,'SegEnds_NonXtal_Prot#'!$A:$AL,20,FALSE)</f>
        <v>143</v>
      </c>
      <c r="AJ147" s="5">
        <f>VLOOKUP($A147,'SegEnds_NonXtal_Prot#'!$A:$AL,23,FALSE)</f>
        <v>170</v>
      </c>
      <c r="AK147" s="5">
        <f>VLOOKUP($A147,'SegEnds_NonXtal_Prot#'!$A:$AL,26,FALSE)</f>
        <v>184</v>
      </c>
      <c r="AL147" s="5">
        <f>VLOOKUP($A147,'SegEnds_NonXtal_Prot#'!$A:$AL,29,FALSE)</f>
        <v>222</v>
      </c>
      <c r="AM147" s="5">
        <f>VLOOKUP($A147,'SegEnds_NonXtal_Prot#'!$A:$AL,32,FALSE)</f>
        <v>263</v>
      </c>
      <c r="AN147" s="5">
        <f>VLOOKUP($A147,'SegEnds_NonXtal_Prot#'!$A:$AL,35,FALSE)</f>
        <v>298</v>
      </c>
      <c r="AO147" s="5">
        <f>VLOOKUP($A147,'SegEnds_NonXtal_Prot#'!$A:$AL,38,FALSE)</f>
        <v>316</v>
      </c>
      <c r="AP147" s="5">
        <f t="shared" si="63"/>
        <v>28</v>
      </c>
      <c r="AQ147" s="4" t="str">
        <f t="shared" si="64"/>
        <v>-</v>
      </c>
      <c r="AR147" s="4">
        <f t="shared" si="65"/>
        <v>30</v>
      </c>
      <c r="AS147" s="4">
        <f t="shared" si="66"/>
        <v>3</v>
      </c>
      <c r="AT147" s="4">
        <f t="shared" si="67"/>
        <v>35</v>
      </c>
      <c r="AU147" s="4">
        <f t="shared" si="68"/>
        <v>7</v>
      </c>
      <c r="AV147" s="4">
        <f t="shared" si="69"/>
        <v>26</v>
      </c>
      <c r="AW147" s="4">
        <f t="shared" si="70"/>
        <v>2</v>
      </c>
      <c r="AX147" s="4">
        <f t="shared" si="71"/>
        <v>33</v>
      </c>
      <c r="AY147" s="4">
        <f t="shared" si="72"/>
        <v>37</v>
      </c>
      <c r="AZ147" s="4">
        <f t="shared" si="73"/>
        <v>28</v>
      </c>
      <c r="BA147" s="4">
        <f t="shared" si="74"/>
        <v>17</v>
      </c>
    </row>
    <row r="148" spans="1:53" x14ac:dyDescent="0.2">
      <c r="A148" s="1" t="str">
        <f>'SegEnds_NonXtal_Prot#'!A120</f>
        <v>gp153_human</v>
      </c>
      <c r="B148" s="1" t="str">
        <f t="shared" si="50"/>
        <v>SDERRLPGSAVGWLVCGGLSLLANAWGILSVGAKKPLEFLLCTLAATHMLNVAVPIATYSVVQLRNEGLCKVFVSTFYTLTLATCFSVTSLSYHRMWMVCWAKKQAVHTVMGIWMVSFILSALPAVGGLGFGVCFLLLVGGSVAMGVICTAIALFQTLAVQVGRQADRREPAKTSLQTTGLVTTIVFIYDCLMGFPVLVVSFSSLRAPWMALCVLWCSVAQALLLPVFLWACDRYRADLKAVREK</v>
      </c>
      <c r="C148" s="29" t="str">
        <f>IF(ISERROR(MATCH(A148,'SegEnds_Xtal_Prot#'!B:B, 0)), "NoXtal", "Xtal")</f>
        <v>NoXtal</v>
      </c>
      <c r="D148" s="4" t="str">
        <f>VLOOKUP(A148,Classification!A:D,2,FALSE)</f>
        <v>A</v>
      </c>
      <c r="E148" s="5" t="str">
        <f>VLOOKUP(A148,Seqs!A:B,2,FALSE)</f>
        <v>MSDERRLPGSAVGWLVCGGLSLLANAWGILSVGAKQKKWKPLEFLLCTLAATHMLNVAVPIATYSVVQLRRQRPDFEWNEGLCKVFVSTFYTLTLATCFSVTSLSYHRMWMVCWPVNYRLSNAKKQAVHTVMGIWMVSFILSALPAVGWHDTSERFYTHGCRFIVAEIGLGFGVCFLLLVGGSVAMGVICTAIALFQTLAVQVGRQADRRAFTVPTIVVEDAQGKRRSSIDGSEPAKTSLQTTGLVTTIVFIYDCLMGFPVLVVSFSSLRADASAPWMALCVLWCSVAQALLLPVFLWACDRYRADLKAVREKCMALMANDEESDDETSLEGGISPDLVLERSLDYGYGGDFVALDRMAKYEISALEGGLPQLYPLRPLQEDKMQYLQVPPTRRFSHDDADVWAAVPLPAFLPRWGSGEDLAALAHLVLPAGPERRRASLLAFAEDAPPSRARRRSAESLLSLRPSALDSGPRGARDSPPGSPRRRPGPGPRSASASLLPDAFALTAFECEPQALRRPPGPFPAAPAAPDGADPGEAPTPPSSAQRSPGPRPSAHSHAGSLRPGLSASWGEPGGLRAAGGGGSTSSFLSSPSESSGYATLHSDSLGSAS</v>
      </c>
      <c r="F148" s="5" t="str">
        <f t="shared" si="51"/>
        <v>SDERRLPGSAVGWLVCGGLSLLANAWGILSVGAK</v>
      </c>
      <c r="G148" s="4" t="str">
        <f t="shared" si="52"/>
        <v>QKKW</v>
      </c>
      <c r="H148" s="4" t="str">
        <f t="shared" si="53"/>
        <v>KPLEFLLCTLAATHMLNVAVPIATYSVVQLR</v>
      </c>
      <c r="I148" s="4" t="str">
        <f t="shared" si="54"/>
        <v>DFEW</v>
      </c>
      <c r="J148" s="4" t="str">
        <f t="shared" si="55"/>
        <v>NEGLCKVFVSTFYTLTLATCFSVTSLSYHRMWMVCW</v>
      </c>
      <c r="K148" s="4" t="str">
        <f t="shared" si="56"/>
        <v>PVNYRLSN</v>
      </c>
      <c r="L148" s="4" t="str">
        <f t="shared" si="57"/>
        <v>AKKQAVHTVMGIWMVSFILSALPAVG</v>
      </c>
      <c r="M148" s="4" t="str">
        <f t="shared" si="58"/>
        <v>CRF</v>
      </c>
      <c r="N148" s="4" t="str">
        <f t="shared" si="59"/>
        <v>GLGFGVCFLLLVGGSVAMGVICTAIALFQTLAVQVGRQADRR</v>
      </c>
      <c r="O148" s="4" t="str">
        <f t="shared" si="60"/>
        <v>EPAKTSLQTTGLVTTIVFIYDCLMGFPVLVVSFSSLRA</v>
      </c>
      <c r="P148" s="4" t="str">
        <f t="shared" si="61"/>
        <v>PWMALCVLWCSVAQALLLPVFLWA</v>
      </c>
      <c r="Q148" s="4" t="str">
        <f t="shared" si="62"/>
        <v>CDRYRADLKAVREK</v>
      </c>
      <c r="R148" s="5">
        <f>VLOOKUP($A148,'SegEnds_NonXtal_Prot#'!$A:$AL,3,FALSE)</f>
        <v>2</v>
      </c>
      <c r="S148" s="5">
        <f>VLOOKUP($A148,'SegEnds_NonXtal_Prot#'!$A:$AL,6,FALSE)</f>
        <v>36</v>
      </c>
      <c r="T148" s="5">
        <f>VLOOKUP($A148,'SegEnds_NonXtal_Prot#'!$A:$AL,9,FALSE)</f>
        <v>40</v>
      </c>
      <c r="U148" s="5">
        <f>VLOOKUP($A148,'SegEnds_NonXtal_Prot#'!$A:$AL,12,FALSE)</f>
        <v>75</v>
      </c>
      <c r="V148" s="5">
        <f>VLOOKUP($A148,'SegEnds_NonXtal_Prot#'!$A:$AL,15,FALSE)</f>
        <v>79</v>
      </c>
      <c r="W148" s="5">
        <f>VLOOKUP($A148,'SegEnds_NonXtal_Prot#'!$A:$AL,18,FALSE)</f>
        <v>115</v>
      </c>
      <c r="X148" s="5">
        <f>VLOOKUP($A148,'SegEnds_NonXtal_Prot#'!$A:$AL,21,FALSE)</f>
        <v>123</v>
      </c>
      <c r="Y148" s="5">
        <f>VLOOKUP($A148,'SegEnds_NonXtal_Prot#'!$A:$AL,24,FALSE)</f>
        <v>161</v>
      </c>
      <c r="Z148" s="5">
        <f>VLOOKUP($A148,'SegEnds_NonXtal_Prot#'!$A:$AL,27,FALSE)</f>
        <v>169</v>
      </c>
      <c r="AA148" s="5">
        <f>VLOOKUP($A148,'SegEnds_NonXtal_Prot#'!$A:$AL,30,FALSE)</f>
        <v>234</v>
      </c>
      <c r="AB148" s="5">
        <f>VLOOKUP($A148,'SegEnds_NonXtal_Prot#'!$A:$AL,33,FALSE)</f>
        <v>276</v>
      </c>
      <c r="AC148" s="5">
        <f>VLOOKUP($A148,'SegEnds_NonXtal_Prot#'!$A:$AL,36,FALSE)</f>
        <v>300</v>
      </c>
      <c r="AD148" s="5">
        <f>VLOOKUP($A148,'SegEnds_NonXtal_Prot#'!$A:$AL,5,FALSE)</f>
        <v>35</v>
      </c>
      <c r="AE148" s="5">
        <f>VLOOKUP($A148,'SegEnds_NonXtal_Prot#'!$A:$AL,8,FALSE)</f>
        <v>39</v>
      </c>
      <c r="AF148" s="5">
        <f>VLOOKUP($A148,'SegEnds_NonXtal_Prot#'!$A:$AL,11,FALSE)</f>
        <v>70</v>
      </c>
      <c r="AG148" s="5">
        <f>VLOOKUP($A148,'SegEnds_NonXtal_Prot#'!$A:$AL,14,FALSE)</f>
        <v>78</v>
      </c>
      <c r="AH148" s="5">
        <f>VLOOKUP($A148,'SegEnds_NonXtal_Prot#'!$A:$AL,17,FALSE)</f>
        <v>114</v>
      </c>
      <c r="AI148" s="5">
        <f>VLOOKUP($A148,'SegEnds_NonXtal_Prot#'!$A:$AL,20,FALSE)</f>
        <v>122</v>
      </c>
      <c r="AJ148" s="5">
        <f>VLOOKUP($A148,'SegEnds_NonXtal_Prot#'!$A:$AL,23,FALSE)</f>
        <v>148</v>
      </c>
      <c r="AK148" s="5">
        <f>VLOOKUP($A148,'SegEnds_NonXtal_Prot#'!$A:$AL,26,FALSE)</f>
        <v>163</v>
      </c>
      <c r="AL148" s="5">
        <f>VLOOKUP($A148,'SegEnds_NonXtal_Prot#'!$A:$AL,29,FALSE)</f>
        <v>210</v>
      </c>
      <c r="AM148" s="5">
        <f>VLOOKUP($A148,'SegEnds_NonXtal_Prot#'!$A:$AL,32,FALSE)</f>
        <v>271</v>
      </c>
      <c r="AN148" s="5">
        <f>VLOOKUP($A148,'SegEnds_NonXtal_Prot#'!$A:$AL,35,FALSE)</f>
        <v>299</v>
      </c>
      <c r="AO148" s="5">
        <f>VLOOKUP($A148,'SegEnds_NonXtal_Prot#'!$A:$AL,38,FALSE)</f>
        <v>313</v>
      </c>
      <c r="AP148" s="5">
        <f t="shared" si="63"/>
        <v>33</v>
      </c>
      <c r="AQ148" s="4">
        <f t="shared" si="64"/>
        <v>3</v>
      </c>
      <c r="AR148" s="4">
        <f t="shared" si="65"/>
        <v>30</v>
      </c>
      <c r="AS148" s="4">
        <f t="shared" si="66"/>
        <v>3</v>
      </c>
      <c r="AT148" s="4">
        <f t="shared" si="67"/>
        <v>35</v>
      </c>
      <c r="AU148" s="4">
        <f t="shared" si="68"/>
        <v>7</v>
      </c>
      <c r="AV148" s="4">
        <f t="shared" si="69"/>
        <v>25</v>
      </c>
      <c r="AW148" s="4">
        <f t="shared" si="70"/>
        <v>2</v>
      </c>
      <c r="AX148" s="4">
        <f t="shared" si="71"/>
        <v>41</v>
      </c>
      <c r="AY148" s="4">
        <f t="shared" si="72"/>
        <v>37</v>
      </c>
      <c r="AZ148" s="4">
        <f t="shared" si="73"/>
        <v>23</v>
      </c>
      <c r="BA148" s="4">
        <f t="shared" si="74"/>
        <v>13</v>
      </c>
    </row>
    <row r="149" spans="1:53" x14ac:dyDescent="0.2">
      <c r="A149" s="1" t="str">
        <f>'SegEnds_NonXtal_Prot#'!A121</f>
        <v>gp161_human</v>
      </c>
      <c r="B149" s="1" t="str">
        <f t="shared" si="50"/>
        <v>EGGVIITQFIAIIVITIFVCLGNLVIVVTLYKKTLSNKFVFSLTLSNFLLSVLVLPFVVTSSIRRGVVWCNFSALLYLLISSASMLTLGVIAIDRYYAVLYTGNRAVMALVYIWLHSLIGCLPPLFGEPGYTAFWQIWCALFPFLVMLVCYGFIFRVARVKARKVHCGTVVYSANQCKALITILVVLGAFMVTWGPYMVVIASEALWSPSLETWATWLSFASAVCHPLIYGLWNKTVRKELLGMC</v>
      </c>
      <c r="C149" s="29" t="str">
        <f>IF(ISERROR(MATCH(A149,'SegEnds_Xtal_Prot#'!B:B, 0)), "NoXtal", "Xtal")</f>
        <v>NoXtal</v>
      </c>
      <c r="D149" s="4" t="str">
        <f>VLOOKUP(A149,Classification!A:D,2,FALSE)</f>
        <v>A</v>
      </c>
      <c r="E149" s="5" t="str">
        <f>VLOOKUP(A149,Seqs!A:B,2,FALSE)</f>
        <v>MSLNSSLSCRKELSNLTEEEGGEGGVIITQFIAIIVITIFVCLGNLVIVVTLYKKSYLLTLSNKFVFSLTLSNFLLSVLVLPFVVTSSIRREWIFGVVWCNFSALLYLLISSASMLTLGVIAIDRYYAVLYPMVYPMKITGNRAVMALVYIWLHSLIGCLPPLFGWSSVEFDEFKWMCVAAWHREPGYTAFWQIWCALFPFLVMLVCYGFIFRVARVKARKVHCGTVVIVEEDAQRTGRKNSSTSTSSSGSRRNAFQGVVYSANQCKALITILVVLGAFMVTWGPYMVVIASEALWGKSSVSPSLETWATWLSFASAVCHPLIYGLWNKTVRKELLGMCFGDRYYREPFVQRQRTSRLFSISNRITDLGLSPHLTALMAGGQPLGHSSSTGDTGFSCSQDSGTDMMLLEDYTSDDNPPSHCTCPPKRRSSVTFEDEVEQIKEAAKNSILHVKAEVHKSLDSYAASLAKAIEAEAKINLFGEEALPGVLVTARTVPGGGFGGRRGSRTLVSQRLQLQSIEEGDVLAAEQR</v>
      </c>
      <c r="F149" s="5" t="str">
        <f t="shared" si="51"/>
        <v>EGGVIITQFIAIIVITIFVCLGNLVIVVTLYKK</v>
      </c>
      <c r="G149" s="4" t="str">
        <f t="shared" si="52"/>
        <v>SYLL</v>
      </c>
      <c r="H149" s="4" t="str">
        <f t="shared" si="53"/>
        <v>TLSNKFVFSLTLSNFLLSVLVLPFVVTSSIRR</v>
      </c>
      <c r="I149" s="4" t="str">
        <f t="shared" si="54"/>
        <v>EWIF</v>
      </c>
      <c r="J149" s="4" t="str">
        <f t="shared" si="55"/>
        <v>GVVWCNFSALLYLLISSASMLTLGVIAIDRYYAVLY</v>
      </c>
      <c r="K149" s="4" t="str">
        <f t="shared" si="56"/>
        <v>PMVYPMKI</v>
      </c>
      <c r="L149" s="4" t="str">
        <f t="shared" si="57"/>
        <v>TGNRAVMALVYIWLHSLIGCLPPLFG</v>
      </c>
      <c r="M149" s="4" t="str">
        <f t="shared" si="58"/>
        <v>CVA</v>
      </c>
      <c r="N149" s="4" t="str">
        <f t="shared" si="59"/>
        <v>EPGYTAFWQIWCALFPFLVMLVCYGFIFRVARVKARKVHCGT</v>
      </c>
      <c r="O149" s="4" t="str">
        <f t="shared" si="60"/>
        <v>VVYSANQCKALITILVVLGAFMVTWGPYMVVIASEALW</v>
      </c>
      <c r="P149" s="4" t="str">
        <f t="shared" si="61"/>
        <v>SPSLETWATWLSFASAVCHPLIYGLW</v>
      </c>
      <c r="Q149" s="4" t="str">
        <f t="shared" si="62"/>
        <v>NKTVRKELLGMC</v>
      </c>
      <c r="R149" s="5">
        <f>VLOOKUP($A149,'SegEnds_NonXtal_Prot#'!$A:$AL,3,FALSE)</f>
        <v>23</v>
      </c>
      <c r="S149" s="5">
        <f>VLOOKUP($A149,'SegEnds_NonXtal_Prot#'!$A:$AL,6,FALSE)</f>
        <v>56</v>
      </c>
      <c r="T149" s="5">
        <f>VLOOKUP($A149,'SegEnds_NonXtal_Prot#'!$A:$AL,9,FALSE)</f>
        <v>60</v>
      </c>
      <c r="U149" s="5">
        <f>VLOOKUP($A149,'SegEnds_NonXtal_Prot#'!$A:$AL,12,FALSE)</f>
        <v>92</v>
      </c>
      <c r="V149" s="5">
        <f>VLOOKUP($A149,'SegEnds_NonXtal_Prot#'!$A:$AL,15,FALSE)</f>
        <v>96</v>
      </c>
      <c r="W149" s="5">
        <f>VLOOKUP($A149,'SegEnds_NonXtal_Prot#'!$A:$AL,18,FALSE)</f>
        <v>132</v>
      </c>
      <c r="X149" s="5">
        <f>VLOOKUP($A149,'SegEnds_NonXtal_Prot#'!$A:$AL,21,FALSE)</f>
        <v>140</v>
      </c>
      <c r="Y149" s="5">
        <f>VLOOKUP($A149,'SegEnds_NonXtal_Prot#'!$A:$AL,24,FALSE)</f>
        <v>178</v>
      </c>
      <c r="Z149" s="5">
        <f>VLOOKUP($A149,'SegEnds_NonXtal_Prot#'!$A:$AL,27,FALSE)</f>
        <v>185</v>
      </c>
      <c r="AA149" s="5">
        <f>VLOOKUP($A149,'SegEnds_NonXtal_Prot#'!$A:$AL,30,FALSE)</f>
        <v>259</v>
      </c>
      <c r="AB149" s="5">
        <f>VLOOKUP($A149,'SegEnds_NonXtal_Prot#'!$A:$AL,33,FALSE)</f>
        <v>302</v>
      </c>
      <c r="AC149" s="5">
        <f>VLOOKUP($A149,'SegEnds_NonXtal_Prot#'!$A:$AL,36,FALSE)</f>
        <v>328</v>
      </c>
      <c r="AD149" s="5">
        <f>VLOOKUP($A149,'SegEnds_NonXtal_Prot#'!$A:$AL,5,FALSE)</f>
        <v>55</v>
      </c>
      <c r="AE149" s="5">
        <f>VLOOKUP($A149,'SegEnds_NonXtal_Prot#'!$A:$AL,8,FALSE)</f>
        <v>59</v>
      </c>
      <c r="AF149" s="5">
        <f>VLOOKUP($A149,'SegEnds_NonXtal_Prot#'!$A:$AL,11,FALSE)</f>
        <v>91</v>
      </c>
      <c r="AG149" s="5">
        <f>VLOOKUP($A149,'SegEnds_NonXtal_Prot#'!$A:$AL,14,FALSE)</f>
        <v>95</v>
      </c>
      <c r="AH149" s="5">
        <f>VLOOKUP($A149,'SegEnds_NonXtal_Prot#'!$A:$AL,17,FALSE)</f>
        <v>131</v>
      </c>
      <c r="AI149" s="5">
        <f>VLOOKUP($A149,'SegEnds_NonXtal_Prot#'!$A:$AL,20,FALSE)</f>
        <v>139</v>
      </c>
      <c r="AJ149" s="5">
        <f>VLOOKUP($A149,'SegEnds_NonXtal_Prot#'!$A:$AL,23,FALSE)</f>
        <v>165</v>
      </c>
      <c r="AK149" s="5">
        <f>VLOOKUP($A149,'SegEnds_NonXtal_Prot#'!$A:$AL,26,FALSE)</f>
        <v>180</v>
      </c>
      <c r="AL149" s="5">
        <f>VLOOKUP($A149,'SegEnds_NonXtal_Prot#'!$A:$AL,29,FALSE)</f>
        <v>226</v>
      </c>
      <c r="AM149" s="5">
        <f>VLOOKUP($A149,'SegEnds_NonXtal_Prot#'!$A:$AL,32,FALSE)</f>
        <v>296</v>
      </c>
      <c r="AN149" s="5">
        <f>VLOOKUP($A149,'SegEnds_NonXtal_Prot#'!$A:$AL,35,FALSE)</f>
        <v>327</v>
      </c>
      <c r="AO149" s="5">
        <f>VLOOKUP($A149,'SegEnds_NonXtal_Prot#'!$A:$AL,38,FALSE)</f>
        <v>339</v>
      </c>
      <c r="AP149" s="5">
        <f t="shared" si="63"/>
        <v>32</v>
      </c>
      <c r="AQ149" s="4">
        <f t="shared" si="64"/>
        <v>3</v>
      </c>
      <c r="AR149" s="4">
        <f t="shared" si="65"/>
        <v>31</v>
      </c>
      <c r="AS149" s="4">
        <f t="shared" si="66"/>
        <v>3</v>
      </c>
      <c r="AT149" s="4">
        <f t="shared" si="67"/>
        <v>35</v>
      </c>
      <c r="AU149" s="4">
        <f t="shared" si="68"/>
        <v>7</v>
      </c>
      <c r="AV149" s="4">
        <f t="shared" si="69"/>
        <v>25</v>
      </c>
      <c r="AW149" s="4">
        <f t="shared" si="70"/>
        <v>2</v>
      </c>
      <c r="AX149" s="4">
        <f t="shared" si="71"/>
        <v>41</v>
      </c>
      <c r="AY149" s="4">
        <f t="shared" si="72"/>
        <v>37</v>
      </c>
      <c r="AZ149" s="4">
        <f t="shared" si="73"/>
        <v>25</v>
      </c>
      <c r="BA149" s="4">
        <f t="shared" si="74"/>
        <v>11</v>
      </c>
    </row>
    <row r="150" spans="1:53" x14ac:dyDescent="0.2">
      <c r="A150" s="1" t="str">
        <f>'SegEnds_NonXtal_Prot#'!A122</f>
        <v>gp162_human</v>
      </c>
      <c r="B150" s="1" t="str">
        <f t="shared" si="50"/>
        <v>EEASLRSNALSWLACGLLALLANAWIILSISAKKPLELLLCFLAGTHILMAAVPLTTFAVVQLRNESICKVFVSTYYTLALATCFTVASLSYHRMWMVRWAKKQALHAVMGIWMVSFILSTLPSIGWGLGFGVCFSLLLLGGIVMGLVCVAITFYQTLWARPRRARQESAKTSLQVTNLVSAIVFLYDSLTGVPILVVSFFSLKSPWMVLAVLWCSMAQTLLLPSFIWSCERYRADVRTVW</v>
      </c>
      <c r="C150" s="29" t="str">
        <f>IF(ISERROR(MATCH(A150,'SegEnds_Xtal_Prot#'!B:B, 0)), "NoXtal", "Xtal")</f>
        <v>NoXtal</v>
      </c>
      <c r="D150" s="4" t="str">
        <f>VLOOKUP(A150,Classification!A:D,2,FALSE)</f>
        <v>A</v>
      </c>
      <c r="E150" s="5" t="str">
        <f>VLOOKUP(A150,Seqs!A:B,2,FALSE)</f>
        <v>MARGGAGAEEASLRSNALSWLACGLLALLANAWIILSISAKQQKHKPLELLLCFLAGTHILMAAVPLTTFAVVQLRRQASSDYDWNESICKVFVSTYYTLALATCFTVASLSYHRMWMVRWPVNYRLSNAKKQALHAVMGIWMVSFILSTLPSIGWHNNGERYYARGCQFIVSKIGLGFGVCFSLLLLGGIVMGLVCVAITFYQTLWARPRRARQARRVGGGGGTKAGGPGALGTRPAFEVPAIVVEDARGKRRSSLDGSESAKTSLQVTNLVSAIVFLYDSLTGVPILVVSFFSLKSDSAPPWMVLAVLWCSMAQTLLLPSFIWSCERYRADVRTVWEQCVAIMSEEDGDDDGGCDDYAEGRVCKVRFDANGATGPGSRDPAQVKLLPGRHMLFPPLERVHYLQVPLSRRLSHDETNIFSTPREPGSFLHKWSSSDDIRVLPAQSRALGGPPEYLGQRHRLEDEEDEEEAEGGGLASLRQFLESGVLGSGGGPPRGPGFFREEITTFIDETPLPSPTASPGHSPRRPRPLGLSPRRLSLGSPESRAVGLPLGLSAGRRCSLTGGEESARAWGGSWGPGNPIFPQLTL</v>
      </c>
      <c r="F150" s="5" t="str">
        <f t="shared" si="51"/>
        <v>EEASLRSNALSWLACGLLALLANAWIILSISAK</v>
      </c>
      <c r="G150" s="4" t="str">
        <f t="shared" si="52"/>
        <v>QQKH</v>
      </c>
      <c r="H150" s="4" t="str">
        <f t="shared" si="53"/>
        <v>KPLELLLCFLAGTHILMAAVPLTTFAVVQLR</v>
      </c>
      <c r="I150" s="4" t="str">
        <f t="shared" si="54"/>
        <v>DYDW</v>
      </c>
      <c r="J150" s="4" t="str">
        <f t="shared" si="55"/>
        <v>NESICKVFVSTYYTLALATCFTVASLSYHRMWMVRW</v>
      </c>
      <c r="K150" s="4" t="str">
        <f t="shared" si="56"/>
        <v>PVNYRLSN</v>
      </c>
      <c r="L150" s="4" t="str">
        <f t="shared" si="57"/>
        <v>AKKQALHAVMGIWMVSFILSTLPSIGW</v>
      </c>
      <c r="M150" s="4" t="str">
        <f t="shared" si="58"/>
        <v>CQF</v>
      </c>
      <c r="N150" s="4" t="str">
        <f t="shared" si="59"/>
        <v>GLGFGVCFSLLLLGGIVMGLVCVAITFYQTLWARPRRARQ</v>
      </c>
      <c r="O150" s="4" t="str">
        <f t="shared" si="60"/>
        <v>ESAKTSLQVTNLVSAIVFLYDSLTGVPILVVSFFSLKS</v>
      </c>
      <c r="P150" s="4" t="str">
        <f t="shared" si="61"/>
        <v>PWMVLAVLWCSMAQTLLLPSFIWS</v>
      </c>
      <c r="Q150" s="4" t="str">
        <f t="shared" si="62"/>
        <v>CERYRADVRTVW</v>
      </c>
      <c r="R150" s="5">
        <f>VLOOKUP($A150,'SegEnds_NonXtal_Prot#'!$A:$AL,3,FALSE)</f>
        <v>9</v>
      </c>
      <c r="S150" s="5">
        <f>VLOOKUP($A150,'SegEnds_NonXtal_Prot#'!$A:$AL,6,FALSE)</f>
        <v>42</v>
      </c>
      <c r="T150" s="5">
        <f>VLOOKUP($A150,'SegEnds_NonXtal_Prot#'!$A:$AL,9,FALSE)</f>
        <v>46</v>
      </c>
      <c r="U150" s="5">
        <f>VLOOKUP($A150,'SegEnds_NonXtal_Prot#'!$A:$AL,12,FALSE)</f>
        <v>82</v>
      </c>
      <c r="V150" s="5">
        <f>VLOOKUP($A150,'SegEnds_NonXtal_Prot#'!$A:$AL,15,FALSE)</f>
        <v>86</v>
      </c>
      <c r="W150" s="5">
        <f>VLOOKUP($A150,'SegEnds_NonXtal_Prot#'!$A:$AL,18,FALSE)</f>
        <v>122</v>
      </c>
      <c r="X150" s="5">
        <f>VLOOKUP($A150,'SegEnds_NonXtal_Prot#'!$A:$AL,21,FALSE)</f>
        <v>130</v>
      </c>
      <c r="Y150" s="5">
        <f>VLOOKUP($A150,'SegEnds_NonXtal_Prot#'!$A:$AL,24,FALSE)</f>
        <v>168</v>
      </c>
      <c r="Z150" s="5">
        <f>VLOOKUP($A150,'SegEnds_NonXtal_Prot#'!$A:$AL,27,FALSE)</f>
        <v>176</v>
      </c>
      <c r="AA150" s="5">
        <f>VLOOKUP($A150,'SegEnds_NonXtal_Prot#'!$A:$AL,30,FALSE)</f>
        <v>261</v>
      </c>
      <c r="AB150" s="5">
        <f>VLOOKUP($A150,'SegEnds_NonXtal_Prot#'!$A:$AL,33,FALSE)</f>
        <v>303</v>
      </c>
      <c r="AC150" s="5">
        <f>VLOOKUP($A150,'SegEnds_NonXtal_Prot#'!$A:$AL,36,FALSE)</f>
        <v>327</v>
      </c>
      <c r="AD150" s="5">
        <f>VLOOKUP($A150,'SegEnds_NonXtal_Prot#'!$A:$AL,5,FALSE)</f>
        <v>41</v>
      </c>
      <c r="AE150" s="5">
        <f>VLOOKUP($A150,'SegEnds_NonXtal_Prot#'!$A:$AL,8,FALSE)</f>
        <v>45</v>
      </c>
      <c r="AF150" s="5">
        <f>VLOOKUP($A150,'SegEnds_NonXtal_Prot#'!$A:$AL,11,FALSE)</f>
        <v>76</v>
      </c>
      <c r="AG150" s="5">
        <f>VLOOKUP($A150,'SegEnds_NonXtal_Prot#'!$A:$AL,14,FALSE)</f>
        <v>85</v>
      </c>
      <c r="AH150" s="5">
        <f>VLOOKUP($A150,'SegEnds_NonXtal_Prot#'!$A:$AL,17,FALSE)</f>
        <v>121</v>
      </c>
      <c r="AI150" s="5">
        <f>VLOOKUP($A150,'SegEnds_NonXtal_Prot#'!$A:$AL,20,FALSE)</f>
        <v>129</v>
      </c>
      <c r="AJ150" s="5">
        <f>VLOOKUP($A150,'SegEnds_NonXtal_Prot#'!$A:$AL,23,FALSE)</f>
        <v>156</v>
      </c>
      <c r="AK150" s="5">
        <f>VLOOKUP($A150,'SegEnds_NonXtal_Prot#'!$A:$AL,26,FALSE)</f>
        <v>170</v>
      </c>
      <c r="AL150" s="5">
        <f>VLOOKUP($A150,'SegEnds_NonXtal_Prot#'!$A:$AL,29,FALSE)</f>
        <v>215</v>
      </c>
      <c r="AM150" s="5">
        <f>VLOOKUP($A150,'SegEnds_NonXtal_Prot#'!$A:$AL,32,FALSE)</f>
        <v>298</v>
      </c>
      <c r="AN150" s="5">
        <f>VLOOKUP($A150,'SegEnds_NonXtal_Prot#'!$A:$AL,35,FALSE)</f>
        <v>326</v>
      </c>
      <c r="AO150" s="5">
        <f>VLOOKUP($A150,'SegEnds_NonXtal_Prot#'!$A:$AL,38,FALSE)</f>
        <v>338</v>
      </c>
      <c r="AP150" s="5">
        <f t="shared" si="63"/>
        <v>32</v>
      </c>
      <c r="AQ150" s="4">
        <f t="shared" si="64"/>
        <v>3</v>
      </c>
      <c r="AR150" s="4">
        <f t="shared" si="65"/>
        <v>30</v>
      </c>
      <c r="AS150" s="4">
        <f t="shared" si="66"/>
        <v>3</v>
      </c>
      <c r="AT150" s="4">
        <f t="shared" si="67"/>
        <v>35</v>
      </c>
      <c r="AU150" s="4">
        <f t="shared" si="68"/>
        <v>7</v>
      </c>
      <c r="AV150" s="4">
        <f t="shared" si="69"/>
        <v>26</v>
      </c>
      <c r="AW150" s="4">
        <f t="shared" si="70"/>
        <v>2</v>
      </c>
      <c r="AX150" s="4">
        <f t="shared" si="71"/>
        <v>39</v>
      </c>
      <c r="AY150" s="4">
        <f t="shared" si="72"/>
        <v>37</v>
      </c>
      <c r="AZ150" s="4">
        <f t="shared" si="73"/>
        <v>23</v>
      </c>
      <c r="BA150" s="4">
        <f t="shared" si="74"/>
        <v>11</v>
      </c>
    </row>
    <row r="151" spans="1:53" x14ac:dyDescent="0.2">
      <c r="A151" s="1" t="str">
        <f>'SegEnds_NonXtal_Prot#'!A126</f>
        <v>gp183_human</v>
      </c>
      <c r="B151" s="1" t="str">
        <f t="shared" si="50"/>
        <v>LYAHHSTARIVMPLHYSLVFIIGLVGNLLALVVIVQNNSTTLYSTNLVISDILFTTALPTRIAYYAMGDALCRITALVFYINTYAGVNFMTCLSIDRFIAVVHRIEHAKGVCIFVWILVFAQTLPLLINPEETKSLPWILLGACFIGYVLPLIIILICYSQICCKLFRTLTEKSGVNKKALNTIILIIVVFVLCFTPYHVAIIQHMIKKLRECSQRHSFQISLHFTVCLMNFNCCMDPFIYFFACKGYKRKVMRMLK</v>
      </c>
      <c r="C151" s="29" t="str">
        <f>IF(ISERROR(MATCH(A151,'SegEnds_Xtal_Prot#'!B:B, 0)), "NoXtal", "Xtal")</f>
        <v>NoXtal</v>
      </c>
      <c r="D151" s="4" t="str">
        <f>VLOOKUP(A151,Classification!A:D,2,FALSE)</f>
        <v>A</v>
      </c>
      <c r="E151" s="5" t="str">
        <f>VLOOKUP(A151,Seqs!A:B,2,FALSE)</f>
        <v>MDIQMANNFTPPSATPQGNDCDLYAHHSTARIVMPLHYSLVFIIGLVGNLLALVVIVQNRKKINSTTLYSTNLVISDILFTTALPTRIAYYAMGFDWRIGDALCRITALVFYINTYAGVNFMTCLSIDRFIAVVHPLRYNKIKRIEHAKGVCIFVWILVFAQTLPLLINPMSKQEAERITCMEYPNFEETKSLPWILLGACFIGYVLPLIIILICYSQICCKLFRTAKQNPLTEKSGVNKKALNTIILIIVVFVLCFTPYHVAIIQHMIKKLRFSNFLECSQRHSFQISLHFTVCLMNFNCCMDPFIYFFACKGYKRKVMRMLKRQVSVSISSAVKSAPEENSREMTETQMMIHSKSSNGK</v>
      </c>
      <c r="F151" s="5" t="str">
        <f t="shared" si="51"/>
        <v>LYAHHSTARIVMPLHYSLVFIIGLVGNLLALVVIVQN</v>
      </c>
      <c r="G151" s="4" t="str">
        <f t="shared" si="52"/>
        <v>RKKI</v>
      </c>
      <c r="H151" s="4" t="str">
        <f t="shared" si="53"/>
        <v>NSTTLYSTNLVISDILFTTALPTRIAYYAM</v>
      </c>
      <c r="I151" s="4" t="str">
        <f t="shared" si="54"/>
        <v>DWRI</v>
      </c>
      <c r="J151" s="4" t="str">
        <f t="shared" si="55"/>
        <v>GDALCRITALVFYINTYAGVNFMTCLSIDRFIAVVH</v>
      </c>
      <c r="K151" s="4" t="str">
        <f t="shared" si="56"/>
        <v>PLRYNKIK</v>
      </c>
      <c r="L151" s="4" t="str">
        <f t="shared" si="57"/>
        <v>RIEHAKGVCIFVWILVFAQTLPLLINP</v>
      </c>
      <c r="M151" s="4" t="str">
        <f t="shared" si="58"/>
        <v>CME</v>
      </c>
      <c r="N151" s="4" t="str">
        <f t="shared" si="59"/>
        <v>EETKSLPWILLGACFIGYVLPLIIILICYSQICCKLFRT</v>
      </c>
      <c r="O151" s="4" t="str">
        <f t="shared" si="60"/>
        <v>LTEKSGVNKKALNTIILIIVVFVLCFTPYHVAIIQHMIKKLR</v>
      </c>
      <c r="P151" s="4" t="str">
        <f t="shared" si="61"/>
        <v>ECSQRHSFQISLHFTVCLMNFNCCMDPFIYFFA</v>
      </c>
      <c r="Q151" s="4" t="str">
        <f t="shared" si="62"/>
        <v>CKGYKRKVMRMLK</v>
      </c>
      <c r="R151" s="5">
        <f>VLOOKUP($A151,'SegEnds_NonXtal_Prot#'!$A:$AL,3,FALSE)</f>
        <v>23</v>
      </c>
      <c r="S151" s="5">
        <f>VLOOKUP($A151,'SegEnds_NonXtal_Prot#'!$A:$AL,6,FALSE)</f>
        <v>60</v>
      </c>
      <c r="T151" s="5">
        <f>VLOOKUP($A151,'SegEnds_NonXtal_Prot#'!$A:$AL,9,FALSE)</f>
        <v>64</v>
      </c>
      <c r="U151" s="5">
        <f>VLOOKUP($A151,'SegEnds_NonXtal_Prot#'!$A:$AL,12,FALSE)</f>
        <v>96</v>
      </c>
      <c r="V151" s="5">
        <f>VLOOKUP($A151,'SegEnds_NonXtal_Prot#'!$A:$AL,15,FALSE)</f>
        <v>100</v>
      </c>
      <c r="W151" s="5">
        <f>VLOOKUP($A151,'SegEnds_NonXtal_Prot#'!$A:$AL,18,FALSE)</f>
        <v>136</v>
      </c>
      <c r="X151" s="5">
        <f>VLOOKUP($A151,'SegEnds_NonXtal_Prot#'!$A:$AL,21,FALSE)</f>
        <v>144</v>
      </c>
      <c r="Y151" s="5">
        <f>VLOOKUP($A151,'SegEnds_NonXtal_Prot#'!$A:$AL,24,FALSE)</f>
        <v>181</v>
      </c>
      <c r="Z151" s="5">
        <f>VLOOKUP($A151,'SegEnds_NonXtal_Prot#'!$A:$AL,27,FALSE)</f>
        <v>188</v>
      </c>
      <c r="AA151" s="5">
        <f>VLOOKUP($A151,'SegEnds_NonXtal_Prot#'!$A:$AL,30,FALSE)</f>
        <v>232</v>
      </c>
      <c r="AB151" s="5">
        <f>VLOOKUP($A151,'SegEnds_NonXtal_Prot#'!$A:$AL,33,FALSE)</f>
        <v>279</v>
      </c>
      <c r="AC151" s="5">
        <f>VLOOKUP($A151,'SegEnds_NonXtal_Prot#'!$A:$AL,36,FALSE)</f>
        <v>312</v>
      </c>
      <c r="AD151" s="5">
        <f>VLOOKUP($A151,'SegEnds_NonXtal_Prot#'!$A:$AL,5,FALSE)</f>
        <v>59</v>
      </c>
      <c r="AE151" s="5">
        <f>VLOOKUP($A151,'SegEnds_NonXtal_Prot#'!$A:$AL,8,FALSE)</f>
        <v>63</v>
      </c>
      <c r="AF151" s="5">
        <f>VLOOKUP($A151,'SegEnds_NonXtal_Prot#'!$A:$AL,11,FALSE)</f>
        <v>93</v>
      </c>
      <c r="AG151" s="5">
        <f>VLOOKUP($A151,'SegEnds_NonXtal_Prot#'!$A:$AL,14,FALSE)</f>
        <v>99</v>
      </c>
      <c r="AH151" s="5">
        <f>VLOOKUP($A151,'SegEnds_NonXtal_Prot#'!$A:$AL,17,FALSE)</f>
        <v>135</v>
      </c>
      <c r="AI151" s="5">
        <f>VLOOKUP($A151,'SegEnds_NonXtal_Prot#'!$A:$AL,20,FALSE)</f>
        <v>143</v>
      </c>
      <c r="AJ151" s="5">
        <f>VLOOKUP($A151,'SegEnds_NonXtal_Prot#'!$A:$AL,23,FALSE)</f>
        <v>170</v>
      </c>
      <c r="AK151" s="5">
        <f>VLOOKUP($A151,'SegEnds_NonXtal_Prot#'!$A:$AL,26,FALSE)</f>
        <v>183</v>
      </c>
      <c r="AL151" s="5">
        <f>VLOOKUP($A151,'SegEnds_NonXtal_Prot#'!$A:$AL,29,FALSE)</f>
        <v>226</v>
      </c>
      <c r="AM151" s="5">
        <f>VLOOKUP($A151,'SegEnds_NonXtal_Prot#'!$A:$AL,32,FALSE)</f>
        <v>273</v>
      </c>
      <c r="AN151" s="5">
        <f>VLOOKUP($A151,'SegEnds_NonXtal_Prot#'!$A:$AL,35,FALSE)</f>
        <v>311</v>
      </c>
      <c r="AO151" s="5">
        <f>VLOOKUP($A151,'SegEnds_NonXtal_Prot#'!$A:$AL,38,FALSE)</f>
        <v>324</v>
      </c>
      <c r="AP151" s="5">
        <f t="shared" si="63"/>
        <v>36</v>
      </c>
      <c r="AQ151" s="4">
        <f t="shared" si="64"/>
        <v>3</v>
      </c>
      <c r="AR151" s="4">
        <f t="shared" si="65"/>
        <v>29</v>
      </c>
      <c r="AS151" s="4">
        <f t="shared" si="66"/>
        <v>3</v>
      </c>
      <c r="AT151" s="4">
        <f t="shared" si="67"/>
        <v>35</v>
      </c>
      <c r="AU151" s="4">
        <f t="shared" si="68"/>
        <v>7</v>
      </c>
      <c r="AV151" s="4">
        <f t="shared" si="69"/>
        <v>26</v>
      </c>
      <c r="AW151" s="4">
        <f t="shared" si="70"/>
        <v>2</v>
      </c>
      <c r="AX151" s="4">
        <f t="shared" si="71"/>
        <v>38</v>
      </c>
      <c r="AY151" s="4">
        <f t="shared" si="72"/>
        <v>41</v>
      </c>
      <c r="AZ151" s="4">
        <f t="shared" si="73"/>
        <v>32</v>
      </c>
      <c r="BA151" s="4">
        <f t="shared" si="74"/>
        <v>12</v>
      </c>
    </row>
    <row r="152" spans="1:53" x14ac:dyDescent="0.2">
      <c r="A152" s="1" t="str">
        <f>'SegEnds_NonXtal_Prot#'!A127</f>
        <v>gper1_human</v>
      </c>
      <c r="B152" s="1" t="str">
        <f t="shared" si="50"/>
        <v>EHQQYVIGLFLSCLYTIFLFPIGFVGNILILVVNISFTIPDLYFINLAVADLILVADSLIEVFNLHEAVLCTFMSLFLQVNMYSSVFFLTWMSFDRYIALARTKHHARLSCGLIWMASVSATLVPFTAVDVREVQWLEVTLGFIVPFAIIGLCYSLIVRVLVRARGLRPRRQKALRMILAVVLVFFVCWLPENVFISVHLLQRTQKQSFRHAHPLTGHIVNLAAFSNSCLNPLIYSFLGETFRDKLRLYIE</v>
      </c>
      <c r="C152" s="29" t="str">
        <f>IF(ISERROR(MATCH(A152,'SegEnds_Xtal_Prot#'!B:B, 0)), "NoXtal", "Xtal")</f>
        <v>NoXtal</v>
      </c>
      <c r="D152" s="4" t="str">
        <f>VLOOKUP(A152,Classification!A:D,2,FALSE)</f>
        <v>A</v>
      </c>
      <c r="E152" s="5" t="str">
        <f>VLOOKUP(A152,Seqs!A:B,2,FALSE)</f>
        <v>MDVTSQARGVGLEMYPGTAQPAAPNTTSPELNLSHPLLGTALANGTGELSEHQQYVIGLFLSCLYTIFLFPIGFVGNILILVVNISFREKMTIPDLYFINLAVADLILVADSLIEVFNLHERYYDIAVLCTFMSLFLQVNMYSSVFFLTWMSFDRYIALARAMRCSLFRTKHHARLSCGLIWMASVSATLVPFTAVHLQHTDEACFCFADVREVQWLEVTLGFIVPFAIIGLCYSLIVRVLVRAHRHRGLRPRRQKALRMILAVVLVFFVCWLPENVFISVHLLQRTQPGAAPCKQSFRHAHPLTGHIVNLAAFSNSCLNPLIYSFLGETFRDKLRLYIEQKTNLPALNRFCHAALKAVIPDSTEQSDVRFSSAV</v>
      </c>
      <c r="F152" s="5" t="str">
        <f t="shared" si="51"/>
        <v>EHQQYVIGLFLSCLYTIFLFPIGFVGNILILVVNISF</v>
      </c>
      <c r="G152" s="4" t="str">
        <f t="shared" si="52"/>
        <v>REKM</v>
      </c>
      <c r="H152" s="4" t="str">
        <f t="shared" si="53"/>
        <v>TIPDLYFINLAVADLILVADSLIEVFNLHE</v>
      </c>
      <c r="I152" s="4" t="str">
        <f t="shared" si="54"/>
        <v>YYDI</v>
      </c>
      <c r="J152" s="4" t="str">
        <f t="shared" si="55"/>
        <v>AVLCTFMSLFLQVNMYSSVFFLTWMSFDRYIALAR</v>
      </c>
      <c r="K152" s="4" t="str">
        <f t="shared" si="56"/>
        <v>AMRCSLFR</v>
      </c>
      <c r="L152" s="4" t="str">
        <f t="shared" si="57"/>
        <v>TKHHARLSCGLIWMASVSATLVPFTAV</v>
      </c>
      <c r="M152" s="4" t="str">
        <f t="shared" si="58"/>
        <v>CFC</v>
      </c>
      <c r="N152" s="4" t="str">
        <f t="shared" si="59"/>
        <v>DVREVQWLEVTLGFIVPFAIIGLCYSLIVRVLVRA</v>
      </c>
      <c r="O152" s="4" t="str">
        <f t="shared" si="60"/>
        <v>RGLRPRRQKALRMILAVVLVFFVCWLPENVFISVHLLQRTQ</v>
      </c>
      <c r="P152" s="4" t="str">
        <f t="shared" si="61"/>
        <v>KQSFRHAHPLTGHIVNLAAFSNSCLNPLIYSFL</v>
      </c>
      <c r="Q152" s="4" t="str">
        <f t="shared" si="62"/>
        <v>GETFRDKLRLYIE</v>
      </c>
      <c r="R152" s="5">
        <f>VLOOKUP($A152,'SegEnds_NonXtal_Prot#'!$A:$AL,3,FALSE)</f>
        <v>51</v>
      </c>
      <c r="S152" s="5">
        <f>VLOOKUP($A152,'SegEnds_NonXtal_Prot#'!$A:$AL,6,FALSE)</f>
        <v>88</v>
      </c>
      <c r="T152" s="5">
        <f>VLOOKUP($A152,'SegEnds_NonXtal_Prot#'!$A:$AL,9,FALSE)</f>
        <v>92</v>
      </c>
      <c r="U152" s="5">
        <f>VLOOKUP($A152,'SegEnds_NonXtal_Prot#'!$A:$AL,12,FALSE)</f>
        <v>123</v>
      </c>
      <c r="V152" s="5">
        <f>VLOOKUP($A152,'SegEnds_NonXtal_Prot#'!$A:$AL,15,FALSE)</f>
        <v>127</v>
      </c>
      <c r="W152" s="5">
        <f>VLOOKUP($A152,'SegEnds_NonXtal_Prot#'!$A:$AL,18,FALSE)</f>
        <v>162</v>
      </c>
      <c r="X152" s="5">
        <f>VLOOKUP($A152,'SegEnds_NonXtal_Prot#'!$A:$AL,21,FALSE)</f>
        <v>170</v>
      </c>
      <c r="Y152" s="5">
        <f>VLOOKUP($A152,'SegEnds_NonXtal_Prot#'!$A:$AL,24,FALSE)</f>
        <v>205</v>
      </c>
      <c r="Z152" s="5">
        <f>VLOOKUP($A152,'SegEnds_NonXtal_Prot#'!$A:$AL,27,FALSE)</f>
        <v>210</v>
      </c>
      <c r="AA152" s="5">
        <f>VLOOKUP($A152,'SegEnds_NonXtal_Prot#'!$A:$AL,30,FALSE)</f>
        <v>248</v>
      </c>
      <c r="AB152" s="5">
        <f>VLOOKUP($A152,'SegEnds_NonXtal_Prot#'!$A:$AL,33,FALSE)</f>
        <v>295</v>
      </c>
      <c r="AC152" s="5">
        <f>VLOOKUP($A152,'SegEnds_NonXtal_Prot#'!$A:$AL,36,FALSE)</f>
        <v>328</v>
      </c>
      <c r="AD152" s="5">
        <f>VLOOKUP($A152,'SegEnds_NonXtal_Prot#'!$A:$AL,5,FALSE)</f>
        <v>87</v>
      </c>
      <c r="AE152" s="5">
        <f>VLOOKUP($A152,'SegEnds_NonXtal_Prot#'!$A:$AL,8,FALSE)</f>
        <v>91</v>
      </c>
      <c r="AF152" s="5">
        <f>VLOOKUP($A152,'SegEnds_NonXtal_Prot#'!$A:$AL,11,FALSE)</f>
        <v>121</v>
      </c>
      <c r="AG152" s="5">
        <f>VLOOKUP($A152,'SegEnds_NonXtal_Prot#'!$A:$AL,14,FALSE)</f>
        <v>126</v>
      </c>
      <c r="AH152" s="5">
        <f>VLOOKUP($A152,'SegEnds_NonXtal_Prot#'!$A:$AL,17,FALSE)</f>
        <v>161</v>
      </c>
      <c r="AI152" s="5">
        <f>VLOOKUP($A152,'SegEnds_NonXtal_Prot#'!$A:$AL,20,FALSE)</f>
        <v>169</v>
      </c>
      <c r="AJ152" s="5">
        <f>VLOOKUP($A152,'SegEnds_NonXtal_Prot#'!$A:$AL,23,FALSE)</f>
        <v>196</v>
      </c>
      <c r="AK152" s="5">
        <f>VLOOKUP($A152,'SegEnds_NonXtal_Prot#'!$A:$AL,26,FALSE)</f>
        <v>207</v>
      </c>
      <c r="AL152" s="5">
        <f>VLOOKUP($A152,'SegEnds_NonXtal_Prot#'!$A:$AL,29,FALSE)</f>
        <v>244</v>
      </c>
      <c r="AM152" s="5">
        <f>VLOOKUP($A152,'SegEnds_NonXtal_Prot#'!$A:$AL,32,FALSE)</f>
        <v>288</v>
      </c>
      <c r="AN152" s="5">
        <f>VLOOKUP($A152,'SegEnds_NonXtal_Prot#'!$A:$AL,35,FALSE)</f>
        <v>327</v>
      </c>
      <c r="AO152" s="5">
        <f>VLOOKUP($A152,'SegEnds_NonXtal_Prot#'!$A:$AL,38,FALSE)</f>
        <v>340</v>
      </c>
      <c r="AP152" s="5">
        <f t="shared" si="63"/>
        <v>36</v>
      </c>
      <c r="AQ152" s="4">
        <f t="shared" si="64"/>
        <v>3</v>
      </c>
      <c r="AR152" s="4">
        <f t="shared" si="65"/>
        <v>29</v>
      </c>
      <c r="AS152" s="4">
        <f t="shared" si="66"/>
        <v>3</v>
      </c>
      <c r="AT152" s="4">
        <f t="shared" si="67"/>
        <v>34</v>
      </c>
      <c r="AU152" s="4">
        <f t="shared" si="68"/>
        <v>7</v>
      </c>
      <c r="AV152" s="4">
        <f t="shared" si="69"/>
        <v>26</v>
      </c>
      <c r="AW152" s="4">
        <f t="shared" si="70"/>
        <v>2</v>
      </c>
      <c r="AX152" s="4">
        <f t="shared" si="71"/>
        <v>34</v>
      </c>
      <c r="AY152" s="4">
        <f t="shared" si="72"/>
        <v>40</v>
      </c>
      <c r="AZ152" s="4">
        <f t="shared" si="73"/>
        <v>32</v>
      </c>
      <c r="BA152" s="4">
        <f t="shared" si="74"/>
        <v>12</v>
      </c>
    </row>
    <row r="153" spans="1:53" x14ac:dyDescent="0.2">
      <c r="A153" s="1" t="str">
        <f>'SegEnds_NonXtal_Prot#'!A128</f>
        <v>gpr1_human</v>
      </c>
      <c r="B153" s="1" t="str">
        <f t="shared" si="50"/>
        <v>LGVVHWVSLVLYCLAFVLGIPGNAIVIWFTGFKTVTTLWFLNLAIADFIFLLFLPLYISYVAMGIWLCKANSFTAQLNMFASVFFLTVISLDHYIHLIHTLKNSLIVIIFIWLLASLIGGPALYFRRHHVLTWVKFIIGYLFPLLTMSICYLCLIFKVKKRSSRHFWTILVVVVAFVVCWTPYHLFSIWELTIHHVMQAGIPLSTGLAFLNSCLNPILYVLISKKFQARFRSSVAEI</v>
      </c>
      <c r="C153" s="29" t="str">
        <f>IF(ISERROR(MATCH(A153,'SegEnds_Xtal_Prot#'!B:B, 0)), "NoXtal", "Xtal")</f>
        <v>NoXtal</v>
      </c>
      <c r="D153" s="4" t="str">
        <f>VLOOKUP(A153,Classification!A:D,2,FALSE)</f>
        <v>A</v>
      </c>
      <c r="E153" s="5" t="str">
        <f>VLOOKUP(A153,Seqs!A:B,2,FALSE)</f>
        <v>MEDLEETLFEEFENYSYDLDYYSLESDLEEKVQLGVVHWVSLVLYCLAFVLGIPGNAIVIWFTGFKWKKTVTTLWFLNLAIADFIFLLFLPLYISYVAMNFHWPFGIWLCKANSFTAQLNMFASVFFLTVISLDHYIHLIHPVLSHRHRTLKNSLIVIIFIWLLASLIGGPALYFRDTVEFNNHTLCYNNFQKHDPDLTLIRHHVLTWVKFIIGYLFPLLTMSICYLCLIFKVKKRSILISSRHFWTILVVVVAFVVCWTPYHLFSIWELTIHHNSYSHHVMQAGIPLSTGLAFLNSCLNPILYVLISKKFQARFRSSVAEILKYTLWEVSCSGTVSEQLRNSETKNLCLLETAQ</v>
      </c>
      <c r="F153" s="5" t="str">
        <f t="shared" si="51"/>
        <v>LGVVHWVSLVLYCLAFVLGIPGNAIVIWFTGFK</v>
      </c>
      <c r="G153" s="4" t="str">
        <f t="shared" si="52"/>
        <v/>
      </c>
      <c r="H153" s="4" t="str">
        <f t="shared" si="53"/>
        <v>TVTTLWFLNLAIADFIFLLFLPLYISYVAM</v>
      </c>
      <c r="I153" s="4" t="str">
        <f t="shared" si="54"/>
        <v>HWPF</v>
      </c>
      <c r="J153" s="4" t="str">
        <f t="shared" si="55"/>
        <v>GIWLCKANSFTAQLNMFASVFFLTVISLDHYIHLIH</v>
      </c>
      <c r="K153" s="4" t="str">
        <f t="shared" si="56"/>
        <v>PVLSHRHR</v>
      </c>
      <c r="L153" s="4" t="str">
        <f t="shared" si="57"/>
        <v>TLKNSLIVIIFIWLLASLIGGPALYFR</v>
      </c>
      <c r="M153" s="4" t="str">
        <f t="shared" si="58"/>
        <v>CYN</v>
      </c>
      <c r="N153" s="4" t="str">
        <f t="shared" si="59"/>
        <v>RHHVLTWVKFIIGYLFPLLTMSICYLCLIFKVKKR</v>
      </c>
      <c r="O153" s="4" t="str">
        <f t="shared" si="60"/>
        <v>SSRHFWTILVVVVAFVVCWTPYHLFSIWELTI</v>
      </c>
      <c r="P153" s="4" t="str">
        <f t="shared" si="61"/>
        <v>HHVMQAGIPLSTGLAFLNSCLNPILYVLI</v>
      </c>
      <c r="Q153" s="4" t="str">
        <f t="shared" si="62"/>
        <v>SKKFQARFRSSVAEI</v>
      </c>
      <c r="R153" s="5">
        <f>VLOOKUP($A153,'SegEnds_NonXtal_Prot#'!$A:$AL,3,FALSE)</f>
        <v>34</v>
      </c>
      <c r="S153" s="5" t="str">
        <f>VLOOKUP($A153,'SegEnds_NonXtal_Prot#'!$A:$AL,6,FALSE)</f>
        <v>-</v>
      </c>
      <c r="T153" s="5">
        <f>VLOOKUP($A153,'SegEnds_NonXtal_Prot#'!$A:$AL,9,FALSE)</f>
        <v>70</v>
      </c>
      <c r="U153" s="5">
        <f>VLOOKUP($A153,'SegEnds_NonXtal_Prot#'!$A:$AL,12,FALSE)</f>
        <v>102</v>
      </c>
      <c r="V153" s="5">
        <f>VLOOKUP($A153,'SegEnds_NonXtal_Prot#'!$A:$AL,15,FALSE)</f>
        <v>106</v>
      </c>
      <c r="W153" s="5">
        <f>VLOOKUP($A153,'SegEnds_NonXtal_Prot#'!$A:$AL,18,FALSE)</f>
        <v>142</v>
      </c>
      <c r="X153" s="5">
        <f>VLOOKUP($A153,'SegEnds_NonXtal_Prot#'!$A:$AL,21,FALSE)</f>
        <v>150</v>
      </c>
      <c r="Y153" s="5">
        <f>VLOOKUP($A153,'SegEnds_NonXtal_Prot#'!$A:$AL,24,FALSE)</f>
        <v>187</v>
      </c>
      <c r="Z153" s="5">
        <f>VLOOKUP($A153,'SegEnds_NonXtal_Prot#'!$A:$AL,27,FALSE)</f>
        <v>202</v>
      </c>
      <c r="AA153" s="5">
        <f>VLOOKUP($A153,'SegEnds_NonXtal_Prot#'!$A:$AL,30,FALSE)</f>
        <v>241</v>
      </c>
      <c r="AB153" s="5">
        <f>VLOOKUP($A153,'SegEnds_NonXtal_Prot#'!$A:$AL,33,FALSE)</f>
        <v>279</v>
      </c>
      <c r="AC153" s="5">
        <f>VLOOKUP($A153,'SegEnds_NonXtal_Prot#'!$A:$AL,36,FALSE)</f>
        <v>308</v>
      </c>
      <c r="AD153" s="5">
        <f>VLOOKUP($A153,'SegEnds_NonXtal_Prot#'!$A:$AL,5,FALSE)</f>
        <v>66</v>
      </c>
      <c r="AE153" s="5" t="str">
        <f>VLOOKUP($A153,'SegEnds_NonXtal_Prot#'!$A:$AL,8,FALSE)</f>
        <v>-</v>
      </c>
      <c r="AF153" s="5">
        <f>VLOOKUP($A153,'SegEnds_NonXtal_Prot#'!$A:$AL,11,FALSE)</f>
        <v>99</v>
      </c>
      <c r="AG153" s="5">
        <f>VLOOKUP($A153,'SegEnds_NonXtal_Prot#'!$A:$AL,14,FALSE)</f>
        <v>105</v>
      </c>
      <c r="AH153" s="5">
        <f>VLOOKUP($A153,'SegEnds_NonXtal_Prot#'!$A:$AL,17,FALSE)</f>
        <v>141</v>
      </c>
      <c r="AI153" s="5">
        <f>VLOOKUP($A153,'SegEnds_NonXtal_Prot#'!$A:$AL,20,FALSE)</f>
        <v>149</v>
      </c>
      <c r="AJ153" s="5">
        <f>VLOOKUP($A153,'SegEnds_NonXtal_Prot#'!$A:$AL,23,FALSE)</f>
        <v>176</v>
      </c>
      <c r="AK153" s="5">
        <f>VLOOKUP($A153,'SegEnds_NonXtal_Prot#'!$A:$AL,26,FALSE)</f>
        <v>189</v>
      </c>
      <c r="AL153" s="5">
        <f>VLOOKUP($A153,'SegEnds_NonXtal_Prot#'!$A:$AL,29,FALSE)</f>
        <v>236</v>
      </c>
      <c r="AM153" s="5">
        <f>VLOOKUP($A153,'SegEnds_NonXtal_Prot#'!$A:$AL,32,FALSE)</f>
        <v>272</v>
      </c>
      <c r="AN153" s="5">
        <f>VLOOKUP($A153,'SegEnds_NonXtal_Prot#'!$A:$AL,35,FALSE)</f>
        <v>307</v>
      </c>
      <c r="AO153" s="5">
        <f>VLOOKUP($A153,'SegEnds_NonXtal_Prot#'!$A:$AL,38,FALSE)</f>
        <v>322</v>
      </c>
      <c r="AP153" s="5">
        <f t="shared" si="63"/>
        <v>32</v>
      </c>
      <c r="AQ153" s="4" t="str">
        <f t="shared" si="64"/>
        <v>-</v>
      </c>
      <c r="AR153" s="4">
        <f t="shared" si="65"/>
        <v>29</v>
      </c>
      <c r="AS153" s="4">
        <f t="shared" si="66"/>
        <v>3</v>
      </c>
      <c r="AT153" s="4">
        <f t="shared" si="67"/>
        <v>35</v>
      </c>
      <c r="AU153" s="4">
        <f t="shared" si="68"/>
        <v>7</v>
      </c>
      <c r="AV153" s="4">
        <f t="shared" si="69"/>
        <v>26</v>
      </c>
      <c r="AW153" s="4">
        <f t="shared" si="70"/>
        <v>2</v>
      </c>
      <c r="AX153" s="4">
        <f t="shared" si="71"/>
        <v>34</v>
      </c>
      <c r="AY153" s="4">
        <f t="shared" si="72"/>
        <v>31</v>
      </c>
      <c r="AZ153" s="4">
        <f t="shared" si="73"/>
        <v>28</v>
      </c>
      <c r="BA153" s="4">
        <f t="shared" si="74"/>
        <v>14</v>
      </c>
    </row>
    <row r="154" spans="1:53" x14ac:dyDescent="0.2">
      <c r="A154" s="1" t="str">
        <f>'SegEnds_NonXtal_Prot#'!A129</f>
        <v>gpr12_human</v>
      </c>
      <c r="B154" s="1" t="str">
        <f t="shared" si="50"/>
        <v>LVVNPWDIVLCTSGTLISCENAIVVLIIFHNAPMFLLIGSLALADLLAGIGLITNFVQSEATKLVTIGLIVASFSASVCSLLAITVDRYLSLYYTVTFTYVMLVMLWGTSICLGLLPVMGTKNNAAILSVSFLFMFALMLQLYIQICKIVMRHAHQIALATSHYVTTRKGVSTLAIILGTFAACWMPFTLYSLIADYTYTYATLLPATYNSIINPVIYAFRNQEIQKALCLICC</v>
      </c>
      <c r="C154" s="29" t="str">
        <f>IF(ISERROR(MATCH(A154,'SegEnds_Xtal_Prot#'!B:B, 0)), "NoXtal", "Xtal")</f>
        <v>NoXtal</v>
      </c>
      <c r="D154" s="4" t="str">
        <f>VLOOKUP(A154,Classification!A:D,2,FALSE)</f>
        <v>A</v>
      </c>
      <c r="E154" s="5" t="str">
        <f>VLOOKUP(A154,Seqs!A:B,2,FALSE)</f>
        <v>MNEDLKVNLSGLPRDYLDAAAAENISAAVSSRVPAVEPEPELVVNPWDIVLCTSGTLISCENAIVVLIIFHNPSLRAPMFLLIGSLALADLLAGIGLITNFVFAYLLQSEATKLVTIGLIVASFSASVCSLLAITVDRYLSLYYALTYHSERTVTFTYVMLVMLWGTSICLGLLPVMGWNCLRDESTCSVVRPLTKNNAAILSVSFLFMFALMLQLYIQICKIVMRHAHQIALQHHFLATSHYVTTRKGVSTLAIILGTFAACWMPFTLYSLIADYTYPSIYTYATLLPATYNSIINPVIYAFRNQEIQKALCLICCGCIPSSLAQRARSPSDV</v>
      </c>
      <c r="F154" s="5" t="str">
        <f t="shared" si="51"/>
        <v>LVVNPWDIVLCTSGTLISCENAIVVLIIFHN</v>
      </c>
      <c r="G154" s="4" t="str">
        <f t="shared" si="52"/>
        <v/>
      </c>
      <c r="H154" s="4" t="str">
        <f t="shared" si="53"/>
        <v>APMFLLIGSLALADLLAGIGLITNFV</v>
      </c>
      <c r="I154" s="4" t="str">
        <f t="shared" si="54"/>
        <v>AYLL</v>
      </c>
      <c r="J154" s="4" t="str">
        <f t="shared" si="55"/>
        <v>QSEATKLVTIGLIVASFSASVCSLLAITVDRYLSLYY</v>
      </c>
      <c r="K154" s="4" t="str">
        <f t="shared" si="56"/>
        <v>ALTYHSER</v>
      </c>
      <c r="L154" s="4" t="str">
        <f t="shared" si="57"/>
        <v>TVTFTYVMLVMLWGTSICLGLLPVMG</v>
      </c>
      <c r="M154" s="4" t="str">
        <f t="shared" si="58"/>
        <v/>
      </c>
      <c r="N154" s="4" t="str">
        <f t="shared" si="59"/>
        <v>TKNNAAILSVSFLFMFALMLQLYIQICKIVMRHAHQIA</v>
      </c>
      <c r="O154" s="4" t="str">
        <f t="shared" si="60"/>
        <v>LATSHYVTTRKGVSTLAIILGTFAACWMPFTLYSLIADYT</v>
      </c>
      <c r="P154" s="4" t="str">
        <f t="shared" si="61"/>
        <v>YTYATLLPATYNSIINPVIYAFR</v>
      </c>
      <c r="Q154" s="4" t="str">
        <f t="shared" si="62"/>
        <v>NQEIQKALCLICC</v>
      </c>
      <c r="R154" s="5">
        <f>VLOOKUP($A154,'SegEnds_NonXtal_Prot#'!$A:$AL,3,FALSE)</f>
        <v>42</v>
      </c>
      <c r="S154" s="5" t="str">
        <f>VLOOKUP($A154,'SegEnds_NonXtal_Prot#'!$A:$AL,6,FALSE)</f>
        <v>-</v>
      </c>
      <c r="T154" s="5">
        <f>VLOOKUP($A154,'SegEnds_NonXtal_Prot#'!$A:$AL,9,FALSE)</f>
        <v>77</v>
      </c>
      <c r="U154" s="5">
        <f>VLOOKUP($A154,'SegEnds_NonXtal_Prot#'!$A:$AL,12,FALSE)</f>
        <v>104</v>
      </c>
      <c r="V154" s="5">
        <f>VLOOKUP($A154,'SegEnds_NonXtal_Prot#'!$A:$AL,15,FALSE)</f>
        <v>108</v>
      </c>
      <c r="W154" s="5">
        <f>VLOOKUP($A154,'SegEnds_NonXtal_Prot#'!$A:$AL,18,FALSE)</f>
        <v>145</v>
      </c>
      <c r="X154" s="5">
        <f>VLOOKUP($A154,'SegEnds_NonXtal_Prot#'!$A:$AL,21,FALSE)</f>
        <v>153</v>
      </c>
      <c r="Y154" s="5" t="str">
        <f>VLOOKUP($A154,'SegEnds_NonXtal_Prot#'!$A:$AL,24,FALSE)</f>
        <v>-</v>
      </c>
      <c r="Z154" s="5">
        <f>VLOOKUP($A154,'SegEnds_NonXtal_Prot#'!$A:$AL,27,FALSE)</f>
        <v>195</v>
      </c>
      <c r="AA154" s="5">
        <f>VLOOKUP($A154,'SegEnds_NonXtal_Prot#'!$A:$AL,30,FALSE)</f>
        <v>238</v>
      </c>
      <c r="AB154" s="5">
        <f>VLOOKUP($A154,'SegEnds_NonXtal_Prot#'!$A:$AL,33,FALSE)</f>
        <v>282</v>
      </c>
      <c r="AC154" s="5">
        <f>VLOOKUP($A154,'SegEnds_NonXtal_Prot#'!$A:$AL,36,FALSE)</f>
        <v>305</v>
      </c>
      <c r="AD154" s="5">
        <f>VLOOKUP($A154,'SegEnds_NonXtal_Prot#'!$A:$AL,5,FALSE)</f>
        <v>72</v>
      </c>
      <c r="AE154" s="5" t="str">
        <f>VLOOKUP($A154,'SegEnds_NonXtal_Prot#'!$A:$AL,8,FALSE)</f>
        <v>-</v>
      </c>
      <c r="AF154" s="5">
        <f>VLOOKUP($A154,'SegEnds_NonXtal_Prot#'!$A:$AL,11,FALSE)</f>
        <v>102</v>
      </c>
      <c r="AG154" s="5">
        <f>VLOOKUP($A154,'SegEnds_NonXtal_Prot#'!$A:$AL,14,FALSE)</f>
        <v>107</v>
      </c>
      <c r="AH154" s="5">
        <f>VLOOKUP($A154,'SegEnds_NonXtal_Prot#'!$A:$AL,17,FALSE)</f>
        <v>144</v>
      </c>
      <c r="AI154" s="5">
        <f>VLOOKUP($A154,'SegEnds_NonXtal_Prot#'!$A:$AL,20,FALSE)</f>
        <v>152</v>
      </c>
      <c r="AJ154" s="5">
        <f>VLOOKUP($A154,'SegEnds_NonXtal_Prot#'!$A:$AL,23,FALSE)</f>
        <v>178</v>
      </c>
      <c r="AK154" s="5" t="str">
        <f>VLOOKUP($A154,'SegEnds_NonXtal_Prot#'!$A:$AL,26,FALSE)</f>
        <v>-</v>
      </c>
      <c r="AL154" s="5">
        <f>VLOOKUP($A154,'SegEnds_NonXtal_Prot#'!$A:$AL,29,FALSE)</f>
        <v>232</v>
      </c>
      <c r="AM154" s="5">
        <f>VLOOKUP($A154,'SegEnds_NonXtal_Prot#'!$A:$AL,32,FALSE)</f>
        <v>277</v>
      </c>
      <c r="AN154" s="5">
        <f>VLOOKUP($A154,'SegEnds_NonXtal_Prot#'!$A:$AL,35,FALSE)</f>
        <v>304</v>
      </c>
      <c r="AO154" s="5">
        <f>VLOOKUP($A154,'SegEnds_NonXtal_Prot#'!$A:$AL,38,FALSE)</f>
        <v>317</v>
      </c>
      <c r="AP154" s="5">
        <f t="shared" si="63"/>
        <v>30</v>
      </c>
      <c r="AQ154" s="4" t="str">
        <f t="shared" si="64"/>
        <v>-</v>
      </c>
      <c r="AR154" s="4">
        <f t="shared" si="65"/>
        <v>25</v>
      </c>
      <c r="AS154" s="4">
        <f t="shared" si="66"/>
        <v>3</v>
      </c>
      <c r="AT154" s="4">
        <f t="shared" si="67"/>
        <v>36</v>
      </c>
      <c r="AU154" s="4">
        <f t="shared" si="68"/>
        <v>7</v>
      </c>
      <c r="AV154" s="4">
        <f t="shared" si="69"/>
        <v>25</v>
      </c>
      <c r="AW154" s="4" t="str">
        <f t="shared" si="70"/>
        <v>-</v>
      </c>
      <c r="AX154" s="4">
        <f t="shared" si="71"/>
        <v>37</v>
      </c>
      <c r="AY154" s="4">
        <f t="shared" si="72"/>
        <v>39</v>
      </c>
      <c r="AZ154" s="4">
        <f t="shared" si="73"/>
        <v>22</v>
      </c>
      <c r="BA154" s="4">
        <f t="shared" si="74"/>
        <v>12</v>
      </c>
    </row>
    <row r="155" spans="1:53" x14ac:dyDescent="0.2">
      <c r="A155" s="1" t="str">
        <f>'SegEnds_NonXtal_Prot#'!A130</f>
        <v>gpr15_human</v>
      </c>
      <c r="B155" s="1" t="str">
        <f t="shared" si="50"/>
        <v>VPYTSVFLPVFYTAVFLTGVLGNLVLMGALHFKRLIDIFIINLAASDFIFLVTLPLWVDKEASGSFLCKGSSYMISVNMHCSVLLLTCMSVDRYLAIVWRTDCAYVVCASIWFISCLLGLPTLLSRIKLIWSLVALIFTFFVPLLSIVTCYCCIARKLCAHGKHNKKLKKSIKIIFIVVAAFLVSWLPFNTFKFLAIVSHYLPSAILQLGMEVSGPLAFANSCVNPFIYYIFDSYIRRAIVHCLCPC</v>
      </c>
      <c r="C155" s="29" t="str">
        <f>IF(ISERROR(MATCH(A155,'SegEnds_Xtal_Prot#'!B:B, 0)), "NoXtal", "Xtal")</f>
        <v>NoXtal</v>
      </c>
      <c r="D155" s="4" t="str">
        <f>VLOOKUP(A155,Classification!A:D,2,FALSE)</f>
        <v>A</v>
      </c>
      <c r="E155" s="5" t="str">
        <f>VLOOKUP(A155,Seqs!A:B,2,FALSE)</f>
        <v>MDPEETSVYLDYYYATSPNSDIRETHSHVPYTSVFLPVFYTAVFLTGVLGNLVLMGALHFKPGSRRLIDIFIINLAASDFIFLVTLPLWVDKEASLGLWRTGSFLCKGSSYMISVNMHCSVLLLTCMSVDRYLAIVWPVVSRKFRRTDCAYVVCASIWFISCLLGLPTLLSRELTLIDDKPYCAEKKATPIKLIWSLVALIFTFFVPLLSIVTCYCCIARKLCAHYQQSGKHNKKLKKSIKIIFIVVAAFLVSWLPFNTFKFLAIVSGLRQEHYLPSAILQLGMEVSGPLAFANSCVNPFIYYIFDSYIRRAIVHCLCPCLKNYDFGSSTETSDSHLTKALSTFIHAEDFARRRKRSVSL</v>
      </c>
      <c r="F155" s="5" t="str">
        <f t="shared" si="51"/>
        <v>VPYTSVFLPVFYTAVFLTGVLGNLVLMGALHFK</v>
      </c>
      <c r="G155" s="4" t="str">
        <f t="shared" si="52"/>
        <v/>
      </c>
      <c r="H155" s="4" t="str">
        <f t="shared" si="53"/>
        <v>RLIDIFIINLAASDFIFLVTLPLWVDKEAS</v>
      </c>
      <c r="I155" s="4" t="str">
        <f t="shared" si="54"/>
        <v>LWRT</v>
      </c>
      <c r="J155" s="4" t="str">
        <f t="shared" si="55"/>
        <v>GSFLCKGSSYMISVNMHCSVLLLTCMSVDRYLAIVW</v>
      </c>
      <c r="K155" s="4" t="str">
        <f t="shared" si="56"/>
        <v>PVVSRKFR</v>
      </c>
      <c r="L155" s="4" t="str">
        <f t="shared" si="57"/>
        <v>RTDCAYVVCASIWFISCLLGLPTLLSR</v>
      </c>
      <c r="M155" s="4" t="str">
        <f t="shared" si="58"/>
        <v>CAE</v>
      </c>
      <c r="N155" s="4" t="str">
        <f t="shared" si="59"/>
        <v>IKLIWSLVALIFTFFVPLLSIVTCYCCIARKLCAH</v>
      </c>
      <c r="O155" s="4" t="str">
        <f t="shared" si="60"/>
        <v>GKHNKKLKKSIKIIFIVVAAFLVSWLPFNTFKFLAIVS</v>
      </c>
      <c r="P155" s="4" t="str">
        <f t="shared" si="61"/>
        <v>HYLPSAILQLGMEVSGPLAFANSCVNPFIYYIF</v>
      </c>
      <c r="Q155" s="4" t="str">
        <f t="shared" si="62"/>
        <v>DSYIRRAIVHCLCPC</v>
      </c>
      <c r="R155" s="5">
        <f>VLOOKUP($A155,'SegEnds_NonXtal_Prot#'!$A:$AL,3,FALSE)</f>
        <v>29</v>
      </c>
      <c r="S155" s="5" t="str">
        <f>VLOOKUP($A155,'SegEnds_NonXtal_Prot#'!$A:$AL,6,FALSE)</f>
        <v>-</v>
      </c>
      <c r="T155" s="5">
        <f>VLOOKUP($A155,'SegEnds_NonXtal_Prot#'!$A:$AL,9,FALSE)</f>
        <v>66</v>
      </c>
      <c r="U155" s="5">
        <f>VLOOKUP($A155,'SegEnds_NonXtal_Prot#'!$A:$AL,12,FALSE)</f>
        <v>98</v>
      </c>
      <c r="V155" s="5">
        <f>VLOOKUP($A155,'SegEnds_NonXtal_Prot#'!$A:$AL,15,FALSE)</f>
        <v>102</v>
      </c>
      <c r="W155" s="5">
        <f>VLOOKUP($A155,'SegEnds_NonXtal_Prot#'!$A:$AL,18,FALSE)</f>
        <v>138</v>
      </c>
      <c r="X155" s="5">
        <f>VLOOKUP($A155,'SegEnds_NonXtal_Prot#'!$A:$AL,21,FALSE)</f>
        <v>146</v>
      </c>
      <c r="Y155" s="5">
        <f>VLOOKUP($A155,'SegEnds_NonXtal_Prot#'!$A:$AL,24,FALSE)</f>
        <v>183</v>
      </c>
      <c r="Z155" s="5">
        <f>VLOOKUP($A155,'SegEnds_NonXtal_Prot#'!$A:$AL,27,FALSE)</f>
        <v>191</v>
      </c>
      <c r="AA155" s="5">
        <f>VLOOKUP($A155,'SegEnds_NonXtal_Prot#'!$A:$AL,30,FALSE)</f>
        <v>230</v>
      </c>
      <c r="AB155" s="5">
        <f>VLOOKUP($A155,'SegEnds_NonXtal_Prot#'!$A:$AL,33,FALSE)</f>
        <v>273</v>
      </c>
      <c r="AC155" s="5">
        <f>VLOOKUP($A155,'SegEnds_NonXtal_Prot#'!$A:$AL,36,FALSE)</f>
        <v>306</v>
      </c>
      <c r="AD155" s="5">
        <f>VLOOKUP($A155,'SegEnds_NonXtal_Prot#'!$A:$AL,5,FALSE)</f>
        <v>61</v>
      </c>
      <c r="AE155" s="5" t="str">
        <f>VLOOKUP($A155,'SegEnds_NonXtal_Prot#'!$A:$AL,8,FALSE)</f>
        <v>-</v>
      </c>
      <c r="AF155" s="5">
        <f>VLOOKUP($A155,'SegEnds_NonXtal_Prot#'!$A:$AL,11,FALSE)</f>
        <v>95</v>
      </c>
      <c r="AG155" s="5">
        <f>VLOOKUP($A155,'SegEnds_NonXtal_Prot#'!$A:$AL,14,FALSE)</f>
        <v>101</v>
      </c>
      <c r="AH155" s="5">
        <f>VLOOKUP($A155,'SegEnds_NonXtal_Prot#'!$A:$AL,17,FALSE)</f>
        <v>137</v>
      </c>
      <c r="AI155" s="5">
        <f>VLOOKUP($A155,'SegEnds_NonXtal_Prot#'!$A:$AL,20,FALSE)</f>
        <v>145</v>
      </c>
      <c r="AJ155" s="5">
        <f>VLOOKUP($A155,'SegEnds_NonXtal_Prot#'!$A:$AL,23,FALSE)</f>
        <v>172</v>
      </c>
      <c r="AK155" s="5">
        <f>VLOOKUP($A155,'SegEnds_NonXtal_Prot#'!$A:$AL,26,FALSE)</f>
        <v>185</v>
      </c>
      <c r="AL155" s="5">
        <f>VLOOKUP($A155,'SegEnds_NonXtal_Prot#'!$A:$AL,29,FALSE)</f>
        <v>225</v>
      </c>
      <c r="AM155" s="5">
        <f>VLOOKUP($A155,'SegEnds_NonXtal_Prot#'!$A:$AL,32,FALSE)</f>
        <v>267</v>
      </c>
      <c r="AN155" s="5">
        <f>VLOOKUP($A155,'SegEnds_NonXtal_Prot#'!$A:$AL,35,FALSE)</f>
        <v>305</v>
      </c>
      <c r="AO155" s="5">
        <f>VLOOKUP($A155,'SegEnds_NonXtal_Prot#'!$A:$AL,38,FALSE)</f>
        <v>320</v>
      </c>
      <c r="AP155" s="5">
        <f t="shared" si="63"/>
        <v>32</v>
      </c>
      <c r="AQ155" s="4" t="str">
        <f t="shared" si="64"/>
        <v>-</v>
      </c>
      <c r="AR155" s="4">
        <f t="shared" si="65"/>
        <v>29</v>
      </c>
      <c r="AS155" s="4">
        <f t="shared" si="66"/>
        <v>3</v>
      </c>
      <c r="AT155" s="4">
        <f t="shared" si="67"/>
        <v>35</v>
      </c>
      <c r="AU155" s="4">
        <f t="shared" si="68"/>
        <v>7</v>
      </c>
      <c r="AV155" s="4">
        <f t="shared" si="69"/>
        <v>26</v>
      </c>
      <c r="AW155" s="4">
        <f t="shared" si="70"/>
        <v>2</v>
      </c>
      <c r="AX155" s="4">
        <f t="shared" si="71"/>
        <v>34</v>
      </c>
      <c r="AY155" s="4">
        <f t="shared" si="72"/>
        <v>37</v>
      </c>
      <c r="AZ155" s="4">
        <f t="shared" si="73"/>
        <v>32</v>
      </c>
      <c r="BA155" s="4">
        <f t="shared" si="74"/>
        <v>14</v>
      </c>
    </row>
    <row r="156" spans="1:53" x14ac:dyDescent="0.2">
      <c r="A156" s="1" t="str">
        <f>'SegEnds_NonXtal_Prot#'!A131</f>
        <v>gpr17_human</v>
      </c>
      <c r="B156" s="1" t="str">
        <f t="shared" si="50"/>
        <v>MLFASFYLLDFILALVGNTLALWLFIRDTPANVFLMHLAVADLSCVLVLPTRLVYHFSGGEIACRLTGFLFYLNMYASIYFLTCISADRFLAIVHRPLYAHLACAFLWVVVAVAMAPLLVSPLYREKASHHALVSLAVAFTFPFITTVTCYLLIIRSLRQEKRLKTKAVRMIAIVLAIFLVCFVPYHVNRSVYVLHYRSSCATQRILALANRITSCLTSLNGALDPIMYFFVAEKFRHALCNLLCGK</v>
      </c>
      <c r="C156" s="29" t="str">
        <f>IF(ISERROR(MATCH(A156,'SegEnds_Xtal_Prot#'!B:B, 0)), "NoXtal", "Xtal")</f>
        <v>NoXtal</v>
      </c>
      <c r="D156" s="4" t="str">
        <f>VLOOKUP(A156,Classification!A:D,2,FALSE)</f>
        <v>A</v>
      </c>
      <c r="E156" s="5" t="str">
        <f>VLOOKUP(A156,Seqs!A:B,2,FALSE)</f>
        <v>MSKRSWWAGSRKPPREMLKLSGSDSSQSMNGLEVAPPGLITNFSLATAEQCGQETPLENMLFASFYLLDFILALVGNTLALWLFIRDHKSGTPANVFLMHLAVADLSCVLVLPTRLVYHFSGNHWPFGEIACRLTGFLFYLNMYASIYFLTCISADRFLAIVHPVKSLKLRRPLYAHLACAFLWVVVAVAMAPLLVSPQTVQTNHTVVCLQLYREKASHHALVSLAVAFTFPFITTVTCYLLIIRSLRQGLRVEKRLKTKAVRMIAIVLAIFLVCFVPYHVNRSVYVLHYRSHGASCATQRILALANRITSCLTSLNGALDPIMYFFVAEKFRHALCNLLCGKRLKGPPPSFEGKTNESSLSAKSEL</v>
      </c>
      <c r="F156" s="5" t="str">
        <f t="shared" si="51"/>
        <v>MLFASFYLLDFILALVGNTLALWLFIRD</v>
      </c>
      <c r="G156" s="4" t="str">
        <f t="shared" si="52"/>
        <v/>
      </c>
      <c r="H156" s="4" t="str">
        <f t="shared" si="53"/>
        <v>TPANVFLMHLAVADLSCVLVLPTRLVYHFSG</v>
      </c>
      <c r="I156" s="4" t="str">
        <f t="shared" si="54"/>
        <v>HWPF</v>
      </c>
      <c r="J156" s="4" t="str">
        <f t="shared" si="55"/>
        <v>GEIACRLTGFLFYLNMYASIYFLTCISADRFLAIVH</v>
      </c>
      <c r="K156" s="4" t="str">
        <f t="shared" si="56"/>
        <v>PVKSLKLR</v>
      </c>
      <c r="L156" s="4" t="str">
        <f t="shared" si="57"/>
        <v>RPLYAHLACAFLWVVVAVAMAPLLVSP</v>
      </c>
      <c r="M156" s="4" t="str">
        <f t="shared" si="58"/>
        <v>CLQ</v>
      </c>
      <c r="N156" s="4" t="str">
        <f t="shared" si="59"/>
        <v>LYREKASHHALVSLAVAFTFPFITTVTCYLLIIRSLRQ</v>
      </c>
      <c r="O156" s="4" t="str">
        <f t="shared" si="60"/>
        <v>EKRLKTKAVRMIAIVLAIFLVCFVPYHVNRSVYVLHYRS</v>
      </c>
      <c r="P156" s="4" t="str">
        <f t="shared" si="61"/>
        <v>SCATQRILALANRITSCLTSLNGALDPIMYFFV</v>
      </c>
      <c r="Q156" s="4" t="str">
        <f t="shared" si="62"/>
        <v>AEKFRHALCNLLCGK</v>
      </c>
      <c r="R156" s="5">
        <f>VLOOKUP($A156,'SegEnds_NonXtal_Prot#'!$A:$AL,3,FALSE)</f>
        <v>60</v>
      </c>
      <c r="S156" s="5" t="str">
        <f>VLOOKUP($A156,'SegEnds_NonXtal_Prot#'!$A:$AL,6,FALSE)</f>
        <v>-</v>
      </c>
      <c r="T156" s="5">
        <f>VLOOKUP($A156,'SegEnds_NonXtal_Prot#'!$A:$AL,9,FALSE)</f>
        <v>92</v>
      </c>
      <c r="U156" s="5">
        <f>VLOOKUP($A156,'SegEnds_NonXtal_Prot#'!$A:$AL,12,FALSE)</f>
        <v>124</v>
      </c>
      <c r="V156" s="5">
        <f>VLOOKUP($A156,'SegEnds_NonXtal_Prot#'!$A:$AL,15,FALSE)</f>
        <v>128</v>
      </c>
      <c r="W156" s="5">
        <f>VLOOKUP($A156,'SegEnds_NonXtal_Prot#'!$A:$AL,18,FALSE)</f>
        <v>164</v>
      </c>
      <c r="X156" s="5">
        <f>VLOOKUP($A156,'SegEnds_NonXtal_Prot#'!$A:$AL,21,FALSE)</f>
        <v>172</v>
      </c>
      <c r="Y156" s="5">
        <f>VLOOKUP($A156,'SegEnds_NonXtal_Prot#'!$A:$AL,24,FALSE)</f>
        <v>209</v>
      </c>
      <c r="Z156" s="5">
        <f>VLOOKUP($A156,'SegEnds_NonXtal_Prot#'!$A:$AL,27,FALSE)</f>
        <v>212</v>
      </c>
      <c r="AA156" s="5">
        <f>VLOOKUP($A156,'SegEnds_NonXtal_Prot#'!$A:$AL,30,FALSE)</f>
        <v>254</v>
      </c>
      <c r="AB156" s="5">
        <f>VLOOKUP($A156,'SegEnds_NonXtal_Prot#'!$A:$AL,33,FALSE)</f>
        <v>296</v>
      </c>
      <c r="AC156" s="5">
        <f>VLOOKUP($A156,'SegEnds_NonXtal_Prot#'!$A:$AL,36,FALSE)</f>
        <v>329</v>
      </c>
      <c r="AD156" s="5">
        <f>VLOOKUP($A156,'SegEnds_NonXtal_Prot#'!$A:$AL,5,FALSE)</f>
        <v>87</v>
      </c>
      <c r="AE156" s="5" t="str">
        <f>VLOOKUP($A156,'SegEnds_NonXtal_Prot#'!$A:$AL,8,FALSE)</f>
        <v>-</v>
      </c>
      <c r="AF156" s="5">
        <f>VLOOKUP($A156,'SegEnds_NonXtal_Prot#'!$A:$AL,11,FALSE)</f>
        <v>122</v>
      </c>
      <c r="AG156" s="5">
        <f>VLOOKUP($A156,'SegEnds_NonXtal_Prot#'!$A:$AL,14,FALSE)</f>
        <v>127</v>
      </c>
      <c r="AH156" s="5">
        <f>VLOOKUP($A156,'SegEnds_NonXtal_Prot#'!$A:$AL,17,FALSE)</f>
        <v>163</v>
      </c>
      <c r="AI156" s="5">
        <f>VLOOKUP($A156,'SegEnds_NonXtal_Prot#'!$A:$AL,20,FALSE)</f>
        <v>171</v>
      </c>
      <c r="AJ156" s="5">
        <f>VLOOKUP($A156,'SegEnds_NonXtal_Prot#'!$A:$AL,23,FALSE)</f>
        <v>198</v>
      </c>
      <c r="AK156" s="5">
        <f>VLOOKUP($A156,'SegEnds_NonXtal_Prot#'!$A:$AL,26,FALSE)</f>
        <v>211</v>
      </c>
      <c r="AL156" s="5">
        <f>VLOOKUP($A156,'SegEnds_NonXtal_Prot#'!$A:$AL,29,FALSE)</f>
        <v>249</v>
      </c>
      <c r="AM156" s="5">
        <f>VLOOKUP($A156,'SegEnds_NonXtal_Prot#'!$A:$AL,32,FALSE)</f>
        <v>292</v>
      </c>
      <c r="AN156" s="5">
        <f>VLOOKUP($A156,'SegEnds_NonXtal_Prot#'!$A:$AL,35,FALSE)</f>
        <v>328</v>
      </c>
      <c r="AO156" s="5">
        <f>VLOOKUP($A156,'SegEnds_NonXtal_Prot#'!$A:$AL,38,FALSE)</f>
        <v>343</v>
      </c>
      <c r="AP156" s="5">
        <f t="shared" si="63"/>
        <v>27</v>
      </c>
      <c r="AQ156" s="4" t="str">
        <f t="shared" si="64"/>
        <v>-</v>
      </c>
      <c r="AR156" s="4">
        <f t="shared" si="65"/>
        <v>30</v>
      </c>
      <c r="AS156" s="4">
        <f t="shared" si="66"/>
        <v>3</v>
      </c>
      <c r="AT156" s="4">
        <f t="shared" si="67"/>
        <v>35</v>
      </c>
      <c r="AU156" s="4">
        <f t="shared" si="68"/>
        <v>7</v>
      </c>
      <c r="AV156" s="4">
        <f t="shared" si="69"/>
        <v>26</v>
      </c>
      <c r="AW156" s="4">
        <f t="shared" si="70"/>
        <v>2</v>
      </c>
      <c r="AX156" s="4">
        <f t="shared" si="71"/>
        <v>37</v>
      </c>
      <c r="AY156" s="4">
        <f t="shared" si="72"/>
        <v>38</v>
      </c>
      <c r="AZ156" s="4">
        <f t="shared" si="73"/>
        <v>32</v>
      </c>
      <c r="BA156" s="4">
        <f t="shared" si="74"/>
        <v>14</v>
      </c>
    </row>
    <row r="157" spans="1:53" x14ac:dyDescent="0.2">
      <c r="A157" s="1" t="str">
        <f>'SegEnds_NonXtal_Prot#'!A132</f>
        <v>gpr18_human</v>
      </c>
      <c r="B157" s="1" t="str">
        <f t="shared" si="50"/>
        <v>EYKIAALVFYSCIFIIGLFVNITALWVFSCTTTVTIYMMNVALVDLIFIMTLPFRMFYYAKGEYFCQILGALTVFYPSIALWLLAFISADRYMAIVQNTCKAVLACVGVWIMTLTTTTPLLLLYIYLKAVNVLNLTRLTFFFLIPLFIMIGCYLVIIHNLLHGKLKPKVKEKSIRIIITLLVQVLVCFMPFHICFAFLMLGYNPWGAFTTFLMNLSTCLDVILYYIVSKQFQARVISVML</v>
      </c>
      <c r="C157" s="29" t="str">
        <f>IF(ISERROR(MATCH(A157,'SegEnds_Xtal_Prot#'!B:B, 0)), "NoXtal", "Xtal")</f>
        <v>NoXtal</v>
      </c>
      <c r="D157" s="4" t="str">
        <f>VLOOKUP(A157,Classification!A:D,2,FALSE)</f>
        <v>A</v>
      </c>
      <c r="E157" s="5" t="str">
        <f>VLOOKUP(A157,Seqs!A:B,2,FALSE)</f>
        <v>MITLNNQDQPVPFNSSHPDEYKIAALVFYSCIFIIGLFVNITALWVFSCTTKKRTTVTIYMMNVALVDLIFIMTLPFRMFYYAKDEWPFGEYFCQILGALTVFYPSIALWLLAFISADRYMAIVQPKYAKELKNTCKAVLACVGVWIMTLTTTTPLLLLYKDPDKDSTPATCLKISDIIYLKAVNVLNLTRLTFFFLIPLFIMIGCYLVIIHNLLHGRTSKLKPKVKEKSIRIIITLLVQVLVCFMPFHICFAFLMLGTGENSYNPWGAFTTFLMNLSTCLDVILYYIVSKQFQARVISVMLYRNYLRSMRRKSFRSGSLRSLSNINSEML</v>
      </c>
      <c r="F157" s="5" t="str">
        <f t="shared" si="51"/>
        <v>EYKIAALVFYSCIFIIGLFVNITALWVFSCT</v>
      </c>
      <c r="G157" s="4" t="str">
        <f t="shared" si="52"/>
        <v/>
      </c>
      <c r="H157" s="4" t="str">
        <f t="shared" si="53"/>
        <v>TTVTIYMMNVALVDLIFIMTLPFRMFYYAK</v>
      </c>
      <c r="I157" s="4" t="str">
        <f t="shared" si="54"/>
        <v>EWPF</v>
      </c>
      <c r="J157" s="4" t="str">
        <f t="shared" si="55"/>
        <v>GEYFCQILGALTVFYPSIALWLLAFISADRYMAIVQ</v>
      </c>
      <c r="K157" s="4" t="str">
        <f t="shared" si="56"/>
        <v>PKYAKELK</v>
      </c>
      <c r="L157" s="4" t="str">
        <f t="shared" si="57"/>
        <v>NTCKAVLACVGVWIMTLTTTTPLLLLY</v>
      </c>
      <c r="M157" s="4" t="str">
        <f t="shared" si="58"/>
        <v>CLK</v>
      </c>
      <c r="N157" s="4" t="str">
        <f t="shared" si="59"/>
        <v>IYLKAVNVLNLTRLTFFFLIPLFIMIGCYLVIIHNLLHG</v>
      </c>
      <c r="O157" s="4" t="str">
        <f t="shared" si="60"/>
        <v>KLKPKVKEKSIRIIITLLVQVLVCFMPFHICFAFLMLG</v>
      </c>
      <c r="P157" s="4" t="str">
        <f t="shared" si="61"/>
        <v>YNPWGAFTTFLMNLSTCLDVILYYIV</v>
      </c>
      <c r="Q157" s="4" t="str">
        <f t="shared" si="62"/>
        <v>SKQFQARVISVML</v>
      </c>
      <c r="R157" s="5">
        <f>VLOOKUP($A157,'SegEnds_NonXtal_Prot#'!$A:$AL,3,FALSE)</f>
        <v>20</v>
      </c>
      <c r="S157" s="5" t="str">
        <f>VLOOKUP($A157,'SegEnds_NonXtal_Prot#'!$A:$AL,6,FALSE)</f>
        <v>-</v>
      </c>
      <c r="T157" s="5">
        <f>VLOOKUP($A157,'SegEnds_NonXtal_Prot#'!$A:$AL,9,FALSE)</f>
        <v>55</v>
      </c>
      <c r="U157" s="5">
        <f>VLOOKUP($A157,'SegEnds_NonXtal_Prot#'!$A:$AL,12,FALSE)</f>
        <v>86</v>
      </c>
      <c r="V157" s="5">
        <f>VLOOKUP($A157,'SegEnds_NonXtal_Prot#'!$A:$AL,15,FALSE)</f>
        <v>90</v>
      </c>
      <c r="W157" s="5">
        <f>VLOOKUP($A157,'SegEnds_NonXtal_Prot#'!$A:$AL,18,FALSE)</f>
        <v>126</v>
      </c>
      <c r="X157" s="5">
        <f>VLOOKUP($A157,'SegEnds_NonXtal_Prot#'!$A:$AL,21,FALSE)</f>
        <v>134</v>
      </c>
      <c r="Y157" s="5">
        <f>VLOOKUP($A157,'SegEnds_NonXtal_Prot#'!$A:$AL,24,FALSE)</f>
        <v>172</v>
      </c>
      <c r="Z157" s="5">
        <f>VLOOKUP($A157,'SegEnds_NonXtal_Prot#'!$A:$AL,27,FALSE)</f>
        <v>179</v>
      </c>
      <c r="AA157" s="5">
        <f>VLOOKUP($A157,'SegEnds_NonXtal_Prot#'!$A:$AL,30,FALSE)</f>
        <v>221</v>
      </c>
      <c r="AB157" s="5">
        <f>VLOOKUP($A157,'SegEnds_NonXtal_Prot#'!$A:$AL,33,FALSE)</f>
        <v>264</v>
      </c>
      <c r="AC157" s="5">
        <f>VLOOKUP($A157,'SegEnds_NonXtal_Prot#'!$A:$AL,36,FALSE)</f>
        <v>290</v>
      </c>
      <c r="AD157" s="5">
        <f>VLOOKUP($A157,'SegEnds_NonXtal_Prot#'!$A:$AL,5,FALSE)</f>
        <v>50</v>
      </c>
      <c r="AE157" s="5" t="str">
        <f>VLOOKUP($A157,'SegEnds_NonXtal_Prot#'!$A:$AL,8,FALSE)</f>
        <v>-</v>
      </c>
      <c r="AF157" s="5">
        <f>VLOOKUP($A157,'SegEnds_NonXtal_Prot#'!$A:$AL,11,FALSE)</f>
        <v>84</v>
      </c>
      <c r="AG157" s="5">
        <f>VLOOKUP($A157,'SegEnds_NonXtal_Prot#'!$A:$AL,14,FALSE)</f>
        <v>89</v>
      </c>
      <c r="AH157" s="5">
        <f>VLOOKUP($A157,'SegEnds_NonXtal_Prot#'!$A:$AL,17,FALSE)</f>
        <v>125</v>
      </c>
      <c r="AI157" s="5">
        <f>VLOOKUP($A157,'SegEnds_NonXtal_Prot#'!$A:$AL,20,FALSE)</f>
        <v>133</v>
      </c>
      <c r="AJ157" s="5">
        <f>VLOOKUP($A157,'SegEnds_NonXtal_Prot#'!$A:$AL,23,FALSE)</f>
        <v>160</v>
      </c>
      <c r="AK157" s="5">
        <f>VLOOKUP($A157,'SegEnds_NonXtal_Prot#'!$A:$AL,26,FALSE)</f>
        <v>174</v>
      </c>
      <c r="AL157" s="5">
        <f>VLOOKUP($A157,'SegEnds_NonXtal_Prot#'!$A:$AL,29,FALSE)</f>
        <v>217</v>
      </c>
      <c r="AM157" s="5">
        <f>VLOOKUP($A157,'SegEnds_NonXtal_Prot#'!$A:$AL,32,FALSE)</f>
        <v>258</v>
      </c>
      <c r="AN157" s="5">
        <f>VLOOKUP($A157,'SegEnds_NonXtal_Prot#'!$A:$AL,35,FALSE)</f>
        <v>289</v>
      </c>
      <c r="AO157" s="5">
        <f>VLOOKUP($A157,'SegEnds_NonXtal_Prot#'!$A:$AL,38,FALSE)</f>
        <v>302</v>
      </c>
      <c r="AP157" s="5">
        <f t="shared" si="63"/>
        <v>30</v>
      </c>
      <c r="AQ157" s="4" t="str">
        <f t="shared" si="64"/>
        <v>-</v>
      </c>
      <c r="AR157" s="4">
        <f t="shared" si="65"/>
        <v>29</v>
      </c>
      <c r="AS157" s="4">
        <f t="shared" si="66"/>
        <v>3</v>
      </c>
      <c r="AT157" s="4">
        <f t="shared" si="67"/>
        <v>35</v>
      </c>
      <c r="AU157" s="4">
        <f t="shared" si="68"/>
        <v>7</v>
      </c>
      <c r="AV157" s="4">
        <f t="shared" si="69"/>
        <v>26</v>
      </c>
      <c r="AW157" s="4">
        <f t="shared" si="70"/>
        <v>2</v>
      </c>
      <c r="AX157" s="4">
        <f t="shared" si="71"/>
        <v>38</v>
      </c>
      <c r="AY157" s="4">
        <f t="shared" si="72"/>
        <v>37</v>
      </c>
      <c r="AZ157" s="4">
        <f t="shared" si="73"/>
        <v>25</v>
      </c>
      <c r="BA157" s="4">
        <f t="shared" si="74"/>
        <v>12</v>
      </c>
    </row>
    <row r="158" spans="1:53" x14ac:dyDescent="0.2">
      <c r="A158" s="1" t="str">
        <f>'SegEnds_NonXtal_Prot#'!A133</f>
        <v>gpr20_human</v>
      </c>
      <c r="B158" s="1" t="str">
        <f t="shared" si="50"/>
        <v>GLWLALMAVHGAIFLAGLVLNGLALYVFCCRTPSVIYTINLVVTDLLVGLSLPTRFAVYYGCAFPHVLGYFLNMHCSILFLTCICVDRYLAIVRQPACARAVCAFVWLAAGAVTLSVLGVTRVFALTVLEFLLPLLVISVFTGRIMCALSRPHQGRQRRVRAMQLLLTVLIIFLVCFTPFHARQVAVALWHHTSLVVYHVAVTLSSLNSCMDPIVYCFVTSGFQATVRGLFG</v>
      </c>
      <c r="C158" s="29" t="str">
        <f>IF(ISERROR(MATCH(A158,'SegEnds_Xtal_Prot#'!B:B, 0)), "NoXtal", "Xtal")</f>
        <v>NoXtal</v>
      </c>
      <c r="D158" s="4" t="str">
        <f>VLOOKUP(A158,Classification!A:D,2,FALSE)</f>
        <v>A</v>
      </c>
      <c r="E158" s="5" t="str">
        <f>VLOOKUP(A158,Seqs!A:B,2,FALSE)</f>
        <v>MPSVSPAGPSAGAVPNATAVTTVRTNASGLEVPLFHLFARLDEELHGTFPGLWLALMAVHGAIFLAGLVLNGLALYVFCCRTRAKTPSVIYTINLVVTDLLVGLSLPTRFAVYYGARGCLRCAFPHVLGYFLNMHCSILFLTCICVDRYLAIVRPEGSRRCRQPACARAVCAFVWLAAGAVTLSVLGVTGSRPCCRVFALTVLEFLLPLLVISVFTGRIMCALSRPGLLHQGRQRRVRAMQLLLTVLIIFLVCFTPFHARQVAVALWPDMPHHTSLVVYHVAVTLSSLNSCMDPIVYCFVTSGFQATVRGLFGQHGEREPSSGDVVSMHRSSKGSGRHHILSAGPHALTQALANGPEA</v>
      </c>
      <c r="F158" s="5" t="str">
        <f t="shared" si="51"/>
        <v>GLWLALMAVHGAIFLAGLVLNGLALYVFCCR</v>
      </c>
      <c r="G158" s="4" t="str">
        <f t="shared" si="52"/>
        <v>TRAK</v>
      </c>
      <c r="H158" s="4" t="str">
        <f t="shared" si="53"/>
        <v>TPSVIYTINLVVTDLLVGLSLPTRFAVYYG</v>
      </c>
      <c r="I158" s="4" t="str">
        <f t="shared" si="54"/>
        <v/>
      </c>
      <c r="J158" s="4" t="str">
        <f t="shared" si="55"/>
        <v>CAFPHVLGYFLNMHCSILFLTCICVDRYLAIVR</v>
      </c>
      <c r="K158" s="4" t="str">
        <f t="shared" si="56"/>
        <v>PEGSRRCR</v>
      </c>
      <c r="L158" s="4" t="str">
        <f t="shared" si="57"/>
        <v>QPACARAVCAFVWLAAGAVTLSVLGVT</v>
      </c>
      <c r="M158" s="4" t="str">
        <f t="shared" si="58"/>
        <v/>
      </c>
      <c r="N158" s="4" t="str">
        <f t="shared" si="59"/>
        <v>RVFALTVLEFLLPLLVISVFTGRIMCALSRP</v>
      </c>
      <c r="O158" s="4" t="str">
        <f t="shared" si="60"/>
        <v>HQGRQRRVRAMQLLLTVLIIFLVCFTPFHARQVAVALW</v>
      </c>
      <c r="P158" s="4" t="str">
        <f t="shared" si="61"/>
        <v>HHTSLVVYHVAVTLSSLNSCMDPIVYCFV</v>
      </c>
      <c r="Q158" s="4" t="str">
        <f t="shared" si="62"/>
        <v>TSGFQATVRGLFG</v>
      </c>
      <c r="R158" s="5">
        <f>VLOOKUP($A158,'SegEnds_NonXtal_Prot#'!$A:$AL,3,FALSE)</f>
        <v>51</v>
      </c>
      <c r="S158" s="5">
        <f>VLOOKUP($A158,'SegEnds_NonXtal_Prot#'!$A:$AL,6,FALSE)</f>
        <v>82</v>
      </c>
      <c r="T158" s="5">
        <f>VLOOKUP($A158,'SegEnds_NonXtal_Prot#'!$A:$AL,9,FALSE)</f>
        <v>86</v>
      </c>
      <c r="U158" s="5" t="str">
        <f>VLOOKUP($A158,'SegEnds_NonXtal_Prot#'!$A:$AL,12,FALSE)</f>
        <v>-</v>
      </c>
      <c r="V158" s="5">
        <f>VLOOKUP($A158,'SegEnds_NonXtal_Prot#'!$A:$AL,15,FALSE)</f>
        <v>122</v>
      </c>
      <c r="W158" s="5">
        <f>VLOOKUP($A158,'SegEnds_NonXtal_Prot#'!$A:$AL,18,FALSE)</f>
        <v>155</v>
      </c>
      <c r="X158" s="5">
        <f>VLOOKUP($A158,'SegEnds_NonXtal_Prot#'!$A:$AL,21,FALSE)</f>
        <v>163</v>
      </c>
      <c r="Y158" s="5" t="str">
        <f>VLOOKUP($A158,'SegEnds_NonXtal_Prot#'!$A:$AL,24,FALSE)</f>
        <v>-</v>
      </c>
      <c r="Z158" s="5">
        <f>VLOOKUP($A158,'SegEnds_NonXtal_Prot#'!$A:$AL,27,FALSE)</f>
        <v>196</v>
      </c>
      <c r="AA158" s="5">
        <f>VLOOKUP($A158,'SegEnds_NonXtal_Prot#'!$A:$AL,30,FALSE)</f>
        <v>230</v>
      </c>
      <c r="AB158" s="5">
        <f>VLOOKUP($A158,'SegEnds_NonXtal_Prot#'!$A:$AL,33,FALSE)</f>
        <v>272</v>
      </c>
      <c r="AC158" s="5">
        <f>VLOOKUP($A158,'SegEnds_NonXtal_Prot#'!$A:$AL,36,FALSE)</f>
        <v>301</v>
      </c>
      <c r="AD158" s="5">
        <f>VLOOKUP($A158,'SegEnds_NonXtal_Prot#'!$A:$AL,5,FALSE)</f>
        <v>81</v>
      </c>
      <c r="AE158" s="5">
        <f>VLOOKUP($A158,'SegEnds_NonXtal_Prot#'!$A:$AL,8,FALSE)</f>
        <v>85</v>
      </c>
      <c r="AF158" s="5">
        <f>VLOOKUP($A158,'SegEnds_NonXtal_Prot#'!$A:$AL,11,FALSE)</f>
        <v>115</v>
      </c>
      <c r="AG158" s="5" t="str">
        <f>VLOOKUP($A158,'SegEnds_NonXtal_Prot#'!$A:$AL,14,FALSE)</f>
        <v>-</v>
      </c>
      <c r="AH158" s="5">
        <f>VLOOKUP($A158,'SegEnds_NonXtal_Prot#'!$A:$AL,17,FALSE)</f>
        <v>154</v>
      </c>
      <c r="AI158" s="5">
        <f>VLOOKUP($A158,'SegEnds_NonXtal_Prot#'!$A:$AL,20,FALSE)</f>
        <v>162</v>
      </c>
      <c r="AJ158" s="5">
        <f>VLOOKUP($A158,'SegEnds_NonXtal_Prot#'!$A:$AL,23,FALSE)</f>
        <v>189</v>
      </c>
      <c r="AK158" s="5" t="str">
        <f>VLOOKUP($A158,'SegEnds_NonXtal_Prot#'!$A:$AL,26,FALSE)</f>
        <v>-</v>
      </c>
      <c r="AL158" s="5">
        <f>VLOOKUP($A158,'SegEnds_NonXtal_Prot#'!$A:$AL,29,FALSE)</f>
        <v>226</v>
      </c>
      <c r="AM158" s="5">
        <f>VLOOKUP($A158,'SegEnds_NonXtal_Prot#'!$A:$AL,32,FALSE)</f>
        <v>267</v>
      </c>
      <c r="AN158" s="5">
        <f>VLOOKUP($A158,'SegEnds_NonXtal_Prot#'!$A:$AL,35,FALSE)</f>
        <v>300</v>
      </c>
      <c r="AO158" s="5">
        <f>VLOOKUP($A158,'SegEnds_NonXtal_Prot#'!$A:$AL,38,FALSE)</f>
        <v>313</v>
      </c>
      <c r="AP158" s="5">
        <f t="shared" si="63"/>
        <v>30</v>
      </c>
      <c r="AQ158" s="4">
        <f t="shared" si="64"/>
        <v>3</v>
      </c>
      <c r="AR158" s="4">
        <f t="shared" si="65"/>
        <v>29</v>
      </c>
      <c r="AS158" s="4" t="str">
        <f t="shared" si="66"/>
        <v>-</v>
      </c>
      <c r="AT158" s="4">
        <f t="shared" si="67"/>
        <v>32</v>
      </c>
      <c r="AU158" s="4">
        <f t="shared" si="68"/>
        <v>7</v>
      </c>
      <c r="AV158" s="4">
        <f t="shared" si="69"/>
        <v>26</v>
      </c>
      <c r="AW158" s="4" t="str">
        <f t="shared" si="70"/>
        <v>-</v>
      </c>
      <c r="AX158" s="4">
        <f t="shared" si="71"/>
        <v>30</v>
      </c>
      <c r="AY158" s="4">
        <f t="shared" si="72"/>
        <v>37</v>
      </c>
      <c r="AZ158" s="4">
        <f t="shared" si="73"/>
        <v>28</v>
      </c>
      <c r="BA158" s="4">
        <f t="shared" si="74"/>
        <v>12</v>
      </c>
    </row>
    <row r="159" spans="1:53" x14ac:dyDescent="0.2">
      <c r="A159" s="1" t="str">
        <f>'SegEnds_NonXtal_Prot#'!A134</f>
        <v>gpr21_human</v>
      </c>
      <c r="B159" s="1" t="str">
        <f t="shared" si="50"/>
        <v>LLEVLIIVFLTVLIISGNIIVIFVFHCAHHTTSYFIQTMAYADLFVGVSCVVPSLSLLHPVEESLTCQIFGFVVSVLKSVSMASLACISIDRYIAITKTPWRLRLCIFLIWLYSTLVFLPSFFHWGKPTDSYFTLFIVMMLYAPAALIVCFTYFNIFRICQQHTKDISETGEVQACPDKRYAMVLFRITSVFYILWLPYIIYFLLESSTRFASFLTTWLAISNSFCNCVIYSLSNSVFQRGLKRLSGA</v>
      </c>
      <c r="C159" s="29" t="str">
        <f>IF(ISERROR(MATCH(A159,'SegEnds_Xtal_Prot#'!B:B, 0)), "NoXtal", "Xtal")</f>
        <v>NoXtal</v>
      </c>
      <c r="D159" s="4" t="str">
        <f>VLOOKUP(A159,Classification!A:D,2,FALSE)</f>
        <v>A</v>
      </c>
      <c r="E159" s="5" t="str">
        <f>VLOOKUP(A159,Seqs!A:B,2,FALSE)</f>
        <v>MNSTLDGNQSSHPFCLLAFGYLETVNFCLLEVLIIVFLTVLIISGNIIVIFVFHCAPLLNHHTTSYFIQTMAYADLFVGVSCVVPSLSLLHHPLPVEESLTCQIFGFVVSVLKSVSMASLACISIDRYIAITKPLTYNTLVTPWRLRLCIFLIWLYSTLVFLPSFFHWGKPGYHGDVFQWCAESWHTDSYFTLFIVMMLYAPAALIVCFTYFNIFRICQQHTKDISERQARFSSQSGETGEVQACPDKRYAMVLFRITSVFYILWLPYIIYFLLESSTGHSNRFASFLTTWLAISNSFCNCVIYSLSNSVFQRGLKRLSGAMCTSCASQTTANDPYTVRSKGPLNGCHI</v>
      </c>
      <c r="F159" s="5" t="str">
        <f t="shared" si="51"/>
        <v>LLEVLIIVFLTVLIISGNIIVIFVFHCA</v>
      </c>
      <c r="G159" s="4" t="str">
        <f t="shared" si="52"/>
        <v>PLLN</v>
      </c>
      <c r="H159" s="4" t="str">
        <f t="shared" si="53"/>
        <v>HHTTSYFIQTMAYADLFVGVSCVVPSLSLLH</v>
      </c>
      <c r="I159" s="4" t="str">
        <f t="shared" si="54"/>
        <v/>
      </c>
      <c r="J159" s="4" t="str">
        <f t="shared" si="55"/>
        <v>PVEESLTCQIFGFVVSVLKSVSMASLACISIDRYIAITK</v>
      </c>
      <c r="K159" s="4" t="str">
        <f t="shared" si="56"/>
        <v>PLTYNTLV</v>
      </c>
      <c r="L159" s="4" t="str">
        <f t="shared" si="57"/>
        <v>TPWRLRLCIFLIWLYSTLVFLPSFFHWGKP</v>
      </c>
      <c r="M159" s="4" t="str">
        <f t="shared" si="58"/>
        <v>CAE</v>
      </c>
      <c r="N159" s="4" t="str">
        <f t="shared" si="59"/>
        <v>TDSYFTLFIVMMLYAPAALIVCFTYFNIFRICQQHTKDIS</v>
      </c>
      <c r="O159" s="4" t="str">
        <f t="shared" si="60"/>
        <v>ETGEVQACPDKRYAMVLFRITSVFYILWLPYIIYFLLESST</v>
      </c>
      <c r="P159" s="4" t="str">
        <f t="shared" si="61"/>
        <v>RFASFLTTWLAISNSFCNCVIYSLS</v>
      </c>
      <c r="Q159" s="4" t="str">
        <f t="shared" si="62"/>
        <v>NSVFQRGLKRLSGA</v>
      </c>
      <c r="R159" s="5">
        <f>VLOOKUP($A159,'SegEnds_NonXtal_Prot#'!$A:$AL,3,FALSE)</f>
        <v>29</v>
      </c>
      <c r="S159" s="5">
        <f>VLOOKUP($A159,'SegEnds_NonXtal_Prot#'!$A:$AL,6,FALSE)</f>
        <v>57</v>
      </c>
      <c r="T159" s="5">
        <f>VLOOKUP($A159,'SegEnds_NonXtal_Prot#'!$A:$AL,9,FALSE)</f>
        <v>61</v>
      </c>
      <c r="U159" s="5" t="str">
        <f>VLOOKUP($A159,'SegEnds_NonXtal_Prot#'!$A:$AL,12,FALSE)</f>
        <v>-</v>
      </c>
      <c r="V159" s="5">
        <f>VLOOKUP($A159,'SegEnds_NonXtal_Prot#'!$A:$AL,15,FALSE)</f>
        <v>95</v>
      </c>
      <c r="W159" s="5">
        <f>VLOOKUP($A159,'SegEnds_NonXtal_Prot#'!$A:$AL,18,FALSE)</f>
        <v>134</v>
      </c>
      <c r="X159" s="5">
        <f>VLOOKUP($A159,'SegEnds_NonXtal_Prot#'!$A:$AL,21,FALSE)</f>
        <v>142</v>
      </c>
      <c r="Y159" s="5">
        <f>VLOOKUP($A159,'SegEnds_NonXtal_Prot#'!$A:$AL,24,FALSE)</f>
        <v>181</v>
      </c>
      <c r="Z159" s="5">
        <f>VLOOKUP($A159,'SegEnds_NonXtal_Prot#'!$A:$AL,27,FALSE)</f>
        <v>187</v>
      </c>
      <c r="AA159" s="5">
        <f>VLOOKUP($A159,'SegEnds_NonXtal_Prot#'!$A:$AL,30,FALSE)</f>
        <v>238</v>
      </c>
      <c r="AB159" s="5">
        <f>VLOOKUP($A159,'SegEnds_NonXtal_Prot#'!$A:$AL,33,FALSE)</f>
        <v>283</v>
      </c>
      <c r="AC159" s="5">
        <f>VLOOKUP($A159,'SegEnds_NonXtal_Prot#'!$A:$AL,36,FALSE)</f>
        <v>308</v>
      </c>
      <c r="AD159" s="5">
        <f>VLOOKUP($A159,'SegEnds_NonXtal_Prot#'!$A:$AL,5,FALSE)</f>
        <v>56</v>
      </c>
      <c r="AE159" s="5">
        <f>VLOOKUP($A159,'SegEnds_NonXtal_Prot#'!$A:$AL,8,FALSE)</f>
        <v>60</v>
      </c>
      <c r="AF159" s="5">
        <f>VLOOKUP($A159,'SegEnds_NonXtal_Prot#'!$A:$AL,11,FALSE)</f>
        <v>91</v>
      </c>
      <c r="AG159" s="5" t="str">
        <f>VLOOKUP($A159,'SegEnds_NonXtal_Prot#'!$A:$AL,14,FALSE)</f>
        <v>-</v>
      </c>
      <c r="AH159" s="5">
        <f>VLOOKUP($A159,'SegEnds_NonXtal_Prot#'!$A:$AL,17,FALSE)</f>
        <v>133</v>
      </c>
      <c r="AI159" s="5">
        <f>VLOOKUP($A159,'SegEnds_NonXtal_Prot#'!$A:$AL,20,FALSE)</f>
        <v>141</v>
      </c>
      <c r="AJ159" s="5">
        <f>VLOOKUP($A159,'SegEnds_NonXtal_Prot#'!$A:$AL,23,FALSE)</f>
        <v>171</v>
      </c>
      <c r="AK159" s="5">
        <f>VLOOKUP($A159,'SegEnds_NonXtal_Prot#'!$A:$AL,26,FALSE)</f>
        <v>183</v>
      </c>
      <c r="AL159" s="5">
        <f>VLOOKUP($A159,'SegEnds_NonXtal_Prot#'!$A:$AL,29,FALSE)</f>
        <v>226</v>
      </c>
      <c r="AM159" s="5">
        <f>VLOOKUP($A159,'SegEnds_NonXtal_Prot#'!$A:$AL,32,FALSE)</f>
        <v>278</v>
      </c>
      <c r="AN159" s="5">
        <f>VLOOKUP($A159,'SegEnds_NonXtal_Prot#'!$A:$AL,35,FALSE)</f>
        <v>307</v>
      </c>
      <c r="AO159" s="5">
        <f>VLOOKUP($A159,'SegEnds_NonXtal_Prot#'!$A:$AL,38,FALSE)</f>
        <v>321</v>
      </c>
      <c r="AP159" s="5">
        <f t="shared" si="63"/>
        <v>27</v>
      </c>
      <c r="AQ159" s="4">
        <f t="shared" si="64"/>
        <v>3</v>
      </c>
      <c r="AR159" s="4">
        <f t="shared" si="65"/>
        <v>30</v>
      </c>
      <c r="AS159" s="4" t="str">
        <f t="shared" si="66"/>
        <v>-</v>
      </c>
      <c r="AT159" s="4">
        <f t="shared" si="67"/>
        <v>38</v>
      </c>
      <c r="AU159" s="4">
        <f t="shared" si="68"/>
        <v>7</v>
      </c>
      <c r="AV159" s="4">
        <f t="shared" si="69"/>
        <v>29</v>
      </c>
      <c r="AW159" s="4">
        <f t="shared" si="70"/>
        <v>2</v>
      </c>
      <c r="AX159" s="4">
        <f t="shared" si="71"/>
        <v>39</v>
      </c>
      <c r="AY159" s="4">
        <f t="shared" si="72"/>
        <v>40</v>
      </c>
      <c r="AZ159" s="4">
        <f t="shared" si="73"/>
        <v>24</v>
      </c>
      <c r="BA159" s="4">
        <f t="shared" si="74"/>
        <v>13</v>
      </c>
    </row>
    <row r="160" spans="1:53" x14ac:dyDescent="0.2">
      <c r="A160" s="1" t="str">
        <f>'SegEnds_NonXtal_Prot#'!A135</f>
        <v>gpr25_human</v>
      </c>
      <c r="B160" s="1" t="str">
        <f t="shared" si="50"/>
        <v>LPYGYVYIPALYLAAFAVGLLGNAFVVWLLAGRRLVDTFVLHLAAADLGFVLTLPLWAAAAALGDGLCKLSSFALAGTRCAGALLLAGMSVDRYLAVVKTPRCALASCCGVWAVALLAGLPSLVYRAFQGLSLLLLLLTFVLPLVVTLFCYCRISRRLRRRARRNSLRIIFAIESTFVGSWLPFSALRAVFHLARLGPCPLLLALRWGLTIATCLAFVNSCANPLIYLLLDRSFRARALDGACGR</v>
      </c>
      <c r="C160" s="29" t="str">
        <f>IF(ISERROR(MATCH(A160,'SegEnds_Xtal_Prot#'!B:B, 0)), "NoXtal", "Xtal")</f>
        <v>NoXtal</v>
      </c>
      <c r="D160" s="4" t="str">
        <f>VLOOKUP(A160,Classification!A:D,2,FALSE)</f>
        <v>A</v>
      </c>
      <c r="E160" s="5" t="str">
        <f>VLOOKUP(A160,Seqs!A:B,2,FALSE)</f>
        <v>MAPTEPWSPSPGSAPWDYSGLDGLEELELCPAGDLPYGYVYIPALYLAAFAVGLLGNAFVVWLLAGRRGPRRLVDTFVLHLAAADLGFVLTLPLWAAAAALGGRWPFGDGLCKLSSFALAGTRCAGALLLAGMSVDRYLAVVKLLEARPLRTPRCALASCCGVWAVALLAGLPSLVYRGLQPLPGGQDSQCGEEPSHAFQGLSLLLLLLTFVLPLVVTLFCYCRISRRLRRPPHVGRARRNSLRIIFAIESTFVGSWLPFSALRAVFHLARLGALPLPCPLLLALRWGLTIATCLAFVNSCANPLIYLLLDRSFRARALDGACGRTGRLARRISSASSLSRDDSSVFRCRAQAANTASASW</v>
      </c>
      <c r="F160" s="5" t="str">
        <f t="shared" si="51"/>
        <v>LPYGYVYIPALYLAAFAVGLLGNAFVVWLLAGR</v>
      </c>
      <c r="G160" s="4" t="str">
        <f t="shared" si="52"/>
        <v>RGPR</v>
      </c>
      <c r="H160" s="4" t="str">
        <f t="shared" si="53"/>
        <v>RLVDTFVLHLAAADLGFVLTLPLWAAAAAL</v>
      </c>
      <c r="I160" s="4" t="str">
        <f t="shared" si="54"/>
        <v>RWPF</v>
      </c>
      <c r="J160" s="4" t="str">
        <f t="shared" si="55"/>
        <v>GDGLCKLSSFALAGTRCAGALLLAGMSVDRYLAVVK</v>
      </c>
      <c r="K160" s="4" t="str">
        <f t="shared" si="56"/>
        <v>LLEARPLR</v>
      </c>
      <c r="L160" s="4" t="str">
        <f t="shared" si="57"/>
        <v>TPRCALASCCGVWAVALLAGLPSLVYR</v>
      </c>
      <c r="M160" s="4" t="str">
        <f t="shared" si="58"/>
        <v>CGE</v>
      </c>
      <c r="N160" s="4" t="str">
        <f t="shared" si="59"/>
        <v>AFQGLSLLLLLLTFVLPLVVTLFCYCRISRRLRR</v>
      </c>
      <c r="O160" s="4" t="str">
        <f t="shared" si="60"/>
        <v>RARRNSLRIIFAIESTFVGSWLPFSALRAVFHLARLG</v>
      </c>
      <c r="P160" s="4" t="str">
        <f t="shared" si="61"/>
        <v>PCPLLLALRWGLTIATCLAFVNSCANPLIYLLL</v>
      </c>
      <c r="Q160" s="4" t="str">
        <f t="shared" si="62"/>
        <v>DRSFRARALDGACGR</v>
      </c>
      <c r="R160" s="5">
        <f>VLOOKUP($A160,'SegEnds_NonXtal_Prot#'!$A:$AL,3,FALSE)</f>
        <v>35</v>
      </c>
      <c r="S160" s="5">
        <f>VLOOKUP($A160,'SegEnds_NonXtal_Prot#'!$A:$AL,6,FALSE)</f>
        <v>68</v>
      </c>
      <c r="T160" s="5">
        <f>VLOOKUP($A160,'SegEnds_NonXtal_Prot#'!$A:$AL,9,FALSE)</f>
        <v>72</v>
      </c>
      <c r="U160" s="5">
        <f>VLOOKUP($A160,'SegEnds_NonXtal_Prot#'!$A:$AL,12,FALSE)</f>
        <v>104</v>
      </c>
      <c r="V160" s="5">
        <f>VLOOKUP($A160,'SegEnds_NonXtal_Prot#'!$A:$AL,15,FALSE)</f>
        <v>108</v>
      </c>
      <c r="W160" s="5">
        <f>VLOOKUP($A160,'SegEnds_NonXtal_Prot#'!$A:$AL,18,FALSE)</f>
        <v>144</v>
      </c>
      <c r="X160" s="5">
        <f>VLOOKUP($A160,'SegEnds_NonXtal_Prot#'!$A:$AL,21,FALSE)</f>
        <v>152</v>
      </c>
      <c r="Y160" s="5">
        <f>VLOOKUP($A160,'SegEnds_NonXtal_Prot#'!$A:$AL,24,FALSE)</f>
        <v>191</v>
      </c>
      <c r="Z160" s="5">
        <f>VLOOKUP($A160,'SegEnds_NonXtal_Prot#'!$A:$AL,27,FALSE)</f>
        <v>198</v>
      </c>
      <c r="AA160" s="5">
        <f>VLOOKUP($A160,'SegEnds_NonXtal_Prot#'!$A:$AL,30,FALSE)</f>
        <v>237</v>
      </c>
      <c r="AB160" s="5">
        <f>VLOOKUP($A160,'SegEnds_NonXtal_Prot#'!$A:$AL,33,FALSE)</f>
        <v>278</v>
      </c>
      <c r="AC160" s="5">
        <f>VLOOKUP($A160,'SegEnds_NonXtal_Prot#'!$A:$AL,36,FALSE)</f>
        <v>311</v>
      </c>
      <c r="AD160" s="5">
        <f>VLOOKUP($A160,'SegEnds_NonXtal_Prot#'!$A:$AL,5,FALSE)</f>
        <v>67</v>
      </c>
      <c r="AE160" s="5">
        <f>VLOOKUP($A160,'SegEnds_NonXtal_Prot#'!$A:$AL,8,FALSE)</f>
        <v>71</v>
      </c>
      <c r="AF160" s="5">
        <f>VLOOKUP($A160,'SegEnds_NonXtal_Prot#'!$A:$AL,11,FALSE)</f>
        <v>101</v>
      </c>
      <c r="AG160" s="5">
        <f>VLOOKUP($A160,'SegEnds_NonXtal_Prot#'!$A:$AL,14,FALSE)</f>
        <v>107</v>
      </c>
      <c r="AH160" s="5">
        <f>VLOOKUP($A160,'SegEnds_NonXtal_Prot#'!$A:$AL,17,FALSE)</f>
        <v>143</v>
      </c>
      <c r="AI160" s="5">
        <f>VLOOKUP($A160,'SegEnds_NonXtal_Prot#'!$A:$AL,20,FALSE)</f>
        <v>151</v>
      </c>
      <c r="AJ160" s="5">
        <f>VLOOKUP($A160,'SegEnds_NonXtal_Prot#'!$A:$AL,23,FALSE)</f>
        <v>178</v>
      </c>
      <c r="AK160" s="5">
        <f>VLOOKUP($A160,'SegEnds_NonXtal_Prot#'!$A:$AL,26,FALSE)</f>
        <v>193</v>
      </c>
      <c r="AL160" s="5">
        <f>VLOOKUP($A160,'SegEnds_NonXtal_Prot#'!$A:$AL,29,FALSE)</f>
        <v>231</v>
      </c>
      <c r="AM160" s="5">
        <f>VLOOKUP($A160,'SegEnds_NonXtal_Prot#'!$A:$AL,32,FALSE)</f>
        <v>273</v>
      </c>
      <c r="AN160" s="5">
        <f>VLOOKUP($A160,'SegEnds_NonXtal_Prot#'!$A:$AL,35,FALSE)</f>
        <v>310</v>
      </c>
      <c r="AO160" s="5">
        <f>VLOOKUP($A160,'SegEnds_NonXtal_Prot#'!$A:$AL,38,FALSE)</f>
        <v>325</v>
      </c>
      <c r="AP160" s="5">
        <f t="shared" si="63"/>
        <v>32</v>
      </c>
      <c r="AQ160" s="4">
        <f t="shared" si="64"/>
        <v>3</v>
      </c>
      <c r="AR160" s="4">
        <f t="shared" si="65"/>
        <v>29</v>
      </c>
      <c r="AS160" s="4">
        <f t="shared" si="66"/>
        <v>3</v>
      </c>
      <c r="AT160" s="4">
        <f t="shared" si="67"/>
        <v>35</v>
      </c>
      <c r="AU160" s="4">
        <f t="shared" si="68"/>
        <v>7</v>
      </c>
      <c r="AV160" s="4">
        <f t="shared" si="69"/>
        <v>26</v>
      </c>
      <c r="AW160" s="4">
        <f t="shared" si="70"/>
        <v>2</v>
      </c>
      <c r="AX160" s="4">
        <f t="shared" si="71"/>
        <v>33</v>
      </c>
      <c r="AY160" s="4">
        <f t="shared" si="72"/>
        <v>36</v>
      </c>
      <c r="AZ160" s="4">
        <f t="shared" si="73"/>
        <v>32</v>
      </c>
      <c r="BA160" s="4">
        <f t="shared" si="74"/>
        <v>14</v>
      </c>
    </row>
    <row r="161" spans="1:53" x14ac:dyDescent="0.2">
      <c r="A161" s="1" t="str">
        <f>'SegEnds_NonXtal_Prot#'!A136</f>
        <v>gpr26_human</v>
      </c>
      <c r="B161" s="1" t="str">
        <f t="shared" si="50"/>
        <v>NSWDAGLAGLLVGTMGVSLLSNALVLLCLLHSRQAPALFTLNLTCGNLLCTVVNMPLTLAGVVAQGDRLCRLAAFLDTFLAANSMLSMAALSIDRWVAVVFRLRDAALMVAYTWLHALTFPAAALAFAVFTGAFHALSFLLSFVVLCCTYLKVLKVARFHCKRIDVITEEQKRRRQRATKKISTFIGTFLVCFAPYVITRLVELFSGSHWGVLSKCLAYSKAASDPFVYSLLRHQYRKSCKEILN</v>
      </c>
      <c r="C161" s="29" t="str">
        <f>IF(ISERROR(MATCH(A161,'SegEnds_Xtal_Prot#'!B:B, 0)), "NoXtal", "Xtal")</f>
        <v>NoXtal</v>
      </c>
      <c r="D161" s="4" t="str">
        <f>VLOOKUP(A161,Classification!A:D,2,FALSE)</f>
        <v>A</v>
      </c>
      <c r="E161" s="5" t="str">
        <f>VLOOKUP(A161,Seqs!A:B,2,FALSE)</f>
        <v>MNSWDAGLAGLLVGTMGVSLLSNALVLLCLLHSADIRRQAPALFTLNLTCGNLLCTVVNMPLTLAGVVAQRQPAGDRLCRLAAFLDTFLAANSMLSMAALSIDRWVAVVFPLSYRAKMRLRDAALMVAYTWLHALTFPAAALALSWLGFHQLYASCTLCSRRPDERLRFAVFTGAFHALSFLLSFVVLCCTYLKVLKVARFHCKRIDVITMQTLVLLVDLHPSVRERCLEEQKRRRQRATKKISTFIGTFLVCFAPYVITRLVELFSTVPIGSHWGVLSKCLAYSKAASDPFVYSLLRHQYRKSCKEILNRLLHRRSIHSSGLTGDSHSQNILPVSE</v>
      </c>
      <c r="F161" s="5" t="str">
        <f t="shared" si="51"/>
        <v>NSWDAGLAGLLVGTMGVSLLSNALVLLCLLHS</v>
      </c>
      <c r="G161" s="4" t="str">
        <f t="shared" si="52"/>
        <v>ADIR</v>
      </c>
      <c r="H161" s="4" t="str">
        <f t="shared" si="53"/>
        <v>RQAPALFTLNLTCGNLLCTVVNMPLTLAGVVAQ</v>
      </c>
      <c r="I161" s="4" t="str">
        <f t="shared" si="54"/>
        <v/>
      </c>
      <c r="J161" s="4" t="str">
        <f t="shared" si="55"/>
        <v>GDRLCRLAAFLDTFLAANSMLSMAALSIDRWVAVVF</v>
      </c>
      <c r="K161" s="4" t="str">
        <f t="shared" si="56"/>
        <v>PLSYRAKM</v>
      </c>
      <c r="L161" s="4" t="str">
        <f t="shared" si="57"/>
        <v>RLRDAALMVAYTWLHALTFPAAALA</v>
      </c>
      <c r="M161" s="4" t="str">
        <f t="shared" si="58"/>
        <v>CSR</v>
      </c>
      <c r="N161" s="4" t="str">
        <f t="shared" si="59"/>
        <v>FAVFTGAFHALSFLLSFVVLCCTYLKVLKVARFHCKRIDVIT</v>
      </c>
      <c r="O161" s="4" t="str">
        <f t="shared" si="60"/>
        <v>EEQKRRRQRATKKISTFIGTFLVCFAPYVITRLVELFS</v>
      </c>
      <c r="P161" s="4" t="str">
        <f t="shared" si="61"/>
        <v>GSHWGVLSKCLAYSKAASDPFVYSLL</v>
      </c>
      <c r="Q161" s="4" t="str">
        <f t="shared" si="62"/>
        <v>RHQYRKSCKEILN</v>
      </c>
      <c r="R161" s="5">
        <f>VLOOKUP($A161,'SegEnds_NonXtal_Prot#'!$A:$AL,3,FALSE)</f>
        <v>2</v>
      </c>
      <c r="S161" s="5">
        <f>VLOOKUP($A161,'SegEnds_NonXtal_Prot#'!$A:$AL,6,FALSE)</f>
        <v>34</v>
      </c>
      <c r="T161" s="5">
        <f>VLOOKUP($A161,'SegEnds_NonXtal_Prot#'!$A:$AL,9,FALSE)</f>
        <v>38</v>
      </c>
      <c r="U161" s="5" t="str">
        <f>VLOOKUP($A161,'SegEnds_NonXtal_Prot#'!$A:$AL,12,FALSE)</f>
        <v>-</v>
      </c>
      <c r="V161" s="5">
        <f>VLOOKUP($A161,'SegEnds_NonXtal_Prot#'!$A:$AL,15,FALSE)</f>
        <v>75</v>
      </c>
      <c r="W161" s="5">
        <f>VLOOKUP($A161,'SegEnds_NonXtal_Prot#'!$A:$AL,18,FALSE)</f>
        <v>111</v>
      </c>
      <c r="X161" s="5">
        <f>VLOOKUP($A161,'SegEnds_NonXtal_Prot#'!$A:$AL,21,FALSE)</f>
        <v>119</v>
      </c>
      <c r="Y161" s="5">
        <f>VLOOKUP($A161,'SegEnds_NonXtal_Prot#'!$A:$AL,24,FALSE)</f>
        <v>159</v>
      </c>
      <c r="Z161" s="5">
        <f>VLOOKUP($A161,'SegEnds_NonXtal_Prot#'!$A:$AL,27,FALSE)</f>
        <v>169</v>
      </c>
      <c r="AA161" s="5">
        <f>VLOOKUP($A161,'SegEnds_NonXtal_Prot#'!$A:$AL,30,FALSE)</f>
        <v>230</v>
      </c>
      <c r="AB161" s="5">
        <f>VLOOKUP($A161,'SegEnds_NonXtal_Prot#'!$A:$AL,33,FALSE)</f>
        <v>272</v>
      </c>
      <c r="AC161" s="5">
        <f>VLOOKUP($A161,'SegEnds_NonXtal_Prot#'!$A:$AL,36,FALSE)</f>
        <v>298</v>
      </c>
      <c r="AD161" s="5">
        <f>VLOOKUP($A161,'SegEnds_NonXtal_Prot#'!$A:$AL,5,FALSE)</f>
        <v>33</v>
      </c>
      <c r="AE161" s="5">
        <f>VLOOKUP($A161,'SegEnds_NonXtal_Prot#'!$A:$AL,8,FALSE)</f>
        <v>37</v>
      </c>
      <c r="AF161" s="5">
        <f>VLOOKUP($A161,'SegEnds_NonXtal_Prot#'!$A:$AL,11,FALSE)</f>
        <v>70</v>
      </c>
      <c r="AG161" s="5" t="str">
        <f>VLOOKUP($A161,'SegEnds_NonXtal_Prot#'!$A:$AL,14,FALSE)</f>
        <v>-</v>
      </c>
      <c r="AH161" s="5">
        <f>VLOOKUP($A161,'SegEnds_NonXtal_Prot#'!$A:$AL,17,FALSE)</f>
        <v>110</v>
      </c>
      <c r="AI161" s="5">
        <f>VLOOKUP($A161,'SegEnds_NonXtal_Prot#'!$A:$AL,20,FALSE)</f>
        <v>118</v>
      </c>
      <c r="AJ161" s="5">
        <f>VLOOKUP($A161,'SegEnds_NonXtal_Prot#'!$A:$AL,23,FALSE)</f>
        <v>143</v>
      </c>
      <c r="AK161" s="5">
        <f>VLOOKUP($A161,'SegEnds_NonXtal_Prot#'!$A:$AL,26,FALSE)</f>
        <v>161</v>
      </c>
      <c r="AL161" s="5">
        <f>VLOOKUP($A161,'SegEnds_NonXtal_Prot#'!$A:$AL,29,FALSE)</f>
        <v>210</v>
      </c>
      <c r="AM161" s="5">
        <f>VLOOKUP($A161,'SegEnds_NonXtal_Prot#'!$A:$AL,32,FALSE)</f>
        <v>267</v>
      </c>
      <c r="AN161" s="5">
        <f>VLOOKUP($A161,'SegEnds_NonXtal_Prot#'!$A:$AL,35,FALSE)</f>
        <v>297</v>
      </c>
      <c r="AO161" s="5">
        <f>VLOOKUP($A161,'SegEnds_NonXtal_Prot#'!$A:$AL,38,FALSE)</f>
        <v>310</v>
      </c>
      <c r="AP161" s="5">
        <f t="shared" si="63"/>
        <v>31</v>
      </c>
      <c r="AQ161" s="4">
        <f t="shared" si="64"/>
        <v>3</v>
      </c>
      <c r="AR161" s="4">
        <f t="shared" si="65"/>
        <v>32</v>
      </c>
      <c r="AS161" s="4" t="str">
        <f t="shared" si="66"/>
        <v>-</v>
      </c>
      <c r="AT161" s="4">
        <f t="shared" si="67"/>
        <v>35</v>
      </c>
      <c r="AU161" s="4">
        <f t="shared" si="68"/>
        <v>7</v>
      </c>
      <c r="AV161" s="4">
        <f t="shared" si="69"/>
        <v>24</v>
      </c>
      <c r="AW161" s="4">
        <f t="shared" si="70"/>
        <v>2</v>
      </c>
      <c r="AX161" s="4">
        <f t="shared" si="71"/>
        <v>41</v>
      </c>
      <c r="AY161" s="4">
        <f t="shared" si="72"/>
        <v>37</v>
      </c>
      <c r="AZ161" s="4">
        <f t="shared" si="73"/>
        <v>25</v>
      </c>
      <c r="BA161" s="4">
        <f t="shared" si="74"/>
        <v>12</v>
      </c>
    </row>
    <row r="162" spans="1:53" x14ac:dyDescent="0.2">
      <c r="A162" s="1" t="str">
        <f>'SegEnds_NonXtal_Prot#'!A137</f>
        <v>gpr3_human</v>
      </c>
      <c r="B162" s="1" t="str">
        <f t="shared" si="50"/>
        <v>PSPKAWDVVLCISGTLVSCENALVVAIIVGTAPMFLLVGSLAVADLLAGLGLVLHFAGSAEMSLVLVGVLAMAFTASIGSLLAITVDRYLSLYNTVTRTYVMLALVWGGALGLGLLPVLASKNHLVVLAIAFFMVFGIMLQLYAQICRIVCRHAQQIALPASHYVATRKGIATLAVVLGAFAACWLPFTVYCLLGDAHYTYLTLLPATYNSMINPIIYAFRNQDVQKVLWAVCC</v>
      </c>
      <c r="C162" s="29" t="str">
        <f>IF(ISERROR(MATCH(A162,'SegEnds_Xtal_Prot#'!B:B, 0)), "NoXtal", "Xtal")</f>
        <v>NoXtal</v>
      </c>
      <c r="D162" s="4" t="str">
        <f>VLOOKUP(A162,Classification!A:D,2,FALSE)</f>
        <v>A</v>
      </c>
      <c r="E162" s="5" t="str">
        <f>VLOOKUP(A162,Seqs!A:B,2,FALSE)</f>
        <v>MMWGAGSPLAWLSAGSGNVNVSSVGPAEGPTGPAAPLPSPKAWDVVLCISGTLVSCENALVVAIIVGTPAFRAPMFLLVGSLAVADLLAGLGLVLHFAAVFCIGSAEMSLVLVGVLAMAFTASIGSLLAITVDRYLSLYNALTYYSETTVTRTYVMLALVWGGALGLGLLPVLAWNCLDGLTTCGVVYPLSKNHLVVLAIAFFMVFGIMLQLYAQICRIVCRHAQQIALQRHLLPASHYVATRKGIATLAVVLGAFAACWLPFTVYCLLGDAHSPPLYTYLTLLPATYNSMINPIIYAFRNQDVQKVLWAVCCCCSSSKIPFRSRSPSDV</v>
      </c>
      <c r="F162" s="5" t="str">
        <f t="shared" si="51"/>
        <v>PSPKAWDVVLCISGTLVSCENALVVAIIVGT</v>
      </c>
      <c r="G162" s="4" t="str">
        <f t="shared" si="52"/>
        <v>PAFR</v>
      </c>
      <c r="H162" s="4" t="str">
        <f t="shared" si="53"/>
        <v>APMFLLVGSLAVADLLAGLGLVLHFA</v>
      </c>
      <c r="I162" s="4" t="str">
        <f t="shared" si="54"/>
        <v>VFCI</v>
      </c>
      <c r="J162" s="4" t="str">
        <f t="shared" si="55"/>
        <v>GSAEMSLVLVGVLAMAFTASIGSLLAITVDRYLSLYN</v>
      </c>
      <c r="K162" s="4" t="str">
        <f t="shared" si="56"/>
        <v>ALTYYSET</v>
      </c>
      <c r="L162" s="4" t="str">
        <f t="shared" si="57"/>
        <v>TVTRTYVMLALVWGGALGLGLLPVLA</v>
      </c>
      <c r="M162" s="4" t="str">
        <f t="shared" si="58"/>
        <v/>
      </c>
      <c r="N162" s="4" t="str">
        <f t="shared" si="59"/>
        <v>SKNHLVVLAIAFFMVFGIMLQLYAQICRIVCRHAQQIA</v>
      </c>
      <c r="O162" s="4" t="str">
        <f t="shared" si="60"/>
        <v>LPASHYVATRKGIATLAVVLGAFAACWLPFTVYCLLGDAH</v>
      </c>
      <c r="P162" s="4" t="str">
        <f t="shared" si="61"/>
        <v>YTYLTLLPATYNSMINPIIYAFR</v>
      </c>
      <c r="Q162" s="4" t="str">
        <f t="shared" si="62"/>
        <v>NQDVQKVLWAVCC</v>
      </c>
      <c r="R162" s="5">
        <f>VLOOKUP($A162,'SegEnds_NonXtal_Prot#'!$A:$AL,3,FALSE)</f>
        <v>38</v>
      </c>
      <c r="S162" s="5">
        <f>VLOOKUP($A162,'SegEnds_NonXtal_Prot#'!$A:$AL,6,FALSE)</f>
        <v>69</v>
      </c>
      <c r="T162" s="5">
        <f>VLOOKUP($A162,'SegEnds_NonXtal_Prot#'!$A:$AL,9,FALSE)</f>
        <v>73</v>
      </c>
      <c r="U162" s="5">
        <f>VLOOKUP($A162,'SegEnds_NonXtal_Prot#'!$A:$AL,12,FALSE)</f>
        <v>100</v>
      </c>
      <c r="V162" s="5">
        <f>VLOOKUP($A162,'SegEnds_NonXtal_Prot#'!$A:$AL,15,FALSE)</f>
        <v>104</v>
      </c>
      <c r="W162" s="5">
        <f>VLOOKUP($A162,'SegEnds_NonXtal_Prot#'!$A:$AL,18,FALSE)</f>
        <v>141</v>
      </c>
      <c r="X162" s="5">
        <f>VLOOKUP($A162,'SegEnds_NonXtal_Prot#'!$A:$AL,21,FALSE)</f>
        <v>149</v>
      </c>
      <c r="Y162" s="5" t="str">
        <f>VLOOKUP($A162,'SegEnds_NonXtal_Prot#'!$A:$AL,24,FALSE)</f>
        <v>-</v>
      </c>
      <c r="Z162" s="5">
        <f>VLOOKUP($A162,'SegEnds_NonXtal_Prot#'!$A:$AL,27,FALSE)</f>
        <v>191</v>
      </c>
      <c r="AA162" s="5">
        <f>VLOOKUP($A162,'SegEnds_NonXtal_Prot#'!$A:$AL,30,FALSE)</f>
        <v>234</v>
      </c>
      <c r="AB162" s="5">
        <f>VLOOKUP($A162,'SegEnds_NonXtal_Prot#'!$A:$AL,33,FALSE)</f>
        <v>278</v>
      </c>
      <c r="AC162" s="5">
        <f>VLOOKUP($A162,'SegEnds_NonXtal_Prot#'!$A:$AL,36,FALSE)</f>
        <v>301</v>
      </c>
      <c r="AD162" s="5">
        <f>VLOOKUP($A162,'SegEnds_NonXtal_Prot#'!$A:$AL,5,FALSE)</f>
        <v>68</v>
      </c>
      <c r="AE162" s="5">
        <f>VLOOKUP($A162,'SegEnds_NonXtal_Prot#'!$A:$AL,8,FALSE)</f>
        <v>72</v>
      </c>
      <c r="AF162" s="5">
        <f>VLOOKUP($A162,'SegEnds_NonXtal_Prot#'!$A:$AL,11,FALSE)</f>
        <v>98</v>
      </c>
      <c r="AG162" s="5">
        <f>VLOOKUP($A162,'SegEnds_NonXtal_Prot#'!$A:$AL,14,FALSE)</f>
        <v>103</v>
      </c>
      <c r="AH162" s="5">
        <f>VLOOKUP($A162,'SegEnds_NonXtal_Prot#'!$A:$AL,17,FALSE)</f>
        <v>140</v>
      </c>
      <c r="AI162" s="5">
        <f>VLOOKUP($A162,'SegEnds_NonXtal_Prot#'!$A:$AL,20,FALSE)</f>
        <v>148</v>
      </c>
      <c r="AJ162" s="5">
        <f>VLOOKUP($A162,'SegEnds_NonXtal_Prot#'!$A:$AL,23,FALSE)</f>
        <v>174</v>
      </c>
      <c r="AK162" s="5" t="str">
        <f>VLOOKUP($A162,'SegEnds_NonXtal_Prot#'!$A:$AL,26,FALSE)</f>
        <v>-</v>
      </c>
      <c r="AL162" s="5">
        <f>VLOOKUP($A162,'SegEnds_NonXtal_Prot#'!$A:$AL,29,FALSE)</f>
        <v>228</v>
      </c>
      <c r="AM162" s="5">
        <f>VLOOKUP($A162,'SegEnds_NonXtal_Prot#'!$A:$AL,32,FALSE)</f>
        <v>273</v>
      </c>
      <c r="AN162" s="5">
        <f>VLOOKUP($A162,'SegEnds_NonXtal_Prot#'!$A:$AL,35,FALSE)</f>
        <v>300</v>
      </c>
      <c r="AO162" s="5">
        <f>VLOOKUP($A162,'SegEnds_NonXtal_Prot#'!$A:$AL,38,FALSE)</f>
        <v>313</v>
      </c>
      <c r="AP162" s="5">
        <f t="shared" si="63"/>
        <v>30</v>
      </c>
      <c r="AQ162" s="4">
        <f t="shared" si="64"/>
        <v>3</v>
      </c>
      <c r="AR162" s="4">
        <f t="shared" si="65"/>
        <v>25</v>
      </c>
      <c r="AS162" s="4">
        <f t="shared" si="66"/>
        <v>3</v>
      </c>
      <c r="AT162" s="4">
        <f t="shared" si="67"/>
        <v>36</v>
      </c>
      <c r="AU162" s="4">
        <f t="shared" si="68"/>
        <v>7</v>
      </c>
      <c r="AV162" s="4">
        <f t="shared" si="69"/>
        <v>25</v>
      </c>
      <c r="AW162" s="4" t="str">
        <f t="shared" si="70"/>
        <v>-</v>
      </c>
      <c r="AX162" s="4">
        <f t="shared" si="71"/>
        <v>37</v>
      </c>
      <c r="AY162" s="4">
        <f t="shared" si="72"/>
        <v>39</v>
      </c>
      <c r="AZ162" s="4">
        <f t="shared" si="73"/>
        <v>22</v>
      </c>
      <c r="BA162" s="4">
        <f t="shared" si="74"/>
        <v>12</v>
      </c>
    </row>
    <row r="163" spans="1:53" x14ac:dyDescent="0.2">
      <c r="A163" s="1" t="str">
        <f>'SegEnds_NonXtal_Prot#'!A138</f>
        <v>gpr31_human</v>
      </c>
      <c r="B163" s="1" t="str">
        <f t="shared" si="50"/>
        <v>PNCSAPSTVVATAVGVLLGLECGLGLLGNAVALWTFLFRKPYAVYLLNLALADLLLAACLPFLAAFYLSGRVGCWALHFLLDLSRSVGMAFLAAVALDRYLRVVHSPQAALGVSGLVWLLMVALTCPGLLISDGSFSIIWQEALSCLQFVLPFGLIVFCNAGIIRALQKRPEKQPKLQRAQALVTLVVVLFALCFLPCFLARVLMHIFLCAVAHTSDVTGSLTYLHSVLNPVVYCFSSPTFRSSYRRVFHT</v>
      </c>
      <c r="C163" s="29" t="str">
        <f>IF(ISERROR(MATCH(A163,'SegEnds_Xtal_Prot#'!B:B, 0)), "NoXtal", "Xtal")</f>
        <v>NoXtal</v>
      </c>
      <c r="D163" s="4" t="str">
        <f>VLOOKUP(A163,Classification!A:D,2,FALSE)</f>
        <v>A</v>
      </c>
      <c r="E163" s="5" t="str">
        <f>VLOOKUP(A163,Seqs!A:B,2,FALSE)</f>
        <v>MPFPNCSAPSTVVATAVGVLLGLECGLGLLGNAVALWTFLFRVRVWKPYAVYLLNLALADLLLAACLPFLAAFYLSLQAWHLGRVGCWALHFLLDLSRSVGMAFLAAVALDRYLRVVHPRLKVNLLSPQAALGVSGLVWLLMVALTCPGLLISEAAQNSTRCHSFYSRADGSFSIIWQEALSCLQFVLPFGLIVFCNAGIIRALQKRLREPEKQPKLQRAQALVTLVVVLFALCFLPCFLARVLMHIFQNLGSCRALCAVAHTSDVTGSLTYLHSVLNPVVYCFSSPTFRSSYRRVFHTLRGKGQAAEPPDFNPRDSYS</v>
      </c>
      <c r="F163" s="5" t="str">
        <f t="shared" si="51"/>
        <v>PNCSAPSTVVATAVGVLLGLECGLGLLGNAVALWTFLFR</v>
      </c>
      <c r="G163" s="4" t="str">
        <f t="shared" si="52"/>
        <v>VRVW</v>
      </c>
      <c r="H163" s="4" t="str">
        <f t="shared" si="53"/>
        <v>KPYAVYLLNLALADLLLAACLPFLAAFYLS</v>
      </c>
      <c r="I163" s="4" t="str">
        <f t="shared" si="54"/>
        <v>AWHL</v>
      </c>
      <c r="J163" s="4" t="str">
        <f t="shared" si="55"/>
        <v>GRVGCWALHFLLDLSRSVGMAFLAAVALDRYLRVVH</v>
      </c>
      <c r="K163" s="4" t="str">
        <f t="shared" si="56"/>
        <v>PRLKVNLL</v>
      </c>
      <c r="L163" s="4" t="str">
        <f t="shared" si="57"/>
        <v>SPQAALGVSGLVWLLMVALTCPGLLIS</v>
      </c>
      <c r="M163" s="4" t="str">
        <f t="shared" si="58"/>
        <v>CHS</v>
      </c>
      <c r="N163" s="4" t="str">
        <f t="shared" si="59"/>
        <v>DGSFSIIWQEALSCLQFVLPFGLIVFCNAGIIRALQKR</v>
      </c>
      <c r="O163" s="4" t="str">
        <f t="shared" si="60"/>
        <v>PEKQPKLQRAQALVTLVVVLFALCFLPCFLARVLMHIF</v>
      </c>
      <c r="P163" s="4" t="str">
        <f t="shared" si="61"/>
        <v>LCAVAHTSDVTGSLTYLHSVLNPVVYCFS</v>
      </c>
      <c r="Q163" s="4" t="str">
        <f t="shared" si="62"/>
        <v>SPTFRSSYRRVFHT</v>
      </c>
      <c r="R163" s="5">
        <f>VLOOKUP($A163,'SegEnds_NonXtal_Prot#'!$A:$AL,3,FALSE)</f>
        <v>4</v>
      </c>
      <c r="S163" s="5">
        <f>VLOOKUP($A163,'SegEnds_NonXtal_Prot#'!$A:$AL,6,FALSE)</f>
        <v>43</v>
      </c>
      <c r="T163" s="5">
        <f>VLOOKUP($A163,'SegEnds_NonXtal_Prot#'!$A:$AL,9,FALSE)</f>
        <v>47</v>
      </c>
      <c r="U163" s="5">
        <f>VLOOKUP($A163,'SegEnds_NonXtal_Prot#'!$A:$AL,12,FALSE)</f>
        <v>79</v>
      </c>
      <c r="V163" s="5">
        <f>VLOOKUP($A163,'SegEnds_NonXtal_Prot#'!$A:$AL,15,FALSE)</f>
        <v>83</v>
      </c>
      <c r="W163" s="5">
        <f>VLOOKUP($A163,'SegEnds_NonXtal_Prot#'!$A:$AL,18,FALSE)</f>
        <v>119</v>
      </c>
      <c r="X163" s="5">
        <f>VLOOKUP($A163,'SegEnds_NonXtal_Prot#'!$A:$AL,21,FALSE)</f>
        <v>127</v>
      </c>
      <c r="Y163" s="5">
        <f>VLOOKUP($A163,'SegEnds_NonXtal_Prot#'!$A:$AL,24,FALSE)</f>
        <v>162</v>
      </c>
      <c r="Z163" s="5">
        <f>VLOOKUP($A163,'SegEnds_NonXtal_Prot#'!$A:$AL,27,FALSE)</f>
        <v>170</v>
      </c>
      <c r="AA163" s="5">
        <f>VLOOKUP($A163,'SegEnds_NonXtal_Prot#'!$A:$AL,30,FALSE)</f>
        <v>211</v>
      </c>
      <c r="AB163" s="5">
        <f>VLOOKUP($A163,'SegEnds_NonXtal_Prot#'!$A:$AL,33,FALSE)</f>
        <v>257</v>
      </c>
      <c r="AC163" s="5">
        <f>VLOOKUP($A163,'SegEnds_NonXtal_Prot#'!$A:$AL,36,FALSE)</f>
        <v>286</v>
      </c>
      <c r="AD163" s="5">
        <f>VLOOKUP($A163,'SegEnds_NonXtal_Prot#'!$A:$AL,5,FALSE)</f>
        <v>42</v>
      </c>
      <c r="AE163" s="5">
        <f>VLOOKUP($A163,'SegEnds_NonXtal_Prot#'!$A:$AL,8,FALSE)</f>
        <v>46</v>
      </c>
      <c r="AF163" s="5">
        <f>VLOOKUP($A163,'SegEnds_NonXtal_Prot#'!$A:$AL,11,FALSE)</f>
        <v>76</v>
      </c>
      <c r="AG163" s="5">
        <f>VLOOKUP($A163,'SegEnds_NonXtal_Prot#'!$A:$AL,14,FALSE)</f>
        <v>82</v>
      </c>
      <c r="AH163" s="5">
        <f>VLOOKUP($A163,'SegEnds_NonXtal_Prot#'!$A:$AL,17,FALSE)</f>
        <v>118</v>
      </c>
      <c r="AI163" s="5">
        <f>VLOOKUP($A163,'SegEnds_NonXtal_Prot#'!$A:$AL,20,FALSE)</f>
        <v>126</v>
      </c>
      <c r="AJ163" s="5">
        <f>VLOOKUP($A163,'SegEnds_NonXtal_Prot#'!$A:$AL,23,FALSE)</f>
        <v>153</v>
      </c>
      <c r="AK163" s="5">
        <f>VLOOKUP($A163,'SegEnds_NonXtal_Prot#'!$A:$AL,26,FALSE)</f>
        <v>164</v>
      </c>
      <c r="AL163" s="5">
        <f>VLOOKUP($A163,'SegEnds_NonXtal_Prot#'!$A:$AL,29,FALSE)</f>
        <v>207</v>
      </c>
      <c r="AM163" s="5">
        <f>VLOOKUP($A163,'SegEnds_NonXtal_Prot#'!$A:$AL,32,FALSE)</f>
        <v>248</v>
      </c>
      <c r="AN163" s="5">
        <f>VLOOKUP($A163,'SegEnds_NonXtal_Prot#'!$A:$AL,35,FALSE)</f>
        <v>285</v>
      </c>
      <c r="AO163" s="5">
        <f>VLOOKUP($A163,'SegEnds_NonXtal_Prot#'!$A:$AL,38,FALSE)</f>
        <v>299</v>
      </c>
      <c r="AP163" s="5">
        <f t="shared" si="63"/>
        <v>38</v>
      </c>
      <c r="AQ163" s="4">
        <f t="shared" si="64"/>
        <v>3</v>
      </c>
      <c r="AR163" s="4">
        <f t="shared" si="65"/>
        <v>29</v>
      </c>
      <c r="AS163" s="4">
        <f t="shared" si="66"/>
        <v>3</v>
      </c>
      <c r="AT163" s="4">
        <f t="shared" si="67"/>
        <v>35</v>
      </c>
      <c r="AU163" s="4">
        <f t="shared" si="68"/>
        <v>7</v>
      </c>
      <c r="AV163" s="4">
        <f t="shared" si="69"/>
        <v>26</v>
      </c>
      <c r="AW163" s="4">
        <f t="shared" si="70"/>
        <v>2</v>
      </c>
      <c r="AX163" s="4">
        <f t="shared" si="71"/>
        <v>37</v>
      </c>
      <c r="AY163" s="4">
        <f t="shared" si="72"/>
        <v>37</v>
      </c>
      <c r="AZ163" s="4">
        <f t="shared" si="73"/>
        <v>28</v>
      </c>
      <c r="BA163" s="4">
        <f t="shared" si="74"/>
        <v>13</v>
      </c>
    </row>
    <row r="164" spans="1:53" x14ac:dyDescent="0.2">
      <c r="A164" s="1" t="str">
        <f>'SegEnds_NonXtal_Prot#'!A139</f>
        <v>gpr32_human</v>
      </c>
      <c r="B164" s="1" t="str">
        <f t="shared" si="50"/>
        <v>GCLSEEVGSLRPLTVVILSASIVVGVLGNGLVLWMTVFRTVSTVCFFHLALADFMLSLSLPIAMYYIVSGEWACKLYITFVFLSYFASNCLLVFISVDRCISVLYTVQRASWLAFGVWLLAAALCSAHLKFRVVEGHIIGTIGHFLLGFLGPLAIIGTCAHLIRAKLLREANRPKRLLLVLVSAFFIFWSPFNVVLLVHLWRHPRMLLILQASFALGCVNSSLNPFLYVFVGRDFQEKFFQSLTS</v>
      </c>
      <c r="C164" s="29" t="str">
        <f>IF(ISERROR(MATCH(A164,'SegEnds_Xtal_Prot#'!B:B, 0)), "NoXtal", "Xtal")</f>
        <v>NoXtal</v>
      </c>
      <c r="D164" s="4" t="str">
        <f>VLOOKUP(A164,Classification!A:D,2,FALSE)</f>
        <v>A</v>
      </c>
      <c r="E164" s="5" t="str">
        <f>VLOOKUP(A164,Seqs!A:B,2,FALSE)</f>
        <v>MNGVSEGTRGCSDRQPGVLTRDRSCSRKMNSSGCLSEEVGSLRPLTVVILSASIVVGVLGNGLVLWMTVFRMARTVSTVCFFHLALADFMLSLSLPIAMYYIVSRQWLLGEWACKLYITFVFLSYFASNCLLVFISVDRCISVLYPVWALNHRTVQRASWLAFGVWLLAAALCSAHLKFRTTRKWNGCTHCYLAFNSDNETAQIWIEGVVEGHIIGTIGHFLLGFLGPLAIIGTCAHLIRAKLLREGWVHANRPKRLLLVLVSAFFIFWSPFNVVLLVHLWRRVMLKEIYHPRMLLILQASFALGCVNSSLNPFLYVFVGRDFQEKFFQSLTSALARAFGEEEFLSSCPRGNAPRE</v>
      </c>
      <c r="F164" s="5" t="str">
        <f t="shared" si="51"/>
        <v>GCLSEEVGSLRPLTVVILSASIVVGVLGNGLVLWMTVFR</v>
      </c>
      <c r="G164" s="4" t="str">
        <f t="shared" si="52"/>
        <v/>
      </c>
      <c r="H164" s="4" t="str">
        <f t="shared" si="53"/>
        <v>TVSTVCFFHLALADFMLSLSLPIAMYYIVS</v>
      </c>
      <c r="I164" s="4" t="str">
        <f t="shared" si="54"/>
        <v>QWLL</v>
      </c>
      <c r="J164" s="4" t="str">
        <f t="shared" si="55"/>
        <v>GEWACKLYITFVFLSYFASNCLLVFISVDRCISVLY</v>
      </c>
      <c r="K164" s="4" t="str">
        <f t="shared" si="56"/>
        <v>PVWALNHR</v>
      </c>
      <c r="L164" s="4" t="str">
        <f t="shared" si="57"/>
        <v>TVQRASWLAFGVWLLAAALCSAHLKFR</v>
      </c>
      <c r="M164" s="4" t="str">
        <f t="shared" si="58"/>
        <v>CYL</v>
      </c>
      <c r="N164" s="4" t="str">
        <f t="shared" si="59"/>
        <v>VVEGHIIGTIGHFLLGFLGPLAIIGTCAHLIRAKLLRE</v>
      </c>
      <c r="O164" s="4" t="str">
        <f t="shared" si="60"/>
        <v>ANRPKRLLLVLVSAFFIFWSPFNVVLLVHLWR</v>
      </c>
      <c r="P164" s="4" t="str">
        <f t="shared" si="61"/>
        <v>HPRMLLILQASFALGCVNSSLNPFLYVFV</v>
      </c>
      <c r="Q164" s="4" t="str">
        <f t="shared" si="62"/>
        <v>GRDFQEKFFQSLTS</v>
      </c>
      <c r="R164" s="5">
        <f>VLOOKUP($A164,'SegEnds_NonXtal_Prot#'!$A:$AL,3,FALSE)</f>
        <v>33</v>
      </c>
      <c r="S164" s="5" t="str">
        <f>VLOOKUP($A164,'SegEnds_NonXtal_Prot#'!$A:$AL,6,FALSE)</f>
        <v>-</v>
      </c>
      <c r="T164" s="5">
        <f>VLOOKUP($A164,'SegEnds_NonXtal_Prot#'!$A:$AL,9,FALSE)</f>
        <v>75</v>
      </c>
      <c r="U164" s="5">
        <f>VLOOKUP($A164,'SegEnds_NonXtal_Prot#'!$A:$AL,12,FALSE)</f>
        <v>106</v>
      </c>
      <c r="V164" s="5">
        <f>VLOOKUP($A164,'SegEnds_NonXtal_Prot#'!$A:$AL,15,FALSE)</f>
        <v>110</v>
      </c>
      <c r="W164" s="5">
        <f>VLOOKUP($A164,'SegEnds_NonXtal_Prot#'!$A:$AL,18,FALSE)</f>
        <v>146</v>
      </c>
      <c r="X164" s="5">
        <f>VLOOKUP($A164,'SegEnds_NonXtal_Prot#'!$A:$AL,21,FALSE)</f>
        <v>154</v>
      </c>
      <c r="Y164" s="5">
        <f>VLOOKUP($A164,'SegEnds_NonXtal_Prot#'!$A:$AL,24,FALSE)</f>
        <v>191</v>
      </c>
      <c r="Z164" s="5">
        <f>VLOOKUP($A164,'SegEnds_NonXtal_Prot#'!$A:$AL,27,FALSE)</f>
        <v>209</v>
      </c>
      <c r="AA164" s="5">
        <f>VLOOKUP($A164,'SegEnds_NonXtal_Prot#'!$A:$AL,30,FALSE)</f>
        <v>251</v>
      </c>
      <c r="AB164" s="5">
        <f>VLOOKUP($A164,'SegEnds_NonXtal_Prot#'!$A:$AL,33,FALSE)</f>
        <v>291</v>
      </c>
      <c r="AC164" s="5">
        <f>VLOOKUP($A164,'SegEnds_NonXtal_Prot#'!$A:$AL,36,FALSE)</f>
        <v>320</v>
      </c>
      <c r="AD164" s="5">
        <f>VLOOKUP($A164,'SegEnds_NonXtal_Prot#'!$A:$AL,5,FALSE)</f>
        <v>71</v>
      </c>
      <c r="AE164" s="5" t="str">
        <f>VLOOKUP($A164,'SegEnds_NonXtal_Prot#'!$A:$AL,8,FALSE)</f>
        <v>-</v>
      </c>
      <c r="AF164" s="5">
        <f>VLOOKUP($A164,'SegEnds_NonXtal_Prot#'!$A:$AL,11,FALSE)</f>
        <v>104</v>
      </c>
      <c r="AG164" s="5">
        <f>VLOOKUP($A164,'SegEnds_NonXtal_Prot#'!$A:$AL,14,FALSE)</f>
        <v>109</v>
      </c>
      <c r="AH164" s="5">
        <f>VLOOKUP($A164,'SegEnds_NonXtal_Prot#'!$A:$AL,17,FALSE)</f>
        <v>145</v>
      </c>
      <c r="AI164" s="5">
        <f>VLOOKUP($A164,'SegEnds_NonXtal_Prot#'!$A:$AL,20,FALSE)</f>
        <v>153</v>
      </c>
      <c r="AJ164" s="5">
        <f>VLOOKUP($A164,'SegEnds_NonXtal_Prot#'!$A:$AL,23,FALSE)</f>
        <v>180</v>
      </c>
      <c r="AK164" s="5">
        <f>VLOOKUP($A164,'SegEnds_NonXtal_Prot#'!$A:$AL,26,FALSE)</f>
        <v>193</v>
      </c>
      <c r="AL164" s="5">
        <f>VLOOKUP($A164,'SegEnds_NonXtal_Prot#'!$A:$AL,29,FALSE)</f>
        <v>246</v>
      </c>
      <c r="AM164" s="5">
        <f>VLOOKUP($A164,'SegEnds_NonXtal_Prot#'!$A:$AL,32,FALSE)</f>
        <v>282</v>
      </c>
      <c r="AN164" s="5">
        <f>VLOOKUP($A164,'SegEnds_NonXtal_Prot#'!$A:$AL,35,FALSE)</f>
        <v>319</v>
      </c>
      <c r="AO164" s="5">
        <f>VLOOKUP($A164,'SegEnds_NonXtal_Prot#'!$A:$AL,38,FALSE)</f>
        <v>333</v>
      </c>
      <c r="AP164" s="5">
        <f t="shared" si="63"/>
        <v>38</v>
      </c>
      <c r="AQ164" s="4" t="str">
        <f t="shared" si="64"/>
        <v>-</v>
      </c>
      <c r="AR164" s="4">
        <f t="shared" si="65"/>
        <v>29</v>
      </c>
      <c r="AS164" s="4">
        <f t="shared" si="66"/>
        <v>3</v>
      </c>
      <c r="AT164" s="4">
        <f t="shared" si="67"/>
        <v>35</v>
      </c>
      <c r="AU164" s="4">
        <f t="shared" si="68"/>
        <v>7</v>
      </c>
      <c r="AV164" s="4">
        <f t="shared" si="69"/>
        <v>26</v>
      </c>
      <c r="AW164" s="4">
        <f t="shared" si="70"/>
        <v>2</v>
      </c>
      <c r="AX164" s="4">
        <f t="shared" si="71"/>
        <v>37</v>
      </c>
      <c r="AY164" s="4">
        <f t="shared" si="72"/>
        <v>31</v>
      </c>
      <c r="AZ164" s="4">
        <f t="shared" si="73"/>
        <v>28</v>
      </c>
      <c r="BA164" s="4">
        <f t="shared" si="74"/>
        <v>13</v>
      </c>
    </row>
    <row r="165" spans="1:53" x14ac:dyDescent="0.2">
      <c r="A165" s="1" t="str">
        <f>'SegEnds_NonXtal_Prot#'!A140</f>
        <v>gpr33_human</v>
      </c>
      <c r="B165" s="1" t="str">
        <f t="shared" si="50"/>
        <v>APASKMIIALSLYISSIIGTITNGLYLWVLRFKTVNTLLFFHLILSYFISTMILPFMATSQLQGTALCKVFNGTLSLGMFTSVFFLSAIGLDRYLLTLHTPRWASSIVLGVWISAAALSIPYLIFRIHVACFISRFLLGFLLPFFIIIFCYERVASKVKERSSKPFKVMMTAIISFFVCWMPYHIHQGLLLTTLELTLILTVLTTSFNTIFSPTLYLFVGENFKKVFKKSILAL</v>
      </c>
      <c r="C165" s="29" t="str">
        <f>IF(ISERROR(MATCH(A165,'SegEnds_Xtal_Prot#'!B:B, 0)), "NoXtal", "Xtal")</f>
        <v>NoXtal</v>
      </c>
      <c r="D165" s="4" t="str">
        <f>VLOOKUP(A165,Classification!A:D,2,FALSE)</f>
        <v>A</v>
      </c>
      <c r="E165" s="5" t="str">
        <f>VLOOKUP(A165,Seqs!A:B,2,FALSE)</f>
        <v>MDLINSTDYLINASTLVRNSTQFLAPASKMIIALSLYISSIIGTITNGLYLWVLRFKMKQTVNTLLFFHLILSYFISTMILPFMATSQLQDNHWNFGTALCKVFNGTLSLGMFTSVFFLSAIGLDRYLLTLHPVWSQQHRTPRWASSIVLGVWISAAALSIPYLIFRETHHDRKGKVTCQNNYAVSTNWESKEMQASRQWIHVACFISRFLLGFLLPFFIIIFCYERVASKVKERSLFKSSKPFKVMMTAIISFFVCWMPYHIHQGLLLTTNQSLLLELTLILTVLTTSFNTIFSPTLYLFVGENFKKVFKKSILALFESTFSEDSSVERTQT</v>
      </c>
      <c r="F165" s="5" t="str">
        <f t="shared" si="51"/>
        <v>APASKMIIALSLYISSIIGTITNGLYLWVLRFK</v>
      </c>
      <c r="G165" s="4" t="str">
        <f t="shared" si="52"/>
        <v/>
      </c>
      <c r="H165" s="4" t="str">
        <f t="shared" si="53"/>
        <v>TVNTLLFFHLILSYFISTMILPFMATSQLQ</v>
      </c>
      <c r="I165" s="4" t="str">
        <f t="shared" si="54"/>
        <v>HWNF</v>
      </c>
      <c r="J165" s="4" t="str">
        <f t="shared" si="55"/>
        <v>GTALCKVFNGTLSLGMFTSVFFLSAIGLDRYLLTLH</v>
      </c>
      <c r="K165" s="4" t="str">
        <f t="shared" si="56"/>
        <v>PVWSQQHR</v>
      </c>
      <c r="L165" s="4" t="str">
        <f t="shared" si="57"/>
        <v>TPRWASSIVLGVWISAAALSIPYLIFR</v>
      </c>
      <c r="M165" s="4" t="str">
        <f t="shared" si="58"/>
        <v>CQN</v>
      </c>
      <c r="N165" s="4" t="str">
        <f t="shared" si="59"/>
        <v>IHVACFISRFLLGFLLPFFIIIFCYERVASKVKER</v>
      </c>
      <c r="O165" s="4" t="str">
        <f t="shared" si="60"/>
        <v>SSKPFKVMMTAIISFFVCWMPYHIHQGLLLTT</v>
      </c>
      <c r="P165" s="4" t="str">
        <f t="shared" si="61"/>
        <v>LELTLILTVLTTSFNTIFSPTLYLFV</v>
      </c>
      <c r="Q165" s="4" t="str">
        <f t="shared" si="62"/>
        <v>GENFKKVFKKSILAL</v>
      </c>
      <c r="R165" s="5">
        <f>VLOOKUP($A165,'SegEnds_NonXtal_Prot#'!$A:$AL,3,FALSE)</f>
        <v>25</v>
      </c>
      <c r="S165" s="5" t="str">
        <f>VLOOKUP($A165,'SegEnds_NonXtal_Prot#'!$A:$AL,6,FALSE)</f>
        <v>-</v>
      </c>
      <c r="T165" s="5">
        <f>VLOOKUP($A165,'SegEnds_NonXtal_Prot#'!$A:$AL,9,FALSE)</f>
        <v>61</v>
      </c>
      <c r="U165" s="5">
        <f>VLOOKUP($A165,'SegEnds_NonXtal_Prot#'!$A:$AL,12,FALSE)</f>
        <v>93</v>
      </c>
      <c r="V165" s="5">
        <f>VLOOKUP($A165,'SegEnds_NonXtal_Prot#'!$A:$AL,15,FALSE)</f>
        <v>97</v>
      </c>
      <c r="W165" s="5">
        <f>VLOOKUP($A165,'SegEnds_NonXtal_Prot#'!$A:$AL,18,FALSE)</f>
        <v>133</v>
      </c>
      <c r="X165" s="5">
        <f>VLOOKUP($A165,'SegEnds_NonXtal_Prot#'!$A:$AL,21,FALSE)</f>
        <v>141</v>
      </c>
      <c r="Y165" s="5">
        <f>VLOOKUP($A165,'SegEnds_NonXtal_Prot#'!$A:$AL,24,FALSE)</f>
        <v>179</v>
      </c>
      <c r="Z165" s="5">
        <f>VLOOKUP($A165,'SegEnds_NonXtal_Prot#'!$A:$AL,27,FALSE)</f>
        <v>201</v>
      </c>
      <c r="AA165" s="5">
        <f>VLOOKUP($A165,'SegEnds_NonXtal_Prot#'!$A:$AL,30,FALSE)</f>
        <v>240</v>
      </c>
      <c r="AB165" s="5">
        <f>VLOOKUP($A165,'SegEnds_NonXtal_Prot#'!$A:$AL,33,FALSE)</f>
        <v>277</v>
      </c>
      <c r="AC165" s="5">
        <f>VLOOKUP($A165,'SegEnds_NonXtal_Prot#'!$A:$AL,36,FALSE)</f>
        <v>303</v>
      </c>
      <c r="AD165" s="5">
        <f>VLOOKUP($A165,'SegEnds_NonXtal_Prot#'!$A:$AL,5,FALSE)</f>
        <v>57</v>
      </c>
      <c r="AE165" s="5" t="str">
        <f>VLOOKUP($A165,'SegEnds_NonXtal_Prot#'!$A:$AL,8,FALSE)</f>
        <v>-</v>
      </c>
      <c r="AF165" s="5">
        <f>VLOOKUP($A165,'SegEnds_NonXtal_Prot#'!$A:$AL,11,FALSE)</f>
        <v>90</v>
      </c>
      <c r="AG165" s="5">
        <f>VLOOKUP($A165,'SegEnds_NonXtal_Prot#'!$A:$AL,14,FALSE)</f>
        <v>96</v>
      </c>
      <c r="AH165" s="5">
        <f>VLOOKUP($A165,'SegEnds_NonXtal_Prot#'!$A:$AL,17,FALSE)</f>
        <v>132</v>
      </c>
      <c r="AI165" s="5">
        <f>VLOOKUP($A165,'SegEnds_NonXtal_Prot#'!$A:$AL,20,FALSE)</f>
        <v>140</v>
      </c>
      <c r="AJ165" s="5">
        <f>VLOOKUP($A165,'SegEnds_NonXtal_Prot#'!$A:$AL,23,FALSE)</f>
        <v>167</v>
      </c>
      <c r="AK165" s="5">
        <f>VLOOKUP($A165,'SegEnds_NonXtal_Prot#'!$A:$AL,26,FALSE)</f>
        <v>181</v>
      </c>
      <c r="AL165" s="5">
        <f>VLOOKUP($A165,'SegEnds_NonXtal_Prot#'!$A:$AL,29,FALSE)</f>
        <v>235</v>
      </c>
      <c r="AM165" s="5">
        <f>VLOOKUP($A165,'SegEnds_NonXtal_Prot#'!$A:$AL,32,FALSE)</f>
        <v>271</v>
      </c>
      <c r="AN165" s="5">
        <f>VLOOKUP($A165,'SegEnds_NonXtal_Prot#'!$A:$AL,35,FALSE)</f>
        <v>302</v>
      </c>
      <c r="AO165" s="5">
        <f>VLOOKUP($A165,'SegEnds_NonXtal_Prot#'!$A:$AL,38,FALSE)</f>
        <v>317</v>
      </c>
      <c r="AP165" s="5">
        <f t="shared" si="63"/>
        <v>32</v>
      </c>
      <c r="AQ165" s="4" t="str">
        <f t="shared" si="64"/>
        <v>-</v>
      </c>
      <c r="AR165" s="4">
        <f t="shared" si="65"/>
        <v>29</v>
      </c>
      <c r="AS165" s="4">
        <f t="shared" si="66"/>
        <v>3</v>
      </c>
      <c r="AT165" s="4">
        <f t="shared" si="67"/>
        <v>35</v>
      </c>
      <c r="AU165" s="4">
        <f t="shared" si="68"/>
        <v>7</v>
      </c>
      <c r="AV165" s="4">
        <f t="shared" si="69"/>
        <v>26</v>
      </c>
      <c r="AW165" s="4">
        <f t="shared" si="70"/>
        <v>2</v>
      </c>
      <c r="AX165" s="4">
        <f t="shared" si="71"/>
        <v>34</v>
      </c>
      <c r="AY165" s="4">
        <f t="shared" si="72"/>
        <v>31</v>
      </c>
      <c r="AZ165" s="4">
        <f t="shared" si="73"/>
        <v>25</v>
      </c>
      <c r="BA165" s="4">
        <f t="shared" si="74"/>
        <v>14</v>
      </c>
    </row>
    <row r="166" spans="1:53" x14ac:dyDescent="0.2">
      <c r="A166" s="1" t="str">
        <f>'SegEnds_NonXtal_Prot#'!A141</f>
        <v>gpr34_human</v>
      </c>
      <c r="B166" s="1" t="str">
        <f t="shared" si="50"/>
        <v>DEKLLSTVLTTSYSVIFIVGLVGNIIALYVFLGIHNSIQIYLLNVAIADLLLIFCLPFRIMYHINQGVILCKVVGTLFYMNMYISIILLGFISLDRYIKINRTTKQSIYVCCIVWMLALGGFLTMIILAKGEAIFNFILVVMFWLIFLLIILSYIKIGKNLLRIKFPNSGKYATTARNSFIVLIIFTICFVPYHAFRFIYISSSCYWKEIVHKTNEIMLVLSSFNSCLDPVMYFLMSSNIRKIMCQLLFRRFQ</v>
      </c>
      <c r="C166" s="29" t="str">
        <f>IF(ISERROR(MATCH(A166,'SegEnds_Xtal_Prot#'!B:B, 0)), "NoXtal", "Xtal")</f>
        <v>NoXtal</v>
      </c>
      <c r="D166" s="4" t="str">
        <f>VLOOKUP(A166,Classification!A:D,2,FALSE)</f>
        <v>A</v>
      </c>
      <c r="E166" s="5" t="str">
        <f>VLOOKUP(A166,Seqs!A:B,2,FALSE)</f>
        <v>MRSHTITMTTTSVSSWPYSSHRMRFITNHSDQPPQNFSATPNVTTCPMDEKLLSTVLTTSYSVIFIVGLVGNIIALYVFLGIHRKRNSIQIYLLNVAIADLLLIFCLPFRIMYHINQNKWTLGVILCKVVGTLFYMNMYISIILLGFISLDRYIKINRSIQQRKAITTKQSIYVCCIVWMLALGGFLTMIILTLKKGGHNSTMCFHYRDKHNAKGEAIFNFILVVMFWLIFLLIILSYIKIGKNLLRISKRRSKFPNSGKYATTARNSFIVLIIFTICFVPYHAFRFIYISSQLNVSSCYWKEIVHKTNEIMLVLSSFNSCLDPVMYFLMSSNIRKIMCQLLFRRFQGEPSRSESTSEFKPGYSLHDTSVAVKIQSSSKST</v>
      </c>
      <c r="F166" s="5" t="str">
        <f t="shared" si="51"/>
        <v>DEKLLSTVLTTSYSVIFIVGLVGNIIALYVFLGIH</v>
      </c>
      <c r="G166" s="4" t="str">
        <f t="shared" si="52"/>
        <v/>
      </c>
      <c r="H166" s="4" t="str">
        <f t="shared" si="53"/>
        <v>NSIQIYLLNVAIADLLLIFCLPFRIMYHINQ</v>
      </c>
      <c r="I166" s="4" t="str">
        <f t="shared" si="54"/>
        <v>KWTL</v>
      </c>
      <c r="J166" s="4" t="str">
        <f t="shared" si="55"/>
        <v>GVILCKVVGTLFYMNMYISIILLGFISLDRYIKINR</v>
      </c>
      <c r="K166" s="4" t="str">
        <f t="shared" si="56"/>
        <v>SIQQRKAI</v>
      </c>
      <c r="L166" s="4" t="str">
        <f t="shared" si="57"/>
        <v>TTKQSIYVCCIVWMLALGGFLTMIIL</v>
      </c>
      <c r="M166" s="4" t="str">
        <f t="shared" si="58"/>
        <v>CFH</v>
      </c>
      <c r="N166" s="4" t="str">
        <f t="shared" si="59"/>
        <v>AKGEAIFNFILVVMFWLIFLLIILSYIKIGKNLLRI</v>
      </c>
      <c r="O166" s="4" t="str">
        <f t="shared" si="60"/>
        <v>KFPNSGKYATTARNSFIVLIIFTICFVPYHAFRFIYISS</v>
      </c>
      <c r="P166" s="4" t="str">
        <f t="shared" si="61"/>
        <v>SCYWKEIVHKTNEIMLVLSSFNSCLDPVMYFLMSSN</v>
      </c>
      <c r="Q166" s="4" t="str">
        <f t="shared" si="62"/>
        <v>IRKIMCQLLFRRFQ</v>
      </c>
      <c r="R166" s="5">
        <f>VLOOKUP($A166,'SegEnds_NonXtal_Prot#'!$A:$AL,3,FALSE)</f>
        <v>49</v>
      </c>
      <c r="S166" s="5" t="str">
        <f>VLOOKUP($A166,'SegEnds_NonXtal_Prot#'!$A:$AL,6,FALSE)</f>
        <v>-</v>
      </c>
      <c r="T166" s="5">
        <f>VLOOKUP($A166,'SegEnds_NonXtal_Prot#'!$A:$AL,9,FALSE)</f>
        <v>87</v>
      </c>
      <c r="U166" s="5">
        <f>VLOOKUP($A166,'SegEnds_NonXtal_Prot#'!$A:$AL,12,FALSE)</f>
        <v>119</v>
      </c>
      <c r="V166" s="5">
        <f>VLOOKUP($A166,'SegEnds_NonXtal_Prot#'!$A:$AL,15,FALSE)</f>
        <v>123</v>
      </c>
      <c r="W166" s="5">
        <f>VLOOKUP($A166,'SegEnds_NonXtal_Prot#'!$A:$AL,18,FALSE)</f>
        <v>159</v>
      </c>
      <c r="X166" s="5">
        <f>VLOOKUP($A166,'SegEnds_NonXtal_Prot#'!$A:$AL,21,FALSE)</f>
        <v>167</v>
      </c>
      <c r="Y166" s="5">
        <f>VLOOKUP($A166,'SegEnds_NonXtal_Prot#'!$A:$AL,24,FALSE)</f>
        <v>204</v>
      </c>
      <c r="Z166" s="5">
        <f>VLOOKUP($A166,'SegEnds_NonXtal_Prot#'!$A:$AL,27,FALSE)</f>
        <v>213</v>
      </c>
      <c r="AA166" s="5">
        <f>VLOOKUP($A166,'SegEnds_NonXtal_Prot#'!$A:$AL,30,FALSE)</f>
        <v>254</v>
      </c>
      <c r="AB166" s="5">
        <f>VLOOKUP($A166,'SegEnds_NonXtal_Prot#'!$A:$AL,33,FALSE)</f>
        <v>298</v>
      </c>
      <c r="AC166" s="5">
        <f>VLOOKUP($A166,'SegEnds_NonXtal_Prot#'!$A:$AL,36,FALSE)</f>
        <v>334</v>
      </c>
      <c r="AD166" s="5">
        <f>VLOOKUP($A166,'SegEnds_NonXtal_Prot#'!$A:$AL,5,FALSE)</f>
        <v>83</v>
      </c>
      <c r="AE166" s="5" t="str">
        <f>VLOOKUP($A166,'SegEnds_NonXtal_Prot#'!$A:$AL,8,FALSE)</f>
        <v>-</v>
      </c>
      <c r="AF166" s="5">
        <f>VLOOKUP($A166,'SegEnds_NonXtal_Prot#'!$A:$AL,11,FALSE)</f>
        <v>117</v>
      </c>
      <c r="AG166" s="5">
        <f>VLOOKUP($A166,'SegEnds_NonXtal_Prot#'!$A:$AL,14,FALSE)</f>
        <v>122</v>
      </c>
      <c r="AH166" s="5">
        <f>VLOOKUP($A166,'SegEnds_NonXtal_Prot#'!$A:$AL,17,FALSE)</f>
        <v>158</v>
      </c>
      <c r="AI166" s="5">
        <f>VLOOKUP($A166,'SegEnds_NonXtal_Prot#'!$A:$AL,20,FALSE)</f>
        <v>166</v>
      </c>
      <c r="AJ166" s="5">
        <f>VLOOKUP($A166,'SegEnds_NonXtal_Prot#'!$A:$AL,23,FALSE)</f>
        <v>192</v>
      </c>
      <c r="AK166" s="5">
        <f>VLOOKUP($A166,'SegEnds_NonXtal_Prot#'!$A:$AL,26,FALSE)</f>
        <v>206</v>
      </c>
      <c r="AL166" s="5">
        <f>VLOOKUP($A166,'SegEnds_NonXtal_Prot#'!$A:$AL,29,FALSE)</f>
        <v>248</v>
      </c>
      <c r="AM166" s="5">
        <f>VLOOKUP($A166,'SegEnds_NonXtal_Prot#'!$A:$AL,32,FALSE)</f>
        <v>292</v>
      </c>
      <c r="AN166" s="5">
        <f>VLOOKUP($A166,'SegEnds_NonXtal_Prot#'!$A:$AL,35,FALSE)</f>
        <v>333</v>
      </c>
      <c r="AO166" s="5">
        <f>VLOOKUP($A166,'SegEnds_NonXtal_Prot#'!$A:$AL,38,FALSE)</f>
        <v>347</v>
      </c>
      <c r="AP166" s="5">
        <f t="shared" si="63"/>
        <v>34</v>
      </c>
      <c r="AQ166" s="4" t="str">
        <f t="shared" si="64"/>
        <v>-</v>
      </c>
      <c r="AR166" s="4">
        <f t="shared" si="65"/>
        <v>30</v>
      </c>
      <c r="AS166" s="4">
        <f t="shared" si="66"/>
        <v>3</v>
      </c>
      <c r="AT166" s="4">
        <f t="shared" si="67"/>
        <v>35</v>
      </c>
      <c r="AU166" s="4">
        <f t="shared" si="68"/>
        <v>7</v>
      </c>
      <c r="AV166" s="4">
        <f t="shared" si="69"/>
        <v>25</v>
      </c>
      <c r="AW166" s="4">
        <f t="shared" si="70"/>
        <v>2</v>
      </c>
      <c r="AX166" s="4">
        <f t="shared" si="71"/>
        <v>35</v>
      </c>
      <c r="AY166" s="4">
        <f t="shared" si="72"/>
        <v>38</v>
      </c>
      <c r="AZ166" s="4">
        <f t="shared" si="73"/>
        <v>35</v>
      </c>
      <c r="BA166" s="4">
        <f t="shared" si="74"/>
        <v>13</v>
      </c>
    </row>
    <row r="167" spans="1:53" x14ac:dyDescent="0.2">
      <c r="A167" s="1" t="str">
        <f>'SegEnds_NonXtal_Prot#'!A142</f>
        <v>gpr35_human</v>
      </c>
      <c r="B167" s="1" t="str">
        <f t="shared" si="50"/>
        <v>WPPAIKLGFYAYLGVLLVLGLLLNSLALWVFCCRTETRIYMTNLAVADLCLLCTLPFVLHSLRDLCQLSQGIYLTNRYMSISLVTAIAVDRYVAVRHSPRQAAAVCAVLWVLVIGSLVARWLLGHNFNSMAFPLLGFYLPLAVVVFCSLKVVTALAQRVGQAEATRKAARMVWANLLVFVVCFLPLHVGLTVRLAVLETIRRALYITSKLSDANCCLDAICYYYMAKEFQEASALAV</v>
      </c>
      <c r="C167" s="29" t="str">
        <f>IF(ISERROR(MATCH(A167,'SegEnds_Xtal_Prot#'!B:B, 0)), "NoXtal", "Xtal")</f>
        <v>NoXtal</v>
      </c>
      <c r="D167" s="4" t="str">
        <f>VLOOKUP(A167,Classification!A:D,2,FALSE)</f>
        <v>A</v>
      </c>
      <c r="E167" s="5" t="str">
        <f>VLOOKUP(A167,Seqs!A:B,2,FALSE)</f>
        <v>MNGTYNTCGSSDLTWPPAIKLGFYAYLGVLLVLGLLLNSLALWVFCCRMQQWTETRIYMTNLAVADLCLLCTLPFVLHSLRDTSDTPLCQLSQGIYLTNRYMSISLVTAIAVDRYVAVRHPLRARGLRSPRQAAAVCAVLWVLVIGSLVARWLLGIQEGGFCFRSTRHNFNSMAFPLLGFYLPLAVVVFCSLKVVTALAQRPPTDVGQAEATRKAARMVWANLLVFVVCFLPLHVGLTVRLAVGWNACALLETIRRALYITSKLSDANCCLDAICYYYMAKEFQEASALAVAPSAKAHKSQDSLCVTLA</v>
      </c>
      <c r="F167" s="5" t="str">
        <f t="shared" si="51"/>
        <v>WPPAIKLGFYAYLGVLLVLGLLLNSLALWVFCCR</v>
      </c>
      <c r="G167" s="4" t="str">
        <f t="shared" si="52"/>
        <v>MQQW</v>
      </c>
      <c r="H167" s="4" t="str">
        <f t="shared" si="53"/>
        <v>TETRIYMTNLAVADLCLLCTLPFVLHSLRD</v>
      </c>
      <c r="I167" s="4" t="str">
        <f t="shared" si="54"/>
        <v/>
      </c>
      <c r="J167" s="4" t="str">
        <f t="shared" si="55"/>
        <v>LCQLSQGIYLTNRYMSISLVTAIAVDRYVAVRH</v>
      </c>
      <c r="K167" s="4" t="str">
        <f t="shared" si="56"/>
        <v>PLRARGLR</v>
      </c>
      <c r="L167" s="4" t="str">
        <f t="shared" si="57"/>
        <v>SPRQAAAVCAVLWVLVIGSLVARWLLG</v>
      </c>
      <c r="M167" s="4" t="str">
        <f t="shared" si="58"/>
        <v>CFR</v>
      </c>
      <c r="N167" s="4" t="str">
        <f t="shared" si="59"/>
        <v>HNFNSMAFPLLGFYLPLAVVVFCSLKVVTALAQR</v>
      </c>
      <c r="O167" s="4" t="str">
        <f t="shared" si="60"/>
        <v>VGQAEATRKAARMVWANLLVFVVCFLPLHVGLTVRLAV</v>
      </c>
      <c r="P167" s="4" t="str">
        <f t="shared" si="61"/>
        <v>LETIRRALYITSKLSDANCCLDAICYYYM</v>
      </c>
      <c r="Q167" s="4" t="str">
        <f t="shared" si="62"/>
        <v>AKEFQEASALAV</v>
      </c>
      <c r="R167" s="5">
        <f>VLOOKUP($A167,'SegEnds_NonXtal_Prot#'!$A:$AL,3,FALSE)</f>
        <v>15</v>
      </c>
      <c r="S167" s="5">
        <f>VLOOKUP($A167,'SegEnds_NonXtal_Prot#'!$A:$AL,6,FALSE)</f>
        <v>49</v>
      </c>
      <c r="T167" s="5">
        <f>VLOOKUP($A167,'SegEnds_NonXtal_Prot#'!$A:$AL,9,FALSE)</f>
        <v>53</v>
      </c>
      <c r="U167" s="5" t="str">
        <f>VLOOKUP($A167,'SegEnds_NonXtal_Prot#'!$A:$AL,12,FALSE)</f>
        <v>-</v>
      </c>
      <c r="V167" s="5">
        <f>VLOOKUP($A167,'SegEnds_NonXtal_Prot#'!$A:$AL,15,FALSE)</f>
        <v>88</v>
      </c>
      <c r="W167" s="5">
        <f>VLOOKUP($A167,'SegEnds_NonXtal_Prot#'!$A:$AL,18,FALSE)</f>
        <v>121</v>
      </c>
      <c r="X167" s="5">
        <f>VLOOKUP($A167,'SegEnds_NonXtal_Prot#'!$A:$AL,21,FALSE)</f>
        <v>129</v>
      </c>
      <c r="Y167" s="5">
        <f>VLOOKUP($A167,'SegEnds_NonXtal_Prot#'!$A:$AL,24,FALSE)</f>
        <v>162</v>
      </c>
      <c r="Z167" s="5">
        <f>VLOOKUP($A167,'SegEnds_NonXtal_Prot#'!$A:$AL,27,FALSE)</f>
        <v>168</v>
      </c>
      <c r="AA167" s="5">
        <f>VLOOKUP($A167,'SegEnds_NonXtal_Prot#'!$A:$AL,30,FALSE)</f>
        <v>206</v>
      </c>
      <c r="AB167" s="5">
        <f>VLOOKUP($A167,'SegEnds_NonXtal_Prot#'!$A:$AL,33,FALSE)</f>
        <v>251</v>
      </c>
      <c r="AC167" s="5">
        <f>VLOOKUP($A167,'SegEnds_NonXtal_Prot#'!$A:$AL,36,FALSE)</f>
        <v>280</v>
      </c>
      <c r="AD167" s="5">
        <f>VLOOKUP($A167,'SegEnds_NonXtal_Prot#'!$A:$AL,5,FALSE)</f>
        <v>48</v>
      </c>
      <c r="AE167" s="5">
        <f>VLOOKUP($A167,'SegEnds_NonXtal_Prot#'!$A:$AL,8,FALSE)</f>
        <v>52</v>
      </c>
      <c r="AF167" s="5">
        <f>VLOOKUP($A167,'SegEnds_NonXtal_Prot#'!$A:$AL,11,FALSE)</f>
        <v>82</v>
      </c>
      <c r="AG167" s="5" t="str">
        <f>VLOOKUP($A167,'SegEnds_NonXtal_Prot#'!$A:$AL,14,FALSE)</f>
        <v>-</v>
      </c>
      <c r="AH167" s="5">
        <f>VLOOKUP($A167,'SegEnds_NonXtal_Prot#'!$A:$AL,17,FALSE)</f>
        <v>120</v>
      </c>
      <c r="AI167" s="5">
        <f>VLOOKUP($A167,'SegEnds_NonXtal_Prot#'!$A:$AL,20,FALSE)</f>
        <v>128</v>
      </c>
      <c r="AJ167" s="5">
        <f>VLOOKUP($A167,'SegEnds_NonXtal_Prot#'!$A:$AL,23,FALSE)</f>
        <v>155</v>
      </c>
      <c r="AK167" s="5">
        <f>VLOOKUP($A167,'SegEnds_NonXtal_Prot#'!$A:$AL,26,FALSE)</f>
        <v>164</v>
      </c>
      <c r="AL167" s="5">
        <f>VLOOKUP($A167,'SegEnds_NonXtal_Prot#'!$A:$AL,29,FALSE)</f>
        <v>201</v>
      </c>
      <c r="AM167" s="5">
        <f>VLOOKUP($A167,'SegEnds_NonXtal_Prot#'!$A:$AL,32,FALSE)</f>
        <v>243</v>
      </c>
      <c r="AN167" s="5">
        <f>VLOOKUP($A167,'SegEnds_NonXtal_Prot#'!$A:$AL,35,FALSE)</f>
        <v>279</v>
      </c>
      <c r="AO167" s="5">
        <f>VLOOKUP($A167,'SegEnds_NonXtal_Prot#'!$A:$AL,38,FALSE)</f>
        <v>291</v>
      </c>
      <c r="AP167" s="5">
        <f t="shared" si="63"/>
        <v>33</v>
      </c>
      <c r="AQ167" s="4">
        <f t="shared" si="64"/>
        <v>3</v>
      </c>
      <c r="AR167" s="4">
        <f t="shared" si="65"/>
        <v>29</v>
      </c>
      <c r="AS167" s="4" t="str">
        <f t="shared" si="66"/>
        <v>-</v>
      </c>
      <c r="AT167" s="4">
        <f t="shared" si="67"/>
        <v>32</v>
      </c>
      <c r="AU167" s="4">
        <f t="shared" si="68"/>
        <v>7</v>
      </c>
      <c r="AV167" s="4">
        <f t="shared" si="69"/>
        <v>26</v>
      </c>
      <c r="AW167" s="4">
        <f t="shared" si="70"/>
        <v>2</v>
      </c>
      <c r="AX167" s="4">
        <f t="shared" si="71"/>
        <v>33</v>
      </c>
      <c r="AY167" s="4">
        <f t="shared" si="72"/>
        <v>37</v>
      </c>
      <c r="AZ167" s="4">
        <f t="shared" si="73"/>
        <v>28</v>
      </c>
      <c r="BA167" s="4">
        <f t="shared" si="74"/>
        <v>11</v>
      </c>
    </row>
    <row r="168" spans="1:53" x14ac:dyDescent="0.2">
      <c r="A168" s="1" t="str">
        <f>'SegEnds_NonXtal_Prot#'!A143</f>
        <v>gpr37_human</v>
      </c>
      <c r="B168" s="1" t="str">
        <f t="shared" si="50"/>
        <v>FYPLTQESYGAYAVMCLSVVIFGTGIIGNLAVMCIVCHNSISNSLLANLAFWDFLIIFFCLPLVIFHELTEDFSCKIVPYIEVASLGVTTFTLCALCIDRFRAATNNCSSTTAKLAVIWVGALLLALPEVVLRYVLALTYDSARLWWYFGCYFCLPTLFTITCSLVTARKIRKAEKACKRQIQLESQMNCTVVALTILYGFCIIPENICNIVTAYMTGVSQQTMDLLNIISQFLLFFKSCVTPVLLFCLCKPFSRAFMECCCC</v>
      </c>
      <c r="C168" s="29" t="str">
        <f>IF(ISERROR(MATCH(A168,'SegEnds_Xtal_Prot#'!B:B, 0)), "NoXtal", "Xtal")</f>
        <v>NoXtal</v>
      </c>
      <c r="D168" s="4" t="str">
        <f>VLOOKUP(A168,Classification!A:D,2,FALSE)</f>
        <v>A</v>
      </c>
      <c r="E168" s="5" t="str">
        <f>VLOOKUP(A168,Seqs!A:B,2,FALSE)</f>
        <v>MRAPGALLARMSRLLLLLLLKVSASSALGVAPASRNETCLGESCAPTVIQRRGRDAWGPGNSARDVLRARAPREEQGAAFLAGPSWDLPAAPGRDPAAGRGAEASAAGPPGPPTRPPGPWRWKGARGQEPSETLGRGNPTALQLFLQISEEEEKGPRGAGISGRSQEQSVKTVPGASDLFYWPRRAGKLQGSHHKPLSKTANGLAGHEGWTIALPGRALAQNGSLGEGIHEPGGPRRGNSTNRRVRLKNPFYPLTQESYGAYAVMCLSVVIFGTGIIGNLAVMCIVCHNYYMRSISNSLLANLAFWDFLIIFFCLPLVIFHELTKKWLLEDFSCKIVPYIEVASLGVTTFTLCALCIDRFRAATNVQMYYEMIENCSSTTAKLAVIWVGALLLALPEVVLRQLSKEDLGFSGRAPAERCIIKISPDLPDTIYVLALTYDSARLWWYFGCYFCLPTLFTITCSLVTARKIRKAEKACTRGNKRQIQLESQMNCTVVALTILYGFCIIPENICNIVTAYMATGVSQQTMDLLNIISQFLLFFKSCVTPVLLFCLCKPFSRAFMECCCCCCEECIQKSSTVTSDDNDNEYTTELELSPFSTIRREMSTFASVGTHC</v>
      </c>
      <c r="F168" s="5" t="str">
        <f t="shared" si="51"/>
        <v>FYPLTQESYGAYAVMCLSVVIFGTGIIGNLAVMCIVCHN</v>
      </c>
      <c r="G168" s="4" t="str">
        <f t="shared" si="52"/>
        <v>YYMR</v>
      </c>
      <c r="H168" s="4" t="str">
        <f t="shared" si="53"/>
        <v>SISNSLLANLAFWDFLIIFFCLPLVIFHELT</v>
      </c>
      <c r="I168" s="4" t="str">
        <f t="shared" si="54"/>
        <v>KWLL</v>
      </c>
      <c r="J168" s="4" t="str">
        <f t="shared" si="55"/>
        <v>EDFSCKIVPYIEVASLGVTTFTLCALCIDRFRAATN</v>
      </c>
      <c r="K168" s="4" t="str">
        <f t="shared" si="56"/>
        <v>QMYYEMIE</v>
      </c>
      <c r="L168" s="4" t="str">
        <f t="shared" si="57"/>
        <v>NCSSTTAKLAVIWVGALLLALPEVVLR</v>
      </c>
      <c r="M168" s="4" t="str">
        <f t="shared" si="58"/>
        <v>CII</v>
      </c>
      <c r="N168" s="4" t="str">
        <f t="shared" si="59"/>
        <v>YVLALTYDSARLWWYFGCYFCLPTLFTITCSLVTARKIRKAEKAC</v>
      </c>
      <c r="O168" s="4" t="str">
        <f t="shared" si="60"/>
        <v>KRQIQLESQMNCTVVALTILYGFCIIPENICNIVTAYM</v>
      </c>
      <c r="P168" s="4" t="str">
        <f t="shared" si="61"/>
        <v>TGVSQQTMDLLNIISQFLLFFKSCVTPVLLFCL</v>
      </c>
      <c r="Q168" s="4" t="str">
        <f t="shared" si="62"/>
        <v>CKPFSRAFMECCCC</v>
      </c>
      <c r="R168" s="5">
        <f>VLOOKUP($A168,'SegEnds_NonXtal_Prot#'!$A:$AL,3,FALSE)</f>
        <v>251</v>
      </c>
      <c r="S168" s="5">
        <f>VLOOKUP($A168,'SegEnds_NonXtal_Prot#'!$A:$AL,6,FALSE)</f>
        <v>290</v>
      </c>
      <c r="T168" s="5">
        <f>VLOOKUP($A168,'SegEnds_NonXtal_Prot#'!$A:$AL,9,FALSE)</f>
        <v>294</v>
      </c>
      <c r="U168" s="5">
        <f>VLOOKUP($A168,'SegEnds_NonXtal_Prot#'!$A:$AL,12,FALSE)</f>
        <v>326</v>
      </c>
      <c r="V168" s="5">
        <f>VLOOKUP($A168,'SegEnds_NonXtal_Prot#'!$A:$AL,15,FALSE)</f>
        <v>330</v>
      </c>
      <c r="W168" s="5">
        <f>VLOOKUP($A168,'SegEnds_NonXtal_Prot#'!$A:$AL,18,FALSE)</f>
        <v>367</v>
      </c>
      <c r="X168" s="5">
        <f>VLOOKUP($A168,'SegEnds_NonXtal_Prot#'!$A:$AL,21,FALSE)</f>
        <v>375</v>
      </c>
      <c r="Y168" s="5">
        <f>VLOOKUP($A168,'SegEnds_NonXtal_Prot#'!$A:$AL,24,FALSE)</f>
        <v>419</v>
      </c>
      <c r="Z168" s="5">
        <f>VLOOKUP($A168,'SegEnds_NonXtal_Prot#'!$A:$AL,27,FALSE)</f>
        <v>432</v>
      </c>
      <c r="AA168" s="5">
        <f>VLOOKUP($A168,'SegEnds_NonXtal_Prot#'!$A:$AL,30,FALSE)</f>
        <v>481</v>
      </c>
      <c r="AB168" s="5">
        <f>VLOOKUP($A168,'SegEnds_NonXtal_Prot#'!$A:$AL,33,FALSE)</f>
        <v>520</v>
      </c>
      <c r="AC168" s="5">
        <f>VLOOKUP($A168,'SegEnds_NonXtal_Prot#'!$A:$AL,36,FALSE)</f>
        <v>553</v>
      </c>
      <c r="AD168" s="5">
        <f>VLOOKUP($A168,'SegEnds_NonXtal_Prot#'!$A:$AL,5,FALSE)</f>
        <v>289</v>
      </c>
      <c r="AE168" s="5">
        <f>VLOOKUP($A168,'SegEnds_NonXtal_Prot#'!$A:$AL,8,FALSE)</f>
        <v>293</v>
      </c>
      <c r="AF168" s="5">
        <f>VLOOKUP($A168,'SegEnds_NonXtal_Prot#'!$A:$AL,11,FALSE)</f>
        <v>324</v>
      </c>
      <c r="AG168" s="5">
        <f>VLOOKUP($A168,'SegEnds_NonXtal_Prot#'!$A:$AL,14,FALSE)</f>
        <v>329</v>
      </c>
      <c r="AH168" s="5">
        <f>VLOOKUP($A168,'SegEnds_NonXtal_Prot#'!$A:$AL,17,FALSE)</f>
        <v>365</v>
      </c>
      <c r="AI168" s="5">
        <f>VLOOKUP($A168,'SegEnds_NonXtal_Prot#'!$A:$AL,20,FALSE)</f>
        <v>374</v>
      </c>
      <c r="AJ168" s="5">
        <f>VLOOKUP($A168,'SegEnds_NonXtal_Prot#'!$A:$AL,23,FALSE)</f>
        <v>401</v>
      </c>
      <c r="AK168" s="5">
        <f>VLOOKUP($A168,'SegEnds_NonXtal_Prot#'!$A:$AL,26,FALSE)</f>
        <v>421</v>
      </c>
      <c r="AL168" s="5">
        <f>VLOOKUP($A168,'SegEnds_NonXtal_Prot#'!$A:$AL,29,FALSE)</f>
        <v>476</v>
      </c>
      <c r="AM168" s="5">
        <f>VLOOKUP($A168,'SegEnds_NonXtal_Prot#'!$A:$AL,32,FALSE)</f>
        <v>518</v>
      </c>
      <c r="AN168" s="5">
        <f>VLOOKUP($A168,'SegEnds_NonXtal_Prot#'!$A:$AL,35,FALSE)</f>
        <v>552</v>
      </c>
      <c r="AO168" s="5">
        <f>VLOOKUP($A168,'SegEnds_NonXtal_Prot#'!$A:$AL,38,FALSE)</f>
        <v>566</v>
      </c>
      <c r="AP168" s="5">
        <f t="shared" si="63"/>
        <v>38</v>
      </c>
      <c r="AQ168" s="4">
        <f t="shared" si="64"/>
        <v>3</v>
      </c>
      <c r="AR168" s="4">
        <f t="shared" si="65"/>
        <v>30</v>
      </c>
      <c r="AS168" s="4">
        <f t="shared" si="66"/>
        <v>3</v>
      </c>
      <c r="AT168" s="4">
        <f t="shared" si="67"/>
        <v>35</v>
      </c>
      <c r="AU168" s="4">
        <f t="shared" si="68"/>
        <v>7</v>
      </c>
      <c r="AV168" s="4">
        <f t="shared" si="69"/>
        <v>26</v>
      </c>
      <c r="AW168" s="4">
        <f t="shared" si="70"/>
        <v>2</v>
      </c>
      <c r="AX168" s="4">
        <f t="shared" si="71"/>
        <v>44</v>
      </c>
      <c r="AY168" s="4">
        <f t="shared" si="72"/>
        <v>37</v>
      </c>
      <c r="AZ168" s="4">
        <f t="shared" si="73"/>
        <v>32</v>
      </c>
      <c r="BA168" s="4">
        <f t="shared" si="74"/>
        <v>13</v>
      </c>
    </row>
    <row r="169" spans="1:53" x14ac:dyDescent="0.2">
      <c r="A169" s="1" t="str">
        <f>'SegEnds_NonXtal_Prot#'!A144</f>
        <v>gpr39_human</v>
      </c>
      <c r="B169" s="1" t="str">
        <f t="shared" si="50"/>
        <v>TWIKITLILVYLIIFVMGLLGNSATIRVTQVLKEVTDHMVSLACSDILVFLIGMPMEFYSIIWNTSSYTLSCKLHTFLFEACSYATLLHVLTLSFERYIAICHGPCQVKLLIGFVWVTSALVALPLLFAMRWTVFQSSIFGAFVVYLVVLLSVAFMCWNMMQVLMKSQKGSLEESRTARRQTIIFLRLIVVTLAVCWMPNQIRRIMAAAKTRSYFRAYMILLPFSETFFYLSSVINPLLYTVSSQQFRRVFVQVL</v>
      </c>
      <c r="C169" s="29" t="str">
        <f>IF(ISERROR(MATCH(A169,'SegEnds_Xtal_Prot#'!B:B, 0)), "NoXtal", "Xtal")</f>
        <v>NoXtal</v>
      </c>
      <c r="D169" s="4" t="str">
        <f>VLOOKUP(A169,Classification!A:D,2,FALSE)</f>
        <v>A</v>
      </c>
      <c r="E169" s="5" t="str">
        <f>VLOOKUP(A169,Seqs!A:B,2,FALSE)</f>
        <v>MASPSLPGSDCSQIIDHSHVPEFEVATWIKITLILVYLIIFVMGLLGNSATIRVTQVLQKKGYLQKEVTDHMVSLACSDILVFLIGMPMEFYSIIWNPLTTSSYTLSCKLHTFLFEACSYATLLHVLTLSFERYIAICHPFRYKAVSGPCQVKLLIGFVWVTSALVALPLLFAMGTEYPLVNVPSHRGLTCNRSSTRHHEQPETSNMSICTNLSSRWTVFQSSIFGAFVVYLVVLLSVAFMCWNMMQVLMKSQKGSLAGGTRPPQLRKSESEESRTARRQTIIFLRLIVVTLAVCWMPNQIRRIMAAAKPKHDWTRSYFRAYMILLPFSETFFYLSSVINPLLYTVSSQQFRRVFVQVLCCRLSLQHANHEKRLRVHAHSTTDSARFVQRPLLFASRRQSSARRTEKIFLSTFQSEAEPQSKSQSLSLESLEPNSGAKPANSAAENGFQEHEV</v>
      </c>
      <c r="F169" s="5" t="str">
        <f t="shared" si="51"/>
        <v>TWIKITLILVYLIIFVMGLLGNSATIRVTQVL</v>
      </c>
      <c r="G169" s="4" t="str">
        <f t="shared" si="52"/>
        <v/>
      </c>
      <c r="H169" s="4" t="str">
        <f t="shared" si="53"/>
        <v>KEVTDHMVSLACSDILVFLIGMPMEFYSIIWN</v>
      </c>
      <c r="I169" s="4" t="str">
        <f t="shared" si="54"/>
        <v/>
      </c>
      <c r="J169" s="4" t="str">
        <f t="shared" si="55"/>
        <v>TSSYTLSCKLHTFLFEACSYATLLHVLTLSFERYIAICH</v>
      </c>
      <c r="K169" s="4" t="str">
        <f t="shared" si="56"/>
        <v>PFRYKAVS</v>
      </c>
      <c r="L169" s="4" t="str">
        <f t="shared" si="57"/>
        <v>GPCQVKLLIGFVWVTSALVALPLLFAM</v>
      </c>
      <c r="M169" s="4" t="str">
        <f t="shared" si="58"/>
        <v>CTN</v>
      </c>
      <c r="N169" s="4" t="str">
        <f t="shared" si="59"/>
        <v>RWTVFQSSIFGAFVVYLVVLLSVAFMCWNMMQVLMKSQKGSL</v>
      </c>
      <c r="O169" s="4" t="str">
        <f t="shared" si="60"/>
        <v>EESRTARRQTIIFLRLIVVTLAVCWMPNQIRRIMAAAK</v>
      </c>
      <c r="P169" s="4" t="str">
        <f t="shared" si="61"/>
        <v>TRSYFRAYMILLPFSETFFYLSSVINPLLYTVS</v>
      </c>
      <c r="Q169" s="4" t="str">
        <f t="shared" si="62"/>
        <v>SQQFRRVFVQVL</v>
      </c>
      <c r="R169" s="5">
        <f>VLOOKUP($A169,'SegEnds_NonXtal_Prot#'!$A:$AL,3,FALSE)</f>
        <v>27</v>
      </c>
      <c r="S169" s="5" t="str">
        <f>VLOOKUP($A169,'SegEnds_NonXtal_Prot#'!$A:$AL,6,FALSE)</f>
        <v>-</v>
      </c>
      <c r="T169" s="5">
        <f>VLOOKUP($A169,'SegEnds_NonXtal_Prot#'!$A:$AL,9,FALSE)</f>
        <v>66</v>
      </c>
      <c r="U169" s="5" t="str">
        <f>VLOOKUP($A169,'SegEnds_NonXtal_Prot#'!$A:$AL,12,FALSE)</f>
        <v>-</v>
      </c>
      <c r="V169" s="5">
        <f>VLOOKUP($A169,'SegEnds_NonXtal_Prot#'!$A:$AL,15,FALSE)</f>
        <v>101</v>
      </c>
      <c r="W169" s="5">
        <f>VLOOKUP($A169,'SegEnds_NonXtal_Prot#'!$A:$AL,18,FALSE)</f>
        <v>140</v>
      </c>
      <c r="X169" s="5">
        <f>VLOOKUP($A169,'SegEnds_NonXtal_Prot#'!$A:$AL,21,FALSE)</f>
        <v>148</v>
      </c>
      <c r="Y169" s="5">
        <f>VLOOKUP($A169,'SegEnds_NonXtal_Prot#'!$A:$AL,24,FALSE)</f>
        <v>210</v>
      </c>
      <c r="Z169" s="5">
        <f>VLOOKUP($A169,'SegEnds_NonXtal_Prot#'!$A:$AL,27,FALSE)</f>
        <v>216</v>
      </c>
      <c r="AA169" s="5">
        <f>VLOOKUP($A169,'SegEnds_NonXtal_Prot#'!$A:$AL,30,FALSE)</f>
        <v>272</v>
      </c>
      <c r="AB169" s="5">
        <f>VLOOKUP($A169,'SegEnds_NonXtal_Prot#'!$A:$AL,33,FALSE)</f>
        <v>315</v>
      </c>
      <c r="AC169" s="5">
        <f>VLOOKUP($A169,'SegEnds_NonXtal_Prot#'!$A:$AL,36,FALSE)</f>
        <v>348</v>
      </c>
      <c r="AD169" s="5">
        <f>VLOOKUP($A169,'SegEnds_NonXtal_Prot#'!$A:$AL,5,FALSE)</f>
        <v>58</v>
      </c>
      <c r="AE169" s="5" t="str">
        <f>VLOOKUP($A169,'SegEnds_NonXtal_Prot#'!$A:$AL,8,FALSE)</f>
        <v>-</v>
      </c>
      <c r="AF169" s="5">
        <f>VLOOKUP($A169,'SegEnds_NonXtal_Prot#'!$A:$AL,11,FALSE)</f>
        <v>97</v>
      </c>
      <c r="AG169" s="5" t="str">
        <f>VLOOKUP($A169,'SegEnds_NonXtal_Prot#'!$A:$AL,14,FALSE)</f>
        <v>-</v>
      </c>
      <c r="AH169" s="5">
        <f>VLOOKUP($A169,'SegEnds_NonXtal_Prot#'!$A:$AL,17,FALSE)</f>
        <v>139</v>
      </c>
      <c r="AI169" s="5">
        <f>VLOOKUP($A169,'SegEnds_NonXtal_Prot#'!$A:$AL,20,FALSE)</f>
        <v>147</v>
      </c>
      <c r="AJ169" s="5">
        <f>VLOOKUP($A169,'SegEnds_NonXtal_Prot#'!$A:$AL,23,FALSE)</f>
        <v>174</v>
      </c>
      <c r="AK169" s="5">
        <f>VLOOKUP($A169,'SegEnds_NonXtal_Prot#'!$A:$AL,26,FALSE)</f>
        <v>212</v>
      </c>
      <c r="AL169" s="5">
        <f>VLOOKUP($A169,'SegEnds_NonXtal_Prot#'!$A:$AL,29,FALSE)</f>
        <v>257</v>
      </c>
      <c r="AM169" s="5">
        <f>VLOOKUP($A169,'SegEnds_NonXtal_Prot#'!$A:$AL,32,FALSE)</f>
        <v>309</v>
      </c>
      <c r="AN169" s="5">
        <f>VLOOKUP($A169,'SegEnds_NonXtal_Prot#'!$A:$AL,35,FALSE)</f>
        <v>347</v>
      </c>
      <c r="AO169" s="5">
        <f>VLOOKUP($A169,'SegEnds_NonXtal_Prot#'!$A:$AL,38,FALSE)</f>
        <v>359</v>
      </c>
      <c r="AP169" s="5">
        <f t="shared" si="63"/>
        <v>31</v>
      </c>
      <c r="AQ169" s="4" t="str">
        <f t="shared" si="64"/>
        <v>-</v>
      </c>
      <c r="AR169" s="4">
        <f t="shared" si="65"/>
        <v>31</v>
      </c>
      <c r="AS169" s="4" t="str">
        <f t="shared" si="66"/>
        <v>-</v>
      </c>
      <c r="AT169" s="4">
        <f t="shared" si="67"/>
        <v>38</v>
      </c>
      <c r="AU169" s="4">
        <f t="shared" si="68"/>
        <v>7</v>
      </c>
      <c r="AV169" s="4">
        <f t="shared" si="69"/>
        <v>26</v>
      </c>
      <c r="AW169" s="4">
        <f t="shared" si="70"/>
        <v>2</v>
      </c>
      <c r="AX169" s="4">
        <f t="shared" si="71"/>
        <v>41</v>
      </c>
      <c r="AY169" s="4">
        <f t="shared" si="72"/>
        <v>37</v>
      </c>
      <c r="AZ169" s="4">
        <f t="shared" si="73"/>
        <v>32</v>
      </c>
      <c r="BA169" s="4">
        <f t="shared" si="74"/>
        <v>11</v>
      </c>
    </row>
    <row r="170" spans="1:53" x14ac:dyDescent="0.2">
      <c r="A170" s="1" t="str">
        <f>'SegEnds_NonXtal_Prot#'!A145</f>
        <v>gpr4_human</v>
      </c>
      <c r="B170" s="1" t="str">
        <f t="shared" si="50"/>
        <v>DSRVDHLFPPSLYIFVIGVGLPTNCLALWAAYRQVNELGVYLMNLSIADLLYICTLPLWVDYFLHHGPGSCKLFGFIFYTNIYISIAFLCCISVDRYLAVAHRVKTAVAVSSVVWATELGANSAPLFHGWVAWMNLYRVFVGFLFPWALMLLSYRGILRAVRGERQEKAKIKRLALSLIAIVLVCFAPYHVLLLSRSAIYLGDCGFEERVFSAYHSSLAFTSLNCVADPILYCLVNEGARSDVAKALHNLLR</v>
      </c>
      <c r="C170" s="29" t="str">
        <f>IF(ISERROR(MATCH(A170,'SegEnds_Xtal_Prot#'!B:B, 0)), "NoXtal", "Xtal")</f>
        <v>NoXtal</v>
      </c>
      <c r="D170" s="4" t="str">
        <f>VLOOKUP(A170,Classification!A:D,2,FALSE)</f>
        <v>A</v>
      </c>
      <c r="E170" s="5" t="str">
        <f>VLOOKUP(A170,Seqs!A:B,2,FALSE)</f>
        <v>MGNHTWEGCHVDSRVDHLFPPSLYIFVIGVGLPTNCLALWAAYRQVQQRNELGVYLMNLSIADLLYICTLPLWVDYFLHHDNWIHGPGSCKLFGFIFYTNIYISIAFLCCISVDRYLAVAHPLRFARLRRVKTAVAVSSVVWATELGANSAPLFHDELFRDRYNHTFCFEKFPMEGWVAWMNLYRVFVGFLFPWALMLLSYRGILRAVRGSVSTERQEKAKIKRLALSLIAIVLVCFAPYHVLLLSRSAIYLGRPWDCGFEERVFSAYHSSLAFTSLNCVADPILYCLVNEGARSDVAKALHNLLRFLASDKPQEMANASLTLETPLTSKRNSTAKAMTGSWAATPPSQGDQVQLKMLPPAQ</v>
      </c>
      <c r="F170" s="5" t="str">
        <f t="shared" si="51"/>
        <v>DSRVDHLFPPSLYIFVIGVGLPTNCLALWAAYRQV</v>
      </c>
      <c r="G170" s="4" t="str">
        <f t="shared" si="52"/>
        <v/>
      </c>
      <c r="H170" s="4" t="str">
        <f t="shared" si="53"/>
        <v>NELGVYLMNLSIADLLYICTLPLWVDYFLHH</v>
      </c>
      <c r="I170" s="4" t="str">
        <f t="shared" si="54"/>
        <v>NWIH</v>
      </c>
      <c r="J170" s="4" t="str">
        <f t="shared" si="55"/>
        <v>GPGSCKLFGFIFYTNIYISIAFLCCISVDRYLAVAH</v>
      </c>
      <c r="K170" s="4" t="str">
        <f t="shared" si="56"/>
        <v>PLRFARLR</v>
      </c>
      <c r="L170" s="4" t="str">
        <f t="shared" si="57"/>
        <v>RVKTAVAVSSVVWATELGANSAPLFH</v>
      </c>
      <c r="M170" s="4" t="str">
        <f t="shared" si="58"/>
        <v>CFE</v>
      </c>
      <c r="N170" s="4" t="str">
        <f t="shared" si="59"/>
        <v>GWVAWMNLYRVFVGFLFPWALMLLSYRGILRAVRG</v>
      </c>
      <c r="O170" s="4" t="str">
        <f t="shared" si="60"/>
        <v>ERQEKAKIKRLALSLIAIVLVCFAPYHVLLLSRSAIYLG</v>
      </c>
      <c r="P170" s="4" t="str">
        <f t="shared" si="61"/>
        <v>DCGFEERVFSAYHSSLAFTSLNCVADPILYCLVNEG</v>
      </c>
      <c r="Q170" s="4" t="str">
        <f t="shared" si="62"/>
        <v>ARSDVAKALHNLLR</v>
      </c>
      <c r="R170" s="5">
        <f>VLOOKUP($A170,'SegEnds_NonXtal_Prot#'!$A:$AL,3,FALSE)</f>
        <v>12</v>
      </c>
      <c r="S170" s="5" t="str">
        <f>VLOOKUP($A170,'SegEnds_NonXtal_Prot#'!$A:$AL,6,FALSE)</f>
        <v>-</v>
      </c>
      <c r="T170" s="5">
        <f>VLOOKUP($A170,'SegEnds_NonXtal_Prot#'!$A:$AL,9,FALSE)</f>
        <v>50</v>
      </c>
      <c r="U170" s="5">
        <f>VLOOKUP($A170,'SegEnds_NonXtal_Prot#'!$A:$AL,12,FALSE)</f>
        <v>82</v>
      </c>
      <c r="V170" s="5">
        <f>VLOOKUP($A170,'SegEnds_NonXtal_Prot#'!$A:$AL,15,FALSE)</f>
        <v>86</v>
      </c>
      <c r="W170" s="5">
        <f>VLOOKUP($A170,'SegEnds_NonXtal_Prot#'!$A:$AL,18,FALSE)</f>
        <v>122</v>
      </c>
      <c r="X170" s="5">
        <f>VLOOKUP($A170,'SegEnds_NonXtal_Prot#'!$A:$AL,21,FALSE)</f>
        <v>130</v>
      </c>
      <c r="Y170" s="5">
        <f>VLOOKUP($A170,'SegEnds_NonXtal_Prot#'!$A:$AL,24,FALSE)</f>
        <v>168</v>
      </c>
      <c r="Z170" s="5">
        <f>VLOOKUP($A170,'SegEnds_NonXtal_Prot#'!$A:$AL,27,FALSE)</f>
        <v>176</v>
      </c>
      <c r="AA170" s="5">
        <f>VLOOKUP($A170,'SegEnds_NonXtal_Prot#'!$A:$AL,30,FALSE)</f>
        <v>215</v>
      </c>
      <c r="AB170" s="5">
        <f>VLOOKUP($A170,'SegEnds_NonXtal_Prot#'!$A:$AL,33,FALSE)</f>
        <v>257</v>
      </c>
      <c r="AC170" s="5">
        <f>VLOOKUP($A170,'SegEnds_NonXtal_Prot#'!$A:$AL,36,FALSE)</f>
        <v>293</v>
      </c>
      <c r="AD170" s="5">
        <f>VLOOKUP($A170,'SegEnds_NonXtal_Prot#'!$A:$AL,5,FALSE)</f>
        <v>46</v>
      </c>
      <c r="AE170" s="5" t="str">
        <f>VLOOKUP($A170,'SegEnds_NonXtal_Prot#'!$A:$AL,8,FALSE)</f>
        <v>-</v>
      </c>
      <c r="AF170" s="5">
        <f>VLOOKUP($A170,'SegEnds_NonXtal_Prot#'!$A:$AL,11,FALSE)</f>
        <v>80</v>
      </c>
      <c r="AG170" s="5">
        <f>VLOOKUP($A170,'SegEnds_NonXtal_Prot#'!$A:$AL,14,FALSE)</f>
        <v>85</v>
      </c>
      <c r="AH170" s="5">
        <f>VLOOKUP($A170,'SegEnds_NonXtal_Prot#'!$A:$AL,17,FALSE)</f>
        <v>121</v>
      </c>
      <c r="AI170" s="5">
        <f>VLOOKUP($A170,'SegEnds_NonXtal_Prot#'!$A:$AL,20,FALSE)</f>
        <v>129</v>
      </c>
      <c r="AJ170" s="5">
        <f>VLOOKUP($A170,'SegEnds_NonXtal_Prot#'!$A:$AL,23,FALSE)</f>
        <v>155</v>
      </c>
      <c r="AK170" s="5">
        <f>VLOOKUP($A170,'SegEnds_NonXtal_Prot#'!$A:$AL,26,FALSE)</f>
        <v>170</v>
      </c>
      <c r="AL170" s="5">
        <f>VLOOKUP($A170,'SegEnds_NonXtal_Prot#'!$A:$AL,29,FALSE)</f>
        <v>210</v>
      </c>
      <c r="AM170" s="5">
        <f>VLOOKUP($A170,'SegEnds_NonXtal_Prot#'!$A:$AL,32,FALSE)</f>
        <v>253</v>
      </c>
      <c r="AN170" s="5">
        <f>VLOOKUP($A170,'SegEnds_NonXtal_Prot#'!$A:$AL,35,FALSE)</f>
        <v>292</v>
      </c>
      <c r="AO170" s="5">
        <f>VLOOKUP($A170,'SegEnds_NonXtal_Prot#'!$A:$AL,38,FALSE)</f>
        <v>306</v>
      </c>
      <c r="AP170" s="5">
        <f t="shared" si="63"/>
        <v>34</v>
      </c>
      <c r="AQ170" s="4" t="str">
        <f t="shared" si="64"/>
        <v>-</v>
      </c>
      <c r="AR170" s="4">
        <f t="shared" si="65"/>
        <v>30</v>
      </c>
      <c r="AS170" s="4">
        <f t="shared" si="66"/>
        <v>3</v>
      </c>
      <c r="AT170" s="4">
        <f t="shared" si="67"/>
        <v>35</v>
      </c>
      <c r="AU170" s="4">
        <f t="shared" si="68"/>
        <v>7</v>
      </c>
      <c r="AV170" s="4">
        <f t="shared" si="69"/>
        <v>25</v>
      </c>
      <c r="AW170" s="4">
        <f t="shared" si="70"/>
        <v>2</v>
      </c>
      <c r="AX170" s="4">
        <f t="shared" si="71"/>
        <v>34</v>
      </c>
      <c r="AY170" s="4">
        <f t="shared" si="72"/>
        <v>38</v>
      </c>
      <c r="AZ170" s="4">
        <f t="shared" si="73"/>
        <v>35</v>
      </c>
      <c r="BA170" s="4">
        <f t="shared" si="74"/>
        <v>13</v>
      </c>
    </row>
    <row r="171" spans="1:53" x14ac:dyDescent="0.2">
      <c r="A171" s="1" t="str">
        <f>'SegEnds_NonXtal_Prot#'!A146</f>
        <v>gpr42_human</v>
      </c>
      <c r="B171" s="1" t="str">
        <f t="shared" si="50"/>
        <v>SGNHWFVFSVYLLTFLVGLPLNLLALVVFVGKVAVDVLLLNLTASDLLLLLFLPFRMVEAANPFILCPLSGFIFFTTIYLTALFLAAVSIERFLSVAHRLGQAGLVSVACWLLASAHCSVVYVILAILLPVRLEMAVVLFVVPLIITSYCYSRLVWILGRGRRQRRVAGLVAATLLNFLVCFGPYNVSHVVGYICVWRIYVTLLSTLNSCVDPFVYYFSSSGFQADFHELLRRL</v>
      </c>
      <c r="C171" s="29" t="str">
        <f>IF(ISERROR(MATCH(A171,'SegEnds_Xtal_Prot#'!B:B, 0)), "NoXtal", "Xtal")</f>
        <v>NoXtal</v>
      </c>
      <c r="D171" s="4" t="str">
        <f>VLOOKUP(A171,Classification!A:D,2,FALSE)</f>
        <v>A</v>
      </c>
      <c r="E171" s="5" t="str">
        <f>VLOOKUP(A171,Seqs!A:B,2,FALSE)</f>
        <v>MDTGPDQSYFSGNHWFVFSVYLLTFLVGLPLNLLALVVFVGKLRCRPVAVDVLLLNLTASDLLLLLFLPFRMVEAANGMHWPLPFILCPLSGFIFFTTIYLTALFLAAVSIERFLSVAHPLWYKTRPRLGQAGLVSVACWLLASAHCSVVYVIEFSGDISHSQGTNGTCYLEFWKDQLAILLPVRLEMAVVLFVVPLIITSYCYSRLVWILGRGGSHRRQRRVAGLVAATLLNFLVCFGPYNVSHVVGYICGESPVWRIYVTLLSTLNSCVDPFVYYFSSSGFQADFHELLRRLCGLWGQWQQESSMELKEQKGGEEQRADRPAERKTSEHSQGCGTGGQVACAEN</v>
      </c>
      <c r="F171" s="5" t="str">
        <f t="shared" si="51"/>
        <v>SGNHWFVFSVYLLTFLVGLPLNLLALVVFVGK</v>
      </c>
      <c r="G171" s="4" t="str">
        <f t="shared" si="52"/>
        <v/>
      </c>
      <c r="H171" s="4" t="str">
        <f t="shared" si="53"/>
        <v>VAVDVLLLNLTASDLLLLLFLPFRMVEAAN</v>
      </c>
      <c r="I171" s="4" t="str">
        <f t="shared" si="54"/>
        <v>HWPL</v>
      </c>
      <c r="J171" s="4" t="str">
        <f t="shared" si="55"/>
        <v>PFILCPLSGFIFFTTIYLTALFLAAVSIERFLSVAH</v>
      </c>
      <c r="K171" s="4" t="str">
        <f t="shared" si="56"/>
        <v>PLWYKTRP</v>
      </c>
      <c r="L171" s="4" t="str">
        <f t="shared" si="57"/>
        <v>RLGQAGLVSVACWLLASAHCSVVYVI</v>
      </c>
      <c r="M171" s="4" t="str">
        <f t="shared" si="58"/>
        <v>CYL</v>
      </c>
      <c r="N171" s="4" t="str">
        <f t="shared" si="59"/>
        <v>LAILLPVRLEMAVVLFVVPLIITSYCYSRLVWILGRG</v>
      </c>
      <c r="O171" s="4" t="str">
        <f t="shared" si="60"/>
        <v>RRQRRVAGLVAATLLNFLVCFGPYNVSHVVGYIC</v>
      </c>
      <c r="P171" s="4" t="str">
        <f t="shared" si="61"/>
        <v>VWRIYVTLLSTLNSCVDPFVYYFS</v>
      </c>
      <c r="Q171" s="4" t="str">
        <f t="shared" si="62"/>
        <v>SSGFQADFHELLRRL</v>
      </c>
      <c r="R171" s="5">
        <f>VLOOKUP($A171,'SegEnds_NonXtal_Prot#'!$A:$AL,3,FALSE)</f>
        <v>11</v>
      </c>
      <c r="S171" s="5" t="str">
        <f>VLOOKUP($A171,'SegEnds_NonXtal_Prot#'!$A:$AL,6,FALSE)</f>
        <v>-</v>
      </c>
      <c r="T171" s="5">
        <f>VLOOKUP($A171,'SegEnds_NonXtal_Prot#'!$A:$AL,9,FALSE)</f>
        <v>48</v>
      </c>
      <c r="U171" s="5">
        <f>VLOOKUP($A171,'SegEnds_NonXtal_Prot#'!$A:$AL,12,FALSE)</f>
        <v>80</v>
      </c>
      <c r="V171" s="5">
        <f>VLOOKUP($A171,'SegEnds_NonXtal_Prot#'!$A:$AL,15,FALSE)</f>
        <v>84</v>
      </c>
      <c r="W171" s="5">
        <f>VLOOKUP($A171,'SegEnds_NonXtal_Prot#'!$A:$AL,18,FALSE)</f>
        <v>120</v>
      </c>
      <c r="X171" s="5">
        <f>VLOOKUP($A171,'SegEnds_NonXtal_Prot#'!$A:$AL,21,FALSE)</f>
        <v>128</v>
      </c>
      <c r="Y171" s="5">
        <f>VLOOKUP($A171,'SegEnds_NonXtal_Prot#'!$A:$AL,24,FALSE)</f>
        <v>169</v>
      </c>
      <c r="Z171" s="5">
        <f>VLOOKUP($A171,'SegEnds_NonXtal_Prot#'!$A:$AL,27,FALSE)</f>
        <v>178</v>
      </c>
      <c r="AA171" s="5">
        <f>VLOOKUP($A171,'SegEnds_NonXtal_Prot#'!$A:$AL,30,FALSE)</f>
        <v>218</v>
      </c>
      <c r="AB171" s="5">
        <f>VLOOKUP($A171,'SegEnds_NonXtal_Prot#'!$A:$AL,33,FALSE)</f>
        <v>256</v>
      </c>
      <c r="AC171" s="5">
        <f>VLOOKUP($A171,'SegEnds_NonXtal_Prot#'!$A:$AL,36,FALSE)</f>
        <v>280</v>
      </c>
      <c r="AD171" s="5">
        <f>VLOOKUP($A171,'SegEnds_NonXtal_Prot#'!$A:$AL,5,FALSE)</f>
        <v>42</v>
      </c>
      <c r="AE171" s="5" t="str">
        <f>VLOOKUP($A171,'SegEnds_NonXtal_Prot#'!$A:$AL,8,FALSE)</f>
        <v>-</v>
      </c>
      <c r="AF171" s="5">
        <f>VLOOKUP($A171,'SegEnds_NonXtal_Prot#'!$A:$AL,11,FALSE)</f>
        <v>77</v>
      </c>
      <c r="AG171" s="5">
        <f>VLOOKUP($A171,'SegEnds_NonXtal_Prot#'!$A:$AL,14,FALSE)</f>
        <v>83</v>
      </c>
      <c r="AH171" s="5">
        <f>VLOOKUP($A171,'SegEnds_NonXtal_Prot#'!$A:$AL,17,FALSE)</f>
        <v>119</v>
      </c>
      <c r="AI171" s="5">
        <f>VLOOKUP($A171,'SegEnds_NonXtal_Prot#'!$A:$AL,20,FALSE)</f>
        <v>127</v>
      </c>
      <c r="AJ171" s="5">
        <f>VLOOKUP($A171,'SegEnds_NonXtal_Prot#'!$A:$AL,23,FALSE)</f>
        <v>153</v>
      </c>
      <c r="AK171" s="5">
        <f>VLOOKUP($A171,'SegEnds_NonXtal_Prot#'!$A:$AL,26,FALSE)</f>
        <v>171</v>
      </c>
      <c r="AL171" s="5">
        <f>VLOOKUP($A171,'SegEnds_NonXtal_Prot#'!$A:$AL,29,FALSE)</f>
        <v>214</v>
      </c>
      <c r="AM171" s="5">
        <f>VLOOKUP($A171,'SegEnds_NonXtal_Prot#'!$A:$AL,32,FALSE)</f>
        <v>251</v>
      </c>
      <c r="AN171" s="5">
        <f>VLOOKUP($A171,'SegEnds_NonXtal_Prot#'!$A:$AL,35,FALSE)</f>
        <v>279</v>
      </c>
      <c r="AO171" s="5">
        <f>VLOOKUP($A171,'SegEnds_NonXtal_Prot#'!$A:$AL,38,FALSE)</f>
        <v>294</v>
      </c>
      <c r="AP171" s="5">
        <f t="shared" si="63"/>
        <v>31</v>
      </c>
      <c r="AQ171" s="4" t="str">
        <f t="shared" si="64"/>
        <v>-</v>
      </c>
      <c r="AR171" s="4">
        <f t="shared" si="65"/>
        <v>29</v>
      </c>
      <c r="AS171" s="4">
        <f t="shared" si="66"/>
        <v>3</v>
      </c>
      <c r="AT171" s="4">
        <f t="shared" si="67"/>
        <v>35</v>
      </c>
      <c r="AU171" s="4">
        <f t="shared" si="68"/>
        <v>7</v>
      </c>
      <c r="AV171" s="4">
        <f t="shared" si="69"/>
        <v>25</v>
      </c>
      <c r="AW171" s="4">
        <f t="shared" si="70"/>
        <v>2</v>
      </c>
      <c r="AX171" s="4">
        <f t="shared" si="71"/>
        <v>36</v>
      </c>
      <c r="AY171" s="4">
        <f t="shared" si="72"/>
        <v>33</v>
      </c>
      <c r="AZ171" s="4">
        <f t="shared" si="73"/>
        <v>23</v>
      </c>
      <c r="BA171" s="4">
        <f t="shared" si="74"/>
        <v>14</v>
      </c>
    </row>
    <row r="172" spans="1:53" x14ac:dyDescent="0.2">
      <c r="A172" s="1" t="str">
        <f>'SegEnds_NonXtal_Prot#'!A147</f>
        <v>gpr52_human</v>
      </c>
      <c r="B172" s="1" t="str">
        <f t="shared" si="50"/>
        <v>SVVDVCIFETVVIVLLTFLIIAGNLTVIFVFHCAHYTTSYFIQTMAYADLFVGVSCLVPTLSLLHGVHESLTCQVFGYIISVLKSVSMACLACISVDRYLAITKTPCRLRICIILIWIYSCLIFLPSFFGWGKPTSAYFTGFIVCLLYAPAAFVVCFTYFHIFKICRQHTKEINSSRETGHSPDRRYAMVLFRITSVFYMLWLPYIIYFLLESSRPTLSFLTTWLAISNSFCNCVIYSLSNSVFRLGLRRLSET</v>
      </c>
      <c r="C172" s="29" t="str">
        <f>IF(ISERROR(MATCH(A172,'SegEnds_Xtal_Prot#'!B:B, 0)), "NoXtal", "Xtal")</f>
        <v>NoXtal</v>
      </c>
      <c r="D172" s="4" t="str">
        <f>VLOOKUP(A172,Classification!A:D,2,FALSE)</f>
        <v>A</v>
      </c>
      <c r="E172" s="5" t="str">
        <f>VLOOKUP(A172,Seqs!A:B,2,FALSE)</f>
        <v>MNESRWTEWRILNMSSGIVNVSERHSCPLGFGHYSVVDVCIFETVVIVLLTFLIIAGNLTVIFVFHCAPLLHHYTTSYFIQTMAYADLFVGVSCLVPTLSLLHYSTGVHESLTCQVFGYIISVLKSVSMACLACISVDRYLAITKPLSYNQLVTPCRLRICIILIWIYSCLIFLPSFFGWGKPGYHGDIFEWCATSWLTSAYFTGFIVCLLYAPAAFVVCFTYFHIFKICRQHTKEINDRRARFPSHEVDSSRETGHSPDRRYAMVLFRITSVFYMLWLPYIIYFLLESSRVLDNPTLSFLTTWLAISNSFCNCVIYSLSNSVFRLGLRRLSETMCTSCMCVKDQEAQEPKPRKRANSCSI</v>
      </c>
      <c r="F172" s="5" t="str">
        <f t="shared" si="51"/>
        <v>SVVDVCIFETVVIVLLTFLIIAGNLTVIFVFHCA</v>
      </c>
      <c r="G172" s="4" t="str">
        <f t="shared" si="52"/>
        <v>PLLH</v>
      </c>
      <c r="H172" s="4" t="str">
        <f t="shared" si="53"/>
        <v>HYTTSYFIQTMAYADLFVGVSCLVPTLSLLH</v>
      </c>
      <c r="I172" s="4" t="str">
        <f t="shared" si="54"/>
        <v/>
      </c>
      <c r="J172" s="4" t="str">
        <f t="shared" si="55"/>
        <v>GVHESLTCQVFGYIISVLKSVSMACLACISVDRYLAITK</v>
      </c>
      <c r="K172" s="4" t="str">
        <f t="shared" si="56"/>
        <v>PLSYNQLV</v>
      </c>
      <c r="L172" s="4" t="str">
        <f t="shared" si="57"/>
        <v>TPCRLRICIILIWIYSCLIFLPSFFGWGKP</v>
      </c>
      <c r="M172" s="4" t="str">
        <f t="shared" si="58"/>
        <v>CAT</v>
      </c>
      <c r="N172" s="4" t="str">
        <f t="shared" si="59"/>
        <v>TSAYFTGFIVCLLYAPAAFVVCFTYFHIFKICRQHTKEIN</v>
      </c>
      <c r="O172" s="4" t="str">
        <f t="shared" si="60"/>
        <v>SSRETGHSPDRRYAMVLFRITSVFYMLWLPYIIYFLLESSR</v>
      </c>
      <c r="P172" s="4" t="str">
        <f t="shared" si="61"/>
        <v>PTLSFLTTWLAISNSFCNCVIYSLS</v>
      </c>
      <c r="Q172" s="4" t="str">
        <f t="shared" si="62"/>
        <v>NSVFRLGLRRLSET</v>
      </c>
      <c r="R172" s="5">
        <f>VLOOKUP($A172,'SegEnds_NonXtal_Prot#'!$A:$AL,3,FALSE)</f>
        <v>35</v>
      </c>
      <c r="S172" s="5">
        <f>VLOOKUP($A172,'SegEnds_NonXtal_Prot#'!$A:$AL,6,FALSE)</f>
        <v>69</v>
      </c>
      <c r="T172" s="5">
        <f>VLOOKUP($A172,'SegEnds_NonXtal_Prot#'!$A:$AL,9,FALSE)</f>
        <v>73</v>
      </c>
      <c r="U172" s="5" t="str">
        <f>VLOOKUP($A172,'SegEnds_NonXtal_Prot#'!$A:$AL,12,FALSE)</f>
        <v>-</v>
      </c>
      <c r="V172" s="5">
        <f>VLOOKUP($A172,'SegEnds_NonXtal_Prot#'!$A:$AL,15,FALSE)</f>
        <v>107</v>
      </c>
      <c r="W172" s="5">
        <f>VLOOKUP($A172,'SegEnds_NonXtal_Prot#'!$A:$AL,18,FALSE)</f>
        <v>146</v>
      </c>
      <c r="X172" s="5">
        <f>VLOOKUP($A172,'SegEnds_NonXtal_Prot#'!$A:$AL,21,FALSE)</f>
        <v>154</v>
      </c>
      <c r="Y172" s="5">
        <f>VLOOKUP($A172,'SegEnds_NonXtal_Prot#'!$A:$AL,24,FALSE)</f>
        <v>193</v>
      </c>
      <c r="Z172" s="5">
        <f>VLOOKUP($A172,'SegEnds_NonXtal_Prot#'!$A:$AL,27,FALSE)</f>
        <v>199</v>
      </c>
      <c r="AA172" s="5">
        <f>VLOOKUP($A172,'SegEnds_NonXtal_Prot#'!$A:$AL,30,FALSE)</f>
        <v>251</v>
      </c>
      <c r="AB172" s="5">
        <f>VLOOKUP($A172,'SegEnds_NonXtal_Prot#'!$A:$AL,33,FALSE)</f>
        <v>296</v>
      </c>
      <c r="AC172" s="5">
        <f>VLOOKUP($A172,'SegEnds_NonXtal_Prot#'!$A:$AL,36,FALSE)</f>
        <v>321</v>
      </c>
      <c r="AD172" s="5">
        <f>VLOOKUP($A172,'SegEnds_NonXtal_Prot#'!$A:$AL,5,FALSE)</f>
        <v>68</v>
      </c>
      <c r="AE172" s="5">
        <f>VLOOKUP($A172,'SegEnds_NonXtal_Prot#'!$A:$AL,8,FALSE)</f>
        <v>72</v>
      </c>
      <c r="AF172" s="5">
        <f>VLOOKUP($A172,'SegEnds_NonXtal_Prot#'!$A:$AL,11,FALSE)</f>
        <v>103</v>
      </c>
      <c r="AG172" s="5" t="str">
        <f>VLOOKUP($A172,'SegEnds_NonXtal_Prot#'!$A:$AL,14,FALSE)</f>
        <v>-</v>
      </c>
      <c r="AH172" s="5">
        <f>VLOOKUP($A172,'SegEnds_NonXtal_Prot#'!$A:$AL,17,FALSE)</f>
        <v>145</v>
      </c>
      <c r="AI172" s="5">
        <f>VLOOKUP($A172,'SegEnds_NonXtal_Prot#'!$A:$AL,20,FALSE)</f>
        <v>153</v>
      </c>
      <c r="AJ172" s="5">
        <f>VLOOKUP($A172,'SegEnds_NonXtal_Prot#'!$A:$AL,23,FALSE)</f>
        <v>183</v>
      </c>
      <c r="AK172" s="5">
        <f>VLOOKUP($A172,'SegEnds_NonXtal_Prot#'!$A:$AL,26,FALSE)</f>
        <v>195</v>
      </c>
      <c r="AL172" s="5">
        <f>VLOOKUP($A172,'SegEnds_NonXtal_Prot#'!$A:$AL,29,FALSE)</f>
        <v>238</v>
      </c>
      <c r="AM172" s="5">
        <f>VLOOKUP($A172,'SegEnds_NonXtal_Prot#'!$A:$AL,32,FALSE)</f>
        <v>291</v>
      </c>
      <c r="AN172" s="5">
        <f>VLOOKUP($A172,'SegEnds_NonXtal_Prot#'!$A:$AL,35,FALSE)</f>
        <v>320</v>
      </c>
      <c r="AO172" s="5">
        <f>VLOOKUP($A172,'SegEnds_NonXtal_Prot#'!$A:$AL,38,FALSE)</f>
        <v>334</v>
      </c>
      <c r="AP172" s="5">
        <f t="shared" si="63"/>
        <v>33</v>
      </c>
      <c r="AQ172" s="4">
        <f t="shared" si="64"/>
        <v>3</v>
      </c>
      <c r="AR172" s="4">
        <f t="shared" si="65"/>
        <v>30</v>
      </c>
      <c r="AS172" s="4" t="str">
        <f t="shared" si="66"/>
        <v>-</v>
      </c>
      <c r="AT172" s="4">
        <f t="shared" si="67"/>
        <v>38</v>
      </c>
      <c r="AU172" s="4">
        <f t="shared" si="68"/>
        <v>7</v>
      </c>
      <c r="AV172" s="4">
        <f t="shared" si="69"/>
        <v>29</v>
      </c>
      <c r="AW172" s="4">
        <f t="shared" si="70"/>
        <v>2</v>
      </c>
      <c r="AX172" s="4">
        <f t="shared" si="71"/>
        <v>39</v>
      </c>
      <c r="AY172" s="4">
        <f t="shared" si="72"/>
        <v>40</v>
      </c>
      <c r="AZ172" s="4">
        <f t="shared" si="73"/>
        <v>24</v>
      </c>
      <c r="BA172" s="4">
        <f t="shared" si="74"/>
        <v>13</v>
      </c>
    </row>
    <row r="173" spans="1:53" x14ac:dyDescent="0.2">
      <c r="A173" s="1" t="str">
        <f>'SegEnds_NonXtal_Prot#'!A149</f>
        <v>gpr6_human</v>
      </c>
      <c r="B173" s="1" t="str">
        <f t="shared" si="50"/>
        <v>LPAVNPWDVLLCVSGTVIAGENALVVALIASTTPMFVLVGSLATADLLAGCGLILHFVPSETVSLLTVGFLVASFAASVSSLLAITVDRYLSLYNTLLGVHLLLAATWTVSLGLGLLPVLGARSHVALLSAAFFMVFGIMLHLYVRICQVVWRHAHQIALAPPHLAATRKGVGTLAVVLGTFGASWLPFAIYCVVGSHEYTYATLLPATYNSMINPIIYAFRNQEIQRALWLLLC</v>
      </c>
      <c r="C173" s="29" t="str">
        <f>IF(ISERROR(MATCH(A173,'SegEnds_Xtal_Prot#'!B:B, 0)), "NoXtal", "Xtal")</f>
        <v>NoXtal</v>
      </c>
      <c r="D173" s="4" t="str">
        <f>VLOOKUP(A173,Classification!A:D,2,FALSE)</f>
        <v>A</v>
      </c>
      <c r="E173" s="5" t="str">
        <f>VLOOKUP(A173,Seqs!A:B,2,FALSE)</f>
        <v>MNASAASLNDSQVVVVAAEGAAAAATAAGGPDTGEWGPPAAAALGAGGGANGSLELSSQLSAGPPGLLLPAVNPWDVLLCVSGTVIAGENALVVALIASTPALRTPMFVLVGSLATADLLAGCGLILHFVFQYLVPSETVSLLTVGFLVASFAASVSSLLAITVDRYLSLYNALTYYSRRTLLGVHLLLAATWTVSLGLGLLPVLGWNCLAERAACSVVRPLARSHVALLSAAFFMVFGIMLHLYVRICQVVWRHAHQIALQQHCLAPPHLAATRKGVGTLAVVLGTFGASWLPFAIYCVVGSHEDPAVYTYATLLPATYNSMINPIIYAFRNQEIQRALWLLLCGCFQSKVPFRSRSPSEV</v>
      </c>
      <c r="F173" s="5" t="str">
        <f t="shared" si="51"/>
        <v>LPAVNPWDVLLCVSGTVIAGENALVVALIAST</v>
      </c>
      <c r="G173" s="4" t="str">
        <f t="shared" si="52"/>
        <v>PALR</v>
      </c>
      <c r="H173" s="4" t="str">
        <f t="shared" si="53"/>
        <v>TPMFVLVGSLATADLLAGCGLILHFV</v>
      </c>
      <c r="I173" s="4" t="str">
        <f t="shared" si="54"/>
        <v>QYLV</v>
      </c>
      <c r="J173" s="4" t="str">
        <f t="shared" si="55"/>
        <v>PSETVSLLTVGFLVASFAASVSSLLAITVDRYLSLYN</v>
      </c>
      <c r="K173" s="4" t="str">
        <f t="shared" si="56"/>
        <v>ALTYYSRR</v>
      </c>
      <c r="L173" s="4" t="str">
        <f t="shared" si="57"/>
        <v>TLLGVHLLLAATWTVSLGLGLLPVLG</v>
      </c>
      <c r="M173" s="4" t="str">
        <f t="shared" si="58"/>
        <v/>
      </c>
      <c r="N173" s="4" t="str">
        <f t="shared" si="59"/>
        <v>ARSHVALLSAAFFMVFGIMLHLYVRICQVVWRHAHQIA</v>
      </c>
      <c r="O173" s="4" t="str">
        <f t="shared" si="60"/>
        <v>LAPPHLAATRKGVGTLAVVLGTFGASWLPFAIYCVVGSHE</v>
      </c>
      <c r="P173" s="4" t="str">
        <f t="shared" si="61"/>
        <v>YTYATLLPATYNSMINPIIYAFR</v>
      </c>
      <c r="Q173" s="4" t="str">
        <f t="shared" si="62"/>
        <v>NQEIQRALWLLLC</v>
      </c>
      <c r="R173" s="5">
        <f>VLOOKUP($A173,'SegEnds_NonXtal_Prot#'!$A:$AL,3,FALSE)</f>
        <v>69</v>
      </c>
      <c r="S173" s="5">
        <f>VLOOKUP($A173,'SegEnds_NonXtal_Prot#'!$A:$AL,6,FALSE)</f>
        <v>101</v>
      </c>
      <c r="T173" s="5">
        <f>VLOOKUP($A173,'SegEnds_NonXtal_Prot#'!$A:$AL,9,FALSE)</f>
        <v>105</v>
      </c>
      <c r="U173" s="5">
        <f>VLOOKUP($A173,'SegEnds_NonXtal_Prot#'!$A:$AL,12,FALSE)</f>
        <v>132</v>
      </c>
      <c r="V173" s="5">
        <f>VLOOKUP($A173,'SegEnds_NonXtal_Prot#'!$A:$AL,15,FALSE)</f>
        <v>136</v>
      </c>
      <c r="W173" s="5">
        <f>VLOOKUP($A173,'SegEnds_NonXtal_Prot#'!$A:$AL,18,FALSE)</f>
        <v>173</v>
      </c>
      <c r="X173" s="5">
        <f>VLOOKUP($A173,'SegEnds_NonXtal_Prot#'!$A:$AL,21,FALSE)</f>
        <v>181</v>
      </c>
      <c r="Y173" s="5" t="str">
        <f>VLOOKUP($A173,'SegEnds_NonXtal_Prot#'!$A:$AL,24,FALSE)</f>
        <v>-</v>
      </c>
      <c r="Z173" s="5">
        <f>VLOOKUP($A173,'SegEnds_NonXtal_Prot#'!$A:$AL,27,FALSE)</f>
        <v>223</v>
      </c>
      <c r="AA173" s="5">
        <f>VLOOKUP($A173,'SegEnds_NonXtal_Prot#'!$A:$AL,30,FALSE)</f>
        <v>266</v>
      </c>
      <c r="AB173" s="5">
        <f>VLOOKUP($A173,'SegEnds_NonXtal_Prot#'!$A:$AL,33,FALSE)</f>
        <v>310</v>
      </c>
      <c r="AC173" s="5">
        <f>VLOOKUP($A173,'SegEnds_NonXtal_Prot#'!$A:$AL,36,FALSE)</f>
        <v>333</v>
      </c>
      <c r="AD173" s="5">
        <f>VLOOKUP($A173,'SegEnds_NonXtal_Prot#'!$A:$AL,5,FALSE)</f>
        <v>100</v>
      </c>
      <c r="AE173" s="5">
        <f>VLOOKUP($A173,'SegEnds_NonXtal_Prot#'!$A:$AL,8,FALSE)</f>
        <v>104</v>
      </c>
      <c r="AF173" s="5">
        <f>VLOOKUP($A173,'SegEnds_NonXtal_Prot#'!$A:$AL,11,FALSE)</f>
        <v>130</v>
      </c>
      <c r="AG173" s="5">
        <f>VLOOKUP($A173,'SegEnds_NonXtal_Prot#'!$A:$AL,14,FALSE)</f>
        <v>135</v>
      </c>
      <c r="AH173" s="5">
        <f>VLOOKUP($A173,'SegEnds_NonXtal_Prot#'!$A:$AL,17,FALSE)</f>
        <v>172</v>
      </c>
      <c r="AI173" s="5">
        <f>VLOOKUP($A173,'SegEnds_NonXtal_Prot#'!$A:$AL,20,FALSE)</f>
        <v>180</v>
      </c>
      <c r="AJ173" s="5">
        <f>VLOOKUP($A173,'SegEnds_NonXtal_Prot#'!$A:$AL,23,FALSE)</f>
        <v>206</v>
      </c>
      <c r="AK173" s="5" t="str">
        <f>VLOOKUP($A173,'SegEnds_NonXtal_Prot#'!$A:$AL,26,FALSE)</f>
        <v>-</v>
      </c>
      <c r="AL173" s="5">
        <f>VLOOKUP($A173,'SegEnds_NonXtal_Prot#'!$A:$AL,29,FALSE)</f>
        <v>260</v>
      </c>
      <c r="AM173" s="5">
        <f>VLOOKUP($A173,'SegEnds_NonXtal_Prot#'!$A:$AL,32,FALSE)</f>
        <v>305</v>
      </c>
      <c r="AN173" s="5">
        <f>VLOOKUP($A173,'SegEnds_NonXtal_Prot#'!$A:$AL,35,FALSE)</f>
        <v>332</v>
      </c>
      <c r="AO173" s="5">
        <f>VLOOKUP($A173,'SegEnds_NonXtal_Prot#'!$A:$AL,38,FALSE)</f>
        <v>345</v>
      </c>
      <c r="AP173" s="5">
        <f t="shared" si="63"/>
        <v>31</v>
      </c>
      <c r="AQ173" s="4">
        <f t="shared" si="64"/>
        <v>3</v>
      </c>
      <c r="AR173" s="4">
        <f t="shared" si="65"/>
        <v>25</v>
      </c>
      <c r="AS173" s="4">
        <f t="shared" si="66"/>
        <v>3</v>
      </c>
      <c r="AT173" s="4">
        <f t="shared" si="67"/>
        <v>36</v>
      </c>
      <c r="AU173" s="4">
        <f t="shared" si="68"/>
        <v>7</v>
      </c>
      <c r="AV173" s="4">
        <f t="shared" si="69"/>
        <v>25</v>
      </c>
      <c r="AW173" s="4" t="str">
        <f t="shared" si="70"/>
        <v>-</v>
      </c>
      <c r="AX173" s="4">
        <f t="shared" si="71"/>
        <v>37</v>
      </c>
      <c r="AY173" s="4">
        <f t="shared" si="72"/>
        <v>39</v>
      </c>
      <c r="AZ173" s="4">
        <f t="shared" si="73"/>
        <v>22</v>
      </c>
      <c r="BA173" s="4">
        <f t="shared" si="74"/>
        <v>12</v>
      </c>
    </row>
    <row r="174" spans="1:53" x14ac:dyDescent="0.2">
      <c r="A174" s="1" t="str">
        <f>'SegEnds_NonXtal_Prot#'!A150</f>
        <v>gpr61_human</v>
      </c>
      <c r="B174" s="1" t="str">
        <f t="shared" si="50"/>
        <v>SESVALFFMLLLDLTAVAGNAAVMAVIAKTLRKFVFVFHLCLVDLLAALTLMPLAMLSSSALFGEVACRLYLFLSVCFVSLAILSVSAINVERYYYVVHTLGLVASVLVGVWVKALAMASVPVLGRCQLFVVVFAVLYFLLPLLLILVVYCSMFRVARVAAMQHGPLPPHRTFGGGKAAVVLLAVGGQFLLCWLPYFSFHLYVALSTGQVESVVTWIGYFCFTSNPFFYGCLNRQIRGELSKQF</v>
      </c>
      <c r="C174" s="29" t="str">
        <f>IF(ISERROR(MATCH(A174,'SegEnds_Xtal_Prot#'!B:B, 0)), "NoXtal", "Xtal")</f>
        <v>NoXtal</v>
      </c>
      <c r="D174" s="4" t="str">
        <f>VLOOKUP(A174,Classification!A:D,2,FALSE)</f>
        <v>A</v>
      </c>
      <c r="E174" s="5" t="str">
        <f>VLOOKUP(A174,Seqs!A:B,2,FALSE)</f>
        <v>MESSPIPQSSGNSSTLGRVPQTPGPSTASGVPEVGLRDVASESVALFFMLLLDLTAVAGNAAVMAVIAKTPALRKFVFVFHLCLVDLLAALTLMPLAMLSSSALFDHALFGEVACRLYLFLSVCFVSLAILSVSAINVERYYYVVHPMRYEVRMTLGLVASVLVGVWVKALAMASVPVLGRVSWEEGAPSVPPGCSLQWSHSAYCQLFVVVFAVLYFLLPLLLILVVYCSMFRVARVAAMQHGPLPTWMETPRQRSESLSSRSTMVTSSGAPQTTPHRTFGGGKAAVVLLAVGGQFLLCWLPYFSFHLYVALSAQPISTGQVESVVTWIGYFCFTSNPFFYGCLNRQIRGELSKQFVCFFKPAPEEELRLPSREGSIEENFLQFLQGTGCPSESWVSRPLPSPKQEPPAVDFRIPGQIAEETSEFLEQQLTSDIIMSDSYLRPAASPRLES</v>
      </c>
      <c r="F174" s="5" t="str">
        <f t="shared" si="51"/>
        <v>SESVALFFMLLLDLTAVAGNAAVMAVIAKT</v>
      </c>
      <c r="G174" s="4" t="str">
        <f t="shared" si="52"/>
        <v/>
      </c>
      <c r="H174" s="4" t="str">
        <f t="shared" si="53"/>
        <v>LRKFVFVFHLCLVDLLAALTLMPLAMLSSSAL</v>
      </c>
      <c r="I174" s="4" t="str">
        <f t="shared" si="54"/>
        <v>DHAL</v>
      </c>
      <c r="J174" s="4" t="str">
        <f t="shared" si="55"/>
        <v>FGEVACRLYLFLSVCFVSLAILSVSAINVERYYYVVH</v>
      </c>
      <c r="K174" s="4" t="str">
        <f t="shared" si="56"/>
        <v>PMRYEVRM</v>
      </c>
      <c r="L174" s="4" t="str">
        <f t="shared" si="57"/>
        <v>TLGLVASVLVGVWVKALAMASVPVLGR</v>
      </c>
      <c r="M174" s="4" t="str">
        <f t="shared" si="58"/>
        <v>CSL</v>
      </c>
      <c r="N174" s="4" t="str">
        <f t="shared" si="59"/>
        <v>CQLFVVVFAVLYFLLPLLLILVVYCSMFRVARVAAMQHGPLP</v>
      </c>
      <c r="O174" s="4" t="str">
        <f t="shared" si="60"/>
        <v>PHRTFGGGKAAVVLLAVGGQFLLCWLPYFSFHLYVALS</v>
      </c>
      <c r="P174" s="4" t="str">
        <f t="shared" si="61"/>
        <v>TGQVESVVTWIGYFCFTSNPFFYGCL</v>
      </c>
      <c r="Q174" s="4" t="str">
        <f t="shared" si="62"/>
        <v>NRQIRGELSKQF</v>
      </c>
      <c r="R174" s="5">
        <f>VLOOKUP($A174,'SegEnds_NonXtal_Prot#'!$A:$AL,3,FALSE)</f>
        <v>41</v>
      </c>
      <c r="S174" s="5" t="str">
        <f>VLOOKUP($A174,'SegEnds_NonXtal_Prot#'!$A:$AL,6,FALSE)</f>
        <v>-</v>
      </c>
      <c r="T174" s="5">
        <f>VLOOKUP($A174,'SegEnds_NonXtal_Prot#'!$A:$AL,9,FALSE)</f>
        <v>73</v>
      </c>
      <c r="U174" s="5">
        <f>VLOOKUP($A174,'SegEnds_NonXtal_Prot#'!$A:$AL,12,FALSE)</f>
        <v>106</v>
      </c>
      <c r="V174" s="5">
        <f>VLOOKUP($A174,'SegEnds_NonXtal_Prot#'!$A:$AL,15,FALSE)</f>
        <v>110</v>
      </c>
      <c r="W174" s="5">
        <f>VLOOKUP($A174,'SegEnds_NonXtal_Prot#'!$A:$AL,18,FALSE)</f>
        <v>147</v>
      </c>
      <c r="X174" s="5">
        <f>VLOOKUP($A174,'SegEnds_NonXtal_Prot#'!$A:$AL,21,FALSE)</f>
        <v>155</v>
      </c>
      <c r="Y174" s="5">
        <f>VLOOKUP($A174,'SegEnds_NonXtal_Prot#'!$A:$AL,24,FALSE)</f>
        <v>195</v>
      </c>
      <c r="Z174" s="5">
        <f>VLOOKUP($A174,'SegEnds_NonXtal_Prot#'!$A:$AL,27,FALSE)</f>
        <v>205</v>
      </c>
      <c r="AA174" s="5">
        <f>VLOOKUP($A174,'SegEnds_NonXtal_Prot#'!$A:$AL,30,FALSE)</f>
        <v>276</v>
      </c>
      <c r="AB174" s="5">
        <f>VLOOKUP($A174,'SegEnds_NonXtal_Prot#'!$A:$AL,33,FALSE)</f>
        <v>319</v>
      </c>
      <c r="AC174" s="5">
        <f>VLOOKUP($A174,'SegEnds_NonXtal_Prot#'!$A:$AL,36,FALSE)</f>
        <v>345</v>
      </c>
      <c r="AD174" s="5">
        <f>VLOOKUP($A174,'SegEnds_NonXtal_Prot#'!$A:$AL,5,FALSE)</f>
        <v>70</v>
      </c>
      <c r="AE174" s="5" t="str">
        <f>VLOOKUP($A174,'SegEnds_NonXtal_Prot#'!$A:$AL,8,FALSE)</f>
        <v>-</v>
      </c>
      <c r="AF174" s="5">
        <f>VLOOKUP($A174,'SegEnds_NonXtal_Prot#'!$A:$AL,11,FALSE)</f>
        <v>104</v>
      </c>
      <c r="AG174" s="5">
        <f>VLOOKUP($A174,'SegEnds_NonXtal_Prot#'!$A:$AL,14,FALSE)</f>
        <v>109</v>
      </c>
      <c r="AH174" s="5">
        <f>VLOOKUP($A174,'SegEnds_NonXtal_Prot#'!$A:$AL,17,FALSE)</f>
        <v>146</v>
      </c>
      <c r="AI174" s="5">
        <f>VLOOKUP($A174,'SegEnds_NonXtal_Prot#'!$A:$AL,20,FALSE)</f>
        <v>154</v>
      </c>
      <c r="AJ174" s="5">
        <f>VLOOKUP($A174,'SegEnds_NonXtal_Prot#'!$A:$AL,23,FALSE)</f>
        <v>181</v>
      </c>
      <c r="AK174" s="5">
        <f>VLOOKUP($A174,'SegEnds_NonXtal_Prot#'!$A:$AL,26,FALSE)</f>
        <v>197</v>
      </c>
      <c r="AL174" s="5">
        <f>VLOOKUP($A174,'SegEnds_NonXtal_Prot#'!$A:$AL,29,FALSE)</f>
        <v>246</v>
      </c>
      <c r="AM174" s="5">
        <f>VLOOKUP($A174,'SegEnds_NonXtal_Prot#'!$A:$AL,32,FALSE)</f>
        <v>313</v>
      </c>
      <c r="AN174" s="5">
        <f>VLOOKUP($A174,'SegEnds_NonXtal_Prot#'!$A:$AL,35,FALSE)</f>
        <v>344</v>
      </c>
      <c r="AO174" s="5">
        <f>VLOOKUP($A174,'SegEnds_NonXtal_Prot#'!$A:$AL,38,FALSE)</f>
        <v>356</v>
      </c>
      <c r="AP174" s="5">
        <f t="shared" si="63"/>
        <v>29</v>
      </c>
      <c r="AQ174" s="4" t="str">
        <f t="shared" si="64"/>
        <v>-</v>
      </c>
      <c r="AR174" s="4">
        <f t="shared" si="65"/>
        <v>31</v>
      </c>
      <c r="AS174" s="4">
        <f t="shared" si="66"/>
        <v>3</v>
      </c>
      <c r="AT174" s="4">
        <f t="shared" si="67"/>
        <v>36</v>
      </c>
      <c r="AU174" s="4">
        <f t="shared" si="68"/>
        <v>7</v>
      </c>
      <c r="AV174" s="4">
        <f t="shared" si="69"/>
        <v>26</v>
      </c>
      <c r="AW174" s="4">
        <f t="shared" si="70"/>
        <v>2</v>
      </c>
      <c r="AX174" s="4">
        <f t="shared" si="71"/>
        <v>41</v>
      </c>
      <c r="AY174" s="4">
        <f t="shared" si="72"/>
        <v>37</v>
      </c>
      <c r="AZ174" s="4">
        <f t="shared" si="73"/>
        <v>25</v>
      </c>
      <c r="BA174" s="4">
        <f t="shared" si="74"/>
        <v>11</v>
      </c>
    </row>
    <row r="175" spans="1:53" x14ac:dyDescent="0.2">
      <c r="A175" s="1" t="str">
        <f>'SegEnds_NonXtal_Prot#'!A151</f>
        <v>gpr78_human</v>
      </c>
      <c r="B175" s="1" t="str">
        <f t="shared" si="50"/>
        <v>GPGEALLAGLLVMVLAVALLSNALVLLCCAYSTRASGVLLVNLSLGHLLLAALDMPFTLLGVMRGAPGACQVIGFLDTFLASNAALSVAALSADQWLAVGFRPRYAGLLLGCAWGQSLAFSGAALGFAAFTATLHAVGFVLPLAVLCLTSLQVHRVARRHCQRMDTVTIQQKRRRHRATRKIGIAIATFLICFAPYVMTRLAELVPNAQWGILSKCLTYSKAVADPFTYSLLRRPFRQVLAGMVH</v>
      </c>
      <c r="C175" s="29" t="str">
        <f>IF(ISERROR(MATCH(A175,'SegEnds_Xtal_Prot#'!B:B, 0)), "NoXtal", "Xtal")</f>
        <v>NoXtal</v>
      </c>
      <c r="D175" s="4" t="str">
        <f>VLOOKUP(A175,Classification!A:D,2,FALSE)</f>
        <v>A</v>
      </c>
      <c r="E175" s="5" t="str">
        <f>VLOOKUP(A175,Seqs!A:B,2,FALSE)</f>
        <v>MGPGEALLAGLLVMVLAVALLSNALVLLCCAYSAELRTRASGVLLVNLSLGHLLLAALDMPFTLLGVMRGRTPSAPGACQVIGFLDTFLASNAALSVAALSADQWLAVGFPLRYAGRLRPRYAGLLLGCAWGQSLAFSGAALGCSWLGYSSAFASCSLRLPPEPERPRFAAFTATLHAVGFVLPLAVLCLTSLQVHRVARRHCQRMDTVTMKALALLADLHPSVRQRCLIQQKRRRHRATRKIGIAIATFLICFAPYVMTRLAELVPFVTVNAQWGILSKCLTYSKAVADPFTYSLLRRPFRQVLAGMVHRLLKRTPRPASTHDSSLDVAGMVHQLLKRTPRPASTHNGSVDTENDSCLQQTH</v>
      </c>
      <c r="F175" s="5" t="str">
        <f t="shared" si="51"/>
        <v>GPGEALLAGLLVMVLAVALLSNALVLLCCAYS</v>
      </c>
      <c r="G175" s="4" t="str">
        <f t="shared" si="52"/>
        <v>AELR</v>
      </c>
      <c r="H175" s="4" t="str">
        <f t="shared" si="53"/>
        <v>TRASGVLLVNLSLGHLLLAALDMPFTLLGVMRG</v>
      </c>
      <c r="I175" s="4" t="str">
        <f t="shared" si="54"/>
        <v/>
      </c>
      <c r="J175" s="4" t="str">
        <f t="shared" si="55"/>
        <v>APGACQVIGFLDTFLASNAALSVAALSADQWLAVGF</v>
      </c>
      <c r="K175" s="4" t="str">
        <f t="shared" si="56"/>
        <v>PLRYAGRL</v>
      </c>
      <c r="L175" s="4" t="str">
        <f t="shared" si="57"/>
        <v>RPRYAGLLLGCAWGQSLAFSGAALG</v>
      </c>
      <c r="M175" s="4" t="str">
        <f t="shared" si="58"/>
        <v>CSL</v>
      </c>
      <c r="N175" s="4" t="str">
        <f t="shared" si="59"/>
        <v>FAAFTATLHAVGFVLPLAVLCLTSLQVHRVARRHCQRMDTVT</v>
      </c>
      <c r="O175" s="4" t="str">
        <f t="shared" si="60"/>
        <v>IQQKRRRHRATRKIGIAIATFLICFAPYVMTRLAELVP</v>
      </c>
      <c r="P175" s="4" t="str">
        <f t="shared" si="61"/>
        <v>NAQWGILSKCLTYSKAVADPFTYSLL</v>
      </c>
      <c r="Q175" s="4" t="str">
        <f t="shared" si="62"/>
        <v>RRPFRQVLAGMVH</v>
      </c>
      <c r="R175" s="5">
        <f>VLOOKUP($A175,'SegEnds_NonXtal_Prot#'!$A:$AL,3,FALSE)</f>
        <v>2</v>
      </c>
      <c r="S175" s="5">
        <f>VLOOKUP($A175,'SegEnds_NonXtal_Prot#'!$A:$AL,6,FALSE)</f>
        <v>34</v>
      </c>
      <c r="T175" s="5">
        <f>VLOOKUP($A175,'SegEnds_NonXtal_Prot#'!$A:$AL,9,FALSE)</f>
        <v>38</v>
      </c>
      <c r="U175" s="5" t="str">
        <f>VLOOKUP($A175,'SegEnds_NonXtal_Prot#'!$A:$AL,12,FALSE)</f>
        <v>-</v>
      </c>
      <c r="V175" s="5">
        <f>VLOOKUP($A175,'SegEnds_NonXtal_Prot#'!$A:$AL,15,FALSE)</f>
        <v>75</v>
      </c>
      <c r="W175" s="5">
        <f>VLOOKUP($A175,'SegEnds_NonXtal_Prot#'!$A:$AL,18,FALSE)</f>
        <v>111</v>
      </c>
      <c r="X175" s="5">
        <f>VLOOKUP($A175,'SegEnds_NonXtal_Prot#'!$A:$AL,21,FALSE)</f>
        <v>119</v>
      </c>
      <c r="Y175" s="5">
        <f>VLOOKUP($A175,'SegEnds_NonXtal_Prot#'!$A:$AL,24,FALSE)</f>
        <v>156</v>
      </c>
      <c r="Z175" s="5">
        <f>VLOOKUP($A175,'SegEnds_NonXtal_Prot#'!$A:$AL,27,FALSE)</f>
        <v>169</v>
      </c>
      <c r="AA175" s="5">
        <f>VLOOKUP($A175,'SegEnds_NonXtal_Prot#'!$A:$AL,30,FALSE)</f>
        <v>230</v>
      </c>
      <c r="AB175" s="5">
        <f>VLOOKUP($A175,'SegEnds_NonXtal_Prot#'!$A:$AL,33,FALSE)</f>
        <v>272</v>
      </c>
      <c r="AC175" s="5">
        <f>VLOOKUP($A175,'SegEnds_NonXtal_Prot#'!$A:$AL,36,FALSE)</f>
        <v>298</v>
      </c>
      <c r="AD175" s="5">
        <f>VLOOKUP($A175,'SegEnds_NonXtal_Prot#'!$A:$AL,5,FALSE)</f>
        <v>33</v>
      </c>
      <c r="AE175" s="5">
        <f>VLOOKUP($A175,'SegEnds_NonXtal_Prot#'!$A:$AL,8,FALSE)</f>
        <v>37</v>
      </c>
      <c r="AF175" s="5">
        <f>VLOOKUP($A175,'SegEnds_NonXtal_Prot#'!$A:$AL,11,FALSE)</f>
        <v>70</v>
      </c>
      <c r="AG175" s="5" t="str">
        <f>VLOOKUP($A175,'SegEnds_NonXtal_Prot#'!$A:$AL,14,FALSE)</f>
        <v>-</v>
      </c>
      <c r="AH175" s="5">
        <f>VLOOKUP($A175,'SegEnds_NonXtal_Prot#'!$A:$AL,17,FALSE)</f>
        <v>110</v>
      </c>
      <c r="AI175" s="5">
        <f>VLOOKUP($A175,'SegEnds_NonXtal_Prot#'!$A:$AL,20,FALSE)</f>
        <v>118</v>
      </c>
      <c r="AJ175" s="5">
        <f>VLOOKUP($A175,'SegEnds_NonXtal_Prot#'!$A:$AL,23,FALSE)</f>
        <v>143</v>
      </c>
      <c r="AK175" s="5">
        <f>VLOOKUP($A175,'SegEnds_NonXtal_Prot#'!$A:$AL,26,FALSE)</f>
        <v>158</v>
      </c>
      <c r="AL175" s="5">
        <f>VLOOKUP($A175,'SegEnds_NonXtal_Prot#'!$A:$AL,29,FALSE)</f>
        <v>210</v>
      </c>
      <c r="AM175" s="5">
        <f>VLOOKUP($A175,'SegEnds_NonXtal_Prot#'!$A:$AL,32,FALSE)</f>
        <v>267</v>
      </c>
      <c r="AN175" s="5">
        <f>VLOOKUP($A175,'SegEnds_NonXtal_Prot#'!$A:$AL,35,FALSE)</f>
        <v>297</v>
      </c>
      <c r="AO175" s="5">
        <f>VLOOKUP($A175,'SegEnds_NonXtal_Prot#'!$A:$AL,38,FALSE)</f>
        <v>310</v>
      </c>
      <c r="AP175" s="5">
        <f t="shared" si="63"/>
        <v>31</v>
      </c>
      <c r="AQ175" s="4">
        <f t="shared" si="64"/>
        <v>3</v>
      </c>
      <c r="AR175" s="4">
        <f t="shared" si="65"/>
        <v>32</v>
      </c>
      <c r="AS175" s="4" t="str">
        <f t="shared" si="66"/>
        <v>-</v>
      </c>
      <c r="AT175" s="4">
        <f t="shared" si="67"/>
        <v>35</v>
      </c>
      <c r="AU175" s="4">
        <f t="shared" si="68"/>
        <v>7</v>
      </c>
      <c r="AV175" s="4">
        <f t="shared" si="69"/>
        <v>24</v>
      </c>
      <c r="AW175" s="4">
        <f t="shared" si="70"/>
        <v>2</v>
      </c>
      <c r="AX175" s="4">
        <f t="shared" si="71"/>
        <v>41</v>
      </c>
      <c r="AY175" s="4">
        <f t="shared" si="72"/>
        <v>37</v>
      </c>
      <c r="AZ175" s="4">
        <f t="shared" si="73"/>
        <v>25</v>
      </c>
      <c r="BA175" s="4">
        <f t="shared" si="74"/>
        <v>12</v>
      </c>
    </row>
    <row r="176" spans="1:53" x14ac:dyDescent="0.2">
      <c r="A176" s="1" t="str">
        <f>'SegEnds_NonXtal_Prot#'!A152</f>
        <v>gpr82_human</v>
      </c>
      <c r="B176" s="1" t="str">
        <f t="shared" si="50"/>
        <v>MISSMALPIIYILLCIVGVFGNTLSQWIFLTKTSTHIYLSHLVTANLLVCSAMPFMSIYFLKGQSAQCRVVNFLGTLSMHASMFVSLLILSWIAISRYATLMQQPNFARKLCIYIWGVVLGIIIPVTVYYLGAMISQIAGLIGTTFIGFSFLVVLTSYYSFVSHLRKIIMEKDLTYSSVKRHLLVIQILLIVCFLPYSIFKPIFYVLLNYLIETKNILTCLASARSSTDPIIFLLLDKTFKKTLYNLFT</v>
      </c>
      <c r="C176" s="29" t="str">
        <f>IF(ISERROR(MATCH(A176,'SegEnds_Xtal_Prot#'!B:B, 0)), "NoXtal", "Xtal")</f>
        <v>NoXtal</v>
      </c>
      <c r="D176" s="4" t="str">
        <f>VLOOKUP(A176,Classification!A:D,2,FALSE)</f>
        <v>A</v>
      </c>
      <c r="E176" s="5" t="str">
        <f>VLOOKUP(A176,Seqs!A:B,2,FALSE)</f>
        <v>MNNNTTCIQPSMISSMALPIIYILLCIVGVFGNTLSQWIFLTKIGKKTSTHIYLSHLVTANLLVCSAMPFMSIYFLKGFQWEYQSAQCRVVNFLGTLSMHASMFVSLLILSWIAISRYATLMQKDSSQETTSCYEKIFYGHLLKKFRQPNFARKLCIYIWGVVLGIIIPVTVYYSVIEATEGEESLCYNRQMELGAMISQIAGLIGTTFIGFSFLVVLTSYYSFVSHLRKIRTCTSIMEKDLTYSSVKRHLLVIQILLIVCFLPYSIFKPIFYVLHQRDNCQQLNYLIETKNILTCLASARSSTDPIIFLLLDKTFKKTLYNLFTKSNSAHMQSYG</v>
      </c>
      <c r="F176" s="5" t="str">
        <f t="shared" si="51"/>
        <v>MISSMALPIIYILLCIVGVFGNTLSQWIFLTK</v>
      </c>
      <c r="G176" s="4" t="str">
        <f t="shared" si="52"/>
        <v/>
      </c>
      <c r="H176" s="4" t="str">
        <f t="shared" si="53"/>
        <v>TSTHIYLSHLVTANLLVCSAMPFMSIYFLKG</v>
      </c>
      <c r="I176" s="4" t="str">
        <f t="shared" si="54"/>
        <v>QWEY</v>
      </c>
      <c r="J176" s="4" t="str">
        <f t="shared" si="55"/>
        <v>QSAQCRVVNFLGTLSMHASMFVSLLILSWIAISRYATLMQ</v>
      </c>
      <c r="K176" s="4" t="str">
        <f t="shared" si="56"/>
        <v>GHLLKKFR</v>
      </c>
      <c r="L176" s="4" t="str">
        <f t="shared" si="57"/>
        <v>QPNFARKLCIYIWGVVLGIIIPVTVYY</v>
      </c>
      <c r="M176" s="4" t="str">
        <f t="shared" si="58"/>
        <v/>
      </c>
      <c r="N176" s="4" t="str">
        <f t="shared" si="59"/>
        <v>LGAMISQIAGLIGTTFIGFSFLVVLTSYYSFVSHLRKI</v>
      </c>
      <c r="O176" s="4" t="str">
        <f t="shared" si="60"/>
        <v>IMEKDLTYSSVKRHLLVIQILLIVCFLPYSIFKPIFYVL</v>
      </c>
      <c r="P176" s="4" t="str">
        <f t="shared" si="61"/>
        <v>LNYLIETKNILTCLASARSSTDPIIFLLL</v>
      </c>
      <c r="Q176" s="4" t="str">
        <f t="shared" si="62"/>
        <v>DKTFKKTLYNLFT</v>
      </c>
      <c r="R176" s="5">
        <f>VLOOKUP($A176,'SegEnds_NonXtal_Prot#'!$A:$AL,3,FALSE)</f>
        <v>12</v>
      </c>
      <c r="S176" s="5" t="str">
        <f>VLOOKUP($A176,'SegEnds_NonXtal_Prot#'!$A:$AL,6,FALSE)</f>
        <v>-</v>
      </c>
      <c r="T176" s="5">
        <f>VLOOKUP($A176,'SegEnds_NonXtal_Prot#'!$A:$AL,9,FALSE)</f>
        <v>48</v>
      </c>
      <c r="U176" s="5">
        <f>VLOOKUP($A176,'SegEnds_NonXtal_Prot#'!$A:$AL,12,FALSE)</f>
        <v>80</v>
      </c>
      <c r="V176" s="5">
        <f>VLOOKUP($A176,'SegEnds_NonXtal_Prot#'!$A:$AL,15,FALSE)</f>
        <v>84</v>
      </c>
      <c r="W176" s="5">
        <f>VLOOKUP($A176,'SegEnds_NonXtal_Prot#'!$A:$AL,18,FALSE)</f>
        <v>140</v>
      </c>
      <c r="X176" s="5">
        <f>VLOOKUP($A176,'SegEnds_NonXtal_Prot#'!$A:$AL,21,FALSE)</f>
        <v>148</v>
      </c>
      <c r="Y176" s="5" t="str">
        <f>VLOOKUP($A176,'SegEnds_NonXtal_Prot#'!$A:$AL,24,FALSE)</f>
        <v>-</v>
      </c>
      <c r="Z176" s="5">
        <f>VLOOKUP($A176,'SegEnds_NonXtal_Prot#'!$A:$AL,27,FALSE)</f>
        <v>194</v>
      </c>
      <c r="AA176" s="5">
        <f>VLOOKUP($A176,'SegEnds_NonXtal_Prot#'!$A:$AL,30,FALSE)</f>
        <v>237</v>
      </c>
      <c r="AB176" s="5">
        <f>VLOOKUP($A176,'SegEnds_NonXtal_Prot#'!$A:$AL,33,FALSE)</f>
        <v>284</v>
      </c>
      <c r="AC176" s="5">
        <f>VLOOKUP($A176,'SegEnds_NonXtal_Prot#'!$A:$AL,36,FALSE)</f>
        <v>313</v>
      </c>
      <c r="AD176" s="5">
        <f>VLOOKUP($A176,'SegEnds_NonXtal_Prot#'!$A:$AL,5,FALSE)</f>
        <v>43</v>
      </c>
      <c r="AE176" s="5" t="str">
        <f>VLOOKUP($A176,'SegEnds_NonXtal_Prot#'!$A:$AL,8,FALSE)</f>
        <v>-</v>
      </c>
      <c r="AF176" s="5">
        <f>VLOOKUP($A176,'SegEnds_NonXtal_Prot#'!$A:$AL,11,FALSE)</f>
        <v>78</v>
      </c>
      <c r="AG176" s="5">
        <f>VLOOKUP($A176,'SegEnds_NonXtal_Prot#'!$A:$AL,14,FALSE)</f>
        <v>83</v>
      </c>
      <c r="AH176" s="5">
        <f>VLOOKUP($A176,'SegEnds_NonXtal_Prot#'!$A:$AL,17,FALSE)</f>
        <v>123</v>
      </c>
      <c r="AI176" s="5">
        <f>VLOOKUP($A176,'SegEnds_NonXtal_Prot#'!$A:$AL,20,FALSE)</f>
        <v>147</v>
      </c>
      <c r="AJ176" s="5">
        <f>VLOOKUP($A176,'SegEnds_NonXtal_Prot#'!$A:$AL,23,FALSE)</f>
        <v>174</v>
      </c>
      <c r="AK176" s="5" t="str">
        <f>VLOOKUP($A176,'SegEnds_NonXtal_Prot#'!$A:$AL,26,FALSE)</f>
        <v>-</v>
      </c>
      <c r="AL176" s="5">
        <f>VLOOKUP($A176,'SegEnds_NonXtal_Prot#'!$A:$AL,29,FALSE)</f>
        <v>231</v>
      </c>
      <c r="AM176" s="5">
        <f>VLOOKUP($A176,'SegEnds_NonXtal_Prot#'!$A:$AL,32,FALSE)</f>
        <v>275</v>
      </c>
      <c r="AN176" s="5">
        <f>VLOOKUP($A176,'SegEnds_NonXtal_Prot#'!$A:$AL,35,FALSE)</f>
        <v>312</v>
      </c>
      <c r="AO176" s="5">
        <f>VLOOKUP($A176,'SegEnds_NonXtal_Prot#'!$A:$AL,38,FALSE)</f>
        <v>325</v>
      </c>
      <c r="AP176" s="5">
        <f t="shared" si="63"/>
        <v>31</v>
      </c>
      <c r="AQ176" s="4" t="str">
        <f t="shared" si="64"/>
        <v>-</v>
      </c>
      <c r="AR176" s="4">
        <f t="shared" si="65"/>
        <v>30</v>
      </c>
      <c r="AS176" s="4">
        <f t="shared" si="66"/>
        <v>3</v>
      </c>
      <c r="AT176" s="4">
        <f t="shared" si="67"/>
        <v>39</v>
      </c>
      <c r="AU176" s="4">
        <f t="shared" si="68"/>
        <v>7</v>
      </c>
      <c r="AV176" s="4">
        <f t="shared" si="69"/>
        <v>26</v>
      </c>
      <c r="AW176" s="4" t="str">
        <f t="shared" si="70"/>
        <v>-</v>
      </c>
      <c r="AX176" s="4">
        <f t="shared" si="71"/>
        <v>37</v>
      </c>
      <c r="AY176" s="4">
        <f t="shared" si="72"/>
        <v>38</v>
      </c>
      <c r="AZ176" s="4">
        <f t="shared" si="73"/>
        <v>28</v>
      </c>
      <c r="BA176" s="4">
        <f t="shared" si="74"/>
        <v>12</v>
      </c>
    </row>
    <row r="177" spans="1:53" x14ac:dyDescent="0.2">
      <c r="A177" s="1" t="str">
        <f>'SegEnds_NonXtal_Prot#'!A153</f>
        <v>gpr84_human</v>
      </c>
      <c r="B177" s="1" t="str">
        <f t="shared" si="50"/>
        <v>SVLGYRYVAVSWGVVVAVTGTVGNVLTLLALAIQTRFNLLIANLTLADLLYCTLLQPFSVDTYLHLGATFCRVFGLLLFASNSVSILTLCLIALGRYLLIAHSAKGIVLALVSTWVVGVASFAPLWPIYILVASIHSNHVARTDEAMPGRFQELDSRLASGGPSEGISSEPVPDSSSEFGKVTRMCFAVFLCFALSYIPFLLLNILDARVVVHMLAANLTWLNGCINPVLYAAMNRQFRQAYGSILKR</v>
      </c>
      <c r="C177" s="29" t="str">
        <f>IF(ISERROR(MATCH(A177,'SegEnds_Xtal_Prot#'!B:B, 0)), "NoXtal", "Xtal")</f>
        <v>NoXtal</v>
      </c>
      <c r="D177" s="4" t="str">
        <f>VLOOKUP(A177,Classification!A:D,2,FALSE)</f>
        <v>A</v>
      </c>
      <c r="E177" s="5" t="str">
        <f>VLOOKUP(A177,Seqs!A:B,2,FALSE)</f>
        <v>MWNSSDANFSCYHESVLGYRYVAVSWGVVVAVTGTVGNVLTLLALAIQPKLRTRFNLLIANLTLADLLYCTLLQPFSVDTYLHLHWRTGATFCRVFGLLLFASNSVSILTLCLIALGRYLLIAHPKLFPQVFSAKGIVLALVSTWVVGVASFAPLWPIYILVPVVCTCSFDRIRGRPYTTILMGIYFVLGLSSVGIFYCLIHRQVKRAAQALDQYKLRQASIHSNHVARTDEAMPGRFQELDSRLASGGPSEGISSEPVSAATTQTLEGDSSEVGDQINSKRAKQMAEKSPPEASAKAQPIKGARRAPDSSSEFGKVTRMCFAVFLCFALSYIPFLLLNILDARVQAPRVVHMLAANLTWLNGCINPVLYAAMNRQFRQAYGSILKRGPRSFHRLH</v>
      </c>
      <c r="F177" s="5" t="str">
        <f t="shared" si="51"/>
        <v>SVLGYRYVAVSWGVVVAVTGTVGNVLTLLALAIQ</v>
      </c>
      <c r="G177" s="4" t="str">
        <f t="shared" si="52"/>
        <v>PKLR</v>
      </c>
      <c r="H177" s="4" t="str">
        <f t="shared" si="53"/>
        <v>TRFNLLIANLTLADLLYCTLLQPFSVDTYLHL</v>
      </c>
      <c r="I177" s="4" t="str">
        <f t="shared" si="54"/>
        <v/>
      </c>
      <c r="J177" s="4" t="str">
        <f t="shared" si="55"/>
        <v>GATFCRVFGLLLFASNSVSILTLCLIALGRYLLIAH</v>
      </c>
      <c r="K177" s="4" t="str">
        <f t="shared" si="56"/>
        <v>PKLFPQVF</v>
      </c>
      <c r="L177" s="4" t="str">
        <f t="shared" si="57"/>
        <v>SAKGIVLALVSTWVVGVASFAPLWPIYILV</v>
      </c>
      <c r="M177" s="4" t="str">
        <f t="shared" si="58"/>
        <v>CSF</v>
      </c>
      <c r="N177" s="4" t="str">
        <f t="shared" si="59"/>
        <v>ASIHSNHVARTDEAMPGRFQELDSRLASGGPSEGISSEPV</v>
      </c>
      <c r="O177" s="4" t="str">
        <f t="shared" si="60"/>
        <v>PDSSSEFGKVTRMCFAVFLCFALSYIPFLLLNILDARV</v>
      </c>
      <c r="P177" s="4" t="str">
        <f t="shared" si="61"/>
        <v>VVHMLAANLTWLNGCINPVLYAAM</v>
      </c>
      <c r="Q177" s="4" t="str">
        <f t="shared" si="62"/>
        <v>NRQFRQAYGSILKR</v>
      </c>
      <c r="R177" s="5">
        <f>VLOOKUP($A177,'SegEnds_NonXtal_Prot#'!$A:$AL,3,FALSE)</f>
        <v>15</v>
      </c>
      <c r="S177" s="5">
        <f>VLOOKUP($A177,'SegEnds_NonXtal_Prot#'!$A:$AL,6,FALSE)</f>
        <v>49</v>
      </c>
      <c r="T177" s="5">
        <f>VLOOKUP($A177,'SegEnds_NonXtal_Prot#'!$A:$AL,9,FALSE)</f>
        <v>53</v>
      </c>
      <c r="U177" s="5" t="str">
        <f>VLOOKUP($A177,'SegEnds_NonXtal_Prot#'!$A:$AL,12,FALSE)</f>
        <v>-</v>
      </c>
      <c r="V177" s="5">
        <f>VLOOKUP($A177,'SegEnds_NonXtal_Prot#'!$A:$AL,15,FALSE)</f>
        <v>89</v>
      </c>
      <c r="W177" s="5">
        <f>VLOOKUP($A177,'SegEnds_NonXtal_Prot#'!$A:$AL,18,FALSE)</f>
        <v>125</v>
      </c>
      <c r="X177" s="5">
        <f>VLOOKUP($A177,'SegEnds_NonXtal_Prot#'!$A:$AL,21,FALSE)</f>
        <v>133</v>
      </c>
      <c r="Y177" s="5">
        <f>VLOOKUP($A177,'SegEnds_NonXtal_Prot#'!$A:$AL,24,FALSE)</f>
        <v>168</v>
      </c>
      <c r="Z177" s="5">
        <f>VLOOKUP($A177,'SegEnds_NonXtal_Prot#'!$A:$AL,27,FALSE)</f>
        <v>220</v>
      </c>
      <c r="AA177" s="5">
        <f>VLOOKUP($A177,'SegEnds_NonXtal_Prot#'!$A:$AL,30,FALSE)</f>
        <v>308</v>
      </c>
      <c r="AB177" s="5">
        <f>VLOOKUP($A177,'SegEnds_NonXtal_Prot#'!$A:$AL,33,FALSE)</f>
        <v>350</v>
      </c>
      <c r="AC177" s="5">
        <f>VLOOKUP($A177,'SegEnds_NonXtal_Prot#'!$A:$AL,36,FALSE)</f>
        <v>374</v>
      </c>
      <c r="AD177" s="5">
        <f>VLOOKUP($A177,'SegEnds_NonXtal_Prot#'!$A:$AL,5,FALSE)</f>
        <v>48</v>
      </c>
      <c r="AE177" s="5">
        <f>VLOOKUP($A177,'SegEnds_NonXtal_Prot#'!$A:$AL,8,FALSE)</f>
        <v>52</v>
      </c>
      <c r="AF177" s="5">
        <f>VLOOKUP($A177,'SegEnds_NonXtal_Prot#'!$A:$AL,11,FALSE)</f>
        <v>84</v>
      </c>
      <c r="AG177" s="5" t="str">
        <f>VLOOKUP($A177,'SegEnds_NonXtal_Prot#'!$A:$AL,14,FALSE)</f>
        <v>-</v>
      </c>
      <c r="AH177" s="5">
        <f>VLOOKUP($A177,'SegEnds_NonXtal_Prot#'!$A:$AL,17,FALSE)</f>
        <v>124</v>
      </c>
      <c r="AI177" s="5">
        <f>VLOOKUP($A177,'SegEnds_NonXtal_Prot#'!$A:$AL,20,FALSE)</f>
        <v>132</v>
      </c>
      <c r="AJ177" s="5">
        <f>VLOOKUP($A177,'SegEnds_NonXtal_Prot#'!$A:$AL,23,FALSE)</f>
        <v>162</v>
      </c>
      <c r="AK177" s="5">
        <f>VLOOKUP($A177,'SegEnds_NonXtal_Prot#'!$A:$AL,26,FALSE)</f>
        <v>170</v>
      </c>
      <c r="AL177" s="5">
        <f>VLOOKUP($A177,'SegEnds_NonXtal_Prot#'!$A:$AL,29,FALSE)</f>
        <v>259</v>
      </c>
      <c r="AM177" s="5">
        <f>VLOOKUP($A177,'SegEnds_NonXtal_Prot#'!$A:$AL,32,FALSE)</f>
        <v>345</v>
      </c>
      <c r="AN177" s="5">
        <f>VLOOKUP($A177,'SegEnds_NonXtal_Prot#'!$A:$AL,35,FALSE)</f>
        <v>373</v>
      </c>
      <c r="AO177" s="5">
        <f>VLOOKUP($A177,'SegEnds_NonXtal_Prot#'!$A:$AL,38,FALSE)</f>
        <v>387</v>
      </c>
      <c r="AP177" s="5">
        <f t="shared" si="63"/>
        <v>33</v>
      </c>
      <c r="AQ177" s="4">
        <f t="shared" si="64"/>
        <v>3</v>
      </c>
      <c r="AR177" s="4">
        <f t="shared" si="65"/>
        <v>31</v>
      </c>
      <c r="AS177" s="4" t="str">
        <f t="shared" si="66"/>
        <v>-</v>
      </c>
      <c r="AT177" s="4">
        <f t="shared" si="67"/>
        <v>35</v>
      </c>
      <c r="AU177" s="4">
        <f t="shared" si="68"/>
        <v>7</v>
      </c>
      <c r="AV177" s="4">
        <f t="shared" si="69"/>
        <v>29</v>
      </c>
      <c r="AW177" s="4">
        <f t="shared" si="70"/>
        <v>2</v>
      </c>
      <c r="AX177" s="4">
        <f t="shared" si="71"/>
        <v>39</v>
      </c>
      <c r="AY177" s="4">
        <f t="shared" si="72"/>
        <v>37</v>
      </c>
      <c r="AZ177" s="4">
        <f t="shared" si="73"/>
        <v>23</v>
      </c>
      <c r="BA177" s="4">
        <f t="shared" si="74"/>
        <v>13</v>
      </c>
    </row>
    <row r="178" spans="1:53" x14ac:dyDescent="0.2">
      <c r="A178" s="1" t="str">
        <f>'SegEnds_NonXtal_Prot#'!A154</f>
        <v>gpr85_human</v>
      </c>
      <c r="B178" s="1" t="str">
        <f t="shared" si="50"/>
        <v>FLKLTSLGFIIGVSVVGNLLISILLVKDRAPYYFLLDLCCSDILRSAICFPFVFNSVKNGGTLTCKVIAFLGVLSCFHTAFMLFCISVTRYLAIAHTFWTCLAVICMVWTLSVAMAFPPVLDVGTYVQFVAAVSQNWTFHGPGASGQAAANWLAGFGRGPTPPTLLGILDEFKMEKRISRMFYIMTFLFLTLWGPYLVACYWRVFAPGGFLTAAVWMSFAQAGINPFVCIFSNRELRRCFSTTLLY</v>
      </c>
      <c r="C178" s="29" t="str">
        <f>IF(ISERROR(MATCH(A178,'SegEnds_Xtal_Prot#'!B:B, 0)), "NoXtal", "Xtal")</f>
        <v>NoXtal</v>
      </c>
      <c r="D178" s="4" t="str">
        <f>VLOOKUP(A178,Classification!A:D,2,FALSE)</f>
        <v>A</v>
      </c>
      <c r="E178" s="5" t="str">
        <f>VLOOKUP(A178,Seqs!A:B,2,FALSE)</f>
        <v>MANYSHAADNILQNLSPLTAFLKLTSLGFIIGVSVVGNLLISILLVKDKTLHRAPYYFLLDLCCSDILRSAICFPFVFNSVKNGSTWTYGTLTCKVIAFLGVLSCFHTAFMLFCISVTRYLAIAHHRFYTKRLTFWTCLAVICMVWTLSVAMAFPPVLDVGTYSFIREEDQCTFQHRSFRANDSLGFMLLLALILLATQLVYLKLIFFVHDRRKMKPVQFVAAVSQNWTFHGPGASGQAAANWLAGFGRGPTPPTLLGIRQNANTTGRRRLLVLDEFKMEKRISRMFYIMTFLFLTLWGPYLVACYWRVFARGPVVPGGFLTAAVWMSFAQAGINPFVCIFSNRELRRCFSTTLLYCRKSRLPREPYCVI</v>
      </c>
      <c r="F178" s="5" t="str">
        <f t="shared" si="51"/>
        <v>FLKLTSLGFIIGVSVVGNLLISILLVKD</v>
      </c>
      <c r="G178" s="4" t="str">
        <f t="shared" si="52"/>
        <v>KTLH</v>
      </c>
      <c r="H178" s="4" t="str">
        <f t="shared" si="53"/>
        <v>RAPYYFLLDLCCSDILRSAICFPFVFNSVKNG</v>
      </c>
      <c r="I178" s="4" t="str">
        <f t="shared" si="54"/>
        <v>TWTY</v>
      </c>
      <c r="J178" s="4" t="str">
        <f t="shared" si="55"/>
        <v>GTLTCKVIAFLGVLSCFHTAFMLFCISVTRYLAIAH</v>
      </c>
      <c r="K178" s="4" t="str">
        <f t="shared" si="56"/>
        <v>HRFYTKRL</v>
      </c>
      <c r="L178" s="4" t="str">
        <f t="shared" si="57"/>
        <v>TFWTCLAVICMVWTLSVAMAFPPVLDVGTY</v>
      </c>
      <c r="M178" s="4" t="str">
        <f t="shared" si="58"/>
        <v>CTF</v>
      </c>
      <c r="N178" s="4" t="str">
        <f t="shared" si="59"/>
        <v>VQFVAAVSQNWTFHGPGASGQAAANWLAGFGRGPTPPTLLGI</v>
      </c>
      <c r="O178" s="4" t="str">
        <f t="shared" si="60"/>
        <v>LDEFKMEKRISRMFYIMTFLFLTLWGPYLVACYWRVFA</v>
      </c>
      <c r="P178" s="4" t="str">
        <f t="shared" si="61"/>
        <v>PGGFLTAAVWMSFAQAGINPFVCIFS</v>
      </c>
      <c r="Q178" s="4" t="str">
        <f t="shared" si="62"/>
        <v>NRELRRCFSTTLLY</v>
      </c>
      <c r="R178" s="5">
        <f>VLOOKUP($A178,'SegEnds_NonXtal_Prot#'!$A:$AL,3,FALSE)</f>
        <v>21</v>
      </c>
      <c r="S178" s="5">
        <f>VLOOKUP($A178,'SegEnds_NonXtal_Prot#'!$A:$AL,6,FALSE)</f>
        <v>49</v>
      </c>
      <c r="T178" s="5">
        <f>VLOOKUP($A178,'SegEnds_NonXtal_Prot#'!$A:$AL,9,FALSE)</f>
        <v>53</v>
      </c>
      <c r="U178" s="5">
        <f>VLOOKUP($A178,'SegEnds_NonXtal_Prot#'!$A:$AL,12,FALSE)</f>
        <v>86</v>
      </c>
      <c r="V178" s="5">
        <f>VLOOKUP($A178,'SegEnds_NonXtal_Prot#'!$A:$AL,15,FALSE)</f>
        <v>90</v>
      </c>
      <c r="W178" s="5">
        <f>VLOOKUP($A178,'SegEnds_NonXtal_Prot#'!$A:$AL,18,FALSE)</f>
        <v>126</v>
      </c>
      <c r="X178" s="5">
        <f>VLOOKUP($A178,'SegEnds_NonXtal_Prot#'!$A:$AL,21,FALSE)</f>
        <v>134</v>
      </c>
      <c r="Y178" s="5">
        <f>VLOOKUP($A178,'SegEnds_NonXtal_Prot#'!$A:$AL,24,FALSE)</f>
        <v>172</v>
      </c>
      <c r="Z178" s="5">
        <f>VLOOKUP($A178,'SegEnds_NonXtal_Prot#'!$A:$AL,27,FALSE)</f>
        <v>218</v>
      </c>
      <c r="AA178" s="5">
        <f>VLOOKUP($A178,'SegEnds_NonXtal_Prot#'!$A:$AL,30,FALSE)</f>
        <v>274</v>
      </c>
      <c r="AB178" s="5">
        <f>VLOOKUP($A178,'SegEnds_NonXtal_Prot#'!$A:$AL,33,FALSE)</f>
        <v>317</v>
      </c>
      <c r="AC178" s="5">
        <f>VLOOKUP($A178,'SegEnds_NonXtal_Prot#'!$A:$AL,36,FALSE)</f>
        <v>343</v>
      </c>
      <c r="AD178" s="5">
        <f>VLOOKUP($A178,'SegEnds_NonXtal_Prot#'!$A:$AL,5,FALSE)</f>
        <v>48</v>
      </c>
      <c r="AE178" s="5">
        <f>VLOOKUP($A178,'SegEnds_NonXtal_Prot#'!$A:$AL,8,FALSE)</f>
        <v>52</v>
      </c>
      <c r="AF178" s="5">
        <f>VLOOKUP($A178,'SegEnds_NonXtal_Prot#'!$A:$AL,11,FALSE)</f>
        <v>84</v>
      </c>
      <c r="AG178" s="5">
        <f>VLOOKUP($A178,'SegEnds_NonXtal_Prot#'!$A:$AL,14,FALSE)</f>
        <v>89</v>
      </c>
      <c r="AH178" s="5">
        <f>VLOOKUP($A178,'SegEnds_NonXtal_Prot#'!$A:$AL,17,FALSE)</f>
        <v>125</v>
      </c>
      <c r="AI178" s="5">
        <f>VLOOKUP($A178,'SegEnds_NonXtal_Prot#'!$A:$AL,20,FALSE)</f>
        <v>133</v>
      </c>
      <c r="AJ178" s="5">
        <f>VLOOKUP($A178,'SegEnds_NonXtal_Prot#'!$A:$AL,23,FALSE)</f>
        <v>163</v>
      </c>
      <c r="AK178" s="5">
        <f>VLOOKUP($A178,'SegEnds_NonXtal_Prot#'!$A:$AL,26,FALSE)</f>
        <v>174</v>
      </c>
      <c r="AL178" s="5">
        <f>VLOOKUP($A178,'SegEnds_NonXtal_Prot#'!$A:$AL,29,FALSE)</f>
        <v>259</v>
      </c>
      <c r="AM178" s="5">
        <f>VLOOKUP($A178,'SegEnds_NonXtal_Prot#'!$A:$AL,32,FALSE)</f>
        <v>311</v>
      </c>
      <c r="AN178" s="5">
        <f>VLOOKUP($A178,'SegEnds_NonXtal_Prot#'!$A:$AL,35,FALSE)</f>
        <v>342</v>
      </c>
      <c r="AO178" s="5">
        <f>VLOOKUP($A178,'SegEnds_NonXtal_Prot#'!$A:$AL,38,FALSE)</f>
        <v>356</v>
      </c>
      <c r="AP178" s="5">
        <f t="shared" si="63"/>
        <v>27</v>
      </c>
      <c r="AQ178" s="4">
        <f t="shared" si="64"/>
        <v>3</v>
      </c>
      <c r="AR178" s="4">
        <f t="shared" si="65"/>
        <v>31</v>
      </c>
      <c r="AS178" s="4">
        <f t="shared" si="66"/>
        <v>3</v>
      </c>
      <c r="AT178" s="4">
        <f t="shared" si="67"/>
        <v>35</v>
      </c>
      <c r="AU178" s="4">
        <f t="shared" si="68"/>
        <v>7</v>
      </c>
      <c r="AV178" s="4">
        <f t="shared" si="69"/>
        <v>29</v>
      </c>
      <c r="AW178" s="4">
        <f t="shared" si="70"/>
        <v>2</v>
      </c>
      <c r="AX178" s="4">
        <f t="shared" si="71"/>
        <v>41</v>
      </c>
      <c r="AY178" s="4">
        <f t="shared" si="72"/>
        <v>37</v>
      </c>
      <c r="AZ178" s="4">
        <f t="shared" si="73"/>
        <v>25</v>
      </c>
      <c r="BA178" s="4">
        <f t="shared" si="74"/>
        <v>13</v>
      </c>
    </row>
    <row r="179" spans="1:53" x14ac:dyDescent="0.2">
      <c r="A179" s="1" t="str">
        <f>'SegEnds_NonXtal_Prot#'!A155</f>
        <v>gpr87_human</v>
      </c>
      <c r="B179" s="1" t="str">
        <f t="shared" si="50"/>
        <v>NEFDTIVLPVLYLIIFVASILLNGLAVWIFFHITSFIFYLKNIVVADLIMTLTFPFRIVHDAGKFILCRYTSVLFYANMYTSIVFLGLISIDRYLKVVKSITFTKVLSVCVWVIMAVLSLPNIILTPLGVKWHTAVTYVNSCLFVAVLVILIGCYIAISRYIHKSISQSSRKRKHNQSIRVVVAVFFTCFLPYHLCRIPFTFSHLDDESAQKILYYCKEITLFLSACNVCLDPIIYFFMCRSFSRRLFKK</v>
      </c>
      <c r="C179" s="29" t="str">
        <f>IF(ISERROR(MATCH(A179,'SegEnds_Xtal_Prot#'!B:B, 0)), "NoXtal", "Xtal")</f>
        <v>NoXtal</v>
      </c>
      <c r="D179" s="4" t="str">
        <f>VLOOKUP(A179,Classification!A:D,2,FALSE)</f>
        <v>A</v>
      </c>
      <c r="E179" s="5" t="str">
        <f>VLOOKUP(A179,Seqs!A:B,2,FALSE)</f>
        <v>MGFNLTLAKLPNNELHGQESHNSGNRSDGPGKNTTLHNEFDTIVLPVLYLIIFVASILLNGLAVWIFFHIRNKTSFIFYLKNIVVADLIMTLTFPFRIVHDAGFGPWYFKFILCRYTSVLFYANMYTSIVFLGLISIDRYLKVVKPFGDSRMYSITFTKVLSVCVWVIMAVLSLPNIILTNGQPTEDNIHDCSKLKSPLGVKWHTAVTYVNSCLFVAVLVILIGCYIAISRYIHKSSRQFISQSSRKRKHNQSIRVVVAVFFTCFLPYHLCRIPFTFSHLDRLLDESAQKILYYCKEITLFLSACNVCLDPIIYFFMCRSFSRRLFKKSNIRTRSESIRSLQSVRRSEVRIYYDYTDV</v>
      </c>
      <c r="F179" s="5" t="str">
        <f t="shared" si="51"/>
        <v>NEFDTIVLPVLYLIIFVASILLNGLAVWIFFHI</v>
      </c>
      <c r="G179" s="4" t="str">
        <f t="shared" si="52"/>
        <v/>
      </c>
      <c r="H179" s="4" t="str">
        <f t="shared" si="53"/>
        <v>TSFIFYLKNIVVADLIMTLTFPFRIVHDAG</v>
      </c>
      <c r="I179" s="4" t="str">
        <f t="shared" si="54"/>
        <v>PWYF</v>
      </c>
      <c r="J179" s="4" t="str">
        <f t="shared" si="55"/>
        <v>KFILCRYTSVLFYANMYTSIVFLGLISIDRYLKVVK</v>
      </c>
      <c r="K179" s="4" t="str">
        <f t="shared" si="56"/>
        <v>PFGDSRMY</v>
      </c>
      <c r="L179" s="4" t="str">
        <f t="shared" si="57"/>
        <v>SITFTKVLSVCVWVIMAVLSLPNIILT</v>
      </c>
      <c r="M179" s="4" t="str">
        <f t="shared" si="58"/>
        <v>CSK</v>
      </c>
      <c r="N179" s="4" t="str">
        <f t="shared" si="59"/>
        <v>PLGVKWHTAVTYVNSCLFVAVLVILIGCYIAISRYIHKS</v>
      </c>
      <c r="O179" s="4" t="str">
        <f t="shared" si="60"/>
        <v>ISQSSRKRKHNQSIRVVVAVFFTCFLPYHLCRIPFTFSHLD</v>
      </c>
      <c r="P179" s="4" t="str">
        <f t="shared" si="61"/>
        <v>DESAQKILYYCKEITLFLSACNVCLDPIIYFFM</v>
      </c>
      <c r="Q179" s="4" t="str">
        <f t="shared" si="62"/>
        <v>CRSFSRRLFKK</v>
      </c>
      <c r="R179" s="5">
        <f>VLOOKUP($A179,'SegEnds_NonXtal_Prot#'!$A:$AL,3,FALSE)</f>
        <v>38</v>
      </c>
      <c r="S179" s="5" t="str">
        <f>VLOOKUP($A179,'SegEnds_NonXtal_Prot#'!$A:$AL,6,FALSE)</f>
        <v>-</v>
      </c>
      <c r="T179" s="5">
        <f>VLOOKUP($A179,'SegEnds_NonXtal_Prot#'!$A:$AL,9,FALSE)</f>
        <v>74</v>
      </c>
      <c r="U179" s="5">
        <f>VLOOKUP($A179,'SegEnds_NonXtal_Prot#'!$A:$AL,12,FALSE)</f>
        <v>106</v>
      </c>
      <c r="V179" s="5">
        <f>VLOOKUP($A179,'SegEnds_NonXtal_Prot#'!$A:$AL,15,FALSE)</f>
        <v>110</v>
      </c>
      <c r="W179" s="5">
        <f>VLOOKUP($A179,'SegEnds_NonXtal_Prot#'!$A:$AL,18,FALSE)</f>
        <v>146</v>
      </c>
      <c r="X179" s="5">
        <f>VLOOKUP($A179,'SegEnds_NonXtal_Prot#'!$A:$AL,21,FALSE)</f>
        <v>154</v>
      </c>
      <c r="Y179" s="5">
        <f>VLOOKUP($A179,'SegEnds_NonXtal_Prot#'!$A:$AL,24,FALSE)</f>
        <v>192</v>
      </c>
      <c r="Z179" s="5">
        <f>VLOOKUP($A179,'SegEnds_NonXtal_Prot#'!$A:$AL,27,FALSE)</f>
        <v>198</v>
      </c>
      <c r="AA179" s="5">
        <f>VLOOKUP($A179,'SegEnds_NonXtal_Prot#'!$A:$AL,30,FALSE)</f>
        <v>241</v>
      </c>
      <c r="AB179" s="5">
        <f>VLOOKUP($A179,'SegEnds_NonXtal_Prot#'!$A:$AL,33,FALSE)</f>
        <v>285</v>
      </c>
      <c r="AC179" s="5">
        <f>VLOOKUP($A179,'SegEnds_NonXtal_Prot#'!$A:$AL,36,FALSE)</f>
        <v>318</v>
      </c>
      <c r="AD179" s="5">
        <f>VLOOKUP($A179,'SegEnds_NonXtal_Prot#'!$A:$AL,5,FALSE)</f>
        <v>70</v>
      </c>
      <c r="AE179" s="5" t="str">
        <f>VLOOKUP($A179,'SegEnds_NonXtal_Prot#'!$A:$AL,8,FALSE)</f>
        <v>-</v>
      </c>
      <c r="AF179" s="5">
        <f>VLOOKUP($A179,'SegEnds_NonXtal_Prot#'!$A:$AL,11,FALSE)</f>
        <v>103</v>
      </c>
      <c r="AG179" s="5">
        <f>VLOOKUP($A179,'SegEnds_NonXtal_Prot#'!$A:$AL,14,FALSE)</f>
        <v>109</v>
      </c>
      <c r="AH179" s="5">
        <f>VLOOKUP($A179,'SegEnds_NonXtal_Prot#'!$A:$AL,17,FALSE)</f>
        <v>145</v>
      </c>
      <c r="AI179" s="5">
        <f>VLOOKUP($A179,'SegEnds_NonXtal_Prot#'!$A:$AL,20,FALSE)</f>
        <v>153</v>
      </c>
      <c r="AJ179" s="5">
        <f>VLOOKUP($A179,'SegEnds_NonXtal_Prot#'!$A:$AL,23,FALSE)</f>
        <v>180</v>
      </c>
      <c r="AK179" s="5">
        <f>VLOOKUP($A179,'SegEnds_NonXtal_Prot#'!$A:$AL,26,FALSE)</f>
        <v>194</v>
      </c>
      <c r="AL179" s="5">
        <f>VLOOKUP($A179,'SegEnds_NonXtal_Prot#'!$A:$AL,29,FALSE)</f>
        <v>236</v>
      </c>
      <c r="AM179" s="5">
        <f>VLOOKUP($A179,'SegEnds_NonXtal_Prot#'!$A:$AL,32,FALSE)</f>
        <v>281</v>
      </c>
      <c r="AN179" s="5">
        <f>VLOOKUP($A179,'SegEnds_NonXtal_Prot#'!$A:$AL,35,FALSE)</f>
        <v>317</v>
      </c>
      <c r="AO179" s="5">
        <f>VLOOKUP($A179,'SegEnds_NonXtal_Prot#'!$A:$AL,38,FALSE)</f>
        <v>328</v>
      </c>
      <c r="AP179" s="5">
        <f t="shared" si="63"/>
        <v>32</v>
      </c>
      <c r="AQ179" s="4" t="str">
        <f t="shared" si="64"/>
        <v>-</v>
      </c>
      <c r="AR179" s="4">
        <f t="shared" si="65"/>
        <v>29</v>
      </c>
      <c r="AS179" s="4">
        <f t="shared" si="66"/>
        <v>3</v>
      </c>
      <c r="AT179" s="4">
        <f t="shared" si="67"/>
        <v>35</v>
      </c>
      <c r="AU179" s="4">
        <f t="shared" si="68"/>
        <v>7</v>
      </c>
      <c r="AV179" s="4">
        <f t="shared" si="69"/>
        <v>26</v>
      </c>
      <c r="AW179" s="4">
        <f t="shared" si="70"/>
        <v>2</v>
      </c>
      <c r="AX179" s="4">
        <f t="shared" si="71"/>
        <v>38</v>
      </c>
      <c r="AY179" s="4">
        <f t="shared" si="72"/>
        <v>40</v>
      </c>
      <c r="AZ179" s="4">
        <f t="shared" si="73"/>
        <v>32</v>
      </c>
      <c r="BA179" s="4">
        <f t="shared" si="74"/>
        <v>10</v>
      </c>
    </row>
    <row r="180" spans="1:53" x14ac:dyDescent="0.2">
      <c r="A180" s="1" t="str">
        <f>'SegEnds_NonXtal_Prot#'!A156</f>
        <v>gpr88_human</v>
      </c>
      <c r="B180" s="1" t="str">
        <f t="shared" si="50"/>
        <v>RIPVSLLYSGLAIGGTLANGMVIYLVSSFTTSNAFIVNGCAADLSVCALWMPQEAVLGLLDGAGGSYRLLRGGLLGLGLTVSLLSHCLVALNRYLLITRQRRHTAGMLALSWALALGLVLLLPPWAVKRVSVLNFHLLHQLPGCAAAAAAFPGAQHAPGPGGAAHPPALHPRRAQRRLSGLSVLLLCCVFLLATQPLVWVSLASGFSWGVQAASWLLCCALSALNPLLYTWRNEEFRRSVRSVL</v>
      </c>
      <c r="C180" s="29" t="str">
        <f>IF(ISERROR(MATCH(A180,'SegEnds_Xtal_Prot#'!B:B, 0)), "NoXtal", "Xtal")</f>
        <v>NoXtal</v>
      </c>
      <c r="D180" s="4" t="str">
        <f>VLOOKUP(A180,Classification!A:D,2,FALSE)</f>
        <v>A</v>
      </c>
      <c r="E180" s="5" t="str">
        <f>VLOOKUP(A180,Seqs!A:B,2,FALSE)</f>
        <v>MTNSSSTSTSSTTGGSLLLLCEEEESWAGRRIPVSLLYSGLAIGGTLANGMVIYLVSSFRKLQTTSNAFIVNGCAADLSVCALWMPQEAVLGLLPTGSAEPPADWDGAGGSYRLLRGGLLGLGLTVSLLSHCLVALNRYLLITRAPATYQALYQRRHTAGMLALSWALALGLVLLLPPWAPRPGAAPPRVHYPALLAAAALLAQTALLLHCYLGIVRRVRVSVKRVSVLNFHLLHQLPGCAAAAAAFPGAQHAPGPGGAAHPAQAQPLPPALHPRRAQRRLSGLSVLLLCCVFLLATQPLVWVSLASGFSLPVPWGVQAASWLLCCALSALNPLLYTWRNEEFRRSVRSVLPGVGDAAAAAVAATAVPAVSQAQLGTRAAGQHW</v>
      </c>
      <c r="F180" s="5" t="str">
        <f t="shared" si="51"/>
        <v>RIPVSLLYSGLAIGGTLANGMVIYLVSSF</v>
      </c>
      <c r="G180" s="4" t="str">
        <f t="shared" si="52"/>
        <v>RKLQ</v>
      </c>
      <c r="H180" s="4" t="str">
        <f t="shared" si="53"/>
        <v>TTSNAFIVNGCAADLSVCALWMPQEAVLGLL</v>
      </c>
      <c r="I180" s="4" t="str">
        <f t="shared" si="54"/>
        <v/>
      </c>
      <c r="J180" s="4" t="str">
        <f t="shared" si="55"/>
        <v>DGAGGSYRLLRGGLLGLGLTVSLLSHCLVALNRYLLITR</v>
      </c>
      <c r="K180" s="4" t="str">
        <f t="shared" si="56"/>
        <v>PATYQALY</v>
      </c>
      <c r="L180" s="4" t="str">
        <f t="shared" si="57"/>
        <v>QRRHTAGMLALSWALALGLVLLLPPWA</v>
      </c>
      <c r="M180" s="4" t="str">
        <f t="shared" si="58"/>
        <v/>
      </c>
      <c r="N180" s="4" t="str">
        <f t="shared" si="59"/>
        <v>VKRVSVLNFHLLHQLPGCAAAAAAFPGAQHAPGPGGAAHP</v>
      </c>
      <c r="O180" s="4" t="str">
        <f t="shared" si="60"/>
        <v>PALHPRRAQRRLSGLSVLLLCCVFLLATQPLVWVSLASGFS</v>
      </c>
      <c r="P180" s="4" t="str">
        <f t="shared" si="61"/>
        <v>WGVQAASWLLCCALSALNPLLYTWR</v>
      </c>
      <c r="Q180" s="4" t="str">
        <f t="shared" si="62"/>
        <v>NEEFRRSVRSVL</v>
      </c>
      <c r="R180" s="5">
        <f>VLOOKUP($A180,'SegEnds_NonXtal_Prot#'!$A:$AL,3,FALSE)</f>
        <v>31</v>
      </c>
      <c r="S180" s="5">
        <f>VLOOKUP($A180,'SegEnds_NonXtal_Prot#'!$A:$AL,6,FALSE)</f>
        <v>60</v>
      </c>
      <c r="T180" s="5">
        <f>VLOOKUP($A180,'SegEnds_NonXtal_Prot#'!$A:$AL,9,FALSE)</f>
        <v>64</v>
      </c>
      <c r="U180" s="5" t="str">
        <f>VLOOKUP($A180,'SegEnds_NonXtal_Prot#'!$A:$AL,12,FALSE)</f>
        <v>-</v>
      </c>
      <c r="V180" s="5">
        <f>VLOOKUP($A180,'SegEnds_NonXtal_Prot#'!$A:$AL,15,FALSE)</f>
        <v>106</v>
      </c>
      <c r="W180" s="5">
        <f>VLOOKUP($A180,'SegEnds_NonXtal_Prot#'!$A:$AL,18,FALSE)</f>
        <v>146</v>
      </c>
      <c r="X180" s="5">
        <f>VLOOKUP($A180,'SegEnds_NonXtal_Prot#'!$A:$AL,21,FALSE)</f>
        <v>154</v>
      </c>
      <c r="Y180" s="5" t="str">
        <f>VLOOKUP($A180,'SegEnds_NonXtal_Prot#'!$A:$AL,24,FALSE)</f>
        <v>-</v>
      </c>
      <c r="Z180" s="5">
        <f>VLOOKUP($A180,'SegEnds_NonXtal_Prot#'!$A:$AL,27,FALSE)</f>
        <v>223</v>
      </c>
      <c r="AA180" s="5">
        <f>VLOOKUP($A180,'SegEnds_NonXtal_Prot#'!$A:$AL,30,FALSE)</f>
        <v>270</v>
      </c>
      <c r="AB180" s="5">
        <f>VLOOKUP($A180,'SegEnds_NonXtal_Prot#'!$A:$AL,33,FALSE)</f>
        <v>315</v>
      </c>
      <c r="AC180" s="5">
        <f>VLOOKUP($A180,'SegEnds_NonXtal_Prot#'!$A:$AL,36,FALSE)</f>
        <v>340</v>
      </c>
      <c r="AD180" s="5">
        <f>VLOOKUP($A180,'SegEnds_NonXtal_Prot#'!$A:$AL,5,FALSE)</f>
        <v>59</v>
      </c>
      <c r="AE180" s="5">
        <f>VLOOKUP($A180,'SegEnds_NonXtal_Prot#'!$A:$AL,8,FALSE)</f>
        <v>63</v>
      </c>
      <c r="AF180" s="5">
        <f>VLOOKUP($A180,'SegEnds_NonXtal_Prot#'!$A:$AL,11,FALSE)</f>
        <v>94</v>
      </c>
      <c r="AG180" s="5" t="str">
        <f>VLOOKUP($A180,'SegEnds_NonXtal_Prot#'!$A:$AL,14,FALSE)</f>
        <v>-</v>
      </c>
      <c r="AH180" s="5">
        <f>VLOOKUP($A180,'SegEnds_NonXtal_Prot#'!$A:$AL,17,FALSE)</f>
        <v>144</v>
      </c>
      <c r="AI180" s="5">
        <f>VLOOKUP($A180,'SegEnds_NonXtal_Prot#'!$A:$AL,20,FALSE)</f>
        <v>153</v>
      </c>
      <c r="AJ180" s="5">
        <f>VLOOKUP($A180,'SegEnds_NonXtal_Prot#'!$A:$AL,23,FALSE)</f>
        <v>180</v>
      </c>
      <c r="AK180" s="5" t="str">
        <f>VLOOKUP($A180,'SegEnds_NonXtal_Prot#'!$A:$AL,26,FALSE)</f>
        <v>-</v>
      </c>
      <c r="AL180" s="5">
        <f>VLOOKUP($A180,'SegEnds_NonXtal_Prot#'!$A:$AL,29,FALSE)</f>
        <v>262</v>
      </c>
      <c r="AM180" s="5">
        <f>VLOOKUP($A180,'SegEnds_NonXtal_Prot#'!$A:$AL,32,FALSE)</f>
        <v>310</v>
      </c>
      <c r="AN180" s="5">
        <f>VLOOKUP($A180,'SegEnds_NonXtal_Prot#'!$A:$AL,35,FALSE)</f>
        <v>339</v>
      </c>
      <c r="AO180" s="5">
        <f>VLOOKUP($A180,'SegEnds_NonXtal_Prot#'!$A:$AL,38,FALSE)</f>
        <v>351</v>
      </c>
      <c r="AP180" s="5">
        <f t="shared" si="63"/>
        <v>28</v>
      </c>
      <c r="AQ180" s="4">
        <f t="shared" si="64"/>
        <v>3</v>
      </c>
      <c r="AR180" s="4">
        <f t="shared" si="65"/>
        <v>30</v>
      </c>
      <c r="AS180" s="4" t="str">
        <f t="shared" si="66"/>
        <v>-</v>
      </c>
      <c r="AT180" s="4">
        <f t="shared" si="67"/>
        <v>38</v>
      </c>
      <c r="AU180" s="4">
        <f t="shared" si="68"/>
        <v>7</v>
      </c>
      <c r="AV180" s="4">
        <f t="shared" si="69"/>
        <v>26</v>
      </c>
      <c r="AW180" s="4" t="str">
        <f t="shared" si="70"/>
        <v>-</v>
      </c>
      <c r="AX180" s="4">
        <f t="shared" si="71"/>
        <v>39</v>
      </c>
      <c r="AY180" s="4">
        <f t="shared" si="72"/>
        <v>40</v>
      </c>
      <c r="AZ180" s="4">
        <f t="shared" si="73"/>
        <v>24</v>
      </c>
      <c r="BA180" s="4">
        <f t="shared" si="74"/>
        <v>11</v>
      </c>
    </row>
    <row r="181" spans="1:53" x14ac:dyDescent="0.2">
      <c r="A181" s="1" t="str">
        <f>'SegEnds_NonXtal_Prot#'!A157</f>
        <v>grpr_human</v>
      </c>
      <c r="B181" s="1" t="str">
        <f t="shared" si="50"/>
        <v>VNDDWSHPGILYVIPAVYGVIILIGLIGNITLIKIFCTVNVPNLFISSLALGDLLLLITCAPVDASRYLAGRIGCKLIPFIQLTSVGVSVFTLTALSADRYKAIVRALMKICLKAAFIWIISMLLAIPEAVFSPHSNELHPKIHSMASFLVFYVIPLSIISVYYYFIAKNLIQSAYNLPHVKKQIESRKRLAKTVLVFVGLFAFCWLPNHVIYLYRSYHSMLHFVTSICARLLAFTNSCVNPFALYLLSKSFRKQFNTQLLC</v>
      </c>
      <c r="C181" s="29" t="str">
        <f>IF(ISERROR(MATCH(A181,'SegEnds_Xtal_Prot#'!B:B, 0)), "NoXtal", "Xtal")</f>
        <v>NoXtal</v>
      </c>
      <c r="D181" s="4" t="str">
        <f>VLOOKUP(A181,Classification!A:D,2,FALSE)</f>
        <v>A</v>
      </c>
      <c r="E181" s="5" t="str">
        <f>VLOOKUP(A181,Seqs!A:B,2,FALSE)</f>
        <v>MALNDCFLLNLEVDHFMHCNISSHSADLPVNDDWSHPGILYVIPAVYGVIILIGLIGNITLIKIFCTVKSMRNVPNLFISSLALGDLLLLITCAPVDASRYLADRWLFGRIGCKLIPFIQLTSVGVSVFTLTALSADRYKAIVRPMDIQASHALMKICLKAAFIWIISMLLAIPEAVFSDLHPFHEESTNQTFISCAPYPHSNELHPKIHSMASFLVFYVIPLSIISVYYYFIAKNLIQSAYNLPVEGNIHVKKQIESRKRLAKTVLVFVGLFAFCWLPNHVIYLYRSYHYSEVDTSMLHFVTSICARLLAFTNSCVNPFALYLLSKSFRKQFNTQLLCCQPGLIIRSHSTGRSTTCMTSLKSTNPSVATFSLINGNICHERYV</v>
      </c>
      <c r="F181" s="5" t="str">
        <f t="shared" si="51"/>
        <v>VNDDWSHPGILYVIPAVYGVIILIGLIGNITLIKIFCTV</v>
      </c>
      <c r="G181" s="4" t="str">
        <f t="shared" si="52"/>
        <v>KSMR</v>
      </c>
      <c r="H181" s="4" t="str">
        <f t="shared" si="53"/>
        <v>NVPNLFISSLALGDLLLLITCAPVDASRYLA</v>
      </c>
      <c r="I181" s="4" t="str">
        <f t="shared" si="54"/>
        <v>RWLF</v>
      </c>
      <c r="J181" s="4" t="str">
        <f t="shared" si="55"/>
        <v>GRIGCKLIPFIQLTSVGVSVFTLTALSADRYKAIVR</v>
      </c>
      <c r="K181" s="4" t="str">
        <f t="shared" si="56"/>
        <v>PMDIQASH</v>
      </c>
      <c r="L181" s="4" t="str">
        <f t="shared" si="57"/>
        <v>ALMKICLKAAFIWIISMLLAIPEAVFS</v>
      </c>
      <c r="M181" s="4" t="str">
        <f t="shared" si="58"/>
        <v>CAP</v>
      </c>
      <c r="N181" s="4" t="str">
        <f t="shared" si="59"/>
        <v>PHSNELHPKIHSMASFLVFYVIPLSIISVYYYFIAKNLIQSAYNLP</v>
      </c>
      <c r="O181" s="4" t="str">
        <f t="shared" si="60"/>
        <v>HVKKQIESRKRLAKTVLVFVGLFAFCWLPNHVIYLYRSYH</v>
      </c>
      <c r="P181" s="4" t="str">
        <f t="shared" si="61"/>
        <v>SMLHFVTSICARLLAFTNSCVNPFALYLL</v>
      </c>
      <c r="Q181" s="4" t="str">
        <f t="shared" si="62"/>
        <v>SKSFRKQFNTQLLC</v>
      </c>
      <c r="R181" s="5">
        <f>VLOOKUP($A181,'SegEnds_NonXtal_Prot#'!$A:$AL,3,FALSE)</f>
        <v>30</v>
      </c>
      <c r="S181" s="5">
        <f>VLOOKUP($A181,'SegEnds_NonXtal_Prot#'!$A:$AL,6,FALSE)</f>
        <v>69</v>
      </c>
      <c r="T181" s="5">
        <f>VLOOKUP($A181,'SegEnds_NonXtal_Prot#'!$A:$AL,9,FALSE)</f>
        <v>73</v>
      </c>
      <c r="U181" s="5">
        <f>VLOOKUP($A181,'SegEnds_NonXtal_Prot#'!$A:$AL,12,FALSE)</f>
        <v>105</v>
      </c>
      <c r="V181" s="5">
        <f>VLOOKUP($A181,'SegEnds_NonXtal_Prot#'!$A:$AL,15,FALSE)</f>
        <v>109</v>
      </c>
      <c r="W181" s="5">
        <f>VLOOKUP($A181,'SegEnds_NonXtal_Prot#'!$A:$AL,18,FALSE)</f>
        <v>145</v>
      </c>
      <c r="X181" s="5">
        <f>VLOOKUP($A181,'SegEnds_NonXtal_Prot#'!$A:$AL,21,FALSE)</f>
        <v>153</v>
      </c>
      <c r="Y181" s="5">
        <f>VLOOKUP($A181,'SegEnds_NonXtal_Prot#'!$A:$AL,24,FALSE)</f>
        <v>196</v>
      </c>
      <c r="Z181" s="5">
        <f>VLOOKUP($A181,'SegEnds_NonXtal_Prot#'!$A:$AL,27,FALSE)</f>
        <v>200</v>
      </c>
      <c r="AA181" s="5">
        <f>VLOOKUP($A181,'SegEnds_NonXtal_Prot#'!$A:$AL,30,FALSE)</f>
        <v>251</v>
      </c>
      <c r="AB181" s="5">
        <f>VLOOKUP($A181,'SegEnds_NonXtal_Prot#'!$A:$AL,33,FALSE)</f>
        <v>297</v>
      </c>
      <c r="AC181" s="5">
        <f>VLOOKUP($A181,'SegEnds_NonXtal_Prot#'!$A:$AL,36,FALSE)</f>
        <v>326</v>
      </c>
      <c r="AD181" s="5">
        <f>VLOOKUP($A181,'SegEnds_NonXtal_Prot#'!$A:$AL,5,FALSE)</f>
        <v>68</v>
      </c>
      <c r="AE181" s="5">
        <f>VLOOKUP($A181,'SegEnds_NonXtal_Prot#'!$A:$AL,8,FALSE)</f>
        <v>72</v>
      </c>
      <c r="AF181" s="5">
        <f>VLOOKUP($A181,'SegEnds_NonXtal_Prot#'!$A:$AL,11,FALSE)</f>
        <v>103</v>
      </c>
      <c r="AG181" s="5">
        <f>VLOOKUP($A181,'SegEnds_NonXtal_Prot#'!$A:$AL,14,FALSE)</f>
        <v>108</v>
      </c>
      <c r="AH181" s="5">
        <f>VLOOKUP($A181,'SegEnds_NonXtal_Prot#'!$A:$AL,17,FALSE)</f>
        <v>144</v>
      </c>
      <c r="AI181" s="5">
        <f>VLOOKUP($A181,'SegEnds_NonXtal_Prot#'!$A:$AL,20,FALSE)</f>
        <v>152</v>
      </c>
      <c r="AJ181" s="5">
        <f>VLOOKUP($A181,'SegEnds_NonXtal_Prot#'!$A:$AL,23,FALSE)</f>
        <v>179</v>
      </c>
      <c r="AK181" s="5">
        <f>VLOOKUP($A181,'SegEnds_NonXtal_Prot#'!$A:$AL,26,FALSE)</f>
        <v>198</v>
      </c>
      <c r="AL181" s="5">
        <f>VLOOKUP($A181,'SegEnds_NonXtal_Prot#'!$A:$AL,29,FALSE)</f>
        <v>245</v>
      </c>
      <c r="AM181" s="5">
        <f>VLOOKUP($A181,'SegEnds_NonXtal_Prot#'!$A:$AL,32,FALSE)</f>
        <v>290</v>
      </c>
      <c r="AN181" s="5">
        <f>VLOOKUP($A181,'SegEnds_NonXtal_Prot#'!$A:$AL,35,FALSE)</f>
        <v>325</v>
      </c>
      <c r="AO181" s="5">
        <f>VLOOKUP($A181,'SegEnds_NonXtal_Prot#'!$A:$AL,38,FALSE)</f>
        <v>339</v>
      </c>
      <c r="AP181" s="5">
        <f t="shared" si="63"/>
        <v>38</v>
      </c>
      <c r="AQ181" s="4">
        <f t="shared" si="64"/>
        <v>3</v>
      </c>
      <c r="AR181" s="4">
        <f t="shared" si="65"/>
        <v>30</v>
      </c>
      <c r="AS181" s="4">
        <f t="shared" si="66"/>
        <v>3</v>
      </c>
      <c r="AT181" s="4">
        <f t="shared" si="67"/>
        <v>35</v>
      </c>
      <c r="AU181" s="4">
        <f t="shared" si="68"/>
        <v>7</v>
      </c>
      <c r="AV181" s="4">
        <f t="shared" si="69"/>
        <v>26</v>
      </c>
      <c r="AW181" s="4">
        <f t="shared" si="70"/>
        <v>2</v>
      </c>
      <c r="AX181" s="4">
        <f t="shared" si="71"/>
        <v>45</v>
      </c>
      <c r="AY181" s="4">
        <f t="shared" si="72"/>
        <v>39</v>
      </c>
      <c r="AZ181" s="4">
        <f t="shared" si="73"/>
        <v>28</v>
      </c>
      <c r="BA181" s="4">
        <f t="shared" si="74"/>
        <v>13</v>
      </c>
    </row>
    <row r="182" spans="1:53" x14ac:dyDescent="0.2">
      <c r="A182" s="1" t="str">
        <f>'SegEnds_NonXtal_Prot#'!A158</f>
        <v>hcar1_human</v>
      </c>
      <c r="B182" s="1" t="str">
        <f t="shared" si="50"/>
        <v>TISQVMPPLLIVAFVLGALGNGVALCGFCFHKPSTVYLFNLAVADFLLMICLPFRTDYYLRGDIPCRVGLFTLAMNRAGSIVFLTVVAADRYFKVVHSTRVAAGIVCTLWALVILGTVYLLLENMESANGWHDIMFQLEFFMPLGIILFCSFKIVWSLRRRQARMKKATRFIMVVAIVFITCYLPSVSARLYFLWTDPSVHGALHITLSFTYMNSMLDPLVYYFSSPSFPKFYNKLKI</v>
      </c>
      <c r="C182" s="29" t="str">
        <f>IF(ISERROR(MATCH(A182,'SegEnds_Xtal_Prot#'!B:B, 0)), "NoXtal", "Xtal")</f>
        <v>NoXtal</v>
      </c>
      <c r="D182" s="4" t="str">
        <f>VLOOKUP(A182,Classification!A:D,2,FALSE)</f>
        <v>A</v>
      </c>
      <c r="E182" s="5" t="str">
        <f>VLOOKUP(A182,Seqs!A:B,2,FALSE)</f>
        <v>MYNGSCCRIEGDTISQVMPPLLIVAFVLGALGNGVALCGFCFHMKTWKPSTVYLFNLAVADFLLMICLPFRTDYYLRRRHWAFGDIPCRVGLFTLAMNRAGSIVFLTVVAADRYFKVVHPHHAVNTISTRVAAGIVCTLWALVILGTVYLLLENHLCVQETAVSCESFIMESANGWHDIMFQLEFFMPLGIILFCSFKIVWSLRRRQQLARQARMKKATRFIMVVAIVFITCYLPSVSARLYFLWTVPSSACDPSVHGALHITLSFTYMNSMLDPLVYYFSSPSFPKFYNKLKICSLKPKQPGHSKTQRPEEMPISNLGRRSCISVANSFQSQSDGQWDPHIVEWH</v>
      </c>
      <c r="F182" s="5" t="str">
        <f t="shared" si="51"/>
        <v>TISQVMPPLLIVAFVLGALGNGVALCGFCFH</v>
      </c>
      <c r="G182" s="4" t="str">
        <f t="shared" si="52"/>
        <v/>
      </c>
      <c r="H182" s="4" t="str">
        <f t="shared" si="53"/>
        <v>KPSTVYLFNLAVADFLLMICLPFRTDYYLR</v>
      </c>
      <c r="I182" s="4" t="str">
        <f t="shared" si="54"/>
        <v>HWAF</v>
      </c>
      <c r="J182" s="4" t="str">
        <f t="shared" si="55"/>
        <v>GDIPCRVGLFTLAMNRAGSIVFLTVVAADRYFKVVH</v>
      </c>
      <c r="K182" s="4" t="str">
        <f t="shared" si="56"/>
        <v>PHHAVNTI</v>
      </c>
      <c r="L182" s="4" t="str">
        <f t="shared" si="57"/>
        <v>STRVAAGIVCTLWALVILGTVYLLLEN</v>
      </c>
      <c r="M182" s="4" t="str">
        <f t="shared" si="58"/>
        <v>CES</v>
      </c>
      <c r="N182" s="4" t="str">
        <f t="shared" si="59"/>
        <v>MESANGWHDIMFQLEFFMPLGIILFCSFKIVWSLRR</v>
      </c>
      <c r="O182" s="4" t="str">
        <f t="shared" si="60"/>
        <v>RQARMKKATRFIMVVAIVFITCYLPSVSARLYFLWT</v>
      </c>
      <c r="P182" s="4" t="str">
        <f t="shared" si="61"/>
        <v>DPSVHGALHITLSFTYMNSMLDPLVYYFS</v>
      </c>
      <c r="Q182" s="4" t="str">
        <f t="shared" si="62"/>
        <v>SPSFPKFYNKLKI</v>
      </c>
      <c r="R182" s="5">
        <f>VLOOKUP($A182,'SegEnds_NonXtal_Prot#'!$A:$AL,3,FALSE)</f>
        <v>13</v>
      </c>
      <c r="S182" s="5" t="str">
        <f>VLOOKUP($A182,'SegEnds_NonXtal_Prot#'!$A:$AL,6,FALSE)</f>
        <v>-</v>
      </c>
      <c r="T182" s="5">
        <f>VLOOKUP($A182,'SegEnds_NonXtal_Prot#'!$A:$AL,9,FALSE)</f>
        <v>48</v>
      </c>
      <c r="U182" s="5">
        <f>VLOOKUP($A182,'SegEnds_NonXtal_Prot#'!$A:$AL,12,FALSE)</f>
        <v>80</v>
      </c>
      <c r="V182" s="5">
        <f>VLOOKUP($A182,'SegEnds_NonXtal_Prot#'!$A:$AL,15,FALSE)</f>
        <v>84</v>
      </c>
      <c r="W182" s="5">
        <f>VLOOKUP($A182,'SegEnds_NonXtal_Prot#'!$A:$AL,18,FALSE)</f>
        <v>120</v>
      </c>
      <c r="X182" s="5">
        <f>VLOOKUP($A182,'SegEnds_NonXtal_Prot#'!$A:$AL,21,FALSE)</f>
        <v>128</v>
      </c>
      <c r="Y182" s="5">
        <f>VLOOKUP($A182,'SegEnds_NonXtal_Prot#'!$A:$AL,24,FALSE)</f>
        <v>165</v>
      </c>
      <c r="Z182" s="5">
        <f>VLOOKUP($A182,'SegEnds_NonXtal_Prot#'!$A:$AL,27,FALSE)</f>
        <v>170</v>
      </c>
      <c r="AA182" s="5">
        <f>VLOOKUP($A182,'SegEnds_NonXtal_Prot#'!$A:$AL,30,FALSE)</f>
        <v>211</v>
      </c>
      <c r="AB182" s="5">
        <f>VLOOKUP($A182,'SegEnds_NonXtal_Prot#'!$A:$AL,33,FALSE)</f>
        <v>253</v>
      </c>
      <c r="AC182" s="5">
        <f>VLOOKUP($A182,'SegEnds_NonXtal_Prot#'!$A:$AL,36,FALSE)</f>
        <v>282</v>
      </c>
      <c r="AD182" s="5">
        <f>VLOOKUP($A182,'SegEnds_NonXtal_Prot#'!$A:$AL,5,FALSE)</f>
        <v>43</v>
      </c>
      <c r="AE182" s="5" t="str">
        <f>VLOOKUP($A182,'SegEnds_NonXtal_Prot#'!$A:$AL,8,FALSE)</f>
        <v>-</v>
      </c>
      <c r="AF182" s="5">
        <f>VLOOKUP($A182,'SegEnds_NonXtal_Prot#'!$A:$AL,11,FALSE)</f>
        <v>77</v>
      </c>
      <c r="AG182" s="5">
        <f>VLOOKUP($A182,'SegEnds_NonXtal_Prot#'!$A:$AL,14,FALSE)</f>
        <v>83</v>
      </c>
      <c r="AH182" s="5">
        <f>VLOOKUP($A182,'SegEnds_NonXtal_Prot#'!$A:$AL,17,FALSE)</f>
        <v>119</v>
      </c>
      <c r="AI182" s="5">
        <f>VLOOKUP($A182,'SegEnds_NonXtal_Prot#'!$A:$AL,20,FALSE)</f>
        <v>127</v>
      </c>
      <c r="AJ182" s="5">
        <f>VLOOKUP($A182,'SegEnds_NonXtal_Prot#'!$A:$AL,23,FALSE)</f>
        <v>154</v>
      </c>
      <c r="AK182" s="5">
        <f>VLOOKUP($A182,'SegEnds_NonXtal_Prot#'!$A:$AL,26,FALSE)</f>
        <v>167</v>
      </c>
      <c r="AL182" s="5">
        <f>VLOOKUP($A182,'SegEnds_NonXtal_Prot#'!$A:$AL,29,FALSE)</f>
        <v>205</v>
      </c>
      <c r="AM182" s="5">
        <f>VLOOKUP($A182,'SegEnds_NonXtal_Prot#'!$A:$AL,32,FALSE)</f>
        <v>246</v>
      </c>
      <c r="AN182" s="5">
        <f>VLOOKUP($A182,'SegEnds_NonXtal_Prot#'!$A:$AL,35,FALSE)</f>
        <v>281</v>
      </c>
      <c r="AO182" s="5">
        <f>VLOOKUP($A182,'SegEnds_NonXtal_Prot#'!$A:$AL,38,FALSE)</f>
        <v>294</v>
      </c>
      <c r="AP182" s="5">
        <f t="shared" si="63"/>
        <v>30</v>
      </c>
      <c r="AQ182" s="4" t="str">
        <f t="shared" si="64"/>
        <v>-</v>
      </c>
      <c r="AR182" s="4">
        <f t="shared" si="65"/>
        <v>29</v>
      </c>
      <c r="AS182" s="4">
        <f t="shared" si="66"/>
        <v>3</v>
      </c>
      <c r="AT182" s="4">
        <f t="shared" si="67"/>
        <v>35</v>
      </c>
      <c r="AU182" s="4">
        <f t="shared" si="68"/>
        <v>7</v>
      </c>
      <c r="AV182" s="4">
        <f t="shared" si="69"/>
        <v>26</v>
      </c>
      <c r="AW182" s="4">
        <f t="shared" si="70"/>
        <v>2</v>
      </c>
      <c r="AX182" s="4">
        <f t="shared" si="71"/>
        <v>35</v>
      </c>
      <c r="AY182" s="4">
        <f t="shared" si="72"/>
        <v>35</v>
      </c>
      <c r="AZ182" s="4">
        <f t="shared" si="73"/>
        <v>28</v>
      </c>
      <c r="BA182" s="4">
        <f t="shared" si="74"/>
        <v>12</v>
      </c>
    </row>
    <row r="183" spans="1:53" x14ac:dyDescent="0.2">
      <c r="A183" s="1" t="str">
        <f>'SegEnds_NonXtal_Prot#'!A160</f>
        <v>hcar3_human</v>
      </c>
      <c r="B183" s="1" t="str">
        <f t="shared" si="50"/>
        <v>FIAKVLPPVLGLEFIFGLLGNGLALWIFCFHKSSRIFLFNLAVADFLLIICLPFVMDYYVRGDIPCRLVLFMFAMNRQGSIIFLTVVAVDRYFRVVHSNWTAAIISCLLWGITVGLTVHLLKKKICHTFRWHEAMFLLEFFLPLGIILFCSARIIWSLRQRHAKIKRAITFIMVVAIVFVICFLPSVVVRIHIFWLLHTNCEVYRSVDLAFFITLSFTYMNSMLDPVVYYFSSPSFPNFFSTLIN</v>
      </c>
      <c r="C183" s="29" t="str">
        <f>IF(ISERROR(MATCH(A183,'SegEnds_Xtal_Prot#'!B:B, 0)), "NoXtal", "Xtal")</f>
        <v>NoXtal</v>
      </c>
      <c r="D183" s="4" t="str">
        <f>VLOOKUP(A183,Classification!A:D,2,FALSE)</f>
        <v>A</v>
      </c>
      <c r="E183" s="5" t="str">
        <f>VLOOKUP(A183,Seqs!A:B,2,FALSE)</f>
        <v>MNRHHLQDHFLEIDKKNCCVFRDDFIAKVLPPVLGLEFIFGLLGNGLALWIFCFHLKSWKSSRIFLFNLAVADFLLIICLPFVMDYYVRRSDWKFGDIPCRLVLFMFAMNRQGSIIFLTVVAVDRYFRVVHPHHALNKISNWTAAIISCLLWGITVGLTVHLLKKKLLIQNGTANVCISFSICHTFRWHEAMFLLEFFLPLGIILFCSARIIWSLRQRQMDRHAKIKRAITFIMVVAIVFVICFLPSVVVRIHIFWLLHTSGTQNCEVYRSVDLAFFITLSFTYMNSMLDPVVYYFSSPSFPNFFSTLINRCLQRKITGEPDNNRSTSVELTGDPNKTRGAPEALIANSGEPWSPSYLGPTSNNHSKKGHCHQEPASLEKQLGCCIE</v>
      </c>
      <c r="F183" s="5" t="str">
        <f t="shared" si="51"/>
        <v>FIAKVLPPVLGLEFIFGLLGNGLALWIFCFH</v>
      </c>
      <c r="G183" s="4" t="str">
        <f t="shared" si="52"/>
        <v/>
      </c>
      <c r="H183" s="4" t="str">
        <f t="shared" si="53"/>
        <v>KSSRIFLFNLAVADFLLIICLPFVMDYYVR</v>
      </c>
      <c r="I183" s="4" t="str">
        <f t="shared" si="54"/>
        <v>DWKF</v>
      </c>
      <c r="J183" s="4" t="str">
        <f t="shared" si="55"/>
        <v>GDIPCRLVLFMFAMNRQGSIIFLTVVAVDRYFRVVH</v>
      </c>
      <c r="K183" s="4" t="str">
        <f t="shared" si="56"/>
        <v>PHHALNKI</v>
      </c>
      <c r="L183" s="4" t="str">
        <f t="shared" si="57"/>
        <v>SNWTAAIISCLLWGITVGLTVHLLKKK</v>
      </c>
      <c r="M183" s="4" t="str">
        <f t="shared" si="58"/>
        <v>CIS</v>
      </c>
      <c r="N183" s="4" t="str">
        <f t="shared" si="59"/>
        <v>ICHTFRWHEAMFLLEFFLPLGIILFCSARIIWSLRQ</v>
      </c>
      <c r="O183" s="4" t="str">
        <f t="shared" si="60"/>
        <v>RHAKIKRAITFIMVVAIVFVICFLPSVVVRIHIFWLLHT</v>
      </c>
      <c r="P183" s="4" t="str">
        <f t="shared" si="61"/>
        <v>NCEVYRSVDLAFFITLSFTYMNSMLDPVVYYFS</v>
      </c>
      <c r="Q183" s="4" t="str">
        <f t="shared" si="62"/>
        <v>SPSFPNFFSTLIN</v>
      </c>
      <c r="R183" s="5">
        <f>VLOOKUP($A183,'SegEnds_NonXtal_Prot#'!$A:$AL,3,FALSE)</f>
        <v>25</v>
      </c>
      <c r="S183" s="5" t="str">
        <f>VLOOKUP($A183,'SegEnds_NonXtal_Prot#'!$A:$AL,6,FALSE)</f>
        <v>-</v>
      </c>
      <c r="T183" s="5">
        <f>VLOOKUP($A183,'SegEnds_NonXtal_Prot#'!$A:$AL,9,FALSE)</f>
        <v>60</v>
      </c>
      <c r="U183" s="5">
        <f>VLOOKUP($A183,'SegEnds_NonXtal_Prot#'!$A:$AL,12,FALSE)</f>
        <v>92</v>
      </c>
      <c r="V183" s="5">
        <f>VLOOKUP($A183,'SegEnds_NonXtal_Prot#'!$A:$AL,15,FALSE)</f>
        <v>96</v>
      </c>
      <c r="W183" s="5">
        <f>VLOOKUP($A183,'SegEnds_NonXtal_Prot#'!$A:$AL,18,FALSE)</f>
        <v>132</v>
      </c>
      <c r="X183" s="5">
        <f>VLOOKUP($A183,'SegEnds_NonXtal_Prot#'!$A:$AL,21,FALSE)</f>
        <v>140</v>
      </c>
      <c r="Y183" s="5">
        <f>VLOOKUP($A183,'SegEnds_NonXtal_Prot#'!$A:$AL,24,FALSE)</f>
        <v>177</v>
      </c>
      <c r="Z183" s="5">
        <f>VLOOKUP($A183,'SegEnds_NonXtal_Prot#'!$A:$AL,27,FALSE)</f>
        <v>182</v>
      </c>
      <c r="AA183" s="5">
        <f>VLOOKUP($A183,'SegEnds_NonXtal_Prot#'!$A:$AL,30,FALSE)</f>
        <v>222</v>
      </c>
      <c r="AB183" s="5">
        <f>VLOOKUP($A183,'SegEnds_NonXtal_Prot#'!$A:$AL,33,FALSE)</f>
        <v>265</v>
      </c>
      <c r="AC183" s="5">
        <f>VLOOKUP($A183,'SegEnds_NonXtal_Prot#'!$A:$AL,36,FALSE)</f>
        <v>298</v>
      </c>
      <c r="AD183" s="5">
        <f>VLOOKUP($A183,'SegEnds_NonXtal_Prot#'!$A:$AL,5,FALSE)</f>
        <v>55</v>
      </c>
      <c r="AE183" s="5" t="str">
        <f>VLOOKUP($A183,'SegEnds_NonXtal_Prot#'!$A:$AL,8,FALSE)</f>
        <v>-</v>
      </c>
      <c r="AF183" s="5">
        <f>VLOOKUP($A183,'SegEnds_NonXtal_Prot#'!$A:$AL,11,FALSE)</f>
        <v>89</v>
      </c>
      <c r="AG183" s="5">
        <f>VLOOKUP($A183,'SegEnds_NonXtal_Prot#'!$A:$AL,14,FALSE)</f>
        <v>95</v>
      </c>
      <c r="AH183" s="5">
        <f>VLOOKUP($A183,'SegEnds_NonXtal_Prot#'!$A:$AL,17,FALSE)</f>
        <v>131</v>
      </c>
      <c r="AI183" s="5">
        <f>VLOOKUP($A183,'SegEnds_NonXtal_Prot#'!$A:$AL,20,FALSE)</f>
        <v>139</v>
      </c>
      <c r="AJ183" s="5">
        <f>VLOOKUP($A183,'SegEnds_NonXtal_Prot#'!$A:$AL,23,FALSE)</f>
        <v>166</v>
      </c>
      <c r="AK183" s="5">
        <f>VLOOKUP($A183,'SegEnds_NonXtal_Prot#'!$A:$AL,26,FALSE)</f>
        <v>179</v>
      </c>
      <c r="AL183" s="5">
        <f>VLOOKUP($A183,'SegEnds_NonXtal_Prot#'!$A:$AL,29,FALSE)</f>
        <v>217</v>
      </c>
      <c r="AM183" s="5">
        <f>VLOOKUP($A183,'SegEnds_NonXtal_Prot#'!$A:$AL,32,FALSE)</f>
        <v>260</v>
      </c>
      <c r="AN183" s="5">
        <f>VLOOKUP($A183,'SegEnds_NonXtal_Prot#'!$A:$AL,35,FALSE)</f>
        <v>297</v>
      </c>
      <c r="AO183" s="5">
        <f>VLOOKUP($A183,'SegEnds_NonXtal_Prot#'!$A:$AL,38,FALSE)</f>
        <v>310</v>
      </c>
      <c r="AP183" s="5">
        <f t="shared" si="63"/>
        <v>30</v>
      </c>
      <c r="AQ183" s="4" t="str">
        <f t="shared" si="64"/>
        <v>-</v>
      </c>
      <c r="AR183" s="4">
        <f t="shared" si="65"/>
        <v>29</v>
      </c>
      <c r="AS183" s="4">
        <f t="shared" si="66"/>
        <v>3</v>
      </c>
      <c r="AT183" s="4">
        <f t="shared" si="67"/>
        <v>35</v>
      </c>
      <c r="AU183" s="4">
        <f t="shared" si="68"/>
        <v>7</v>
      </c>
      <c r="AV183" s="4">
        <f t="shared" si="69"/>
        <v>26</v>
      </c>
      <c r="AW183" s="4">
        <f t="shared" si="70"/>
        <v>2</v>
      </c>
      <c r="AX183" s="4">
        <f t="shared" si="71"/>
        <v>35</v>
      </c>
      <c r="AY183" s="4">
        <f t="shared" si="72"/>
        <v>38</v>
      </c>
      <c r="AZ183" s="4">
        <f t="shared" si="73"/>
        <v>32</v>
      </c>
      <c r="BA183" s="4">
        <f t="shared" si="74"/>
        <v>12</v>
      </c>
    </row>
    <row r="184" spans="1:53" x14ac:dyDescent="0.2">
      <c r="A184" s="1" t="str">
        <f>'SegEnds_NonXtal_Prot#'!A161</f>
        <v>hrh1_human</v>
      </c>
      <c r="B184" s="1" t="str">
        <f t="shared" si="50"/>
        <v>PLVVVLSTICLVTVGLNLLVLYAVRSETVGNLYIVSLSVADLIVGAVVMPMNILYLLMGRPLCLFWLSMDYVASTASIFSVFILCIDRYRSVQQTKTRASATILGAWFLSFLWVIPILGVTWFKVMTAIINFYLPTLLMLWFYAKIYKAVRQHCQHRELINGLHMNRERKAAKQLGFIMAAFILCWIPYFIFFMVIAFCNEHLHMFTIWLGYINSTLNPLIYPLCNENFKKTFKRILH</v>
      </c>
      <c r="C184" s="29" t="str">
        <f>IF(ISERROR(MATCH(A184,'SegEnds_Xtal_Prot#'!B:B, 0)), "NoXtal", "Xtal")</f>
        <v>Xtal</v>
      </c>
      <c r="D184" s="4" t="str">
        <f>VLOOKUP(A184,Classification!A:D,2,FALSE)</f>
        <v>A</v>
      </c>
      <c r="E184" s="5" t="str">
        <f>VLOOKUP(A184,Seqs!A:B,2,FALSE)</f>
        <v>MSLPNSSCLLEDKMCEGNKTTMASPQLMPLVVVLSTICLVTVGLNLLVLYAVRSERKLHTVGNLYIVSLSVADLIVGAVVMPMNILYLLMSKWSLGRPLCLFWLSMDYVASTASIFSVFILCIDRYRSVQQPLRYLKYRTKTRASATILGAWFLSFLWVIPILGWNHFMQQTSVRREDKCETDFYDVTWFKVMTAIINFYLPTLLMLWFYAKIYKAVRQHCQHRELINRSLPSFSEIKLRPENPKGDAKKPGKESPWEVLKRKPKDAGGGSVLKSPSQTPKEMKSPVVFSQEDDREVDKLYCFPLDIVHMQAAAEGSSRDYVAVNRSHGQLKTDEQGLNTHGASEISEDQMLGDSQSFSRTDSDTTTETAPGKGKLRSGSNTGLDYIKFTWKRLRSHSRQYVSGLHMNRERKAAKQLGFIMAAFILCWIPYFIFFMVIAFCKNCCNEHLHMFTIWLGYINSTLNPLIYPLCNENFKKTFKRILHIRS</v>
      </c>
      <c r="F184" s="5" t="str">
        <f t="shared" si="51"/>
        <v>PLVVVLSTICLVTVGLNLLVLYAVRSE</v>
      </c>
      <c r="G184" s="4" t="str">
        <f t="shared" si="52"/>
        <v>RKLH</v>
      </c>
      <c r="H184" s="4" t="str">
        <f t="shared" si="53"/>
        <v>TVGNLYIVSLSVADLIVGAVVMPMNILYLLM</v>
      </c>
      <c r="I184" s="4" t="str">
        <f t="shared" si="54"/>
        <v>KWSL</v>
      </c>
      <c r="J184" s="4" t="str">
        <f t="shared" si="55"/>
        <v>GRPLCLFWLSMDYVASTASIFSVFILCIDRYRSVQQ</v>
      </c>
      <c r="K184" s="4" t="str">
        <f t="shared" si="56"/>
        <v>PLRYLKYR</v>
      </c>
      <c r="L184" s="4" t="str">
        <f t="shared" si="57"/>
        <v>TKTRASATILGAWFLSFLWVIPILG</v>
      </c>
      <c r="M184" s="4" t="str">
        <f t="shared" si="58"/>
        <v>CET</v>
      </c>
      <c r="N184" s="4" t="str">
        <f t="shared" si="59"/>
        <v>VTWFKVMTAIINFYLPTLLMLWFYAKIYKAVRQHCQHRELIN</v>
      </c>
      <c r="O184" s="4" t="str">
        <f t="shared" si="60"/>
        <v>GLHMNRERKAAKQLGFIMAAFILCWIPYFIFFMVIAFC</v>
      </c>
      <c r="P184" s="4" t="str">
        <f t="shared" si="61"/>
        <v>NEHLHMFTIWLGYINSTLNPLIYPLC</v>
      </c>
      <c r="Q184" s="4" t="str">
        <f t="shared" si="62"/>
        <v>NENFKKTFKRILH</v>
      </c>
      <c r="R184" s="5">
        <f>VLOOKUP($A184,'SegEnds_NonXtal_Prot#'!$A:$AL,3,FALSE)</f>
        <v>29</v>
      </c>
      <c r="S184" s="5">
        <f>VLOOKUP($A184,'SegEnds_NonXtal_Prot#'!$A:$AL,6,FALSE)</f>
        <v>56</v>
      </c>
      <c r="T184" s="5">
        <f>VLOOKUP($A184,'SegEnds_NonXtal_Prot#'!$A:$AL,9,FALSE)</f>
        <v>60</v>
      </c>
      <c r="U184" s="5">
        <f>VLOOKUP($A184,'SegEnds_NonXtal_Prot#'!$A:$AL,12,FALSE)</f>
        <v>92</v>
      </c>
      <c r="V184" s="5">
        <f>VLOOKUP($A184,'SegEnds_NonXtal_Prot#'!$A:$AL,15,FALSE)</f>
        <v>96</v>
      </c>
      <c r="W184" s="5">
        <f>VLOOKUP($A184,'SegEnds_NonXtal_Prot#'!$A:$AL,18,FALSE)</f>
        <v>132</v>
      </c>
      <c r="X184" s="5">
        <f>VLOOKUP($A184,'SegEnds_NonXtal_Prot#'!$A:$AL,21,FALSE)</f>
        <v>140</v>
      </c>
      <c r="Y184" s="5">
        <f>VLOOKUP($A184,'SegEnds_NonXtal_Prot#'!$A:$AL,24,FALSE)</f>
        <v>180</v>
      </c>
      <c r="Z184" s="5">
        <f>VLOOKUP($A184,'SegEnds_NonXtal_Prot#'!$A:$AL,27,FALSE)</f>
        <v>187</v>
      </c>
      <c r="AA184" s="5">
        <f>VLOOKUP($A184,'SegEnds_NonXtal_Prot#'!$A:$AL,30,FALSE)</f>
        <v>404</v>
      </c>
      <c r="AB184" s="5">
        <f>VLOOKUP($A184,'SegEnds_NonXtal_Prot#'!$A:$AL,33,FALSE)</f>
        <v>446</v>
      </c>
      <c r="AC184" s="5">
        <f>VLOOKUP($A184,'SegEnds_NonXtal_Prot#'!$A:$AL,36,FALSE)</f>
        <v>472</v>
      </c>
      <c r="AD184" s="5">
        <f>VLOOKUP($A184,'SegEnds_NonXtal_Prot#'!$A:$AL,5,FALSE)</f>
        <v>55</v>
      </c>
      <c r="AE184" s="5">
        <f>VLOOKUP($A184,'SegEnds_NonXtal_Prot#'!$A:$AL,8,FALSE)</f>
        <v>59</v>
      </c>
      <c r="AF184" s="5">
        <f>VLOOKUP($A184,'SegEnds_NonXtal_Prot#'!$A:$AL,11,FALSE)</f>
        <v>90</v>
      </c>
      <c r="AG184" s="5">
        <f>VLOOKUP($A184,'SegEnds_NonXtal_Prot#'!$A:$AL,14,FALSE)</f>
        <v>95</v>
      </c>
      <c r="AH184" s="5">
        <f>VLOOKUP($A184,'SegEnds_NonXtal_Prot#'!$A:$AL,17,FALSE)</f>
        <v>131</v>
      </c>
      <c r="AI184" s="5">
        <f>VLOOKUP($A184,'SegEnds_NonXtal_Prot#'!$A:$AL,20,FALSE)</f>
        <v>139</v>
      </c>
      <c r="AJ184" s="5">
        <f>VLOOKUP($A184,'SegEnds_NonXtal_Prot#'!$A:$AL,23,FALSE)</f>
        <v>164</v>
      </c>
      <c r="AK184" s="5">
        <f>VLOOKUP($A184,'SegEnds_NonXtal_Prot#'!$A:$AL,26,FALSE)</f>
        <v>182</v>
      </c>
      <c r="AL184" s="5">
        <f>VLOOKUP($A184,'SegEnds_NonXtal_Prot#'!$A:$AL,29,FALSE)</f>
        <v>228</v>
      </c>
      <c r="AM184" s="5">
        <f>VLOOKUP($A184,'SegEnds_NonXtal_Prot#'!$A:$AL,32,FALSE)</f>
        <v>441</v>
      </c>
      <c r="AN184" s="5">
        <f>VLOOKUP($A184,'SegEnds_NonXtal_Prot#'!$A:$AL,35,FALSE)</f>
        <v>471</v>
      </c>
      <c r="AO184" s="5">
        <f>VLOOKUP($A184,'SegEnds_NonXtal_Prot#'!$A:$AL,38,FALSE)</f>
        <v>484</v>
      </c>
      <c r="AP184" s="5">
        <f t="shared" si="63"/>
        <v>26</v>
      </c>
      <c r="AQ184" s="4">
        <f t="shared" si="64"/>
        <v>3</v>
      </c>
      <c r="AR184" s="4">
        <f t="shared" si="65"/>
        <v>30</v>
      </c>
      <c r="AS184" s="4">
        <f t="shared" si="66"/>
        <v>3</v>
      </c>
      <c r="AT184" s="4">
        <f t="shared" si="67"/>
        <v>35</v>
      </c>
      <c r="AU184" s="4">
        <f t="shared" si="68"/>
        <v>7</v>
      </c>
      <c r="AV184" s="4">
        <f t="shared" si="69"/>
        <v>24</v>
      </c>
      <c r="AW184" s="4">
        <f t="shared" si="70"/>
        <v>2</v>
      </c>
      <c r="AX184" s="4">
        <f t="shared" si="71"/>
        <v>41</v>
      </c>
      <c r="AY184" s="4">
        <f t="shared" si="72"/>
        <v>37</v>
      </c>
      <c r="AZ184" s="4">
        <f t="shared" si="73"/>
        <v>25</v>
      </c>
      <c r="BA184" s="4">
        <f t="shared" si="74"/>
        <v>12</v>
      </c>
    </row>
    <row r="185" spans="1:53" x14ac:dyDescent="0.2">
      <c r="A185" s="1" t="str">
        <f>'SegEnds_NonXtal_Prot#'!A162</f>
        <v>hrh2_human</v>
      </c>
      <c r="B185" s="1" t="str">
        <f t="shared" si="50"/>
        <v>CLDSTACKITITVVLAVLILITVAGNVVVCLAVGLNNLTNCFIVSLAITDLLLGLLVLPFSAIYQLSGKVFCNIYTSLDVMLCTASILNLFMISLDRYCAVMDTPVRVAISLVLIWVISITLSFLSIHLGNEVYGLVDGLVTFYLPLLIMCITYYRIFKVARDQAKRINSWKAATIREHKATVTLAAVMGAFIICWFPYFTAFVYRGLRNEVLEAIVLWLGYANSALNPILYAALNRDFRTGYQQLFC</v>
      </c>
      <c r="C185" s="29" t="str">
        <f>IF(ISERROR(MATCH(A185,'SegEnds_Xtal_Prot#'!B:B, 0)), "NoXtal", "Xtal")</f>
        <v>NoXtal</v>
      </c>
      <c r="D185" s="4" t="str">
        <f>VLOOKUP(A185,Classification!A:D,2,FALSE)</f>
        <v>A</v>
      </c>
      <c r="E185" s="5" t="str">
        <f>VLOOKUP(A185,Seqs!A:B,2,FALSE)</f>
        <v>MAPNGTASSFCLDSTACKITITVVLAVLILITVAGNVVVCLAVGLNRRLRNLTNCFIVSLAITDLLLGLLVLPFSAIYQLSCKWSFGKVFCNIYTSLDVMLCTASILNLFMISLDRYCAVMDPLRYPVLVTPVRVAISLVLIWVISITLSFLSIHLGWNSRNETSKGNHTTSKCKVQVNEVYGLVDGLVTFYLPLLIMCITYYRIFKVARDQAKRINHISSWKAATIREHKATVTLAAVMGAFIICWFPYFTAFVYRGLRGDDAINEVLEAIVLWLGYANSALNPILYAALNRDFRTGYQQLFCCRLANRNSHKTSLRSNASQLSRTQSREPRQQEEKPLKLQVWSGTEVTAPQGATDR</v>
      </c>
      <c r="F185" s="5" t="str">
        <f t="shared" si="51"/>
        <v>CLDSTACKITITVVLAVLILITVAGNVVVCLAVGLN</v>
      </c>
      <c r="G185" s="4" t="str">
        <f t="shared" si="52"/>
        <v>RRLR</v>
      </c>
      <c r="H185" s="4" t="str">
        <f t="shared" si="53"/>
        <v>NLTNCFIVSLAITDLLLGLLVLPFSAIYQLS</v>
      </c>
      <c r="I185" s="4" t="str">
        <f t="shared" si="54"/>
        <v>KWSF</v>
      </c>
      <c r="J185" s="4" t="str">
        <f t="shared" si="55"/>
        <v>GKVFCNIYTSLDVMLCTASILNLFMISLDRYCAVMD</v>
      </c>
      <c r="K185" s="4" t="str">
        <f t="shared" si="56"/>
        <v>PLRYPVLV</v>
      </c>
      <c r="L185" s="4" t="str">
        <f t="shared" si="57"/>
        <v>TPVRVAISLVLIWVISITLSFLSIHLG</v>
      </c>
      <c r="M185" s="4" t="str">
        <f t="shared" si="58"/>
        <v>CKV</v>
      </c>
      <c r="N185" s="4" t="str">
        <f t="shared" si="59"/>
        <v>NEVYGLVDGLVTFYLPLLIMCITYYRIFKVARDQAKRIN</v>
      </c>
      <c r="O185" s="4" t="str">
        <f t="shared" si="60"/>
        <v>SWKAATIREHKATVTLAAVMGAFIICWFPYFTAFVYRGLR</v>
      </c>
      <c r="P185" s="4" t="str">
        <f t="shared" si="61"/>
        <v>NEVLEAIVLWLGYANSALNPILYAAL</v>
      </c>
      <c r="Q185" s="4" t="str">
        <f t="shared" si="62"/>
        <v>NRDFRTGYQQLFC</v>
      </c>
      <c r="R185" s="5">
        <f>VLOOKUP($A185,'SegEnds_NonXtal_Prot#'!$A:$AL,3,FALSE)</f>
        <v>11</v>
      </c>
      <c r="S185" s="5">
        <f>VLOOKUP($A185,'SegEnds_NonXtal_Prot#'!$A:$AL,6,FALSE)</f>
        <v>47</v>
      </c>
      <c r="T185" s="5">
        <f>VLOOKUP($A185,'SegEnds_NonXtal_Prot#'!$A:$AL,9,FALSE)</f>
        <v>51</v>
      </c>
      <c r="U185" s="5">
        <f>VLOOKUP($A185,'SegEnds_NonXtal_Prot#'!$A:$AL,12,FALSE)</f>
        <v>83</v>
      </c>
      <c r="V185" s="5">
        <f>VLOOKUP($A185,'SegEnds_NonXtal_Prot#'!$A:$AL,15,FALSE)</f>
        <v>87</v>
      </c>
      <c r="W185" s="5">
        <f>VLOOKUP($A185,'SegEnds_NonXtal_Prot#'!$A:$AL,18,FALSE)</f>
        <v>123</v>
      </c>
      <c r="X185" s="5">
        <f>VLOOKUP($A185,'SegEnds_NonXtal_Prot#'!$A:$AL,21,FALSE)</f>
        <v>131</v>
      </c>
      <c r="Y185" s="5">
        <f>VLOOKUP($A185,'SegEnds_NonXtal_Prot#'!$A:$AL,24,FALSE)</f>
        <v>174</v>
      </c>
      <c r="Z185" s="5">
        <f>VLOOKUP($A185,'SegEnds_NonXtal_Prot#'!$A:$AL,27,FALSE)</f>
        <v>179</v>
      </c>
      <c r="AA185" s="5">
        <f>VLOOKUP($A185,'SegEnds_NonXtal_Prot#'!$A:$AL,30,FALSE)</f>
        <v>221</v>
      </c>
      <c r="AB185" s="5">
        <f>VLOOKUP($A185,'SegEnds_NonXtal_Prot#'!$A:$AL,33,FALSE)</f>
        <v>266</v>
      </c>
      <c r="AC185" s="5">
        <f>VLOOKUP($A185,'SegEnds_NonXtal_Prot#'!$A:$AL,36,FALSE)</f>
        <v>292</v>
      </c>
      <c r="AD185" s="5">
        <f>VLOOKUP($A185,'SegEnds_NonXtal_Prot#'!$A:$AL,5,FALSE)</f>
        <v>46</v>
      </c>
      <c r="AE185" s="5">
        <f>VLOOKUP($A185,'SegEnds_NonXtal_Prot#'!$A:$AL,8,FALSE)</f>
        <v>50</v>
      </c>
      <c r="AF185" s="5">
        <f>VLOOKUP($A185,'SegEnds_NonXtal_Prot#'!$A:$AL,11,FALSE)</f>
        <v>81</v>
      </c>
      <c r="AG185" s="5">
        <f>VLOOKUP($A185,'SegEnds_NonXtal_Prot#'!$A:$AL,14,FALSE)</f>
        <v>86</v>
      </c>
      <c r="AH185" s="5">
        <f>VLOOKUP($A185,'SegEnds_NonXtal_Prot#'!$A:$AL,17,FALSE)</f>
        <v>122</v>
      </c>
      <c r="AI185" s="5">
        <f>VLOOKUP($A185,'SegEnds_NonXtal_Prot#'!$A:$AL,20,FALSE)</f>
        <v>130</v>
      </c>
      <c r="AJ185" s="5">
        <f>VLOOKUP($A185,'SegEnds_NonXtal_Prot#'!$A:$AL,23,FALSE)</f>
        <v>157</v>
      </c>
      <c r="AK185" s="5">
        <f>VLOOKUP($A185,'SegEnds_NonXtal_Prot#'!$A:$AL,26,FALSE)</f>
        <v>176</v>
      </c>
      <c r="AL185" s="5">
        <f>VLOOKUP($A185,'SegEnds_NonXtal_Prot#'!$A:$AL,29,FALSE)</f>
        <v>217</v>
      </c>
      <c r="AM185" s="5">
        <f>VLOOKUP($A185,'SegEnds_NonXtal_Prot#'!$A:$AL,32,FALSE)</f>
        <v>260</v>
      </c>
      <c r="AN185" s="5">
        <f>VLOOKUP($A185,'SegEnds_NonXtal_Prot#'!$A:$AL,35,FALSE)</f>
        <v>291</v>
      </c>
      <c r="AO185" s="5">
        <f>VLOOKUP($A185,'SegEnds_NonXtal_Prot#'!$A:$AL,38,FALSE)</f>
        <v>304</v>
      </c>
      <c r="AP185" s="5">
        <f t="shared" si="63"/>
        <v>35</v>
      </c>
      <c r="AQ185" s="4">
        <f t="shared" si="64"/>
        <v>3</v>
      </c>
      <c r="AR185" s="4">
        <f t="shared" si="65"/>
        <v>30</v>
      </c>
      <c r="AS185" s="4">
        <f t="shared" si="66"/>
        <v>3</v>
      </c>
      <c r="AT185" s="4">
        <f t="shared" si="67"/>
        <v>35</v>
      </c>
      <c r="AU185" s="4">
        <f t="shared" si="68"/>
        <v>7</v>
      </c>
      <c r="AV185" s="4">
        <f t="shared" si="69"/>
        <v>26</v>
      </c>
      <c r="AW185" s="4">
        <f t="shared" si="70"/>
        <v>2</v>
      </c>
      <c r="AX185" s="4">
        <f t="shared" si="71"/>
        <v>38</v>
      </c>
      <c r="AY185" s="4">
        <f t="shared" si="72"/>
        <v>39</v>
      </c>
      <c r="AZ185" s="4">
        <f t="shared" si="73"/>
        <v>25</v>
      </c>
      <c r="BA185" s="4">
        <f t="shared" si="74"/>
        <v>12</v>
      </c>
    </row>
    <row r="186" spans="1:53" x14ac:dyDescent="0.2">
      <c r="A186" s="1" t="str">
        <f>'SegEnds_NonXtal_Prot#'!A163</f>
        <v>kissr_human</v>
      </c>
      <c r="B186" s="1" t="str">
        <f t="shared" si="50"/>
        <v>VDAWLVPLFFAALMLLGLVGNSLVIYVICRHTVTNFYIANLAATDVTFLLCCVPFTALLYPLGDFMCKFVNYIQQVSVQATCATLTAMSVDRWYVTVFTPRLALAVSLSIWVGSAAVSAPVLALHPSRALERAFALYNLLALYLLPLLATCACYAAMLRHLGRVAVRPAPVLAERAGAVRAKVSRLVAAVVLLFAACWGPIQLFLVLQALGSYAAYALKTWAHCMSYSNSALNPLLYAFLGSHFRQAFRRVCP</v>
      </c>
      <c r="C186" s="29" t="str">
        <f>IF(ISERROR(MATCH(A186,'SegEnds_Xtal_Prot#'!B:B, 0)), "NoXtal", "Xtal")</f>
        <v>NoXtal</v>
      </c>
      <c r="D186" s="4" t="str">
        <f>VLOOKUP(A186,Classification!A:D,2,FALSE)</f>
        <v>A</v>
      </c>
      <c r="E186" s="5" t="str">
        <f>VLOOKUP(A186,Seqs!A:B,2,FALSE)</f>
        <v>MHTVATSGPNASWGAPANASGCPGCGANASDGPVPSPRAVDAWLVPLFFAALMLLGLVGNSLVIYVICRHKPMRTVTNFYIANLAATDVTFLLCCVPFTALLYPLPGWVLGDFMCKFVNYIQQVSVQATCATLTAMSVDRWYVTVFPLRALHRRTPRLALAVSLSIWVGSAAVSAPVLALHRLSPGPRAYCSEAFPSRALERAFALYNLLALYLLPLLATCACYAAMLRHLGRVAVRPAPADSALQGQVLAERAGAVRAKVSRLVAAVVLLFAACWGPIQLFLVLQALGPAGSWHPRSYAAYALKTWAHCMSYSNSALNPLLYAFLGSHFRQAFRRVCPCAPRRPRRPRRPGPSDPAAPHAELLRLGSHPAPARAQKPGSSGLAARGLCVLGEDNAPL</v>
      </c>
      <c r="F186" s="5" t="str">
        <f t="shared" si="51"/>
        <v>VDAWLVPLFFAALMLLGLVGNSLVIYVICRH</v>
      </c>
      <c r="G186" s="4" t="str">
        <f t="shared" si="52"/>
        <v>KPMR</v>
      </c>
      <c r="H186" s="4" t="str">
        <f t="shared" si="53"/>
        <v>TVTNFYIANLAATDVTFLLCCVPFTALLYPL</v>
      </c>
      <c r="I186" s="4" t="str">
        <f t="shared" si="54"/>
        <v>GWVL</v>
      </c>
      <c r="J186" s="4" t="str">
        <f t="shared" si="55"/>
        <v>GDFMCKFVNYIQQVSVQATCATLTAMSVDRWYVTVF</v>
      </c>
      <c r="K186" s="4" t="str">
        <f t="shared" si="56"/>
        <v>PLRALHRR</v>
      </c>
      <c r="L186" s="4" t="str">
        <f t="shared" si="57"/>
        <v>TPRLALAVSLSIWVGSAAVSAPVLALH</v>
      </c>
      <c r="M186" s="4" t="str">
        <f t="shared" si="58"/>
        <v>CSE</v>
      </c>
      <c r="N186" s="4" t="str">
        <f t="shared" si="59"/>
        <v>PSRALERAFALYNLLALYLLPLLATCACYAAMLRHLGRVAVRPAP</v>
      </c>
      <c r="O186" s="4" t="str">
        <f t="shared" si="60"/>
        <v>VLAERAGAVRAKVSRLVAAVVLLFAACWGPIQLFLVLQALG</v>
      </c>
      <c r="P186" s="4" t="str">
        <f t="shared" si="61"/>
        <v>SYAAYALKTWAHCMSYSNSALNPLLYAFL</v>
      </c>
      <c r="Q186" s="4" t="str">
        <f t="shared" si="62"/>
        <v>GSHFRQAFRRVCP</v>
      </c>
      <c r="R186" s="5">
        <f>VLOOKUP($A186,'SegEnds_NonXtal_Prot#'!$A:$AL,3,FALSE)</f>
        <v>40</v>
      </c>
      <c r="S186" s="5">
        <f>VLOOKUP($A186,'SegEnds_NonXtal_Prot#'!$A:$AL,6,FALSE)</f>
        <v>71</v>
      </c>
      <c r="T186" s="5">
        <f>VLOOKUP($A186,'SegEnds_NonXtal_Prot#'!$A:$AL,9,FALSE)</f>
        <v>75</v>
      </c>
      <c r="U186" s="5">
        <f>VLOOKUP($A186,'SegEnds_NonXtal_Prot#'!$A:$AL,12,FALSE)</f>
        <v>107</v>
      </c>
      <c r="V186" s="5">
        <f>VLOOKUP($A186,'SegEnds_NonXtal_Prot#'!$A:$AL,15,FALSE)</f>
        <v>111</v>
      </c>
      <c r="W186" s="5">
        <f>VLOOKUP($A186,'SegEnds_NonXtal_Prot#'!$A:$AL,18,FALSE)</f>
        <v>147</v>
      </c>
      <c r="X186" s="5">
        <f>VLOOKUP($A186,'SegEnds_NonXtal_Prot#'!$A:$AL,21,FALSE)</f>
        <v>155</v>
      </c>
      <c r="Y186" s="5">
        <f>VLOOKUP($A186,'SegEnds_NonXtal_Prot#'!$A:$AL,24,FALSE)</f>
        <v>191</v>
      </c>
      <c r="Z186" s="5">
        <f>VLOOKUP($A186,'SegEnds_NonXtal_Prot#'!$A:$AL,27,FALSE)</f>
        <v>196</v>
      </c>
      <c r="AA186" s="5">
        <f>VLOOKUP($A186,'SegEnds_NonXtal_Prot#'!$A:$AL,30,FALSE)</f>
        <v>249</v>
      </c>
      <c r="AB186" s="5">
        <f>VLOOKUP($A186,'SegEnds_NonXtal_Prot#'!$A:$AL,33,FALSE)</f>
        <v>298</v>
      </c>
      <c r="AC186" s="5">
        <f>VLOOKUP($A186,'SegEnds_NonXtal_Prot#'!$A:$AL,36,FALSE)</f>
        <v>327</v>
      </c>
      <c r="AD186" s="5">
        <f>VLOOKUP($A186,'SegEnds_NonXtal_Prot#'!$A:$AL,5,FALSE)</f>
        <v>70</v>
      </c>
      <c r="AE186" s="5">
        <f>VLOOKUP($A186,'SegEnds_NonXtal_Prot#'!$A:$AL,8,FALSE)</f>
        <v>74</v>
      </c>
      <c r="AF186" s="5">
        <f>VLOOKUP($A186,'SegEnds_NonXtal_Prot#'!$A:$AL,11,FALSE)</f>
        <v>105</v>
      </c>
      <c r="AG186" s="5">
        <f>VLOOKUP($A186,'SegEnds_NonXtal_Prot#'!$A:$AL,14,FALSE)</f>
        <v>110</v>
      </c>
      <c r="AH186" s="5">
        <f>VLOOKUP($A186,'SegEnds_NonXtal_Prot#'!$A:$AL,17,FALSE)</f>
        <v>146</v>
      </c>
      <c r="AI186" s="5">
        <f>VLOOKUP($A186,'SegEnds_NonXtal_Prot#'!$A:$AL,20,FALSE)</f>
        <v>154</v>
      </c>
      <c r="AJ186" s="5">
        <f>VLOOKUP($A186,'SegEnds_NonXtal_Prot#'!$A:$AL,23,FALSE)</f>
        <v>181</v>
      </c>
      <c r="AK186" s="5">
        <f>VLOOKUP($A186,'SegEnds_NonXtal_Prot#'!$A:$AL,26,FALSE)</f>
        <v>193</v>
      </c>
      <c r="AL186" s="5">
        <f>VLOOKUP($A186,'SegEnds_NonXtal_Prot#'!$A:$AL,29,FALSE)</f>
        <v>240</v>
      </c>
      <c r="AM186" s="5">
        <f>VLOOKUP($A186,'SegEnds_NonXtal_Prot#'!$A:$AL,32,FALSE)</f>
        <v>289</v>
      </c>
      <c r="AN186" s="5">
        <f>VLOOKUP($A186,'SegEnds_NonXtal_Prot#'!$A:$AL,35,FALSE)</f>
        <v>326</v>
      </c>
      <c r="AO186" s="5">
        <f>VLOOKUP($A186,'SegEnds_NonXtal_Prot#'!$A:$AL,38,FALSE)</f>
        <v>339</v>
      </c>
      <c r="AP186" s="5">
        <f t="shared" si="63"/>
        <v>30</v>
      </c>
      <c r="AQ186" s="4">
        <f t="shared" si="64"/>
        <v>3</v>
      </c>
      <c r="AR186" s="4">
        <f t="shared" si="65"/>
        <v>30</v>
      </c>
      <c r="AS186" s="4">
        <f t="shared" si="66"/>
        <v>3</v>
      </c>
      <c r="AT186" s="4">
        <f t="shared" si="67"/>
        <v>35</v>
      </c>
      <c r="AU186" s="4">
        <f t="shared" si="68"/>
        <v>7</v>
      </c>
      <c r="AV186" s="4">
        <f t="shared" si="69"/>
        <v>26</v>
      </c>
      <c r="AW186" s="4">
        <f t="shared" si="70"/>
        <v>2</v>
      </c>
      <c r="AX186" s="4">
        <f t="shared" si="71"/>
        <v>44</v>
      </c>
      <c r="AY186" s="4">
        <f t="shared" si="72"/>
        <v>40</v>
      </c>
      <c r="AZ186" s="4">
        <f t="shared" si="73"/>
        <v>28</v>
      </c>
      <c r="BA186" s="4">
        <f t="shared" si="74"/>
        <v>12</v>
      </c>
    </row>
    <row r="187" spans="1:53" x14ac:dyDescent="0.2">
      <c r="A187" s="1" t="str">
        <f>'SegEnds_NonXtal_Prot#'!A164</f>
        <v>lgr4_human</v>
      </c>
      <c r="B187" s="1" t="str">
        <f t="shared" si="50"/>
        <v>YLLGSWMIRLTVWFIFLVALFFNLLVILTTFASPSSKLFIGLISVSNLFMGIYTGILTFLDAVSWWETGSGCKVAGFLAVFSSESAIFLLMLATVERSLSAKDHLKQFRVAALLAFLGATVAGCFPLFHRTPSLGFTVTLVLLNSLAFLLMAVIYTKLYCNLEKNSQSSMIKHVAWLIFTNCIFFCPVAFFSFAPLITPEIMKSVTLIFFPLPACLNPVLYVFFNPKFKEDWKLLKRRV</v>
      </c>
      <c r="C187" s="29" t="str">
        <f>IF(ISERROR(MATCH(A187,'SegEnds_Xtal_Prot#'!B:B, 0)), "NoXtal", "Xtal")</f>
        <v>NoXtal</v>
      </c>
      <c r="D187" s="4" t="str">
        <f>VLOOKUP(A187,Classification!A:D,2,FALSE)</f>
        <v>A</v>
      </c>
      <c r="E187" s="5" t="str">
        <f>VLOOKUP(A187,Seqs!A:B,2,FALSE)</f>
        <v>MPGPLGLLCFLALGLLGSAGPSGAAPPLCAAPCSCDGDRRVDCSGKGLTAVPEGLSAFTQALDISMNNITQLPEDAFKNFPFLEELQLAGNDLSFIHPKALSGLKELKVLTLQNNQLKTVPSEAIRGLSALQSLRLDANHITSVPEDSFEGLVQLRHLWLDDNSLTEVPVHPLSNLPTLQALTLALNKISSIPDFAFTNLSSLVVLHLHNNKIRSLSQHCFDGLDNLETLDLNYNNLGEFPQAIKALPSLKELGFHSNSISVIPDGAFDGNPLLRTIHLYDNPLSFVGNSAFHNLSDLHSLVIRGASMVQQFPNLTGTVHLESLTLTGTKISSIPNNLCQEQKMLRTLDLSYNNIRDLPSFNGCHALEEISLQRNQIYQIKEGTFQGLISLRILDLSRNLIHEIHSRAFATLGPITNLDVSFNELTSFPTEGLNGLNQLKLVGNFKLKEALAAKDFVNLRSLSVPYAYQCCAFWGCDSYANLNTEDNSLQDHSVAQEKGTADAANVTSTLENEEHSQIIIHCTPSTGAFKPCEYLLGSWMIRLTVWFIFLVALFFNLLVILTTFASCTSLPSSKLFIGLISVSNLFMGIYTGILTFLDAVSWGRFAEFGIWWETGSGCKVAGFLAVFSSESAIFLLMLATVERSLSAKDIMKNGKSNHLKQFRVAALLAFLGATVAGCFPLFHRGEYSASPLCLPFPTGETPSLGFTVTLVLLNSLAFLLMAVIYTKLYCNLEKEDLSENSQSSMIKHVAWLIFTNCIFFCPVAFFSFAPLITAISISPEIMKSVTLIFFPLPACLNPVLYVFFNPKFKEDWKLLKRRVTKKSGSVSVSISSQGGCLEQDFYYDCGMYSHLQGNLTVCDCCESFLLTKPVSCKHLIKSHSCPALAVASCQRPEGYWSDCGTQSAHSDYADEEDSFVSDSSDQVQACGRACFYQSRGFPLVRYAYNLPRVKD</v>
      </c>
      <c r="F187" s="5" t="str">
        <f t="shared" si="51"/>
        <v>YLLGSWMIRLTVWFIFLVALFFNLLVILTTFAS</v>
      </c>
      <c r="G187" s="4" t="str">
        <f t="shared" si="52"/>
        <v/>
      </c>
      <c r="H187" s="4" t="str">
        <f t="shared" si="53"/>
        <v>PSSKLFIGLISVSNLFMGIYTGILTFLDAVS</v>
      </c>
      <c r="I187" s="4" t="str">
        <f t="shared" si="54"/>
        <v/>
      </c>
      <c r="J187" s="4" t="str">
        <f t="shared" si="55"/>
        <v>WWETGSGCKVAGFLAVFSSESAIFLLMLATVERSLSAKD</v>
      </c>
      <c r="K187" s="4" t="str">
        <f t="shared" si="56"/>
        <v>IMKNGKSN</v>
      </c>
      <c r="L187" s="4" t="str">
        <f t="shared" si="57"/>
        <v>HLKQFRVAALLAFLGATVAGCFPLFHR</v>
      </c>
      <c r="M187" s="4" t="str">
        <f t="shared" si="58"/>
        <v>CLP</v>
      </c>
      <c r="N187" s="4" t="str">
        <f t="shared" si="59"/>
        <v>TPSLGFTVTLVLLNSLAFLLMAVIYTKLYCNLEK</v>
      </c>
      <c r="O187" s="4" t="str">
        <f t="shared" si="60"/>
        <v>NSQSSMIKHVAWLIFTNCIFFCPVAFFSFAPLIT</v>
      </c>
      <c r="P187" s="4" t="str">
        <f t="shared" si="61"/>
        <v>PEIMKSVTLIFFPLPACLNPVLYVFF</v>
      </c>
      <c r="Q187" s="4" t="str">
        <f t="shared" si="62"/>
        <v>NPKFKEDWKLLKRRV</v>
      </c>
      <c r="R187" s="5">
        <f>VLOOKUP($A187,'SegEnds_NonXtal_Prot#'!$A:$AL,3,FALSE)</f>
        <v>534</v>
      </c>
      <c r="S187" s="5" t="str">
        <f>VLOOKUP($A187,'SegEnds_NonXtal_Prot#'!$A:$AL,6,FALSE)</f>
        <v>-</v>
      </c>
      <c r="T187" s="5">
        <f>VLOOKUP($A187,'SegEnds_NonXtal_Prot#'!$A:$AL,9,FALSE)</f>
        <v>571</v>
      </c>
      <c r="U187" s="5" t="str">
        <f>VLOOKUP($A187,'SegEnds_NonXtal_Prot#'!$A:$AL,12,FALSE)</f>
        <v>-</v>
      </c>
      <c r="V187" s="5">
        <f>VLOOKUP($A187,'SegEnds_NonXtal_Prot#'!$A:$AL,15,FALSE)</f>
        <v>611</v>
      </c>
      <c r="W187" s="5">
        <f>VLOOKUP($A187,'SegEnds_NonXtal_Prot#'!$A:$AL,18,FALSE)</f>
        <v>650</v>
      </c>
      <c r="X187" s="5">
        <f>VLOOKUP($A187,'SegEnds_NonXtal_Prot#'!$A:$AL,21,FALSE)</f>
        <v>658</v>
      </c>
      <c r="Y187" s="5">
        <f>VLOOKUP($A187,'SegEnds_NonXtal_Prot#'!$A:$AL,24,FALSE)</f>
        <v>693</v>
      </c>
      <c r="Z187" s="5">
        <f>VLOOKUP($A187,'SegEnds_NonXtal_Prot#'!$A:$AL,27,FALSE)</f>
        <v>701</v>
      </c>
      <c r="AA187" s="5">
        <f>VLOOKUP($A187,'SegEnds_NonXtal_Prot#'!$A:$AL,30,FALSE)</f>
        <v>740</v>
      </c>
      <c r="AB187" s="5">
        <f>VLOOKUP($A187,'SegEnds_NonXtal_Prot#'!$A:$AL,33,FALSE)</f>
        <v>779</v>
      </c>
      <c r="AC187" s="5">
        <f>VLOOKUP($A187,'SegEnds_NonXtal_Prot#'!$A:$AL,36,FALSE)</f>
        <v>805</v>
      </c>
      <c r="AD187" s="5">
        <f>VLOOKUP($A187,'SegEnds_NonXtal_Prot#'!$A:$AL,5,FALSE)</f>
        <v>566</v>
      </c>
      <c r="AE187" s="5" t="str">
        <f>VLOOKUP($A187,'SegEnds_NonXtal_Prot#'!$A:$AL,8,FALSE)</f>
        <v>-</v>
      </c>
      <c r="AF187" s="5">
        <f>VLOOKUP($A187,'SegEnds_NonXtal_Prot#'!$A:$AL,11,FALSE)</f>
        <v>601</v>
      </c>
      <c r="AG187" s="5" t="str">
        <f>VLOOKUP($A187,'SegEnds_NonXtal_Prot#'!$A:$AL,14,FALSE)</f>
        <v>-</v>
      </c>
      <c r="AH187" s="5">
        <f>VLOOKUP($A187,'SegEnds_NonXtal_Prot#'!$A:$AL,17,FALSE)</f>
        <v>649</v>
      </c>
      <c r="AI187" s="5">
        <f>VLOOKUP($A187,'SegEnds_NonXtal_Prot#'!$A:$AL,20,FALSE)</f>
        <v>657</v>
      </c>
      <c r="AJ187" s="5">
        <f>VLOOKUP($A187,'SegEnds_NonXtal_Prot#'!$A:$AL,23,FALSE)</f>
        <v>684</v>
      </c>
      <c r="AK187" s="5">
        <f>VLOOKUP($A187,'SegEnds_NonXtal_Prot#'!$A:$AL,26,FALSE)</f>
        <v>695</v>
      </c>
      <c r="AL187" s="5">
        <f>VLOOKUP($A187,'SegEnds_NonXtal_Prot#'!$A:$AL,29,FALSE)</f>
        <v>734</v>
      </c>
      <c r="AM187" s="5">
        <f>VLOOKUP($A187,'SegEnds_NonXtal_Prot#'!$A:$AL,32,FALSE)</f>
        <v>773</v>
      </c>
      <c r="AN187" s="5">
        <f>VLOOKUP($A187,'SegEnds_NonXtal_Prot#'!$A:$AL,35,FALSE)</f>
        <v>804</v>
      </c>
      <c r="AO187" s="5">
        <f>VLOOKUP($A187,'SegEnds_NonXtal_Prot#'!$A:$AL,38,FALSE)</f>
        <v>819</v>
      </c>
      <c r="AP187" s="5">
        <f t="shared" si="63"/>
        <v>32</v>
      </c>
      <c r="AQ187" s="4" t="str">
        <f t="shared" si="64"/>
        <v>-</v>
      </c>
      <c r="AR187" s="4">
        <f t="shared" si="65"/>
        <v>30</v>
      </c>
      <c r="AS187" s="4" t="str">
        <f t="shared" si="66"/>
        <v>-</v>
      </c>
      <c r="AT187" s="4">
        <f t="shared" si="67"/>
        <v>38</v>
      </c>
      <c r="AU187" s="4">
        <f t="shared" si="68"/>
        <v>7</v>
      </c>
      <c r="AV187" s="4">
        <f t="shared" si="69"/>
        <v>26</v>
      </c>
      <c r="AW187" s="4">
        <f t="shared" si="70"/>
        <v>2</v>
      </c>
      <c r="AX187" s="4">
        <f t="shared" si="71"/>
        <v>33</v>
      </c>
      <c r="AY187" s="4">
        <f t="shared" si="72"/>
        <v>33</v>
      </c>
      <c r="AZ187" s="4">
        <f t="shared" si="73"/>
        <v>25</v>
      </c>
      <c r="BA187" s="4">
        <f t="shared" si="74"/>
        <v>14</v>
      </c>
    </row>
    <row r="188" spans="1:53" x14ac:dyDescent="0.2">
      <c r="A188" s="1" t="str">
        <f>'SegEnds_NonXtal_Prot#'!A165</f>
        <v>lgr5_human</v>
      </c>
      <c r="B188" s="1" t="str">
        <f t="shared" si="50"/>
        <v>EHLLDGWLIRIGVWTIAVLALTCNALVTSTVFRSSPIKLLIGVIAAVNMLTGVSSAVLAGVDAFTWWENGVGCHVIGFLSIFASESSVFLLTLAALERGFSVKYPFSSLKVIILLCALLALTMAAVPLLGPSTMGYMVALILLNSLCFLMMTIAYTKLYCNLDKIWDCSMVKHIALLLFTNCILNCPVAFLSFSSLINPEVIKFILLVVVPLPACLNPLLYILFNPHFKEDLVSLRKQTYVWTRSKH</v>
      </c>
      <c r="C188" s="29" t="str">
        <f>IF(ISERROR(MATCH(A188,'SegEnds_Xtal_Prot#'!B:B, 0)), "NoXtal", "Xtal")</f>
        <v>NoXtal</v>
      </c>
      <c r="D188" s="4" t="str">
        <f>VLOOKUP(A188,Classification!A:D,2,FALSE)</f>
        <v>A</v>
      </c>
      <c r="E188" s="5" t="str">
        <f>VLOOKUP(A188,Seqs!A:B,2,FALSE)</f>
        <v>MDTSRLGVLLSLPVLLQLATGGSSPRSGVLLRGCPTHCHCEPDGRMLLRVDCSDLGLSELPSNLSVFTSYLDLSMNNISQLLPNPLPSLRFLEELRLAGNALTYIPKGAFTGLYSLKVLMLQNNQLRHVPTEALQNLRSLQSLRLDANHISYVPPSCFSGLHSLRHLWLDDNALTEIPVQAFRSLSALQAMTLALNKIHHIPDYAFGNLSSLVVLHLHNNRIHSLGKKCFDGLHSLETLDLNYNNLDEFPTAIRTLSNLKELGFHSNNIRSIPEKAFVGNPSLITIHFYDNPIQFVGRSAFQHLPELRTLTLNGASQITEFPDLTGTANLESLTLTGAQISSLPQTVCNQLPNLQVLDLSYNLLEDLPSFSVCQKLQKIDLRHNEIYEIKVDTFQQLLSLRSLNLAWNKIAIIHPNAFSTLPSLIKLDLSSNLLSSFPITGLHGLTHLKLTGNHALQSLISSENFPELKVIEMPYAYQCCAFGVCENAYKISNQWNKGDNSSMDDLHKKDAGMFQAQDERDLEDFLLDFEEDLKALHSVQCSPSPGPFKPCEHLLDGWLIRIGVWTIAVLALTCNALVTSTVFRSPLYISPIKLLIGVIAAVNMLTGVSSAVLAGVDAFTFGSFARHGAWWENGVGCHVIGFLSIFASESSVFLLTLAALERGFSVKYSAKFETKAPFSSLKVIILLCALLALTMAAVPLLGGSKYGASPLCLPLPFGEPSTMGYMVALILLNSLCFLMMTIAYTKLYCNLDKGDLENIWDCSMVKHIALLLFTNCILNCPVAFLSFSSLINLTFISPEVIKFILLVVVPLPACLNPLLYILFNPHFKEDLVSLRKQTYVWTRSKHPSLMSINSDDVEKQSCDSTQALVTFTSSSITYDLPPSSVPSPAYPVTESCHLSSVAFVPCL</v>
      </c>
      <c r="F188" s="5" t="str">
        <f t="shared" si="51"/>
        <v>EHLLDGWLIRIGVWTIAVLALTCNALVTSTVFRS</v>
      </c>
      <c r="G188" s="4" t="str">
        <f t="shared" si="52"/>
        <v/>
      </c>
      <c r="H188" s="4" t="str">
        <f t="shared" si="53"/>
        <v>SPIKLLIGVIAAVNMLTGVSSAVLAGVDAFT</v>
      </c>
      <c r="I188" s="4" t="str">
        <f t="shared" si="54"/>
        <v/>
      </c>
      <c r="J188" s="4" t="str">
        <f t="shared" si="55"/>
        <v>WWENGVGCHVIGFLSIFASESSVFLLTLAALERGFSVKY</v>
      </c>
      <c r="K188" s="4" t="str">
        <f t="shared" si="56"/>
        <v>SAKFETKA</v>
      </c>
      <c r="L188" s="4" t="str">
        <f t="shared" si="57"/>
        <v>PFSSLKVIILLCALLALTMAAVPLLG</v>
      </c>
      <c r="M188" s="4" t="str">
        <f t="shared" si="58"/>
        <v>CLP</v>
      </c>
      <c r="N188" s="4" t="str">
        <f t="shared" si="59"/>
        <v>PSTMGYMVALILLNSLCFLMMTIAYTKLYCNLDK</v>
      </c>
      <c r="O188" s="4" t="str">
        <f t="shared" si="60"/>
        <v>IWDCSMVKHIALLLFTNCILNCPVAFLSFSSLIN</v>
      </c>
      <c r="P188" s="4" t="str">
        <f t="shared" si="61"/>
        <v>PEVIKFILLVVVPLPACLNPLLYILF</v>
      </c>
      <c r="Q188" s="4" t="str">
        <f t="shared" si="62"/>
        <v>NPHFKEDLVSLRKQTYVWTRSKH</v>
      </c>
      <c r="R188" s="5">
        <f>VLOOKUP($A188,'SegEnds_NonXtal_Prot#'!$A:$AL,3,FALSE)</f>
        <v>552</v>
      </c>
      <c r="S188" s="5" t="str">
        <f>VLOOKUP($A188,'SegEnds_NonXtal_Prot#'!$A:$AL,6,FALSE)</f>
        <v>-</v>
      </c>
      <c r="T188" s="5">
        <f>VLOOKUP($A188,'SegEnds_NonXtal_Prot#'!$A:$AL,9,FALSE)</f>
        <v>590</v>
      </c>
      <c r="U188" s="5" t="str">
        <f>VLOOKUP($A188,'SegEnds_NonXtal_Prot#'!$A:$AL,12,FALSE)</f>
        <v>-</v>
      </c>
      <c r="V188" s="5">
        <f>VLOOKUP($A188,'SegEnds_NonXtal_Prot#'!$A:$AL,15,FALSE)</f>
        <v>630</v>
      </c>
      <c r="W188" s="5">
        <f>VLOOKUP($A188,'SegEnds_NonXtal_Prot#'!$A:$AL,18,FALSE)</f>
        <v>669</v>
      </c>
      <c r="X188" s="5">
        <f>VLOOKUP($A188,'SegEnds_NonXtal_Prot#'!$A:$AL,21,FALSE)</f>
        <v>677</v>
      </c>
      <c r="Y188" s="5">
        <f>VLOOKUP($A188,'SegEnds_NonXtal_Prot#'!$A:$AL,24,FALSE)</f>
        <v>712</v>
      </c>
      <c r="Z188" s="5">
        <f>VLOOKUP($A188,'SegEnds_NonXtal_Prot#'!$A:$AL,27,FALSE)</f>
        <v>720</v>
      </c>
      <c r="AA188" s="5">
        <f>VLOOKUP($A188,'SegEnds_NonXtal_Prot#'!$A:$AL,30,FALSE)</f>
        <v>759</v>
      </c>
      <c r="AB188" s="5">
        <f>VLOOKUP($A188,'SegEnds_NonXtal_Prot#'!$A:$AL,33,FALSE)</f>
        <v>798</v>
      </c>
      <c r="AC188" s="5">
        <f>VLOOKUP($A188,'SegEnds_NonXtal_Prot#'!$A:$AL,36,FALSE)</f>
        <v>824</v>
      </c>
      <c r="AD188" s="5">
        <f>VLOOKUP($A188,'SegEnds_NonXtal_Prot#'!$A:$AL,5,FALSE)</f>
        <v>585</v>
      </c>
      <c r="AE188" s="5" t="str">
        <f>VLOOKUP($A188,'SegEnds_NonXtal_Prot#'!$A:$AL,8,FALSE)</f>
        <v>-</v>
      </c>
      <c r="AF188" s="5">
        <f>VLOOKUP($A188,'SegEnds_NonXtal_Prot#'!$A:$AL,11,FALSE)</f>
        <v>620</v>
      </c>
      <c r="AG188" s="5" t="str">
        <f>VLOOKUP($A188,'SegEnds_NonXtal_Prot#'!$A:$AL,14,FALSE)</f>
        <v>-</v>
      </c>
      <c r="AH188" s="5">
        <f>VLOOKUP($A188,'SegEnds_NonXtal_Prot#'!$A:$AL,17,FALSE)</f>
        <v>668</v>
      </c>
      <c r="AI188" s="5">
        <f>VLOOKUP($A188,'SegEnds_NonXtal_Prot#'!$A:$AL,20,FALSE)</f>
        <v>676</v>
      </c>
      <c r="AJ188" s="5">
        <f>VLOOKUP($A188,'SegEnds_NonXtal_Prot#'!$A:$AL,23,FALSE)</f>
        <v>702</v>
      </c>
      <c r="AK188" s="5">
        <f>VLOOKUP($A188,'SegEnds_NonXtal_Prot#'!$A:$AL,26,FALSE)</f>
        <v>714</v>
      </c>
      <c r="AL188" s="5">
        <f>VLOOKUP($A188,'SegEnds_NonXtal_Prot#'!$A:$AL,29,FALSE)</f>
        <v>753</v>
      </c>
      <c r="AM188" s="5">
        <f>VLOOKUP($A188,'SegEnds_NonXtal_Prot#'!$A:$AL,32,FALSE)</f>
        <v>792</v>
      </c>
      <c r="AN188" s="5">
        <f>VLOOKUP($A188,'SegEnds_NonXtal_Prot#'!$A:$AL,35,FALSE)</f>
        <v>823</v>
      </c>
      <c r="AO188" s="5">
        <f>VLOOKUP($A188,'SegEnds_NonXtal_Prot#'!$A:$AL,38,FALSE)</f>
        <v>846</v>
      </c>
      <c r="AP188" s="5">
        <f t="shared" si="63"/>
        <v>33</v>
      </c>
      <c r="AQ188" s="4" t="str">
        <f t="shared" si="64"/>
        <v>-</v>
      </c>
      <c r="AR188" s="4">
        <f t="shared" si="65"/>
        <v>30</v>
      </c>
      <c r="AS188" s="4" t="str">
        <f t="shared" si="66"/>
        <v>-</v>
      </c>
      <c r="AT188" s="4">
        <f t="shared" si="67"/>
        <v>38</v>
      </c>
      <c r="AU188" s="4">
        <f t="shared" si="68"/>
        <v>7</v>
      </c>
      <c r="AV188" s="4">
        <f t="shared" si="69"/>
        <v>25</v>
      </c>
      <c r="AW188" s="4">
        <f t="shared" si="70"/>
        <v>2</v>
      </c>
      <c r="AX188" s="4">
        <f t="shared" si="71"/>
        <v>33</v>
      </c>
      <c r="AY188" s="4">
        <f t="shared" si="72"/>
        <v>33</v>
      </c>
      <c r="AZ188" s="4">
        <f t="shared" si="73"/>
        <v>25</v>
      </c>
      <c r="BA188" s="4">
        <f t="shared" si="74"/>
        <v>22</v>
      </c>
    </row>
    <row r="189" spans="1:53" x14ac:dyDescent="0.2">
      <c r="A189" s="1" t="str">
        <f>'SegEnds_NonXtal_Prot#'!A166</f>
        <v>lgr6_human</v>
      </c>
      <c r="B189" s="1" t="str">
        <f t="shared" si="50"/>
        <v>PCEYLFESWGIRLAVWAIVLLSVLCNGLVLLTVFAGPPVKFVVGAIAGANTLTGISCGLLASVDALTRWETGLGCRATGFLAVLGSEASVLLLTLAAVQCSVSVSCSLGSVRAGVLGCLALAGLAAALPLASVAALGFTVALVMMNSFCFLVVAGAYIKLYCDLPRVWDCAMVRHVAWLIFADGLLYCPVAFLSFASMLGPEAVKSVLLVVLPLPACLNPLLYLLFNPHFRDDLRRLRP</v>
      </c>
      <c r="C189" s="29" t="str">
        <f>IF(ISERROR(MATCH(A189,'SegEnds_Xtal_Prot#'!B:B, 0)), "NoXtal", "Xtal")</f>
        <v>NoXtal</v>
      </c>
      <c r="D189" s="4" t="str">
        <f>VLOOKUP(A189,Classification!A:D,2,FALSE)</f>
        <v>A</v>
      </c>
      <c r="E189" s="5" t="str">
        <f>VLOOKUP(A189,Seqs!A:B,2,FALSE)</f>
        <v>MPSPPGLRALWLCAALCASRRAGGAPQPGPGPTACPAPCHCQEDGIMLSADCSELGLSAVPGDLDPLTAYLDLSMNNLTELQPGLFHHLRFLEELRLSGNHLSHIPGQAFSGLYSLKILMLQNNQLGGIPAEALWELPSLQSLRLDANLISLVPERSFEGLSSLRHLWLDDNALTEIPVRALNNLPALQAMTLALNRISHIPDYAFQNLTSLVVLHLHNNRIQHLGTHSFEGLHNLETLDLNYNKLQEFPVAIRTLGRLQELGFHNNNIKAIPEKAFMGNPLLQTIHFYDNPIQFVGRSAFQYLPKLHTLSLNGAMDIQEFPDLKGTTSLEILTLTRAGIRLLPSGMCQQLPRLRVLELSHNQIEELPSLHRCQKLEEIGLQHNRIWEIGADTFSQLSSLQALDLSWNAIRSIHPEAFSTLHSLVKLDLTDNQLTTLPLAGLGGLMHLKLKGNLALSQAFSKDSFPKLRILEVPYAYQCCPYGMCASFFKASGQWEAEDLHLDDEESSKRPLGLLARQAENHYDQDLDELQLEMEDSKPHPSVQCSPTPGPFKPCEYLFESWGIRLAVWAIVLLSVLCNGLVLLTVFAGGPVPLPPVKFVVGAIAGANTLTGISCGLLASVDALTFGQFSEYGARWETGLGCRATGFLAVLGSEASVLLLTLAAVQCSVSVSCVRAYGKSPSLGSVRAGVLGCLALAGLAAALPLASVGEYGASPLCLPYAPPEGQPAALGFTVALVMMNSFCFLVVAGAYIKLYCDLPRGDFEAVWDCAMVRHVAWLIFADGLLYCPVAFLSFASMLGLFPVTPEAVKSVLLVVLPLPACLNPLLYLLFNPHFRDDLRRLRPRAGDSGPLAYAAAGELEKSSCDSTQALVAFSDVDLILEASEAGRPPGLETYGFPSVTLISCQQPGAPRLEGSHCVEPEGNHFGNPQPSMDGELLLRAEGSTPAGGGLSGGGGFQPSGLAFASHV</v>
      </c>
      <c r="F189" s="5" t="str">
        <f t="shared" si="51"/>
        <v>PCEYLFESWGIRLAVWAIVLLSVLCNGLVLLTVFAG</v>
      </c>
      <c r="G189" s="4" t="str">
        <f t="shared" si="52"/>
        <v/>
      </c>
      <c r="H189" s="4" t="str">
        <f t="shared" si="53"/>
        <v>PPVKFVVGAIAGANTLTGISCGLLASVDALT</v>
      </c>
      <c r="I189" s="4" t="str">
        <f t="shared" si="54"/>
        <v/>
      </c>
      <c r="J189" s="4" t="str">
        <f t="shared" si="55"/>
        <v>RWETGLGCRATGFLAVLGSEASVLLLTLAAVQCSVSVSC</v>
      </c>
      <c r="K189" s="4" t="str">
        <f t="shared" si="56"/>
        <v>VRAYGKSP</v>
      </c>
      <c r="L189" s="4" t="str">
        <f t="shared" si="57"/>
        <v>SLGSVRAGVLGCLALAGLAAALPLASV</v>
      </c>
      <c r="M189" s="4" t="str">
        <f t="shared" si="58"/>
        <v>CLP</v>
      </c>
      <c r="N189" s="4" t="str">
        <f t="shared" si="59"/>
        <v>AALGFTVALVMMNSFCFLVVAGAYIKLYCDLPR</v>
      </c>
      <c r="O189" s="4" t="str">
        <f t="shared" si="60"/>
        <v>VWDCAMVRHVAWLIFADGLLYCPVAFLSFASMLG</v>
      </c>
      <c r="P189" s="4" t="str">
        <f t="shared" si="61"/>
        <v>PEAVKSVLLVVLPLPACLNPLLYLLF</v>
      </c>
      <c r="Q189" s="4" t="str">
        <f t="shared" si="62"/>
        <v>NPHFRDDLRRLRP</v>
      </c>
      <c r="R189" s="5">
        <f>VLOOKUP($A189,'SegEnds_NonXtal_Prot#'!$A:$AL,3,FALSE)</f>
        <v>554</v>
      </c>
      <c r="S189" s="5" t="str">
        <f>VLOOKUP($A189,'SegEnds_NonXtal_Prot#'!$A:$AL,6,FALSE)</f>
        <v>-</v>
      </c>
      <c r="T189" s="5">
        <f>VLOOKUP($A189,'SegEnds_NonXtal_Prot#'!$A:$AL,9,FALSE)</f>
        <v>595</v>
      </c>
      <c r="U189" s="5" t="str">
        <f>VLOOKUP($A189,'SegEnds_NonXtal_Prot#'!$A:$AL,12,FALSE)</f>
        <v>-</v>
      </c>
      <c r="V189" s="5">
        <f>VLOOKUP($A189,'SegEnds_NonXtal_Prot#'!$A:$AL,15,FALSE)</f>
        <v>635</v>
      </c>
      <c r="W189" s="5">
        <f>VLOOKUP($A189,'SegEnds_NonXtal_Prot#'!$A:$AL,18,FALSE)</f>
        <v>674</v>
      </c>
      <c r="X189" s="5">
        <f>VLOOKUP($A189,'SegEnds_NonXtal_Prot#'!$A:$AL,21,FALSE)</f>
        <v>682</v>
      </c>
      <c r="Y189" s="5">
        <f>VLOOKUP($A189,'SegEnds_NonXtal_Prot#'!$A:$AL,24,FALSE)</f>
        <v>717</v>
      </c>
      <c r="Z189" s="5">
        <f>VLOOKUP($A189,'SegEnds_NonXtal_Prot#'!$A:$AL,27,FALSE)</f>
        <v>728</v>
      </c>
      <c r="AA189" s="5">
        <f>VLOOKUP($A189,'SegEnds_NonXtal_Prot#'!$A:$AL,30,FALSE)</f>
        <v>766</v>
      </c>
      <c r="AB189" s="5">
        <f>VLOOKUP($A189,'SegEnds_NonXtal_Prot#'!$A:$AL,33,FALSE)</f>
        <v>805</v>
      </c>
      <c r="AC189" s="5">
        <f>VLOOKUP($A189,'SegEnds_NonXtal_Prot#'!$A:$AL,36,FALSE)</f>
        <v>831</v>
      </c>
      <c r="AD189" s="5">
        <f>VLOOKUP($A189,'SegEnds_NonXtal_Prot#'!$A:$AL,5,FALSE)</f>
        <v>589</v>
      </c>
      <c r="AE189" s="5" t="str">
        <f>VLOOKUP($A189,'SegEnds_NonXtal_Prot#'!$A:$AL,8,FALSE)</f>
        <v>-</v>
      </c>
      <c r="AF189" s="5">
        <f>VLOOKUP($A189,'SegEnds_NonXtal_Prot#'!$A:$AL,11,FALSE)</f>
        <v>625</v>
      </c>
      <c r="AG189" s="5" t="str">
        <f>VLOOKUP($A189,'SegEnds_NonXtal_Prot#'!$A:$AL,14,FALSE)</f>
        <v>-</v>
      </c>
      <c r="AH189" s="5">
        <f>VLOOKUP($A189,'SegEnds_NonXtal_Prot#'!$A:$AL,17,FALSE)</f>
        <v>673</v>
      </c>
      <c r="AI189" s="5">
        <f>VLOOKUP($A189,'SegEnds_NonXtal_Prot#'!$A:$AL,20,FALSE)</f>
        <v>681</v>
      </c>
      <c r="AJ189" s="5">
        <f>VLOOKUP($A189,'SegEnds_NonXtal_Prot#'!$A:$AL,23,FALSE)</f>
        <v>708</v>
      </c>
      <c r="AK189" s="5">
        <f>VLOOKUP($A189,'SegEnds_NonXtal_Prot#'!$A:$AL,26,FALSE)</f>
        <v>719</v>
      </c>
      <c r="AL189" s="5">
        <f>VLOOKUP($A189,'SegEnds_NonXtal_Prot#'!$A:$AL,29,FALSE)</f>
        <v>760</v>
      </c>
      <c r="AM189" s="5">
        <f>VLOOKUP($A189,'SegEnds_NonXtal_Prot#'!$A:$AL,32,FALSE)</f>
        <v>799</v>
      </c>
      <c r="AN189" s="5">
        <f>VLOOKUP($A189,'SegEnds_NonXtal_Prot#'!$A:$AL,35,FALSE)</f>
        <v>830</v>
      </c>
      <c r="AO189" s="5">
        <f>VLOOKUP($A189,'SegEnds_NonXtal_Prot#'!$A:$AL,38,FALSE)</f>
        <v>843</v>
      </c>
      <c r="AP189" s="5">
        <f t="shared" si="63"/>
        <v>35</v>
      </c>
      <c r="AQ189" s="4" t="str">
        <f t="shared" si="64"/>
        <v>-</v>
      </c>
      <c r="AR189" s="4">
        <f t="shared" si="65"/>
        <v>30</v>
      </c>
      <c r="AS189" s="4" t="str">
        <f t="shared" si="66"/>
        <v>-</v>
      </c>
      <c r="AT189" s="4">
        <f t="shared" si="67"/>
        <v>38</v>
      </c>
      <c r="AU189" s="4">
        <f t="shared" si="68"/>
        <v>7</v>
      </c>
      <c r="AV189" s="4">
        <f t="shared" si="69"/>
        <v>26</v>
      </c>
      <c r="AW189" s="4">
        <f t="shared" si="70"/>
        <v>2</v>
      </c>
      <c r="AX189" s="4">
        <f t="shared" si="71"/>
        <v>32</v>
      </c>
      <c r="AY189" s="4">
        <f t="shared" si="72"/>
        <v>33</v>
      </c>
      <c r="AZ189" s="4">
        <f t="shared" si="73"/>
        <v>25</v>
      </c>
      <c r="BA189" s="4">
        <f t="shared" si="74"/>
        <v>12</v>
      </c>
    </row>
    <row r="190" spans="1:53" x14ac:dyDescent="0.2">
      <c r="A190" s="1" t="str">
        <f>'SegEnds_NonXtal_Prot#'!A167</f>
        <v>lpar4_human</v>
      </c>
      <c r="B190" s="1" t="str">
        <f t="shared" si="50"/>
        <v>FKYNLNGAVYSVVFILGLITNSVSLFVFCFRSETAIFITNLAVSDLLFVCTLPFKIFYNFNGDTLCKISGTAFLTNIYGSMLFLTCISVDRFLAIVYTRRNSAIVCAGVWILVLSGGISASLFSVWKTYLSKITIFIEVVGFIIPLILNVSCSSVVLRTLRKPSQIGTNKKKVLKMITVHMAVFVVCFVPYNSVLFLYALVRSQNCFLERFAKIMYPITLCLATLNCCFDPFIYYFTLESFQKSFYINAH</v>
      </c>
      <c r="C190" s="29" t="str">
        <f>IF(ISERROR(MATCH(A190,'SegEnds_Xtal_Prot#'!B:B, 0)), "NoXtal", "Xtal")</f>
        <v>NoXtal</v>
      </c>
      <c r="D190" s="4" t="str">
        <f>VLOOKUP(A190,Classification!A:D,2,FALSE)</f>
        <v>A</v>
      </c>
      <c r="E190" s="5" t="str">
        <f>VLOOKUP(A190,Seqs!A:B,2,FALSE)</f>
        <v>MGDRRFIDFQFQDSNSSLRPRLGNATANNTCIVDDSFKYNLNGAVYSVVFILGLITNSVSLFVFCFRMKMRSETAIFITNLAVSDLLFVCTLPFKIFYNFNRHWPFGDTLCKISGTAFLTNIYGSMLFLTCISVDRFLAIVYPFRSRTIRTRRNSAIVCAGVWILVLSGGISASLFSTTNVNNATTTCFEGFSKRVWKTYLSKITIFIEVVGFIIPLILNVSCSSVVLRTLRKPATLSQIGTNKKKVLKMITVHMAVFVVCFVPYNSVLFLYALVRSQAITNCFLERFAKIMYPITLCLATLNCCFDPFIYYFTLESFQKSFYINAHIRMESLFKTETPLTTKPSLPAIQEEVSDQTTNNGGELMLESTF</v>
      </c>
      <c r="F190" s="5" t="str">
        <f t="shared" si="51"/>
        <v>FKYNLNGAVYSVVFILGLITNSVSLFVFCFR</v>
      </c>
      <c r="G190" s="4" t="str">
        <f t="shared" si="52"/>
        <v>MKMR</v>
      </c>
      <c r="H190" s="4" t="str">
        <f t="shared" si="53"/>
        <v>SETAIFITNLAVSDLLFVCTLPFKIFYNFN</v>
      </c>
      <c r="I190" s="4" t="str">
        <f t="shared" si="54"/>
        <v>HWPF</v>
      </c>
      <c r="J190" s="4" t="str">
        <f t="shared" si="55"/>
        <v>GDTLCKISGTAFLTNIYGSMLFLTCISVDRFLAIVY</v>
      </c>
      <c r="K190" s="4" t="str">
        <f t="shared" si="56"/>
        <v>PFRSRTIR</v>
      </c>
      <c r="L190" s="4" t="str">
        <f t="shared" si="57"/>
        <v>TRRNSAIVCAGVWILVLSGGISASLFS</v>
      </c>
      <c r="M190" s="4" t="str">
        <f t="shared" si="58"/>
        <v>CFE</v>
      </c>
      <c r="N190" s="4" t="str">
        <f t="shared" si="59"/>
        <v>VWKTYLSKITIFIEVVGFIIPLILNVSCSSVVLRTLRKP</v>
      </c>
      <c r="O190" s="4" t="str">
        <f t="shared" si="60"/>
        <v>SQIGTNKKKVLKMITVHMAVFVVCFVPYNSVLFLYALVRSQ</v>
      </c>
      <c r="P190" s="4" t="str">
        <f t="shared" si="61"/>
        <v>NCFLERFAKIMYPITLCLATLNCCFDPFIYYFT</v>
      </c>
      <c r="Q190" s="4" t="str">
        <f t="shared" si="62"/>
        <v>LESFQKSFYINAH</v>
      </c>
      <c r="R190" s="5">
        <f>VLOOKUP($A190,'SegEnds_NonXtal_Prot#'!$A:$AL,3,FALSE)</f>
        <v>37</v>
      </c>
      <c r="S190" s="5">
        <f>VLOOKUP($A190,'SegEnds_NonXtal_Prot#'!$A:$AL,6,FALSE)</f>
        <v>68</v>
      </c>
      <c r="T190" s="5">
        <f>VLOOKUP($A190,'SegEnds_NonXtal_Prot#'!$A:$AL,9,FALSE)</f>
        <v>72</v>
      </c>
      <c r="U190" s="5">
        <f>VLOOKUP($A190,'SegEnds_NonXtal_Prot#'!$A:$AL,12,FALSE)</f>
        <v>103</v>
      </c>
      <c r="V190" s="5">
        <f>VLOOKUP($A190,'SegEnds_NonXtal_Prot#'!$A:$AL,15,FALSE)</f>
        <v>107</v>
      </c>
      <c r="W190" s="5">
        <f>VLOOKUP($A190,'SegEnds_NonXtal_Prot#'!$A:$AL,18,FALSE)</f>
        <v>143</v>
      </c>
      <c r="X190" s="5">
        <f>VLOOKUP($A190,'SegEnds_NonXtal_Prot#'!$A:$AL,21,FALSE)</f>
        <v>151</v>
      </c>
      <c r="Y190" s="5">
        <f>VLOOKUP($A190,'SegEnds_NonXtal_Prot#'!$A:$AL,24,FALSE)</f>
        <v>188</v>
      </c>
      <c r="Z190" s="5">
        <f>VLOOKUP($A190,'SegEnds_NonXtal_Prot#'!$A:$AL,27,FALSE)</f>
        <v>196</v>
      </c>
      <c r="AA190" s="5">
        <f>VLOOKUP($A190,'SegEnds_NonXtal_Prot#'!$A:$AL,30,FALSE)</f>
        <v>238</v>
      </c>
      <c r="AB190" s="5">
        <f>VLOOKUP($A190,'SegEnds_NonXtal_Prot#'!$A:$AL,33,FALSE)</f>
        <v>282</v>
      </c>
      <c r="AC190" s="5">
        <f>VLOOKUP($A190,'SegEnds_NonXtal_Prot#'!$A:$AL,36,FALSE)</f>
        <v>315</v>
      </c>
      <c r="AD190" s="5">
        <f>VLOOKUP($A190,'SegEnds_NonXtal_Prot#'!$A:$AL,5,FALSE)</f>
        <v>67</v>
      </c>
      <c r="AE190" s="5">
        <f>VLOOKUP($A190,'SegEnds_NonXtal_Prot#'!$A:$AL,8,FALSE)</f>
        <v>71</v>
      </c>
      <c r="AF190" s="5">
        <f>VLOOKUP($A190,'SegEnds_NonXtal_Prot#'!$A:$AL,11,FALSE)</f>
        <v>101</v>
      </c>
      <c r="AG190" s="5">
        <f>VLOOKUP($A190,'SegEnds_NonXtal_Prot#'!$A:$AL,14,FALSE)</f>
        <v>106</v>
      </c>
      <c r="AH190" s="5">
        <f>VLOOKUP($A190,'SegEnds_NonXtal_Prot#'!$A:$AL,17,FALSE)</f>
        <v>142</v>
      </c>
      <c r="AI190" s="5">
        <f>VLOOKUP($A190,'SegEnds_NonXtal_Prot#'!$A:$AL,20,FALSE)</f>
        <v>150</v>
      </c>
      <c r="AJ190" s="5">
        <f>VLOOKUP($A190,'SegEnds_NonXtal_Prot#'!$A:$AL,23,FALSE)</f>
        <v>177</v>
      </c>
      <c r="AK190" s="5">
        <f>VLOOKUP($A190,'SegEnds_NonXtal_Prot#'!$A:$AL,26,FALSE)</f>
        <v>190</v>
      </c>
      <c r="AL190" s="5">
        <f>VLOOKUP($A190,'SegEnds_NonXtal_Prot#'!$A:$AL,29,FALSE)</f>
        <v>234</v>
      </c>
      <c r="AM190" s="5">
        <f>VLOOKUP($A190,'SegEnds_NonXtal_Prot#'!$A:$AL,32,FALSE)</f>
        <v>278</v>
      </c>
      <c r="AN190" s="5">
        <f>VLOOKUP($A190,'SegEnds_NonXtal_Prot#'!$A:$AL,35,FALSE)</f>
        <v>314</v>
      </c>
      <c r="AO190" s="5">
        <f>VLOOKUP($A190,'SegEnds_NonXtal_Prot#'!$A:$AL,38,FALSE)</f>
        <v>327</v>
      </c>
      <c r="AP190" s="5">
        <f t="shared" si="63"/>
        <v>30</v>
      </c>
      <c r="AQ190" s="4">
        <f t="shared" si="64"/>
        <v>3</v>
      </c>
      <c r="AR190" s="4">
        <f t="shared" si="65"/>
        <v>29</v>
      </c>
      <c r="AS190" s="4">
        <f t="shared" si="66"/>
        <v>3</v>
      </c>
      <c r="AT190" s="4">
        <f t="shared" si="67"/>
        <v>35</v>
      </c>
      <c r="AU190" s="4">
        <f t="shared" si="68"/>
        <v>7</v>
      </c>
      <c r="AV190" s="4">
        <f t="shared" si="69"/>
        <v>26</v>
      </c>
      <c r="AW190" s="4">
        <f t="shared" si="70"/>
        <v>2</v>
      </c>
      <c r="AX190" s="4">
        <f t="shared" si="71"/>
        <v>38</v>
      </c>
      <c r="AY190" s="4">
        <f t="shared" si="72"/>
        <v>40</v>
      </c>
      <c r="AZ190" s="4">
        <f t="shared" si="73"/>
        <v>32</v>
      </c>
      <c r="BA190" s="4">
        <f t="shared" si="74"/>
        <v>12</v>
      </c>
    </row>
    <row r="191" spans="1:53" x14ac:dyDescent="0.2">
      <c r="A191" s="1" t="str">
        <f>'SegEnds_NonXtal_Prot#'!A168</f>
        <v>lpar5_human</v>
      </c>
      <c r="B191" s="1" t="str">
        <f t="shared" si="50"/>
        <v>YRPTHRLHLVVYSLVLAAGLPLNALALWVFLRASVVSVYMCNLAASDLLFTLSLPVRLSYYALPDLLCQTTGAIFQMNMYGSCIFLMLINVDRYAAIVHRPRVARLLCLGVWALILVFAVPAARWKGRLLPLVLLAEALGFLLPLAAVVYSSGRVFWTLARQSQRRRKTVRLLLANLVIFLLCFVPYNSTLAVYGLLRSKSVPARDRVRGVLMVMVLLAGANCVLDPLVYYFSAEGFRNTLRGLGTPH</v>
      </c>
      <c r="C191" s="29" t="str">
        <f>IF(ISERROR(MATCH(A191,'SegEnds_Xtal_Prot#'!B:B, 0)), "NoXtal", "Xtal")</f>
        <v>NoXtal</v>
      </c>
      <c r="D191" s="4" t="str">
        <f>VLOOKUP(A191,Classification!A:D,2,FALSE)</f>
        <v>A</v>
      </c>
      <c r="E191" s="5" t="str">
        <f>VLOOKUP(A191,Seqs!A:B,2,FALSE)</f>
        <v>MLANSSSTNSSVLPCPDYRPTHRLHLVVYSLVLAAGLPLNALALWVFLRALRVHSVVSVYMCNLAASDLLFTLSLPVRLSYYALHHWPFPDLLCQTTGAIFQMNMYGSCIFLMLINVDRYAAIVHPLRLRHLRRPRVARLLCLGVWALILVFAVPAARVHRPSRCRYRDLEVRLCFESFSDELWKGRLLPLVLLAEALGFLLPLAAVVYSSGRVFWTLARPDATQSQRRRKTVRLLLANLVIFLLCFVPYNSTLAVYGLLRSKLVAASVPARDRVRGVLMVMVLLAGANCVLDPLVYYFSAEGFRNTLRGLGTPHRARTSATNGTRAALAQSERSAVTTDATRPDAASQGLLRPSDSHSLSSFTQCPQDSAL</v>
      </c>
      <c r="F191" s="5" t="str">
        <f t="shared" si="51"/>
        <v>YRPTHRLHLVVYSLVLAAGLPLNALALWVFLRA</v>
      </c>
      <c r="G191" s="4" t="str">
        <f t="shared" si="52"/>
        <v>LRVH</v>
      </c>
      <c r="H191" s="4" t="str">
        <f t="shared" si="53"/>
        <v>SVVSVYMCNLAASDLLFTLSLPVRLSYYAL</v>
      </c>
      <c r="I191" s="4" t="str">
        <f t="shared" si="54"/>
        <v>HWPF</v>
      </c>
      <c r="J191" s="4" t="str">
        <f t="shared" si="55"/>
        <v>PDLLCQTTGAIFQMNMYGSCIFLMLINVDRYAAIVH</v>
      </c>
      <c r="K191" s="4" t="str">
        <f t="shared" si="56"/>
        <v>PLRLRHLR</v>
      </c>
      <c r="L191" s="4" t="str">
        <f t="shared" si="57"/>
        <v>RPRVARLLCLGVWALILVFAVPAAR</v>
      </c>
      <c r="M191" s="4" t="str">
        <f t="shared" si="58"/>
        <v>CFE</v>
      </c>
      <c r="N191" s="4" t="str">
        <f t="shared" si="59"/>
        <v>WKGRLLPLVLLAEALGFLLPLAAVVYSSGRVFWTLAR</v>
      </c>
      <c r="O191" s="4" t="str">
        <f t="shared" si="60"/>
        <v>QSQRRRKTVRLLLANLVIFLLCFVPYNSTLAVYGLLRSK</v>
      </c>
      <c r="P191" s="4" t="str">
        <f t="shared" si="61"/>
        <v>SVPARDRVRGVLMVMVLLAGANCVLDPLVYYFS</v>
      </c>
      <c r="Q191" s="4" t="str">
        <f t="shared" si="62"/>
        <v>AEGFRNTLRGLGTPH</v>
      </c>
      <c r="R191" s="5">
        <f>VLOOKUP($A191,'SegEnds_NonXtal_Prot#'!$A:$AL,3,FALSE)</f>
        <v>18</v>
      </c>
      <c r="S191" s="5">
        <f>VLOOKUP($A191,'SegEnds_NonXtal_Prot#'!$A:$AL,6,FALSE)</f>
        <v>51</v>
      </c>
      <c r="T191" s="5">
        <f>VLOOKUP($A191,'SegEnds_NonXtal_Prot#'!$A:$AL,9,FALSE)</f>
        <v>55</v>
      </c>
      <c r="U191" s="5">
        <f>VLOOKUP($A191,'SegEnds_NonXtal_Prot#'!$A:$AL,12,FALSE)</f>
        <v>86</v>
      </c>
      <c r="V191" s="5">
        <f>VLOOKUP($A191,'SegEnds_NonXtal_Prot#'!$A:$AL,15,FALSE)</f>
        <v>90</v>
      </c>
      <c r="W191" s="5">
        <f>VLOOKUP($A191,'SegEnds_NonXtal_Prot#'!$A:$AL,18,FALSE)</f>
        <v>126</v>
      </c>
      <c r="X191" s="5">
        <f>VLOOKUP($A191,'SegEnds_NonXtal_Prot#'!$A:$AL,21,FALSE)</f>
        <v>134</v>
      </c>
      <c r="Y191" s="5">
        <f>VLOOKUP($A191,'SegEnds_NonXtal_Prot#'!$A:$AL,24,FALSE)</f>
        <v>175</v>
      </c>
      <c r="Z191" s="5">
        <f>VLOOKUP($A191,'SegEnds_NonXtal_Prot#'!$A:$AL,27,FALSE)</f>
        <v>184</v>
      </c>
      <c r="AA191" s="5">
        <f>VLOOKUP($A191,'SegEnds_NonXtal_Prot#'!$A:$AL,30,FALSE)</f>
        <v>225</v>
      </c>
      <c r="AB191" s="5">
        <f>VLOOKUP($A191,'SegEnds_NonXtal_Prot#'!$A:$AL,33,FALSE)</f>
        <v>268</v>
      </c>
      <c r="AC191" s="5">
        <f>VLOOKUP($A191,'SegEnds_NonXtal_Prot#'!$A:$AL,36,FALSE)</f>
        <v>301</v>
      </c>
      <c r="AD191" s="5">
        <f>VLOOKUP($A191,'SegEnds_NonXtal_Prot#'!$A:$AL,5,FALSE)</f>
        <v>50</v>
      </c>
      <c r="AE191" s="5">
        <f>VLOOKUP($A191,'SegEnds_NonXtal_Prot#'!$A:$AL,8,FALSE)</f>
        <v>54</v>
      </c>
      <c r="AF191" s="5">
        <f>VLOOKUP($A191,'SegEnds_NonXtal_Prot#'!$A:$AL,11,FALSE)</f>
        <v>84</v>
      </c>
      <c r="AG191" s="5">
        <f>VLOOKUP($A191,'SegEnds_NonXtal_Prot#'!$A:$AL,14,FALSE)</f>
        <v>89</v>
      </c>
      <c r="AH191" s="5">
        <f>VLOOKUP($A191,'SegEnds_NonXtal_Prot#'!$A:$AL,17,FALSE)</f>
        <v>125</v>
      </c>
      <c r="AI191" s="5">
        <f>VLOOKUP($A191,'SegEnds_NonXtal_Prot#'!$A:$AL,20,FALSE)</f>
        <v>133</v>
      </c>
      <c r="AJ191" s="5">
        <f>VLOOKUP($A191,'SegEnds_NonXtal_Prot#'!$A:$AL,23,FALSE)</f>
        <v>158</v>
      </c>
      <c r="AK191" s="5">
        <f>VLOOKUP($A191,'SegEnds_NonXtal_Prot#'!$A:$AL,26,FALSE)</f>
        <v>177</v>
      </c>
      <c r="AL191" s="5">
        <f>VLOOKUP($A191,'SegEnds_NonXtal_Prot#'!$A:$AL,29,FALSE)</f>
        <v>220</v>
      </c>
      <c r="AM191" s="5">
        <f>VLOOKUP($A191,'SegEnds_NonXtal_Prot#'!$A:$AL,32,FALSE)</f>
        <v>263</v>
      </c>
      <c r="AN191" s="5">
        <f>VLOOKUP($A191,'SegEnds_NonXtal_Prot#'!$A:$AL,35,FALSE)</f>
        <v>300</v>
      </c>
      <c r="AO191" s="5">
        <f>VLOOKUP($A191,'SegEnds_NonXtal_Prot#'!$A:$AL,38,FALSE)</f>
        <v>315</v>
      </c>
      <c r="AP191" s="5">
        <f t="shared" si="63"/>
        <v>32</v>
      </c>
      <c r="AQ191" s="4">
        <f t="shared" si="64"/>
        <v>3</v>
      </c>
      <c r="AR191" s="4">
        <f t="shared" si="65"/>
        <v>29</v>
      </c>
      <c r="AS191" s="4">
        <f t="shared" si="66"/>
        <v>3</v>
      </c>
      <c r="AT191" s="4">
        <f t="shared" si="67"/>
        <v>35</v>
      </c>
      <c r="AU191" s="4">
        <f t="shared" si="68"/>
        <v>7</v>
      </c>
      <c r="AV191" s="4">
        <f t="shared" si="69"/>
        <v>24</v>
      </c>
      <c r="AW191" s="4">
        <f t="shared" si="70"/>
        <v>2</v>
      </c>
      <c r="AX191" s="4">
        <f t="shared" si="71"/>
        <v>36</v>
      </c>
      <c r="AY191" s="4">
        <f t="shared" si="72"/>
        <v>38</v>
      </c>
      <c r="AZ191" s="4">
        <f t="shared" si="73"/>
        <v>32</v>
      </c>
      <c r="BA191" s="4">
        <f t="shared" si="74"/>
        <v>14</v>
      </c>
    </row>
    <row r="192" spans="1:53" x14ac:dyDescent="0.2">
      <c r="A192" s="1" t="str">
        <f>'SegEnds_NonXtal_Prot#'!A169</f>
        <v>lpar6_human</v>
      </c>
      <c r="B192" s="1" t="str">
        <f t="shared" si="50"/>
        <v>NDSFKYTLYGCMFSMVFVLGLISNCVAIYIFICVNETTTYMINLAMSDLLFVFTLPFRIFYFTTGDLLCKISVMLFYTNMYGSILFLTCISVDRFLAIVYTKRNAKIVCTGVWLTVIGGSAPAVFVTYLSRIVIFIEIVGFFIPLILNVTCSSMVLKTLTKPSRSKINKTKVLKMIFVHLIIFCFCFVPYNINLILYSLVRTQNCSVVAAVRTMYPITLCIAVSNCCFDPIVYYFTSDTIQNSIKMKNWSVRR</v>
      </c>
      <c r="C192" s="29" t="str">
        <f>IF(ISERROR(MATCH(A192,'SegEnds_Xtal_Prot#'!B:B, 0)), "NoXtal", "Xtal")</f>
        <v>NoXtal</v>
      </c>
      <c r="D192" s="4" t="str">
        <f>VLOOKUP(A192,Classification!A:D,2,FALSE)</f>
        <v>A</v>
      </c>
      <c r="E192" s="5" t="str">
        <f>VLOOKUP(A192,Seqs!A:B,2,FALSE)</f>
        <v>MVSVNSSHCFYNDSFKYTLYGCMFSMVFVLGLISNCVAIYIFICVLKVRNETTTYMINLAMSDLLFVFTLPFRIFYFTTRNWPFGDLLCKISVMLFYTNMYGSILFLTCISVDRFLAIVYPFKSKTLRTKRNAKIVCTGVWLTVIGGSAPAVFVQSTHSQGNNASEACFENFPEATWKTYLSRIVIFIEIVGFFIPLILNVTCSSMVLKTLTKPVTLSRSKINKTKVLKMIFVHLIIFCFCFVPYNINLILYSLVRTQTFVNCSVVAAVRTMYPITLCIAVSNCCFDPIVYYFTSDTIQNSIKMKNWSVRRSDFRFSEVHGAENFIQHNLQTLKSKIFDNESAA</v>
      </c>
      <c r="F192" s="5" t="str">
        <f t="shared" si="51"/>
        <v>NDSFKYTLYGCMFSMVFVLGLISNCVAIYIFICV</v>
      </c>
      <c r="G192" s="4" t="str">
        <f t="shared" si="52"/>
        <v>LKVR</v>
      </c>
      <c r="H192" s="4" t="str">
        <f t="shared" si="53"/>
        <v>NETTTYMINLAMSDLLFVFTLPFRIFYFTT</v>
      </c>
      <c r="I192" s="4" t="str">
        <f t="shared" si="54"/>
        <v>NWPF</v>
      </c>
      <c r="J192" s="4" t="str">
        <f t="shared" si="55"/>
        <v>GDLLCKISVMLFYTNMYGSILFLTCISVDRFLAIVY</v>
      </c>
      <c r="K192" s="4" t="str">
        <f t="shared" si="56"/>
        <v>PFKSKTLR</v>
      </c>
      <c r="L192" s="4" t="str">
        <f t="shared" si="57"/>
        <v>TKRNAKIVCTGVWLTVIGGSAPAVFV</v>
      </c>
      <c r="M192" s="4" t="str">
        <f t="shared" si="58"/>
        <v>CFE</v>
      </c>
      <c r="N192" s="4" t="str">
        <f t="shared" si="59"/>
        <v>TYLSRIVIFIEIVGFFIPLILNVTCSSMVLKTLTKP</v>
      </c>
      <c r="O192" s="4" t="str">
        <f t="shared" si="60"/>
        <v>SRSKINKTKVLKMIFVHLIIFCFCFVPYNINLILYSLVRTQ</v>
      </c>
      <c r="P192" s="4" t="str">
        <f t="shared" si="61"/>
        <v>NCSVVAAVRTMYPITLCIAVSNCCFDPIVYYFTSDT</v>
      </c>
      <c r="Q192" s="4" t="str">
        <f t="shared" si="62"/>
        <v>IQNSIKMKNWSVRR</v>
      </c>
      <c r="R192" s="5">
        <f>VLOOKUP($A192,'SegEnds_NonXtal_Prot#'!$A:$AL,3,FALSE)</f>
        <v>12</v>
      </c>
      <c r="S192" s="5">
        <f>VLOOKUP($A192,'SegEnds_NonXtal_Prot#'!$A:$AL,6,FALSE)</f>
        <v>46</v>
      </c>
      <c r="T192" s="5">
        <f>VLOOKUP($A192,'SegEnds_NonXtal_Prot#'!$A:$AL,9,FALSE)</f>
        <v>50</v>
      </c>
      <c r="U192" s="5">
        <f>VLOOKUP($A192,'SegEnds_NonXtal_Prot#'!$A:$AL,12,FALSE)</f>
        <v>81</v>
      </c>
      <c r="V192" s="5">
        <f>VLOOKUP($A192,'SegEnds_NonXtal_Prot#'!$A:$AL,15,FALSE)</f>
        <v>85</v>
      </c>
      <c r="W192" s="5">
        <f>VLOOKUP($A192,'SegEnds_NonXtal_Prot#'!$A:$AL,18,FALSE)</f>
        <v>121</v>
      </c>
      <c r="X192" s="5">
        <f>VLOOKUP($A192,'SegEnds_NonXtal_Prot#'!$A:$AL,21,FALSE)</f>
        <v>129</v>
      </c>
      <c r="Y192" s="5">
        <f>VLOOKUP($A192,'SegEnds_NonXtal_Prot#'!$A:$AL,24,FALSE)</f>
        <v>168</v>
      </c>
      <c r="Z192" s="5">
        <f>VLOOKUP($A192,'SegEnds_NonXtal_Prot#'!$A:$AL,27,FALSE)</f>
        <v>179</v>
      </c>
      <c r="AA192" s="5">
        <f>VLOOKUP($A192,'SegEnds_NonXtal_Prot#'!$A:$AL,30,FALSE)</f>
        <v>218</v>
      </c>
      <c r="AB192" s="5">
        <f>VLOOKUP($A192,'SegEnds_NonXtal_Prot#'!$A:$AL,33,FALSE)</f>
        <v>262</v>
      </c>
      <c r="AC192" s="5">
        <f>VLOOKUP($A192,'SegEnds_NonXtal_Prot#'!$A:$AL,36,FALSE)</f>
        <v>298</v>
      </c>
      <c r="AD192" s="5">
        <f>VLOOKUP($A192,'SegEnds_NonXtal_Prot#'!$A:$AL,5,FALSE)</f>
        <v>45</v>
      </c>
      <c r="AE192" s="5">
        <f>VLOOKUP($A192,'SegEnds_NonXtal_Prot#'!$A:$AL,8,FALSE)</f>
        <v>49</v>
      </c>
      <c r="AF192" s="5">
        <f>VLOOKUP($A192,'SegEnds_NonXtal_Prot#'!$A:$AL,11,FALSE)</f>
        <v>79</v>
      </c>
      <c r="AG192" s="5">
        <f>VLOOKUP($A192,'SegEnds_NonXtal_Prot#'!$A:$AL,14,FALSE)</f>
        <v>84</v>
      </c>
      <c r="AH192" s="5">
        <f>VLOOKUP($A192,'SegEnds_NonXtal_Prot#'!$A:$AL,17,FALSE)</f>
        <v>120</v>
      </c>
      <c r="AI192" s="5">
        <f>VLOOKUP($A192,'SegEnds_NonXtal_Prot#'!$A:$AL,20,FALSE)</f>
        <v>128</v>
      </c>
      <c r="AJ192" s="5">
        <f>VLOOKUP($A192,'SegEnds_NonXtal_Prot#'!$A:$AL,23,FALSE)</f>
        <v>154</v>
      </c>
      <c r="AK192" s="5">
        <f>VLOOKUP($A192,'SegEnds_NonXtal_Prot#'!$A:$AL,26,FALSE)</f>
        <v>170</v>
      </c>
      <c r="AL192" s="5">
        <f>VLOOKUP($A192,'SegEnds_NonXtal_Prot#'!$A:$AL,29,FALSE)</f>
        <v>214</v>
      </c>
      <c r="AM192" s="5">
        <f>VLOOKUP($A192,'SegEnds_NonXtal_Prot#'!$A:$AL,32,FALSE)</f>
        <v>258</v>
      </c>
      <c r="AN192" s="5">
        <f>VLOOKUP($A192,'SegEnds_NonXtal_Prot#'!$A:$AL,35,FALSE)</f>
        <v>297</v>
      </c>
      <c r="AO192" s="5">
        <f>VLOOKUP($A192,'SegEnds_NonXtal_Prot#'!$A:$AL,38,FALSE)</f>
        <v>311</v>
      </c>
      <c r="AP192" s="5">
        <f t="shared" si="63"/>
        <v>33</v>
      </c>
      <c r="AQ192" s="4">
        <f t="shared" si="64"/>
        <v>3</v>
      </c>
      <c r="AR192" s="4">
        <f t="shared" si="65"/>
        <v>29</v>
      </c>
      <c r="AS192" s="4">
        <f t="shared" si="66"/>
        <v>3</v>
      </c>
      <c r="AT192" s="4">
        <f t="shared" si="67"/>
        <v>35</v>
      </c>
      <c r="AU192" s="4">
        <f t="shared" si="68"/>
        <v>7</v>
      </c>
      <c r="AV192" s="4">
        <f t="shared" si="69"/>
        <v>25</v>
      </c>
      <c r="AW192" s="4">
        <f t="shared" si="70"/>
        <v>2</v>
      </c>
      <c r="AX192" s="4">
        <f t="shared" si="71"/>
        <v>35</v>
      </c>
      <c r="AY192" s="4">
        <f t="shared" si="72"/>
        <v>40</v>
      </c>
      <c r="AZ192" s="4">
        <f t="shared" si="73"/>
        <v>35</v>
      </c>
      <c r="BA192" s="4">
        <f t="shared" si="74"/>
        <v>13</v>
      </c>
    </row>
    <row r="193" spans="1:53" x14ac:dyDescent="0.2">
      <c r="A193" s="1" t="str">
        <f>'SegEnds_NonXtal_Prot#'!A170</f>
        <v>lshr_human</v>
      </c>
      <c r="B193" s="1" t="str">
        <f t="shared" si="50"/>
        <v>FLRVLIWLINILAIMGNMTVLFVLLTSVPRFLMCNLSFADFCMGLYLLLIASVDSQTGSGCSTAGFFTVFASELSVYTLTVITLERWHTITYRLRHAILIMLGGWLFSSLIAMLPLVLSQVYILTILILNVVAFFIICACYIKIYFAVRNATNKDTKIAKKMAILIFTDFTCMAPISFFAISAAFKVTNSKVLLVLFYPINSCANPFLYAIFTKTFQRDFFLLLS</v>
      </c>
      <c r="C193" s="29" t="str">
        <f>IF(ISERROR(MATCH(A193,'SegEnds_Xtal_Prot#'!B:B, 0)), "NoXtal", "Xtal")</f>
        <v>NoXtal</v>
      </c>
      <c r="D193" s="4" t="str">
        <f>VLOOKUP(A193,Classification!A:D,2,FALSE)</f>
        <v>A</v>
      </c>
      <c r="E193" s="5" t="str">
        <f>VLOOKUP(A193,Seqs!A:B,2,FALSE)</f>
        <v>MKQRFSALQLLKLLLLLQPPLPRALREALCPEPCNCVPDGALRCPGPTAGLTRLSLAYLPVKVIPSQAFRGLNEVIKIEISQIDSLERIEANAFDNLLNLSEILIQNTKNLRYIEPGAFINLPRLKYLSICNTGIRKFPDVTKVFSSESNFILEICDNLHITTIPGNAFQGMNNESVTLKLYGNGFEEVQSHAFNGTTLTSLELKENVHLEKMHNGAFRGATGPKTLDISSTKLQALPSYGLESIQRLIATSSYSLKKLPSRETFVNLLEATLTYPSHCCAFRNLPTKEQNFSHSISENFSKQCESTVRKVNNKTLYSSMLAESELSGWDYEYGFCLPKTPRCAPEPDAFNPCEDIMGYDFLRVLIWLINILAIMGNMTVLFVLLTSRYKLTVPRFLMCNLSFADFCMGLYLLLIASVDSQTKGQYYNHAIDWQTGSGCSTAGFFTVFASELSVYTLTVITLERWHTITYAIHLDQKLRLRHAILIMLGGWLFSSLIAMLPLVGVSNYMKVSICFPMDVETTLSQVYILTILILNVVAFFIICACYIKIYFAVRNPELMATNKDTKIAKKMAILIFTDFTCMAPISFFAISAAFKVPLITVTNSKVLLVLFYPINSCANPFLYAIFTKTFQRDFFLLLSKFGCCKRRAELYRRKDFSAYTSNCKNGFTGSNKPSQSTLKLSTLHCQGTALLDKTRYTEC</v>
      </c>
      <c r="F193" s="5" t="str">
        <f t="shared" si="51"/>
        <v>FLRVLIWLINILAIMGNMTVLFVLLTS</v>
      </c>
      <c r="G193" s="4" t="str">
        <f t="shared" si="52"/>
        <v>YKLT</v>
      </c>
      <c r="H193" s="4" t="str">
        <f t="shared" si="53"/>
        <v>VPRFLMCNLSFADFCMGLYLLLIASVDSQT</v>
      </c>
      <c r="I193" s="4" t="str">
        <f t="shared" si="54"/>
        <v>DWQT</v>
      </c>
      <c r="J193" s="4" t="str">
        <f t="shared" si="55"/>
        <v>GSGCSTAGFFTVFASELSVYTLTVITLERWHTITY</v>
      </c>
      <c r="K193" s="4" t="str">
        <f t="shared" si="56"/>
        <v>AIHLDQKL</v>
      </c>
      <c r="L193" s="4" t="str">
        <f t="shared" si="57"/>
        <v>RLRHAILIMLGGWLFSSLIAMLPLV</v>
      </c>
      <c r="M193" s="4" t="str">
        <f t="shared" si="58"/>
        <v>CFP</v>
      </c>
      <c r="N193" s="4" t="str">
        <f t="shared" si="59"/>
        <v>LSQVYILTILILNVVAFFIICACYIKIYFAVRN</v>
      </c>
      <c r="O193" s="4" t="str">
        <f t="shared" si="60"/>
        <v>ATNKDTKIAKKMAILIFTDFTCMAPISFFAISAAFK</v>
      </c>
      <c r="P193" s="4" t="str">
        <f t="shared" si="61"/>
        <v>VTNSKVLLVLFYPINSCANPFLYAIF</v>
      </c>
      <c r="Q193" s="4" t="str">
        <f t="shared" si="62"/>
        <v>TKTFQRDFFLLLS</v>
      </c>
      <c r="R193" s="5">
        <f>VLOOKUP($A193,'SegEnds_NonXtal_Prot#'!$A:$AL,3,FALSE)</f>
        <v>361</v>
      </c>
      <c r="S193" s="5">
        <f>VLOOKUP($A193,'SegEnds_NonXtal_Prot#'!$A:$AL,6,FALSE)</f>
        <v>389</v>
      </c>
      <c r="T193" s="5">
        <f>VLOOKUP($A193,'SegEnds_NonXtal_Prot#'!$A:$AL,9,FALSE)</f>
        <v>393</v>
      </c>
      <c r="U193" s="5">
        <f>VLOOKUP($A193,'SegEnds_NonXtal_Prot#'!$A:$AL,12,FALSE)</f>
        <v>432</v>
      </c>
      <c r="V193" s="5">
        <f>VLOOKUP($A193,'SegEnds_NonXtal_Prot#'!$A:$AL,15,FALSE)</f>
        <v>436</v>
      </c>
      <c r="W193" s="5">
        <f>VLOOKUP($A193,'SegEnds_NonXtal_Prot#'!$A:$AL,18,FALSE)</f>
        <v>471</v>
      </c>
      <c r="X193" s="5">
        <f>VLOOKUP($A193,'SegEnds_NonXtal_Prot#'!$A:$AL,21,FALSE)</f>
        <v>479</v>
      </c>
      <c r="Y193" s="5">
        <f>VLOOKUP($A193,'SegEnds_NonXtal_Prot#'!$A:$AL,24,FALSE)</f>
        <v>514</v>
      </c>
      <c r="Z193" s="5">
        <f>VLOOKUP($A193,'SegEnds_NonXtal_Prot#'!$A:$AL,27,FALSE)</f>
        <v>523</v>
      </c>
      <c r="AA193" s="5">
        <f>VLOOKUP($A193,'SegEnds_NonXtal_Prot#'!$A:$AL,30,FALSE)</f>
        <v>560</v>
      </c>
      <c r="AB193" s="5">
        <f>VLOOKUP($A193,'SegEnds_NonXtal_Prot#'!$A:$AL,33,FALSE)</f>
        <v>601</v>
      </c>
      <c r="AC193" s="5">
        <f>VLOOKUP($A193,'SegEnds_NonXtal_Prot#'!$A:$AL,36,FALSE)</f>
        <v>627</v>
      </c>
      <c r="AD193" s="5">
        <f>VLOOKUP($A193,'SegEnds_NonXtal_Prot#'!$A:$AL,5,FALSE)</f>
        <v>387</v>
      </c>
      <c r="AE193" s="5">
        <f>VLOOKUP($A193,'SegEnds_NonXtal_Prot#'!$A:$AL,8,FALSE)</f>
        <v>392</v>
      </c>
      <c r="AF193" s="5">
        <f>VLOOKUP($A193,'SegEnds_NonXtal_Prot#'!$A:$AL,11,FALSE)</f>
        <v>422</v>
      </c>
      <c r="AG193" s="5">
        <f>VLOOKUP($A193,'SegEnds_NonXtal_Prot#'!$A:$AL,14,FALSE)</f>
        <v>435</v>
      </c>
      <c r="AH193" s="5">
        <f>VLOOKUP($A193,'SegEnds_NonXtal_Prot#'!$A:$AL,17,FALSE)</f>
        <v>470</v>
      </c>
      <c r="AI193" s="5">
        <f>VLOOKUP($A193,'SegEnds_NonXtal_Prot#'!$A:$AL,20,FALSE)</f>
        <v>478</v>
      </c>
      <c r="AJ193" s="5">
        <f>VLOOKUP($A193,'SegEnds_NonXtal_Prot#'!$A:$AL,23,FALSE)</f>
        <v>503</v>
      </c>
      <c r="AK193" s="5">
        <f>VLOOKUP($A193,'SegEnds_NonXtal_Prot#'!$A:$AL,26,FALSE)</f>
        <v>516</v>
      </c>
      <c r="AL193" s="5">
        <f>VLOOKUP($A193,'SegEnds_NonXtal_Prot#'!$A:$AL,29,FALSE)</f>
        <v>555</v>
      </c>
      <c r="AM193" s="5">
        <f>VLOOKUP($A193,'SegEnds_NonXtal_Prot#'!$A:$AL,32,FALSE)</f>
        <v>595</v>
      </c>
      <c r="AN193" s="5">
        <f>VLOOKUP($A193,'SegEnds_NonXtal_Prot#'!$A:$AL,35,FALSE)</f>
        <v>626</v>
      </c>
      <c r="AO193" s="5">
        <f>VLOOKUP($A193,'SegEnds_NonXtal_Prot#'!$A:$AL,38,FALSE)</f>
        <v>639</v>
      </c>
      <c r="AP193" s="5">
        <f t="shared" si="63"/>
        <v>26</v>
      </c>
      <c r="AQ193" s="4">
        <f t="shared" si="64"/>
        <v>3</v>
      </c>
      <c r="AR193" s="4">
        <f t="shared" si="65"/>
        <v>29</v>
      </c>
      <c r="AS193" s="4">
        <f t="shared" si="66"/>
        <v>3</v>
      </c>
      <c r="AT193" s="4">
        <f t="shared" si="67"/>
        <v>34</v>
      </c>
      <c r="AU193" s="4">
        <f t="shared" si="68"/>
        <v>7</v>
      </c>
      <c r="AV193" s="4">
        <f t="shared" si="69"/>
        <v>24</v>
      </c>
      <c r="AW193" s="4">
        <f t="shared" si="70"/>
        <v>2</v>
      </c>
      <c r="AX193" s="4">
        <f t="shared" si="71"/>
        <v>32</v>
      </c>
      <c r="AY193" s="4">
        <f t="shared" si="72"/>
        <v>35</v>
      </c>
      <c r="AZ193" s="4">
        <f t="shared" si="73"/>
        <v>25</v>
      </c>
      <c r="BA193" s="4">
        <f t="shared" si="74"/>
        <v>12</v>
      </c>
    </row>
    <row r="194" spans="1:53" x14ac:dyDescent="0.2">
      <c r="A194" s="1" t="str">
        <f>'SegEnds_NonXtal_Prot#'!A171</f>
        <v>lt4r1_human</v>
      </c>
      <c r="B194" s="1" t="str">
        <f t="shared" ref="B194:B257" si="75">F194&amp;H194&amp;J194&amp;L194&amp;N194&amp;O194&amp;P194&amp;Q194</f>
        <v>SLLAIILLSVALAVGLPGNSFVVWSILKRSVTALMVLNLALADLAVLLTAPFFLHFLAQGLAGCRLCHYVCGVSMYASVLLITAMSLDRSLAVARTKAMARRVLAGIWVLSFLLATPVLAYRYPSEGHRAFHLIFEAVTGFLLPFLAVVASYSDIGRRLQARSRRTGRLVVLIILTFAAFWLPYHVVNLAEAGRALALGLVGKRLSLARNVLIALAFLSSSVNPVLYACAGGGLLRSAGVGFVAKLLE</v>
      </c>
      <c r="C194" s="29" t="str">
        <f>IF(ISERROR(MATCH(A194,'SegEnds_Xtal_Prot#'!B:B, 0)), "NoXtal", "Xtal")</f>
        <v>NoXtal</v>
      </c>
      <c r="D194" s="4" t="str">
        <f>VLOOKUP(A194,Classification!A:D,2,FALSE)</f>
        <v>A</v>
      </c>
      <c r="E194" s="5" t="str">
        <f>VLOOKUP(A194,Seqs!A:B,2,FALSE)</f>
        <v>MNTTSSAAPPSLGVEFISLLAIILLSVALAVGLPGNSFVVWSILKRMQKRSVTALMVLNLALADLAVLLTAPFFLHFLAQGTWSFGLAGCRLCHYVCGVSMYASVLLITAMSLDRSLAVARPFVSQKLRTKAMARRVLAGIWVLSFLLATPVLAYRTVVPWKTNMSLCFPRYPSEGHRAFHLIFEAVTGFLLPFLAVVASYSDIGRRLQARRFRRSRRTGRLVVLIILTFAAFWLPYHVVNLAEAGRALAGQAAGLGLVGKRLSLARNVLIALAFLSSSVNPVLYACAGGGLLRSAGVGFVAKLLEGTGSEASSTRRGGSLGQTARSGPAALEPGPSESLTASSPLKLNELN</v>
      </c>
      <c r="F194" s="5" t="str">
        <f t="shared" ref="F194:F257" si="76">IFERROR(MID($E194,R194,(AP194+1)),"")</f>
        <v>SLLAIILLSVALAVGLPGNSFVVWSILKR</v>
      </c>
      <c r="G194" s="4" t="str">
        <f t="shared" ref="G194:G257" si="77">IFERROR(MID($E194,S194,(AQ194+1)),"")</f>
        <v>MQKR</v>
      </c>
      <c r="H194" s="4" t="str">
        <f t="shared" ref="H194:H257" si="78">IFERROR(MID($E194,T194,(AR194+1)),"")</f>
        <v>SVTALMVLNLALADLAVLLTAPFFLHFLAQ</v>
      </c>
      <c r="I194" s="4" t="str">
        <f t="shared" ref="I194:I257" si="79">IFERROR(MID($E194,U194,(AS194+1)),"")</f>
        <v>TWSF</v>
      </c>
      <c r="J194" s="4" t="str">
        <f t="shared" ref="J194:J257" si="80">IFERROR(MID($E194,V194,(AT194+1)),"")</f>
        <v>GLAGCRLCHYVCGVSMYASVLLITAMSLDRSLAVAR</v>
      </c>
      <c r="K194" s="4" t="str">
        <f t="shared" ref="K194:K257" si="81">IFERROR(MID($E194,W194,(AU194+1)),"")</f>
        <v>PFVSQKLR</v>
      </c>
      <c r="L194" s="4" t="str">
        <f t="shared" ref="L194:L257" si="82">IFERROR(MID($E194,X194,(AV194+1)),"")</f>
        <v>TKAMARRVLAGIWVLSFLLATPVLAYR</v>
      </c>
      <c r="M194" s="4" t="str">
        <f t="shared" ref="M194:M257" si="83">IFERROR(MID($E194,Y194,(AW194+1)),"")</f>
        <v>CFP</v>
      </c>
      <c r="N194" s="4" t="str">
        <f t="shared" ref="N194:N257" si="84">IFERROR(MID($E194,Z194,(AX194+1)),"")</f>
        <v>YPSEGHRAFHLIFEAVTGFLLPFLAVVASYSDIGRRLQAR</v>
      </c>
      <c r="O194" s="4" t="str">
        <f t="shared" ref="O194:O257" si="85">IFERROR(MID($E194,AA194,(AY194+1)),"")</f>
        <v>SRRTGRLVVLIILTFAAFWLPYHVVNLAEAGRALA</v>
      </c>
      <c r="P194" s="4" t="str">
        <f t="shared" ref="P194:P257" si="86">IFERROR(MID($E194,AB194,(AZ194+1)),"")</f>
        <v>LGLVGKRLSLARNVLIALAFLSSSVNPVLYACA</v>
      </c>
      <c r="Q194" s="4" t="str">
        <f t="shared" ref="Q194:Q257" si="87">IFERROR(MID($E194,AC194,(BA194+1)),"")</f>
        <v>GGGLLRSAGVGFVAKLLE</v>
      </c>
      <c r="R194" s="5">
        <f>VLOOKUP($A194,'SegEnds_NonXtal_Prot#'!$A:$AL,3,FALSE)</f>
        <v>18</v>
      </c>
      <c r="S194" s="5">
        <f>VLOOKUP($A194,'SegEnds_NonXtal_Prot#'!$A:$AL,6,FALSE)</f>
        <v>47</v>
      </c>
      <c r="T194" s="5">
        <f>VLOOKUP($A194,'SegEnds_NonXtal_Prot#'!$A:$AL,9,FALSE)</f>
        <v>51</v>
      </c>
      <c r="U194" s="5">
        <f>VLOOKUP($A194,'SegEnds_NonXtal_Prot#'!$A:$AL,12,FALSE)</f>
        <v>82</v>
      </c>
      <c r="V194" s="5">
        <f>VLOOKUP($A194,'SegEnds_NonXtal_Prot#'!$A:$AL,15,FALSE)</f>
        <v>86</v>
      </c>
      <c r="W194" s="5">
        <f>VLOOKUP($A194,'SegEnds_NonXtal_Prot#'!$A:$AL,18,FALSE)</f>
        <v>122</v>
      </c>
      <c r="X194" s="5">
        <f>VLOOKUP($A194,'SegEnds_NonXtal_Prot#'!$A:$AL,21,FALSE)</f>
        <v>130</v>
      </c>
      <c r="Y194" s="5">
        <f>VLOOKUP($A194,'SegEnds_NonXtal_Prot#'!$A:$AL,24,FALSE)</f>
        <v>168</v>
      </c>
      <c r="Z194" s="5">
        <f>VLOOKUP($A194,'SegEnds_NonXtal_Prot#'!$A:$AL,27,FALSE)</f>
        <v>172</v>
      </c>
      <c r="AA194" s="5">
        <f>VLOOKUP($A194,'SegEnds_NonXtal_Prot#'!$A:$AL,30,FALSE)</f>
        <v>216</v>
      </c>
      <c r="AB194" s="5">
        <f>VLOOKUP($A194,'SegEnds_NonXtal_Prot#'!$A:$AL,33,FALSE)</f>
        <v>256</v>
      </c>
      <c r="AC194" s="5">
        <f>VLOOKUP($A194,'SegEnds_NonXtal_Prot#'!$A:$AL,36,FALSE)</f>
        <v>289</v>
      </c>
      <c r="AD194" s="5">
        <f>VLOOKUP($A194,'SegEnds_NonXtal_Prot#'!$A:$AL,5,FALSE)</f>
        <v>46</v>
      </c>
      <c r="AE194" s="5">
        <f>VLOOKUP($A194,'SegEnds_NonXtal_Prot#'!$A:$AL,8,FALSE)</f>
        <v>50</v>
      </c>
      <c r="AF194" s="5">
        <f>VLOOKUP($A194,'SegEnds_NonXtal_Prot#'!$A:$AL,11,FALSE)</f>
        <v>80</v>
      </c>
      <c r="AG194" s="5">
        <f>VLOOKUP($A194,'SegEnds_NonXtal_Prot#'!$A:$AL,14,FALSE)</f>
        <v>85</v>
      </c>
      <c r="AH194" s="5">
        <f>VLOOKUP($A194,'SegEnds_NonXtal_Prot#'!$A:$AL,17,FALSE)</f>
        <v>121</v>
      </c>
      <c r="AI194" s="5">
        <f>VLOOKUP($A194,'SegEnds_NonXtal_Prot#'!$A:$AL,20,FALSE)</f>
        <v>129</v>
      </c>
      <c r="AJ194" s="5">
        <f>VLOOKUP($A194,'SegEnds_NonXtal_Prot#'!$A:$AL,23,FALSE)</f>
        <v>156</v>
      </c>
      <c r="AK194" s="5">
        <f>VLOOKUP($A194,'SegEnds_NonXtal_Prot#'!$A:$AL,26,FALSE)</f>
        <v>170</v>
      </c>
      <c r="AL194" s="5">
        <f>VLOOKUP($A194,'SegEnds_NonXtal_Prot#'!$A:$AL,29,FALSE)</f>
        <v>211</v>
      </c>
      <c r="AM194" s="5">
        <f>VLOOKUP($A194,'SegEnds_NonXtal_Prot#'!$A:$AL,32,FALSE)</f>
        <v>250</v>
      </c>
      <c r="AN194" s="5">
        <f>VLOOKUP($A194,'SegEnds_NonXtal_Prot#'!$A:$AL,35,FALSE)</f>
        <v>288</v>
      </c>
      <c r="AO194" s="5">
        <f>VLOOKUP($A194,'SegEnds_NonXtal_Prot#'!$A:$AL,38,FALSE)</f>
        <v>306</v>
      </c>
      <c r="AP194" s="5">
        <f t="shared" ref="AP194:AP257" si="88">IFERROR(AD194-R194,"-")</f>
        <v>28</v>
      </c>
      <c r="AQ194" s="4">
        <f t="shared" ref="AQ194:AQ257" si="89">IFERROR(AE194-S194,"-")</f>
        <v>3</v>
      </c>
      <c r="AR194" s="4">
        <f t="shared" ref="AR194:AR257" si="90">IFERROR(AF194-T194,"-")</f>
        <v>29</v>
      </c>
      <c r="AS194" s="4">
        <f t="shared" ref="AS194:AS257" si="91">IFERROR(AG194-U194,"-")</f>
        <v>3</v>
      </c>
      <c r="AT194" s="4">
        <f t="shared" ref="AT194:AT257" si="92">IFERROR(AH194-V194,"-")</f>
        <v>35</v>
      </c>
      <c r="AU194" s="4">
        <f t="shared" ref="AU194:AU257" si="93">IFERROR(AI194-W194,"-")</f>
        <v>7</v>
      </c>
      <c r="AV194" s="4">
        <f t="shared" ref="AV194:AV257" si="94">IFERROR(AJ194-X194,"-")</f>
        <v>26</v>
      </c>
      <c r="AW194" s="4">
        <f t="shared" ref="AW194:AW257" si="95">IFERROR(AK194-Y194,"-")</f>
        <v>2</v>
      </c>
      <c r="AX194" s="4">
        <f t="shared" ref="AX194:AX257" si="96">IFERROR(AL194-Z194,"-")</f>
        <v>39</v>
      </c>
      <c r="AY194" s="4">
        <f t="shared" ref="AY194:AY257" si="97">IFERROR(AM194-AA194,"-")</f>
        <v>34</v>
      </c>
      <c r="AZ194" s="4">
        <f t="shared" ref="AZ194:AZ257" si="98">IFERROR(AN194-AB194,"-")</f>
        <v>32</v>
      </c>
      <c r="BA194" s="4">
        <f t="shared" ref="BA194:BA257" si="99">IFERROR(AO194-AC194,"-")</f>
        <v>17</v>
      </c>
    </row>
    <row r="195" spans="1:53" x14ac:dyDescent="0.2">
      <c r="A195" s="1" t="str">
        <f>'SegEnds_NonXtal_Prot#'!A173</f>
        <v>mas_human</v>
      </c>
      <c r="B195" s="1" t="str">
        <f t="shared" si="75"/>
        <v>AHRQIPIVHWVIMSISPVGFVENGILLWFLCFRNPFTVYITHLSIADISLLFCIFILSIDYALDSSGHYYTIVTLSVTFLFGYNTGLYLLTAISVERCLSVLYPKYQSALVCALLWALSCLVTTMEYVMCRAVIIFIAILSFLVFTPLMLVSSTILVVKIRKNTWSSKLYIVIMVTIIIFLIFAMPMRLLYLLYYEYGNLHHISLLFSTINSSANPFIYFFVGSSKKKRFKESLKVV</v>
      </c>
      <c r="C195" s="29" t="str">
        <f>IF(ISERROR(MATCH(A195,'SegEnds_Xtal_Prot#'!B:B, 0)), "NoXtal", "Xtal")</f>
        <v>NoXtal</v>
      </c>
      <c r="D195" s="4" t="str">
        <f>VLOOKUP(A195,Classification!A:D,2,FALSE)</f>
        <v>A</v>
      </c>
      <c r="E195" s="5" t="str">
        <f>VLOOKUP(A195,Seqs!A:B,2,FALSE)</f>
        <v>MDGSNVTSFVVEEPTNISTGRNASVGNAHRQIPIVHWVIMSISPVGFVENGILLWFLCFRMRRNPFTVYITHLSIADISLLFCIFILSIDYALDYELSSGHYYTIVTLSVTFLFGYNTGLYLLTAISVERCLSVLYPIWYRCHRPKYQSALVCALLWALSCLVTTMEYVMCIDREEESHSRNDCRAVIIFIAILSFLVFTPLMLVSSTILVVKIRKNTWASHSSKLYIVIMVTIIIFLIFAMPMRLLYLLYYEYWSTFGNLHHISLLFSTINSSANPFIYFFVGSSKKKRFKESLKVVLTRAFKDEMQPRRQKDNCNTVTVETVV</v>
      </c>
      <c r="F195" s="5" t="str">
        <f t="shared" si="76"/>
        <v>AHRQIPIVHWVIMSISPVGFVENGILLWFLCFR</v>
      </c>
      <c r="G195" s="4" t="str">
        <f t="shared" si="77"/>
        <v/>
      </c>
      <c r="H195" s="4" t="str">
        <f t="shared" si="78"/>
        <v>NPFTVYITHLSIADISLLFCIFILSIDYALD</v>
      </c>
      <c r="I195" s="4" t="str">
        <f t="shared" si="79"/>
        <v/>
      </c>
      <c r="J195" s="4" t="str">
        <f t="shared" si="80"/>
        <v>SSGHYYTIVTLSVTFLFGYNTGLYLLTAISVERCLSVLY</v>
      </c>
      <c r="K195" s="4" t="str">
        <f t="shared" si="81"/>
        <v>PIWYRCHR</v>
      </c>
      <c r="L195" s="4" t="str">
        <f t="shared" si="82"/>
        <v>PKYQSALVCALLWALSCLVTTMEYVMC</v>
      </c>
      <c r="M195" s="4" t="str">
        <f t="shared" si="83"/>
        <v/>
      </c>
      <c r="N195" s="4" t="str">
        <f t="shared" si="84"/>
        <v>RAVIIFIAILSFLVFTPLMLVSSTILVVKIRKNTW</v>
      </c>
      <c r="O195" s="4" t="str">
        <f t="shared" si="85"/>
        <v>SSKLYIVIMVTIIIFLIFAMPMRLLYLLYYEY</v>
      </c>
      <c r="P195" s="4" t="str">
        <f t="shared" si="86"/>
        <v>GNLHHISLLFSTINSSANPFIYFFV</v>
      </c>
      <c r="Q195" s="4" t="str">
        <f t="shared" si="87"/>
        <v>GSSKKKRFKESLKVV</v>
      </c>
      <c r="R195" s="5">
        <f>VLOOKUP($A195,'SegEnds_NonXtal_Prot#'!$A:$AL,3,FALSE)</f>
        <v>28</v>
      </c>
      <c r="S195" s="5" t="str">
        <f>VLOOKUP($A195,'SegEnds_NonXtal_Prot#'!$A:$AL,6,FALSE)</f>
        <v>-</v>
      </c>
      <c r="T195" s="5">
        <f>VLOOKUP($A195,'SegEnds_NonXtal_Prot#'!$A:$AL,9,FALSE)</f>
        <v>64</v>
      </c>
      <c r="U195" s="5" t="str">
        <f>VLOOKUP($A195,'SegEnds_NonXtal_Prot#'!$A:$AL,12,FALSE)</f>
        <v>-</v>
      </c>
      <c r="V195" s="5">
        <f>VLOOKUP($A195,'SegEnds_NonXtal_Prot#'!$A:$AL,15,FALSE)</f>
        <v>98</v>
      </c>
      <c r="W195" s="5">
        <f>VLOOKUP($A195,'SegEnds_NonXtal_Prot#'!$A:$AL,18,FALSE)</f>
        <v>137</v>
      </c>
      <c r="X195" s="5">
        <f>VLOOKUP($A195,'SegEnds_NonXtal_Prot#'!$A:$AL,21,FALSE)</f>
        <v>145</v>
      </c>
      <c r="Y195" s="5" t="str">
        <f>VLOOKUP($A195,'SegEnds_NonXtal_Prot#'!$A:$AL,24,FALSE)</f>
        <v>-</v>
      </c>
      <c r="Z195" s="5">
        <f>VLOOKUP($A195,'SegEnds_NonXtal_Prot#'!$A:$AL,27,FALSE)</f>
        <v>185</v>
      </c>
      <c r="AA195" s="5">
        <f>VLOOKUP($A195,'SegEnds_NonXtal_Prot#'!$A:$AL,30,FALSE)</f>
        <v>223</v>
      </c>
      <c r="AB195" s="5">
        <f>VLOOKUP($A195,'SegEnds_NonXtal_Prot#'!$A:$AL,33,FALSE)</f>
        <v>259</v>
      </c>
      <c r="AC195" s="5">
        <f>VLOOKUP($A195,'SegEnds_NonXtal_Prot#'!$A:$AL,36,FALSE)</f>
        <v>284</v>
      </c>
      <c r="AD195" s="5">
        <f>VLOOKUP($A195,'SegEnds_NonXtal_Prot#'!$A:$AL,5,FALSE)</f>
        <v>60</v>
      </c>
      <c r="AE195" s="5" t="str">
        <f>VLOOKUP($A195,'SegEnds_NonXtal_Prot#'!$A:$AL,8,FALSE)</f>
        <v>-</v>
      </c>
      <c r="AF195" s="5">
        <f>VLOOKUP($A195,'SegEnds_NonXtal_Prot#'!$A:$AL,11,FALSE)</f>
        <v>94</v>
      </c>
      <c r="AG195" s="5" t="str">
        <f>VLOOKUP($A195,'SegEnds_NonXtal_Prot#'!$A:$AL,14,FALSE)</f>
        <v>-</v>
      </c>
      <c r="AH195" s="5">
        <f>VLOOKUP($A195,'SegEnds_NonXtal_Prot#'!$A:$AL,17,FALSE)</f>
        <v>136</v>
      </c>
      <c r="AI195" s="5">
        <f>VLOOKUP($A195,'SegEnds_NonXtal_Prot#'!$A:$AL,20,FALSE)</f>
        <v>144</v>
      </c>
      <c r="AJ195" s="5">
        <f>VLOOKUP($A195,'SegEnds_NonXtal_Prot#'!$A:$AL,23,FALSE)</f>
        <v>171</v>
      </c>
      <c r="AK195" s="5" t="str">
        <f>VLOOKUP($A195,'SegEnds_NonXtal_Prot#'!$A:$AL,26,FALSE)</f>
        <v>-</v>
      </c>
      <c r="AL195" s="5">
        <f>VLOOKUP($A195,'SegEnds_NonXtal_Prot#'!$A:$AL,29,FALSE)</f>
        <v>219</v>
      </c>
      <c r="AM195" s="5">
        <f>VLOOKUP($A195,'SegEnds_NonXtal_Prot#'!$A:$AL,32,FALSE)</f>
        <v>254</v>
      </c>
      <c r="AN195" s="5">
        <f>VLOOKUP($A195,'SegEnds_NonXtal_Prot#'!$A:$AL,35,FALSE)</f>
        <v>283</v>
      </c>
      <c r="AO195" s="5">
        <f>VLOOKUP($A195,'SegEnds_NonXtal_Prot#'!$A:$AL,38,FALSE)</f>
        <v>298</v>
      </c>
      <c r="AP195" s="5">
        <f t="shared" si="88"/>
        <v>32</v>
      </c>
      <c r="AQ195" s="4" t="str">
        <f t="shared" si="89"/>
        <v>-</v>
      </c>
      <c r="AR195" s="4">
        <f t="shared" si="90"/>
        <v>30</v>
      </c>
      <c r="AS195" s="4" t="str">
        <f t="shared" si="91"/>
        <v>-</v>
      </c>
      <c r="AT195" s="4">
        <f t="shared" si="92"/>
        <v>38</v>
      </c>
      <c r="AU195" s="4">
        <f t="shared" si="93"/>
        <v>7</v>
      </c>
      <c r="AV195" s="4">
        <f t="shared" si="94"/>
        <v>26</v>
      </c>
      <c r="AW195" s="4" t="str">
        <f t="shared" si="95"/>
        <v>-</v>
      </c>
      <c r="AX195" s="4">
        <f t="shared" si="96"/>
        <v>34</v>
      </c>
      <c r="AY195" s="4">
        <f t="shared" si="97"/>
        <v>31</v>
      </c>
      <c r="AZ195" s="4">
        <f t="shared" si="98"/>
        <v>24</v>
      </c>
      <c r="BA195" s="4">
        <f t="shared" si="99"/>
        <v>14</v>
      </c>
    </row>
    <row r="196" spans="1:53" x14ac:dyDescent="0.2">
      <c r="A196" s="1" t="str">
        <f>'SegEnds_NonXtal_Prot#'!A174</f>
        <v>mas1l_human</v>
      </c>
      <c r="B196" s="1" t="str">
        <f t="shared" si="75"/>
        <v>QQALPLNIIAPKAVLVSLCGVLLNGTVFWLLCCGNPYMVYILHLVAADVIYLCCSAVGFLQVTLHGVVFFIPDFLAILSPFSFEVCLCLLVAISTERCVCVLFPKYTSNVVCTLIWGLPFCINIVKSLFLACVIFLKLSGLFHAILSLVMCVSSLTLLIRFLCCSQATRVYAVVQISAPMFLLWALPLSVAPLITDFKTSYLISLFLIINSSANPIIYFFVGSLRKKRLKESLRVILQRALA</v>
      </c>
      <c r="C196" s="29" t="str">
        <f>IF(ISERROR(MATCH(A196,'SegEnds_Xtal_Prot#'!B:B, 0)), "NoXtal", "Xtal")</f>
        <v>NoXtal</v>
      </c>
      <c r="D196" s="4" t="str">
        <f>VLOOKUP(A196,Classification!A:D,2,FALSE)</f>
        <v>A</v>
      </c>
      <c r="E196" s="5" t="str">
        <f>VLOOKUP(A196,Seqs!A:B,2,FALSE)</f>
        <v>MVWGKICWFSQRAGWTVFAESQISLSCSLCLHSGDQEAQNPNLVSQLCGVFLQNETNETIHMQMSMAVGQQALPLNIIAPKAVLVSLCGVLLNGTVFWLLCCGATNPYMVYILHLVAADVIYLCCSAVGFLQVTLLTYHGVVFFIPDFLAILSPFSFEVCLCLLVAISTERCVCVLFPIWYRCHRPKYTSNVVCTLIWGLPFCINIVKSLFLTYWKHVKACVIFLKLSGLFHAILSLVMCVSSLTLLIRFLCCSQQQKATRVYAVVQISAPMFLLWALPLSVAPLITDFKMFVTTSYLISLFLIINSSANPIIYFFVGSLRKKRLKESLRVILQRALADKPEVGRNKKAAGIDPMEQPHSTQHVENLLPREHRVDVET</v>
      </c>
      <c r="F196" s="5" t="str">
        <f t="shared" si="76"/>
        <v>QQALPLNIIAPKAVLVSLCGVLLNGTVFWLLCCG</v>
      </c>
      <c r="G196" s="4" t="str">
        <f t="shared" si="77"/>
        <v/>
      </c>
      <c r="H196" s="4" t="str">
        <f t="shared" si="78"/>
        <v>NPYMVYILHLVAADVIYLCCSAVGFLQVTL</v>
      </c>
      <c r="I196" s="4" t="str">
        <f t="shared" si="79"/>
        <v/>
      </c>
      <c r="J196" s="4" t="str">
        <f t="shared" si="80"/>
        <v>HGVVFFIPDFLAILSPFSFEVCLCLLVAISTERCVCVLF</v>
      </c>
      <c r="K196" s="4" t="str">
        <f t="shared" si="81"/>
        <v>PIWYRCHR</v>
      </c>
      <c r="L196" s="4" t="str">
        <f t="shared" si="82"/>
        <v>PKYTSNVVCTLIWGLPFCINIVKSLFL</v>
      </c>
      <c r="M196" s="4" t="str">
        <f t="shared" si="83"/>
        <v/>
      </c>
      <c r="N196" s="4" t="str">
        <f t="shared" si="84"/>
        <v>ACVIFLKLSGLFHAILSLVMCVSSLTLLIRFLCCSQ</v>
      </c>
      <c r="O196" s="4" t="str">
        <f t="shared" si="85"/>
        <v>ATRVYAVVQISAPMFLLWALPLSVAPLITDFK</v>
      </c>
      <c r="P196" s="4" t="str">
        <f t="shared" si="86"/>
        <v>TSYLISLFLIINSSANPIIYFFV</v>
      </c>
      <c r="Q196" s="4" t="str">
        <f t="shared" si="87"/>
        <v>GSLRKKRLKESLRVILQRALA</v>
      </c>
      <c r="R196" s="5">
        <f>VLOOKUP($A196,'SegEnds_NonXtal_Prot#'!$A:$AL,3,FALSE)</f>
        <v>70</v>
      </c>
      <c r="S196" s="5" t="str">
        <f>VLOOKUP($A196,'SegEnds_NonXtal_Prot#'!$A:$AL,6,FALSE)</f>
        <v>-</v>
      </c>
      <c r="T196" s="5">
        <f>VLOOKUP($A196,'SegEnds_NonXtal_Prot#'!$A:$AL,9,FALSE)</f>
        <v>106</v>
      </c>
      <c r="U196" s="5" t="str">
        <f>VLOOKUP($A196,'SegEnds_NonXtal_Prot#'!$A:$AL,12,FALSE)</f>
        <v>-</v>
      </c>
      <c r="V196" s="5">
        <f>VLOOKUP($A196,'SegEnds_NonXtal_Prot#'!$A:$AL,15,FALSE)</f>
        <v>139</v>
      </c>
      <c r="W196" s="5">
        <f>VLOOKUP($A196,'SegEnds_NonXtal_Prot#'!$A:$AL,18,FALSE)</f>
        <v>178</v>
      </c>
      <c r="X196" s="5">
        <f>VLOOKUP($A196,'SegEnds_NonXtal_Prot#'!$A:$AL,21,FALSE)</f>
        <v>186</v>
      </c>
      <c r="Y196" s="5" t="str">
        <f>VLOOKUP($A196,'SegEnds_NonXtal_Prot#'!$A:$AL,24,FALSE)</f>
        <v>-</v>
      </c>
      <c r="Z196" s="5">
        <f>VLOOKUP($A196,'SegEnds_NonXtal_Prot#'!$A:$AL,27,FALSE)</f>
        <v>220</v>
      </c>
      <c r="AA196" s="5">
        <f>VLOOKUP($A196,'SegEnds_NonXtal_Prot#'!$A:$AL,30,FALSE)</f>
        <v>259</v>
      </c>
      <c r="AB196" s="5">
        <f>VLOOKUP($A196,'SegEnds_NonXtal_Prot#'!$A:$AL,33,FALSE)</f>
        <v>295</v>
      </c>
      <c r="AC196" s="5">
        <f>VLOOKUP($A196,'SegEnds_NonXtal_Prot#'!$A:$AL,36,FALSE)</f>
        <v>318</v>
      </c>
      <c r="AD196" s="5">
        <f>VLOOKUP($A196,'SegEnds_NonXtal_Prot#'!$A:$AL,5,FALSE)</f>
        <v>103</v>
      </c>
      <c r="AE196" s="5" t="str">
        <f>VLOOKUP($A196,'SegEnds_NonXtal_Prot#'!$A:$AL,8,FALSE)</f>
        <v>-</v>
      </c>
      <c r="AF196" s="5">
        <f>VLOOKUP($A196,'SegEnds_NonXtal_Prot#'!$A:$AL,11,FALSE)</f>
        <v>135</v>
      </c>
      <c r="AG196" s="5" t="str">
        <f>VLOOKUP($A196,'SegEnds_NonXtal_Prot#'!$A:$AL,14,FALSE)</f>
        <v>-</v>
      </c>
      <c r="AH196" s="5">
        <f>VLOOKUP($A196,'SegEnds_NonXtal_Prot#'!$A:$AL,17,FALSE)</f>
        <v>177</v>
      </c>
      <c r="AI196" s="5">
        <f>VLOOKUP($A196,'SegEnds_NonXtal_Prot#'!$A:$AL,20,FALSE)</f>
        <v>185</v>
      </c>
      <c r="AJ196" s="5">
        <f>VLOOKUP($A196,'SegEnds_NonXtal_Prot#'!$A:$AL,23,FALSE)</f>
        <v>212</v>
      </c>
      <c r="AK196" s="5" t="str">
        <f>VLOOKUP($A196,'SegEnds_NonXtal_Prot#'!$A:$AL,26,FALSE)</f>
        <v>-</v>
      </c>
      <c r="AL196" s="5">
        <f>VLOOKUP($A196,'SegEnds_NonXtal_Prot#'!$A:$AL,29,FALSE)</f>
        <v>255</v>
      </c>
      <c r="AM196" s="5">
        <f>VLOOKUP($A196,'SegEnds_NonXtal_Prot#'!$A:$AL,32,FALSE)</f>
        <v>290</v>
      </c>
      <c r="AN196" s="5">
        <f>VLOOKUP($A196,'SegEnds_NonXtal_Prot#'!$A:$AL,35,FALSE)</f>
        <v>317</v>
      </c>
      <c r="AO196" s="5">
        <f>VLOOKUP($A196,'SegEnds_NonXtal_Prot#'!$A:$AL,38,FALSE)</f>
        <v>338</v>
      </c>
      <c r="AP196" s="5">
        <f t="shared" si="88"/>
        <v>33</v>
      </c>
      <c r="AQ196" s="4" t="str">
        <f t="shared" si="89"/>
        <v>-</v>
      </c>
      <c r="AR196" s="4">
        <f t="shared" si="90"/>
        <v>29</v>
      </c>
      <c r="AS196" s="4" t="str">
        <f t="shared" si="91"/>
        <v>-</v>
      </c>
      <c r="AT196" s="4">
        <f t="shared" si="92"/>
        <v>38</v>
      </c>
      <c r="AU196" s="4">
        <f t="shared" si="93"/>
        <v>7</v>
      </c>
      <c r="AV196" s="4">
        <f t="shared" si="94"/>
        <v>26</v>
      </c>
      <c r="AW196" s="4" t="str">
        <f t="shared" si="95"/>
        <v>-</v>
      </c>
      <c r="AX196" s="4">
        <f t="shared" si="96"/>
        <v>35</v>
      </c>
      <c r="AY196" s="4">
        <f t="shared" si="97"/>
        <v>31</v>
      </c>
      <c r="AZ196" s="4">
        <f t="shared" si="98"/>
        <v>22</v>
      </c>
      <c r="BA196" s="4">
        <f t="shared" si="99"/>
        <v>20</v>
      </c>
    </row>
    <row r="197" spans="1:53" x14ac:dyDescent="0.2">
      <c r="A197" s="1" t="str">
        <f>'SegEnds_NonXtal_Prot#'!A175</f>
        <v>mc3r_human</v>
      </c>
      <c r="B197" s="1" t="str">
        <f t="shared" si="75"/>
        <v>EQVFIKPEVFLSLGIVSLLENILVILAVVRNSPMYFFLCSLAVADMLVSVSNALETIMIAIVDQFIQHMDNIFDSMICISLVASICNLLAIAVDRYVTIFYTVRKALTLIVAIWVCCGVCGVVFIVYLITMFFAMMLLMGTLYVHMFLFARLHVKRIAALPPAQHSCMKGAVTITILLGVFIFCWAPFFLHLVLIITCCYTAHFNTYLVLIMCNSVIDPLIYAFRSLELRNTFREILC</v>
      </c>
      <c r="C197" s="29" t="str">
        <f>IF(ISERROR(MATCH(A197,'SegEnds_Xtal_Prot#'!B:B, 0)), "NoXtal", "Xtal")</f>
        <v>NoXtal</v>
      </c>
      <c r="D197" s="4" t="str">
        <f>VLOOKUP(A197,Classification!A:D,2,FALSE)</f>
        <v>A</v>
      </c>
      <c r="E197" s="5" t="str">
        <f>VLOOKUP(A197,Seqs!A:B,2,FALSE)</f>
        <v>MNASCCLPSVQPTLPNGSEHLQAPFFSNQSSSAFCEQVFIKPEVFLSLGIVSLLENILVILAVVRNGNLHSPMYFFLCSLAVADMLVSVSNALETIMIAIVHSDYLTFEDQFIQHMDNIFDSMICISLVASICNLLAIAVDRYVTIFYALRYHSIMTVRKALTLIVAIWVCCGVCGVVFIVYSESKMVIVCLITMFFAMMLLMGTLYVHMFLFARLHVKRIAALPPADGVAPQQHSCMKGAVTITILLGVFIFCWAPFFLHLVLIITCPTNPYCICYTAHFNTYLVLIMCNSVIDPLIYAFRSLELRNTFREILCGCNGMNLG</v>
      </c>
      <c r="F197" s="5" t="str">
        <f t="shared" si="76"/>
        <v>EQVFIKPEVFLSLGIVSLLENILVILAVVRN</v>
      </c>
      <c r="G197" s="4" t="str">
        <f t="shared" si="77"/>
        <v>GNLH</v>
      </c>
      <c r="H197" s="4" t="str">
        <f t="shared" si="78"/>
        <v>SPMYFFLCSLAVADMLVSVSNALETIMIAIV</v>
      </c>
      <c r="I197" s="4" t="str">
        <f t="shared" si="79"/>
        <v/>
      </c>
      <c r="J197" s="4" t="str">
        <f t="shared" si="80"/>
        <v>DQFIQHMDNIFDSMICISLVASICNLLAIAVDRYVTIFY</v>
      </c>
      <c r="K197" s="4" t="str">
        <f t="shared" si="81"/>
        <v>ALRYHSIM</v>
      </c>
      <c r="L197" s="4" t="str">
        <f t="shared" si="82"/>
        <v>TVRKALTLIVAIWVCCGVCGVVFIVY</v>
      </c>
      <c r="M197" s="4" t="str">
        <f t="shared" si="83"/>
        <v/>
      </c>
      <c r="N197" s="4" t="str">
        <f t="shared" si="84"/>
        <v>LITMFFAMMLLMGTLYVHMFLFARLHVKRIAALPPA</v>
      </c>
      <c r="O197" s="4" t="str">
        <f t="shared" si="85"/>
        <v>QHSCMKGAVTITILLGVFIFCWAPFFLHLVLIITC</v>
      </c>
      <c r="P197" s="4" t="str">
        <f t="shared" si="86"/>
        <v>CYTAHFNTYLVLIMCNSVIDPLIYAFR</v>
      </c>
      <c r="Q197" s="4" t="str">
        <f t="shared" si="87"/>
        <v>SLELRNTFREILC</v>
      </c>
      <c r="R197" s="5">
        <f>VLOOKUP($A197,'SegEnds_NonXtal_Prot#'!$A:$AL,3,FALSE)</f>
        <v>36</v>
      </c>
      <c r="S197" s="5">
        <f>VLOOKUP($A197,'SegEnds_NonXtal_Prot#'!$A:$AL,6,FALSE)</f>
        <v>67</v>
      </c>
      <c r="T197" s="5">
        <f>VLOOKUP($A197,'SegEnds_NonXtal_Prot#'!$A:$AL,9,FALSE)</f>
        <v>71</v>
      </c>
      <c r="U197" s="5" t="str">
        <f>VLOOKUP($A197,'SegEnds_NonXtal_Prot#'!$A:$AL,12,FALSE)</f>
        <v>-</v>
      </c>
      <c r="V197" s="5">
        <f>VLOOKUP($A197,'SegEnds_NonXtal_Prot#'!$A:$AL,15,FALSE)</f>
        <v>110</v>
      </c>
      <c r="W197" s="5">
        <f>VLOOKUP($A197,'SegEnds_NonXtal_Prot#'!$A:$AL,18,FALSE)</f>
        <v>149</v>
      </c>
      <c r="X197" s="5">
        <f>VLOOKUP($A197,'SegEnds_NonXtal_Prot#'!$A:$AL,21,FALSE)</f>
        <v>157</v>
      </c>
      <c r="Y197" s="5" t="str">
        <f>VLOOKUP($A197,'SegEnds_NonXtal_Prot#'!$A:$AL,24,FALSE)</f>
        <v>-</v>
      </c>
      <c r="Z197" s="5">
        <f>VLOOKUP($A197,'SegEnds_NonXtal_Prot#'!$A:$AL,27,FALSE)</f>
        <v>192</v>
      </c>
      <c r="AA197" s="5">
        <f>VLOOKUP($A197,'SegEnds_NonXtal_Prot#'!$A:$AL,30,FALSE)</f>
        <v>234</v>
      </c>
      <c r="AB197" s="5">
        <f>VLOOKUP($A197,'SegEnds_NonXtal_Prot#'!$A:$AL,33,FALSE)</f>
        <v>276</v>
      </c>
      <c r="AC197" s="5">
        <f>VLOOKUP($A197,'SegEnds_NonXtal_Prot#'!$A:$AL,36,FALSE)</f>
        <v>303</v>
      </c>
      <c r="AD197" s="5">
        <f>VLOOKUP($A197,'SegEnds_NonXtal_Prot#'!$A:$AL,5,FALSE)</f>
        <v>66</v>
      </c>
      <c r="AE197" s="5">
        <f>VLOOKUP($A197,'SegEnds_NonXtal_Prot#'!$A:$AL,8,FALSE)</f>
        <v>70</v>
      </c>
      <c r="AF197" s="5">
        <f>VLOOKUP($A197,'SegEnds_NonXtal_Prot#'!$A:$AL,11,FALSE)</f>
        <v>101</v>
      </c>
      <c r="AG197" s="5" t="str">
        <f>VLOOKUP($A197,'SegEnds_NonXtal_Prot#'!$A:$AL,14,FALSE)</f>
        <v>-</v>
      </c>
      <c r="AH197" s="5">
        <f>VLOOKUP($A197,'SegEnds_NonXtal_Prot#'!$A:$AL,17,FALSE)</f>
        <v>148</v>
      </c>
      <c r="AI197" s="5">
        <f>VLOOKUP($A197,'SegEnds_NonXtal_Prot#'!$A:$AL,20,FALSE)</f>
        <v>156</v>
      </c>
      <c r="AJ197" s="5">
        <f>VLOOKUP($A197,'SegEnds_NonXtal_Prot#'!$A:$AL,23,FALSE)</f>
        <v>182</v>
      </c>
      <c r="AK197" s="5" t="str">
        <f>VLOOKUP($A197,'SegEnds_NonXtal_Prot#'!$A:$AL,26,FALSE)</f>
        <v>-</v>
      </c>
      <c r="AL197" s="5">
        <f>VLOOKUP($A197,'SegEnds_NonXtal_Prot#'!$A:$AL,29,FALSE)</f>
        <v>227</v>
      </c>
      <c r="AM197" s="5">
        <f>VLOOKUP($A197,'SegEnds_NonXtal_Prot#'!$A:$AL,32,FALSE)</f>
        <v>268</v>
      </c>
      <c r="AN197" s="5">
        <f>VLOOKUP($A197,'SegEnds_NonXtal_Prot#'!$A:$AL,35,FALSE)</f>
        <v>302</v>
      </c>
      <c r="AO197" s="5">
        <f>VLOOKUP($A197,'SegEnds_NonXtal_Prot#'!$A:$AL,38,FALSE)</f>
        <v>315</v>
      </c>
      <c r="AP197" s="5">
        <f t="shared" si="88"/>
        <v>30</v>
      </c>
      <c r="AQ197" s="4">
        <f t="shared" si="89"/>
        <v>3</v>
      </c>
      <c r="AR197" s="4">
        <f t="shared" si="90"/>
        <v>30</v>
      </c>
      <c r="AS197" s="4" t="str">
        <f t="shared" si="91"/>
        <v>-</v>
      </c>
      <c r="AT197" s="4">
        <f t="shared" si="92"/>
        <v>38</v>
      </c>
      <c r="AU197" s="4">
        <f t="shared" si="93"/>
        <v>7</v>
      </c>
      <c r="AV197" s="4">
        <f t="shared" si="94"/>
        <v>25</v>
      </c>
      <c r="AW197" s="4" t="str">
        <f t="shared" si="95"/>
        <v>-</v>
      </c>
      <c r="AX197" s="4">
        <f t="shared" si="96"/>
        <v>35</v>
      </c>
      <c r="AY197" s="4">
        <f t="shared" si="97"/>
        <v>34</v>
      </c>
      <c r="AZ197" s="4">
        <f t="shared" si="98"/>
        <v>26</v>
      </c>
      <c r="BA197" s="4">
        <f t="shared" si="99"/>
        <v>12</v>
      </c>
    </row>
    <row r="198" spans="1:53" x14ac:dyDescent="0.2">
      <c r="A198" s="1" t="str">
        <f>'SegEnds_NonXtal_Prot#'!A176</f>
        <v>mc4r_human</v>
      </c>
      <c r="B198" s="1" t="str">
        <f t="shared" si="75"/>
        <v>YEQLFVSPEVFVTLGVISLLENILVIVAIAKNSPMYFFICSLAVADMLVSVSNGSETIVITLLQSFTVNIDNVIDSVICSSLLASICSLLSIAVDRYFTIFYTVKRVGIIISCIWAACTVSGILFIIYLITMFFTMLALMASLYVHMFLMARLHIKRIAVLPGQGANMKGAITLTILIGVFVVCWAPFFLHLIFYISCCFMSHFNLYLILIMCNSIIDPLIYALRSQELRKTFKEIIC</v>
      </c>
      <c r="C198" s="29" t="str">
        <f>IF(ISERROR(MATCH(A198,'SegEnds_Xtal_Prot#'!B:B, 0)), "NoXtal", "Xtal")</f>
        <v>NoXtal</v>
      </c>
      <c r="D198" s="4" t="str">
        <f>VLOOKUP(A198,Classification!A:D,2,FALSE)</f>
        <v>A</v>
      </c>
      <c r="E198" s="5" t="str">
        <f>VLOOKUP(A198,Seqs!A:B,2,FALSE)</f>
        <v>MVNSTHRGMHTSLHLWNRSSYRLHSNASESLGKGYSDGGCYEQLFVSPEVFVTLGVISLLENILVIVAIAKNKNLHSPMYFFICSLAVADMLVSVSNGSETIVITLLNSTDTDAQSFTVNIDNVIDSVICSSLLASICSLLSIAVDRYFTIFYALQYHNIMTVKRVGIIISCIWAACTVSGILFIIYSDSSAVIICLITMFFTMLALMASLYVHMFLMARLHIKRIAVLPGTGAIRQGANMKGAITLTILIGVFVVCWAPFFLHLIFYISCPQNPYCVCFMSHFNLYLILIMCNSIIDPLIYALRSQELRKTFKEIICCYPLGGLCDLSSRY</v>
      </c>
      <c r="F198" s="5" t="str">
        <f t="shared" si="76"/>
        <v>YEQLFVSPEVFVTLGVISLLENILVIVAIAKN</v>
      </c>
      <c r="G198" s="4" t="str">
        <f t="shared" si="77"/>
        <v>KNLH</v>
      </c>
      <c r="H198" s="4" t="str">
        <f t="shared" si="78"/>
        <v>SPMYFFICSLAVADMLVSVSNGSETIVITLL</v>
      </c>
      <c r="I198" s="4" t="str">
        <f t="shared" si="79"/>
        <v/>
      </c>
      <c r="J198" s="4" t="str">
        <f t="shared" si="80"/>
        <v>QSFTVNIDNVIDSVICSSLLASICSLLSIAVDRYFTIFY</v>
      </c>
      <c r="K198" s="4" t="str">
        <f t="shared" si="81"/>
        <v>ALQYHNIM</v>
      </c>
      <c r="L198" s="4" t="str">
        <f t="shared" si="82"/>
        <v>TVKRVGIIISCIWAACTVSGILFIIY</v>
      </c>
      <c r="M198" s="4" t="str">
        <f t="shared" si="83"/>
        <v/>
      </c>
      <c r="N198" s="4" t="str">
        <f t="shared" si="84"/>
        <v>LITMFFTMLALMASLYVHMFLMARLHIKRIAVLPG</v>
      </c>
      <c r="O198" s="4" t="str">
        <f t="shared" si="85"/>
        <v>QGANMKGAITLTILIGVFVVCWAPFFLHLIFYISC</v>
      </c>
      <c r="P198" s="4" t="str">
        <f t="shared" si="86"/>
        <v>CFMSHFNLYLILIMCNSIIDPLIYALR</v>
      </c>
      <c r="Q198" s="4" t="str">
        <f t="shared" si="87"/>
        <v>SQELRKTFKEIIC</v>
      </c>
      <c r="R198" s="5">
        <f>VLOOKUP($A198,'SegEnds_NonXtal_Prot#'!$A:$AL,3,FALSE)</f>
        <v>41</v>
      </c>
      <c r="S198" s="5">
        <f>VLOOKUP($A198,'SegEnds_NonXtal_Prot#'!$A:$AL,6,FALSE)</f>
        <v>73</v>
      </c>
      <c r="T198" s="5">
        <f>VLOOKUP($A198,'SegEnds_NonXtal_Prot#'!$A:$AL,9,FALSE)</f>
        <v>77</v>
      </c>
      <c r="U198" s="5" t="str">
        <f>VLOOKUP($A198,'SegEnds_NonXtal_Prot#'!$A:$AL,12,FALSE)</f>
        <v>-</v>
      </c>
      <c r="V198" s="5">
        <f>VLOOKUP($A198,'SegEnds_NonXtal_Prot#'!$A:$AL,15,FALSE)</f>
        <v>115</v>
      </c>
      <c r="W198" s="5">
        <f>VLOOKUP($A198,'SegEnds_NonXtal_Prot#'!$A:$AL,18,FALSE)</f>
        <v>154</v>
      </c>
      <c r="X198" s="5">
        <f>VLOOKUP($A198,'SegEnds_NonXtal_Prot#'!$A:$AL,21,FALSE)</f>
        <v>162</v>
      </c>
      <c r="Y198" s="5" t="str">
        <f>VLOOKUP($A198,'SegEnds_NonXtal_Prot#'!$A:$AL,24,FALSE)</f>
        <v>-</v>
      </c>
      <c r="Z198" s="5">
        <f>VLOOKUP($A198,'SegEnds_NonXtal_Prot#'!$A:$AL,27,FALSE)</f>
        <v>197</v>
      </c>
      <c r="AA198" s="5">
        <f>VLOOKUP($A198,'SegEnds_NonXtal_Prot#'!$A:$AL,30,FALSE)</f>
        <v>237</v>
      </c>
      <c r="AB198" s="5">
        <f>VLOOKUP($A198,'SegEnds_NonXtal_Prot#'!$A:$AL,33,FALSE)</f>
        <v>279</v>
      </c>
      <c r="AC198" s="5">
        <f>VLOOKUP($A198,'SegEnds_NonXtal_Prot#'!$A:$AL,36,FALSE)</f>
        <v>306</v>
      </c>
      <c r="AD198" s="5">
        <f>VLOOKUP($A198,'SegEnds_NonXtal_Prot#'!$A:$AL,5,FALSE)</f>
        <v>72</v>
      </c>
      <c r="AE198" s="5">
        <f>VLOOKUP($A198,'SegEnds_NonXtal_Prot#'!$A:$AL,8,FALSE)</f>
        <v>76</v>
      </c>
      <c r="AF198" s="5">
        <f>VLOOKUP($A198,'SegEnds_NonXtal_Prot#'!$A:$AL,11,FALSE)</f>
        <v>107</v>
      </c>
      <c r="AG198" s="5" t="str">
        <f>VLOOKUP($A198,'SegEnds_NonXtal_Prot#'!$A:$AL,14,FALSE)</f>
        <v>-</v>
      </c>
      <c r="AH198" s="5">
        <f>VLOOKUP($A198,'SegEnds_NonXtal_Prot#'!$A:$AL,17,FALSE)</f>
        <v>153</v>
      </c>
      <c r="AI198" s="5">
        <f>VLOOKUP($A198,'SegEnds_NonXtal_Prot#'!$A:$AL,20,FALSE)</f>
        <v>161</v>
      </c>
      <c r="AJ198" s="5">
        <f>VLOOKUP($A198,'SegEnds_NonXtal_Prot#'!$A:$AL,23,FALSE)</f>
        <v>187</v>
      </c>
      <c r="AK198" s="5" t="str">
        <f>VLOOKUP($A198,'SegEnds_NonXtal_Prot#'!$A:$AL,26,FALSE)</f>
        <v>-</v>
      </c>
      <c r="AL198" s="5">
        <f>VLOOKUP($A198,'SegEnds_NonXtal_Prot#'!$A:$AL,29,FALSE)</f>
        <v>231</v>
      </c>
      <c r="AM198" s="5">
        <f>VLOOKUP($A198,'SegEnds_NonXtal_Prot#'!$A:$AL,32,FALSE)</f>
        <v>271</v>
      </c>
      <c r="AN198" s="5">
        <f>VLOOKUP($A198,'SegEnds_NonXtal_Prot#'!$A:$AL,35,FALSE)</f>
        <v>305</v>
      </c>
      <c r="AO198" s="5">
        <f>VLOOKUP($A198,'SegEnds_NonXtal_Prot#'!$A:$AL,38,FALSE)</f>
        <v>318</v>
      </c>
      <c r="AP198" s="5">
        <f t="shared" si="88"/>
        <v>31</v>
      </c>
      <c r="AQ198" s="4">
        <f t="shared" si="89"/>
        <v>3</v>
      </c>
      <c r="AR198" s="4">
        <f t="shared" si="90"/>
        <v>30</v>
      </c>
      <c r="AS198" s="4" t="str">
        <f t="shared" si="91"/>
        <v>-</v>
      </c>
      <c r="AT198" s="4">
        <f t="shared" si="92"/>
        <v>38</v>
      </c>
      <c r="AU198" s="4">
        <f t="shared" si="93"/>
        <v>7</v>
      </c>
      <c r="AV198" s="4">
        <f t="shared" si="94"/>
        <v>25</v>
      </c>
      <c r="AW198" s="4" t="str">
        <f t="shared" si="95"/>
        <v>-</v>
      </c>
      <c r="AX198" s="4">
        <f t="shared" si="96"/>
        <v>34</v>
      </c>
      <c r="AY198" s="4">
        <f t="shared" si="97"/>
        <v>34</v>
      </c>
      <c r="AZ198" s="4">
        <f t="shared" si="98"/>
        <v>26</v>
      </c>
      <c r="BA198" s="4">
        <f t="shared" si="99"/>
        <v>12</v>
      </c>
    </row>
    <row r="199" spans="1:53" x14ac:dyDescent="0.2">
      <c r="A199" s="1" t="str">
        <f>'SegEnds_NonXtal_Prot#'!A177</f>
        <v>mc5r_human</v>
      </c>
      <c r="B199" s="1" t="str">
        <f t="shared" si="75"/>
        <v>EDMGIAVEVFLTLGVISLLENILVIGAIVKNSPMYFFVCSLAVADMLVSMSSAWETITDAFVRHIDNVFDSMICISVVASMCSLLAIAVDRYVTIFYTARRSGAIIAGIWAFCTGCGIVFILYLISMFFAMLFLLVSLYIHMFLLARTHVKRIAALPGQRTSMQGAVTVTMLLGVFTVCWAPFFLHLTLMLSCRFMSHFNMYLILIMCNSVMDPLIYAFRSQEMRKTFKEIIC</v>
      </c>
      <c r="C199" s="29" t="str">
        <f>IF(ISERROR(MATCH(A199,'SegEnds_Xtal_Prot#'!B:B, 0)), "NoXtal", "Xtal")</f>
        <v>NoXtal</v>
      </c>
      <c r="D199" s="4" t="str">
        <f>VLOOKUP(A199,Classification!A:D,2,FALSE)</f>
        <v>A</v>
      </c>
      <c r="E199" s="5" t="str">
        <f>VLOOKUP(A199,Seqs!A:B,2,FALSE)</f>
        <v>MNSSFHLHFLDLNLNATEGNLSGPNVKNKSSPCEDMGIAVEVFLTLGVISLLENILVIGAIVKNKNLHSPMYFFVCSLAVADMLVSMSSAWETITIYLLNNKHLVIADAFVRHIDNVFDSMICISVVASMCSLLAIAVDRYVTIFYALRYHHIMTARRSGAIIAGIWAFCTGCGIVFILYSESTYVILCLISMFFAMLFLLVSLYIHMFLLARTHVKRIAALPGASSARQRTSMQGAVTVTMLLGVFTVCWAPFFLHLTLMLSCPQNLYCSRFMSHFNMYLILIMCNSVMDPLIYAFRSQEMRKTFKEIICCRGFRIACSFPRRD</v>
      </c>
      <c r="F199" s="5" t="str">
        <f t="shared" si="76"/>
        <v>EDMGIAVEVFLTLGVISLLENILVIGAIVKN</v>
      </c>
      <c r="G199" s="4" t="str">
        <f t="shared" si="77"/>
        <v>KNLH</v>
      </c>
      <c r="H199" s="4" t="str">
        <f t="shared" si="78"/>
        <v>SPMYFFVCSLAVADMLVSMSSAWETIT</v>
      </c>
      <c r="I199" s="4" t="str">
        <f t="shared" si="79"/>
        <v/>
      </c>
      <c r="J199" s="4" t="str">
        <f t="shared" si="80"/>
        <v>DAFVRHIDNVFDSMICISVVASMCSLLAIAVDRYVTIFY</v>
      </c>
      <c r="K199" s="4" t="str">
        <f t="shared" si="81"/>
        <v>ALRYHHIM</v>
      </c>
      <c r="L199" s="4" t="str">
        <f t="shared" si="82"/>
        <v>TARRSGAIIAGIWAFCTGCGIVFILY</v>
      </c>
      <c r="M199" s="4" t="str">
        <f t="shared" si="83"/>
        <v/>
      </c>
      <c r="N199" s="4" t="str">
        <f t="shared" si="84"/>
        <v>LISMFFAMLFLLVSLYIHMFLLARTHVKRIAALPG</v>
      </c>
      <c r="O199" s="4" t="str">
        <f t="shared" si="85"/>
        <v>QRTSMQGAVTVTMLLGVFTVCWAPFFLHLTLMLSC</v>
      </c>
      <c r="P199" s="4" t="str">
        <f t="shared" si="86"/>
        <v>RFMSHFNMYLILIMCNSVMDPLIYAFR</v>
      </c>
      <c r="Q199" s="4" t="str">
        <f t="shared" si="87"/>
        <v>SQEMRKTFKEIIC</v>
      </c>
      <c r="R199" s="5">
        <f>VLOOKUP($A199,'SegEnds_NonXtal_Prot#'!$A:$AL,3,FALSE)</f>
        <v>34</v>
      </c>
      <c r="S199" s="5">
        <f>VLOOKUP($A199,'SegEnds_NonXtal_Prot#'!$A:$AL,6,FALSE)</f>
        <v>65</v>
      </c>
      <c r="T199" s="5">
        <f>VLOOKUP($A199,'SegEnds_NonXtal_Prot#'!$A:$AL,9,FALSE)</f>
        <v>69</v>
      </c>
      <c r="U199" s="5" t="str">
        <f>VLOOKUP($A199,'SegEnds_NonXtal_Prot#'!$A:$AL,12,FALSE)</f>
        <v>-</v>
      </c>
      <c r="V199" s="5">
        <f>VLOOKUP($A199,'SegEnds_NonXtal_Prot#'!$A:$AL,15,FALSE)</f>
        <v>108</v>
      </c>
      <c r="W199" s="5">
        <f>VLOOKUP($A199,'SegEnds_NonXtal_Prot#'!$A:$AL,18,FALSE)</f>
        <v>147</v>
      </c>
      <c r="X199" s="5">
        <f>VLOOKUP($A199,'SegEnds_NonXtal_Prot#'!$A:$AL,21,FALSE)</f>
        <v>155</v>
      </c>
      <c r="Y199" s="5" t="str">
        <f>VLOOKUP($A199,'SegEnds_NonXtal_Prot#'!$A:$AL,24,FALSE)</f>
        <v>-</v>
      </c>
      <c r="Z199" s="5">
        <f>VLOOKUP($A199,'SegEnds_NonXtal_Prot#'!$A:$AL,27,FALSE)</f>
        <v>190</v>
      </c>
      <c r="AA199" s="5">
        <f>VLOOKUP($A199,'SegEnds_NonXtal_Prot#'!$A:$AL,30,FALSE)</f>
        <v>230</v>
      </c>
      <c r="AB199" s="5">
        <f>VLOOKUP($A199,'SegEnds_NonXtal_Prot#'!$A:$AL,33,FALSE)</f>
        <v>272</v>
      </c>
      <c r="AC199" s="5">
        <f>VLOOKUP($A199,'SegEnds_NonXtal_Prot#'!$A:$AL,36,FALSE)</f>
        <v>299</v>
      </c>
      <c r="AD199" s="5">
        <f>VLOOKUP($A199,'SegEnds_NonXtal_Prot#'!$A:$AL,5,FALSE)</f>
        <v>64</v>
      </c>
      <c r="AE199" s="5">
        <f>VLOOKUP($A199,'SegEnds_NonXtal_Prot#'!$A:$AL,8,FALSE)</f>
        <v>68</v>
      </c>
      <c r="AF199" s="5">
        <f>VLOOKUP($A199,'SegEnds_NonXtal_Prot#'!$A:$AL,11,FALSE)</f>
        <v>95</v>
      </c>
      <c r="AG199" s="5" t="str">
        <f>VLOOKUP($A199,'SegEnds_NonXtal_Prot#'!$A:$AL,14,FALSE)</f>
        <v>-</v>
      </c>
      <c r="AH199" s="5">
        <f>VLOOKUP($A199,'SegEnds_NonXtal_Prot#'!$A:$AL,17,FALSE)</f>
        <v>146</v>
      </c>
      <c r="AI199" s="5">
        <f>VLOOKUP($A199,'SegEnds_NonXtal_Prot#'!$A:$AL,20,FALSE)</f>
        <v>154</v>
      </c>
      <c r="AJ199" s="5">
        <f>VLOOKUP($A199,'SegEnds_NonXtal_Prot#'!$A:$AL,23,FALSE)</f>
        <v>180</v>
      </c>
      <c r="AK199" s="5" t="str">
        <f>VLOOKUP($A199,'SegEnds_NonXtal_Prot#'!$A:$AL,26,FALSE)</f>
        <v>-</v>
      </c>
      <c r="AL199" s="5">
        <f>VLOOKUP($A199,'SegEnds_NonXtal_Prot#'!$A:$AL,29,FALSE)</f>
        <v>224</v>
      </c>
      <c r="AM199" s="5">
        <f>VLOOKUP($A199,'SegEnds_NonXtal_Prot#'!$A:$AL,32,FALSE)</f>
        <v>264</v>
      </c>
      <c r="AN199" s="5">
        <f>VLOOKUP($A199,'SegEnds_NonXtal_Prot#'!$A:$AL,35,FALSE)</f>
        <v>298</v>
      </c>
      <c r="AO199" s="5">
        <f>VLOOKUP($A199,'SegEnds_NonXtal_Prot#'!$A:$AL,38,FALSE)</f>
        <v>311</v>
      </c>
      <c r="AP199" s="5">
        <f t="shared" si="88"/>
        <v>30</v>
      </c>
      <c r="AQ199" s="4">
        <f t="shared" si="89"/>
        <v>3</v>
      </c>
      <c r="AR199" s="4">
        <f t="shared" si="90"/>
        <v>26</v>
      </c>
      <c r="AS199" s="4" t="str">
        <f t="shared" si="91"/>
        <v>-</v>
      </c>
      <c r="AT199" s="4">
        <f t="shared" si="92"/>
        <v>38</v>
      </c>
      <c r="AU199" s="4">
        <f t="shared" si="93"/>
        <v>7</v>
      </c>
      <c r="AV199" s="4">
        <f t="shared" si="94"/>
        <v>25</v>
      </c>
      <c r="AW199" s="4" t="str">
        <f t="shared" si="95"/>
        <v>-</v>
      </c>
      <c r="AX199" s="4">
        <f t="shared" si="96"/>
        <v>34</v>
      </c>
      <c r="AY199" s="4">
        <f t="shared" si="97"/>
        <v>34</v>
      </c>
      <c r="AZ199" s="4">
        <f t="shared" si="98"/>
        <v>26</v>
      </c>
      <c r="BA199" s="4">
        <f t="shared" si="99"/>
        <v>12</v>
      </c>
    </row>
    <row r="200" spans="1:53" x14ac:dyDescent="0.2">
      <c r="A200" s="1" t="str">
        <f>'SegEnds_NonXtal_Prot#'!A178</f>
        <v>mchr1_human</v>
      </c>
      <c r="B200" s="1" t="str">
        <f t="shared" si="75"/>
        <v>YINIIMPSVFGTICLLGIIGNSTVIFAVVKKWCNNVPDIFIINLSVVDLLFLLGMPFMIHQLMGNGETMCTLITAMDANSQFTSTYILTAMAIDRYLATVHKPSVATLVICLLWALSFISITPVWLYANPDTDLYWFTLYQFFLAFALPFVVITAAYVRILQRMTSSQRSIRLRTKRVTRTAIAICLVFFVCWAPYYVLQLTQLSIFVYLYNAAISLGYANSCLNPFVYIVLCETFRKRLVLSVK</v>
      </c>
      <c r="C200" s="29" t="str">
        <f>IF(ISERROR(MATCH(A200,'SegEnds_Xtal_Prot#'!B:B, 0)), "NoXtal", "Xtal")</f>
        <v>NoXtal</v>
      </c>
      <c r="D200" s="4" t="str">
        <f>VLOOKUP(A200,Classification!A:D,2,FALSE)</f>
        <v>A</v>
      </c>
      <c r="E200" s="5" t="str">
        <f>VLOOKUP(A200,Seqs!A:B,2,FALSE)</f>
        <v>MSVGAMKKGVGRAVGLGGGSGCQATEEDPLPNCGACAPGQGGRRWRLPQPAWVEGSSARLWEQATGTGWMDLEASLLPTGPNASNTSDGPDNLTSAGSPPRTGSISYINIIMPSVFGTICLLGIIGNSTVIFAVVKKSKLHWCNNVPDIFIINLSVVDLLFLLGMPFMIHQLMGNGVWHFGETMCTLITAMDANSQFTSTYILTAMAIDRYLATVHPISSTKFRKPSVATLVICLLWALSFISITPVWLYARLIPFPGGAVGCGIRLPNPDTDLYWFTLYQFFLAFALPFVVITAAYVRILQRMTSSVAPASQRSIRLRTKRVTRTAIAICLVFFVCWAPYYVLQLTQLSISRPTLTFVYLYNAAISLGYANSCLNPFVYIVLCETFRKRLVLSVKPAAQGQLRAVSNAQTADEERTESKGT</v>
      </c>
      <c r="F200" s="5" t="str">
        <f t="shared" si="76"/>
        <v>YINIIMPSVFGTICLLGIIGNSTVIFAVVKK</v>
      </c>
      <c r="G200" s="4" t="str">
        <f t="shared" si="77"/>
        <v>SKLH</v>
      </c>
      <c r="H200" s="4" t="str">
        <f t="shared" si="78"/>
        <v>WCNNVPDIFIINLSVVDLLFLLGMPFMIHQLMGN</v>
      </c>
      <c r="I200" s="4" t="str">
        <f t="shared" si="79"/>
        <v>VWHF</v>
      </c>
      <c r="J200" s="4" t="str">
        <f t="shared" si="80"/>
        <v>GETMCTLITAMDANSQFTSTYILTAMAIDRYLATVH</v>
      </c>
      <c r="K200" s="4" t="str">
        <f t="shared" si="81"/>
        <v>PISSTKFR</v>
      </c>
      <c r="L200" s="4" t="str">
        <f t="shared" si="82"/>
        <v>KPSVATLVICLLWALSFISITPVWLYA</v>
      </c>
      <c r="M200" s="4" t="str">
        <f t="shared" si="83"/>
        <v>CGI</v>
      </c>
      <c r="N200" s="4" t="str">
        <f t="shared" si="84"/>
        <v>NPDTDLYWFTLYQFFLAFALPFVVITAAYVRILQRMTSS</v>
      </c>
      <c r="O200" s="4" t="str">
        <f t="shared" si="85"/>
        <v>QRSIRLRTKRVTRTAIAICLVFFVCWAPYYVLQLTQLSI</v>
      </c>
      <c r="P200" s="4" t="str">
        <f t="shared" si="86"/>
        <v>FVYLYNAAISLGYANSCLNPFVYIVL</v>
      </c>
      <c r="Q200" s="4" t="str">
        <f t="shared" si="87"/>
        <v>CETFRKRLVLSVK</v>
      </c>
      <c r="R200" s="5">
        <f>VLOOKUP($A200,'SegEnds_NonXtal_Prot#'!$A:$AL,3,FALSE)</f>
        <v>107</v>
      </c>
      <c r="S200" s="5">
        <f>VLOOKUP($A200,'SegEnds_NonXtal_Prot#'!$A:$AL,6,FALSE)</f>
        <v>138</v>
      </c>
      <c r="T200" s="5">
        <f>VLOOKUP($A200,'SegEnds_NonXtal_Prot#'!$A:$AL,9,FALSE)</f>
        <v>142</v>
      </c>
      <c r="U200" s="5">
        <f>VLOOKUP($A200,'SegEnds_NonXtal_Prot#'!$A:$AL,12,FALSE)</f>
        <v>177</v>
      </c>
      <c r="V200" s="5">
        <f>VLOOKUP($A200,'SegEnds_NonXtal_Prot#'!$A:$AL,15,FALSE)</f>
        <v>181</v>
      </c>
      <c r="W200" s="5">
        <f>VLOOKUP($A200,'SegEnds_NonXtal_Prot#'!$A:$AL,18,FALSE)</f>
        <v>217</v>
      </c>
      <c r="X200" s="5">
        <f>VLOOKUP($A200,'SegEnds_NonXtal_Prot#'!$A:$AL,21,FALSE)</f>
        <v>225</v>
      </c>
      <c r="Y200" s="5">
        <f>VLOOKUP($A200,'SegEnds_NonXtal_Prot#'!$A:$AL,24,FALSE)</f>
        <v>263</v>
      </c>
      <c r="Z200" s="5">
        <f>VLOOKUP($A200,'SegEnds_NonXtal_Prot#'!$A:$AL,27,FALSE)</f>
        <v>269</v>
      </c>
      <c r="AA200" s="5">
        <f>VLOOKUP($A200,'SegEnds_NonXtal_Prot#'!$A:$AL,30,FALSE)</f>
        <v>313</v>
      </c>
      <c r="AB200" s="5">
        <f>VLOOKUP($A200,'SegEnds_NonXtal_Prot#'!$A:$AL,33,FALSE)</f>
        <v>358</v>
      </c>
      <c r="AC200" s="5">
        <f>VLOOKUP($A200,'SegEnds_NonXtal_Prot#'!$A:$AL,36,FALSE)</f>
        <v>384</v>
      </c>
      <c r="AD200" s="5">
        <f>VLOOKUP($A200,'SegEnds_NonXtal_Prot#'!$A:$AL,5,FALSE)</f>
        <v>137</v>
      </c>
      <c r="AE200" s="5">
        <f>VLOOKUP($A200,'SegEnds_NonXtal_Prot#'!$A:$AL,8,FALSE)</f>
        <v>141</v>
      </c>
      <c r="AF200" s="5">
        <f>VLOOKUP($A200,'SegEnds_NonXtal_Prot#'!$A:$AL,11,FALSE)</f>
        <v>175</v>
      </c>
      <c r="AG200" s="5">
        <f>VLOOKUP($A200,'SegEnds_NonXtal_Prot#'!$A:$AL,14,FALSE)</f>
        <v>180</v>
      </c>
      <c r="AH200" s="5">
        <f>VLOOKUP($A200,'SegEnds_NonXtal_Prot#'!$A:$AL,17,FALSE)</f>
        <v>216</v>
      </c>
      <c r="AI200" s="5">
        <f>VLOOKUP($A200,'SegEnds_NonXtal_Prot#'!$A:$AL,20,FALSE)</f>
        <v>224</v>
      </c>
      <c r="AJ200" s="5">
        <f>VLOOKUP($A200,'SegEnds_NonXtal_Prot#'!$A:$AL,23,FALSE)</f>
        <v>251</v>
      </c>
      <c r="AK200" s="5">
        <f>VLOOKUP($A200,'SegEnds_NonXtal_Prot#'!$A:$AL,26,FALSE)</f>
        <v>265</v>
      </c>
      <c r="AL200" s="5">
        <f>VLOOKUP($A200,'SegEnds_NonXtal_Prot#'!$A:$AL,29,FALSE)</f>
        <v>307</v>
      </c>
      <c r="AM200" s="5">
        <f>VLOOKUP($A200,'SegEnds_NonXtal_Prot#'!$A:$AL,32,FALSE)</f>
        <v>351</v>
      </c>
      <c r="AN200" s="5">
        <f>VLOOKUP($A200,'SegEnds_NonXtal_Prot#'!$A:$AL,35,FALSE)</f>
        <v>383</v>
      </c>
      <c r="AO200" s="5">
        <f>VLOOKUP($A200,'SegEnds_NonXtal_Prot#'!$A:$AL,38,FALSE)</f>
        <v>396</v>
      </c>
      <c r="AP200" s="5">
        <f t="shared" si="88"/>
        <v>30</v>
      </c>
      <c r="AQ200" s="4">
        <f t="shared" si="89"/>
        <v>3</v>
      </c>
      <c r="AR200" s="4">
        <f t="shared" si="90"/>
        <v>33</v>
      </c>
      <c r="AS200" s="4">
        <f t="shared" si="91"/>
        <v>3</v>
      </c>
      <c r="AT200" s="4">
        <f t="shared" si="92"/>
        <v>35</v>
      </c>
      <c r="AU200" s="4">
        <f t="shared" si="93"/>
        <v>7</v>
      </c>
      <c r="AV200" s="4">
        <f t="shared" si="94"/>
        <v>26</v>
      </c>
      <c r="AW200" s="4">
        <f t="shared" si="95"/>
        <v>2</v>
      </c>
      <c r="AX200" s="4">
        <f t="shared" si="96"/>
        <v>38</v>
      </c>
      <c r="AY200" s="4">
        <f t="shared" si="97"/>
        <v>38</v>
      </c>
      <c r="AZ200" s="4">
        <f t="shared" si="98"/>
        <v>25</v>
      </c>
      <c r="BA200" s="4">
        <f t="shared" si="99"/>
        <v>12</v>
      </c>
    </row>
    <row r="201" spans="1:53" x14ac:dyDescent="0.2">
      <c r="A201" s="1" t="str">
        <f>'SegEnds_NonXtal_Prot#'!A179</f>
        <v>mchr2_human</v>
      </c>
      <c r="B201" s="1" t="str">
        <f t="shared" si="75"/>
        <v>FAYQTASVVDTVILPSMIGIICSTGLVGNILIVFTIIRSTVPDIYICNLAVADLVHIVGMPFLIHQWARGGPLCTIITSLDTCNQFACSAIMTVMSVDRYFALVQTRYKTIRINLGLWAASFILALPVWVYSSPDDVLWYTLYLTITTFFFPLPLILVCYILILCYTWEMYQQNKNPSVPKQRVMKLTKMVLVLVVVFILSAAPYHVIQLVNLQMFYVGYYLSICLSYASSSINPFLYILLSGNFQKRLPQIQRR</v>
      </c>
      <c r="C201" s="29" t="str">
        <f>IF(ISERROR(MATCH(A201,'SegEnds_Xtal_Prot#'!B:B, 0)), "NoXtal", "Xtal")</f>
        <v>NoXtal</v>
      </c>
      <c r="D201" s="4" t="str">
        <f>VLOOKUP(A201,Classification!A:D,2,FALSE)</f>
        <v>A</v>
      </c>
      <c r="E201" s="5" t="str">
        <f>VLOOKUP(A201,Seqs!A:B,2,FALSE)</f>
        <v>MNPFHASCWNTSAELLNKSWNKEFAYQTASVVDTVILPSMIGIICSTGLVGNILIVFTIIRSRKKTVPDIYICNLAVADLVHIVGMPFLIHQWARGGEWVFGGPLCTIITSLDTCNQFACSAIMTVMSVDRYFALVQPFRLTRWRTRYKTIRINLGLWAASFILALPVWVYSKVIKFKDGVESCAFDLTSPDDVLWYTLYLTITTFFFPLPLILVCYILILCYTWEMYQQNKDARCCNPSVPKQRVMKLTKMVLVLVVVFILSAAPYHVIQLVNLQMEQPTLAFYVGYYLSICLSYASSSINPFLYILLSGNFQKRLPQIQRRATEKEINNMGNTLKSHF</v>
      </c>
      <c r="F201" s="5" t="str">
        <f t="shared" si="76"/>
        <v>FAYQTASVVDTVILPSMIGIICSTGLVGNILIVFTIIRS</v>
      </c>
      <c r="G201" s="4" t="str">
        <f t="shared" si="77"/>
        <v/>
      </c>
      <c r="H201" s="4" t="str">
        <f t="shared" si="78"/>
        <v>TVPDIYICNLAVADLVHIVGMPFLIHQWAR</v>
      </c>
      <c r="I201" s="4" t="str">
        <f t="shared" si="79"/>
        <v>EWVF</v>
      </c>
      <c r="J201" s="4" t="str">
        <f t="shared" si="80"/>
        <v>GGPLCTIITSLDTCNQFACSAIMTVMSVDRYFALVQ</v>
      </c>
      <c r="K201" s="4" t="str">
        <f t="shared" si="81"/>
        <v>PFRLTRWR</v>
      </c>
      <c r="L201" s="4" t="str">
        <f t="shared" si="82"/>
        <v>TRYKTIRINLGLWAASFILALPVWVYS</v>
      </c>
      <c r="M201" s="4" t="str">
        <f t="shared" si="83"/>
        <v>CAF</v>
      </c>
      <c r="N201" s="4" t="str">
        <f t="shared" si="84"/>
        <v>SPDDVLWYTLYLTITTFFFPLPLILVCYILILCYTWEMYQQNK</v>
      </c>
      <c r="O201" s="4" t="str">
        <f t="shared" si="85"/>
        <v>NPSVPKQRVMKLTKMVLVLVVVFILSAAPYHVIQLVNLQM</v>
      </c>
      <c r="P201" s="4" t="str">
        <f t="shared" si="86"/>
        <v>FYVGYYLSICLSYASSSINPFLYILL</v>
      </c>
      <c r="Q201" s="4" t="str">
        <f t="shared" si="87"/>
        <v>SGNFQKRLPQIQRR</v>
      </c>
      <c r="R201" s="5">
        <f>VLOOKUP($A201,'SegEnds_NonXtal_Prot#'!$A:$AL,3,FALSE)</f>
        <v>24</v>
      </c>
      <c r="S201" s="5" t="str">
        <f>VLOOKUP($A201,'SegEnds_NonXtal_Prot#'!$A:$AL,6,FALSE)</f>
        <v>-</v>
      </c>
      <c r="T201" s="5">
        <f>VLOOKUP($A201,'SegEnds_NonXtal_Prot#'!$A:$AL,9,FALSE)</f>
        <v>66</v>
      </c>
      <c r="U201" s="5">
        <f>VLOOKUP($A201,'SegEnds_NonXtal_Prot#'!$A:$AL,12,FALSE)</f>
        <v>98</v>
      </c>
      <c r="V201" s="5">
        <f>VLOOKUP($A201,'SegEnds_NonXtal_Prot#'!$A:$AL,15,FALSE)</f>
        <v>102</v>
      </c>
      <c r="W201" s="5">
        <f>VLOOKUP($A201,'SegEnds_NonXtal_Prot#'!$A:$AL,18,FALSE)</f>
        <v>138</v>
      </c>
      <c r="X201" s="5">
        <f>VLOOKUP($A201,'SegEnds_NonXtal_Prot#'!$A:$AL,21,FALSE)</f>
        <v>146</v>
      </c>
      <c r="Y201" s="5">
        <f>VLOOKUP($A201,'SegEnds_NonXtal_Prot#'!$A:$AL,24,FALSE)</f>
        <v>184</v>
      </c>
      <c r="Z201" s="5">
        <f>VLOOKUP($A201,'SegEnds_NonXtal_Prot#'!$A:$AL,27,FALSE)</f>
        <v>190</v>
      </c>
      <c r="AA201" s="5">
        <f>VLOOKUP($A201,'SegEnds_NonXtal_Prot#'!$A:$AL,30,FALSE)</f>
        <v>238</v>
      </c>
      <c r="AB201" s="5">
        <f>VLOOKUP($A201,'SegEnds_NonXtal_Prot#'!$A:$AL,33,FALSE)</f>
        <v>284</v>
      </c>
      <c r="AC201" s="5">
        <f>VLOOKUP($A201,'SegEnds_NonXtal_Prot#'!$A:$AL,36,FALSE)</f>
        <v>310</v>
      </c>
      <c r="AD201" s="5">
        <f>VLOOKUP($A201,'SegEnds_NonXtal_Prot#'!$A:$AL,5,FALSE)</f>
        <v>62</v>
      </c>
      <c r="AE201" s="5" t="str">
        <f>VLOOKUP($A201,'SegEnds_NonXtal_Prot#'!$A:$AL,8,FALSE)</f>
        <v>-</v>
      </c>
      <c r="AF201" s="5">
        <f>VLOOKUP($A201,'SegEnds_NonXtal_Prot#'!$A:$AL,11,FALSE)</f>
        <v>95</v>
      </c>
      <c r="AG201" s="5">
        <f>VLOOKUP($A201,'SegEnds_NonXtal_Prot#'!$A:$AL,14,FALSE)</f>
        <v>101</v>
      </c>
      <c r="AH201" s="5">
        <f>VLOOKUP($A201,'SegEnds_NonXtal_Prot#'!$A:$AL,17,FALSE)</f>
        <v>137</v>
      </c>
      <c r="AI201" s="5">
        <f>VLOOKUP($A201,'SegEnds_NonXtal_Prot#'!$A:$AL,20,FALSE)</f>
        <v>145</v>
      </c>
      <c r="AJ201" s="5">
        <f>VLOOKUP($A201,'SegEnds_NonXtal_Prot#'!$A:$AL,23,FALSE)</f>
        <v>172</v>
      </c>
      <c r="AK201" s="5">
        <f>VLOOKUP($A201,'SegEnds_NonXtal_Prot#'!$A:$AL,26,FALSE)</f>
        <v>186</v>
      </c>
      <c r="AL201" s="5">
        <f>VLOOKUP($A201,'SegEnds_NonXtal_Prot#'!$A:$AL,29,FALSE)</f>
        <v>232</v>
      </c>
      <c r="AM201" s="5">
        <f>VLOOKUP($A201,'SegEnds_NonXtal_Prot#'!$A:$AL,32,FALSE)</f>
        <v>277</v>
      </c>
      <c r="AN201" s="5">
        <f>VLOOKUP($A201,'SegEnds_NonXtal_Prot#'!$A:$AL,35,FALSE)</f>
        <v>309</v>
      </c>
      <c r="AO201" s="5">
        <f>VLOOKUP($A201,'SegEnds_NonXtal_Prot#'!$A:$AL,38,FALSE)</f>
        <v>323</v>
      </c>
      <c r="AP201" s="5">
        <f t="shared" si="88"/>
        <v>38</v>
      </c>
      <c r="AQ201" s="4" t="str">
        <f t="shared" si="89"/>
        <v>-</v>
      </c>
      <c r="AR201" s="4">
        <f t="shared" si="90"/>
        <v>29</v>
      </c>
      <c r="AS201" s="4">
        <f t="shared" si="91"/>
        <v>3</v>
      </c>
      <c r="AT201" s="4">
        <f t="shared" si="92"/>
        <v>35</v>
      </c>
      <c r="AU201" s="4">
        <f t="shared" si="93"/>
        <v>7</v>
      </c>
      <c r="AV201" s="4">
        <f t="shared" si="94"/>
        <v>26</v>
      </c>
      <c r="AW201" s="4">
        <f t="shared" si="95"/>
        <v>2</v>
      </c>
      <c r="AX201" s="4">
        <f t="shared" si="96"/>
        <v>42</v>
      </c>
      <c r="AY201" s="4">
        <f t="shared" si="97"/>
        <v>39</v>
      </c>
      <c r="AZ201" s="4">
        <f t="shared" si="98"/>
        <v>25</v>
      </c>
      <c r="BA201" s="4">
        <f t="shared" si="99"/>
        <v>13</v>
      </c>
    </row>
    <row r="202" spans="1:53" x14ac:dyDescent="0.2">
      <c r="A202" s="1" t="str">
        <f>'SegEnds_NonXtal_Prot#'!A181</f>
        <v>mrgre_human</v>
      </c>
      <c r="B202" s="1" t="str">
        <f t="shared" si="75"/>
        <v>GAQEDVAFNLIILSLTEGLGLGGLLGNGAVLWLLSSNNPFAIYLLDVACADLIFLGCHMVAIVPDLLPGFVQTSLATLRFFCYIVGLSLLAAVSVEQCLAALFPRHLTTCVCALTWALCLLLHLLLSGACHLCRTLWLVAAVLLALLCCTMCGASLMLLLRVERGPQPRGFPGLILLTVLLFLFCGLPFGIYWLSRNLLHYFYHFSFLMAAVHCAAKPVVYFCLGSAQGRRLPLRLV</v>
      </c>
      <c r="C202" s="29" t="str">
        <f>IF(ISERROR(MATCH(A202,'SegEnds_Xtal_Prot#'!B:B, 0)), "NoXtal", "Xtal")</f>
        <v>NoXtal</v>
      </c>
      <c r="D202" s="4" t="str">
        <f>VLOOKUP(A202,Classification!A:D,2,FALSE)</f>
        <v>A</v>
      </c>
      <c r="E202" s="5" t="str">
        <f>VLOOKUP(A202,Seqs!A:B,2,FALSE)</f>
        <v>MMEPREAGQHVGAANGAQEDVAFNLIILSLTEGLGLGGLLGNGAVLWLLSSNVYRNPFAIYLLDVACADLIFLGCHMVAIVPDLLQGRLDFPGFVQTSLATLRFFCYIVGLSLLAAVSVEQCLAALFPAWYSCRRPRHLTTCVCALTWALCLLLHLLLSGACTQFFGEPSRHLCRTLWLVAAVLLALLCCTMCGASLMLLLRVERGPQRPPPRGFPGLILLTVLLFLFCGLPFGIYWLSRNLLWYIPHYFYHFSFLMAAVHCAAKPVVYFCLGSAQGRRLPLRLVLQRALGDEAELGAVRETSRRGLVDIAA</v>
      </c>
      <c r="F202" s="5" t="str">
        <f t="shared" si="76"/>
        <v>GAQEDVAFNLIILSLTEGLGLGGLLGNGAVLWLLSSN</v>
      </c>
      <c r="G202" s="4" t="str">
        <f t="shared" si="77"/>
        <v/>
      </c>
      <c r="H202" s="4" t="str">
        <f t="shared" si="78"/>
        <v>NPFAIYLLDVACADLIFLGCHMVAIVPDLL</v>
      </c>
      <c r="I202" s="4" t="str">
        <f t="shared" si="79"/>
        <v/>
      </c>
      <c r="J202" s="4" t="str">
        <f t="shared" si="80"/>
        <v>PGFVQTSLATLRFFCYIVGLSLLAAVSVEQCLAALF</v>
      </c>
      <c r="K202" s="4" t="str">
        <f t="shared" si="81"/>
        <v>PAWYSCRR</v>
      </c>
      <c r="L202" s="4" t="str">
        <f t="shared" si="82"/>
        <v>PRHLTTCVCALTWALCLLLHLLLSGAC</v>
      </c>
      <c r="M202" s="4" t="str">
        <f t="shared" si="83"/>
        <v/>
      </c>
      <c r="N202" s="4" t="str">
        <f t="shared" si="84"/>
        <v>HLCRTLWLVAAVLLALLCCTMCGASLMLLLRVERGPQ</v>
      </c>
      <c r="O202" s="4" t="str">
        <f t="shared" si="85"/>
        <v>PRGFPGLILLTVLLFLFCGLPFGIYWLSRNLL</v>
      </c>
      <c r="P202" s="4" t="str">
        <f t="shared" si="86"/>
        <v>HYFYHFSFLMAAVHCAAKPVVYFCL</v>
      </c>
      <c r="Q202" s="4" t="str">
        <f t="shared" si="87"/>
        <v>GSAQGRRLPLRLV</v>
      </c>
      <c r="R202" s="5">
        <f>VLOOKUP($A202,'SegEnds_NonXtal_Prot#'!$A:$AL,3,FALSE)</f>
        <v>16</v>
      </c>
      <c r="S202" s="5" t="str">
        <f>VLOOKUP($A202,'SegEnds_NonXtal_Prot#'!$A:$AL,6,FALSE)</f>
        <v>-</v>
      </c>
      <c r="T202" s="5">
        <f>VLOOKUP($A202,'SegEnds_NonXtal_Prot#'!$A:$AL,9,FALSE)</f>
        <v>56</v>
      </c>
      <c r="U202" s="5" t="str">
        <f>VLOOKUP($A202,'SegEnds_NonXtal_Prot#'!$A:$AL,12,FALSE)</f>
        <v>-</v>
      </c>
      <c r="V202" s="5">
        <f>VLOOKUP($A202,'SegEnds_NonXtal_Prot#'!$A:$AL,15,FALSE)</f>
        <v>92</v>
      </c>
      <c r="W202" s="5">
        <f>VLOOKUP($A202,'SegEnds_NonXtal_Prot#'!$A:$AL,18,FALSE)</f>
        <v>128</v>
      </c>
      <c r="X202" s="5">
        <f>VLOOKUP($A202,'SegEnds_NonXtal_Prot#'!$A:$AL,21,FALSE)</f>
        <v>136</v>
      </c>
      <c r="Y202" s="5" t="str">
        <f>VLOOKUP($A202,'SegEnds_NonXtal_Prot#'!$A:$AL,24,FALSE)</f>
        <v>-</v>
      </c>
      <c r="Z202" s="5">
        <f>VLOOKUP($A202,'SegEnds_NonXtal_Prot#'!$A:$AL,27,FALSE)</f>
        <v>172</v>
      </c>
      <c r="AA202" s="5">
        <f>VLOOKUP($A202,'SegEnds_NonXtal_Prot#'!$A:$AL,30,FALSE)</f>
        <v>212</v>
      </c>
      <c r="AB202" s="5">
        <f>VLOOKUP($A202,'SegEnds_NonXtal_Prot#'!$A:$AL,33,FALSE)</f>
        <v>248</v>
      </c>
      <c r="AC202" s="5">
        <f>VLOOKUP($A202,'SegEnds_NonXtal_Prot#'!$A:$AL,36,FALSE)</f>
        <v>273</v>
      </c>
      <c r="AD202" s="5">
        <f>VLOOKUP($A202,'SegEnds_NonXtal_Prot#'!$A:$AL,5,FALSE)</f>
        <v>52</v>
      </c>
      <c r="AE202" s="5" t="str">
        <f>VLOOKUP($A202,'SegEnds_NonXtal_Prot#'!$A:$AL,8,FALSE)</f>
        <v>-</v>
      </c>
      <c r="AF202" s="5">
        <f>VLOOKUP($A202,'SegEnds_NonXtal_Prot#'!$A:$AL,11,FALSE)</f>
        <v>85</v>
      </c>
      <c r="AG202" s="5" t="str">
        <f>VLOOKUP($A202,'SegEnds_NonXtal_Prot#'!$A:$AL,14,FALSE)</f>
        <v>-</v>
      </c>
      <c r="AH202" s="5">
        <f>VLOOKUP($A202,'SegEnds_NonXtal_Prot#'!$A:$AL,17,FALSE)</f>
        <v>127</v>
      </c>
      <c r="AI202" s="5">
        <f>VLOOKUP($A202,'SegEnds_NonXtal_Prot#'!$A:$AL,20,FALSE)</f>
        <v>135</v>
      </c>
      <c r="AJ202" s="5">
        <f>VLOOKUP($A202,'SegEnds_NonXtal_Prot#'!$A:$AL,23,FALSE)</f>
        <v>162</v>
      </c>
      <c r="AK202" s="5" t="str">
        <f>VLOOKUP($A202,'SegEnds_NonXtal_Prot#'!$A:$AL,26,FALSE)</f>
        <v>-</v>
      </c>
      <c r="AL202" s="5">
        <f>VLOOKUP($A202,'SegEnds_NonXtal_Prot#'!$A:$AL,29,FALSE)</f>
        <v>208</v>
      </c>
      <c r="AM202" s="5">
        <f>VLOOKUP($A202,'SegEnds_NonXtal_Prot#'!$A:$AL,32,FALSE)</f>
        <v>243</v>
      </c>
      <c r="AN202" s="5">
        <f>VLOOKUP($A202,'SegEnds_NonXtal_Prot#'!$A:$AL,35,FALSE)</f>
        <v>272</v>
      </c>
      <c r="AO202" s="5">
        <f>VLOOKUP($A202,'SegEnds_NonXtal_Prot#'!$A:$AL,38,FALSE)</f>
        <v>285</v>
      </c>
      <c r="AP202" s="5">
        <f t="shared" si="88"/>
        <v>36</v>
      </c>
      <c r="AQ202" s="4" t="str">
        <f t="shared" si="89"/>
        <v>-</v>
      </c>
      <c r="AR202" s="4">
        <f t="shared" si="90"/>
        <v>29</v>
      </c>
      <c r="AS202" s="4" t="str">
        <f t="shared" si="91"/>
        <v>-</v>
      </c>
      <c r="AT202" s="4">
        <f t="shared" si="92"/>
        <v>35</v>
      </c>
      <c r="AU202" s="4">
        <f t="shared" si="93"/>
        <v>7</v>
      </c>
      <c r="AV202" s="4">
        <f t="shared" si="94"/>
        <v>26</v>
      </c>
      <c r="AW202" s="4" t="str">
        <f t="shared" si="95"/>
        <v>-</v>
      </c>
      <c r="AX202" s="4">
        <f t="shared" si="96"/>
        <v>36</v>
      </c>
      <c r="AY202" s="4">
        <f t="shared" si="97"/>
        <v>31</v>
      </c>
      <c r="AZ202" s="4">
        <f t="shared" si="98"/>
        <v>24</v>
      </c>
      <c r="BA202" s="4">
        <f t="shared" si="99"/>
        <v>12</v>
      </c>
    </row>
    <row r="203" spans="1:53" x14ac:dyDescent="0.2">
      <c r="A203" s="1" t="str">
        <f>'SegEnds_NonXtal_Prot#'!A182</f>
        <v>mrgrf_human</v>
      </c>
      <c r="B203" s="1" t="str">
        <f t="shared" si="75"/>
        <v>LPPPAVMNYIFLLLCLCGLVGNGLVLWFFGFSNPFSIYFLHLASADVGYLFSKAVFSILNTGGADYIRSVCRVLGLCMFLTGVSLLPAVSAERCASVIFPKRLSAVVCALLWVLSLLVTCLHNYFCAACRHMDIFLGILLFLLCCPLMVLPCLALILHVECRARSAKLNHVILAMVSVFLVSSIYLGIDWFLFWVFPFPEYVTDLCICINSSAKPIVYFLAGRDKSQRLWE</v>
      </c>
      <c r="C203" s="29" t="str">
        <f>IF(ISERROR(MATCH(A203,'SegEnds_Xtal_Prot#'!B:B, 0)), "NoXtal", "Xtal")</f>
        <v>NoXtal</v>
      </c>
      <c r="D203" s="4" t="str">
        <f>VLOOKUP(A203,Classification!A:D,2,FALSE)</f>
        <v>A</v>
      </c>
      <c r="E203" s="5" t="str">
        <f>VLOOKUP(A203,Seqs!A:B,2,FALSE)</f>
        <v>MAGNCSWEAHPGNRNKMCPGLSEAPELYSRGFLTIEQIAMLPPPAVMNYIFLLLCLCGLVGNGLVLWFFGFSIKRNPFSIYFLHLASADVGYLFSKAVFSILNTGGFLGTFADYIRSVCRVLGLCMFLTGVSLLPAVSAERCASVIFPAWYWRRRPKRLSAVVCALLWVLSLLVTCLHNYFCVFLGRGAPGAACRHMDIFLGILLFLLCCPLMVLPCLALILHVECRARRRQRSAKLNHVILAMVSVFLVSSIYLGIDWFLFWVFQIPAPFPEYVTDLCICINSSAKPIVYFLAGRDKSQRLWEPLRVVFQRALRDGAELGEAGGSTPNTVTMEMQCPPGNAS</v>
      </c>
      <c r="F203" s="5" t="str">
        <f t="shared" si="76"/>
        <v>LPPPAVMNYIFLLLCLCGLVGNGLVLWFFGFS</v>
      </c>
      <c r="G203" s="4" t="str">
        <f t="shared" si="77"/>
        <v/>
      </c>
      <c r="H203" s="4" t="str">
        <f t="shared" si="78"/>
        <v>NPFSIYFLHLASADVGYLFSKAVFSILNTGG</v>
      </c>
      <c r="I203" s="4" t="str">
        <f t="shared" si="79"/>
        <v/>
      </c>
      <c r="J203" s="4" t="str">
        <f t="shared" si="80"/>
        <v>ADYIRSVCRVLGLCMFLTGVSLLPAVSAERCASVIF</v>
      </c>
      <c r="K203" s="4" t="str">
        <f t="shared" si="81"/>
        <v>PAWYWRRR</v>
      </c>
      <c r="L203" s="4" t="str">
        <f t="shared" si="82"/>
        <v>PKRLSAVVCALLWVLSLLVTCLHNYFC</v>
      </c>
      <c r="M203" s="4" t="str">
        <f t="shared" si="83"/>
        <v/>
      </c>
      <c r="N203" s="4" t="str">
        <f t="shared" si="84"/>
        <v>AACRHMDIFLGILLFLLCCPLMVLPCLALILHVECRAR</v>
      </c>
      <c r="O203" s="4" t="str">
        <f t="shared" si="85"/>
        <v>SAKLNHVILAMVSVFLVSSIYLGIDWFLFWVF</v>
      </c>
      <c r="P203" s="4" t="str">
        <f t="shared" si="86"/>
        <v>PFPEYVTDLCICINSSAKPIVYFLA</v>
      </c>
      <c r="Q203" s="4" t="str">
        <f t="shared" si="87"/>
        <v>GRDKSQRLWE</v>
      </c>
      <c r="R203" s="5">
        <f>VLOOKUP($A203,'SegEnds_NonXtal_Prot#'!$A:$AL,3,FALSE)</f>
        <v>41</v>
      </c>
      <c r="S203" s="5" t="str">
        <f>VLOOKUP($A203,'SegEnds_NonXtal_Prot#'!$A:$AL,6,FALSE)</f>
        <v>-</v>
      </c>
      <c r="T203" s="5">
        <f>VLOOKUP($A203,'SegEnds_NonXtal_Prot#'!$A:$AL,9,FALSE)</f>
        <v>76</v>
      </c>
      <c r="U203" s="5" t="str">
        <f>VLOOKUP($A203,'SegEnds_NonXtal_Prot#'!$A:$AL,12,FALSE)</f>
        <v>-</v>
      </c>
      <c r="V203" s="5">
        <f>VLOOKUP($A203,'SegEnds_NonXtal_Prot#'!$A:$AL,15,FALSE)</f>
        <v>112</v>
      </c>
      <c r="W203" s="5">
        <f>VLOOKUP($A203,'SegEnds_NonXtal_Prot#'!$A:$AL,18,FALSE)</f>
        <v>148</v>
      </c>
      <c r="X203" s="5">
        <f>VLOOKUP($A203,'SegEnds_NonXtal_Prot#'!$A:$AL,21,FALSE)</f>
        <v>156</v>
      </c>
      <c r="Y203" s="5" t="str">
        <f>VLOOKUP($A203,'SegEnds_NonXtal_Prot#'!$A:$AL,24,FALSE)</f>
        <v>-</v>
      </c>
      <c r="Z203" s="5">
        <f>VLOOKUP($A203,'SegEnds_NonXtal_Prot#'!$A:$AL,27,FALSE)</f>
        <v>192</v>
      </c>
      <c r="AA203" s="5">
        <f>VLOOKUP($A203,'SegEnds_NonXtal_Prot#'!$A:$AL,30,FALSE)</f>
        <v>234</v>
      </c>
      <c r="AB203" s="5">
        <f>VLOOKUP($A203,'SegEnds_NonXtal_Prot#'!$A:$AL,33,FALSE)</f>
        <v>270</v>
      </c>
      <c r="AC203" s="5">
        <f>VLOOKUP($A203,'SegEnds_NonXtal_Prot#'!$A:$AL,36,FALSE)</f>
        <v>295</v>
      </c>
      <c r="AD203" s="5">
        <f>VLOOKUP($A203,'SegEnds_NonXtal_Prot#'!$A:$AL,5,FALSE)</f>
        <v>72</v>
      </c>
      <c r="AE203" s="5" t="str">
        <f>VLOOKUP($A203,'SegEnds_NonXtal_Prot#'!$A:$AL,8,FALSE)</f>
        <v>-</v>
      </c>
      <c r="AF203" s="5">
        <f>VLOOKUP($A203,'SegEnds_NonXtal_Prot#'!$A:$AL,11,FALSE)</f>
        <v>106</v>
      </c>
      <c r="AG203" s="5" t="str">
        <f>VLOOKUP($A203,'SegEnds_NonXtal_Prot#'!$A:$AL,14,FALSE)</f>
        <v>-</v>
      </c>
      <c r="AH203" s="5">
        <f>VLOOKUP($A203,'SegEnds_NonXtal_Prot#'!$A:$AL,17,FALSE)</f>
        <v>147</v>
      </c>
      <c r="AI203" s="5">
        <f>VLOOKUP($A203,'SegEnds_NonXtal_Prot#'!$A:$AL,20,FALSE)</f>
        <v>155</v>
      </c>
      <c r="AJ203" s="5">
        <f>VLOOKUP($A203,'SegEnds_NonXtal_Prot#'!$A:$AL,23,FALSE)</f>
        <v>182</v>
      </c>
      <c r="AK203" s="5" t="str">
        <f>VLOOKUP($A203,'SegEnds_NonXtal_Prot#'!$A:$AL,26,FALSE)</f>
        <v>-</v>
      </c>
      <c r="AL203" s="5">
        <f>VLOOKUP($A203,'SegEnds_NonXtal_Prot#'!$A:$AL,29,FALSE)</f>
        <v>229</v>
      </c>
      <c r="AM203" s="5">
        <f>VLOOKUP($A203,'SegEnds_NonXtal_Prot#'!$A:$AL,32,FALSE)</f>
        <v>265</v>
      </c>
      <c r="AN203" s="5">
        <f>VLOOKUP($A203,'SegEnds_NonXtal_Prot#'!$A:$AL,35,FALSE)</f>
        <v>294</v>
      </c>
      <c r="AO203" s="5">
        <f>VLOOKUP($A203,'SegEnds_NonXtal_Prot#'!$A:$AL,38,FALSE)</f>
        <v>304</v>
      </c>
      <c r="AP203" s="5">
        <f t="shared" si="88"/>
        <v>31</v>
      </c>
      <c r="AQ203" s="4" t="str">
        <f t="shared" si="89"/>
        <v>-</v>
      </c>
      <c r="AR203" s="4">
        <f t="shared" si="90"/>
        <v>30</v>
      </c>
      <c r="AS203" s="4" t="str">
        <f t="shared" si="91"/>
        <v>-</v>
      </c>
      <c r="AT203" s="4">
        <f t="shared" si="92"/>
        <v>35</v>
      </c>
      <c r="AU203" s="4">
        <f t="shared" si="93"/>
        <v>7</v>
      </c>
      <c r="AV203" s="4">
        <f t="shared" si="94"/>
        <v>26</v>
      </c>
      <c r="AW203" s="4" t="str">
        <f t="shared" si="95"/>
        <v>-</v>
      </c>
      <c r="AX203" s="4">
        <f t="shared" si="96"/>
        <v>37</v>
      </c>
      <c r="AY203" s="4">
        <f t="shared" si="97"/>
        <v>31</v>
      </c>
      <c r="AZ203" s="4">
        <f t="shared" si="98"/>
        <v>24</v>
      </c>
      <c r="BA203" s="4">
        <f t="shared" si="99"/>
        <v>9</v>
      </c>
    </row>
    <row r="204" spans="1:53" x14ac:dyDescent="0.2">
      <c r="A204" s="1" t="str">
        <f>'SegEnds_NonXtal_Prot#'!A184</f>
        <v>mrgx1_human</v>
      </c>
      <c r="B204" s="1" t="str">
        <f t="shared" si="75"/>
        <v>CYKQTLSLTVLTCIVSLVGLTGNAVVLWLLGCRNAFSIYILNLAAADFLFLSGRLIYSLLSFIISKILYPVMMFSYFAGLSFLSAVSTERCLSVLWPTHLSAVVCVLLWALSLLRSILEWMLCCQTSDFITVAWLIFLCVVLCGSSLVLLIRILCGSRLTRLYVTILLTVLVFLLCGLPFGIQFFLFLWIVDREVLFCHVHLVSIFLSALNSSANPIIYFFVGSFRQRQNRQNLKLV</v>
      </c>
      <c r="C204" s="29" t="str">
        <f>IF(ISERROR(MATCH(A204,'SegEnds_Xtal_Prot#'!B:B, 0)), "NoXtal", "Xtal")</f>
        <v>NoXtal</v>
      </c>
      <c r="D204" s="4" t="str">
        <f>VLOOKUP(A204,Classification!A:D,2,FALSE)</f>
        <v>A</v>
      </c>
      <c r="E204" s="5" t="str">
        <f>VLOOKUP(A204,Seqs!A:B,2,FALSE)</f>
        <v>MDPTISTLDTELTPINGTEETLCYKQTLSLTVLTCIVSLVGLTGNAVVLWLLGCRMRRNAFSIYILNLAAADFLFLSGRLIYSLLSFISIPHTISKILYPVMMFSYFAGLSFLSAVSTERCLSVLWPIWYRCHRPTHLSAVVCVLLWALSLLRSILEWMLCGFLFSGADSAWCQTSDFITVAWLIFLCVVLCGSSLVLLIRILCGSRKIPLTRLYVTILLTVLVFLLCGLPFGIQFFLFLWIHVDREVLFCHVHLVSIFLSALNSSANPIIYFFVGSFRQRQNRQNLKLVLQRALQDASEVDEGGGQLPEEILELSGSRLEQ</v>
      </c>
      <c r="F204" s="5" t="str">
        <f t="shared" si="76"/>
        <v>CYKQTLSLTVLTCIVSLVGLTGNAVVLWLLGCR</v>
      </c>
      <c r="G204" s="4" t="str">
        <f t="shared" si="77"/>
        <v/>
      </c>
      <c r="H204" s="4" t="str">
        <f t="shared" si="78"/>
        <v>NAFSIYILNLAAADFLFLSGRLIYSLLSFI</v>
      </c>
      <c r="I204" s="4" t="str">
        <f t="shared" si="79"/>
        <v/>
      </c>
      <c r="J204" s="4" t="str">
        <f t="shared" si="80"/>
        <v>ISKILYPVMMFSYFAGLSFLSAVSTERCLSVLW</v>
      </c>
      <c r="K204" s="4" t="str">
        <f t="shared" si="81"/>
        <v>PIWYRCHR</v>
      </c>
      <c r="L204" s="4" t="str">
        <f t="shared" si="82"/>
        <v>PTHLSAVVCVLLWALSLLRSILEWMLC</v>
      </c>
      <c r="M204" s="4" t="str">
        <f t="shared" si="83"/>
        <v/>
      </c>
      <c r="N204" s="4" t="str">
        <f t="shared" si="84"/>
        <v>CQTSDFITVAWLIFLCVVLCGSSLVLLIRILCGSR</v>
      </c>
      <c r="O204" s="4" t="str">
        <f t="shared" si="85"/>
        <v>LTRLYVTILLTVLVFLLCGLPFGIQFFLFLWI</v>
      </c>
      <c r="P204" s="4" t="str">
        <f t="shared" si="86"/>
        <v>VDREVLFCHVHLVSIFLSALNSSANPIIYFFV</v>
      </c>
      <c r="Q204" s="4" t="str">
        <f t="shared" si="87"/>
        <v>GSFRQRQNRQNLKLV</v>
      </c>
      <c r="R204" s="5">
        <f>VLOOKUP($A204,'SegEnds_NonXtal_Prot#'!$A:$AL,3,FALSE)</f>
        <v>23</v>
      </c>
      <c r="S204" s="5" t="str">
        <f>VLOOKUP($A204,'SegEnds_NonXtal_Prot#'!$A:$AL,6,FALSE)</f>
        <v>-</v>
      </c>
      <c r="T204" s="5">
        <f>VLOOKUP($A204,'SegEnds_NonXtal_Prot#'!$A:$AL,9,FALSE)</f>
        <v>59</v>
      </c>
      <c r="U204" s="5" t="str">
        <f>VLOOKUP($A204,'SegEnds_NonXtal_Prot#'!$A:$AL,12,FALSE)</f>
        <v>-</v>
      </c>
      <c r="V204" s="5">
        <f>VLOOKUP($A204,'SegEnds_NonXtal_Prot#'!$A:$AL,15,FALSE)</f>
        <v>94</v>
      </c>
      <c r="W204" s="5">
        <f>VLOOKUP($A204,'SegEnds_NonXtal_Prot#'!$A:$AL,18,FALSE)</f>
        <v>127</v>
      </c>
      <c r="X204" s="5">
        <f>VLOOKUP($A204,'SegEnds_NonXtal_Prot#'!$A:$AL,21,FALSE)</f>
        <v>135</v>
      </c>
      <c r="Y204" s="5" t="str">
        <f>VLOOKUP($A204,'SegEnds_NonXtal_Prot#'!$A:$AL,24,FALSE)</f>
        <v>-</v>
      </c>
      <c r="Z204" s="5">
        <f>VLOOKUP($A204,'SegEnds_NonXtal_Prot#'!$A:$AL,27,FALSE)</f>
        <v>173</v>
      </c>
      <c r="AA204" s="5">
        <f>VLOOKUP($A204,'SegEnds_NonXtal_Prot#'!$A:$AL,30,FALSE)</f>
        <v>211</v>
      </c>
      <c r="AB204" s="5">
        <f>VLOOKUP($A204,'SegEnds_NonXtal_Prot#'!$A:$AL,33,FALSE)</f>
        <v>244</v>
      </c>
      <c r="AC204" s="5">
        <f>VLOOKUP($A204,'SegEnds_NonXtal_Prot#'!$A:$AL,36,FALSE)</f>
        <v>276</v>
      </c>
      <c r="AD204" s="5">
        <f>VLOOKUP($A204,'SegEnds_NonXtal_Prot#'!$A:$AL,5,FALSE)</f>
        <v>55</v>
      </c>
      <c r="AE204" s="5" t="str">
        <f>VLOOKUP($A204,'SegEnds_NonXtal_Prot#'!$A:$AL,8,FALSE)</f>
        <v>-</v>
      </c>
      <c r="AF204" s="5">
        <f>VLOOKUP($A204,'SegEnds_NonXtal_Prot#'!$A:$AL,11,FALSE)</f>
        <v>88</v>
      </c>
      <c r="AG204" s="5" t="str">
        <f>VLOOKUP($A204,'SegEnds_NonXtal_Prot#'!$A:$AL,14,FALSE)</f>
        <v>-</v>
      </c>
      <c r="AH204" s="5">
        <f>VLOOKUP($A204,'SegEnds_NonXtal_Prot#'!$A:$AL,17,FALSE)</f>
        <v>126</v>
      </c>
      <c r="AI204" s="5">
        <f>VLOOKUP($A204,'SegEnds_NonXtal_Prot#'!$A:$AL,20,FALSE)</f>
        <v>134</v>
      </c>
      <c r="AJ204" s="5">
        <f>VLOOKUP($A204,'SegEnds_NonXtal_Prot#'!$A:$AL,23,FALSE)</f>
        <v>161</v>
      </c>
      <c r="AK204" s="5" t="str">
        <f>VLOOKUP($A204,'SegEnds_NonXtal_Prot#'!$A:$AL,26,FALSE)</f>
        <v>-</v>
      </c>
      <c r="AL204" s="5">
        <f>VLOOKUP($A204,'SegEnds_NonXtal_Prot#'!$A:$AL,29,FALSE)</f>
        <v>207</v>
      </c>
      <c r="AM204" s="5">
        <f>VLOOKUP($A204,'SegEnds_NonXtal_Prot#'!$A:$AL,32,FALSE)</f>
        <v>242</v>
      </c>
      <c r="AN204" s="5">
        <f>VLOOKUP($A204,'SegEnds_NonXtal_Prot#'!$A:$AL,35,FALSE)</f>
        <v>275</v>
      </c>
      <c r="AO204" s="5">
        <f>VLOOKUP($A204,'SegEnds_NonXtal_Prot#'!$A:$AL,38,FALSE)</f>
        <v>290</v>
      </c>
      <c r="AP204" s="5">
        <f t="shared" si="88"/>
        <v>32</v>
      </c>
      <c r="AQ204" s="4" t="str">
        <f t="shared" si="89"/>
        <v>-</v>
      </c>
      <c r="AR204" s="4">
        <f t="shared" si="90"/>
        <v>29</v>
      </c>
      <c r="AS204" s="4" t="str">
        <f t="shared" si="91"/>
        <v>-</v>
      </c>
      <c r="AT204" s="4">
        <f t="shared" si="92"/>
        <v>32</v>
      </c>
      <c r="AU204" s="4">
        <f t="shared" si="93"/>
        <v>7</v>
      </c>
      <c r="AV204" s="4">
        <f t="shared" si="94"/>
        <v>26</v>
      </c>
      <c r="AW204" s="4" t="str">
        <f t="shared" si="95"/>
        <v>-</v>
      </c>
      <c r="AX204" s="4">
        <f t="shared" si="96"/>
        <v>34</v>
      </c>
      <c r="AY204" s="4">
        <f t="shared" si="97"/>
        <v>31</v>
      </c>
      <c r="AZ204" s="4">
        <f t="shared" si="98"/>
        <v>31</v>
      </c>
      <c r="BA204" s="4">
        <f t="shared" si="99"/>
        <v>14</v>
      </c>
    </row>
    <row r="205" spans="1:53" x14ac:dyDescent="0.2">
      <c r="A205" s="1" t="str">
        <f>'SegEnds_NonXtal_Prot#'!A185</f>
        <v>mrgx2_human</v>
      </c>
      <c r="B205" s="1" t="str">
        <f t="shared" si="75"/>
        <v>GKETLIPVFLILFIALVGLVGNGFVLWLLGFRNAFSVYVLSLAGADFLFLCFQIINCLVYLSNSINFPSFFTTVMTCAYLAGLSMLSTVSTERCLSVLWPRHLSAVVCVLLWALSLLLSILEGKFCSGWCQTFDFITAAWLIFLFMVLCGSSLALLVRILCGSRLTRLYLTILLTVLVFLLCGLPFGIQWFLILWIKDSDVLFCHIHPVSVVLSSLNSSANPIIYFFVGSFRKQWRLQ</v>
      </c>
      <c r="C205" s="29" t="str">
        <f>IF(ISERROR(MATCH(A205,'SegEnds_Xtal_Prot#'!B:B, 0)), "NoXtal", "Xtal")</f>
        <v>NoXtal</v>
      </c>
      <c r="D205" s="4" t="str">
        <f>VLOOKUP(A205,Classification!A:D,2,FALSE)</f>
        <v>A</v>
      </c>
      <c r="E205" s="5" t="str">
        <f>VLOOKUP(A205,Seqs!A:B,2,FALSE)</f>
        <v>MDPTTPAWGTESTTVNGNDQALLLLCGKETLIPVFLILFIALVGLVGNGFVLWLLGFRMRRNAFSVYVLSLAGADFLFLCFQIINCLVYLSNFFCSISINFPSFFTTVMTCAYLAGLSMLSTVSTERCLSVLWPIWYRCRRPRHLSAVVCVLLWALSLLLSILEGKFCGFLFSDGDSGWCQTFDFITAAWLIFLFMVLCGSSLALLVRILCGSRGLPLTRLYLTILLTVLVFLLCGLPFGIQWFLILWIWKDSDVLFCHIHPVSVVLSSLNSSANPIIYFFVGSFRKQWRLQQPILKLALQRALQDIAEVDHSEGCFRQGTPEMSRSSLV</v>
      </c>
      <c r="F205" s="5" t="str">
        <f t="shared" si="76"/>
        <v>GKETLIPVFLILFIALVGLVGNGFVLWLLGFR</v>
      </c>
      <c r="G205" s="4" t="str">
        <f t="shared" si="77"/>
        <v/>
      </c>
      <c r="H205" s="4" t="str">
        <f t="shared" si="78"/>
        <v>NAFSVYVLSLAGADFLFLCFQIINCLVYLSN</v>
      </c>
      <c r="I205" s="4" t="str">
        <f t="shared" si="79"/>
        <v/>
      </c>
      <c r="J205" s="4" t="str">
        <f t="shared" si="80"/>
        <v>SINFPSFFTTVMTCAYLAGLSMLSTVSTERCLSVLW</v>
      </c>
      <c r="K205" s="4" t="str">
        <f t="shared" si="81"/>
        <v>PIWYRCRR</v>
      </c>
      <c r="L205" s="4" t="str">
        <f t="shared" si="82"/>
        <v>PRHLSAVVCVLLWALSLLLSILEGKFC</v>
      </c>
      <c r="M205" s="4" t="str">
        <f t="shared" si="83"/>
        <v/>
      </c>
      <c r="N205" s="4" t="str">
        <f t="shared" si="84"/>
        <v>SGWCQTFDFITAAWLIFLFMVLCGSSLALLVRILCGSR</v>
      </c>
      <c r="O205" s="4" t="str">
        <f t="shared" si="85"/>
        <v>LTRLYLTILLTVLVFLLCGLPFGIQWFLILWI</v>
      </c>
      <c r="P205" s="4" t="str">
        <f t="shared" si="86"/>
        <v>KDSDVLFCHIHPVSVVLSSLNSSANPIIYFFV</v>
      </c>
      <c r="Q205" s="4" t="str">
        <f t="shared" si="87"/>
        <v>GSFRKQWRLQ</v>
      </c>
      <c r="R205" s="5">
        <f>VLOOKUP($A205,'SegEnds_NonXtal_Prot#'!$A:$AL,3,FALSE)</f>
        <v>27</v>
      </c>
      <c r="S205" s="5" t="str">
        <f>VLOOKUP($A205,'SegEnds_NonXtal_Prot#'!$A:$AL,6,FALSE)</f>
        <v>-</v>
      </c>
      <c r="T205" s="5">
        <f>VLOOKUP($A205,'SegEnds_NonXtal_Prot#'!$A:$AL,9,FALSE)</f>
        <v>62</v>
      </c>
      <c r="U205" s="5" t="str">
        <f>VLOOKUP($A205,'SegEnds_NonXtal_Prot#'!$A:$AL,12,FALSE)</f>
        <v>-</v>
      </c>
      <c r="V205" s="5">
        <f>VLOOKUP($A205,'SegEnds_NonXtal_Prot#'!$A:$AL,15,FALSE)</f>
        <v>98</v>
      </c>
      <c r="W205" s="5">
        <f>VLOOKUP($A205,'SegEnds_NonXtal_Prot#'!$A:$AL,18,FALSE)</f>
        <v>134</v>
      </c>
      <c r="X205" s="5">
        <f>VLOOKUP($A205,'SegEnds_NonXtal_Prot#'!$A:$AL,21,FALSE)</f>
        <v>142</v>
      </c>
      <c r="Y205" s="5" t="str">
        <f>VLOOKUP($A205,'SegEnds_NonXtal_Prot#'!$A:$AL,24,FALSE)</f>
        <v>-</v>
      </c>
      <c r="Z205" s="5">
        <f>VLOOKUP($A205,'SegEnds_NonXtal_Prot#'!$A:$AL,27,FALSE)</f>
        <v>177</v>
      </c>
      <c r="AA205" s="5">
        <f>VLOOKUP($A205,'SegEnds_NonXtal_Prot#'!$A:$AL,30,FALSE)</f>
        <v>218</v>
      </c>
      <c r="AB205" s="5">
        <f>VLOOKUP($A205,'SegEnds_NonXtal_Prot#'!$A:$AL,33,FALSE)</f>
        <v>251</v>
      </c>
      <c r="AC205" s="5">
        <f>VLOOKUP($A205,'SegEnds_NonXtal_Prot#'!$A:$AL,36,FALSE)</f>
        <v>283</v>
      </c>
      <c r="AD205" s="5">
        <f>VLOOKUP($A205,'SegEnds_NonXtal_Prot#'!$A:$AL,5,FALSE)</f>
        <v>58</v>
      </c>
      <c r="AE205" s="5" t="str">
        <f>VLOOKUP($A205,'SegEnds_NonXtal_Prot#'!$A:$AL,8,FALSE)</f>
        <v>-</v>
      </c>
      <c r="AF205" s="5">
        <f>VLOOKUP($A205,'SegEnds_NonXtal_Prot#'!$A:$AL,11,FALSE)</f>
        <v>92</v>
      </c>
      <c r="AG205" s="5" t="str">
        <f>VLOOKUP($A205,'SegEnds_NonXtal_Prot#'!$A:$AL,14,FALSE)</f>
        <v>-</v>
      </c>
      <c r="AH205" s="5">
        <f>VLOOKUP($A205,'SegEnds_NonXtal_Prot#'!$A:$AL,17,FALSE)</f>
        <v>133</v>
      </c>
      <c r="AI205" s="5">
        <f>VLOOKUP($A205,'SegEnds_NonXtal_Prot#'!$A:$AL,20,FALSE)</f>
        <v>141</v>
      </c>
      <c r="AJ205" s="5">
        <f>VLOOKUP($A205,'SegEnds_NonXtal_Prot#'!$A:$AL,23,FALSE)</f>
        <v>168</v>
      </c>
      <c r="AK205" s="5" t="str">
        <f>VLOOKUP($A205,'SegEnds_NonXtal_Prot#'!$A:$AL,26,FALSE)</f>
        <v>-</v>
      </c>
      <c r="AL205" s="5">
        <f>VLOOKUP($A205,'SegEnds_NonXtal_Prot#'!$A:$AL,29,FALSE)</f>
        <v>214</v>
      </c>
      <c r="AM205" s="5">
        <f>VLOOKUP($A205,'SegEnds_NonXtal_Prot#'!$A:$AL,32,FALSE)</f>
        <v>249</v>
      </c>
      <c r="AN205" s="5">
        <f>VLOOKUP($A205,'SegEnds_NonXtal_Prot#'!$A:$AL,35,FALSE)</f>
        <v>282</v>
      </c>
      <c r="AO205" s="5">
        <f>VLOOKUP($A205,'SegEnds_NonXtal_Prot#'!$A:$AL,38,FALSE)</f>
        <v>292</v>
      </c>
      <c r="AP205" s="5">
        <f t="shared" si="88"/>
        <v>31</v>
      </c>
      <c r="AQ205" s="4" t="str">
        <f t="shared" si="89"/>
        <v>-</v>
      </c>
      <c r="AR205" s="4">
        <f t="shared" si="90"/>
        <v>30</v>
      </c>
      <c r="AS205" s="4" t="str">
        <f t="shared" si="91"/>
        <v>-</v>
      </c>
      <c r="AT205" s="4">
        <f t="shared" si="92"/>
        <v>35</v>
      </c>
      <c r="AU205" s="4">
        <f t="shared" si="93"/>
        <v>7</v>
      </c>
      <c r="AV205" s="4">
        <f t="shared" si="94"/>
        <v>26</v>
      </c>
      <c r="AW205" s="4" t="str">
        <f t="shared" si="95"/>
        <v>-</v>
      </c>
      <c r="AX205" s="4">
        <f t="shared" si="96"/>
        <v>37</v>
      </c>
      <c r="AY205" s="4">
        <f t="shared" si="97"/>
        <v>31</v>
      </c>
      <c r="AZ205" s="4">
        <f t="shared" si="98"/>
        <v>31</v>
      </c>
      <c r="BA205" s="4">
        <f t="shared" si="99"/>
        <v>9</v>
      </c>
    </row>
    <row r="206" spans="1:53" x14ac:dyDescent="0.2">
      <c r="A206" s="1" t="str">
        <f>'SegEnds_NonXtal_Prot#'!A186</f>
        <v>mrgx3_human</v>
      </c>
      <c r="B206" s="1" t="str">
        <f t="shared" si="75"/>
        <v>TLSFTGLTCIVSLVALTGNAVVLWLLGCRNAVSIYILNLVAADFLFLSGHIICSPLRLIISKILSPVMTFPYFIGLSMLSAISTERCLSILWPRYLSSVMCVLLWALSLLRSILEWMFCFSGANSVWCETSDFITIAWLVFLCVVLCGSSLVLLVRILCGSRLTRLYVTILLTVLVFLLCGLPFGIQWALFSRIWKVLFCHVHLVSIFLSALNSSANPIIYFFVGSFRQRQNRQNLKLVLQR</v>
      </c>
      <c r="C206" s="29" t="str">
        <f>IF(ISERROR(MATCH(A206,'SegEnds_Xtal_Prot#'!B:B, 0)), "NoXtal", "Xtal")</f>
        <v>NoXtal</v>
      </c>
      <c r="D206" s="4" t="str">
        <f>VLOOKUP(A206,Classification!A:D,2,FALSE)</f>
        <v>A</v>
      </c>
      <c r="E206" s="5" t="str">
        <f>VLOOKUP(A206,Seqs!A:B,2,FALSE)</f>
        <v>MDSTIPVLGTELTPINGREETPCYKQTLSFTGLTCIVSLVALTGNAVVLWLLGCRMRRNAVSIYILNLVAADFLFLSGHIICSPLRLINIRHPISKILSPVMTFPYFIGLSMLSAISTERCLSILWPIWYHCRRPRYLSSVMCVLLWALSLLRSILEWMFCDFLFSGANSVWCETSDFITIAWLVFLCVVLCGSSLVLLVRILCGSRKMPLTRLYVTILLTVLVFLLCGLPFGIQWALFSRIHLDWKVLFCHVHLVSIFLSALNSSANPIIYFFVGSFRQRQNRQNLKLVLQRALQDTPEVDEGGGWLPQETLELSGSRLEQ</v>
      </c>
      <c r="F206" s="5" t="str">
        <f t="shared" si="76"/>
        <v>TLSFTGLTCIVSLVALTGNAVVLWLLGCR</v>
      </c>
      <c r="G206" s="4" t="str">
        <f t="shared" si="77"/>
        <v/>
      </c>
      <c r="H206" s="4" t="str">
        <f t="shared" si="78"/>
        <v>NAVSIYILNLVAADFLFLSGHIICSPLRLI</v>
      </c>
      <c r="I206" s="4" t="str">
        <f t="shared" si="79"/>
        <v/>
      </c>
      <c r="J206" s="4" t="str">
        <f t="shared" si="80"/>
        <v>ISKILSPVMTFPYFIGLSMLSAISTERCLSILW</v>
      </c>
      <c r="K206" s="4" t="str">
        <f t="shared" si="81"/>
        <v>PIWYHCRR</v>
      </c>
      <c r="L206" s="4" t="str">
        <f t="shared" si="82"/>
        <v>PRYLSSVMCVLLWALSLLRSILEWMFC</v>
      </c>
      <c r="M206" s="4" t="str">
        <f t="shared" si="83"/>
        <v/>
      </c>
      <c r="N206" s="4" t="str">
        <f t="shared" si="84"/>
        <v>FSGANSVWCETSDFITIAWLVFLCVVLCGSSLVLLVRILCGSR</v>
      </c>
      <c r="O206" s="4" t="str">
        <f t="shared" si="85"/>
        <v>LTRLYVTILLTVLVFLLCGLPFGIQWALFSRI</v>
      </c>
      <c r="P206" s="4" t="str">
        <f t="shared" si="86"/>
        <v>WKVLFCHVHLVSIFLSALNSSANPIIYFFV</v>
      </c>
      <c r="Q206" s="4" t="str">
        <f t="shared" si="87"/>
        <v>GSFRQRQNRQNLKLVLQR</v>
      </c>
      <c r="R206" s="5">
        <f>VLOOKUP($A206,'SegEnds_NonXtal_Prot#'!$A:$AL,3,FALSE)</f>
        <v>27</v>
      </c>
      <c r="S206" s="5" t="str">
        <f>VLOOKUP($A206,'SegEnds_NonXtal_Prot#'!$A:$AL,6,FALSE)</f>
        <v>-</v>
      </c>
      <c r="T206" s="5">
        <f>VLOOKUP($A206,'SegEnds_NonXtal_Prot#'!$A:$AL,9,FALSE)</f>
        <v>59</v>
      </c>
      <c r="U206" s="5" t="str">
        <f>VLOOKUP($A206,'SegEnds_NonXtal_Prot#'!$A:$AL,12,FALSE)</f>
        <v>-</v>
      </c>
      <c r="V206" s="5">
        <f>VLOOKUP($A206,'SegEnds_NonXtal_Prot#'!$A:$AL,15,FALSE)</f>
        <v>94</v>
      </c>
      <c r="W206" s="5">
        <f>VLOOKUP($A206,'SegEnds_NonXtal_Prot#'!$A:$AL,18,FALSE)</f>
        <v>127</v>
      </c>
      <c r="X206" s="5">
        <f>VLOOKUP($A206,'SegEnds_NonXtal_Prot#'!$A:$AL,21,FALSE)</f>
        <v>135</v>
      </c>
      <c r="Y206" s="5" t="str">
        <f>VLOOKUP($A206,'SegEnds_NonXtal_Prot#'!$A:$AL,24,FALSE)</f>
        <v>-</v>
      </c>
      <c r="Z206" s="5">
        <f>VLOOKUP($A206,'SegEnds_NonXtal_Prot#'!$A:$AL,27,FALSE)</f>
        <v>165</v>
      </c>
      <c r="AA206" s="5">
        <f>VLOOKUP($A206,'SegEnds_NonXtal_Prot#'!$A:$AL,30,FALSE)</f>
        <v>211</v>
      </c>
      <c r="AB206" s="5">
        <f>VLOOKUP($A206,'SegEnds_NonXtal_Prot#'!$A:$AL,33,FALSE)</f>
        <v>246</v>
      </c>
      <c r="AC206" s="5">
        <f>VLOOKUP($A206,'SegEnds_NonXtal_Prot#'!$A:$AL,36,FALSE)</f>
        <v>276</v>
      </c>
      <c r="AD206" s="5">
        <f>VLOOKUP($A206,'SegEnds_NonXtal_Prot#'!$A:$AL,5,FALSE)</f>
        <v>55</v>
      </c>
      <c r="AE206" s="5" t="str">
        <f>VLOOKUP($A206,'SegEnds_NonXtal_Prot#'!$A:$AL,8,FALSE)</f>
        <v>-</v>
      </c>
      <c r="AF206" s="5">
        <f>VLOOKUP($A206,'SegEnds_NonXtal_Prot#'!$A:$AL,11,FALSE)</f>
        <v>88</v>
      </c>
      <c r="AG206" s="5" t="str">
        <f>VLOOKUP($A206,'SegEnds_NonXtal_Prot#'!$A:$AL,14,FALSE)</f>
        <v>-</v>
      </c>
      <c r="AH206" s="5">
        <f>VLOOKUP($A206,'SegEnds_NonXtal_Prot#'!$A:$AL,17,FALSE)</f>
        <v>126</v>
      </c>
      <c r="AI206" s="5">
        <f>VLOOKUP($A206,'SegEnds_NonXtal_Prot#'!$A:$AL,20,FALSE)</f>
        <v>134</v>
      </c>
      <c r="AJ206" s="5">
        <f>VLOOKUP($A206,'SegEnds_NonXtal_Prot#'!$A:$AL,23,FALSE)</f>
        <v>161</v>
      </c>
      <c r="AK206" s="5" t="str">
        <f>VLOOKUP($A206,'SegEnds_NonXtal_Prot#'!$A:$AL,26,FALSE)</f>
        <v>-</v>
      </c>
      <c r="AL206" s="5">
        <f>VLOOKUP($A206,'SegEnds_NonXtal_Prot#'!$A:$AL,29,FALSE)</f>
        <v>207</v>
      </c>
      <c r="AM206" s="5">
        <f>VLOOKUP($A206,'SegEnds_NonXtal_Prot#'!$A:$AL,32,FALSE)</f>
        <v>242</v>
      </c>
      <c r="AN206" s="5">
        <f>VLOOKUP($A206,'SegEnds_NonXtal_Prot#'!$A:$AL,35,FALSE)</f>
        <v>275</v>
      </c>
      <c r="AO206" s="5">
        <f>VLOOKUP($A206,'SegEnds_NonXtal_Prot#'!$A:$AL,38,FALSE)</f>
        <v>293</v>
      </c>
      <c r="AP206" s="5">
        <f t="shared" si="88"/>
        <v>28</v>
      </c>
      <c r="AQ206" s="4" t="str">
        <f t="shared" si="89"/>
        <v>-</v>
      </c>
      <c r="AR206" s="4">
        <f t="shared" si="90"/>
        <v>29</v>
      </c>
      <c r="AS206" s="4" t="str">
        <f t="shared" si="91"/>
        <v>-</v>
      </c>
      <c r="AT206" s="4">
        <f t="shared" si="92"/>
        <v>32</v>
      </c>
      <c r="AU206" s="4">
        <f t="shared" si="93"/>
        <v>7</v>
      </c>
      <c r="AV206" s="4">
        <f t="shared" si="94"/>
        <v>26</v>
      </c>
      <c r="AW206" s="4" t="str">
        <f t="shared" si="95"/>
        <v>-</v>
      </c>
      <c r="AX206" s="4">
        <f t="shared" si="96"/>
        <v>42</v>
      </c>
      <c r="AY206" s="4">
        <f t="shared" si="97"/>
        <v>31</v>
      </c>
      <c r="AZ206" s="4">
        <f t="shared" si="98"/>
        <v>29</v>
      </c>
      <c r="BA206" s="4">
        <f t="shared" si="99"/>
        <v>17</v>
      </c>
    </row>
    <row r="207" spans="1:53" x14ac:dyDescent="0.2">
      <c r="A207" s="1" t="str">
        <f>'SegEnds_NonXtal_Prot#'!A187</f>
        <v>mrgx4_human</v>
      </c>
      <c r="B207" s="1" t="str">
        <f t="shared" si="75"/>
        <v>YNQTLSFTVLTCIISLVGLTGNAVVLWLLGYRNAVSIYILNLAAADFLFLSFQIIRLPLRLIIRKILVSVMTFPYFTGLSMLSAISTERCLSVLWPTHLSAVVCVLLWGLSLLFSMLEWRFCSSWCETSDFIPVAWLIFLCVVLCVSSLVLLVRILCGSRLTRLYVTILLTVLVFLLCGLPFGILGALIYRMLNLEVLYCHVYLVCMSLSSLNSSANPIIYFFVGSFRQRQNRQ</v>
      </c>
      <c r="C207" s="29" t="str">
        <f>IF(ISERROR(MATCH(A207,'SegEnds_Xtal_Prot#'!B:B, 0)), "NoXtal", "Xtal")</f>
        <v>NoXtal</v>
      </c>
      <c r="D207" s="4" t="str">
        <f>VLOOKUP(A207,Classification!A:D,2,FALSE)</f>
        <v>A</v>
      </c>
      <c r="E207" s="5" t="str">
        <f>VLOOKUP(A207,Seqs!A:B,2,FALSE)</f>
        <v>MDPTVPVFGTKLTPINGREETPCYNQTLSFTVLTCIISLVGLTGNAVVLWLLGYRMRRNAVSIYILNLAAADFLFLSFQIIRLPLRLINISHLIRKILVSVMTFPYFTGLSMLSAISTERCLSVLWPIWYRCRRPTHLSAVVCVLLWGLSLLFSMLEWRFCDFLFSGADSSWCETSDFIPVAWLIFLCVVLCVSSLVLLVRILCGSRKMPLTRLYVTILLTVLVFLLCGLPFGILGALIYRMHLNLEVLYCHVYLVCMSLSSLNSSANPIIYFFVGSFRQRQNRQNLKLVLQRALQDKPEVDKGEGQLPEESLELSGSRLGP</v>
      </c>
      <c r="F207" s="5" t="str">
        <f t="shared" si="76"/>
        <v>YNQTLSFTVLTCIISLVGLTGNAVVLWLLGYR</v>
      </c>
      <c r="G207" s="4" t="str">
        <f t="shared" si="77"/>
        <v/>
      </c>
      <c r="H207" s="4" t="str">
        <f t="shared" si="78"/>
        <v>NAVSIYILNLAAADFLFLSFQIIRLPLRLI</v>
      </c>
      <c r="I207" s="4" t="str">
        <f t="shared" si="79"/>
        <v/>
      </c>
      <c r="J207" s="4" t="str">
        <f t="shared" si="80"/>
        <v>IRKILVSVMTFPYFTGLSMLSAISTERCLSVLW</v>
      </c>
      <c r="K207" s="4" t="str">
        <f t="shared" si="81"/>
        <v>PIWYRCRR</v>
      </c>
      <c r="L207" s="4" t="str">
        <f t="shared" si="82"/>
        <v>PTHLSAVVCVLLWGLSLLFSMLEWRFC</v>
      </c>
      <c r="M207" s="4" t="str">
        <f t="shared" si="83"/>
        <v/>
      </c>
      <c r="N207" s="4" t="str">
        <f t="shared" si="84"/>
        <v>SSWCETSDFIPVAWLIFLCVVLCVSSLVLLVRILCGSR</v>
      </c>
      <c r="O207" s="4" t="str">
        <f t="shared" si="85"/>
        <v>LTRLYVTILLTVLVFLLCGLPFGILGALIYRM</v>
      </c>
      <c r="P207" s="4" t="str">
        <f t="shared" si="86"/>
        <v>LNLEVLYCHVYLVCMSLSSLNSSANPIIYFFV</v>
      </c>
      <c r="Q207" s="4" t="str">
        <f t="shared" si="87"/>
        <v>GSFRQRQNRQ</v>
      </c>
      <c r="R207" s="5">
        <f>VLOOKUP($A207,'SegEnds_NonXtal_Prot#'!$A:$AL,3,FALSE)</f>
        <v>24</v>
      </c>
      <c r="S207" s="5" t="str">
        <f>VLOOKUP($A207,'SegEnds_NonXtal_Prot#'!$A:$AL,6,FALSE)</f>
        <v>-</v>
      </c>
      <c r="T207" s="5">
        <f>VLOOKUP($A207,'SegEnds_NonXtal_Prot#'!$A:$AL,9,FALSE)</f>
        <v>59</v>
      </c>
      <c r="U207" s="5" t="str">
        <f>VLOOKUP($A207,'SegEnds_NonXtal_Prot#'!$A:$AL,12,FALSE)</f>
        <v>-</v>
      </c>
      <c r="V207" s="5">
        <f>VLOOKUP($A207,'SegEnds_NonXtal_Prot#'!$A:$AL,15,FALSE)</f>
        <v>94</v>
      </c>
      <c r="W207" s="5">
        <f>VLOOKUP($A207,'SegEnds_NonXtal_Prot#'!$A:$AL,18,FALSE)</f>
        <v>127</v>
      </c>
      <c r="X207" s="5">
        <f>VLOOKUP($A207,'SegEnds_NonXtal_Prot#'!$A:$AL,21,FALSE)</f>
        <v>135</v>
      </c>
      <c r="Y207" s="5" t="str">
        <f>VLOOKUP($A207,'SegEnds_NonXtal_Prot#'!$A:$AL,24,FALSE)</f>
        <v>-</v>
      </c>
      <c r="Z207" s="5">
        <f>VLOOKUP($A207,'SegEnds_NonXtal_Prot#'!$A:$AL,27,FALSE)</f>
        <v>170</v>
      </c>
      <c r="AA207" s="5">
        <f>VLOOKUP($A207,'SegEnds_NonXtal_Prot#'!$A:$AL,30,FALSE)</f>
        <v>211</v>
      </c>
      <c r="AB207" s="5">
        <f>VLOOKUP($A207,'SegEnds_NonXtal_Prot#'!$A:$AL,33,FALSE)</f>
        <v>244</v>
      </c>
      <c r="AC207" s="5">
        <f>VLOOKUP($A207,'SegEnds_NonXtal_Prot#'!$A:$AL,36,FALSE)</f>
        <v>276</v>
      </c>
      <c r="AD207" s="5">
        <f>VLOOKUP($A207,'SegEnds_NonXtal_Prot#'!$A:$AL,5,FALSE)</f>
        <v>55</v>
      </c>
      <c r="AE207" s="5" t="str">
        <f>VLOOKUP($A207,'SegEnds_NonXtal_Prot#'!$A:$AL,8,FALSE)</f>
        <v>-</v>
      </c>
      <c r="AF207" s="5">
        <f>VLOOKUP($A207,'SegEnds_NonXtal_Prot#'!$A:$AL,11,FALSE)</f>
        <v>88</v>
      </c>
      <c r="AG207" s="5" t="str">
        <f>VLOOKUP($A207,'SegEnds_NonXtal_Prot#'!$A:$AL,14,FALSE)</f>
        <v>-</v>
      </c>
      <c r="AH207" s="5">
        <f>VLOOKUP($A207,'SegEnds_NonXtal_Prot#'!$A:$AL,17,FALSE)</f>
        <v>126</v>
      </c>
      <c r="AI207" s="5">
        <f>VLOOKUP($A207,'SegEnds_NonXtal_Prot#'!$A:$AL,20,FALSE)</f>
        <v>134</v>
      </c>
      <c r="AJ207" s="5">
        <f>VLOOKUP($A207,'SegEnds_NonXtal_Prot#'!$A:$AL,23,FALSE)</f>
        <v>161</v>
      </c>
      <c r="AK207" s="5" t="str">
        <f>VLOOKUP($A207,'SegEnds_NonXtal_Prot#'!$A:$AL,26,FALSE)</f>
        <v>-</v>
      </c>
      <c r="AL207" s="5">
        <f>VLOOKUP($A207,'SegEnds_NonXtal_Prot#'!$A:$AL,29,FALSE)</f>
        <v>207</v>
      </c>
      <c r="AM207" s="5">
        <f>VLOOKUP($A207,'SegEnds_NonXtal_Prot#'!$A:$AL,32,FALSE)</f>
        <v>242</v>
      </c>
      <c r="AN207" s="5">
        <f>VLOOKUP($A207,'SegEnds_NonXtal_Prot#'!$A:$AL,35,FALSE)</f>
        <v>275</v>
      </c>
      <c r="AO207" s="5">
        <f>VLOOKUP($A207,'SegEnds_NonXtal_Prot#'!$A:$AL,38,FALSE)</f>
        <v>285</v>
      </c>
      <c r="AP207" s="5">
        <f t="shared" si="88"/>
        <v>31</v>
      </c>
      <c r="AQ207" s="4" t="str">
        <f t="shared" si="89"/>
        <v>-</v>
      </c>
      <c r="AR207" s="4">
        <f t="shared" si="90"/>
        <v>29</v>
      </c>
      <c r="AS207" s="4" t="str">
        <f t="shared" si="91"/>
        <v>-</v>
      </c>
      <c r="AT207" s="4">
        <f t="shared" si="92"/>
        <v>32</v>
      </c>
      <c r="AU207" s="4">
        <f t="shared" si="93"/>
        <v>7</v>
      </c>
      <c r="AV207" s="4">
        <f t="shared" si="94"/>
        <v>26</v>
      </c>
      <c r="AW207" s="4" t="str">
        <f t="shared" si="95"/>
        <v>-</v>
      </c>
      <c r="AX207" s="4">
        <f t="shared" si="96"/>
        <v>37</v>
      </c>
      <c r="AY207" s="4">
        <f t="shared" si="97"/>
        <v>31</v>
      </c>
      <c r="AZ207" s="4">
        <f t="shared" si="98"/>
        <v>31</v>
      </c>
      <c r="BA207" s="4">
        <f t="shared" si="99"/>
        <v>9</v>
      </c>
    </row>
    <row r="208" spans="1:53" x14ac:dyDescent="0.2">
      <c r="A208" s="1" t="str">
        <f>'SegEnds_NonXtal_Prot#'!A188</f>
        <v>mshr_human</v>
      </c>
      <c r="B208" s="1" t="str">
        <f t="shared" si="75"/>
        <v>CLEVSISDGLFLSLGLVSLVENALVVATIAKNSPMYCFICCLALSDLLVSGSNVLETAVILLLAAVLQQLDNVIDVITCSSMLSSLCFLGAIAVDRYISIFYTLPRARRAVAAIWVASVVFSTLFIAYLVVFFLAMLVLMAVLYVHMLARACQHAQGIARLHKQGFGLKGAVTLTILLGIFFLCWGPFFLHLTLIVLCCIFKNFNLFLALIICNAIIDPLIYAFHSQELRRTLKEVLT</v>
      </c>
      <c r="C208" s="29" t="str">
        <f>IF(ISERROR(MATCH(A208,'SegEnds_Xtal_Prot#'!B:B, 0)), "NoXtal", "Xtal")</f>
        <v>NoXtal</v>
      </c>
      <c r="D208" s="4" t="str">
        <f>VLOOKUP(A208,Classification!A:D,2,FALSE)</f>
        <v>A</v>
      </c>
      <c r="E208" s="5" t="str">
        <f>VLOOKUP(A208,Seqs!A:B,2,FALSE)</f>
        <v>MAVQGSQRRLLGSLNSTPTAIPQLGLAANQTGARCLEVSISDGLFLSLGLVSLVENALVVATIAKNRNLHSPMYCFICCLALSDLLVSGSNVLETAVILLLEAGALVARAAVLQQLDNVIDVITCSSMLSSLCFLGAIAVDRYISIFYALRYHSIVTLPRARRAVAAIWVASVVFSTLFIAYYDHVAVLLCLVVFFLAMLVLMAVLYVHMLARACQHAQGIARLHKRQRPVHQGFGLKGAVTLTILLGIFFLCWGPFFLHLTLIVLCPEHPTCGCIFKNFNLFLALIICNAIIDPLIYAFHSQELRRTLKEVLTCSW</v>
      </c>
      <c r="F208" s="5" t="str">
        <f t="shared" si="76"/>
        <v>CLEVSISDGLFLSLGLVSLVENALVVATIAKN</v>
      </c>
      <c r="G208" s="4" t="str">
        <f t="shared" si="77"/>
        <v>RNLH</v>
      </c>
      <c r="H208" s="4" t="str">
        <f t="shared" si="78"/>
        <v>SPMYCFICCLALSDLLVSGSNVLETAVILLL</v>
      </c>
      <c r="I208" s="4" t="str">
        <f t="shared" si="79"/>
        <v/>
      </c>
      <c r="J208" s="4" t="str">
        <f t="shared" si="80"/>
        <v>AAVLQQLDNVIDVITCSSMLSSLCFLGAIAVDRYISIFY</v>
      </c>
      <c r="K208" s="4" t="str">
        <f t="shared" si="81"/>
        <v>ALRYHSIV</v>
      </c>
      <c r="L208" s="4" t="str">
        <f t="shared" si="82"/>
        <v>TLPRARRAVAAIWVASVVFSTLFIAY</v>
      </c>
      <c r="M208" s="4" t="str">
        <f t="shared" si="83"/>
        <v/>
      </c>
      <c r="N208" s="4" t="str">
        <f t="shared" si="84"/>
        <v>LVVFFLAMLVLMAVLYVHMLARACQHAQGIARLHK</v>
      </c>
      <c r="O208" s="4" t="str">
        <f t="shared" si="85"/>
        <v>QGFGLKGAVTLTILLGIFFLCWGPFFLHLTLIVLC</v>
      </c>
      <c r="P208" s="4" t="str">
        <f t="shared" si="86"/>
        <v>CIFKNFNLFLALIICNAIIDPLIYAFH</v>
      </c>
      <c r="Q208" s="4" t="str">
        <f t="shared" si="87"/>
        <v>SQELRRTLKEVLT</v>
      </c>
      <c r="R208" s="5">
        <f>VLOOKUP($A208,'SegEnds_NonXtal_Prot#'!$A:$AL,3,FALSE)</f>
        <v>35</v>
      </c>
      <c r="S208" s="5">
        <f>VLOOKUP($A208,'SegEnds_NonXtal_Prot#'!$A:$AL,6,FALSE)</f>
        <v>67</v>
      </c>
      <c r="T208" s="5">
        <f>VLOOKUP($A208,'SegEnds_NonXtal_Prot#'!$A:$AL,9,FALSE)</f>
        <v>71</v>
      </c>
      <c r="U208" s="5" t="str">
        <f>VLOOKUP($A208,'SegEnds_NonXtal_Prot#'!$A:$AL,12,FALSE)</f>
        <v>-</v>
      </c>
      <c r="V208" s="5">
        <f>VLOOKUP($A208,'SegEnds_NonXtal_Prot#'!$A:$AL,15,FALSE)</f>
        <v>110</v>
      </c>
      <c r="W208" s="5">
        <f>VLOOKUP($A208,'SegEnds_NonXtal_Prot#'!$A:$AL,18,FALSE)</f>
        <v>149</v>
      </c>
      <c r="X208" s="5">
        <f>VLOOKUP($A208,'SegEnds_NonXtal_Prot#'!$A:$AL,21,FALSE)</f>
        <v>157</v>
      </c>
      <c r="Y208" s="5" t="str">
        <f>VLOOKUP($A208,'SegEnds_NonXtal_Prot#'!$A:$AL,24,FALSE)</f>
        <v>-</v>
      </c>
      <c r="Z208" s="5">
        <f>VLOOKUP($A208,'SegEnds_NonXtal_Prot#'!$A:$AL,27,FALSE)</f>
        <v>192</v>
      </c>
      <c r="AA208" s="5">
        <f>VLOOKUP($A208,'SegEnds_NonXtal_Prot#'!$A:$AL,30,FALSE)</f>
        <v>233</v>
      </c>
      <c r="AB208" s="5">
        <f>VLOOKUP($A208,'SegEnds_NonXtal_Prot#'!$A:$AL,33,FALSE)</f>
        <v>275</v>
      </c>
      <c r="AC208" s="5">
        <f>VLOOKUP($A208,'SegEnds_NonXtal_Prot#'!$A:$AL,36,FALSE)</f>
        <v>302</v>
      </c>
      <c r="AD208" s="5">
        <f>VLOOKUP($A208,'SegEnds_NonXtal_Prot#'!$A:$AL,5,FALSE)</f>
        <v>66</v>
      </c>
      <c r="AE208" s="5">
        <f>VLOOKUP($A208,'SegEnds_NonXtal_Prot#'!$A:$AL,8,FALSE)</f>
        <v>70</v>
      </c>
      <c r="AF208" s="5">
        <f>VLOOKUP($A208,'SegEnds_NonXtal_Prot#'!$A:$AL,11,FALSE)</f>
        <v>101</v>
      </c>
      <c r="AG208" s="5" t="str">
        <f>VLOOKUP($A208,'SegEnds_NonXtal_Prot#'!$A:$AL,14,FALSE)</f>
        <v>-</v>
      </c>
      <c r="AH208" s="5">
        <f>VLOOKUP($A208,'SegEnds_NonXtal_Prot#'!$A:$AL,17,FALSE)</f>
        <v>148</v>
      </c>
      <c r="AI208" s="5">
        <f>VLOOKUP($A208,'SegEnds_NonXtal_Prot#'!$A:$AL,20,FALSE)</f>
        <v>156</v>
      </c>
      <c r="AJ208" s="5">
        <f>VLOOKUP($A208,'SegEnds_NonXtal_Prot#'!$A:$AL,23,FALSE)</f>
        <v>182</v>
      </c>
      <c r="AK208" s="5" t="str">
        <f>VLOOKUP($A208,'SegEnds_NonXtal_Prot#'!$A:$AL,26,FALSE)</f>
        <v>-</v>
      </c>
      <c r="AL208" s="5">
        <f>VLOOKUP($A208,'SegEnds_NonXtal_Prot#'!$A:$AL,29,FALSE)</f>
        <v>226</v>
      </c>
      <c r="AM208" s="5">
        <f>VLOOKUP($A208,'SegEnds_NonXtal_Prot#'!$A:$AL,32,FALSE)</f>
        <v>267</v>
      </c>
      <c r="AN208" s="5">
        <f>VLOOKUP($A208,'SegEnds_NonXtal_Prot#'!$A:$AL,35,FALSE)</f>
        <v>301</v>
      </c>
      <c r="AO208" s="5">
        <f>VLOOKUP($A208,'SegEnds_NonXtal_Prot#'!$A:$AL,38,FALSE)</f>
        <v>314</v>
      </c>
      <c r="AP208" s="5">
        <f t="shared" si="88"/>
        <v>31</v>
      </c>
      <c r="AQ208" s="4">
        <f t="shared" si="89"/>
        <v>3</v>
      </c>
      <c r="AR208" s="4">
        <f t="shared" si="90"/>
        <v>30</v>
      </c>
      <c r="AS208" s="4" t="str">
        <f t="shared" si="91"/>
        <v>-</v>
      </c>
      <c r="AT208" s="4">
        <f t="shared" si="92"/>
        <v>38</v>
      </c>
      <c r="AU208" s="4">
        <f t="shared" si="93"/>
        <v>7</v>
      </c>
      <c r="AV208" s="4">
        <f t="shared" si="94"/>
        <v>25</v>
      </c>
      <c r="AW208" s="4" t="str">
        <f t="shared" si="95"/>
        <v>-</v>
      </c>
      <c r="AX208" s="4">
        <f t="shared" si="96"/>
        <v>34</v>
      </c>
      <c r="AY208" s="4">
        <f t="shared" si="97"/>
        <v>34</v>
      </c>
      <c r="AZ208" s="4">
        <f t="shared" si="98"/>
        <v>26</v>
      </c>
      <c r="BA208" s="4">
        <f t="shared" si="99"/>
        <v>12</v>
      </c>
    </row>
    <row r="209" spans="1:53" x14ac:dyDescent="0.2">
      <c r="A209" s="1" t="str">
        <f>'SegEnds_NonXtal_Prot#'!A189</f>
        <v>mtlr_human</v>
      </c>
      <c r="B209" s="1" t="str">
        <f t="shared" si="75"/>
        <v>LGALVPVTAVCLCLFVVGVSGNVVTVMLIGRYTTTNLYLGSMAVSDLLILLGLPFDLYRLWRSGPLLCRLSLYVGEGCTYATLLHMTALSVERYLAICRTRRRVRALIAVLWAVALLSAGPFLFLVQLGALRVMLWVTTAYFFLPFLCLSILYGLIGRELWSSRRPLSGRERGHRQTVRVLLVVVLAFIICWLPFHVGRIIYINTDSRMMYFSQYFNIVALQLFYLSASINPILYNLISKKYRAAAFKLL</v>
      </c>
      <c r="C209" s="29" t="str">
        <f>IF(ISERROR(MATCH(A209,'SegEnds_Xtal_Prot#'!B:B, 0)), "NoXtal", "Xtal")</f>
        <v>NoXtal</v>
      </c>
      <c r="D209" s="4" t="str">
        <f>VLOOKUP(A209,Classification!A:D,2,FALSE)</f>
        <v>A</v>
      </c>
      <c r="E209" s="5" t="str">
        <f>VLOOKUP(A209,Seqs!A:B,2,FALSE)</f>
        <v>MGSPWNGSDGPEGAREPPWPALPPCDERRCSPFPLGALVPVTAVCLCLFVVGVSGNVVTVMLIGRYRDMRTTTNLYLGSMAVSDLLILLGLPFDLYRLWRSRPWVFGPLLCRLSLYVGEGCTYATLLHMTALSVERYLAICRPLRARVLVTRRRVRALIAVLWAVALLSAGPFLFLVGVEQDPGISVVPGLNGTARIASSPLASSPPLWLSRAPPPSPPSGPETAEAAALFSRECRPSPAQLGALRVMLWVTTAYFFLPFLCLSILYGLIGRELWSSRRPLRGPAASGRERGHRQTVRVLLVVVLAFIICWLPFHVGRIIYINTEDSRMMYFSQYFNIVALQLFYLSASINPILYNLISKKYRAAAFKLLLARKSRPRGFHRSRDTAGEVAGDTGGDTVGYTETSANVKTMG</v>
      </c>
      <c r="F209" s="5" t="str">
        <f t="shared" si="76"/>
        <v>LGALVPVTAVCLCLFVVGVSGNVVTVMLIGRY</v>
      </c>
      <c r="G209" s="4" t="str">
        <f t="shared" si="77"/>
        <v>RDMR</v>
      </c>
      <c r="H209" s="4" t="str">
        <f t="shared" si="78"/>
        <v>TTTNLYLGSMAVSDLLILLGLPFDLYRLWRS</v>
      </c>
      <c r="I209" s="4" t="str">
        <f t="shared" si="79"/>
        <v>PWVF</v>
      </c>
      <c r="J209" s="4" t="str">
        <f t="shared" si="80"/>
        <v>GPLLCRLSLYVGEGCTYATLLHMTALSVERYLAICR</v>
      </c>
      <c r="K209" s="4" t="str">
        <f t="shared" si="81"/>
        <v>PLRARVLV</v>
      </c>
      <c r="L209" s="4" t="str">
        <f t="shared" si="82"/>
        <v>TRRRVRALIAVLWAVALLSAGPFLFLV</v>
      </c>
      <c r="M209" s="4" t="str">
        <f t="shared" si="83"/>
        <v>CRP</v>
      </c>
      <c r="N209" s="4" t="str">
        <f t="shared" si="84"/>
        <v>QLGALRVMLWVTTAYFFLPFLCLSILYGLIGRELWSSRRPL</v>
      </c>
      <c r="O209" s="4" t="str">
        <f t="shared" si="85"/>
        <v>SGRERGHRQTVRVLLVVVLAFIICWLPFHVGRIIYINT</v>
      </c>
      <c r="P209" s="4" t="str">
        <f t="shared" si="86"/>
        <v>DSRMMYFSQYFNIVALQLFYLSASINPILYNLI</v>
      </c>
      <c r="Q209" s="4" t="str">
        <f t="shared" si="87"/>
        <v>SKKYRAAAFKLL</v>
      </c>
      <c r="R209" s="5">
        <f>VLOOKUP($A209,'SegEnds_NonXtal_Prot#'!$A:$AL,3,FALSE)</f>
        <v>35</v>
      </c>
      <c r="S209" s="5">
        <f>VLOOKUP($A209,'SegEnds_NonXtal_Prot#'!$A:$AL,6,FALSE)</f>
        <v>67</v>
      </c>
      <c r="T209" s="5">
        <f>VLOOKUP($A209,'SegEnds_NonXtal_Prot#'!$A:$AL,9,FALSE)</f>
        <v>71</v>
      </c>
      <c r="U209" s="5">
        <f>VLOOKUP($A209,'SegEnds_NonXtal_Prot#'!$A:$AL,12,FALSE)</f>
        <v>103</v>
      </c>
      <c r="V209" s="5">
        <f>VLOOKUP($A209,'SegEnds_NonXtal_Prot#'!$A:$AL,15,FALSE)</f>
        <v>107</v>
      </c>
      <c r="W209" s="5">
        <f>VLOOKUP($A209,'SegEnds_NonXtal_Prot#'!$A:$AL,18,FALSE)</f>
        <v>143</v>
      </c>
      <c r="X209" s="5">
        <f>VLOOKUP($A209,'SegEnds_NonXtal_Prot#'!$A:$AL,21,FALSE)</f>
        <v>151</v>
      </c>
      <c r="Y209" s="5">
        <f>VLOOKUP($A209,'SegEnds_NonXtal_Prot#'!$A:$AL,24,FALSE)</f>
        <v>235</v>
      </c>
      <c r="Z209" s="5">
        <f>VLOOKUP($A209,'SegEnds_NonXtal_Prot#'!$A:$AL,27,FALSE)</f>
        <v>241</v>
      </c>
      <c r="AA209" s="5">
        <f>VLOOKUP($A209,'SegEnds_NonXtal_Prot#'!$A:$AL,30,FALSE)</f>
        <v>287</v>
      </c>
      <c r="AB209" s="5">
        <f>VLOOKUP($A209,'SegEnds_NonXtal_Prot#'!$A:$AL,33,FALSE)</f>
        <v>326</v>
      </c>
      <c r="AC209" s="5">
        <f>VLOOKUP($A209,'SegEnds_NonXtal_Prot#'!$A:$AL,36,FALSE)</f>
        <v>359</v>
      </c>
      <c r="AD209" s="5">
        <f>VLOOKUP($A209,'SegEnds_NonXtal_Prot#'!$A:$AL,5,FALSE)</f>
        <v>66</v>
      </c>
      <c r="AE209" s="5">
        <f>VLOOKUP($A209,'SegEnds_NonXtal_Prot#'!$A:$AL,8,FALSE)</f>
        <v>70</v>
      </c>
      <c r="AF209" s="5">
        <f>VLOOKUP($A209,'SegEnds_NonXtal_Prot#'!$A:$AL,11,FALSE)</f>
        <v>101</v>
      </c>
      <c r="AG209" s="5">
        <f>VLOOKUP($A209,'SegEnds_NonXtal_Prot#'!$A:$AL,14,FALSE)</f>
        <v>106</v>
      </c>
      <c r="AH209" s="5">
        <f>VLOOKUP($A209,'SegEnds_NonXtal_Prot#'!$A:$AL,17,FALSE)</f>
        <v>142</v>
      </c>
      <c r="AI209" s="5">
        <f>VLOOKUP($A209,'SegEnds_NonXtal_Prot#'!$A:$AL,20,FALSE)</f>
        <v>150</v>
      </c>
      <c r="AJ209" s="5">
        <f>VLOOKUP($A209,'SegEnds_NonXtal_Prot#'!$A:$AL,23,FALSE)</f>
        <v>177</v>
      </c>
      <c r="AK209" s="5">
        <f>VLOOKUP($A209,'SegEnds_NonXtal_Prot#'!$A:$AL,26,FALSE)</f>
        <v>237</v>
      </c>
      <c r="AL209" s="5">
        <f>VLOOKUP($A209,'SegEnds_NonXtal_Prot#'!$A:$AL,29,FALSE)</f>
        <v>281</v>
      </c>
      <c r="AM209" s="5">
        <f>VLOOKUP($A209,'SegEnds_NonXtal_Prot#'!$A:$AL,32,FALSE)</f>
        <v>324</v>
      </c>
      <c r="AN209" s="5">
        <f>VLOOKUP($A209,'SegEnds_NonXtal_Prot#'!$A:$AL,35,FALSE)</f>
        <v>358</v>
      </c>
      <c r="AO209" s="5">
        <f>VLOOKUP($A209,'SegEnds_NonXtal_Prot#'!$A:$AL,38,FALSE)</f>
        <v>370</v>
      </c>
      <c r="AP209" s="5">
        <f t="shared" si="88"/>
        <v>31</v>
      </c>
      <c r="AQ209" s="4">
        <f t="shared" si="89"/>
        <v>3</v>
      </c>
      <c r="AR209" s="4">
        <f t="shared" si="90"/>
        <v>30</v>
      </c>
      <c r="AS209" s="4">
        <f t="shared" si="91"/>
        <v>3</v>
      </c>
      <c r="AT209" s="4">
        <f t="shared" si="92"/>
        <v>35</v>
      </c>
      <c r="AU209" s="4">
        <f t="shared" si="93"/>
        <v>7</v>
      </c>
      <c r="AV209" s="4">
        <f t="shared" si="94"/>
        <v>26</v>
      </c>
      <c r="AW209" s="4">
        <f t="shared" si="95"/>
        <v>2</v>
      </c>
      <c r="AX209" s="4">
        <f t="shared" si="96"/>
        <v>40</v>
      </c>
      <c r="AY209" s="4">
        <f t="shared" si="97"/>
        <v>37</v>
      </c>
      <c r="AZ209" s="4">
        <f t="shared" si="98"/>
        <v>32</v>
      </c>
      <c r="BA209" s="4">
        <f t="shared" si="99"/>
        <v>11</v>
      </c>
    </row>
    <row r="210" spans="1:53" x14ac:dyDescent="0.2">
      <c r="A210" s="1" t="str">
        <f>'SegEnds_NonXtal_Prot#'!A191</f>
        <v>mtr1b_human</v>
      </c>
      <c r="B210" s="1" t="str">
        <f t="shared" si="75"/>
        <v>VAPALSAVLIVTTAVDVVGNLLVILSVLRNNAGNLFLVSLALADLVVAFYPYPLILVAIFYDGEEHCKASAFVMGLSVIGSVFNITAIAINRYCYICHRRWHTPLHICLIWLLTVVALLPNFFVGSTQYTAAVVVIHFLLPIAVVSFCYLRIWVLVLQARRKALCLKPSDLRSFLTMFVVFVIFAICWAPLNCIGLAVAINAPQIPEGLFVTSYLLAYFNSCLNAIVYGLLNQNFRREYKRIL</v>
      </c>
      <c r="C210" s="29" t="str">
        <f>IF(ISERROR(MATCH(A210,'SegEnds_Xtal_Prot#'!B:B, 0)), "NoXtal", "Xtal")</f>
        <v>NoXtal</v>
      </c>
      <c r="D210" s="4" t="str">
        <f>VLOOKUP(A210,Classification!A:D,2,FALSE)</f>
        <v>A</v>
      </c>
      <c r="E210" s="5" t="str">
        <f>VLOOKUP(A210,Seqs!A:B,2,FALSE)</f>
        <v>MSENGSFANCCEAGGWAVRPGWSGAGSARPSRTPRPPWVAPALSAVLIVTTAVDVVGNLLVILSVLRNRKLRNAGNLFLVSLALADLVVAFYPYPLILVAIFYDGWALGEEHCKASAFVMGLSVIGSVFNITAIAINRYCYICHSMAYHRIYRRWHTPLHICLIWLLTVVALLPNFFVGSLEYDPRIYSCTFIQTASTQYTAAVVVIHFLLPIAVVSFCYLRIWVLVLQARRKAKPESRLCLKPSDLRSFLTMFVVFVIFAICWAPLNCIGLAVAINPQEMAPQIPEGLFVTSYLLAYFNSCLNAIVYGLLNQNFRREYKRILLALWNPRHCIQDASKGSHAEGLQSPAPPIIGVQHQADAL</v>
      </c>
      <c r="F210" s="5" t="str">
        <f t="shared" si="76"/>
        <v>VAPALSAVLIVTTAVDVVGNLLVILSVLRN</v>
      </c>
      <c r="G210" s="4" t="str">
        <f t="shared" si="77"/>
        <v>RKLR</v>
      </c>
      <c r="H210" s="4" t="str">
        <f t="shared" si="78"/>
        <v>NAGNLFLVSLALADLVVAFYPYPLILVAIFYD</v>
      </c>
      <c r="I210" s="4" t="str">
        <f t="shared" si="79"/>
        <v>GWAL</v>
      </c>
      <c r="J210" s="4" t="str">
        <f t="shared" si="80"/>
        <v>GEEHCKASAFVMGLSVIGSVFNITAIAINRYCYICH</v>
      </c>
      <c r="K210" s="4" t="str">
        <f t="shared" si="81"/>
        <v>SMAYHRIY</v>
      </c>
      <c r="L210" s="4" t="str">
        <f t="shared" si="82"/>
        <v>RRWHTPLHICLIWLLTVVALLPNFFVG</v>
      </c>
      <c r="M210" s="4" t="str">
        <f t="shared" si="83"/>
        <v>CTF</v>
      </c>
      <c r="N210" s="4" t="str">
        <f t="shared" si="84"/>
        <v>STQYTAAVVVIHFLLPIAVVSFCYLRIWVLVLQARRKA</v>
      </c>
      <c r="O210" s="4" t="str">
        <f t="shared" si="85"/>
        <v>LCLKPSDLRSFLTMFVVFVIFAICWAPLNCIGLAVAIN</v>
      </c>
      <c r="P210" s="4" t="str">
        <f t="shared" si="86"/>
        <v>APQIPEGLFVTSYLLAYFNSCLNAIVYGLL</v>
      </c>
      <c r="Q210" s="4" t="str">
        <f t="shared" si="87"/>
        <v>NQNFRREYKRIL</v>
      </c>
      <c r="R210" s="5">
        <f>VLOOKUP($A210,'SegEnds_NonXtal_Prot#'!$A:$AL,3,FALSE)</f>
        <v>39</v>
      </c>
      <c r="S210" s="5">
        <f>VLOOKUP($A210,'SegEnds_NonXtal_Prot#'!$A:$AL,6,FALSE)</f>
        <v>69</v>
      </c>
      <c r="T210" s="5">
        <f>VLOOKUP($A210,'SegEnds_NonXtal_Prot#'!$A:$AL,9,FALSE)</f>
        <v>73</v>
      </c>
      <c r="U210" s="5">
        <f>VLOOKUP($A210,'SegEnds_NonXtal_Prot#'!$A:$AL,12,FALSE)</f>
        <v>105</v>
      </c>
      <c r="V210" s="5">
        <f>VLOOKUP($A210,'SegEnds_NonXtal_Prot#'!$A:$AL,15,FALSE)</f>
        <v>109</v>
      </c>
      <c r="W210" s="5">
        <f>VLOOKUP($A210,'SegEnds_NonXtal_Prot#'!$A:$AL,18,FALSE)</f>
        <v>145</v>
      </c>
      <c r="X210" s="5">
        <f>VLOOKUP($A210,'SegEnds_NonXtal_Prot#'!$A:$AL,21,FALSE)</f>
        <v>153</v>
      </c>
      <c r="Y210" s="5">
        <f>VLOOKUP($A210,'SegEnds_NonXtal_Prot#'!$A:$AL,24,FALSE)</f>
        <v>190</v>
      </c>
      <c r="Z210" s="5">
        <f>VLOOKUP($A210,'SegEnds_NonXtal_Prot#'!$A:$AL,27,FALSE)</f>
        <v>197</v>
      </c>
      <c r="AA210" s="5">
        <f>VLOOKUP($A210,'SegEnds_NonXtal_Prot#'!$A:$AL,30,FALSE)</f>
        <v>240</v>
      </c>
      <c r="AB210" s="5">
        <f>VLOOKUP($A210,'SegEnds_NonXtal_Prot#'!$A:$AL,33,FALSE)</f>
        <v>282</v>
      </c>
      <c r="AC210" s="5">
        <f>VLOOKUP($A210,'SegEnds_NonXtal_Prot#'!$A:$AL,36,FALSE)</f>
        <v>312</v>
      </c>
      <c r="AD210" s="5">
        <f>VLOOKUP($A210,'SegEnds_NonXtal_Prot#'!$A:$AL,5,FALSE)</f>
        <v>68</v>
      </c>
      <c r="AE210" s="5">
        <f>VLOOKUP($A210,'SegEnds_NonXtal_Prot#'!$A:$AL,8,FALSE)</f>
        <v>72</v>
      </c>
      <c r="AF210" s="5">
        <f>VLOOKUP($A210,'SegEnds_NonXtal_Prot#'!$A:$AL,11,FALSE)</f>
        <v>104</v>
      </c>
      <c r="AG210" s="5">
        <f>VLOOKUP($A210,'SegEnds_NonXtal_Prot#'!$A:$AL,14,FALSE)</f>
        <v>108</v>
      </c>
      <c r="AH210" s="5">
        <f>VLOOKUP($A210,'SegEnds_NonXtal_Prot#'!$A:$AL,17,FALSE)</f>
        <v>144</v>
      </c>
      <c r="AI210" s="5">
        <f>VLOOKUP($A210,'SegEnds_NonXtal_Prot#'!$A:$AL,20,FALSE)</f>
        <v>152</v>
      </c>
      <c r="AJ210" s="5">
        <f>VLOOKUP($A210,'SegEnds_NonXtal_Prot#'!$A:$AL,23,FALSE)</f>
        <v>179</v>
      </c>
      <c r="AK210" s="5">
        <f>VLOOKUP($A210,'SegEnds_NonXtal_Prot#'!$A:$AL,26,FALSE)</f>
        <v>192</v>
      </c>
      <c r="AL210" s="5">
        <f>VLOOKUP($A210,'SegEnds_NonXtal_Prot#'!$A:$AL,29,FALSE)</f>
        <v>234</v>
      </c>
      <c r="AM210" s="5">
        <f>VLOOKUP($A210,'SegEnds_NonXtal_Prot#'!$A:$AL,32,FALSE)</f>
        <v>277</v>
      </c>
      <c r="AN210" s="5">
        <f>VLOOKUP($A210,'SegEnds_NonXtal_Prot#'!$A:$AL,35,FALSE)</f>
        <v>311</v>
      </c>
      <c r="AO210" s="5">
        <f>VLOOKUP($A210,'SegEnds_NonXtal_Prot#'!$A:$AL,38,FALSE)</f>
        <v>323</v>
      </c>
      <c r="AP210" s="5">
        <f t="shared" si="88"/>
        <v>29</v>
      </c>
      <c r="AQ210" s="4">
        <f t="shared" si="89"/>
        <v>3</v>
      </c>
      <c r="AR210" s="4">
        <f t="shared" si="90"/>
        <v>31</v>
      </c>
      <c r="AS210" s="4">
        <f t="shared" si="91"/>
        <v>3</v>
      </c>
      <c r="AT210" s="4">
        <f t="shared" si="92"/>
        <v>35</v>
      </c>
      <c r="AU210" s="4">
        <f t="shared" si="93"/>
        <v>7</v>
      </c>
      <c r="AV210" s="4">
        <f t="shared" si="94"/>
        <v>26</v>
      </c>
      <c r="AW210" s="4">
        <f t="shared" si="95"/>
        <v>2</v>
      </c>
      <c r="AX210" s="4">
        <f t="shared" si="96"/>
        <v>37</v>
      </c>
      <c r="AY210" s="4">
        <f t="shared" si="97"/>
        <v>37</v>
      </c>
      <c r="AZ210" s="4">
        <f t="shared" si="98"/>
        <v>29</v>
      </c>
      <c r="BA210" s="4">
        <f t="shared" si="99"/>
        <v>11</v>
      </c>
    </row>
    <row r="211" spans="1:53" x14ac:dyDescent="0.2">
      <c r="A211" s="1" t="str">
        <f>'SegEnds_NonXtal_Prot#'!A192</f>
        <v>mtr1l_human</v>
      </c>
      <c r="B211" s="1" t="str">
        <f t="shared" si="75"/>
        <v>LIIFMFCAMVITIVVDLIGNSMVILAVTKNNSGNIFVVSLSVADMLVAIYPYPLMLHAMSIGSQLQCQMVGFITGLSVVGSIFNIVAIAINRYCYICHSVRNTCIYLVITWIMTVLAVLPNMYIGNPVFTVTIVCIHFVLPLLIVGFCYVRIWTKVLAARDPAPDNQLAEVRNFLTMFVIFLLFAVCWCPINVLTVLVAVSAGKIPNWLYLAAYFIAYFNSCLNAVIYGLLNENFRREYWTIF</v>
      </c>
      <c r="C211" s="29" t="str">
        <f>IF(ISERROR(MATCH(A211,'SegEnds_Xtal_Prot#'!B:B, 0)), "NoXtal", "Xtal")</f>
        <v>NoXtal</v>
      </c>
      <c r="D211" s="4" t="str">
        <f>VLOOKUP(A211,Classification!A:D,2,FALSE)</f>
        <v>A</v>
      </c>
      <c r="E211" s="5" t="str">
        <f>VLOOKUP(A211,Seqs!A:B,2,FALSE)</f>
        <v>MGPTLAVPTPYGCIGCKLPQPEYPPALIIFMFCAMVITIVVDLIGNSMVILAVTKNKKLRNSGNIFVVSLSVADMLVAIYPYPLMLHAMSIGGWDLSQLQCQMVGFITGLSVVGSIFNIVAIAINRYCYICHSLQYERIFSVRNTCIYLVITWIMTVLAVLPNMYIGTIEYDPRTYTCIFNYLNNPVFTVTIVCIHFVLPLLIVGFCYVRIWTKVLAARDPAGQNPDNQLAEVRNFLTMFVIFLLFAVCWCPINVLTVLVAVSPKEMAGKIPNWLYLAAYFIAYFNSCLNAVIYGLLNENFRREYWTIFHAMRHPIIFFSGLISDIREMQEARTLARARAHARDQAREQDRAHACPAVEETPMNVRNVPLPGDAAAGHPDRASGHPKPHSRSSSAYRKSASTHHKSVFSHSKAASGHLKPVSGHSKPASGHPKSATVYPKPASVHFKADSVHFKGDSVHFKPDSVHFKPASSNPKPITGHHVSAGSHSKSAFSAATSHPKPTTGHIKPATSHAEPTTADYPKPATTSHPKPTAADNPELSASHCPEIPAIAHPVSDDSDLPESASSPAAGPTKPAASQLESDTIADLPDPTVVTTSTNDYHDVVVIDVEDDPDEMAV</v>
      </c>
      <c r="F211" s="5" t="str">
        <f t="shared" si="76"/>
        <v>LIIFMFCAMVITIVVDLIGNSMVILAVTKN</v>
      </c>
      <c r="G211" s="4" t="str">
        <f t="shared" si="77"/>
        <v>KKLR</v>
      </c>
      <c r="H211" s="4" t="str">
        <f t="shared" si="78"/>
        <v>NSGNIFVVSLSVADMLVAIYPYPLMLHAMSIG</v>
      </c>
      <c r="I211" s="4" t="str">
        <f t="shared" si="79"/>
        <v>GWDL</v>
      </c>
      <c r="J211" s="4" t="str">
        <f t="shared" si="80"/>
        <v>SQLQCQMVGFITGLSVVGSIFNIVAIAINRYCYICH</v>
      </c>
      <c r="K211" s="4" t="str">
        <f t="shared" si="81"/>
        <v>SLQYERIF</v>
      </c>
      <c r="L211" s="4" t="str">
        <f t="shared" si="82"/>
        <v>SVRNTCIYLVITWIMTVLAVLPNMYIG</v>
      </c>
      <c r="M211" s="4" t="str">
        <f t="shared" si="83"/>
        <v>CIF</v>
      </c>
      <c r="N211" s="4" t="str">
        <f t="shared" si="84"/>
        <v>NPVFTVTIVCIHFVLPLLIVGFCYVRIWTKVLAARDPA</v>
      </c>
      <c r="O211" s="4" t="str">
        <f t="shared" si="85"/>
        <v>PDNQLAEVRNFLTMFVIFLLFAVCWCPINVLTVLVAVS</v>
      </c>
      <c r="P211" s="4" t="str">
        <f t="shared" si="86"/>
        <v>AGKIPNWLYLAAYFIAYFNSCLNAVIYGLL</v>
      </c>
      <c r="Q211" s="4" t="str">
        <f t="shared" si="87"/>
        <v>NENFRREYWTIF</v>
      </c>
      <c r="R211" s="5">
        <f>VLOOKUP($A211,'SegEnds_NonXtal_Prot#'!$A:$AL,3,FALSE)</f>
        <v>27</v>
      </c>
      <c r="S211" s="5">
        <f>VLOOKUP($A211,'SegEnds_NonXtal_Prot#'!$A:$AL,6,FALSE)</f>
        <v>57</v>
      </c>
      <c r="T211" s="5">
        <f>VLOOKUP($A211,'SegEnds_NonXtal_Prot#'!$A:$AL,9,FALSE)</f>
        <v>61</v>
      </c>
      <c r="U211" s="5">
        <f>VLOOKUP($A211,'SegEnds_NonXtal_Prot#'!$A:$AL,12,FALSE)</f>
        <v>93</v>
      </c>
      <c r="V211" s="5">
        <f>VLOOKUP($A211,'SegEnds_NonXtal_Prot#'!$A:$AL,15,FALSE)</f>
        <v>97</v>
      </c>
      <c r="W211" s="5">
        <f>VLOOKUP($A211,'SegEnds_NonXtal_Prot#'!$A:$AL,18,FALSE)</f>
        <v>133</v>
      </c>
      <c r="X211" s="5">
        <f>VLOOKUP($A211,'SegEnds_NonXtal_Prot#'!$A:$AL,21,FALSE)</f>
        <v>141</v>
      </c>
      <c r="Y211" s="5">
        <f>VLOOKUP($A211,'SegEnds_NonXtal_Prot#'!$A:$AL,24,FALSE)</f>
        <v>178</v>
      </c>
      <c r="Z211" s="5">
        <f>VLOOKUP($A211,'SegEnds_NonXtal_Prot#'!$A:$AL,27,FALSE)</f>
        <v>185</v>
      </c>
      <c r="AA211" s="5">
        <f>VLOOKUP($A211,'SegEnds_NonXtal_Prot#'!$A:$AL,30,FALSE)</f>
        <v>226</v>
      </c>
      <c r="AB211" s="5">
        <f>VLOOKUP($A211,'SegEnds_NonXtal_Prot#'!$A:$AL,33,FALSE)</f>
        <v>268</v>
      </c>
      <c r="AC211" s="5">
        <f>VLOOKUP($A211,'SegEnds_NonXtal_Prot#'!$A:$AL,36,FALSE)</f>
        <v>298</v>
      </c>
      <c r="AD211" s="5">
        <f>VLOOKUP($A211,'SegEnds_NonXtal_Prot#'!$A:$AL,5,FALSE)</f>
        <v>56</v>
      </c>
      <c r="AE211" s="5">
        <f>VLOOKUP($A211,'SegEnds_NonXtal_Prot#'!$A:$AL,8,FALSE)</f>
        <v>60</v>
      </c>
      <c r="AF211" s="5">
        <f>VLOOKUP($A211,'SegEnds_NonXtal_Prot#'!$A:$AL,11,FALSE)</f>
        <v>92</v>
      </c>
      <c r="AG211" s="5">
        <f>VLOOKUP($A211,'SegEnds_NonXtal_Prot#'!$A:$AL,14,FALSE)</f>
        <v>96</v>
      </c>
      <c r="AH211" s="5">
        <f>VLOOKUP($A211,'SegEnds_NonXtal_Prot#'!$A:$AL,17,FALSE)</f>
        <v>132</v>
      </c>
      <c r="AI211" s="5">
        <f>VLOOKUP($A211,'SegEnds_NonXtal_Prot#'!$A:$AL,20,FALSE)</f>
        <v>140</v>
      </c>
      <c r="AJ211" s="5">
        <f>VLOOKUP($A211,'SegEnds_NonXtal_Prot#'!$A:$AL,23,FALSE)</f>
        <v>167</v>
      </c>
      <c r="AK211" s="5">
        <f>VLOOKUP($A211,'SegEnds_NonXtal_Prot#'!$A:$AL,26,FALSE)</f>
        <v>180</v>
      </c>
      <c r="AL211" s="5">
        <f>VLOOKUP($A211,'SegEnds_NonXtal_Prot#'!$A:$AL,29,FALSE)</f>
        <v>222</v>
      </c>
      <c r="AM211" s="5">
        <f>VLOOKUP($A211,'SegEnds_NonXtal_Prot#'!$A:$AL,32,FALSE)</f>
        <v>263</v>
      </c>
      <c r="AN211" s="5">
        <f>VLOOKUP($A211,'SegEnds_NonXtal_Prot#'!$A:$AL,35,FALSE)</f>
        <v>297</v>
      </c>
      <c r="AO211" s="5">
        <f>VLOOKUP($A211,'SegEnds_NonXtal_Prot#'!$A:$AL,38,FALSE)</f>
        <v>309</v>
      </c>
      <c r="AP211" s="5">
        <f t="shared" si="88"/>
        <v>29</v>
      </c>
      <c r="AQ211" s="4">
        <f t="shared" si="89"/>
        <v>3</v>
      </c>
      <c r="AR211" s="4">
        <f t="shared" si="90"/>
        <v>31</v>
      </c>
      <c r="AS211" s="4">
        <f t="shared" si="91"/>
        <v>3</v>
      </c>
      <c r="AT211" s="4">
        <f t="shared" si="92"/>
        <v>35</v>
      </c>
      <c r="AU211" s="4">
        <f t="shared" si="93"/>
        <v>7</v>
      </c>
      <c r="AV211" s="4">
        <f t="shared" si="94"/>
        <v>26</v>
      </c>
      <c r="AW211" s="4">
        <f t="shared" si="95"/>
        <v>2</v>
      </c>
      <c r="AX211" s="4">
        <f t="shared" si="96"/>
        <v>37</v>
      </c>
      <c r="AY211" s="4">
        <f t="shared" si="97"/>
        <v>37</v>
      </c>
      <c r="AZ211" s="4">
        <f t="shared" si="98"/>
        <v>29</v>
      </c>
      <c r="BA211" s="4">
        <f t="shared" si="99"/>
        <v>11</v>
      </c>
    </row>
    <row r="212" spans="1:53" x14ac:dyDescent="0.2">
      <c r="A212" s="1" t="str">
        <f>'SegEnds_NonXtal_Prot#'!A193</f>
        <v>nmbr_human</v>
      </c>
      <c r="B212" s="1" t="str">
        <f t="shared" si="75"/>
        <v>SDGTTTELVIRCVIPSLYLLIITVGLLGNIMLVKIFITNSVPNIFISNLAAGDLLLLLTCVPVDASRYFFGKVGCKLIPVIQLTSVGVSVFTLTALSADRYRAIVNALLRTCVKAMGIWVVSVLLAVPEAVFSPQTDELHPKIHSVLIFLVYFLIPLAIISIYYYHIAKTLIKSAHNLPHTKKQMETRKRLAKIVLVFVGCFIFCWFPNHILYMYRSFNSLGHMIVTLVARVLSFGNSCVNPFALYLLSESFRRHFNSQLCC</v>
      </c>
      <c r="C212" s="29" t="str">
        <f>IF(ISERROR(MATCH(A212,'SegEnds_Xtal_Prot#'!B:B, 0)), "NoXtal", "Xtal")</f>
        <v>NoXtal</v>
      </c>
      <c r="D212" s="4" t="str">
        <f>VLOOKUP(A212,Classification!A:D,2,FALSE)</f>
        <v>A</v>
      </c>
      <c r="E212" s="5" t="str">
        <f>VLOOKUP(A212,Seqs!A:B,2,FALSE)</f>
        <v>MPSKSLSNLSVTTGANESGSVPEGWERDFLPASDGTTTELVIRCVIPSLYLLIITVGLLGNIMLVKIFITNSAMRSVPNIFISNLAAGDLLLLLTCVPVDASRYFFDEWMFGKVGCKLIPVIQLTSVGVSVFTLTALSADRYRAIVNPMDMQTSGALLRTCVKAMGIWVVSVLLAVPEAVFSEVARISSLDNSSFTACIPYPQTDELHPKIHSVLIFLVYFLIPLAIISIYYYHIAKTLIKSAHNLPGEYNEHTKKQMETRKRLAKIVLVFVGCFIFCWFPNHILYMYRSFNYNEIDPSLGHMIVTLVARVLSFGNSCVNPFALYLLSESFRRHFNSQLCCGRKSYQERGTSYLLSSSAVRMTSLKSNAKNMVTNSVLLNGHSMKQEMAL</v>
      </c>
      <c r="F212" s="5" t="str">
        <f t="shared" si="76"/>
        <v>SDGTTTELVIRCVIPSLYLLIITVGLLGNIMLVKIFITN</v>
      </c>
      <c r="G212" s="4" t="str">
        <f t="shared" si="77"/>
        <v>SAMR</v>
      </c>
      <c r="H212" s="4" t="str">
        <f t="shared" si="78"/>
        <v>SVPNIFISNLAAGDLLLLLTCVPVDASRYFF</v>
      </c>
      <c r="I212" s="4" t="str">
        <f t="shared" si="79"/>
        <v>EWMF</v>
      </c>
      <c r="J212" s="4" t="str">
        <f t="shared" si="80"/>
        <v>GKVGCKLIPVIQLTSVGVSVFTLTALSADRYRAIVN</v>
      </c>
      <c r="K212" s="4" t="str">
        <f t="shared" si="81"/>
        <v>PMDMQTSG</v>
      </c>
      <c r="L212" s="4" t="str">
        <f t="shared" si="82"/>
        <v>ALLRTCVKAMGIWVVSVLLAVPEAVFS</v>
      </c>
      <c r="M212" s="4" t="str">
        <f t="shared" si="83"/>
        <v>CIP</v>
      </c>
      <c r="N212" s="4" t="str">
        <f t="shared" si="84"/>
        <v>PQTDELHPKIHSVLIFLVYFLIPLAIISIYYYHIAKTLIKSAHNLP</v>
      </c>
      <c r="O212" s="4" t="str">
        <f t="shared" si="85"/>
        <v>HTKKQMETRKRLAKIVLVFVGCFIFCWFPNHILYMYRSFN</v>
      </c>
      <c r="P212" s="4" t="str">
        <f t="shared" si="86"/>
        <v>SLGHMIVTLVARVLSFGNSCVNPFALYLL</v>
      </c>
      <c r="Q212" s="4" t="str">
        <f t="shared" si="87"/>
        <v>SESFRRHFNSQLCC</v>
      </c>
      <c r="R212" s="5">
        <f>VLOOKUP($A212,'SegEnds_NonXtal_Prot#'!$A:$AL,3,FALSE)</f>
        <v>33</v>
      </c>
      <c r="S212" s="5">
        <f>VLOOKUP($A212,'SegEnds_NonXtal_Prot#'!$A:$AL,6,FALSE)</f>
        <v>72</v>
      </c>
      <c r="T212" s="5">
        <f>VLOOKUP($A212,'SegEnds_NonXtal_Prot#'!$A:$AL,9,FALSE)</f>
        <v>76</v>
      </c>
      <c r="U212" s="5">
        <f>VLOOKUP($A212,'SegEnds_NonXtal_Prot#'!$A:$AL,12,FALSE)</f>
        <v>108</v>
      </c>
      <c r="V212" s="5">
        <f>VLOOKUP($A212,'SegEnds_NonXtal_Prot#'!$A:$AL,15,FALSE)</f>
        <v>112</v>
      </c>
      <c r="W212" s="5">
        <f>VLOOKUP($A212,'SegEnds_NonXtal_Prot#'!$A:$AL,18,FALSE)</f>
        <v>148</v>
      </c>
      <c r="X212" s="5">
        <f>VLOOKUP($A212,'SegEnds_NonXtal_Prot#'!$A:$AL,21,FALSE)</f>
        <v>156</v>
      </c>
      <c r="Y212" s="5">
        <f>VLOOKUP($A212,'SegEnds_NonXtal_Prot#'!$A:$AL,24,FALSE)</f>
        <v>198</v>
      </c>
      <c r="Z212" s="5">
        <f>VLOOKUP($A212,'SegEnds_NonXtal_Prot#'!$A:$AL,27,FALSE)</f>
        <v>202</v>
      </c>
      <c r="AA212" s="5">
        <f>VLOOKUP($A212,'SegEnds_NonXtal_Prot#'!$A:$AL,30,FALSE)</f>
        <v>253</v>
      </c>
      <c r="AB212" s="5">
        <f>VLOOKUP($A212,'SegEnds_NonXtal_Prot#'!$A:$AL,33,FALSE)</f>
        <v>299</v>
      </c>
      <c r="AC212" s="5">
        <f>VLOOKUP($A212,'SegEnds_NonXtal_Prot#'!$A:$AL,36,FALSE)</f>
        <v>328</v>
      </c>
      <c r="AD212" s="5">
        <f>VLOOKUP($A212,'SegEnds_NonXtal_Prot#'!$A:$AL,5,FALSE)</f>
        <v>71</v>
      </c>
      <c r="AE212" s="5">
        <f>VLOOKUP($A212,'SegEnds_NonXtal_Prot#'!$A:$AL,8,FALSE)</f>
        <v>75</v>
      </c>
      <c r="AF212" s="5">
        <f>VLOOKUP($A212,'SegEnds_NonXtal_Prot#'!$A:$AL,11,FALSE)</f>
        <v>106</v>
      </c>
      <c r="AG212" s="5">
        <f>VLOOKUP($A212,'SegEnds_NonXtal_Prot#'!$A:$AL,14,FALSE)</f>
        <v>111</v>
      </c>
      <c r="AH212" s="5">
        <f>VLOOKUP($A212,'SegEnds_NonXtal_Prot#'!$A:$AL,17,FALSE)</f>
        <v>147</v>
      </c>
      <c r="AI212" s="5">
        <f>VLOOKUP($A212,'SegEnds_NonXtal_Prot#'!$A:$AL,20,FALSE)</f>
        <v>155</v>
      </c>
      <c r="AJ212" s="5">
        <f>VLOOKUP($A212,'SegEnds_NonXtal_Prot#'!$A:$AL,23,FALSE)</f>
        <v>182</v>
      </c>
      <c r="AK212" s="5">
        <f>VLOOKUP($A212,'SegEnds_NonXtal_Prot#'!$A:$AL,26,FALSE)</f>
        <v>200</v>
      </c>
      <c r="AL212" s="5">
        <f>VLOOKUP($A212,'SegEnds_NonXtal_Prot#'!$A:$AL,29,FALSE)</f>
        <v>247</v>
      </c>
      <c r="AM212" s="5">
        <f>VLOOKUP($A212,'SegEnds_NonXtal_Prot#'!$A:$AL,32,FALSE)</f>
        <v>292</v>
      </c>
      <c r="AN212" s="5">
        <f>VLOOKUP($A212,'SegEnds_NonXtal_Prot#'!$A:$AL,35,FALSE)</f>
        <v>327</v>
      </c>
      <c r="AO212" s="5">
        <f>VLOOKUP($A212,'SegEnds_NonXtal_Prot#'!$A:$AL,38,FALSE)</f>
        <v>341</v>
      </c>
      <c r="AP212" s="5">
        <f t="shared" si="88"/>
        <v>38</v>
      </c>
      <c r="AQ212" s="4">
        <f t="shared" si="89"/>
        <v>3</v>
      </c>
      <c r="AR212" s="4">
        <f t="shared" si="90"/>
        <v>30</v>
      </c>
      <c r="AS212" s="4">
        <f t="shared" si="91"/>
        <v>3</v>
      </c>
      <c r="AT212" s="4">
        <f t="shared" si="92"/>
        <v>35</v>
      </c>
      <c r="AU212" s="4">
        <f t="shared" si="93"/>
        <v>7</v>
      </c>
      <c r="AV212" s="4">
        <f t="shared" si="94"/>
        <v>26</v>
      </c>
      <c r="AW212" s="4">
        <f t="shared" si="95"/>
        <v>2</v>
      </c>
      <c r="AX212" s="4">
        <f t="shared" si="96"/>
        <v>45</v>
      </c>
      <c r="AY212" s="4">
        <f t="shared" si="97"/>
        <v>39</v>
      </c>
      <c r="AZ212" s="4">
        <f t="shared" si="98"/>
        <v>28</v>
      </c>
      <c r="BA212" s="4">
        <f t="shared" si="99"/>
        <v>13</v>
      </c>
    </row>
    <row r="213" spans="1:53" x14ac:dyDescent="0.2">
      <c r="A213" s="1" t="str">
        <f>'SegEnds_NonXtal_Prot#'!A194</f>
        <v>nmur1_human</v>
      </c>
      <c r="B213" s="1" t="str">
        <f t="shared" si="75"/>
        <v>TELFMPICATYLLIFVVGAVGNGLTCLVILRHTPTNYYLFSLAVSDLLVLLVGLPLELYEMWLLGVGGCYFRTLLFEMVCLASVLNVTALSVERYVAVVHTRAHVRRVLGAVWGLAMLCSLPNTSLHRALYNMVVQTTALLFFCLPMAIMSVLYLLIGLRLRRERLLLMQEAQQHDRGRRQVTKMLFVLVVVFGICWAPFHADRVMWSVVHLAFQHVHVISGIFFYLGSAANPVLYSLMSSRFRETFQEAL</v>
      </c>
      <c r="C213" s="29" t="str">
        <f>IF(ISERROR(MATCH(A213,'SegEnds_Xtal_Prot#'!B:B, 0)), "NoXtal", "Xtal")</f>
        <v>NoXtal</v>
      </c>
      <c r="D213" s="4" t="str">
        <f>VLOOKUP(A213,Classification!A:D,2,FALSE)</f>
        <v>A</v>
      </c>
      <c r="E213" s="5" t="str">
        <f>VLOOKUP(A213,Seqs!A:B,2,FALSE)</f>
        <v>MTPLCLNCSVLPGDLYPGGARNPMACNGSAARGHFDPEDLNLTDEALRLKYLGPQQTELFMPICATYLLIFVVGAVGNGLTCLVILRHKAMRTPTNYYLFSLAVSDLLVLLVGLPLELYEMWHNYPFLLGVGGCYFRTLLFEMVCLASVLNVTALSVERYVAVVHPLQARSMVTRAHVRRVLGAVWGLAMLCSLPNTSLHGIRQLHVPCRGPVPDSAVCMLVRPRALYNMVVQTTALLFFCLPMAIMSVLYLLIGLRLRRERLLLMQEAKGRGSAAARSRYTCRLQQHDRGRRQVTKMLFVLVVVFGICWAPFHADRVMWSVVSQWTDGLHLAFQHVHVISGIFFYLGSAANPVLYSLMSSRFRETFQEALCLGACCHRLRPRHSSHSLSRMTTGSTLCDVGSLGSWVHPLAGNDGPEAQQETDPS</v>
      </c>
      <c r="F213" s="5" t="str">
        <f t="shared" si="76"/>
        <v>TELFMPICATYLLIFVVGAVGNGLTCLVILRH</v>
      </c>
      <c r="G213" s="4" t="str">
        <f t="shared" si="77"/>
        <v>KAMR</v>
      </c>
      <c r="H213" s="4" t="str">
        <f t="shared" si="78"/>
        <v>TPTNYYLFSLAVSDLLVLLVGLPLELYEMW</v>
      </c>
      <c r="I213" s="4" t="str">
        <f t="shared" si="79"/>
        <v>NYPF</v>
      </c>
      <c r="J213" s="4" t="str">
        <f t="shared" si="80"/>
        <v>LLGVGGCYFRTLLFEMVCLASVLNVTALSVERYVAVVH</v>
      </c>
      <c r="K213" s="4" t="str">
        <f t="shared" si="81"/>
        <v>PLQARSMV</v>
      </c>
      <c r="L213" s="4" t="str">
        <f t="shared" si="82"/>
        <v>TRAHVRRVLGAVWGLAMLCSLPNTSLH</v>
      </c>
      <c r="M213" s="4" t="str">
        <f t="shared" si="83"/>
        <v>CML</v>
      </c>
      <c r="N213" s="4" t="str">
        <f t="shared" si="84"/>
        <v>RALYNMVVQTTALLFFCLPMAIMSVLYLLIGLRLRRERLLLMQEA</v>
      </c>
      <c r="O213" s="4" t="str">
        <f t="shared" si="85"/>
        <v>QQHDRGRRQVTKMLFVLVVVFGICWAPFHADRVMWSVV</v>
      </c>
      <c r="P213" s="4" t="str">
        <f t="shared" si="86"/>
        <v>HLAFQHVHVISGIFFYLGSAANPVLYSLM</v>
      </c>
      <c r="Q213" s="4" t="str">
        <f t="shared" si="87"/>
        <v>SSRFRETFQEAL</v>
      </c>
      <c r="R213" s="5">
        <f>VLOOKUP($A213,'SegEnds_NonXtal_Prot#'!$A:$AL,3,FALSE)</f>
        <v>57</v>
      </c>
      <c r="S213" s="5">
        <f>VLOOKUP($A213,'SegEnds_NonXtal_Prot#'!$A:$AL,6,FALSE)</f>
        <v>89</v>
      </c>
      <c r="T213" s="5">
        <f>VLOOKUP($A213,'SegEnds_NonXtal_Prot#'!$A:$AL,9,FALSE)</f>
        <v>93</v>
      </c>
      <c r="U213" s="5">
        <f>VLOOKUP($A213,'SegEnds_NonXtal_Prot#'!$A:$AL,12,FALSE)</f>
        <v>124</v>
      </c>
      <c r="V213" s="5">
        <f>VLOOKUP($A213,'SegEnds_NonXtal_Prot#'!$A:$AL,15,FALSE)</f>
        <v>128</v>
      </c>
      <c r="W213" s="5">
        <f>VLOOKUP($A213,'SegEnds_NonXtal_Prot#'!$A:$AL,18,FALSE)</f>
        <v>166</v>
      </c>
      <c r="X213" s="5">
        <f>VLOOKUP($A213,'SegEnds_NonXtal_Prot#'!$A:$AL,21,FALSE)</f>
        <v>174</v>
      </c>
      <c r="Y213" s="5">
        <f>VLOOKUP($A213,'SegEnds_NonXtal_Prot#'!$A:$AL,24,FALSE)</f>
        <v>219</v>
      </c>
      <c r="Z213" s="5">
        <f>VLOOKUP($A213,'SegEnds_NonXtal_Prot#'!$A:$AL,27,FALSE)</f>
        <v>225</v>
      </c>
      <c r="AA213" s="5">
        <f>VLOOKUP($A213,'SegEnds_NonXtal_Prot#'!$A:$AL,30,FALSE)</f>
        <v>286</v>
      </c>
      <c r="AB213" s="5">
        <f>VLOOKUP($A213,'SegEnds_NonXtal_Prot#'!$A:$AL,33,FALSE)</f>
        <v>331</v>
      </c>
      <c r="AC213" s="5">
        <f>VLOOKUP($A213,'SegEnds_NonXtal_Prot#'!$A:$AL,36,FALSE)</f>
        <v>360</v>
      </c>
      <c r="AD213" s="5">
        <f>VLOOKUP($A213,'SegEnds_NonXtal_Prot#'!$A:$AL,5,FALSE)</f>
        <v>88</v>
      </c>
      <c r="AE213" s="5">
        <f>VLOOKUP($A213,'SegEnds_NonXtal_Prot#'!$A:$AL,8,FALSE)</f>
        <v>92</v>
      </c>
      <c r="AF213" s="5">
        <f>VLOOKUP($A213,'SegEnds_NonXtal_Prot#'!$A:$AL,11,FALSE)</f>
        <v>122</v>
      </c>
      <c r="AG213" s="5">
        <f>VLOOKUP($A213,'SegEnds_NonXtal_Prot#'!$A:$AL,14,FALSE)</f>
        <v>127</v>
      </c>
      <c r="AH213" s="5">
        <f>VLOOKUP($A213,'SegEnds_NonXtal_Prot#'!$A:$AL,17,FALSE)</f>
        <v>165</v>
      </c>
      <c r="AI213" s="5">
        <f>VLOOKUP($A213,'SegEnds_NonXtal_Prot#'!$A:$AL,20,FALSE)</f>
        <v>173</v>
      </c>
      <c r="AJ213" s="5">
        <f>VLOOKUP($A213,'SegEnds_NonXtal_Prot#'!$A:$AL,23,FALSE)</f>
        <v>200</v>
      </c>
      <c r="AK213" s="5">
        <f>VLOOKUP($A213,'SegEnds_NonXtal_Prot#'!$A:$AL,26,FALSE)</f>
        <v>221</v>
      </c>
      <c r="AL213" s="5">
        <f>VLOOKUP($A213,'SegEnds_NonXtal_Prot#'!$A:$AL,29,FALSE)</f>
        <v>269</v>
      </c>
      <c r="AM213" s="5">
        <f>VLOOKUP($A213,'SegEnds_NonXtal_Prot#'!$A:$AL,32,FALSE)</f>
        <v>323</v>
      </c>
      <c r="AN213" s="5">
        <f>VLOOKUP($A213,'SegEnds_NonXtal_Prot#'!$A:$AL,35,FALSE)</f>
        <v>359</v>
      </c>
      <c r="AO213" s="5">
        <f>VLOOKUP($A213,'SegEnds_NonXtal_Prot#'!$A:$AL,38,FALSE)</f>
        <v>371</v>
      </c>
      <c r="AP213" s="5">
        <f t="shared" si="88"/>
        <v>31</v>
      </c>
      <c r="AQ213" s="4">
        <f t="shared" si="89"/>
        <v>3</v>
      </c>
      <c r="AR213" s="4">
        <f t="shared" si="90"/>
        <v>29</v>
      </c>
      <c r="AS213" s="4">
        <f t="shared" si="91"/>
        <v>3</v>
      </c>
      <c r="AT213" s="4">
        <f t="shared" si="92"/>
        <v>37</v>
      </c>
      <c r="AU213" s="4">
        <f t="shared" si="93"/>
        <v>7</v>
      </c>
      <c r="AV213" s="4">
        <f t="shared" si="94"/>
        <v>26</v>
      </c>
      <c r="AW213" s="4">
        <f t="shared" si="95"/>
        <v>2</v>
      </c>
      <c r="AX213" s="4">
        <f t="shared" si="96"/>
        <v>44</v>
      </c>
      <c r="AY213" s="4">
        <f t="shared" si="97"/>
        <v>37</v>
      </c>
      <c r="AZ213" s="4">
        <f t="shared" si="98"/>
        <v>28</v>
      </c>
      <c r="BA213" s="4">
        <f t="shared" si="99"/>
        <v>11</v>
      </c>
    </row>
    <row r="214" spans="1:53" x14ac:dyDescent="0.2">
      <c r="A214" s="1" t="str">
        <f>'SegEnds_NonXtal_Prot#'!A195</f>
        <v>nmur2_human</v>
      </c>
      <c r="B214" s="1" t="str">
        <f t="shared" si="75"/>
        <v>SHFFLPVSVVYVPIFVVGVIGNVLVCLVILQHTPTNYYLFSLAVSDLLVLLLGMPLEVYEMWLFGPVGCYFKTALFETVCFASILSITTVSVERYVAILHTRRRALRILGIVWGFSVLFSLPNTSIHMWIYNFIIQVTSFLFYLLPMTVISVLYYLMALRLKKDKSLEANANIQRPCRKSVNKMLFVLVLVFAICWAPFHIDRLFFSFVAAVFNLVHVVSGVFFYLSSAVNPIIYNLLSRRFQAAFQNVI</v>
      </c>
      <c r="C214" s="29" t="str">
        <f>IF(ISERROR(MATCH(A214,'SegEnds_Xtal_Prot#'!B:B, 0)), "NoXtal", "Xtal")</f>
        <v>NoXtal</v>
      </c>
      <c r="D214" s="4" t="str">
        <f>VLOOKUP(A214,Classification!A:D,2,FALSE)</f>
        <v>A</v>
      </c>
      <c r="E214" s="5" t="str">
        <f>VLOOKUP(A214,Seqs!A:B,2,FALSE)</f>
        <v>MSGMEKLQNASWIYQQKLEDPFQKHLNSTEEYLAFLCGPRRSHFFLPVSVVYVPIFVVGVIGNVLVCLVILQHQAMKTPTNYYLFSLAVSDLLVLLLGMPLEVYEMWRNYPFLFGPVGCYFKTALFETVCFASILSITTVSVERYVAILHPFRAKLQSTRRRALRILGIVWGFSVLFSLPNTSIHGIKFHYFPNGSLVPGSATCTVIKPMWIYNFIIQVTSFLFYLLPMTVISVLYYLMALRLKKDKSLEADEGNANIQRPCRKSVNKMLFVLVLVFAICWAPFHIDRLFFSFVEEWSESLAAVFNLVHVVSGVFFYLSSAVNPIIYNLLSRRFQAAFQNVISSFHKQWHSQHDPQLPPAQRNIFLTECHFVELTEDIGPQFPCQSSMHNSHLPAALSSEQMSRTNYQSFHFNKT</v>
      </c>
      <c r="F214" s="5" t="str">
        <f t="shared" si="76"/>
        <v>SHFFLPVSVVYVPIFVVGVIGNVLVCLVILQH</v>
      </c>
      <c r="G214" s="4" t="str">
        <f t="shared" si="77"/>
        <v>QAMK</v>
      </c>
      <c r="H214" s="4" t="str">
        <f t="shared" si="78"/>
        <v>TPTNYYLFSLAVSDLLVLLLGMPLEVYEMW</v>
      </c>
      <c r="I214" s="4" t="str">
        <f t="shared" si="79"/>
        <v>NYPF</v>
      </c>
      <c r="J214" s="4" t="str">
        <f t="shared" si="80"/>
        <v>LFGPVGCYFKTALFETVCFASILSITTVSVERYVAILH</v>
      </c>
      <c r="K214" s="4" t="str">
        <f t="shared" si="81"/>
        <v>PFRAKLQS</v>
      </c>
      <c r="L214" s="4" t="str">
        <f t="shared" si="82"/>
        <v>TRRRALRILGIVWGFSVLFSLPNTSIH</v>
      </c>
      <c r="M214" s="4" t="str">
        <f t="shared" si="83"/>
        <v>CTV</v>
      </c>
      <c r="N214" s="4" t="str">
        <f t="shared" si="84"/>
        <v>MWIYNFIIQVTSFLFYLLPMTVISVLYYLMALRLKKDKSLEA</v>
      </c>
      <c r="O214" s="4" t="str">
        <f t="shared" si="85"/>
        <v>NANIQRPCRKSVNKMLFVLVLVFAICWAPFHIDRLFFSFV</v>
      </c>
      <c r="P214" s="4" t="str">
        <f t="shared" si="86"/>
        <v>AAVFNLVHVVSGVFFYLSSAVNPIIYNLL</v>
      </c>
      <c r="Q214" s="4" t="str">
        <f t="shared" si="87"/>
        <v>SRRFQAAFQNVI</v>
      </c>
      <c r="R214" s="5">
        <f>VLOOKUP($A214,'SegEnds_NonXtal_Prot#'!$A:$AL,3,FALSE)</f>
        <v>42</v>
      </c>
      <c r="S214" s="5">
        <f>VLOOKUP($A214,'SegEnds_NonXtal_Prot#'!$A:$AL,6,FALSE)</f>
        <v>74</v>
      </c>
      <c r="T214" s="5">
        <f>VLOOKUP($A214,'SegEnds_NonXtal_Prot#'!$A:$AL,9,FALSE)</f>
        <v>78</v>
      </c>
      <c r="U214" s="5">
        <f>VLOOKUP($A214,'SegEnds_NonXtal_Prot#'!$A:$AL,12,FALSE)</f>
        <v>109</v>
      </c>
      <c r="V214" s="5">
        <f>VLOOKUP($A214,'SegEnds_NonXtal_Prot#'!$A:$AL,15,FALSE)</f>
        <v>113</v>
      </c>
      <c r="W214" s="5">
        <f>VLOOKUP($A214,'SegEnds_NonXtal_Prot#'!$A:$AL,18,FALSE)</f>
        <v>151</v>
      </c>
      <c r="X214" s="5">
        <f>VLOOKUP($A214,'SegEnds_NonXtal_Prot#'!$A:$AL,21,FALSE)</f>
        <v>159</v>
      </c>
      <c r="Y214" s="5">
        <f>VLOOKUP($A214,'SegEnds_NonXtal_Prot#'!$A:$AL,24,FALSE)</f>
        <v>204</v>
      </c>
      <c r="Z214" s="5">
        <f>VLOOKUP($A214,'SegEnds_NonXtal_Prot#'!$A:$AL,27,FALSE)</f>
        <v>210</v>
      </c>
      <c r="AA214" s="5">
        <f>VLOOKUP($A214,'SegEnds_NonXtal_Prot#'!$A:$AL,30,FALSE)</f>
        <v>255</v>
      </c>
      <c r="AB214" s="5">
        <f>VLOOKUP($A214,'SegEnds_NonXtal_Prot#'!$A:$AL,33,FALSE)</f>
        <v>302</v>
      </c>
      <c r="AC214" s="5">
        <f>VLOOKUP($A214,'SegEnds_NonXtal_Prot#'!$A:$AL,36,FALSE)</f>
        <v>331</v>
      </c>
      <c r="AD214" s="5">
        <f>VLOOKUP($A214,'SegEnds_NonXtal_Prot#'!$A:$AL,5,FALSE)</f>
        <v>73</v>
      </c>
      <c r="AE214" s="5">
        <f>VLOOKUP($A214,'SegEnds_NonXtal_Prot#'!$A:$AL,8,FALSE)</f>
        <v>77</v>
      </c>
      <c r="AF214" s="5">
        <f>VLOOKUP($A214,'SegEnds_NonXtal_Prot#'!$A:$AL,11,FALSE)</f>
        <v>107</v>
      </c>
      <c r="AG214" s="5">
        <f>VLOOKUP($A214,'SegEnds_NonXtal_Prot#'!$A:$AL,14,FALSE)</f>
        <v>112</v>
      </c>
      <c r="AH214" s="5">
        <f>VLOOKUP($A214,'SegEnds_NonXtal_Prot#'!$A:$AL,17,FALSE)</f>
        <v>150</v>
      </c>
      <c r="AI214" s="5">
        <f>VLOOKUP($A214,'SegEnds_NonXtal_Prot#'!$A:$AL,20,FALSE)</f>
        <v>158</v>
      </c>
      <c r="AJ214" s="5">
        <f>VLOOKUP($A214,'SegEnds_NonXtal_Prot#'!$A:$AL,23,FALSE)</f>
        <v>185</v>
      </c>
      <c r="AK214" s="5">
        <f>VLOOKUP($A214,'SegEnds_NonXtal_Prot#'!$A:$AL,26,FALSE)</f>
        <v>206</v>
      </c>
      <c r="AL214" s="5">
        <f>VLOOKUP($A214,'SegEnds_NonXtal_Prot#'!$A:$AL,29,FALSE)</f>
        <v>251</v>
      </c>
      <c r="AM214" s="5">
        <f>VLOOKUP($A214,'SegEnds_NonXtal_Prot#'!$A:$AL,32,FALSE)</f>
        <v>294</v>
      </c>
      <c r="AN214" s="5">
        <f>VLOOKUP($A214,'SegEnds_NonXtal_Prot#'!$A:$AL,35,FALSE)</f>
        <v>330</v>
      </c>
      <c r="AO214" s="5">
        <f>VLOOKUP($A214,'SegEnds_NonXtal_Prot#'!$A:$AL,38,FALSE)</f>
        <v>342</v>
      </c>
      <c r="AP214" s="5">
        <f t="shared" si="88"/>
        <v>31</v>
      </c>
      <c r="AQ214" s="4">
        <f t="shared" si="89"/>
        <v>3</v>
      </c>
      <c r="AR214" s="4">
        <f t="shared" si="90"/>
        <v>29</v>
      </c>
      <c r="AS214" s="4">
        <f t="shared" si="91"/>
        <v>3</v>
      </c>
      <c r="AT214" s="4">
        <f t="shared" si="92"/>
        <v>37</v>
      </c>
      <c r="AU214" s="4">
        <f t="shared" si="93"/>
        <v>7</v>
      </c>
      <c r="AV214" s="4">
        <f t="shared" si="94"/>
        <v>26</v>
      </c>
      <c r="AW214" s="4">
        <f t="shared" si="95"/>
        <v>2</v>
      </c>
      <c r="AX214" s="4">
        <f t="shared" si="96"/>
        <v>41</v>
      </c>
      <c r="AY214" s="4">
        <f t="shared" si="97"/>
        <v>39</v>
      </c>
      <c r="AZ214" s="4">
        <f t="shared" si="98"/>
        <v>28</v>
      </c>
      <c r="BA214" s="4">
        <f t="shared" si="99"/>
        <v>11</v>
      </c>
    </row>
    <row r="215" spans="1:53" x14ac:dyDescent="0.2">
      <c r="A215" s="1" t="str">
        <f>'SegEnds_NonXtal_Prot#'!A196</f>
        <v>ntr1_human</v>
      </c>
      <c r="B215" s="1" t="str">
        <f t="shared" si="75"/>
        <v>IYSKVLVTAVYLALFVVGTVGNTVTAFTLARKSLQSTVHYHLGSLALSDLLTLLLAMPVELYNFIWVGDAGCRGYYFLRDACTYATALNVASLSVERYLAICHSRSRTKKFISAIWLASALLAVPMLFTMTATVKVVIQVNTFMSFIFPMVVISVLNTIIANKLTVMVRQAAEQGPGRVQALRHGVRVLRAVVIAFVVCWLPYHVRRLMFCYITPFLYDFYHYFYMVTNALFYVSSTINPILYNLVSANFRHIFLATL</v>
      </c>
      <c r="C215" s="29" t="str">
        <f>IF(ISERROR(MATCH(A215,'SegEnds_Xtal_Prot#'!B:B, 0)), "NoXtal", "Xtal")</f>
        <v>NoXtal</v>
      </c>
      <c r="D215" s="4" t="str">
        <f>VLOOKUP(A215,Classification!A:D,2,FALSE)</f>
        <v>A</v>
      </c>
      <c r="E215" s="5" t="str">
        <f>VLOOKUP(A215,Seqs!A:B,2,FALSE)</f>
        <v>MRLNSSAPGTPGTPAADPFQRAQAGLEEALLAPGFGNASGNASERVLAAPSSELDVNTDIYSKVLVTAVYLALFVVGTVGNTVTAFTLARKKSLQSLQSTVHYHLGSLALSDLLTLLLAMPVELYNFIWVHHPWAFGDAGCRGYYFLRDACTYATALNVASLSVERYLAICHPFKAKTLMSRSRTKKFISAIWLASALLAVPMLFTMGEQNRSADGQHAGGLVCTPTIHTATVKVVIQVNTFMSFIFPMVVISVLNTIIANKLTVMVRQAAEQGQVCTVGGEHSTFSMAIEPGRVQALRHGVRVLRAVVIAFVVCWLPYHVRRLMFCYISDEQWTPFLYDFYHYFYMVTNALFYVSSTINPILYNLVSANFRHIFLATLACLCPVWRRRRKRPAFSRKADSVSSNHTLSSNATRETLY</v>
      </c>
      <c r="F215" s="5" t="str">
        <f t="shared" si="76"/>
        <v>IYSKVLVTAVYLALFVVGTVGNTVTAFTLARK</v>
      </c>
      <c r="G215" s="4" t="str">
        <f t="shared" si="77"/>
        <v>KSLQ</v>
      </c>
      <c r="H215" s="4" t="str">
        <f t="shared" si="78"/>
        <v>SLQSTVHYHLGSLALSDLLTLLLAMPVELYNFIWV</v>
      </c>
      <c r="I215" s="4" t="str">
        <f t="shared" si="79"/>
        <v>PWAF</v>
      </c>
      <c r="J215" s="4" t="str">
        <f t="shared" si="80"/>
        <v>GDAGCRGYYFLRDACTYATALNVASLSVERYLAICH</v>
      </c>
      <c r="K215" s="4" t="str">
        <f t="shared" si="81"/>
        <v>PFKAKTLM</v>
      </c>
      <c r="L215" s="4" t="str">
        <f t="shared" si="82"/>
        <v>SRSRTKKFISAIWLASALLAVPMLFTM</v>
      </c>
      <c r="M215" s="4" t="str">
        <f t="shared" si="83"/>
        <v>CTP</v>
      </c>
      <c r="N215" s="4" t="str">
        <f t="shared" si="84"/>
        <v>TATVKVVIQVNTFMSFIFPMVVISVLNTIIANKLTVMVRQAAEQG</v>
      </c>
      <c r="O215" s="4" t="str">
        <f t="shared" si="85"/>
        <v>PGRVQALRHGVRVLRAVVIAFVVCWLPYHVRRLMFCYI</v>
      </c>
      <c r="P215" s="4" t="str">
        <f t="shared" si="86"/>
        <v>TPFLYDFYHYFYMVTNALFYVSSTINPILYNLV</v>
      </c>
      <c r="Q215" s="4" t="str">
        <f t="shared" si="87"/>
        <v>SANFRHIFLATL</v>
      </c>
      <c r="R215" s="5">
        <f>VLOOKUP($A215,'SegEnds_NonXtal_Prot#'!$A:$AL,3,FALSE)</f>
        <v>60</v>
      </c>
      <c r="S215" s="5">
        <f>VLOOKUP($A215,'SegEnds_NonXtal_Prot#'!$A:$AL,6,FALSE)</f>
        <v>92</v>
      </c>
      <c r="T215" s="5">
        <f>VLOOKUP($A215,'SegEnds_NonXtal_Prot#'!$A:$AL,9,FALSE)</f>
        <v>96</v>
      </c>
      <c r="U215" s="5">
        <f>VLOOKUP($A215,'SegEnds_NonXtal_Prot#'!$A:$AL,12,FALSE)</f>
        <v>133</v>
      </c>
      <c r="V215" s="5">
        <f>VLOOKUP($A215,'SegEnds_NonXtal_Prot#'!$A:$AL,15,FALSE)</f>
        <v>137</v>
      </c>
      <c r="W215" s="5">
        <f>VLOOKUP($A215,'SegEnds_NonXtal_Prot#'!$A:$AL,18,FALSE)</f>
        <v>173</v>
      </c>
      <c r="X215" s="5">
        <f>VLOOKUP($A215,'SegEnds_NonXtal_Prot#'!$A:$AL,21,FALSE)</f>
        <v>181</v>
      </c>
      <c r="Y215" s="5">
        <f>VLOOKUP($A215,'SegEnds_NonXtal_Prot#'!$A:$AL,24,FALSE)</f>
        <v>224</v>
      </c>
      <c r="Z215" s="5">
        <f>VLOOKUP($A215,'SegEnds_NonXtal_Prot#'!$A:$AL,27,FALSE)</f>
        <v>230</v>
      </c>
      <c r="AA215" s="5">
        <f>VLOOKUP($A215,'SegEnds_NonXtal_Prot#'!$A:$AL,30,FALSE)</f>
        <v>292</v>
      </c>
      <c r="AB215" s="5">
        <f>VLOOKUP($A215,'SegEnds_NonXtal_Prot#'!$A:$AL,33,FALSE)</f>
        <v>335</v>
      </c>
      <c r="AC215" s="5">
        <f>VLOOKUP($A215,'SegEnds_NonXtal_Prot#'!$A:$AL,36,FALSE)</f>
        <v>368</v>
      </c>
      <c r="AD215" s="5">
        <f>VLOOKUP($A215,'SegEnds_NonXtal_Prot#'!$A:$AL,5,FALSE)</f>
        <v>91</v>
      </c>
      <c r="AE215" s="5">
        <f>VLOOKUP($A215,'SegEnds_NonXtal_Prot#'!$A:$AL,8,FALSE)</f>
        <v>95</v>
      </c>
      <c r="AF215" s="5">
        <f>VLOOKUP($A215,'SegEnds_NonXtal_Prot#'!$A:$AL,11,FALSE)</f>
        <v>130</v>
      </c>
      <c r="AG215" s="5">
        <f>VLOOKUP($A215,'SegEnds_NonXtal_Prot#'!$A:$AL,14,FALSE)</f>
        <v>136</v>
      </c>
      <c r="AH215" s="5">
        <f>VLOOKUP($A215,'SegEnds_NonXtal_Prot#'!$A:$AL,17,FALSE)</f>
        <v>172</v>
      </c>
      <c r="AI215" s="5">
        <f>VLOOKUP($A215,'SegEnds_NonXtal_Prot#'!$A:$AL,20,FALSE)</f>
        <v>180</v>
      </c>
      <c r="AJ215" s="5">
        <f>VLOOKUP($A215,'SegEnds_NonXtal_Prot#'!$A:$AL,23,FALSE)</f>
        <v>207</v>
      </c>
      <c r="AK215" s="5">
        <f>VLOOKUP($A215,'SegEnds_NonXtal_Prot#'!$A:$AL,26,FALSE)</f>
        <v>226</v>
      </c>
      <c r="AL215" s="5">
        <f>VLOOKUP($A215,'SegEnds_NonXtal_Prot#'!$A:$AL,29,FALSE)</f>
        <v>274</v>
      </c>
      <c r="AM215" s="5">
        <f>VLOOKUP($A215,'SegEnds_NonXtal_Prot#'!$A:$AL,32,FALSE)</f>
        <v>329</v>
      </c>
      <c r="AN215" s="5">
        <f>VLOOKUP($A215,'SegEnds_NonXtal_Prot#'!$A:$AL,35,FALSE)</f>
        <v>367</v>
      </c>
      <c r="AO215" s="5">
        <f>VLOOKUP($A215,'SegEnds_NonXtal_Prot#'!$A:$AL,38,FALSE)</f>
        <v>379</v>
      </c>
      <c r="AP215" s="5">
        <f t="shared" si="88"/>
        <v>31</v>
      </c>
      <c r="AQ215" s="4">
        <f t="shared" si="89"/>
        <v>3</v>
      </c>
      <c r="AR215" s="4">
        <f t="shared" si="90"/>
        <v>34</v>
      </c>
      <c r="AS215" s="4">
        <f t="shared" si="91"/>
        <v>3</v>
      </c>
      <c r="AT215" s="4">
        <f t="shared" si="92"/>
        <v>35</v>
      </c>
      <c r="AU215" s="4">
        <f t="shared" si="93"/>
        <v>7</v>
      </c>
      <c r="AV215" s="4">
        <f t="shared" si="94"/>
        <v>26</v>
      </c>
      <c r="AW215" s="4">
        <f t="shared" si="95"/>
        <v>2</v>
      </c>
      <c r="AX215" s="4">
        <f t="shared" si="96"/>
        <v>44</v>
      </c>
      <c r="AY215" s="4">
        <f t="shared" si="97"/>
        <v>37</v>
      </c>
      <c r="AZ215" s="4">
        <f t="shared" si="98"/>
        <v>32</v>
      </c>
      <c r="BA215" s="4">
        <f t="shared" si="99"/>
        <v>11</v>
      </c>
    </row>
    <row r="216" spans="1:53" x14ac:dyDescent="0.2">
      <c r="A216" s="1" t="str">
        <f>'SegEnds_NonXtal_Prot#'!A197</f>
        <v>ntr1_rat</v>
      </c>
      <c r="B216" s="1" t="str">
        <f t="shared" si="75"/>
        <v>IYSKVLVTAIYLALFVVGTVGNSVTAFTLARKSLQSTVHYHLGSLALSDLLILLLAMPVELYNFIWVGDAGCRGYYFLRDACTYATALNVASLSVERYLAICHSRSRTKKFISAIWLASALLAIPMLFTMTATVKVVIQVNTFMSFLFPMLVISILNTVIANKLTVMVHQAAEQGPGRVQALRHGVLVLRAVVIAFVVCWLPYHVRRLMFCYITTFLFDFYHYFYMLTNALFYVSSAINPILYNLVSANFRQVFLSTL</v>
      </c>
      <c r="C216" s="29" t="str">
        <f>IF(ISERROR(MATCH(A216,'SegEnds_Xtal_Prot#'!B:B, 0)), "NoXtal", "Xtal")</f>
        <v>Xtal</v>
      </c>
      <c r="D216" s="4" t="str">
        <f>VLOOKUP(A216,Classification!A:D,2,FALSE)</f>
        <v>A</v>
      </c>
      <c r="E216" s="5" t="str">
        <f>VLOOKUP(A216,Seqs!A:B,2,FALSE)</f>
        <v>MHLNSSVPQGTPGEPDAQPFSGPQSEMEATFLALSLSNGSGNTSESDTAGPNSDLDVNTDIYSKVLVTAIYLALFVVGTVGNSVTAFTLARKKSLQSLQSTVHYHLGSLALSDLLILLLAMPVELYNFIWVHHPWAFGDAGCRGYYFLRDACTYATALNVASLSVERYLAICHPFKAKTLMSRSRTKKFISAIWLASALLAIPMLFTMGLQNRSGDGTHPGGLVCTPIVDTATVKVVIQVNTFMSFLFPMLVISILNTVIANKLTVMVHQAAEQGRVCTVGTHNGLEHSTFNMTIEPGRVQALRHGVLVLRAVVIAFVVCWLPYHVRRLMFCYISDEQWTTFLFDFYHYFYMLTNALFYVSSAINPILYNLVSANFRQVFLSTLACLCPGWRHRRKKRPTFSRKPNSMSSNHAFSTSATRETLY</v>
      </c>
      <c r="F216" s="5" t="str">
        <f t="shared" si="76"/>
        <v>IYSKVLVTAIYLALFVVGTVGNSVTAFTLARK</v>
      </c>
      <c r="G216" s="4" t="str">
        <f t="shared" si="77"/>
        <v>KSLQ</v>
      </c>
      <c r="H216" s="4" t="str">
        <f t="shared" si="78"/>
        <v>SLQSTVHYHLGSLALSDLLILLLAMPVELYNFIWV</v>
      </c>
      <c r="I216" s="4" t="str">
        <f t="shared" si="79"/>
        <v>PWAF</v>
      </c>
      <c r="J216" s="4" t="str">
        <f t="shared" si="80"/>
        <v>GDAGCRGYYFLRDACTYATALNVASLSVERYLAICH</v>
      </c>
      <c r="K216" s="4" t="str">
        <f t="shared" si="81"/>
        <v>PFKAKTLM</v>
      </c>
      <c r="L216" s="4" t="str">
        <f t="shared" si="82"/>
        <v>SRSRTKKFISAIWLASALLAIPMLFTM</v>
      </c>
      <c r="M216" s="4" t="str">
        <f t="shared" si="83"/>
        <v>CTP</v>
      </c>
      <c r="N216" s="4" t="str">
        <f t="shared" si="84"/>
        <v>TATVKVVIQVNTFMSFLFPMLVISILNTVIANKLTVMVHQAAEQG</v>
      </c>
      <c r="O216" s="4" t="str">
        <f t="shared" si="85"/>
        <v>PGRVQALRHGVLVLRAVVIAFVVCWLPYHVRRLMFCYI</v>
      </c>
      <c r="P216" s="4" t="str">
        <f t="shared" si="86"/>
        <v>TTFLFDFYHYFYMLTNALFYVSSAINPILYNLV</v>
      </c>
      <c r="Q216" s="4" t="str">
        <f t="shared" si="87"/>
        <v>SANFRQVFLSTL</v>
      </c>
      <c r="R216" s="5">
        <f>VLOOKUP($A216,'SegEnds_NonXtal_Prot#'!$A:$AL,3,FALSE)</f>
        <v>61</v>
      </c>
      <c r="S216" s="5">
        <f>VLOOKUP($A216,'SegEnds_NonXtal_Prot#'!$A:$AL,6,FALSE)</f>
        <v>93</v>
      </c>
      <c r="T216" s="5">
        <f>VLOOKUP($A216,'SegEnds_NonXtal_Prot#'!$A:$AL,9,FALSE)</f>
        <v>97</v>
      </c>
      <c r="U216" s="5">
        <f>VLOOKUP($A216,'SegEnds_NonXtal_Prot#'!$A:$AL,12,FALSE)</f>
        <v>134</v>
      </c>
      <c r="V216" s="5">
        <f>VLOOKUP($A216,'SegEnds_NonXtal_Prot#'!$A:$AL,15,FALSE)</f>
        <v>138</v>
      </c>
      <c r="W216" s="5">
        <f>VLOOKUP($A216,'SegEnds_NonXtal_Prot#'!$A:$AL,18,FALSE)</f>
        <v>174</v>
      </c>
      <c r="X216" s="5">
        <f>VLOOKUP($A216,'SegEnds_NonXtal_Prot#'!$A:$AL,21,FALSE)</f>
        <v>182</v>
      </c>
      <c r="Y216" s="5">
        <f>VLOOKUP($A216,'SegEnds_NonXtal_Prot#'!$A:$AL,24,FALSE)</f>
        <v>225</v>
      </c>
      <c r="Z216" s="5">
        <f>VLOOKUP($A216,'SegEnds_NonXtal_Prot#'!$A:$AL,27,FALSE)</f>
        <v>231</v>
      </c>
      <c r="AA216" s="5">
        <f>VLOOKUP($A216,'SegEnds_NonXtal_Prot#'!$A:$AL,30,FALSE)</f>
        <v>297</v>
      </c>
      <c r="AB216" s="5">
        <f>VLOOKUP($A216,'SegEnds_NonXtal_Prot#'!$A:$AL,33,FALSE)</f>
        <v>340</v>
      </c>
      <c r="AC216" s="5">
        <f>VLOOKUP($A216,'SegEnds_NonXtal_Prot#'!$A:$AL,36,FALSE)</f>
        <v>373</v>
      </c>
      <c r="AD216" s="5">
        <f>VLOOKUP($A216,'SegEnds_NonXtal_Prot#'!$A:$AL,5,FALSE)</f>
        <v>92</v>
      </c>
      <c r="AE216" s="5">
        <f>VLOOKUP($A216,'SegEnds_NonXtal_Prot#'!$A:$AL,8,FALSE)</f>
        <v>96</v>
      </c>
      <c r="AF216" s="5">
        <f>VLOOKUP($A216,'SegEnds_NonXtal_Prot#'!$A:$AL,11,FALSE)</f>
        <v>131</v>
      </c>
      <c r="AG216" s="5">
        <f>VLOOKUP($A216,'SegEnds_NonXtal_Prot#'!$A:$AL,14,FALSE)</f>
        <v>137</v>
      </c>
      <c r="AH216" s="5">
        <f>VLOOKUP($A216,'SegEnds_NonXtal_Prot#'!$A:$AL,17,FALSE)</f>
        <v>173</v>
      </c>
      <c r="AI216" s="5">
        <f>VLOOKUP($A216,'SegEnds_NonXtal_Prot#'!$A:$AL,20,FALSE)</f>
        <v>181</v>
      </c>
      <c r="AJ216" s="5">
        <f>VLOOKUP($A216,'SegEnds_NonXtal_Prot#'!$A:$AL,23,FALSE)</f>
        <v>208</v>
      </c>
      <c r="AK216" s="5">
        <f>VLOOKUP($A216,'SegEnds_NonXtal_Prot#'!$A:$AL,26,FALSE)</f>
        <v>227</v>
      </c>
      <c r="AL216" s="5">
        <f>VLOOKUP($A216,'SegEnds_NonXtal_Prot#'!$A:$AL,29,FALSE)</f>
        <v>275</v>
      </c>
      <c r="AM216" s="5">
        <f>VLOOKUP($A216,'SegEnds_NonXtal_Prot#'!$A:$AL,32,FALSE)</f>
        <v>334</v>
      </c>
      <c r="AN216" s="5">
        <f>VLOOKUP($A216,'SegEnds_NonXtal_Prot#'!$A:$AL,35,FALSE)</f>
        <v>372</v>
      </c>
      <c r="AO216" s="5">
        <f>VLOOKUP($A216,'SegEnds_NonXtal_Prot#'!$A:$AL,38,FALSE)</f>
        <v>384</v>
      </c>
      <c r="AP216" s="5">
        <f t="shared" si="88"/>
        <v>31</v>
      </c>
      <c r="AQ216" s="4">
        <f t="shared" si="89"/>
        <v>3</v>
      </c>
      <c r="AR216" s="4">
        <f t="shared" si="90"/>
        <v>34</v>
      </c>
      <c r="AS216" s="4">
        <f t="shared" si="91"/>
        <v>3</v>
      </c>
      <c r="AT216" s="4">
        <f t="shared" si="92"/>
        <v>35</v>
      </c>
      <c r="AU216" s="4">
        <f t="shared" si="93"/>
        <v>7</v>
      </c>
      <c r="AV216" s="4">
        <f t="shared" si="94"/>
        <v>26</v>
      </c>
      <c r="AW216" s="4">
        <f t="shared" si="95"/>
        <v>2</v>
      </c>
      <c r="AX216" s="4">
        <f t="shared" si="96"/>
        <v>44</v>
      </c>
      <c r="AY216" s="4">
        <f t="shared" si="97"/>
        <v>37</v>
      </c>
      <c r="AZ216" s="4">
        <f t="shared" si="98"/>
        <v>32</v>
      </c>
      <c r="BA216" s="4">
        <f t="shared" si="99"/>
        <v>11</v>
      </c>
    </row>
    <row r="217" spans="1:53" x14ac:dyDescent="0.2">
      <c r="A217" s="1" t="str">
        <f>'SegEnds_NonXtal_Prot#'!A198</f>
        <v>ntr2_human</v>
      </c>
      <c r="B217" s="1" t="str">
        <f t="shared" si="75"/>
        <v>LWAKVLFTALYALIWALGAAGNALSAHVVLKAGRLRHHVLSLALAGLLLLLVGVPVELYSFVWFGDLGCRGYYFVHELCAYATVLSVAGLSAERCLAVCQTPRRTRWLVALSWAASLGLALPMAVIMRTALQVFIQVNVLVSFVLPLALTAFLNGVTVSHLLALCSQVPSVRRIRSLQRSVQVLRAIVVMYVICWLPYHARRLMYCYVTDPLYNFYHYFYMVTNTLFYVSSAVTPLLYNAVSSSFRKLFLEAV</v>
      </c>
      <c r="C217" s="29" t="str">
        <f>IF(ISERROR(MATCH(A217,'SegEnds_Xtal_Prot#'!B:B, 0)), "NoXtal", "Xtal")</f>
        <v>NoXtal</v>
      </c>
      <c r="D217" s="4" t="str">
        <f>VLOOKUP(A217,Classification!A:D,2,FALSE)</f>
        <v>A</v>
      </c>
      <c r="E217" s="5" t="str">
        <f>VLOOKUP(A217,Seqs!A:B,2,FALSE)</f>
        <v>METSSPRPPRPSSNPGLSLDARLGVDTRLWAKVLFTALYALIWALGAAGNALSAHVVLKARAGRAGRLRHHVLSLALAGLLLLLVGVPVELYSFVWFHYPWVFGDLGCRGYYFVHELCAYATVLSVAGLSAERCLAVCQPLRARSLLTPRRTRWLVALSWAASLGLALPMAVIMGQKHELETADGEPEPASRVCTVLVSRTALQVFIQVNVLVSFVLPLALTAFLNGVTVSHLLALCSQVPSTSTPGSSTPSRLELLSEEGLLSFIVWKKTFIQGGQVSLVRHKDVRRIRSLQRSVQVLRAIVVMYVICWLPYHARRLMYCYVPDDAWTDPLYNFYHYFYMVTNTLFYVSSAVTPLLYNAVSSSFRKLFLEAVSSLCGEHHPMKRLPPKPQSPTLMDTASGFGDPPETRT</v>
      </c>
      <c r="F217" s="5" t="str">
        <f t="shared" si="76"/>
        <v>LWAKVLFTALYALIWALGAAGNALSAHVVLKA</v>
      </c>
      <c r="G217" s="4" t="str">
        <f t="shared" si="77"/>
        <v/>
      </c>
      <c r="H217" s="4" t="str">
        <f t="shared" si="78"/>
        <v>GRLRHHVLSLALAGLLLLLVGVPVELYSFVWF</v>
      </c>
      <c r="I217" s="4" t="str">
        <f t="shared" si="79"/>
        <v>PWVF</v>
      </c>
      <c r="J217" s="4" t="str">
        <f t="shared" si="80"/>
        <v>GDLGCRGYYFVHELCAYATVLSVAGLSAERCLAVCQ</v>
      </c>
      <c r="K217" s="4" t="str">
        <f t="shared" si="81"/>
        <v>PLRARSLL</v>
      </c>
      <c r="L217" s="4" t="str">
        <f t="shared" si="82"/>
        <v>TPRRTRWLVALSWAASLGLALPMAVIM</v>
      </c>
      <c r="M217" s="4" t="str">
        <f t="shared" si="83"/>
        <v>CTV</v>
      </c>
      <c r="N217" s="4" t="str">
        <f t="shared" si="84"/>
        <v>RTALQVFIQVNVLVSFVLPLALTAFLNGVTVSHLLALCSQVPS</v>
      </c>
      <c r="O217" s="4" t="str">
        <f t="shared" si="85"/>
        <v>VRRIRSLQRSVQVLRAIVVMYVICWLPYHARRLMYCYV</v>
      </c>
      <c r="P217" s="4" t="str">
        <f t="shared" si="86"/>
        <v>TDPLYNFYHYFYMVTNTLFYVSSAVTPLLYNAV</v>
      </c>
      <c r="Q217" s="4" t="str">
        <f t="shared" si="87"/>
        <v>SSSFRKLFLEAV</v>
      </c>
      <c r="R217" s="5">
        <f>VLOOKUP($A217,'SegEnds_NonXtal_Prot#'!$A:$AL,3,FALSE)</f>
        <v>29</v>
      </c>
      <c r="S217" s="5" t="str">
        <f>VLOOKUP($A217,'SegEnds_NonXtal_Prot#'!$A:$AL,6,FALSE)</f>
        <v>-</v>
      </c>
      <c r="T217" s="5">
        <f>VLOOKUP($A217,'SegEnds_NonXtal_Prot#'!$A:$AL,9,FALSE)</f>
        <v>66</v>
      </c>
      <c r="U217" s="5">
        <f>VLOOKUP($A217,'SegEnds_NonXtal_Prot#'!$A:$AL,12,FALSE)</f>
        <v>100</v>
      </c>
      <c r="V217" s="5">
        <f>VLOOKUP($A217,'SegEnds_NonXtal_Prot#'!$A:$AL,15,FALSE)</f>
        <v>104</v>
      </c>
      <c r="W217" s="5">
        <f>VLOOKUP($A217,'SegEnds_NonXtal_Prot#'!$A:$AL,18,FALSE)</f>
        <v>140</v>
      </c>
      <c r="X217" s="5">
        <f>VLOOKUP($A217,'SegEnds_NonXtal_Prot#'!$A:$AL,21,FALSE)</f>
        <v>148</v>
      </c>
      <c r="Y217" s="5">
        <f>VLOOKUP($A217,'SegEnds_NonXtal_Prot#'!$A:$AL,24,FALSE)</f>
        <v>194</v>
      </c>
      <c r="Z217" s="5">
        <f>VLOOKUP($A217,'SegEnds_NonXtal_Prot#'!$A:$AL,27,FALSE)</f>
        <v>200</v>
      </c>
      <c r="AA217" s="5">
        <f>VLOOKUP($A217,'SegEnds_NonXtal_Prot#'!$A:$AL,30,FALSE)</f>
        <v>286</v>
      </c>
      <c r="AB217" s="5">
        <f>VLOOKUP($A217,'SegEnds_NonXtal_Prot#'!$A:$AL,33,FALSE)</f>
        <v>329</v>
      </c>
      <c r="AC217" s="5">
        <f>VLOOKUP($A217,'SegEnds_NonXtal_Prot#'!$A:$AL,36,FALSE)</f>
        <v>362</v>
      </c>
      <c r="AD217" s="5">
        <f>VLOOKUP($A217,'SegEnds_NonXtal_Prot#'!$A:$AL,5,FALSE)</f>
        <v>60</v>
      </c>
      <c r="AE217" s="5" t="str">
        <f>VLOOKUP($A217,'SegEnds_NonXtal_Prot#'!$A:$AL,8,FALSE)</f>
        <v>-</v>
      </c>
      <c r="AF217" s="5">
        <f>VLOOKUP($A217,'SegEnds_NonXtal_Prot#'!$A:$AL,11,FALSE)</f>
        <v>97</v>
      </c>
      <c r="AG217" s="5">
        <f>VLOOKUP($A217,'SegEnds_NonXtal_Prot#'!$A:$AL,14,FALSE)</f>
        <v>103</v>
      </c>
      <c r="AH217" s="5">
        <f>VLOOKUP($A217,'SegEnds_NonXtal_Prot#'!$A:$AL,17,FALSE)</f>
        <v>139</v>
      </c>
      <c r="AI217" s="5">
        <f>VLOOKUP($A217,'SegEnds_NonXtal_Prot#'!$A:$AL,20,FALSE)</f>
        <v>147</v>
      </c>
      <c r="AJ217" s="5">
        <f>VLOOKUP($A217,'SegEnds_NonXtal_Prot#'!$A:$AL,23,FALSE)</f>
        <v>174</v>
      </c>
      <c r="AK217" s="5">
        <f>VLOOKUP($A217,'SegEnds_NonXtal_Prot#'!$A:$AL,26,FALSE)</f>
        <v>196</v>
      </c>
      <c r="AL217" s="5">
        <f>VLOOKUP($A217,'SegEnds_NonXtal_Prot#'!$A:$AL,29,FALSE)</f>
        <v>242</v>
      </c>
      <c r="AM217" s="5">
        <f>VLOOKUP($A217,'SegEnds_NonXtal_Prot#'!$A:$AL,32,FALSE)</f>
        <v>323</v>
      </c>
      <c r="AN217" s="5">
        <f>VLOOKUP($A217,'SegEnds_NonXtal_Prot#'!$A:$AL,35,FALSE)</f>
        <v>361</v>
      </c>
      <c r="AO217" s="5">
        <f>VLOOKUP($A217,'SegEnds_NonXtal_Prot#'!$A:$AL,38,FALSE)</f>
        <v>373</v>
      </c>
      <c r="AP217" s="5">
        <f t="shared" si="88"/>
        <v>31</v>
      </c>
      <c r="AQ217" s="4" t="str">
        <f t="shared" si="89"/>
        <v>-</v>
      </c>
      <c r="AR217" s="4">
        <f t="shared" si="90"/>
        <v>31</v>
      </c>
      <c r="AS217" s="4">
        <f t="shared" si="91"/>
        <v>3</v>
      </c>
      <c r="AT217" s="4">
        <f t="shared" si="92"/>
        <v>35</v>
      </c>
      <c r="AU217" s="4">
        <f t="shared" si="93"/>
        <v>7</v>
      </c>
      <c r="AV217" s="4">
        <f t="shared" si="94"/>
        <v>26</v>
      </c>
      <c r="AW217" s="4">
        <f t="shared" si="95"/>
        <v>2</v>
      </c>
      <c r="AX217" s="4">
        <f t="shared" si="96"/>
        <v>42</v>
      </c>
      <c r="AY217" s="4">
        <f t="shared" si="97"/>
        <v>37</v>
      </c>
      <c r="AZ217" s="4">
        <f t="shared" si="98"/>
        <v>32</v>
      </c>
      <c r="BA217" s="4">
        <f t="shared" si="99"/>
        <v>11</v>
      </c>
    </row>
    <row r="218" spans="1:53" x14ac:dyDescent="0.2">
      <c r="A218" s="1" t="str">
        <f>'SegEnds_NonXtal_Prot#'!A199</f>
        <v>ogr1_human</v>
      </c>
      <c r="B218" s="1" t="str">
        <f t="shared" si="75"/>
        <v>TLAPVVYVTVLVVGFPANCLSLYFGYLQNELGVYLCNLTVADLFYICSLPFWLQYVLQGDLSCQVCGILLYENIYISVGFLCCISVDRYLAVAHTLKAAVGVSVVIWAKELLTSIYFLMHEPIQAWQRAINYYRFLVGFLFPICLLLASYQGILRAVRRQKSRKDQIQRLVLSTVVIFLACFLPYHVLLLVRSVWAKGVFNAYHFSLLLTSFNCVADPVLYCFVSETTHRDLARLRGAC</v>
      </c>
      <c r="C218" s="29" t="str">
        <f>IF(ISERROR(MATCH(A218,'SegEnds_Xtal_Prot#'!B:B, 0)), "NoXtal", "Xtal")</f>
        <v>NoXtal</v>
      </c>
      <c r="D218" s="4" t="str">
        <f>VLOOKUP(A218,Classification!A:D,2,FALSE)</f>
        <v>A</v>
      </c>
      <c r="E218" s="5" t="str">
        <f>VLOOKUP(A218,Seqs!A:B,2,FALSE)</f>
        <v>MGNITADNSSMSCTIDHTIHQTLAPVVYVTVLVVGFPANCLSLYFGYLQIKARNELGVYLCNLTVADLFYICSLPFWLQYVLQHDNWSHGDLSCQVCGILLYENIYISVGFLCCISVDRYLAVAHPFRFHQFRTLKAAVGVSVVIWAKELLTSIYFLMHEEVIEDENQHRVCFEHYPIQAWQRAINYYRFLVGFLFPICLLLASYQGILRAVRRSHGTQKSRKDQIQRLVLSTVVIFLACFLPYHVLLLVRSVWEASCDFAKGVFNAYHFSLLLTSFNCVADPVLYCFVSETTHRDLARLRGACLAFLTCSRTGRAREAYPLGAPEASGKSGAQGEEPELLTKLHPAFQTPNSPGSGGFPTGRLA</v>
      </c>
      <c r="F218" s="5" t="str">
        <f t="shared" si="76"/>
        <v>TLAPVVYVTVLVVGFPANCLSLYFGYLQ</v>
      </c>
      <c r="G218" s="4" t="str">
        <f t="shared" si="77"/>
        <v>IKAR</v>
      </c>
      <c r="H218" s="4" t="str">
        <f t="shared" si="78"/>
        <v>NELGVYLCNLTVADLFYICSLPFWLQYVLQ</v>
      </c>
      <c r="I218" s="4" t="str">
        <f t="shared" si="79"/>
        <v>NWSH</v>
      </c>
      <c r="J218" s="4" t="str">
        <f t="shared" si="80"/>
        <v>GDLSCQVCGILLYENIYISVGFLCCISVDRYLAVAH</v>
      </c>
      <c r="K218" s="4" t="str">
        <f t="shared" si="81"/>
        <v>PFRFHQFR</v>
      </c>
      <c r="L218" s="4" t="str">
        <f t="shared" si="82"/>
        <v>TLKAAVGVSVVIWAKELLTSIYFLMHE</v>
      </c>
      <c r="M218" s="4" t="str">
        <f t="shared" si="83"/>
        <v>CFE</v>
      </c>
      <c r="N218" s="4" t="str">
        <f t="shared" si="84"/>
        <v>PIQAWQRAINYYRFLVGFLFPICLLLASYQGILRAVRR</v>
      </c>
      <c r="O218" s="4" t="str">
        <f t="shared" si="85"/>
        <v>QKSRKDQIQRLVLSTVVIFLACFLPYHVLLLVRSVW</v>
      </c>
      <c r="P218" s="4" t="str">
        <f t="shared" si="86"/>
        <v>AKGVFNAYHFSLLLTSFNCVADPVLYCFV</v>
      </c>
      <c r="Q218" s="4" t="str">
        <f t="shared" si="87"/>
        <v>SETTHRDLARLRGAC</v>
      </c>
      <c r="R218" s="5">
        <f>VLOOKUP($A218,'SegEnds_NonXtal_Prot#'!$A:$AL,3,FALSE)</f>
        <v>22</v>
      </c>
      <c r="S218" s="5">
        <f>VLOOKUP($A218,'SegEnds_NonXtal_Prot#'!$A:$AL,6,FALSE)</f>
        <v>50</v>
      </c>
      <c r="T218" s="5">
        <f>VLOOKUP($A218,'SegEnds_NonXtal_Prot#'!$A:$AL,9,FALSE)</f>
        <v>54</v>
      </c>
      <c r="U218" s="5">
        <f>VLOOKUP($A218,'SegEnds_NonXtal_Prot#'!$A:$AL,12,FALSE)</f>
        <v>86</v>
      </c>
      <c r="V218" s="5">
        <f>VLOOKUP($A218,'SegEnds_NonXtal_Prot#'!$A:$AL,15,FALSE)</f>
        <v>90</v>
      </c>
      <c r="W218" s="5">
        <f>VLOOKUP($A218,'SegEnds_NonXtal_Prot#'!$A:$AL,18,FALSE)</f>
        <v>126</v>
      </c>
      <c r="X218" s="5">
        <f>VLOOKUP($A218,'SegEnds_NonXtal_Prot#'!$A:$AL,21,FALSE)</f>
        <v>134</v>
      </c>
      <c r="Y218" s="5">
        <f>VLOOKUP($A218,'SegEnds_NonXtal_Prot#'!$A:$AL,24,FALSE)</f>
        <v>172</v>
      </c>
      <c r="Z218" s="5">
        <f>VLOOKUP($A218,'SegEnds_NonXtal_Prot#'!$A:$AL,27,FALSE)</f>
        <v>177</v>
      </c>
      <c r="AA218" s="5">
        <f>VLOOKUP($A218,'SegEnds_NonXtal_Prot#'!$A:$AL,30,FALSE)</f>
        <v>219</v>
      </c>
      <c r="AB218" s="5">
        <f>VLOOKUP($A218,'SegEnds_NonXtal_Prot#'!$A:$AL,33,FALSE)</f>
        <v>261</v>
      </c>
      <c r="AC218" s="5">
        <f>VLOOKUP($A218,'SegEnds_NonXtal_Prot#'!$A:$AL,36,FALSE)</f>
        <v>290</v>
      </c>
      <c r="AD218" s="5">
        <f>VLOOKUP($A218,'SegEnds_NonXtal_Prot#'!$A:$AL,5,FALSE)</f>
        <v>49</v>
      </c>
      <c r="AE218" s="5">
        <f>VLOOKUP($A218,'SegEnds_NonXtal_Prot#'!$A:$AL,8,FALSE)</f>
        <v>53</v>
      </c>
      <c r="AF218" s="5">
        <f>VLOOKUP($A218,'SegEnds_NonXtal_Prot#'!$A:$AL,11,FALSE)</f>
        <v>83</v>
      </c>
      <c r="AG218" s="5">
        <f>VLOOKUP($A218,'SegEnds_NonXtal_Prot#'!$A:$AL,14,FALSE)</f>
        <v>89</v>
      </c>
      <c r="AH218" s="5">
        <f>VLOOKUP($A218,'SegEnds_NonXtal_Prot#'!$A:$AL,17,FALSE)</f>
        <v>125</v>
      </c>
      <c r="AI218" s="5">
        <f>VLOOKUP($A218,'SegEnds_NonXtal_Prot#'!$A:$AL,20,FALSE)</f>
        <v>133</v>
      </c>
      <c r="AJ218" s="5">
        <f>VLOOKUP($A218,'SegEnds_NonXtal_Prot#'!$A:$AL,23,FALSE)</f>
        <v>160</v>
      </c>
      <c r="AK218" s="5">
        <f>VLOOKUP($A218,'SegEnds_NonXtal_Prot#'!$A:$AL,26,FALSE)</f>
        <v>174</v>
      </c>
      <c r="AL218" s="5">
        <f>VLOOKUP($A218,'SegEnds_NonXtal_Prot#'!$A:$AL,29,FALSE)</f>
        <v>214</v>
      </c>
      <c r="AM218" s="5">
        <f>VLOOKUP($A218,'SegEnds_NonXtal_Prot#'!$A:$AL,32,FALSE)</f>
        <v>254</v>
      </c>
      <c r="AN218" s="5">
        <f>VLOOKUP($A218,'SegEnds_NonXtal_Prot#'!$A:$AL,35,FALSE)</f>
        <v>289</v>
      </c>
      <c r="AO218" s="5">
        <f>VLOOKUP($A218,'SegEnds_NonXtal_Prot#'!$A:$AL,38,FALSE)</f>
        <v>304</v>
      </c>
      <c r="AP218" s="5">
        <f t="shared" si="88"/>
        <v>27</v>
      </c>
      <c r="AQ218" s="4">
        <f t="shared" si="89"/>
        <v>3</v>
      </c>
      <c r="AR218" s="4">
        <f t="shared" si="90"/>
        <v>29</v>
      </c>
      <c r="AS218" s="4">
        <f t="shared" si="91"/>
        <v>3</v>
      </c>
      <c r="AT218" s="4">
        <f t="shared" si="92"/>
        <v>35</v>
      </c>
      <c r="AU218" s="4">
        <f t="shared" si="93"/>
        <v>7</v>
      </c>
      <c r="AV218" s="4">
        <f t="shared" si="94"/>
        <v>26</v>
      </c>
      <c r="AW218" s="4">
        <f t="shared" si="95"/>
        <v>2</v>
      </c>
      <c r="AX218" s="4">
        <f t="shared" si="96"/>
        <v>37</v>
      </c>
      <c r="AY218" s="4">
        <f t="shared" si="97"/>
        <v>35</v>
      </c>
      <c r="AZ218" s="4">
        <f t="shared" si="98"/>
        <v>28</v>
      </c>
      <c r="BA218" s="4">
        <f t="shared" si="99"/>
        <v>14</v>
      </c>
    </row>
    <row r="219" spans="1:53" x14ac:dyDescent="0.2">
      <c r="A219" s="1" t="str">
        <f>'SegEnds_NonXtal_Prot#'!A201</f>
        <v>oprd_human</v>
      </c>
      <c r="B219" s="1" t="str">
        <f t="shared" si="75"/>
        <v>GARSASSLALAIAITALYSAVCAVGLLGNVLVMFGIVRYTATNIYIFNLALADALATSTLPFQSAKYLMGELLCKAVLSIDYYNMFTSIFTLTMMSVDRYIAVCHTPAKAKLINICIWVLASGVGVPIMVMASWYWDTVTKICVFLFAFVVPILIITVCYGLMLLRLRSVSKEKDRSLRRITRMVLVVVGAFVVCWAPIHIFVIVWTLVDPLVVAALHLCIALGYANSSLNPVLYAFLDENFKRCFRQLCRK</v>
      </c>
      <c r="C219" s="29" t="str">
        <f>IF(ISERROR(MATCH(A219,'SegEnds_Xtal_Prot#'!B:B, 0)), "NoXtal", "Xtal")</f>
        <v>Xtal</v>
      </c>
      <c r="D219" s="4" t="str">
        <f>VLOOKUP(A219,Classification!A:D,2,FALSE)</f>
        <v>A</v>
      </c>
      <c r="E219" s="5" t="str">
        <f>VLOOKUP(A219,Seqs!A:B,2,FALSE)</f>
        <v>MEPAPSAGAELQPPLFANASDAYPSACPSAGANASGPPGARSASSLALAIAITALYSAVCAVGLLGNVLVMFGIVRYTKMKTATNIYIFNLALADALATSTLPFQSAKYLMETWPFGELLCKAVLSIDYYNMFTSIFTLTMMSVDRYIAVCHPVKALDFRTPAKAKLINICIWVLASGVGVPIMVMAVTRPRDGAVVCMLQFPSPSWYWDTVTKICVFLFAFVVPILIITVCYGLMLLRLRSVRLLSGSKEKDRSLRRITRMVLVVVGAFVVCWAPIHIFVIVWTLVDIDRRDPLVVAALHLCIALGYANSSLNPVLYAFLDENFKRCFRQLCRKPCGRPDPSSFSRAREATARERVTACTPSDGPGGGAAA</v>
      </c>
      <c r="F219" s="5" t="str">
        <f t="shared" si="76"/>
        <v>GARSASSLALAIAITALYSAVCAVGLLGNVLVMFGIVRY</v>
      </c>
      <c r="G219" s="4" t="str">
        <f t="shared" si="77"/>
        <v>TKMK</v>
      </c>
      <c r="H219" s="4" t="str">
        <f t="shared" si="78"/>
        <v>TATNIYIFNLALADALATSTLPFQSAKYLM</v>
      </c>
      <c r="I219" s="4" t="str">
        <f t="shared" si="79"/>
        <v>TWPF</v>
      </c>
      <c r="J219" s="4" t="str">
        <f t="shared" si="80"/>
        <v>GELLCKAVLSIDYYNMFTSIFTLTMMSVDRYIAVCH</v>
      </c>
      <c r="K219" s="4" t="str">
        <f t="shared" si="81"/>
        <v>PVKALDFR</v>
      </c>
      <c r="L219" s="4" t="str">
        <f t="shared" si="82"/>
        <v>TPAKAKLINICIWVLASGVGVPIMVMA</v>
      </c>
      <c r="M219" s="4" t="str">
        <f t="shared" si="83"/>
        <v>CML</v>
      </c>
      <c r="N219" s="4" t="str">
        <f t="shared" si="84"/>
        <v>SWYWDTVTKICVFLFAFVVPILIITVCYGLMLLRLRSV</v>
      </c>
      <c r="O219" s="4" t="str">
        <f t="shared" si="85"/>
        <v>SKEKDRSLRRITRMVLVVVGAFVVCWAPIHIFVIVWTLV</v>
      </c>
      <c r="P219" s="4" t="str">
        <f t="shared" si="86"/>
        <v>DPLVVAALHLCIALGYANSSLNPVLYAFL</v>
      </c>
      <c r="Q219" s="4" t="str">
        <f t="shared" si="87"/>
        <v>DENFKRCFRQLCRK</v>
      </c>
      <c r="R219" s="5">
        <f>VLOOKUP($A219,'SegEnds_NonXtal_Prot#'!$A:$AL,3,FALSE)</f>
        <v>39</v>
      </c>
      <c r="S219" s="5">
        <f>VLOOKUP($A219,'SegEnds_NonXtal_Prot#'!$A:$AL,6,FALSE)</f>
        <v>78</v>
      </c>
      <c r="T219" s="5">
        <f>VLOOKUP($A219,'SegEnds_NonXtal_Prot#'!$A:$AL,9,FALSE)</f>
        <v>82</v>
      </c>
      <c r="U219" s="5">
        <f>VLOOKUP($A219,'SegEnds_NonXtal_Prot#'!$A:$AL,12,FALSE)</f>
        <v>113</v>
      </c>
      <c r="V219" s="5">
        <f>VLOOKUP($A219,'SegEnds_NonXtal_Prot#'!$A:$AL,15,FALSE)</f>
        <v>117</v>
      </c>
      <c r="W219" s="5">
        <f>VLOOKUP($A219,'SegEnds_NonXtal_Prot#'!$A:$AL,18,FALSE)</f>
        <v>153</v>
      </c>
      <c r="X219" s="5">
        <f>VLOOKUP($A219,'SegEnds_NonXtal_Prot#'!$A:$AL,21,FALSE)</f>
        <v>161</v>
      </c>
      <c r="Y219" s="5">
        <f>VLOOKUP($A219,'SegEnds_NonXtal_Prot#'!$A:$AL,24,FALSE)</f>
        <v>198</v>
      </c>
      <c r="Z219" s="5">
        <f>VLOOKUP($A219,'SegEnds_NonXtal_Prot#'!$A:$AL,27,FALSE)</f>
        <v>206</v>
      </c>
      <c r="AA219" s="5">
        <f>VLOOKUP($A219,'SegEnds_NonXtal_Prot#'!$A:$AL,30,FALSE)</f>
        <v>249</v>
      </c>
      <c r="AB219" s="5">
        <f>VLOOKUP($A219,'SegEnds_NonXtal_Prot#'!$A:$AL,33,FALSE)</f>
        <v>293</v>
      </c>
      <c r="AC219" s="5">
        <f>VLOOKUP($A219,'SegEnds_NonXtal_Prot#'!$A:$AL,36,FALSE)</f>
        <v>322</v>
      </c>
      <c r="AD219" s="5">
        <f>VLOOKUP($A219,'SegEnds_NonXtal_Prot#'!$A:$AL,5,FALSE)</f>
        <v>77</v>
      </c>
      <c r="AE219" s="5">
        <f>VLOOKUP($A219,'SegEnds_NonXtal_Prot#'!$A:$AL,8,FALSE)</f>
        <v>81</v>
      </c>
      <c r="AF219" s="5">
        <f>VLOOKUP($A219,'SegEnds_NonXtal_Prot#'!$A:$AL,11,FALSE)</f>
        <v>111</v>
      </c>
      <c r="AG219" s="5">
        <f>VLOOKUP($A219,'SegEnds_NonXtal_Prot#'!$A:$AL,14,FALSE)</f>
        <v>116</v>
      </c>
      <c r="AH219" s="5">
        <f>VLOOKUP($A219,'SegEnds_NonXtal_Prot#'!$A:$AL,17,FALSE)</f>
        <v>152</v>
      </c>
      <c r="AI219" s="5">
        <f>VLOOKUP($A219,'SegEnds_NonXtal_Prot#'!$A:$AL,20,FALSE)</f>
        <v>160</v>
      </c>
      <c r="AJ219" s="5">
        <f>VLOOKUP($A219,'SegEnds_NonXtal_Prot#'!$A:$AL,23,FALSE)</f>
        <v>187</v>
      </c>
      <c r="AK219" s="5">
        <f>VLOOKUP($A219,'SegEnds_NonXtal_Prot#'!$A:$AL,26,FALSE)</f>
        <v>200</v>
      </c>
      <c r="AL219" s="5">
        <f>VLOOKUP($A219,'SegEnds_NonXtal_Prot#'!$A:$AL,29,FALSE)</f>
        <v>243</v>
      </c>
      <c r="AM219" s="5">
        <f>VLOOKUP($A219,'SegEnds_NonXtal_Prot#'!$A:$AL,32,FALSE)</f>
        <v>287</v>
      </c>
      <c r="AN219" s="5">
        <f>VLOOKUP($A219,'SegEnds_NonXtal_Prot#'!$A:$AL,35,FALSE)</f>
        <v>321</v>
      </c>
      <c r="AO219" s="5">
        <f>VLOOKUP($A219,'SegEnds_NonXtal_Prot#'!$A:$AL,38,FALSE)</f>
        <v>335</v>
      </c>
      <c r="AP219" s="5">
        <f t="shared" si="88"/>
        <v>38</v>
      </c>
      <c r="AQ219" s="4">
        <f t="shared" si="89"/>
        <v>3</v>
      </c>
      <c r="AR219" s="4">
        <f t="shared" si="90"/>
        <v>29</v>
      </c>
      <c r="AS219" s="4">
        <f t="shared" si="91"/>
        <v>3</v>
      </c>
      <c r="AT219" s="4">
        <f t="shared" si="92"/>
        <v>35</v>
      </c>
      <c r="AU219" s="4">
        <f t="shared" si="93"/>
        <v>7</v>
      </c>
      <c r="AV219" s="4">
        <f t="shared" si="94"/>
        <v>26</v>
      </c>
      <c r="AW219" s="4">
        <f t="shared" si="95"/>
        <v>2</v>
      </c>
      <c r="AX219" s="4">
        <f t="shared" si="96"/>
        <v>37</v>
      </c>
      <c r="AY219" s="4">
        <f t="shared" si="97"/>
        <v>38</v>
      </c>
      <c r="AZ219" s="4">
        <f t="shared" si="98"/>
        <v>28</v>
      </c>
      <c r="BA219" s="4">
        <f t="shared" si="99"/>
        <v>13</v>
      </c>
    </row>
    <row r="220" spans="1:53" x14ac:dyDescent="0.2">
      <c r="A220" s="1" t="str">
        <f>'SegEnds_NonXtal_Prot#'!A202</f>
        <v>oprd_mouse</v>
      </c>
      <c r="B220" s="1" t="str">
        <f t="shared" si="75"/>
        <v>RSASSLALAIAITALYSAVCAVGLLGNVLVMFGIVRYTATNIYIFNLALADALATSTLPFQSAKYLMGELLCKAVLSIDYYNMFTSIFTLTMMSVDRYIAVCHTPAKAKLINICIWVLASGVGVPIMVMASWYWDTVTKICVFLFAFVVPILIITVCYGLMLLRLRSVSKEKDRSLRRITRMVLVVVGAFVVCWAPIHIFVIVWTLVDPLVVAALHLCIALGYANSSLNPVLYAFLDENFKRCFRQLCRT</v>
      </c>
      <c r="C220" s="29" t="str">
        <f>IF(ISERROR(MATCH(A220,'SegEnds_Xtal_Prot#'!B:B, 0)), "NoXtal", "Xtal")</f>
        <v>Xtal</v>
      </c>
      <c r="D220" s="4" t="str">
        <f>VLOOKUP(A220,Classification!A:D,2,FALSE)</f>
        <v>A</v>
      </c>
      <c r="E220" s="5" t="str">
        <f>VLOOKUP(A220,Seqs!A:B,2,FALSE)</f>
        <v>MELVPSARAELQSSPLVNLSDAFPSAFPSAGANASGSPGARSASSLALAIAITALYSAVCAVGLLGNVLVMFGIVRYTKLKTATNIYIFNLALADALATSTLPFQSAKYLMETWPFGELLCKAVLSIDYYNMFTSIFTLTMMSVDRYIAVCHPVKALDFRTPAKAKLINICIWVLASGVGVPIMVMAVTQPRDGAVVCMLQFPSPSWYWDTVTKICVFLFAFVVPILIITVCYGLMLLRLRSVRLLSGSKEKDRSLRRITRMVLVVVGAFVVCWAPIHIFVIVWTLVDINRRDPLVVAALHLCIALGYANSSLNPVLYAFLDENFKRCFRQLCRTPCGRQEPGSLRRPRQATTRERVTACTPSDGPGGGAAA</v>
      </c>
      <c r="F220" s="5" t="str">
        <f t="shared" si="76"/>
        <v>RSASSLALAIAITALYSAVCAVGLLGNVLVMFGIVRY</v>
      </c>
      <c r="G220" s="4" t="str">
        <f t="shared" si="77"/>
        <v>TKLK</v>
      </c>
      <c r="H220" s="4" t="str">
        <f t="shared" si="78"/>
        <v>TATNIYIFNLALADALATSTLPFQSAKYLM</v>
      </c>
      <c r="I220" s="4" t="str">
        <f t="shared" si="79"/>
        <v>TWPF</v>
      </c>
      <c r="J220" s="4" t="str">
        <f t="shared" si="80"/>
        <v>GELLCKAVLSIDYYNMFTSIFTLTMMSVDRYIAVCH</v>
      </c>
      <c r="K220" s="4" t="str">
        <f t="shared" si="81"/>
        <v>PVKALDFR</v>
      </c>
      <c r="L220" s="4" t="str">
        <f t="shared" si="82"/>
        <v>TPAKAKLINICIWVLASGVGVPIMVMA</v>
      </c>
      <c r="M220" s="4" t="str">
        <f t="shared" si="83"/>
        <v>CML</v>
      </c>
      <c r="N220" s="4" t="str">
        <f t="shared" si="84"/>
        <v>SWYWDTVTKICVFLFAFVVPILIITVCYGLMLLRLRSV</v>
      </c>
      <c r="O220" s="4" t="str">
        <f t="shared" si="85"/>
        <v>SKEKDRSLRRITRMVLVVVGAFVVCWAPIHIFVIVWTLV</v>
      </c>
      <c r="P220" s="4" t="str">
        <f t="shared" si="86"/>
        <v>DPLVVAALHLCIALGYANSSLNPVLYAFL</v>
      </c>
      <c r="Q220" s="4" t="str">
        <f t="shared" si="87"/>
        <v>DENFKRCFRQLCRT</v>
      </c>
      <c r="R220" s="5">
        <f>VLOOKUP($A220,'SegEnds_NonXtal_Prot#'!$A:$AL,3,FALSE)</f>
        <v>41</v>
      </c>
      <c r="S220" s="5">
        <f>VLOOKUP($A220,'SegEnds_NonXtal_Prot#'!$A:$AL,6,FALSE)</f>
        <v>78</v>
      </c>
      <c r="T220" s="5">
        <f>VLOOKUP($A220,'SegEnds_NonXtal_Prot#'!$A:$AL,9,FALSE)</f>
        <v>82</v>
      </c>
      <c r="U220" s="5">
        <f>VLOOKUP($A220,'SegEnds_NonXtal_Prot#'!$A:$AL,12,FALSE)</f>
        <v>113</v>
      </c>
      <c r="V220" s="5">
        <f>VLOOKUP($A220,'SegEnds_NonXtal_Prot#'!$A:$AL,15,FALSE)</f>
        <v>117</v>
      </c>
      <c r="W220" s="5">
        <f>VLOOKUP($A220,'SegEnds_NonXtal_Prot#'!$A:$AL,18,FALSE)</f>
        <v>153</v>
      </c>
      <c r="X220" s="5">
        <f>VLOOKUP($A220,'SegEnds_NonXtal_Prot#'!$A:$AL,21,FALSE)</f>
        <v>161</v>
      </c>
      <c r="Y220" s="5">
        <f>VLOOKUP($A220,'SegEnds_NonXtal_Prot#'!$A:$AL,24,FALSE)</f>
        <v>198</v>
      </c>
      <c r="Z220" s="5">
        <f>VLOOKUP($A220,'SegEnds_NonXtal_Prot#'!$A:$AL,27,FALSE)</f>
        <v>206</v>
      </c>
      <c r="AA220" s="5">
        <f>VLOOKUP($A220,'SegEnds_NonXtal_Prot#'!$A:$AL,30,FALSE)</f>
        <v>249</v>
      </c>
      <c r="AB220" s="5">
        <f>VLOOKUP($A220,'SegEnds_NonXtal_Prot#'!$A:$AL,33,FALSE)</f>
        <v>293</v>
      </c>
      <c r="AC220" s="5">
        <f>VLOOKUP($A220,'SegEnds_NonXtal_Prot#'!$A:$AL,36,FALSE)</f>
        <v>322</v>
      </c>
      <c r="AD220" s="5">
        <f>VLOOKUP($A220,'SegEnds_NonXtal_Prot#'!$A:$AL,5,FALSE)</f>
        <v>77</v>
      </c>
      <c r="AE220" s="5">
        <f>VLOOKUP($A220,'SegEnds_NonXtal_Prot#'!$A:$AL,8,FALSE)</f>
        <v>81</v>
      </c>
      <c r="AF220" s="5">
        <f>VLOOKUP($A220,'SegEnds_NonXtal_Prot#'!$A:$AL,11,FALSE)</f>
        <v>111</v>
      </c>
      <c r="AG220" s="5">
        <f>VLOOKUP($A220,'SegEnds_NonXtal_Prot#'!$A:$AL,14,FALSE)</f>
        <v>116</v>
      </c>
      <c r="AH220" s="5">
        <f>VLOOKUP($A220,'SegEnds_NonXtal_Prot#'!$A:$AL,17,FALSE)</f>
        <v>152</v>
      </c>
      <c r="AI220" s="5">
        <f>VLOOKUP($A220,'SegEnds_NonXtal_Prot#'!$A:$AL,20,FALSE)</f>
        <v>160</v>
      </c>
      <c r="AJ220" s="5">
        <f>VLOOKUP($A220,'SegEnds_NonXtal_Prot#'!$A:$AL,23,FALSE)</f>
        <v>187</v>
      </c>
      <c r="AK220" s="5">
        <f>VLOOKUP($A220,'SegEnds_NonXtal_Prot#'!$A:$AL,26,FALSE)</f>
        <v>200</v>
      </c>
      <c r="AL220" s="5">
        <f>VLOOKUP($A220,'SegEnds_NonXtal_Prot#'!$A:$AL,29,FALSE)</f>
        <v>243</v>
      </c>
      <c r="AM220" s="5">
        <f>VLOOKUP($A220,'SegEnds_NonXtal_Prot#'!$A:$AL,32,FALSE)</f>
        <v>287</v>
      </c>
      <c r="AN220" s="5">
        <f>VLOOKUP($A220,'SegEnds_NonXtal_Prot#'!$A:$AL,35,FALSE)</f>
        <v>321</v>
      </c>
      <c r="AO220" s="5">
        <f>VLOOKUP($A220,'SegEnds_NonXtal_Prot#'!$A:$AL,38,FALSE)</f>
        <v>335</v>
      </c>
      <c r="AP220" s="5">
        <f t="shared" si="88"/>
        <v>36</v>
      </c>
      <c r="AQ220" s="4">
        <f t="shared" si="89"/>
        <v>3</v>
      </c>
      <c r="AR220" s="4">
        <f t="shared" si="90"/>
        <v>29</v>
      </c>
      <c r="AS220" s="4">
        <f t="shared" si="91"/>
        <v>3</v>
      </c>
      <c r="AT220" s="4">
        <f t="shared" si="92"/>
        <v>35</v>
      </c>
      <c r="AU220" s="4">
        <f t="shared" si="93"/>
        <v>7</v>
      </c>
      <c r="AV220" s="4">
        <f t="shared" si="94"/>
        <v>26</v>
      </c>
      <c r="AW220" s="4">
        <f t="shared" si="95"/>
        <v>2</v>
      </c>
      <c r="AX220" s="4">
        <f t="shared" si="96"/>
        <v>37</v>
      </c>
      <c r="AY220" s="4">
        <f t="shared" si="97"/>
        <v>38</v>
      </c>
      <c r="AZ220" s="4">
        <f t="shared" si="98"/>
        <v>28</v>
      </c>
      <c r="BA220" s="4">
        <f t="shared" si="99"/>
        <v>13</v>
      </c>
    </row>
    <row r="221" spans="1:53" x14ac:dyDescent="0.2">
      <c r="A221" s="1" t="str">
        <f>'SegEnds_NonXtal_Prot#'!A206</f>
        <v>oprx_human</v>
      </c>
      <c r="B221" s="1" t="str">
        <f t="shared" si="75"/>
        <v>LGLKVTIVGLYLAVCVGGLLGNCLVMYVILRHTATNIYIFNLALADTLVLLTLPFQGTDILLGNALCKTVIAIDYYNMFTSTFTLTAMSVDRYVAICHTSSKAQAVNVAIWALASVVGVPVAIMGQDYWGPVFAICIFLFSFIVPVLVISVCYSLMIRRLRGVSREKDRNLRRITRLVLVVVAVFVGCWTPVQVFVLAQGLGSETAVAILRFCTALGYVNSCLNPILYAFLDENFKACFRKFCC</v>
      </c>
      <c r="C221" s="29" t="str">
        <f>IF(ISERROR(MATCH(A221,'SegEnds_Xtal_Prot#'!B:B, 0)), "NoXtal", "Xtal")</f>
        <v>Xtal</v>
      </c>
      <c r="D221" s="4" t="str">
        <f>VLOOKUP(A221,Classification!A:D,2,FALSE)</f>
        <v>A</v>
      </c>
      <c r="E221" s="5" t="str">
        <f>VLOOKUP(A221,Seqs!A:B,2,FALSE)</f>
        <v>MEPLFPAPFWEVIYGSHLQGNLSLLSPNHSLLPPHLLLNASHGAFLPLGLKVTIVGLYLAVCVGGLLGNCLVMYVILRHTKMKTATNIYIFNLALADTLVLLTLPFQGTDILLGFWPFGNALCKTVIAIDYYNMFTSTFTLTAMSVDRYVAICHPIRALDVRTSSKAQAVNVAIWALASVVGVPVAIMGSAQVEDEEIECLVEIPTPQDYWGPVFAICIFLFSFIVPVLVISVCYSLMIRRLRGVRLLSGSREKDRNLRRITRLVLVVVAVFVGCWTPVQVFVLAQGLGVQPSSETAVAILRFCTALGYVNSCLNPILYAFLDENFKACFRKFCCASALRRDVQVSDRVRSIAKDVALACKTSETVPRPA</v>
      </c>
      <c r="F221" s="5" t="str">
        <f t="shared" si="76"/>
        <v>LGLKVTIVGLYLAVCVGGLLGNCLVMYVILRH</v>
      </c>
      <c r="G221" s="4" t="str">
        <f t="shared" si="77"/>
        <v>TKMK</v>
      </c>
      <c r="H221" s="4" t="str">
        <f t="shared" si="78"/>
        <v>TATNIYIFNLALADTLVLLTLPFQGTDILL</v>
      </c>
      <c r="I221" s="4" t="str">
        <f t="shared" si="79"/>
        <v>FWPF</v>
      </c>
      <c r="J221" s="4" t="str">
        <f t="shared" si="80"/>
        <v>GNALCKTVIAIDYYNMFTSTFTLTAMSVDRYVAICH</v>
      </c>
      <c r="K221" s="4" t="str">
        <f t="shared" si="81"/>
        <v>PIRALDVR</v>
      </c>
      <c r="L221" s="4" t="str">
        <f t="shared" si="82"/>
        <v>TSSKAQAVNVAIWALASVVGVPVAIMG</v>
      </c>
      <c r="M221" s="4" t="str">
        <f t="shared" si="83"/>
        <v>CLV</v>
      </c>
      <c r="N221" s="4" t="str">
        <f t="shared" si="84"/>
        <v>QDYWGPVFAICIFLFSFIVPVLVISVCYSLMIRRLRGV</v>
      </c>
      <c r="O221" s="4" t="str">
        <f t="shared" si="85"/>
        <v>SREKDRNLRRITRLVLVVVAVFVGCWTPVQVFVLAQGLG</v>
      </c>
      <c r="P221" s="4" t="str">
        <f t="shared" si="86"/>
        <v>SETAVAILRFCTALGYVNSCLNPILYAFL</v>
      </c>
      <c r="Q221" s="4" t="str">
        <f t="shared" si="87"/>
        <v>DENFKACFRKFCC</v>
      </c>
      <c r="R221" s="5">
        <f>VLOOKUP($A221,'SegEnds_NonXtal_Prot#'!$A:$AL,3,FALSE)</f>
        <v>48</v>
      </c>
      <c r="S221" s="5">
        <f>VLOOKUP($A221,'SegEnds_NonXtal_Prot#'!$A:$AL,6,FALSE)</f>
        <v>80</v>
      </c>
      <c r="T221" s="5">
        <f>VLOOKUP($A221,'SegEnds_NonXtal_Prot#'!$A:$AL,9,FALSE)</f>
        <v>84</v>
      </c>
      <c r="U221" s="5">
        <f>VLOOKUP($A221,'SegEnds_NonXtal_Prot#'!$A:$AL,12,FALSE)</f>
        <v>115</v>
      </c>
      <c r="V221" s="5">
        <f>VLOOKUP($A221,'SegEnds_NonXtal_Prot#'!$A:$AL,15,FALSE)</f>
        <v>119</v>
      </c>
      <c r="W221" s="5">
        <f>VLOOKUP($A221,'SegEnds_NonXtal_Prot#'!$A:$AL,18,FALSE)</f>
        <v>155</v>
      </c>
      <c r="X221" s="5">
        <f>VLOOKUP($A221,'SegEnds_NonXtal_Prot#'!$A:$AL,21,FALSE)</f>
        <v>163</v>
      </c>
      <c r="Y221" s="5">
        <f>VLOOKUP($A221,'SegEnds_NonXtal_Prot#'!$A:$AL,24,FALSE)</f>
        <v>200</v>
      </c>
      <c r="Z221" s="5">
        <f>VLOOKUP($A221,'SegEnds_NonXtal_Prot#'!$A:$AL,27,FALSE)</f>
        <v>208</v>
      </c>
      <c r="AA221" s="5">
        <f>VLOOKUP($A221,'SegEnds_NonXtal_Prot#'!$A:$AL,30,FALSE)</f>
        <v>251</v>
      </c>
      <c r="AB221" s="5">
        <f>VLOOKUP($A221,'SegEnds_NonXtal_Prot#'!$A:$AL,33,FALSE)</f>
        <v>294</v>
      </c>
      <c r="AC221" s="5">
        <f>VLOOKUP($A221,'SegEnds_NonXtal_Prot#'!$A:$AL,36,FALSE)</f>
        <v>323</v>
      </c>
      <c r="AD221" s="5">
        <f>VLOOKUP($A221,'SegEnds_NonXtal_Prot#'!$A:$AL,5,FALSE)</f>
        <v>79</v>
      </c>
      <c r="AE221" s="5">
        <f>VLOOKUP($A221,'SegEnds_NonXtal_Prot#'!$A:$AL,8,FALSE)</f>
        <v>83</v>
      </c>
      <c r="AF221" s="5">
        <f>VLOOKUP($A221,'SegEnds_NonXtal_Prot#'!$A:$AL,11,FALSE)</f>
        <v>113</v>
      </c>
      <c r="AG221" s="5">
        <f>VLOOKUP($A221,'SegEnds_NonXtal_Prot#'!$A:$AL,14,FALSE)</f>
        <v>118</v>
      </c>
      <c r="AH221" s="5">
        <f>VLOOKUP($A221,'SegEnds_NonXtal_Prot#'!$A:$AL,17,FALSE)</f>
        <v>154</v>
      </c>
      <c r="AI221" s="5">
        <f>VLOOKUP($A221,'SegEnds_NonXtal_Prot#'!$A:$AL,20,FALSE)</f>
        <v>162</v>
      </c>
      <c r="AJ221" s="5">
        <f>VLOOKUP($A221,'SegEnds_NonXtal_Prot#'!$A:$AL,23,FALSE)</f>
        <v>189</v>
      </c>
      <c r="AK221" s="5">
        <f>VLOOKUP($A221,'SegEnds_NonXtal_Prot#'!$A:$AL,26,FALSE)</f>
        <v>202</v>
      </c>
      <c r="AL221" s="5">
        <f>VLOOKUP($A221,'SegEnds_NonXtal_Prot#'!$A:$AL,29,FALSE)</f>
        <v>245</v>
      </c>
      <c r="AM221" s="5">
        <f>VLOOKUP($A221,'SegEnds_NonXtal_Prot#'!$A:$AL,32,FALSE)</f>
        <v>289</v>
      </c>
      <c r="AN221" s="5">
        <f>VLOOKUP($A221,'SegEnds_NonXtal_Prot#'!$A:$AL,35,FALSE)</f>
        <v>322</v>
      </c>
      <c r="AO221" s="5">
        <f>VLOOKUP($A221,'SegEnds_NonXtal_Prot#'!$A:$AL,38,FALSE)</f>
        <v>335</v>
      </c>
      <c r="AP221" s="5">
        <f t="shared" si="88"/>
        <v>31</v>
      </c>
      <c r="AQ221" s="4">
        <f t="shared" si="89"/>
        <v>3</v>
      </c>
      <c r="AR221" s="4">
        <f t="shared" si="90"/>
        <v>29</v>
      </c>
      <c r="AS221" s="4">
        <f t="shared" si="91"/>
        <v>3</v>
      </c>
      <c r="AT221" s="4">
        <f t="shared" si="92"/>
        <v>35</v>
      </c>
      <c r="AU221" s="4">
        <f t="shared" si="93"/>
        <v>7</v>
      </c>
      <c r="AV221" s="4">
        <f t="shared" si="94"/>
        <v>26</v>
      </c>
      <c r="AW221" s="4">
        <f t="shared" si="95"/>
        <v>2</v>
      </c>
      <c r="AX221" s="4">
        <f t="shared" si="96"/>
        <v>37</v>
      </c>
      <c r="AY221" s="4">
        <f t="shared" si="97"/>
        <v>38</v>
      </c>
      <c r="AZ221" s="4">
        <f t="shared" si="98"/>
        <v>28</v>
      </c>
      <c r="BA221" s="4">
        <f t="shared" si="99"/>
        <v>12</v>
      </c>
    </row>
    <row r="222" spans="1:53" x14ac:dyDescent="0.2">
      <c r="A222" s="1" t="str">
        <f>'SegEnds_NonXtal_Prot#'!A207</f>
        <v>opsd_todpa</v>
      </c>
      <c r="B222" s="1" t="str">
        <f t="shared" si="75"/>
        <v>DAVYYSLGIFIGICGIIGCGGNGIVIYLFTKTTPANMFIINLAFSDFTFSLVNGFPLMTISCFLKGFAACKVYGFIGGIFGFMSIMTMAMISIDRYNVIGRSHRRAFIMIIFVWLWSVLWAIGPIFDSTTRSNILCMFILGFFGPILIIFFCYFNIVMSVSNHEKEMAAMAKKELRKAQAGANAEMRLAKISIVIVSQFLLSWSPYAVVALLAQFGTPYAAQLPVMFAKASAIHNPMIYSVSHPKFREAISQTF</v>
      </c>
      <c r="C222" s="29" t="str">
        <f>IF(ISERROR(MATCH(A222,'SegEnds_Xtal_Prot#'!B:B, 0)), "NoXtal", "Xtal")</f>
        <v>Xtal</v>
      </c>
      <c r="D222" s="4" t="str">
        <f>VLOOKUP(A222,Classification!A:D,2,FALSE)</f>
        <v>A</v>
      </c>
      <c r="E222" s="5" t="str">
        <f>VLOOKUP(A222,Seqs!A:B,2,FALSE)</f>
        <v>MGRDLRDNETWWYNPSIVVHPHWREFDQVPDAVYYSLGIFIGICGIIGCGGNGIVIYLFTKTKSLQTPANMFIINLAFSDFTFSLVNGFPLMTISCFLKKWIFGFAACKVYGFIGGIFGFMSIMTMAMISIDRYNVIGRPMAASKKMSHRRAFIMIIFVWLWSVLWAIGPIFGWGAYTLEGVLCNCSFDYISRDSTTRSNILCMFILGFFGPILIIFFCYFNIVMSVSNHEKEMAAMAKRLNAKELRKAQAGANAEMRLAKISIVIVSQFLLSWSPYAVVALLAQFGPLEWVTPYAAQLPVMFAKASAIHNPMIYSVSHPKFREAISQTFPWVLTCCQFDDKETEDDKDAETEIPAGESSDAAPSADAAQMKEMMAMMQKMQQQQAAYPPQGYAPPPQGYPPQGYPPQGYPPQGYPPQGYPPPPQGAPPQGAPPAAPPQGVDNQAYQA</v>
      </c>
      <c r="F222" s="5" t="str">
        <f t="shared" si="76"/>
        <v>DAVYYSLGIFIGICGIIGCGGNGIVIYLFTKT</v>
      </c>
      <c r="G222" s="4" t="str">
        <f t="shared" si="77"/>
        <v>KSLQ</v>
      </c>
      <c r="H222" s="4" t="str">
        <f t="shared" si="78"/>
        <v>TPANMFIINLAFSDFTFSLVNGFPLMTISCFLK</v>
      </c>
      <c r="I222" s="4" t="str">
        <f t="shared" si="79"/>
        <v>KWIF</v>
      </c>
      <c r="J222" s="4" t="str">
        <f t="shared" si="80"/>
        <v>GFAACKVYGFIGGIFGFMSIMTMAMISIDRYNVIGR</v>
      </c>
      <c r="K222" s="4" t="str">
        <f t="shared" si="81"/>
        <v>PMAASKKM</v>
      </c>
      <c r="L222" s="4" t="str">
        <f t="shared" si="82"/>
        <v>SHRRAFIMIIFVWLWSVLWAIGPIF</v>
      </c>
      <c r="M222" s="4" t="str">
        <f t="shared" si="83"/>
        <v>CSF</v>
      </c>
      <c r="N222" s="4" t="str">
        <f t="shared" si="84"/>
        <v>DSTTRSNILCMFILGFFGPILIIFFCYFNIVMSVSNHEKEMAAMAK</v>
      </c>
      <c r="O222" s="4" t="str">
        <f t="shared" si="85"/>
        <v>KELRKAQAGANAEMRLAKISIVIVSQFLLSWSPYAVVALLAQFG</v>
      </c>
      <c r="P222" s="4" t="str">
        <f t="shared" si="86"/>
        <v>TPYAAQLPVMFAKASAIHNPMIYSVS</v>
      </c>
      <c r="Q222" s="4" t="str">
        <f t="shared" si="87"/>
        <v>HPKFREAISQTF</v>
      </c>
      <c r="R222" s="5">
        <f>VLOOKUP($A222,'SegEnds_NonXtal_Prot#'!$A:$AL,3,FALSE)</f>
        <v>31</v>
      </c>
      <c r="S222" s="5">
        <f>VLOOKUP($A222,'SegEnds_NonXtal_Prot#'!$A:$AL,6,FALSE)</f>
        <v>63</v>
      </c>
      <c r="T222" s="5">
        <f>VLOOKUP($A222,'SegEnds_NonXtal_Prot#'!$A:$AL,9,FALSE)</f>
        <v>67</v>
      </c>
      <c r="U222" s="5">
        <f>VLOOKUP($A222,'SegEnds_NonXtal_Prot#'!$A:$AL,12,FALSE)</f>
        <v>100</v>
      </c>
      <c r="V222" s="5">
        <f>VLOOKUP($A222,'SegEnds_NonXtal_Prot#'!$A:$AL,15,FALSE)</f>
        <v>104</v>
      </c>
      <c r="W222" s="5">
        <f>VLOOKUP($A222,'SegEnds_NonXtal_Prot#'!$A:$AL,18,FALSE)</f>
        <v>140</v>
      </c>
      <c r="X222" s="5">
        <f>VLOOKUP($A222,'SegEnds_NonXtal_Prot#'!$A:$AL,21,FALSE)</f>
        <v>148</v>
      </c>
      <c r="Y222" s="5">
        <f>VLOOKUP($A222,'SegEnds_NonXtal_Prot#'!$A:$AL,24,FALSE)</f>
        <v>186</v>
      </c>
      <c r="Z222" s="5">
        <f>VLOOKUP($A222,'SegEnds_NonXtal_Prot#'!$A:$AL,27,FALSE)</f>
        <v>194</v>
      </c>
      <c r="AA222" s="5">
        <f>VLOOKUP($A222,'SegEnds_NonXtal_Prot#'!$A:$AL,30,FALSE)</f>
        <v>244</v>
      </c>
      <c r="AB222" s="5">
        <f>VLOOKUP($A222,'SegEnds_NonXtal_Prot#'!$A:$AL,33,FALSE)</f>
        <v>293</v>
      </c>
      <c r="AC222" s="5">
        <f>VLOOKUP($A222,'SegEnds_NonXtal_Prot#'!$A:$AL,36,FALSE)</f>
        <v>319</v>
      </c>
      <c r="AD222" s="5">
        <f>VLOOKUP($A222,'SegEnds_NonXtal_Prot#'!$A:$AL,5,FALSE)</f>
        <v>62</v>
      </c>
      <c r="AE222" s="5">
        <f>VLOOKUP($A222,'SegEnds_NonXtal_Prot#'!$A:$AL,8,FALSE)</f>
        <v>66</v>
      </c>
      <c r="AF222" s="5">
        <f>VLOOKUP($A222,'SegEnds_NonXtal_Prot#'!$A:$AL,11,FALSE)</f>
        <v>99</v>
      </c>
      <c r="AG222" s="5">
        <f>VLOOKUP($A222,'SegEnds_NonXtal_Prot#'!$A:$AL,14,FALSE)</f>
        <v>103</v>
      </c>
      <c r="AH222" s="5">
        <f>VLOOKUP($A222,'SegEnds_NonXtal_Prot#'!$A:$AL,17,FALSE)</f>
        <v>139</v>
      </c>
      <c r="AI222" s="5">
        <f>VLOOKUP($A222,'SegEnds_NonXtal_Prot#'!$A:$AL,20,FALSE)</f>
        <v>147</v>
      </c>
      <c r="AJ222" s="5">
        <f>VLOOKUP($A222,'SegEnds_NonXtal_Prot#'!$A:$AL,23,FALSE)</f>
        <v>172</v>
      </c>
      <c r="AK222" s="5">
        <f>VLOOKUP($A222,'SegEnds_NonXtal_Prot#'!$A:$AL,26,FALSE)</f>
        <v>188</v>
      </c>
      <c r="AL222" s="5">
        <f>VLOOKUP($A222,'SegEnds_NonXtal_Prot#'!$A:$AL,29,FALSE)</f>
        <v>239</v>
      </c>
      <c r="AM222" s="5">
        <f>VLOOKUP($A222,'SegEnds_NonXtal_Prot#'!$A:$AL,32,FALSE)</f>
        <v>287</v>
      </c>
      <c r="AN222" s="5">
        <f>VLOOKUP($A222,'SegEnds_NonXtal_Prot#'!$A:$AL,35,FALSE)</f>
        <v>318</v>
      </c>
      <c r="AO222" s="5">
        <f>VLOOKUP($A222,'SegEnds_NonXtal_Prot#'!$A:$AL,38,FALSE)</f>
        <v>330</v>
      </c>
      <c r="AP222" s="5">
        <f t="shared" si="88"/>
        <v>31</v>
      </c>
      <c r="AQ222" s="4">
        <f t="shared" si="89"/>
        <v>3</v>
      </c>
      <c r="AR222" s="4">
        <f t="shared" si="90"/>
        <v>32</v>
      </c>
      <c r="AS222" s="4">
        <f t="shared" si="91"/>
        <v>3</v>
      </c>
      <c r="AT222" s="4">
        <f t="shared" si="92"/>
        <v>35</v>
      </c>
      <c r="AU222" s="4">
        <f t="shared" si="93"/>
        <v>7</v>
      </c>
      <c r="AV222" s="4">
        <f t="shared" si="94"/>
        <v>24</v>
      </c>
      <c r="AW222" s="4">
        <f t="shared" si="95"/>
        <v>2</v>
      </c>
      <c r="AX222" s="4">
        <f t="shared" si="96"/>
        <v>45</v>
      </c>
      <c r="AY222" s="4">
        <f t="shared" si="97"/>
        <v>43</v>
      </c>
      <c r="AZ222" s="4">
        <f t="shared" si="98"/>
        <v>25</v>
      </c>
      <c r="BA222" s="4">
        <f t="shared" si="99"/>
        <v>11</v>
      </c>
    </row>
    <row r="223" spans="1:53" x14ac:dyDescent="0.2">
      <c r="A223" s="1" t="str">
        <f>'SegEnds_NonXtal_Prot#'!A208</f>
        <v>oxer1_human</v>
      </c>
      <c r="B223" s="1" t="str">
        <f t="shared" si="75"/>
        <v>SAFLAPILALEFVLGLVGNSLALFIFCIHTSNTVFLVSLVAADFLLISNLPLRVDYYLLHGAAACKVNLFMLSTNRTASVVFLTAIALNRYLKVVQSVGAAARVAGGLWVGILLLNGHLLLSTYRVGTKPSASLRWHQALYLLEFFLPLALILFAIVSIGLTIRNGQAGPQRAMRVLAMVVAVYTICFLPSIIFGMASMVALDLCTQLFHGSLAFTYLNSVLDPVLYCFSSPNFLHQSRALLGLTRGR</v>
      </c>
      <c r="C223" s="29" t="str">
        <f>IF(ISERROR(MATCH(A223,'SegEnds_Xtal_Prot#'!B:B, 0)), "NoXtal", "Xtal")</f>
        <v>NoXtal</v>
      </c>
      <c r="D223" s="4" t="str">
        <f>VLOOKUP(A223,Classification!A:D,2,FALSE)</f>
        <v>A</v>
      </c>
      <c r="E223" s="5" t="str">
        <f>VLOOKUP(A223,Seqs!A:B,2,FALSE)</f>
        <v>MLCHRGGQLIVPIIPLCPEHSCRGRRLQNLLSGPWPKQPMELHNLSSPSPSLSSSVLPPSFSPSPSSAPSAFTTVGGSSGGPCHPTSSSLVSAFLAPILALEFVLGLVGNSLALFIFCIHTRPWTSNTVFLVSLVAADFLLISNLPLRVDYYLLHETWRFGAAACKVNLFMLSTNRTASVVFLTAIALNRYLKVVQPHHVLSRASVGAAARVAGGLWVGILLLNGHLLLSTFSGPSCLSYRVGTKPSASLRWHQALYLLEFFLPLALILFAIVSIGLTIRNRGLGGQAGPQRAMRVLAMVVAVYTICFLPSIIFGMASMVAFWLSACRSLDLCTQLFHGSLAFTYLNSVLDPVLYCFSSPNFLHQSRALLGLTRGRQGPVSDESSYQPSRQWRYREASRKAEAIGKLKVQGEVSLEKEGSSQG</v>
      </c>
      <c r="F223" s="5" t="str">
        <f t="shared" si="76"/>
        <v>SAFLAPILALEFVLGLVGNSLALFIFCIH</v>
      </c>
      <c r="G223" s="4" t="str">
        <f t="shared" si="77"/>
        <v>TRPW</v>
      </c>
      <c r="H223" s="4" t="str">
        <f t="shared" si="78"/>
        <v>TSNTVFLVSLVAADFLLISNLPLRVDYYLLH</v>
      </c>
      <c r="I223" s="4" t="str">
        <f t="shared" si="79"/>
        <v>TWRF</v>
      </c>
      <c r="J223" s="4" t="str">
        <f t="shared" si="80"/>
        <v>GAAACKVNLFMLSTNRTASVVFLTAIALNRYLKVVQ</v>
      </c>
      <c r="K223" s="4" t="str">
        <f t="shared" si="81"/>
        <v>PHHVLSRA</v>
      </c>
      <c r="L223" s="4" t="str">
        <f t="shared" si="82"/>
        <v>SVGAAARVAGGLWVGILLLNGHLLLST</v>
      </c>
      <c r="M223" s="4" t="str">
        <f t="shared" si="83"/>
        <v>CLS</v>
      </c>
      <c r="N223" s="4" t="str">
        <f t="shared" si="84"/>
        <v>YRVGTKPSASLRWHQALYLLEFFLPLALILFAIVSIGLTIRN</v>
      </c>
      <c r="O223" s="4" t="str">
        <f t="shared" si="85"/>
        <v>GQAGPQRAMRVLAMVVAVYTICFLPSIIFGMASMVA</v>
      </c>
      <c r="P223" s="4" t="str">
        <f t="shared" si="86"/>
        <v>LDLCTQLFHGSLAFTYLNSVLDPVLYCFS</v>
      </c>
      <c r="Q223" s="4" t="str">
        <f t="shared" si="87"/>
        <v>SPNFLHQSRALLGLTRGR</v>
      </c>
      <c r="R223" s="5">
        <f>VLOOKUP($A223,'SegEnds_NonXtal_Prot#'!$A:$AL,3,FALSE)</f>
        <v>92</v>
      </c>
      <c r="S223" s="5">
        <f>VLOOKUP($A223,'SegEnds_NonXtal_Prot#'!$A:$AL,6,FALSE)</f>
        <v>121</v>
      </c>
      <c r="T223" s="5">
        <f>VLOOKUP($A223,'SegEnds_NonXtal_Prot#'!$A:$AL,9,FALSE)</f>
        <v>125</v>
      </c>
      <c r="U223" s="5">
        <f>VLOOKUP($A223,'SegEnds_NonXtal_Prot#'!$A:$AL,12,FALSE)</f>
        <v>157</v>
      </c>
      <c r="V223" s="5">
        <f>VLOOKUP($A223,'SegEnds_NonXtal_Prot#'!$A:$AL,15,FALSE)</f>
        <v>161</v>
      </c>
      <c r="W223" s="5">
        <f>VLOOKUP($A223,'SegEnds_NonXtal_Prot#'!$A:$AL,18,FALSE)</f>
        <v>197</v>
      </c>
      <c r="X223" s="5">
        <f>VLOOKUP($A223,'SegEnds_NonXtal_Prot#'!$A:$AL,21,FALSE)</f>
        <v>205</v>
      </c>
      <c r="Y223" s="5">
        <f>VLOOKUP($A223,'SegEnds_NonXtal_Prot#'!$A:$AL,24,FALSE)</f>
        <v>237</v>
      </c>
      <c r="Z223" s="5">
        <f>VLOOKUP($A223,'SegEnds_NonXtal_Prot#'!$A:$AL,27,FALSE)</f>
        <v>240</v>
      </c>
      <c r="AA223" s="5">
        <f>VLOOKUP($A223,'SegEnds_NonXtal_Prot#'!$A:$AL,30,FALSE)</f>
        <v>286</v>
      </c>
      <c r="AB223" s="5">
        <f>VLOOKUP($A223,'SegEnds_NonXtal_Prot#'!$A:$AL,33,FALSE)</f>
        <v>330</v>
      </c>
      <c r="AC223" s="5">
        <f>VLOOKUP($A223,'SegEnds_NonXtal_Prot#'!$A:$AL,36,FALSE)</f>
        <v>359</v>
      </c>
      <c r="AD223" s="5">
        <f>VLOOKUP($A223,'SegEnds_NonXtal_Prot#'!$A:$AL,5,FALSE)</f>
        <v>120</v>
      </c>
      <c r="AE223" s="5">
        <f>VLOOKUP($A223,'SegEnds_NonXtal_Prot#'!$A:$AL,8,FALSE)</f>
        <v>124</v>
      </c>
      <c r="AF223" s="5">
        <f>VLOOKUP($A223,'SegEnds_NonXtal_Prot#'!$A:$AL,11,FALSE)</f>
        <v>155</v>
      </c>
      <c r="AG223" s="5">
        <f>VLOOKUP($A223,'SegEnds_NonXtal_Prot#'!$A:$AL,14,FALSE)</f>
        <v>160</v>
      </c>
      <c r="AH223" s="5">
        <f>VLOOKUP($A223,'SegEnds_NonXtal_Prot#'!$A:$AL,17,FALSE)</f>
        <v>196</v>
      </c>
      <c r="AI223" s="5">
        <f>VLOOKUP($A223,'SegEnds_NonXtal_Prot#'!$A:$AL,20,FALSE)</f>
        <v>204</v>
      </c>
      <c r="AJ223" s="5">
        <f>VLOOKUP($A223,'SegEnds_NonXtal_Prot#'!$A:$AL,23,FALSE)</f>
        <v>231</v>
      </c>
      <c r="AK223" s="5">
        <f>VLOOKUP($A223,'SegEnds_NonXtal_Prot#'!$A:$AL,26,FALSE)</f>
        <v>239</v>
      </c>
      <c r="AL223" s="5">
        <f>VLOOKUP($A223,'SegEnds_NonXtal_Prot#'!$A:$AL,29,FALSE)</f>
        <v>281</v>
      </c>
      <c r="AM223" s="5">
        <f>VLOOKUP($A223,'SegEnds_NonXtal_Prot#'!$A:$AL,32,FALSE)</f>
        <v>321</v>
      </c>
      <c r="AN223" s="5">
        <f>VLOOKUP($A223,'SegEnds_NonXtal_Prot#'!$A:$AL,35,FALSE)</f>
        <v>358</v>
      </c>
      <c r="AO223" s="5">
        <f>VLOOKUP($A223,'SegEnds_NonXtal_Prot#'!$A:$AL,38,FALSE)</f>
        <v>376</v>
      </c>
      <c r="AP223" s="5">
        <f t="shared" si="88"/>
        <v>28</v>
      </c>
      <c r="AQ223" s="4">
        <f t="shared" si="89"/>
        <v>3</v>
      </c>
      <c r="AR223" s="4">
        <f t="shared" si="90"/>
        <v>30</v>
      </c>
      <c r="AS223" s="4">
        <f t="shared" si="91"/>
        <v>3</v>
      </c>
      <c r="AT223" s="4">
        <f t="shared" si="92"/>
        <v>35</v>
      </c>
      <c r="AU223" s="4">
        <f t="shared" si="93"/>
        <v>7</v>
      </c>
      <c r="AV223" s="4">
        <f t="shared" si="94"/>
        <v>26</v>
      </c>
      <c r="AW223" s="4">
        <f t="shared" si="95"/>
        <v>2</v>
      </c>
      <c r="AX223" s="4">
        <f t="shared" si="96"/>
        <v>41</v>
      </c>
      <c r="AY223" s="4">
        <f t="shared" si="97"/>
        <v>35</v>
      </c>
      <c r="AZ223" s="4">
        <f t="shared" si="98"/>
        <v>28</v>
      </c>
      <c r="BA223" s="4">
        <f t="shared" si="99"/>
        <v>17</v>
      </c>
    </row>
    <row r="224" spans="1:53" x14ac:dyDescent="0.2">
      <c r="A224" s="1" t="str">
        <f>'SegEnds_NonXtal_Prot#'!A209</f>
        <v>oxgr1_human</v>
      </c>
      <c r="B224" s="1" t="str">
        <f t="shared" si="75"/>
        <v>LKMHYLPVIYGIIFLVGFPGNAVVISTYIFKKSSTIIMLNLACTDLLYLTSLPFLIHYYASGDFMCKFIRFSFHFNLYSSILFLTCFSIFRYCVIIHKTRCAVVACAVVWIISLVAVIPMTFLILNTIKWYNLILTATTFCLPLVIVTLCYTTIIHTLTHDSCLKQKARRLTILLLLAFYVCFLPFHILRVIRIESSCSIENQIHEAYIVSRPLAALNTFGNLLLYVVVSDNFQQAVCSTVR</v>
      </c>
      <c r="C224" s="29" t="str">
        <f>IF(ISERROR(MATCH(A224,'SegEnds_Xtal_Prot#'!B:B, 0)), "NoXtal", "Xtal")</f>
        <v>NoXtal</v>
      </c>
      <c r="D224" s="4" t="str">
        <f>VLOOKUP(A224,Classification!A:D,2,FALSE)</f>
        <v>A</v>
      </c>
      <c r="E224" s="5" t="str">
        <f>VLOOKUP(A224,Seqs!A:B,2,FALSE)</f>
        <v>MNEPLDYLANASDFPDYAAAFGNCTDENIPLKMHYLPVIYGIIFLVGFPGNAVVISTYIFKMRPWKSSTIIMLNLACTDLLYLTSLPFLIHYYASGENWIFGDFMCKFIRFSFHFNLYSSILFLTCFSIFRYCVIIHPMSCFSIHKTRCAVVACAVVWIISLVAVIPMTFLITSTNRTNRSACLDLTSSDELNTIKWYNLILTATTFCLPLVIVTLCYTTIIHTLTHGLQTDSCLKQKARRLTILLLLAFYVCFLPFHILRVIRIESRLLSISCSIENQIHEAYIVSRPLAALNTFGNLLLYVVVSDNFQQAVCSTVRCKVSGNLEQAKKISYSNNP</v>
      </c>
      <c r="F224" s="5" t="str">
        <f t="shared" si="76"/>
        <v>LKMHYLPVIYGIIFLVGFPGNAVVISTYIFK</v>
      </c>
      <c r="G224" s="4" t="str">
        <f t="shared" si="77"/>
        <v/>
      </c>
      <c r="H224" s="4" t="str">
        <f t="shared" si="78"/>
        <v>KSSTIIMLNLACTDLLYLTSLPFLIHYYAS</v>
      </c>
      <c r="I224" s="4" t="str">
        <f t="shared" si="79"/>
        <v>NWIF</v>
      </c>
      <c r="J224" s="4" t="str">
        <f t="shared" si="80"/>
        <v>GDFMCKFIRFSFHFNLYSSILFLTCFSIFRYCVIIH</v>
      </c>
      <c r="K224" s="4" t="str">
        <f t="shared" si="81"/>
        <v>PMSCFSIH</v>
      </c>
      <c r="L224" s="4" t="str">
        <f t="shared" si="82"/>
        <v>KTRCAVVACAVVWIISLVAVIPMTFLI</v>
      </c>
      <c r="M224" s="4" t="str">
        <f t="shared" si="83"/>
        <v>CLD</v>
      </c>
      <c r="N224" s="4" t="str">
        <f t="shared" si="84"/>
        <v>LNTIKWYNLILTATTFCLPLVIVTLCYTTIIHTLTH</v>
      </c>
      <c r="O224" s="4" t="str">
        <f t="shared" si="85"/>
        <v>DSCLKQKARRLTILLLLAFYVCFLPFHILRVIRIES</v>
      </c>
      <c r="P224" s="4" t="str">
        <f t="shared" si="86"/>
        <v>SCSIENQIHEAYIVSRPLAALNTFGNLLLYVVV</v>
      </c>
      <c r="Q224" s="4" t="str">
        <f t="shared" si="87"/>
        <v>SDNFQQAVCSTVR</v>
      </c>
      <c r="R224" s="5">
        <f>VLOOKUP($A224,'SegEnds_NonXtal_Prot#'!$A:$AL,3,FALSE)</f>
        <v>31</v>
      </c>
      <c r="S224" s="5" t="str">
        <f>VLOOKUP($A224,'SegEnds_NonXtal_Prot#'!$A:$AL,6,FALSE)</f>
        <v>-</v>
      </c>
      <c r="T224" s="5">
        <f>VLOOKUP($A224,'SegEnds_NonXtal_Prot#'!$A:$AL,9,FALSE)</f>
        <v>66</v>
      </c>
      <c r="U224" s="5">
        <f>VLOOKUP($A224,'SegEnds_NonXtal_Prot#'!$A:$AL,12,FALSE)</f>
        <v>98</v>
      </c>
      <c r="V224" s="5">
        <f>VLOOKUP($A224,'SegEnds_NonXtal_Prot#'!$A:$AL,15,FALSE)</f>
        <v>102</v>
      </c>
      <c r="W224" s="5">
        <f>VLOOKUP($A224,'SegEnds_NonXtal_Prot#'!$A:$AL,18,FALSE)</f>
        <v>138</v>
      </c>
      <c r="X224" s="5">
        <f>VLOOKUP($A224,'SegEnds_NonXtal_Prot#'!$A:$AL,21,FALSE)</f>
        <v>146</v>
      </c>
      <c r="Y224" s="5">
        <f>VLOOKUP($A224,'SegEnds_NonXtal_Prot#'!$A:$AL,24,FALSE)</f>
        <v>183</v>
      </c>
      <c r="Z224" s="5">
        <f>VLOOKUP($A224,'SegEnds_NonXtal_Prot#'!$A:$AL,27,FALSE)</f>
        <v>192</v>
      </c>
      <c r="AA224" s="5">
        <f>VLOOKUP($A224,'SegEnds_NonXtal_Prot#'!$A:$AL,30,FALSE)</f>
        <v>232</v>
      </c>
      <c r="AB224" s="5">
        <f>VLOOKUP($A224,'SegEnds_NonXtal_Prot#'!$A:$AL,33,FALSE)</f>
        <v>273</v>
      </c>
      <c r="AC224" s="5">
        <f>VLOOKUP($A224,'SegEnds_NonXtal_Prot#'!$A:$AL,36,FALSE)</f>
        <v>306</v>
      </c>
      <c r="AD224" s="5">
        <f>VLOOKUP($A224,'SegEnds_NonXtal_Prot#'!$A:$AL,5,FALSE)</f>
        <v>61</v>
      </c>
      <c r="AE224" s="5" t="str">
        <f>VLOOKUP($A224,'SegEnds_NonXtal_Prot#'!$A:$AL,8,FALSE)</f>
        <v>-</v>
      </c>
      <c r="AF224" s="5">
        <f>VLOOKUP($A224,'SegEnds_NonXtal_Prot#'!$A:$AL,11,FALSE)</f>
        <v>95</v>
      </c>
      <c r="AG224" s="5">
        <f>VLOOKUP($A224,'SegEnds_NonXtal_Prot#'!$A:$AL,14,FALSE)</f>
        <v>101</v>
      </c>
      <c r="AH224" s="5">
        <f>VLOOKUP($A224,'SegEnds_NonXtal_Prot#'!$A:$AL,17,FALSE)</f>
        <v>137</v>
      </c>
      <c r="AI224" s="5">
        <f>VLOOKUP($A224,'SegEnds_NonXtal_Prot#'!$A:$AL,20,FALSE)</f>
        <v>145</v>
      </c>
      <c r="AJ224" s="5">
        <f>VLOOKUP($A224,'SegEnds_NonXtal_Prot#'!$A:$AL,23,FALSE)</f>
        <v>172</v>
      </c>
      <c r="AK224" s="5">
        <f>VLOOKUP($A224,'SegEnds_NonXtal_Prot#'!$A:$AL,26,FALSE)</f>
        <v>185</v>
      </c>
      <c r="AL224" s="5">
        <f>VLOOKUP($A224,'SegEnds_NonXtal_Prot#'!$A:$AL,29,FALSE)</f>
        <v>227</v>
      </c>
      <c r="AM224" s="5">
        <f>VLOOKUP($A224,'SegEnds_NonXtal_Prot#'!$A:$AL,32,FALSE)</f>
        <v>267</v>
      </c>
      <c r="AN224" s="5">
        <f>VLOOKUP($A224,'SegEnds_NonXtal_Prot#'!$A:$AL,35,FALSE)</f>
        <v>305</v>
      </c>
      <c r="AO224" s="5">
        <f>VLOOKUP($A224,'SegEnds_NonXtal_Prot#'!$A:$AL,38,FALSE)</f>
        <v>318</v>
      </c>
      <c r="AP224" s="5">
        <f t="shared" si="88"/>
        <v>30</v>
      </c>
      <c r="AQ224" s="4" t="str">
        <f t="shared" si="89"/>
        <v>-</v>
      </c>
      <c r="AR224" s="4">
        <f t="shared" si="90"/>
        <v>29</v>
      </c>
      <c r="AS224" s="4">
        <f t="shared" si="91"/>
        <v>3</v>
      </c>
      <c r="AT224" s="4">
        <f t="shared" si="92"/>
        <v>35</v>
      </c>
      <c r="AU224" s="4">
        <f t="shared" si="93"/>
        <v>7</v>
      </c>
      <c r="AV224" s="4">
        <f t="shared" si="94"/>
        <v>26</v>
      </c>
      <c r="AW224" s="4">
        <f t="shared" si="95"/>
        <v>2</v>
      </c>
      <c r="AX224" s="4">
        <f t="shared" si="96"/>
        <v>35</v>
      </c>
      <c r="AY224" s="4">
        <f t="shared" si="97"/>
        <v>35</v>
      </c>
      <c r="AZ224" s="4">
        <f t="shared" si="98"/>
        <v>32</v>
      </c>
      <c r="BA224" s="4">
        <f t="shared" si="99"/>
        <v>12</v>
      </c>
    </row>
    <row r="225" spans="1:53" x14ac:dyDescent="0.2">
      <c r="A225" s="1" t="str">
        <f>'SegEnds_NonXtal_Prot#'!A210</f>
        <v>p2ry1_human</v>
      </c>
      <c r="B225" s="1" t="str">
        <f t="shared" si="75"/>
        <v>FQFYYLPAVYILVFIIGFLGNSVAIWMFVFHSGISVYMFNLALADFLYVLTLPALIFYYFNGDAMCKLQRFIFHVNLYGSILFLTCISAHRYSGVVYKKKNAICISVLVWLIVVVAISPILFYSLRSYFIYSMCTTVAMFCVPLVLILGCYGLIVRALIYKPLRRKSIYLVIIVLTVFAVSYIPFHVMKTMNLRARLDMCAFNDRVYATYQVTRGLASLNSCVDPILYFLAGDTFRRRLSRATR</v>
      </c>
      <c r="C225" s="29" t="str">
        <f>IF(ISERROR(MATCH(A225,'SegEnds_Xtal_Prot#'!B:B, 0)), "NoXtal", "Xtal")</f>
        <v>Xtal</v>
      </c>
      <c r="D225" s="4" t="str">
        <f>VLOOKUP(A225,Classification!A:D,2,FALSE)</f>
        <v>A</v>
      </c>
      <c r="E225" s="5" t="str">
        <f>VLOOKUP(A225,Seqs!A:B,2,FALSE)</f>
        <v>MTEVLWPAVPNGTDAAFLAGPGSSWGNSTVASTAAVSSSFKCALTKTGFQFYYLPAVYILVFIIGFLGNSVAIWMFVFHMKPWSGISVYMFNLALADFLYVLTLPALIFYYFNKTDWIFGDAMCKLQRFIFHVNLYGSILFLTCISAHRYSGVVYPLKSLGRLKKKNAICISVLVWLIVVVAISPILFYSGTGVRKNKTITCYDTTSDEYLRSYFIYSMCTTVAMFCVPLVLILGCYGLIVRALIYKDLDNSPLRRKSIYLVIIVLTVFAVSYIPFHVMKTMNLRARLDFQTPAMCAFNDRVYATYQVTRGLASLNSCVDPILYFLAGDTFRRRLSRATRKASRRSEANLQSKSEDMTLNILPEFKQNGDTSL</v>
      </c>
      <c r="F225" s="5" t="str">
        <f t="shared" si="76"/>
        <v>FQFYYLPAVYILVFIIGFLGNSVAIWMFVFH</v>
      </c>
      <c r="G225" s="4" t="str">
        <f t="shared" si="77"/>
        <v/>
      </c>
      <c r="H225" s="4" t="str">
        <f t="shared" si="78"/>
        <v>SGISVYMFNLALADFLYVLTLPALIFYYFN</v>
      </c>
      <c r="I225" s="4" t="str">
        <f t="shared" si="79"/>
        <v>DWIF</v>
      </c>
      <c r="J225" s="4" t="str">
        <f t="shared" si="80"/>
        <v>GDAMCKLQRFIFHVNLYGSILFLTCISAHRYSGVVY</v>
      </c>
      <c r="K225" s="4" t="str">
        <f t="shared" si="81"/>
        <v>PLKSLGRL</v>
      </c>
      <c r="L225" s="4" t="str">
        <f t="shared" si="82"/>
        <v>KKKNAICISVLVWLIVVVAISPILFYS</v>
      </c>
      <c r="M225" s="4" t="str">
        <f t="shared" si="83"/>
        <v>CYD</v>
      </c>
      <c r="N225" s="4" t="str">
        <f t="shared" si="84"/>
        <v>LRSYFIYSMCTTVAMFCVPLVLILGCYGLIVRALIYK</v>
      </c>
      <c r="O225" s="4" t="str">
        <f t="shared" si="85"/>
        <v>PLRRKSIYLVIIVLTVFAVSYIPFHVMKTMNLRARLD</v>
      </c>
      <c r="P225" s="4" t="str">
        <f t="shared" si="86"/>
        <v>MCAFNDRVYATYQVTRGLASLNSCVDPILYFLA</v>
      </c>
      <c r="Q225" s="4" t="str">
        <f t="shared" si="87"/>
        <v>GDTFRRRLSRATR</v>
      </c>
      <c r="R225" s="5">
        <f>VLOOKUP($A225,'SegEnds_NonXtal_Prot#'!$A:$AL,3,FALSE)</f>
        <v>49</v>
      </c>
      <c r="S225" s="5" t="str">
        <f>VLOOKUP($A225,'SegEnds_NonXtal_Prot#'!$A:$AL,6,FALSE)</f>
        <v>-</v>
      </c>
      <c r="T225" s="5">
        <f>VLOOKUP($A225,'SegEnds_NonXtal_Prot#'!$A:$AL,9,FALSE)</f>
        <v>84</v>
      </c>
      <c r="U225" s="5">
        <f>VLOOKUP($A225,'SegEnds_NonXtal_Prot#'!$A:$AL,12,FALSE)</f>
        <v>116</v>
      </c>
      <c r="V225" s="5">
        <f>VLOOKUP($A225,'SegEnds_NonXtal_Prot#'!$A:$AL,15,FALSE)</f>
        <v>120</v>
      </c>
      <c r="W225" s="5">
        <f>VLOOKUP($A225,'SegEnds_NonXtal_Prot#'!$A:$AL,18,FALSE)</f>
        <v>156</v>
      </c>
      <c r="X225" s="5">
        <f>VLOOKUP($A225,'SegEnds_NonXtal_Prot#'!$A:$AL,21,FALSE)</f>
        <v>164</v>
      </c>
      <c r="Y225" s="5">
        <f>VLOOKUP($A225,'SegEnds_NonXtal_Prot#'!$A:$AL,24,FALSE)</f>
        <v>202</v>
      </c>
      <c r="Z225" s="5">
        <f>VLOOKUP($A225,'SegEnds_NonXtal_Prot#'!$A:$AL,27,FALSE)</f>
        <v>211</v>
      </c>
      <c r="AA225" s="5">
        <f>VLOOKUP($A225,'SegEnds_NonXtal_Prot#'!$A:$AL,30,FALSE)</f>
        <v>253</v>
      </c>
      <c r="AB225" s="5">
        <f>VLOOKUP($A225,'SegEnds_NonXtal_Prot#'!$A:$AL,33,FALSE)</f>
        <v>295</v>
      </c>
      <c r="AC225" s="5">
        <f>VLOOKUP($A225,'SegEnds_NonXtal_Prot#'!$A:$AL,36,FALSE)</f>
        <v>328</v>
      </c>
      <c r="AD225" s="5">
        <f>VLOOKUP($A225,'SegEnds_NonXtal_Prot#'!$A:$AL,5,FALSE)</f>
        <v>79</v>
      </c>
      <c r="AE225" s="5" t="str">
        <f>VLOOKUP($A225,'SegEnds_NonXtal_Prot#'!$A:$AL,8,FALSE)</f>
        <v>-</v>
      </c>
      <c r="AF225" s="5">
        <f>VLOOKUP($A225,'SegEnds_NonXtal_Prot#'!$A:$AL,11,FALSE)</f>
        <v>113</v>
      </c>
      <c r="AG225" s="5">
        <f>VLOOKUP($A225,'SegEnds_NonXtal_Prot#'!$A:$AL,14,FALSE)</f>
        <v>119</v>
      </c>
      <c r="AH225" s="5">
        <f>VLOOKUP($A225,'SegEnds_NonXtal_Prot#'!$A:$AL,17,FALSE)</f>
        <v>155</v>
      </c>
      <c r="AI225" s="5">
        <f>VLOOKUP($A225,'SegEnds_NonXtal_Prot#'!$A:$AL,20,FALSE)</f>
        <v>163</v>
      </c>
      <c r="AJ225" s="5">
        <f>VLOOKUP($A225,'SegEnds_NonXtal_Prot#'!$A:$AL,23,FALSE)</f>
        <v>190</v>
      </c>
      <c r="AK225" s="5">
        <f>VLOOKUP($A225,'SegEnds_NonXtal_Prot#'!$A:$AL,26,FALSE)</f>
        <v>204</v>
      </c>
      <c r="AL225" s="5">
        <f>VLOOKUP($A225,'SegEnds_NonXtal_Prot#'!$A:$AL,29,FALSE)</f>
        <v>247</v>
      </c>
      <c r="AM225" s="5">
        <f>VLOOKUP($A225,'SegEnds_NonXtal_Prot#'!$A:$AL,32,FALSE)</f>
        <v>289</v>
      </c>
      <c r="AN225" s="5">
        <f>VLOOKUP($A225,'SegEnds_NonXtal_Prot#'!$A:$AL,35,FALSE)</f>
        <v>327</v>
      </c>
      <c r="AO225" s="5">
        <f>VLOOKUP($A225,'SegEnds_NonXtal_Prot#'!$A:$AL,38,FALSE)</f>
        <v>340</v>
      </c>
      <c r="AP225" s="5">
        <f t="shared" si="88"/>
        <v>30</v>
      </c>
      <c r="AQ225" s="4" t="str">
        <f t="shared" si="89"/>
        <v>-</v>
      </c>
      <c r="AR225" s="4">
        <f t="shared" si="90"/>
        <v>29</v>
      </c>
      <c r="AS225" s="4">
        <f t="shared" si="91"/>
        <v>3</v>
      </c>
      <c r="AT225" s="4">
        <f t="shared" si="92"/>
        <v>35</v>
      </c>
      <c r="AU225" s="4">
        <f t="shared" si="93"/>
        <v>7</v>
      </c>
      <c r="AV225" s="4">
        <f t="shared" si="94"/>
        <v>26</v>
      </c>
      <c r="AW225" s="4">
        <f t="shared" si="95"/>
        <v>2</v>
      </c>
      <c r="AX225" s="4">
        <f t="shared" si="96"/>
        <v>36</v>
      </c>
      <c r="AY225" s="4">
        <f t="shared" si="97"/>
        <v>36</v>
      </c>
      <c r="AZ225" s="4">
        <f t="shared" si="98"/>
        <v>32</v>
      </c>
      <c r="BA225" s="4">
        <f t="shared" si="99"/>
        <v>12</v>
      </c>
    </row>
    <row r="226" spans="1:53" x14ac:dyDescent="0.2">
      <c r="A226" s="1" t="str">
        <f>'SegEnds_NonXtal_Prot#'!A211</f>
        <v>p2ry2_human</v>
      </c>
      <c r="B226" s="1" t="str">
        <f t="shared" si="75"/>
        <v>FKYVLLPVSYGVVCVPGLCLNAVALYIFLCRNASTTYMFHLAVSDALYAASLPLLVYYYARSTVLCKLVRFLFYTNLYCSILFLTCISVHRCLGVLRRARYARRVAGAVWVLVLACQAPVLYFVFSRFVAYSSVMLGLLFAVPFAVILVCYVLMARRLLKPAYGTAKRKSVRTIAVVLAVFALCFLPFHVTRTLYYSFSCHTLNAINMAYKVTRPLASANSCLDPVLYFLAGQRLVRFARDAKP</v>
      </c>
      <c r="C226" s="29" t="str">
        <f>IF(ISERROR(MATCH(A226,'SegEnds_Xtal_Prot#'!B:B, 0)), "NoXtal", "Xtal")</f>
        <v>NoXtal</v>
      </c>
      <c r="D226" s="4" t="str">
        <f>VLOOKUP(A226,Classification!A:D,2,FALSE)</f>
        <v>A</v>
      </c>
      <c r="E226" s="5" t="str">
        <f>VLOOKUP(A226,Seqs!A:B,2,FALSE)</f>
        <v>MAADLGPWNDTINGTWDGDELGYRCRFNEDFKYVLLPVSYGVVCVPGLCLNAVALYIFLCRLKTWNASTTYMFHLAVSDALYAASLPLLVYYYARGDHWPFSTVLCKLVRFLFYTNLYCSILFLTCISVHRCLGVLRPLRSLRWGRARYARRVAGAVWVLVLACQAPVLYFVTTSARGGRVTCHDTSAPELFSRFVAYSSVMLGLLFAVPFAVILVCYVLMARRLLKPAYGTSGGLPRAKRKSVRTIAVVLAVFALCFLPFHVTRTLYYSFRSLDLSCHTLNAINMAYKVTRPLASANSCLDPVLYFLAGQRLVRFARDAKPPTGPSPATPARRRLGLRRSDRTDMQRIEDVLGSSEDSRRTESTPAGSENTKDIRL</v>
      </c>
      <c r="F226" s="5" t="str">
        <f t="shared" si="76"/>
        <v>FKYVLLPVSYGVVCVPGLCLNAVALYIFLCR</v>
      </c>
      <c r="G226" s="4" t="str">
        <f t="shared" si="77"/>
        <v/>
      </c>
      <c r="H226" s="4" t="str">
        <f t="shared" si="78"/>
        <v>NASTTYMFHLAVSDALYAASLPLLVYYYAR</v>
      </c>
      <c r="I226" s="4" t="str">
        <f t="shared" si="79"/>
        <v>HWPF</v>
      </c>
      <c r="J226" s="4" t="str">
        <f t="shared" si="80"/>
        <v>STVLCKLVRFLFYTNLYCSILFLTCISVHRCLGVLR</v>
      </c>
      <c r="K226" s="4" t="str">
        <f t="shared" si="81"/>
        <v>PLRSLRWG</v>
      </c>
      <c r="L226" s="4" t="str">
        <f t="shared" si="82"/>
        <v>RARYARRVAGAVWVLVLACQAPVLYFV</v>
      </c>
      <c r="M226" s="4" t="str">
        <f t="shared" si="83"/>
        <v>CHD</v>
      </c>
      <c r="N226" s="4" t="str">
        <f t="shared" si="84"/>
        <v>FSRFVAYSSVMLGLLFAVPFAVILVCYVLMARRLLKPAYGT</v>
      </c>
      <c r="O226" s="4" t="str">
        <f t="shared" si="85"/>
        <v>AKRKSVRTIAVVLAVFALCFLPFHVTRTLYYSF</v>
      </c>
      <c r="P226" s="4" t="str">
        <f t="shared" si="86"/>
        <v>SCHTLNAINMAYKVTRPLASANSCLDPVLYFLA</v>
      </c>
      <c r="Q226" s="4" t="str">
        <f t="shared" si="87"/>
        <v>GQRLVRFARDAKP</v>
      </c>
      <c r="R226" s="5">
        <f>VLOOKUP($A226,'SegEnds_NonXtal_Prot#'!$A:$AL,3,FALSE)</f>
        <v>31</v>
      </c>
      <c r="S226" s="5" t="str">
        <f>VLOOKUP($A226,'SegEnds_NonXtal_Prot#'!$A:$AL,6,FALSE)</f>
        <v>-</v>
      </c>
      <c r="T226" s="5">
        <f>VLOOKUP($A226,'SegEnds_NonXtal_Prot#'!$A:$AL,9,FALSE)</f>
        <v>66</v>
      </c>
      <c r="U226" s="5">
        <f>VLOOKUP($A226,'SegEnds_NonXtal_Prot#'!$A:$AL,12,FALSE)</f>
        <v>98</v>
      </c>
      <c r="V226" s="5">
        <f>VLOOKUP($A226,'SegEnds_NonXtal_Prot#'!$A:$AL,15,FALSE)</f>
        <v>102</v>
      </c>
      <c r="W226" s="5">
        <f>VLOOKUP($A226,'SegEnds_NonXtal_Prot#'!$A:$AL,18,FALSE)</f>
        <v>138</v>
      </c>
      <c r="X226" s="5">
        <f>VLOOKUP($A226,'SegEnds_NonXtal_Prot#'!$A:$AL,21,FALSE)</f>
        <v>146</v>
      </c>
      <c r="Y226" s="5">
        <f>VLOOKUP($A226,'SegEnds_NonXtal_Prot#'!$A:$AL,24,FALSE)</f>
        <v>183</v>
      </c>
      <c r="Z226" s="5">
        <f>VLOOKUP($A226,'SegEnds_NonXtal_Prot#'!$A:$AL,27,FALSE)</f>
        <v>192</v>
      </c>
      <c r="AA226" s="5">
        <f>VLOOKUP($A226,'SegEnds_NonXtal_Prot#'!$A:$AL,30,FALSE)</f>
        <v>239</v>
      </c>
      <c r="AB226" s="5">
        <f>VLOOKUP($A226,'SegEnds_NonXtal_Prot#'!$A:$AL,33,FALSE)</f>
        <v>277</v>
      </c>
      <c r="AC226" s="5">
        <f>VLOOKUP($A226,'SegEnds_NonXtal_Prot#'!$A:$AL,36,FALSE)</f>
        <v>310</v>
      </c>
      <c r="AD226" s="5">
        <f>VLOOKUP($A226,'SegEnds_NonXtal_Prot#'!$A:$AL,5,FALSE)</f>
        <v>61</v>
      </c>
      <c r="AE226" s="5" t="str">
        <f>VLOOKUP($A226,'SegEnds_NonXtal_Prot#'!$A:$AL,8,FALSE)</f>
        <v>-</v>
      </c>
      <c r="AF226" s="5">
        <f>VLOOKUP($A226,'SegEnds_NonXtal_Prot#'!$A:$AL,11,FALSE)</f>
        <v>95</v>
      </c>
      <c r="AG226" s="5">
        <f>VLOOKUP($A226,'SegEnds_NonXtal_Prot#'!$A:$AL,14,FALSE)</f>
        <v>101</v>
      </c>
      <c r="AH226" s="5">
        <f>VLOOKUP($A226,'SegEnds_NonXtal_Prot#'!$A:$AL,17,FALSE)</f>
        <v>137</v>
      </c>
      <c r="AI226" s="5">
        <f>VLOOKUP($A226,'SegEnds_NonXtal_Prot#'!$A:$AL,20,FALSE)</f>
        <v>145</v>
      </c>
      <c r="AJ226" s="5">
        <f>VLOOKUP($A226,'SegEnds_NonXtal_Prot#'!$A:$AL,23,FALSE)</f>
        <v>172</v>
      </c>
      <c r="AK226" s="5">
        <f>VLOOKUP($A226,'SegEnds_NonXtal_Prot#'!$A:$AL,26,FALSE)</f>
        <v>185</v>
      </c>
      <c r="AL226" s="5">
        <f>VLOOKUP($A226,'SegEnds_NonXtal_Prot#'!$A:$AL,29,FALSE)</f>
        <v>232</v>
      </c>
      <c r="AM226" s="5">
        <f>VLOOKUP($A226,'SegEnds_NonXtal_Prot#'!$A:$AL,32,FALSE)</f>
        <v>271</v>
      </c>
      <c r="AN226" s="5">
        <f>VLOOKUP($A226,'SegEnds_NonXtal_Prot#'!$A:$AL,35,FALSE)</f>
        <v>309</v>
      </c>
      <c r="AO226" s="5">
        <f>VLOOKUP($A226,'SegEnds_NonXtal_Prot#'!$A:$AL,38,FALSE)</f>
        <v>322</v>
      </c>
      <c r="AP226" s="5">
        <f t="shared" si="88"/>
        <v>30</v>
      </c>
      <c r="AQ226" s="4" t="str">
        <f t="shared" si="89"/>
        <v>-</v>
      </c>
      <c r="AR226" s="4">
        <f t="shared" si="90"/>
        <v>29</v>
      </c>
      <c r="AS226" s="4">
        <f t="shared" si="91"/>
        <v>3</v>
      </c>
      <c r="AT226" s="4">
        <f t="shared" si="92"/>
        <v>35</v>
      </c>
      <c r="AU226" s="4">
        <f t="shared" si="93"/>
        <v>7</v>
      </c>
      <c r="AV226" s="4">
        <f t="shared" si="94"/>
        <v>26</v>
      </c>
      <c r="AW226" s="4">
        <f t="shared" si="95"/>
        <v>2</v>
      </c>
      <c r="AX226" s="4">
        <f t="shared" si="96"/>
        <v>40</v>
      </c>
      <c r="AY226" s="4">
        <f t="shared" si="97"/>
        <v>32</v>
      </c>
      <c r="AZ226" s="4">
        <f t="shared" si="98"/>
        <v>32</v>
      </c>
      <c r="BA226" s="4">
        <f t="shared" si="99"/>
        <v>12</v>
      </c>
    </row>
    <row r="227" spans="1:53" x14ac:dyDescent="0.2">
      <c r="A227" s="1" t="str">
        <f>'SegEnds_NonXtal_Prot#'!A212</f>
        <v>p2ry4_human</v>
      </c>
      <c r="B227" s="1" t="str">
        <f t="shared" si="75"/>
        <v>FKFILLPVSYAVVFVLGLGLNAPTLWLFIFRDATATYMFHLALSDTLYVLSLPTLIYYYAAGTEICKFVRFLFYWNLYCSVLFLTCISVHRYLGICHRPRLAGLLCLAVWLVVAGCLVPNLFFVFDHYVHFSSAVMGLLFGVPCLVTLVCYGLMARRLYQPSAQSSSRLRSLRTIAVVLTVFAVCFVPFHITRTIYYLADCRVLNIVNVVYKVTRPLASANSCLDPVLYLLTGDKYRRQLRQLCG</v>
      </c>
      <c r="C227" s="29" t="str">
        <f>IF(ISERROR(MATCH(A227,'SegEnds_Xtal_Prot#'!B:B, 0)), "NoXtal", "Xtal")</f>
        <v>NoXtal</v>
      </c>
      <c r="D227" s="4" t="str">
        <f>VLOOKUP(A227,Classification!A:D,2,FALSE)</f>
        <v>A</v>
      </c>
      <c r="E227" s="5" t="str">
        <f>VLOOKUP(A227,Seqs!A:B,2,FALSE)</f>
        <v>MASTESSLLRSLGLSPGPGSSEVELDCWFDEDFKFILLPVSYAVVFVLGLGLNAPTLWLFIFRLRPWDATATYMFHLALSDTLYVLSLPTLIYYYAAHNHWPFGTEICKFVRFLFYWNLYCSVLFLTCISVHRYLGICHPLRALRWGRPRLAGLLCLAVWLVVAGCLVPNLFFVTTSNKGTTVLCHDTTRPEEFDHYVHFSSAVMGLLFGVPCLVTLVCYGLMARRLYQPLPGSAQSSSRLRSLRTIAVVLTVFAVCFVPFHITRTIYYLARLLEADCRVLNIVNVVYKVTRPLASANSCLDPVLYLLTGDKYRRQLRQLCGGGKPQPRTAASSLALVSLPEDSSCRWAATPQDSSCSTPRADRL</v>
      </c>
      <c r="F227" s="5" t="str">
        <f t="shared" si="76"/>
        <v>FKFILLPVSYAVVFVLGLGLNAPTLWLFIFR</v>
      </c>
      <c r="G227" s="4" t="str">
        <f t="shared" si="77"/>
        <v/>
      </c>
      <c r="H227" s="4" t="str">
        <f t="shared" si="78"/>
        <v>DATATYMFHLALSDTLYVLSLPTLIYYYAA</v>
      </c>
      <c r="I227" s="4" t="str">
        <f t="shared" si="79"/>
        <v>HWPF</v>
      </c>
      <c r="J227" s="4" t="str">
        <f t="shared" si="80"/>
        <v>GTEICKFVRFLFYWNLYCSVLFLTCISVHRYLGICH</v>
      </c>
      <c r="K227" s="4" t="str">
        <f t="shared" si="81"/>
        <v>PLRALRWG</v>
      </c>
      <c r="L227" s="4" t="str">
        <f t="shared" si="82"/>
        <v>RPRLAGLLCLAVWLVVAGCLVPNLFFV</v>
      </c>
      <c r="M227" s="4" t="str">
        <f t="shared" si="83"/>
        <v>CHD</v>
      </c>
      <c r="N227" s="4" t="str">
        <f t="shared" si="84"/>
        <v>FDHYVHFSSAVMGLLFGVPCLVTLVCYGLMARRLYQP</v>
      </c>
      <c r="O227" s="4" t="str">
        <f t="shared" si="85"/>
        <v>SAQSSSRLRSLRTIAVVLTVFAVCFVPFHITRTIYYLA</v>
      </c>
      <c r="P227" s="4" t="str">
        <f t="shared" si="86"/>
        <v>DCRVLNIVNVVYKVTRPLASANSCLDPVLYLLT</v>
      </c>
      <c r="Q227" s="4" t="str">
        <f t="shared" si="87"/>
        <v>GDKYRRQLRQLCG</v>
      </c>
      <c r="R227" s="5">
        <f>VLOOKUP($A227,'SegEnds_NonXtal_Prot#'!$A:$AL,3,FALSE)</f>
        <v>33</v>
      </c>
      <c r="S227" s="5" t="str">
        <f>VLOOKUP($A227,'SegEnds_NonXtal_Prot#'!$A:$AL,6,FALSE)</f>
        <v>-</v>
      </c>
      <c r="T227" s="5">
        <f>VLOOKUP($A227,'SegEnds_NonXtal_Prot#'!$A:$AL,9,FALSE)</f>
        <v>68</v>
      </c>
      <c r="U227" s="5">
        <f>VLOOKUP($A227,'SegEnds_NonXtal_Prot#'!$A:$AL,12,FALSE)</f>
        <v>100</v>
      </c>
      <c r="V227" s="5">
        <f>VLOOKUP($A227,'SegEnds_NonXtal_Prot#'!$A:$AL,15,FALSE)</f>
        <v>104</v>
      </c>
      <c r="W227" s="5">
        <f>VLOOKUP($A227,'SegEnds_NonXtal_Prot#'!$A:$AL,18,FALSE)</f>
        <v>140</v>
      </c>
      <c r="X227" s="5">
        <f>VLOOKUP($A227,'SegEnds_NonXtal_Prot#'!$A:$AL,21,FALSE)</f>
        <v>148</v>
      </c>
      <c r="Y227" s="5">
        <f>VLOOKUP($A227,'SegEnds_NonXtal_Prot#'!$A:$AL,24,FALSE)</f>
        <v>185</v>
      </c>
      <c r="Z227" s="5">
        <f>VLOOKUP($A227,'SegEnds_NonXtal_Prot#'!$A:$AL,27,FALSE)</f>
        <v>194</v>
      </c>
      <c r="AA227" s="5">
        <f>VLOOKUP($A227,'SegEnds_NonXtal_Prot#'!$A:$AL,30,FALSE)</f>
        <v>234</v>
      </c>
      <c r="AB227" s="5">
        <f>VLOOKUP($A227,'SegEnds_NonXtal_Prot#'!$A:$AL,33,FALSE)</f>
        <v>277</v>
      </c>
      <c r="AC227" s="5">
        <f>VLOOKUP($A227,'SegEnds_NonXtal_Prot#'!$A:$AL,36,FALSE)</f>
        <v>310</v>
      </c>
      <c r="AD227" s="5">
        <f>VLOOKUP($A227,'SegEnds_NonXtal_Prot#'!$A:$AL,5,FALSE)</f>
        <v>63</v>
      </c>
      <c r="AE227" s="5" t="str">
        <f>VLOOKUP($A227,'SegEnds_NonXtal_Prot#'!$A:$AL,8,FALSE)</f>
        <v>-</v>
      </c>
      <c r="AF227" s="5">
        <f>VLOOKUP($A227,'SegEnds_NonXtal_Prot#'!$A:$AL,11,FALSE)</f>
        <v>97</v>
      </c>
      <c r="AG227" s="5">
        <f>VLOOKUP($A227,'SegEnds_NonXtal_Prot#'!$A:$AL,14,FALSE)</f>
        <v>103</v>
      </c>
      <c r="AH227" s="5">
        <f>VLOOKUP($A227,'SegEnds_NonXtal_Prot#'!$A:$AL,17,FALSE)</f>
        <v>139</v>
      </c>
      <c r="AI227" s="5">
        <f>VLOOKUP($A227,'SegEnds_NonXtal_Prot#'!$A:$AL,20,FALSE)</f>
        <v>147</v>
      </c>
      <c r="AJ227" s="5">
        <f>VLOOKUP($A227,'SegEnds_NonXtal_Prot#'!$A:$AL,23,FALSE)</f>
        <v>174</v>
      </c>
      <c r="AK227" s="5">
        <f>VLOOKUP($A227,'SegEnds_NonXtal_Prot#'!$A:$AL,26,FALSE)</f>
        <v>187</v>
      </c>
      <c r="AL227" s="5">
        <f>VLOOKUP($A227,'SegEnds_NonXtal_Prot#'!$A:$AL,29,FALSE)</f>
        <v>230</v>
      </c>
      <c r="AM227" s="5">
        <f>VLOOKUP($A227,'SegEnds_NonXtal_Prot#'!$A:$AL,32,FALSE)</f>
        <v>271</v>
      </c>
      <c r="AN227" s="5">
        <f>VLOOKUP($A227,'SegEnds_NonXtal_Prot#'!$A:$AL,35,FALSE)</f>
        <v>309</v>
      </c>
      <c r="AO227" s="5">
        <f>VLOOKUP($A227,'SegEnds_NonXtal_Prot#'!$A:$AL,38,FALSE)</f>
        <v>322</v>
      </c>
      <c r="AP227" s="5">
        <f t="shared" si="88"/>
        <v>30</v>
      </c>
      <c r="AQ227" s="4" t="str">
        <f t="shared" si="89"/>
        <v>-</v>
      </c>
      <c r="AR227" s="4">
        <f t="shared" si="90"/>
        <v>29</v>
      </c>
      <c r="AS227" s="4">
        <f t="shared" si="91"/>
        <v>3</v>
      </c>
      <c r="AT227" s="4">
        <f t="shared" si="92"/>
        <v>35</v>
      </c>
      <c r="AU227" s="4">
        <f t="shared" si="93"/>
        <v>7</v>
      </c>
      <c r="AV227" s="4">
        <f t="shared" si="94"/>
        <v>26</v>
      </c>
      <c r="AW227" s="4">
        <f t="shared" si="95"/>
        <v>2</v>
      </c>
      <c r="AX227" s="4">
        <f t="shared" si="96"/>
        <v>36</v>
      </c>
      <c r="AY227" s="4">
        <f t="shared" si="97"/>
        <v>37</v>
      </c>
      <c r="AZ227" s="4">
        <f t="shared" si="98"/>
        <v>32</v>
      </c>
      <c r="BA227" s="4">
        <f t="shared" si="99"/>
        <v>12</v>
      </c>
    </row>
    <row r="228" spans="1:53" x14ac:dyDescent="0.2">
      <c r="A228" s="1" t="str">
        <f>'SegEnds_NonXtal_Prot#'!A213</f>
        <v>p2ry8_human</v>
      </c>
      <c r="B228" s="1" t="str">
        <f t="shared" si="75"/>
        <v>NPAIAVALPVVYSLVAAVSIPGNLFSLWVLCRRSPSVIFMINLSVTDLMLASVLPFQIYYHCNGVLLCNVVTVAFYANMYSSILTMTCISVERFLGVLYRRRYAVAACAGTWLLLLTALSPLARSVAMWAVFLFTIFILLFLIPFVITVACYTATILKLLRGREQRRRAVGLAAVVLLAFVTCFAPNNFVLLAHIVSYYHVYKLTLCLSCLNNCLDPFVYYFASREFQLRLREYLGCR</v>
      </c>
      <c r="C228" s="29" t="str">
        <f>IF(ISERROR(MATCH(A228,'SegEnds_Xtal_Prot#'!B:B, 0)), "NoXtal", "Xtal")</f>
        <v>NoXtal</v>
      </c>
      <c r="D228" s="4" t="str">
        <f>VLOOKUP(A228,Classification!A:D,2,FALSE)</f>
        <v>A</v>
      </c>
      <c r="E228" s="5" t="str">
        <f>VLOOKUP(A228,Seqs!A:B,2,FALSE)</f>
        <v>MQVPNSTGPDNATLQMLRNPAIAVALPVVYSLVAAVSIPGNLFSLWVLCRRMGPRSPSVIFMINLSVTDLMLASVLPFQIYYHCNRHHWVFGVLLCNVVTVAFYANMYSSILTMTCISVERFLGVLYPLSSKRWRRRRYAVAACAGTWLLLLTALSPLARTDLTYPVHALGIITCFDVLKWTMLPSVAMWAVFLFTIFILLFLIPFVITVACYTATILKLLRTEEAHGREQRRRAVGLAAVVLLAFVTCFAPNNFVLLAHIVSRLFYGKSYYHVYKLTLCLSCLNNCLDPFVYYFASREFQLRLREYLGCRRVPRDTLDTRRESLFSARTTSVRSEAGAHPEGMEGATRPGLQRQESVF</v>
      </c>
      <c r="F228" s="5" t="str">
        <f t="shared" si="76"/>
        <v>NPAIAVALPVVYSLVAAVSIPGNLFSLWVLCRR</v>
      </c>
      <c r="G228" s="4" t="str">
        <f t="shared" si="77"/>
        <v/>
      </c>
      <c r="H228" s="4" t="str">
        <f t="shared" si="78"/>
        <v>SPSVIFMINLSVTDLMLASVLPFQIYYHCN</v>
      </c>
      <c r="I228" s="4" t="str">
        <f t="shared" si="79"/>
        <v>HWVF</v>
      </c>
      <c r="J228" s="4" t="str">
        <f t="shared" si="80"/>
        <v>GVLLCNVVTVAFYANMYSSILTMTCISVERFLGVLY</v>
      </c>
      <c r="K228" s="4" t="str">
        <f t="shared" si="81"/>
        <v>PLSSKRWR</v>
      </c>
      <c r="L228" s="4" t="str">
        <f t="shared" si="82"/>
        <v>RRRYAVAACAGTWLLLLTALSPLAR</v>
      </c>
      <c r="M228" s="4" t="str">
        <f t="shared" si="83"/>
        <v>CFD</v>
      </c>
      <c r="N228" s="4" t="str">
        <f t="shared" si="84"/>
        <v>SVAMWAVFLFTIFILLFLIPFVITVACYTATILKLLR</v>
      </c>
      <c r="O228" s="4" t="str">
        <f t="shared" si="85"/>
        <v>GREQRRRAVGLAAVVLLAFVTCFAPNNFVLLAHIVS</v>
      </c>
      <c r="P228" s="4" t="str">
        <f t="shared" si="86"/>
        <v>YYHVYKLTLCLSCLNNCLDPFVYYFA</v>
      </c>
      <c r="Q228" s="4" t="str">
        <f t="shared" si="87"/>
        <v>SREFQLRLREYLGCR</v>
      </c>
      <c r="R228" s="5">
        <f>VLOOKUP($A228,'SegEnds_NonXtal_Prot#'!$A:$AL,3,FALSE)</f>
        <v>19</v>
      </c>
      <c r="S228" s="5" t="str">
        <f>VLOOKUP($A228,'SegEnds_NonXtal_Prot#'!$A:$AL,6,FALSE)</f>
        <v>-</v>
      </c>
      <c r="T228" s="5">
        <f>VLOOKUP($A228,'SegEnds_NonXtal_Prot#'!$A:$AL,9,FALSE)</f>
        <v>56</v>
      </c>
      <c r="U228" s="5">
        <f>VLOOKUP($A228,'SegEnds_NonXtal_Prot#'!$A:$AL,12,FALSE)</f>
        <v>88</v>
      </c>
      <c r="V228" s="5">
        <f>VLOOKUP($A228,'SegEnds_NonXtal_Prot#'!$A:$AL,15,FALSE)</f>
        <v>92</v>
      </c>
      <c r="W228" s="5">
        <f>VLOOKUP($A228,'SegEnds_NonXtal_Prot#'!$A:$AL,18,FALSE)</f>
        <v>128</v>
      </c>
      <c r="X228" s="5">
        <f>VLOOKUP($A228,'SegEnds_NonXtal_Prot#'!$A:$AL,21,FALSE)</f>
        <v>136</v>
      </c>
      <c r="Y228" s="5">
        <f>VLOOKUP($A228,'SegEnds_NonXtal_Prot#'!$A:$AL,24,FALSE)</f>
        <v>175</v>
      </c>
      <c r="Z228" s="5">
        <f>VLOOKUP($A228,'SegEnds_NonXtal_Prot#'!$A:$AL,27,FALSE)</f>
        <v>186</v>
      </c>
      <c r="AA228" s="5">
        <f>VLOOKUP($A228,'SegEnds_NonXtal_Prot#'!$A:$AL,30,FALSE)</f>
        <v>228</v>
      </c>
      <c r="AB228" s="5">
        <f>VLOOKUP($A228,'SegEnds_NonXtal_Prot#'!$A:$AL,33,FALSE)</f>
        <v>271</v>
      </c>
      <c r="AC228" s="5">
        <f>VLOOKUP($A228,'SegEnds_NonXtal_Prot#'!$A:$AL,36,FALSE)</f>
        <v>297</v>
      </c>
      <c r="AD228" s="5">
        <f>VLOOKUP($A228,'SegEnds_NonXtal_Prot#'!$A:$AL,5,FALSE)</f>
        <v>51</v>
      </c>
      <c r="AE228" s="5" t="str">
        <f>VLOOKUP($A228,'SegEnds_NonXtal_Prot#'!$A:$AL,8,FALSE)</f>
        <v>-</v>
      </c>
      <c r="AF228" s="5">
        <f>VLOOKUP($A228,'SegEnds_NonXtal_Prot#'!$A:$AL,11,FALSE)</f>
        <v>85</v>
      </c>
      <c r="AG228" s="5">
        <f>VLOOKUP($A228,'SegEnds_NonXtal_Prot#'!$A:$AL,14,FALSE)</f>
        <v>91</v>
      </c>
      <c r="AH228" s="5">
        <f>VLOOKUP($A228,'SegEnds_NonXtal_Prot#'!$A:$AL,17,FALSE)</f>
        <v>127</v>
      </c>
      <c r="AI228" s="5">
        <f>VLOOKUP($A228,'SegEnds_NonXtal_Prot#'!$A:$AL,20,FALSE)</f>
        <v>135</v>
      </c>
      <c r="AJ228" s="5">
        <f>VLOOKUP($A228,'SegEnds_NonXtal_Prot#'!$A:$AL,23,FALSE)</f>
        <v>160</v>
      </c>
      <c r="AK228" s="5">
        <f>VLOOKUP($A228,'SegEnds_NonXtal_Prot#'!$A:$AL,26,FALSE)</f>
        <v>177</v>
      </c>
      <c r="AL228" s="5">
        <f>VLOOKUP($A228,'SegEnds_NonXtal_Prot#'!$A:$AL,29,FALSE)</f>
        <v>222</v>
      </c>
      <c r="AM228" s="5">
        <f>VLOOKUP($A228,'SegEnds_NonXtal_Prot#'!$A:$AL,32,FALSE)</f>
        <v>263</v>
      </c>
      <c r="AN228" s="5">
        <f>VLOOKUP($A228,'SegEnds_NonXtal_Prot#'!$A:$AL,35,FALSE)</f>
        <v>296</v>
      </c>
      <c r="AO228" s="5">
        <f>VLOOKUP($A228,'SegEnds_NonXtal_Prot#'!$A:$AL,38,FALSE)</f>
        <v>311</v>
      </c>
      <c r="AP228" s="5">
        <f t="shared" si="88"/>
        <v>32</v>
      </c>
      <c r="AQ228" s="4" t="str">
        <f t="shared" si="89"/>
        <v>-</v>
      </c>
      <c r="AR228" s="4">
        <f t="shared" si="90"/>
        <v>29</v>
      </c>
      <c r="AS228" s="4">
        <f t="shared" si="91"/>
        <v>3</v>
      </c>
      <c r="AT228" s="4">
        <f t="shared" si="92"/>
        <v>35</v>
      </c>
      <c r="AU228" s="4">
        <f t="shared" si="93"/>
        <v>7</v>
      </c>
      <c r="AV228" s="4">
        <f t="shared" si="94"/>
        <v>24</v>
      </c>
      <c r="AW228" s="4">
        <f t="shared" si="95"/>
        <v>2</v>
      </c>
      <c r="AX228" s="4">
        <f t="shared" si="96"/>
        <v>36</v>
      </c>
      <c r="AY228" s="4">
        <f t="shared" si="97"/>
        <v>35</v>
      </c>
      <c r="AZ228" s="4">
        <f t="shared" si="98"/>
        <v>25</v>
      </c>
      <c r="BA228" s="4">
        <f t="shared" si="99"/>
        <v>14</v>
      </c>
    </row>
    <row r="229" spans="1:53" x14ac:dyDescent="0.2">
      <c r="A229" s="1" t="str">
        <f>'SegEnds_NonXtal_Prot#'!A216</f>
        <v>p2y13_human</v>
      </c>
      <c r="B229" s="1" t="str">
        <f t="shared" si="75"/>
        <v>TRIVQLVFPALYTVVFLTGILLNTLALWVFVHISTFIIYLKNTLVADLIMTLMLPFKILSDSHWQLRAFVCRFSSVIFYETMYVGIVLLGLIAFDRFLKIIRKPVFAKTVSIFIWFFLFFISLPNTILSPLGLKWHQMVNNICQFIFWTVFILMLVFYVVIAKKVYDSYRKSNNKKLEGKVFVVVAVFFVCFAPFHFARVPYTHSQTNDCRLQNQLFIAKETTLFLAATNICMDPLIYIFLCKKFTEKLPCM</v>
      </c>
      <c r="C229" s="29" t="str">
        <f>IF(ISERROR(MATCH(A229,'SegEnds_Xtal_Prot#'!B:B, 0)), "NoXtal", "Xtal")</f>
        <v>NoXtal</v>
      </c>
      <c r="D229" s="4" t="str">
        <f>VLOOKUP(A229,Classification!A:D,2,FALSE)</f>
        <v>A</v>
      </c>
      <c r="E229" s="5" t="str">
        <f>VLOOKUP(A229,Seqs!A:B,2,FALSE)</f>
        <v>MTAAIRRQRELSILPKVTLEAMNTTVMQGFNRSERCPRDTRIVQLVFPALYTVVFLTGILLNTLALWVFVHIPSSSTFIIYLKNTLVADLIMTLMLPFKILSDSHLAPWQLRAFVCRFSSVIFYETMYVGIVLLGLIAFDRFLKIIRPLRNIFLKKPVFAKTVSIFIWFFLFFISLPNTILSNKEATPSSVKKCASLKGPLGLKWHQMVNNICQFIFWTVFILMLVFYVVIAKKVYDSYRKSKSKDRKNNKKLEGKVFVVVAVFFVCFAPFHFARVPYTHSQTNNKTDCRLQNQLFIAKETTLFLAATNICMDPLIYIFLCKKFTEKLPCMQGRKTTASSQENHSSQTDNITLG</v>
      </c>
      <c r="F229" s="5" t="str">
        <f t="shared" si="76"/>
        <v>TRIVQLVFPALYTVVFLTGILLNTLALWVFVHI</v>
      </c>
      <c r="G229" s="4" t="str">
        <f t="shared" si="77"/>
        <v/>
      </c>
      <c r="H229" s="4" t="str">
        <f t="shared" si="78"/>
        <v>STFIIYLKNTLVADLIMTLMLPFKILSDSH</v>
      </c>
      <c r="I229" s="4" t="str">
        <f t="shared" si="79"/>
        <v/>
      </c>
      <c r="J229" s="4" t="str">
        <f t="shared" si="80"/>
        <v>WQLRAFVCRFSSVIFYETMYVGIVLLGLIAFDRFLKIIR</v>
      </c>
      <c r="K229" s="4" t="str">
        <f t="shared" si="81"/>
        <v>PLRNIFLK</v>
      </c>
      <c r="L229" s="4" t="str">
        <f t="shared" si="82"/>
        <v>KPVFAKTVSIFIWFFLFFISLPNTILS</v>
      </c>
      <c r="M229" s="4" t="str">
        <f t="shared" si="83"/>
        <v>CAS</v>
      </c>
      <c r="N229" s="4" t="str">
        <f t="shared" si="84"/>
        <v>PLGLKWHQMVNNICQFIFWTVFILMLVFYVVIAKKVYDSYRKS</v>
      </c>
      <c r="O229" s="4" t="str">
        <f t="shared" si="85"/>
        <v>NNKKLEGKVFVVVAVFFVCFAPFHFARVPYTHSQTN</v>
      </c>
      <c r="P229" s="4" t="str">
        <f t="shared" si="86"/>
        <v>DCRLQNQLFIAKETTLFLAATNICMDPLIYIFL</v>
      </c>
      <c r="Q229" s="4" t="str">
        <f t="shared" si="87"/>
        <v>CKKFTEKLPCM</v>
      </c>
      <c r="R229" s="5">
        <f>VLOOKUP($A229,'SegEnds_NonXtal_Prot#'!$A:$AL,3,FALSE)</f>
        <v>40</v>
      </c>
      <c r="S229" s="5" t="str">
        <f>VLOOKUP($A229,'SegEnds_NonXtal_Prot#'!$A:$AL,6,FALSE)</f>
        <v>-</v>
      </c>
      <c r="T229" s="5">
        <f>VLOOKUP($A229,'SegEnds_NonXtal_Prot#'!$A:$AL,9,FALSE)</f>
        <v>76</v>
      </c>
      <c r="U229" s="5" t="str">
        <f>VLOOKUP($A229,'SegEnds_NonXtal_Prot#'!$A:$AL,12,FALSE)</f>
        <v>-</v>
      </c>
      <c r="V229" s="5">
        <f>VLOOKUP($A229,'SegEnds_NonXtal_Prot#'!$A:$AL,15,FALSE)</f>
        <v>109</v>
      </c>
      <c r="W229" s="5">
        <f>VLOOKUP($A229,'SegEnds_NonXtal_Prot#'!$A:$AL,18,FALSE)</f>
        <v>148</v>
      </c>
      <c r="X229" s="5">
        <f>VLOOKUP($A229,'SegEnds_NonXtal_Prot#'!$A:$AL,21,FALSE)</f>
        <v>156</v>
      </c>
      <c r="Y229" s="5">
        <f>VLOOKUP($A229,'SegEnds_NonXtal_Prot#'!$A:$AL,24,FALSE)</f>
        <v>194</v>
      </c>
      <c r="Z229" s="5">
        <f>VLOOKUP($A229,'SegEnds_NonXtal_Prot#'!$A:$AL,27,FALSE)</f>
        <v>200</v>
      </c>
      <c r="AA229" s="5">
        <f>VLOOKUP($A229,'SegEnds_NonXtal_Prot#'!$A:$AL,30,FALSE)</f>
        <v>249</v>
      </c>
      <c r="AB229" s="5">
        <f>VLOOKUP($A229,'SegEnds_NonXtal_Prot#'!$A:$AL,33,FALSE)</f>
        <v>288</v>
      </c>
      <c r="AC229" s="5">
        <f>VLOOKUP($A229,'SegEnds_NonXtal_Prot#'!$A:$AL,36,FALSE)</f>
        <v>321</v>
      </c>
      <c r="AD229" s="5">
        <f>VLOOKUP($A229,'SegEnds_NonXtal_Prot#'!$A:$AL,5,FALSE)</f>
        <v>72</v>
      </c>
      <c r="AE229" s="5" t="str">
        <f>VLOOKUP($A229,'SegEnds_NonXtal_Prot#'!$A:$AL,8,FALSE)</f>
        <v>-</v>
      </c>
      <c r="AF229" s="5">
        <f>VLOOKUP($A229,'SegEnds_NonXtal_Prot#'!$A:$AL,11,FALSE)</f>
        <v>105</v>
      </c>
      <c r="AG229" s="5" t="str">
        <f>VLOOKUP($A229,'SegEnds_NonXtal_Prot#'!$A:$AL,14,FALSE)</f>
        <v>-</v>
      </c>
      <c r="AH229" s="5">
        <f>VLOOKUP($A229,'SegEnds_NonXtal_Prot#'!$A:$AL,17,FALSE)</f>
        <v>147</v>
      </c>
      <c r="AI229" s="5">
        <f>VLOOKUP($A229,'SegEnds_NonXtal_Prot#'!$A:$AL,20,FALSE)</f>
        <v>155</v>
      </c>
      <c r="AJ229" s="5">
        <f>VLOOKUP($A229,'SegEnds_NonXtal_Prot#'!$A:$AL,23,FALSE)</f>
        <v>182</v>
      </c>
      <c r="AK229" s="5">
        <f>VLOOKUP($A229,'SegEnds_NonXtal_Prot#'!$A:$AL,26,FALSE)</f>
        <v>196</v>
      </c>
      <c r="AL229" s="5">
        <f>VLOOKUP($A229,'SegEnds_NonXtal_Prot#'!$A:$AL,29,FALSE)</f>
        <v>242</v>
      </c>
      <c r="AM229" s="5">
        <f>VLOOKUP($A229,'SegEnds_NonXtal_Prot#'!$A:$AL,32,FALSE)</f>
        <v>284</v>
      </c>
      <c r="AN229" s="5">
        <f>VLOOKUP($A229,'SegEnds_NonXtal_Prot#'!$A:$AL,35,FALSE)</f>
        <v>320</v>
      </c>
      <c r="AO229" s="5">
        <f>VLOOKUP($A229,'SegEnds_NonXtal_Prot#'!$A:$AL,38,FALSE)</f>
        <v>331</v>
      </c>
      <c r="AP229" s="5">
        <f t="shared" si="88"/>
        <v>32</v>
      </c>
      <c r="AQ229" s="4" t="str">
        <f t="shared" si="89"/>
        <v>-</v>
      </c>
      <c r="AR229" s="4">
        <f t="shared" si="90"/>
        <v>29</v>
      </c>
      <c r="AS229" s="4" t="str">
        <f t="shared" si="91"/>
        <v>-</v>
      </c>
      <c r="AT229" s="4">
        <f t="shared" si="92"/>
        <v>38</v>
      </c>
      <c r="AU229" s="4">
        <f t="shared" si="93"/>
        <v>7</v>
      </c>
      <c r="AV229" s="4">
        <f t="shared" si="94"/>
        <v>26</v>
      </c>
      <c r="AW229" s="4">
        <f t="shared" si="95"/>
        <v>2</v>
      </c>
      <c r="AX229" s="4">
        <f t="shared" si="96"/>
        <v>42</v>
      </c>
      <c r="AY229" s="4">
        <f t="shared" si="97"/>
        <v>35</v>
      </c>
      <c r="AZ229" s="4">
        <f t="shared" si="98"/>
        <v>32</v>
      </c>
      <c r="BA229" s="4">
        <f t="shared" si="99"/>
        <v>10</v>
      </c>
    </row>
    <row r="230" spans="1:53" x14ac:dyDescent="0.2">
      <c r="A230" s="1" t="str">
        <f>'SegEnds_NonXtal_Prot#'!A217</f>
        <v>p2y14_human</v>
      </c>
      <c r="B230" s="1" t="str">
        <f t="shared" si="75"/>
        <v>LLITQQIIPVLYCMVFIAGILLNGVSGWIFFYVKSFIIYLKNIVIADFVMSLTFPFKILGDSGWQLNVFVCRVSAVLFYVNMYVSIVFFGLISFDRYYKIVKSVSYSKLLSVIVWMLMLLLAVPNIILTELGRKWHKASNYIFVAIFWIVFLLLIVFYTAITKKIFKSHLKSVKKKSSRNIFSIVFVFFVCFVPYHIARIPYTKSQTESCQSKEILRYMKEFTLLLSAANVCLDPIIYFFLCQPFREILCKK</v>
      </c>
      <c r="C230" s="29" t="str">
        <f>IF(ISERROR(MATCH(A230,'SegEnds_Xtal_Prot#'!B:B, 0)), "NoXtal", "Xtal")</f>
        <v>NoXtal</v>
      </c>
      <c r="D230" s="4" t="str">
        <f>VLOOKUP(A230,Classification!A:D,2,FALSE)</f>
        <v>A</v>
      </c>
      <c r="E230" s="5" t="str">
        <f>VLOOKUP(A230,Seqs!A:B,2,FALSE)</f>
        <v>MINSTSTQPPDESCSQNLLITQQIIPVLYCMVFIAGILLNGVSGWIFFYVPSSKSFIIYLKNIVIADFVMSLTFPFKILGDSGLGPWQLNVFVCRVSAVLFYVNMYVSIVFFGLISFDRYYKIVKPLWTSFIQSVSYSKLLSVIVWMLMLLLAVPNIILTNQSVREVTQIKCIELKSELGRKWHKASNYIFVAIFWIVFLLLIVFYTAITKKIFKSHLKSSRNSTSVKKKSSRNIFSIVFVFFVCFVPYHIARIPYTKSQTEAHYSCQSKEILRYMKEFTLLLSAANVCLDPIIYFFLCQPFREILCKKLHIPLKAQNDLDISRIKRGNTTLESTDTL</v>
      </c>
      <c r="F230" s="5" t="str">
        <f t="shared" si="76"/>
        <v>LLITQQIIPVLYCMVFIAGILLNGVSGWIFFYV</v>
      </c>
      <c r="G230" s="4" t="str">
        <f t="shared" si="77"/>
        <v/>
      </c>
      <c r="H230" s="4" t="str">
        <f t="shared" si="78"/>
        <v>KSFIIYLKNIVIADFVMSLTFPFKILGDSG</v>
      </c>
      <c r="I230" s="4" t="str">
        <f t="shared" si="79"/>
        <v/>
      </c>
      <c r="J230" s="4" t="str">
        <f t="shared" si="80"/>
        <v>WQLNVFVCRVSAVLFYVNMYVSIVFFGLISFDRYYKIVK</v>
      </c>
      <c r="K230" s="4" t="str">
        <f t="shared" si="81"/>
        <v>PLWTSFIQ</v>
      </c>
      <c r="L230" s="4" t="str">
        <f t="shared" si="82"/>
        <v>SVSYSKLLSVIVWMLMLLLAVPNIILT</v>
      </c>
      <c r="M230" s="4" t="str">
        <f t="shared" si="83"/>
        <v>CIE</v>
      </c>
      <c r="N230" s="4" t="str">
        <f t="shared" si="84"/>
        <v>ELGRKWHKASNYIFVAIFWIVFLLLIVFYTAITKKIFKSHLKS</v>
      </c>
      <c r="O230" s="4" t="str">
        <f t="shared" si="85"/>
        <v>VKKKSSRNIFSIVFVFFVCFVPYHIARIPYTKSQTE</v>
      </c>
      <c r="P230" s="4" t="str">
        <f t="shared" si="86"/>
        <v>SCQSKEILRYMKEFTLLLSAANVCLDPIIYFFL</v>
      </c>
      <c r="Q230" s="4" t="str">
        <f t="shared" si="87"/>
        <v>CQPFREILCKK</v>
      </c>
      <c r="R230" s="5">
        <f>VLOOKUP($A230,'SegEnds_NonXtal_Prot#'!$A:$AL,3,FALSE)</f>
        <v>18</v>
      </c>
      <c r="S230" s="5" t="str">
        <f>VLOOKUP($A230,'SegEnds_NonXtal_Prot#'!$A:$AL,6,FALSE)</f>
        <v>-</v>
      </c>
      <c r="T230" s="5">
        <f>VLOOKUP($A230,'SegEnds_NonXtal_Prot#'!$A:$AL,9,FALSE)</f>
        <v>54</v>
      </c>
      <c r="U230" s="5" t="str">
        <f>VLOOKUP($A230,'SegEnds_NonXtal_Prot#'!$A:$AL,12,FALSE)</f>
        <v>-</v>
      </c>
      <c r="V230" s="5">
        <f>VLOOKUP($A230,'SegEnds_NonXtal_Prot#'!$A:$AL,15,FALSE)</f>
        <v>87</v>
      </c>
      <c r="W230" s="5">
        <f>VLOOKUP($A230,'SegEnds_NonXtal_Prot#'!$A:$AL,18,FALSE)</f>
        <v>126</v>
      </c>
      <c r="X230" s="5">
        <f>VLOOKUP($A230,'SegEnds_NonXtal_Prot#'!$A:$AL,21,FALSE)</f>
        <v>134</v>
      </c>
      <c r="Y230" s="5">
        <f>VLOOKUP($A230,'SegEnds_NonXtal_Prot#'!$A:$AL,24,FALSE)</f>
        <v>172</v>
      </c>
      <c r="Z230" s="5">
        <f>VLOOKUP($A230,'SegEnds_NonXtal_Prot#'!$A:$AL,27,FALSE)</f>
        <v>178</v>
      </c>
      <c r="AA230" s="5">
        <f>VLOOKUP($A230,'SegEnds_NonXtal_Prot#'!$A:$AL,30,FALSE)</f>
        <v>227</v>
      </c>
      <c r="AB230" s="5">
        <f>VLOOKUP($A230,'SegEnds_NonXtal_Prot#'!$A:$AL,33,FALSE)</f>
        <v>266</v>
      </c>
      <c r="AC230" s="5">
        <f>VLOOKUP($A230,'SegEnds_NonXtal_Prot#'!$A:$AL,36,FALSE)</f>
        <v>299</v>
      </c>
      <c r="AD230" s="5">
        <f>VLOOKUP($A230,'SegEnds_NonXtal_Prot#'!$A:$AL,5,FALSE)</f>
        <v>50</v>
      </c>
      <c r="AE230" s="5" t="str">
        <f>VLOOKUP($A230,'SegEnds_NonXtal_Prot#'!$A:$AL,8,FALSE)</f>
        <v>-</v>
      </c>
      <c r="AF230" s="5">
        <f>VLOOKUP($A230,'SegEnds_NonXtal_Prot#'!$A:$AL,11,FALSE)</f>
        <v>83</v>
      </c>
      <c r="AG230" s="5" t="str">
        <f>VLOOKUP($A230,'SegEnds_NonXtal_Prot#'!$A:$AL,14,FALSE)</f>
        <v>-</v>
      </c>
      <c r="AH230" s="5">
        <f>VLOOKUP($A230,'SegEnds_NonXtal_Prot#'!$A:$AL,17,FALSE)</f>
        <v>125</v>
      </c>
      <c r="AI230" s="5">
        <f>VLOOKUP($A230,'SegEnds_NonXtal_Prot#'!$A:$AL,20,FALSE)</f>
        <v>133</v>
      </c>
      <c r="AJ230" s="5">
        <f>VLOOKUP($A230,'SegEnds_NonXtal_Prot#'!$A:$AL,23,FALSE)</f>
        <v>160</v>
      </c>
      <c r="AK230" s="5">
        <f>VLOOKUP($A230,'SegEnds_NonXtal_Prot#'!$A:$AL,26,FALSE)</f>
        <v>174</v>
      </c>
      <c r="AL230" s="5">
        <f>VLOOKUP($A230,'SegEnds_NonXtal_Prot#'!$A:$AL,29,FALSE)</f>
        <v>220</v>
      </c>
      <c r="AM230" s="5">
        <f>VLOOKUP($A230,'SegEnds_NonXtal_Prot#'!$A:$AL,32,FALSE)</f>
        <v>262</v>
      </c>
      <c r="AN230" s="5">
        <f>VLOOKUP($A230,'SegEnds_NonXtal_Prot#'!$A:$AL,35,FALSE)</f>
        <v>298</v>
      </c>
      <c r="AO230" s="5">
        <f>VLOOKUP($A230,'SegEnds_NonXtal_Prot#'!$A:$AL,38,FALSE)</f>
        <v>309</v>
      </c>
      <c r="AP230" s="5">
        <f t="shared" si="88"/>
        <v>32</v>
      </c>
      <c r="AQ230" s="4" t="str">
        <f t="shared" si="89"/>
        <v>-</v>
      </c>
      <c r="AR230" s="4">
        <f t="shared" si="90"/>
        <v>29</v>
      </c>
      <c r="AS230" s="4" t="str">
        <f t="shared" si="91"/>
        <v>-</v>
      </c>
      <c r="AT230" s="4">
        <f t="shared" si="92"/>
        <v>38</v>
      </c>
      <c r="AU230" s="4">
        <f t="shared" si="93"/>
        <v>7</v>
      </c>
      <c r="AV230" s="4">
        <f t="shared" si="94"/>
        <v>26</v>
      </c>
      <c r="AW230" s="4">
        <f t="shared" si="95"/>
        <v>2</v>
      </c>
      <c r="AX230" s="4">
        <f t="shared" si="96"/>
        <v>42</v>
      </c>
      <c r="AY230" s="4">
        <f t="shared" si="97"/>
        <v>35</v>
      </c>
      <c r="AZ230" s="4">
        <f t="shared" si="98"/>
        <v>32</v>
      </c>
      <c r="BA230" s="4">
        <f t="shared" si="99"/>
        <v>10</v>
      </c>
    </row>
    <row r="231" spans="1:53" x14ac:dyDescent="0.2">
      <c r="A231" s="1" t="str">
        <f>'SegEnds_NonXtal_Prot#'!A218</f>
        <v>par1_human</v>
      </c>
      <c r="B231" s="1" t="str">
        <f t="shared" si="75"/>
        <v>SWLTLFVPSVYTGVFVVSLPLNIMAIVVFILKKPAVVYMLHLATADVLFVSVLPFKISYYFSGSELCRFVTAAFYCNMYASILLMTVISIDRFLAVVYTLGRASFTCLAIWALAIAGVVPLLLKEGYYAYYFSAFSAVFFFVPLIISTVCYVSIIRCLSSNRSKKSRALFLSAAVFCIFIICFGPTNVLLIAHYSFLTEAAYFAYLLCVCVSSISCCIDPLIYYYASSECQRYVYSILCCK</v>
      </c>
      <c r="C231" s="29" t="str">
        <f>IF(ISERROR(MATCH(A231,'SegEnds_Xtal_Prot#'!B:B, 0)), "NoXtal", "Xtal")</f>
        <v>Xtal</v>
      </c>
      <c r="D231" s="4" t="str">
        <f>VLOOKUP(A231,Classification!A:D,2,FALSE)</f>
        <v>A</v>
      </c>
      <c r="E231" s="5" t="str">
        <f>VLOOKUP(A231,Seqs!A:B,2,FALSE)</f>
        <v>MGPRRLLLVAACFSLCGPLLSARTRARRPESKATNATLDPRSFLLRNPNDKYEPFWEDEEKNESGLTEYRLVSINKSSPLQKQLPAFISEDASGYLTSSWLTLFVPSVYTGVFVVSLPLNIMAIVVFILKMKVKKPAVVYMLHLATADVLFVSVLPFKISYYFSGSDWQFGSELCRFVTAAFYCNMYASILLMTVISIDRFLAVVYPMQSLSWRTLGRASFTCLAIWALAIAGVVPLLLKEQTIQVPGLNITTCHDVLNETLLEGYYAYYFSAFSAVFFFVPLIISTVCYVSIIRCLSSSAVANRSKKSRALFLSAAVFCIFIICFGPTNVLLIAHYSFLSHTSTTEAAYFAYLLCVCVSSISCCIDPLIYYYASSECQRYVYSILCCKESSDPSSYNSSGQLMASKMDTCSSNLNNSIYKKLLT</v>
      </c>
      <c r="F231" s="5" t="str">
        <f t="shared" si="76"/>
        <v>SWLTLFVPSVYTGVFVVSLPLNIMAIVVFILK</v>
      </c>
      <c r="G231" s="4" t="str">
        <f t="shared" si="77"/>
        <v>MKVK</v>
      </c>
      <c r="H231" s="4" t="str">
        <f t="shared" si="78"/>
        <v>KPAVVYMLHLATADVLFVSVLPFKISYYFS</v>
      </c>
      <c r="I231" s="4" t="str">
        <f t="shared" si="79"/>
        <v>DWQF</v>
      </c>
      <c r="J231" s="4" t="str">
        <f t="shared" si="80"/>
        <v>GSELCRFVTAAFYCNMYASILLMTVISIDRFLAVVY</v>
      </c>
      <c r="K231" s="4" t="str">
        <f t="shared" si="81"/>
        <v>PMQSLSWR</v>
      </c>
      <c r="L231" s="4" t="str">
        <f t="shared" si="82"/>
        <v>TLGRASFTCLAIWALAIAGVVPLLLK</v>
      </c>
      <c r="M231" s="4" t="str">
        <f t="shared" si="83"/>
        <v>CHD</v>
      </c>
      <c r="N231" s="4" t="str">
        <f t="shared" si="84"/>
        <v>EGYYAYYFSAFSAVFFFVPLIISTVCYVSIIRCLSS</v>
      </c>
      <c r="O231" s="4" t="str">
        <f t="shared" si="85"/>
        <v>NRSKKSRALFLSAAVFCIFIICFGPTNVLLIAHYSFL</v>
      </c>
      <c r="P231" s="4" t="str">
        <f t="shared" si="86"/>
        <v>TEAAYFAYLLCVCVSSISCCIDPLIYYYA</v>
      </c>
      <c r="Q231" s="4" t="str">
        <f t="shared" si="87"/>
        <v>SSECQRYVYSILCCK</v>
      </c>
      <c r="R231" s="5">
        <f>VLOOKUP($A231,'SegEnds_NonXtal_Prot#'!$A:$AL,3,FALSE)</f>
        <v>99</v>
      </c>
      <c r="S231" s="5">
        <f>VLOOKUP($A231,'SegEnds_NonXtal_Prot#'!$A:$AL,6,FALSE)</f>
        <v>131</v>
      </c>
      <c r="T231" s="5">
        <f>VLOOKUP($A231,'SegEnds_NonXtal_Prot#'!$A:$AL,9,FALSE)</f>
        <v>135</v>
      </c>
      <c r="U231" s="5">
        <f>VLOOKUP($A231,'SegEnds_NonXtal_Prot#'!$A:$AL,12,FALSE)</f>
        <v>167</v>
      </c>
      <c r="V231" s="5">
        <f>VLOOKUP($A231,'SegEnds_NonXtal_Prot#'!$A:$AL,15,FALSE)</f>
        <v>171</v>
      </c>
      <c r="W231" s="5">
        <f>VLOOKUP($A231,'SegEnds_NonXtal_Prot#'!$A:$AL,18,FALSE)</f>
        <v>207</v>
      </c>
      <c r="X231" s="5">
        <f>VLOOKUP($A231,'SegEnds_NonXtal_Prot#'!$A:$AL,21,FALSE)</f>
        <v>215</v>
      </c>
      <c r="Y231" s="5">
        <f>VLOOKUP($A231,'SegEnds_NonXtal_Prot#'!$A:$AL,24,FALSE)</f>
        <v>254</v>
      </c>
      <c r="Z231" s="5">
        <f>VLOOKUP($A231,'SegEnds_NonXtal_Prot#'!$A:$AL,27,FALSE)</f>
        <v>264</v>
      </c>
      <c r="AA231" s="5">
        <f>VLOOKUP($A231,'SegEnds_NonXtal_Prot#'!$A:$AL,30,FALSE)</f>
        <v>304</v>
      </c>
      <c r="AB231" s="5">
        <f>VLOOKUP($A231,'SegEnds_NonXtal_Prot#'!$A:$AL,33,FALSE)</f>
        <v>346</v>
      </c>
      <c r="AC231" s="5">
        <f>VLOOKUP($A231,'SegEnds_NonXtal_Prot#'!$A:$AL,36,FALSE)</f>
        <v>375</v>
      </c>
      <c r="AD231" s="5">
        <f>VLOOKUP($A231,'SegEnds_NonXtal_Prot#'!$A:$AL,5,FALSE)</f>
        <v>130</v>
      </c>
      <c r="AE231" s="5">
        <f>VLOOKUP($A231,'SegEnds_NonXtal_Prot#'!$A:$AL,8,FALSE)</f>
        <v>134</v>
      </c>
      <c r="AF231" s="5">
        <f>VLOOKUP($A231,'SegEnds_NonXtal_Prot#'!$A:$AL,11,FALSE)</f>
        <v>164</v>
      </c>
      <c r="AG231" s="5">
        <f>VLOOKUP($A231,'SegEnds_NonXtal_Prot#'!$A:$AL,14,FALSE)</f>
        <v>170</v>
      </c>
      <c r="AH231" s="5">
        <f>VLOOKUP($A231,'SegEnds_NonXtal_Prot#'!$A:$AL,17,FALSE)</f>
        <v>206</v>
      </c>
      <c r="AI231" s="5">
        <f>VLOOKUP($A231,'SegEnds_NonXtal_Prot#'!$A:$AL,20,FALSE)</f>
        <v>214</v>
      </c>
      <c r="AJ231" s="5">
        <f>VLOOKUP($A231,'SegEnds_NonXtal_Prot#'!$A:$AL,23,FALSE)</f>
        <v>240</v>
      </c>
      <c r="AK231" s="5">
        <f>VLOOKUP($A231,'SegEnds_NonXtal_Prot#'!$A:$AL,26,FALSE)</f>
        <v>256</v>
      </c>
      <c r="AL231" s="5">
        <f>VLOOKUP($A231,'SegEnds_NonXtal_Prot#'!$A:$AL,29,FALSE)</f>
        <v>299</v>
      </c>
      <c r="AM231" s="5">
        <f>VLOOKUP($A231,'SegEnds_NonXtal_Prot#'!$A:$AL,32,FALSE)</f>
        <v>340</v>
      </c>
      <c r="AN231" s="5">
        <f>VLOOKUP($A231,'SegEnds_NonXtal_Prot#'!$A:$AL,35,FALSE)</f>
        <v>374</v>
      </c>
      <c r="AO231" s="5">
        <f>VLOOKUP($A231,'SegEnds_NonXtal_Prot#'!$A:$AL,38,FALSE)</f>
        <v>389</v>
      </c>
      <c r="AP231" s="5">
        <f t="shared" si="88"/>
        <v>31</v>
      </c>
      <c r="AQ231" s="4">
        <f t="shared" si="89"/>
        <v>3</v>
      </c>
      <c r="AR231" s="4">
        <f t="shared" si="90"/>
        <v>29</v>
      </c>
      <c r="AS231" s="4">
        <f t="shared" si="91"/>
        <v>3</v>
      </c>
      <c r="AT231" s="4">
        <f t="shared" si="92"/>
        <v>35</v>
      </c>
      <c r="AU231" s="4">
        <f t="shared" si="93"/>
        <v>7</v>
      </c>
      <c r="AV231" s="4">
        <f t="shared" si="94"/>
        <v>25</v>
      </c>
      <c r="AW231" s="4">
        <f t="shared" si="95"/>
        <v>2</v>
      </c>
      <c r="AX231" s="4">
        <f t="shared" si="96"/>
        <v>35</v>
      </c>
      <c r="AY231" s="4">
        <f t="shared" si="97"/>
        <v>36</v>
      </c>
      <c r="AZ231" s="4">
        <f t="shared" si="98"/>
        <v>28</v>
      </c>
      <c r="BA231" s="4">
        <f t="shared" si="99"/>
        <v>14</v>
      </c>
    </row>
    <row r="232" spans="1:53" x14ac:dyDescent="0.2">
      <c r="A232" s="1" t="str">
        <f>'SegEnds_NonXtal_Prot#'!A219</f>
        <v>par3_human</v>
      </c>
      <c r="B232" s="1" t="str">
        <f t="shared" si="75"/>
        <v>SSLSTKLIPAIYLLVFVVGVPANAVTLWMLFFRICTTVFYTNLAIADFLFCVTLPFKIAYHLNGEVLCRATTVIFYGNMYCSILLLACISINRYLAIVHKHTYALVTCGLVWATVFLYMLPFFIQLYYFISLAFFGFLIPFVLIIYCYAAIIRTLNAYWLWYVKASLLILVIFTICFAPSNIILIIHHANYLYFIYLIALCLGSLNSCLDPFLYFLM</v>
      </c>
      <c r="C232" s="29" t="str">
        <f>IF(ISERROR(MATCH(A232,'SegEnds_Xtal_Prot#'!B:B, 0)), "NoXtal", "Xtal")</f>
        <v>NoXtal</v>
      </c>
      <c r="D232" s="4" t="str">
        <f>VLOOKUP(A232,Classification!A:D,2,FALSE)</f>
        <v>A</v>
      </c>
      <c r="E232" s="5" t="str">
        <f>VLOOKUP(A232,Seqs!A:B,2,FALSE)</f>
        <v>MKALIFAAAGLLLLLPTFCQSGMENDTNNLAKPTLPIKTFRGAPPNSFEEFPFSALEGWTGATITVKIKCPEESASHLHVKNATMGYLTSSLSTKLIPAIYLLVFVVGVPANAVTLWMLFFRTRSICTTVFYTNLAIADFLFCVTLPFKIAYHLNGNNWVFGEVLCRATTVIFYGNMYCSILLLACISINRYLAIVHPFTYRGLPKHTYALVTCGLVWATVFLYMLPFFILKQEYYLVQPDITTCHDVHNTCESSSPFQLYYFISLAFFGFLIPFVLIIYCYAAIIRTLNAYDHRWLWYVKASLLILVIFTICFAPSNIILIIHHANYYYNNTDGLYFIYLIALCLGSLNSCLDPFLYFLMSKTRNHSTAYLTK</v>
      </c>
      <c r="F232" s="5" t="str">
        <f t="shared" si="76"/>
        <v>SSLSTKLIPAIYLLVFVVGVPANAVTLWMLFFR</v>
      </c>
      <c r="G232" s="4" t="str">
        <f t="shared" si="77"/>
        <v/>
      </c>
      <c r="H232" s="4" t="str">
        <f t="shared" si="78"/>
        <v>ICTTVFYTNLAIADFLFCVTLPFKIAYHLN</v>
      </c>
      <c r="I232" s="4" t="str">
        <f t="shared" si="79"/>
        <v>NWVF</v>
      </c>
      <c r="J232" s="4" t="str">
        <f t="shared" si="80"/>
        <v>GEVLCRATTVIFYGNMYCSILLLACISINRYLAIVH</v>
      </c>
      <c r="K232" s="4" t="str">
        <f t="shared" si="81"/>
        <v>PFTYRGLP</v>
      </c>
      <c r="L232" s="4" t="str">
        <f t="shared" si="82"/>
        <v>KHTYALVTCGLVWATVFLYMLPFFI</v>
      </c>
      <c r="M232" s="4" t="str">
        <f t="shared" si="83"/>
        <v>CES</v>
      </c>
      <c r="N232" s="4" t="str">
        <f t="shared" si="84"/>
        <v>QLYYFISLAFFGFLIPFVLIIYCYAAIIRTLNAY</v>
      </c>
      <c r="O232" s="4" t="str">
        <f t="shared" si="85"/>
        <v>WLWYVKASLLILVIFTICFAPSNIILIIHHANY</v>
      </c>
      <c r="P232" s="4" t="str">
        <f t="shared" si="86"/>
        <v>LYFIYLIALCLGSLNSCLDPFLYFLM</v>
      </c>
      <c r="Q232" s="4" t="str">
        <f t="shared" si="87"/>
        <v/>
      </c>
      <c r="R232" s="5">
        <f>VLOOKUP($A232,'SegEnds_NonXtal_Prot#'!$A:$AL,3,FALSE)</f>
        <v>90</v>
      </c>
      <c r="S232" s="5" t="str">
        <f>VLOOKUP($A232,'SegEnds_NonXtal_Prot#'!$A:$AL,6,FALSE)</f>
        <v>-</v>
      </c>
      <c r="T232" s="5">
        <f>VLOOKUP($A232,'SegEnds_NonXtal_Prot#'!$A:$AL,9,FALSE)</f>
        <v>126</v>
      </c>
      <c r="U232" s="5">
        <f>VLOOKUP($A232,'SegEnds_NonXtal_Prot#'!$A:$AL,12,FALSE)</f>
        <v>158</v>
      </c>
      <c r="V232" s="5">
        <f>VLOOKUP($A232,'SegEnds_NonXtal_Prot#'!$A:$AL,15,FALSE)</f>
        <v>162</v>
      </c>
      <c r="W232" s="5">
        <f>VLOOKUP($A232,'SegEnds_NonXtal_Prot#'!$A:$AL,18,FALSE)</f>
        <v>198</v>
      </c>
      <c r="X232" s="5">
        <f>VLOOKUP($A232,'SegEnds_NonXtal_Prot#'!$A:$AL,21,FALSE)</f>
        <v>206</v>
      </c>
      <c r="Y232" s="5">
        <f>VLOOKUP($A232,'SegEnds_NonXtal_Prot#'!$A:$AL,24,FALSE)</f>
        <v>252</v>
      </c>
      <c r="Z232" s="5">
        <f>VLOOKUP($A232,'SegEnds_NonXtal_Prot#'!$A:$AL,27,FALSE)</f>
        <v>259</v>
      </c>
      <c r="AA232" s="5">
        <f>VLOOKUP($A232,'SegEnds_NonXtal_Prot#'!$A:$AL,30,FALSE)</f>
        <v>296</v>
      </c>
      <c r="AB232" s="5">
        <f>VLOOKUP($A232,'SegEnds_NonXtal_Prot#'!$A:$AL,33,FALSE)</f>
        <v>336</v>
      </c>
      <c r="AC232" s="5" t="str">
        <f>VLOOKUP($A232,'SegEnds_NonXtal_Prot#'!$A:$AL,36,FALSE)</f>
        <v>-</v>
      </c>
      <c r="AD232" s="5">
        <f>VLOOKUP($A232,'SegEnds_NonXtal_Prot#'!$A:$AL,5,FALSE)</f>
        <v>122</v>
      </c>
      <c r="AE232" s="5" t="str">
        <f>VLOOKUP($A232,'SegEnds_NonXtal_Prot#'!$A:$AL,8,FALSE)</f>
        <v>-</v>
      </c>
      <c r="AF232" s="5">
        <f>VLOOKUP($A232,'SegEnds_NonXtal_Prot#'!$A:$AL,11,FALSE)</f>
        <v>155</v>
      </c>
      <c r="AG232" s="5">
        <f>VLOOKUP($A232,'SegEnds_NonXtal_Prot#'!$A:$AL,14,FALSE)</f>
        <v>161</v>
      </c>
      <c r="AH232" s="5">
        <f>VLOOKUP($A232,'SegEnds_NonXtal_Prot#'!$A:$AL,17,FALSE)</f>
        <v>197</v>
      </c>
      <c r="AI232" s="5">
        <f>VLOOKUP($A232,'SegEnds_NonXtal_Prot#'!$A:$AL,20,FALSE)</f>
        <v>205</v>
      </c>
      <c r="AJ232" s="5">
        <f>VLOOKUP($A232,'SegEnds_NonXtal_Prot#'!$A:$AL,23,FALSE)</f>
        <v>230</v>
      </c>
      <c r="AK232" s="5">
        <f>VLOOKUP($A232,'SegEnds_NonXtal_Prot#'!$A:$AL,26,FALSE)</f>
        <v>254</v>
      </c>
      <c r="AL232" s="5">
        <f>VLOOKUP($A232,'SegEnds_NonXtal_Prot#'!$A:$AL,29,FALSE)</f>
        <v>292</v>
      </c>
      <c r="AM232" s="5">
        <f>VLOOKUP($A232,'SegEnds_NonXtal_Prot#'!$A:$AL,32,FALSE)</f>
        <v>328</v>
      </c>
      <c r="AN232" s="5">
        <f>VLOOKUP($A232,'SegEnds_NonXtal_Prot#'!$A:$AL,35,FALSE)</f>
        <v>361</v>
      </c>
      <c r="AO232" s="5" t="str">
        <f>VLOOKUP($A232,'SegEnds_NonXtal_Prot#'!$A:$AL,38,FALSE)</f>
        <v>-</v>
      </c>
      <c r="AP232" s="5">
        <f t="shared" si="88"/>
        <v>32</v>
      </c>
      <c r="AQ232" s="4" t="str">
        <f t="shared" si="89"/>
        <v>-</v>
      </c>
      <c r="AR232" s="4">
        <f t="shared" si="90"/>
        <v>29</v>
      </c>
      <c r="AS232" s="4">
        <f t="shared" si="91"/>
        <v>3</v>
      </c>
      <c r="AT232" s="4">
        <f t="shared" si="92"/>
        <v>35</v>
      </c>
      <c r="AU232" s="4">
        <f t="shared" si="93"/>
        <v>7</v>
      </c>
      <c r="AV232" s="4">
        <f t="shared" si="94"/>
        <v>24</v>
      </c>
      <c r="AW232" s="4">
        <f t="shared" si="95"/>
        <v>2</v>
      </c>
      <c r="AX232" s="4">
        <f t="shared" si="96"/>
        <v>33</v>
      </c>
      <c r="AY232" s="4">
        <f t="shared" si="97"/>
        <v>32</v>
      </c>
      <c r="AZ232" s="4">
        <f t="shared" si="98"/>
        <v>25</v>
      </c>
      <c r="BA232" s="4" t="str">
        <f t="shared" si="99"/>
        <v>-</v>
      </c>
    </row>
    <row r="233" spans="1:53" x14ac:dyDescent="0.2">
      <c r="A233" s="1" t="str">
        <f>'SegEnds_NonXtal_Prot#'!A220</f>
        <v>par4_human</v>
      </c>
      <c r="B233" s="1" t="str">
        <f t="shared" si="75"/>
        <v>GWVPTRLVPALYGLVLVVGLPANGLALWVLATQLPSTMLLMNLAAADLLLALALPPRIAYHLRGEAACRLATAALYGHMYGSVLLLAAVSLDRYLALVHGRRLALGLCMAAWLMAAALALPLTLQASHWQPAFTCLALLGCFLPLLAMLLCYGATLHTLAASYGHALRLTAVVLASAVAFFVPSNLLLLLHYSDPLYGAYVPSLALSTLNSCVDPFIYYYVSAEFRDKVRAGLFQR</v>
      </c>
      <c r="C233" s="29" t="str">
        <f>IF(ISERROR(MATCH(A233,'SegEnds_Xtal_Prot#'!B:B, 0)), "NoXtal", "Xtal")</f>
        <v>NoXtal</v>
      </c>
      <c r="D233" s="4" t="str">
        <f>VLOOKUP(A233,Classification!A:D,2,FALSE)</f>
        <v>A</v>
      </c>
      <c r="E233" s="5" t="str">
        <f>VLOOKUP(A233,Seqs!A:B,2,FALSE)</f>
        <v>MWGRLLLWPLVLGFSLSGGTQTPSVYDESGSTGGGDDSTPSILPAPRGYPGQVCANDSDTLELPDSSRALLLGWVPTRLVPALYGLVLVVGLPANGLALWVLATQAPRLPSTMLLMNLAAADLLLALALPPRIAYHLRGQRWPFGEAACRLATAALYGHMYGSVLLLAAVSLDRYLALVHPLRARALRGRRLALGLCMAAWLMAAALALPLTLQRQTFRLARSDRVLCHDALPLDAQASHWQPAFTCLALLGCFLPLLAMLLCYGATLHTLAASGRRYGHALRLTAVVLASAVAFFVPSNLLLLLHYSDPSPSAWGNLYGAYVPSLALSTLNSCVDPFIYYYVSAEFRDKVRAGLFQRSPGDTVASKASAEGGSRGMGTHSSLLQ</v>
      </c>
      <c r="F233" s="5" t="str">
        <f t="shared" si="76"/>
        <v>GWVPTRLVPALYGLVLVVGLPANGLALWVLATQ</v>
      </c>
      <c r="G233" s="4" t="str">
        <f t="shared" si="77"/>
        <v/>
      </c>
      <c r="H233" s="4" t="str">
        <f t="shared" si="78"/>
        <v>LPSTMLLMNLAAADLLLALALPPRIAYHLR</v>
      </c>
      <c r="I233" s="4" t="str">
        <f t="shared" si="79"/>
        <v>RWPF</v>
      </c>
      <c r="J233" s="4" t="str">
        <f t="shared" si="80"/>
        <v>GEAACRLATAALYGHMYGSVLLLAAVSLDRYLALVH</v>
      </c>
      <c r="K233" s="4" t="str">
        <f t="shared" si="81"/>
        <v>PLRARALR</v>
      </c>
      <c r="L233" s="4" t="str">
        <f t="shared" si="82"/>
        <v>GRRLALGLCMAAWLMAAALALPLTL</v>
      </c>
      <c r="M233" s="4" t="str">
        <f t="shared" si="83"/>
        <v>CHD</v>
      </c>
      <c r="N233" s="4" t="str">
        <f t="shared" si="84"/>
        <v>QASHWQPAFTCLALLGCFLPLLAMLLCYGATLHTLAAS</v>
      </c>
      <c r="O233" s="4" t="str">
        <f t="shared" si="85"/>
        <v>YGHALRLTAVVLASAVAFFVPSNLLLLLHYSDP</v>
      </c>
      <c r="P233" s="4" t="str">
        <f t="shared" si="86"/>
        <v>LYGAYVPSLALSTLNSCVDPFIYYYV</v>
      </c>
      <c r="Q233" s="4" t="str">
        <f t="shared" si="87"/>
        <v>SAEFRDKVRAGLFQR</v>
      </c>
      <c r="R233" s="5">
        <f>VLOOKUP($A233,'SegEnds_NonXtal_Prot#'!$A:$AL,3,FALSE)</f>
        <v>73</v>
      </c>
      <c r="S233" s="5" t="str">
        <f>VLOOKUP($A233,'SegEnds_NonXtal_Prot#'!$A:$AL,6,FALSE)</f>
        <v>-</v>
      </c>
      <c r="T233" s="5">
        <f>VLOOKUP($A233,'SegEnds_NonXtal_Prot#'!$A:$AL,9,FALSE)</f>
        <v>109</v>
      </c>
      <c r="U233" s="5">
        <f>VLOOKUP($A233,'SegEnds_NonXtal_Prot#'!$A:$AL,12,FALSE)</f>
        <v>141</v>
      </c>
      <c r="V233" s="5">
        <f>VLOOKUP($A233,'SegEnds_NonXtal_Prot#'!$A:$AL,15,FALSE)</f>
        <v>145</v>
      </c>
      <c r="W233" s="5">
        <f>VLOOKUP($A233,'SegEnds_NonXtal_Prot#'!$A:$AL,18,FALSE)</f>
        <v>181</v>
      </c>
      <c r="X233" s="5">
        <f>VLOOKUP($A233,'SegEnds_NonXtal_Prot#'!$A:$AL,21,FALSE)</f>
        <v>189</v>
      </c>
      <c r="Y233" s="5">
        <f>VLOOKUP($A233,'SegEnds_NonXtal_Prot#'!$A:$AL,24,FALSE)</f>
        <v>228</v>
      </c>
      <c r="Z233" s="5">
        <f>VLOOKUP($A233,'SegEnds_NonXtal_Prot#'!$A:$AL,27,FALSE)</f>
        <v>237</v>
      </c>
      <c r="AA233" s="5">
        <f>VLOOKUP($A233,'SegEnds_NonXtal_Prot#'!$A:$AL,30,FALSE)</f>
        <v>278</v>
      </c>
      <c r="AB233" s="5">
        <f>VLOOKUP($A233,'SegEnds_NonXtal_Prot#'!$A:$AL,33,FALSE)</f>
        <v>318</v>
      </c>
      <c r="AC233" s="5">
        <f>VLOOKUP($A233,'SegEnds_NonXtal_Prot#'!$A:$AL,36,FALSE)</f>
        <v>344</v>
      </c>
      <c r="AD233" s="5">
        <f>VLOOKUP($A233,'SegEnds_NonXtal_Prot#'!$A:$AL,5,FALSE)</f>
        <v>105</v>
      </c>
      <c r="AE233" s="5" t="str">
        <f>VLOOKUP($A233,'SegEnds_NonXtal_Prot#'!$A:$AL,8,FALSE)</f>
        <v>-</v>
      </c>
      <c r="AF233" s="5">
        <f>VLOOKUP($A233,'SegEnds_NonXtal_Prot#'!$A:$AL,11,FALSE)</f>
        <v>138</v>
      </c>
      <c r="AG233" s="5">
        <f>VLOOKUP($A233,'SegEnds_NonXtal_Prot#'!$A:$AL,14,FALSE)</f>
        <v>144</v>
      </c>
      <c r="AH233" s="5">
        <f>VLOOKUP($A233,'SegEnds_NonXtal_Prot#'!$A:$AL,17,FALSE)</f>
        <v>180</v>
      </c>
      <c r="AI233" s="5">
        <f>VLOOKUP($A233,'SegEnds_NonXtal_Prot#'!$A:$AL,20,FALSE)</f>
        <v>188</v>
      </c>
      <c r="AJ233" s="5">
        <f>VLOOKUP($A233,'SegEnds_NonXtal_Prot#'!$A:$AL,23,FALSE)</f>
        <v>213</v>
      </c>
      <c r="AK233" s="5">
        <f>VLOOKUP($A233,'SegEnds_NonXtal_Prot#'!$A:$AL,26,FALSE)</f>
        <v>230</v>
      </c>
      <c r="AL233" s="5">
        <f>VLOOKUP($A233,'SegEnds_NonXtal_Prot#'!$A:$AL,29,FALSE)</f>
        <v>274</v>
      </c>
      <c r="AM233" s="5">
        <f>VLOOKUP($A233,'SegEnds_NonXtal_Prot#'!$A:$AL,32,FALSE)</f>
        <v>310</v>
      </c>
      <c r="AN233" s="5">
        <f>VLOOKUP($A233,'SegEnds_NonXtal_Prot#'!$A:$AL,35,FALSE)</f>
        <v>343</v>
      </c>
      <c r="AO233" s="5">
        <f>VLOOKUP($A233,'SegEnds_NonXtal_Prot#'!$A:$AL,38,FALSE)</f>
        <v>358</v>
      </c>
      <c r="AP233" s="5">
        <f t="shared" si="88"/>
        <v>32</v>
      </c>
      <c r="AQ233" s="4" t="str">
        <f t="shared" si="89"/>
        <v>-</v>
      </c>
      <c r="AR233" s="4">
        <f t="shared" si="90"/>
        <v>29</v>
      </c>
      <c r="AS233" s="4">
        <f t="shared" si="91"/>
        <v>3</v>
      </c>
      <c r="AT233" s="4">
        <f t="shared" si="92"/>
        <v>35</v>
      </c>
      <c r="AU233" s="4">
        <f t="shared" si="93"/>
        <v>7</v>
      </c>
      <c r="AV233" s="4">
        <f t="shared" si="94"/>
        <v>24</v>
      </c>
      <c r="AW233" s="4">
        <f t="shared" si="95"/>
        <v>2</v>
      </c>
      <c r="AX233" s="4">
        <f t="shared" si="96"/>
        <v>37</v>
      </c>
      <c r="AY233" s="4">
        <f t="shared" si="97"/>
        <v>32</v>
      </c>
      <c r="AZ233" s="4">
        <f t="shared" si="98"/>
        <v>25</v>
      </c>
      <c r="BA233" s="4">
        <f t="shared" si="99"/>
        <v>14</v>
      </c>
    </row>
    <row r="234" spans="1:53" x14ac:dyDescent="0.2">
      <c r="A234" s="1" t="str">
        <f>'SegEnds_NonXtal_Prot#'!A221</f>
        <v>pd2r_human</v>
      </c>
      <c r="B234" s="1" t="str">
        <f t="shared" si="75"/>
        <v>GNSAVMGGVLFSTGLLGNLLALGLLASVFYMLVCGLTVTDLLGKCLLSPVVLAAYAQPALDNSLCQAFAFFMSFFGLSSTLQLLAMALECWLSLGHTLRLGALVAPVVSAFSLAFCALPFMGSVLGYSVLYSSLMALLVLATVLCNLGAMRNLYAMHRRLQRHPRSSPQPLEELDHLLLLALMTVLFTMCSLPVIYRAYYGAFKRTSEEAEDLRALRFLSVISIVDPWIFIIFRSPVFRIFFHKIFI</v>
      </c>
      <c r="C234" s="29" t="str">
        <f>IF(ISERROR(MATCH(A234,'SegEnds_Xtal_Prot#'!B:B, 0)), "NoXtal", "Xtal")</f>
        <v>NoXtal</v>
      </c>
      <c r="D234" s="4" t="str">
        <f>VLOOKUP(A234,Classification!A:D,2,FALSE)</f>
        <v>A</v>
      </c>
      <c r="E234" s="5" t="str">
        <f>VLOOKUP(A234,Seqs!A:B,2,FALSE)</f>
        <v>MKSPFYRCQNTTSVEKGNSAVMGGVLFSTGLLGNLLALGLLARSGLGWCSRRPLRPLPSVFYMLVCGLTVTDLLGKCLLSPVVLAAYAQNRSLRVLAPALDNSLCQAFAFFMSFFGLSSTLQLLAMALECWLSLGHPFFYRRHITLRLGALVAPVVSAFSLAFCALPFMGFGKFVQYCPGTWCFIQMVHEEGSLSVLGYSVLYSSLMALLVLATVLCNLGAMRNLYAMHRRLQRHPRSCTRDCAEPRADGREASPQPLEELDHLLLLALMTVLFTMCSLPVIYRAYYGAFKDVKEKNRTSEEAEDLRALRFLSVISIVDPWIFIIFRSPVFRIFFHKIFIRPLRYRSRCSNSTNMESSL</v>
      </c>
      <c r="F234" s="5" t="str">
        <f t="shared" si="76"/>
        <v>GNSAVMGGVLFSTGLLGNLLALGLLA</v>
      </c>
      <c r="G234" s="4" t="str">
        <f t="shared" si="77"/>
        <v/>
      </c>
      <c r="H234" s="4" t="str">
        <f t="shared" si="78"/>
        <v>SVFYMLVCGLTVTDLLGKCLLSPVVLAAYAQ</v>
      </c>
      <c r="I234" s="4" t="str">
        <f t="shared" si="79"/>
        <v/>
      </c>
      <c r="J234" s="4" t="str">
        <f t="shared" si="80"/>
        <v>PALDNSLCQAFAFFMSFFGLSSTLQLLAMALECWLSLGH</v>
      </c>
      <c r="K234" s="4" t="str">
        <f t="shared" si="81"/>
        <v>PFFYRRHI</v>
      </c>
      <c r="L234" s="4" t="str">
        <f t="shared" si="82"/>
        <v>TLRLGALVAPVVSAFSLAFCALPFMG</v>
      </c>
      <c r="M234" s="4" t="str">
        <f t="shared" si="83"/>
        <v>CFI</v>
      </c>
      <c r="N234" s="4" t="str">
        <f t="shared" si="84"/>
        <v>SVLGYSVLYSSLMALLVLATVLCNLGAMRNLYAMHRRLQRHPRS</v>
      </c>
      <c r="O234" s="4" t="str">
        <f t="shared" si="85"/>
        <v>SPQPLEELDHLLLLALMTVLFTMCSLPVIYRAYYGAFK</v>
      </c>
      <c r="P234" s="4" t="str">
        <f t="shared" si="86"/>
        <v>RTSEEAEDLRALRFLSVISIVDPWIFIIF</v>
      </c>
      <c r="Q234" s="4" t="str">
        <f t="shared" si="87"/>
        <v>RSPVFRIFFHKIFI</v>
      </c>
      <c r="R234" s="5">
        <f>VLOOKUP($A234,'SegEnds_NonXtal_Prot#'!$A:$AL,3,FALSE)</f>
        <v>17</v>
      </c>
      <c r="S234" s="5" t="str">
        <f>VLOOKUP($A234,'SegEnds_NonXtal_Prot#'!$A:$AL,6,FALSE)</f>
        <v>-</v>
      </c>
      <c r="T234" s="5">
        <f>VLOOKUP($A234,'SegEnds_NonXtal_Prot#'!$A:$AL,9,FALSE)</f>
        <v>59</v>
      </c>
      <c r="U234" s="5" t="str">
        <f>VLOOKUP($A234,'SegEnds_NonXtal_Prot#'!$A:$AL,12,FALSE)</f>
        <v>-</v>
      </c>
      <c r="V234" s="5">
        <f>VLOOKUP($A234,'SegEnds_NonXtal_Prot#'!$A:$AL,15,FALSE)</f>
        <v>98</v>
      </c>
      <c r="W234" s="5">
        <f>VLOOKUP($A234,'SegEnds_NonXtal_Prot#'!$A:$AL,18,FALSE)</f>
        <v>137</v>
      </c>
      <c r="X234" s="5">
        <f>VLOOKUP($A234,'SegEnds_NonXtal_Prot#'!$A:$AL,21,FALSE)</f>
        <v>145</v>
      </c>
      <c r="Y234" s="5">
        <f>VLOOKUP($A234,'SegEnds_NonXtal_Prot#'!$A:$AL,24,FALSE)</f>
        <v>183</v>
      </c>
      <c r="Z234" s="5">
        <f>VLOOKUP($A234,'SegEnds_NonXtal_Prot#'!$A:$AL,27,FALSE)</f>
        <v>195</v>
      </c>
      <c r="AA234" s="5">
        <f>VLOOKUP($A234,'SegEnds_NonXtal_Prot#'!$A:$AL,30,FALSE)</f>
        <v>254</v>
      </c>
      <c r="AB234" s="5">
        <f>VLOOKUP($A234,'SegEnds_NonXtal_Prot#'!$A:$AL,33,FALSE)</f>
        <v>298</v>
      </c>
      <c r="AC234" s="5">
        <f>VLOOKUP($A234,'SegEnds_NonXtal_Prot#'!$A:$AL,36,FALSE)</f>
        <v>327</v>
      </c>
      <c r="AD234" s="5">
        <f>VLOOKUP($A234,'SegEnds_NonXtal_Prot#'!$A:$AL,5,FALSE)</f>
        <v>42</v>
      </c>
      <c r="AE234" s="5" t="str">
        <f>VLOOKUP($A234,'SegEnds_NonXtal_Prot#'!$A:$AL,8,FALSE)</f>
        <v>-</v>
      </c>
      <c r="AF234" s="5">
        <f>VLOOKUP($A234,'SegEnds_NonXtal_Prot#'!$A:$AL,11,FALSE)</f>
        <v>89</v>
      </c>
      <c r="AG234" s="5" t="str">
        <f>VLOOKUP($A234,'SegEnds_NonXtal_Prot#'!$A:$AL,14,FALSE)</f>
        <v>-</v>
      </c>
      <c r="AH234" s="5">
        <f>VLOOKUP($A234,'SegEnds_NonXtal_Prot#'!$A:$AL,17,FALSE)</f>
        <v>136</v>
      </c>
      <c r="AI234" s="5">
        <f>VLOOKUP($A234,'SegEnds_NonXtal_Prot#'!$A:$AL,20,FALSE)</f>
        <v>144</v>
      </c>
      <c r="AJ234" s="5">
        <f>VLOOKUP($A234,'SegEnds_NonXtal_Prot#'!$A:$AL,23,FALSE)</f>
        <v>170</v>
      </c>
      <c r="AK234" s="5">
        <f>VLOOKUP($A234,'SegEnds_NonXtal_Prot#'!$A:$AL,26,FALSE)</f>
        <v>185</v>
      </c>
      <c r="AL234" s="5">
        <f>VLOOKUP($A234,'SegEnds_NonXtal_Prot#'!$A:$AL,29,FALSE)</f>
        <v>238</v>
      </c>
      <c r="AM234" s="5">
        <f>VLOOKUP($A234,'SegEnds_NonXtal_Prot#'!$A:$AL,32,FALSE)</f>
        <v>291</v>
      </c>
      <c r="AN234" s="5">
        <f>VLOOKUP($A234,'SegEnds_NonXtal_Prot#'!$A:$AL,35,FALSE)</f>
        <v>326</v>
      </c>
      <c r="AO234" s="5">
        <f>VLOOKUP($A234,'SegEnds_NonXtal_Prot#'!$A:$AL,38,FALSE)</f>
        <v>340</v>
      </c>
      <c r="AP234" s="5">
        <f t="shared" si="88"/>
        <v>25</v>
      </c>
      <c r="AQ234" s="4" t="str">
        <f t="shared" si="89"/>
        <v>-</v>
      </c>
      <c r="AR234" s="4">
        <f t="shared" si="90"/>
        <v>30</v>
      </c>
      <c r="AS234" s="4" t="str">
        <f t="shared" si="91"/>
        <v>-</v>
      </c>
      <c r="AT234" s="4">
        <f t="shared" si="92"/>
        <v>38</v>
      </c>
      <c r="AU234" s="4">
        <f t="shared" si="93"/>
        <v>7</v>
      </c>
      <c r="AV234" s="4">
        <f t="shared" si="94"/>
        <v>25</v>
      </c>
      <c r="AW234" s="4">
        <f t="shared" si="95"/>
        <v>2</v>
      </c>
      <c r="AX234" s="4">
        <f t="shared" si="96"/>
        <v>43</v>
      </c>
      <c r="AY234" s="4">
        <f t="shared" si="97"/>
        <v>37</v>
      </c>
      <c r="AZ234" s="4">
        <f t="shared" si="98"/>
        <v>28</v>
      </c>
      <c r="BA234" s="4">
        <f t="shared" si="99"/>
        <v>13</v>
      </c>
    </row>
    <row r="235" spans="1:53" x14ac:dyDescent="0.2">
      <c r="A235" s="1" t="str">
        <f>'SegEnds_NonXtal_Prot#'!A222</f>
        <v>pd2r2_human</v>
      </c>
      <c r="B235" s="1" t="str">
        <f t="shared" si="75"/>
        <v>DHAAVLLHGLASLLGLVENGVILFVVGCRTVVTTWVLHLALSDLLASASLPFFTYFLAVGGTTFCKLHSSIFFLNMFASGFLLSAISLDRCLQVVRTVAAAHKVCLVLWALAVLNTVPYFVFRDRDATCNSRQVALAVSKFLLAFLVPLAIIASSHAAVSLRLQHRPGRFVRLVAAVVAAFALCWGPYHVFSLLEARALRPLVWRGLPFVTSLAFFNSVANPVLYVLTCPDMLRKLRRSLRTVLES</v>
      </c>
      <c r="C235" s="29" t="str">
        <f>IF(ISERROR(MATCH(A235,'SegEnds_Xtal_Prot#'!B:B, 0)), "NoXtal", "Xtal")</f>
        <v>Xtal</v>
      </c>
      <c r="D235" s="4" t="str">
        <f>VLOOKUP(A235,Classification!A:D,2,FALSE)</f>
        <v>A</v>
      </c>
      <c r="E235" s="5" t="str">
        <f>VLOOKUP(A235,Seqs!A:B,2,FALSE)</f>
        <v>MSANATLKPLCPILEQMSRLQSHSNTSIRYIDHAAVLLHGLASLLGLVENGVILFVVGCRMRQTVVTTWVLHLALSDLLASASLPFFTYFLAVGHSWELGTTFCKLHSSIFFLNMFASGFLLSAISLDRCLQVVRPVWAQNHRTVAAAHKVCLVLWALAVLNTVPYFVFRDTISRLDGRIMCYYNVLLLNPGPDRDATCNSRQVALAVSKFLLAFLVPLAIIASSHAAVSLRLQHRGRRRPGRFVRLVAAVVAAFALCWGPYHVFSLLEARAHANPGLRPLVWRGLPFVTSLAFFNSVANPVLYVLTCPDMLRKLRRSLRTVLESVLVDDSELGGAGSSRRRRTSSTARSASPLALCSRPEEPRGPARLLGWLLGSCAASPQTGPLNRALSSTSS</v>
      </c>
      <c r="F235" s="5" t="str">
        <f t="shared" si="76"/>
        <v>DHAAVLLHGLASLLGLVENGVILFVVGCR</v>
      </c>
      <c r="G235" s="4" t="str">
        <f t="shared" si="77"/>
        <v/>
      </c>
      <c r="H235" s="4" t="str">
        <f t="shared" si="78"/>
        <v>TVVTTWVLHLALSDLLASASLPFFTYFLAVG</v>
      </c>
      <c r="I235" s="4" t="str">
        <f t="shared" si="79"/>
        <v>SWEL</v>
      </c>
      <c r="J235" s="4" t="str">
        <f t="shared" si="80"/>
        <v>GTTFCKLHSSIFFLNMFASGFLLSAISLDRCLQVVR</v>
      </c>
      <c r="K235" s="4" t="str">
        <f t="shared" si="81"/>
        <v>PVWAQNHR</v>
      </c>
      <c r="L235" s="4" t="str">
        <f t="shared" si="82"/>
        <v>TVAAAHKVCLVLWALAVLNTVPYFVFR</v>
      </c>
      <c r="M235" s="4" t="str">
        <f t="shared" si="83"/>
        <v>CYY</v>
      </c>
      <c r="N235" s="4" t="str">
        <f t="shared" si="84"/>
        <v>DRDATCNSRQVALAVSKFLLAFLVPLAIIASSHAAVSLRLQHR</v>
      </c>
      <c r="O235" s="4" t="str">
        <f t="shared" si="85"/>
        <v>PGRFVRLVAAVVAAFALCWGPYHVFSLLEARA</v>
      </c>
      <c r="P235" s="4" t="str">
        <f t="shared" si="86"/>
        <v>LRPLVWRGLPFVTSLAFFNSVANPVLYVLT</v>
      </c>
      <c r="Q235" s="4" t="str">
        <f t="shared" si="87"/>
        <v>CPDMLRKLRRSLRTVLES</v>
      </c>
      <c r="R235" s="5">
        <f>VLOOKUP($A235,'SegEnds_NonXtal_Prot#'!$A:$AL,3,FALSE)</f>
        <v>32</v>
      </c>
      <c r="S235" s="5" t="str">
        <f>VLOOKUP($A235,'SegEnds_NonXtal_Prot#'!$A:$AL,6,FALSE)</f>
        <v>-</v>
      </c>
      <c r="T235" s="5">
        <f>VLOOKUP($A235,'SegEnds_NonXtal_Prot#'!$A:$AL,9,FALSE)</f>
        <v>64</v>
      </c>
      <c r="U235" s="5">
        <f>VLOOKUP($A235,'SegEnds_NonXtal_Prot#'!$A:$AL,12,FALSE)</f>
        <v>96</v>
      </c>
      <c r="V235" s="5">
        <f>VLOOKUP($A235,'SegEnds_NonXtal_Prot#'!$A:$AL,15,FALSE)</f>
        <v>100</v>
      </c>
      <c r="W235" s="5">
        <f>VLOOKUP($A235,'SegEnds_NonXtal_Prot#'!$A:$AL,18,FALSE)</f>
        <v>136</v>
      </c>
      <c r="X235" s="5">
        <f>VLOOKUP($A235,'SegEnds_NonXtal_Prot#'!$A:$AL,21,FALSE)</f>
        <v>144</v>
      </c>
      <c r="Y235" s="5">
        <f>VLOOKUP($A235,'SegEnds_NonXtal_Prot#'!$A:$AL,24,FALSE)</f>
        <v>182</v>
      </c>
      <c r="Z235" s="5">
        <f>VLOOKUP($A235,'SegEnds_NonXtal_Prot#'!$A:$AL,27,FALSE)</f>
        <v>194</v>
      </c>
      <c r="AA235" s="5">
        <f>VLOOKUP($A235,'SegEnds_NonXtal_Prot#'!$A:$AL,30,FALSE)</f>
        <v>241</v>
      </c>
      <c r="AB235" s="5">
        <f>VLOOKUP($A235,'SegEnds_NonXtal_Prot#'!$A:$AL,33,FALSE)</f>
        <v>278</v>
      </c>
      <c r="AC235" s="5">
        <f>VLOOKUP($A235,'SegEnds_NonXtal_Prot#'!$A:$AL,36,FALSE)</f>
        <v>308</v>
      </c>
      <c r="AD235" s="5">
        <f>VLOOKUP($A235,'SegEnds_NonXtal_Prot#'!$A:$AL,5,FALSE)</f>
        <v>60</v>
      </c>
      <c r="AE235" s="5" t="str">
        <f>VLOOKUP($A235,'SegEnds_NonXtal_Prot#'!$A:$AL,8,FALSE)</f>
        <v>-</v>
      </c>
      <c r="AF235" s="5">
        <f>VLOOKUP($A235,'SegEnds_NonXtal_Prot#'!$A:$AL,11,FALSE)</f>
        <v>94</v>
      </c>
      <c r="AG235" s="5">
        <f>VLOOKUP($A235,'SegEnds_NonXtal_Prot#'!$A:$AL,14,FALSE)</f>
        <v>99</v>
      </c>
      <c r="AH235" s="5">
        <f>VLOOKUP($A235,'SegEnds_NonXtal_Prot#'!$A:$AL,17,FALSE)</f>
        <v>135</v>
      </c>
      <c r="AI235" s="5">
        <f>VLOOKUP($A235,'SegEnds_NonXtal_Prot#'!$A:$AL,20,FALSE)</f>
        <v>143</v>
      </c>
      <c r="AJ235" s="5">
        <f>VLOOKUP($A235,'SegEnds_NonXtal_Prot#'!$A:$AL,23,FALSE)</f>
        <v>170</v>
      </c>
      <c r="AK235" s="5">
        <f>VLOOKUP($A235,'SegEnds_NonXtal_Prot#'!$A:$AL,26,FALSE)</f>
        <v>184</v>
      </c>
      <c r="AL235" s="5">
        <f>VLOOKUP($A235,'SegEnds_NonXtal_Prot#'!$A:$AL,29,FALSE)</f>
        <v>236</v>
      </c>
      <c r="AM235" s="5">
        <f>VLOOKUP($A235,'SegEnds_NonXtal_Prot#'!$A:$AL,32,FALSE)</f>
        <v>272</v>
      </c>
      <c r="AN235" s="5">
        <f>VLOOKUP($A235,'SegEnds_NonXtal_Prot#'!$A:$AL,35,FALSE)</f>
        <v>307</v>
      </c>
      <c r="AO235" s="5">
        <f>VLOOKUP($A235,'SegEnds_NonXtal_Prot#'!$A:$AL,38,FALSE)</f>
        <v>325</v>
      </c>
      <c r="AP235" s="5">
        <f t="shared" si="88"/>
        <v>28</v>
      </c>
      <c r="AQ235" s="4" t="str">
        <f t="shared" si="89"/>
        <v>-</v>
      </c>
      <c r="AR235" s="4">
        <f t="shared" si="90"/>
        <v>30</v>
      </c>
      <c r="AS235" s="4">
        <f t="shared" si="91"/>
        <v>3</v>
      </c>
      <c r="AT235" s="4">
        <f t="shared" si="92"/>
        <v>35</v>
      </c>
      <c r="AU235" s="4">
        <f t="shared" si="93"/>
        <v>7</v>
      </c>
      <c r="AV235" s="4">
        <f t="shared" si="94"/>
        <v>26</v>
      </c>
      <c r="AW235" s="4">
        <f t="shared" si="95"/>
        <v>2</v>
      </c>
      <c r="AX235" s="4">
        <f t="shared" si="96"/>
        <v>42</v>
      </c>
      <c r="AY235" s="4">
        <f t="shared" si="97"/>
        <v>31</v>
      </c>
      <c r="AZ235" s="4">
        <f t="shared" si="98"/>
        <v>29</v>
      </c>
      <c r="BA235" s="4">
        <f t="shared" si="99"/>
        <v>17</v>
      </c>
    </row>
    <row r="236" spans="1:53" x14ac:dyDescent="0.2">
      <c r="A236" s="1" t="str">
        <f>'SegEnds_NonXtal_Prot#'!A223</f>
        <v>pe2r1_human</v>
      </c>
      <c r="B236" s="1" t="str">
        <f t="shared" si="75"/>
        <v>SPALPIFSMTLGAVSNLLALALLAQAARRRSAATFLLFVASLLATDLAGHVIPGALVLRLYTGGACHFLGGCMVFFGLCPLLLGCGMAVERCVGVTRSVARARLALAAVAAVALAVALLPLARGWRQALLAGLFASLGLVALLAALVCNTLSGLALLRARWRRRSRRRRARAHDVEMVGQLVGIMVVSCICWSPMLVLVALAVGGLQRPLFLAVRLASWNQILDPWVYILLRQAVLRQLLRLLPPRAGAKG</v>
      </c>
      <c r="C236" s="29" t="str">
        <f>IF(ISERROR(MATCH(A236,'SegEnds_Xtal_Prot#'!B:B, 0)), "NoXtal", "Xtal")</f>
        <v>NoXtal</v>
      </c>
      <c r="D236" s="4" t="str">
        <f>VLOOKUP(A236,Classification!A:D,2,FALSE)</f>
        <v>A</v>
      </c>
      <c r="E236" s="5" t="str">
        <f>VLOOKUP(A236,Seqs!A:B,2,FALSE)</f>
        <v>MSPCGPLNLSLAGEATTCAAPWVPNTSAVPPSGASPALPIFSMTLGAVSNLLALALLAQAAGRLRRRRSAATFLLFVASLLATDLAGHVIPGALVLRLYTAGRAPAGGACHFLGGCMVFFGLCPLLLGCGMAVERCVGVTRPLLHAARVSVARARLALAAVAAVALAVALLPLARVGRYELQYPGTWCFIGLGPPGGWRQALLAGLFASLGLVALLAALVCNTLSGLALLRARWRRRSRRPPPASGPDSRRRWGAHGPRSASASSASSIASASTFFGGSRSSGSARRARAHDVEMVGQLVGIMVVSCICWSPMLVLVALAVGGWSSTSLQRPLFLAVRLASWNQILDPWVYILLRQAVLRQLLRLLPPRAGAKGGPAGLGLTPSAWEASSLRSSRHSGLSHF</v>
      </c>
      <c r="F236" s="5" t="str">
        <f t="shared" si="76"/>
        <v>SPALPIFSMTLGAVSNLLALALLAQAA</v>
      </c>
      <c r="G236" s="4" t="str">
        <f t="shared" si="77"/>
        <v>GRLR</v>
      </c>
      <c r="H236" s="4" t="str">
        <f t="shared" si="78"/>
        <v>RRRSAATFLLFVASLLATDLAGHVIPGALVLRLYT</v>
      </c>
      <c r="I236" s="4" t="str">
        <f t="shared" si="79"/>
        <v>RAPA</v>
      </c>
      <c r="J236" s="4" t="str">
        <f t="shared" si="80"/>
        <v>GGACHFLGGCMVFFGLCPLLLGCGMAVERCVGVTR</v>
      </c>
      <c r="K236" s="4" t="str">
        <f t="shared" si="81"/>
        <v>PLLHAARV</v>
      </c>
      <c r="L236" s="4" t="str">
        <f t="shared" si="82"/>
        <v>SVARARLALAAVAAVALAVALLPLAR</v>
      </c>
      <c r="M236" s="4" t="str">
        <f t="shared" si="83"/>
        <v>CFI</v>
      </c>
      <c r="N236" s="4" t="str">
        <f t="shared" si="84"/>
        <v>GWRQALLAGLFASLGLVALLAALVCNTLSGLALLRARWRRRSRR</v>
      </c>
      <c r="O236" s="4" t="str">
        <f t="shared" si="85"/>
        <v>RRARAHDVEMVGQLVGIMVVSCICWSPMLVLVALAVGG</v>
      </c>
      <c r="P236" s="4" t="str">
        <f t="shared" si="86"/>
        <v>LQRPLFLAVRLASWNQILDPWVYILL</v>
      </c>
      <c r="Q236" s="4" t="str">
        <f t="shared" si="87"/>
        <v>RQAVLRQLLRLLPPRAGAKG</v>
      </c>
      <c r="R236" s="5">
        <f>VLOOKUP($A236,'SegEnds_NonXtal_Prot#'!$A:$AL,3,FALSE)</f>
        <v>35</v>
      </c>
      <c r="S236" s="5">
        <f>VLOOKUP($A236,'SegEnds_NonXtal_Prot#'!$A:$AL,6,FALSE)</f>
        <v>62</v>
      </c>
      <c r="T236" s="5">
        <f>VLOOKUP($A236,'SegEnds_NonXtal_Prot#'!$A:$AL,9,FALSE)</f>
        <v>66</v>
      </c>
      <c r="U236" s="5">
        <f>VLOOKUP($A236,'SegEnds_NonXtal_Prot#'!$A:$AL,12,FALSE)</f>
        <v>103</v>
      </c>
      <c r="V236" s="5">
        <f>VLOOKUP($A236,'SegEnds_NonXtal_Prot#'!$A:$AL,15,FALSE)</f>
        <v>107</v>
      </c>
      <c r="W236" s="5">
        <f>VLOOKUP($A236,'SegEnds_NonXtal_Prot#'!$A:$AL,18,FALSE)</f>
        <v>142</v>
      </c>
      <c r="X236" s="5">
        <f>VLOOKUP($A236,'SegEnds_NonXtal_Prot#'!$A:$AL,21,FALSE)</f>
        <v>150</v>
      </c>
      <c r="Y236" s="5">
        <f>VLOOKUP($A236,'SegEnds_NonXtal_Prot#'!$A:$AL,24,FALSE)</f>
        <v>188</v>
      </c>
      <c r="Z236" s="5">
        <f>VLOOKUP($A236,'SegEnds_NonXtal_Prot#'!$A:$AL,27,FALSE)</f>
        <v>197</v>
      </c>
      <c r="AA236" s="5">
        <f>VLOOKUP($A236,'SegEnds_NonXtal_Prot#'!$A:$AL,30,FALSE)</f>
        <v>286</v>
      </c>
      <c r="AB236" s="5">
        <f>VLOOKUP($A236,'SegEnds_NonXtal_Prot#'!$A:$AL,33,FALSE)</f>
        <v>329</v>
      </c>
      <c r="AC236" s="5">
        <f>VLOOKUP($A236,'SegEnds_NonXtal_Prot#'!$A:$AL,36,FALSE)</f>
        <v>355</v>
      </c>
      <c r="AD236" s="5">
        <f>VLOOKUP($A236,'SegEnds_NonXtal_Prot#'!$A:$AL,5,FALSE)</f>
        <v>61</v>
      </c>
      <c r="AE236" s="5">
        <f>VLOOKUP($A236,'SegEnds_NonXtal_Prot#'!$A:$AL,8,FALSE)</f>
        <v>65</v>
      </c>
      <c r="AF236" s="5">
        <f>VLOOKUP($A236,'SegEnds_NonXtal_Prot#'!$A:$AL,11,FALSE)</f>
        <v>100</v>
      </c>
      <c r="AG236" s="5">
        <f>VLOOKUP($A236,'SegEnds_NonXtal_Prot#'!$A:$AL,14,FALSE)</f>
        <v>106</v>
      </c>
      <c r="AH236" s="5">
        <f>VLOOKUP($A236,'SegEnds_NonXtal_Prot#'!$A:$AL,17,FALSE)</f>
        <v>141</v>
      </c>
      <c r="AI236" s="5">
        <f>VLOOKUP($A236,'SegEnds_NonXtal_Prot#'!$A:$AL,20,FALSE)</f>
        <v>149</v>
      </c>
      <c r="AJ236" s="5">
        <f>VLOOKUP($A236,'SegEnds_NonXtal_Prot#'!$A:$AL,23,FALSE)</f>
        <v>175</v>
      </c>
      <c r="AK236" s="5">
        <f>VLOOKUP($A236,'SegEnds_NonXtal_Prot#'!$A:$AL,26,FALSE)</f>
        <v>190</v>
      </c>
      <c r="AL236" s="5">
        <f>VLOOKUP($A236,'SegEnds_NonXtal_Prot#'!$A:$AL,29,FALSE)</f>
        <v>240</v>
      </c>
      <c r="AM236" s="5">
        <f>VLOOKUP($A236,'SegEnds_NonXtal_Prot#'!$A:$AL,32,FALSE)</f>
        <v>323</v>
      </c>
      <c r="AN236" s="5">
        <f>VLOOKUP($A236,'SegEnds_NonXtal_Prot#'!$A:$AL,35,FALSE)</f>
        <v>354</v>
      </c>
      <c r="AO236" s="5">
        <f>VLOOKUP($A236,'SegEnds_NonXtal_Prot#'!$A:$AL,38,FALSE)</f>
        <v>374</v>
      </c>
      <c r="AP236" s="5">
        <f t="shared" si="88"/>
        <v>26</v>
      </c>
      <c r="AQ236" s="4">
        <f t="shared" si="89"/>
        <v>3</v>
      </c>
      <c r="AR236" s="4">
        <f t="shared" si="90"/>
        <v>34</v>
      </c>
      <c r="AS236" s="4">
        <f t="shared" si="91"/>
        <v>3</v>
      </c>
      <c r="AT236" s="4">
        <f t="shared" si="92"/>
        <v>34</v>
      </c>
      <c r="AU236" s="4">
        <f t="shared" si="93"/>
        <v>7</v>
      </c>
      <c r="AV236" s="4">
        <f t="shared" si="94"/>
        <v>25</v>
      </c>
      <c r="AW236" s="4">
        <f t="shared" si="95"/>
        <v>2</v>
      </c>
      <c r="AX236" s="4">
        <f t="shared" si="96"/>
        <v>43</v>
      </c>
      <c r="AY236" s="4">
        <f t="shared" si="97"/>
        <v>37</v>
      </c>
      <c r="AZ236" s="4">
        <f t="shared" si="98"/>
        <v>25</v>
      </c>
      <c r="BA236" s="4">
        <f t="shared" si="99"/>
        <v>19</v>
      </c>
    </row>
    <row r="237" spans="1:53" x14ac:dyDescent="0.2">
      <c r="A237" s="1" t="str">
        <f>'SegEnds_NonXtal_Prot#'!A224</f>
        <v>pe2r2_human</v>
      </c>
      <c r="B237" s="1" t="str">
        <f t="shared" si="75"/>
        <v>GESPAISSVMFSAGVLGNLIALALLARRSSLSLFHVLVTELVFTDLLGTCLISPVVLASYARLAPESRACTYFAFAMTFFSLATMLMLFAMALERYLSIGHSRSGGLAVLPVIYAVSLLFCSLPLLDTAYLQLYATLLLLLIVSVLACNFSVILNLIRMHRRSRRSRCGRVSMAEETDHLILLAIMTITFAVCSLPFTIFAYMNETSKWDLQALRFLSINSIIDPWVFAILRPPVLRLMRSVLCC</v>
      </c>
      <c r="C237" s="29" t="str">
        <f>IF(ISERROR(MATCH(A237,'SegEnds_Xtal_Prot#'!B:B, 0)), "NoXtal", "Xtal")</f>
        <v>NoXtal</v>
      </c>
      <c r="D237" s="4" t="str">
        <f>VLOOKUP(A237,Classification!A:D,2,FALSE)</f>
        <v>A</v>
      </c>
      <c r="E237" s="5" t="str">
        <f>VLOOKUP(A237,Seqs!A:B,2,FALSE)</f>
        <v>MGNASNDSQSEDCETRQWLPPGESPAISSVMFSAGVLGNLIALALLARRWRGDVGCSAGRRSSLSLFHVLVTELVFTDLLGTCLISPVVLASYARNQTLVALAPESRACTYFAFAMTFFSLATMLMLFAMALERYLSIGHPYFYQRRVSRSGGLAVLPVIYAVSLLFCSLPLLDYGQYVQYCPGTWCFIRHGRTAYLQLYATLLLLLIVSVLACNFSVILNLIRMHRRSRRSRCGPSLGSGRGGPGARRRGERVSMAEETDHLILLAIMTITFAVCSLPFTIFAYMNETSSRKEKWDLQALRFLSINSIIDPWVFAILRPPVLRLMRSVLCCRISLRTQDATQTSCSTQSDASKQADL</v>
      </c>
      <c r="F237" s="5" t="str">
        <f t="shared" si="76"/>
        <v>GESPAISSVMFSAGVLGNLIALALLA</v>
      </c>
      <c r="G237" s="4" t="str">
        <f t="shared" si="77"/>
        <v>CSAG</v>
      </c>
      <c r="H237" s="4" t="str">
        <f t="shared" si="78"/>
        <v>RRSSLSLFHVLVTELVFTDLLGTCLISPVVLASYAR</v>
      </c>
      <c r="I237" s="4" t="str">
        <f t="shared" si="79"/>
        <v/>
      </c>
      <c r="J237" s="4" t="str">
        <f t="shared" si="80"/>
        <v>LAPESRACTYFAFAMTFFSLATMLMLFAMALERYLSIGH</v>
      </c>
      <c r="K237" s="4" t="str">
        <f t="shared" si="81"/>
        <v>PYFYQRRV</v>
      </c>
      <c r="L237" s="4" t="str">
        <f t="shared" si="82"/>
        <v>SRSGGLAVLPVIYAVSLLFCSLPLLD</v>
      </c>
      <c r="M237" s="4" t="str">
        <f t="shared" si="83"/>
        <v>CFI</v>
      </c>
      <c r="N237" s="4" t="str">
        <f t="shared" si="84"/>
        <v>TAYLQLYATLLLLLIVSVLACNFSVILNLIRMHRRSRRSRCG</v>
      </c>
      <c r="O237" s="4" t="str">
        <f t="shared" si="85"/>
        <v>RVSMAEETDHLILLAIMTITFAVCSLPFTIFAYMNETS</v>
      </c>
      <c r="P237" s="4" t="str">
        <f t="shared" si="86"/>
        <v>KWDLQALRFLSINSIIDPWVFAIL</v>
      </c>
      <c r="Q237" s="4" t="str">
        <f t="shared" si="87"/>
        <v>RPPVLRLMRSVLCC</v>
      </c>
      <c r="R237" s="5">
        <f>VLOOKUP($A237,'SegEnds_NonXtal_Prot#'!$A:$AL,3,FALSE)</f>
        <v>22</v>
      </c>
      <c r="S237" s="5">
        <f>VLOOKUP($A237,'SegEnds_NonXtal_Prot#'!$A:$AL,6,FALSE)</f>
        <v>56</v>
      </c>
      <c r="T237" s="5">
        <f>VLOOKUP($A237,'SegEnds_NonXtal_Prot#'!$A:$AL,9,FALSE)</f>
        <v>60</v>
      </c>
      <c r="U237" s="5" t="str">
        <f>VLOOKUP($A237,'SegEnds_NonXtal_Prot#'!$A:$AL,12,FALSE)</f>
        <v>-</v>
      </c>
      <c r="V237" s="5">
        <f>VLOOKUP($A237,'SegEnds_NonXtal_Prot#'!$A:$AL,15,FALSE)</f>
        <v>102</v>
      </c>
      <c r="W237" s="5">
        <f>VLOOKUP($A237,'SegEnds_NonXtal_Prot#'!$A:$AL,18,FALSE)</f>
        <v>141</v>
      </c>
      <c r="X237" s="5">
        <f>VLOOKUP($A237,'SegEnds_NonXtal_Prot#'!$A:$AL,21,FALSE)</f>
        <v>149</v>
      </c>
      <c r="Y237" s="5">
        <f>VLOOKUP($A237,'SegEnds_NonXtal_Prot#'!$A:$AL,24,FALSE)</f>
        <v>187</v>
      </c>
      <c r="Z237" s="5">
        <f>VLOOKUP($A237,'SegEnds_NonXtal_Prot#'!$A:$AL,27,FALSE)</f>
        <v>194</v>
      </c>
      <c r="AA237" s="5">
        <f>VLOOKUP($A237,'SegEnds_NonXtal_Prot#'!$A:$AL,30,FALSE)</f>
        <v>253</v>
      </c>
      <c r="AB237" s="5">
        <f>VLOOKUP($A237,'SegEnds_NonXtal_Prot#'!$A:$AL,33,FALSE)</f>
        <v>295</v>
      </c>
      <c r="AC237" s="5">
        <f>VLOOKUP($A237,'SegEnds_NonXtal_Prot#'!$A:$AL,36,FALSE)</f>
        <v>319</v>
      </c>
      <c r="AD237" s="5">
        <f>VLOOKUP($A237,'SegEnds_NonXtal_Prot#'!$A:$AL,5,FALSE)</f>
        <v>47</v>
      </c>
      <c r="AE237" s="5">
        <f>VLOOKUP($A237,'SegEnds_NonXtal_Prot#'!$A:$AL,8,FALSE)</f>
        <v>59</v>
      </c>
      <c r="AF237" s="5">
        <f>VLOOKUP($A237,'SegEnds_NonXtal_Prot#'!$A:$AL,11,FALSE)</f>
        <v>95</v>
      </c>
      <c r="AG237" s="5" t="str">
        <f>VLOOKUP($A237,'SegEnds_NonXtal_Prot#'!$A:$AL,14,FALSE)</f>
        <v>-</v>
      </c>
      <c r="AH237" s="5">
        <f>VLOOKUP($A237,'SegEnds_NonXtal_Prot#'!$A:$AL,17,FALSE)</f>
        <v>140</v>
      </c>
      <c r="AI237" s="5">
        <f>VLOOKUP($A237,'SegEnds_NonXtal_Prot#'!$A:$AL,20,FALSE)</f>
        <v>148</v>
      </c>
      <c r="AJ237" s="5">
        <f>VLOOKUP($A237,'SegEnds_NonXtal_Prot#'!$A:$AL,23,FALSE)</f>
        <v>174</v>
      </c>
      <c r="AK237" s="5">
        <f>VLOOKUP($A237,'SegEnds_NonXtal_Prot#'!$A:$AL,26,FALSE)</f>
        <v>189</v>
      </c>
      <c r="AL237" s="5">
        <f>VLOOKUP($A237,'SegEnds_NonXtal_Prot#'!$A:$AL,29,FALSE)</f>
        <v>235</v>
      </c>
      <c r="AM237" s="5">
        <f>VLOOKUP($A237,'SegEnds_NonXtal_Prot#'!$A:$AL,32,FALSE)</f>
        <v>290</v>
      </c>
      <c r="AN237" s="5">
        <f>VLOOKUP($A237,'SegEnds_NonXtal_Prot#'!$A:$AL,35,FALSE)</f>
        <v>318</v>
      </c>
      <c r="AO237" s="5">
        <f>VLOOKUP($A237,'SegEnds_NonXtal_Prot#'!$A:$AL,38,FALSE)</f>
        <v>332</v>
      </c>
      <c r="AP237" s="5">
        <f t="shared" si="88"/>
        <v>25</v>
      </c>
      <c r="AQ237" s="4">
        <f t="shared" si="89"/>
        <v>3</v>
      </c>
      <c r="AR237" s="4">
        <f t="shared" si="90"/>
        <v>35</v>
      </c>
      <c r="AS237" s="4" t="str">
        <f t="shared" si="91"/>
        <v>-</v>
      </c>
      <c r="AT237" s="4">
        <f t="shared" si="92"/>
        <v>38</v>
      </c>
      <c r="AU237" s="4">
        <f t="shared" si="93"/>
        <v>7</v>
      </c>
      <c r="AV237" s="4">
        <f t="shared" si="94"/>
        <v>25</v>
      </c>
      <c r="AW237" s="4">
        <f t="shared" si="95"/>
        <v>2</v>
      </c>
      <c r="AX237" s="4">
        <f t="shared" si="96"/>
        <v>41</v>
      </c>
      <c r="AY237" s="4">
        <f t="shared" si="97"/>
        <v>37</v>
      </c>
      <c r="AZ237" s="4">
        <f t="shared" si="98"/>
        <v>23</v>
      </c>
      <c r="BA237" s="4">
        <f t="shared" si="99"/>
        <v>13</v>
      </c>
    </row>
    <row r="238" spans="1:53" x14ac:dyDescent="0.2">
      <c r="A238" s="1" t="str">
        <f>'SegEnds_NonXtal_Prot#'!A225</f>
        <v>pe2r3_human</v>
      </c>
      <c r="B238" s="1" t="str">
        <f t="shared" si="75"/>
        <v>VAFPITMLLTGFVGNALAMLLVSRSYRKSFLLCIGWLALTDLVGQLLTTPVVIVVYLSKIDPSGRLCTFFGLTMTVFGLSSLFIASAMAVERALAIRAKTRATRAVLLGVWLAVLAFALLPVLGWGNLFFASAFAFLGLLALTVTFSCNLATIKALVSRCRAKASSAQWGRITTETAIQLMGIMCVLSVCWSPLLIMMLKMIFNQTSTHTEKQKECNFFLIAVRLASLNQILDPWVYLLLRKILLRKFCQIRYHTNNYAS</v>
      </c>
      <c r="C238" s="29" t="str">
        <f>IF(ISERROR(MATCH(A238,'SegEnds_Xtal_Prot#'!B:B, 0)), "NoXtal", "Xtal")</f>
        <v>Xtal</v>
      </c>
      <c r="D238" s="4" t="str">
        <f>VLOOKUP(A238,Classification!A:D,2,FALSE)</f>
        <v>A</v>
      </c>
      <c r="E238" s="5" t="str">
        <f>VLOOKUP(A238,Seqs!A:B,2,FALSE)</f>
        <v>MKETRGYGGDAPFCTRLNHSYTGMWAPERSAEARGNLTRPPGSGEDCGSVSVAFPITMLLTGFVGNALAMLLVSRSYRRRESKRKKSFLLCIGWLALTDLVGQLLTTPVVIVVYLSKQRWEHIDPSGRLCTFFGLTMTVFGLSSLFIASAMAVERALAIRAPHWYASHMKTRATRAVLLGVWLAVLAFALLPVLGVGQYTVQWPGTWCFISTGRGGNGTSSSHNWGNLFFASAFAFLGLLALTVTFSCNLATIKALVSRCRAKATASQSSAQWGRITTETAIQLMGIMCVLSVCWSPLLIMMLKMIFNQTSVEHCKTHTEKQKECNFFLIAVRLASLNQILDPWVYLLLRKILLRKFCQIRYHTNNYASSSTSLPCQCSSTLMWSDHLER</v>
      </c>
      <c r="F238" s="5" t="str">
        <f t="shared" si="76"/>
        <v>VAFPITMLLTGFVGNALAMLLVSRSYR</v>
      </c>
      <c r="G238" s="4" t="str">
        <f t="shared" si="77"/>
        <v/>
      </c>
      <c r="H238" s="4" t="str">
        <f t="shared" si="78"/>
        <v>KSFLLCIGWLALTDLVGQLLTTPVVIVVYLSK</v>
      </c>
      <c r="I238" s="4" t="str">
        <f t="shared" si="79"/>
        <v>RWEH</v>
      </c>
      <c r="J238" s="4" t="str">
        <f t="shared" si="80"/>
        <v>IDPSGRLCTFFGLTMTVFGLSSLFIASAMAVERALAIRA</v>
      </c>
      <c r="K238" s="4" t="str">
        <f t="shared" si="81"/>
        <v>PHWYASHM</v>
      </c>
      <c r="L238" s="4" t="str">
        <f t="shared" si="82"/>
        <v>KTRATRAVLLGVWLAVLAFALLPVLG</v>
      </c>
      <c r="M238" s="4" t="str">
        <f t="shared" si="83"/>
        <v>CFI</v>
      </c>
      <c r="N238" s="4" t="str">
        <f t="shared" si="84"/>
        <v>WGNLFFASAFAFLGLLALTVTFSCNLATIKALVSRCRAKA</v>
      </c>
      <c r="O238" s="4" t="str">
        <f t="shared" si="85"/>
        <v>SSAQWGRITTETAIQLMGIMCVLSVCWSPLLIMMLKMIFNQTS</v>
      </c>
      <c r="P238" s="4" t="str">
        <f t="shared" si="86"/>
        <v>THTEKQKECNFFLIAVRLASLNQILDPWVY</v>
      </c>
      <c r="Q238" s="4" t="str">
        <f t="shared" si="87"/>
        <v>LLLRKILLRKFCQIRYHTNNYAS</v>
      </c>
      <c r="R238" s="5">
        <f>VLOOKUP($A238,'SegEnds_NonXtal_Prot#'!$A:$AL,3,FALSE)</f>
        <v>52</v>
      </c>
      <c r="S238" s="5" t="str">
        <f>VLOOKUP($A238,'SegEnds_NonXtal_Prot#'!$A:$AL,6,FALSE)</f>
        <v>-</v>
      </c>
      <c r="T238" s="5">
        <f>VLOOKUP($A238,'SegEnds_NonXtal_Prot#'!$A:$AL,9,FALSE)</f>
        <v>86</v>
      </c>
      <c r="U238" s="5">
        <f>VLOOKUP($A238,'SegEnds_NonXtal_Prot#'!$A:$AL,12,FALSE)</f>
        <v>119</v>
      </c>
      <c r="V238" s="5">
        <f>VLOOKUP($A238,'SegEnds_NonXtal_Prot#'!$A:$AL,15,FALSE)</f>
        <v>123</v>
      </c>
      <c r="W238" s="5">
        <f>VLOOKUP($A238,'SegEnds_NonXtal_Prot#'!$A:$AL,18,FALSE)</f>
        <v>162</v>
      </c>
      <c r="X238" s="5">
        <f>VLOOKUP($A238,'SegEnds_NonXtal_Prot#'!$A:$AL,21,FALSE)</f>
        <v>170</v>
      </c>
      <c r="Y238" s="5">
        <f>VLOOKUP($A238,'SegEnds_NonXtal_Prot#'!$A:$AL,24,FALSE)</f>
        <v>208</v>
      </c>
      <c r="Z238" s="5">
        <f>VLOOKUP($A238,'SegEnds_NonXtal_Prot#'!$A:$AL,27,FALSE)</f>
        <v>225</v>
      </c>
      <c r="AA238" s="5">
        <f>VLOOKUP($A238,'SegEnds_NonXtal_Prot#'!$A:$AL,30,FALSE)</f>
        <v>269</v>
      </c>
      <c r="AB238" s="5">
        <f>VLOOKUP($A238,'SegEnds_NonXtal_Prot#'!$A:$AL,33,FALSE)</f>
        <v>317</v>
      </c>
      <c r="AC238" s="5">
        <f>VLOOKUP($A238,'SegEnds_NonXtal_Prot#'!$A:$AL,36,FALSE)</f>
        <v>347</v>
      </c>
      <c r="AD238" s="5">
        <f>VLOOKUP($A238,'SegEnds_NonXtal_Prot#'!$A:$AL,5,FALSE)</f>
        <v>78</v>
      </c>
      <c r="AE238" s="5" t="str">
        <f>VLOOKUP($A238,'SegEnds_NonXtal_Prot#'!$A:$AL,8,FALSE)</f>
        <v>-</v>
      </c>
      <c r="AF238" s="5">
        <f>VLOOKUP($A238,'SegEnds_NonXtal_Prot#'!$A:$AL,11,FALSE)</f>
        <v>117</v>
      </c>
      <c r="AG238" s="5">
        <f>VLOOKUP($A238,'SegEnds_NonXtal_Prot#'!$A:$AL,14,FALSE)</f>
        <v>122</v>
      </c>
      <c r="AH238" s="5">
        <f>VLOOKUP($A238,'SegEnds_NonXtal_Prot#'!$A:$AL,17,FALSE)</f>
        <v>161</v>
      </c>
      <c r="AI238" s="5">
        <f>VLOOKUP($A238,'SegEnds_NonXtal_Prot#'!$A:$AL,20,FALSE)</f>
        <v>169</v>
      </c>
      <c r="AJ238" s="5">
        <f>VLOOKUP($A238,'SegEnds_NonXtal_Prot#'!$A:$AL,23,FALSE)</f>
        <v>195</v>
      </c>
      <c r="AK238" s="5">
        <f>VLOOKUP($A238,'SegEnds_NonXtal_Prot#'!$A:$AL,26,FALSE)</f>
        <v>210</v>
      </c>
      <c r="AL238" s="5">
        <f>VLOOKUP($A238,'SegEnds_NonXtal_Prot#'!$A:$AL,29,FALSE)</f>
        <v>264</v>
      </c>
      <c r="AM238" s="5">
        <f>VLOOKUP($A238,'SegEnds_NonXtal_Prot#'!$A:$AL,32,FALSE)</f>
        <v>311</v>
      </c>
      <c r="AN238" s="5">
        <f>VLOOKUP($A238,'SegEnds_NonXtal_Prot#'!$A:$AL,35,FALSE)</f>
        <v>346</v>
      </c>
      <c r="AO238" s="5">
        <f>VLOOKUP($A238,'SegEnds_NonXtal_Prot#'!$A:$AL,38,FALSE)</f>
        <v>369</v>
      </c>
      <c r="AP238" s="5">
        <f t="shared" si="88"/>
        <v>26</v>
      </c>
      <c r="AQ238" s="4" t="str">
        <f t="shared" si="89"/>
        <v>-</v>
      </c>
      <c r="AR238" s="4">
        <f t="shared" si="90"/>
        <v>31</v>
      </c>
      <c r="AS238" s="4">
        <f t="shared" si="91"/>
        <v>3</v>
      </c>
      <c r="AT238" s="4">
        <f t="shared" si="92"/>
        <v>38</v>
      </c>
      <c r="AU238" s="4">
        <f t="shared" si="93"/>
        <v>7</v>
      </c>
      <c r="AV238" s="4">
        <f t="shared" si="94"/>
        <v>25</v>
      </c>
      <c r="AW238" s="4">
        <f t="shared" si="95"/>
        <v>2</v>
      </c>
      <c r="AX238" s="4">
        <f t="shared" si="96"/>
        <v>39</v>
      </c>
      <c r="AY238" s="4">
        <f t="shared" si="97"/>
        <v>42</v>
      </c>
      <c r="AZ238" s="4">
        <f t="shared" si="98"/>
        <v>29</v>
      </c>
      <c r="BA238" s="4">
        <f t="shared" si="99"/>
        <v>22</v>
      </c>
    </row>
    <row r="239" spans="1:53" x14ac:dyDescent="0.2">
      <c r="A239" s="1" t="str">
        <f>'SegEnds_NonXtal_Prot#'!A226</f>
        <v>pe2r4_human</v>
      </c>
      <c r="B239" s="1" t="str">
        <f t="shared" si="75"/>
        <v>NSPVTIPAVMFIFGVVGNLVAIVVLCTTFYTLVCGLAVTDLLGTLLVSPVTIATYMKGQPLCEYSTFILLFFSLSGLSIICAMSVERYLAINHDKRLAGLTLFAVYASNVLFCALPNMGVTAHAAYSYMYAGFSSFLILATVLCNVLVCGALLRMHRQFMRRTRRIAGAEIQMVILLIATSLVVLICSIPLVVRVFVNQLYNPDLQAIRIASVNPILDPWIYILLRKTVLSKAIEKIKC</v>
      </c>
      <c r="C239" s="29" t="str">
        <f>IF(ISERROR(MATCH(A239,'SegEnds_Xtal_Prot#'!B:B, 0)), "NoXtal", "Xtal")</f>
        <v>Xtal</v>
      </c>
      <c r="D239" s="4" t="str">
        <f>VLOOKUP(A239,Classification!A:D,2,FALSE)</f>
        <v>A</v>
      </c>
      <c r="E239" s="5" t="str">
        <f>VLOOKUP(A239,Seqs!A:B,2,FALSE)</f>
        <v>MSTPGVNSSASLSPDRLNSPVTIPAVMFIFGVVGNLVAIVVLCKSRKEQKETTFYTLVCGLAVTDLLGTLLVSPVTIATYMKGQWPGGQPLCEYSTFILLFFSLSGLSIICAMSVERYLAINHAYFYSHYVDKRLAGLTLFAVYASNVLFCALPNMGLGSSRLQYPDTWCFIDWTTNVTAHAAYSYMYAGFSSFLILATVLCNVLVCGALLRMHRQFMRRTSLGTEQHHAAAAASVASRGHPAASPALPRLSDFRRRRSFRRIAGAEIQMVILLIATSLVVLICSIPLVVRVFVNQLYQPSLEREVSKNPDLQAIRIASVNPILDPWIYILLRKTVLSKAIEKIKCLFCRIGGSRRERSGQHCSDSQRTSSAMSGHSRSFISRELKEISSTSQTLLPDLSLPDLSENGLGGRNLLPGVPGMGLAQEDTTSLRTLRISETSDSSQGQDSESVLLVDEAGGSGRAGPAPKGSSLQVTFPSETLNLSEKCI</v>
      </c>
      <c r="F239" s="5" t="str">
        <f t="shared" si="76"/>
        <v>NSPVTIPAVMFIFGVVGNLVAIVVLC</v>
      </c>
      <c r="G239" s="4" t="str">
        <f t="shared" si="77"/>
        <v/>
      </c>
      <c r="H239" s="4" t="str">
        <f t="shared" si="78"/>
        <v>TTFYTLVCGLAVTDLLGTLLVSPVTIATYMK</v>
      </c>
      <c r="I239" s="4" t="str">
        <f t="shared" si="79"/>
        <v>QWPG</v>
      </c>
      <c r="J239" s="4" t="str">
        <f t="shared" si="80"/>
        <v>GQPLCEYSTFILLFFSLSGLSIICAMSVERYLAINH</v>
      </c>
      <c r="K239" s="4" t="str">
        <f t="shared" si="81"/>
        <v>AYFYSHYV</v>
      </c>
      <c r="L239" s="4" t="str">
        <f t="shared" si="82"/>
        <v>DKRLAGLTLFAVYASNVLFCALPNMG</v>
      </c>
      <c r="M239" s="4" t="str">
        <f t="shared" si="83"/>
        <v>CFI</v>
      </c>
      <c r="N239" s="4" t="str">
        <f t="shared" si="84"/>
        <v>VTAHAAYSYMYAGFSSFLILATVLCNVLVCGALLRMHRQFMRRT</v>
      </c>
      <c r="O239" s="4" t="str">
        <f t="shared" si="85"/>
        <v>RRIAGAEIQMVILLIATSLVVLICSIPLVVRVFVNQLY</v>
      </c>
      <c r="P239" s="4" t="str">
        <f t="shared" si="86"/>
        <v>NPDLQAIRIASVNPILDPWIYILL</v>
      </c>
      <c r="Q239" s="4" t="str">
        <f t="shared" si="87"/>
        <v>RKTVLSKAIEKIKC</v>
      </c>
      <c r="R239" s="5">
        <f>VLOOKUP($A239,'SegEnds_NonXtal_Prot#'!$A:$AL,3,FALSE)</f>
        <v>18</v>
      </c>
      <c r="S239" s="5" t="str">
        <f>VLOOKUP($A239,'SegEnds_NonXtal_Prot#'!$A:$AL,6,FALSE)</f>
        <v>-</v>
      </c>
      <c r="T239" s="5">
        <f>VLOOKUP($A239,'SegEnds_NonXtal_Prot#'!$A:$AL,9,FALSE)</f>
        <v>52</v>
      </c>
      <c r="U239" s="5">
        <f>VLOOKUP($A239,'SegEnds_NonXtal_Prot#'!$A:$AL,12,FALSE)</f>
        <v>84</v>
      </c>
      <c r="V239" s="5">
        <f>VLOOKUP($A239,'SegEnds_NonXtal_Prot#'!$A:$AL,15,FALSE)</f>
        <v>88</v>
      </c>
      <c r="W239" s="5">
        <f>VLOOKUP($A239,'SegEnds_NonXtal_Prot#'!$A:$AL,18,FALSE)</f>
        <v>124</v>
      </c>
      <c r="X239" s="5">
        <f>VLOOKUP($A239,'SegEnds_NonXtal_Prot#'!$A:$AL,21,FALSE)</f>
        <v>132</v>
      </c>
      <c r="Y239" s="5">
        <f>VLOOKUP($A239,'SegEnds_NonXtal_Prot#'!$A:$AL,24,FALSE)</f>
        <v>170</v>
      </c>
      <c r="Z239" s="5">
        <f>VLOOKUP($A239,'SegEnds_NonXtal_Prot#'!$A:$AL,27,FALSE)</f>
        <v>178</v>
      </c>
      <c r="AA239" s="5">
        <f>VLOOKUP($A239,'SegEnds_NonXtal_Prot#'!$A:$AL,30,FALSE)</f>
        <v>261</v>
      </c>
      <c r="AB239" s="5">
        <f>VLOOKUP($A239,'SegEnds_NonXtal_Prot#'!$A:$AL,33,FALSE)</f>
        <v>309</v>
      </c>
      <c r="AC239" s="5">
        <f>VLOOKUP($A239,'SegEnds_NonXtal_Prot#'!$A:$AL,36,FALSE)</f>
        <v>333</v>
      </c>
      <c r="AD239" s="5">
        <f>VLOOKUP($A239,'SegEnds_NonXtal_Prot#'!$A:$AL,5,FALSE)</f>
        <v>43</v>
      </c>
      <c r="AE239" s="5" t="str">
        <f>VLOOKUP($A239,'SegEnds_NonXtal_Prot#'!$A:$AL,8,FALSE)</f>
        <v>-</v>
      </c>
      <c r="AF239" s="5">
        <f>VLOOKUP($A239,'SegEnds_NonXtal_Prot#'!$A:$AL,11,FALSE)</f>
        <v>82</v>
      </c>
      <c r="AG239" s="5">
        <f>VLOOKUP($A239,'SegEnds_NonXtal_Prot#'!$A:$AL,14,FALSE)</f>
        <v>87</v>
      </c>
      <c r="AH239" s="5">
        <f>VLOOKUP($A239,'SegEnds_NonXtal_Prot#'!$A:$AL,17,FALSE)</f>
        <v>123</v>
      </c>
      <c r="AI239" s="5">
        <f>VLOOKUP($A239,'SegEnds_NonXtal_Prot#'!$A:$AL,20,FALSE)</f>
        <v>131</v>
      </c>
      <c r="AJ239" s="5">
        <f>VLOOKUP($A239,'SegEnds_NonXtal_Prot#'!$A:$AL,23,FALSE)</f>
        <v>157</v>
      </c>
      <c r="AK239" s="5">
        <f>VLOOKUP($A239,'SegEnds_NonXtal_Prot#'!$A:$AL,26,FALSE)</f>
        <v>172</v>
      </c>
      <c r="AL239" s="5">
        <f>VLOOKUP($A239,'SegEnds_NonXtal_Prot#'!$A:$AL,29,FALSE)</f>
        <v>221</v>
      </c>
      <c r="AM239" s="5">
        <f>VLOOKUP($A239,'SegEnds_NonXtal_Prot#'!$A:$AL,32,FALSE)</f>
        <v>298</v>
      </c>
      <c r="AN239" s="5">
        <f>VLOOKUP($A239,'SegEnds_NonXtal_Prot#'!$A:$AL,35,FALSE)</f>
        <v>332</v>
      </c>
      <c r="AO239" s="5">
        <f>VLOOKUP($A239,'SegEnds_NonXtal_Prot#'!$A:$AL,38,FALSE)</f>
        <v>346</v>
      </c>
      <c r="AP239" s="5">
        <f t="shared" si="88"/>
        <v>25</v>
      </c>
      <c r="AQ239" s="4" t="str">
        <f t="shared" si="89"/>
        <v>-</v>
      </c>
      <c r="AR239" s="4">
        <f t="shared" si="90"/>
        <v>30</v>
      </c>
      <c r="AS239" s="4">
        <f t="shared" si="91"/>
        <v>3</v>
      </c>
      <c r="AT239" s="4">
        <f t="shared" si="92"/>
        <v>35</v>
      </c>
      <c r="AU239" s="4">
        <f t="shared" si="93"/>
        <v>7</v>
      </c>
      <c r="AV239" s="4">
        <f t="shared" si="94"/>
        <v>25</v>
      </c>
      <c r="AW239" s="4">
        <f t="shared" si="95"/>
        <v>2</v>
      </c>
      <c r="AX239" s="4">
        <f t="shared" si="96"/>
        <v>43</v>
      </c>
      <c r="AY239" s="4">
        <f t="shared" si="97"/>
        <v>37</v>
      </c>
      <c r="AZ239" s="4">
        <f t="shared" si="98"/>
        <v>23</v>
      </c>
      <c r="BA239" s="4">
        <f t="shared" si="99"/>
        <v>13</v>
      </c>
    </row>
    <row r="240" spans="1:53" x14ac:dyDescent="0.2">
      <c r="A240" s="1" t="str">
        <f>'SegEnds_NonXtal_Prot#'!A227</f>
        <v>pf2r_human</v>
      </c>
      <c r="B240" s="1" t="str">
        <f t="shared" si="75"/>
        <v>SVFFSVIFMTVGILSNSLAIAILMKAYQKSKASFLLLASGLVITDFFGHLINGAIAVFVYASFDQSNVLCSIFGICMVFSGLCPLLLGSVMAIERCIGVTKTSKHVKMMLSGVCLFAVFIALLPILGRFYLLLFSFLGLLALGVSLLCNAITGITLLRVKFKSQQHHLEMVIQLLAIMCVSCICWSPFLVTMANIGINTCETTLFALRMATWNQILDPWVYILLRKAVLKNLYKLASQCCGVHV</v>
      </c>
      <c r="C240" s="29" t="str">
        <f>IF(ISERROR(MATCH(A240,'SegEnds_Xtal_Prot#'!B:B, 0)), "NoXtal", "Xtal")</f>
        <v>NoXtal</v>
      </c>
      <c r="D240" s="4" t="str">
        <f>VLOOKUP(A240,Classification!A:D,2,FALSE)</f>
        <v>A</v>
      </c>
      <c r="E240" s="5" t="str">
        <f>VLOOKUP(A240,Seqs!A:B,2,FALSE)</f>
        <v>MSMNNSKQLVSPAAALLSNTTCQTENRLSVFFSVIFMTVGILSNSLAIAILMKAYQRFRQKSKASFLLLASGLVITDFFGHLINGAIAVFVYASDKEWIRFDQSNVLCSIFGICMVFSGLCPLLLGSVMAIERCIGVTKPIFHSTKITSKHVKMMLSGVCLFAVFIALLPILGHRDYKIQASRTWCFYNTEDIKDWEDRFYLLLFSFLGLLALGVSLLCNAITGITLLRVKFKSQQHRQGRSHHLEMVIQLLAIMCVSCICWSPFLVTMANIGINGNHSLETCETTLFALRMATWNQILDPWVYILLRKAVLKNLYKLASQCCGVHVISLHIWELSSIKNSLKVAAISESPVAEKSAST</v>
      </c>
      <c r="F240" s="5" t="str">
        <f t="shared" si="76"/>
        <v>SVFFSVIFMTVGILSNSLAIAILMKAY</v>
      </c>
      <c r="G240" s="4" t="str">
        <f t="shared" si="77"/>
        <v>QRFR</v>
      </c>
      <c r="H240" s="4" t="str">
        <f t="shared" si="78"/>
        <v>QKSKASFLLLASGLVITDFFGHLINGAIAVFVYAS</v>
      </c>
      <c r="I240" s="4" t="str">
        <f t="shared" si="79"/>
        <v>EWIR</v>
      </c>
      <c r="J240" s="4" t="str">
        <f t="shared" si="80"/>
        <v>FDQSNVLCSIFGICMVFSGLCPLLLGSVMAIERCIGVTK</v>
      </c>
      <c r="K240" s="4" t="str">
        <f t="shared" si="81"/>
        <v>PIFHSTKI</v>
      </c>
      <c r="L240" s="4" t="str">
        <f t="shared" si="82"/>
        <v>TSKHVKMMLSGVCLFAVFIALLPILG</v>
      </c>
      <c r="M240" s="4" t="str">
        <f t="shared" si="83"/>
        <v>CFY</v>
      </c>
      <c r="N240" s="4" t="str">
        <f t="shared" si="84"/>
        <v>RFYLLLFSFLGLLALGVSLLCNAITGITLLRVKFKSQQ</v>
      </c>
      <c r="O240" s="4" t="str">
        <f t="shared" si="85"/>
        <v>HHLEMVIQLLAIMCVSCICWSPFLVTMANIGIN</v>
      </c>
      <c r="P240" s="4" t="str">
        <f t="shared" si="86"/>
        <v>TCETTLFALRMATWNQILDPWVYILL</v>
      </c>
      <c r="Q240" s="4" t="str">
        <f t="shared" si="87"/>
        <v>RKAVLKNLYKLASQCCGVHV</v>
      </c>
      <c r="R240" s="5">
        <f>VLOOKUP($A240,'SegEnds_NonXtal_Prot#'!$A:$AL,3,FALSE)</f>
        <v>29</v>
      </c>
      <c r="S240" s="5">
        <f>VLOOKUP($A240,'SegEnds_NonXtal_Prot#'!$A:$AL,6,FALSE)</f>
        <v>56</v>
      </c>
      <c r="T240" s="5">
        <f>VLOOKUP($A240,'SegEnds_NonXtal_Prot#'!$A:$AL,9,FALSE)</f>
        <v>60</v>
      </c>
      <c r="U240" s="5">
        <f>VLOOKUP($A240,'SegEnds_NonXtal_Prot#'!$A:$AL,12,FALSE)</f>
        <v>97</v>
      </c>
      <c r="V240" s="5">
        <f>VLOOKUP($A240,'SegEnds_NonXtal_Prot#'!$A:$AL,15,FALSE)</f>
        <v>101</v>
      </c>
      <c r="W240" s="5">
        <f>VLOOKUP($A240,'SegEnds_NonXtal_Prot#'!$A:$AL,18,FALSE)</f>
        <v>140</v>
      </c>
      <c r="X240" s="5">
        <f>VLOOKUP($A240,'SegEnds_NonXtal_Prot#'!$A:$AL,21,FALSE)</f>
        <v>148</v>
      </c>
      <c r="Y240" s="5">
        <f>VLOOKUP($A240,'SegEnds_NonXtal_Prot#'!$A:$AL,24,FALSE)</f>
        <v>186</v>
      </c>
      <c r="Z240" s="5">
        <f>VLOOKUP($A240,'SegEnds_NonXtal_Prot#'!$A:$AL,27,FALSE)</f>
        <v>199</v>
      </c>
      <c r="AA240" s="5">
        <f>VLOOKUP($A240,'SegEnds_NonXtal_Prot#'!$A:$AL,30,FALSE)</f>
        <v>243</v>
      </c>
      <c r="AB240" s="5">
        <f>VLOOKUP($A240,'SegEnds_NonXtal_Prot#'!$A:$AL,33,FALSE)</f>
        <v>282</v>
      </c>
      <c r="AC240" s="5">
        <f>VLOOKUP($A240,'SegEnds_NonXtal_Prot#'!$A:$AL,36,FALSE)</f>
        <v>308</v>
      </c>
      <c r="AD240" s="5">
        <f>VLOOKUP($A240,'SegEnds_NonXtal_Prot#'!$A:$AL,5,FALSE)</f>
        <v>55</v>
      </c>
      <c r="AE240" s="5">
        <f>VLOOKUP($A240,'SegEnds_NonXtal_Prot#'!$A:$AL,8,FALSE)</f>
        <v>59</v>
      </c>
      <c r="AF240" s="5">
        <f>VLOOKUP($A240,'SegEnds_NonXtal_Prot#'!$A:$AL,11,FALSE)</f>
        <v>94</v>
      </c>
      <c r="AG240" s="5">
        <f>VLOOKUP($A240,'SegEnds_NonXtal_Prot#'!$A:$AL,14,FALSE)</f>
        <v>100</v>
      </c>
      <c r="AH240" s="5">
        <f>VLOOKUP($A240,'SegEnds_NonXtal_Prot#'!$A:$AL,17,FALSE)</f>
        <v>139</v>
      </c>
      <c r="AI240" s="5">
        <f>VLOOKUP($A240,'SegEnds_NonXtal_Prot#'!$A:$AL,20,FALSE)</f>
        <v>147</v>
      </c>
      <c r="AJ240" s="5">
        <f>VLOOKUP($A240,'SegEnds_NonXtal_Prot#'!$A:$AL,23,FALSE)</f>
        <v>173</v>
      </c>
      <c r="AK240" s="5">
        <f>VLOOKUP($A240,'SegEnds_NonXtal_Prot#'!$A:$AL,26,FALSE)</f>
        <v>188</v>
      </c>
      <c r="AL240" s="5">
        <f>VLOOKUP($A240,'SegEnds_NonXtal_Prot#'!$A:$AL,29,FALSE)</f>
        <v>236</v>
      </c>
      <c r="AM240" s="5">
        <f>VLOOKUP($A240,'SegEnds_NonXtal_Prot#'!$A:$AL,32,FALSE)</f>
        <v>275</v>
      </c>
      <c r="AN240" s="5">
        <f>VLOOKUP($A240,'SegEnds_NonXtal_Prot#'!$A:$AL,35,FALSE)</f>
        <v>307</v>
      </c>
      <c r="AO240" s="5">
        <f>VLOOKUP($A240,'SegEnds_NonXtal_Prot#'!$A:$AL,38,FALSE)</f>
        <v>327</v>
      </c>
      <c r="AP240" s="5">
        <f t="shared" si="88"/>
        <v>26</v>
      </c>
      <c r="AQ240" s="4">
        <f t="shared" si="89"/>
        <v>3</v>
      </c>
      <c r="AR240" s="4">
        <f t="shared" si="90"/>
        <v>34</v>
      </c>
      <c r="AS240" s="4">
        <f t="shared" si="91"/>
        <v>3</v>
      </c>
      <c r="AT240" s="4">
        <f t="shared" si="92"/>
        <v>38</v>
      </c>
      <c r="AU240" s="4">
        <f t="shared" si="93"/>
        <v>7</v>
      </c>
      <c r="AV240" s="4">
        <f t="shared" si="94"/>
        <v>25</v>
      </c>
      <c r="AW240" s="4">
        <f t="shared" si="95"/>
        <v>2</v>
      </c>
      <c r="AX240" s="4">
        <f t="shared" si="96"/>
        <v>37</v>
      </c>
      <c r="AY240" s="4">
        <f t="shared" si="97"/>
        <v>32</v>
      </c>
      <c r="AZ240" s="4">
        <f t="shared" si="98"/>
        <v>25</v>
      </c>
      <c r="BA240" s="4">
        <f t="shared" si="99"/>
        <v>19</v>
      </c>
    </row>
    <row r="241" spans="1:53" x14ac:dyDescent="0.2">
      <c r="A241" s="1" t="str">
        <f>'SegEnds_NonXtal_Prot#'!A229</f>
        <v>psyr_human</v>
      </c>
      <c r="B241" s="1" t="str">
        <f t="shared" si="75"/>
        <v>LDHYLFPIVYIFVIIVSIPANIGSLCVSFLQSELGIYLFSLSLSDLLYALTLPLWIDYTWNSPALCKGSAFLMYMNFYSSTAFLTCIAVDRYLAVVYTRRFALMVSLSIWILETIFNAVMLWEDEKWQINLNLFRTCTGYAIPLVTILICNRKVYQAVRHENKEKKRIIKLLVSITVTFVLCFTPFHVMLLIRCILEHAHSNSGKRTYTMYRITVALTSLNCVADPILYCFVTETGRYDMWNILK</v>
      </c>
      <c r="C241" s="29" t="str">
        <f>IF(ISERROR(MATCH(A241,'SegEnds_Xtal_Prot#'!B:B, 0)), "NoXtal", "Xtal")</f>
        <v>NoXtal</v>
      </c>
      <c r="D241" s="4" t="str">
        <f>VLOOKUP(A241,Classification!A:D,2,FALSE)</f>
        <v>A</v>
      </c>
      <c r="E241" s="5" t="str">
        <f>VLOOKUP(A241,Seqs!A:B,2,FALSE)</f>
        <v>MNSTCIEEQHDLDHYLFPIVYIFVIIVSIPANIGSLCVSFLQAKKESELGIYLFSLSLSDLLYALTLPLWIDYTWNKDNWTFSPALCKGSAFLMYMNFYSSTAFLTCIAVDRYLAVVYPLKFFFLRTRRFALMVSLSIWILETIFNAVMLWEDETVVEYCDAEKSNFTLCYDKYPLEKWQINLNLFRTCTGYAIPLVTILICNRKVYQAVRHNKATENKEKKRIIKLLVSITVTFVLCFTPFHVMLLIRCILEHAVNFEDHSNSGKRTYTMYRITVALTSLNCVADPILYCFVTETGRYDMWNILKFCTGRCNTSQRQRKRILSVSTKDTMELEVLE</v>
      </c>
      <c r="F241" s="5" t="str">
        <f t="shared" si="76"/>
        <v>LDHYLFPIVYIFVIIVSIPANIGSLCVSFLQ</v>
      </c>
      <c r="G241" s="4" t="str">
        <f t="shared" si="77"/>
        <v/>
      </c>
      <c r="H241" s="4" t="str">
        <f t="shared" si="78"/>
        <v>SELGIYLFSLSLSDLLYALTLPLWIDYTWN</v>
      </c>
      <c r="I241" s="4" t="str">
        <f t="shared" si="79"/>
        <v>NWTF</v>
      </c>
      <c r="J241" s="4" t="str">
        <f t="shared" si="80"/>
        <v>SPALCKGSAFLMYMNFYSSTAFLTCIAVDRYLAVVY</v>
      </c>
      <c r="K241" s="4" t="str">
        <f t="shared" si="81"/>
        <v>PLKFFFLR</v>
      </c>
      <c r="L241" s="4" t="str">
        <f t="shared" si="82"/>
        <v>TRRFALMVSLSIWILETIFNAVMLWED</v>
      </c>
      <c r="M241" s="4" t="str">
        <f t="shared" si="83"/>
        <v>CYD</v>
      </c>
      <c r="N241" s="4" t="str">
        <f t="shared" si="84"/>
        <v>EKWQINLNLFRTCTGYAIPLVTILICNRKVYQAVRH</v>
      </c>
      <c r="O241" s="4" t="str">
        <f t="shared" si="85"/>
        <v>ENKEKKRIIKLLVSITVTFVLCFTPFHVMLLIRCILEHA</v>
      </c>
      <c r="P241" s="4" t="str">
        <f t="shared" si="86"/>
        <v>HSNSGKRTYTMYRITVALTSLNCVADPILYCFV</v>
      </c>
      <c r="Q241" s="4" t="str">
        <f t="shared" si="87"/>
        <v>TETGRYDMWNILK</v>
      </c>
      <c r="R241" s="5">
        <f>VLOOKUP($A241,'SegEnds_NonXtal_Prot#'!$A:$AL,3,FALSE)</f>
        <v>12</v>
      </c>
      <c r="S241" s="5" t="str">
        <f>VLOOKUP($A241,'SegEnds_NonXtal_Prot#'!$A:$AL,6,FALSE)</f>
        <v>-</v>
      </c>
      <c r="T241" s="5">
        <f>VLOOKUP($A241,'SegEnds_NonXtal_Prot#'!$A:$AL,9,FALSE)</f>
        <v>47</v>
      </c>
      <c r="U241" s="5">
        <f>VLOOKUP($A241,'SegEnds_NonXtal_Prot#'!$A:$AL,12,FALSE)</f>
        <v>79</v>
      </c>
      <c r="V241" s="5">
        <f>VLOOKUP($A241,'SegEnds_NonXtal_Prot#'!$A:$AL,15,FALSE)</f>
        <v>83</v>
      </c>
      <c r="W241" s="5">
        <f>VLOOKUP($A241,'SegEnds_NonXtal_Prot#'!$A:$AL,18,FALSE)</f>
        <v>119</v>
      </c>
      <c r="X241" s="5">
        <f>VLOOKUP($A241,'SegEnds_NonXtal_Prot#'!$A:$AL,21,FALSE)</f>
        <v>127</v>
      </c>
      <c r="Y241" s="5">
        <f>VLOOKUP($A241,'SegEnds_NonXtal_Prot#'!$A:$AL,24,FALSE)</f>
        <v>170</v>
      </c>
      <c r="Z241" s="5">
        <f>VLOOKUP($A241,'SegEnds_NonXtal_Prot#'!$A:$AL,27,FALSE)</f>
        <v>177</v>
      </c>
      <c r="AA241" s="5">
        <f>VLOOKUP($A241,'SegEnds_NonXtal_Prot#'!$A:$AL,30,FALSE)</f>
        <v>217</v>
      </c>
      <c r="AB241" s="5">
        <f>VLOOKUP($A241,'SegEnds_NonXtal_Prot#'!$A:$AL,33,FALSE)</f>
        <v>261</v>
      </c>
      <c r="AC241" s="5">
        <f>VLOOKUP($A241,'SegEnds_NonXtal_Prot#'!$A:$AL,36,FALSE)</f>
        <v>294</v>
      </c>
      <c r="AD241" s="5">
        <f>VLOOKUP($A241,'SegEnds_NonXtal_Prot#'!$A:$AL,5,FALSE)</f>
        <v>42</v>
      </c>
      <c r="AE241" s="5" t="str">
        <f>VLOOKUP($A241,'SegEnds_NonXtal_Prot#'!$A:$AL,8,FALSE)</f>
        <v>-</v>
      </c>
      <c r="AF241" s="5">
        <f>VLOOKUP($A241,'SegEnds_NonXtal_Prot#'!$A:$AL,11,FALSE)</f>
        <v>76</v>
      </c>
      <c r="AG241" s="5">
        <f>VLOOKUP($A241,'SegEnds_NonXtal_Prot#'!$A:$AL,14,FALSE)</f>
        <v>82</v>
      </c>
      <c r="AH241" s="5">
        <f>VLOOKUP($A241,'SegEnds_NonXtal_Prot#'!$A:$AL,17,FALSE)</f>
        <v>118</v>
      </c>
      <c r="AI241" s="5">
        <f>VLOOKUP($A241,'SegEnds_NonXtal_Prot#'!$A:$AL,20,FALSE)</f>
        <v>126</v>
      </c>
      <c r="AJ241" s="5">
        <f>VLOOKUP($A241,'SegEnds_NonXtal_Prot#'!$A:$AL,23,FALSE)</f>
        <v>153</v>
      </c>
      <c r="AK241" s="5">
        <f>VLOOKUP($A241,'SegEnds_NonXtal_Prot#'!$A:$AL,26,FALSE)</f>
        <v>172</v>
      </c>
      <c r="AL241" s="5">
        <f>VLOOKUP($A241,'SegEnds_NonXtal_Prot#'!$A:$AL,29,FALSE)</f>
        <v>212</v>
      </c>
      <c r="AM241" s="5">
        <f>VLOOKUP($A241,'SegEnds_NonXtal_Prot#'!$A:$AL,32,FALSE)</f>
        <v>255</v>
      </c>
      <c r="AN241" s="5">
        <f>VLOOKUP($A241,'SegEnds_NonXtal_Prot#'!$A:$AL,35,FALSE)</f>
        <v>293</v>
      </c>
      <c r="AO241" s="5">
        <f>VLOOKUP($A241,'SegEnds_NonXtal_Prot#'!$A:$AL,38,FALSE)</f>
        <v>306</v>
      </c>
      <c r="AP241" s="5">
        <f t="shared" si="88"/>
        <v>30</v>
      </c>
      <c r="AQ241" s="4" t="str">
        <f t="shared" si="89"/>
        <v>-</v>
      </c>
      <c r="AR241" s="4">
        <f t="shared" si="90"/>
        <v>29</v>
      </c>
      <c r="AS241" s="4">
        <f t="shared" si="91"/>
        <v>3</v>
      </c>
      <c r="AT241" s="4">
        <f t="shared" si="92"/>
        <v>35</v>
      </c>
      <c r="AU241" s="4">
        <f t="shared" si="93"/>
        <v>7</v>
      </c>
      <c r="AV241" s="4">
        <f t="shared" si="94"/>
        <v>26</v>
      </c>
      <c r="AW241" s="4">
        <f t="shared" si="95"/>
        <v>2</v>
      </c>
      <c r="AX241" s="4">
        <f t="shared" si="96"/>
        <v>35</v>
      </c>
      <c r="AY241" s="4">
        <f t="shared" si="97"/>
        <v>38</v>
      </c>
      <c r="AZ241" s="4">
        <f t="shared" si="98"/>
        <v>32</v>
      </c>
      <c r="BA241" s="4">
        <f t="shared" si="99"/>
        <v>12</v>
      </c>
    </row>
    <row r="242" spans="1:53" x14ac:dyDescent="0.2">
      <c r="A242" s="1" t="str">
        <f>'SegEnds_NonXtal_Prot#'!A230</f>
        <v>ptafr_human</v>
      </c>
      <c r="B242" s="1" t="str">
        <f t="shared" si="75"/>
        <v>DSEFRYTLFPIVYSIIFVLGVIANGYVLWVFARLYFNEIKIFMVNLTMADMLFLITLPLWIVYYQNQPKFLCNVAGCLFFINTYCSVAFLGVITYNRFQAVTRTRKRGISLSLVIWVAIVGAASYFLILSVPVLIIHIFIVFSFFLVFLIILFCNLVIIRTLLMQQRNAEVKRRALWMVCTVLAVFIICFVPHHVVQLPWTLAELGDSKFHQAINDAHQVTLCLLSTNCVLDPVIYCFLTKKFRKHLTEKFYSMRS</v>
      </c>
      <c r="C242" s="29" t="str">
        <f>IF(ISERROR(MATCH(A242,'SegEnds_Xtal_Prot#'!B:B, 0)), "NoXtal", "Xtal")</f>
        <v>Xtal</v>
      </c>
      <c r="D242" s="4" t="str">
        <f>VLOOKUP(A242,Classification!A:D,2,FALSE)</f>
        <v>A</v>
      </c>
      <c r="E242" s="5" t="str">
        <f>VLOOKUP(A242,Seqs!A:B,2,FALSE)</f>
        <v>MEPHDSSHMDSEFRYTLFPIVYSIIFVLGVIANGYVLWVFARLYPCKKFNEIKIFMVNLTMADMLFLITLPLWIVYYQNQGNWILPKFLCNVAGCLFFINTYCSVAFLGVITYNRFQAVTRPIKTAQANTRKRGISLSLVIWVAIVGAASYFLILDSTNTVPDSAGSGNVTRCFEHYEKGSVPVLIIHIFIVFSFFLVFLIILFCNLVIIRTLLMQPVQQQRNAEVKRRALWMVCTVLAVFIICFVPHHVVQLPWTLAELGFQDSKFHQAINDAHQVTLCLLSTNCVLDPVIYCFLTKKFRKHLTEKFYSMRSSRKCSRATTDTVTEVVVPFNQIPGNSLKN</v>
      </c>
      <c r="F242" s="5" t="str">
        <f t="shared" si="76"/>
        <v>DSEFRYTLFPIVYSIIFVLGVIANGYVLWVFARLY</v>
      </c>
      <c r="G242" s="4" t="str">
        <f t="shared" si="77"/>
        <v/>
      </c>
      <c r="H242" s="4" t="str">
        <f t="shared" si="78"/>
        <v>FNEIKIFMVNLTMADMLFLITLPLWIVYYQNQ</v>
      </c>
      <c r="I242" s="4" t="str">
        <f t="shared" si="79"/>
        <v>NWIL</v>
      </c>
      <c r="J242" s="4" t="str">
        <f t="shared" si="80"/>
        <v>PKFLCNVAGCLFFINTYCSVAFLGVITYNRFQAVTR</v>
      </c>
      <c r="K242" s="4" t="str">
        <f t="shared" si="81"/>
        <v>PIKTAQAN</v>
      </c>
      <c r="L242" s="4" t="str">
        <f t="shared" si="82"/>
        <v>TRKRGISLSLVIWVAIVGAASYFLIL</v>
      </c>
      <c r="M242" s="4" t="str">
        <f t="shared" si="83"/>
        <v>CFE</v>
      </c>
      <c r="N242" s="4" t="str">
        <f t="shared" si="84"/>
        <v>SVPVLIIHIFIVFSFFLVFLIILFCNLVIIRTLLMQ</v>
      </c>
      <c r="O242" s="4" t="str">
        <f t="shared" si="85"/>
        <v>QRNAEVKRRALWMVCTVLAVFIICFVPHHVVQLPWTLAELG</v>
      </c>
      <c r="P242" s="4" t="str">
        <f t="shared" si="86"/>
        <v>DSKFHQAINDAHQVTLCLLSTNCVLDPVIYCFLTKK</v>
      </c>
      <c r="Q242" s="4" t="str">
        <f t="shared" si="87"/>
        <v>FRKHLTEKFYSMRS</v>
      </c>
      <c r="R242" s="5">
        <f>VLOOKUP($A242,'SegEnds_NonXtal_Prot#'!$A:$AL,3,FALSE)</f>
        <v>10</v>
      </c>
      <c r="S242" s="5" t="str">
        <f>VLOOKUP($A242,'SegEnds_NonXtal_Prot#'!$A:$AL,6,FALSE)</f>
        <v>-</v>
      </c>
      <c r="T242" s="5">
        <f>VLOOKUP($A242,'SegEnds_NonXtal_Prot#'!$A:$AL,9,FALSE)</f>
        <v>49</v>
      </c>
      <c r="U242" s="5">
        <f>VLOOKUP($A242,'SegEnds_NonXtal_Prot#'!$A:$AL,12,FALSE)</f>
        <v>82</v>
      </c>
      <c r="V242" s="5">
        <f>VLOOKUP($A242,'SegEnds_NonXtal_Prot#'!$A:$AL,15,FALSE)</f>
        <v>86</v>
      </c>
      <c r="W242" s="5">
        <f>VLOOKUP($A242,'SegEnds_NonXtal_Prot#'!$A:$AL,18,FALSE)</f>
        <v>122</v>
      </c>
      <c r="X242" s="5">
        <f>VLOOKUP($A242,'SegEnds_NonXtal_Prot#'!$A:$AL,21,FALSE)</f>
        <v>130</v>
      </c>
      <c r="Y242" s="5">
        <f>VLOOKUP($A242,'SegEnds_NonXtal_Prot#'!$A:$AL,24,FALSE)</f>
        <v>173</v>
      </c>
      <c r="Z242" s="5">
        <f>VLOOKUP($A242,'SegEnds_NonXtal_Prot#'!$A:$AL,27,FALSE)</f>
        <v>181</v>
      </c>
      <c r="AA242" s="5">
        <f>VLOOKUP($A242,'SegEnds_NonXtal_Prot#'!$A:$AL,30,FALSE)</f>
        <v>221</v>
      </c>
      <c r="AB242" s="5">
        <f>VLOOKUP($A242,'SegEnds_NonXtal_Prot#'!$A:$AL,33,FALSE)</f>
        <v>264</v>
      </c>
      <c r="AC242" s="5">
        <f>VLOOKUP($A242,'SegEnds_NonXtal_Prot#'!$A:$AL,36,FALSE)</f>
        <v>300</v>
      </c>
      <c r="AD242" s="5">
        <f>VLOOKUP($A242,'SegEnds_NonXtal_Prot#'!$A:$AL,5,FALSE)</f>
        <v>44</v>
      </c>
      <c r="AE242" s="5" t="str">
        <f>VLOOKUP($A242,'SegEnds_NonXtal_Prot#'!$A:$AL,8,FALSE)</f>
        <v>-</v>
      </c>
      <c r="AF242" s="5">
        <f>VLOOKUP($A242,'SegEnds_NonXtal_Prot#'!$A:$AL,11,FALSE)</f>
        <v>80</v>
      </c>
      <c r="AG242" s="5">
        <f>VLOOKUP($A242,'SegEnds_NonXtal_Prot#'!$A:$AL,14,FALSE)</f>
        <v>85</v>
      </c>
      <c r="AH242" s="5">
        <f>VLOOKUP($A242,'SegEnds_NonXtal_Prot#'!$A:$AL,17,FALSE)</f>
        <v>121</v>
      </c>
      <c r="AI242" s="5">
        <f>VLOOKUP($A242,'SegEnds_NonXtal_Prot#'!$A:$AL,20,FALSE)</f>
        <v>129</v>
      </c>
      <c r="AJ242" s="5">
        <f>VLOOKUP($A242,'SegEnds_NonXtal_Prot#'!$A:$AL,23,FALSE)</f>
        <v>155</v>
      </c>
      <c r="AK242" s="5">
        <f>VLOOKUP($A242,'SegEnds_NonXtal_Prot#'!$A:$AL,26,FALSE)</f>
        <v>175</v>
      </c>
      <c r="AL242" s="5">
        <f>VLOOKUP($A242,'SegEnds_NonXtal_Prot#'!$A:$AL,29,FALSE)</f>
        <v>216</v>
      </c>
      <c r="AM242" s="5">
        <f>VLOOKUP($A242,'SegEnds_NonXtal_Prot#'!$A:$AL,32,FALSE)</f>
        <v>261</v>
      </c>
      <c r="AN242" s="5">
        <f>VLOOKUP($A242,'SegEnds_NonXtal_Prot#'!$A:$AL,35,FALSE)</f>
        <v>299</v>
      </c>
      <c r="AO242" s="5">
        <f>VLOOKUP($A242,'SegEnds_NonXtal_Prot#'!$A:$AL,38,FALSE)</f>
        <v>313</v>
      </c>
      <c r="AP242" s="5">
        <f t="shared" si="88"/>
        <v>34</v>
      </c>
      <c r="AQ242" s="4" t="str">
        <f t="shared" si="89"/>
        <v>-</v>
      </c>
      <c r="AR242" s="4">
        <f t="shared" si="90"/>
        <v>31</v>
      </c>
      <c r="AS242" s="4">
        <f t="shared" si="91"/>
        <v>3</v>
      </c>
      <c r="AT242" s="4">
        <f t="shared" si="92"/>
        <v>35</v>
      </c>
      <c r="AU242" s="4">
        <f t="shared" si="93"/>
        <v>7</v>
      </c>
      <c r="AV242" s="4">
        <f t="shared" si="94"/>
        <v>25</v>
      </c>
      <c r="AW242" s="4">
        <f t="shared" si="95"/>
        <v>2</v>
      </c>
      <c r="AX242" s="4">
        <f t="shared" si="96"/>
        <v>35</v>
      </c>
      <c r="AY242" s="4">
        <f t="shared" si="97"/>
        <v>40</v>
      </c>
      <c r="AZ242" s="4">
        <f t="shared" si="98"/>
        <v>35</v>
      </c>
      <c r="BA242" s="4">
        <f t="shared" si="99"/>
        <v>13</v>
      </c>
    </row>
    <row r="243" spans="1:53" x14ac:dyDescent="0.2">
      <c r="A243" s="1" t="str">
        <f>'SegEnds_NonXtal_Prot#'!A231</f>
        <v>qrfpr_human</v>
      </c>
      <c r="B243" s="1" t="str">
        <f t="shared" si="75"/>
        <v>AKLALVLTGVLIFALALFGNALVFYVVTRSTVTNIFICSLALSDLLITFFCIPVTMLQNISDGAFICKMVPFVQSTAVVTEILTMTCIAVERHQGLVHTNRRAFTMLGVVWLVAVIVGSPMWHVQVHQKIYTTFILVILFLLPLMVMLILYSKIGYELWIKKRVGDGKEMSKIARKKKRAVIMMVTVVALFAVCWAPFHVVHMMIEYSDVTIKMIFAIVQIIGFSNSICNPIVYAFMNENFKKNVLSAV</v>
      </c>
      <c r="C243" s="29" t="str">
        <f>IF(ISERROR(MATCH(A243,'SegEnds_Xtal_Prot#'!B:B, 0)), "NoXtal", "Xtal")</f>
        <v>NoXtal</v>
      </c>
      <c r="D243" s="4" t="str">
        <f>VLOOKUP(A243,Classification!A:D,2,FALSE)</f>
        <v>A</v>
      </c>
      <c r="E243" s="5" t="str">
        <f>VLOOKUP(A243,Seqs!A:B,2,FALSE)</f>
        <v>MQALNITPEQFSRLLRDHNLTREQFIALYRLRPLVYTPELPGRAKLALVLTGVLIFALALFGNALVFYVVTRSKAMRTVTNIFICSLALSDLLITFFCIPVTMLQNISDNWLGGAFICKMVPFVQSTAVVTEILTMTCIAVERHQGLVHPFKMKWQYTNRRAFTMLGVVWLVAVIVGSPMWHVQQLEIKYDFLYEKEHICCLEEWTSPVHQKIYTTFILVILFLLPLMVMLILYSKIGYELWIKKRVGDGSVLRTIHGKEMSKIARKKKRAVIMMVTVVALFAVCWAPFHVVHMMIEYSNFEKEYDDVTIKMIFAIVQIIGFSNSICNPIVYAFMNENFKKNVLSAVCYCIVNKTFSPAQRHGNSGITMMRKKAKFSLRENPVEETKGEAFSDGNIEVKLCEQTEEKKKLKRHLALFRSELAENSPLDSGH</v>
      </c>
      <c r="F243" s="5" t="str">
        <f t="shared" si="76"/>
        <v>AKLALVLTGVLIFALALFGNALVFYVVTRS</v>
      </c>
      <c r="G243" s="4" t="str">
        <f t="shared" si="77"/>
        <v>KAMR</v>
      </c>
      <c r="H243" s="4" t="str">
        <f t="shared" si="78"/>
        <v>TVTNIFICSLALSDLLITFFCIPVTMLQNISD</v>
      </c>
      <c r="I243" s="4" t="str">
        <f t="shared" si="79"/>
        <v>NWLG</v>
      </c>
      <c r="J243" s="4" t="str">
        <f t="shared" si="80"/>
        <v>GAFICKMVPFVQSTAVVTEILTMTCIAVERHQGLVH</v>
      </c>
      <c r="K243" s="4" t="str">
        <f t="shared" si="81"/>
        <v>PFKMKWQY</v>
      </c>
      <c r="L243" s="4" t="str">
        <f t="shared" si="82"/>
        <v>TNRRAFTMLGVVWLVAVIVGSPMWHVQ</v>
      </c>
      <c r="M243" s="4" t="str">
        <f t="shared" si="83"/>
        <v>CLE</v>
      </c>
      <c r="N243" s="4" t="str">
        <f t="shared" si="84"/>
        <v>VHQKIYTTFILVILFLLPLMVMLILYSKIGYELWIKKRVGDG</v>
      </c>
      <c r="O243" s="4" t="str">
        <f t="shared" si="85"/>
        <v>KEMSKIARKKKRAVIMMVTVVALFAVCWAPFHVVHMMIEYS</v>
      </c>
      <c r="P243" s="4" t="str">
        <f t="shared" si="86"/>
        <v>DVTIKMIFAIVQIIGFSNSICNPIVYAFM</v>
      </c>
      <c r="Q243" s="4" t="str">
        <f t="shared" si="87"/>
        <v>NENFKKNVLSAV</v>
      </c>
      <c r="R243" s="5">
        <f>VLOOKUP($A243,'SegEnds_NonXtal_Prot#'!$A:$AL,3,FALSE)</f>
        <v>44</v>
      </c>
      <c r="S243" s="5">
        <f>VLOOKUP($A243,'SegEnds_NonXtal_Prot#'!$A:$AL,6,FALSE)</f>
        <v>74</v>
      </c>
      <c r="T243" s="5">
        <f>VLOOKUP($A243,'SegEnds_NonXtal_Prot#'!$A:$AL,9,FALSE)</f>
        <v>78</v>
      </c>
      <c r="U243" s="5">
        <f>VLOOKUP($A243,'SegEnds_NonXtal_Prot#'!$A:$AL,12,FALSE)</f>
        <v>110</v>
      </c>
      <c r="V243" s="5">
        <f>VLOOKUP($A243,'SegEnds_NonXtal_Prot#'!$A:$AL,15,FALSE)</f>
        <v>114</v>
      </c>
      <c r="W243" s="5">
        <f>VLOOKUP($A243,'SegEnds_NonXtal_Prot#'!$A:$AL,18,FALSE)</f>
        <v>150</v>
      </c>
      <c r="X243" s="5">
        <f>VLOOKUP($A243,'SegEnds_NonXtal_Prot#'!$A:$AL,21,FALSE)</f>
        <v>158</v>
      </c>
      <c r="Y243" s="5">
        <f>VLOOKUP($A243,'SegEnds_NonXtal_Prot#'!$A:$AL,24,FALSE)</f>
        <v>201</v>
      </c>
      <c r="Z243" s="5">
        <f>VLOOKUP($A243,'SegEnds_NonXtal_Prot#'!$A:$AL,27,FALSE)</f>
        <v>209</v>
      </c>
      <c r="AA243" s="5">
        <f>VLOOKUP($A243,'SegEnds_NonXtal_Prot#'!$A:$AL,30,FALSE)</f>
        <v>259</v>
      </c>
      <c r="AB243" s="5">
        <f>VLOOKUP($A243,'SegEnds_NonXtal_Prot#'!$A:$AL,33,FALSE)</f>
        <v>307</v>
      </c>
      <c r="AC243" s="5">
        <f>VLOOKUP($A243,'SegEnds_NonXtal_Prot#'!$A:$AL,36,FALSE)</f>
        <v>336</v>
      </c>
      <c r="AD243" s="5">
        <f>VLOOKUP($A243,'SegEnds_NonXtal_Prot#'!$A:$AL,5,FALSE)</f>
        <v>73</v>
      </c>
      <c r="AE243" s="5">
        <f>VLOOKUP($A243,'SegEnds_NonXtal_Prot#'!$A:$AL,8,FALSE)</f>
        <v>77</v>
      </c>
      <c r="AF243" s="5">
        <f>VLOOKUP($A243,'SegEnds_NonXtal_Prot#'!$A:$AL,11,FALSE)</f>
        <v>109</v>
      </c>
      <c r="AG243" s="5">
        <f>VLOOKUP($A243,'SegEnds_NonXtal_Prot#'!$A:$AL,14,FALSE)</f>
        <v>113</v>
      </c>
      <c r="AH243" s="5">
        <f>VLOOKUP($A243,'SegEnds_NonXtal_Prot#'!$A:$AL,17,FALSE)</f>
        <v>149</v>
      </c>
      <c r="AI243" s="5">
        <f>VLOOKUP($A243,'SegEnds_NonXtal_Prot#'!$A:$AL,20,FALSE)</f>
        <v>157</v>
      </c>
      <c r="AJ243" s="5">
        <f>VLOOKUP($A243,'SegEnds_NonXtal_Prot#'!$A:$AL,23,FALSE)</f>
        <v>184</v>
      </c>
      <c r="AK243" s="5">
        <f>VLOOKUP($A243,'SegEnds_NonXtal_Prot#'!$A:$AL,26,FALSE)</f>
        <v>203</v>
      </c>
      <c r="AL243" s="5">
        <f>VLOOKUP($A243,'SegEnds_NonXtal_Prot#'!$A:$AL,29,FALSE)</f>
        <v>250</v>
      </c>
      <c r="AM243" s="5">
        <f>VLOOKUP($A243,'SegEnds_NonXtal_Prot#'!$A:$AL,32,FALSE)</f>
        <v>299</v>
      </c>
      <c r="AN243" s="5">
        <f>VLOOKUP($A243,'SegEnds_NonXtal_Prot#'!$A:$AL,35,FALSE)</f>
        <v>335</v>
      </c>
      <c r="AO243" s="5">
        <f>VLOOKUP($A243,'SegEnds_NonXtal_Prot#'!$A:$AL,38,FALSE)</f>
        <v>347</v>
      </c>
      <c r="AP243" s="5">
        <f t="shared" si="88"/>
        <v>29</v>
      </c>
      <c r="AQ243" s="4">
        <f t="shared" si="89"/>
        <v>3</v>
      </c>
      <c r="AR243" s="4">
        <f t="shared" si="90"/>
        <v>31</v>
      </c>
      <c r="AS243" s="4">
        <f t="shared" si="91"/>
        <v>3</v>
      </c>
      <c r="AT243" s="4">
        <f t="shared" si="92"/>
        <v>35</v>
      </c>
      <c r="AU243" s="4">
        <f t="shared" si="93"/>
        <v>7</v>
      </c>
      <c r="AV243" s="4">
        <f t="shared" si="94"/>
        <v>26</v>
      </c>
      <c r="AW243" s="4">
        <f t="shared" si="95"/>
        <v>2</v>
      </c>
      <c r="AX243" s="4">
        <f t="shared" si="96"/>
        <v>41</v>
      </c>
      <c r="AY243" s="4">
        <f t="shared" si="97"/>
        <v>40</v>
      </c>
      <c r="AZ243" s="4">
        <f t="shared" si="98"/>
        <v>28</v>
      </c>
      <c r="BA243" s="4">
        <f t="shared" si="99"/>
        <v>11</v>
      </c>
    </row>
    <row r="244" spans="1:53" x14ac:dyDescent="0.2">
      <c r="A244" s="1" t="str">
        <f>'SegEnds_NonXtal_Prot#'!A232</f>
        <v>rl3r2_human</v>
      </c>
      <c r="B244" s="1" t="str">
        <f t="shared" si="75"/>
        <v>ALRLMVALAYGLVGAIGLLGNLAVLWVLSNCGPPSDTFVFNLALADLGLALTLPFWAAESALDGGALCKMVLTATVLNVYASIFLITALSVARYWVVAMSLFWARIATLAVWAAAALVTVPTAVFGPSRYWLGAYQLQRVVLAFMVPLGVITTSYLLLLAFLQRQDSRVVARSVRILVASFFLCWFPNHVVTLWGVLVKFDNSTFYTIQTYVFPVTTCLAHSNSCLNPVLYCLLRREPRQALAGTFR</v>
      </c>
      <c r="C244" s="29" t="str">
        <f>IF(ISERROR(MATCH(A244,'SegEnds_Xtal_Prot#'!B:B, 0)), "NoXtal", "Xtal")</f>
        <v>NoXtal</v>
      </c>
      <c r="D244" s="4" t="str">
        <f>VLOOKUP(A244,Classification!A:D,2,FALSE)</f>
        <v>A</v>
      </c>
      <c r="E244" s="5" t="str">
        <f>VLOOKUP(A244,Seqs!A:B,2,FALSE)</f>
        <v>MPTLNTSASPPTFFWANASGGSVLSADDAPMPVKFLALRLMVALAYGLVGAIGLLGNLAVLWVLSNCARRAPGPPSDTFVFNLALADLGLALTLPFWAAESALDFHWPFGGALCKMVLTATVLNVYASIFLITALSVARYWVVAMAAGPGTHLSLFWARIATLAVWAAAALVTVPTAVFGVEGEVCGVRLCLLRFPSRYWLGAYQLQRVVLAFMVPLGVITTSYLLLLAFLQRRQRRRQDSRVVARSVRILVASFFLCWFPNHVVTLWGVLVKFDLVPWNSTFYTIQTYVFPVTTCLAHSNSCLNPVLYCLLRREPRQALAGTFRDLRLRLWPQGGGWVQQVALKQVGRRWVASNPRESRPSTLLTNLDRGTPG</v>
      </c>
      <c r="F244" s="5" t="str">
        <f t="shared" si="76"/>
        <v>ALRLMVALAYGLVGAIGLLGNLAVLWVLSNC</v>
      </c>
      <c r="G244" s="4" t="str">
        <f t="shared" si="77"/>
        <v>RRAP</v>
      </c>
      <c r="H244" s="4" t="str">
        <f t="shared" si="78"/>
        <v>GPPSDTFVFNLALADLGLALTLPFWAAESALD</v>
      </c>
      <c r="I244" s="4" t="str">
        <f t="shared" si="79"/>
        <v>HWPF</v>
      </c>
      <c r="J244" s="4" t="str">
        <f t="shared" si="80"/>
        <v>GGALCKMVLTATVLNVYASIFLITALSVARYWVVAM</v>
      </c>
      <c r="K244" s="4" t="str">
        <f t="shared" si="81"/>
        <v>AAGPGTHL</v>
      </c>
      <c r="L244" s="4" t="str">
        <f t="shared" si="82"/>
        <v>SLFWARIATLAVWAAAALVTVPTAVFG</v>
      </c>
      <c r="M244" s="4" t="str">
        <f t="shared" si="83"/>
        <v>CLL</v>
      </c>
      <c r="N244" s="4" t="str">
        <f t="shared" si="84"/>
        <v>PSRYWLGAYQLQRVVLAFMVPLGVITTSYLLLLAFLQR</v>
      </c>
      <c r="O244" s="4" t="str">
        <f t="shared" si="85"/>
        <v>QDSRVVARSVRILVASFFLCWFPNHVVTLWGVLVKFD</v>
      </c>
      <c r="P244" s="4" t="str">
        <f t="shared" si="86"/>
        <v>NSTFYTIQTYVFPVTTCLAHSNSCLNPVLYCLL</v>
      </c>
      <c r="Q244" s="4" t="str">
        <f t="shared" si="87"/>
        <v>RREPRQALAGTFR</v>
      </c>
      <c r="R244" s="5">
        <f>VLOOKUP($A244,'SegEnds_NonXtal_Prot#'!$A:$AL,3,FALSE)</f>
        <v>37</v>
      </c>
      <c r="S244" s="5">
        <f>VLOOKUP($A244,'SegEnds_NonXtal_Prot#'!$A:$AL,6,FALSE)</f>
        <v>69</v>
      </c>
      <c r="T244" s="5">
        <f>VLOOKUP($A244,'SegEnds_NonXtal_Prot#'!$A:$AL,9,FALSE)</f>
        <v>73</v>
      </c>
      <c r="U244" s="5">
        <f>VLOOKUP($A244,'SegEnds_NonXtal_Prot#'!$A:$AL,12,FALSE)</f>
        <v>106</v>
      </c>
      <c r="V244" s="5">
        <f>VLOOKUP($A244,'SegEnds_NonXtal_Prot#'!$A:$AL,15,FALSE)</f>
        <v>110</v>
      </c>
      <c r="W244" s="5">
        <f>VLOOKUP($A244,'SegEnds_NonXtal_Prot#'!$A:$AL,18,FALSE)</f>
        <v>146</v>
      </c>
      <c r="X244" s="5">
        <f>VLOOKUP($A244,'SegEnds_NonXtal_Prot#'!$A:$AL,21,FALSE)</f>
        <v>154</v>
      </c>
      <c r="Y244" s="5">
        <f>VLOOKUP($A244,'SegEnds_NonXtal_Prot#'!$A:$AL,24,FALSE)</f>
        <v>191</v>
      </c>
      <c r="Z244" s="5">
        <f>VLOOKUP($A244,'SegEnds_NonXtal_Prot#'!$A:$AL,27,FALSE)</f>
        <v>196</v>
      </c>
      <c r="AA244" s="5">
        <f>VLOOKUP($A244,'SegEnds_NonXtal_Prot#'!$A:$AL,30,FALSE)</f>
        <v>239</v>
      </c>
      <c r="AB244" s="5">
        <f>VLOOKUP($A244,'SegEnds_NonXtal_Prot#'!$A:$AL,33,FALSE)</f>
        <v>280</v>
      </c>
      <c r="AC244" s="5">
        <f>VLOOKUP($A244,'SegEnds_NonXtal_Prot#'!$A:$AL,36,FALSE)</f>
        <v>313</v>
      </c>
      <c r="AD244" s="5">
        <f>VLOOKUP($A244,'SegEnds_NonXtal_Prot#'!$A:$AL,5,FALSE)</f>
        <v>67</v>
      </c>
      <c r="AE244" s="5">
        <f>VLOOKUP($A244,'SegEnds_NonXtal_Prot#'!$A:$AL,8,FALSE)</f>
        <v>72</v>
      </c>
      <c r="AF244" s="5">
        <f>VLOOKUP($A244,'SegEnds_NonXtal_Prot#'!$A:$AL,11,FALSE)</f>
        <v>104</v>
      </c>
      <c r="AG244" s="5">
        <f>VLOOKUP($A244,'SegEnds_NonXtal_Prot#'!$A:$AL,14,FALSE)</f>
        <v>109</v>
      </c>
      <c r="AH244" s="5">
        <f>VLOOKUP($A244,'SegEnds_NonXtal_Prot#'!$A:$AL,17,FALSE)</f>
        <v>145</v>
      </c>
      <c r="AI244" s="5">
        <f>VLOOKUP($A244,'SegEnds_NonXtal_Prot#'!$A:$AL,20,FALSE)</f>
        <v>153</v>
      </c>
      <c r="AJ244" s="5">
        <f>VLOOKUP($A244,'SegEnds_NonXtal_Prot#'!$A:$AL,23,FALSE)</f>
        <v>180</v>
      </c>
      <c r="AK244" s="5">
        <f>VLOOKUP($A244,'SegEnds_NonXtal_Prot#'!$A:$AL,26,FALSE)</f>
        <v>193</v>
      </c>
      <c r="AL244" s="5">
        <f>VLOOKUP($A244,'SegEnds_NonXtal_Prot#'!$A:$AL,29,FALSE)</f>
        <v>233</v>
      </c>
      <c r="AM244" s="5">
        <f>VLOOKUP($A244,'SegEnds_NonXtal_Prot#'!$A:$AL,32,FALSE)</f>
        <v>275</v>
      </c>
      <c r="AN244" s="5">
        <f>VLOOKUP($A244,'SegEnds_NonXtal_Prot#'!$A:$AL,35,FALSE)</f>
        <v>312</v>
      </c>
      <c r="AO244" s="5">
        <f>VLOOKUP($A244,'SegEnds_NonXtal_Prot#'!$A:$AL,38,FALSE)</f>
        <v>325</v>
      </c>
      <c r="AP244" s="5">
        <f t="shared" si="88"/>
        <v>30</v>
      </c>
      <c r="AQ244" s="4">
        <f t="shared" si="89"/>
        <v>3</v>
      </c>
      <c r="AR244" s="4">
        <f t="shared" si="90"/>
        <v>31</v>
      </c>
      <c r="AS244" s="4">
        <f t="shared" si="91"/>
        <v>3</v>
      </c>
      <c r="AT244" s="4">
        <f t="shared" si="92"/>
        <v>35</v>
      </c>
      <c r="AU244" s="4">
        <f t="shared" si="93"/>
        <v>7</v>
      </c>
      <c r="AV244" s="4">
        <f t="shared" si="94"/>
        <v>26</v>
      </c>
      <c r="AW244" s="4">
        <f t="shared" si="95"/>
        <v>2</v>
      </c>
      <c r="AX244" s="4">
        <f t="shared" si="96"/>
        <v>37</v>
      </c>
      <c r="AY244" s="4">
        <f t="shared" si="97"/>
        <v>36</v>
      </c>
      <c r="AZ244" s="4">
        <f t="shared" si="98"/>
        <v>32</v>
      </c>
      <c r="BA244" s="4">
        <f t="shared" si="99"/>
        <v>12</v>
      </c>
    </row>
    <row r="245" spans="1:53" x14ac:dyDescent="0.2">
      <c r="A245" s="1" t="str">
        <f>'SegEnds_NonXtal_Prot#'!A233</f>
        <v>s1pr4_human</v>
      </c>
      <c r="B245" s="1" t="str">
        <f t="shared" si="75"/>
        <v>DGGLGALRGLSVAASCLVVLENLLVLAAITSHRWVYYCLVNITLSDLLTGAAYLANVLLAPAQWFLREGLLFTALAASTFSLLFTAGERFATMVRKTSRVYGFIGLCWLLAALLGMLPLLGSKRYILFCLVIFAGVLATIMGLYGAIFRLVQASRPAARRKARRLLKTVLMILLAFLVCWGPLFGLLLADVFGEYLRGMDWILALAVLNSAVNPIIYSFRSREVCRAVLSFLC</v>
      </c>
      <c r="C245" s="29" t="str">
        <f>IF(ISERROR(MATCH(A245,'SegEnds_Xtal_Prot#'!B:B, 0)), "NoXtal", "Xtal")</f>
        <v>NoXtal</v>
      </c>
      <c r="D245" s="4" t="str">
        <f>VLOOKUP(A245,Classification!A:D,2,FALSE)</f>
        <v>A</v>
      </c>
      <c r="E245" s="5" t="str">
        <f>VLOOKUP(A245,Seqs!A:B,2,FALSE)</f>
        <v>MNATGTPVAPESCQQLAAGGHSRLIVLHYNHSGRLAGRGGPEDGGLGALRGLSVAASCLVVLENLLVLAAITSHMRSRRWVYYCLVNITLSDLLTGAAYLANVLLSGARTFRLAPAQWFLREGLLFTALAASTFSLLFTAGERFATMVRPVAESGATKTSRVYGFIGLCWLLAALLGMLPLLGWNCLCAFDRCSSLLPLYSKRYILFCLVIFAGVLATIMGLYGAIFRLVQASGQKAPRPAARRKARRLLKTVLMILLAFLVCWGPLFGLLLADVFGSNLWAQEYLRGMDWILALAVLNSAVNPIIYSFRSREVCRAVLSFLCCGCLRLGMRGPGDCLARAVEAHSGASTTDSSLRPRDSFRGSRSLSFRMREPLSSISSVRSI</v>
      </c>
      <c r="F245" s="5" t="str">
        <f t="shared" si="76"/>
        <v>DGGLGALRGLSVAASCLVVLENLLVLAAITSH</v>
      </c>
      <c r="G245" s="4" t="str">
        <f t="shared" si="77"/>
        <v>MRSR</v>
      </c>
      <c r="H245" s="4" t="str">
        <f t="shared" si="78"/>
        <v>RWVYYCLVNITLSDLLTGAAYLANVLL</v>
      </c>
      <c r="I245" s="4" t="str">
        <f t="shared" si="79"/>
        <v>GARTFRL</v>
      </c>
      <c r="J245" s="4" t="str">
        <f t="shared" si="80"/>
        <v>APAQWFLREGLLFTALAASTFSLLFTAGERFATMVR</v>
      </c>
      <c r="K245" s="4" t="str">
        <f t="shared" si="81"/>
        <v>PVAESGAT</v>
      </c>
      <c r="L245" s="4" t="str">
        <f t="shared" si="82"/>
        <v>KTSRVYGFIGLCWLLAALLGMLPLLG</v>
      </c>
      <c r="M245" s="4" t="str">
        <f t="shared" si="83"/>
        <v/>
      </c>
      <c r="N245" s="4" t="str">
        <f t="shared" si="84"/>
        <v>SKRYILFCLVIFAGVLATIMGLYGAIFRLVQAS</v>
      </c>
      <c r="O245" s="4" t="str">
        <f t="shared" si="85"/>
        <v>RPAARRKARRLLKTVLMILLAFLVCWGPLFGLLLADVFG</v>
      </c>
      <c r="P245" s="4" t="str">
        <f t="shared" si="86"/>
        <v>EYLRGMDWILALAVLNSAVNPIIYSFR</v>
      </c>
      <c r="Q245" s="4" t="str">
        <f t="shared" si="87"/>
        <v>SREVCRAVLSFLC</v>
      </c>
      <c r="R245" s="5">
        <f>VLOOKUP($A245,'SegEnds_NonXtal_Prot#'!$A:$AL,3,FALSE)</f>
        <v>43</v>
      </c>
      <c r="S245" s="5">
        <f>VLOOKUP($A245,'SegEnds_NonXtal_Prot#'!$A:$AL,6,FALSE)</f>
        <v>75</v>
      </c>
      <c r="T245" s="5">
        <f>VLOOKUP($A245,'SegEnds_NonXtal_Prot#'!$A:$AL,9,FALSE)</f>
        <v>79</v>
      </c>
      <c r="U245" s="5">
        <f>VLOOKUP($A245,'SegEnds_NonXtal_Prot#'!$A:$AL,12,FALSE)</f>
        <v>107</v>
      </c>
      <c r="V245" s="5">
        <f>VLOOKUP($A245,'SegEnds_NonXtal_Prot#'!$A:$AL,15,FALSE)</f>
        <v>114</v>
      </c>
      <c r="W245" s="5">
        <f>VLOOKUP($A245,'SegEnds_NonXtal_Prot#'!$A:$AL,18,FALSE)</f>
        <v>150</v>
      </c>
      <c r="X245" s="5">
        <f>VLOOKUP($A245,'SegEnds_NonXtal_Prot#'!$A:$AL,21,FALSE)</f>
        <v>158</v>
      </c>
      <c r="Y245" s="5" t="str">
        <f>VLOOKUP($A245,'SegEnds_NonXtal_Prot#'!$A:$AL,24,FALSE)</f>
        <v>-</v>
      </c>
      <c r="Z245" s="5">
        <f>VLOOKUP($A245,'SegEnds_NonXtal_Prot#'!$A:$AL,27,FALSE)</f>
        <v>201</v>
      </c>
      <c r="AA245" s="5">
        <f>VLOOKUP($A245,'SegEnds_NonXtal_Prot#'!$A:$AL,30,FALSE)</f>
        <v>239</v>
      </c>
      <c r="AB245" s="5">
        <f>VLOOKUP($A245,'SegEnds_NonXtal_Prot#'!$A:$AL,33,FALSE)</f>
        <v>284</v>
      </c>
      <c r="AC245" s="5">
        <f>VLOOKUP($A245,'SegEnds_NonXtal_Prot#'!$A:$AL,36,FALSE)</f>
        <v>311</v>
      </c>
      <c r="AD245" s="5">
        <f>VLOOKUP($A245,'SegEnds_NonXtal_Prot#'!$A:$AL,5,FALSE)</f>
        <v>74</v>
      </c>
      <c r="AE245" s="5">
        <f>VLOOKUP($A245,'SegEnds_NonXtal_Prot#'!$A:$AL,8,FALSE)</f>
        <v>78</v>
      </c>
      <c r="AF245" s="5">
        <f>VLOOKUP($A245,'SegEnds_NonXtal_Prot#'!$A:$AL,11,FALSE)</f>
        <v>105</v>
      </c>
      <c r="AG245" s="5">
        <f>VLOOKUP($A245,'SegEnds_NonXtal_Prot#'!$A:$AL,14,FALSE)</f>
        <v>113</v>
      </c>
      <c r="AH245" s="5">
        <f>VLOOKUP($A245,'SegEnds_NonXtal_Prot#'!$A:$AL,17,FALSE)</f>
        <v>149</v>
      </c>
      <c r="AI245" s="5">
        <f>VLOOKUP($A245,'SegEnds_NonXtal_Prot#'!$A:$AL,20,FALSE)</f>
        <v>157</v>
      </c>
      <c r="AJ245" s="5">
        <f>VLOOKUP($A245,'SegEnds_NonXtal_Prot#'!$A:$AL,23,FALSE)</f>
        <v>183</v>
      </c>
      <c r="AK245" s="5" t="str">
        <f>VLOOKUP($A245,'SegEnds_NonXtal_Prot#'!$A:$AL,26,FALSE)</f>
        <v>-</v>
      </c>
      <c r="AL245" s="5">
        <f>VLOOKUP($A245,'SegEnds_NonXtal_Prot#'!$A:$AL,29,FALSE)</f>
        <v>233</v>
      </c>
      <c r="AM245" s="5">
        <f>VLOOKUP($A245,'SegEnds_NonXtal_Prot#'!$A:$AL,32,FALSE)</f>
        <v>277</v>
      </c>
      <c r="AN245" s="5">
        <f>VLOOKUP($A245,'SegEnds_NonXtal_Prot#'!$A:$AL,35,FALSE)</f>
        <v>310</v>
      </c>
      <c r="AO245" s="5">
        <f>VLOOKUP($A245,'SegEnds_NonXtal_Prot#'!$A:$AL,38,FALSE)</f>
        <v>323</v>
      </c>
      <c r="AP245" s="5">
        <f t="shared" si="88"/>
        <v>31</v>
      </c>
      <c r="AQ245" s="4">
        <f t="shared" si="89"/>
        <v>3</v>
      </c>
      <c r="AR245" s="4">
        <f t="shared" si="90"/>
        <v>26</v>
      </c>
      <c r="AS245" s="4">
        <f t="shared" si="91"/>
        <v>6</v>
      </c>
      <c r="AT245" s="4">
        <f t="shared" si="92"/>
        <v>35</v>
      </c>
      <c r="AU245" s="4">
        <f t="shared" si="93"/>
        <v>7</v>
      </c>
      <c r="AV245" s="4">
        <f t="shared" si="94"/>
        <v>25</v>
      </c>
      <c r="AW245" s="4" t="str">
        <f t="shared" si="95"/>
        <v>-</v>
      </c>
      <c r="AX245" s="4">
        <f t="shared" si="96"/>
        <v>32</v>
      </c>
      <c r="AY245" s="4">
        <f t="shared" si="97"/>
        <v>38</v>
      </c>
      <c r="AZ245" s="4">
        <f t="shared" si="98"/>
        <v>26</v>
      </c>
      <c r="BA245" s="4">
        <f t="shared" si="99"/>
        <v>12</v>
      </c>
    </row>
    <row r="246" spans="1:53" x14ac:dyDescent="0.2">
      <c r="A246" s="1" t="str">
        <f>'SegEnds_NonXtal_Prot#'!A234</f>
        <v>ssr1_human</v>
      </c>
      <c r="B246" s="1" t="str">
        <f t="shared" si="75"/>
        <v>GSAILISFIYSVVCLVGLCGNSMVIYVILRYTATNIYILNLAIADELLMLSVPFLVTSTLLGALLCRLVLSVDAVNMFTSIYCLTVLSVDRYVAVVHRPTVAKVVNLGVWVLSLLVILPIVVFSPAQRWLVGFVLYTFLMGFLLPVGAICLCYVLIIAKMRMVWQQRKRSERKITLMVMMVVMVFVICWMPFYVVQLVNVFAATVSQLSVILGYANSCANPILYGFLSDNFKRSFQRILC</v>
      </c>
      <c r="C246" s="29" t="str">
        <f>IF(ISERROR(MATCH(A246,'SegEnds_Xtal_Prot#'!B:B, 0)), "NoXtal", "Xtal")</f>
        <v>NoXtal</v>
      </c>
      <c r="D246" s="4" t="str">
        <f>VLOOKUP(A246,Classification!A:D,2,FALSE)</f>
        <v>A</v>
      </c>
      <c r="E246" s="5" t="str">
        <f>VLOOKUP(A246,Seqs!A:B,2,FALSE)</f>
        <v>MFPNGTASSPSSSPSPSPGSCGEGGGSRGPGAGAADGMEEPGRNASQNGTLSEGQGSAILISFIYSVVCLVGLCGNSMVIYVILRYAKMKTATNIYILNLAIADELLMLSVPFLVTSTLLRHWPFGALLCRLVLSVDAVNMFTSIYCLTVLSVDRYVAVVHPIKAARYRRPTVAKVVNLGVWVLSLLVILPIVVFSRTAANSDGTVACNMLMPEPAQRWLVGFVLYTFLMGFLLPVGAICLCYVLIIAKMRMVALKAGWQQRKRSERKITLMVMMVVMVFVICWMPFYVVQLVNVFAEQDDATVSQLSVILGYANSCANPILYGFLSDNFKRSFQRILCLSWMDNAAEEPVDYYATALKSRAYSVEDFQPENLESGGVFRNGTCTSRITTL</v>
      </c>
      <c r="F246" s="5" t="str">
        <f t="shared" si="76"/>
        <v>GSAILISFIYSVVCLVGLCGNSMVIYVILRY</v>
      </c>
      <c r="G246" s="4" t="str">
        <f t="shared" si="77"/>
        <v>AKMK</v>
      </c>
      <c r="H246" s="4" t="str">
        <f t="shared" si="78"/>
        <v>TATNIYILNLAIADELLMLSVPFLVTSTLL</v>
      </c>
      <c r="I246" s="4" t="str">
        <f t="shared" si="79"/>
        <v>HWPF</v>
      </c>
      <c r="J246" s="4" t="str">
        <f t="shared" si="80"/>
        <v>GALLCRLVLSVDAVNMFTSIYCLTVLSVDRYVAVVH</v>
      </c>
      <c r="K246" s="4" t="str">
        <f t="shared" si="81"/>
        <v>PIKAARYR</v>
      </c>
      <c r="L246" s="4" t="str">
        <f t="shared" si="82"/>
        <v>RPTVAKVVNLGVWVLSLLVILPIVVFS</v>
      </c>
      <c r="M246" s="4" t="str">
        <f t="shared" si="83"/>
        <v>CNM</v>
      </c>
      <c r="N246" s="4" t="str">
        <f t="shared" si="84"/>
        <v>PAQRWLVGFVLYTFLMGFLLPVGAICLCYVLIIAKMRMV</v>
      </c>
      <c r="O246" s="4" t="str">
        <f t="shared" si="85"/>
        <v>WQQRKRSERKITLMVMMVVMVFVICWMPFYVVQLVNVFA</v>
      </c>
      <c r="P246" s="4" t="str">
        <f t="shared" si="86"/>
        <v>ATVSQLSVILGYANSCANPILYGFL</v>
      </c>
      <c r="Q246" s="4" t="str">
        <f t="shared" si="87"/>
        <v>SDNFKRSFQRILC</v>
      </c>
      <c r="R246" s="5">
        <f>VLOOKUP($A246,'SegEnds_NonXtal_Prot#'!$A:$AL,3,FALSE)</f>
        <v>56</v>
      </c>
      <c r="S246" s="5">
        <f>VLOOKUP($A246,'SegEnds_NonXtal_Prot#'!$A:$AL,6,FALSE)</f>
        <v>87</v>
      </c>
      <c r="T246" s="5">
        <f>VLOOKUP($A246,'SegEnds_NonXtal_Prot#'!$A:$AL,9,FALSE)</f>
        <v>91</v>
      </c>
      <c r="U246" s="5">
        <f>VLOOKUP($A246,'SegEnds_NonXtal_Prot#'!$A:$AL,12,FALSE)</f>
        <v>122</v>
      </c>
      <c r="V246" s="5">
        <f>VLOOKUP($A246,'SegEnds_NonXtal_Prot#'!$A:$AL,15,FALSE)</f>
        <v>126</v>
      </c>
      <c r="W246" s="5">
        <f>VLOOKUP($A246,'SegEnds_NonXtal_Prot#'!$A:$AL,18,FALSE)</f>
        <v>162</v>
      </c>
      <c r="X246" s="5">
        <f>VLOOKUP($A246,'SegEnds_NonXtal_Prot#'!$A:$AL,21,FALSE)</f>
        <v>170</v>
      </c>
      <c r="Y246" s="5">
        <f>VLOOKUP($A246,'SegEnds_NonXtal_Prot#'!$A:$AL,24,FALSE)</f>
        <v>208</v>
      </c>
      <c r="Z246" s="5">
        <f>VLOOKUP($A246,'SegEnds_NonXtal_Prot#'!$A:$AL,27,FALSE)</f>
        <v>215</v>
      </c>
      <c r="AA246" s="5">
        <f>VLOOKUP($A246,'SegEnds_NonXtal_Prot#'!$A:$AL,30,FALSE)</f>
        <v>259</v>
      </c>
      <c r="AB246" s="5">
        <f>VLOOKUP($A246,'SegEnds_NonXtal_Prot#'!$A:$AL,33,FALSE)</f>
        <v>302</v>
      </c>
      <c r="AC246" s="5">
        <f>VLOOKUP($A246,'SegEnds_NonXtal_Prot#'!$A:$AL,36,FALSE)</f>
        <v>327</v>
      </c>
      <c r="AD246" s="5">
        <f>VLOOKUP($A246,'SegEnds_NonXtal_Prot#'!$A:$AL,5,FALSE)</f>
        <v>86</v>
      </c>
      <c r="AE246" s="5">
        <f>VLOOKUP($A246,'SegEnds_NonXtal_Prot#'!$A:$AL,8,FALSE)</f>
        <v>90</v>
      </c>
      <c r="AF246" s="5">
        <f>VLOOKUP($A246,'SegEnds_NonXtal_Prot#'!$A:$AL,11,FALSE)</f>
        <v>120</v>
      </c>
      <c r="AG246" s="5">
        <f>VLOOKUP($A246,'SegEnds_NonXtal_Prot#'!$A:$AL,14,FALSE)</f>
        <v>125</v>
      </c>
      <c r="AH246" s="5">
        <f>VLOOKUP($A246,'SegEnds_NonXtal_Prot#'!$A:$AL,17,FALSE)</f>
        <v>161</v>
      </c>
      <c r="AI246" s="5">
        <f>VLOOKUP($A246,'SegEnds_NonXtal_Prot#'!$A:$AL,20,FALSE)</f>
        <v>169</v>
      </c>
      <c r="AJ246" s="5">
        <f>VLOOKUP($A246,'SegEnds_NonXtal_Prot#'!$A:$AL,23,FALSE)</f>
        <v>196</v>
      </c>
      <c r="AK246" s="5">
        <f>VLOOKUP($A246,'SegEnds_NonXtal_Prot#'!$A:$AL,26,FALSE)</f>
        <v>210</v>
      </c>
      <c r="AL246" s="5">
        <f>VLOOKUP($A246,'SegEnds_NonXtal_Prot#'!$A:$AL,29,FALSE)</f>
        <v>253</v>
      </c>
      <c r="AM246" s="5">
        <f>VLOOKUP($A246,'SegEnds_NonXtal_Prot#'!$A:$AL,32,FALSE)</f>
        <v>297</v>
      </c>
      <c r="AN246" s="5">
        <f>VLOOKUP($A246,'SegEnds_NonXtal_Prot#'!$A:$AL,35,FALSE)</f>
        <v>326</v>
      </c>
      <c r="AO246" s="5">
        <f>VLOOKUP($A246,'SegEnds_NonXtal_Prot#'!$A:$AL,38,FALSE)</f>
        <v>339</v>
      </c>
      <c r="AP246" s="5">
        <f t="shared" si="88"/>
        <v>30</v>
      </c>
      <c r="AQ246" s="4">
        <f t="shared" si="89"/>
        <v>3</v>
      </c>
      <c r="AR246" s="4">
        <f t="shared" si="90"/>
        <v>29</v>
      </c>
      <c r="AS246" s="4">
        <f t="shared" si="91"/>
        <v>3</v>
      </c>
      <c r="AT246" s="4">
        <f t="shared" si="92"/>
        <v>35</v>
      </c>
      <c r="AU246" s="4">
        <f t="shared" si="93"/>
        <v>7</v>
      </c>
      <c r="AV246" s="4">
        <f t="shared" si="94"/>
        <v>26</v>
      </c>
      <c r="AW246" s="4">
        <f t="shared" si="95"/>
        <v>2</v>
      </c>
      <c r="AX246" s="4">
        <f t="shared" si="96"/>
        <v>38</v>
      </c>
      <c r="AY246" s="4">
        <f t="shared" si="97"/>
        <v>38</v>
      </c>
      <c r="AZ246" s="4">
        <f t="shared" si="98"/>
        <v>24</v>
      </c>
      <c r="BA246" s="4">
        <f t="shared" si="99"/>
        <v>12</v>
      </c>
    </row>
    <row r="247" spans="1:53" x14ac:dyDescent="0.2">
      <c r="A247" s="1" t="str">
        <f>'SegEnds_NonXtal_Prot#'!A235</f>
        <v>ssr2_human</v>
      </c>
      <c r="B247" s="1" t="str">
        <f t="shared" si="75"/>
        <v>TSNAVLTFIYFVVCIIGLCGNTLVIYVILRYTITNIYILNLAIADELFMLGLPFLAMQVALGKAICRVVMTVDGINQFTSIFCLTVMSIDRYLAVVHRPRTAKMITMAVWGVSLLVILPIMIYAESGAWYTGFIIYTFILGFLVPLTIICLCYLFIIIKVKSSSSKRKKSEKKVTRMVSIVVAVFIFCWLPFYIFNVSSVSMTPALKGMFDFVVVLTYANSCANPILYAFLSDNFKKSFQNVLC</v>
      </c>
      <c r="C247" s="29" t="str">
        <f>IF(ISERROR(MATCH(A247,'SegEnds_Xtal_Prot#'!B:B, 0)), "NoXtal", "Xtal")</f>
        <v>NoXtal</v>
      </c>
      <c r="D247" s="4" t="str">
        <f>VLOOKUP(A247,Classification!A:D,2,FALSE)</f>
        <v>A</v>
      </c>
      <c r="E247" s="5" t="str">
        <f>VLOOKUP(A247,Seqs!A:B,2,FALSE)</f>
        <v>MDMADEPLNGSHTWLSIPFDLNGSVVSTNTSNQTEPYYDLTSNAVLTFIYFVVCIIGLCGNTLVIYVILRYAKMKTITNIYILNLAIADELFMLGLPFLAMQVALVHWPFGKAICRVVMTVDGINQFTSIFCLTVMSIDRYLAVVHPIKSAKWRRPRTAKMITMAVWGVSLLVILPIMIYAGLRSNQWGRSSCTINWPGESGAWYTGFIIYTFILGFLVPLTIICLCYLFIIIKVKSSGIRVGSSKRKKSEKKVTRMVSIVVAVFIFCWLPFYIFNVSSVSMAISPTPALKGMFDFVVVLTYANSCANPILYAFLSDNFKKSFQNVLCLVKVSGTDDGERSDSKQDKSRLNETTETQRTLLNGDLQTSI</v>
      </c>
      <c r="F247" s="5" t="str">
        <f t="shared" si="76"/>
        <v>TSNAVLTFIYFVVCIIGLCGNTLVIYVILRY</v>
      </c>
      <c r="G247" s="4" t="str">
        <f t="shared" si="77"/>
        <v>AKMK</v>
      </c>
      <c r="H247" s="4" t="str">
        <f t="shared" si="78"/>
        <v>TITNIYILNLAIADELFMLGLPFLAMQVAL</v>
      </c>
      <c r="I247" s="4" t="str">
        <f t="shared" si="79"/>
        <v>HWPF</v>
      </c>
      <c r="J247" s="4" t="str">
        <f t="shared" si="80"/>
        <v>GKAICRVVMTVDGINQFTSIFCLTVMSIDRYLAVVH</v>
      </c>
      <c r="K247" s="4" t="str">
        <f t="shared" si="81"/>
        <v>PIKSAKWR</v>
      </c>
      <c r="L247" s="4" t="str">
        <f t="shared" si="82"/>
        <v>RPRTAKMITMAVWGVSLLVILPIMIYA</v>
      </c>
      <c r="M247" s="4" t="str">
        <f t="shared" si="83"/>
        <v>CTI</v>
      </c>
      <c r="N247" s="4" t="str">
        <f t="shared" si="84"/>
        <v>ESGAWYTGFIIYTFILGFLVPLTIICLCYLFIIIKVKSS</v>
      </c>
      <c r="O247" s="4" t="str">
        <f t="shared" si="85"/>
        <v>SSKRKKSEKKVTRMVSIVVAVFIFCWLPFYIFNVSSVSM</v>
      </c>
      <c r="P247" s="4" t="str">
        <f t="shared" si="86"/>
        <v>TPALKGMFDFVVVLTYANSCANPILYAFL</v>
      </c>
      <c r="Q247" s="4" t="str">
        <f t="shared" si="87"/>
        <v>SDNFKKSFQNVLC</v>
      </c>
      <c r="R247" s="5">
        <f>VLOOKUP($A247,'SegEnds_NonXtal_Prot#'!$A:$AL,3,FALSE)</f>
        <v>41</v>
      </c>
      <c r="S247" s="5">
        <f>VLOOKUP($A247,'SegEnds_NonXtal_Prot#'!$A:$AL,6,FALSE)</f>
        <v>72</v>
      </c>
      <c r="T247" s="5">
        <f>VLOOKUP($A247,'SegEnds_NonXtal_Prot#'!$A:$AL,9,FALSE)</f>
        <v>76</v>
      </c>
      <c r="U247" s="5">
        <f>VLOOKUP($A247,'SegEnds_NonXtal_Prot#'!$A:$AL,12,FALSE)</f>
        <v>107</v>
      </c>
      <c r="V247" s="5">
        <f>VLOOKUP($A247,'SegEnds_NonXtal_Prot#'!$A:$AL,15,FALSE)</f>
        <v>111</v>
      </c>
      <c r="W247" s="5">
        <f>VLOOKUP($A247,'SegEnds_NonXtal_Prot#'!$A:$AL,18,FALSE)</f>
        <v>147</v>
      </c>
      <c r="X247" s="5">
        <f>VLOOKUP($A247,'SegEnds_NonXtal_Prot#'!$A:$AL,21,FALSE)</f>
        <v>155</v>
      </c>
      <c r="Y247" s="5">
        <f>VLOOKUP($A247,'SegEnds_NonXtal_Prot#'!$A:$AL,24,FALSE)</f>
        <v>193</v>
      </c>
      <c r="Z247" s="5">
        <f>VLOOKUP($A247,'SegEnds_NonXtal_Prot#'!$A:$AL,27,FALSE)</f>
        <v>200</v>
      </c>
      <c r="AA247" s="5">
        <f>VLOOKUP($A247,'SegEnds_NonXtal_Prot#'!$A:$AL,30,FALSE)</f>
        <v>244</v>
      </c>
      <c r="AB247" s="5">
        <f>VLOOKUP($A247,'SegEnds_NonXtal_Prot#'!$A:$AL,33,FALSE)</f>
        <v>287</v>
      </c>
      <c r="AC247" s="5">
        <f>VLOOKUP($A247,'SegEnds_NonXtal_Prot#'!$A:$AL,36,FALSE)</f>
        <v>316</v>
      </c>
      <c r="AD247" s="5">
        <f>VLOOKUP($A247,'SegEnds_NonXtal_Prot#'!$A:$AL,5,FALSE)</f>
        <v>71</v>
      </c>
      <c r="AE247" s="5">
        <f>VLOOKUP($A247,'SegEnds_NonXtal_Prot#'!$A:$AL,8,FALSE)</f>
        <v>75</v>
      </c>
      <c r="AF247" s="5">
        <f>VLOOKUP($A247,'SegEnds_NonXtal_Prot#'!$A:$AL,11,FALSE)</f>
        <v>105</v>
      </c>
      <c r="AG247" s="5">
        <f>VLOOKUP($A247,'SegEnds_NonXtal_Prot#'!$A:$AL,14,FALSE)</f>
        <v>110</v>
      </c>
      <c r="AH247" s="5">
        <f>VLOOKUP($A247,'SegEnds_NonXtal_Prot#'!$A:$AL,17,FALSE)</f>
        <v>146</v>
      </c>
      <c r="AI247" s="5">
        <f>VLOOKUP($A247,'SegEnds_NonXtal_Prot#'!$A:$AL,20,FALSE)</f>
        <v>154</v>
      </c>
      <c r="AJ247" s="5">
        <f>VLOOKUP($A247,'SegEnds_NonXtal_Prot#'!$A:$AL,23,FALSE)</f>
        <v>181</v>
      </c>
      <c r="AK247" s="5">
        <f>VLOOKUP($A247,'SegEnds_NonXtal_Prot#'!$A:$AL,26,FALSE)</f>
        <v>195</v>
      </c>
      <c r="AL247" s="5">
        <f>VLOOKUP($A247,'SegEnds_NonXtal_Prot#'!$A:$AL,29,FALSE)</f>
        <v>238</v>
      </c>
      <c r="AM247" s="5">
        <f>VLOOKUP($A247,'SegEnds_NonXtal_Prot#'!$A:$AL,32,FALSE)</f>
        <v>282</v>
      </c>
      <c r="AN247" s="5">
        <f>VLOOKUP($A247,'SegEnds_NonXtal_Prot#'!$A:$AL,35,FALSE)</f>
        <v>315</v>
      </c>
      <c r="AO247" s="5">
        <f>VLOOKUP($A247,'SegEnds_NonXtal_Prot#'!$A:$AL,38,FALSE)</f>
        <v>328</v>
      </c>
      <c r="AP247" s="5">
        <f t="shared" si="88"/>
        <v>30</v>
      </c>
      <c r="AQ247" s="4">
        <f t="shared" si="89"/>
        <v>3</v>
      </c>
      <c r="AR247" s="4">
        <f t="shared" si="90"/>
        <v>29</v>
      </c>
      <c r="AS247" s="4">
        <f t="shared" si="91"/>
        <v>3</v>
      </c>
      <c r="AT247" s="4">
        <f t="shared" si="92"/>
        <v>35</v>
      </c>
      <c r="AU247" s="4">
        <f t="shared" si="93"/>
        <v>7</v>
      </c>
      <c r="AV247" s="4">
        <f t="shared" si="94"/>
        <v>26</v>
      </c>
      <c r="AW247" s="4">
        <f t="shared" si="95"/>
        <v>2</v>
      </c>
      <c r="AX247" s="4">
        <f t="shared" si="96"/>
        <v>38</v>
      </c>
      <c r="AY247" s="4">
        <f t="shared" si="97"/>
        <v>38</v>
      </c>
      <c r="AZ247" s="4">
        <f t="shared" si="98"/>
        <v>28</v>
      </c>
      <c r="BA247" s="4">
        <f t="shared" si="99"/>
        <v>12</v>
      </c>
    </row>
    <row r="248" spans="1:53" x14ac:dyDescent="0.2">
      <c r="A248" s="1" t="str">
        <f>'SegEnds_NonXtal_Prot#'!A236</f>
        <v>ssr3_human</v>
      </c>
      <c r="B248" s="1" t="str">
        <f t="shared" si="75"/>
        <v>VSGVLIPLVYLVVCVVGLLGNSLVIYVVLRHSVTNVYILNLALADELFMLGLPFLAAQNALGSLMCRLVMAVDGINQFTSIFCLTVMSVDRYLAVVHTAPVARTVSAAVWVASAVVVLPVVVFSPAAAWRAGFIIYTAALGFFGPLLVICLCYLLIVVKVRSAGRRVQRRRRSERRVTRMVVAVVALFVLCWMPFYVLNIVNVVCEPAFFGLYFLVVALPYANSCANPILYGFLSYRFKQGFRRVLL</v>
      </c>
      <c r="C248" s="29" t="str">
        <f>IF(ISERROR(MATCH(A248,'SegEnds_Xtal_Prot#'!B:B, 0)), "NoXtal", "Xtal")</f>
        <v>NoXtal</v>
      </c>
      <c r="D248" s="4" t="str">
        <f>VLOOKUP(A248,Classification!A:D,2,FALSE)</f>
        <v>A</v>
      </c>
      <c r="E248" s="5" t="str">
        <f>VLOOKUP(A248,Seqs!A:B,2,FALSE)</f>
        <v>MDMLHPSSVSTTSEPENASSAWPPDATLGNVSAGPSPAGLAVSGVLIPLVYLVVCVVGLLGNSLVIYVVLRHTASPSVTNVYILNLALADELFMLGLPFLAAQNALSYWPFGSLMCRLVMAVDGINQFTSIFCLTVMSVDRYLAVVHPTRSARWRTAPVARTVSAAVWVASAVVVLPVVVFSGVPRGMSTCHMQWPEPAAAWRAGFIIYTAALGFFGPLLVICLCYLLIVVKVRSAGRRVWAPSCQRRRRSERRVTRMVVAVVALFVLCWMPFYVLNIVNVVCPLPEEPAFFGLYFLVVALPYANSCANPILYGFLSYRFKQGFRRVLLRPSRRVRSQEPTVGPPEKTEEEDEEEEDGEESREGGKGKEMNGRVSQITQPGTSGQERPPSRVASKEQQLLPQEASTGEKSSTMRISYL</v>
      </c>
      <c r="F248" s="5" t="str">
        <f t="shared" si="76"/>
        <v>VSGVLIPLVYLVVCVVGLLGNSLVIYVVLRH</v>
      </c>
      <c r="G248" s="4" t="str">
        <f t="shared" si="77"/>
        <v>TASP</v>
      </c>
      <c r="H248" s="4" t="str">
        <f t="shared" si="78"/>
        <v>SVTNVYILNLALADELFMLGLPFLAAQNAL</v>
      </c>
      <c r="I248" s="4" t="str">
        <f t="shared" si="79"/>
        <v>YWPF</v>
      </c>
      <c r="J248" s="4" t="str">
        <f t="shared" si="80"/>
        <v>GSLMCRLVMAVDGINQFTSIFCLTVMSVDRYLAVVH</v>
      </c>
      <c r="K248" s="4" t="str">
        <f t="shared" si="81"/>
        <v>PTRSARWR</v>
      </c>
      <c r="L248" s="4" t="str">
        <f t="shared" si="82"/>
        <v>TAPVARTVSAAVWVASAVVVLPVVVFS</v>
      </c>
      <c r="M248" s="4" t="str">
        <f t="shared" si="83"/>
        <v>CHM</v>
      </c>
      <c r="N248" s="4" t="str">
        <f t="shared" si="84"/>
        <v>PAAAWRAGFIIYTAALGFFGPLLVICLCYLLIVVKVRSAGRRV</v>
      </c>
      <c r="O248" s="4" t="str">
        <f t="shared" si="85"/>
        <v>QRRRRSERRVTRMVVAVVALFVLCWMPFYVLNIVNVVC</v>
      </c>
      <c r="P248" s="4" t="str">
        <f t="shared" si="86"/>
        <v>EPAFFGLYFLVVALPYANSCANPILYGFL</v>
      </c>
      <c r="Q248" s="4" t="str">
        <f t="shared" si="87"/>
        <v>SYRFKQGFRRVLL</v>
      </c>
      <c r="R248" s="5">
        <f>VLOOKUP($A248,'SegEnds_NonXtal_Prot#'!$A:$AL,3,FALSE)</f>
        <v>42</v>
      </c>
      <c r="S248" s="5">
        <f>VLOOKUP($A248,'SegEnds_NonXtal_Prot#'!$A:$AL,6,FALSE)</f>
        <v>73</v>
      </c>
      <c r="T248" s="5">
        <f>VLOOKUP($A248,'SegEnds_NonXtal_Prot#'!$A:$AL,9,FALSE)</f>
        <v>77</v>
      </c>
      <c r="U248" s="5">
        <f>VLOOKUP($A248,'SegEnds_NonXtal_Prot#'!$A:$AL,12,FALSE)</f>
        <v>108</v>
      </c>
      <c r="V248" s="5">
        <f>VLOOKUP($A248,'SegEnds_NonXtal_Prot#'!$A:$AL,15,FALSE)</f>
        <v>112</v>
      </c>
      <c r="W248" s="5">
        <f>VLOOKUP($A248,'SegEnds_NonXtal_Prot#'!$A:$AL,18,FALSE)</f>
        <v>148</v>
      </c>
      <c r="X248" s="5">
        <f>VLOOKUP($A248,'SegEnds_NonXtal_Prot#'!$A:$AL,21,FALSE)</f>
        <v>156</v>
      </c>
      <c r="Y248" s="5">
        <f>VLOOKUP($A248,'SegEnds_NonXtal_Prot#'!$A:$AL,24,FALSE)</f>
        <v>191</v>
      </c>
      <c r="Z248" s="5">
        <f>VLOOKUP($A248,'SegEnds_NonXtal_Prot#'!$A:$AL,27,FALSE)</f>
        <v>198</v>
      </c>
      <c r="AA248" s="5">
        <f>VLOOKUP($A248,'SegEnds_NonXtal_Prot#'!$A:$AL,30,FALSE)</f>
        <v>246</v>
      </c>
      <c r="AB248" s="5">
        <f>VLOOKUP($A248,'SegEnds_NonXtal_Prot#'!$A:$AL,33,FALSE)</f>
        <v>288</v>
      </c>
      <c r="AC248" s="5">
        <f>VLOOKUP($A248,'SegEnds_NonXtal_Prot#'!$A:$AL,36,FALSE)</f>
        <v>317</v>
      </c>
      <c r="AD248" s="5">
        <f>VLOOKUP($A248,'SegEnds_NonXtal_Prot#'!$A:$AL,5,FALSE)</f>
        <v>72</v>
      </c>
      <c r="AE248" s="5">
        <f>VLOOKUP($A248,'SegEnds_NonXtal_Prot#'!$A:$AL,8,FALSE)</f>
        <v>76</v>
      </c>
      <c r="AF248" s="5">
        <f>VLOOKUP($A248,'SegEnds_NonXtal_Prot#'!$A:$AL,11,FALSE)</f>
        <v>106</v>
      </c>
      <c r="AG248" s="5">
        <f>VLOOKUP($A248,'SegEnds_NonXtal_Prot#'!$A:$AL,14,FALSE)</f>
        <v>111</v>
      </c>
      <c r="AH248" s="5">
        <f>VLOOKUP($A248,'SegEnds_NonXtal_Prot#'!$A:$AL,17,FALSE)</f>
        <v>147</v>
      </c>
      <c r="AI248" s="5">
        <f>VLOOKUP($A248,'SegEnds_NonXtal_Prot#'!$A:$AL,20,FALSE)</f>
        <v>155</v>
      </c>
      <c r="AJ248" s="5">
        <f>VLOOKUP($A248,'SegEnds_NonXtal_Prot#'!$A:$AL,23,FALSE)</f>
        <v>182</v>
      </c>
      <c r="AK248" s="5">
        <f>VLOOKUP($A248,'SegEnds_NonXtal_Prot#'!$A:$AL,26,FALSE)</f>
        <v>193</v>
      </c>
      <c r="AL248" s="5">
        <f>VLOOKUP($A248,'SegEnds_NonXtal_Prot#'!$A:$AL,29,FALSE)</f>
        <v>240</v>
      </c>
      <c r="AM248" s="5">
        <f>VLOOKUP($A248,'SegEnds_NonXtal_Prot#'!$A:$AL,32,FALSE)</f>
        <v>283</v>
      </c>
      <c r="AN248" s="5">
        <f>VLOOKUP($A248,'SegEnds_NonXtal_Prot#'!$A:$AL,35,FALSE)</f>
        <v>316</v>
      </c>
      <c r="AO248" s="5">
        <f>VLOOKUP($A248,'SegEnds_NonXtal_Prot#'!$A:$AL,38,FALSE)</f>
        <v>329</v>
      </c>
      <c r="AP248" s="5">
        <f t="shared" si="88"/>
        <v>30</v>
      </c>
      <c r="AQ248" s="4">
        <f t="shared" si="89"/>
        <v>3</v>
      </c>
      <c r="AR248" s="4">
        <f t="shared" si="90"/>
        <v>29</v>
      </c>
      <c r="AS248" s="4">
        <f t="shared" si="91"/>
        <v>3</v>
      </c>
      <c r="AT248" s="4">
        <f t="shared" si="92"/>
        <v>35</v>
      </c>
      <c r="AU248" s="4">
        <f t="shared" si="93"/>
        <v>7</v>
      </c>
      <c r="AV248" s="4">
        <f t="shared" si="94"/>
        <v>26</v>
      </c>
      <c r="AW248" s="4">
        <f t="shared" si="95"/>
        <v>2</v>
      </c>
      <c r="AX248" s="4">
        <f t="shared" si="96"/>
        <v>42</v>
      </c>
      <c r="AY248" s="4">
        <f t="shared" si="97"/>
        <v>37</v>
      </c>
      <c r="AZ248" s="4">
        <f t="shared" si="98"/>
        <v>28</v>
      </c>
      <c r="BA248" s="4">
        <f t="shared" si="99"/>
        <v>12</v>
      </c>
    </row>
    <row r="249" spans="1:53" x14ac:dyDescent="0.2">
      <c r="A249" s="1" t="str">
        <f>'SegEnds_NonXtal_Prot#'!A237</f>
        <v>ssr4_human</v>
      </c>
      <c r="B249" s="1" t="str">
        <f t="shared" si="75"/>
        <v>AGPGDARAAGMVAIQCIYALVCLVGLVGNALVIFVILRYTATNIYLLNLAVADELFMLSVPFVASSAALGSVLCRAVLSVDGLNMFTSVFCLTVLSVDRYVAVVHRPSVAKLINLGVWLASLLVTLPIAIFAHPAWSAVFVVYTFLLGFLLPVLAIGLCYLLIVGKMRAVWQQRRRSEKKITRLVLMVVVVFVLCWMPFYVVQLLNLFVATVNHVSLILSYANSCANPILYGFLSDNFRRFFQRVLCL</v>
      </c>
      <c r="C249" s="29" t="str">
        <f>IF(ISERROR(MATCH(A249,'SegEnds_Xtal_Prot#'!B:B, 0)), "NoXtal", "Xtal")</f>
        <v>NoXtal</v>
      </c>
      <c r="D249" s="4" t="str">
        <f>VLOOKUP(A249,Classification!A:D,2,FALSE)</f>
        <v>A</v>
      </c>
      <c r="E249" s="5" t="str">
        <f>VLOOKUP(A249,Seqs!A:B,2,FALSE)</f>
        <v>MSAPSTLPPGGEEGLGTAWPSAANASSAPAEAEEAVAGPGDARAAGMVAIQCIYALVCLVGLVGNALVIFVILRYAKMKTATNIYLLNLAVADELFMLSVPFVASSAALRHWPFGSVLCRAVLSVDGLNMFTSVFCLTVLSVDRYVAVVHPLRAATYRRPSVAKLINLGVWLASLLVTLPIAIFADTRPARGGQAVACNLQWPHPAWSAVFVVYTFLLGFLLPVLAIGLCYLLIVGKMRAVALRAGWQQRRRSEKKITRLVLMVVVVFVLCWMPFYVVQLLNLFVTSLDATVNHVSLILSYANSCANPILYGFLSDNFRRFFQRVLCLRCCLLEGAGGAEEEPLDYYATALKSKGGAGCMCPPLPCQQEALQPEPGRKRIPLTRTTTF</v>
      </c>
      <c r="F249" s="5" t="str">
        <f t="shared" si="76"/>
        <v>AGPGDARAAGMVAIQCIYALVCLVGLVGNALVIFVILRY</v>
      </c>
      <c r="G249" s="4" t="str">
        <f t="shared" si="77"/>
        <v>AKMK</v>
      </c>
      <c r="H249" s="4" t="str">
        <f t="shared" si="78"/>
        <v>TATNIYLLNLAVADELFMLSVPFVASSAAL</v>
      </c>
      <c r="I249" s="4" t="str">
        <f t="shared" si="79"/>
        <v>HWPF</v>
      </c>
      <c r="J249" s="4" t="str">
        <f t="shared" si="80"/>
        <v>GSVLCRAVLSVDGLNMFTSVFCLTVLSVDRYVAVVH</v>
      </c>
      <c r="K249" s="4" t="str">
        <f t="shared" si="81"/>
        <v>PLRAATYR</v>
      </c>
      <c r="L249" s="4" t="str">
        <f t="shared" si="82"/>
        <v>RPSVAKLINLGVWLASLLVTLPIAIFA</v>
      </c>
      <c r="M249" s="4" t="str">
        <f t="shared" si="83"/>
        <v>CNL</v>
      </c>
      <c r="N249" s="4" t="str">
        <f t="shared" si="84"/>
        <v>HPAWSAVFVVYTFLLGFLLPVLAIGLCYLLIVGKMRAV</v>
      </c>
      <c r="O249" s="4" t="str">
        <f t="shared" si="85"/>
        <v>WQQRRRSEKKITRLVLMVVVVFVLCWMPFYVVQLLNLFV</v>
      </c>
      <c r="P249" s="4" t="str">
        <f t="shared" si="86"/>
        <v>ATVNHVSLILSYANSCANPILYGFL</v>
      </c>
      <c r="Q249" s="4" t="str">
        <f t="shared" si="87"/>
        <v>SDNFRRFFQRVLCL</v>
      </c>
      <c r="R249" s="5">
        <f>VLOOKUP($A249,'SegEnds_NonXtal_Prot#'!$A:$AL,3,FALSE)</f>
        <v>37</v>
      </c>
      <c r="S249" s="5">
        <f>VLOOKUP($A249,'SegEnds_NonXtal_Prot#'!$A:$AL,6,FALSE)</f>
        <v>76</v>
      </c>
      <c r="T249" s="5">
        <f>VLOOKUP($A249,'SegEnds_NonXtal_Prot#'!$A:$AL,9,FALSE)</f>
        <v>80</v>
      </c>
      <c r="U249" s="5">
        <f>VLOOKUP($A249,'SegEnds_NonXtal_Prot#'!$A:$AL,12,FALSE)</f>
        <v>111</v>
      </c>
      <c r="V249" s="5">
        <f>VLOOKUP($A249,'SegEnds_NonXtal_Prot#'!$A:$AL,15,FALSE)</f>
        <v>115</v>
      </c>
      <c r="W249" s="5">
        <f>VLOOKUP($A249,'SegEnds_NonXtal_Prot#'!$A:$AL,18,FALSE)</f>
        <v>151</v>
      </c>
      <c r="X249" s="5">
        <f>VLOOKUP($A249,'SegEnds_NonXtal_Prot#'!$A:$AL,21,FALSE)</f>
        <v>159</v>
      </c>
      <c r="Y249" s="5">
        <f>VLOOKUP($A249,'SegEnds_NonXtal_Prot#'!$A:$AL,24,FALSE)</f>
        <v>198</v>
      </c>
      <c r="Z249" s="5">
        <f>VLOOKUP($A249,'SegEnds_NonXtal_Prot#'!$A:$AL,27,FALSE)</f>
        <v>204</v>
      </c>
      <c r="AA249" s="5">
        <f>VLOOKUP($A249,'SegEnds_NonXtal_Prot#'!$A:$AL,30,FALSE)</f>
        <v>247</v>
      </c>
      <c r="AB249" s="5">
        <f>VLOOKUP($A249,'SegEnds_NonXtal_Prot#'!$A:$AL,33,FALSE)</f>
        <v>290</v>
      </c>
      <c r="AC249" s="5">
        <f>VLOOKUP($A249,'SegEnds_NonXtal_Prot#'!$A:$AL,36,FALSE)</f>
        <v>315</v>
      </c>
      <c r="AD249" s="5">
        <f>VLOOKUP($A249,'SegEnds_NonXtal_Prot#'!$A:$AL,5,FALSE)</f>
        <v>75</v>
      </c>
      <c r="AE249" s="5">
        <f>VLOOKUP($A249,'SegEnds_NonXtal_Prot#'!$A:$AL,8,FALSE)</f>
        <v>79</v>
      </c>
      <c r="AF249" s="5">
        <f>VLOOKUP($A249,'SegEnds_NonXtal_Prot#'!$A:$AL,11,FALSE)</f>
        <v>109</v>
      </c>
      <c r="AG249" s="5">
        <f>VLOOKUP($A249,'SegEnds_NonXtal_Prot#'!$A:$AL,14,FALSE)</f>
        <v>114</v>
      </c>
      <c r="AH249" s="5">
        <f>VLOOKUP($A249,'SegEnds_NonXtal_Prot#'!$A:$AL,17,FALSE)</f>
        <v>150</v>
      </c>
      <c r="AI249" s="5">
        <f>VLOOKUP($A249,'SegEnds_NonXtal_Prot#'!$A:$AL,20,FALSE)</f>
        <v>158</v>
      </c>
      <c r="AJ249" s="5">
        <f>VLOOKUP($A249,'SegEnds_NonXtal_Prot#'!$A:$AL,23,FALSE)</f>
        <v>185</v>
      </c>
      <c r="AK249" s="5">
        <f>VLOOKUP($A249,'SegEnds_NonXtal_Prot#'!$A:$AL,26,FALSE)</f>
        <v>200</v>
      </c>
      <c r="AL249" s="5">
        <f>VLOOKUP($A249,'SegEnds_NonXtal_Prot#'!$A:$AL,29,FALSE)</f>
        <v>241</v>
      </c>
      <c r="AM249" s="5">
        <f>VLOOKUP($A249,'SegEnds_NonXtal_Prot#'!$A:$AL,32,FALSE)</f>
        <v>285</v>
      </c>
      <c r="AN249" s="5">
        <f>VLOOKUP($A249,'SegEnds_NonXtal_Prot#'!$A:$AL,35,FALSE)</f>
        <v>314</v>
      </c>
      <c r="AO249" s="5">
        <f>VLOOKUP($A249,'SegEnds_NonXtal_Prot#'!$A:$AL,38,FALSE)</f>
        <v>328</v>
      </c>
      <c r="AP249" s="5">
        <f t="shared" si="88"/>
        <v>38</v>
      </c>
      <c r="AQ249" s="4">
        <f t="shared" si="89"/>
        <v>3</v>
      </c>
      <c r="AR249" s="4">
        <f t="shared" si="90"/>
        <v>29</v>
      </c>
      <c r="AS249" s="4">
        <f t="shared" si="91"/>
        <v>3</v>
      </c>
      <c r="AT249" s="4">
        <f t="shared" si="92"/>
        <v>35</v>
      </c>
      <c r="AU249" s="4">
        <f t="shared" si="93"/>
        <v>7</v>
      </c>
      <c r="AV249" s="4">
        <f t="shared" si="94"/>
        <v>26</v>
      </c>
      <c r="AW249" s="4">
        <f t="shared" si="95"/>
        <v>2</v>
      </c>
      <c r="AX249" s="4">
        <f t="shared" si="96"/>
        <v>37</v>
      </c>
      <c r="AY249" s="4">
        <f t="shared" si="97"/>
        <v>38</v>
      </c>
      <c r="AZ249" s="4">
        <f t="shared" si="98"/>
        <v>24</v>
      </c>
      <c r="BA249" s="4">
        <f t="shared" si="99"/>
        <v>13</v>
      </c>
    </row>
    <row r="250" spans="1:53" x14ac:dyDescent="0.2">
      <c r="A250" s="1" t="str">
        <f>'SegEnds_NonXtal_Prot#'!A238</f>
        <v>ssr5_human</v>
      </c>
      <c r="B250" s="1" t="str">
        <f t="shared" si="75"/>
        <v>ARAVLVPVLYLLVCAAGLGGNTLVIYVVLRFTVTNIYILNLAVADVLYMLGLPFLATQNAAGPVLCRLVMTLDGVNQFTSVFCLTVMSVDRYLAVVHRPRVAKLASAAAWVLSLCMSLPLLVFAPVGLWGAVFIIYTAVLGFFAPLLVICLCYLLIVVKVRAAGVRVSERKVTRMVLVVVLVFAGCWLPFFTVNIVNLAVEPASAGLYFFVVILSYANSCANPVLYGFLSDNFRQSFQKVLC</v>
      </c>
      <c r="C250" s="29" t="str">
        <f>IF(ISERROR(MATCH(A250,'SegEnds_Xtal_Prot#'!B:B, 0)), "NoXtal", "Xtal")</f>
        <v>NoXtal</v>
      </c>
      <c r="D250" s="4" t="str">
        <f>VLOOKUP(A250,Classification!A:D,2,FALSE)</f>
        <v>A</v>
      </c>
      <c r="E250" s="5" t="str">
        <f>VLOOKUP(A250,Seqs!A:B,2,FALSE)</f>
        <v>MEPLFPASTPSWNASSPGAASGGGDNRTLVGPAPSAGARAVLVPVLYLLVCAAGLGGNTLVIYVVLRFAKMKTVTNIYILNLAVADVLYMLGLPFLATQNAASFWPFGPVLCRLVMTLDGVNQFTSVFCLTVMSVDRYLAVVHPLSSARWRRPRVAKLASAAAWVLSLCMSLPLLVFADVQEGGTCNASWPEPVGLWGAVFIIYTAVLGFFAPLLVICLCYLLIVVKVRAAGVRVGCVRRRSERKVTRMVLVVVLVFAGCWLPFFTVNIVNLAVALPQEPASAGLYFFVVILSYANSCANPVLYGFLSDNFRQSFQKVLCLRKGSGAKDADATEPRPDRIRQQQEATPPAHRAAANGLMQTSKL</v>
      </c>
      <c r="F250" s="5" t="str">
        <f t="shared" si="76"/>
        <v>ARAVLVPVLYLLVCAAGLGGNTLVIYVVLRF</v>
      </c>
      <c r="G250" s="4" t="str">
        <f t="shared" si="77"/>
        <v>AKMK</v>
      </c>
      <c r="H250" s="4" t="str">
        <f t="shared" si="78"/>
        <v>TVTNIYILNLAVADVLYMLGLPFLATQNAA</v>
      </c>
      <c r="I250" s="4" t="str">
        <f t="shared" si="79"/>
        <v>FWPF</v>
      </c>
      <c r="J250" s="4" t="str">
        <f t="shared" si="80"/>
        <v>GPVLCRLVMTLDGVNQFTSVFCLTVMSVDRYLAVVH</v>
      </c>
      <c r="K250" s="4" t="str">
        <f t="shared" si="81"/>
        <v>PLSSARWR</v>
      </c>
      <c r="L250" s="4" t="str">
        <f t="shared" si="82"/>
        <v>RPRVAKLASAAAWVLSLCMSLPLLVFA</v>
      </c>
      <c r="M250" s="4" t="str">
        <f t="shared" si="83"/>
        <v>CNA</v>
      </c>
      <c r="N250" s="4" t="str">
        <f t="shared" si="84"/>
        <v>PVGLWGAVFIIYTAVLGFFAPLLVICLCYLLIVVKVRAAGVRV</v>
      </c>
      <c r="O250" s="4" t="str">
        <f t="shared" si="85"/>
        <v>SERKVTRMVLVVVLVFAGCWLPFFTVNIVNLAV</v>
      </c>
      <c r="P250" s="4" t="str">
        <f t="shared" si="86"/>
        <v>EPASAGLYFFVVILSYANSCANPVLYGFL</v>
      </c>
      <c r="Q250" s="4" t="str">
        <f t="shared" si="87"/>
        <v>SDNFRQSFQKVLC</v>
      </c>
      <c r="R250" s="5">
        <f>VLOOKUP($A250,'SegEnds_NonXtal_Prot#'!$A:$AL,3,FALSE)</f>
        <v>38</v>
      </c>
      <c r="S250" s="5">
        <f>VLOOKUP($A250,'SegEnds_NonXtal_Prot#'!$A:$AL,6,FALSE)</f>
        <v>69</v>
      </c>
      <c r="T250" s="5">
        <f>VLOOKUP($A250,'SegEnds_NonXtal_Prot#'!$A:$AL,9,FALSE)</f>
        <v>73</v>
      </c>
      <c r="U250" s="5">
        <f>VLOOKUP($A250,'SegEnds_NonXtal_Prot#'!$A:$AL,12,FALSE)</f>
        <v>104</v>
      </c>
      <c r="V250" s="5">
        <f>VLOOKUP($A250,'SegEnds_NonXtal_Prot#'!$A:$AL,15,FALSE)</f>
        <v>108</v>
      </c>
      <c r="W250" s="5">
        <f>VLOOKUP($A250,'SegEnds_NonXtal_Prot#'!$A:$AL,18,FALSE)</f>
        <v>144</v>
      </c>
      <c r="X250" s="5">
        <f>VLOOKUP($A250,'SegEnds_NonXtal_Prot#'!$A:$AL,21,FALSE)</f>
        <v>152</v>
      </c>
      <c r="Y250" s="5">
        <f>VLOOKUP($A250,'SegEnds_NonXtal_Prot#'!$A:$AL,24,FALSE)</f>
        <v>186</v>
      </c>
      <c r="Z250" s="5">
        <f>VLOOKUP($A250,'SegEnds_NonXtal_Prot#'!$A:$AL,27,FALSE)</f>
        <v>193</v>
      </c>
      <c r="AA250" s="5">
        <f>VLOOKUP($A250,'SegEnds_NonXtal_Prot#'!$A:$AL,30,FALSE)</f>
        <v>242</v>
      </c>
      <c r="AB250" s="5">
        <f>VLOOKUP($A250,'SegEnds_NonXtal_Prot#'!$A:$AL,33,FALSE)</f>
        <v>279</v>
      </c>
      <c r="AC250" s="5">
        <f>VLOOKUP($A250,'SegEnds_NonXtal_Prot#'!$A:$AL,36,FALSE)</f>
        <v>308</v>
      </c>
      <c r="AD250" s="5">
        <f>VLOOKUP($A250,'SegEnds_NonXtal_Prot#'!$A:$AL,5,FALSE)</f>
        <v>68</v>
      </c>
      <c r="AE250" s="5">
        <f>VLOOKUP($A250,'SegEnds_NonXtal_Prot#'!$A:$AL,8,FALSE)</f>
        <v>72</v>
      </c>
      <c r="AF250" s="5">
        <f>VLOOKUP($A250,'SegEnds_NonXtal_Prot#'!$A:$AL,11,FALSE)</f>
        <v>102</v>
      </c>
      <c r="AG250" s="5">
        <f>VLOOKUP($A250,'SegEnds_NonXtal_Prot#'!$A:$AL,14,FALSE)</f>
        <v>107</v>
      </c>
      <c r="AH250" s="5">
        <f>VLOOKUP($A250,'SegEnds_NonXtal_Prot#'!$A:$AL,17,FALSE)</f>
        <v>143</v>
      </c>
      <c r="AI250" s="5">
        <f>VLOOKUP($A250,'SegEnds_NonXtal_Prot#'!$A:$AL,20,FALSE)</f>
        <v>151</v>
      </c>
      <c r="AJ250" s="5">
        <f>VLOOKUP($A250,'SegEnds_NonXtal_Prot#'!$A:$AL,23,FALSE)</f>
        <v>178</v>
      </c>
      <c r="AK250" s="5">
        <f>VLOOKUP($A250,'SegEnds_NonXtal_Prot#'!$A:$AL,26,FALSE)</f>
        <v>188</v>
      </c>
      <c r="AL250" s="5">
        <f>VLOOKUP($A250,'SegEnds_NonXtal_Prot#'!$A:$AL,29,FALSE)</f>
        <v>235</v>
      </c>
      <c r="AM250" s="5">
        <f>VLOOKUP($A250,'SegEnds_NonXtal_Prot#'!$A:$AL,32,FALSE)</f>
        <v>274</v>
      </c>
      <c r="AN250" s="5">
        <f>VLOOKUP($A250,'SegEnds_NonXtal_Prot#'!$A:$AL,35,FALSE)</f>
        <v>307</v>
      </c>
      <c r="AO250" s="5">
        <f>VLOOKUP($A250,'SegEnds_NonXtal_Prot#'!$A:$AL,38,FALSE)</f>
        <v>320</v>
      </c>
      <c r="AP250" s="5">
        <f t="shared" si="88"/>
        <v>30</v>
      </c>
      <c r="AQ250" s="4">
        <f t="shared" si="89"/>
        <v>3</v>
      </c>
      <c r="AR250" s="4">
        <f t="shared" si="90"/>
        <v>29</v>
      </c>
      <c r="AS250" s="4">
        <f t="shared" si="91"/>
        <v>3</v>
      </c>
      <c r="AT250" s="4">
        <f t="shared" si="92"/>
        <v>35</v>
      </c>
      <c r="AU250" s="4">
        <f t="shared" si="93"/>
        <v>7</v>
      </c>
      <c r="AV250" s="4">
        <f t="shared" si="94"/>
        <v>26</v>
      </c>
      <c r="AW250" s="4">
        <f t="shared" si="95"/>
        <v>2</v>
      </c>
      <c r="AX250" s="4">
        <f t="shared" si="96"/>
        <v>42</v>
      </c>
      <c r="AY250" s="4">
        <f t="shared" si="97"/>
        <v>32</v>
      </c>
      <c r="AZ250" s="4">
        <f t="shared" si="98"/>
        <v>28</v>
      </c>
      <c r="BA250" s="4">
        <f t="shared" si="99"/>
        <v>12</v>
      </c>
    </row>
    <row r="251" spans="1:53" x14ac:dyDescent="0.2">
      <c r="A251" s="1" t="str">
        <f>'SegEnds_NonXtal_Prot#'!A239</f>
        <v>sucr1_human</v>
      </c>
      <c r="B251" s="1" t="str">
        <f t="shared" si="75"/>
        <v>LEKYYLSIFYGIEFVVGVLGNTIVVYGYIFSNSSNIYLFNLSVSDLAFLCTLPMLIRSYANGDVLCISNRYVLHANLYTSILFLTFISIDRYLIIKYKKEFAILISLAIWVLVTLELLPILPLIPNYNLIYSMCLTLLGFLIPLFVMCFFYYKIALFLKQRVATALPLEKPLNLVIMAVVIFSVLFTPYHVMRNVRIASRLGYQCTQVVINSFYIVTRPLAFLNSVINPVFYFLLGDHFRDMLMNQLR</v>
      </c>
      <c r="C251" s="29" t="str">
        <f>IF(ISERROR(MATCH(A251,'SegEnds_Xtal_Prot#'!B:B, 0)), "NoXtal", "Xtal")</f>
        <v>NoXtal</v>
      </c>
      <c r="D251" s="4" t="str">
        <f>VLOOKUP(A251,Classification!A:D,2,FALSE)</f>
        <v>A</v>
      </c>
      <c r="E251" s="5" t="str">
        <f>VLOOKUP(A251,Seqs!A:B,2,FALSE)</f>
        <v>MLGIMAWNATCKNWLAAEAALEKYYLSIFYGIEFVVGVLGNTIVVYGYIFSLKNWNSSNIYLFNLSVSDLAFLCTLPMLIRSYANGNWIYGDVLCISNRYVLHANLYTSILFLTFISIDRYLIIKYPFREHLLQKKEFAILISLAIWVLVTLELLPILPLINPVITDNGTTCNDFASSGDPNYNLIYSMCLTLLGFLIPLFVMCFFYYKIALFLKQRNRQVATALPLEKPLNLVIMAVVIFSVLFTPYHVMRNVRIASRLGSWKQYQCTQVVINSFYIVTRPLAFLNSVINPVFYFLLGDHFRDMLMNQLRHNFKSLTSFSRWAHELLLSFREK</v>
      </c>
      <c r="F251" s="5" t="str">
        <f t="shared" si="76"/>
        <v>LEKYYLSIFYGIEFVVGVLGNTIVVYGYIFS</v>
      </c>
      <c r="G251" s="4" t="str">
        <f t="shared" si="77"/>
        <v/>
      </c>
      <c r="H251" s="4" t="str">
        <f t="shared" si="78"/>
        <v>NSSNIYLFNLSVSDLAFLCTLPMLIRSYAN</v>
      </c>
      <c r="I251" s="4" t="str">
        <f t="shared" si="79"/>
        <v>NWIY</v>
      </c>
      <c r="J251" s="4" t="str">
        <f t="shared" si="80"/>
        <v>GDVLCISNRYVLHANLYTSILFLTFISIDRYLIIKY</v>
      </c>
      <c r="K251" s="4" t="str">
        <f t="shared" si="81"/>
        <v>PFREHLLQ</v>
      </c>
      <c r="L251" s="4" t="str">
        <f t="shared" si="82"/>
        <v>KKEFAILISLAIWVLVTLELLPILPLI</v>
      </c>
      <c r="M251" s="4" t="str">
        <f t="shared" si="83"/>
        <v>CND</v>
      </c>
      <c r="N251" s="4" t="str">
        <f t="shared" si="84"/>
        <v>PNYNLIYSMCLTLLGFLIPLFVMCFFYYKIALFLKQR</v>
      </c>
      <c r="O251" s="4" t="str">
        <f t="shared" si="85"/>
        <v>VATALPLEKPLNLVIMAVVIFSVLFTPYHVMRNVRIASRLG</v>
      </c>
      <c r="P251" s="4" t="str">
        <f t="shared" si="86"/>
        <v>YQCTQVVINSFYIVTRPLAFLNSVINPVFYFLL</v>
      </c>
      <c r="Q251" s="4" t="str">
        <f t="shared" si="87"/>
        <v>GDHFRDMLMNQLR</v>
      </c>
      <c r="R251" s="5">
        <f>VLOOKUP($A251,'SegEnds_NonXtal_Prot#'!$A:$AL,3,FALSE)</f>
        <v>21</v>
      </c>
      <c r="S251" s="5" t="str">
        <f>VLOOKUP($A251,'SegEnds_NonXtal_Prot#'!$A:$AL,6,FALSE)</f>
        <v>-</v>
      </c>
      <c r="T251" s="5">
        <f>VLOOKUP($A251,'SegEnds_NonXtal_Prot#'!$A:$AL,9,FALSE)</f>
        <v>56</v>
      </c>
      <c r="U251" s="5">
        <f>VLOOKUP($A251,'SegEnds_NonXtal_Prot#'!$A:$AL,12,FALSE)</f>
        <v>87</v>
      </c>
      <c r="V251" s="5">
        <f>VLOOKUP($A251,'SegEnds_NonXtal_Prot#'!$A:$AL,15,FALSE)</f>
        <v>91</v>
      </c>
      <c r="W251" s="5">
        <f>VLOOKUP($A251,'SegEnds_NonXtal_Prot#'!$A:$AL,18,FALSE)</f>
        <v>127</v>
      </c>
      <c r="X251" s="5">
        <f>VLOOKUP($A251,'SegEnds_NonXtal_Prot#'!$A:$AL,21,FALSE)</f>
        <v>135</v>
      </c>
      <c r="Y251" s="5">
        <f>VLOOKUP($A251,'SegEnds_NonXtal_Prot#'!$A:$AL,24,FALSE)</f>
        <v>172</v>
      </c>
      <c r="Z251" s="5">
        <f>VLOOKUP($A251,'SegEnds_NonXtal_Prot#'!$A:$AL,27,FALSE)</f>
        <v>181</v>
      </c>
      <c r="AA251" s="5">
        <f>VLOOKUP($A251,'SegEnds_NonXtal_Prot#'!$A:$AL,30,FALSE)</f>
        <v>221</v>
      </c>
      <c r="AB251" s="5">
        <f>VLOOKUP($A251,'SegEnds_NonXtal_Prot#'!$A:$AL,33,FALSE)</f>
        <v>266</v>
      </c>
      <c r="AC251" s="5">
        <f>VLOOKUP($A251,'SegEnds_NonXtal_Prot#'!$A:$AL,36,FALSE)</f>
        <v>299</v>
      </c>
      <c r="AD251" s="5">
        <f>VLOOKUP($A251,'SegEnds_NonXtal_Prot#'!$A:$AL,5,FALSE)</f>
        <v>51</v>
      </c>
      <c r="AE251" s="5" t="str">
        <f>VLOOKUP($A251,'SegEnds_NonXtal_Prot#'!$A:$AL,8,FALSE)</f>
        <v>-</v>
      </c>
      <c r="AF251" s="5">
        <f>VLOOKUP($A251,'SegEnds_NonXtal_Prot#'!$A:$AL,11,FALSE)</f>
        <v>85</v>
      </c>
      <c r="AG251" s="5">
        <f>VLOOKUP($A251,'SegEnds_NonXtal_Prot#'!$A:$AL,14,FALSE)</f>
        <v>90</v>
      </c>
      <c r="AH251" s="5">
        <f>VLOOKUP($A251,'SegEnds_NonXtal_Prot#'!$A:$AL,17,FALSE)</f>
        <v>126</v>
      </c>
      <c r="AI251" s="5">
        <f>VLOOKUP($A251,'SegEnds_NonXtal_Prot#'!$A:$AL,20,FALSE)</f>
        <v>134</v>
      </c>
      <c r="AJ251" s="5">
        <f>VLOOKUP($A251,'SegEnds_NonXtal_Prot#'!$A:$AL,23,FALSE)</f>
        <v>161</v>
      </c>
      <c r="AK251" s="5">
        <f>VLOOKUP($A251,'SegEnds_NonXtal_Prot#'!$A:$AL,26,FALSE)</f>
        <v>174</v>
      </c>
      <c r="AL251" s="5">
        <f>VLOOKUP($A251,'SegEnds_NonXtal_Prot#'!$A:$AL,29,FALSE)</f>
        <v>217</v>
      </c>
      <c r="AM251" s="5">
        <f>VLOOKUP($A251,'SegEnds_NonXtal_Prot#'!$A:$AL,32,FALSE)</f>
        <v>261</v>
      </c>
      <c r="AN251" s="5">
        <f>VLOOKUP($A251,'SegEnds_NonXtal_Prot#'!$A:$AL,35,FALSE)</f>
        <v>298</v>
      </c>
      <c r="AO251" s="5">
        <f>VLOOKUP($A251,'SegEnds_NonXtal_Prot#'!$A:$AL,38,FALSE)</f>
        <v>311</v>
      </c>
      <c r="AP251" s="5">
        <f t="shared" si="88"/>
        <v>30</v>
      </c>
      <c r="AQ251" s="4" t="str">
        <f t="shared" si="89"/>
        <v>-</v>
      </c>
      <c r="AR251" s="4">
        <f t="shared" si="90"/>
        <v>29</v>
      </c>
      <c r="AS251" s="4">
        <f t="shared" si="91"/>
        <v>3</v>
      </c>
      <c r="AT251" s="4">
        <f t="shared" si="92"/>
        <v>35</v>
      </c>
      <c r="AU251" s="4">
        <f t="shared" si="93"/>
        <v>7</v>
      </c>
      <c r="AV251" s="4">
        <f t="shared" si="94"/>
        <v>26</v>
      </c>
      <c r="AW251" s="4">
        <f t="shared" si="95"/>
        <v>2</v>
      </c>
      <c r="AX251" s="4">
        <f t="shared" si="96"/>
        <v>36</v>
      </c>
      <c r="AY251" s="4">
        <f t="shared" si="97"/>
        <v>40</v>
      </c>
      <c r="AZ251" s="4">
        <f t="shared" si="98"/>
        <v>32</v>
      </c>
      <c r="BA251" s="4">
        <f t="shared" si="99"/>
        <v>12</v>
      </c>
    </row>
    <row r="252" spans="1:53" x14ac:dyDescent="0.2">
      <c r="A252" s="1" t="str">
        <f>'SegEnds_NonXtal_Prot#'!A240</f>
        <v>ta2r_human</v>
      </c>
      <c r="B252" s="1" t="str">
        <f t="shared" si="75"/>
        <v>SPWFAASFCVVGLASNLLALSVLAGARQSSFLTFLCGLVLTDFLGLLVTGTIVVSQHAACRLCRFMGVVMIFFGLSPLLLGAAMASERYLGITRSQRRAWATVGLVWAAALALGLLPLLGESGDVAFGLLFSMLGGLSVGLSFLLNTVSVATLCHVYHGQQRPRDSEVEMMAQLLGIMVVASVCWLPLLVFIAQTVLRSRTTEKELLIYLRVATWNQILDPWVYILFRRAVLRRLQPRLSTRPRSLS</v>
      </c>
      <c r="C252" s="29" t="str">
        <f>IF(ISERROR(MATCH(A252,'SegEnds_Xtal_Prot#'!B:B, 0)), "NoXtal", "Xtal")</f>
        <v>Xtal</v>
      </c>
      <c r="D252" s="4" t="str">
        <f>VLOOKUP(A252,Classification!A:D,2,FALSE)</f>
        <v>A</v>
      </c>
      <c r="E252" s="5" t="str">
        <f>VLOOKUP(A252,Seqs!A:B,2,FALSE)</f>
        <v>MWPNGSSLGPCFRPTNITLEERRLIASPWFAASFCVVGLASNLLALSVLAGARQGGSHTRSSFLTFLCGLVLTDFLGLLVTGTIVVSQHAALFEWHAVDPGCRLCRFMGVVMIFFGLSPLLLGAAMASERYLGITRPFSRPAVASQRRAWATVGLVWAAALALGLLPLLGVGRYTVQYPGSWCFLTLGAESGDVAFGLLFSMLGGLSVGLSFLLNTVSVATLCHVYHGQEAAQQRPRDSEVEMMAQLLGIMVVASVCWLPLLVFIAQTVLRNPPAMSPAGQLSRTTEKELLIYLRVATWNQILDPWVYILFRRAVLRRLQPRLSTRPRSLSLQPQLTQRSGLQ</v>
      </c>
      <c r="F252" s="5" t="str">
        <f t="shared" si="76"/>
        <v>SPWFAASFCVVGLASNLLALSVLAGARQ</v>
      </c>
      <c r="G252" s="4" t="str">
        <f t="shared" si="77"/>
        <v/>
      </c>
      <c r="H252" s="4" t="str">
        <f t="shared" si="78"/>
        <v>SSFLTFLCGLVLTDFLGLLVTGTIVVSQHAA</v>
      </c>
      <c r="I252" s="4" t="str">
        <f t="shared" si="79"/>
        <v>EWHAV</v>
      </c>
      <c r="J252" s="4" t="str">
        <f t="shared" si="80"/>
        <v>CRLCRFMGVVMIFFGLSPLLLGAAMASERYLGITR</v>
      </c>
      <c r="K252" s="4" t="str">
        <f t="shared" si="81"/>
        <v>PFSRPAVA</v>
      </c>
      <c r="L252" s="4" t="str">
        <f t="shared" si="82"/>
        <v>SQRRAWATVGLVWAAALALGLLPLLG</v>
      </c>
      <c r="M252" s="4" t="str">
        <f t="shared" si="83"/>
        <v>CFL</v>
      </c>
      <c r="N252" s="4" t="str">
        <f t="shared" si="84"/>
        <v>ESGDVAFGLLFSMLGGLSVGLSFLLNTVSVATLCHVYHGQ</v>
      </c>
      <c r="O252" s="4" t="str">
        <f t="shared" si="85"/>
        <v>QRPRDSEVEMMAQLLGIMVVASVCWLPLLVFIAQTVLR</v>
      </c>
      <c r="P252" s="4" t="str">
        <f t="shared" si="86"/>
        <v>SRTTEKELLIYLRVATWNQILDPWVYILF</v>
      </c>
      <c r="Q252" s="4" t="str">
        <f t="shared" si="87"/>
        <v>RRAVLRRLQPRLSTRPRSLS</v>
      </c>
      <c r="R252" s="5">
        <f>VLOOKUP($A252,'SegEnds_NonXtal_Prot#'!$A:$AL,3,FALSE)</f>
        <v>27</v>
      </c>
      <c r="S252" s="5" t="str">
        <f>VLOOKUP($A252,'SegEnds_NonXtal_Prot#'!$A:$AL,6,FALSE)</f>
        <v>-</v>
      </c>
      <c r="T252" s="5">
        <f>VLOOKUP($A252,'SegEnds_NonXtal_Prot#'!$A:$AL,9,FALSE)</f>
        <v>61</v>
      </c>
      <c r="U252" s="5">
        <f>VLOOKUP($A252,'SegEnds_NonXtal_Prot#'!$A:$AL,12,FALSE)</f>
        <v>94</v>
      </c>
      <c r="V252" s="5">
        <f>VLOOKUP($A252,'SegEnds_NonXtal_Prot#'!$A:$AL,15,FALSE)</f>
        <v>102</v>
      </c>
      <c r="W252" s="5">
        <f>VLOOKUP($A252,'SegEnds_NonXtal_Prot#'!$A:$AL,18,FALSE)</f>
        <v>137</v>
      </c>
      <c r="X252" s="5">
        <f>VLOOKUP($A252,'SegEnds_NonXtal_Prot#'!$A:$AL,21,FALSE)</f>
        <v>145</v>
      </c>
      <c r="Y252" s="5">
        <f>VLOOKUP($A252,'SegEnds_NonXtal_Prot#'!$A:$AL,24,FALSE)</f>
        <v>183</v>
      </c>
      <c r="Z252" s="5">
        <f>VLOOKUP($A252,'SegEnds_NonXtal_Prot#'!$A:$AL,27,FALSE)</f>
        <v>190</v>
      </c>
      <c r="AA252" s="5">
        <f>VLOOKUP($A252,'SegEnds_NonXtal_Prot#'!$A:$AL,30,FALSE)</f>
        <v>234</v>
      </c>
      <c r="AB252" s="5">
        <f>VLOOKUP($A252,'SegEnds_NonXtal_Prot#'!$A:$AL,33,FALSE)</f>
        <v>283</v>
      </c>
      <c r="AC252" s="5">
        <f>VLOOKUP($A252,'SegEnds_NonXtal_Prot#'!$A:$AL,36,FALSE)</f>
        <v>312</v>
      </c>
      <c r="AD252" s="5">
        <f>VLOOKUP($A252,'SegEnds_NonXtal_Prot#'!$A:$AL,5,FALSE)</f>
        <v>54</v>
      </c>
      <c r="AE252" s="5" t="str">
        <f>VLOOKUP($A252,'SegEnds_NonXtal_Prot#'!$A:$AL,8,FALSE)</f>
        <v>-</v>
      </c>
      <c r="AF252" s="5">
        <f>VLOOKUP($A252,'SegEnds_NonXtal_Prot#'!$A:$AL,11,FALSE)</f>
        <v>91</v>
      </c>
      <c r="AG252" s="5">
        <f>VLOOKUP($A252,'SegEnds_NonXtal_Prot#'!$A:$AL,14,FALSE)</f>
        <v>98</v>
      </c>
      <c r="AH252" s="5">
        <f>VLOOKUP($A252,'SegEnds_NonXtal_Prot#'!$A:$AL,17,FALSE)</f>
        <v>136</v>
      </c>
      <c r="AI252" s="5">
        <f>VLOOKUP($A252,'SegEnds_NonXtal_Prot#'!$A:$AL,20,FALSE)</f>
        <v>144</v>
      </c>
      <c r="AJ252" s="5">
        <f>VLOOKUP($A252,'SegEnds_NonXtal_Prot#'!$A:$AL,23,FALSE)</f>
        <v>170</v>
      </c>
      <c r="AK252" s="5">
        <f>VLOOKUP($A252,'SegEnds_NonXtal_Prot#'!$A:$AL,26,FALSE)</f>
        <v>185</v>
      </c>
      <c r="AL252" s="5">
        <f>VLOOKUP($A252,'SegEnds_NonXtal_Prot#'!$A:$AL,29,FALSE)</f>
        <v>229</v>
      </c>
      <c r="AM252" s="5">
        <f>VLOOKUP($A252,'SegEnds_NonXtal_Prot#'!$A:$AL,32,FALSE)</f>
        <v>271</v>
      </c>
      <c r="AN252" s="5">
        <f>VLOOKUP($A252,'SegEnds_NonXtal_Prot#'!$A:$AL,35,FALSE)</f>
        <v>311</v>
      </c>
      <c r="AO252" s="5">
        <f>VLOOKUP($A252,'SegEnds_NonXtal_Prot#'!$A:$AL,38,FALSE)</f>
        <v>331</v>
      </c>
      <c r="AP252" s="5">
        <f t="shared" si="88"/>
        <v>27</v>
      </c>
      <c r="AQ252" s="4" t="str">
        <f t="shared" si="89"/>
        <v>-</v>
      </c>
      <c r="AR252" s="4">
        <f t="shared" si="90"/>
        <v>30</v>
      </c>
      <c r="AS252" s="4">
        <f t="shared" si="91"/>
        <v>4</v>
      </c>
      <c r="AT252" s="4">
        <f t="shared" si="92"/>
        <v>34</v>
      </c>
      <c r="AU252" s="4">
        <f t="shared" si="93"/>
        <v>7</v>
      </c>
      <c r="AV252" s="4">
        <f t="shared" si="94"/>
        <v>25</v>
      </c>
      <c r="AW252" s="4">
        <f t="shared" si="95"/>
        <v>2</v>
      </c>
      <c r="AX252" s="4">
        <f t="shared" si="96"/>
        <v>39</v>
      </c>
      <c r="AY252" s="4">
        <f t="shared" si="97"/>
        <v>37</v>
      </c>
      <c r="AZ252" s="4">
        <f t="shared" si="98"/>
        <v>28</v>
      </c>
      <c r="BA252" s="4">
        <f t="shared" si="99"/>
        <v>19</v>
      </c>
    </row>
    <row r="253" spans="1:53" x14ac:dyDescent="0.2">
      <c r="A253" s="1" t="str">
        <f>'SegEnds_NonXtal_Prot#'!A241</f>
        <v>taar1_human</v>
      </c>
      <c r="B253" s="1" t="str">
        <f t="shared" si="75"/>
        <v>NDVRASLYSLMVLIILTTLVGNLIVIVSISHFTPTNWLIHSMATVDFLLGCLVMPYSMVRSAEHGEVFCKIHTSTDIMLSSASIFHLSFISIDRYYAVCDNILVICVMIFISWSVPAVFAFGMIFSKISGVLTFMTSFYIPGSIMLCVYYRIYLIAKEQARLISDMKNGISQSKERKAVKTLGIVMGVFLICWCPFFICTVMDPFLPPTLNDVLIWFGYLNSTFNPMVYAFFYPWFRKALKMMLF</v>
      </c>
      <c r="C253" s="29" t="str">
        <f>IF(ISERROR(MATCH(A253,'SegEnds_Xtal_Prot#'!B:B, 0)), "NoXtal", "Xtal")</f>
        <v>NoXtal</v>
      </c>
      <c r="D253" s="4" t="str">
        <f>VLOOKUP(A253,Classification!A:D,2,FALSE)</f>
        <v>A</v>
      </c>
      <c r="E253" s="5" t="str">
        <f>VLOOKUP(A253,Seqs!A:B,2,FALSE)</f>
        <v>MMPFCHNIINISCVKNNWSNDVRASLYSLMVLIILTTLVGNLIVIVSISHFKQLHTPTNWLIHSMATVDFLLGCLVMPYSMVRSAEHCWYFGEVFCKIHTSTDIMLSSASIFHLSFISIDRYYAVCDPLRYKAKMNILVICVMIFISWSVPAVFAFGMIFLELNFKGAEEIYYKHVHCRGGCSVFFSKISGVLTFMTSFYIPGSIMLCVYYRIYLIAKEQARLISDANQKLQIGLEMKNGISQSKERKAVKTLGIVMGVFLICWCPFFICTVMDPFLHYIIPPTLNDVLIWFGYLNSTFNPMVYAFFYPWFRKALKMMLFGKIFQKDSSRCKLFLELSS</v>
      </c>
      <c r="F253" s="5" t="str">
        <f t="shared" si="76"/>
        <v>NDVRASLYSLMVLIILTTLVGNLIVIVSISHF</v>
      </c>
      <c r="G253" s="4" t="str">
        <f t="shared" si="77"/>
        <v>KQLH</v>
      </c>
      <c r="H253" s="4" t="str">
        <f t="shared" si="78"/>
        <v>TPTNWLIHSMATVDFLLGCLVMPYSMVRSAEH</v>
      </c>
      <c r="I253" s="4" t="str">
        <f t="shared" si="79"/>
        <v>CWYF</v>
      </c>
      <c r="J253" s="4" t="str">
        <f t="shared" si="80"/>
        <v>GEVFCKIHTSTDIMLSSASIFHLSFISIDRYYAVCD</v>
      </c>
      <c r="K253" s="4" t="str">
        <f t="shared" si="81"/>
        <v>PLRYKAKM</v>
      </c>
      <c r="L253" s="4" t="str">
        <f t="shared" si="82"/>
        <v>NILVICVMIFISWSVPAVFAFGMIF</v>
      </c>
      <c r="M253" s="4" t="str">
        <f t="shared" si="83"/>
        <v>CSV</v>
      </c>
      <c r="N253" s="4" t="str">
        <f t="shared" si="84"/>
        <v>SKISGVLTFMTSFYIPGSIMLCVYYRIYLIAKEQARLISD</v>
      </c>
      <c r="O253" s="4" t="str">
        <f t="shared" si="85"/>
        <v>MKNGISQSKERKAVKTLGIVMGVFLICWCPFFICTVMDPFL</v>
      </c>
      <c r="P253" s="4" t="str">
        <f t="shared" si="86"/>
        <v>PPTLNDVLIWFGYLNSTFNPMVYAFF</v>
      </c>
      <c r="Q253" s="4" t="str">
        <f t="shared" si="87"/>
        <v>YPWFRKALKMMLF</v>
      </c>
      <c r="R253" s="5">
        <f>VLOOKUP($A253,'SegEnds_NonXtal_Prot#'!$A:$AL,3,FALSE)</f>
        <v>20</v>
      </c>
      <c r="S253" s="5">
        <f>VLOOKUP($A253,'SegEnds_NonXtal_Prot#'!$A:$AL,6,FALSE)</f>
        <v>52</v>
      </c>
      <c r="T253" s="5">
        <f>VLOOKUP($A253,'SegEnds_NonXtal_Prot#'!$A:$AL,9,FALSE)</f>
        <v>56</v>
      </c>
      <c r="U253" s="5">
        <f>VLOOKUP($A253,'SegEnds_NonXtal_Prot#'!$A:$AL,12,FALSE)</f>
        <v>88</v>
      </c>
      <c r="V253" s="5">
        <f>VLOOKUP($A253,'SegEnds_NonXtal_Prot#'!$A:$AL,15,FALSE)</f>
        <v>92</v>
      </c>
      <c r="W253" s="5">
        <f>VLOOKUP($A253,'SegEnds_NonXtal_Prot#'!$A:$AL,18,FALSE)</f>
        <v>128</v>
      </c>
      <c r="X253" s="5">
        <f>VLOOKUP($A253,'SegEnds_NonXtal_Prot#'!$A:$AL,21,FALSE)</f>
        <v>136</v>
      </c>
      <c r="Y253" s="5">
        <f>VLOOKUP($A253,'SegEnds_NonXtal_Prot#'!$A:$AL,24,FALSE)</f>
        <v>182</v>
      </c>
      <c r="Z253" s="5">
        <f>VLOOKUP($A253,'SegEnds_NonXtal_Prot#'!$A:$AL,27,FALSE)</f>
        <v>187</v>
      </c>
      <c r="AA253" s="5">
        <f>VLOOKUP($A253,'SegEnds_NonXtal_Prot#'!$A:$AL,30,FALSE)</f>
        <v>237</v>
      </c>
      <c r="AB253" s="5">
        <f>VLOOKUP($A253,'SegEnds_NonXtal_Prot#'!$A:$AL,33,FALSE)</f>
        <v>282</v>
      </c>
      <c r="AC253" s="5">
        <f>VLOOKUP($A253,'SegEnds_NonXtal_Prot#'!$A:$AL,36,FALSE)</f>
        <v>308</v>
      </c>
      <c r="AD253" s="5">
        <f>VLOOKUP($A253,'SegEnds_NonXtal_Prot#'!$A:$AL,5,FALSE)</f>
        <v>51</v>
      </c>
      <c r="AE253" s="5">
        <f>VLOOKUP($A253,'SegEnds_NonXtal_Prot#'!$A:$AL,8,FALSE)</f>
        <v>55</v>
      </c>
      <c r="AF253" s="5">
        <f>VLOOKUP($A253,'SegEnds_NonXtal_Prot#'!$A:$AL,11,FALSE)</f>
        <v>87</v>
      </c>
      <c r="AG253" s="5">
        <f>VLOOKUP($A253,'SegEnds_NonXtal_Prot#'!$A:$AL,14,FALSE)</f>
        <v>91</v>
      </c>
      <c r="AH253" s="5">
        <f>VLOOKUP($A253,'SegEnds_NonXtal_Prot#'!$A:$AL,17,FALSE)</f>
        <v>127</v>
      </c>
      <c r="AI253" s="5">
        <f>VLOOKUP($A253,'SegEnds_NonXtal_Prot#'!$A:$AL,20,FALSE)</f>
        <v>135</v>
      </c>
      <c r="AJ253" s="5">
        <f>VLOOKUP($A253,'SegEnds_NonXtal_Prot#'!$A:$AL,23,FALSE)</f>
        <v>160</v>
      </c>
      <c r="AK253" s="5">
        <f>VLOOKUP($A253,'SegEnds_NonXtal_Prot#'!$A:$AL,26,FALSE)</f>
        <v>184</v>
      </c>
      <c r="AL253" s="5">
        <f>VLOOKUP($A253,'SegEnds_NonXtal_Prot#'!$A:$AL,29,FALSE)</f>
        <v>226</v>
      </c>
      <c r="AM253" s="5">
        <f>VLOOKUP($A253,'SegEnds_NonXtal_Prot#'!$A:$AL,32,FALSE)</f>
        <v>277</v>
      </c>
      <c r="AN253" s="5">
        <f>VLOOKUP($A253,'SegEnds_NonXtal_Prot#'!$A:$AL,35,FALSE)</f>
        <v>307</v>
      </c>
      <c r="AO253" s="5">
        <f>VLOOKUP($A253,'SegEnds_NonXtal_Prot#'!$A:$AL,38,FALSE)</f>
        <v>320</v>
      </c>
      <c r="AP253" s="5">
        <f t="shared" si="88"/>
        <v>31</v>
      </c>
      <c r="AQ253" s="4">
        <f t="shared" si="89"/>
        <v>3</v>
      </c>
      <c r="AR253" s="4">
        <f t="shared" si="90"/>
        <v>31</v>
      </c>
      <c r="AS253" s="4">
        <f t="shared" si="91"/>
        <v>3</v>
      </c>
      <c r="AT253" s="4">
        <f t="shared" si="92"/>
        <v>35</v>
      </c>
      <c r="AU253" s="4">
        <f t="shared" si="93"/>
        <v>7</v>
      </c>
      <c r="AV253" s="4">
        <f t="shared" si="94"/>
        <v>24</v>
      </c>
      <c r="AW253" s="4">
        <f t="shared" si="95"/>
        <v>2</v>
      </c>
      <c r="AX253" s="4">
        <f t="shared" si="96"/>
        <v>39</v>
      </c>
      <c r="AY253" s="4">
        <f t="shared" si="97"/>
        <v>40</v>
      </c>
      <c r="AZ253" s="4">
        <f t="shared" si="98"/>
        <v>25</v>
      </c>
      <c r="BA253" s="4">
        <f t="shared" si="99"/>
        <v>12</v>
      </c>
    </row>
    <row r="254" spans="1:53" x14ac:dyDescent="0.2">
      <c r="A254" s="1" t="str">
        <f>'SegEnds_NonXtal_Prot#'!A242</f>
        <v>taar2_human</v>
      </c>
      <c r="B254" s="1" t="str">
        <f t="shared" si="75"/>
        <v>LGVRVAMYSFMAGSIFITIFGNLAMIISISYFTPTNFLILSMAITDFLLGFTIMPYSMIRSVENGLTFCKIYYSFDLMLSITSIFHLCSVAIDRFYAICYTIPVIKRLLLLCWSVPGAFAFGVVFNKLWGTTLFMAGFFTPGSMMVGIYGKIFAVSRKHAHAINNQNNQVKKDKKAAKTLGIVIGVFLLCWFPCFFTILLDPFLPVVLFDALTWFGYFNSTCNPLIYGFFYPWFRRALKYILL</v>
      </c>
      <c r="C254" s="29" t="str">
        <f>IF(ISERROR(MATCH(A254,'SegEnds_Xtal_Prot#'!B:B, 0)), "NoXtal", "Xtal")</f>
        <v>NoXtal</v>
      </c>
      <c r="D254" s="4" t="str">
        <f>VLOOKUP(A254,Classification!A:D,2,FALSE)</f>
        <v>A</v>
      </c>
      <c r="E254" s="5" t="str">
        <f>VLOOKUP(A254,Seqs!A:B,2,FALSE)</f>
        <v>MAVSSEQHELSHFKRTQTKKEKFNCSEYGNRSCPENERSLGVRVAMYSFMAGSIFITIFGNLAMIISISYFKQLHTPTNFLILSMAITDFLLGFTIMPYSMIRSVENCWYFGLTFCKIYYSFDLMLSITSIFHLCSVAIDRFYAICYPLLYSTKITIPVIKRLLLLCWSVPGAFAFGVVFSEAYADGIEGYDILVACSSSCPVMFNKLWGTTLFMAGFFTPGSMMVGIYGKIFAVSRKHAHAINNLRENQNNQVKKDKKAAKTLGIVIGVFLLCWFPCFFTILLDPFLNFSTPVVLFDALTWFGYFNSTCNPLIYGFFYPWFRRALKYILLGKIFSSCFHNTILCMQKESE</v>
      </c>
      <c r="F254" s="5" t="str">
        <f t="shared" si="76"/>
        <v>LGVRVAMYSFMAGSIFITIFGNLAMIISISYF</v>
      </c>
      <c r="G254" s="4" t="str">
        <f t="shared" si="77"/>
        <v>KQLH</v>
      </c>
      <c r="H254" s="4" t="str">
        <f t="shared" si="78"/>
        <v>TPTNFLILSMAITDFLLGFTIMPYSMIRSVEN</v>
      </c>
      <c r="I254" s="4" t="str">
        <f t="shared" si="79"/>
        <v>CWYF</v>
      </c>
      <c r="J254" s="4" t="str">
        <f t="shared" si="80"/>
        <v>GLTFCKIYYSFDLMLSITSIFHLCSVAIDRFYAICY</v>
      </c>
      <c r="K254" s="4" t="str">
        <f t="shared" si="81"/>
        <v>PLLYSTKI</v>
      </c>
      <c r="L254" s="4" t="str">
        <f t="shared" si="82"/>
        <v>TIPVIKRLLLLCWSVPGAFAFGVVF</v>
      </c>
      <c r="M254" s="4" t="str">
        <f t="shared" si="83"/>
        <v>CPV</v>
      </c>
      <c r="N254" s="4" t="str">
        <f t="shared" si="84"/>
        <v>NKLWGTTLFMAGFFTPGSMMVGIYGKIFAVSRKHAHAIN</v>
      </c>
      <c r="O254" s="4" t="str">
        <f t="shared" si="85"/>
        <v>NQNNQVKKDKKAAKTLGIVIGVFLLCWFPCFFTILLDPFL</v>
      </c>
      <c r="P254" s="4" t="str">
        <f t="shared" si="86"/>
        <v>PVVLFDALTWFGYFNSTCNPLIYGFF</v>
      </c>
      <c r="Q254" s="4" t="str">
        <f t="shared" si="87"/>
        <v>YPWFRRALKYILL</v>
      </c>
      <c r="R254" s="5">
        <f>VLOOKUP($A254,'SegEnds_NonXtal_Prot#'!$A:$AL,3,FALSE)</f>
        <v>40</v>
      </c>
      <c r="S254" s="5">
        <f>VLOOKUP($A254,'SegEnds_NonXtal_Prot#'!$A:$AL,6,FALSE)</f>
        <v>72</v>
      </c>
      <c r="T254" s="5">
        <f>VLOOKUP($A254,'SegEnds_NonXtal_Prot#'!$A:$AL,9,FALSE)</f>
        <v>76</v>
      </c>
      <c r="U254" s="5">
        <f>VLOOKUP($A254,'SegEnds_NonXtal_Prot#'!$A:$AL,12,FALSE)</f>
        <v>108</v>
      </c>
      <c r="V254" s="5">
        <f>VLOOKUP($A254,'SegEnds_NonXtal_Prot#'!$A:$AL,15,FALSE)</f>
        <v>112</v>
      </c>
      <c r="W254" s="5">
        <f>VLOOKUP($A254,'SegEnds_NonXtal_Prot#'!$A:$AL,18,FALSE)</f>
        <v>148</v>
      </c>
      <c r="X254" s="5">
        <f>VLOOKUP($A254,'SegEnds_NonXtal_Prot#'!$A:$AL,21,FALSE)</f>
        <v>156</v>
      </c>
      <c r="Y254" s="5">
        <f>VLOOKUP($A254,'SegEnds_NonXtal_Prot#'!$A:$AL,24,FALSE)</f>
        <v>201</v>
      </c>
      <c r="Z254" s="5">
        <f>VLOOKUP($A254,'SegEnds_NonXtal_Prot#'!$A:$AL,27,FALSE)</f>
        <v>206</v>
      </c>
      <c r="AA254" s="5">
        <f>VLOOKUP($A254,'SegEnds_NonXtal_Prot#'!$A:$AL,30,FALSE)</f>
        <v>249</v>
      </c>
      <c r="AB254" s="5">
        <f>VLOOKUP($A254,'SegEnds_NonXtal_Prot#'!$A:$AL,33,FALSE)</f>
        <v>293</v>
      </c>
      <c r="AC254" s="5">
        <f>VLOOKUP($A254,'SegEnds_NonXtal_Prot#'!$A:$AL,36,FALSE)</f>
        <v>319</v>
      </c>
      <c r="AD254" s="5">
        <f>VLOOKUP($A254,'SegEnds_NonXtal_Prot#'!$A:$AL,5,FALSE)</f>
        <v>71</v>
      </c>
      <c r="AE254" s="5">
        <f>VLOOKUP($A254,'SegEnds_NonXtal_Prot#'!$A:$AL,8,FALSE)</f>
        <v>75</v>
      </c>
      <c r="AF254" s="5">
        <f>VLOOKUP($A254,'SegEnds_NonXtal_Prot#'!$A:$AL,11,FALSE)</f>
        <v>107</v>
      </c>
      <c r="AG254" s="5">
        <f>VLOOKUP($A254,'SegEnds_NonXtal_Prot#'!$A:$AL,14,FALSE)</f>
        <v>111</v>
      </c>
      <c r="AH254" s="5">
        <f>VLOOKUP($A254,'SegEnds_NonXtal_Prot#'!$A:$AL,17,FALSE)</f>
        <v>147</v>
      </c>
      <c r="AI254" s="5">
        <f>VLOOKUP($A254,'SegEnds_NonXtal_Prot#'!$A:$AL,20,FALSE)</f>
        <v>155</v>
      </c>
      <c r="AJ254" s="5">
        <f>VLOOKUP($A254,'SegEnds_NonXtal_Prot#'!$A:$AL,23,FALSE)</f>
        <v>180</v>
      </c>
      <c r="AK254" s="5">
        <f>VLOOKUP($A254,'SegEnds_NonXtal_Prot#'!$A:$AL,26,FALSE)</f>
        <v>203</v>
      </c>
      <c r="AL254" s="5">
        <f>VLOOKUP($A254,'SegEnds_NonXtal_Prot#'!$A:$AL,29,FALSE)</f>
        <v>244</v>
      </c>
      <c r="AM254" s="5">
        <f>VLOOKUP($A254,'SegEnds_NonXtal_Prot#'!$A:$AL,32,FALSE)</f>
        <v>288</v>
      </c>
      <c r="AN254" s="5">
        <f>VLOOKUP($A254,'SegEnds_NonXtal_Prot#'!$A:$AL,35,FALSE)</f>
        <v>318</v>
      </c>
      <c r="AO254" s="5">
        <f>VLOOKUP($A254,'SegEnds_NonXtal_Prot#'!$A:$AL,38,FALSE)</f>
        <v>331</v>
      </c>
      <c r="AP254" s="5">
        <f t="shared" si="88"/>
        <v>31</v>
      </c>
      <c r="AQ254" s="4">
        <f t="shared" si="89"/>
        <v>3</v>
      </c>
      <c r="AR254" s="4">
        <f t="shared" si="90"/>
        <v>31</v>
      </c>
      <c r="AS254" s="4">
        <f t="shared" si="91"/>
        <v>3</v>
      </c>
      <c r="AT254" s="4">
        <f t="shared" si="92"/>
        <v>35</v>
      </c>
      <c r="AU254" s="4">
        <f t="shared" si="93"/>
        <v>7</v>
      </c>
      <c r="AV254" s="4">
        <f t="shared" si="94"/>
        <v>24</v>
      </c>
      <c r="AW254" s="4">
        <f t="shared" si="95"/>
        <v>2</v>
      </c>
      <c r="AX254" s="4">
        <f t="shared" si="96"/>
        <v>38</v>
      </c>
      <c r="AY254" s="4">
        <f t="shared" si="97"/>
        <v>39</v>
      </c>
      <c r="AZ254" s="4">
        <f t="shared" si="98"/>
        <v>25</v>
      </c>
      <c r="BA254" s="4">
        <f t="shared" si="99"/>
        <v>12</v>
      </c>
    </row>
    <row r="255" spans="1:53" x14ac:dyDescent="0.2">
      <c r="A255" s="1" t="str">
        <f>'SegEnds_NonXtal_Prot#'!A243</f>
        <v>taar3_human</v>
      </c>
      <c r="B255" s="1" t="str">
        <f t="shared" si="75"/>
        <v>FSCPGDNVFGYDWSHDYPLFGNLVIMVSISHFSPTNFLILSMATTDFLLGFVIMPYSIMRSVESGDGFCKFHTSFDMMLRLTSIFHLCSIAIDRFYAVCYTNSTIKQLLAFCWSVPALFSFGLVLNKFWGTILFTTCFFTPGSIMVGIYGKIFIVSKQHARVISHVKKHLSKKKDRKAAKTLGIVMGVFLACWLPCFLAVLIDPYLPILILDLLVWLRYFNSTCNPLIHGFFNPWFQKAFKYIVS</v>
      </c>
      <c r="C255" s="29" t="str">
        <f>IF(ISERROR(MATCH(A255,'SegEnds_Xtal_Prot#'!B:B, 0)), "NoXtal", "Xtal")</f>
        <v>NoXtal</v>
      </c>
      <c r="D255" s="4" t="str">
        <f>VLOOKUP(A255,Classification!A:D,2,FALSE)</f>
        <v>A</v>
      </c>
      <c r="E255" s="5" t="str">
        <f>VLOOKUP(A255,Seqs!A:B,2,FALSE)</f>
        <v>MDLTYIPEDLSSCPKFVNKILSSHQPLFSCPGDNVFGYDWSHDYPLFGNLVIMVSISHFKQLHSPTNFLILSMATTDFLLGFVIMPYSIMRSVESCWYFGDGFCKFHTSFDMMLRLTSIFHLCSIAIDRFYAVCYPLHYTTKMTNSTIKQLLAFCWSVPALFSFGLVLSEADVSGMQSYKILVACFNFCALTFNKFWGTILFTTCFFTPGSIMVGIYGKIFIVSKQHARVISHVPENTKGAVKKHLSKKKDRKAAKTLGIVMGVFLACWLPCFLAVLIDPYLDYSTPILILDLLVWLRYFNSTCNPLIHGFFNPWFQKAFKYIVSGKIFSSHSETANLFPEAH</v>
      </c>
      <c r="F255" s="5" t="str">
        <f t="shared" si="76"/>
        <v>FSCPGDNVFGYDWSHDYPLFGNLVIMVSISHF</v>
      </c>
      <c r="G255" s="4" t="str">
        <f t="shared" si="77"/>
        <v>KQLH</v>
      </c>
      <c r="H255" s="4" t="str">
        <f t="shared" si="78"/>
        <v>SPTNFLILSMATTDFLLGFVIMPYSIMRSVES</v>
      </c>
      <c r="I255" s="4" t="str">
        <f t="shared" si="79"/>
        <v>CWYF</v>
      </c>
      <c r="J255" s="4" t="str">
        <f t="shared" si="80"/>
        <v>GDGFCKFHTSFDMMLRLTSIFHLCSIAIDRFYAVCY</v>
      </c>
      <c r="K255" s="4" t="str">
        <f t="shared" si="81"/>
        <v>PLHYTTKM</v>
      </c>
      <c r="L255" s="4" t="str">
        <f t="shared" si="82"/>
        <v>TNSTIKQLLAFCWSVPALFSFGLVL</v>
      </c>
      <c r="M255" s="4" t="str">
        <f t="shared" si="83"/>
        <v>CAL</v>
      </c>
      <c r="N255" s="4" t="str">
        <f t="shared" si="84"/>
        <v>NKFWGTILFTTCFFTPGSIMVGIYGKIFIVSKQHARVISH</v>
      </c>
      <c r="O255" s="4" t="str">
        <f t="shared" si="85"/>
        <v>VKKHLSKKKDRKAAKTLGIVMGVFLACWLPCFLAVLIDPYL</v>
      </c>
      <c r="P255" s="4" t="str">
        <f t="shared" si="86"/>
        <v>PILILDLLVWLRYFNSTCNPLIHGFF</v>
      </c>
      <c r="Q255" s="4" t="str">
        <f t="shared" si="87"/>
        <v>NPWFQKAFKYIVS</v>
      </c>
      <c r="R255" s="5">
        <f>VLOOKUP($A255,'SegEnds_NonXtal_Prot#'!$A:$AL,3,FALSE)</f>
        <v>28</v>
      </c>
      <c r="S255" s="5">
        <f>VLOOKUP($A255,'SegEnds_NonXtal_Prot#'!$A:$AL,6,FALSE)</f>
        <v>60</v>
      </c>
      <c r="T255" s="5">
        <f>VLOOKUP($A255,'SegEnds_NonXtal_Prot#'!$A:$AL,9,FALSE)</f>
        <v>64</v>
      </c>
      <c r="U255" s="5">
        <f>VLOOKUP($A255,'SegEnds_NonXtal_Prot#'!$A:$AL,12,FALSE)</f>
        <v>96</v>
      </c>
      <c r="V255" s="5">
        <f>VLOOKUP($A255,'SegEnds_NonXtal_Prot#'!$A:$AL,15,FALSE)</f>
        <v>100</v>
      </c>
      <c r="W255" s="5">
        <f>VLOOKUP($A255,'SegEnds_NonXtal_Prot#'!$A:$AL,18,FALSE)</f>
        <v>136</v>
      </c>
      <c r="X255" s="5">
        <f>VLOOKUP($A255,'SegEnds_NonXtal_Prot#'!$A:$AL,21,FALSE)</f>
        <v>144</v>
      </c>
      <c r="Y255" s="5">
        <f>VLOOKUP($A255,'SegEnds_NonXtal_Prot#'!$A:$AL,24,FALSE)</f>
        <v>189</v>
      </c>
      <c r="Z255" s="5">
        <f>VLOOKUP($A255,'SegEnds_NonXtal_Prot#'!$A:$AL,27,FALSE)</f>
        <v>194</v>
      </c>
      <c r="AA255" s="5">
        <f>VLOOKUP($A255,'SegEnds_NonXtal_Prot#'!$A:$AL,30,FALSE)</f>
        <v>242</v>
      </c>
      <c r="AB255" s="5">
        <f>VLOOKUP($A255,'SegEnds_NonXtal_Prot#'!$A:$AL,33,FALSE)</f>
        <v>287</v>
      </c>
      <c r="AC255" s="5">
        <f>VLOOKUP($A255,'SegEnds_NonXtal_Prot#'!$A:$AL,36,FALSE)</f>
        <v>313</v>
      </c>
      <c r="AD255" s="5">
        <f>VLOOKUP($A255,'SegEnds_NonXtal_Prot#'!$A:$AL,5,FALSE)</f>
        <v>59</v>
      </c>
      <c r="AE255" s="5">
        <f>VLOOKUP($A255,'SegEnds_NonXtal_Prot#'!$A:$AL,8,FALSE)</f>
        <v>63</v>
      </c>
      <c r="AF255" s="5">
        <f>VLOOKUP($A255,'SegEnds_NonXtal_Prot#'!$A:$AL,11,FALSE)</f>
        <v>95</v>
      </c>
      <c r="AG255" s="5">
        <f>VLOOKUP($A255,'SegEnds_NonXtal_Prot#'!$A:$AL,14,FALSE)</f>
        <v>99</v>
      </c>
      <c r="AH255" s="5">
        <f>VLOOKUP($A255,'SegEnds_NonXtal_Prot#'!$A:$AL,17,FALSE)</f>
        <v>135</v>
      </c>
      <c r="AI255" s="5">
        <f>VLOOKUP($A255,'SegEnds_NonXtal_Prot#'!$A:$AL,20,FALSE)</f>
        <v>143</v>
      </c>
      <c r="AJ255" s="5">
        <f>VLOOKUP($A255,'SegEnds_NonXtal_Prot#'!$A:$AL,23,FALSE)</f>
        <v>168</v>
      </c>
      <c r="AK255" s="5">
        <f>VLOOKUP($A255,'SegEnds_NonXtal_Prot#'!$A:$AL,26,FALSE)</f>
        <v>191</v>
      </c>
      <c r="AL255" s="5">
        <f>VLOOKUP($A255,'SegEnds_NonXtal_Prot#'!$A:$AL,29,FALSE)</f>
        <v>233</v>
      </c>
      <c r="AM255" s="5">
        <f>VLOOKUP($A255,'SegEnds_NonXtal_Prot#'!$A:$AL,32,FALSE)</f>
        <v>282</v>
      </c>
      <c r="AN255" s="5">
        <f>VLOOKUP($A255,'SegEnds_NonXtal_Prot#'!$A:$AL,35,FALSE)</f>
        <v>312</v>
      </c>
      <c r="AO255" s="5">
        <f>VLOOKUP($A255,'SegEnds_NonXtal_Prot#'!$A:$AL,38,FALSE)</f>
        <v>325</v>
      </c>
      <c r="AP255" s="5">
        <f t="shared" si="88"/>
        <v>31</v>
      </c>
      <c r="AQ255" s="4">
        <f t="shared" si="89"/>
        <v>3</v>
      </c>
      <c r="AR255" s="4">
        <f t="shared" si="90"/>
        <v>31</v>
      </c>
      <c r="AS255" s="4">
        <f t="shared" si="91"/>
        <v>3</v>
      </c>
      <c r="AT255" s="4">
        <f t="shared" si="92"/>
        <v>35</v>
      </c>
      <c r="AU255" s="4">
        <f t="shared" si="93"/>
        <v>7</v>
      </c>
      <c r="AV255" s="4">
        <f t="shared" si="94"/>
        <v>24</v>
      </c>
      <c r="AW255" s="4">
        <f t="shared" si="95"/>
        <v>2</v>
      </c>
      <c r="AX255" s="4">
        <f t="shared" si="96"/>
        <v>39</v>
      </c>
      <c r="AY255" s="4">
        <f t="shared" si="97"/>
        <v>40</v>
      </c>
      <c r="AZ255" s="4">
        <f t="shared" si="98"/>
        <v>25</v>
      </c>
      <c r="BA255" s="4">
        <f t="shared" si="99"/>
        <v>12</v>
      </c>
    </row>
    <row r="256" spans="1:53" x14ac:dyDescent="0.2">
      <c r="A256" s="1" t="str">
        <f>'SegEnds_NonXtal_Prot#'!A244</f>
        <v>taar5_human</v>
      </c>
      <c r="B256" s="1" t="str">
        <f t="shared" si="75"/>
        <v>TLGIQLVIYLACAAGMLIIVLGNVFVAFAVSYFTPTNFLLLSLALADMFLGLLVLPLSTIRSVESGDFLCRLHTYLDTLFCLTSIFHLCFISIDRHCAICDTVRVALRYILAGWGVPAAYTSLFLYTLNKFWGWLNFPLFFVPCLIMISLYVKIFVVATRQAQQITSLAGAAKHERKAAKTLGIAVGIYLLCWLPFTIDTMVDSLLPPLVFDIFIWFAYFNSACNPIIYVFSYQWFRKALKLTL</v>
      </c>
      <c r="C256" s="29" t="str">
        <f>IF(ISERROR(MATCH(A256,'SegEnds_Xtal_Prot#'!B:B, 0)), "NoXtal", "Xtal")</f>
        <v>NoXtal</v>
      </c>
      <c r="D256" s="4" t="str">
        <f>VLOOKUP(A256,Classification!A:D,2,FALSE)</f>
        <v>A</v>
      </c>
      <c r="E256" s="5" t="str">
        <f>VLOOKUP(A256,Seqs!A:B,2,FALSE)</f>
        <v>MRAVFIQGAEEHPAAFCYQVNGSCPRTVHTLGIQLVIYLACAAGMLIIVLGNVFVAFAVSYFKALHTPTNFLLLSLALADMFLGLLVLPLSTIRSVESCWFFGDFLCRLHTYLDTLFCLTSIFHLCFISIDRHCAICDPLLYPSKFTVRVALRYILAGWGVPAAYTSLFLYTDVVETRLSQWLEEMPCVGSCQLLLNKFWGWLNFPLFFVPCLIMISLYVKIFVVATRQAQQITTLSKSLAGAAKHERKAAKTLGIAVGIYLLCWLPFTIDTMVDSLLHFITPPLVFDIFIWFAYFNSACNPIIYVFSYQWFRKALKLTLSQKVFSPQTRTVDLYQE</v>
      </c>
      <c r="F256" s="5" t="str">
        <f t="shared" si="76"/>
        <v>TLGIQLVIYLACAAGMLIIVLGNVFVAFAVSYF</v>
      </c>
      <c r="G256" s="4" t="str">
        <f t="shared" si="77"/>
        <v>KALH</v>
      </c>
      <c r="H256" s="4" t="str">
        <f t="shared" si="78"/>
        <v>TPTNFLLLSLALADMFLGLLVLPLSTIRSVES</v>
      </c>
      <c r="I256" s="4" t="str">
        <f t="shared" si="79"/>
        <v>CWFF</v>
      </c>
      <c r="J256" s="4" t="str">
        <f t="shared" si="80"/>
        <v>GDFLCRLHTYLDTLFCLTSIFHLCFISIDRHCAICD</v>
      </c>
      <c r="K256" s="4" t="str">
        <f t="shared" si="81"/>
        <v>PLLYPSKF</v>
      </c>
      <c r="L256" s="4" t="str">
        <f t="shared" si="82"/>
        <v>TVRVALRYILAGWGVPAAYTSLFLYT</v>
      </c>
      <c r="M256" s="4" t="str">
        <f t="shared" si="83"/>
        <v>CQL</v>
      </c>
      <c r="N256" s="4" t="str">
        <f t="shared" si="84"/>
        <v>LNKFWGWLNFPLFFVPCLIMISLYVKIFVVATRQAQQIT</v>
      </c>
      <c r="O256" s="4" t="str">
        <f t="shared" si="85"/>
        <v>SLAGAAKHERKAAKTLGIAVGIYLLCWLPFTIDTMVDSLL</v>
      </c>
      <c r="P256" s="4" t="str">
        <f t="shared" si="86"/>
        <v>PPLVFDIFIWFAYFNSACNPIIYVFS</v>
      </c>
      <c r="Q256" s="4" t="str">
        <f t="shared" si="87"/>
        <v>YQWFRKALKLTL</v>
      </c>
      <c r="R256" s="5">
        <f>VLOOKUP($A256,'SegEnds_NonXtal_Prot#'!$A:$AL,3,FALSE)</f>
        <v>30</v>
      </c>
      <c r="S256" s="5">
        <f>VLOOKUP($A256,'SegEnds_NonXtal_Prot#'!$A:$AL,6,FALSE)</f>
        <v>63</v>
      </c>
      <c r="T256" s="5">
        <f>VLOOKUP($A256,'SegEnds_NonXtal_Prot#'!$A:$AL,9,FALSE)</f>
        <v>67</v>
      </c>
      <c r="U256" s="5">
        <f>VLOOKUP($A256,'SegEnds_NonXtal_Prot#'!$A:$AL,12,FALSE)</f>
        <v>99</v>
      </c>
      <c r="V256" s="5">
        <f>VLOOKUP($A256,'SegEnds_NonXtal_Prot#'!$A:$AL,15,FALSE)</f>
        <v>103</v>
      </c>
      <c r="W256" s="5">
        <f>VLOOKUP($A256,'SegEnds_NonXtal_Prot#'!$A:$AL,18,FALSE)</f>
        <v>139</v>
      </c>
      <c r="X256" s="5">
        <f>VLOOKUP($A256,'SegEnds_NonXtal_Prot#'!$A:$AL,21,FALSE)</f>
        <v>147</v>
      </c>
      <c r="Y256" s="5">
        <f>VLOOKUP($A256,'SegEnds_NonXtal_Prot#'!$A:$AL,24,FALSE)</f>
        <v>192</v>
      </c>
      <c r="Z256" s="5">
        <f>VLOOKUP($A256,'SegEnds_NonXtal_Prot#'!$A:$AL,27,FALSE)</f>
        <v>196</v>
      </c>
      <c r="AA256" s="5">
        <f>VLOOKUP($A256,'SegEnds_NonXtal_Prot#'!$A:$AL,30,FALSE)</f>
        <v>239</v>
      </c>
      <c r="AB256" s="5">
        <f>VLOOKUP($A256,'SegEnds_NonXtal_Prot#'!$A:$AL,33,FALSE)</f>
        <v>283</v>
      </c>
      <c r="AC256" s="5">
        <f>VLOOKUP($A256,'SegEnds_NonXtal_Prot#'!$A:$AL,36,FALSE)</f>
        <v>309</v>
      </c>
      <c r="AD256" s="5">
        <f>VLOOKUP($A256,'SegEnds_NonXtal_Prot#'!$A:$AL,5,FALSE)</f>
        <v>62</v>
      </c>
      <c r="AE256" s="5">
        <f>VLOOKUP($A256,'SegEnds_NonXtal_Prot#'!$A:$AL,8,FALSE)</f>
        <v>66</v>
      </c>
      <c r="AF256" s="5">
        <f>VLOOKUP($A256,'SegEnds_NonXtal_Prot#'!$A:$AL,11,FALSE)</f>
        <v>98</v>
      </c>
      <c r="AG256" s="5">
        <f>VLOOKUP($A256,'SegEnds_NonXtal_Prot#'!$A:$AL,14,FALSE)</f>
        <v>102</v>
      </c>
      <c r="AH256" s="5">
        <f>VLOOKUP($A256,'SegEnds_NonXtal_Prot#'!$A:$AL,17,FALSE)</f>
        <v>138</v>
      </c>
      <c r="AI256" s="5">
        <f>VLOOKUP($A256,'SegEnds_NonXtal_Prot#'!$A:$AL,20,FALSE)</f>
        <v>146</v>
      </c>
      <c r="AJ256" s="5">
        <f>VLOOKUP($A256,'SegEnds_NonXtal_Prot#'!$A:$AL,23,FALSE)</f>
        <v>172</v>
      </c>
      <c r="AK256" s="5">
        <f>VLOOKUP($A256,'SegEnds_NonXtal_Prot#'!$A:$AL,26,FALSE)</f>
        <v>194</v>
      </c>
      <c r="AL256" s="5">
        <f>VLOOKUP($A256,'SegEnds_NonXtal_Prot#'!$A:$AL,29,FALSE)</f>
        <v>234</v>
      </c>
      <c r="AM256" s="5">
        <f>VLOOKUP($A256,'SegEnds_NonXtal_Prot#'!$A:$AL,32,FALSE)</f>
        <v>278</v>
      </c>
      <c r="AN256" s="5">
        <f>VLOOKUP($A256,'SegEnds_NonXtal_Prot#'!$A:$AL,35,FALSE)</f>
        <v>308</v>
      </c>
      <c r="AO256" s="5">
        <f>VLOOKUP($A256,'SegEnds_NonXtal_Prot#'!$A:$AL,38,FALSE)</f>
        <v>320</v>
      </c>
      <c r="AP256" s="5">
        <f t="shared" si="88"/>
        <v>32</v>
      </c>
      <c r="AQ256" s="4">
        <f t="shared" si="89"/>
        <v>3</v>
      </c>
      <c r="AR256" s="4">
        <f t="shared" si="90"/>
        <v>31</v>
      </c>
      <c r="AS256" s="4">
        <f t="shared" si="91"/>
        <v>3</v>
      </c>
      <c r="AT256" s="4">
        <f t="shared" si="92"/>
        <v>35</v>
      </c>
      <c r="AU256" s="4">
        <f t="shared" si="93"/>
        <v>7</v>
      </c>
      <c r="AV256" s="4">
        <f t="shared" si="94"/>
        <v>25</v>
      </c>
      <c r="AW256" s="4">
        <f t="shared" si="95"/>
        <v>2</v>
      </c>
      <c r="AX256" s="4">
        <f t="shared" si="96"/>
        <v>38</v>
      </c>
      <c r="AY256" s="4">
        <f t="shared" si="97"/>
        <v>39</v>
      </c>
      <c r="AZ256" s="4">
        <f t="shared" si="98"/>
        <v>25</v>
      </c>
      <c r="BA256" s="4">
        <f t="shared" si="99"/>
        <v>11</v>
      </c>
    </row>
    <row r="257" spans="1:53" x14ac:dyDescent="0.2">
      <c r="A257" s="1" t="str">
        <f>'SegEnds_NonXtal_Prot#'!A245</f>
        <v>taar6_human</v>
      </c>
      <c r="B257" s="1" t="str">
        <f t="shared" si="75"/>
        <v>SPGSRVILYIVFGFGAVLAVFGNLLVMISILHFSPTNFLVASLACADFLVGVTVMPFSMVRTVESGRSFCTFHTCCDVAFCYSSLFHLCFISIDRYIAVTDTVSVSGICISVSWILPLMYSGAVFYTVNQNWVLTDFLSFFIPTFIMIILYGNIFLVARRQAKKIENSYKARVARRERKAAKTLGVTVVAFMISWLPYSIDSLIDAFMPACIYEICCWCAYYNSAMNPLIYALFYPWFRKAIKVIV</v>
      </c>
      <c r="C257" s="29" t="str">
        <f>IF(ISERROR(MATCH(A257,'SegEnds_Xtal_Prot#'!B:B, 0)), "NoXtal", "Xtal")</f>
        <v>NoXtal</v>
      </c>
      <c r="D257" s="4" t="str">
        <f>VLOOKUP(A257,Classification!A:D,2,FALSE)</f>
        <v>A</v>
      </c>
      <c r="E257" s="5" t="str">
        <f>VLOOKUP(A257,Seqs!A:B,2,FALSE)</f>
        <v>MSSNSSLLVAVQLCYANVNGSCVKIPFSPGSRVILYIVFGFGAVLAVFGNLLVMISILHFKQLHSPTNFLVASLACADFLVGVTVMPFSMVRTVESCWYFGRSFCTFHTCCDVAFCYSSLFHLCFISIDRYIAVTDPLVYPTKFTVSVSGICISVSWILPLMYSGAVFYTGVYDDGLEELSDALNCIGGCQTVVNQNWVLTDFLSFFIPTFIMIILYGNIFLVARRQAKKIENTGSKTESSSESYKARVARRERKAAKTLGVTVVAFMISWLPYSIDSLIDAFMGFITPACIYEICCWCAYYNSAMNPLIYALFYPWFRKAIKVIVTGQVLKNSSATMNLFSEHI</v>
      </c>
      <c r="F257" s="5" t="str">
        <f t="shared" si="76"/>
        <v>SPGSRVILYIVFGFGAVLAVFGNLLVMISILHF</v>
      </c>
      <c r="G257" s="4" t="str">
        <f t="shared" si="77"/>
        <v>KQLH</v>
      </c>
      <c r="H257" s="4" t="str">
        <f t="shared" si="78"/>
        <v>SPTNFLVASLACADFLVGVTVMPFSMVRTVES</v>
      </c>
      <c r="I257" s="4" t="str">
        <f t="shared" si="79"/>
        <v>CWYF</v>
      </c>
      <c r="J257" s="4" t="str">
        <f t="shared" si="80"/>
        <v>GRSFCTFHTCCDVAFCYSSLFHLCFISIDRYIAVTD</v>
      </c>
      <c r="K257" s="4" t="str">
        <f t="shared" si="81"/>
        <v>PLVYPTKF</v>
      </c>
      <c r="L257" s="4" t="str">
        <f t="shared" si="82"/>
        <v>TVSVSGICISVSWILPLMYSGAVFYT</v>
      </c>
      <c r="M257" s="4" t="str">
        <f t="shared" si="83"/>
        <v>CQT</v>
      </c>
      <c r="N257" s="4" t="str">
        <f t="shared" si="84"/>
        <v>VNQNWVLTDFLSFFIPTFIMIILYGNIFLVARRQAKKIEN</v>
      </c>
      <c r="O257" s="4" t="str">
        <f t="shared" si="85"/>
        <v>SYKARVARRERKAAKTLGVTVVAFMISWLPYSIDSLIDAFM</v>
      </c>
      <c r="P257" s="4" t="str">
        <f t="shared" si="86"/>
        <v>PACIYEICCWCAYYNSAMNPLIYALF</v>
      </c>
      <c r="Q257" s="4" t="str">
        <f t="shared" si="87"/>
        <v>YPWFRKAIKVIV</v>
      </c>
      <c r="R257" s="5">
        <f>VLOOKUP($A257,'SegEnds_NonXtal_Prot#'!$A:$AL,3,FALSE)</f>
        <v>28</v>
      </c>
      <c r="S257" s="5">
        <f>VLOOKUP($A257,'SegEnds_NonXtal_Prot#'!$A:$AL,6,FALSE)</f>
        <v>61</v>
      </c>
      <c r="T257" s="5">
        <f>VLOOKUP($A257,'SegEnds_NonXtal_Prot#'!$A:$AL,9,FALSE)</f>
        <v>65</v>
      </c>
      <c r="U257" s="5">
        <f>VLOOKUP($A257,'SegEnds_NonXtal_Prot#'!$A:$AL,12,FALSE)</f>
        <v>97</v>
      </c>
      <c r="V257" s="5">
        <f>VLOOKUP($A257,'SegEnds_NonXtal_Prot#'!$A:$AL,15,FALSE)</f>
        <v>101</v>
      </c>
      <c r="W257" s="5">
        <f>VLOOKUP($A257,'SegEnds_NonXtal_Prot#'!$A:$AL,18,FALSE)</f>
        <v>137</v>
      </c>
      <c r="X257" s="5">
        <f>VLOOKUP($A257,'SegEnds_NonXtal_Prot#'!$A:$AL,21,FALSE)</f>
        <v>145</v>
      </c>
      <c r="Y257" s="5">
        <f>VLOOKUP($A257,'SegEnds_NonXtal_Prot#'!$A:$AL,24,FALSE)</f>
        <v>190</v>
      </c>
      <c r="Z257" s="5">
        <f>VLOOKUP($A257,'SegEnds_NonXtal_Prot#'!$A:$AL,27,FALSE)</f>
        <v>194</v>
      </c>
      <c r="AA257" s="5">
        <f>VLOOKUP($A257,'SegEnds_NonXtal_Prot#'!$A:$AL,30,FALSE)</f>
        <v>244</v>
      </c>
      <c r="AB257" s="5">
        <f>VLOOKUP($A257,'SegEnds_NonXtal_Prot#'!$A:$AL,33,FALSE)</f>
        <v>289</v>
      </c>
      <c r="AC257" s="5">
        <f>VLOOKUP($A257,'SegEnds_NonXtal_Prot#'!$A:$AL,36,FALSE)</f>
        <v>315</v>
      </c>
      <c r="AD257" s="5">
        <f>VLOOKUP($A257,'SegEnds_NonXtal_Prot#'!$A:$AL,5,FALSE)</f>
        <v>60</v>
      </c>
      <c r="AE257" s="5">
        <f>VLOOKUP($A257,'SegEnds_NonXtal_Prot#'!$A:$AL,8,FALSE)</f>
        <v>64</v>
      </c>
      <c r="AF257" s="5">
        <f>VLOOKUP($A257,'SegEnds_NonXtal_Prot#'!$A:$AL,11,FALSE)</f>
        <v>96</v>
      </c>
      <c r="AG257" s="5">
        <f>VLOOKUP($A257,'SegEnds_NonXtal_Prot#'!$A:$AL,14,FALSE)</f>
        <v>100</v>
      </c>
      <c r="AH257" s="5">
        <f>VLOOKUP($A257,'SegEnds_NonXtal_Prot#'!$A:$AL,17,FALSE)</f>
        <v>136</v>
      </c>
      <c r="AI257" s="5">
        <f>VLOOKUP($A257,'SegEnds_NonXtal_Prot#'!$A:$AL,20,FALSE)</f>
        <v>144</v>
      </c>
      <c r="AJ257" s="5">
        <f>VLOOKUP($A257,'SegEnds_NonXtal_Prot#'!$A:$AL,23,FALSE)</f>
        <v>170</v>
      </c>
      <c r="AK257" s="5">
        <f>VLOOKUP($A257,'SegEnds_NonXtal_Prot#'!$A:$AL,26,FALSE)</f>
        <v>192</v>
      </c>
      <c r="AL257" s="5">
        <f>VLOOKUP($A257,'SegEnds_NonXtal_Prot#'!$A:$AL,29,FALSE)</f>
        <v>233</v>
      </c>
      <c r="AM257" s="5">
        <f>VLOOKUP($A257,'SegEnds_NonXtal_Prot#'!$A:$AL,32,FALSE)</f>
        <v>284</v>
      </c>
      <c r="AN257" s="5">
        <f>VLOOKUP($A257,'SegEnds_NonXtal_Prot#'!$A:$AL,35,FALSE)</f>
        <v>314</v>
      </c>
      <c r="AO257" s="5">
        <f>VLOOKUP($A257,'SegEnds_NonXtal_Prot#'!$A:$AL,38,FALSE)</f>
        <v>326</v>
      </c>
      <c r="AP257" s="5">
        <f t="shared" si="88"/>
        <v>32</v>
      </c>
      <c r="AQ257" s="4">
        <f t="shared" si="89"/>
        <v>3</v>
      </c>
      <c r="AR257" s="4">
        <f t="shared" si="90"/>
        <v>31</v>
      </c>
      <c r="AS257" s="4">
        <f t="shared" si="91"/>
        <v>3</v>
      </c>
      <c r="AT257" s="4">
        <f t="shared" si="92"/>
        <v>35</v>
      </c>
      <c r="AU257" s="4">
        <f t="shared" si="93"/>
        <v>7</v>
      </c>
      <c r="AV257" s="4">
        <f t="shared" si="94"/>
        <v>25</v>
      </c>
      <c r="AW257" s="4">
        <f t="shared" si="95"/>
        <v>2</v>
      </c>
      <c r="AX257" s="4">
        <f t="shared" si="96"/>
        <v>39</v>
      </c>
      <c r="AY257" s="4">
        <f t="shared" si="97"/>
        <v>40</v>
      </c>
      <c r="AZ257" s="4">
        <f t="shared" si="98"/>
        <v>25</v>
      </c>
      <c r="BA257" s="4">
        <f t="shared" si="99"/>
        <v>11</v>
      </c>
    </row>
    <row r="258" spans="1:53" x14ac:dyDescent="0.2">
      <c r="A258" s="1" t="str">
        <f>'SegEnds_NonXtal_Prot#'!A246</f>
        <v>taar8_human</v>
      </c>
      <c r="B258" s="1" t="str">
        <f t="shared" ref="B258:B321" si="100">F258&amp;H258&amp;J258&amp;L258&amp;N258&amp;O258&amp;P258&amp;Q258</f>
        <v>SPGSRVILYTAFSFGSLLAVFGNLLVMTSVLHFSPTNFLIASLACADFLVGVTVMLFSMVRTVESGAKFCTLHSCCDVAFCYSSVLHLCFICIDRYIVVTDTVSVSGICISVSWILPLTYSGAVFYTVSQGWVLIDFLLFFIPTLVMIILYSKIFLIAKQQAIKIETSYKIRVAKRERKAAKTLGVTVLAFVISWLPYTVDILIDAFMPAYIYEICCWSAYYNSAMNPLIYALFYPWFRKAIKLIL</v>
      </c>
      <c r="C258" s="29" t="str">
        <f>IF(ISERROR(MATCH(A258,'SegEnds_Xtal_Prot#'!B:B, 0)), "NoXtal", "Xtal")</f>
        <v>NoXtal</v>
      </c>
      <c r="D258" s="4" t="str">
        <f>VLOOKUP(A258,Classification!A:D,2,FALSE)</f>
        <v>A</v>
      </c>
      <c r="E258" s="5" t="str">
        <f>VLOOKUP(A258,Seqs!A:B,2,FALSE)</f>
        <v>MTSNFSQPVVQLCYEDVNGSCIETPYSPGSRVILYTAFSFGSLLAVFGNLLVMTSVLHFKQLHSPTNFLIASLACADFLVGVTVMLFSMVRTVESCWYFGAKFCTLHSCCDVAFCYSSVLHLCFICIDRYIVVTDPLVYATKFTVSVSGICISVSWILPLTYSGAVFYTGVNDDGLEELVSALNCVGGCQIIVSQGWVLIDFLLFFIPTLVMIILYSKIFLIAKQQAIKIETTSSKVESSSESYKIRVAKRERKAAKTLGVTVLAFVISWLPYTVDILIDAFMGFLTPAYIYEICCWSAYYNSAMNPLIYALFYPWFRKAIKLILSGDVLKASSSTISLFLE</v>
      </c>
      <c r="F258" s="5" t="str">
        <f t="shared" ref="F258:F321" si="101">IFERROR(MID($E258,R258,(AP258+1)),"")</f>
        <v>SPGSRVILYTAFSFGSLLAVFGNLLVMTSVLHF</v>
      </c>
      <c r="G258" s="4" t="str">
        <f t="shared" ref="G258:G321" si="102">IFERROR(MID($E258,S258,(AQ258+1)),"")</f>
        <v>KQLH</v>
      </c>
      <c r="H258" s="4" t="str">
        <f t="shared" ref="H258:H321" si="103">IFERROR(MID($E258,T258,(AR258+1)),"")</f>
        <v>SPTNFLIASLACADFLVGVTVMLFSMVRTVES</v>
      </c>
      <c r="I258" s="4" t="str">
        <f t="shared" ref="I258:I321" si="104">IFERROR(MID($E258,U258,(AS258+1)),"")</f>
        <v>CWYF</v>
      </c>
      <c r="J258" s="4" t="str">
        <f t="shared" ref="J258:J321" si="105">IFERROR(MID($E258,V258,(AT258+1)),"")</f>
        <v>GAKFCTLHSCCDVAFCYSSVLHLCFICIDRYIVVTD</v>
      </c>
      <c r="K258" s="4" t="str">
        <f t="shared" ref="K258:K321" si="106">IFERROR(MID($E258,W258,(AU258+1)),"")</f>
        <v>PLVYATKF</v>
      </c>
      <c r="L258" s="4" t="str">
        <f t="shared" ref="L258:L321" si="107">IFERROR(MID($E258,X258,(AV258+1)),"")</f>
        <v>TVSVSGICISVSWILPLTYSGAVFYT</v>
      </c>
      <c r="M258" s="4" t="str">
        <f t="shared" ref="M258:M321" si="108">IFERROR(MID($E258,Y258,(AW258+1)),"")</f>
        <v>CQI</v>
      </c>
      <c r="N258" s="4" t="str">
        <f t="shared" ref="N258:N321" si="109">IFERROR(MID($E258,Z258,(AX258+1)),"")</f>
        <v>VSQGWVLIDFLLFFIPTLVMIILYSKIFLIAKQQAIKIET</v>
      </c>
      <c r="O258" s="4" t="str">
        <f t="shared" ref="O258:O321" si="110">IFERROR(MID($E258,AA258,(AY258+1)),"")</f>
        <v>SYKIRVAKRERKAAKTLGVTVLAFVISWLPYTVDILIDAFM</v>
      </c>
      <c r="P258" s="4" t="str">
        <f t="shared" ref="P258:P321" si="111">IFERROR(MID($E258,AB258,(AZ258+1)),"")</f>
        <v>PAYIYEICCWSAYYNSAMNPLIYALF</v>
      </c>
      <c r="Q258" s="4" t="str">
        <f t="shared" ref="Q258:Q321" si="112">IFERROR(MID($E258,AC258,(BA258+1)),"")</f>
        <v>YPWFRKAIKLIL</v>
      </c>
      <c r="R258" s="5">
        <f>VLOOKUP($A258,'SegEnds_NonXtal_Prot#'!$A:$AL,3,FALSE)</f>
        <v>27</v>
      </c>
      <c r="S258" s="5">
        <f>VLOOKUP($A258,'SegEnds_NonXtal_Prot#'!$A:$AL,6,FALSE)</f>
        <v>60</v>
      </c>
      <c r="T258" s="5">
        <f>VLOOKUP($A258,'SegEnds_NonXtal_Prot#'!$A:$AL,9,FALSE)</f>
        <v>64</v>
      </c>
      <c r="U258" s="5">
        <f>VLOOKUP($A258,'SegEnds_NonXtal_Prot#'!$A:$AL,12,FALSE)</f>
        <v>96</v>
      </c>
      <c r="V258" s="5">
        <f>VLOOKUP($A258,'SegEnds_NonXtal_Prot#'!$A:$AL,15,FALSE)</f>
        <v>100</v>
      </c>
      <c r="W258" s="5">
        <f>VLOOKUP($A258,'SegEnds_NonXtal_Prot#'!$A:$AL,18,FALSE)</f>
        <v>136</v>
      </c>
      <c r="X258" s="5">
        <f>VLOOKUP($A258,'SegEnds_NonXtal_Prot#'!$A:$AL,21,FALSE)</f>
        <v>144</v>
      </c>
      <c r="Y258" s="5">
        <f>VLOOKUP($A258,'SegEnds_NonXtal_Prot#'!$A:$AL,24,FALSE)</f>
        <v>189</v>
      </c>
      <c r="Z258" s="5">
        <f>VLOOKUP($A258,'SegEnds_NonXtal_Prot#'!$A:$AL,27,FALSE)</f>
        <v>193</v>
      </c>
      <c r="AA258" s="5">
        <f>VLOOKUP($A258,'SegEnds_NonXtal_Prot#'!$A:$AL,30,FALSE)</f>
        <v>243</v>
      </c>
      <c r="AB258" s="5">
        <f>VLOOKUP($A258,'SegEnds_NonXtal_Prot#'!$A:$AL,33,FALSE)</f>
        <v>288</v>
      </c>
      <c r="AC258" s="5">
        <f>VLOOKUP($A258,'SegEnds_NonXtal_Prot#'!$A:$AL,36,FALSE)</f>
        <v>314</v>
      </c>
      <c r="AD258" s="5">
        <f>VLOOKUP($A258,'SegEnds_NonXtal_Prot#'!$A:$AL,5,FALSE)</f>
        <v>59</v>
      </c>
      <c r="AE258" s="5">
        <f>VLOOKUP($A258,'SegEnds_NonXtal_Prot#'!$A:$AL,8,FALSE)</f>
        <v>63</v>
      </c>
      <c r="AF258" s="5">
        <f>VLOOKUP($A258,'SegEnds_NonXtal_Prot#'!$A:$AL,11,FALSE)</f>
        <v>95</v>
      </c>
      <c r="AG258" s="5">
        <f>VLOOKUP($A258,'SegEnds_NonXtal_Prot#'!$A:$AL,14,FALSE)</f>
        <v>99</v>
      </c>
      <c r="AH258" s="5">
        <f>VLOOKUP($A258,'SegEnds_NonXtal_Prot#'!$A:$AL,17,FALSE)</f>
        <v>135</v>
      </c>
      <c r="AI258" s="5">
        <f>VLOOKUP($A258,'SegEnds_NonXtal_Prot#'!$A:$AL,20,FALSE)</f>
        <v>143</v>
      </c>
      <c r="AJ258" s="5">
        <f>VLOOKUP($A258,'SegEnds_NonXtal_Prot#'!$A:$AL,23,FALSE)</f>
        <v>169</v>
      </c>
      <c r="AK258" s="5">
        <f>VLOOKUP($A258,'SegEnds_NonXtal_Prot#'!$A:$AL,26,FALSE)</f>
        <v>191</v>
      </c>
      <c r="AL258" s="5">
        <f>VLOOKUP($A258,'SegEnds_NonXtal_Prot#'!$A:$AL,29,FALSE)</f>
        <v>232</v>
      </c>
      <c r="AM258" s="5">
        <f>VLOOKUP($A258,'SegEnds_NonXtal_Prot#'!$A:$AL,32,FALSE)</f>
        <v>283</v>
      </c>
      <c r="AN258" s="5">
        <f>VLOOKUP($A258,'SegEnds_NonXtal_Prot#'!$A:$AL,35,FALSE)</f>
        <v>313</v>
      </c>
      <c r="AO258" s="5">
        <f>VLOOKUP($A258,'SegEnds_NonXtal_Prot#'!$A:$AL,38,FALSE)</f>
        <v>325</v>
      </c>
      <c r="AP258" s="5">
        <f t="shared" ref="AP258:AP321" si="113">IFERROR(AD258-R258,"-")</f>
        <v>32</v>
      </c>
      <c r="AQ258" s="4">
        <f t="shared" ref="AQ258:AQ321" si="114">IFERROR(AE258-S258,"-")</f>
        <v>3</v>
      </c>
      <c r="AR258" s="4">
        <f t="shared" ref="AR258:AR321" si="115">IFERROR(AF258-T258,"-")</f>
        <v>31</v>
      </c>
      <c r="AS258" s="4">
        <f t="shared" ref="AS258:AS321" si="116">IFERROR(AG258-U258,"-")</f>
        <v>3</v>
      </c>
      <c r="AT258" s="4">
        <f t="shared" ref="AT258:AT321" si="117">IFERROR(AH258-V258,"-")</f>
        <v>35</v>
      </c>
      <c r="AU258" s="4">
        <f t="shared" ref="AU258:AU321" si="118">IFERROR(AI258-W258,"-")</f>
        <v>7</v>
      </c>
      <c r="AV258" s="4">
        <f t="shared" ref="AV258:AV321" si="119">IFERROR(AJ258-X258,"-")</f>
        <v>25</v>
      </c>
      <c r="AW258" s="4">
        <f t="shared" ref="AW258:AW321" si="120">IFERROR(AK258-Y258,"-")</f>
        <v>2</v>
      </c>
      <c r="AX258" s="4">
        <f t="shared" ref="AX258:AX321" si="121">IFERROR(AL258-Z258,"-")</f>
        <v>39</v>
      </c>
      <c r="AY258" s="4">
        <f t="shared" ref="AY258:AY321" si="122">IFERROR(AM258-AA258,"-")</f>
        <v>40</v>
      </c>
      <c r="AZ258" s="4">
        <f t="shared" ref="AZ258:AZ321" si="123">IFERROR(AN258-AB258,"-")</f>
        <v>25</v>
      </c>
      <c r="BA258" s="4">
        <f t="shared" ref="BA258:BA321" si="124">IFERROR(AO258-AC258,"-")</f>
        <v>11</v>
      </c>
    </row>
    <row r="259" spans="1:53" x14ac:dyDescent="0.2">
      <c r="A259" s="1" t="str">
        <f>'SegEnds_NonXtal_Prot#'!A248</f>
        <v>trfr_human</v>
      </c>
      <c r="B259" s="1" t="str">
        <f t="shared" si="100"/>
        <v>LEYQVVTILLVLIICGLGIVGNIMVVLVVMRTTPTNCYLVSLAVADLMVLVAAGLPNITDSIGYVGCLCITYLQYLGINASSCSITAFTIERYIAICHTFSRAKKIIIFVWAFTSLYCMLWFFLLSRNYYSPIYLMDFGVFYVVPMILATVLYGFIARILFLNPIPSDPKENSTVSSRKQVTKMLAVVVILFALLWMPYRTLVVVNSFLENWFLLFCRICIYLNSAINPVIYNLMSQKFRAAFRKLCN</v>
      </c>
      <c r="C259" s="29" t="str">
        <f>IF(ISERROR(MATCH(A259,'SegEnds_Xtal_Prot#'!B:B, 0)), "NoXtal", "Xtal")</f>
        <v>NoXtal</v>
      </c>
      <c r="D259" s="4" t="str">
        <f>VLOOKUP(A259,Classification!A:D,2,FALSE)</f>
        <v>A</v>
      </c>
      <c r="E259" s="5" t="str">
        <f>VLOOKUP(A259,Seqs!A:B,2,FALSE)</f>
        <v>MENETVSELNQTQLQPRAVVALEYQVVTILLVLIICGLGIVGNIMVVLVVMRTKHMRTPTNCYLVSLAVADLMVLVAAGLPNITDSIYGSWVYGYVGCLCITYLQYLGINASSCSITAFTIERYIAICHPIKAQFLCTFSRAKKIIIFVWAFTSLYCMLWFFLLDLNISTYKDAIVISCGYKISRNYYSPIYLMDFGVFYVVPMILATVLYGFIARILFLNPIPSDPKENSKTWKNDSTHQNTNLNVNTSNRCFNSTVSSRKQVTKMLAVVVILFALLWMPYRTLVVVNSFLSSPFQENWFLLFCRICIYLNSAINPVIYNLMSQKFRAAFRKLCNCKQKPTEKPANYSVALNYSVIKESDHFSTELDDITVTDTYLSATKVSFDDTCLASEVSFSQS</v>
      </c>
      <c r="F259" s="5" t="str">
        <f t="shared" si="101"/>
        <v>LEYQVVTILLVLIICGLGIVGNIMVVLVVMRT</v>
      </c>
      <c r="G259" s="4" t="str">
        <f t="shared" si="102"/>
        <v>KHMR</v>
      </c>
      <c r="H259" s="4" t="str">
        <f t="shared" si="103"/>
        <v>TPTNCYLVSLAVADLMVLVAAGLPNITDSI</v>
      </c>
      <c r="I259" s="4" t="str">
        <f t="shared" si="104"/>
        <v>SWVY</v>
      </c>
      <c r="J259" s="4" t="str">
        <f t="shared" si="105"/>
        <v>GYVGCLCITYLQYLGINASSCSITAFTIERYIAICH</v>
      </c>
      <c r="K259" s="4" t="str">
        <f t="shared" si="106"/>
        <v>PIKAQFLC</v>
      </c>
      <c r="L259" s="4" t="str">
        <f t="shared" si="107"/>
        <v>TFSRAKKIIIFVWAFTSLYCMLWFFLL</v>
      </c>
      <c r="M259" s="4" t="str">
        <f t="shared" si="108"/>
        <v>CGY</v>
      </c>
      <c r="N259" s="4" t="str">
        <f t="shared" si="109"/>
        <v>SRNYYSPIYLMDFGVFYVVPMILATVLYGFIARILFLNPIPSDPKE</v>
      </c>
      <c r="O259" s="4" t="str">
        <f t="shared" si="110"/>
        <v>NSTVSSRKQVTKMLAVVVILFALLWMPYRTLVVVNSFL</v>
      </c>
      <c r="P259" s="4" t="str">
        <f t="shared" si="111"/>
        <v>ENWFLLFCRICIYLNSAINPVIYNLM</v>
      </c>
      <c r="Q259" s="4" t="str">
        <f t="shared" si="112"/>
        <v>SQKFRAAFRKLCN</v>
      </c>
      <c r="R259" s="5">
        <f>VLOOKUP($A259,'SegEnds_NonXtal_Prot#'!$A:$AL,3,FALSE)</f>
        <v>22</v>
      </c>
      <c r="S259" s="5">
        <f>VLOOKUP($A259,'SegEnds_NonXtal_Prot#'!$A:$AL,6,FALSE)</f>
        <v>54</v>
      </c>
      <c r="T259" s="5">
        <f>VLOOKUP($A259,'SegEnds_NonXtal_Prot#'!$A:$AL,9,FALSE)</f>
        <v>58</v>
      </c>
      <c r="U259" s="5">
        <f>VLOOKUP($A259,'SegEnds_NonXtal_Prot#'!$A:$AL,12,FALSE)</f>
        <v>90</v>
      </c>
      <c r="V259" s="5">
        <f>VLOOKUP($A259,'SegEnds_NonXtal_Prot#'!$A:$AL,15,FALSE)</f>
        <v>94</v>
      </c>
      <c r="W259" s="5">
        <f>VLOOKUP($A259,'SegEnds_NonXtal_Prot#'!$A:$AL,18,FALSE)</f>
        <v>130</v>
      </c>
      <c r="X259" s="5">
        <f>VLOOKUP($A259,'SegEnds_NonXtal_Prot#'!$A:$AL,21,FALSE)</f>
        <v>138</v>
      </c>
      <c r="Y259" s="5">
        <f>VLOOKUP($A259,'SegEnds_NonXtal_Prot#'!$A:$AL,24,FALSE)</f>
        <v>179</v>
      </c>
      <c r="Z259" s="5">
        <f>VLOOKUP($A259,'SegEnds_NonXtal_Prot#'!$A:$AL,27,FALSE)</f>
        <v>184</v>
      </c>
      <c r="AA259" s="5">
        <f>VLOOKUP($A259,'SegEnds_NonXtal_Prot#'!$A:$AL,30,FALSE)</f>
        <v>255</v>
      </c>
      <c r="AB259" s="5">
        <f>VLOOKUP($A259,'SegEnds_NonXtal_Prot#'!$A:$AL,33,FALSE)</f>
        <v>298</v>
      </c>
      <c r="AC259" s="5">
        <f>VLOOKUP($A259,'SegEnds_NonXtal_Prot#'!$A:$AL,36,FALSE)</f>
        <v>324</v>
      </c>
      <c r="AD259" s="5">
        <f>VLOOKUP($A259,'SegEnds_NonXtal_Prot#'!$A:$AL,5,FALSE)</f>
        <v>53</v>
      </c>
      <c r="AE259" s="5">
        <f>VLOOKUP($A259,'SegEnds_NonXtal_Prot#'!$A:$AL,8,FALSE)</f>
        <v>57</v>
      </c>
      <c r="AF259" s="5">
        <f>VLOOKUP($A259,'SegEnds_NonXtal_Prot#'!$A:$AL,11,FALSE)</f>
        <v>87</v>
      </c>
      <c r="AG259" s="5">
        <f>VLOOKUP($A259,'SegEnds_NonXtal_Prot#'!$A:$AL,14,FALSE)</f>
        <v>93</v>
      </c>
      <c r="AH259" s="5">
        <f>VLOOKUP($A259,'SegEnds_NonXtal_Prot#'!$A:$AL,17,FALSE)</f>
        <v>129</v>
      </c>
      <c r="AI259" s="5">
        <f>VLOOKUP($A259,'SegEnds_NonXtal_Prot#'!$A:$AL,20,FALSE)</f>
        <v>137</v>
      </c>
      <c r="AJ259" s="5">
        <f>VLOOKUP($A259,'SegEnds_NonXtal_Prot#'!$A:$AL,23,FALSE)</f>
        <v>164</v>
      </c>
      <c r="AK259" s="5">
        <f>VLOOKUP($A259,'SegEnds_NonXtal_Prot#'!$A:$AL,26,FALSE)</f>
        <v>181</v>
      </c>
      <c r="AL259" s="5">
        <f>VLOOKUP($A259,'SegEnds_NonXtal_Prot#'!$A:$AL,29,FALSE)</f>
        <v>229</v>
      </c>
      <c r="AM259" s="5">
        <f>VLOOKUP($A259,'SegEnds_NonXtal_Prot#'!$A:$AL,32,FALSE)</f>
        <v>292</v>
      </c>
      <c r="AN259" s="5">
        <f>VLOOKUP($A259,'SegEnds_NonXtal_Prot#'!$A:$AL,35,FALSE)</f>
        <v>323</v>
      </c>
      <c r="AO259" s="5">
        <f>VLOOKUP($A259,'SegEnds_NonXtal_Prot#'!$A:$AL,38,FALSE)</f>
        <v>336</v>
      </c>
      <c r="AP259" s="5">
        <f t="shared" si="113"/>
        <v>31</v>
      </c>
      <c r="AQ259" s="4">
        <f t="shared" si="114"/>
        <v>3</v>
      </c>
      <c r="AR259" s="4">
        <f t="shared" si="115"/>
        <v>29</v>
      </c>
      <c r="AS259" s="4">
        <f t="shared" si="116"/>
        <v>3</v>
      </c>
      <c r="AT259" s="4">
        <f t="shared" si="117"/>
        <v>35</v>
      </c>
      <c r="AU259" s="4">
        <f t="shared" si="118"/>
        <v>7</v>
      </c>
      <c r="AV259" s="4">
        <f t="shared" si="119"/>
        <v>26</v>
      </c>
      <c r="AW259" s="4">
        <f t="shared" si="120"/>
        <v>2</v>
      </c>
      <c r="AX259" s="4">
        <f t="shared" si="121"/>
        <v>45</v>
      </c>
      <c r="AY259" s="4">
        <f t="shared" si="122"/>
        <v>37</v>
      </c>
      <c r="AZ259" s="4">
        <f t="shared" si="123"/>
        <v>25</v>
      </c>
      <c r="BA259" s="4">
        <f t="shared" si="124"/>
        <v>12</v>
      </c>
    </row>
    <row r="260" spans="1:53" x14ac:dyDescent="0.2">
      <c r="A260" s="1" t="str">
        <f>'SegEnds_NonXtal_Prot#'!A249</f>
        <v>tshr_human</v>
      </c>
      <c r="B260" s="1" t="str">
        <f t="shared" si="100"/>
        <v>EDIMGYKFLRIVVWFVSLLALLGNVFVLLILLTSVPRFLMCNLAFADFCMGMYLLLIASVDLYTGPGCNTAGFFTVFASELSVYTLTVITLERWYAITFRLRHACAIMVGGWVCCFLLALLPLVGPLALAYIVFVLTLNIVAFVIVCCCYVKIYITVRNPGDKDTKIAKRMAVLIFTDFICMAPISFYALSAILNVSNSKILLVLFYPLNSCANPFLYAIFTKAFQRDVFILLSKFGICKRQAQ</v>
      </c>
      <c r="C260" s="29" t="str">
        <f>IF(ISERROR(MATCH(A260,'SegEnds_Xtal_Prot#'!B:B, 0)), "NoXtal", "Xtal")</f>
        <v>NoXtal</v>
      </c>
      <c r="D260" s="4" t="str">
        <f>VLOOKUP(A260,Classification!A:D,2,FALSE)</f>
        <v>A</v>
      </c>
      <c r="E260" s="5" t="str">
        <f>VLOOKUP(A260,Seqs!A:B,2,FALSE)</f>
        <v>MRPADLLQLVLLLDLPRDLGGMGCSSPPCECHQEEDFRVTCKDIQRIPSLPPSTQTLKLIETHLRTIPSHAFSNLPNISRIYVSIDVTLQQLESHSFYNLSKVTHIEIRNTRNLTYIDPDALKELPLLKFLGIFNTGLKMFPDLTKVYSTDIFFILEITDNPYMTSIPVNAFQGLCNETLTLKLYNNGFTSVQGYAFNGTKLDAVYLNKNKYLTVIDKDAFGGVYSGPSLLDVSQTSVTALPSKGLEHLKELIARNTWTLKKLPLSLSFLHLTRADLSYPSHCCAFKNQKKIRGILESLMCNESSMQSLRQRKSVNALNSPLHQEYEENLGDSIVGYKEKSKFQDTHNNAHYYVFFEEQEDEIIGFGQELKNPQEETLQAFDSHYDYTICGDSEDMVCTPKSDEFNPCEDIMGYKFLRIVVWFVSLLALLGNVFVLLILLTSHYKLNVPRFLMCNLAFADFCMGMYLLLIASVDLYTHSEYYNHAIDWQTGPGCNTAGFFTVFASELSVYTLTVITLERWYAITFAMRLDRKIRLRHACAIMVGGWVCCFLLALLPLVGISSYAKVSICLPMDTETPLALAYIVFVLTLNIVAFVIVCCCYVKIYITVRNPQYNPGDKDTKIAKRMAVLIFTDFICMAPISFYALSAILNKPLITVSNSKILLVLFYPLNSCANPFLYAIFTKAFQRDVFILLSKFGICKRQAQAYRGQRVPPKNSTDIQVQKVTHDMRQGLHNMEDVYELIENSHLTPKKQGQISEEYMQTVL</v>
      </c>
      <c r="F260" s="5" t="str">
        <f t="shared" si="101"/>
        <v>EDIMGYKFLRIVVWFVSLLALLGNVFVLLILLTS</v>
      </c>
      <c r="G260" s="4" t="str">
        <f t="shared" si="102"/>
        <v>YKLN</v>
      </c>
      <c r="H260" s="4" t="str">
        <f t="shared" si="103"/>
        <v>VPRFLMCNLAFADFCMGMYLLLIASVDLYT</v>
      </c>
      <c r="I260" s="4" t="str">
        <f t="shared" si="104"/>
        <v>DWQT</v>
      </c>
      <c r="J260" s="4" t="str">
        <f t="shared" si="105"/>
        <v>GPGCNTAGFFTVFASELSVYTLTVITLERWYAITF</v>
      </c>
      <c r="K260" s="4" t="str">
        <f t="shared" si="106"/>
        <v>AMRLDRKI</v>
      </c>
      <c r="L260" s="4" t="str">
        <f t="shared" si="107"/>
        <v>RLRHACAIMVGGWVCCFLLALLPLVG</v>
      </c>
      <c r="M260" s="4" t="str">
        <f t="shared" si="108"/>
        <v>CLP</v>
      </c>
      <c r="N260" s="4" t="str">
        <f t="shared" si="109"/>
        <v>PLALAYIVFVLTLNIVAFVIVCCCYVKIYITVRN</v>
      </c>
      <c r="O260" s="4" t="str">
        <f t="shared" si="110"/>
        <v>PGDKDTKIAKRMAVLIFTDFICMAPISFYALSAILN</v>
      </c>
      <c r="P260" s="4" t="str">
        <f t="shared" si="111"/>
        <v>VSNSKILLVLFYPLNSCANPFLYAIF</v>
      </c>
      <c r="Q260" s="4" t="str">
        <f t="shared" si="112"/>
        <v>TKAFQRDVFILLSKFGICKRQAQ</v>
      </c>
      <c r="R260" s="5">
        <f>VLOOKUP($A260,'SegEnds_NonXtal_Prot#'!$A:$AL,3,FALSE)</f>
        <v>409</v>
      </c>
      <c r="S260" s="5">
        <f>VLOOKUP($A260,'SegEnds_NonXtal_Prot#'!$A:$AL,6,FALSE)</f>
        <v>444</v>
      </c>
      <c r="T260" s="5">
        <f>VLOOKUP($A260,'SegEnds_NonXtal_Prot#'!$A:$AL,9,FALSE)</f>
        <v>448</v>
      </c>
      <c r="U260" s="5">
        <f>VLOOKUP($A260,'SegEnds_NonXtal_Prot#'!$A:$AL,12,FALSE)</f>
        <v>487</v>
      </c>
      <c r="V260" s="5">
        <f>VLOOKUP($A260,'SegEnds_NonXtal_Prot#'!$A:$AL,15,FALSE)</f>
        <v>491</v>
      </c>
      <c r="W260" s="5">
        <f>VLOOKUP($A260,'SegEnds_NonXtal_Prot#'!$A:$AL,18,FALSE)</f>
        <v>526</v>
      </c>
      <c r="X260" s="5">
        <f>VLOOKUP($A260,'SegEnds_NonXtal_Prot#'!$A:$AL,21,FALSE)</f>
        <v>534</v>
      </c>
      <c r="Y260" s="5">
        <f>VLOOKUP($A260,'SegEnds_NonXtal_Prot#'!$A:$AL,24,FALSE)</f>
        <v>569</v>
      </c>
      <c r="Z260" s="5">
        <f>VLOOKUP($A260,'SegEnds_NonXtal_Prot#'!$A:$AL,27,FALSE)</f>
        <v>577</v>
      </c>
      <c r="AA260" s="5">
        <f>VLOOKUP($A260,'SegEnds_NonXtal_Prot#'!$A:$AL,30,FALSE)</f>
        <v>615</v>
      </c>
      <c r="AB260" s="5">
        <f>VLOOKUP($A260,'SegEnds_NonXtal_Prot#'!$A:$AL,33,FALSE)</f>
        <v>656</v>
      </c>
      <c r="AC260" s="5">
        <f>VLOOKUP($A260,'SegEnds_NonXtal_Prot#'!$A:$AL,36,FALSE)</f>
        <v>682</v>
      </c>
      <c r="AD260" s="5">
        <f>VLOOKUP($A260,'SegEnds_NonXtal_Prot#'!$A:$AL,5,FALSE)</f>
        <v>442</v>
      </c>
      <c r="AE260" s="5">
        <f>VLOOKUP($A260,'SegEnds_NonXtal_Prot#'!$A:$AL,8,FALSE)</f>
        <v>447</v>
      </c>
      <c r="AF260" s="5">
        <f>VLOOKUP($A260,'SegEnds_NonXtal_Prot#'!$A:$AL,11,FALSE)</f>
        <v>477</v>
      </c>
      <c r="AG260" s="5">
        <f>VLOOKUP($A260,'SegEnds_NonXtal_Prot#'!$A:$AL,14,FALSE)</f>
        <v>490</v>
      </c>
      <c r="AH260" s="5">
        <f>VLOOKUP($A260,'SegEnds_NonXtal_Prot#'!$A:$AL,17,FALSE)</f>
        <v>525</v>
      </c>
      <c r="AI260" s="5">
        <f>VLOOKUP($A260,'SegEnds_NonXtal_Prot#'!$A:$AL,20,FALSE)</f>
        <v>533</v>
      </c>
      <c r="AJ260" s="5">
        <f>VLOOKUP($A260,'SegEnds_NonXtal_Prot#'!$A:$AL,23,FALSE)</f>
        <v>559</v>
      </c>
      <c r="AK260" s="5">
        <f>VLOOKUP($A260,'SegEnds_NonXtal_Prot#'!$A:$AL,26,FALSE)</f>
        <v>571</v>
      </c>
      <c r="AL260" s="5">
        <f>VLOOKUP($A260,'SegEnds_NonXtal_Prot#'!$A:$AL,29,FALSE)</f>
        <v>610</v>
      </c>
      <c r="AM260" s="5">
        <f>VLOOKUP($A260,'SegEnds_NonXtal_Prot#'!$A:$AL,32,FALSE)</f>
        <v>650</v>
      </c>
      <c r="AN260" s="5">
        <f>VLOOKUP($A260,'SegEnds_NonXtal_Prot#'!$A:$AL,35,FALSE)</f>
        <v>681</v>
      </c>
      <c r="AO260" s="5">
        <f>VLOOKUP($A260,'SegEnds_NonXtal_Prot#'!$A:$AL,38,FALSE)</f>
        <v>704</v>
      </c>
      <c r="AP260" s="5">
        <f t="shared" si="113"/>
        <v>33</v>
      </c>
      <c r="AQ260" s="4">
        <f t="shared" si="114"/>
        <v>3</v>
      </c>
      <c r="AR260" s="4">
        <f t="shared" si="115"/>
        <v>29</v>
      </c>
      <c r="AS260" s="4">
        <f t="shared" si="116"/>
        <v>3</v>
      </c>
      <c r="AT260" s="4">
        <f t="shared" si="117"/>
        <v>34</v>
      </c>
      <c r="AU260" s="4">
        <f t="shared" si="118"/>
        <v>7</v>
      </c>
      <c r="AV260" s="4">
        <f t="shared" si="119"/>
        <v>25</v>
      </c>
      <c r="AW260" s="4">
        <f t="shared" si="120"/>
        <v>2</v>
      </c>
      <c r="AX260" s="4">
        <f t="shared" si="121"/>
        <v>33</v>
      </c>
      <c r="AY260" s="4">
        <f t="shared" si="122"/>
        <v>35</v>
      </c>
      <c r="AZ260" s="4">
        <f t="shared" si="123"/>
        <v>25</v>
      </c>
      <c r="BA260" s="4">
        <f t="shared" si="124"/>
        <v>22</v>
      </c>
    </row>
    <row r="261" spans="1:53" x14ac:dyDescent="0.2">
      <c r="A261" s="1" t="str">
        <f>'SegEnds_NonXtal_Prot#'!A250</f>
        <v>v2r_human</v>
      </c>
      <c r="B261" s="1" t="str">
        <f t="shared" si="100"/>
        <v>PLLARAELALLSIVFVAVALSNGLVLAALARRWAPIHVFIGHLCLADLAVALFQVLPQLAWKARGPDALCRAVKYLQMVGMYASSYMILAMTLDRHRAICRSGAHWNRPVLVAWAFSLLLSLPQLFIFPWGRRTYVTWIALMVFVAPTLGIAACQVLIFREIHASLVPGPSERAHVSAAVAKTVRMTLVIVVVYVLCWAPFFLVQLWAAWDEGAPFVLLMLLASLNSCTNPWIYASFSSSVSSELRSLL</v>
      </c>
      <c r="C261" s="29" t="str">
        <f>IF(ISERROR(MATCH(A261,'SegEnds_Xtal_Prot#'!B:B, 0)), "NoXtal", "Xtal")</f>
        <v>NoXtal</v>
      </c>
      <c r="D261" s="4" t="str">
        <f>VLOOKUP(A261,Classification!A:D,2,FALSE)</f>
        <v>A</v>
      </c>
      <c r="E261" s="5" t="str">
        <f>VLOOKUP(A261,Seqs!A:B,2,FALSE)</f>
        <v>MLMASTTSAVPGHPSLPSLPSNSSQERPLDTRDPLLARAELALLSIVFVAVALSNGLVLAALARRGRRGHWAPIHVFIGHLCLADLAVALFQVLPQLAWKATDRFRGPDALCRAVKYLQMVGMYASSYMILAMTLDRHRAICRPMLAYRHGSGAHWNRPVLVAWAFSLLLSLPQLFIFAQRNVEGGSGVTDCWACFAEPWGRRTYVTWIALMVFVAPTLGIAACQVLIFREIHASLVPGPSERPGGRRRGRRTGSPGEGAHVSAAVAKTVRMTLVIVVVYVLCWAPFFLVQLWAAWDPEAPLEGAPFVLLMLLASLNSCTNPWIYASFSSSVSSELRSLLCCARGRTPPSLGPQDESCTTASSSLAKDTSS</v>
      </c>
      <c r="F261" s="5" t="str">
        <f t="shared" si="101"/>
        <v>PLLARAELALLSIVFVAVALSNGLVLAALARR</v>
      </c>
      <c r="G261" s="4" t="str">
        <f t="shared" si="102"/>
        <v>RRGH</v>
      </c>
      <c r="H261" s="4" t="str">
        <f t="shared" si="103"/>
        <v>WAPIHVFIGHLCLADLAVALFQVLPQLAWKA</v>
      </c>
      <c r="I261" s="4" t="str">
        <f t="shared" si="104"/>
        <v>TDRF</v>
      </c>
      <c r="J261" s="4" t="str">
        <f t="shared" si="105"/>
        <v>RGPDALCRAVKYLQMVGMYASSYMILAMTLDRHRAICR</v>
      </c>
      <c r="K261" s="4" t="str">
        <f t="shared" si="106"/>
        <v>PMLAYRHG</v>
      </c>
      <c r="L261" s="4" t="str">
        <f t="shared" si="107"/>
        <v>SGAHWNRPVLVAWAFSLLLSLPQLFIF</v>
      </c>
      <c r="M261" s="4" t="str">
        <f t="shared" si="108"/>
        <v>CWA</v>
      </c>
      <c r="N261" s="4" t="str">
        <f t="shared" si="109"/>
        <v>PWGRRTYVTWIALMVFVAPTLGIAACQVLIFREIHASLVPGPSER</v>
      </c>
      <c r="O261" s="4" t="str">
        <f t="shared" si="110"/>
        <v>AHVSAAVAKTVRMTLVIVVVYVLCWAPFFLVQLWAAWD</v>
      </c>
      <c r="P261" s="4" t="str">
        <f t="shared" si="111"/>
        <v>EGAPFVLLMLLASLNSCTNPWIYASF</v>
      </c>
      <c r="Q261" s="4" t="str">
        <f t="shared" si="112"/>
        <v>SSSVSSELRSLL</v>
      </c>
      <c r="R261" s="5">
        <f>VLOOKUP($A261,'SegEnds_NonXtal_Prot#'!$A:$AL,3,FALSE)</f>
        <v>34</v>
      </c>
      <c r="S261" s="5">
        <f>VLOOKUP($A261,'SegEnds_NonXtal_Prot#'!$A:$AL,6,FALSE)</f>
        <v>67</v>
      </c>
      <c r="T261" s="5">
        <f>VLOOKUP($A261,'SegEnds_NonXtal_Prot#'!$A:$AL,9,FALSE)</f>
        <v>71</v>
      </c>
      <c r="U261" s="5">
        <f>VLOOKUP($A261,'SegEnds_NonXtal_Prot#'!$A:$AL,12,FALSE)</f>
        <v>102</v>
      </c>
      <c r="V261" s="5">
        <f>VLOOKUP($A261,'SegEnds_NonXtal_Prot#'!$A:$AL,15,FALSE)</f>
        <v>106</v>
      </c>
      <c r="W261" s="5">
        <f>VLOOKUP($A261,'SegEnds_NonXtal_Prot#'!$A:$AL,18,FALSE)</f>
        <v>144</v>
      </c>
      <c r="X261" s="5">
        <f>VLOOKUP($A261,'SegEnds_NonXtal_Prot#'!$A:$AL,21,FALSE)</f>
        <v>152</v>
      </c>
      <c r="Y261" s="5">
        <f>VLOOKUP($A261,'SegEnds_NonXtal_Prot#'!$A:$AL,24,FALSE)</f>
        <v>192</v>
      </c>
      <c r="Z261" s="5">
        <f>VLOOKUP($A261,'SegEnds_NonXtal_Prot#'!$A:$AL,27,FALSE)</f>
        <v>199</v>
      </c>
      <c r="AA261" s="5">
        <f>VLOOKUP($A261,'SegEnds_NonXtal_Prot#'!$A:$AL,30,FALSE)</f>
        <v>260</v>
      </c>
      <c r="AB261" s="5">
        <f>VLOOKUP($A261,'SegEnds_NonXtal_Prot#'!$A:$AL,33,FALSE)</f>
        <v>303</v>
      </c>
      <c r="AC261" s="5">
        <f>VLOOKUP($A261,'SegEnds_NonXtal_Prot#'!$A:$AL,36,FALSE)</f>
        <v>329</v>
      </c>
      <c r="AD261" s="5">
        <f>VLOOKUP($A261,'SegEnds_NonXtal_Prot#'!$A:$AL,5,FALSE)</f>
        <v>65</v>
      </c>
      <c r="AE261" s="5">
        <f>VLOOKUP($A261,'SegEnds_NonXtal_Prot#'!$A:$AL,8,FALSE)</f>
        <v>70</v>
      </c>
      <c r="AF261" s="5">
        <f>VLOOKUP($A261,'SegEnds_NonXtal_Prot#'!$A:$AL,11,FALSE)</f>
        <v>101</v>
      </c>
      <c r="AG261" s="5">
        <f>VLOOKUP($A261,'SegEnds_NonXtal_Prot#'!$A:$AL,14,FALSE)</f>
        <v>105</v>
      </c>
      <c r="AH261" s="5">
        <f>VLOOKUP($A261,'SegEnds_NonXtal_Prot#'!$A:$AL,17,FALSE)</f>
        <v>143</v>
      </c>
      <c r="AI261" s="5">
        <f>VLOOKUP($A261,'SegEnds_NonXtal_Prot#'!$A:$AL,20,FALSE)</f>
        <v>151</v>
      </c>
      <c r="AJ261" s="5">
        <f>VLOOKUP($A261,'SegEnds_NonXtal_Prot#'!$A:$AL,23,FALSE)</f>
        <v>178</v>
      </c>
      <c r="AK261" s="5">
        <f>VLOOKUP($A261,'SegEnds_NonXtal_Prot#'!$A:$AL,26,FALSE)</f>
        <v>194</v>
      </c>
      <c r="AL261" s="5">
        <f>VLOOKUP($A261,'SegEnds_NonXtal_Prot#'!$A:$AL,29,FALSE)</f>
        <v>243</v>
      </c>
      <c r="AM261" s="5">
        <f>VLOOKUP($A261,'SegEnds_NonXtal_Prot#'!$A:$AL,32,FALSE)</f>
        <v>297</v>
      </c>
      <c r="AN261" s="5">
        <f>VLOOKUP($A261,'SegEnds_NonXtal_Prot#'!$A:$AL,35,FALSE)</f>
        <v>328</v>
      </c>
      <c r="AO261" s="5">
        <f>VLOOKUP($A261,'SegEnds_NonXtal_Prot#'!$A:$AL,38,FALSE)</f>
        <v>340</v>
      </c>
      <c r="AP261" s="5">
        <f t="shared" si="113"/>
        <v>31</v>
      </c>
      <c r="AQ261" s="4">
        <f t="shared" si="114"/>
        <v>3</v>
      </c>
      <c r="AR261" s="4">
        <f t="shared" si="115"/>
        <v>30</v>
      </c>
      <c r="AS261" s="4">
        <f t="shared" si="116"/>
        <v>3</v>
      </c>
      <c r="AT261" s="4">
        <f t="shared" si="117"/>
        <v>37</v>
      </c>
      <c r="AU261" s="4">
        <f t="shared" si="118"/>
        <v>7</v>
      </c>
      <c r="AV261" s="4">
        <f t="shared" si="119"/>
        <v>26</v>
      </c>
      <c r="AW261" s="4">
        <f t="shared" si="120"/>
        <v>2</v>
      </c>
      <c r="AX261" s="4">
        <f t="shared" si="121"/>
        <v>44</v>
      </c>
      <c r="AY261" s="4">
        <f t="shared" si="122"/>
        <v>37</v>
      </c>
      <c r="AZ261" s="4">
        <f t="shared" si="123"/>
        <v>25</v>
      </c>
      <c r="BA261" s="4">
        <f t="shared" si="124"/>
        <v>11</v>
      </c>
    </row>
    <row r="262" spans="1:53" x14ac:dyDescent="0.2">
      <c r="A262" s="1" t="str">
        <f>'SegEnds_NonXtal_Prot#'!A251</f>
        <v>xcr1_human</v>
      </c>
      <c r="B262" s="1" t="str">
        <f t="shared" si="100"/>
        <v>ENQAWVFATLATTVLYCLVFLLSLVGNSLVLWVLVKYSLTNIFILNLCLSDLVFACLLPVWISPYHWGDFLCKLLNMIFSISLYSSIFFLTIMTIHRYLSVVSTLRCRVLVTMAVWVASILSSILDTIFHWYLTSVYQHNLFFLLSLGIILFCYVEILRTLFRSRHRTVKLIFAIVVAYFLSWGPYNFTLFLQTLFRTQSCEAKQQLEYALLICRNLAFSHCCFNPVLYVFVGVKFRTHLKHVLR</v>
      </c>
      <c r="C262" s="29" t="str">
        <f>IF(ISERROR(MATCH(A262,'SegEnds_Xtal_Prot#'!B:B, 0)), "NoXtal", "Xtal")</f>
        <v>NoXtal</v>
      </c>
      <c r="D262" s="4" t="str">
        <f>VLOOKUP(A262,Classification!A:D,2,FALSE)</f>
        <v>A</v>
      </c>
      <c r="E262" s="5" t="str">
        <f>VLOOKUP(A262,Seqs!A:B,2,FALSE)</f>
        <v>MESSGNPESTTFFYYDLQSQPCENQAWVFATLATTVLYCLVFLLSLVGNSLVLWVLVKYESLESLTNIFILNLCLSDLVFACLLPVWISPYHWGWVLGDFLCKLLNMIFSISLYSSIFFLTIMTIHRYLSVVSPLSTLRVPTLRCRVLVTMAVWVASILSSILDTIFHKVLSSGCDYSELTWYLTSVYQHNLFFLLSLGIILFCYVEILRTLFRSRSKRRHRTVKLIFAIVVAYFLSWGPYNFTLFLQTLFRTQIIRSCEAKQQLEYALLICRNLAFSHCCFNPVLYVFVGVKFRTHLKHVLRQFWFCRLQAPSPASIPHSPGAFAYEGASFY</v>
      </c>
      <c r="F262" s="5" t="str">
        <f t="shared" si="101"/>
        <v>ENQAWVFATLATTVLYCLVFLLSLVGNSLVLWVLVKY</v>
      </c>
      <c r="G262" s="4" t="str">
        <f t="shared" si="102"/>
        <v>ESLE</v>
      </c>
      <c r="H262" s="4" t="str">
        <f t="shared" si="103"/>
        <v>SLTNIFILNLCLSDLVFACLLPVWISPYHW</v>
      </c>
      <c r="I262" s="4" t="str">
        <f t="shared" si="104"/>
        <v>GWVL</v>
      </c>
      <c r="J262" s="4" t="str">
        <f t="shared" si="105"/>
        <v>GDFLCKLLNMIFSISLYSSIFFLTIMTIHRYLSVVS</v>
      </c>
      <c r="K262" s="4" t="str">
        <f t="shared" si="106"/>
        <v>PLSTLRVP</v>
      </c>
      <c r="L262" s="4" t="str">
        <f t="shared" si="107"/>
        <v>TLRCRVLVTMAVWVASILSSILDTIFH</v>
      </c>
      <c r="M262" s="4" t="str">
        <f t="shared" si="108"/>
        <v>CDY</v>
      </c>
      <c r="N262" s="4" t="str">
        <f t="shared" si="109"/>
        <v>WYLTSVYQHNLFFLLSLGIILFCYVEILRTLFRS</v>
      </c>
      <c r="O262" s="4" t="str">
        <f t="shared" si="110"/>
        <v>RHRTVKLIFAIVVAYFLSWGPYNFTLFLQTLFRTQ</v>
      </c>
      <c r="P262" s="4" t="str">
        <f t="shared" si="111"/>
        <v>SCEAKQQLEYALLICRNLAFSHCCFNPVLYVFV</v>
      </c>
      <c r="Q262" s="4" t="str">
        <f t="shared" si="112"/>
        <v>GVKFRTHLKHVLR</v>
      </c>
      <c r="R262" s="5">
        <f>VLOOKUP($A262,'SegEnds_NonXtal_Prot#'!$A:$AL,3,FALSE)</f>
        <v>23</v>
      </c>
      <c r="S262" s="5">
        <f>VLOOKUP($A262,'SegEnds_NonXtal_Prot#'!$A:$AL,6,FALSE)</f>
        <v>60</v>
      </c>
      <c r="T262" s="5">
        <f>VLOOKUP($A262,'SegEnds_NonXtal_Prot#'!$A:$AL,9,FALSE)</f>
        <v>64</v>
      </c>
      <c r="U262" s="5">
        <f>VLOOKUP($A262,'SegEnds_NonXtal_Prot#'!$A:$AL,12,FALSE)</f>
        <v>94</v>
      </c>
      <c r="V262" s="5">
        <f>VLOOKUP($A262,'SegEnds_NonXtal_Prot#'!$A:$AL,15,FALSE)</f>
        <v>98</v>
      </c>
      <c r="W262" s="5">
        <f>VLOOKUP($A262,'SegEnds_NonXtal_Prot#'!$A:$AL,18,FALSE)</f>
        <v>134</v>
      </c>
      <c r="X262" s="5">
        <f>VLOOKUP($A262,'SegEnds_NonXtal_Prot#'!$A:$AL,21,FALSE)</f>
        <v>142</v>
      </c>
      <c r="Y262" s="5">
        <f>VLOOKUP($A262,'SegEnds_NonXtal_Prot#'!$A:$AL,24,FALSE)</f>
        <v>175</v>
      </c>
      <c r="Z262" s="5">
        <f>VLOOKUP($A262,'SegEnds_NonXtal_Prot#'!$A:$AL,27,FALSE)</f>
        <v>182</v>
      </c>
      <c r="AA262" s="5">
        <f>VLOOKUP($A262,'SegEnds_NonXtal_Prot#'!$A:$AL,30,FALSE)</f>
        <v>220</v>
      </c>
      <c r="AB262" s="5">
        <f>VLOOKUP($A262,'SegEnds_NonXtal_Prot#'!$A:$AL,33,FALSE)</f>
        <v>258</v>
      </c>
      <c r="AC262" s="5">
        <f>VLOOKUP($A262,'SegEnds_NonXtal_Prot#'!$A:$AL,36,FALSE)</f>
        <v>291</v>
      </c>
      <c r="AD262" s="5">
        <f>VLOOKUP($A262,'SegEnds_NonXtal_Prot#'!$A:$AL,5,FALSE)</f>
        <v>59</v>
      </c>
      <c r="AE262" s="5">
        <f>VLOOKUP($A262,'SegEnds_NonXtal_Prot#'!$A:$AL,8,FALSE)</f>
        <v>63</v>
      </c>
      <c r="AF262" s="5">
        <f>VLOOKUP($A262,'SegEnds_NonXtal_Prot#'!$A:$AL,11,FALSE)</f>
        <v>93</v>
      </c>
      <c r="AG262" s="5">
        <f>VLOOKUP($A262,'SegEnds_NonXtal_Prot#'!$A:$AL,14,FALSE)</f>
        <v>97</v>
      </c>
      <c r="AH262" s="5">
        <f>VLOOKUP($A262,'SegEnds_NonXtal_Prot#'!$A:$AL,17,FALSE)</f>
        <v>133</v>
      </c>
      <c r="AI262" s="5">
        <f>VLOOKUP($A262,'SegEnds_NonXtal_Prot#'!$A:$AL,20,FALSE)</f>
        <v>141</v>
      </c>
      <c r="AJ262" s="5">
        <f>VLOOKUP($A262,'SegEnds_NonXtal_Prot#'!$A:$AL,23,FALSE)</f>
        <v>168</v>
      </c>
      <c r="AK262" s="5">
        <f>VLOOKUP($A262,'SegEnds_NonXtal_Prot#'!$A:$AL,26,FALSE)</f>
        <v>177</v>
      </c>
      <c r="AL262" s="5">
        <f>VLOOKUP($A262,'SegEnds_NonXtal_Prot#'!$A:$AL,29,FALSE)</f>
        <v>215</v>
      </c>
      <c r="AM262" s="5">
        <f>VLOOKUP($A262,'SegEnds_NonXtal_Prot#'!$A:$AL,32,FALSE)</f>
        <v>254</v>
      </c>
      <c r="AN262" s="5">
        <f>VLOOKUP($A262,'SegEnds_NonXtal_Prot#'!$A:$AL,35,FALSE)</f>
        <v>290</v>
      </c>
      <c r="AO262" s="5">
        <f>VLOOKUP($A262,'SegEnds_NonXtal_Prot#'!$A:$AL,38,FALSE)</f>
        <v>303</v>
      </c>
      <c r="AP262" s="5">
        <f t="shared" si="113"/>
        <v>36</v>
      </c>
      <c r="AQ262" s="4">
        <f t="shared" si="114"/>
        <v>3</v>
      </c>
      <c r="AR262" s="4">
        <f t="shared" si="115"/>
        <v>29</v>
      </c>
      <c r="AS262" s="4">
        <f t="shared" si="116"/>
        <v>3</v>
      </c>
      <c r="AT262" s="4">
        <f t="shared" si="117"/>
        <v>35</v>
      </c>
      <c r="AU262" s="4">
        <f t="shared" si="118"/>
        <v>7</v>
      </c>
      <c r="AV262" s="4">
        <f t="shared" si="119"/>
        <v>26</v>
      </c>
      <c r="AW262" s="4">
        <f t="shared" si="120"/>
        <v>2</v>
      </c>
      <c r="AX262" s="4">
        <f t="shared" si="121"/>
        <v>33</v>
      </c>
      <c r="AY262" s="4">
        <f t="shared" si="122"/>
        <v>34</v>
      </c>
      <c r="AZ262" s="4">
        <f t="shared" si="123"/>
        <v>32</v>
      </c>
      <c r="BA262" s="4">
        <f t="shared" si="124"/>
        <v>12</v>
      </c>
    </row>
    <row r="263" spans="1:53" x14ac:dyDescent="0.2">
      <c r="A263" s="1" t="str">
        <f>'SegEnds_NonXtal_Prot#'!A252</f>
        <v>ccrl2_human</v>
      </c>
      <c r="B263" s="1" t="str">
        <f t="shared" si="100"/>
        <v>KYDAQALSAQLVPSLCSAVFVIGVLDNLLVVLILVKYRVENIYLLNLAVSNLCFLLTLPFWAHAMCKILIGLYFVGLYSETFFNCLLTVQRYLVFLHRVPCGIITSVLAWVTAILATLPEFVVYDETFWKHFLTLKMNISVLVLPLFIFTFLYVQMRKTLRFRYSLFKLVFAIMVVFLLMWAPYNIAFFLSTFKEHFDCKSSYNLDKSVHITKLIATTHCCINPLLYAFLDGTFSKYLCRCFH</v>
      </c>
      <c r="C263" s="29" t="str">
        <f>IF(ISERROR(MATCH(A263,'SegEnds_Xtal_Prot#'!B:B, 0)), "NoXtal", "Xtal")</f>
        <v>NoXtal</v>
      </c>
      <c r="D263" s="4" t="str">
        <f>VLOOKUP(A263,Classification!A:D,2,FALSE)</f>
        <v>A</v>
      </c>
      <c r="E263" s="5" t="str">
        <f>VLOOKUP(A263,Seqs!A:B,2,FALSE)</f>
        <v>MANYTLAPEDEYDVLIEGELESDEAEQCDKYDAQALSAQLVPSLCSAVFVIGVLDNLLVVLILVKYKGLKRVENIYLLNLAVSNLCFLLTLPFWAHAGGDPMCKILIGLYFVGLYSETFFNCLLTVQRYLVFLHKGNFFSARRRVPCGIITSVLAWVTAILATLPEFVVYKPQMEDQKYKCAFSRTPFLPADETFWKHFLTLKMNISVLVLPLFIFTFLYVQMRKTLRFREQRYSLFKLVFAIMVVFLLMWAPYNIAFFLSTFKEHFSLSDCKSSYNLDKSVHITKLIATTHCCINPLLYAFLDGTFSKYLCRCFHLRSNTPLQPRGQSAQGTSREEPDHSTEV</v>
      </c>
      <c r="F263" s="5" t="str">
        <f t="shared" si="101"/>
        <v>KYDAQALSAQLVPSLCSAVFVIGVLDNLLVVLILVKY</v>
      </c>
      <c r="G263" s="4" t="str">
        <f t="shared" si="102"/>
        <v>KGLK</v>
      </c>
      <c r="H263" s="4" t="str">
        <f t="shared" si="103"/>
        <v>RVENIYLLNLAVSNLCFLLTLPFWAHA</v>
      </c>
      <c r="I263" s="4" t="str">
        <f t="shared" si="104"/>
        <v/>
      </c>
      <c r="J263" s="4" t="str">
        <f t="shared" si="105"/>
        <v>MCKILIGLYFVGLYSETFFNCLLTVQRYLVFLH</v>
      </c>
      <c r="K263" s="4" t="str">
        <f t="shared" si="106"/>
        <v>KGNFFSARR</v>
      </c>
      <c r="L263" s="4" t="str">
        <f t="shared" si="107"/>
        <v>RVPCGIITSVLAWVTAILATLPEFVVY</v>
      </c>
      <c r="M263" s="4" t="str">
        <f t="shared" si="108"/>
        <v>CAF</v>
      </c>
      <c r="N263" s="4" t="str">
        <f t="shared" si="109"/>
        <v>DETFWKHFLTLKMNISVLVLPLFIFTFLYVQMRKTLRF</v>
      </c>
      <c r="O263" s="4" t="str">
        <f t="shared" si="110"/>
        <v>RYSLFKLVFAIMVVFLLMWAPYNIAFFLSTFKEHF</v>
      </c>
      <c r="P263" s="4" t="str">
        <f t="shared" si="111"/>
        <v>DCKSSYNLDKSVHITKLIATTHCCINPLLYAFL</v>
      </c>
      <c r="Q263" s="4" t="str">
        <f t="shared" si="112"/>
        <v>DGTFSKYLCRCFH</v>
      </c>
      <c r="R263" s="5">
        <f>VLOOKUP($A263,'SegEnds_NonXtal_Prot#'!$A:$AL,3,FALSE)</f>
        <v>30</v>
      </c>
      <c r="S263" s="5">
        <f>VLOOKUP($A263,'SegEnds_NonXtal_Prot#'!$A:$AL,6,FALSE)</f>
        <v>67</v>
      </c>
      <c r="T263" s="5">
        <f>VLOOKUP($A263,'SegEnds_NonXtal_Prot#'!$A:$AL,9,FALSE)</f>
        <v>71</v>
      </c>
      <c r="U263" s="5" t="str">
        <f>VLOOKUP($A263,'SegEnds_NonXtal_Prot#'!$A:$AL,12,FALSE)</f>
        <v>-</v>
      </c>
      <c r="V263" s="5">
        <f>VLOOKUP($A263,'SegEnds_NonXtal_Prot#'!$A:$AL,15,FALSE)</f>
        <v>102</v>
      </c>
      <c r="W263" s="5">
        <f>VLOOKUP($A263,'SegEnds_NonXtal_Prot#'!$A:$AL,18,FALSE)</f>
        <v>135</v>
      </c>
      <c r="X263" s="5">
        <f>VLOOKUP($A263,'SegEnds_NonXtal_Prot#'!$A:$AL,21,FALSE)</f>
        <v>144</v>
      </c>
      <c r="Y263" s="5">
        <f>VLOOKUP($A263,'SegEnds_NonXtal_Prot#'!$A:$AL,24,FALSE)</f>
        <v>181</v>
      </c>
      <c r="Z263" s="5">
        <f>VLOOKUP($A263,'SegEnds_NonXtal_Prot#'!$A:$AL,27,FALSE)</f>
        <v>192</v>
      </c>
      <c r="AA263" s="5">
        <f>VLOOKUP($A263,'SegEnds_NonXtal_Prot#'!$A:$AL,30,FALSE)</f>
        <v>233</v>
      </c>
      <c r="AB263" s="5">
        <f>VLOOKUP($A263,'SegEnds_NonXtal_Prot#'!$A:$AL,33,FALSE)</f>
        <v>271</v>
      </c>
      <c r="AC263" s="5">
        <f>VLOOKUP($A263,'SegEnds_NonXtal_Prot#'!$A:$AL,36,FALSE)</f>
        <v>304</v>
      </c>
      <c r="AD263" s="5">
        <f>VLOOKUP($A263,'SegEnds_NonXtal_Prot#'!$A:$AL,5,FALSE)</f>
        <v>66</v>
      </c>
      <c r="AE263" s="5">
        <f>VLOOKUP($A263,'SegEnds_NonXtal_Prot#'!$A:$AL,8,FALSE)</f>
        <v>70</v>
      </c>
      <c r="AF263" s="5">
        <f>VLOOKUP($A263,'SegEnds_NonXtal_Prot#'!$A:$AL,11,FALSE)</f>
        <v>97</v>
      </c>
      <c r="AG263" s="5" t="str">
        <f>VLOOKUP($A263,'SegEnds_NonXtal_Prot#'!$A:$AL,14,FALSE)</f>
        <v>-</v>
      </c>
      <c r="AH263" s="5">
        <f>VLOOKUP($A263,'SegEnds_NonXtal_Prot#'!$A:$AL,17,FALSE)</f>
        <v>134</v>
      </c>
      <c r="AI263" s="5">
        <f>VLOOKUP($A263,'SegEnds_NonXtal_Prot#'!$A:$AL,20,FALSE)</f>
        <v>143</v>
      </c>
      <c r="AJ263" s="5">
        <f>VLOOKUP($A263,'SegEnds_NonXtal_Prot#'!$A:$AL,23,FALSE)</f>
        <v>170</v>
      </c>
      <c r="AK263" s="5">
        <f>VLOOKUP($A263,'SegEnds_NonXtal_Prot#'!$A:$AL,26,FALSE)</f>
        <v>183</v>
      </c>
      <c r="AL263" s="5">
        <f>VLOOKUP($A263,'SegEnds_NonXtal_Prot#'!$A:$AL,29,FALSE)</f>
        <v>229</v>
      </c>
      <c r="AM263" s="5">
        <f>VLOOKUP($A263,'SegEnds_NonXtal_Prot#'!$A:$AL,32,FALSE)</f>
        <v>267</v>
      </c>
      <c r="AN263" s="5">
        <f>VLOOKUP($A263,'SegEnds_NonXtal_Prot#'!$A:$AL,35,FALSE)</f>
        <v>303</v>
      </c>
      <c r="AO263" s="5">
        <f>VLOOKUP($A263,'SegEnds_NonXtal_Prot#'!$A:$AL,38,FALSE)</f>
        <v>316</v>
      </c>
      <c r="AP263" s="5">
        <f t="shared" si="113"/>
        <v>36</v>
      </c>
      <c r="AQ263" s="4">
        <f t="shared" si="114"/>
        <v>3</v>
      </c>
      <c r="AR263" s="4">
        <f t="shared" si="115"/>
        <v>26</v>
      </c>
      <c r="AS263" s="4" t="str">
        <f t="shared" si="116"/>
        <v>-</v>
      </c>
      <c r="AT263" s="4">
        <f t="shared" si="117"/>
        <v>32</v>
      </c>
      <c r="AU263" s="4">
        <f t="shared" si="118"/>
        <v>8</v>
      </c>
      <c r="AV263" s="4">
        <f t="shared" si="119"/>
        <v>26</v>
      </c>
      <c r="AW263" s="4">
        <f t="shared" si="120"/>
        <v>2</v>
      </c>
      <c r="AX263" s="4">
        <f t="shared" si="121"/>
        <v>37</v>
      </c>
      <c r="AY263" s="4">
        <f t="shared" si="122"/>
        <v>34</v>
      </c>
      <c r="AZ263" s="4">
        <f t="shared" si="123"/>
        <v>32</v>
      </c>
      <c r="BA263" s="4">
        <f t="shared" si="124"/>
        <v>12</v>
      </c>
    </row>
    <row r="264" spans="1:53" x14ac:dyDescent="0.2">
      <c r="A264" s="1" t="str">
        <f>'SegEnds_NonXtal_Prot#'!A254</f>
        <v>gpr27_human</v>
      </c>
      <c r="B264" s="1" t="str">
        <f t="shared" si="100"/>
        <v>LGLKLATLSLLLCVSLAGNVLFALLIVRERAPYYLLLDLCLADGLRALACLPAVMLAARRAPPGALGCKLLAFLAALFCFHAAFLLLGVGVTRYLAIAHGWPCAAMLVCAAWALALAAAFPPVLDGEQRPDGAPGALGFLLLLAVVVGATHLVYLRLLFFIHDRRKMRLEEFKTEKRLCKMFYAVTLLFLLLWGPYVVASYLRVLVPQAYLTASVWLTFAQAGINPVVCFLFNRELRDCFRAQF</v>
      </c>
      <c r="C264" s="29" t="str">
        <f>IF(ISERROR(MATCH(A264,'SegEnds_Xtal_Prot#'!B:B, 0)), "NoXtal", "Xtal")</f>
        <v>NoXtal</v>
      </c>
      <c r="D264" s="4" t="str">
        <f>VLOOKUP(A264,Classification!A:D,2,FALSE)</f>
        <v>A</v>
      </c>
      <c r="E264" s="5" t="str">
        <f>VLOOKUP(A264,Seqs!A:B,2,FALSE)</f>
        <v>MANASEPGGSGGGEAAALGLKLATLSLLLCVSLAGNVLFALLIVRERSLHRAPYYLLLDLCLADGLRALACLPAVMLAARRAAAAAGAPPGALGCKLLAFLAALFCFHAAFLLLGVGVTRYLAIAHHRFYAERLAGWPCAAMLVCAAWALALAAAFPPVLDGGGDDEDAPCALEQRPDGAPGALGFLLLLAVVVGATHLVYLRLLFFIHDRRKMRPARLVPAVSHDWTFHGPGATGQAAANWTAGFGRGPTPPALVGIRPAGPGRGARRLLVLEEFKTEKRLCKMFYAVTLLFLLLWGPYVVASYLRVLVRPGAVPQAYLTASVWLTFAQAGINPVVCFLFNRELRDCFRAQFPCCQSPRTTQATHPCDLKGIGL</v>
      </c>
      <c r="F264" s="5" t="str">
        <f t="shared" si="101"/>
        <v>LGLKLATLSLLLCVSLAGNVLFALLIVRE</v>
      </c>
      <c r="G264" s="4" t="str">
        <f t="shared" si="102"/>
        <v>RSLH</v>
      </c>
      <c r="H264" s="4" t="str">
        <f t="shared" si="103"/>
        <v>RAPYYLLLDLCLADGLRALACLPAVMLAARR</v>
      </c>
      <c r="I264" s="4" t="str">
        <f t="shared" si="104"/>
        <v/>
      </c>
      <c r="J264" s="4" t="str">
        <f t="shared" si="105"/>
        <v>APPGALGCKLLAFLAALFCFHAAFLLLGVGVTRYLAIAH</v>
      </c>
      <c r="K264" s="4" t="str">
        <f t="shared" si="106"/>
        <v>HRFYAERLA</v>
      </c>
      <c r="L264" s="4" t="str">
        <f t="shared" si="107"/>
        <v>GWPCAAMLVCAAWALALAAAFPPVLDG</v>
      </c>
      <c r="M264" s="4" t="str">
        <f t="shared" si="108"/>
        <v>CAL</v>
      </c>
      <c r="N264" s="4" t="str">
        <f t="shared" si="109"/>
        <v>EQRPDGAPGALGFLLLLAVVVGATHLVYLRLLFFIHDRRKMR</v>
      </c>
      <c r="O264" s="4" t="str">
        <f t="shared" si="110"/>
        <v>LEEFKTEKRLCKMFYAVTLLFLLLWGPYVVASYLRVLV</v>
      </c>
      <c r="P264" s="4" t="str">
        <f t="shared" si="111"/>
        <v>PQAYLTASVWLTFAQAGINPVVCFLF</v>
      </c>
      <c r="Q264" s="4" t="str">
        <f t="shared" si="112"/>
        <v>NRELRDCFRAQF</v>
      </c>
      <c r="R264" s="5">
        <f>VLOOKUP($A264,'SegEnds_NonXtal_Prot#'!$A:$AL,3,FALSE)</f>
        <v>18</v>
      </c>
      <c r="S264" s="5">
        <f>VLOOKUP($A264,'SegEnds_NonXtal_Prot#'!$A:$AL,6,FALSE)</f>
        <v>47</v>
      </c>
      <c r="T264" s="5">
        <f>VLOOKUP($A264,'SegEnds_NonXtal_Prot#'!$A:$AL,9,FALSE)</f>
        <v>51</v>
      </c>
      <c r="U264" s="5" t="str">
        <f>VLOOKUP($A264,'SegEnds_NonXtal_Prot#'!$A:$AL,12,FALSE)</f>
        <v>-</v>
      </c>
      <c r="V264" s="5">
        <f>VLOOKUP($A264,'SegEnds_NonXtal_Prot#'!$A:$AL,15,FALSE)</f>
        <v>88</v>
      </c>
      <c r="W264" s="5">
        <f>VLOOKUP($A264,'SegEnds_NonXtal_Prot#'!$A:$AL,18,FALSE)</f>
        <v>127</v>
      </c>
      <c r="X264" s="5">
        <f>VLOOKUP($A264,'SegEnds_NonXtal_Prot#'!$A:$AL,21,FALSE)</f>
        <v>136</v>
      </c>
      <c r="Y264" s="5">
        <f>VLOOKUP($A264,'SegEnds_NonXtal_Prot#'!$A:$AL,24,FALSE)</f>
        <v>171</v>
      </c>
      <c r="Z264" s="5">
        <f>VLOOKUP($A264,'SegEnds_NonXtal_Prot#'!$A:$AL,27,FALSE)</f>
        <v>174</v>
      </c>
      <c r="AA264" s="5">
        <f>VLOOKUP($A264,'SegEnds_NonXtal_Prot#'!$A:$AL,30,FALSE)</f>
        <v>273</v>
      </c>
      <c r="AB264" s="5">
        <f>VLOOKUP($A264,'SegEnds_NonXtal_Prot#'!$A:$AL,33,FALSE)</f>
        <v>316</v>
      </c>
      <c r="AC264" s="5">
        <f>VLOOKUP($A264,'SegEnds_NonXtal_Prot#'!$A:$AL,36,FALSE)</f>
        <v>342</v>
      </c>
      <c r="AD264" s="5">
        <f>VLOOKUP($A264,'SegEnds_NonXtal_Prot#'!$A:$AL,5,FALSE)</f>
        <v>46</v>
      </c>
      <c r="AE264" s="5">
        <f>VLOOKUP($A264,'SegEnds_NonXtal_Prot#'!$A:$AL,8,FALSE)</f>
        <v>50</v>
      </c>
      <c r="AF264" s="5">
        <f>VLOOKUP($A264,'SegEnds_NonXtal_Prot#'!$A:$AL,11,FALSE)</f>
        <v>81</v>
      </c>
      <c r="AG264" s="5" t="str">
        <f>VLOOKUP($A264,'SegEnds_NonXtal_Prot#'!$A:$AL,14,FALSE)</f>
        <v>-</v>
      </c>
      <c r="AH264" s="5">
        <f>VLOOKUP($A264,'SegEnds_NonXtal_Prot#'!$A:$AL,17,FALSE)</f>
        <v>126</v>
      </c>
      <c r="AI264" s="5">
        <f>VLOOKUP($A264,'SegEnds_NonXtal_Prot#'!$A:$AL,20,FALSE)</f>
        <v>135</v>
      </c>
      <c r="AJ264" s="5">
        <f>VLOOKUP($A264,'SegEnds_NonXtal_Prot#'!$A:$AL,23,FALSE)</f>
        <v>162</v>
      </c>
      <c r="AK264" s="5">
        <f>VLOOKUP($A264,'SegEnds_NonXtal_Prot#'!$A:$AL,26,FALSE)</f>
        <v>173</v>
      </c>
      <c r="AL264" s="5">
        <f>VLOOKUP($A264,'SegEnds_NonXtal_Prot#'!$A:$AL,29,FALSE)</f>
        <v>215</v>
      </c>
      <c r="AM264" s="5">
        <f>VLOOKUP($A264,'SegEnds_NonXtal_Prot#'!$A:$AL,32,FALSE)</f>
        <v>310</v>
      </c>
      <c r="AN264" s="5">
        <f>VLOOKUP($A264,'SegEnds_NonXtal_Prot#'!$A:$AL,35,FALSE)</f>
        <v>341</v>
      </c>
      <c r="AO264" s="5">
        <f>VLOOKUP($A264,'SegEnds_NonXtal_Prot#'!$A:$AL,38,FALSE)</f>
        <v>353</v>
      </c>
      <c r="AP264" s="5">
        <f t="shared" si="113"/>
        <v>28</v>
      </c>
      <c r="AQ264" s="4">
        <f t="shared" si="114"/>
        <v>3</v>
      </c>
      <c r="AR264" s="4">
        <f t="shared" si="115"/>
        <v>30</v>
      </c>
      <c r="AS264" s="4" t="str">
        <f t="shared" si="116"/>
        <v>-</v>
      </c>
      <c r="AT264" s="4">
        <f t="shared" si="117"/>
        <v>38</v>
      </c>
      <c r="AU264" s="4">
        <f t="shared" si="118"/>
        <v>8</v>
      </c>
      <c r="AV264" s="4">
        <f t="shared" si="119"/>
        <v>26</v>
      </c>
      <c r="AW264" s="4">
        <f t="shared" si="120"/>
        <v>2</v>
      </c>
      <c r="AX264" s="4">
        <f t="shared" si="121"/>
        <v>41</v>
      </c>
      <c r="AY264" s="4">
        <f t="shared" si="122"/>
        <v>37</v>
      </c>
      <c r="AZ264" s="4">
        <f t="shared" si="123"/>
        <v>25</v>
      </c>
      <c r="BA264" s="4">
        <f t="shared" si="124"/>
        <v>11</v>
      </c>
    </row>
    <row r="265" spans="1:53" x14ac:dyDescent="0.2">
      <c r="A265" s="1" t="str">
        <f>'SegEnds_NonXtal_Prot#'!A255</f>
        <v>hrh3_human</v>
      </c>
      <c r="B265" s="1" t="str">
        <f t="shared" si="100"/>
        <v>VLAALMALLIVATVLGNALVMLAFVADTQNNFFLLNLAISDFLVGAFCIPLYVPYVLTGRGLCKLWLVVDYLLCTSSAFNIVLISYDRFLSVTRDTRRAVRKMLLVWVLAFLLYGPAILSNWYFLITASTLEFFTPFLSVTFFNLSIYLNIQRRTRLRLDGRFRLSRDRKVAKSLAVIVSIFGLCWAPYTLLMIIRAACPDYWYETSFWLLWANSAVNPVLYPLCHHSFRRAFTKLLC</v>
      </c>
      <c r="C265" s="29" t="str">
        <f>IF(ISERROR(MATCH(A265,'SegEnds_Xtal_Prot#'!B:B, 0)), "NoXtal", "Xtal")</f>
        <v>NoXtal</v>
      </c>
      <c r="D265" s="4" t="str">
        <f>VLOOKUP(A265,Classification!A:D,2,FALSE)</f>
        <v>A</v>
      </c>
      <c r="E265" s="5" t="str">
        <f>VLOOKUP(A265,Seqs!A:B,2,FALSE)</f>
        <v>MERAPPDGPLNASGALAGEAAAAGGARGFSAAWTAVLAALMALLIVATVLGNALVMLAFVADSSLRTQNNFFLLNLAISDFLVGAFCIPLYVPYVLTGRWTFGRGLCKLWLVVDYLLCTSSAFNIVLISYDRFLSVTRAVSYRAQQGDTRRAVRKMLLVWVLAFLLYGPAILSWEYLSGGSSIPEGHCYAEFFYNWYFLITASTLEFFTPFLSVTFFNLSIYLNIQRRTRLRLDGAREAAGPEPPPEAQPSPPPPPGCWGCWQKGHGEAMPLHRYGVGEAAVGAEAGEATLGGGGGGGSVASPTSSSGSSSRGTERPRSLKRGSKPSASSASLEKRMKMVSQSFTQRFRLSRDRKVAKSLAVIVSIFGLCWAPYTLLMIIRAACHGHCVPDYWYETSFWLLWANSAVNPVLYPLCHHSFRRAFTKLLCPQKLKIQPHSSLEHCWK</v>
      </c>
      <c r="F265" s="5" t="str">
        <f t="shared" si="101"/>
        <v>VLAALMALLIVATVLGNALVMLAFVAD</v>
      </c>
      <c r="G265" s="4" t="str">
        <f t="shared" si="102"/>
        <v>SSLR</v>
      </c>
      <c r="H265" s="4" t="str">
        <f t="shared" si="103"/>
        <v>TQNNFFLLNLAISDFLVGAFCIPLYVPYVLT</v>
      </c>
      <c r="I265" s="4" t="str">
        <f t="shared" si="104"/>
        <v>RWTF</v>
      </c>
      <c r="J265" s="4" t="str">
        <f t="shared" si="105"/>
        <v>GRGLCKLWLVVDYLLCTSSAFNIVLISYDRFLSVTR</v>
      </c>
      <c r="K265" s="4" t="str">
        <f t="shared" si="106"/>
        <v>AVSYRAQQG</v>
      </c>
      <c r="L265" s="4" t="str">
        <f t="shared" si="107"/>
        <v>DTRRAVRKMLLVWVLAFLLYGPAILS</v>
      </c>
      <c r="M265" s="4" t="str">
        <f t="shared" si="108"/>
        <v>CYA</v>
      </c>
      <c r="N265" s="4" t="str">
        <f t="shared" si="109"/>
        <v>NWYFLITASTLEFFTPFLSVTFFNLSIYLNIQRRTRLRLDG</v>
      </c>
      <c r="O265" s="4" t="str">
        <f t="shared" si="110"/>
        <v>RFRLSRDRKVAKSLAVIVSIFGLCWAPYTLLMIIRAAC</v>
      </c>
      <c r="P265" s="4" t="str">
        <f t="shared" si="111"/>
        <v>PDYWYETSFWLLWANSAVNPVLYPLC</v>
      </c>
      <c r="Q265" s="4" t="str">
        <f t="shared" si="112"/>
        <v>HHSFRRAFTKLLC</v>
      </c>
      <c r="R265" s="5">
        <f>VLOOKUP($A265,'SegEnds_NonXtal_Prot#'!$A:$AL,3,FALSE)</f>
        <v>36</v>
      </c>
      <c r="S265" s="5">
        <f>VLOOKUP($A265,'SegEnds_NonXtal_Prot#'!$A:$AL,6,FALSE)</f>
        <v>63</v>
      </c>
      <c r="T265" s="5">
        <f>VLOOKUP($A265,'SegEnds_NonXtal_Prot#'!$A:$AL,9,FALSE)</f>
        <v>67</v>
      </c>
      <c r="U265" s="5">
        <f>VLOOKUP($A265,'SegEnds_NonXtal_Prot#'!$A:$AL,12,FALSE)</f>
        <v>99</v>
      </c>
      <c r="V265" s="5">
        <f>VLOOKUP($A265,'SegEnds_NonXtal_Prot#'!$A:$AL,15,FALSE)</f>
        <v>103</v>
      </c>
      <c r="W265" s="5">
        <f>VLOOKUP($A265,'SegEnds_NonXtal_Prot#'!$A:$AL,18,FALSE)</f>
        <v>139</v>
      </c>
      <c r="X265" s="5">
        <f>VLOOKUP($A265,'SegEnds_NonXtal_Prot#'!$A:$AL,21,FALSE)</f>
        <v>148</v>
      </c>
      <c r="Y265" s="5">
        <f>VLOOKUP($A265,'SegEnds_NonXtal_Prot#'!$A:$AL,24,FALSE)</f>
        <v>188</v>
      </c>
      <c r="Z265" s="5">
        <f>VLOOKUP($A265,'SegEnds_NonXtal_Prot#'!$A:$AL,27,FALSE)</f>
        <v>195</v>
      </c>
      <c r="AA265" s="5">
        <f>VLOOKUP($A265,'SegEnds_NonXtal_Prot#'!$A:$AL,30,FALSE)</f>
        <v>347</v>
      </c>
      <c r="AB265" s="5">
        <f>VLOOKUP($A265,'SegEnds_NonXtal_Prot#'!$A:$AL,33,FALSE)</f>
        <v>390</v>
      </c>
      <c r="AC265" s="5">
        <f>VLOOKUP($A265,'SegEnds_NonXtal_Prot#'!$A:$AL,36,FALSE)</f>
        <v>416</v>
      </c>
      <c r="AD265" s="5">
        <f>VLOOKUP($A265,'SegEnds_NonXtal_Prot#'!$A:$AL,5,FALSE)</f>
        <v>62</v>
      </c>
      <c r="AE265" s="5">
        <f>VLOOKUP($A265,'SegEnds_NonXtal_Prot#'!$A:$AL,8,FALSE)</f>
        <v>66</v>
      </c>
      <c r="AF265" s="5">
        <f>VLOOKUP($A265,'SegEnds_NonXtal_Prot#'!$A:$AL,11,FALSE)</f>
        <v>97</v>
      </c>
      <c r="AG265" s="5">
        <f>VLOOKUP($A265,'SegEnds_NonXtal_Prot#'!$A:$AL,14,FALSE)</f>
        <v>102</v>
      </c>
      <c r="AH265" s="5">
        <f>VLOOKUP($A265,'SegEnds_NonXtal_Prot#'!$A:$AL,17,FALSE)</f>
        <v>138</v>
      </c>
      <c r="AI265" s="5">
        <f>VLOOKUP($A265,'SegEnds_NonXtal_Prot#'!$A:$AL,20,FALSE)</f>
        <v>147</v>
      </c>
      <c r="AJ265" s="5">
        <f>VLOOKUP($A265,'SegEnds_NonXtal_Prot#'!$A:$AL,23,FALSE)</f>
        <v>173</v>
      </c>
      <c r="AK265" s="5">
        <f>VLOOKUP($A265,'SegEnds_NonXtal_Prot#'!$A:$AL,26,FALSE)</f>
        <v>190</v>
      </c>
      <c r="AL265" s="5">
        <f>VLOOKUP($A265,'SegEnds_NonXtal_Prot#'!$A:$AL,29,FALSE)</f>
        <v>235</v>
      </c>
      <c r="AM265" s="5">
        <f>VLOOKUP($A265,'SegEnds_NonXtal_Prot#'!$A:$AL,32,FALSE)</f>
        <v>384</v>
      </c>
      <c r="AN265" s="5">
        <f>VLOOKUP($A265,'SegEnds_NonXtal_Prot#'!$A:$AL,35,FALSE)</f>
        <v>415</v>
      </c>
      <c r="AO265" s="5">
        <f>VLOOKUP($A265,'SegEnds_NonXtal_Prot#'!$A:$AL,38,FALSE)</f>
        <v>428</v>
      </c>
      <c r="AP265" s="5">
        <f t="shared" si="113"/>
        <v>26</v>
      </c>
      <c r="AQ265" s="4">
        <f t="shared" si="114"/>
        <v>3</v>
      </c>
      <c r="AR265" s="4">
        <f t="shared" si="115"/>
        <v>30</v>
      </c>
      <c r="AS265" s="4">
        <f t="shared" si="116"/>
        <v>3</v>
      </c>
      <c r="AT265" s="4">
        <f t="shared" si="117"/>
        <v>35</v>
      </c>
      <c r="AU265" s="4">
        <f t="shared" si="118"/>
        <v>8</v>
      </c>
      <c r="AV265" s="4">
        <f t="shared" si="119"/>
        <v>25</v>
      </c>
      <c r="AW265" s="4">
        <f t="shared" si="120"/>
        <v>2</v>
      </c>
      <c r="AX265" s="4">
        <f t="shared" si="121"/>
        <v>40</v>
      </c>
      <c r="AY265" s="4">
        <f t="shared" si="122"/>
        <v>37</v>
      </c>
      <c r="AZ265" s="4">
        <f t="shared" si="123"/>
        <v>25</v>
      </c>
      <c r="BA265" s="4">
        <f t="shared" si="124"/>
        <v>12</v>
      </c>
    </row>
    <row r="266" spans="1:53" x14ac:dyDescent="0.2">
      <c r="A266" s="1" t="str">
        <f>'SegEnds_NonXtal_Prot#'!A256</f>
        <v>hrh4_human</v>
      </c>
      <c r="B266" s="1" t="str">
        <f t="shared" si="100"/>
        <v>LSTRVTLAFFMSLVAFAIMLGNALVILAFVVDHRSSYFFLNLAISDFFVGVISIPLYIPHTLGKEICVFWLTTDYLLCTASVYNIVLISYDRYLSVSNGVLKIVTLMVAVWVLAFLVNGPMILVEWYILAITSFLEFVIPVILVAYFNMNIYWSLWKRDHLSRCQSHVELLRARRLAKSLAILLGVFAVCWAPYSLFTIVLSFYKSVWYRIAFWLQWFNSFVNPLLYPLCHKRFQKAFLKIF</v>
      </c>
      <c r="C266" s="29" t="str">
        <f>IF(ISERROR(MATCH(A266,'SegEnds_Xtal_Prot#'!B:B, 0)), "NoXtal", "Xtal")</f>
        <v>NoXtal</v>
      </c>
      <c r="D266" s="4" t="str">
        <f>VLOOKUP(A266,Classification!A:D,2,FALSE)</f>
        <v>A</v>
      </c>
      <c r="E266" s="5" t="str">
        <f>VLOOKUP(A266,Seqs!A:B,2,FALSE)</f>
        <v>MPDTNSTINLSLSTRVTLAFFMSLVAFAIMLGNALVILAFVVDKNLRHRSSYFFLNLAISDFFVGVISIPLYIPHTLFEWDFGKEICVFWLTTDYLLCTASVYNIVLISYDRYLSVSNAVSYRTQHTGVLKIVTLMVAVWVLAFLVNGPMILVSESWKDEGSECEPGFFSEWYILAITSFLEFVIPVILVAYFNMNIYWSLWKRDHLSRCQSHPGLTAVSSNICGHSFRGRLSSRRSLSASTEVPASFHSERQRRKSSLMFSSRTKMNSNTIASKMGSFSQSDSVALHQREHVELLRARRLAKSLAILLGVFAVCWAPYSLFTIVLSFYSSATGPKSVWYRIAFWLQWFNSFVNPLLYPLCHKRFQKAFLKIFCIKKQPLPSQHSRSVSS</v>
      </c>
      <c r="F266" s="5" t="str">
        <f t="shared" si="101"/>
        <v>LSTRVTLAFFMSLVAFAIMLGNALVILAFVVD</v>
      </c>
      <c r="G266" s="4" t="str">
        <f t="shared" si="102"/>
        <v>KNLR</v>
      </c>
      <c r="H266" s="4" t="str">
        <f t="shared" si="103"/>
        <v>HRSSYFFLNLAISDFFVGVISIPLYIPHTL</v>
      </c>
      <c r="I266" s="4" t="str">
        <f t="shared" si="104"/>
        <v>EWDF</v>
      </c>
      <c r="J266" s="4" t="str">
        <f t="shared" si="105"/>
        <v>GKEICVFWLTTDYLLCTASVYNIVLISYDRYLSVSN</v>
      </c>
      <c r="K266" s="4" t="str">
        <f t="shared" si="106"/>
        <v>AVSYRTQHT</v>
      </c>
      <c r="L266" s="4" t="str">
        <f t="shared" si="107"/>
        <v>GVLKIVTLMVAVWVLAFLVNGPMILV</v>
      </c>
      <c r="M266" s="4" t="str">
        <f t="shared" si="108"/>
        <v>CEP</v>
      </c>
      <c r="N266" s="4" t="str">
        <f t="shared" si="109"/>
        <v>EWYILAITSFLEFVIPVILVAYFNMNIYWSLWKRDHLSRCQS</v>
      </c>
      <c r="O266" s="4" t="str">
        <f t="shared" si="110"/>
        <v>HVELLRARRLAKSLAILLGVFAVCWAPYSLFTIVLSFY</v>
      </c>
      <c r="P266" s="4" t="str">
        <f t="shared" si="111"/>
        <v>KSVWYRIAFWLQWFNSFVNPLLYPLC</v>
      </c>
      <c r="Q266" s="4" t="str">
        <f t="shared" si="112"/>
        <v>HKRFQKAFLKIF</v>
      </c>
      <c r="R266" s="5">
        <f>VLOOKUP($A266,'SegEnds_NonXtal_Prot#'!$A:$AL,3,FALSE)</f>
        <v>12</v>
      </c>
      <c r="S266" s="5">
        <f>VLOOKUP($A266,'SegEnds_NonXtal_Prot#'!$A:$AL,6,FALSE)</f>
        <v>44</v>
      </c>
      <c r="T266" s="5">
        <f>VLOOKUP($A266,'SegEnds_NonXtal_Prot#'!$A:$AL,9,FALSE)</f>
        <v>48</v>
      </c>
      <c r="U266" s="5">
        <f>VLOOKUP($A266,'SegEnds_NonXtal_Prot#'!$A:$AL,12,FALSE)</f>
        <v>79</v>
      </c>
      <c r="V266" s="5">
        <f>VLOOKUP($A266,'SegEnds_NonXtal_Prot#'!$A:$AL,15,FALSE)</f>
        <v>83</v>
      </c>
      <c r="W266" s="5">
        <f>VLOOKUP($A266,'SegEnds_NonXtal_Prot#'!$A:$AL,18,FALSE)</f>
        <v>119</v>
      </c>
      <c r="X266" s="5">
        <f>VLOOKUP($A266,'SegEnds_NonXtal_Prot#'!$A:$AL,21,FALSE)</f>
        <v>128</v>
      </c>
      <c r="Y266" s="5">
        <f>VLOOKUP($A266,'SegEnds_NonXtal_Prot#'!$A:$AL,24,FALSE)</f>
        <v>164</v>
      </c>
      <c r="Z266" s="5">
        <f>VLOOKUP($A266,'SegEnds_NonXtal_Prot#'!$A:$AL,27,FALSE)</f>
        <v>171</v>
      </c>
      <c r="AA266" s="5">
        <f>VLOOKUP($A266,'SegEnds_NonXtal_Prot#'!$A:$AL,30,FALSE)</f>
        <v>292</v>
      </c>
      <c r="AB266" s="5">
        <f>VLOOKUP($A266,'SegEnds_NonXtal_Prot#'!$A:$AL,33,FALSE)</f>
        <v>336</v>
      </c>
      <c r="AC266" s="5">
        <f>VLOOKUP($A266,'SegEnds_NonXtal_Prot#'!$A:$AL,36,FALSE)</f>
        <v>362</v>
      </c>
      <c r="AD266" s="5">
        <f>VLOOKUP($A266,'SegEnds_NonXtal_Prot#'!$A:$AL,5,FALSE)</f>
        <v>43</v>
      </c>
      <c r="AE266" s="5">
        <f>VLOOKUP($A266,'SegEnds_NonXtal_Prot#'!$A:$AL,8,FALSE)</f>
        <v>47</v>
      </c>
      <c r="AF266" s="5">
        <f>VLOOKUP($A266,'SegEnds_NonXtal_Prot#'!$A:$AL,11,FALSE)</f>
        <v>77</v>
      </c>
      <c r="AG266" s="5">
        <f>VLOOKUP($A266,'SegEnds_NonXtal_Prot#'!$A:$AL,14,FALSE)</f>
        <v>82</v>
      </c>
      <c r="AH266" s="5">
        <f>VLOOKUP($A266,'SegEnds_NonXtal_Prot#'!$A:$AL,17,FALSE)</f>
        <v>118</v>
      </c>
      <c r="AI266" s="5">
        <f>VLOOKUP($A266,'SegEnds_NonXtal_Prot#'!$A:$AL,20,FALSE)</f>
        <v>127</v>
      </c>
      <c r="AJ266" s="5">
        <f>VLOOKUP($A266,'SegEnds_NonXtal_Prot#'!$A:$AL,23,FALSE)</f>
        <v>153</v>
      </c>
      <c r="AK266" s="5">
        <f>VLOOKUP($A266,'SegEnds_NonXtal_Prot#'!$A:$AL,26,FALSE)</f>
        <v>166</v>
      </c>
      <c r="AL266" s="5">
        <f>VLOOKUP($A266,'SegEnds_NonXtal_Prot#'!$A:$AL,29,FALSE)</f>
        <v>212</v>
      </c>
      <c r="AM266" s="5">
        <f>VLOOKUP($A266,'SegEnds_NonXtal_Prot#'!$A:$AL,32,FALSE)</f>
        <v>329</v>
      </c>
      <c r="AN266" s="5">
        <f>VLOOKUP($A266,'SegEnds_NonXtal_Prot#'!$A:$AL,35,FALSE)</f>
        <v>361</v>
      </c>
      <c r="AO266" s="5">
        <f>VLOOKUP($A266,'SegEnds_NonXtal_Prot#'!$A:$AL,38,FALSE)</f>
        <v>373</v>
      </c>
      <c r="AP266" s="5">
        <f t="shared" si="113"/>
        <v>31</v>
      </c>
      <c r="AQ266" s="4">
        <f t="shared" si="114"/>
        <v>3</v>
      </c>
      <c r="AR266" s="4">
        <f t="shared" si="115"/>
        <v>29</v>
      </c>
      <c r="AS266" s="4">
        <f t="shared" si="116"/>
        <v>3</v>
      </c>
      <c r="AT266" s="4">
        <f t="shared" si="117"/>
        <v>35</v>
      </c>
      <c r="AU266" s="4">
        <f t="shared" si="118"/>
        <v>8</v>
      </c>
      <c r="AV266" s="4">
        <f t="shared" si="119"/>
        <v>25</v>
      </c>
      <c r="AW266" s="4">
        <f t="shared" si="120"/>
        <v>2</v>
      </c>
      <c r="AX266" s="4">
        <f t="shared" si="121"/>
        <v>41</v>
      </c>
      <c r="AY266" s="4">
        <f t="shared" si="122"/>
        <v>37</v>
      </c>
      <c r="AZ266" s="4">
        <f t="shared" si="123"/>
        <v>25</v>
      </c>
      <c r="BA266" s="4">
        <f t="shared" si="124"/>
        <v>11</v>
      </c>
    </row>
    <row r="267" spans="1:53" x14ac:dyDescent="0.2">
      <c r="A267" s="1" t="str">
        <f>'SegEnds_NonXtal_Prot#'!A257</f>
        <v>p2ry6_human</v>
      </c>
      <c r="B267" s="1" t="str">
        <f t="shared" si="100"/>
        <v>FKQLLLPPVYSAVLAAGLPLNICVITQICTSTRTAVYTLNLALADLLYACSLPLLIYNYAQGDFACRLVRFLFYANLHGSILFLTCISFQRYLGICHGRRAAWLVCVAVWLAVTTQCLPTAIFAATHYMPYGMALTVIGFLLPFAALLACYCLLACRLCRQDGPARRGKAARMAVVVAAAFAISFLPFHITKTAYLAVRSTPCTVLEAFAAAYKGTRPFASANSVLDPILFYFTQKKFRRRPHELLQ</v>
      </c>
      <c r="C267" s="29" t="str">
        <f>IF(ISERROR(MATCH(A267,'SegEnds_Xtal_Prot#'!B:B, 0)), "NoXtal", "Xtal")</f>
        <v>NoXtal</v>
      </c>
      <c r="D267" s="4" t="str">
        <f>VLOOKUP(A267,Classification!A:D,2,FALSE)</f>
        <v>A</v>
      </c>
      <c r="E267" s="5" t="str">
        <f>VLOOKUP(A267,Seqs!A:B,2,FALSE)</f>
        <v>MEWDNGTGQALGLPPTTCVYRENFKQLLLPPVYSAVLAAGLPLNICVITQICTSRRALTRTAVYTLNLALADLLYACSLPLLIYNYAQGDHWPFGDFACRLVRFLFYANLHGSILFLTCISFQRYLGICHPLAPWHKRGGRRAAWLVCVAVWLAVTTQCLPTAIFAATGIQRNRTVCYDLSPPALATHYMPYGMALTVIGFLLPFAALLACYCLLACRLCRQDGPAEPVAQERRGKAARMAVVVAAAFAISFLPFHITKTAYLAVRSTPGVPCTVLEAFAAAYKGTRPFASANSVLDPILFYFTQKKFRRRPHELLQKLTAKWQRQGR</v>
      </c>
      <c r="F267" s="5" t="str">
        <f t="shared" si="101"/>
        <v>FKQLLLPPVYSAVLAAGLPLNICVITQICTS</v>
      </c>
      <c r="G267" s="4" t="str">
        <f t="shared" si="102"/>
        <v>RRAL</v>
      </c>
      <c r="H267" s="4" t="str">
        <f t="shared" si="103"/>
        <v>TRTAVYTLNLALADLLYACSLPLLIYNYAQ</v>
      </c>
      <c r="I267" s="4" t="str">
        <f t="shared" si="104"/>
        <v>HWPF</v>
      </c>
      <c r="J267" s="4" t="str">
        <f t="shared" si="105"/>
        <v>GDFACRLVRFLFYANLHGSILFLTCISFQRYLGICH</v>
      </c>
      <c r="K267" s="4" t="str">
        <f t="shared" si="106"/>
        <v>PLAPWHKRG</v>
      </c>
      <c r="L267" s="4" t="str">
        <f t="shared" si="107"/>
        <v>GRRAAWLVCVAVWLAVTTQCLPTAIFA</v>
      </c>
      <c r="M267" s="4" t="str">
        <f t="shared" si="108"/>
        <v>CYD</v>
      </c>
      <c r="N267" s="4" t="str">
        <f t="shared" si="109"/>
        <v>ATHYMPYGMALTVIGFLLPFAALLACYCLLACRLCRQDGPA</v>
      </c>
      <c r="O267" s="4" t="str">
        <f t="shared" si="110"/>
        <v>RRGKAARMAVVVAAAFAISFLPFHITKTAYLAVRST</v>
      </c>
      <c r="P267" s="4" t="str">
        <f t="shared" si="111"/>
        <v>PCTVLEAFAAAYKGTRPFASANSVLDPILFYFT</v>
      </c>
      <c r="Q267" s="4" t="str">
        <f t="shared" si="112"/>
        <v>QKKFRRRPHELLQ</v>
      </c>
      <c r="R267" s="5">
        <f>VLOOKUP($A267,'SegEnds_NonXtal_Prot#'!$A:$AL,3,FALSE)</f>
        <v>24</v>
      </c>
      <c r="S267" s="5">
        <f>VLOOKUP($A267,'SegEnds_NonXtal_Prot#'!$A:$AL,6,FALSE)</f>
        <v>55</v>
      </c>
      <c r="T267" s="5">
        <f>VLOOKUP($A267,'SegEnds_NonXtal_Prot#'!$A:$AL,9,FALSE)</f>
        <v>59</v>
      </c>
      <c r="U267" s="5">
        <f>VLOOKUP($A267,'SegEnds_NonXtal_Prot#'!$A:$AL,12,FALSE)</f>
        <v>91</v>
      </c>
      <c r="V267" s="5">
        <f>VLOOKUP($A267,'SegEnds_NonXtal_Prot#'!$A:$AL,15,FALSE)</f>
        <v>95</v>
      </c>
      <c r="W267" s="5">
        <f>VLOOKUP($A267,'SegEnds_NonXtal_Prot#'!$A:$AL,18,FALSE)</f>
        <v>131</v>
      </c>
      <c r="X267" s="5">
        <f>VLOOKUP($A267,'SegEnds_NonXtal_Prot#'!$A:$AL,21,FALSE)</f>
        <v>140</v>
      </c>
      <c r="Y267" s="5">
        <f>VLOOKUP($A267,'SegEnds_NonXtal_Prot#'!$A:$AL,24,FALSE)</f>
        <v>177</v>
      </c>
      <c r="Z267" s="5">
        <f>VLOOKUP($A267,'SegEnds_NonXtal_Prot#'!$A:$AL,27,FALSE)</f>
        <v>186</v>
      </c>
      <c r="AA267" s="5">
        <f>VLOOKUP($A267,'SegEnds_NonXtal_Prot#'!$A:$AL,30,FALSE)</f>
        <v>233</v>
      </c>
      <c r="AB267" s="5">
        <f>VLOOKUP($A267,'SegEnds_NonXtal_Prot#'!$A:$AL,33,FALSE)</f>
        <v>272</v>
      </c>
      <c r="AC267" s="5">
        <f>VLOOKUP($A267,'SegEnds_NonXtal_Prot#'!$A:$AL,36,FALSE)</f>
        <v>305</v>
      </c>
      <c r="AD267" s="5">
        <f>VLOOKUP($A267,'SegEnds_NonXtal_Prot#'!$A:$AL,5,FALSE)</f>
        <v>54</v>
      </c>
      <c r="AE267" s="5">
        <f>VLOOKUP($A267,'SegEnds_NonXtal_Prot#'!$A:$AL,8,FALSE)</f>
        <v>58</v>
      </c>
      <c r="AF267" s="5">
        <f>VLOOKUP($A267,'SegEnds_NonXtal_Prot#'!$A:$AL,11,FALSE)</f>
        <v>88</v>
      </c>
      <c r="AG267" s="5">
        <f>VLOOKUP($A267,'SegEnds_NonXtal_Prot#'!$A:$AL,14,FALSE)</f>
        <v>94</v>
      </c>
      <c r="AH267" s="5">
        <f>VLOOKUP($A267,'SegEnds_NonXtal_Prot#'!$A:$AL,17,FALSE)</f>
        <v>130</v>
      </c>
      <c r="AI267" s="5">
        <f>VLOOKUP($A267,'SegEnds_NonXtal_Prot#'!$A:$AL,20,FALSE)</f>
        <v>139</v>
      </c>
      <c r="AJ267" s="5">
        <f>VLOOKUP($A267,'SegEnds_NonXtal_Prot#'!$A:$AL,23,FALSE)</f>
        <v>166</v>
      </c>
      <c r="AK267" s="5">
        <f>VLOOKUP($A267,'SegEnds_NonXtal_Prot#'!$A:$AL,26,FALSE)</f>
        <v>179</v>
      </c>
      <c r="AL267" s="5">
        <f>VLOOKUP($A267,'SegEnds_NonXtal_Prot#'!$A:$AL,29,FALSE)</f>
        <v>226</v>
      </c>
      <c r="AM267" s="5">
        <f>VLOOKUP($A267,'SegEnds_NonXtal_Prot#'!$A:$AL,32,FALSE)</f>
        <v>268</v>
      </c>
      <c r="AN267" s="5">
        <f>VLOOKUP($A267,'SegEnds_NonXtal_Prot#'!$A:$AL,35,FALSE)</f>
        <v>304</v>
      </c>
      <c r="AO267" s="5">
        <f>VLOOKUP($A267,'SegEnds_NonXtal_Prot#'!$A:$AL,38,FALSE)</f>
        <v>317</v>
      </c>
      <c r="AP267" s="5">
        <f t="shared" si="113"/>
        <v>30</v>
      </c>
      <c r="AQ267" s="4">
        <f t="shared" si="114"/>
        <v>3</v>
      </c>
      <c r="AR267" s="4">
        <f t="shared" si="115"/>
        <v>29</v>
      </c>
      <c r="AS267" s="4">
        <f t="shared" si="116"/>
        <v>3</v>
      </c>
      <c r="AT267" s="4">
        <f t="shared" si="117"/>
        <v>35</v>
      </c>
      <c r="AU267" s="4">
        <f t="shared" si="118"/>
        <v>8</v>
      </c>
      <c r="AV267" s="4">
        <f t="shared" si="119"/>
        <v>26</v>
      </c>
      <c r="AW267" s="4">
        <f t="shared" si="120"/>
        <v>2</v>
      </c>
      <c r="AX267" s="4">
        <f t="shared" si="121"/>
        <v>40</v>
      </c>
      <c r="AY267" s="4">
        <f t="shared" si="122"/>
        <v>35</v>
      </c>
      <c r="AZ267" s="4">
        <f t="shared" si="123"/>
        <v>32</v>
      </c>
      <c r="BA267" s="4">
        <f t="shared" si="124"/>
        <v>12</v>
      </c>
    </row>
    <row r="268" spans="1:53" x14ac:dyDescent="0.2">
      <c r="A268" s="1" t="str">
        <f>'SegEnds_NonXtal_Prot#'!A258</f>
        <v>ccr6_human</v>
      </c>
      <c r="B268" s="1" t="str">
        <f t="shared" si="100"/>
        <v>VRQFSRLFVPIAYSLICVFGLLGNILVVITFAFYSMTDVYLLNMAIADILFVLTLPFWAVSHATSNATCKLLKGIYAINFNCGMLLLTCISMDRYIAIVQTLPRSKIICLVVWGLSVIISSSTFVFNRWKLLMLGLELLFGFFIPLMFMIFCYTFIVKTLVQARHKAIRVIIAVVLVFLACQIPHNMVLLVTAANLGKMSCQSEKLIGYTKTVTEVLAFLHCCLNPVLYAFIGQKFRNYFLKILKDLWCVRRK</v>
      </c>
      <c r="C268" s="29" t="str">
        <f>IF(ISERROR(MATCH(A268,'SegEnds_Xtal_Prot#'!B:B, 0)), "NoXtal", "Xtal")</f>
        <v>NoXtal</v>
      </c>
      <c r="D268" s="4" t="str">
        <f>VLOOKUP(A268,Classification!A:D,2,FALSE)</f>
        <v>A</v>
      </c>
      <c r="E268" s="5" t="str">
        <f>VLOOKUP(A268,Seqs!A:B,2,FALSE)</f>
        <v>MSGESMNFSDVFDSSEDYFVSVNTSYYSVDSEMLLCSLQEVRQFSRLFVPIAYSLICVFGLLGNILVVITFAFYKKARSMTDVYLLNMAIADILFVLTLPFWAVSHATGAWVFSNATCKLLKGIYAINFNCGMLLLTCISMDRYIAIVQATKSFRLRSRTLPRSKIICLVVWGLSVIISSSTFVFNQKYNTQGSDVCEPKYQTVSEPIRWKLLMLGLELLFGFFIPLMFMIFCYTFIVKTLVQAQNSKRHKAIRVIIAVVLVFLACQIPHNMVLLVTAANLGKMNRSCQSEKLIGYTKTVTEVLAFLHCCLNPVLYAFIGQKFRNYFLKILKDLWCVRRKYKSSGFSCAGRYSENISRQTSETADNDNASSFTM</v>
      </c>
      <c r="F268" s="5" t="str">
        <f t="shared" si="101"/>
        <v>VRQFSRLFVPIAYSLICVFGLLGNILVVITFAFY</v>
      </c>
      <c r="G268" s="4" t="str">
        <f t="shared" si="102"/>
        <v>KKAR</v>
      </c>
      <c r="H268" s="4" t="str">
        <f t="shared" si="103"/>
        <v>SMTDVYLLNMAIADILFVLTLPFWAVSHAT</v>
      </c>
      <c r="I268" s="4" t="str">
        <f t="shared" si="104"/>
        <v>AWVF</v>
      </c>
      <c r="J268" s="4" t="str">
        <f t="shared" si="105"/>
        <v>SNATCKLLKGIYAINFNCGMLLLTCISMDRYIAIVQ</v>
      </c>
      <c r="K268" s="4" t="str">
        <f t="shared" si="106"/>
        <v>ATKSFRLRS</v>
      </c>
      <c r="L268" s="4" t="str">
        <f t="shared" si="107"/>
        <v>TLPRSKIICLVVWGLSVIISSSTFVFN</v>
      </c>
      <c r="M268" s="4" t="str">
        <f t="shared" si="108"/>
        <v>CEP</v>
      </c>
      <c r="N268" s="4" t="str">
        <f t="shared" si="109"/>
        <v>RWKLLMLGLELLFGFFIPLMFMIFCYTFIVKTLVQA</v>
      </c>
      <c r="O268" s="4" t="str">
        <f t="shared" si="110"/>
        <v>RHKAIRVIIAVVLVFLACQIPHNMVLLVTAANLGKM</v>
      </c>
      <c r="P268" s="4" t="str">
        <f t="shared" si="111"/>
        <v>SCQSEKLIGYTKTVTEVLAFLHCCLNPVLYAFI</v>
      </c>
      <c r="Q268" s="4" t="str">
        <f t="shared" si="112"/>
        <v>GQKFRNYFLKILKDLWCVRRK</v>
      </c>
      <c r="R268" s="5">
        <f>VLOOKUP($A268,'SegEnds_NonXtal_Prot#'!$A:$AL,3,FALSE)</f>
        <v>41</v>
      </c>
      <c r="S268" s="5">
        <f>VLOOKUP($A268,'SegEnds_NonXtal_Prot#'!$A:$AL,6,FALSE)</f>
        <v>75</v>
      </c>
      <c r="T268" s="5">
        <f>VLOOKUP($A268,'SegEnds_NonXtal_Prot#'!$A:$AL,9,FALSE)</f>
        <v>79</v>
      </c>
      <c r="U268" s="5">
        <f>VLOOKUP($A268,'SegEnds_NonXtal_Prot#'!$A:$AL,12,FALSE)</f>
        <v>110</v>
      </c>
      <c r="V268" s="5">
        <f>VLOOKUP($A268,'SegEnds_NonXtal_Prot#'!$A:$AL,15,FALSE)</f>
        <v>114</v>
      </c>
      <c r="W268" s="5">
        <f>VLOOKUP($A268,'SegEnds_NonXtal_Prot#'!$A:$AL,18,FALSE)</f>
        <v>150</v>
      </c>
      <c r="X268" s="5">
        <f>VLOOKUP($A268,'SegEnds_NonXtal_Prot#'!$A:$AL,21,FALSE)</f>
        <v>160</v>
      </c>
      <c r="Y268" s="5">
        <f>VLOOKUP($A268,'SegEnds_NonXtal_Prot#'!$A:$AL,24,FALSE)</f>
        <v>197</v>
      </c>
      <c r="Z268" s="5">
        <f>VLOOKUP($A268,'SegEnds_NonXtal_Prot#'!$A:$AL,27,FALSE)</f>
        <v>209</v>
      </c>
      <c r="AA268" s="5">
        <f>VLOOKUP($A268,'SegEnds_NonXtal_Prot#'!$A:$AL,30,FALSE)</f>
        <v>249</v>
      </c>
      <c r="AB268" s="5">
        <f>VLOOKUP($A268,'SegEnds_NonXtal_Prot#'!$A:$AL,33,FALSE)</f>
        <v>287</v>
      </c>
      <c r="AC268" s="5">
        <f>VLOOKUP($A268,'SegEnds_NonXtal_Prot#'!$A:$AL,36,FALSE)</f>
        <v>320</v>
      </c>
      <c r="AD268" s="5">
        <f>VLOOKUP($A268,'SegEnds_NonXtal_Prot#'!$A:$AL,5,FALSE)</f>
        <v>74</v>
      </c>
      <c r="AE268" s="5">
        <f>VLOOKUP($A268,'SegEnds_NonXtal_Prot#'!$A:$AL,8,FALSE)</f>
        <v>78</v>
      </c>
      <c r="AF268" s="5">
        <f>VLOOKUP($A268,'SegEnds_NonXtal_Prot#'!$A:$AL,11,FALSE)</f>
        <v>108</v>
      </c>
      <c r="AG268" s="5">
        <f>VLOOKUP($A268,'SegEnds_NonXtal_Prot#'!$A:$AL,14,FALSE)</f>
        <v>113</v>
      </c>
      <c r="AH268" s="5">
        <f>VLOOKUP($A268,'SegEnds_NonXtal_Prot#'!$A:$AL,17,FALSE)</f>
        <v>149</v>
      </c>
      <c r="AI268" s="5">
        <f>VLOOKUP($A268,'SegEnds_NonXtal_Prot#'!$A:$AL,20,FALSE)</f>
        <v>158</v>
      </c>
      <c r="AJ268" s="5">
        <f>VLOOKUP($A268,'SegEnds_NonXtal_Prot#'!$A:$AL,23,FALSE)</f>
        <v>186</v>
      </c>
      <c r="AK268" s="5">
        <f>VLOOKUP($A268,'SegEnds_NonXtal_Prot#'!$A:$AL,26,FALSE)</f>
        <v>199</v>
      </c>
      <c r="AL268" s="5">
        <f>VLOOKUP($A268,'SegEnds_NonXtal_Prot#'!$A:$AL,29,FALSE)</f>
        <v>244</v>
      </c>
      <c r="AM268" s="5">
        <f>VLOOKUP($A268,'SegEnds_NonXtal_Prot#'!$A:$AL,32,FALSE)</f>
        <v>284</v>
      </c>
      <c r="AN268" s="5">
        <f>VLOOKUP($A268,'SegEnds_NonXtal_Prot#'!$A:$AL,35,FALSE)</f>
        <v>319</v>
      </c>
      <c r="AO268" s="5">
        <f>VLOOKUP($A268,'SegEnds_NonXtal_Prot#'!$A:$AL,38,FALSE)</f>
        <v>340</v>
      </c>
      <c r="AP268" s="5">
        <f t="shared" si="113"/>
        <v>33</v>
      </c>
      <c r="AQ268" s="4">
        <f t="shared" si="114"/>
        <v>3</v>
      </c>
      <c r="AR268" s="4">
        <f t="shared" si="115"/>
        <v>29</v>
      </c>
      <c r="AS268" s="4">
        <f t="shared" si="116"/>
        <v>3</v>
      </c>
      <c r="AT268" s="4">
        <f t="shared" si="117"/>
        <v>35</v>
      </c>
      <c r="AU268" s="4">
        <f t="shared" si="118"/>
        <v>8</v>
      </c>
      <c r="AV268" s="4">
        <f t="shared" si="119"/>
        <v>26</v>
      </c>
      <c r="AW268" s="4">
        <f t="shared" si="120"/>
        <v>2</v>
      </c>
      <c r="AX268" s="4">
        <f t="shared" si="121"/>
        <v>35</v>
      </c>
      <c r="AY268" s="4">
        <f t="shared" si="122"/>
        <v>35</v>
      </c>
      <c r="AZ268" s="4">
        <f t="shared" si="123"/>
        <v>32</v>
      </c>
      <c r="BA268" s="4">
        <f t="shared" si="124"/>
        <v>20</v>
      </c>
    </row>
    <row r="269" spans="1:53" x14ac:dyDescent="0.2">
      <c r="A269" s="1" t="str">
        <f>'SegEnds_NonXtal_Prot#'!A259</f>
        <v>ccr7_human</v>
      </c>
      <c r="B269" s="1" t="str">
        <f t="shared" si="100"/>
        <v>VRNFKAWFLPIMYSIICFVGLLGNGLVVLTYIYFTMTDTYLLNLAVADILFLLTLPFWAYSAAKGVHFCKLIFAIYKMSFFSGMLLLLCISIDRYVAIVQVLLISKLSCVGIWILATVLSIPELLYSEAFITIQVAQMVIGFLVPLLAMSFCYLVIIRTLLQARNKAIKVIIAVVVVFIVFQLPYNGVVLAQTVANFNITCELSKQLNIAYDVTYSLACVRCCVNPFLYAFIGVKFRNDLFKLFKDLGCLSQE</v>
      </c>
      <c r="C269" s="29" t="str">
        <f>IF(ISERROR(MATCH(A269,'SegEnds_Xtal_Prot#'!B:B, 0)), "NoXtal", "Xtal")</f>
        <v>NoXtal</v>
      </c>
      <c r="D269" s="4" t="str">
        <f>VLOOKUP(A269,Classification!A:D,2,FALSE)</f>
        <v>A</v>
      </c>
      <c r="E269" s="5" t="str">
        <f>VLOOKUP(A269,Seqs!A:B,2,FALSE)</f>
        <v>MDLGKPMKSVLVVALLVIFQVCLCQDEVTDDYIGDNTTVDYTLFESLCSKKDVRNFKAWFLPIMYSIICFVGLLGNGLVVLTYIYFKRLKTMTDTYLLNLAVADILFLLTLPFWAYSAAKSWVFGVHFCKLIFAIYKMSFFSGMLLLLCISIDRYVAIVQAVSAHRHRARVLLISKLSCVGIWILATVLSIPELLYSDLQRSSSEQAMRCSLITEHVEAFITIQVAQMVIGFLVPLLAMSFCYLVIIRTLLQARNFERNKAIKVIIAVVVVFIVFQLPYNGVVLAQTVANFNITSSTCELSKQLNIAYDVTYSLACVRCCVNPFLYAFIGVKFRNDLFKLFKDLGCLSQEQLRQWSSCRHIRRSSMSVEAETTTTFSP</v>
      </c>
      <c r="F269" s="5" t="str">
        <f t="shared" si="101"/>
        <v>VRNFKAWFLPIMYSIICFVGLLGNGLVVLTYIYF</v>
      </c>
      <c r="G269" s="4" t="str">
        <f t="shared" si="102"/>
        <v>KRLK</v>
      </c>
      <c r="H269" s="4" t="str">
        <f t="shared" si="103"/>
        <v>TMTDTYLLNLAVADILFLLTLPFWAYSAAK</v>
      </c>
      <c r="I269" s="4" t="str">
        <f t="shared" si="104"/>
        <v>SWVF</v>
      </c>
      <c r="J269" s="4" t="str">
        <f t="shared" si="105"/>
        <v>GVHFCKLIFAIYKMSFFSGMLLLLCISIDRYVAIVQ</v>
      </c>
      <c r="K269" s="4" t="str">
        <f t="shared" si="106"/>
        <v>AVSAHRHRA</v>
      </c>
      <c r="L269" s="4" t="str">
        <f t="shared" si="107"/>
        <v>VLLISKLSCVGIWILATVLSIPELLYS</v>
      </c>
      <c r="M269" s="4" t="str">
        <f t="shared" si="108"/>
        <v>CSL</v>
      </c>
      <c r="N269" s="4" t="str">
        <f t="shared" si="109"/>
        <v>EAFITIQVAQMVIGFLVPLLAMSFCYLVIIRTLLQA</v>
      </c>
      <c r="O269" s="4" t="str">
        <f t="shared" si="110"/>
        <v>RNKAIKVIIAVVVVFIVFQLPYNGVVLAQTVANFNI</v>
      </c>
      <c r="P269" s="4" t="str">
        <f t="shared" si="111"/>
        <v>TCELSKQLNIAYDVTYSLACVRCCVNPFLYAFI</v>
      </c>
      <c r="Q269" s="4" t="str">
        <f t="shared" si="112"/>
        <v>GVKFRNDLFKLFKDLGCLSQE</v>
      </c>
      <c r="R269" s="5">
        <f>VLOOKUP($A269,'SegEnds_NonXtal_Prot#'!$A:$AL,3,FALSE)</f>
        <v>53</v>
      </c>
      <c r="S269" s="5">
        <f>VLOOKUP($A269,'SegEnds_NonXtal_Prot#'!$A:$AL,6,FALSE)</f>
        <v>87</v>
      </c>
      <c r="T269" s="5">
        <f>VLOOKUP($A269,'SegEnds_NonXtal_Prot#'!$A:$AL,9,FALSE)</f>
        <v>91</v>
      </c>
      <c r="U269" s="5">
        <f>VLOOKUP($A269,'SegEnds_NonXtal_Prot#'!$A:$AL,12,FALSE)</f>
        <v>121</v>
      </c>
      <c r="V269" s="5">
        <f>VLOOKUP($A269,'SegEnds_NonXtal_Prot#'!$A:$AL,15,FALSE)</f>
        <v>125</v>
      </c>
      <c r="W269" s="5">
        <f>VLOOKUP($A269,'SegEnds_NonXtal_Prot#'!$A:$AL,18,FALSE)</f>
        <v>161</v>
      </c>
      <c r="X269" s="5">
        <f>VLOOKUP($A269,'SegEnds_NonXtal_Prot#'!$A:$AL,21,FALSE)</f>
        <v>171</v>
      </c>
      <c r="Y269" s="5">
        <f>VLOOKUP($A269,'SegEnds_NonXtal_Prot#'!$A:$AL,24,FALSE)</f>
        <v>210</v>
      </c>
      <c r="Z269" s="5">
        <f>VLOOKUP($A269,'SegEnds_NonXtal_Prot#'!$A:$AL,27,FALSE)</f>
        <v>218</v>
      </c>
      <c r="AA269" s="5">
        <f>VLOOKUP($A269,'SegEnds_NonXtal_Prot#'!$A:$AL,30,FALSE)</f>
        <v>258</v>
      </c>
      <c r="AB269" s="5">
        <f>VLOOKUP($A269,'SegEnds_NonXtal_Prot#'!$A:$AL,33,FALSE)</f>
        <v>297</v>
      </c>
      <c r="AC269" s="5">
        <f>VLOOKUP($A269,'SegEnds_NonXtal_Prot#'!$A:$AL,36,FALSE)</f>
        <v>330</v>
      </c>
      <c r="AD269" s="5">
        <f>VLOOKUP($A269,'SegEnds_NonXtal_Prot#'!$A:$AL,5,FALSE)</f>
        <v>86</v>
      </c>
      <c r="AE269" s="5">
        <f>VLOOKUP($A269,'SegEnds_NonXtal_Prot#'!$A:$AL,8,FALSE)</f>
        <v>90</v>
      </c>
      <c r="AF269" s="5">
        <f>VLOOKUP($A269,'SegEnds_NonXtal_Prot#'!$A:$AL,11,FALSE)</f>
        <v>120</v>
      </c>
      <c r="AG269" s="5">
        <f>VLOOKUP($A269,'SegEnds_NonXtal_Prot#'!$A:$AL,14,FALSE)</f>
        <v>124</v>
      </c>
      <c r="AH269" s="5">
        <f>VLOOKUP($A269,'SegEnds_NonXtal_Prot#'!$A:$AL,17,FALSE)</f>
        <v>160</v>
      </c>
      <c r="AI269" s="5">
        <f>VLOOKUP($A269,'SegEnds_NonXtal_Prot#'!$A:$AL,20,FALSE)</f>
        <v>169</v>
      </c>
      <c r="AJ269" s="5">
        <f>VLOOKUP($A269,'SegEnds_NonXtal_Prot#'!$A:$AL,23,FALSE)</f>
        <v>197</v>
      </c>
      <c r="AK269" s="5">
        <f>VLOOKUP($A269,'SegEnds_NonXtal_Prot#'!$A:$AL,26,FALSE)</f>
        <v>212</v>
      </c>
      <c r="AL269" s="5">
        <f>VLOOKUP($A269,'SegEnds_NonXtal_Prot#'!$A:$AL,29,FALSE)</f>
        <v>253</v>
      </c>
      <c r="AM269" s="5">
        <f>VLOOKUP($A269,'SegEnds_NonXtal_Prot#'!$A:$AL,32,FALSE)</f>
        <v>293</v>
      </c>
      <c r="AN269" s="5">
        <f>VLOOKUP($A269,'SegEnds_NonXtal_Prot#'!$A:$AL,35,FALSE)</f>
        <v>329</v>
      </c>
      <c r="AO269" s="5">
        <f>VLOOKUP($A269,'SegEnds_NonXtal_Prot#'!$A:$AL,38,FALSE)</f>
        <v>350</v>
      </c>
      <c r="AP269" s="5">
        <f t="shared" si="113"/>
        <v>33</v>
      </c>
      <c r="AQ269" s="4">
        <f t="shared" si="114"/>
        <v>3</v>
      </c>
      <c r="AR269" s="4">
        <f t="shared" si="115"/>
        <v>29</v>
      </c>
      <c r="AS269" s="4">
        <f t="shared" si="116"/>
        <v>3</v>
      </c>
      <c r="AT269" s="4">
        <f t="shared" si="117"/>
        <v>35</v>
      </c>
      <c r="AU269" s="4">
        <f t="shared" si="118"/>
        <v>8</v>
      </c>
      <c r="AV269" s="4">
        <f t="shared" si="119"/>
        <v>26</v>
      </c>
      <c r="AW269" s="4">
        <f t="shared" si="120"/>
        <v>2</v>
      </c>
      <c r="AX269" s="4">
        <f t="shared" si="121"/>
        <v>35</v>
      </c>
      <c r="AY269" s="4">
        <f t="shared" si="122"/>
        <v>35</v>
      </c>
      <c r="AZ269" s="4">
        <f t="shared" si="123"/>
        <v>32</v>
      </c>
      <c r="BA269" s="4">
        <f t="shared" si="124"/>
        <v>20</v>
      </c>
    </row>
    <row r="270" spans="1:53" x14ac:dyDescent="0.2">
      <c r="A270" s="1" t="str">
        <f>'SegEnds_NonXtal_Prot#'!A260</f>
        <v>ccr9_human</v>
      </c>
      <c r="B270" s="1" t="str">
        <f t="shared" si="100"/>
        <v>VRQFASHFLPPLYWLVFIVGALGNSLVILVYWYCTMTDMFLLNLAIADLLFLVTLPFWAIAAADQTFMCKVVNSMYKMNFYSCVLLIMCISVDRYIAIAQREKRLLYSKMVCFTIWVLAAALCIPEILYSKLKSAVLTLKVILGFFLPFVVMACCYTIIIHTLIQAKHKALKVTITVLTVFVLSQFPYNCILLVQTIDAYAMNCAVSTNIDICFQVTQTIAFFHSCLNPVLYVFVGERFRRDLVKTLKNLGCISQA</v>
      </c>
      <c r="C270" s="29" t="str">
        <f>IF(ISERROR(MATCH(A270,'SegEnds_Xtal_Prot#'!B:B, 0)), "NoXtal", "Xtal")</f>
        <v>Xtal</v>
      </c>
      <c r="D270" s="4" t="str">
        <f>VLOOKUP(A270,Classification!A:D,2,FALSE)</f>
        <v>A</v>
      </c>
      <c r="E270" s="5" t="str">
        <f>VLOOKUP(A270,Seqs!A:B,2,FALSE)</f>
        <v>MTPTDFTSPIPNMADDYGSESTSSMEDYVNFNFTDFYCEKNNVRQFASHFLPPLYWLVFIVGALGNSLVILVYWYCTRVKTMTDMFLLNLAIADLLFLVTLPFWAIAAADQWKFQTFMCKVVNSMYKMNFYSCVLLIMCISVDRYIAIAQAMRAHTWREKRLLYSKMVCFTIWVLAAALCIPEILYSQIKEESGIAICTMVYPSDESTKLKSAVLTLKVILGFFLPFVVMACCYTIIIHTLIQAKKSSKHKALKVTITVLTVFVLSQFPYNCILLVQTIDAYAMFISNCAVSTNIDICFQVTQTIAFFHSCLNPVLYVFVGERFRRDLVKTLKNLGCISQAQWVSFTRREGSLKLSSMLLETTSGALSL</v>
      </c>
      <c r="F270" s="5" t="str">
        <f t="shared" si="101"/>
        <v>VRQFASHFLPPLYWLVFIVGALGNSLVILVYWYC</v>
      </c>
      <c r="G270" s="4" t="str">
        <f t="shared" si="102"/>
        <v>TRVK</v>
      </c>
      <c r="H270" s="4" t="str">
        <f t="shared" si="103"/>
        <v>TMTDMFLLNLAIADLLFLVTLPFWAIAAAD</v>
      </c>
      <c r="I270" s="4" t="str">
        <f t="shared" si="104"/>
        <v>QWKF</v>
      </c>
      <c r="J270" s="4" t="str">
        <f t="shared" si="105"/>
        <v>QTFMCKVVNSMYKMNFYSCVLLIMCISVDRYIAIAQ</v>
      </c>
      <c r="K270" s="4" t="str">
        <f t="shared" si="106"/>
        <v>AMRAHTW</v>
      </c>
      <c r="L270" s="4" t="str">
        <f t="shared" si="107"/>
        <v>REKRLLYSKMVCFTIWVLAAALCIPEILYS</v>
      </c>
      <c r="M270" s="4" t="str">
        <f t="shared" si="108"/>
        <v>CTM</v>
      </c>
      <c r="N270" s="4" t="str">
        <f t="shared" si="109"/>
        <v>KLKSAVLTLKVILGFFLPFVVMACCYTIIIHTLIQA</v>
      </c>
      <c r="O270" s="4" t="str">
        <f t="shared" si="110"/>
        <v>KHKALKVTITVLTVFVLSQFPYNCILLVQTIDAYAM</v>
      </c>
      <c r="P270" s="4" t="str">
        <f t="shared" si="111"/>
        <v>NCAVSTNIDICFQVTQTIAFFHSCLNPVLYVFV</v>
      </c>
      <c r="Q270" s="4" t="str">
        <f t="shared" si="112"/>
        <v>GERFRRDLVKTLKNLGCISQA</v>
      </c>
      <c r="R270" s="5">
        <f>VLOOKUP($A270,'SegEnds_NonXtal_Prot#'!$A:$AL,3,FALSE)</f>
        <v>43</v>
      </c>
      <c r="S270" s="5">
        <f>VLOOKUP($A270,'SegEnds_NonXtal_Prot#'!$A:$AL,6,FALSE)</f>
        <v>77</v>
      </c>
      <c r="T270" s="5">
        <f>VLOOKUP($A270,'SegEnds_NonXtal_Prot#'!$A:$AL,9,FALSE)</f>
        <v>81</v>
      </c>
      <c r="U270" s="5">
        <f>VLOOKUP($A270,'SegEnds_NonXtal_Prot#'!$A:$AL,12,FALSE)</f>
        <v>111</v>
      </c>
      <c r="V270" s="5">
        <f>VLOOKUP($A270,'SegEnds_NonXtal_Prot#'!$A:$AL,15,FALSE)</f>
        <v>115</v>
      </c>
      <c r="W270" s="5">
        <f>VLOOKUP($A270,'SegEnds_NonXtal_Prot#'!$A:$AL,18,FALSE)</f>
        <v>151</v>
      </c>
      <c r="X270" s="5">
        <f>VLOOKUP($A270,'SegEnds_NonXtal_Prot#'!$A:$AL,21,FALSE)</f>
        <v>158</v>
      </c>
      <c r="Y270" s="5">
        <f>VLOOKUP($A270,'SegEnds_NonXtal_Prot#'!$A:$AL,24,FALSE)</f>
        <v>198</v>
      </c>
      <c r="Z270" s="5">
        <f>VLOOKUP($A270,'SegEnds_NonXtal_Prot#'!$A:$AL,27,FALSE)</f>
        <v>209</v>
      </c>
      <c r="AA270" s="5">
        <f>VLOOKUP($A270,'SegEnds_NonXtal_Prot#'!$A:$AL,30,FALSE)</f>
        <v>249</v>
      </c>
      <c r="AB270" s="5">
        <f>VLOOKUP($A270,'SegEnds_NonXtal_Prot#'!$A:$AL,33,FALSE)</f>
        <v>288</v>
      </c>
      <c r="AC270" s="5">
        <f>VLOOKUP($A270,'SegEnds_NonXtal_Prot#'!$A:$AL,36,FALSE)</f>
        <v>321</v>
      </c>
      <c r="AD270" s="5">
        <f>VLOOKUP($A270,'SegEnds_NonXtal_Prot#'!$A:$AL,5,FALSE)</f>
        <v>76</v>
      </c>
      <c r="AE270" s="5">
        <f>VLOOKUP($A270,'SegEnds_NonXtal_Prot#'!$A:$AL,8,FALSE)</f>
        <v>80</v>
      </c>
      <c r="AF270" s="5">
        <f>VLOOKUP($A270,'SegEnds_NonXtal_Prot#'!$A:$AL,11,FALSE)</f>
        <v>110</v>
      </c>
      <c r="AG270" s="5">
        <f>VLOOKUP($A270,'SegEnds_NonXtal_Prot#'!$A:$AL,14,FALSE)</f>
        <v>114</v>
      </c>
      <c r="AH270" s="5">
        <f>VLOOKUP($A270,'SegEnds_NonXtal_Prot#'!$A:$AL,17,FALSE)</f>
        <v>150</v>
      </c>
      <c r="AI270" s="5">
        <f>VLOOKUP($A270,'SegEnds_NonXtal_Prot#'!$A:$AL,20,FALSE)</f>
        <v>157</v>
      </c>
      <c r="AJ270" s="5">
        <f>VLOOKUP($A270,'SegEnds_NonXtal_Prot#'!$A:$AL,23,FALSE)</f>
        <v>187</v>
      </c>
      <c r="AK270" s="5">
        <f>VLOOKUP($A270,'SegEnds_NonXtal_Prot#'!$A:$AL,26,FALSE)</f>
        <v>200</v>
      </c>
      <c r="AL270" s="5">
        <f>VLOOKUP($A270,'SegEnds_NonXtal_Prot#'!$A:$AL,29,FALSE)</f>
        <v>244</v>
      </c>
      <c r="AM270" s="5">
        <f>VLOOKUP($A270,'SegEnds_NonXtal_Prot#'!$A:$AL,32,FALSE)</f>
        <v>284</v>
      </c>
      <c r="AN270" s="5">
        <f>VLOOKUP($A270,'SegEnds_NonXtal_Prot#'!$A:$AL,35,FALSE)</f>
        <v>320</v>
      </c>
      <c r="AO270" s="5">
        <f>VLOOKUP($A270,'SegEnds_NonXtal_Prot#'!$A:$AL,38,FALSE)</f>
        <v>341</v>
      </c>
      <c r="AP270" s="5">
        <f t="shared" si="113"/>
        <v>33</v>
      </c>
      <c r="AQ270" s="4">
        <f t="shared" si="114"/>
        <v>3</v>
      </c>
      <c r="AR270" s="4">
        <f t="shared" si="115"/>
        <v>29</v>
      </c>
      <c r="AS270" s="4">
        <f t="shared" si="116"/>
        <v>3</v>
      </c>
      <c r="AT270" s="4">
        <f t="shared" si="117"/>
        <v>35</v>
      </c>
      <c r="AU270" s="4">
        <f t="shared" si="118"/>
        <v>6</v>
      </c>
      <c r="AV270" s="4">
        <f t="shared" si="119"/>
        <v>29</v>
      </c>
      <c r="AW270" s="4">
        <f t="shared" si="120"/>
        <v>2</v>
      </c>
      <c r="AX270" s="4">
        <f t="shared" si="121"/>
        <v>35</v>
      </c>
      <c r="AY270" s="4">
        <f t="shared" si="122"/>
        <v>35</v>
      </c>
      <c r="AZ270" s="4">
        <f t="shared" si="123"/>
        <v>32</v>
      </c>
      <c r="BA270" s="4">
        <f t="shared" si="124"/>
        <v>20</v>
      </c>
    </row>
    <row r="271" spans="1:53" x14ac:dyDescent="0.2">
      <c r="A271" s="1" t="str">
        <f>'SegEnds_NonXtal_Prot#'!A261</f>
        <v>cxcr6_human</v>
      </c>
      <c r="B271" s="1" t="str">
        <f t="shared" si="100"/>
        <v>FLQFSKVFLPCMYLVVFVCGLVGNSLVLVISIFYSLTDVFLVNLPLADLVFVCTLPFWAYAGIHGQVMCKSLLGIYTINFYTSMLILTCITVDRFIVVVKRMTWGKVTSLLIWVISLLVSLPQIIYGAISTVVLATQMTLGFFLPLLTMIVCYSVIIKTLLHAKHRSLKIIFLVMAVFLLTQMPFNLMKFIRSTHEYYAMTSFHYTIMVTEAIAYLRACLNPVLYAFVSLKFRKNFWKLVKDIGCLPYL</v>
      </c>
      <c r="C271" s="29" t="str">
        <f>IF(ISERROR(MATCH(A271,'SegEnds_Xtal_Prot#'!B:B, 0)), "NoXtal", "Xtal")</f>
        <v>NoXtal</v>
      </c>
      <c r="D271" s="4" t="str">
        <f>VLOOKUP(A271,Classification!A:D,2,FALSE)</f>
        <v>A</v>
      </c>
      <c r="E271" s="5" t="str">
        <f>VLOOKUP(A271,Seqs!A:B,2,FALSE)</f>
        <v>MAEHDYHEDYGFSSFNDSSQEEHQDFLQFSKVFLPCMYLVVFVCGLVGNSLVLVISIFYHKLQSLTDVFLVNLPLADLVFVCTLPFWAYAGIHEWVFGQVMCKSLLGIYTINFYTSMLILTCITVDRFIVVVKATKAYNQQAKRMTWGKVTSLLIWVISLLVSLPQIIYGNVFNLDKLICGYHDEAISTVVLATQMTLGFFLPLLTMIVCYSVIIKTLLHAGGFQKHRSLKIIFLVMAVFLLTQMPFNLMKFIRSTHWEYYAMTSFHYTIMVTEAIAYLRACLNPVLYAFVSLKFRKNFWKLVKDIGCLPYLGVSHQWKSSEDNSKTFSASHNVEATSMFQL</v>
      </c>
      <c r="F271" s="5" t="str">
        <f t="shared" si="101"/>
        <v>FLQFSKVFLPCMYLVVFVCGLVGNSLVLVISIFY</v>
      </c>
      <c r="G271" s="4" t="str">
        <f t="shared" si="102"/>
        <v>HKLQ</v>
      </c>
      <c r="H271" s="4" t="str">
        <f t="shared" si="103"/>
        <v>SLTDVFLVNLPLADLVFVCTLPFWAYAGIH</v>
      </c>
      <c r="I271" s="4" t="str">
        <f t="shared" si="104"/>
        <v>EWVF</v>
      </c>
      <c r="J271" s="4" t="str">
        <f t="shared" si="105"/>
        <v>GQVMCKSLLGIYTINFYTSMLILTCITVDRFIVVVK</v>
      </c>
      <c r="K271" s="4" t="str">
        <f t="shared" si="106"/>
        <v>ATKAYNQQA</v>
      </c>
      <c r="L271" s="4" t="str">
        <f t="shared" si="107"/>
        <v>RMTWGKVTSLLIWVISLLVSLPQIIYG</v>
      </c>
      <c r="M271" s="4" t="str">
        <f t="shared" si="108"/>
        <v>CGY</v>
      </c>
      <c r="N271" s="4" t="str">
        <f t="shared" si="109"/>
        <v>AISTVVLATQMTLGFFLPLLTMIVCYSVIIKTLLHA</v>
      </c>
      <c r="O271" s="4" t="str">
        <f t="shared" si="110"/>
        <v>KHRSLKIIFLVMAVFLLTQMPFNLMKFIRSTH</v>
      </c>
      <c r="P271" s="4" t="str">
        <f t="shared" si="111"/>
        <v>EYYAMTSFHYTIMVTEAIAYLRACLNPVLYAFV</v>
      </c>
      <c r="Q271" s="4" t="str">
        <f t="shared" si="112"/>
        <v>SLKFRKNFWKLVKDIGCLPYL</v>
      </c>
      <c r="R271" s="5">
        <f>VLOOKUP($A271,'SegEnds_NonXtal_Prot#'!$A:$AL,3,FALSE)</f>
        <v>26</v>
      </c>
      <c r="S271" s="5">
        <f>VLOOKUP($A271,'SegEnds_NonXtal_Prot#'!$A:$AL,6,FALSE)</f>
        <v>60</v>
      </c>
      <c r="T271" s="5">
        <f>VLOOKUP($A271,'SegEnds_NonXtal_Prot#'!$A:$AL,9,FALSE)</f>
        <v>64</v>
      </c>
      <c r="U271" s="5">
        <f>VLOOKUP($A271,'SegEnds_NonXtal_Prot#'!$A:$AL,12,FALSE)</f>
        <v>94</v>
      </c>
      <c r="V271" s="5">
        <f>VLOOKUP($A271,'SegEnds_NonXtal_Prot#'!$A:$AL,15,FALSE)</f>
        <v>98</v>
      </c>
      <c r="W271" s="5">
        <f>VLOOKUP($A271,'SegEnds_NonXtal_Prot#'!$A:$AL,18,FALSE)</f>
        <v>134</v>
      </c>
      <c r="X271" s="5">
        <f>VLOOKUP($A271,'SegEnds_NonXtal_Prot#'!$A:$AL,21,FALSE)</f>
        <v>144</v>
      </c>
      <c r="Y271" s="5">
        <f>VLOOKUP($A271,'SegEnds_NonXtal_Prot#'!$A:$AL,24,FALSE)</f>
        <v>180</v>
      </c>
      <c r="Z271" s="5">
        <f>VLOOKUP($A271,'SegEnds_NonXtal_Prot#'!$A:$AL,27,FALSE)</f>
        <v>186</v>
      </c>
      <c r="AA271" s="5">
        <f>VLOOKUP($A271,'SegEnds_NonXtal_Prot#'!$A:$AL,30,FALSE)</f>
        <v>226</v>
      </c>
      <c r="AB271" s="5">
        <f>VLOOKUP($A271,'SegEnds_NonXtal_Prot#'!$A:$AL,33,FALSE)</f>
        <v>259</v>
      </c>
      <c r="AC271" s="5">
        <f>VLOOKUP($A271,'SegEnds_NonXtal_Prot#'!$A:$AL,36,FALSE)</f>
        <v>292</v>
      </c>
      <c r="AD271" s="5">
        <f>VLOOKUP($A271,'SegEnds_NonXtal_Prot#'!$A:$AL,5,FALSE)</f>
        <v>59</v>
      </c>
      <c r="AE271" s="5">
        <f>VLOOKUP($A271,'SegEnds_NonXtal_Prot#'!$A:$AL,8,FALSE)</f>
        <v>63</v>
      </c>
      <c r="AF271" s="5">
        <f>VLOOKUP($A271,'SegEnds_NonXtal_Prot#'!$A:$AL,11,FALSE)</f>
        <v>93</v>
      </c>
      <c r="AG271" s="5">
        <f>VLOOKUP($A271,'SegEnds_NonXtal_Prot#'!$A:$AL,14,FALSE)</f>
        <v>97</v>
      </c>
      <c r="AH271" s="5">
        <f>VLOOKUP($A271,'SegEnds_NonXtal_Prot#'!$A:$AL,17,FALSE)</f>
        <v>133</v>
      </c>
      <c r="AI271" s="5">
        <f>VLOOKUP($A271,'SegEnds_NonXtal_Prot#'!$A:$AL,20,FALSE)</f>
        <v>142</v>
      </c>
      <c r="AJ271" s="5">
        <f>VLOOKUP($A271,'SegEnds_NonXtal_Prot#'!$A:$AL,23,FALSE)</f>
        <v>170</v>
      </c>
      <c r="AK271" s="5">
        <f>VLOOKUP($A271,'SegEnds_NonXtal_Prot#'!$A:$AL,26,FALSE)</f>
        <v>182</v>
      </c>
      <c r="AL271" s="5">
        <f>VLOOKUP($A271,'SegEnds_NonXtal_Prot#'!$A:$AL,29,FALSE)</f>
        <v>221</v>
      </c>
      <c r="AM271" s="5">
        <f>VLOOKUP($A271,'SegEnds_NonXtal_Prot#'!$A:$AL,32,FALSE)</f>
        <v>257</v>
      </c>
      <c r="AN271" s="5">
        <f>VLOOKUP($A271,'SegEnds_NonXtal_Prot#'!$A:$AL,35,FALSE)</f>
        <v>291</v>
      </c>
      <c r="AO271" s="5">
        <f>VLOOKUP($A271,'SegEnds_NonXtal_Prot#'!$A:$AL,38,FALSE)</f>
        <v>312</v>
      </c>
      <c r="AP271" s="5">
        <f t="shared" si="113"/>
        <v>33</v>
      </c>
      <c r="AQ271" s="4">
        <f t="shared" si="114"/>
        <v>3</v>
      </c>
      <c r="AR271" s="4">
        <f t="shared" si="115"/>
        <v>29</v>
      </c>
      <c r="AS271" s="4">
        <f t="shared" si="116"/>
        <v>3</v>
      </c>
      <c r="AT271" s="4">
        <f t="shared" si="117"/>
        <v>35</v>
      </c>
      <c r="AU271" s="4">
        <f t="shared" si="118"/>
        <v>8</v>
      </c>
      <c r="AV271" s="4">
        <f t="shared" si="119"/>
        <v>26</v>
      </c>
      <c r="AW271" s="4">
        <f t="shared" si="120"/>
        <v>2</v>
      </c>
      <c r="AX271" s="4">
        <f t="shared" si="121"/>
        <v>35</v>
      </c>
      <c r="AY271" s="4">
        <f t="shared" si="122"/>
        <v>31</v>
      </c>
      <c r="AZ271" s="4">
        <f t="shared" si="123"/>
        <v>32</v>
      </c>
      <c r="BA271" s="4">
        <f t="shared" si="124"/>
        <v>20</v>
      </c>
    </row>
    <row r="272" spans="1:53" x14ac:dyDescent="0.2">
      <c r="A272" s="1" t="str">
        <f>'SegEnds_NonXtal_Prot#'!A262</f>
        <v>drd3_human</v>
      </c>
      <c r="B272" s="1" t="str">
        <f t="shared" si="100"/>
        <v>ARPHAYYALSYCALILAIVFGNGLVCMAVLKETTTNYLVVSLAVADLLVATLVMPWVVYLEVTSRICCDVFVTLDVMMCTASILNLCAISIDRYTAVVMSCRRVALMITAVWVLAFAVSCPLLFGNPDFVIYSSVVSFYLPFGVTVLVYARIYVVLKQRRRKRILTRRGVPLREKKATQMVAIVLGAFIVCWLPFFLTHVLNTHSPELYSATTWLGYVNSALNPVIYTTFNIEFRKAFLKILS</v>
      </c>
      <c r="C272" s="29" t="str">
        <f>IF(ISERROR(MATCH(A272,'SegEnds_Xtal_Prot#'!B:B, 0)), "NoXtal", "Xtal")</f>
        <v>Xtal</v>
      </c>
      <c r="D272" s="4" t="str">
        <f>VLOOKUP(A272,Classification!A:D,2,FALSE)</f>
        <v>A</v>
      </c>
      <c r="E272" s="5" t="str">
        <f>VLOOKUP(A272,Seqs!A:B,2,FALSE)</f>
        <v>MASLSQLSSHLNYTCGAENSTGASQARPHAYYALSYCALILAIVFGNGLVCMAVLKERALQTTTNYLVVSLAVADLLVATLVMPWVVYLEVTGGVWNFSRICCDVFVTLDVMMCTASILNLCAISIDRYTAVVMPVHYQHGTGQSSCRRVALMITAVWVLAFAVSCPLLFGFNTTGDPTVCSISNPDFVIYSSVVSFYLPFGVTVLVYARIYVVLKQRRRKRILTRQNSQCNSVRPGFPQQTLSPDPAHLELKRYYSICQDTALGGPGFQERGGELKREEKTRNSLSPTIAPKLSLEVRKLSNGRLSTSLKLGPLQPRGVPLREKKATQMVAIVLGAFIVCWLPFFLTHVLNTHCQTCHVSPELYSATTWLGYVNSALNPVIYTTFNIEFRKAFLKILSC</v>
      </c>
      <c r="F272" s="5" t="str">
        <f t="shared" si="101"/>
        <v>ARPHAYYALSYCALILAIVFGNGLVCMAVLKE</v>
      </c>
      <c r="G272" s="4" t="str">
        <f t="shared" si="102"/>
        <v>RALQ</v>
      </c>
      <c r="H272" s="4" t="str">
        <f t="shared" si="103"/>
        <v>TTTNYLVVSLAVADLLVATLVMPWVVYLEVT</v>
      </c>
      <c r="I272" s="4" t="str">
        <f t="shared" si="104"/>
        <v>VWNF</v>
      </c>
      <c r="J272" s="4" t="str">
        <f t="shared" si="105"/>
        <v>SRICCDVFVTLDVMMCTASILNLCAISIDRYTAVVM</v>
      </c>
      <c r="K272" s="4" t="str">
        <f t="shared" si="106"/>
        <v>PVHYQHGTG</v>
      </c>
      <c r="L272" s="4" t="str">
        <f t="shared" si="107"/>
        <v>SCRRVALMITAVWVLAFAVSCPLLFG</v>
      </c>
      <c r="M272" s="4" t="str">
        <f t="shared" si="108"/>
        <v>CSI</v>
      </c>
      <c r="N272" s="4" t="str">
        <f t="shared" si="109"/>
        <v>NPDFVIYSSVVSFYLPFGVTVLVYARIYVVLKQRRRKRILTR</v>
      </c>
      <c r="O272" s="4" t="str">
        <f t="shared" si="110"/>
        <v>RGVPLREKKATQMVAIVLGAFIVCWLPFFLTHVLNTH</v>
      </c>
      <c r="P272" s="4" t="str">
        <f t="shared" si="111"/>
        <v>SPELYSATTWLGYVNSALNPVIYTTF</v>
      </c>
      <c r="Q272" s="4" t="str">
        <f t="shared" si="112"/>
        <v>NIEFRKAFLKILS</v>
      </c>
      <c r="R272" s="5">
        <f>VLOOKUP($A272,'SegEnds_NonXtal_Prot#'!$A:$AL,3,FALSE)</f>
        <v>26</v>
      </c>
      <c r="S272" s="5">
        <f>VLOOKUP($A272,'SegEnds_NonXtal_Prot#'!$A:$AL,6,FALSE)</f>
        <v>58</v>
      </c>
      <c r="T272" s="5">
        <f>VLOOKUP($A272,'SegEnds_NonXtal_Prot#'!$A:$AL,9,FALSE)</f>
        <v>62</v>
      </c>
      <c r="U272" s="5">
        <f>VLOOKUP($A272,'SegEnds_NonXtal_Prot#'!$A:$AL,12,FALSE)</f>
        <v>95</v>
      </c>
      <c r="V272" s="5">
        <f>VLOOKUP($A272,'SegEnds_NonXtal_Prot#'!$A:$AL,15,FALSE)</f>
        <v>99</v>
      </c>
      <c r="W272" s="5">
        <f>VLOOKUP($A272,'SegEnds_NonXtal_Prot#'!$A:$AL,18,FALSE)</f>
        <v>135</v>
      </c>
      <c r="X272" s="5">
        <f>VLOOKUP($A272,'SegEnds_NonXtal_Prot#'!$A:$AL,21,FALSE)</f>
        <v>146</v>
      </c>
      <c r="Y272" s="5">
        <f>VLOOKUP($A272,'SegEnds_NonXtal_Prot#'!$A:$AL,24,FALSE)</f>
        <v>181</v>
      </c>
      <c r="Z272" s="5">
        <f>VLOOKUP($A272,'SegEnds_NonXtal_Prot#'!$A:$AL,27,FALSE)</f>
        <v>185</v>
      </c>
      <c r="AA272" s="5">
        <f>VLOOKUP($A272,'SegEnds_NonXtal_Prot#'!$A:$AL,30,FALSE)</f>
        <v>318</v>
      </c>
      <c r="AB272" s="5">
        <f>VLOOKUP($A272,'SegEnds_NonXtal_Prot#'!$A:$AL,33,FALSE)</f>
        <v>361</v>
      </c>
      <c r="AC272" s="5">
        <f>VLOOKUP($A272,'SegEnds_NonXtal_Prot#'!$A:$AL,36,FALSE)</f>
        <v>387</v>
      </c>
      <c r="AD272" s="5">
        <f>VLOOKUP($A272,'SegEnds_NonXtal_Prot#'!$A:$AL,5,FALSE)</f>
        <v>57</v>
      </c>
      <c r="AE272" s="5">
        <f>VLOOKUP($A272,'SegEnds_NonXtal_Prot#'!$A:$AL,8,FALSE)</f>
        <v>61</v>
      </c>
      <c r="AF272" s="5">
        <f>VLOOKUP($A272,'SegEnds_NonXtal_Prot#'!$A:$AL,11,FALSE)</f>
        <v>92</v>
      </c>
      <c r="AG272" s="5">
        <f>VLOOKUP($A272,'SegEnds_NonXtal_Prot#'!$A:$AL,14,FALSE)</f>
        <v>98</v>
      </c>
      <c r="AH272" s="5">
        <f>VLOOKUP($A272,'SegEnds_NonXtal_Prot#'!$A:$AL,17,FALSE)</f>
        <v>134</v>
      </c>
      <c r="AI272" s="5">
        <f>VLOOKUP($A272,'SegEnds_NonXtal_Prot#'!$A:$AL,20,FALSE)</f>
        <v>143</v>
      </c>
      <c r="AJ272" s="5">
        <f>VLOOKUP($A272,'SegEnds_NonXtal_Prot#'!$A:$AL,23,FALSE)</f>
        <v>171</v>
      </c>
      <c r="AK272" s="5">
        <f>VLOOKUP($A272,'SegEnds_NonXtal_Prot#'!$A:$AL,26,FALSE)</f>
        <v>183</v>
      </c>
      <c r="AL272" s="5">
        <f>VLOOKUP($A272,'SegEnds_NonXtal_Prot#'!$A:$AL,29,FALSE)</f>
        <v>226</v>
      </c>
      <c r="AM272" s="5">
        <f>VLOOKUP($A272,'SegEnds_NonXtal_Prot#'!$A:$AL,32,FALSE)</f>
        <v>354</v>
      </c>
      <c r="AN272" s="5">
        <f>VLOOKUP($A272,'SegEnds_NonXtal_Prot#'!$A:$AL,35,FALSE)</f>
        <v>386</v>
      </c>
      <c r="AO272" s="5">
        <f>VLOOKUP($A272,'SegEnds_NonXtal_Prot#'!$A:$AL,38,FALSE)</f>
        <v>399</v>
      </c>
      <c r="AP272" s="5">
        <f t="shared" si="113"/>
        <v>31</v>
      </c>
      <c r="AQ272" s="4">
        <f t="shared" si="114"/>
        <v>3</v>
      </c>
      <c r="AR272" s="4">
        <f t="shared" si="115"/>
        <v>30</v>
      </c>
      <c r="AS272" s="4">
        <f t="shared" si="116"/>
        <v>3</v>
      </c>
      <c r="AT272" s="4">
        <f t="shared" si="117"/>
        <v>35</v>
      </c>
      <c r="AU272" s="4">
        <f t="shared" si="118"/>
        <v>8</v>
      </c>
      <c r="AV272" s="4">
        <f t="shared" si="119"/>
        <v>25</v>
      </c>
      <c r="AW272" s="4">
        <f t="shared" si="120"/>
        <v>2</v>
      </c>
      <c r="AX272" s="4">
        <f t="shared" si="121"/>
        <v>41</v>
      </c>
      <c r="AY272" s="4">
        <f t="shared" si="122"/>
        <v>36</v>
      </c>
      <c r="AZ272" s="4">
        <f t="shared" si="123"/>
        <v>25</v>
      </c>
      <c r="BA272" s="4">
        <f t="shared" si="124"/>
        <v>12</v>
      </c>
    </row>
    <row r="273" spans="1:53" x14ac:dyDescent="0.2">
      <c r="A273" s="1" t="str">
        <f>'SegEnds_NonXtal_Prot#'!A263</f>
        <v>ackr1_human</v>
      </c>
      <c r="B273" s="1" t="str">
        <f t="shared" si="100"/>
        <v>NLLDDSALPFFILTSVLGILASSTVLFMLFRPCPGWPVLAQLAVGSALFSIVVPVLAPGLGSLCSLGYCVWYGSAFAQALLLGCHASLGHRLGAGVPGLTLGLTVGIWGVAALLTLPVTLASYSTELKALQATHTVACLAIFVLLPLGLFGAKGLKPGPWMNILWAWFIFWWPHGVVLGLDFLVRSKTCLAQQALDLLLNLAEALAILHCVATPLLLALFCHQATRTLLP</v>
      </c>
      <c r="C273" s="29" t="str">
        <f>IF(ISERROR(MATCH(A273,'SegEnds_Xtal_Prot#'!B:B, 0)), "NoXtal", "Xtal")</f>
        <v>NoXtal</v>
      </c>
      <c r="D273" s="4" t="str">
        <f>VLOOKUP(A273,Classification!A:D,2,FALSE)</f>
        <v>A</v>
      </c>
      <c r="E273" s="5" t="str">
        <f>VLOOKUP(A273,Seqs!A:B,2,FALSE)</f>
        <v>MGNCLHRAELSPSTENSSQLDFEDVWNSSYGVNDSFPDGDYGANLEAAAPCHSCNLLDDSALPFFILTSVLGILASSTVLFMLFRPLFRWQLCPGWPVLAQLAVGSALFSIVVPVLAPGLGSTRSSALCSLGYCVWYGSAFAQALLLGCHASLGHRLGAGQVPGLTLGLTVGIWGVAALLTLPVTLASGASGGLCTLIYSTELKALQATHTVACLAIFVLLPLGLFGAKGLKKALGMGPGPWMNILWAWFIFWWPHGVVLGLDFLVRSKLLLLSTCLAQQALDLLLNLAEALAILHCVATPLLLALFCHQATRTLLPSLPLPEGWSSHLDTLGSKS</v>
      </c>
      <c r="F273" s="5" t="str">
        <f t="shared" si="101"/>
        <v>NLLDDSALPFFILTSVLGILASSTVLFMLFRP</v>
      </c>
      <c r="G273" s="4" t="str">
        <f t="shared" si="102"/>
        <v/>
      </c>
      <c r="H273" s="4" t="str">
        <f t="shared" si="103"/>
        <v>CPGWPVLAQLAVGSALFSIVVPVLAPGLGS</v>
      </c>
      <c r="I273" s="4" t="str">
        <f t="shared" si="104"/>
        <v/>
      </c>
      <c r="J273" s="4" t="str">
        <f t="shared" si="105"/>
        <v>LCSLGYCVWYGSAFAQALLLGCHASLGHRLGAG</v>
      </c>
      <c r="K273" s="4" t="str">
        <f t="shared" si="106"/>
        <v/>
      </c>
      <c r="L273" s="4" t="str">
        <f t="shared" si="107"/>
        <v>VPGLTLGLTVGIWGVAALLTLPVTLAS</v>
      </c>
      <c r="M273" s="4" t="str">
        <f t="shared" si="108"/>
        <v>CTL</v>
      </c>
      <c r="N273" s="4" t="str">
        <f t="shared" si="109"/>
        <v>YSTELKALQATHTVACLAIFVLLPLGLFGAKGLK</v>
      </c>
      <c r="O273" s="4" t="str">
        <f t="shared" si="110"/>
        <v>PGPWMNILWAWFIFWWPHGVVLGLDFLVRSK</v>
      </c>
      <c r="P273" s="4" t="str">
        <f t="shared" si="111"/>
        <v>TCLAQQALDLLLNLAEALAILHCVATPLLLALF</v>
      </c>
      <c r="Q273" s="4" t="str">
        <f t="shared" si="112"/>
        <v>CHQATRTLLP</v>
      </c>
      <c r="R273" s="5">
        <f>VLOOKUP($A273,'SegEnds_NonXtal_Prot#'!$A:$AL,3,FALSE)</f>
        <v>55</v>
      </c>
      <c r="S273" s="5" t="str">
        <f>VLOOKUP($A273,'SegEnds_NonXtal_Prot#'!$A:$AL,6,FALSE)</f>
        <v>-</v>
      </c>
      <c r="T273" s="5">
        <f>VLOOKUP($A273,'SegEnds_NonXtal_Prot#'!$A:$AL,9,FALSE)</f>
        <v>93</v>
      </c>
      <c r="U273" s="5" t="str">
        <f>VLOOKUP($A273,'SegEnds_NonXtal_Prot#'!$A:$AL,12,FALSE)</f>
        <v>-</v>
      </c>
      <c r="V273" s="5">
        <f>VLOOKUP($A273,'SegEnds_NonXtal_Prot#'!$A:$AL,15,FALSE)</f>
        <v>128</v>
      </c>
      <c r="W273" s="5" t="str">
        <f>VLOOKUP($A273,'SegEnds_NonXtal_Prot#'!$A:$AL,18,FALSE)</f>
        <v>-</v>
      </c>
      <c r="X273" s="5">
        <f>VLOOKUP($A273,'SegEnds_NonXtal_Prot#'!$A:$AL,21,FALSE)</f>
        <v>162</v>
      </c>
      <c r="Y273" s="5">
        <f>VLOOKUP($A273,'SegEnds_NonXtal_Prot#'!$A:$AL,24,FALSE)</f>
        <v>195</v>
      </c>
      <c r="Z273" s="5">
        <f>VLOOKUP($A273,'SegEnds_NonXtal_Prot#'!$A:$AL,27,FALSE)</f>
        <v>199</v>
      </c>
      <c r="AA273" s="5">
        <f>VLOOKUP($A273,'SegEnds_NonXtal_Prot#'!$A:$AL,30,FALSE)</f>
        <v>239</v>
      </c>
      <c r="AB273" s="5">
        <f>VLOOKUP($A273,'SegEnds_NonXtal_Prot#'!$A:$AL,33,FALSE)</f>
        <v>275</v>
      </c>
      <c r="AC273" s="5">
        <f>VLOOKUP($A273,'SegEnds_NonXtal_Prot#'!$A:$AL,36,FALSE)</f>
        <v>308</v>
      </c>
      <c r="AD273" s="5">
        <f>VLOOKUP($A273,'SegEnds_NonXtal_Prot#'!$A:$AL,5,FALSE)</f>
        <v>86</v>
      </c>
      <c r="AE273" s="5" t="str">
        <f>VLOOKUP($A273,'SegEnds_NonXtal_Prot#'!$A:$AL,8,FALSE)</f>
        <v>-</v>
      </c>
      <c r="AF273" s="5">
        <f>VLOOKUP($A273,'SegEnds_NonXtal_Prot#'!$A:$AL,11,FALSE)</f>
        <v>122</v>
      </c>
      <c r="AG273" s="5" t="str">
        <f>VLOOKUP($A273,'SegEnds_NonXtal_Prot#'!$A:$AL,14,FALSE)</f>
        <v>-</v>
      </c>
      <c r="AH273" s="5">
        <f>VLOOKUP($A273,'SegEnds_NonXtal_Prot#'!$A:$AL,17,FALSE)</f>
        <v>160</v>
      </c>
      <c r="AI273" s="5" t="str">
        <f>VLOOKUP($A273,'SegEnds_NonXtal_Prot#'!$A:$AL,20,FALSE)</f>
        <v>-</v>
      </c>
      <c r="AJ273" s="5">
        <f>VLOOKUP($A273,'SegEnds_NonXtal_Prot#'!$A:$AL,23,FALSE)</f>
        <v>188</v>
      </c>
      <c r="AK273" s="5">
        <f>VLOOKUP($A273,'SegEnds_NonXtal_Prot#'!$A:$AL,26,FALSE)</f>
        <v>197</v>
      </c>
      <c r="AL273" s="5">
        <f>VLOOKUP($A273,'SegEnds_NonXtal_Prot#'!$A:$AL,29,FALSE)</f>
        <v>232</v>
      </c>
      <c r="AM273" s="5">
        <f>VLOOKUP($A273,'SegEnds_NonXtal_Prot#'!$A:$AL,32,FALSE)</f>
        <v>269</v>
      </c>
      <c r="AN273" s="5">
        <f>VLOOKUP($A273,'SegEnds_NonXtal_Prot#'!$A:$AL,35,FALSE)</f>
        <v>307</v>
      </c>
      <c r="AO273" s="5">
        <f>VLOOKUP($A273,'SegEnds_NonXtal_Prot#'!$A:$AL,38,FALSE)</f>
        <v>317</v>
      </c>
      <c r="AP273" s="5">
        <f t="shared" si="113"/>
        <v>31</v>
      </c>
      <c r="AQ273" s="4" t="str">
        <f t="shared" si="114"/>
        <v>-</v>
      </c>
      <c r="AR273" s="4">
        <f t="shared" si="115"/>
        <v>29</v>
      </c>
      <c r="AS273" s="4" t="str">
        <f t="shared" si="116"/>
        <v>-</v>
      </c>
      <c r="AT273" s="4">
        <f t="shared" si="117"/>
        <v>32</v>
      </c>
      <c r="AU273" s="4" t="str">
        <f t="shared" si="118"/>
        <v>-</v>
      </c>
      <c r="AV273" s="4">
        <f t="shared" si="119"/>
        <v>26</v>
      </c>
      <c r="AW273" s="4">
        <f t="shared" si="120"/>
        <v>2</v>
      </c>
      <c r="AX273" s="4">
        <f t="shared" si="121"/>
        <v>33</v>
      </c>
      <c r="AY273" s="4">
        <f t="shared" si="122"/>
        <v>30</v>
      </c>
      <c r="AZ273" s="4">
        <f t="shared" si="123"/>
        <v>32</v>
      </c>
      <c r="BA273" s="4">
        <f t="shared" si="124"/>
        <v>9</v>
      </c>
    </row>
    <row r="274" spans="1:53" x14ac:dyDescent="0.2">
      <c r="A274" s="1" t="str">
        <f>'SegEnds_NonXtal_Prot#'!A265</f>
        <v>ackr4_human</v>
      </c>
      <c r="B274" s="1" t="str">
        <f t="shared" si="100"/>
        <v>VREFAKVFLPVFLTIVFVIGLAGNSMVVAIYAYYTKTDVYILNLAVADLLLLFTLPFWAVNAVHGKIMCKITSALYTLNFVSGMQFLACISIDRYVAVTKVGKPCWIICFCVWMAAILLSIPQLVFYSMKALIQMLEICIGFVVPFLIMGVCYFITARTLMKMISRPLKVLLTVVIVFIVTQLPYNIVKFCRAIDIIYSCNMSKRMDIAIQVTESIALFHSCLNPILYVFMGASFKNYVMKVAKKYGSWRRQ</v>
      </c>
      <c r="C274" s="29" t="str">
        <f>IF(ISERROR(MATCH(A274,'SegEnds_Xtal_Prot#'!B:B, 0)), "NoXtal", "Xtal")</f>
        <v>NoXtal</v>
      </c>
      <c r="D274" s="4" t="str">
        <f>VLOOKUP(A274,Classification!A:D,2,FALSE)</f>
        <v>A</v>
      </c>
      <c r="E274" s="5" t="str">
        <f>VLOOKUP(A274,Seqs!A:B,2,FALSE)</f>
        <v>MALEQNQSTDYYYEENEMNGTYDYSQYELICIKEDVREFAKVFLPVFLTIVFVIGLAGNSMVVAIYAYYKKQRTKTDVYILNLAVADLLLLFTLPFWAVNAVHGWVLGKIMCKITSALYTLNFVSGMQFLACISIDRYVAVTKVPSQSGVGKPCWIICFCVWMAAILLSIPQLVFYTVNDNARCIPIFPRYLGTSMKALIQMLEICIGFVVPFLIMGVCYFITARTLMKMPNIKISRPLKVLLTVVIVFIVTQLPYNIVKFCRAIDIIYSLITSCNMSKRMDIAIQVTESIALFHSCLNPILYVFMGASFKNYVMKVAKKYGSWRRQRQSVEEFPFDSEGPTEPTSTFSI</v>
      </c>
      <c r="F274" s="5" t="str">
        <f t="shared" si="101"/>
        <v>VREFAKVFLPVFLTIVFVIGLAGNSMVVAIYAYY</v>
      </c>
      <c r="G274" s="4" t="str">
        <f t="shared" si="102"/>
        <v>KKQR</v>
      </c>
      <c r="H274" s="4" t="str">
        <f t="shared" si="103"/>
        <v>TKTDVYILNLAVADLLLLFTLPFWAVNAVH</v>
      </c>
      <c r="I274" s="4" t="str">
        <f t="shared" si="104"/>
        <v>GWVL</v>
      </c>
      <c r="J274" s="4" t="str">
        <f t="shared" si="105"/>
        <v>GKIMCKITSALYTLNFVSGMQFLACISIDRYVAVTK</v>
      </c>
      <c r="K274" s="4" t="str">
        <f t="shared" si="106"/>
        <v/>
      </c>
      <c r="L274" s="4" t="str">
        <f t="shared" si="107"/>
        <v>VGKPCWIICFCVWMAAILLSIPQLVFY</v>
      </c>
      <c r="M274" s="4" t="str">
        <f t="shared" si="108"/>
        <v>CIP</v>
      </c>
      <c r="N274" s="4" t="str">
        <f t="shared" si="109"/>
        <v>SMKALIQMLEICIGFVVPFLIMGVCYFITARTLMKM</v>
      </c>
      <c r="O274" s="4" t="str">
        <f t="shared" si="110"/>
        <v>ISRPLKVLLTVVIVFIVTQLPYNIVKFCRAIDIIY</v>
      </c>
      <c r="P274" s="4" t="str">
        <f t="shared" si="111"/>
        <v>SCNMSKRMDIAIQVTESIALFHSCLNPILYVFM</v>
      </c>
      <c r="Q274" s="4" t="str">
        <f t="shared" si="112"/>
        <v>GASFKNYVMKVAKKYGSWRRQ</v>
      </c>
      <c r="R274" s="5">
        <f>VLOOKUP($A274,'SegEnds_NonXtal_Prot#'!$A:$AL,3,FALSE)</f>
        <v>36</v>
      </c>
      <c r="S274" s="5">
        <f>VLOOKUP($A274,'SegEnds_NonXtal_Prot#'!$A:$AL,6,FALSE)</f>
        <v>70</v>
      </c>
      <c r="T274" s="5">
        <f>VLOOKUP($A274,'SegEnds_NonXtal_Prot#'!$A:$AL,9,FALSE)</f>
        <v>74</v>
      </c>
      <c r="U274" s="5">
        <f>VLOOKUP($A274,'SegEnds_NonXtal_Prot#'!$A:$AL,12,FALSE)</f>
        <v>104</v>
      </c>
      <c r="V274" s="5">
        <f>VLOOKUP($A274,'SegEnds_NonXtal_Prot#'!$A:$AL,15,FALSE)</f>
        <v>108</v>
      </c>
      <c r="W274" s="5" t="str">
        <f>VLOOKUP($A274,'SegEnds_NonXtal_Prot#'!$A:$AL,18,FALSE)</f>
        <v>-</v>
      </c>
      <c r="X274" s="5">
        <f>VLOOKUP($A274,'SegEnds_NonXtal_Prot#'!$A:$AL,21,FALSE)</f>
        <v>150</v>
      </c>
      <c r="Y274" s="5">
        <f>VLOOKUP($A274,'SegEnds_NonXtal_Prot#'!$A:$AL,24,FALSE)</f>
        <v>184</v>
      </c>
      <c r="Z274" s="5">
        <f>VLOOKUP($A274,'SegEnds_NonXtal_Prot#'!$A:$AL,27,FALSE)</f>
        <v>195</v>
      </c>
      <c r="AA274" s="5">
        <f>VLOOKUP($A274,'SegEnds_NonXtal_Prot#'!$A:$AL,30,FALSE)</f>
        <v>235</v>
      </c>
      <c r="AB274" s="5">
        <f>VLOOKUP($A274,'SegEnds_NonXtal_Prot#'!$A:$AL,33,FALSE)</f>
        <v>274</v>
      </c>
      <c r="AC274" s="5">
        <f>VLOOKUP($A274,'SegEnds_NonXtal_Prot#'!$A:$AL,36,FALSE)</f>
        <v>307</v>
      </c>
      <c r="AD274" s="5">
        <f>VLOOKUP($A274,'SegEnds_NonXtal_Prot#'!$A:$AL,5,FALSE)</f>
        <v>69</v>
      </c>
      <c r="AE274" s="5">
        <f>VLOOKUP($A274,'SegEnds_NonXtal_Prot#'!$A:$AL,8,FALSE)</f>
        <v>73</v>
      </c>
      <c r="AF274" s="5">
        <f>VLOOKUP($A274,'SegEnds_NonXtal_Prot#'!$A:$AL,11,FALSE)</f>
        <v>103</v>
      </c>
      <c r="AG274" s="5">
        <f>VLOOKUP($A274,'SegEnds_NonXtal_Prot#'!$A:$AL,14,FALSE)</f>
        <v>107</v>
      </c>
      <c r="AH274" s="5">
        <f>VLOOKUP($A274,'SegEnds_NonXtal_Prot#'!$A:$AL,17,FALSE)</f>
        <v>143</v>
      </c>
      <c r="AI274" s="5" t="str">
        <f>VLOOKUP($A274,'SegEnds_NonXtal_Prot#'!$A:$AL,20,FALSE)</f>
        <v>-</v>
      </c>
      <c r="AJ274" s="5">
        <f>VLOOKUP($A274,'SegEnds_NonXtal_Prot#'!$A:$AL,23,FALSE)</f>
        <v>176</v>
      </c>
      <c r="AK274" s="5">
        <f>VLOOKUP($A274,'SegEnds_NonXtal_Prot#'!$A:$AL,26,FALSE)</f>
        <v>186</v>
      </c>
      <c r="AL274" s="5">
        <f>VLOOKUP($A274,'SegEnds_NonXtal_Prot#'!$A:$AL,29,FALSE)</f>
        <v>230</v>
      </c>
      <c r="AM274" s="5">
        <f>VLOOKUP($A274,'SegEnds_NonXtal_Prot#'!$A:$AL,32,FALSE)</f>
        <v>269</v>
      </c>
      <c r="AN274" s="5">
        <f>VLOOKUP($A274,'SegEnds_NonXtal_Prot#'!$A:$AL,35,FALSE)</f>
        <v>306</v>
      </c>
      <c r="AO274" s="5">
        <f>VLOOKUP($A274,'SegEnds_NonXtal_Prot#'!$A:$AL,38,FALSE)</f>
        <v>327</v>
      </c>
      <c r="AP274" s="5">
        <f t="shared" si="113"/>
        <v>33</v>
      </c>
      <c r="AQ274" s="4">
        <f t="shared" si="114"/>
        <v>3</v>
      </c>
      <c r="AR274" s="4">
        <f t="shared" si="115"/>
        <v>29</v>
      </c>
      <c r="AS274" s="4">
        <f t="shared" si="116"/>
        <v>3</v>
      </c>
      <c r="AT274" s="4">
        <f t="shared" si="117"/>
        <v>35</v>
      </c>
      <c r="AU274" s="4" t="str">
        <f t="shared" si="118"/>
        <v>-</v>
      </c>
      <c r="AV274" s="4">
        <f t="shared" si="119"/>
        <v>26</v>
      </c>
      <c r="AW274" s="4">
        <f t="shared" si="120"/>
        <v>2</v>
      </c>
      <c r="AX274" s="4">
        <f t="shared" si="121"/>
        <v>35</v>
      </c>
      <c r="AY274" s="4">
        <f t="shared" si="122"/>
        <v>34</v>
      </c>
      <c r="AZ274" s="4">
        <f t="shared" si="123"/>
        <v>32</v>
      </c>
      <c r="BA274" s="4">
        <f t="shared" si="124"/>
        <v>20</v>
      </c>
    </row>
    <row r="275" spans="1:53" x14ac:dyDescent="0.2">
      <c r="A275" s="1" t="str">
        <f>'SegEnds_NonXtal_Prot#'!A266</f>
        <v>ccr10_human</v>
      </c>
      <c r="B275" s="1" t="str">
        <f t="shared" si="100"/>
        <v>VQAFSRAFQPSVSLTVAALGLAGNGLVLATHLAARSPTSAHLLQLALADLLLALTLPFAAAGALQGSATCRTISGLYSASFHAGFLFLACISADRYVAIARTPGRAHLVSVIVWLLSLLLALPALLFSTVKGASAVAQVALGFALPLGVMVACYALLGRTLLAARRRALRVVVALVAAFVVLQLPYSLALLLDTADLLAASCPASKRKDVALLVTSGLALARCGLNPVLYAFLGLRFRQDLRRLLRGGSCPSGP</v>
      </c>
      <c r="C275" s="29" t="str">
        <f>IF(ISERROR(MATCH(A275,'SegEnds_Xtal_Prot#'!B:B, 0)), "NoXtal", "Xtal")</f>
        <v>NoXtal</v>
      </c>
      <c r="D275" s="4" t="str">
        <f>VLOOKUP(A275,Classification!A:D,2,FALSE)</f>
        <v>A</v>
      </c>
      <c r="E275" s="5" t="str">
        <f>VLOOKUP(A275,Seqs!A:B,2,FALSE)</f>
        <v>MGTEATEQVSWGHYSGDEEDAYSAEPLPELCYKADVQAFSRAFQPSVSLTVAALGLAGNGLVLATHLAARRAARSPTSAHLLQLALADLLLALTLPFAAAGALQGWSLGSATCRTISGLYSASFHAGFLFLACISADRYVAIARALPAGPRPSTPGRAHLVSVIVWLLSLLLALPALLFSQDGQREGQRRCRLIFPEGLTQTVKGASAVAQVALGFALPLGVMVACYALLGRTLLAARGPERRRALRVVVALVAAFVVLQLPYSLALLLDTADLLAARERSCPASKRKDVALLVTSGLALARCGLNPVLYAFLGLRFRQDLRRLLRGGSCPSGPQPRRGCPRRPRLSSCSAPTETHSLSWDN</v>
      </c>
      <c r="F275" s="5" t="str">
        <f t="shared" si="101"/>
        <v>VQAFSRAFQPSVSLTVAALGLAGNGLVLATHLAA</v>
      </c>
      <c r="G275" s="4" t="str">
        <f t="shared" si="102"/>
        <v>RRAA</v>
      </c>
      <c r="H275" s="4" t="str">
        <f t="shared" si="103"/>
        <v>RSPTSAHLLQLALADLLLALTLPFAAAGALQ</v>
      </c>
      <c r="I275" s="4" t="str">
        <f t="shared" si="104"/>
        <v>GWSL</v>
      </c>
      <c r="J275" s="4" t="str">
        <f t="shared" si="105"/>
        <v>GSATCRTISGLYSASFHAGFLFLACISADRYVAIAR</v>
      </c>
      <c r="K275" s="4" t="str">
        <f t="shared" si="106"/>
        <v/>
      </c>
      <c r="L275" s="4" t="str">
        <f t="shared" si="107"/>
        <v>TPGRAHLVSVIVWLLSLLLALPALLFS</v>
      </c>
      <c r="M275" s="4" t="str">
        <f t="shared" si="108"/>
        <v>CRL</v>
      </c>
      <c r="N275" s="4" t="str">
        <f t="shared" si="109"/>
        <v>TVKGASAVAQVALGFALPLGVMVACYALLGRTLLAA</v>
      </c>
      <c r="O275" s="4" t="str">
        <f t="shared" si="110"/>
        <v>RRRALRVVVALVAAFVVLQLPYSLALLLDTADLLAA</v>
      </c>
      <c r="P275" s="4" t="str">
        <f t="shared" si="111"/>
        <v>SCPASKRKDVALLVTSGLALARCGLNPVLYAFL</v>
      </c>
      <c r="Q275" s="4" t="str">
        <f t="shared" si="112"/>
        <v>GLRFRQDLRRLLRGGSCPSGP</v>
      </c>
      <c r="R275" s="5">
        <f>VLOOKUP($A275,'SegEnds_NonXtal_Prot#'!$A:$AL,3,FALSE)</f>
        <v>36</v>
      </c>
      <c r="S275" s="5">
        <f>VLOOKUP($A275,'SegEnds_NonXtal_Prot#'!$A:$AL,6,FALSE)</f>
        <v>70</v>
      </c>
      <c r="T275" s="5">
        <f>VLOOKUP($A275,'SegEnds_NonXtal_Prot#'!$A:$AL,9,FALSE)</f>
        <v>74</v>
      </c>
      <c r="U275" s="5">
        <f>VLOOKUP($A275,'SegEnds_NonXtal_Prot#'!$A:$AL,12,FALSE)</f>
        <v>105</v>
      </c>
      <c r="V275" s="5">
        <f>VLOOKUP($A275,'SegEnds_NonXtal_Prot#'!$A:$AL,15,FALSE)</f>
        <v>109</v>
      </c>
      <c r="W275" s="5" t="str">
        <f>VLOOKUP($A275,'SegEnds_NonXtal_Prot#'!$A:$AL,18,FALSE)</f>
        <v>-</v>
      </c>
      <c r="X275" s="5">
        <f>VLOOKUP($A275,'SegEnds_NonXtal_Prot#'!$A:$AL,21,FALSE)</f>
        <v>154</v>
      </c>
      <c r="Y275" s="5">
        <f>VLOOKUP($A275,'SegEnds_NonXtal_Prot#'!$A:$AL,24,FALSE)</f>
        <v>191</v>
      </c>
      <c r="Z275" s="5">
        <f>VLOOKUP($A275,'SegEnds_NonXtal_Prot#'!$A:$AL,27,FALSE)</f>
        <v>202</v>
      </c>
      <c r="AA275" s="5">
        <f>VLOOKUP($A275,'SegEnds_NonXtal_Prot#'!$A:$AL,30,FALSE)</f>
        <v>242</v>
      </c>
      <c r="AB275" s="5">
        <f>VLOOKUP($A275,'SegEnds_NonXtal_Prot#'!$A:$AL,33,FALSE)</f>
        <v>281</v>
      </c>
      <c r="AC275" s="5">
        <f>VLOOKUP($A275,'SegEnds_NonXtal_Prot#'!$A:$AL,36,FALSE)</f>
        <v>314</v>
      </c>
      <c r="AD275" s="5">
        <f>VLOOKUP($A275,'SegEnds_NonXtal_Prot#'!$A:$AL,5,FALSE)</f>
        <v>69</v>
      </c>
      <c r="AE275" s="5">
        <f>VLOOKUP($A275,'SegEnds_NonXtal_Prot#'!$A:$AL,8,FALSE)</f>
        <v>73</v>
      </c>
      <c r="AF275" s="5">
        <f>VLOOKUP($A275,'SegEnds_NonXtal_Prot#'!$A:$AL,11,FALSE)</f>
        <v>104</v>
      </c>
      <c r="AG275" s="5">
        <f>VLOOKUP($A275,'SegEnds_NonXtal_Prot#'!$A:$AL,14,FALSE)</f>
        <v>108</v>
      </c>
      <c r="AH275" s="5">
        <f>VLOOKUP($A275,'SegEnds_NonXtal_Prot#'!$A:$AL,17,FALSE)</f>
        <v>144</v>
      </c>
      <c r="AI275" s="5" t="str">
        <f>VLOOKUP($A275,'SegEnds_NonXtal_Prot#'!$A:$AL,20,FALSE)</f>
        <v>-</v>
      </c>
      <c r="AJ275" s="5">
        <f>VLOOKUP($A275,'SegEnds_NonXtal_Prot#'!$A:$AL,23,FALSE)</f>
        <v>180</v>
      </c>
      <c r="AK275" s="5">
        <f>VLOOKUP($A275,'SegEnds_NonXtal_Prot#'!$A:$AL,26,FALSE)</f>
        <v>193</v>
      </c>
      <c r="AL275" s="5">
        <f>VLOOKUP($A275,'SegEnds_NonXtal_Prot#'!$A:$AL,29,FALSE)</f>
        <v>237</v>
      </c>
      <c r="AM275" s="5">
        <f>VLOOKUP($A275,'SegEnds_NonXtal_Prot#'!$A:$AL,32,FALSE)</f>
        <v>277</v>
      </c>
      <c r="AN275" s="5">
        <f>VLOOKUP($A275,'SegEnds_NonXtal_Prot#'!$A:$AL,35,FALSE)</f>
        <v>313</v>
      </c>
      <c r="AO275" s="5">
        <f>VLOOKUP($A275,'SegEnds_NonXtal_Prot#'!$A:$AL,38,FALSE)</f>
        <v>334</v>
      </c>
      <c r="AP275" s="5">
        <f t="shared" si="113"/>
        <v>33</v>
      </c>
      <c r="AQ275" s="4">
        <f t="shared" si="114"/>
        <v>3</v>
      </c>
      <c r="AR275" s="4">
        <f t="shared" si="115"/>
        <v>30</v>
      </c>
      <c r="AS275" s="4">
        <f t="shared" si="116"/>
        <v>3</v>
      </c>
      <c r="AT275" s="4">
        <f t="shared" si="117"/>
        <v>35</v>
      </c>
      <c r="AU275" s="4" t="str">
        <f t="shared" si="118"/>
        <v>-</v>
      </c>
      <c r="AV275" s="4">
        <f t="shared" si="119"/>
        <v>26</v>
      </c>
      <c r="AW275" s="4">
        <f t="shared" si="120"/>
        <v>2</v>
      </c>
      <c r="AX275" s="4">
        <f t="shared" si="121"/>
        <v>35</v>
      </c>
      <c r="AY275" s="4">
        <f t="shared" si="122"/>
        <v>35</v>
      </c>
      <c r="AZ275" s="4">
        <f t="shared" si="123"/>
        <v>32</v>
      </c>
      <c r="BA275" s="4">
        <f t="shared" si="124"/>
        <v>20</v>
      </c>
    </row>
    <row r="276" spans="1:53" x14ac:dyDescent="0.2">
      <c r="A276" s="1" t="str">
        <f>'SegEnds_NonXtal_Prot#'!A267</f>
        <v>gp132_human</v>
      </c>
      <c r="B276" s="1" t="str">
        <f t="shared" si="100"/>
        <v>ESRIVLVVVYSAVCTLGVPANCLTAWLALLQNVLAVYLLCLALCELLYTGTLPLWVIYIRNGLLACKVTAYIFFCNIYVSILFLCCISCDRFVAVVYRRRTAILISACIFILVGIVHYPVFQTEDSRIAGYYYARFTVGFAIPLSIIAFTNHRIFRSIKQSAAQKAKVKHSAIAVVVIFLVCFAPYHLVLLVKAAAFSYMCGLEERLYTASVVFLCLSTVNGVADPIIYVLATDHSRQEVSRIHK</v>
      </c>
      <c r="C276" s="29" t="str">
        <f>IF(ISERROR(MATCH(A276,'SegEnds_Xtal_Prot#'!B:B, 0)), "NoXtal", "Xtal")</f>
        <v>NoXtal</v>
      </c>
      <c r="D276" s="4" t="str">
        <f>VLOOKUP(A276,Classification!A:D,2,FALSE)</f>
        <v>A</v>
      </c>
      <c r="E276" s="5" t="str">
        <f>VLOOKUP(A276,Seqs!A:B,2,FALSE)</f>
        <v>MCPMLLKNGYNGNATPVTTTAPWASLGLSAKTCNNVSFEESRIVLVVVYSAVCTLGVPANCLTAWLALLQVLQGNVLAVYLLCLALCELLYTGTLPLWVIYIRNQHRWTLGLLACKVTAYIFFCNIYVSILFLCCISCDRFVAVVYALESRGRRRRRTAILISACIFILVGIVHYPVFQTEDKETCFDMLQMDSRIAGYYYARFTVGFAIPLSIIAFTNHRIFRSIKQSMGLSAAQKAKVKHSAIAVVVIFLVCFAPYHLVLLVKAAAFSYYRGDRNAMCGLEERLYTASVVFLCLSTVNGVADPIIYVLATDHSRQEVSRIHKGWKEWSMKTDVTRLTHSRDTEELQSPVALADHYTFSRPVHPPGSPCPAKRLIEESC</v>
      </c>
      <c r="F276" s="5" t="str">
        <f t="shared" si="101"/>
        <v>ESRIVLVVVYSAVCTLGVPANCLTAWLALLQ</v>
      </c>
      <c r="G276" s="4" t="str">
        <f t="shared" si="102"/>
        <v/>
      </c>
      <c r="H276" s="4" t="str">
        <f t="shared" si="103"/>
        <v>NVLAVYLLCLALCELLYTGTLPLWVIYIRN</v>
      </c>
      <c r="I276" s="4" t="str">
        <f t="shared" si="104"/>
        <v>RWTL</v>
      </c>
      <c r="J276" s="4" t="str">
        <f t="shared" si="105"/>
        <v>GLLACKVTAYIFFCNIYVSILFLCCISCDRFVAVVY</v>
      </c>
      <c r="K276" s="4" t="str">
        <f t="shared" si="106"/>
        <v/>
      </c>
      <c r="L276" s="4" t="str">
        <f t="shared" si="107"/>
        <v>RRRTAILISACIFILVGIVHYPVFQTE</v>
      </c>
      <c r="M276" s="4" t="str">
        <f t="shared" si="108"/>
        <v>CFD</v>
      </c>
      <c r="N276" s="4" t="str">
        <f t="shared" si="109"/>
        <v>DSRIAGYYYARFTVGFAIPLSIIAFTNHRIFRSIKQ</v>
      </c>
      <c r="O276" s="4" t="str">
        <f t="shared" si="110"/>
        <v>SAAQKAKVKHSAIAVVVIFLVCFAPYHLVLLVKAAAFSY</v>
      </c>
      <c r="P276" s="4" t="str">
        <f t="shared" si="111"/>
        <v>MCGLEERLYTASVVFLCLSTVNGVADPIIYVLA</v>
      </c>
      <c r="Q276" s="4" t="str">
        <f t="shared" si="112"/>
        <v>TDHSRQEVSRIHK</v>
      </c>
      <c r="R276" s="5">
        <f>VLOOKUP($A276,'SegEnds_NonXtal_Prot#'!$A:$AL,3,FALSE)</f>
        <v>40</v>
      </c>
      <c r="S276" s="5" t="str">
        <f>VLOOKUP($A276,'SegEnds_NonXtal_Prot#'!$A:$AL,6,FALSE)</f>
        <v>-</v>
      </c>
      <c r="T276" s="5">
        <f>VLOOKUP($A276,'SegEnds_NonXtal_Prot#'!$A:$AL,9,FALSE)</f>
        <v>75</v>
      </c>
      <c r="U276" s="5">
        <f>VLOOKUP($A276,'SegEnds_NonXtal_Prot#'!$A:$AL,12,FALSE)</f>
        <v>107</v>
      </c>
      <c r="V276" s="5">
        <f>VLOOKUP($A276,'SegEnds_NonXtal_Prot#'!$A:$AL,15,FALSE)</f>
        <v>111</v>
      </c>
      <c r="W276" s="5" t="str">
        <f>VLOOKUP($A276,'SegEnds_NonXtal_Prot#'!$A:$AL,18,FALSE)</f>
        <v>-</v>
      </c>
      <c r="X276" s="5">
        <f>VLOOKUP($A276,'SegEnds_NonXtal_Prot#'!$A:$AL,21,FALSE)</f>
        <v>155</v>
      </c>
      <c r="Y276" s="5">
        <f>VLOOKUP($A276,'SegEnds_NonXtal_Prot#'!$A:$AL,24,FALSE)</f>
        <v>186</v>
      </c>
      <c r="Z276" s="5">
        <f>VLOOKUP($A276,'SegEnds_NonXtal_Prot#'!$A:$AL,27,FALSE)</f>
        <v>193</v>
      </c>
      <c r="AA276" s="5">
        <f>VLOOKUP($A276,'SegEnds_NonXtal_Prot#'!$A:$AL,30,FALSE)</f>
        <v>233</v>
      </c>
      <c r="AB276" s="5">
        <f>VLOOKUP($A276,'SegEnds_NonXtal_Prot#'!$A:$AL,33,FALSE)</f>
        <v>279</v>
      </c>
      <c r="AC276" s="5">
        <f>VLOOKUP($A276,'SegEnds_NonXtal_Prot#'!$A:$AL,36,FALSE)</f>
        <v>312</v>
      </c>
      <c r="AD276" s="5">
        <f>VLOOKUP($A276,'SegEnds_NonXtal_Prot#'!$A:$AL,5,FALSE)</f>
        <v>70</v>
      </c>
      <c r="AE276" s="5" t="str">
        <f>VLOOKUP($A276,'SegEnds_NonXtal_Prot#'!$A:$AL,8,FALSE)</f>
        <v>-</v>
      </c>
      <c r="AF276" s="5">
        <f>VLOOKUP($A276,'SegEnds_NonXtal_Prot#'!$A:$AL,11,FALSE)</f>
        <v>104</v>
      </c>
      <c r="AG276" s="5">
        <f>VLOOKUP($A276,'SegEnds_NonXtal_Prot#'!$A:$AL,14,FALSE)</f>
        <v>110</v>
      </c>
      <c r="AH276" s="5">
        <f>VLOOKUP($A276,'SegEnds_NonXtal_Prot#'!$A:$AL,17,FALSE)</f>
        <v>146</v>
      </c>
      <c r="AI276" s="5" t="str">
        <f>VLOOKUP($A276,'SegEnds_NonXtal_Prot#'!$A:$AL,20,FALSE)</f>
        <v>-</v>
      </c>
      <c r="AJ276" s="5">
        <f>VLOOKUP($A276,'SegEnds_NonXtal_Prot#'!$A:$AL,23,FALSE)</f>
        <v>181</v>
      </c>
      <c r="AK276" s="5">
        <f>VLOOKUP($A276,'SegEnds_NonXtal_Prot#'!$A:$AL,26,FALSE)</f>
        <v>188</v>
      </c>
      <c r="AL276" s="5">
        <f>VLOOKUP($A276,'SegEnds_NonXtal_Prot#'!$A:$AL,29,FALSE)</f>
        <v>228</v>
      </c>
      <c r="AM276" s="5">
        <f>VLOOKUP($A276,'SegEnds_NonXtal_Prot#'!$A:$AL,32,FALSE)</f>
        <v>271</v>
      </c>
      <c r="AN276" s="5">
        <f>VLOOKUP($A276,'SegEnds_NonXtal_Prot#'!$A:$AL,35,FALSE)</f>
        <v>311</v>
      </c>
      <c r="AO276" s="5">
        <f>VLOOKUP($A276,'SegEnds_NonXtal_Prot#'!$A:$AL,38,FALSE)</f>
        <v>324</v>
      </c>
      <c r="AP276" s="5">
        <f t="shared" si="113"/>
        <v>30</v>
      </c>
      <c r="AQ276" s="4" t="str">
        <f t="shared" si="114"/>
        <v>-</v>
      </c>
      <c r="AR276" s="4">
        <f t="shared" si="115"/>
        <v>29</v>
      </c>
      <c r="AS276" s="4">
        <f t="shared" si="116"/>
        <v>3</v>
      </c>
      <c r="AT276" s="4">
        <f t="shared" si="117"/>
        <v>35</v>
      </c>
      <c r="AU276" s="4" t="str">
        <f t="shared" si="118"/>
        <v>-</v>
      </c>
      <c r="AV276" s="4">
        <f t="shared" si="119"/>
        <v>26</v>
      </c>
      <c r="AW276" s="4">
        <f t="shared" si="120"/>
        <v>2</v>
      </c>
      <c r="AX276" s="4">
        <f t="shared" si="121"/>
        <v>35</v>
      </c>
      <c r="AY276" s="4">
        <f t="shared" si="122"/>
        <v>38</v>
      </c>
      <c r="AZ276" s="4">
        <f t="shared" si="123"/>
        <v>32</v>
      </c>
      <c r="BA276" s="4">
        <f t="shared" si="124"/>
        <v>12</v>
      </c>
    </row>
    <row r="277" spans="1:53" x14ac:dyDescent="0.2">
      <c r="A277" s="1" t="str">
        <f>'SegEnds_NonXtal_Prot#'!A268</f>
        <v>gp135_human</v>
      </c>
      <c r="B277" s="1" t="str">
        <f t="shared" si="100"/>
        <v>VAAQALVLLLIFLLSSLGNCAVMGVIVKHTVTNAFILSLSLSDLLTALLCLPAAFLDLFTAGPWRGFCAASRFFSSCFGIVSTLSVALISLDRYCAIVRGRRRALQLLAGAWLTALGFSLPWELLGAQLGAAFSVGLVVACYLLPFLLMCFCHYHICKTVRLSDVRVRARVLRFFSEVRTATTVLIMIVFVICCWGPYCFLVLLAAARMQAPSLLSVVAVWLTWANGAINPVIYAIRNPNISMLLGRNR</v>
      </c>
      <c r="C277" s="29" t="str">
        <f>IF(ISERROR(MATCH(A277,'SegEnds_Xtal_Prot#'!B:B, 0)), "NoXtal", "Xtal")</f>
        <v>NoXtal</v>
      </c>
      <c r="D277" s="4" t="str">
        <f>VLOOKUP(A277,Classification!A:D,2,FALSE)</f>
        <v>A</v>
      </c>
      <c r="E277" s="5" t="str">
        <f>VLOOKUP(A277,Seqs!A:B,2,FALSE)</f>
        <v>MEEPQPPRPPASMALLGSQHSGAPSAAGPPGGTSSAATAAVLSFSTVATAALGNLSDASGGGTAAAPGGGGLGGSGAAREAGAAVRRPLGPEAAPLLSHGAAVAAQALVLLLIFLLSSLGNCAVMGVIVKHRQLRTVTNAFILSLSLSDLLTALLCLPAAFLDLFTPPGGSAPAAAAGPWRGFCAASRFFSSCFGIVSTLSVALISLDRYCAIVRPPREKIGRRRALQLLAGAWLTALGFSLPWELLGAPRELAAAQSFHGCLYRTSPDPAQLGAAFSVGLVVACYLLPFLLMCFCHYHICKTVRLSDVRVRPVNTYARVLRFFSEVRTATTVLIMIVFVICCWGPYCFLVLLAAARQAQTMQAPSLLSVVAVWLTWANGAINPVIYAIRNPNISMLLGRNREEGYRTRNVDAFLPSQGPGLQARSRSRLRNRYANRLGACNRMSSSNPASGVAGDVAMWARKNPVVLFCREGPPEPVTAVTKQPKSEAGDTSL</v>
      </c>
      <c r="F277" s="5" t="str">
        <f t="shared" si="101"/>
        <v>VAAQALVLLLIFLLSSLGNCAVMGVIVKH</v>
      </c>
      <c r="G277" s="4" t="str">
        <f t="shared" si="102"/>
        <v>RQLR</v>
      </c>
      <c r="H277" s="4" t="str">
        <f t="shared" si="103"/>
        <v>TVTNAFILSLSLSDLLTALLCLPAAFLDLFT</v>
      </c>
      <c r="I277" s="4" t="str">
        <f t="shared" si="104"/>
        <v/>
      </c>
      <c r="J277" s="4" t="str">
        <f t="shared" si="105"/>
        <v>AGPWRGFCAASRFFSSCFGIVSTLSVALISLDRYCAIVR</v>
      </c>
      <c r="K277" s="4" t="str">
        <f t="shared" si="106"/>
        <v/>
      </c>
      <c r="L277" s="4" t="str">
        <f t="shared" si="107"/>
        <v>GRRRALQLLAGAWLTALGFSLPWELLG</v>
      </c>
      <c r="M277" s="4" t="str">
        <f t="shared" si="108"/>
        <v>CLY</v>
      </c>
      <c r="N277" s="4" t="str">
        <f t="shared" si="109"/>
        <v>AQLGAAFSVGLVVACYLLPFLLMCFCHYHICKTVRLSDVRVR</v>
      </c>
      <c r="O277" s="4" t="str">
        <f t="shared" si="110"/>
        <v>ARVLRFFSEVRTATTVLIMIVFVICCWGPYCFLVLLAAAR</v>
      </c>
      <c r="P277" s="4" t="str">
        <f t="shared" si="111"/>
        <v>MQAPSLLSVVAVWLTWANGAINPVIYAIR</v>
      </c>
      <c r="Q277" s="4" t="str">
        <f t="shared" si="112"/>
        <v>NPNISMLLGRNR</v>
      </c>
      <c r="R277" s="5">
        <f>VLOOKUP($A277,'SegEnds_NonXtal_Prot#'!$A:$AL,3,FALSE)</f>
        <v>103</v>
      </c>
      <c r="S277" s="5">
        <f>VLOOKUP($A277,'SegEnds_NonXtal_Prot#'!$A:$AL,6,FALSE)</f>
        <v>132</v>
      </c>
      <c r="T277" s="5">
        <f>VLOOKUP($A277,'SegEnds_NonXtal_Prot#'!$A:$AL,9,FALSE)</f>
        <v>136</v>
      </c>
      <c r="U277" s="5" t="str">
        <f>VLOOKUP($A277,'SegEnds_NonXtal_Prot#'!$A:$AL,12,FALSE)</f>
        <v>-</v>
      </c>
      <c r="V277" s="5">
        <f>VLOOKUP($A277,'SegEnds_NonXtal_Prot#'!$A:$AL,15,FALSE)</f>
        <v>177</v>
      </c>
      <c r="W277" s="5" t="str">
        <f>VLOOKUP($A277,'SegEnds_NonXtal_Prot#'!$A:$AL,18,FALSE)</f>
        <v>-</v>
      </c>
      <c r="X277" s="5">
        <f>VLOOKUP($A277,'SegEnds_NonXtal_Prot#'!$A:$AL,21,FALSE)</f>
        <v>222</v>
      </c>
      <c r="Y277" s="5">
        <f>VLOOKUP($A277,'SegEnds_NonXtal_Prot#'!$A:$AL,24,FALSE)</f>
        <v>262</v>
      </c>
      <c r="Z277" s="5">
        <f>VLOOKUP($A277,'SegEnds_NonXtal_Prot#'!$A:$AL,27,FALSE)</f>
        <v>271</v>
      </c>
      <c r="AA277" s="5">
        <f>VLOOKUP($A277,'SegEnds_NonXtal_Prot#'!$A:$AL,30,FALSE)</f>
        <v>318</v>
      </c>
      <c r="AB277" s="5">
        <f>VLOOKUP($A277,'SegEnds_NonXtal_Prot#'!$A:$AL,33,FALSE)</f>
        <v>362</v>
      </c>
      <c r="AC277" s="5">
        <f>VLOOKUP($A277,'SegEnds_NonXtal_Prot#'!$A:$AL,36,FALSE)</f>
        <v>391</v>
      </c>
      <c r="AD277" s="5">
        <f>VLOOKUP($A277,'SegEnds_NonXtal_Prot#'!$A:$AL,5,FALSE)</f>
        <v>131</v>
      </c>
      <c r="AE277" s="5">
        <f>VLOOKUP($A277,'SegEnds_NonXtal_Prot#'!$A:$AL,8,FALSE)</f>
        <v>135</v>
      </c>
      <c r="AF277" s="5">
        <f>VLOOKUP($A277,'SegEnds_NonXtal_Prot#'!$A:$AL,11,FALSE)</f>
        <v>166</v>
      </c>
      <c r="AG277" s="5" t="str">
        <f>VLOOKUP($A277,'SegEnds_NonXtal_Prot#'!$A:$AL,14,FALSE)</f>
        <v>-</v>
      </c>
      <c r="AH277" s="5">
        <f>VLOOKUP($A277,'SegEnds_NonXtal_Prot#'!$A:$AL,17,FALSE)</f>
        <v>215</v>
      </c>
      <c r="AI277" s="5" t="str">
        <f>VLOOKUP($A277,'SegEnds_NonXtal_Prot#'!$A:$AL,20,FALSE)</f>
        <v>-</v>
      </c>
      <c r="AJ277" s="5">
        <f>VLOOKUP($A277,'SegEnds_NonXtal_Prot#'!$A:$AL,23,FALSE)</f>
        <v>248</v>
      </c>
      <c r="AK277" s="5">
        <f>VLOOKUP($A277,'SegEnds_NonXtal_Prot#'!$A:$AL,26,FALSE)</f>
        <v>264</v>
      </c>
      <c r="AL277" s="5">
        <f>VLOOKUP($A277,'SegEnds_NonXtal_Prot#'!$A:$AL,29,FALSE)</f>
        <v>312</v>
      </c>
      <c r="AM277" s="5">
        <f>VLOOKUP($A277,'SegEnds_NonXtal_Prot#'!$A:$AL,32,FALSE)</f>
        <v>357</v>
      </c>
      <c r="AN277" s="5">
        <f>VLOOKUP($A277,'SegEnds_NonXtal_Prot#'!$A:$AL,35,FALSE)</f>
        <v>390</v>
      </c>
      <c r="AO277" s="5">
        <f>VLOOKUP($A277,'SegEnds_NonXtal_Prot#'!$A:$AL,38,FALSE)</f>
        <v>402</v>
      </c>
      <c r="AP277" s="5">
        <f t="shared" si="113"/>
        <v>28</v>
      </c>
      <c r="AQ277" s="4">
        <f t="shared" si="114"/>
        <v>3</v>
      </c>
      <c r="AR277" s="4">
        <f t="shared" si="115"/>
        <v>30</v>
      </c>
      <c r="AS277" s="4" t="str">
        <f t="shared" si="116"/>
        <v>-</v>
      </c>
      <c r="AT277" s="4">
        <f t="shared" si="117"/>
        <v>38</v>
      </c>
      <c r="AU277" s="4" t="str">
        <f t="shared" si="118"/>
        <v>-</v>
      </c>
      <c r="AV277" s="4">
        <f t="shared" si="119"/>
        <v>26</v>
      </c>
      <c r="AW277" s="4">
        <f t="shared" si="120"/>
        <v>2</v>
      </c>
      <c r="AX277" s="4">
        <f t="shared" si="121"/>
        <v>41</v>
      </c>
      <c r="AY277" s="4">
        <f t="shared" si="122"/>
        <v>39</v>
      </c>
      <c r="AZ277" s="4">
        <f t="shared" si="123"/>
        <v>28</v>
      </c>
      <c r="BA277" s="4">
        <f t="shared" si="124"/>
        <v>11</v>
      </c>
    </row>
    <row r="278" spans="1:53" x14ac:dyDescent="0.2">
      <c r="A278" s="1" t="str">
        <f>'SegEnds_NonXtal_Prot#'!A269</f>
        <v>gp146_human</v>
      </c>
      <c r="B278" s="1" t="str">
        <f t="shared" si="100"/>
        <v>QLGLSLLSLLGLVVGVPVGLCYNALLVLANLHSYFVNMAVAGLVLSALAPVHLLGPPSSRGGEVHVALQIPFNVSSLVAMYSTALLSLDHYIERALSVYNTRHVCGFVWGGALLTSFSSLLFYNAEAADATLVFIGYVVPALATLYALVLLSRVRREDRDTGRLEPSAHRLLVATVCTQFGLWTPHYLILLGHTVIISRDAHYLGLLHFVKDFSKLLAFSSSFVTPLLYRYMNQSFPSKLQRLMKKL</v>
      </c>
      <c r="C278" s="29" t="str">
        <f>IF(ISERROR(MATCH(A278,'SegEnds_Xtal_Prot#'!B:B, 0)), "NoXtal", "Xtal")</f>
        <v>NoXtal</v>
      </c>
      <c r="D278" s="4" t="str">
        <f>VLOOKUP(A278,Classification!A:D,2,FALSE)</f>
        <v>A</v>
      </c>
      <c r="E278" s="5" t="str">
        <f>VLOOKUP(A278,Seqs!A:B,2,FALSE)</f>
        <v>MWSCSWFNGTGLVEELPACQDLQLGLSLLSLLGLVVGVPVGLCYNALLVLANLHSKASMTMPDVYFVNMAVAGLVLSALAPVHLLGPPSSRWALWSVGGEVHVALQIPFNVSSLVAMYSTALLSLDHYIERALPRTYMASVYNTRHVCGFVWGGALLTSFSSLLFYICSHVSTRALECAKMQNAEAADATLVFIGYVVPALATLYALVLLSRVRREDTPLDRDTGRLEPSAHRLLVATVCTQFGLWTPHYLILLGHTVIISRGKPVDAHYLGLLHFVKDFSKLLAFSSSFVTPLLYRYMNQSFPSKLQRLMKKLPCGDRHCSPDHMGVQQVLA</v>
      </c>
      <c r="F278" s="5" t="str">
        <f t="shared" si="101"/>
        <v>QLGLSLLSLLGLVVGVPVGLCYNALLVLANLHS</v>
      </c>
      <c r="G278" s="4" t="str">
        <f t="shared" si="102"/>
        <v/>
      </c>
      <c r="H278" s="4" t="str">
        <f t="shared" si="103"/>
        <v>YFVNMAVAGLVLSALAPVHLLGPPSSR</v>
      </c>
      <c r="I278" s="4" t="str">
        <f t="shared" si="104"/>
        <v>LWSV</v>
      </c>
      <c r="J278" s="4" t="str">
        <f t="shared" si="105"/>
        <v>GGEVHVALQIPFNVSSLVAMYSTALLSLDHYIERAL</v>
      </c>
      <c r="K278" s="4" t="str">
        <f t="shared" si="106"/>
        <v/>
      </c>
      <c r="L278" s="4" t="str">
        <f t="shared" si="107"/>
        <v>SVYNTRHVCGFVWGGALLTSFSSLLFY</v>
      </c>
      <c r="M278" s="4" t="str">
        <f t="shared" si="108"/>
        <v/>
      </c>
      <c r="N278" s="4" t="str">
        <f t="shared" si="109"/>
        <v>NAEAADATLVFIGYVVPALATLYALVLLSRVRRED</v>
      </c>
      <c r="O278" s="4" t="str">
        <f t="shared" si="110"/>
        <v>RDTGRLEPSAHRLLVATVCTQFGLWTPHYLILLGHTVIISR</v>
      </c>
      <c r="P278" s="4" t="str">
        <f t="shared" si="111"/>
        <v>DAHYLGLLHFVKDFSKLLAFSSSFVTPLLYRYM</v>
      </c>
      <c r="Q278" s="4" t="str">
        <f t="shared" si="112"/>
        <v>NQSFPSKLQRLMKKL</v>
      </c>
      <c r="R278" s="5">
        <f>VLOOKUP($A278,'SegEnds_NonXtal_Prot#'!$A:$AL,3,FALSE)</f>
        <v>23</v>
      </c>
      <c r="S278" s="5" t="str">
        <f>VLOOKUP($A278,'SegEnds_NonXtal_Prot#'!$A:$AL,6,FALSE)</f>
        <v>-</v>
      </c>
      <c r="T278" s="5">
        <f>VLOOKUP($A278,'SegEnds_NonXtal_Prot#'!$A:$AL,9,FALSE)</f>
        <v>65</v>
      </c>
      <c r="U278" s="5">
        <f>VLOOKUP($A278,'SegEnds_NonXtal_Prot#'!$A:$AL,12,FALSE)</f>
        <v>94</v>
      </c>
      <c r="V278" s="5">
        <f>VLOOKUP($A278,'SegEnds_NonXtal_Prot#'!$A:$AL,15,FALSE)</f>
        <v>98</v>
      </c>
      <c r="W278" s="5" t="str">
        <f>VLOOKUP($A278,'SegEnds_NonXtal_Prot#'!$A:$AL,18,FALSE)</f>
        <v>-</v>
      </c>
      <c r="X278" s="5">
        <f>VLOOKUP($A278,'SegEnds_NonXtal_Prot#'!$A:$AL,21,FALSE)</f>
        <v>140</v>
      </c>
      <c r="Y278" s="5" t="str">
        <f>VLOOKUP($A278,'SegEnds_NonXtal_Prot#'!$A:$AL,24,FALSE)</f>
        <v>-</v>
      </c>
      <c r="Z278" s="5">
        <f>VLOOKUP($A278,'SegEnds_NonXtal_Prot#'!$A:$AL,27,FALSE)</f>
        <v>183</v>
      </c>
      <c r="AA278" s="5">
        <f>VLOOKUP($A278,'SegEnds_NonXtal_Prot#'!$A:$AL,30,FALSE)</f>
        <v>222</v>
      </c>
      <c r="AB278" s="5">
        <f>VLOOKUP($A278,'SegEnds_NonXtal_Prot#'!$A:$AL,33,FALSE)</f>
        <v>267</v>
      </c>
      <c r="AC278" s="5">
        <f>VLOOKUP($A278,'SegEnds_NonXtal_Prot#'!$A:$AL,36,FALSE)</f>
        <v>300</v>
      </c>
      <c r="AD278" s="5">
        <f>VLOOKUP($A278,'SegEnds_NonXtal_Prot#'!$A:$AL,5,FALSE)</f>
        <v>55</v>
      </c>
      <c r="AE278" s="5" t="str">
        <f>VLOOKUP($A278,'SegEnds_NonXtal_Prot#'!$A:$AL,8,FALSE)</f>
        <v>-</v>
      </c>
      <c r="AF278" s="5">
        <f>VLOOKUP($A278,'SegEnds_NonXtal_Prot#'!$A:$AL,11,FALSE)</f>
        <v>91</v>
      </c>
      <c r="AG278" s="5">
        <f>VLOOKUP($A278,'SegEnds_NonXtal_Prot#'!$A:$AL,14,FALSE)</f>
        <v>97</v>
      </c>
      <c r="AH278" s="5">
        <f>VLOOKUP($A278,'SegEnds_NonXtal_Prot#'!$A:$AL,17,FALSE)</f>
        <v>133</v>
      </c>
      <c r="AI278" s="5" t="str">
        <f>VLOOKUP($A278,'SegEnds_NonXtal_Prot#'!$A:$AL,20,FALSE)</f>
        <v>-</v>
      </c>
      <c r="AJ278" s="5">
        <f>VLOOKUP($A278,'SegEnds_NonXtal_Prot#'!$A:$AL,23,FALSE)</f>
        <v>166</v>
      </c>
      <c r="AK278" s="5" t="str">
        <f>VLOOKUP($A278,'SegEnds_NonXtal_Prot#'!$A:$AL,26,FALSE)</f>
        <v>-</v>
      </c>
      <c r="AL278" s="5">
        <f>VLOOKUP($A278,'SegEnds_NonXtal_Prot#'!$A:$AL,29,FALSE)</f>
        <v>217</v>
      </c>
      <c r="AM278" s="5">
        <f>VLOOKUP($A278,'SegEnds_NonXtal_Prot#'!$A:$AL,32,FALSE)</f>
        <v>262</v>
      </c>
      <c r="AN278" s="5">
        <f>VLOOKUP($A278,'SegEnds_NonXtal_Prot#'!$A:$AL,35,FALSE)</f>
        <v>299</v>
      </c>
      <c r="AO278" s="5">
        <f>VLOOKUP($A278,'SegEnds_NonXtal_Prot#'!$A:$AL,38,FALSE)</f>
        <v>314</v>
      </c>
      <c r="AP278" s="5">
        <f t="shared" si="113"/>
        <v>32</v>
      </c>
      <c r="AQ278" s="4" t="str">
        <f t="shared" si="114"/>
        <v>-</v>
      </c>
      <c r="AR278" s="4">
        <f t="shared" si="115"/>
        <v>26</v>
      </c>
      <c r="AS278" s="4">
        <f t="shared" si="116"/>
        <v>3</v>
      </c>
      <c r="AT278" s="4">
        <f t="shared" si="117"/>
        <v>35</v>
      </c>
      <c r="AU278" s="4" t="str">
        <f t="shared" si="118"/>
        <v>-</v>
      </c>
      <c r="AV278" s="4">
        <f t="shared" si="119"/>
        <v>26</v>
      </c>
      <c r="AW278" s="4" t="str">
        <f t="shared" si="120"/>
        <v>-</v>
      </c>
      <c r="AX278" s="4">
        <f t="shared" si="121"/>
        <v>34</v>
      </c>
      <c r="AY278" s="4">
        <f t="shared" si="122"/>
        <v>40</v>
      </c>
      <c r="AZ278" s="4">
        <f t="shared" si="123"/>
        <v>32</v>
      </c>
      <c r="BA278" s="4">
        <f t="shared" si="124"/>
        <v>14</v>
      </c>
    </row>
    <row r="279" spans="1:53" x14ac:dyDescent="0.2">
      <c r="A279" s="1" t="str">
        <f>'SegEnds_NonXtal_Prot#'!A270</f>
        <v>gp149_human</v>
      </c>
      <c r="B279" s="1" t="str">
        <f t="shared" si="100"/>
        <v>DSSLWKENHNSTDLLNPPGTLNIYLFCLTCLMVGSIYSLISLLKMQNRTVVSMLVASWSVDDLLQWPNEVPGYFQFLCTTSALMYLCQGLSSNLKATLLVSYNFYTMHRGRSGQVLGVVLTVWAASLLLSALPLCGVYALAFGLLVGLSVPLTHRLLCSEEPPRLHSNYQEISRGASTRSFTVSVAQKRFALILALTKVVLWLPMMMHMVVQNVVLPLETFSFLLTLLATTVTPVFVLSKRWTHLPCGCIINC</v>
      </c>
      <c r="C279" s="29" t="str">
        <f>IF(ISERROR(MATCH(A279,'SegEnds_Xtal_Prot#'!B:B, 0)), "NoXtal", "Xtal")</f>
        <v>NoXtal</v>
      </c>
      <c r="D279" s="4" t="str">
        <f>VLOOKUP(A279,Classification!A:D,2,FALSE)</f>
        <v>A</v>
      </c>
      <c r="E279" s="5" t="str">
        <f>VLOOKUP(A279,Seqs!A:B,2,FALSE)</f>
        <v>MSLFLSNLSTNDSSLWKENHNSTDLLNPPGTLNIYLFCLTCLMTFAALVGSIYSLISLLKMQNRTVVSMLVASWSVDDLMSVLSVTIFMFLQWPNEVPGYFQFLCTTSALMYLCQGLSSNLKATLLVSYNFYTMHRGVGSQTASRRSGQVLGVVLTVWAASLLLSALPLCGWGAFVRTPWGCLVDCSSSYVLFLSIVYALAFGLLVGLSVPLTHRLLCSEEPPRLHSNYQEISRGASIPGTPPTAGRVVSLSPEDAPGPSLRRSGGCSPSSDTVFGPGAPAAAGAEACRRENRGTLYGTRSFTVSVAQKRFALILALTKVVLWLPMMMHMVVQNVVGFQSLPLETFSFLLTLLATTVTPVFVLSKRWTHLPCGCIINCRQNAYAVASDGKKIKRKGFEFNLSFQKSYGIYKIAHEDYYDDDENSIFYHNLMNSECETTKDPQRDNRNIFNAIKVEISTTPSLDSSTQRGINKCTNTDITEAKQDSNNKKDAFSDKTGGDINYEETTFSEGPERRLSHEESQKPDLSDWEWCRSKSERTPRQRSGYALAIPLCAFQGTVSLHAPTGKTLSLSTYEVSAEGQKITPASKKIEVYRSKSVGHEPNSEDSSSTFVDTSVKIHLEVLEICDNEEALDTVSIISNISQSSTQVRSPSLRYSRKENRFVSCDLGETASYSLFLPTSNPDGDINISIPDTVEAHRQNSKRQHQERDGYQEEIQLLNKAYRKREEESKGS</v>
      </c>
      <c r="F279" s="5" t="str">
        <f t="shared" si="101"/>
        <v>DSSLWKENHNSTDLLNPPGTLNIYLFCLTCLM</v>
      </c>
      <c r="G279" s="4" t="str">
        <f t="shared" si="102"/>
        <v/>
      </c>
      <c r="H279" s="4" t="str">
        <f t="shared" si="103"/>
        <v>VGSIYSLISLLKMQNRTVVSMLVASWSVDDL</v>
      </c>
      <c r="I279" s="4" t="str">
        <f t="shared" si="104"/>
        <v>IFMF</v>
      </c>
      <c r="J279" s="4" t="str">
        <f t="shared" si="105"/>
        <v>LQWPNEVPGYFQFLCTTSALMYLCQGLSSNLKATLLVSYNFYTMHRG</v>
      </c>
      <c r="K279" s="4" t="str">
        <f t="shared" si="106"/>
        <v/>
      </c>
      <c r="L279" s="4" t="str">
        <f t="shared" si="107"/>
        <v>RSGQVLGVVLTVWAASLLLSALPLCG</v>
      </c>
      <c r="M279" s="4" t="str">
        <f t="shared" si="108"/>
        <v/>
      </c>
      <c r="N279" s="4" t="str">
        <f t="shared" si="109"/>
        <v>VYALAFGLLVGLSVPLTHRLLCSEEPPRLHSNYQEISRGAS</v>
      </c>
      <c r="O279" s="4" t="str">
        <f t="shared" si="110"/>
        <v>TRSFTVSVAQKRFALILALTKVVLWLPMMMHMVVQNVV</v>
      </c>
      <c r="P279" s="4" t="str">
        <f t="shared" si="111"/>
        <v>LPLETFSFLLTLLATTVTPVFVLSK</v>
      </c>
      <c r="Q279" s="4" t="str">
        <f t="shared" si="112"/>
        <v>RWTHLPCGCIINC</v>
      </c>
      <c r="R279" s="5">
        <f>VLOOKUP($A279,'SegEnds_NonXtal_Prot#'!$A:$AL,3,FALSE)</f>
        <v>12</v>
      </c>
      <c r="S279" s="5" t="str">
        <f>VLOOKUP($A279,'SegEnds_NonXtal_Prot#'!$A:$AL,6,FALSE)</f>
        <v>-</v>
      </c>
      <c r="T279" s="5">
        <f>VLOOKUP($A279,'SegEnds_NonXtal_Prot#'!$A:$AL,9,FALSE)</f>
        <v>49</v>
      </c>
      <c r="U279" s="5">
        <f>VLOOKUP($A279,'SegEnds_NonXtal_Prot#'!$A:$AL,12,FALSE)</f>
        <v>87</v>
      </c>
      <c r="V279" s="5">
        <f>VLOOKUP($A279,'SegEnds_NonXtal_Prot#'!$A:$AL,15,FALSE)</f>
        <v>91</v>
      </c>
      <c r="W279" s="5" t="str">
        <f>VLOOKUP($A279,'SegEnds_NonXtal_Prot#'!$A:$AL,18,FALSE)</f>
        <v>-</v>
      </c>
      <c r="X279" s="5">
        <f>VLOOKUP($A279,'SegEnds_NonXtal_Prot#'!$A:$AL,21,FALSE)</f>
        <v>146</v>
      </c>
      <c r="Y279" s="5" t="str">
        <f>VLOOKUP($A279,'SegEnds_NonXtal_Prot#'!$A:$AL,24,FALSE)</f>
        <v>-</v>
      </c>
      <c r="Z279" s="5">
        <f>VLOOKUP($A279,'SegEnds_NonXtal_Prot#'!$A:$AL,27,FALSE)</f>
        <v>197</v>
      </c>
      <c r="AA279" s="5">
        <f>VLOOKUP($A279,'SegEnds_NonXtal_Prot#'!$A:$AL,30,FALSE)</f>
        <v>299</v>
      </c>
      <c r="AB279" s="5">
        <f>VLOOKUP($A279,'SegEnds_NonXtal_Prot#'!$A:$AL,33,FALSE)</f>
        <v>341</v>
      </c>
      <c r="AC279" s="5">
        <f>VLOOKUP($A279,'SegEnds_NonXtal_Prot#'!$A:$AL,36,FALSE)</f>
        <v>366</v>
      </c>
      <c r="AD279" s="5">
        <f>VLOOKUP($A279,'SegEnds_NonXtal_Prot#'!$A:$AL,5,FALSE)</f>
        <v>43</v>
      </c>
      <c r="AE279" s="5" t="str">
        <f>VLOOKUP($A279,'SegEnds_NonXtal_Prot#'!$A:$AL,8,FALSE)</f>
        <v>-</v>
      </c>
      <c r="AF279" s="5">
        <f>VLOOKUP($A279,'SegEnds_NonXtal_Prot#'!$A:$AL,11,FALSE)</f>
        <v>79</v>
      </c>
      <c r="AG279" s="5">
        <f>VLOOKUP($A279,'SegEnds_NonXtal_Prot#'!$A:$AL,14,FALSE)</f>
        <v>90</v>
      </c>
      <c r="AH279" s="5">
        <f>VLOOKUP($A279,'SegEnds_NonXtal_Prot#'!$A:$AL,17,FALSE)</f>
        <v>137</v>
      </c>
      <c r="AI279" s="5" t="str">
        <f>VLOOKUP($A279,'SegEnds_NonXtal_Prot#'!$A:$AL,20,FALSE)</f>
        <v>-</v>
      </c>
      <c r="AJ279" s="5">
        <f>VLOOKUP($A279,'SegEnds_NonXtal_Prot#'!$A:$AL,23,FALSE)</f>
        <v>171</v>
      </c>
      <c r="AK279" s="5" t="str">
        <f>VLOOKUP($A279,'SegEnds_NonXtal_Prot#'!$A:$AL,26,FALSE)</f>
        <v>-</v>
      </c>
      <c r="AL279" s="5">
        <f>VLOOKUP($A279,'SegEnds_NonXtal_Prot#'!$A:$AL,29,FALSE)</f>
        <v>237</v>
      </c>
      <c r="AM279" s="5">
        <f>VLOOKUP($A279,'SegEnds_NonXtal_Prot#'!$A:$AL,32,FALSE)</f>
        <v>336</v>
      </c>
      <c r="AN279" s="5">
        <f>VLOOKUP($A279,'SegEnds_NonXtal_Prot#'!$A:$AL,35,FALSE)</f>
        <v>365</v>
      </c>
      <c r="AO279" s="5">
        <f>VLOOKUP($A279,'SegEnds_NonXtal_Prot#'!$A:$AL,38,FALSE)</f>
        <v>378</v>
      </c>
      <c r="AP279" s="5">
        <f t="shared" si="113"/>
        <v>31</v>
      </c>
      <c r="AQ279" s="4" t="str">
        <f t="shared" si="114"/>
        <v>-</v>
      </c>
      <c r="AR279" s="4">
        <f t="shared" si="115"/>
        <v>30</v>
      </c>
      <c r="AS279" s="4">
        <f t="shared" si="116"/>
        <v>3</v>
      </c>
      <c r="AT279" s="4">
        <f t="shared" si="117"/>
        <v>46</v>
      </c>
      <c r="AU279" s="4" t="str">
        <f t="shared" si="118"/>
        <v>-</v>
      </c>
      <c r="AV279" s="4">
        <f t="shared" si="119"/>
        <v>25</v>
      </c>
      <c r="AW279" s="4" t="str">
        <f t="shared" si="120"/>
        <v>-</v>
      </c>
      <c r="AX279" s="4">
        <f t="shared" si="121"/>
        <v>40</v>
      </c>
      <c r="AY279" s="4">
        <f t="shared" si="122"/>
        <v>37</v>
      </c>
      <c r="AZ279" s="4">
        <f t="shared" si="123"/>
        <v>24</v>
      </c>
      <c r="BA279" s="4">
        <f t="shared" si="124"/>
        <v>12</v>
      </c>
    </row>
    <row r="280" spans="1:53" x14ac:dyDescent="0.2">
      <c r="A280" s="1" t="str">
        <f>'SegEnds_NonXtal_Prot#'!A271</f>
        <v>gp150_human</v>
      </c>
      <c r="B280" s="1" t="str">
        <f t="shared" si="100"/>
        <v>SRRVRLVFLGVILVVAVAGNTTVLCRLCGGRKMDFLLVQLALADLYACGGTALSQLAWELLGAATGDLACRFLQLLQASGRGASAHLVVLIALERRRAVRLRPLPARALAALGWLLALLLALPPAFVVWHLQVYAFYEAVAGFVAPVTVLGVACGHLLSVWWRHRPQAPAPAPSALPRAKVQSLKMSLLLALLFVGCELPYFAARLAAAWSGDWEGEGLSAALRVVAMANSALNPFVYLFFQAGDCRLRRQLR</v>
      </c>
      <c r="C280" s="29" t="str">
        <f>IF(ISERROR(MATCH(A280,'SegEnds_Xtal_Prot#'!B:B, 0)), "NoXtal", "Xtal")</f>
        <v>NoXtal</v>
      </c>
      <c r="D280" s="4" t="str">
        <f>VLOOKUP(A280,Classification!A:D,2,FALSE)</f>
        <v>A</v>
      </c>
      <c r="E280" s="5" t="str">
        <f>VLOOKUP(A280,Seqs!A:B,2,FALSE)</f>
        <v>MEDLFSPSILPPAPNISVPILLGWGLNLTLGQGAPASGPPSRRVRLVFLGVILVVAVAGNTTVLCRLCGGGGPWAGPKRRKMDFLLVQLALADLYACGGTALSQLAWELLGEPRAATGDLACRFLQLLQASGRGASAHLVVLIALERRRAVRLPHGRPLPARALAALGWLLALLLALPPAFVVRGDSPSPLPPPPPPTSLQPGAPPAARAWPGERRCHGIFAPLPRWHLQVYAFYEAVAGFVAPVTVLGVACGHLLSVWWRHRPQAPAAAAPWSASPGRAPAPSALPRAKVQSLKMSLLLALLFVGCELPYFAARLAAAWSSGPAGDWEGEGLSAALRVVAMANSALNPFVYLFFQAGDCRLRRQLRKRLGSLCCAPQGGAEDEEGPRGHQALYRQRWPHPHYHHARREPLDEGGLRPPPPRPRPLPCSCESAF</v>
      </c>
      <c r="F280" s="5" t="str">
        <f t="shared" si="101"/>
        <v>SRRVRLVFLGVILVVAVAGNTTVLCRLCGG</v>
      </c>
      <c r="G280" s="4" t="str">
        <f t="shared" si="102"/>
        <v/>
      </c>
      <c r="H280" s="4" t="str">
        <f t="shared" si="103"/>
        <v>RKMDFLLVQLALADLYACGGTALSQLAWELLG</v>
      </c>
      <c r="I280" s="4" t="str">
        <f t="shared" si="104"/>
        <v/>
      </c>
      <c r="J280" s="4" t="str">
        <f t="shared" si="105"/>
        <v>AATGDLACRFLQLLQASGRGASAHLVVLIALERRRAVRL</v>
      </c>
      <c r="K280" s="4" t="str">
        <f t="shared" si="106"/>
        <v/>
      </c>
      <c r="L280" s="4" t="str">
        <f t="shared" si="107"/>
        <v>RPLPARALAALGWLLALLLALPPAFVV</v>
      </c>
      <c r="M280" s="4" t="str">
        <f t="shared" si="108"/>
        <v>CHG</v>
      </c>
      <c r="N280" s="4" t="str">
        <f t="shared" si="109"/>
        <v>WHLQVYAFYEAVAGFVAPVTVLGVACGHLLSVWWRHRPQAPA</v>
      </c>
      <c r="O280" s="4" t="str">
        <f t="shared" si="110"/>
        <v>PAPSALPRAKVQSLKMSLLLALLFVGCELPYFAARLAAAWS</v>
      </c>
      <c r="P280" s="4" t="str">
        <f t="shared" si="111"/>
        <v>GDWEGEGLSAALRVVAMANSALNPFVYLFF</v>
      </c>
      <c r="Q280" s="4" t="str">
        <f t="shared" si="112"/>
        <v>QAGDCRLRRQLR</v>
      </c>
      <c r="R280" s="5">
        <f>VLOOKUP($A280,'SegEnds_NonXtal_Prot#'!$A:$AL,3,FALSE)</f>
        <v>41</v>
      </c>
      <c r="S280" s="5" t="str">
        <f>VLOOKUP($A280,'SegEnds_NonXtal_Prot#'!$A:$AL,6,FALSE)</f>
        <v>-</v>
      </c>
      <c r="T280" s="5">
        <f>VLOOKUP($A280,'SegEnds_NonXtal_Prot#'!$A:$AL,9,FALSE)</f>
        <v>80</v>
      </c>
      <c r="U280" s="5" t="str">
        <f>VLOOKUP($A280,'SegEnds_NonXtal_Prot#'!$A:$AL,12,FALSE)</f>
        <v>-</v>
      </c>
      <c r="V280" s="5">
        <f>VLOOKUP($A280,'SegEnds_NonXtal_Prot#'!$A:$AL,15,FALSE)</f>
        <v>115</v>
      </c>
      <c r="W280" s="5" t="str">
        <f>VLOOKUP($A280,'SegEnds_NonXtal_Prot#'!$A:$AL,18,FALSE)</f>
        <v>-</v>
      </c>
      <c r="X280" s="5">
        <f>VLOOKUP($A280,'SegEnds_NonXtal_Prot#'!$A:$AL,21,FALSE)</f>
        <v>157</v>
      </c>
      <c r="Y280" s="5">
        <f>VLOOKUP($A280,'SegEnds_NonXtal_Prot#'!$A:$AL,24,FALSE)</f>
        <v>217</v>
      </c>
      <c r="Z280" s="5">
        <f>VLOOKUP($A280,'SegEnds_NonXtal_Prot#'!$A:$AL,27,FALSE)</f>
        <v>227</v>
      </c>
      <c r="AA280" s="5">
        <f>VLOOKUP($A280,'SegEnds_NonXtal_Prot#'!$A:$AL,30,FALSE)</f>
        <v>281</v>
      </c>
      <c r="AB280" s="5">
        <f>VLOOKUP($A280,'SegEnds_NonXtal_Prot#'!$A:$AL,33,FALSE)</f>
        <v>326</v>
      </c>
      <c r="AC280" s="5">
        <f>VLOOKUP($A280,'SegEnds_NonXtal_Prot#'!$A:$AL,36,FALSE)</f>
        <v>356</v>
      </c>
      <c r="AD280" s="5">
        <f>VLOOKUP($A280,'SegEnds_NonXtal_Prot#'!$A:$AL,5,FALSE)</f>
        <v>70</v>
      </c>
      <c r="AE280" s="5" t="str">
        <f>VLOOKUP($A280,'SegEnds_NonXtal_Prot#'!$A:$AL,8,FALSE)</f>
        <v>-</v>
      </c>
      <c r="AF280" s="5">
        <f>VLOOKUP($A280,'SegEnds_NonXtal_Prot#'!$A:$AL,11,FALSE)</f>
        <v>111</v>
      </c>
      <c r="AG280" s="5" t="str">
        <f>VLOOKUP($A280,'SegEnds_NonXtal_Prot#'!$A:$AL,14,FALSE)</f>
        <v>-</v>
      </c>
      <c r="AH280" s="5">
        <f>VLOOKUP($A280,'SegEnds_NonXtal_Prot#'!$A:$AL,17,FALSE)</f>
        <v>153</v>
      </c>
      <c r="AI280" s="5" t="str">
        <f>VLOOKUP($A280,'SegEnds_NonXtal_Prot#'!$A:$AL,20,FALSE)</f>
        <v>-</v>
      </c>
      <c r="AJ280" s="5">
        <f>VLOOKUP($A280,'SegEnds_NonXtal_Prot#'!$A:$AL,23,FALSE)</f>
        <v>183</v>
      </c>
      <c r="AK280" s="5">
        <f>VLOOKUP($A280,'SegEnds_NonXtal_Prot#'!$A:$AL,26,FALSE)</f>
        <v>219</v>
      </c>
      <c r="AL280" s="5">
        <f>VLOOKUP($A280,'SegEnds_NonXtal_Prot#'!$A:$AL,29,FALSE)</f>
        <v>268</v>
      </c>
      <c r="AM280" s="5">
        <f>VLOOKUP($A280,'SegEnds_NonXtal_Prot#'!$A:$AL,32,FALSE)</f>
        <v>321</v>
      </c>
      <c r="AN280" s="5">
        <f>VLOOKUP($A280,'SegEnds_NonXtal_Prot#'!$A:$AL,35,FALSE)</f>
        <v>355</v>
      </c>
      <c r="AO280" s="5">
        <f>VLOOKUP($A280,'SegEnds_NonXtal_Prot#'!$A:$AL,38,FALSE)</f>
        <v>367</v>
      </c>
      <c r="AP280" s="5">
        <f t="shared" si="113"/>
        <v>29</v>
      </c>
      <c r="AQ280" s="4" t="str">
        <f t="shared" si="114"/>
        <v>-</v>
      </c>
      <c r="AR280" s="4">
        <f t="shared" si="115"/>
        <v>31</v>
      </c>
      <c r="AS280" s="4" t="str">
        <f t="shared" si="116"/>
        <v>-</v>
      </c>
      <c r="AT280" s="4">
        <f t="shared" si="117"/>
        <v>38</v>
      </c>
      <c r="AU280" s="4" t="str">
        <f t="shared" si="118"/>
        <v>-</v>
      </c>
      <c r="AV280" s="4">
        <f t="shared" si="119"/>
        <v>26</v>
      </c>
      <c r="AW280" s="4">
        <f t="shared" si="120"/>
        <v>2</v>
      </c>
      <c r="AX280" s="4">
        <f t="shared" si="121"/>
        <v>41</v>
      </c>
      <c r="AY280" s="4">
        <f t="shared" si="122"/>
        <v>40</v>
      </c>
      <c r="AZ280" s="4">
        <f t="shared" si="123"/>
        <v>29</v>
      </c>
      <c r="BA280" s="4">
        <f t="shared" si="124"/>
        <v>11</v>
      </c>
    </row>
    <row r="281" spans="1:53" x14ac:dyDescent="0.2">
      <c r="A281" s="1" t="str">
        <f>'SegEnds_NonXtal_Prot#'!A272</f>
        <v>gp160_human</v>
      </c>
      <c r="B281" s="1" t="str">
        <f t="shared" si="100"/>
        <v>TNQPLDVNYLLFLIILGKILLNILTLGMRRKNNFMEYFCISLAFVDLLLLVNISIILYFRDFRFTKYHICLFTQIISFTYGFLHYPVFLTACIDYCLNFSKQKLFYFFTVILIWISVLAYVLGDPAIQSYWLSFFMVMILFVAFITCWEEVTTLVQAIRITSYMNESHSSYTVRSKKIFLSKLIVCFLSTWLPFVLLQVIIVLLPAYIEMNIPWLYFVNSFLIATVYWFNCHKLNLKDIGLPLDP</v>
      </c>
      <c r="C281" s="29" t="str">
        <f>IF(ISERROR(MATCH(A281,'SegEnds_Xtal_Prot#'!B:B, 0)), "NoXtal", "Xtal")</f>
        <v>NoXtal</v>
      </c>
      <c r="D281" s="4" t="str">
        <f>VLOOKUP(A281,Classification!A:D,2,FALSE)</f>
        <v>A</v>
      </c>
      <c r="E281" s="5" t="str">
        <f>VLOOKUP(A281,Seqs!A:B,2,FALSE)</f>
        <v>MTALSSENCSFQYQLRQTNQPLDVNYLLFLIILGKILLNILTLGMRRKNTCQNFMEYFCISLAFVDLLLLVNISIILYFRDFVLLSIRFTKYHICLFTQIISFTYGFLHYPVFLTACIDYCLNFSKTTKLSFKCQKLFYFFTVILIWISVLAYVLGDPAIYQSLKAQNAYSRHCPFYVSIQSYWLSFFMVMILFVAFITCWEEVTTLVQAIRITSYMNETILYFPFSSHSSYTVRSKKIFLSKLIVCFLSTWLPFVLLQVIIVLLKVQIPAYIEMNIPWLYFVNSFLIATVYWFNCHKLNLKDIGLPLDPFVNWKCCFIPLTIPNLEQIEKPISIMIC</v>
      </c>
      <c r="F281" s="5" t="str">
        <f t="shared" si="101"/>
        <v>TNQPLDVNYLLFLIILGKILLNILTLGMRRKN</v>
      </c>
      <c r="G281" s="4" t="str">
        <f t="shared" si="102"/>
        <v/>
      </c>
      <c r="H281" s="4" t="str">
        <f t="shared" si="103"/>
        <v>NFMEYFCISLAFVDLLLLVNISIILYFRDF</v>
      </c>
      <c r="I281" s="4" t="str">
        <f t="shared" si="104"/>
        <v/>
      </c>
      <c r="J281" s="4" t="str">
        <f t="shared" si="105"/>
        <v>RFTKYHICLFTQIISFTYGFLHYPVFLTACIDYCLNFSK</v>
      </c>
      <c r="K281" s="4" t="str">
        <f t="shared" si="106"/>
        <v/>
      </c>
      <c r="L281" s="4" t="str">
        <f t="shared" si="107"/>
        <v>QKLFYFFTVILIWISVLAYVLGDPAI</v>
      </c>
      <c r="M281" s="4" t="str">
        <f t="shared" si="108"/>
        <v>CPF</v>
      </c>
      <c r="N281" s="4" t="str">
        <f t="shared" si="109"/>
        <v>QSYWLSFFMVMILFVAFITCWEEVTTLVQAIRITSYMNE</v>
      </c>
      <c r="O281" s="4" t="str">
        <f t="shared" si="110"/>
        <v>SHSSYTVRSKKIFLSKLIVCFLSTWLPFVLLQVIIVLL</v>
      </c>
      <c r="P281" s="4" t="str">
        <f t="shared" si="111"/>
        <v>PAYIEMNIPWLYFVNSFLIATVYWFN</v>
      </c>
      <c r="Q281" s="4" t="str">
        <f t="shared" si="112"/>
        <v>CHKLNLKDIGLPLDP</v>
      </c>
      <c r="R281" s="5">
        <f>VLOOKUP($A281,'SegEnds_NonXtal_Prot#'!$A:$AL,3,FALSE)</f>
        <v>18</v>
      </c>
      <c r="S281" s="5" t="str">
        <f>VLOOKUP($A281,'SegEnds_NonXtal_Prot#'!$A:$AL,6,FALSE)</f>
        <v>-</v>
      </c>
      <c r="T281" s="5">
        <f>VLOOKUP($A281,'SegEnds_NonXtal_Prot#'!$A:$AL,9,FALSE)</f>
        <v>53</v>
      </c>
      <c r="U281" s="5" t="str">
        <f>VLOOKUP($A281,'SegEnds_NonXtal_Prot#'!$A:$AL,12,FALSE)</f>
        <v>-</v>
      </c>
      <c r="V281" s="5">
        <f>VLOOKUP($A281,'SegEnds_NonXtal_Prot#'!$A:$AL,15,FALSE)</f>
        <v>88</v>
      </c>
      <c r="W281" s="5" t="str">
        <f>VLOOKUP($A281,'SegEnds_NonXtal_Prot#'!$A:$AL,18,FALSE)</f>
        <v>-</v>
      </c>
      <c r="X281" s="5">
        <f>VLOOKUP($A281,'SegEnds_NonXtal_Prot#'!$A:$AL,21,FALSE)</f>
        <v>135</v>
      </c>
      <c r="Y281" s="5">
        <f>VLOOKUP($A281,'SegEnds_NonXtal_Prot#'!$A:$AL,24,FALSE)</f>
        <v>174</v>
      </c>
      <c r="Z281" s="5">
        <f>VLOOKUP($A281,'SegEnds_NonXtal_Prot#'!$A:$AL,27,FALSE)</f>
        <v>181</v>
      </c>
      <c r="AA281" s="5">
        <f>VLOOKUP($A281,'SegEnds_NonXtal_Prot#'!$A:$AL,30,FALSE)</f>
        <v>228</v>
      </c>
      <c r="AB281" s="5">
        <f>VLOOKUP($A281,'SegEnds_NonXtal_Prot#'!$A:$AL,33,FALSE)</f>
        <v>270</v>
      </c>
      <c r="AC281" s="5">
        <f>VLOOKUP($A281,'SegEnds_NonXtal_Prot#'!$A:$AL,36,FALSE)</f>
        <v>296</v>
      </c>
      <c r="AD281" s="5">
        <f>VLOOKUP($A281,'SegEnds_NonXtal_Prot#'!$A:$AL,5,FALSE)</f>
        <v>49</v>
      </c>
      <c r="AE281" s="5" t="str">
        <f>VLOOKUP($A281,'SegEnds_NonXtal_Prot#'!$A:$AL,8,FALSE)</f>
        <v>-</v>
      </c>
      <c r="AF281" s="5">
        <f>VLOOKUP($A281,'SegEnds_NonXtal_Prot#'!$A:$AL,11,FALSE)</f>
        <v>82</v>
      </c>
      <c r="AG281" s="5" t="str">
        <f>VLOOKUP($A281,'SegEnds_NonXtal_Prot#'!$A:$AL,14,FALSE)</f>
        <v>-</v>
      </c>
      <c r="AH281" s="5">
        <f>VLOOKUP($A281,'SegEnds_NonXtal_Prot#'!$A:$AL,17,FALSE)</f>
        <v>126</v>
      </c>
      <c r="AI281" s="5" t="str">
        <f>VLOOKUP($A281,'SegEnds_NonXtal_Prot#'!$A:$AL,20,FALSE)</f>
        <v>-</v>
      </c>
      <c r="AJ281" s="5">
        <f>VLOOKUP($A281,'SegEnds_NonXtal_Prot#'!$A:$AL,23,FALSE)</f>
        <v>160</v>
      </c>
      <c r="AK281" s="5">
        <f>VLOOKUP($A281,'SegEnds_NonXtal_Prot#'!$A:$AL,26,FALSE)</f>
        <v>176</v>
      </c>
      <c r="AL281" s="5">
        <f>VLOOKUP($A281,'SegEnds_NonXtal_Prot#'!$A:$AL,29,FALSE)</f>
        <v>219</v>
      </c>
      <c r="AM281" s="5">
        <f>VLOOKUP($A281,'SegEnds_NonXtal_Prot#'!$A:$AL,32,FALSE)</f>
        <v>265</v>
      </c>
      <c r="AN281" s="5">
        <f>VLOOKUP($A281,'SegEnds_NonXtal_Prot#'!$A:$AL,35,FALSE)</f>
        <v>295</v>
      </c>
      <c r="AO281" s="5">
        <f>VLOOKUP($A281,'SegEnds_NonXtal_Prot#'!$A:$AL,38,FALSE)</f>
        <v>310</v>
      </c>
      <c r="AP281" s="5">
        <f t="shared" si="113"/>
        <v>31</v>
      </c>
      <c r="AQ281" s="4" t="str">
        <f t="shared" si="114"/>
        <v>-</v>
      </c>
      <c r="AR281" s="4">
        <f t="shared" si="115"/>
        <v>29</v>
      </c>
      <c r="AS281" s="4" t="str">
        <f t="shared" si="116"/>
        <v>-</v>
      </c>
      <c r="AT281" s="4">
        <f t="shared" si="117"/>
        <v>38</v>
      </c>
      <c r="AU281" s="4" t="str">
        <f t="shared" si="118"/>
        <v>-</v>
      </c>
      <c r="AV281" s="4">
        <f t="shared" si="119"/>
        <v>25</v>
      </c>
      <c r="AW281" s="4">
        <f t="shared" si="120"/>
        <v>2</v>
      </c>
      <c r="AX281" s="4">
        <f t="shared" si="121"/>
        <v>38</v>
      </c>
      <c r="AY281" s="4">
        <f t="shared" si="122"/>
        <v>37</v>
      </c>
      <c r="AZ281" s="4">
        <f t="shared" si="123"/>
        <v>25</v>
      </c>
      <c r="BA281" s="4">
        <f t="shared" si="124"/>
        <v>14</v>
      </c>
    </row>
    <row r="282" spans="1:53" x14ac:dyDescent="0.2">
      <c r="A282" s="1" t="str">
        <f>'SegEnds_NonXtal_Prot#'!A273</f>
        <v>gp176_human</v>
      </c>
      <c r="B282" s="1" t="str">
        <f t="shared" si="100"/>
        <v>RQFTTTVQVVIFIGSLLGNFMVLWSTCRTSVTNRFIKNLACSGICASLVCVPFDIILSTSYTMLFCKVVKFLHKVFCSVTILSFPAIALDRYYSVLYSDAKSRELVMYIWAHAVVASVPVFAVTSLGHLVYVLVYNITTVIVPVVVVFLFLILIRRALSASQKKKVIISIPYASQREAELHATLLSMVMVFILCSVPYATLVVYQTVLSVFLLLTAVWLPKVSLLANPVLFLTVNKSVRKCLIGTL</v>
      </c>
      <c r="C282" s="29" t="str">
        <f>IF(ISERROR(MATCH(A282,'SegEnds_Xtal_Prot#'!B:B, 0)), "NoXtal", "Xtal")</f>
        <v>NoXtal</v>
      </c>
      <c r="D282" s="4" t="str">
        <f>VLOOKUP(A282,Classification!A:D,2,FALSE)</f>
        <v>A</v>
      </c>
      <c r="E282" s="5" t="str">
        <f>VLOOKUP(A282,Seqs!A:B,2,FALSE)</f>
        <v>MGHNGSWISPNASEPHNASGAEAAGVNRSALGEFGEAQLYRQFTTTVQVVIFIGSLLGNFMVLWSTCRTTVFKSVTNRFIKNLACSGICASLVCVPFDIILSTSPHCCWWIYTMLFCKVVKFLHKVFCSVTILSFPAIALDRYYSVLYPLERKISDAKSRELVMYIWAHAVVASVPVFAVTNVADIYATSTCTEVWSNSLGHLVYVLVYNITTVIVPVVVVFLFLILIRRALSASQKKKVIIAALRTPQNTISIPYASQREAELHATLLSMVMVFILCSVPYATLVVYQTVLNVPDTSVFLLLTAVWLPKVSLLANPVLFLTVNKSVRKCLIGTLVQLHHRYSRRNVVSTGSGMAEASLEPSIRSGSQLLEMFHIGQQQIFKPTEDEEESEAKYIGSADFQAKEIFSTCLEGEQGPQFAPSAPPLSTVDSVSQVAPAAPVEPETFPDKYSLQFGFGPFELPPQWLSETRNSKKRLLPPLGNTPEELIQTKVPKVGRVERKMSRNNKVSIFPKVDS</v>
      </c>
      <c r="F282" s="5" t="str">
        <f t="shared" si="101"/>
        <v>RQFTTTVQVVIFIGSLLGNFMVLWSTCRT</v>
      </c>
      <c r="G282" s="4" t="str">
        <f t="shared" si="102"/>
        <v>TVFK</v>
      </c>
      <c r="H282" s="4" t="str">
        <f t="shared" si="103"/>
        <v>SVTNRFIKNLACSGICASLVCVPFDIILSTS</v>
      </c>
      <c r="I282" s="4" t="str">
        <f t="shared" si="104"/>
        <v>CWWI</v>
      </c>
      <c r="J282" s="4" t="str">
        <f t="shared" si="105"/>
        <v>YTMLFCKVVKFLHKVFCSVTILSFPAIALDRYYSVLY</v>
      </c>
      <c r="K282" s="4" t="str">
        <f t="shared" si="106"/>
        <v/>
      </c>
      <c r="L282" s="4" t="str">
        <f t="shared" si="107"/>
        <v>SDAKSRELVMYIWAHAVVASVPVFAVT</v>
      </c>
      <c r="M282" s="4" t="str">
        <f t="shared" si="108"/>
        <v>CTE</v>
      </c>
      <c r="N282" s="4" t="str">
        <f t="shared" si="109"/>
        <v>SLGHLVYVLVYNITTVIVPVVVVFLFLILIRRALSASQKKKVI</v>
      </c>
      <c r="O282" s="4" t="str">
        <f t="shared" si="110"/>
        <v>ISIPYASQREAELHATLLSMVMVFILCSVPYATLVVYQTVL</v>
      </c>
      <c r="P282" s="4" t="str">
        <f t="shared" si="111"/>
        <v>SVFLLLTAVWLPKVSLLANPVLFLTV</v>
      </c>
      <c r="Q282" s="4" t="str">
        <f t="shared" si="112"/>
        <v>NKSVRKCLIGTL</v>
      </c>
      <c r="R282" s="5">
        <f>VLOOKUP($A282,'SegEnds_NonXtal_Prot#'!$A:$AL,3,FALSE)</f>
        <v>41</v>
      </c>
      <c r="S282" s="5">
        <f>VLOOKUP($A282,'SegEnds_NonXtal_Prot#'!$A:$AL,6,FALSE)</f>
        <v>70</v>
      </c>
      <c r="T282" s="5">
        <f>VLOOKUP($A282,'SegEnds_NonXtal_Prot#'!$A:$AL,9,FALSE)</f>
        <v>74</v>
      </c>
      <c r="U282" s="5">
        <f>VLOOKUP($A282,'SegEnds_NonXtal_Prot#'!$A:$AL,12,FALSE)</f>
        <v>108</v>
      </c>
      <c r="V282" s="5">
        <f>VLOOKUP($A282,'SegEnds_NonXtal_Prot#'!$A:$AL,15,FALSE)</f>
        <v>112</v>
      </c>
      <c r="W282" s="5" t="str">
        <f>VLOOKUP($A282,'SegEnds_NonXtal_Prot#'!$A:$AL,18,FALSE)</f>
        <v>-</v>
      </c>
      <c r="X282" s="5">
        <f>VLOOKUP($A282,'SegEnds_NonXtal_Prot#'!$A:$AL,21,FALSE)</f>
        <v>155</v>
      </c>
      <c r="Y282" s="5">
        <f>VLOOKUP($A282,'SegEnds_NonXtal_Prot#'!$A:$AL,24,FALSE)</f>
        <v>192</v>
      </c>
      <c r="Z282" s="5">
        <f>VLOOKUP($A282,'SegEnds_NonXtal_Prot#'!$A:$AL,27,FALSE)</f>
        <v>199</v>
      </c>
      <c r="AA282" s="5">
        <f>VLOOKUP($A282,'SegEnds_NonXtal_Prot#'!$A:$AL,30,FALSE)</f>
        <v>252</v>
      </c>
      <c r="AB282" s="5">
        <f>VLOOKUP($A282,'SegEnds_NonXtal_Prot#'!$A:$AL,33,FALSE)</f>
        <v>298</v>
      </c>
      <c r="AC282" s="5">
        <f>VLOOKUP($A282,'SegEnds_NonXtal_Prot#'!$A:$AL,36,FALSE)</f>
        <v>324</v>
      </c>
      <c r="AD282" s="5">
        <f>VLOOKUP($A282,'SegEnds_NonXtal_Prot#'!$A:$AL,5,FALSE)</f>
        <v>69</v>
      </c>
      <c r="AE282" s="5">
        <f>VLOOKUP($A282,'SegEnds_NonXtal_Prot#'!$A:$AL,8,FALSE)</f>
        <v>73</v>
      </c>
      <c r="AF282" s="5">
        <f>VLOOKUP($A282,'SegEnds_NonXtal_Prot#'!$A:$AL,11,FALSE)</f>
        <v>104</v>
      </c>
      <c r="AG282" s="5">
        <f>VLOOKUP($A282,'SegEnds_NonXtal_Prot#'!$A:$AL,14,FALSE)</f>
        <v>111</v>
      </c>
      <c r="AH282" s="5">
        <f>VLOOKUP($A282,'SegEnds_NonXtal_Prot#'!$A:$AL,17,FALSE)</f>
        <v>148</v>
      </c>
      <c r="AI282" s="5" t="str">
        <f>VLOOKUP($A282,'SegEnds_NonXtal_Prot#'!$A:$AL,20,FALSE)</f>
        <v>-</v>
      </c>
      <c r="AJ282" s="5">
        <f>VLOOKUP($A282,'SegEnds_NonXtal_Prot#'!$A:$AL,23,FALSE)</f>
        <v>181</v>
      </c>
      <c r="AK282" s="5">
        <f>VLOOKUP($A282,'SegEnds_NonXtal_Prot#'!$A:$AL,26,FALSE)</f>
        <v>194</v>
      </c>
      <c r="AL282" s="5">
        <f>VLOOKUP($A282,'SegEnds_NonXtal_Prot#'!$A:$AL,29,FALSE)</f>
        <v>241</v>
      </c>
      <c r="AM282" s="5">
        <f>VLOOKUP($A282,'SegEnds_NonXtal_Prot#'!$A:$AL,32,FALSE)</f>
        <v>292</v>
      </c>
      <c r="AN282" s="5">
        <f>VLOOKUP($A282,'SegEnds_NonXtal_Prot#'!$A:$AL,35,FALSE)</f>
        <v>323</v>
      </c>
      <c r="AO282" s="5">
        <f>VLOOKUP($A282,'SegEnds_NonXtal_Prot#'!$A:$AL,38,FALSE)</f>
        <v>335</v>
      </c>
      <c r="AP282" s="5">
        <f t="shared" si="113"/>
        <v>28</v>
      </c>
      <c r="AQ282" s="4">
        <f t="shared" si="114"/>
        <v>3</v>
      </c>
      <c r="AR282" s="4">
        <f t="shared" si="115"/>
        <v>30</v>
      </c>
      <c r="AS282" s="4">
        <f t="shared" si="116"/>
        <v>3</v>
      </c>
      <c r="AT282" s="4">
        <f t="shared" si="117"/>
        <v>36</v>
      </c>
      <c r="AU282" s="4" t="str">
        <f t="shared" si="118"/>
        <v>-</v>
      </c>
      <c r="AV282" s="4">
        <f t="shared" si="119"/>
        <v>26</v>
      </c>
      <c r="AW282" s="4">
        <f t="shared" si="120"/>
        <v>2</v>
      </c>
      <c r="AX282" s="4">
        <f t="shared" si="121"/>
        <v>42</v>
      </c>
      <c r="AY282" s="4">
        <f t="shared" si="122"/>
        <v>40</v>
      </c>
      <c r="AZ282" s="4">
        <f t="shared" si="123"/>
        <v>25</v>
      </c>
      <c r="BA282" s="4">
        <f t="shared" si="124"/>
        <v>11</v>
      </c>
    </row>
    <row r="283" spans="1:53" x14ac:dyDescent="0.2">
      <c r="A283" s="1" t="str">
        <f>'SegEnds_NonXtal_Prot#'!A274</f>
        <v>gpbar_human</v>
      </c>
      <c r="B283" s="1" t="str">
        <f t="shared" si="100"/>
        <v>PIPKGALGLSLALASLIITANLLLALGIAWDSPPAGCFFLSLLLAGLLTGLALPTLPGLWNQSCLLVYLAPNFSFLSLLANLLLVHGERYMAVLRPPGSIRLALLLTWAGPLLFASLPALGFPAPYLYLEVYGLLLPAVGAAAFLSVRVLATAHRQLQDICEPSALARALTWRQARAQAGAMLLFGLCWGPYVATLLLSVLALGPGTLLSLLSLGSASAAAVPVAMGLGDQRYTAPWRAAAQ</v>
      </c>
      <c r="C283" s="29" t="str">
        <f>IF(ISERROR(MATCH(A283,'SegEnds_Xtal_Prot#'!B:B, 0)), "NoXtal", "Xtal")</f>
        <v>NoXtal</v>
      </c>
      <c r="D283" s="4" t="str">
        <f>VLOOKUP(A283,Classification!A:D,2,FALSE)</f>
        <v>A</v>
      </c>
      <c r="E283" s="5" t="str">
        <f>VLOOKUP(A283,Seqs!A:B,2,FALSE)</f>
        <v>MTPNSTGEVPSPIPKGALGLSLALASLIITANLLLALGIAWDRRLRSPPAGCFFLSLLLAGLLTGLALPTLPGLWNQSRRGYWSCLLVYLAPNFSFLSLLANLLLVHGERYMAVLRPLQPPGSIRLALLLTWAGPLLFASLPALGWNHWTPGANCSSQAIFPAPYLYLEVYGLLLPAVGAAAFLSVRVLATAHRQLQDICRLERAVCRDEPSALARALTWRQARAQAGAMLLFGLCWGPYVATLLLSVLAYEQRPPLGPGTLLSLLSLGSASAAAVPVAMGLGDQRYTAPWRAAAQRCLQGLWGRASRDSPGPSIAYHPSSQSSVDLDLN</v>
      </c>
      <c r="F283" s="5" t="str">
        <f t="shared" si="101"/>
        <v>PIPKGALGLSLALASLIITANLLLALGIAWD</v>
      </c>
      <c r="G283" s="4" t="str">
        <f t="shared" si="102"/>
        <v>RRLR</v>
      </c>
      <c r="H283" s="4" t="str">
        <f t="shared" si="103"/>
        <v>SPPAGCFFLSLLLAGLLTGLALPTLPGLWNQ</v>
      </c>
      <c r="I283" s="4" t="str">
        <f t="shared" si="104"/>
        <v/>
      </c>
      <c r="J283" s="4" t="str">
        <f t="shared" si="105"/>
        <v>SCLLVYLAPNFSFLSLLANLLLVHGERYMAVLR</v>
      </c>
      <c r="K283" s="4" t="str">
        <f t="shared" si="106"/>
        <v/>
      </c>
      <c r="L283" s="4" t="str">
        <f t="shared" si="107"/>
        <v>PPGSIRLALLLTWAGPLLFASLPALG</v>
      </c>
      <c r="M283" s="4" t="str">
        <f t="shared" si="108"/>
        <v>CSS</v>
      </c>
      <c r="N283" s="4" t="str">
        <f t="shared" si="109"/>
        <v>FPAPYLYLEVYGLLLPAVGAAAFLSVRVLATAHRQLQDIC</v>
      </c>
      <c r="O283" s="4" t="str">
        <f t="shared" si="110"/>
        <v>EPSALARALTWRQARAQAGAMLLFGLCWGPYVATLLLSVLA</v>
      </c>
      <c r="P283" s="4" t="str">
        <f t="shared" si="111"/>
        <v>LGPGTLLSLLSLGSASAAAVPVAMGLG</v>
      </c>
      <c r="Q283" s="4" t="str">
        <f t="shared" si="112"/>
        <v>DQRYTAPWRAAAQ</v>
      </c>
      <c r="R283" s="5">
        <f>VLOOKUP($A283,'SegEnds_NonXtal_Prot#'!$A:$AL,3,FALSE)</f>
        <v>12</v>
      </c>
      <c r="S283" s="5">
        <f>VLOOKUP($A283,'SegEnds_NonXtal_Prot#'!$A:$AL,6,FALSE)</f>
        <v>43</v>
      </c>
      <c r="T283" s="5">
        <f>VLOOKUP($A283,'SegEnds_NonXtal_Prot#'!$A:$AL,9,FALSE)</f>
        <v>47</v>
      </c>
      <c r="U283" s="5" t="str">
        <f>VLOOKUP($A283,'SegEnds_NonXtal_Prot#'!$A:$AL,12,FALSE)</f>
        <v>-</v>
      </c>
      <c r="V283" s="5">
        <f>VLOOKUP($A283,'SegEnds_NonXtal_Prot#'!$A:$AL,15,FALSE)</f>
        <v>84</v>
      </c>
      <c r="W283" s="5" t="str">
        <f>VLOOKUP($A283,'SegEnds_NonXtal_Prot#'!$A:$AL,18,FALSE)</f>
        <v>-</v>
      </c>
      <c r="X283" s="5">
        <f>VLOOKUP($A283,'SegEnds_NonXtal_Prot#'!$A:$AL,21,FALSE)</f>
        <v>120</v>
      </c>
      <c r="Y283" s="5">
        <f>VLOOKUP($A283,'SegEnds_NonXtal_Prot#'!$A:$AL,24,FALSE)</f>
        <v>155</v>
      </c>
      <c r="Z283" s="5">
        <f>VLOOKUP($A283,'SegEnds_NonXtal_Prot#'!$A:$AL,27,FALSE)</f>
        <v>161</v>
      </c>
      <c r="AA283" s="5">
        <f>VLOOKUP($A283,'SegEnds_NonXtal_Prot#'!$A:$AL,30,FALSE)</f>
        <v>210</v>
      </c>
      <c r="AB283" s="5">
        <f>VLOOKUP($A283,'SegEnds_NonXtal_Prot#'!$A:$AL,33,FALSE)</f>
        <v>257</v>
      </c>
      <c r="AC283" s="5">
        <f>VLOOKUP($A283,'SegEnds_NonXtal_Prot#'!$A:$AL,36,FALSE)</f>
        <v>284</v>
      </c>
      <c r="AD283" s="5">
        <f>VLOOKUP($A283,'SegEnds_NonXtal_Prot#'!$A:$AL,5,FALSE)</f>
        <v>42</v>
      </c>
      <c r="AE283" s="5">
        <f>VLOOKUP($A283,'SegEnds_NonXtal_Prot#'!$A:$AL,8,FALSE)</f>
        <v>46</v>
      </c>
      <c r="AF283" s="5">
        <f>VLOOKUP($A283,'SegEnds_NonXtal_Prot#'!$A:$AL,11,FALSE)</f>
        <v>77</v>
      </c>
      <c r="AG283" s="5" t="str">
        <f>VLOOKUP($A283,'SegEnds_NonXtal_Prot#'!$A:$AL,14,FALSE)</f>
        <v>-</v>
      </c>
      <c r="AH283" s="5">
        <f>VLOOKUP($A283,'SegEnds_NonXtal_Prot#'!$A:$AL,17,FALSE)</f>
        <v>116</v>
      </c>
      <c r="AI283" s="5" t="str">
        <f>VLOOKUP($A283,'SegEnds_NonXtal_Prot#'!$A:$AL,20,FALSE)</f>
        <v>-</v>
      </c>
      <c r="AJ283" s="5">
        <f>VLOOKUP($A283,'SegEnds_NonXtal_Prot#'!$A:$AL,23,FALSE)</f>
        <v>145</v>
      </c>
      <c r="AK283" s="5">
        <f>VLOOKUP($A283,'SegEnds_NonXtal_Prot#'!$A:$AL,26,FALSE)</f>
        <v>157</v>
      </c>
      <c r="AL283" s="5">
        <f>VLOOKUP($A283,'SegEnds_NonXtal_Prot#'!$A:$AL,29,FALSE)</f>
        <v>200</v>
      </c>
      <c r="AM283" s="5">
        <f>VLOOKUP($A283,'SegEnds_NonXtal_Prot#'!$A:$AL,32,FALSE)</f>
        <v>250</v>
      </c>
      <c r="AN283" s="5">
        <f>VLOOKUP($A283,'SegEnds_NonXtal_Prot#'!$A:$AL,35,FALSE)</f>
        <v>283</v>
      </c>
      <c r="AO283" s="5">
        <f>VLOOKUP($A283,'SegEnds_NonXtal_Prot#'!$A:$AL,38,FALSE)</f>
        <v>296</v>
      </c>
      <c r="AP283" s="5">
        <f t="shared" si="113"/>
        <v>30</v>
      </c>
      <c r="AQ283" s="4">
        <f t="shared" si="114"/>
        <v>3</v>
      </c>
      <c r="AR283" s="4">
        <f t="shared" si="115"/>
        <v>30</v>
      </c>
      <c r="AS283" s="4" t="str">
        <f t="shared" si="116"/>
        <v>-</v>
      </c>
      <c r="AT283" s="4">
        <f t="shared" si="117"/>
        <v>32</v>
      </c>
      <c r="AU283" s="4" t="str">
        <f t="shared" si="118"/>
        <v>-</v>
      </c>
      <c r="AV283" s="4">
        <f t="shared" si="119"/>
        <v>25</v>
      </c>
      <c r="AW283" s="4">
        <f t="shared" si="120"/>
        <v>2</v>
      </c>
      <c r="AX283" s="4">
        <f t="shared" si="121"/>
        <v>39</v>
      </c>
      <c r="AY283" s="4">
        <f t="shared" si="122"/>
        <v>40</v>
      </c>
      <c r="AZ283" s="4">
        <f t="shared" si="123"/>
        <v>26</v>
      </c>
      <c r="BA283" s="4">
        <f t="shared" si="124"/>
        <v>12</v>
      </c>
    </row>
    <row r="284" spans="1:53" x14ac:dyDescent="0.2">
      <c r="A284" s="1" t="str">
        <f>'SegEnds_NonXtal_Prot#'!A275</f>
        <v>gpr45_human</v>
      </c>
      <c r="B284" s="1" t="str">
        <f t="shared" si="100"/>
        <v>APLRISLAIVMLLMTVVGFLGNTVVCIIVYQRSAINLLLATLAFSDIMLSLCCMPFTAVTLITVGDHFCRLSATLYWFFVLEGVAILLIISVDRFLIIVQNPRRAKVIIAVSWVLSFCIAGPSLTDRAYVVTLVVAVFFAPFGVMLCAYMCILNTVRKNAVRVHNQSSVDLSFKTKAFTTILILFVGFSLCWLPHSVYSLLSVFSFYATSTCVLWLSYLKSVFNPIVYCWRIKKFREACIELLP</v>
      </c>
      <c r="C284" s="29" t="str">
        <f>IF(ISERROR(MATCH(A284,'SegEnds_Xtal_Prot#'!B:B, 0)), "NoXtal", "Xtal")</f>
        <v>NoXtal</v>
      </c>
      <c r="D284" s="4" t="str">
        <f>VLOOKUP(A284,Classification!A:D,2,FALSE)</f>
        <v>A</v>
      </c>
      <c r="E284" s="5" t="str">
        <f>VLOOKUP(A284,Seqs!A:B,2,FALSE)</f>
        <v>MACNSTSLEAYTYLLLNTSNASDSGSTQLPAPLRISLAIVMLLMTVVGFLGNTVVCIIVYQRPAMRSAINLLLATLAFSDIMLSLCCMPFTAVTLITVRWHFGDHFCRLSATLYWFFVLEGVAILLIISVDRFLIIVQRQDKLNPRRAKVIIAVSWVLSFCIAGPSLTGWTLVEVPARAPQCVLGYTELPADRAYVVTLVVAVFFAPFGVMLCAYMCILNTVRKNAVRVHNQSDSLDLRQLTRAGLRRLQRQQQVSVDLSFKTKAFTTILILFVGFSLCWLPHSVYSLLSVFSQRFYCGSSFYATSTCVLWLSYLKSVFNPIVYCWRIKKFREACIELLPQTFQILPKVPERIRRRIQPSTVYVCNENQSAV</v>
      </c>
      <c r="F284" s="5" t="str">
        <f t="shared" si="101"/>
        <v>APLRISLAIVMLLMTVVGFLGNTVVCIIVYQR</v>
      </c>
      <c r="G284" s="4" t="str">
        <f t="shared" si="102"/>
        <v>PAMR</v>
      </c>
      <c r="H284" s="4" t="str">
        <f t="shared" si="103"/>
        <v>SAINLLLATLAFSDIMLSLCCMPFTAVTLITV</v>
      </c>
      <c r="I284" s="4" t="str">
        <f t="shared" si="104"/>
        <v>RWHF</v>
      </c>
      <c r="J284" s="4" t="str">
        <f t="shared" si="105"/>
        <v>GDHFCRLSATLYWFFVLEGVAILLIISVDRFLIIVQ</v>
      </c>
      <c r="K284" s="4" t="str">
        <f t="shared" si="106"/>
        <v/>
      </c>
      <c r="L284" s="4" t="str">
        <f t="shared" si="107"/>
        <v>NPRRAKVIIAVSWVLSFCIAGPSLT</v>
      </c>
      <c r="M284" s="4" t="str">
        <f t="shared" si="108"/>
        <v>CVL</v>
      </c>
      <c r="N284" s="4" t="str">
        <f t="shared" si="109"/>
        <v>DRAYVVTLVVAVFFAPFGVMLCAYMCILNTVRKNAVRVHNQS</v>
      </c>
      <c r="O284" s="4" t="str">
        <f t="shared" si="110"/>
        <v>SVDLSFKTKAFTTILILFVGFSLCWLPHSVYSLLSVFS</v>
      </c>
      <c r="P284" s="4" t="str">
        <f t="shared" si="111"/>
        <v>FYATSTCVLWLSYLKSVFNPIVYCWR</v>
      </c>
      <c r="Q284" s="4" t="str">
        <f t="shared" si="112"/>
        <v>IKKFREACIELLP</v>
      </c>
      <c r="R284" s="5">
        <f>VLOOKUP($A284,'SegEnds_NonXtal_Prot#'!$A:$AL,3,FALSE)</f>
        <v>31</v>
      </c>
      <c r="S284" s="5">
        <f>VLOOKUP($A284,'SegEnds_NonXtal_Prot#'!$A:$AL,6,FALSE)</f>
        <v>63</v>
      </c>
      <c r="T284" s="5">
        <f>VLOOKUP($A284,'SegEnds_NonXtal_Prot#'!$A:$AL,9,FALSE)</f>
        <v>67</v>
      </c>
      <c r="U284" s="5">
        <f>VLOOKUP($A284,'SegEnds_NonXtal_Prot#'!$A:$AL,12,FALSE)</f>
        <v>99</v>
      </c>
      <c r="V284" s="5">
        <f>VLOOKUP($A284,'SegEnds_NonXtal_Prot#'!$A:$AL,15,FALSE)</f>
        <v>103</v>
      </c>
      <c r="W284" s="5" t="str">
        <f>VLOOKUP($A284,'SegEnds_NonXtal_Prot#'!$A:$AL,18,FALSE)</f>
        <v>-</v>
      </c>
      <c r="X284" s="5">
        <f>VLOOKUP($A284,'SegEnds_NonXtal_Prot#'!$A:$AL,21,FALSE)</f>
        <v>144</v>
      </c>
      <c r="Y284" s="5">
        <f>VLOOKUP($A284,'SegEnds_NonXtal_Prot#'!$A:$AL,24,FALSE)</f>
        <v>182</v>
      </c>
      <c r="Z284" s="5">
        <f>VLOOKUP($A284,'SegEnds_NonXtal_Prot#'!$A:$AL,27,FALSE)</f>
        <v>192</v>
      </c>
      <c r="AA284" s="5">
        <f>VLOOKUP($A284,'SegEnds_NonXtal_Prot#'!$A:$AL,30,FALSE)</f>
        <v>256</v>
      </c>
      <c r="AB284" s="5">
        <f>VLOOKUP($A284,'SegEnds_NonXtal_Prot#'!$A:$AL,33,FALSE)</f>
        <v>302</v>
      </c>
      <c r="AC284" s="5">
        <f>VLOOKUP($A284,'SegEnds_NonXtal_Prot#'!$A:$AL,36,FALSE)</f>
        <v>328</v>
      </c>
      <c r="AD284" s="5">
        <f>VLOOKUP($A284,'SegEnds_NonXtal_Prot#'!$A:$AL,5,FALSE)</f>
        <v>62</v>
      </c>
      <c r="AE284" s="5">
        <f>VLOOKUP($A284,'SegEnds_NonXtal_Prot#'!$A:$AL,8,FALSE)</f>
        <v>66</v>
      </c>
      <c r="AF284" s="5">
        <f>VLOOKUP($A284,'SegEnds_NonXtal_Prot#'!$A:$AL,11,FALSE)</f>
        <v>98</v>
      </c>
      <c r="AG284" s="5">
        <f>VLOOKUP($A284,'SegEnds_NonXtal_Prot#'!$A:$AL,14,FALSE)</f>
        <v>102</v>
      </c>
      <c r="AH284" s="5">
        <f>VLOOKUP($A284,'SegEnds_NonXtal_Prot#'!$A:$AL,17,FALSE)</f>
        <v>138</v>
      </c>
      <c r="AI284" s="5" t="str">
        <f>VLOOKUP($A284,'SegEnds_NonXtal_Prot#'!$A:$AL,20,FALSE)</f>
        <v>-</v>
      </c>
      <c r="AJ284" s="5">
        <f>VLOOKUP($A284,'SegEnds_NonXtal_Prot#'!$A:$AL,23,FALSE)</f>
        <v>168</v>
      </c>
      <c r="AK284" s="5">
        <f>VLOOKUP($A284,'SegEnds_NonXtal_Prot#'!$A:$AL,26,FALSE)</f>
        <v>184</v>
      </c>
      <c r="AL284" s="5">
        <f>VLOOKUP($A284,'SegEnds_NonXtal_Prot#'!$A:$AL,29,FALSE)</f>
        <v>233</v>
      </c>
      <c r="AM284" s="5">
        <f>VLOOKUP($A284,'SegEnds_NonXtal_Prot#'!$A:$AL,32,FALSE)</f>
        <v>293</v>
      </c>
      <c r="AN284" s="5">
        <f>VLOOKUP($A284,'SegEnds_NonXtal_Prot#'!$A:$AL,35,FALSE)</f>
        <v>327</v>
      </c>
      <c r="AO284" s="5">
        <f>VLOOKUP($A284,'SegEnds_NonXtal_Prot#'!$A:$AL,38,FALSE)</f>
        <v>340</v>
      </c>
      <c r="AP284" s="5">
        <f t="shared" si="113"/>
        <v>31</v>
      </c>
      <c r="AQ284" s="4">
        <f t="shared" si="114"/>
        <v>3</v>
      </c>
      <c r="AR284" s="4">
        <f t="shared" si="115"/>
        <v>31</v>
      </c>
      <c r="AS284" s="4">
        <f t="shared" si="116"/>
        <v>3</v>
      </c>
      <c r="AT284" s="4">
        <f t="shared" si="117"/>
        <v>35</v>
      </c>
      <c r="AU284" s="4" t="str">
        <f t="shared" si="118"/>
        <v>-</v>
      </c>
      <c r="AV284" s="4">
        <f t="shared" si="119"/>
        <v>24</v>
      </c>
      <c r="AW284" s="4">
        <f t="shared" si="120"/>
        <v>2</v>
      </c>
      <c r="AX284" s="4">
        <f t="shared" si="121"/>
        <v>41</v>
      </c>
      <c r="AY284" s="4">
        <f t="shared" si="122"/>
        <v>37</v>
      </c>
      <c r="AZ284" s="4">
        <f t="shared" si="123"/>
        <v>25</v>
      </c>
      <c r="BA284" s="4">
        <f t="shared" si="124"/>
        <v>12</v>
      </c>
    </row>
    <row r="285" spans="1:53" x14ac:dyDescent="0.2">
      <c r="A285" s="1" t="str">
        <f>'SegEnds_NonXtal_Prot#'!A276</f>
        <v>gpr62_human</v>
      </c>
      <c r="B285" s="1" t="str">
        <f t="shared" si="100"/>
        <v>EVAGSLGLILAAVVEVGALLGNGALLVVVLRTLRDALYLAHLCVVDLLAAASIMPLGLLAAPPVRLGPAPCRAARFLSAALLPACTLGVAALGLARYRLIVHSRPPPVLVLTAVWAAAGLLGALSLLGLGPFRPLWALLAFALPALLLLGAYGGIFVVARRAALRPPRPALRPRLPGGKAALAPALAVGQFAACWLPYGCACLAPEAAVTWVAYSAFAAHPFLYGLLQRPVRLALGRLSR</v>
      </c>
      <c r="C285" s="29" t="str">
        <f>IF(ISERROR(MATCH(A285,'SegEnds_Xtal_Prot#'!B:B, 0)), "NoXtal", "Xtal")</f>
        <v>NoXtal</v>
      </c>
      <c r="D285" s="4" t="str">
        <f>VLOOKUP(A285,Classification!A:D,2,FALSE)</f>
        <v>A</v>
      </c>
      <c r="E285" s="5" t="str">
        <f>VLOOKUP(A285,Seqs!A:B,2,FALSE)</f>
        <v>MANSTGLNASEVAGSLGLILAAVVEVGALLGNGALLVVVLRTPGLRDALYLAHLCVVDLLAAASIMPLGLLAAPPPGLGRVRLGPAPCRAARFLSAALLPACTLGVAALGLARYRLIVHPLRPGSRPPPVLVLTAVWAAAGLLGALSLLGTPPAPPPAPARCSVLAGGLGPFRPLWALLAFALPALLLLGAYGGIFVVARRAALRPPRPARGSRLHSDSLDSRLSILPPLRPRLPGGKAALAPALAVGQFAACWLPYGCACLAPAARAAEAEAAVTWVAYSAFAAHPFLYGLLQRPVRLALGRLSRRALPGPVRACTPQAWHPRALLQCLQRPPEGPAVGPSEAPEQTPELAGGRSPAYQGPPESSLS</v>
      </c>
      <c r="F285" s="5" t="str">
        <f t="shared" si="101"/>
        <v>EVAGSLGLILAAVVEVGALLGNGALLVVVLRT</v>
      </c>
      <c r="G285" s="4" t="str">
        <f t="shared" si="102"/>
        <v/>
      </c>
      <c r="H285" s="4" t="str">
        <f t="shared" si="103"/>
        <v>LRDALYLAHLCVVDLLAAASIMPLGLLAAPP</v>
      </c>
      <c r="I285" s="4" t="str">
        <f t="shared" si="104"/>
        <v/>
      </c>
      <c r="J285" s="4" t="str">
        <f t="shared" si="105"/>
        <v>VRLGPAPCRAARFLSAALLPACTLGVAALGLARYRLIVH</v>
      </c>
      <c r="K285" s="4" t="str">
        <f t="shared" si="106"/>
        <v/>
      </c>
      <c r="L285" s="4" t="str">
        <f t="shared" si="107"/>
        <v>SRPPPVLVLTAVWAAAGLLGALSLLG</v>
      </c>
      <c r="M285" s="4" t="str">
        <f t="shared" si="108"/>
        <v>CSV</v>
      </c>
      <c r="N285" s="4" t="str">
        <f t="shared" si="109"/>
        <v>LGPFRPLWALLAFALPALLLLGAYGGIFVVARRAALRPPRPA</v>
      </c>
      <c r="O285" s="4" t="str">
        <f t="shared" si="110"/>
        <v>LRPRLPGGKAALAPALAVGQFAACWLPYGCACLAP</v>
      </c>
      <c r="P285" s="4" t="str">
        <f t="shared" si="111"/>
        <v>EAAVTWVAYSAFAAHPFLYGLL</v>
      </c>
      <c r="Q285" s="4" t="str">
        <f t="shared" si="112"/>
        <v>QRPVRLALGRLSR</v>
      </c>
      <c r="R285" s="5">
        <f>VLOOKUP($A285,'SegEnds_NonXtal_Prot#'!$A:$AL,3,FALSE)</f>
        <v>11</v>
      </c>
      <c r="S285" s="5" t="str">
        <f>VLOOKUP($A285,'SegEnds_NonXtal_Prot#'!$A:$AL,6,FALSE)</f>
        <v>-</v>
      </c>
      <c r="T285" s="5">
        <f>VLOOKUP($A285,'SegEnds_NonXtal_Prot#'!$A:$AL,9,FALSE)</f>
        <v>45</v>
      </c>
      <c r="U285" s="5" t="str">
        <f>VLOOKUP($A285,'SegEnds_NonXtal_Prot#'!$A:$AL,12,FALSE)</f>
        <v>-</v>
      </c>
      <c r="V285" s="5">
        <f>VLOOKUP($A285,'SegEnds_NonXtal_Prot#'!$A:$AL,15,FALSE)</f>
        <v>81</v>
      </c>
      <c r="W285" s="5" t="str">
        <f>VLOOKUP($A285,'SegEnds_NonXtal_Prot#'!$A:$AL,18,FALSE)</f>
        <v>-</v>
      </c>
      <c r="X285" s="5">
        <f>VLOOKUP($A285,'SegEnds_NonXtal_Prot#'!$A:$AL,21,FALSE)</f>
        <v>125</v>
      </c>
      <c r="Y285" s="5">
        <f>VLOOKUP($A285,'SegEnds_NonXtal_Prot#'!$A:$AL,24,FALSE)</f>
        <v>162</v>
      </c>
      <c r="Z285" s="5">
        <f>VLOOKUP($A285,'SegEnds_NonXtal_Prot#'!$A:$AL,27,FALSE)</f>
        <v>169</v>
      </c>
      <c r="AA285" s="5">
        <f>VLOOKUP($A285,'SegEnds_NonXtal_Prot#'!$A:$AL,30,FALSE)</f>
        <v>230</v>
      </c>
      <c r="AB285" s="5">
        <f>VLOOKUP($A285,'SegEnds_NonXtal_Prot#'!$A:$AL,33,FALSE)</f>
        <v>272</v>
      </c>
      <c r="AC285" s="5">
        <f>VLOOKUP($A285,'SegEnds_NonXtal_Prot#'!$A:$AL,36,FALSE)</f>
        <v>294</v>
      </c>
      <c r="AD285" s="5">
        <f>VLOOKUP($A285,'SegEnds_NonXtal_Prot#'!$A:$AL,5,FALSE)</f>
        <v>42</v>
      </c>
      <c r="AE285" s="5" t="str">
        <f>VLOOKUP($A285,'SegEnds_NonXtal_Prot#'!$A:$AL,8,FALSE)</f>
        <v>-</v>
      </c>
      <c r="AF285" s="5">
        <f>VLOOKUP($A285,'SegEnds_NonXtal_Prot#'!$A:$AL,11,FALSE)</f>
        <v>75</v>
      </c>
      <c r="AG285" s="5" t="str">
        <f>VLOOKUP($A285,'SegEnds_NonXtal_Prot#'!$A:$AL,14,FALSE)</f>
        <v>-</v>
      </c>
      <c r="AH285" s="5">
        <f>VLOOKUP($A285,'SegEnds_NonXtal_Prot#'!$A:$AL,17,FALSE)</f>
        <v>119</v>
      </c>
      <c r="AI285" s="5" t="str">
        <f>VLOOKUP($A285,'SegEnds_NonXtal_Prot#'!$A:$AL,20,FALSE)</f>
        <v>-</v>
      </c>
      <c r="AJ285" s="5">
        <f>VLOOKUP($A285,'SegEnds_NonXtal_Prot#'!$A:$AL,23,FALSE)</f>
        <v>150</v>
      </c>
      <c r="AK285" s="5">
        <f>VLOOKUP($A285,'SegEnds_NonXtal_Prot#'!$A:$AL,26,FALSE)</f>
        <v>164</v>
      </c>
      <c r="AL285" s="5">
        <f>VLOOKUP($A285,'SegEnds_NonXtal_Prot#'!$A:$AL,29,FALSE)</f>
        <v>210</v>
      </c>
      <c r="AM285" s="5">
        <f>VLOOKUP($A285,'SegEnds_NonXtal_Prot#'!$A:$AL,32,FALSE)</f>
        <v>264</v>
      </c>
      <c r="AN285" s="5">
        <f>VLOOKUP($A285,'SegEnds_NonXtal_Prot#'!$A:$AL,35,FALSE)</f>
        <v>293</v>
      </c>
      <c r="AO285" s="5">
        <f>VLOOKUP($A285,'SegEnds_NonXtal_Prot#'!$A:$AL,38,FALSE)</f>
        <v>306</v>
      </c>
      <c r="AP285" s="5">
        <f t="shared" si="113"/>
        <v>31</v>
      </c>
      <c r="AQ285" s="4" t="str">
        <f t="shared" si="114"/>
        <v>-</v>
      </c>
      <c r="AR285" s="4">
        <f t="shared" si="115"/>
        <v>30</v>
      </c>
      <c r="AS285" s="4" t="str">
        <f t="shared" si="116"/>
        <v>-</v>
      </c>
      <c r="AT285" s="4">
        <f t="shared" si="117"/>
        <v>38</v>
      </c>
      <c r="AU285" s="4" t="str">
        <f t="shared" si="118"/>
        <v>-</v>
      </c>
      <c r="AV285" s="4">
        <f t="shared" si="119"/>
        <v>25</v>
      </c>
      <c r="AW285" s="4">
        <f t="shared" si="120"/>
        <v>2</v>
      </c>
      <c r="AX285" s="4">
        <f t="shared" si="121"/>
        <v>41</v>
      </c>
      <c r="AY285" s="4">
        <f t="shared" si="122"/>
        <v>34</v>
      </c>
      <c r="AZ285" s="4">
        <f t="shared" si="123"/>
        <v>21</v>
      </c>
      <c r="BA285" s="4">
        <f t="shared" si="124"/>
        <v>12</v>
      </c>
    </row>
    <row r="286" spans="1:53" x14ac:dyDescent="0.2">
      <c r="A286" s="1" t="str">
        <f>'SegEnds_NonXtal_Prot#'!A277</f>
        <v>gpr63_human</v>
      </c>
      <c r="B286" s="1" t="str">
        <f t="shared" si="100"/>
        <v>ITLSAIMIFILFVSFLGNLVVCLMVYQKSAINILLASLAFADMLLAVLNMPFALVTILTTGKFFCRVSAMFFWLFVIEGVAILLIISIDRFLIIVQNPYRAKVLIAVSWATSFCVAFPLAVGNPDLYQAYVILISLISFFIPFLVILYSFMGILNTLRHNALRIHSYPSIDMGFKTRAFTTILILFAVFIVCWAPFTTYSLVATFSYQHNFFEISTWLLWLCYLKSALNPLIYYWRIKKFHDACLDMMPK</v>
      </c>
      <c r="C286" s="29" t="str">
        <f>IF(ISERROR(MATCH(A286,'SegEnds_Xtal_Prot#'!B:B, 0)), "NoXtal", "Xtal")</f>
        <v>NoXtal</v>
      </c>
      <c r="D286" s="4" t="str">
        <f>VLOOKUP(A286,Classification!A:D,2,FALSE)</f>
        <v>A</v>
      </c>
      <c r="E286" s="5" t="str">
        <f>VLOOKUP(A286,Seqs!A:B,2,FALSE)</f>
        <v>MVFSAVLTAFHTGTSNTTFVVYENTYMNITLPPPFQHPDLSPLLRYSFETMAPTGLSSLTVNSTAVPTTPAAFKSLNLPLQITLSAIMIFILFVSFLGNLVVCLMVYQKAAMRSAINILLASLAFADMLLAVLNMPFALVTILTTRWIFGKFFCRVSAMFFWLFVIEGVAILLIISIDRFLIIVQRQDKLNPYRAKVLIAVSWATSFCVAFPLAVGNPDLQIPSRAPQCVFGYTTNPGYQAYVILISLISFFIPFLVILYSFMGILNTLRHNALRIHSYPEGICLSQASKLGLMSLQRPFQMSIDMGFKTRAFTTILILFAVFIVCWAPFTTYSLVATFSKHFYYQHNFFEISTWLLWLCYLKSALNPLIYYWRIKKFHDACLDMMPKSFKFLPQLPGHTKRRIRPSAVYVCGEHRTVV</v>
      </c>
      <c r="F286" s="5" t="str">
        <f t="shared" si="101"/>
        <v>ITLSAIMIFILFVSFLGNLVVCLMVYQK</v>
      </c>
      <c r="G286" s="4" t="str">
        <f t="shared" si="102"/>
        <v>AAMR</v>
      </c>
      <c r="H286" s="4" t="str">
        <f t="shared" si="103"/>
        <v>SAINILLASLAFADMLLAVLNMPFALVTILTT</v>
      </c>
      <c r="I286" s="4" t="str">
        <f t="shared" si="104"/>
        <v>RWIF</v>
      </c>
      <c r="J286" s="4" t="str">
        <f t="shared" si="105"/>
        <v>GKFFCRVSAMFFWLFVIEGVAILLIISIDRFLIIVQ</v>
      </c>
      <c r="K286" s="4" t="str">
        <f t="shared" si="106"/>
        <v/>
      </c>
      <c r="L286" s="4" t="str">
        <f t="shared" si="107"/>
        <v>NPYRAKVLIAVSWATSFCVAFPLAVGNPDL</v>
      </c>
      <c r="M286" s="4" t="str">
        <f t="shared" si="108"/>
        <v>CVF</v>
      </c>
      <c r="N286" s="4" t="str">
        <f t="shared" si="109"/>
        <v>YQAYVILISLISFFIPFLVILYSFMGILNTLRHNALRIHSYP</v>
      </c>
      <c r="O286" s="4" t="str">
        <f t="shared" si="110"/>
        <v>SIDMGFKTRAFTTILILFAVFIVCWAPFTTYSLVATFS</v>
      </c>
      <c r="P286" s="4" t="str">
        <f t="shared" si="111"/>
        <v>YQHNFFEISTWLLWLCYLKSALNPLIYYWR</v>
      </c>
      <c r="Q286" s="4" t="str">
        <f t="shared" si="112"/>
        <v>IKKFHDACLDMMPK</v>
      </c>
      <c r="R286" s="5">
        <f>VLOOKUP($A286,'SegEnds_NonXtal_Prot#'!$A:$AL,3,FALSE)</f>
        <v>82</v>
      </c>
      <c r="S286" s="5">
        <f>VLOOKUP($A286,'SegEnds_NonXtal_Prot#'!$A:$AL,6,FALSE)</f>
        <v>110</v>
      </c>
      <c r="T286" s="5">
        <f>VLOOKUP($A286,'SegEnds_NonXtal_Prot#'!$A:$AL,9,FALSE)</f>
        <v>114</v>
      </c>
      <c r="U286" s="5">
        <f>VLOOKUP($A286,'SegEnds_NonXtal_Prot#'!$A:$AL,12,FALSE)</f>
        <v>146</v>
      </c>
      <c r="V286" s="5">
        <f>VLOOKUP($A286,'SegEnds_NonXtal_Prot#'!$A:$AL,15,FALSE)</f>
        <v>150</v>
      </c>
      <c r="W286" s="5" t="str">
        <f>VLOOKUP($A286,'SegEnds_NonXtal_Prot#'!$A:$AL,18,FALSE)</f>
        <v>-</v>
      </c>
      <c r="X286" s="5">
        <f>VLOOKUP($A286,'SegEnds_NonXtal_Prot#'!$A:$AL,21,FALSE)</f>
        <v>191</v>
      </c>
      <c r="Y286" s="5">
        <f>VLOOKUP($A286,'SegEnds_NonXtal_Prot#'!$A:$AL,24,FALSE)</f>
        <v>229</v>
      </c>
      <c r="Z286" s="5">
        <f>VLOOKUP($A286,'SegEnds_NonXtal_Prot#'!$A:$AL,27,FALSE)</f>
        <v>239</v>
      </c>
      <c r="AA286" s="5">
        <f>VLOOKUP($A286,'SegEnds_NonXtal_Prot#'!$A:$AL,30,FALSE)</f>
        <v>303</v>
      </c>
      <c r="AB286" s="5">
        <f>VLOOKUP($A286,'SegEnds_NonXtal_Prot#'!$A:$AL,33,FALSE)</f>
        <v>345</v>
      </c>
      <c r="AC286" s="5">
        <f>VLOOKUP($A286,'SegEnds_NonXtal_Prot#'!$A:$AL,36,FALSE)</f>
        <v>375</v>
      </c>
      <c r="AD286" s="5">
        <f>VLOOKUP($A286,'SegEnds_NonXtal_Prot#'!$A:$AL,5,FALSE)</f>
        <v>109</v>
      </c>
      <c r="AE286" s="5">
        <f>VLOOKUP($A286,'SegEnds_NonXtal_Prot#'!$A:$AL,8,FALSE)</f>
        <v>113</v>
      </c>
      <c r="AF286" s="5">
        <f>VLOOKUP($A286,'SegEnds_NonXtal_Prot#'!$A:$AL,11,FALSE)</f>
        <v>145</v>
      </c>
      <c r="AG286" s="5">
        <f>VLOOKUP($A286,'SegEnds_NonXtal_Prot#'!$A:$AL,14,FALSE)</f>
        <v>149</v>
      </c>
      <c r="AH286" s="5">
        <f>VLOOKUP($A286,'SegEnds_NonXtal_Prot#'!$A:$AL,17,FALSE)</f>
        <v>185</v>
      </c>
      <c r="AI286" s="5" t="str">
        <f>VLOOKUP($A286,'SegEnds_NonXtal_Prot#'!$A:$AL,20,FALSE)</f>
        <v>-</v>
      </c>
      <c r="AJ286" s="5">
        <f>VLOOKUP($A286,'SegEnds_NonXtal_Prot#'!$A:$AL,23,FALSE)</f>
        <v>220</v>
      </c>
      <c r="AK286" s="5">
        <f>VLOOKUP($A286,'SegEnds_NonXtal_Prot#'!$A:$AL,26,FALSE)</f>
        <v>231</v>
      </c>
      <c r="AL286" s="5">
        <f>VLOOKUP($A286,'SegEnds_NonXtal_Prot#'!$A:$AL,29,FALSE)</f>
        <v>280</v>
      </c>
      <c r="AM286" s="5">
        <f>VLOOKUP($A286,'SegEnds_NonXtal_Prot#'!$A:$AL,32,FALSE)</f>
        <v>340</v>
      </c>
      <c r="AN286" s="5">
        <f>VLOOKUP($A286,'SegEnds_NonXtal_Prot#'!$A:$AL,35,FALSE)</f>
        <v>374</v>
      </c>
      <c r="AO286" s="5">
        <f>VLOOKUP($A286,'SegEnds_NonXtal_Prot#'!$A:$AL,38,FALSE)</f>
        <v>388</v>
      </c>
      <c r="AP286" s="5">
        <f t="shared" si="113"/>
        <v>27</v>
      </c>
      <c r="AQ286" s="4">
        <f t="shared" si="114"/>
        <v>3</v>
      </c>
      <c r="AR286" s="4">
        <f t="shared" si="115"/>
        <v>31</v>
      </c>
      <c r="AS286" s="4">
        <f t="shared" si="116"/>
        <v>3</v>
      </c>
      <c r="AT286" s="4">
        <f t="shared" si="117"/>
        <v>35</v>
      </c>
      <c r="AU286" s="4" t="str">
        <f t="shared" si="118"/>
        <v>-</v>
      </c>
      <c r="AV286" s="4">
        <f t="shared" si="119"/>
        <v>29</v>
      </c>
      <c r="AW286" s="4">
        <f t="shared" si="120"/>
        <v>2</v>
      </c>
      <c r="AX286" s="4">
        <f t="shared" si="121"/>
        <v>41</v>
      </c>
      <c r="AY286" s="4">
        <f t="shared" si="122"/>
        <v>37</v>
      </c>
      <c r="AZ286" s="4">
        <f t="shared" si="123"/>
        <v>29</v>
      </c>
      <c r="BA286" s="4">
        <f t="shared" si="124"/>
        <v>13</v>
      </c>
    </row>
    <row r="287" spans="1:53" x14ac:dyDescent="0.2">
      <c r="A287" s="1" t="str">
        <f>'SegEnds_NonXtal_Prot#'!A279</f>
        <v>gpr83_human</v>
      </c>
      <c r="B287" s="1" t="str">
        <f t="shared" si="100"/>
        <v>VKALLIVAYSFIIVFSLFGNVLVCHVIFKNSATSLFIVNLAVADIMITLLNTPFTLVRFVNSGKGMCHVSRFAQYCSLHVSALTLTAIAVDRHQVIMHSITKGVIYIAVIWTMATFFSLPHAICQLFWKYLDLATFILLYILPLLIISVAYARVAKKLWLCNMIGDQYFALRRKKKKTIKMLMLVVVLFALCWFPLNCYVLLLSSKNNALYFAFHWFAMSSTCYNPFIYCWLNENFRIELKALL</v>
      </c>
      <c r="C287" s="29" t="str">
        <f>IF(ISERROR(MATCH(A287,'SegEnds_Xtal_Prot#'!B:B, 0)), "NoXtal", "Xtal")</f>
        <v>NoXtal</v>
      </c>
      <c r="D287" s="4" t="str">
        <f>VLOOKUP(A287,Classification!A:D,2,FALSE)</f>
        <v>A</v>
      </c>
      <c r="E287" s="5" t="str">
        <f>VLOOKUP(A287,Seqs!A:B,2,FALSE)</f>
        <v>MVPHLLLLCLLPLVRATEPHEGRADEQSAEAALAVPNASHFFSWNNYTFSDWQNFVGRRRYGAESQNPTVKALLIVAYSFIIVFSLFGNVLVCHVIFKNQRMHSATSLFIVNLAVADIMITLLNTPFTLVRFVNSTWIFGKGMCHVSRFAQYCSLHVSALTLTAIAVDRHQVIMHPLKPRISITKGVIYIAVIWTMATFFSLPHAICQKLFTFKYSEDIVRSLCLPDFPEPADLFWKYLDLATFILLYILPLLIISVAYARVAKKLWLCNMIGDVTTEQYFALRRKKKKTIKMLMLVVVLFALCWFPLNCYVLLLSSKVIRTNNALYFAFHWFAMSSTCYNPFIYCWLNENFRIELKALLSMCQRPPKPQEDRPPSPVPSFRVAWTEKNDGQRAPLANNLLPTSQLQSGKTDLSSVEPIVTMS</v>
      </c>
      <c r="F287" s="5" t="str">
        <f t="shared" si="101"/>
        <v>VKALLIVAYSFIIVFSLFGNVLVCHVIFKN</v>
      </c>
      <c r="G287" s="4" t="str">
        <f t="shared" si="102"/>
        <v>QRMH</v>
      </c>
      <c r="H287" s="4" t="str">
        <f t="shared" si="103"/>
        <v>SATSLFIVNLAVADIMITLLNTPFTLVRFVNS</v>
      </c>
      <c r="I287" s="4" t="str">
        <f t="shared" si="104"/>
        <v>TWIF</v>
      </c>
      <c r="J287" s="4" t="str">
        <f t="shared" si="105"/>
        <v>GKGMCHVSRFAQYCSLHVSALTLTAIAVDRHQVIMH</v>
      </c>
      <c r="K287" s="4" t="str">
        <f t="shared" si="106"/>
        <v/>
      </c>
      <c r="L287" s="4" t="str">
        <f t="shared" si="107"/>
        <v>SITKGVIYIAVIWTMATFFSLPHAICQ</v>
      </c>
      <c r="M287" s="4" t="str">
        <f t="shared" si="108"/>
        <v>CLP</v>
      </c>
      <c r="N287" s="4" t="str">
        <f t="shared" si="109"/>
        <v>LFWKYLDLATFILLYILPLLIISVAYARVAKKLWLCNMIGD</v>
      </c>
      <c r="O287" s="4" t="str">
        <f t="shared" si="110"/>
        <v>QYFALRRKKKKTIKMLMLVVVLFALCWFPLNCYVLLLSSK</v>
      </c>
      <c r="P287" s="4" t="str">
        <f t="shared" si="111"/>
        <v>NNALYFAFHWFAMSSTCYNPFIYCWL</v>
      </c>
      <c r="Q287" s="4" t="str">
        <f t="shared" si="112"/>
        <v>NENFRIELKALL</v>
      </c>
      <c r="R287" s="5">
        <f>VLOOKUP($A287,'SegEnds_NonXtal_Prot#'!$A:$AL,3,FALSE)</f>
        <v>70</v>
      </c>
      <c r="S287" s="5">
        <f>VLOOKUP($A287,'SegEnds_NonXtal_Prot#'!$A:$AL,6,FALSE)</f>
        <v>100</v>
      </c>
      <c r="T287" s="5">
        <f>VLOOKUP($A287,'SegEnds_NonXtal_Prot#'!$A:$AL,9,FALSE)</f>
        <v>104</v>
      </c>
      <c r="U287" s="5">
        <f>VLOOKUP($A287,'SegEnds_NonXtal_Prot#'!$A:$AL,12,FALSE)</f>
        <v>136</v>
      </c>
      <c r="V287" s="5">
        <f>VLOOKUP($A287,'SegEnds_NonXtal_Prot#'!$A:$AL,15,FALSE)</f>
        <v>140</v>
      </c>
      <c r="W287" s="5" t="str">
        <f>VLOOKUP($A287,'SegEnds_NonXtal_Prot#'!$A:$AL,18,FALSE)</f>
        <v>-</v>
      </c>
      <c r="X287" s="5">
        <f>VLOOKUP($A287,'SegEnds_NonXtal_Prot#'!$A:$AL,21,FALSE)</f>
        <v>182</v>
      </c>
      <c r="Y287" s="5">
        <f>VLOOKUP($A287,'SegEnds_NonXtal_Prot#'!$A:$AL,24,FALSE)</f>
        <v>224</v>
      </c>
      <c r="Z287" s="5">
        <f>VLOOKUP($A287,'SegEnds_NonXtal_Prot#'!$A:$AL,27,FALSE)</f>
        <v>234</v>
      </c>
      <c r="AA287" s="5">
        <f>VLOOKUP($A287,'SegEnds_NonXtal_Prot#'!$A:$AL,30,FALSE)</f>
        <v>279</v>
      </c>
      <c r="AB287" s="5">
        <f>VLOOKUP($A287,'SegEnds_NonXtal_Prot#'!$A:$AL,33,FALSE)</f>
        <v>323</v>
      </c>
      <c r="AC287" s="5">
        <f>VLOOKUP($A287,'SegEnds_NonXtal_Prot#'!$A:$AL,36,FALSE)</f>
        <v>349</v>
      </c>
      <c r="AD287" s="5">
        <f>VLOOKUP($A287,'SegEnds_NonXtal_Prot#'!$A:$AL,5,FALSE)</f>
        <v>99</v>
      </c>
      <c r="AE287" s="5">
        <f>VLOOKUP($A287,'SegEnds_NonXtal_Prot#'!$A:$AL,8,FALSE)</f>
        <v>103</v>
      </c>
      <c r="AF287" s="5">
        <f>VLOOKUP($A287,'SegEnds_NonXtal_Prot#'!$A:$AL,11,FALSE)</f>
        <v>135</v>
      </c>
      <c r="AG287" s="5">
        <f>VLOOKUP($A287,'SegEnds_NonXtal_Prot#'!$A:$AL,14,FALSE)</f>
        <v>139</v>
      </c>
      <c r="AH287" s="5">
        <f>VLOOKUP($A287,'SegEnds_NonXtal_Prot#'!$A:$AL,17,FALSE)</f>
        <v>175</v>
      </c>
      <c r="AI287" s="5" t="str">
        <f>VLOOKUP($A287,'SegEnds_NonXtal_Prot#'!$A:$AL,20,FALSE)</f>
        <v>-</v>
      </c>
      <c r="AJ287" s="5">
        <f>VLOOKUP($A287,'SegEnds_NonXtal_Prot#'!$A:$AL,23,FALSE)</f>
        <v>208</v>
      </c>
      <c r="AK287" s="5">
        <f>VLOOKUP($A287,'SegEnds_NonXtal_Prot#'!$A:$AL,26,FALSE)</f>
        <v>226</v>
      </c>
      <c r="AL287" s="5">
        <f>VLOOKUP($A287,'SegEnds_NonXtal_Prot#'!$A:$AL,29,FALSE)</f>
        <v>274</v>
      </c>
      <c r="AM287" s="5">
        <f>VLOOKUP($A287,'SegEnds_NonXtal_Prot#'!$A:$AL,32,FALSE)</f>
        <v>318</v>
      </c>
      <c r="AN287" s="5">
        <f>VLOOKUP($A287,'SegEnds_NonXtal_Prot#'!$A:$AL,35,FALSE)</f>
        <v>348</v>
      </c>
      <c r="AO287" s="5">
        <f>VLOOKUP($A287,'SegEnds_NonXtal_Prot#'!$A:$AL,38,FALSE)</f>
        <v>360</v>
      </c>
      <c r="AP287" s="5">
        <f t="shared" si="113"/>
        <v>29</v>
      </c>
      <c r="AQ287" s="4">
        <f t="shared" si="114"/>
        <v>3</v>
      </c>
      <c r="AR287" s="4">
        <f t="shared" si="115"/>
        <v>31</v>
      </c>
      <c r="AS287" s="4">
        <f t="shared" si="116"/>
        <v>3</v>
      </c>
      <c r="AT287" s="4">
        <f t="shared" si="117"/>
        <v>35</v>
      </c>
      <c r="AU287" s="4" t="str">
        <f t="shared" si="118"/>
        <v>-</v>
      </c>
      <c r="AV287" s="4">
        <f t="shared" si="119"/>
        <v>26</v>
      </c>
      <c r="AW287" s="4">
        <f t="shared" si="120"/>
        <v>2</v>
      </c>
      <c r="AX287" s="4">
        <f t="shared" si="121"/>
        <v>40</v>
      </c>
      <c r="AY287" s="4">
        <f t="shared" si="122"/>
        <v>39</v>
      </c>
      <c r="AZ287" s="4">
        <f t="shared" si="123"/>
        <v>25</v>
      </c>
      <c r="BA287" s="4">
        <f t="shared" si="124"/>
        <v>11</v>
      </c>
    </row>
    <row r="288" spans="1:53" x14ac:dyDescent="0.2">
      <c r="A288" s="1" t="str">
        <f>'SegEnds_NonXtal_Prot#'!A280</f>
        <v>nk1r_human</v>
      </c>
      <c r="B288" s="1" t="str">
        <f t="shared" si="100"/>
        <v>PAWQIVLWAAAYTVIVVTSVVGNVVVMWIILAHTVTNYFLVNLAFAEASMAAFNTVVNFTYAVHNGLFYCKFHNFFPIAAVFASIYSMTAVAFDRYMAIIHSATATKVVICVIWVLALLLAFPQGYYSPNKIYEKVYHICVTVLIYFLPLLVIGYAYTVVGITLWASEIPGDRYHEQVSAKRKVVKMMIVVVCTFAICWLPFHIFFLLPYINFIQQVYLAIMWLAMSSTMYNPIIYCCLNDRFRLGFKHAF</v>
      </c>
      <c r="C288" s="29" t="str">
        <f>IF(ISERROR(MATCH(A288,'SegEnds_Xtal_Prot#'!B:B, 0)), "NoXtal", "Xtal")</f>
        <v>Xtal</v>
      </c>
      <c r="D288" s="4" t="str">
        <f>VLOOKUP(A288,Classification!A:D,2,FALSE)</f>
        <v>A</v>
      </c>
      <c r="E288" s="5" t="str">
        <f>VLOOKUP(A288,Seqs!A:B,2,FALSE)</f>
        <v>MDNVLPVDSDLSPNISTNTSEPNQFVQPAWQIVLWAAAYTVIVVTSVVGNVVVMWIILAHKRMRTVTNYFLVNLAFAEASMAAFNTVVNFTYAVHNEWYYGLFYCKFHNFFPIAAVFASIYSMTAVAFDRYMAIIHPLQPRLSATATKVVICVIWVLALLLAFPQGYYSTTETMPSRVVCMIEWPEHPNKIYEKVYHICVTVLIYFLPLLVIGYAYTVVGITLWASEIPGDSSDRYHEQVSAKRKVVKMMIVVVCTFAICWLPFHIFFLLPYINPDLYLKKFIQQVYLAIMWLAMSSTMYNPIIYCCLNDRFRLGFKHAFRCCPFISAGDYEGLEMKSTRYLQTQGSVYKVSRLETTISTVVGAHEEEPEDGPKATPSSLDLTSNCSSRSDSKTMTESFSFSSNVLS</v>
      </c>
      <c r="F288" s="5" t="str">
        <f t="shared" si="101"/>
        <v>PAWQIVLWAAAYTVIVVTSVVGNVVVMWIILAH</v>
      </c>
      <c r="G288" s="4" t="str">
        <f t="shared" si="102"/>
        <v>KRMR</v>
      </c>
      <c r="H288" s="4" t="str">
        <f t="shared" si="103"/>
        <v>TVTNYFLVNLAFAEASMAAFNTVVNFTYAVHN</v>
      </c>
      <c r="I288" s="4" t="str">
        <f t="shared" si="104"/>
        <v>EWYY</v>
      </c>
      <c r="J288" s="4" t="str">
        <f t="shared" si="105"/>
        <v>GLFYCKFHNFFPIAAVFASIYSMTAVAFDRYMAIIH</v>
      </c>
      <c r="K288" s="4" t="str">
        <f t="shared" si="106"/>
        <v/>
      </c>
      <c r="L288" s="4" t="str">
        <f t="shared" si="107"/>
        <v>SATATKVVICVIWVLALLLAFPQGYYS</v>
      </c>
      <c r="M288" s="4" t="str">
        <f t="shared" si="108"/>
        <v>CMI</v>
      </c>
      <c r="N288" s="4" t="str">
        <f t="shared" si="109"/>
        <v>PNKIYEKVYHICVTVLIYFLPLLVIGYAYTVVGITLWASEIPGD</v>
      </c>
      <c r="O288" s="4" t="str">
        <f t="shared" si="110"/>
        <v>RYHEQVSAKRKVVKMMIVVVCTFAICWLPFHIFFLLPYIN</v>
      </c>
      <c r="P288" s="4" t="str">
        <f t="shared" si="111"/>
        <v>FIQQVYLAIMWLAMSSTMYNPIIYCCL</v>
      </c>
      <c r="Q288" s="4" t="str">
        <f t="shared" si="112"/>
        <v>NDRFRLGFKHAF</v>
      </c>
      <c r="R288" s="5">
        <f>VLOOKUP($A288,'SegEnds_NonXtal_Prot#'!$A:$AL,3,FALSE)</f>
        <v>28</v>
      </c>
      <c r="S288" s="5">
        <f>VLOOKUP($A288,'SegEnds_NonXtal_Prot#'!$A:$AL,6,FALSE)</f>
        <v>61</v>
      </c>
      <c r="T288" s="5">
        <f>VLOOKUP($A288,'SegEnds_NonXtal_Prot#'!$A:$AL,9,FALSE)</f>
        <v>65</v>
      </c>
      <c r="U288" s="5">
        <f>VLOOKUP($A288,'SegEnds_NonXtal_Prot#'!$A:$AL,12,FALSE)</f>
        <v>97</v>
      </c>
      <c r="V288" s="5">
        <f>VLOOKUP($A288,'SegEnds_NonXtal_Prot#'!$A:$AL,15,FALSE)</f>
        <v>101</v>
      </c>
      <c r="W288" s="5" t="str">
        <f>VLOOKUP($A288,'SegEnds_NonXtal_Prot#'!$A:$AL,18,FALSE)</f>
        <v>-</v>
      </c>
      <c r="X288" s="5">
        <f>VLOOKUP($A288,'SegEnds_NonXtal_Prot#'!$A:$AL,21,FALSE)</f>
        <v>143</v>
      </c>
      <c r="Y288" s="5">
        <f>VLOOKUP($A288,'SegEnds_NonXtal_Prot#'!$A:$AL,24,FALSE)</f>
        <v>180</v>
      </c>
      <c r="Z288" s="5">
        <f>VLOOKUP($A288,'SegEnds_NonXtal_Prot#'!$A:$AL,27,FALSE)</f>
        <v>188</v>
      </c>
      <c r="AA288" s="5">
        <f>VLOOKUP($A288,'SegEnds_NonXtal_Prot#'!$A:$AL,30,FALSE)</f>
        <v>235</v>
      </c>
      <c r="AB288" s="5">
        <f>VLOOKUP($A288,'SegEnds_NonXtal_Prot#'!$A:$AL,33,FALSE)</f>
        <v>282</v>
      </c>
      <c r="AC288" s="5">
        <f>VLOOKUP($A288,'SegEnds_NonXtal_Prot#'!$A:$AL,36,FALSE)</f>
        <v>309</v>
      </c>
      <c r="AD288" s="5">
        <f>VLOOKUP($A288,'SegEnds_NonXtal_Prot#'!$A:$AL,5,FALSE)</f>
        <v>60</v>
      </c>
      <c r="AE288" s="5">
        <f>VLOOKUP($A288,'SegEnds_NonXtal_Prot#'!$A:$AL,8,FALSE)</f>
        <v>64</v>
      </c>
      <c r="AF288" s="5">
        <f>VLOOKUP($A288,'SegEnds_NonXtal_Prot#'!$A:$AL,11,FALSE)</f>
        <v>96</v>
      </c>
      <c r="AG288" s="5">
        <f>VLOOKUP($A288,'SegEnds_NonXtal_Prot#'!$A:$AL,14,FALSE)</f>
        <v>100</v>
      </c>
      <c r="AH288" s="5">
        <f>VLOOKUP($A288,'SegEnds_NonXtal_Prot#'!$A:$AL,17,FALSE)</f>
        <v>136</v>
      </c>
      <c r="AI288" s="5" t="str">
        <f>VLOOKUP($A288,'SegEnds_NonXtal_Prot#'!$A:$AL,20,FALSE)</f>
        <v>-</v>
      </c>
      <c r="AJ288" s="5">
        <f>VLOOKUP($A288,'SegEnds_NonXtal_Prot#'!$A:$AL,23,FALSE)</f>
        <v>169</v>
      </c>
      <c r="AK288" s="5">
        <f>VLOOKUP($A288,'SegEnds_NonXtal_Prot#'!$A:$AL,26,FALSE)</f>
        <v>182</v>
      </c>
      <c r="AL288" s="5">
        <f>VLOOKUP($A288,'SegEnds_NonXtal_Prot#'!$A:$AL,29,FALSE)</f>
        <v>231</v>
      </c>
      <c r="AM288" s="5">
        <f>VLOOKUP($A288,'SegEnds_NonXtal_Prot#'!$A:$AL,32,FALSE)</f>
        <v>274</v>
      </c>
      <c r="AN288" s="5">
        <f>VLOOKUP($A288,'SegEnds_NonXtal_Prot#'!$A:$AL,35,FALSE)</f>
        <v>308</v>
      </c>
      <c r="AO288" s="5">
        <f>VLOOKUP($A288,'SegEnds_NonXtal_Prot#'!$A:$AL,38,FALSE)</f>
        <v>320</v>
      </c>
      <c r="AP288" s="5">
        <f t="shared" si="113"/>
        <v>32</v>
      </c>
      <c r="AQ288" s="4">
        <f t="shared" si="114"/>
        <v>3</v>
      </c>
      <c r="AR288" s="4">
        <f t="shared" si="115"/>
        <v>31</v>
      </c>
      <c r="AS288" s="4">
        <f t="shared" si="116"/>
        <v>3</v>
      </c>
      <c r="AT288" s="4">
        <f t="shared" si="117"/>
        <v>35</v>
      </c>
      <c r="AU288" s="4" t="str">
        <f t="shared" si="118"/>
        <v>-</v>
      </c>
      <c r="AV288" s="4">
        <f t="shared" si="119"/>
        <v>26</v>
      </c>
      <c r="AW288" s="4">
        <f t="shared" si="120"/>
        <v>2</v>
      </c>
      <c r="AX288" s="4">
        <f t="shared" si="121"/>
        <v>43</v>
      </c>
      <c r="AY288" s="4">
        <f t="shared" si="122"/>
        <v>39</v>
      </c>
      <c r="AZ288" s="4">
        <f t="shared" si="123"/>
        <v>26</v>
      </c>
      <c r="BA288" s="4">
        <f t="shared" si="124"/>
        <v>11</v>
      </c>
    </row>
    <row r="289" spans="1:53" x14ac:dyDescent="0.2">
      <c r="A289" s="1" t="str">
        <f>'SegEnds_NonXtal_Prot#'!A281</f>
        <v>nk2r_human</v>
      </c>
      <c r="B289" s="1" t="str">
        <f t="shared" si="100"/>
        <v>PSWQLALWATAYLALVLVAVTGNAIVIWIILAHTVTNYFIVNLALADLCMAAFNAAFNFVYASHNGRAFCYFQNLFPITAMFVSIYSMTAIAADRYMAIVHSAPSTKAVIAGIWLVALALASPQCFYSSGGKTLLLYHLVVIALIYFLPLAVMFVAYSVIGLTLWRRAVPGHANLRHLQAMKKFVKTMVLVVLTFAICWLPYHLYFILGSFQFIQQVYLALFWLAMSSTMYNPIIYCCLNHRFRSGFRLAF</v>
      </c>
      <c r="C289" s="29" t="str">
        <f>IF(ISERROR(MATCH(A289,'SegEnds_Xtal_Prot#'!B:B, 0)), "NoXtal", "Xtal")</f>
        <v>NoXtal</v>
      </c>
      <c r="D289" s="4" t="str">
        <f>VLOOKUP(A289,Classification!A:D,2,FALSE)</f>
        <v>A</v>
      </c>
      <c r="E289" s="5" t="str">
        <f>VLOOKUP(A289,Seqs!A:B,2,FALSE)</f>
        <v>MGTCDIVTEANISSGPESNTTGITAFSMPSWQLALWATAYLALVLVAVTGNAIVIWIILAHRRMRTVTNYFIVNLALADLCMAAFNAAFNFVYASHNIWYFGRAFCYFQNLFPITAMFVSIYSMTAIAADRYMAIVHPFQPRLSAPSTKAVIAGIWLVALALASPQCFYSTVTMDQGATKCVVAWPEDSGGKTLLLYHLVVIALIYFLPLAVMFVAYSVIGLTLWRRAVPGHQAHGANLRHLQAMKKFVKTMVLVVLTFAICWLPYHLYFILGSFQEDIYCHKFIQQVYLALFWLAMSSTMYNPIIYCCLNHRFRSGFRLAFRCCPWVTPTKEDKLELTPTTSLSTRVNRCHTKETLFMAGDTAPSEATSGEAGRPQDGSGLWFGYGLLAPTKTHVEI</v>
      </c>
      <c r="F289" s="5" t="str">
        <f t="shared" si="101"/>
        <v>PSWQLALWATAYLALVLVAVTGNAIVIWIILAH</v>
      </c>
      <c r="G289" s="4" t="str">
        <f t="shared" si="102"/>
        <v>RRMR</v>
      </c>
      <c r="H289" s="4" t="str">
        <f t="shared" si="103"/>
        <v>TVTNYFIVNLALADLCMAAFNAAFNFVYASHN</v>
      </c>
      <c r="I289" s="4" t="str">
        <f t="shared" si="104"/>
        <v>IWYF</v>
      </c>
      <c r="J289" s="4" t="str">
        <f t="shared" si="105"/>
        <v>GRAFCYFQNLFPITAMFVSIYSMTAIAADRYMAIVH</v>
      </c>
      <c r="K289" s="4" t="str">
        <f t="shared" si="106"/>
        <v/>
      </c>
      <c r="L289" s="4" t="str">
        <f t="shared" si="107"/>
        <v>SAPSTKAVIAGIWLVALALASPQCFYS</v>
      </c>
      <c r="M289" s="4" t="str">
        <f t="shared" si="108"/>
        <v>CVV</v>
      </c>
      <c r="N289" s="4" t="str">
        <f t="shared" si="109"/>
        <v>SGGKTLLLYHLVVIALIYFLPLAVMFVAYSVIGLTLWRRAVPGH</v>
      </c>
      <c r="O289" s="4" t="str">
        <f t="shared" si="110"/>
        <v>ANLRHLQAMKKFVKTMVLVVLTFAICWLPYHLYFILGSFQ</v>
      </c>
      <c r="P289" s="4" t="str">
        <f t="shared" si="111"/>
        <v>FIQQVYLALFWLAMSSTMYNPIIYCCL</v>
      </c>
      <c r="Q289" s="4" t="str">
        <f t="shared" si="112"/>
        <v>NHRFRSGFRLAF</v>
      </c>
      <c r="R289" s="5">
        <f>VLOOKUP($A289,'SegEnds_NonXtal_Prot#'!$A:$AL,3,FALSE)</f>
        <v>29</v>
      </c>
      <c r="S289" s="5">
        <f>VLOOKUP($A289,'SegEnds_NonXtal_Prot#'!$A:$AL,6,FALSE)</f>
        <v>62</v>
      </c>
      <c r="T289" s="5">
        <f>VLOOKUP($A289,'SegEnds_NonXtal_Prot#'!$A:$AL,9,FALSE)</f>
        <v>66</v>
      </c>
      <c r="U289" s="5">
        <f>VLOOKUP($A289,'SegEnds_NonXtal_Prot#'!$A:$AL,12,FALSE)</f>
        <v>98</v>
      </c>
      <c r="V289" s="5">
        <f>VLOOKUP($A289,'SegEnds_NonXtal_Prot#'!$A:$AL,15,FALSE)</f>
        <v>102</v>
      </c>
      <c r="W289" s="5" t="str">
        <f>VLOOKUP($A289,'SegEnds_NonXtal_Prot#'!$A:$AL,18,FALSE)</f>
        <v>-</v>
      </c>
      <c r="X289" s="5">
        <f>VLOOKUP($A289,'SegEnds_NonXtal_Prot#'!$A:$AL,21,FALSE)</f>
        <v>144</v>
      </c>
      <c r="Y289" s="5">
        <f>VLOOKUP($A289,'SegEnds_NonXtal_Prot#'!$A:$AL,24,FALSE)</f>
        <v>181</v>
      </c>
      <c r="Z289" s="5">
        <f>VLOOKUP($A289,'SegEnds_NonXtal_Prot#'!$A:$AL,27,FALSE)</f>
        <v>189</v>
      </c>
      <c r="AA289" s="5">
        <f>VLOOKUP($A289,'SegEnds_NonXtal_Prot#'!$A:$AL,30,FALSE)</f>
        <v>237</v>
      </c>
      <c r="AB289" s="5">
        <f>VLOOKUP($A289,'SegEnds_NonXtal_Prot#'!$A:$AL,33,FALSE)</f>
        <v>284</v>
      </c>
      <c r="AC289" s="5">
        <f>VLOOKUP($A289,'SegEnds_NonXtal_Prot#'!$A:$AL,36,FALSE)</f>
        <v>311</v>
      </c>
      <c r="AD289" s="5">
        <f>VLOOKUP($A289,'SegEnds_NonXtal_Prot#'!$A:$AL,5,FALSE)</f>
        <v>61</v>
      </c>
      <c r="AE289" s="5">
        <f>VLOOKUP($A289,'SegEnds_NonXtal_Prot#'!$A:$AL,8,FALSE)</f>
        <v>65</v>
      </c>
      <c r="AF289" s="5">
        <f>VLOOKUP($A289,'SegEnds_NonXtal_Prot#'!$A:$AL,11,FALSE)</f>
        <v>97</v>
      </c>
      <c r="AG289" s="5">
        <f>VLOOKUP($A289,'SegEnds_NonXtal_Prot#'!$A:$AL,14,FALSE)</f>
        <v>101</v>
      </c>
      <c r="AH289" s="5">
        <f>VLOOKUP($A289,'SegEnds_NonXtal_Prot#'!$A:$AL,17,FALSE)</f>
        <v>137</v>
      </c>
      <c r="AI289" s="5" t="str">
        <f>VLOOKUP($A289,'SegEnds_NonXtal_Prot#'!$A:$AL,20,FALSE)</f>
        <v>-</v>
      </c>
      <c r="AJ289" s="5">
        <f>VLOOKUP($A289,'SegEnds_NonXtal_Prot#'!$A:$AL,23,FALSE)</f>
        <v>170</v>
      </c>
      <c r="AK289" s="5">
        <f>VLOOKUP($A289,'SegEnds_NonXtal_Prot#'!$A:$AL,26,FALSE)</f>
        <v>183</v>
      </c>
      <c r="AL289" s="5">
        <f>VLOOKUP($A289,'SegEnds_NonXtal_Prot#'!$A:$AL,29,FALSE)</f>
        <v>232</v>
      </c>
      <c r="AM289" s="5">
        <f>VLOOKUP($A289,'SegEnds_NonXtal_Prot#'!$A:$AL,32,FALSE)</f>
        <v>276</v>
      </c>
      <c r="AN289" s="5">
        <f>VLOOKUP($A289,'SegEnds_NonXtal_Prot#'!$A:$AL,35,FALSE)</f>
        <v>310</v>
      </c>
      <c r="AO289" s="5">
        <f>VLOOKUP($A289,'SegEnds_NonXtal_Prot#'!$A:$AL,38,FALSE)</f>
        <v>322</v>
      </c>
      <c r="AP289" s="5">
        <f t="shared" si="113"/>
        <v>32</v>
      </c>
      <c r="AQ289" s="4">
        <f t="shared" si="114"/>
        <v>3</v>
      </c>
      <c r="AR289" s="4">
        <f t="shared" si="115"/>
        <v>31</v>
      </c>
      <c r="AS289" s="4">
        <f t="shared" si="116"/>
        <v>3</v>
      </c>
      <c r="AT289" s="4">
        <f t="shared" si="117"/>
        <v>35</v>
      </c>
      <c r="AU289" s="4" t="str">
        <f t="shared" si="118"/>
        <v>-</v>
      </c>
      <c r="AV289" s="4">
        <f t="shared" si="119"/>
        <v>26</v>
      </c>
      <c r="AW289" s="4">
        <f t="shared" si="120"/>
        <v>2</v>
      </c>
      <c r="AX289" s="4">
        <f t="shared" si="121"/>
        <v>43</v>
      </c>
      <c r="AY289" s="4">
        <f t="shared" si="122"/>
        <v>39</v>
      </c>
      <c r="AZ289" s="4">
        <f t="shared" si="123"/>
        <v>26</v>
      </c>
      <c r="BA289" s="4">
        <f t="shared" si="124"/>
        <v>11</v>
      </c>
    </row>
    <row r="290" spans="1:53" x14ac:dyDescent="0.2">
      <c r="A290" s="1" t="str">
        <f>'SegEnds_NonXtal_Prot#'!A282</f>
        <v>nk3r_human</v>
      </c>
      <c r="B290" s="1" t="str">
        <f t="shared" si="100"/>
        <v>PSWRIALWSLAYGVVVAVAVLGNLIVIWIILAHTVTNYFLVNLAFSDASMAAFNTLVNFIYALHSGANYCRFQNFFPITAVFASIYSMTAIAVDRYMAIIDSATATKIVIGSIWILAFLLAFPQCLYSEGPKQHFTYHIIVIILVYCFPLLIMGITYTIVGITLWGGEIPGDKYHEQLKAKRKVVKMMIIVVMTFAICWLPYHIYFILTAIYYIQQVYLASFWLAMSSTMYNPIIYCCLNKRFRAGFKRAF</v>
      </c>
      <c r="C290" s="29" t="str">
        <f>IF(ISERROR(MATCH(A290,'SegEnds_Xtal_Prot#'!B:B, 0)), "NoXtal", "Xtal")</f>
        <v>NoXtal</v>
      </c>
      <c r="D290" s="4" t="str">
        <f>VLOOKUP(A290,Classification!A:D,2,FALSE)</f>
        <v>A</v>
      </c>
      <c r="E290" s="5" t="str">
        <f>VLOOKUP(A290,Seqs!A:B,2,FALSE)</f>
        <v>MATLPAAETWIDGGGGVGADAVNLTASLAAGAATGAVETGWLQLLDQAGNLSSSPSALGLPVASPAPSQPWANLTNQFVQPSWRIALWSLAYGVVVAVAVLGNLIVIWIILAHKRMRTVTNYFLVNLAFSDASMAAFNTLVNFIYALHSEWYFGANYCRFQNFFPITAVFASIYSMTAIAVDRYMAIIDPLKPRLSATATKIVIGSIWILAFLLAFPQCLYSKTKVMPGRTLCFVQWPEGPKQHFTYHIIVIILVYCFPLLIMGITYTIVGITLWGGEIPGDTCDKYHEQLKAKRKVVKMMIIVVMTFAICWLPYHIYFILTAIYQQLNRWKYIQQVYLASFWLAMSSTMYNPIIYCCLNKRFRAGFKRAFRWCPFIKVSSYDELELKTTRFHPNRQSSMYTVTRMESMTVVFDPNDADTTRSSRKKRATPRDPSFNGCSRRNSKSASATSSFISSPYTSVDEYS</v>
      </c>
      <c r="F290" s="5" t="str">
        <f t="shared" si="101"/>
        <v>PSWRIALWSLAYGVVVAVAVLGNLIVIWIILAH</v>
      </c>
      <c r="G290" s="4" t="str">
        <f t="shared" si="102"/>
        <v>KRMR</v>
      </c>
      <c r="H290" s="4" t="str">
        <f t="shared" si="103"/>
        <v>TVTNYFLVNLAFSDASMAAFNTLVNFIYALHS</v>
      </c>
      <c r="I290" s="4" t="str">
        <f t="shared" si="104"/>
        <v>EWYF</v>
      </c>
      <c r="J290" s="4" t="str">
        <f t="shared" si="105"/>
        <v>GANYCRFQNFFPITAVFASIYSMTAIAVDRYMAIID</v>
      </c>
      <c r="K290" s="4" t="str">
        <f t="shared" si="106"/>
        <v/>
      </c>
      <c r="L290" s="4" t="str">
        <f t="shared" si="107"/>
        <v>SATATKIVIGSIWILAFLLAFPQCLYS</v>
      </c>
      <c r="M290" s="4" t="str">
        <f t="shared" si="108"/>
        <v>CFV</v>
      </c>
      <c r="N290" s="4" t="str">
        <f t="shared" si="109"/>
        <v>EGPKQHFTYHIIVIILVYCFPLLIMGITYTIVGITLWGGEIPGD</v>
      </c>
      <c r="O290" s="4" t="str">
        <f t="shared" si="110"/>
        <v>KYHEQLKAKRKVVKMMIIVVMTFAICWLPYHIYFILTAIY</v>
      </c>
      <c r="P290" s="4" t="str">
        <f t="shared" si="111"/>
        <v>YIQQVYLASFWLAMSSTMYNPIIYCCL</v>
      </c>
      <c r="Q290" s="4" t="str">
        <f t="shared" si="112"/>
        <v>NKRFRAGFKRAF</v>
      </c>
      <c r="R290" s="5">
        <f>VLOOKUP($A290,'SegEnds_NonXtal_Prot#'!$A:$AL,3,FALSE)</f>
        <v>81</v>
      </c>
      <c r="S290" s="5">
        <f>VLOOKUP($A290,'SegEnds_NonXtal_Prot#'!$A:$AL,6,FALSE)</f>
        <v>114</v>
      </c>
      <c r="T290" s="5">
        <f>VLOOKUP($A290,'SegEnds_NonXtal_Prot#'!$A:$AL,9,FALSE)</f>
        <v>118</v>
      </c>
      <c r="U290" s="5">
        <f>VLOOKUP($A290,'SegEnds_NonXtal_Prot#'!$A:$AL,12,FALSE)</f>
        <v>150</v>
      </c>
      <c r="V290" s="5">
        <f>VLOOKUP($A290,'SegEnds_NonXtal_Prot#'!$A:$AL,15,FALSE)</f>
        <v>154</v>
      </c>
      <c r="W290" s="5" t="str">
        <f>VLOOKUP($A290,'SegEnds_NonXtal_Prot#'!$A:$AL,18,FALSE)</f>
        <v>-</v>
      </c>
      <c r="X290" s="5">
        <f>VLOOKUP($A290,'SegEnds_NonXtal_Prot#'!$A:$AL,21,FALSE)</f>
        <v>196</v>
      </c>
      <c r="Y290" s="5">
        <f>VLOOKUP($A290,'SegEnds_NonXtal_Prot#'!$A:$AL,24,FALSE)</f>
        <v>233</v>
      </c>
      <c r="Z290" s="5">
        <f>VLOOKUP($A290,'SegEnds_NonXtal_Prot#'!$A:$AL,27,FALSE)</f>
        <v>239</v>
      </c>
      <c r="AA290" s="5">
        <f>VLOOKUP($A290,'SegEnds_NonXtal_Prot#'!$A:$AL,30,FALSE)</f>
        <v>286</v>
      </c>
      <c r="AB290" s="5">
        <f>VLOOKUP($A290,'SegEnds_NonXtal_Prot#'!$A:$AL,33,FALSE)</f>
        <v>333</v>
      </c>
      <c r="AC290" s="5">
        <f>VLOOKUP($A290,'SegEnds_NonXtal_Prot#'!$A:$AL,36,FALSE)</f>
        <v>360</v>
      </c>
      <c r="AD290" s="5">
        <f>VLOOKUP($A290,'SegEnds_NonXtal_Prot#'!$A:$AL,5,FALSE)</f>
        <v>113</v>
      </c>
      <c r="AE290" s="5">
        <f>VLOOKUP($A290,'SegEnds_NonXtal_Prot#'!$A:$AL,8,FALSE)</f>
        <v>117</v>
      </c>
      <c r="AF290" s="5">
        <f>VLOOKUP($A290,'SegEnds_NonXtal_Prot#'!$A:$AL,11,FALSE)</f>
        <v>149</v>
      </c>
      <c r="AG290" s="5">
        <f>VLOOKUP($A290,'SegEnds_NonXtal_Prot#'!$A:$AL,14,FALSE)</f>
        <v>153</v>
      </c>
      <c r="AH290" s="5">
        <f>VLOOKUP($A290,'SegEnds_NonXtal_Prot#'!$A:$AL,17,FALSE)</f>
        <v>189</v>
      </c>
      <c r="AI290" s="5" t="str">
        <f>VLOOKUP($A290,'SegEnds_NonXtal_Prot#'!$A:$AL,20,FALSE)</f>
        <v>-</v>
      </c>
      <c r="AJ290" s="5">
        <f>VLOOKUP($A290,'SegEnds_NonXtal_Prot#'!$A:$AL,23,FALSE)</f>
        <v>222</v>
      </c>
      <c r="AK290" s="5">
        <f>VLOOKUP($A290,'SegEnds_NonXtal_Prot#'!$A:$AL,26,FALSE)</f>
        <v>235</v>
      </c>
      <c r="AL290" s="5">
        <f>VLOOKUP($A290,'SegEnds_NonXtal_Prot#'!$A:$AL,29,FALSE)</f>
        <v>282</v>
      </c>
      <c r="AM290" s="5">
        <f>VLOOKUP($A290,'SegEnds_NonXtal_Prot#'!$A:$AL,32,FALSE)</f>
        <v>325</v>
      </c>
      <c r="AN290" s="5">
        <f>VLOOKUP($A290,'SegEnds_NonXtal_Prot#'!$A:$AL,35,FALSE)</f>
        <v>359</v>
      </c>
      <c r="AO290" s="5">
        <f>VLOOKUP($A290,'SegEnds_NonXtal_Prot#'!$A:$AL,38,FALSE)</f>
        <v>371</v>
      </c>
      <c r="AP290" s="5">
        <f t="shared" si="113"/>
        <v>32</v>
      </c>
      <c r="AQ290" s="4">
        <f t="shared" si="114"/>
        <v>3</v>
      </c>
      <c r="AR290" s="4">
        <f t="shared" si="115"/>
        <v>31</v>
      </c>
      <c r="AS290" s="4">
        <f t="shared" si="116"/>
        <v>3</v>
      </c>
      <c r="AT290" s="4">
        <f t="shared" si="117"/>
        <v>35</v>
      </c>
      <c r="AU290" s="4" t="str">
        <f t="shared" si="118"/>
        <v>-</v>
      </c>
      <c r="AV290" s="4">
        <f t="shared" si="119"/>
        <v>26</v>
      </c>
      <c r="AW290" s="4">
        <f t="shared" si="120"/>
        <v>2</v>
      </c>
      <c r="AX290" s="4">
        <f t="shared" si="121"/>
        <v>43</v>
      </c>
      <c r="AY290" s="4">
        <f t="shared" si="122"/>
        <v>39</v>
      </c>
      <c r="AZ290" s="4">
        <f t="shared" si="123"/>
        <v>26</v>
      </c>
      <c r="BA290" s="4">
        <f t="shared" si="124"/>
        <v>11</v>
      </c>
    </row>
    <row r="291" spans="1:53" x14ac:dyDescent="0.2">
      <c r="A291" s="1" t="str">
        <f>'SegEnds_NonXtal_Prot#'!A283</f>
        <v>npbw1_human</v>
      </c>
      <c r="B291" s="1" t="str">
        <f t="shared" si="100"/>
        <v>LAPLPAPLAVAVPVVYAVICAVGLAGNSAVLYVLLRATVTNLFILNLAIADELFTLVLPINIADFLLGELMCKLIVAIDQYNTFSSLYFLTVMSADRYLVVLATYSAARAVSLAVWGIVTLVVLPFAVFAEAFWWRASRLYTLVLGFAIPVSTICVLYTTLLCRLHAMAKALERAKKRVTFLVVAILAVCLLCWTPYHLSTVVALTTTPLVIAISYFITSLSYANSCLNPFLYAFLDASFRRNLRQLITC</v>
      </c>
      <c r="C291" s="29" t="str">
        <f>IF(ISERROR(MATCH(A291,'SegEnds_Xtal_Prot#'!B:B, 0)), "NoXtal", "Xtal")</f>
        <v>NoXtal</v>
      </c>
      <c r="D291" s="4" t="str">
        <f>VLOOKUP(A291,Classification!A:D,2,FALSE)</f>
        <v>A</v>
      </c>
      <c r="E291" s="5" t="str">
        <f>VLOOKUP(A291,Seqs!A:B,2,FALSE)</f>
        <v>MDNASFSEPWPANASGPDPALSCSNASTLAPLPAPLAVAVPVVYAVICAVGLAGNSAVLYVLLRAPRMKTVTNLFILNLAIADELFTLVLPINIADFLLRQWPFGELMCKLIVAIDQYNTFSSLYFLTVMSADRYLVVLATAESRRVAGRTYSAARAVSLAVWGIVTLVVLPFAVFARLDDEQGRRQCVLVFPQPEAFWWRASRLYTLVLGFAIPVSTICVLYTTLLCRLHAMRLDSHAKALERAKKRVTFLVVAILAVCLLCWTPYHLSTVVALTTDLPQTPLVIAISYFITSLSYANSCLNPFLYAFLDASFRRNLRQLITCRAAA</v>
      </c>
      <c r="F291" s="5" t="str">
        <f t="shared" si="101"/>
        <v>LAPLPAPLAVAVPVVYAVICAVGLAGNSAVLYVLLRA</v>
      </c>
      <c r="G291" s="4" t="str">
        <f t="shared" si="102"/>
        <v>PRMK</v>
      </c>
      <c r="H291" s="4" t="str">
        <f t="shared" si="103"/>
        <v>TVTNLFILNLAIADELFTLVLPINIADFLL</v>
      </c>
      <c r="I291" s="4" t="str">
        <f t="shared" si="104"/>
        <v>QWPF</v>
      </c>
      <c r="J291" s="4" t="str">
        <f t="shared" si="105"/>
        <v>GELMCKLIVAIDQYNTFSSLYFLTVMSADRYLVVLA</v>
      </c>
      <c r="K291" s="4" t="str">
        <f t="shared" si="106"/>
        <v/>
      </c>
      <c r="L291" s="4" t="str">
        <f t="shared" si="107"/>
        <v>TYSAARAVSLAVWGIVTLVVLPFAVFA</v>
      </c>
      <c r="M291" s="4" t="str">
        <f t="shared" si="108"/>
        <v>CVL</v>
      </c>
      <c r="N291" s="4" t="str">
        <f t="shared" si="109"/>
        <v>EAFWWRASRLYTLVLGFAIPVSTICVLYTTLLCRLHAM</v>
      </c>
      <c r="O291" s="4" t="str">
        <f t="shared" si="110"/>
        <v>AKALERAKKRVTFLVVAILAVCLLCWTPYHLSTVVALTT</v>
      </c>
      <c r="P291" s="4" t="str">
        <f t="shared" si="111"/>
        <v>TPLVIAISYFITSLSYANSCLNPFLYAFL</v>
      </c>
      <c r="Q291" s="4" t="str">
        <f t="shared" si="112"/>
        <v>DASFRRNLRQLITC</v>
      </c>
      <c r="R291" s="5">
        <f>VLOOKUP($A291,'SegEnds_NonXtal_Prot#'!$A:$AL,3,FALSE)</f>
        <v>29</v>
      </c>
      <c r="S291" s="5">
        <f>VLOOKUP($A291,'SegEnds_NonXtal_Prot#'!$A:$AL,6,FALSE)</f>
        <v>66</v>
      </c>
      <c r="T291" s="5">
        <f>VLOOKUP($A291,'SegEnds_NonXtal_Prot#'!$A:$AL,9,FALSE)</f>
        <v>70</v>
      </c>
      <c r="U291" s="5">
        <f>VLOOKUP($A291,'SegEnds_NonXtal_Prot#'!$A:$AL,12,FALSE)</f>
        <v>101</v>
      </c>
      <c r="V291" s="5">
        <f>VLOOKUP($A291,'SegEnds_NonXtal_Prot#'!$A:$AL,15,FALSE)</f>
        <v>105</v>
      </c>
      <c r="W291" s="5" t="str">
        <f>VLOOKUP($A291,'SegEnds_NonXtal_Prot#'!$A:$AL,18,FALSE)</f>
        <v>-</v>
      </c>
      <c r="X291" s="5">
        <f>VLOOKUP($A291,'SegEnds_NonXtal_Prot#'!$A:$AL,21,FALSE)</f>
        <v>151</v>
      </c>
      <c r="Y291" s="5">
        <f>VLOOKUP($A291,'SegEnds_NonXtal_Prot#'!$A:$AL,24,FALSE)</f>
        <v>188</v>
      </c>
      <c r="Z291" s="5">
        <f>VLOOKUP($A291,'SegEnds_NonXtal_Prot#'!$A:$AL,27,FALSE)</f>
        <v>196</v>
      </c>
      <c r="AA291" s="5">
        <f>VLOOKUP($A291,'SegEnds_NonXtal_Prot#'!$A:$AL,30,FALSE)</f>
        <v>239</v>
      </c>
      <c r="AB291" s="5">
        <f>VLOOKUP($A291,'SegEnds_NonXtal_Prot#'!$A:$AL,33,FALSE)</f>
        <v>282</v>
      </c>
      <c r="AC291" s="5">
        <f>VLOOKUP($A291,'SegEnds_NonXtal_Prot#'!$A:$AL,36,FALSE)</f>
        <v>311</v>
      </c>
      <c r="AD291" s="5">
        <f>VLOOKUP($A291,'SegEnds_NonXtal_Prot#'!$A:$AL,5,FALSE)</f>
        <v>65</v>
      </c>
      <c r="AE291" s="5">
        <f>VLOOKUP($A291,'SegEnds_NonXtal_Prot#'!$A:$AL,8,FALSE)</f>
        <v>69</v>
      </c>
      <c r="AF291" s="5">
        <f>VLOOKUP($A291,'SegEnds_NonXtal_Prot#'!$A:$AL,11,FALSE)</f>
        <v>99</v>
      </c>
      <c r="AG291" s="5">
        <f>VLOOKUP($A291,'SegEnds_NonXtal_Prot#'!$A:$AL,14,FALSE)</f>
        <v>104</v>
      </c>
      <c r="AH291" s="5">
        <f>VLOOKUP($A291,'SegEnds_NonXtal_Prot#'!$A:$AL,17,FALSE)</f>
        <v>140</v>
      </c>
      <c r="AI291" s="5" t="str">
        <f>VLOOKUP($A291,'SegEnds_NonXtal_Prot#'!$A:$AL,20,FALSE)</f>
        <v>-</v>
      </c>
      <c r="AJ291" s="5">
        <f>VLOOKUP($A291,'SegEnds_NonXtal_Prot#'!$A:$AL,23,FALSE)</f>
        <v>177</v>
      </c>
      <c r="AK291" s="5">
        <f>VLOOKUP($A291,'SegEnds_NonXtal_Prot#'!$A:$AL,26,FALSE)</f>
        <v>190</v>
      </c>
      <c r="AL291" s="5">
        <f>VLOOKUP($A291,'SegEnds_NonXtal_Prot#'!$A:$AL,29,FALSE)</f>
        <v>233</v>
      </c>
      <c r="AM291" s="5">
        <f>VLOOKUP($A291,'SegEnds_NonXtal_Prot#'!$A:$AL,32,FALSE)</f>
        <v>277</v>
      </c>
      <c r="AN291" s="5">
        <f>VLOOKUP($A291,'SegEnds_NonXtal_Prot#'!$A:$AL,35,FALSE)</f>
        <v>310</v>
      </c>
      <c r="AO291" s="5">
        <f>VLOOKUP($A291,'SegEnds_NonXtal_Prot#'!$A:$AL,38,FALSE)</f>
        <v>324</v>
      </c>
      <c r="AP291" s="5">
        <f t="shared" si="113"/>
        <v>36</v>
      </c>
      <c r="AQ291" s="4">
        <f t="shared" si="114"/>
        <v>3</v>
      </c>
      <c r="AR291" s="4">
        <f t="shared" si="115"/>
        <v>29</v>
      </c>
      <c r="AS291" s="4">
        <f t="shared" si="116"/>
        <v>3</v>
      </c>
      <c r="AT291" s="4">
        <f t="shared" si="117"/>
        <v>35</v>
      </c>
      <c r="AU291" s="4" t="str">
        <f t="shared" si="118"/>
        <v>-</v>
      </c>
      <c r="AV291" s="4">
        <f t="shared" si="119"/>
        <v>26</v>
      </c>
      <c r="AW291" s="4">
        <f t="shared" si="120"/>
        <v>2</v>
      </c>
      <c r="AX291" s="4">
        <f t="shared" si="121"/>
        <v>37</v>
      </c>
      <c r="AY291" s="4">
        <f t="shared" si="122"/>
        <v>38</v>
      </c>
      <c r="AZ291" s="4">
        <f t="shared" si="123"/>
        <v>28</v>
      </c>
      <c r="BA291" s="4">
        <f t="shared" si="124"/>
        <v>13</v>
      </c>
    </row>
    <row r="292" spans="1:53" x14ac:dyDescent="0.2">
      <c r="A292" s="1" t="str">
        <f>'SegEnds_NonXtal_Prot#'!A284</f>
        <v>npbw2_human</v>
      </c>
      <c r="B292" s="1" t="str">
        <f t="shared" si="100"/>
        <v>ATFSEPLPFLYVLLPAVYSGICAVGLTGNTAVILVILRATVTNVFILNLAVADGLFTLVLPVNIAEHLLGELLCKLVLAVDHYNIFSSIYFLAVMSVDRYLVVLATYRGAKVASLCVWLGVTVLVLPFFSFAEQVWFKASRVYTLVLGFVLPVCTICVLYTDLLRRLRAVAKALGKARRKVTVLVLVVLAVCLLCWTPFHLASVVALTTTPLVISMSYVITSLSYANSCLNPFLYAFLDDNFRKNFRSILRC</v>
      </c>
      <c r="C292" s="29" t="str">
        <f>IF(ISERROR(MATCH(A292,'SegEnds_Xtal_Prot#'!B:B, 0)), "NoXtal", "Xtal")</f>
        <v>NoXtal</v>
      </c>
      <c r="D292" s="4" t="str">
        <f>VLOOKUP(A292,Classification!A:D,2,FALSE)</f>
        <v>A</v>
      </c>
      <c r="E292" s="5" t="str">
        <f>VLOOKUP(A292,Seqs!A:B,2,FALSE)</f>
        <v>MQAAGHPEPLDSRGSFSLPTMGANVSQDNGTGHNATFSEPLPFLYVLLPAVYSGICAVGLTGNTAVILVILRAPKMKTVTNVFILNLAVADGLFTLVLPVNIAEHLLQYWPFGELLCKLVLAVDHYNIFSSIYFLAVMSVDRYLVVLATVRSRHMPWRTYRGAKVASLCVWLGVTVLVLPFFSFAGVYSNELQVPSCGLSFPWPEQVWFKASRVYTLVLGFVLPVCTICVLYTDLLRRLRAVRLRSGAKALGKARRKVTVLVLVVLAVCLLCWTPFHLASVVALTTDLPQTPLVISMSYVITSLSYANSCLNPFLYAFLDDNFRKNFRSILRC</v>
      </c>
      <c r="F292" s="5" t="str">
        <f t="shared" si="101"/>
        <v>ATFSEPLPFLYVLLPAVYSGICAVGLTGNTAVILVILRA</v>
      </c>
      <c r="G292" s="4" t="str">
        <f t="shared" si="102"/>
        <v>PKMK</v>
      </c>
      <c r="H292" s="4" t="str">
        <f t="shared" si="103"/>
        <v>TVTNVFILNLAVADGLFTLVLPVNIAEHLL</v>
      </c>
      <c r="I292" s="4" t="str">
        <f t="shared" si="104"/>
        <v>YWPF</v>
      </c>
      <c r="J292" s="4" t="str">
        <f t="shared" si="105"/>
        <v>GELLCKLVLAVDHYNIFSSIYFLAVMSVDRYLVVLA</v>
      </c>
      <c r="K292" s="4" t="str">
        <f t="shared" si="106"/>
        <v/>
      </c>
      <c r="L292" s="4" t="str">
        <f t="shared" si="107"/>
        <v>TYRGAKVASLCVWLGVTVLVLPFFSFA</v>
      </c>
      <c r="M292" s="4" t="str">
        <f t="shared" si="108"/>
        <v>CGL</v>
      </c>
      <c r="N292" s="4" t="str">
        <f t="shared" si="109"/>
        <v>EQVWFKASRVYTLVLGFVLPVCTICVLYTDLLRRLRAV</v>
      </c>
      <c r="O292" s="4" t="str">
        <f t="shared" si="110"/>
        <v>AKALGKARRKVTVLVLVVLAVCLLCWTPFHLASVVALTT</v>
      </c>
      <c r="P292" s="4" t="str">
        <f t="shared" si="111"/>
        <v>TPLVISMSYVITSLSYANSCLNPFLYAFL</v>
      </c>
      <c r="Q292" s="4" t="str">
        <f t="shared" si="112"/>
        <v>DDNFRKNFRSILRC</v>
      </c>
      <c r="R292" s="5">
        <f>VLOOKUP($A292,'SegEnds_NonXtal_Prot#'!$A:$AL,3,FALSE)</f>
        <v>35</v>
      </c>
      <c r="S292" s="5">
        <f>VLOOKUP($A292,'SegEnds_NonXtal_Prot#'!$A:$AL,6,FALSE)</f>
        <v>74</v>
      </c>
      <c r="T292" s="5">
        <f>VLOOKUP($A292,'SegEnds_NonXtal_Prot#'!$A:$AL,9,FALSE)</f>
        <v>78</v>
      </c>
      <c r="U292" s="5">
        <f>VLOOKUP($A292,'SegEnds_NonXtal_Prot#'!$A:$AL,12,FALSE)</f>
        <v>109</v>
      </c>
      <c r="V292" s="5">
        <f>VLOOKUP($A292,'SegEnds_NonXtal_Prot#'!$A:$AL,15,FALSE)</f>
        <v>113</v>
      </c>
      <c r="W292" s="5" t="str">
        <f>VLOOKUP($A292,'SegEnds_NonXtal_Prot#'!$A:$AL,18,FALSE)</f>
        <v>-</v>
      </c>
      <c r="X292" s="5">
        <f>VLOOKUP($A292,'SegEnds_NonXtal_Prot#'!$A:$AL,21,FALSE)</f>
        <v>159</v>
      </c>
      <c r="Y292" s="5">
        <f>VLOOKUP($A292,'SegEnds_NonXtal_Prot#'!$A:$AL,24,FALSE)</f>
        <v>197</v>
      </c>
      <c r="Z292" s="5">
        <f>VLOOKUP($A292,'SegEnds_NonXtal_Prot#'!$A:$AL,27,FALSE)</f>
        <v>205</v>
      </c>
      <c r="AA292" s="5">
        <f>VLOOKUP($A292,'SegEnds_NonXtal_Prot#'!$A:$AL,30,FALSE)</f>
        <v>248</v>
      </c>
      <c r="AB292" s="5">
        <f>VLOOKUP($A292,'SegEnds_NonXtal_Prot#'!$A:$AL,33,FALSE)</f>
        <v>291</v>
      </c>
      <c r="AC292" s="5">
        <f>VLOOKUP($A292,'SegEnds_NonXtal_Prot#'!$A:$AL,36,FALSE)</f>
        <v>320</v>
      </c>
      <c r="AD292" s="5">
        <f>VLOOKUP($A292,'SegEnds_NonXtal_Prot#'!$A:$AL,5,FALSE)</f>
        <v>73</v>
      </c>
      <c r="AE292" s="5">
        <f>VLOOKUP($A292,'SegEnds_NonXtal_Prot#'!$A:$AL,8,FALSE)</f>
        <v>77</v>
      </c>
      <c r="AF292" s="5">
        <f>VLOOKUP($A292,'SegEnds_NonXtal_Prot#'!$A:$AL,11,FALSE)</f>
        <v>107</v>
      </c>
      <c r="AG292" s="5">
        <f>VLOOKUP($A292,'SegEnds_NonXtal_Prot#'!$A:$AL,14,FALSE)</f>
        <v>112</v>
      </c>
      <c r="AH292" s="5">
        <f>VLOOKUP($A292,'SegEnds_NonXtal_Prot#'!$A:$AL,17,FALSE)</f>
        <v>148</v>
      </c>
      <c r="AI292" s="5" t="str">
        <f>VLOOKUP($A292,'SegEnds_NonXtal_Prot#'!$A:$AL,20,FALSE)</f>
        <v>-</v>
      </c>
      <c r="AJ292" s="5">
        <f>VLOOKUP($A292,'SegEnds_NonXtal_Prot#'!$A:$AL,23,FALSE)</f>
        <v>185</v>
      </c>
      <c r="AK292" s="5">
        <f>VLOOKUP($A292,'SegEnds_NonXtal_Prot#'!$A:$AL,26,FALSE)</f>
        <v>199</v>
      </c>
      <c r="AL292" s="5">
        <f>VLOOKUP($A292,'SegEnds_NonXtal_Prot#'!$A:$AL,29,FALSE)</f>
        <v>242</v>
      </c>
      <c r="AM292" s="5">
        <f>VLOOKUP($A292,'SegEnds_NonXtal_Prot#'!$A:$AL,32,FALSE)</f>
        <v>286</v>
      </c>
      <c r="AN292" s="5">
        <f>VLOOKUP($A292,'SegEnds_NonXtal_Prot#'!$A:$AL,35,FALSE)</f>
        <v>319</v>
      </c>
      <c r="AO292" s="5">
        <f>VLOOKUP($A292,'SegEnds_NonXtal_Prot#'!$A:$AL,38,FALSE)</f>
        <v>333</v>
      </c>
      <c r="AP292" s="5">
        <f t="shared" si="113"/>
        <v>38</v>
      </c>
      <c r="AQ292" s="4">
        <f t="shared" si="114"/>
        <v>3</v>
      </c>
      <c r="AR292" s="4">
        <f t="shared" si="115"/>
        <v>29</v>
      </c>
      <c r="AS292" s="4">
        <f t="shared" si="116"/>
        <v>3</v>
      </c>
      <c r="AT292" s="4">
        <f t="shared" si="117"/>
        <v>35</v>
      </c>
      <c r="AU292" s="4" t="str">
        <f t="shared" si="118"/>
        <v>-</v>
      </c>
      <c r="AV292" s="4">
        <f t="shared" si="119"/>
        <v>26</v>
      </c>
      <c r="AW292" s="4">
        <f t="shared" si="120"/>
        <v>2</v>
      </c>
      <c r="AX292" s="4">
        <f t="shared" si="121"/>
        <v>37</v>
      </c>
      <c r="AY292" s="4">
        <f t="shared" si="122"/>
        <v>38</v>
      </c>
      <c r="AZ292" s="4">
        <f t="shared" si="123"/>
        <v>28</v>
      </c>
      <c r="BA292" s="4">
        <f t="shared" si="124"/>
        <v>13</v>
      </c>
    </row>
    <row r="293" spans="1:53" x14ac:dyDescent="0.2">
      <c r="A293" s="1" t="str">
        <f>'SegEnds_NonXtal_Prot#'!A285</f>
        <v>npff1_human</v>
      </c>
      <c r="B293" s="1" t="str">
        <f t="shared" si="100"/>
        <v>AAMFIVAYALIFLLCMVGNTLVCFIVLKNTVTNMFILNLAVSDLLVGIFCMPTTLVDNLIDNATCKMSGLVQGMSVSASVFTLVAIAVERFRCIVHTLRKALVTIAVIWALALLIMCPSAVTLKGMRRVYTTVLFSHIYLAPLALIVVMYARIARKLCQAPGPAPADPRASRRRARVVHMLVMVALFFTLSWLPLWALLLLIDYGHLVTVYAFPFAHWLAFFNSSANPIIYGYFNENFRRGFQAAF</v>
      </c>
      <c r="C293" s="29" t="str">
        <f>IF(ISERROR(MATCH(A293,'SegEnds_Xtal_Prot#'!B:B, 0)), "NoXtal", "Xtal")</f>
        <v>NoXtal</v>
      </c>
      <c r="D293" s="4" t="str">
        <f>VLOOKUP(A293,Classification!A:D,2,FALSE)</f>
        <v>A</v>
      </c>
      <c r="E293" s="5" t="str">
        <f>VLOOKUP(A293,Seqs!A:B,2,FALSE)</f>
        <v>MEGEPSQPPNSSWPLSQNGTNTEATPATNLTFSSYYQHTSPVAAMFIVAYALIFLLCMVGNTLVCFIVLKNRHMHTVTNMFILNLAVSDLLVGIFCMPTTLVDNLITGWPFDNATCKMSGLVQGMSVSASVFTLVAIAVERFRCIVHPFREKLTLRKALVTIAVIWALALLIMCPSAVTLTVTREEHHFMVDARNRSYPLYSCWEAWPEKGMRRVYTTVLFSHIYLAPLALIVVMYARIARKLCQAPGPAPGGEEAADPRASRRRARVVHMLVMVALFFTLSWLPLWALLLLIDYGQLSAPQLHLVTVYAFPFAHWLAFFNSSANPIIYGYFNENFRRGFQAAFRARLCPRPSGSHKEAYSERPGGLLHRRVFVVVRPSDSGLPSESGPSSGAPRPGRLPLRNGRVAHHGLPREGPGCSHLPLTIPAWDI</v>
      </c>
      <c r="F293" s="5" t="str">
        <f t="shared" si="101"/>
        <v>AAMFIVAYALIFLLCMVGNTLVCFIVLKN</v>
      </c>
      <c r="G293" s="4" t="str">
        <f t="shared" si="102"/>
        <v>RHMH</v>
      </c>
      <c r="H293" s="4" t="str">
        <f t="shared" si="103"/>
        <v>TVTNMFILNLAVSDLLVGIFCMPTTLVDNLI</v>
      </c>
      <c r="I293" s="4" t="str">
        <f t="shared" si="104"/>
        <v>GWPF</v>
      </c>
      <c r="J293" s="4" t="str">
        <f t="shared" si="105"/>
        <v>DNATCKMSGLVQGMSVSASVFTLVAIAVERFRCIVH</v>
      </c>
      <c r="K293" s="4" t="str">
        <f t="shared" si="106"/>
        <v/>
      </c>
      <c r="L293" s="4" t="str">
        <f t="shared" si="107"/>
        <v>TLRKALVTIAVIWALALLIMCPSAVTL</v>
      </c>
      <c r="M293" s="4" t="str">
        <f t="shared" si="108"/>
        <v>CWE</v>
      </c>
      <c r="N293" s="4" t="str">
        <f t="shared" si="109"/>
        <v>KGMRRVYTTVLFSHIYLAPLALIVVMYARIARKLCQAPGPAP</v>
      </c>
      <c r="O293" s="4" t="str">
        <f t="shared" si="110"/>
        <v>ADPRASRRRARVVHMLVMVALFFTLSWLPLWALLLLIDYG</v>
      </c>
      <c r="P293" s="4" t="str">
        <f t="shared" si="111"/>
        <v>HLVTVYAFPFAHWLAFFNSSANPIIYGYF</v>
      </c>
      <c r="Q293" s="4" t="str">
        <f t="shared" si="112"/>
        <v>NENFRRGFQAAF</v>
      </c>
      <c r="R293" s="5">
        <f>VLOOKUP($A293,'SegEnds_NonXtal_Prot#'!$A:$AL,3,FALSE)</f>
        <v>43</v>
      </c>
      <c r="S293" s="5">
        <f>VLOOKUP($A293,'SegEnds_NonXtal_Prot#'!$A:$AL,6,FALSE)</f>
        <v>72</v>
      </c>
      <c r="T293" s="5">
        <f>VLOOKUP($A293,'SegEnds_NonXtal_Prot#'!$A:$AL,9,FALSE)</f>
        <v>76</v>
      </c>
      <c r="U293" s="5">
        <f>VLOOKUP($A293,'SegEnds_NonXtal_Prot#'!$A:$AL,12,FALSE)</f>
        <v>108</v>
      </c>
      <c r="V293" s="5">
        <f>VLOOKUP($A293,'SegEnds_NonXtal_Prot#'!$A:$AL,15,FALSE)</f>
        <v>112</v>
      </c>
      <c r="W293" s="5" t="str">
        <f>VLOOKUP($A293,'SegEnds_NonXtal_Prot#'!$A:$AL,18,FALSE)</f>
        <v>-</v>
      </c>
      <c r="X293" s="5">
        <f>VLOOKUP($A293,'SegEnds_NonXtal_Prot#'!$A:$AL,21,FALSE)</f>
        <v>154</v>
      </c>
      <c r="Y293" s="5">
        <f>VLOOKUP($A293,'SegEnds_NonXtal_Prot#'!$A:$AL,24,FALSE)</f>
        <v>203</v>
      </c>
      <c r="Z293" s="5">
        <f>VLOOKUP($A293,'SegEnds_NonXtal_Prot#'!$A:$AL,27,FALSE)</f>
        <v>210</v>
      </c>
      <c r="AA293" s="5">
        <f>VLOOKUP($A293,'SegEnds_NonXtal_Prot#'!$A:$AL,30,FALSE)</f>
        <v>257</v>
      </c>
      <c r="AB293" s="5">
        <f>VLOOKUP($A293,'SegEnds_NonXtal_Prot#'!$A:$AL,33,FALSE)</f>
        <v>304</v>
      </c>
      <c r="AC293" s="5">
        <f>VLOOKUP($A293,'SegEnds_NonXtal_Prot#'!$A:$AL,36,FALSE)</f>
        <v>333</v>
      </c>
      <c r="AD293" s="5">
        <f>VLOOKUP($A293,'SegEnds_NonXtal_Prot#'!$A:$AL,5,FALSE)</f>
        <v>71</v>
      </c>
      <c r="AE293" s="5">
        <f>VLOOKUP($A293,'SegEnds_NonXtal_Prot#'!$A:$AL,8,FALSE)</f>
        <v>75</v>
      </c>
      <c r="AF293" s="5">
        <f>VLOOKUP($A293,'SegEnds_NonXtal_Prot#'!$A:$AL,11,FALSE)</f>
        <v>106</v>
      </c>
      <c r="AG293" s="5">
        <f>VLOOKUP($A293,'SegEnds_NonXtal_Prot#'!$A:$AL,14,FALSE)</f>
        <v>111</v>
      </c>
      <c r="AH293" s="5">
        <f>VLOOKUP($A293,'SegEnds_NonXtal_Prot#'!$A:$AL,17,FALSE)</f>
        <v>147</v>
      </c>
      <c r="AI293" s="5" t="str">
        <f>VLOOKUP($A293,'SegEnds_NonXtal_Prot#'!$A:$AL,20,FALSE)</f>
        <v>-</v>
      </c>
      <c r="AJ293" s="5">
        <f>VLOOKUP($A293,'SegEnds_NonXtal_Prot#'!$A:$AL,23,FALSE)</f>
        <v>180</v>
      </c>
      <c r="AK293" s="5">
        <f>VLOOKUP($A293,'SegEnds_NonXtal_Prot#'!$A:$AL,26,FALSE)</f>
        <v>205</v>
      </c>
      <c r="AL293" s="5">
        <f>VLOOKUP($A293,'SegEnds_NonXtal_Prot#'!$A:$AL,29,FALSE)</f>
        <v>251</v>
      </c>
      <c r="AM293" s="5">
        <f>VLOOKUP($A293,'SegEnds_NonXtal_Prot#'!$A:$AL,32,FALSE)</f>
        <v>296</v>
      </c>
      <c r="AN293" s="5">
        <f>VLOOKUP($A293,'SegEnds_NonXtal_Prot#'!$A:$AL,35,FALSE)</f>
        <v>332</v>
      </c>
      <c r="AO293" s="5">
        <f>VLOOKUP($A293,'SegEnds_NonXtal_Prot#'!$A:$AL,38,FALSE)</f>
        <v>344</v>
      </c>
      <c r="AP293" s="5">
        <f t="shared" si="113"/>
        <v>28</v>
      </c>
      <c r="AQ293" s="4">
        <f t="shared" si="114"/>
        <v>3</v>
      </c>
      <c r="AR293" s="4">
        <f t="shared" si="115"/>
        <v>30</v>
      </c>
      <c r="AS293" s="4">
        <f t="shared" si="116"/>
        <v>3</v>
      </c>
      <c r="AT293" s="4">
        <f t="shared" si="117"/>
        <v>35</v>
      </c>
      <c r="AU293" s="4" t="str">
        <f t="shared" si="118"/>
        <v>-</v>
      </c>
      <c r="AV293" s="4">
        <f t="shared" si="119"/>
        <v>26</v>
      </c>
      <c r="AW293" s="4">
        <f t="shared" si="120"/>
        <v>2</v>
      </c>
      <c r="AX293" s="4">
        <f t="shared" si="121"/>
        <v>41</v>
      </c>
      <c r="AY293" s="4">
        <f t="shared" si="122"/>
        <v>39</v>
      </c>
      <c r="AZ293" s="4">
        <f t="shared" si="123"/>
        <v>28</v>
      </c>
      <c r="BA293" s="4">
        <f t="shared" si="124"/>
        <v>11</v>
      </c>
    </row>
    <row r="294" spans="1:53" x14ac:dyDescent="0.2">
      <c r="A294" s="1" t="str">
        <f>'SegEnds_NonXtal_Prot#'!A286</f>
        <v>npff2_human</v>
      </c>
      <c r="B294" s="1" t="str">
        <f t="shared" si="100"/>
        <v>AAIFIISYFLIFFLCMMGNTVVCFIVMRNTVTNLFILNLAISDLLVGIFCMPITLLDNIIGNTMCKISGLVQGISVAASVFTLVAIAVDRFQCVVYTIKTAFVIIMIIWVLAITIMSPSAVMLQEMRKIYTTVLFANIYLAPLSLIVIMYGRIGISLFRAAVPHTHVVSRKKQKIIKMLLIVALLFILSWLPLWTLMMLSDYAQIINIYIYPFAHWLAFGNSSVNPIIYGFFNENFRRGFQEAF</v>
      </c>
      <c r="C294" s="29" t="str">
        <f>IF(ISERROR(MATCH(A294,'SegEnds_Xtal_Prot#'!B:B, 0)), "NoXtal", "Xtal")</f>
        <v>NoXtal</v>
      </c>
      <c r="D294" s="4" t="str">
        <f>VLOOKUP(A294,Classification!A:D,2,FALSE)</f>
        <v>A</v>
      </c>
      <c r="E294" s="5" t="str">
        <f>VLOOKUP(A294,Seqs!A:B,2,FALSE)</f>
        <v>MNSFFGTPAASWCLLESDVSSAPDKEAGRERRALSVQQRGGPAWSGSLEWSRQSAGDRRRLGLSRQTAKSSWSRSRDRTCCCRRAWWILVPAADRARRERFIMNEKWDTNSSENWHPIWNVNDTKHHLYSDINITYVNYYLHQPQVAAIFIISYFLIFFLCMMGNTVVCFIVMRNKHMHTVTNLFILNLAISDLLVGIFCMPITLLDNIIAGWPFGNTMCKISGLVQGISVAASVFTLVAIAVDRFQCVVYPFKPKLTIKTAFVIIMIIWVLAITIMSPSAVMLHVQEEKYYRVRLNSQNKTSPVYWCREDWPNQEMRKIYTTVLFANIYLAPLSLIVIMYGRIGISLFRAAVPHTGRKNQEQWHVVSRKKQKIIKMLLIVALLFILSWLPLWTLMMLSDYADLSPNELQIINIYIYPFAHWLAFGNSSVNPIIYGFFNENFRRGFQEAFQLQLCQKRAKPMEAYALKAKSHVLINTSNQLVQESTFQNPHGETLLYRKSAEKPQQELVMEELKETTNSSEI</v>
      </c>
      <c r="F294" s="5" t="str">
        <f t="shared" si="101"/>
        <v>AAIFIISYFLIFFLCMMGNTVVCFIVMRN</v>
      </c>
      <c r="G294" s="4" t="str">
        <f t="shared" si="102"/>
        <v>KHMH</v>
      </c>
      <c r="H294" s="4" t="str">
        <f t="shared" si="103"/>
        <v>TVTNLFILNLAISDLLVGIFCMPITLLDNII</v>
      </c>
      <c r="I294" s="4" t="str">
        <f t="shared" si="104"/>
        <v>GWPF</v>
      </c>
      <c r="J294" s="4" t="str">
        <f t="shared" si="105"/>
        <v>GNTMCKISGLVQGISVAASVFTLVAIAVDRFQCVVY</v>
      </c>
      <c r="K294" s="4" t="str">
        <f t="shared" si="106"/>
        <v/>
      </c>
      <c r="L294" s="4" t="str">
        <f t="shared" si="107"/>
        <v>TIKTAFVIIMIIWVLAITIMSPSAVML</v>
      </c>
      <c r="M294" s="4" t="str">
        <f t="shared" si="108"/>
        <v>CRE</v>
      </c>
      <c r="N294" s="4" t="str">
        <f t="shared" si="109"/>
        <v>QEMRKIYTTVLFANIYLAPLSLIVIMYGRIGISLFRAAVPHT</v>
      </c>
      <c r="O294" s="4" t="str">
        <f t="shared" si="110"/>
        <v>HVVSRKKQKIIKMLLIVALLFILSWLPLWTLMMLSDYA</v>
      </c>
      <c r="P294" s="4" t="str">
        <f t="shared" si="111"/>
        <v>QIINIYIYPFAHWLAFGNSSVNPIIYGFF</v>
      </c>
      <c r="Q294" s="4" t="str">
        <f t="shared" si="112"/>
        <v>NENFRRGFQEAF</v>
      </c>
      <c r="R294" s="5">
        <f>VLOOKUP($A294,'SegEnds_NonXtal_Prot#'!$A:$AL,3,FALSE)</f>
        <v>147</v>
      </c>
      <c r="S294" s="5">
        <f>VLOOKUP($A294,'SegEnds_NonXtal_Prot#'!$A:$AL,6,FALSE)</f>
        <v>176</v>
      </c>
      <c r="T294" s="5">
        <f>VLOOKUP($A294,'SegEnds_NonXtal_Prot#'!$A:$AL,9,FALSE)</f>
        <v>180</v>
      </c>
      <c r="U294" s="5">
        <f>VLOOKUP($A294,'SegEnds_NonXtal_Prot#'!$A:$AL,12,FALSE)</f>
        <v>212</v>
      </c>
      <c r="V294" s="5">
        <f>VLOOKUP($A294,'SegEnds_NonXtal_Prot#'!$A:$AL,15,FALSE)</f>
        <v>216</v>
      </c>
      <c r="W294" s="5" t="str">
        <f>VLOOKUP($A294,'SegEnds_NonXtal_Prot#'!$A:$AL,18,FALSE)</f>
        <v>-</v>
      </c>
      <c r="X294" s="5">
        <f>VLOOKUP($A294,'SegEnds_NonXtal_Prot#'!$A:$AL,21,FALSE)</f>
        <v>258</v>
      </c>
      <c r="Y294" s="5">
        <f>VLOOKUP($A294,'SegEnds_NonXtal_Prot#'!$A:$AL,24,FALSE)</f>
        <v>308</v>
      </c>
      <c r="Z294" s="5">
        <f>VLOOKUP($A294,'SegEnds_NonXtal_Prot#'!$A:$AL,27,FALSE)</f>
        <v>315</v>
      </c>
      <c r="AA294" s="5">
        <f>VLOOKUP($A294,'SegEnds_NonXtal_Prot#'!$A:$AL,30,FALSE)</f>
        <v>365</v>
      </c>
      <c r="AB294" s="5">
        <f>VLOOKUP($A294,'SegEnds_NonXtal_Prot#'!$A:$AL,33,FALSE)</f>
        <v>410</v>
      </c>
      <c r="AC294" s="5">
        <f>VLOOKUP($A294,'SegEnds_NonXtal_Prot#'!$A:$AL,36,FALSE)</f>
        <v>439</v>
      </c>
      <c r="AD294" s="5">
        <f>VLOOKUP($A294,'SegEnds_NonXtal_Prot#'!$A:$AL,5,FALSE)</f>
        <v>175</v>
      </c>
      <c r="AE294" s="5">
        <f>VLOOKUP($A294,'SegEnds_NonXtal_Prot#'!$A:$AL,8,FALSE)</f>
        <v>179</v>
      </c>
      <c r="AF294" s="5">
        <f>VLOOKUP($A294,'SegEnds_NonXtal_Prot#'!$A:$AL,11,FALSE)</f>
        <v>210</v>
      </c>
      <c r="AG294" s="5">
        <f>VLOOKUP($A294,'SegEnds_NonXtal_Prot#'!$A:$AL,14,FALSE)</f>
        <v>215</v>
      </c>
      <c r="AH294" s="5">
        <f>VLOOKUP($A294,'SegEnds_NonXtal_Prot#'!$A:$AL,17,FALSE)</f>
        <v>251</v>
      </c>
      <c r="AI294" s="5" t="str">
        <f>VLOOKUP($A294,'SegEnds_NonXtal_Prot#'!$A:$AL,20,FALSE)</f>
        <v>-</v>
      </c>
      <c r="AJ294" s="5">
        <f>VLOOKUP($A294,'SegEnds_NonXtal_Prot#'!$A:$AL,23,FALSE)</f>
        <v>284</v>
      </c>
      <c r="AK294" s="5">
        <f>VLOOKUP($A294,'SegEnds_NonXtal_Prot#'!$A:$AL,26,FALSE)</f>
        <v>310</v>
      </c>
      <c r="AL294" s="5">
        <f>VLOOKUP($A294,'SegEnds_NonXtal_Prot#'!$A:$AL,29,FALSE)</f>
        <v>356</v>
      </c>
      <c r="AM294" s="5">
        <f>VLOOKUP($A294,'SegEnds_NonXtal_Prot#'!$A:$AL,32,FALSE)</f>
        <v>402</v>
      </c>
      <c r="AN294" s="5">
        <f>VLOOKUP($A294,'SegEnds_NonXtal_Prot#'!$A:$AL,35,FALSE)</f>
        <v>438</v>
      </c>
      <c r="AO294" s="5">
        <f>VLOOKUP($A294,'SegEnds_NonXtal_Prot#'!$A:$AL,38,FALSE)</f>
        <v>450</v>
      </c>
      <c r="AP294" s="5">
        <f t="shared" si="113"/>
        <v>28</v>
      </c>
      <c r="AQ294" s="4">
        <f t="shared" si="114"/>
        <v>3</v>
      </c>
      <c r="AR294" s="4">
        <f t="shared" si="115"/>
        <v>30</v>
      </c>
      <c r="AS294" s="4">
        <f t="shared" si="116"/>
        <v>3</v>
      </c>
      <c r="AT294" s="4">
        <f t="shared" si="117"/>
        <v>35</v>
      </c>
      <c r="AU294" s="4" t="str">
        <f t="shared" si="118"/>
        <v>-</v>
      </c>
      <c r="AV294" s="4">
        <f t="shared" si="119"/>
        <v>26</v>
      </c>
      <c r="AW294" s="4">
        <f t="shared" si="120"/>
        <v>2</v>
      </c>
      <c r="AX294" s="4">
        <f t="shared" si="121"/>
        <v>41</v>
      </c>
      <c r="AY294" s="4">
        <f t="shared" si="122"/>
        <v>37</v>
      </c>
      <c r="AZ294" s="4">
        <f t="shared" si="123"/>
        <v>28</v>
      </c>
      <c r="BA294" s="4">
        <f t="shared" si="124"/>
        <v>11</v>
      </c>
    </row>
    <row r="295" spans="1:53" x14ac:dyDescent="0.2">
      <c r="A295" s="1" t="str">
        <f>'SegEnds_NonXtal_Prot#'!A287</f>
        <v>npy1r_human</v>
      </c>
      <c r="B295" s="1" t="str">
        <f t="shared" si="100"/>
        <v>PLAMIFTLALAYGAVIILGVSGNLALIIIILKQNVTNILIVNLSFSDLLVAIMCLPFTFVYTLMDGEAMCKLNPFVQCVSITVSIFSLVLIAVERHQLIINNNRHAYVGIAVIWVLAVASSLPFLIYQSDSHRLSYTTLLLVLQYFGPLCFIFICYFKIYIRLKRRNNMMDDNKYRSSETKRINIMLLSIVVAFAVCWLPLTIFNTVFDWNTCNHNLLFLLCHLTAMISTCVNPIFYGFLNKNFQRDLQFFF</v>
      </c>
      <c r="C295" s="29" t="str">
        <f>IF(ISERROR(MATCH(A295,'SegEnds_Xtal_Prot#'!B:B, 0)), "NoXtal", "Xtal")</f>
        <v>Xtal</v>
      </c>
      <c r="D295" s="4" t="str">
        <f>VLOOKUP(A295,Classification!A:D,2,FALSE)</f>
        <v>A</v>
      </c>
      <c r="E295" s="5" t="str">
        <f>VLOOKUP(A295,Seqs!A:B,2,FALSE)</f>
        <v>MNSTLFSQVENHSVHSNFSEKNAQLLAFENDDCHLPLAMIFTLALAYGAVIILGVSGNLALIIIILKQKEMRNVTNILIVNLSFSDLLVAIMCLPFTFVYTLMDHWVFGEAMCKLNPFVQCVSITVSIFSLVLIAVERHQLIINPRGWRPNNRHAYVGIAVIWVLAVASSLPFLIYQVMTDEPFQNVTLDAYKDKYVCFDQFPSDSHRLSYTTLLLVLQYFGPLCFIFICYFKIYIRLKRRNNMMDKMRDNKYRSSETKRINIMLLSIVVAFAVCWLPLTIFNTVFDWNHQIIATCNHNLLFLLCHLTAMISTCVNPIFYGFLNKNFQRDLQFFFNFCDFRSRDDDYETIAMSTMHTDVSKTSLKQASPVAFKKINNNDDNEKI</v>
      </c>
      <c r="F295" s="5" t="str">
        <f t="shared" si="101"/>
        <v>PLAMIFTLALAYGAVIILGVSGNLALIIIILKQ</v>
      </c>
      <c r="G295" s="4" t="str">
        <f t="shared" si="102"/>
        <v>KEMR</v>
      </c>
      <c r="H295" s="4" t="str">
        <f t="shared" si="103"/>
        <v>NVTNILIVNLSFSDLLVAIMCLPFTFVYTLMD</v>
      </c>
      <c r="I295" s="4" t="str">
        <f t="shared" si="104"/>
        <v>HWVF</v>
      </c>
      <c r="J295" s="4" t="str">
        <f t="shared" si="105"/>
        <v>GEAMCKLNPFVQCVSITVSIFSLVLIAVERHQLIIN</v>
      </c>
      <c r="K295" s="4" t="str">
        <f t="shared" si="106"/>
        <v/>
      </c>
      <c r="L295" s="4" t="str">
        <f t="shared" si="107"/>
        <v>NNRHAYVGIAVIWVLAVASSLPFLIYQ</v>
      </c>
      <c r="M295" s="4" t="str">
        <f t="shared" si="108"/>
        <v>CFD</v>
      </c>
      <c r="N295" s="4" t="str">
        <f t="shared" si="109"/>
        <v>SDSHRLSYTTLLLVLQYFGPLCFIFICYFKIYIRLKRRNNMMD</v>
      </c>
      <c r="O295" s="4" t="str">
        <f t="shared" si="110"/>
        <v>DNKYRSSETKRINIMLLSIVVAFAVCWLPLTIFNTVFDWN</v>
      </c>
      <c r="P295" s="4" t="str">
        <f t="shared" si="111"/>
        <v>TCNHNLLFLLCHLTAMISTCVNPIFYGFL</v>
      </c>
      <c r="Q295" s="4" t="str">
        <f t="shared" si="112"/>
        <v>NKNFQRDLQFFF</v>
      </c>
      <c r="R295" s="5">
        <f>VLOOKUP($A295,'SegEnds_NonXtal_Prot#'!$A:$AL,3,FALSE)</f>
        <v>36</v>
      </c>
      <c r="S295" s="5">
        <f>VLOOKUP($A295,'SegEnds_NonXtal_Prot#'!$A:$AL,6,FALSE)</f>
        <v>69</v>
      </c>
      <c r="T295" s="5">
        <f>VLOOKUP($A295,'SegEnds_NonXtal_Prot#'!$A:$AL,9,FALSE)</f>
        <v>73</v>
      </c>
      <c r="U295" s="5">
        <f>VLOOKUP($A295,'SegEnds_NonXtal_Prot#'!$A:$AL,12,FALSE)</f>
        <v>105</v>
      </c>
      <c r="V295" s="5">
        <f>VLOOKUP($A295,'SegEnds_NonXtal_Prot#'!$A:$AL,15,FALSE)</f>
        <v>109</v>
      </c>
      <c r="W295" s="5" t="str">
        <f>VLOOKUP($A295,'SegEnds_NonXtal_Prot#'!$A:$AL,18,FALSE)</f>
        <v>-</v>
      </c>
      <c r="X295" s="5">
        <f>VLOOKUP($A295,'SegEnds_NonXtal_Prot#'!$A:$AL,21,FALSE)</f>
        <v>151</v>
      </c>
      <c r="Y295" s="5">
        <f>VLOOKUP($A295,'SegEnds_NonXtal_Prot#'!$A:$AL,24,FALSE)</f>
        <v>198</v>
      </c>
      <c r="Z295" s="5">
        <f>VLOOKUP($A295,'SegEnds_NonXtal_Prot#'!$A:$AL,27,FALSE)</f>
        <v>204</v>
      </c>
      <c r="AA295" s="5">
        <f>VLOOKUP($A295,'SegEnds_NonXtal_Prot#'!$A:$AL,30,FALSE)</f>
        <v>250</v>
      </c>
      <c r="AB295" s="5">
        <f>VLOOKUP($A295,'SegEnds_NonXtal_Prot#'!$A:$AL,33,FALSE)</f>
        <v>295</v>
      </c>
      <c r="AC295" s="5">
        <f>VLOOKUP($A295,'SegEnds_NonXtal_Prot#'!$A:$AL,36,FALSE)</f>
        <v>324</v>
      </c>
      <c r="AD295" s="5">
        <f>VLOOKUP($A295,'SegEnds_NonXtal_Prot#'!$A:$AL,5,FALSE)</f>
        <v>68</v>
      </c>
      <c r="AE295" s="5">
        <f>VLOOKUP($A295,'SegEnds_NonXtal_Prot#'!$A:$AL,8,FALSE)</f>
        <v>72</v>
      </c>
      <c r="AF295" s="5">
        <f>VLOOKUP($A295,'SegEnds_NonXtal_Prot#'!$A:$AL,11,FALSE)</f>
        <v>104</v>
      </c>
      <c r="AG295" s="5">
        <f>VLOOKUP($A295,'SegEnds_NonXtal_Prot#'!$A:$AL,14,FALSE)</f>
        <v>108</v>
      </c>
      <c r="AH295" s="5">
        <f>VLOOKUP($A295,'SegEnds_NonXtal_Prot#'!$A:$AL,17,FALSE)</f>
        <v>144</v>
      </c>
      <c r="AI295" s="5" t="str">
        <f>VLOOKUP($A295,'SegEnds_NonXtal_Prot#'!$A:$AL,20,FALSE)</f>
        <v>-</v>
      </c>
      <c r="AJ295" s="5">
        <f>VLOOKUP($A295,'SegEnds_NonXtal_Prot#'!$A:$AL,23,FALSE)</f>
        <v>177</v>
      </c>
      <c r="AK295" s="5">
        <f>VLOOKUP($A295,'SegEnds_NonXtal_Prot#'!$A:$AL,26,FALSE)</f>
        <v>200</v>
      </c>
      <c r="AL295" s="5">
        <f>VLOOKUP($A295,'SegEnds_NonXtal_Prot#'!$A:$AL,29,FALSE)</f>
        <v>246</v>
      </c>
      <c r="AM295" s="5">
        <f>VLOOKUP($A295,'SegEnds_NonXtal_Prot#'!$A:$AL,32,FALSE)</f>
        <v>289</v>
      </c>
      <c r="AN295" s="5">
        <f>VLOOKUP($A295,'SegEnds_NonXtal_Prot#'!$A:$AL,35,FALSE)</f>
        <v>323</v>
      </c>
      <c r="AO295" s="5">
        <f>VLOOKUP($A295,'SegEnds_NonXtal_Prot#'!$A:$AL,38,FALSE)</f>
        <v>335</v>
      </c>
      <c r="AP295" s="5">
        <f t="shared" si="113"/>
        <v>32</v>
      </c>
      <c r="AQ295" s="4">
        <f t="shared" si="114"/>
        <v>3</v>
      </c>
      <c r="AR295" s="4">
        <f t="shared" si="115"/>
        <v>31</v>
      </c>
      <c r="AS295" s="4">
        <f t="shared" si="116"/>
        <v>3</v>
      </c>
      <c r="AT295" s="4">
        <f t="shared" si="117"/>
        <v>35</v>
      </c>
      <c r="AU295" s="4" t="str">
        <f t="shared" si="118"/>
        <v>-</v>
      </c>
      <c r="AV295" s="4">
        <f t="shared" si="119"/>
        <v>26</v>
      </c>
      <c r="AW295" s="4">
        <f t="shared" si="120"/>
        <v>2</v>
      </c>
      <c r="AX295" s="4">
        <f t="shared" si="121"/>
        <v>42</v>
      </c>
      <c r="AY295" s="4">
        <f t="shared" si="122"/>
        <v>39</v>
      </c>
      <c r="AZ295" s="4">
        <f t="shared" si="123"/>
        <v>28</v>
      </c>
      <c r="BA295" s="4">
        <f t="shared" si="124"/>
        <v>11</v>
      </c>
    </row>
    <row r="296" spans="1:53" x14ac:dyDescent="0.2">
      <c r="A296" s="1" t="str">
        <f>'SegEnds_NonXtal_Prot#'!A288</f>
        <v>npy2r_human</v>
      </c>
      <c r="B296" s="1" t="str">
        <f t="shared" si="100"/>
        <v>VQVVLILAYCSIILLGVIGNSLVIHVVIKFTVTNFFIANLAVADLLVNTLCLPFTLTYTLMGGPVLCHLVPYAQGLAVQVSTITLTVIALDRHRCIVYSKRISFLIIGLAWGISALLASPLAIFRIYGTVYSLSSLLILYVLPLGIISFSYTRIWSKLKNHVSPGDHYHQRRQKTTKMLVCVVVVFAVSWLPLHAFQLAVDIDDLKEYKLIFTVFHIIAMCSTFANPLLYGWMNSNYRKAFLSAF</v>
      </c>
      <c r="C296" s="29" t="str">
        <f>IF(ISERROR(MATCH(A296,'SegEnds_Xtal_Prot#'!B:B, 0)), "NoXtal", "Xtal")</f>
        <v>NoXtal</v>
      </c>
      <c r="D296" s="4" t="str">
        <f>VLOOKUP(A296,Classification!A:D,2,FALSE)</f>
        <v>A</v>
      </c>
      <c r="E296" s="5" t="str">
        <f>VLOOKUP(A296,Seqs!A:B,2,FALSE)</f>
        <v>MGPIGAEADENQTVEEMKVEQYGPQTTPRGELVPDPEPELIDSTKLIEVQVVLILAYCSIILLGVIGNSLVIHVVIKFKSMRTVTNFFIANLAVADLLVNTLCLPFTLTYTLMGEWKMGPVLCHLVPYAQGLAVQVSTITLTVIALDRHRCIVYHLESKISKRISFLIIGLAWGISALLASPLAIFREYSLIEIIPDFEIVACTEKWPGEEKSIYGTVYSLSSLLILYVLPLGIISFSYTRIWSKLKNHVSPGAANDHYHQRRQKTTKMLVCVVVVFAVSWLPLHAFQLAVDIDSQVLDLKEYKLIFTVFHIIAMCSTFANPLLYGWMNSNYRKAFLSAFRCEQRLDAIHSEVSVTFKAKKNLEVRKNSGPNDSFTEATNV</v>
      </c>
      <c r="F296" s="5" t="str">
        <f t="shared" si="101"/>
        <v>VQVVLILAYCSIILLGVIGNSLVIHVVIKF</v>
      </c>
      <c r="G296" s="4" t="str">
        <f t="shared" si="102"/>
        <v>KSMR</v>
      </c>
      <c r="H296" s="4" t="str">
        <f t="shared" si="103"/>
        <v>TVTNFFIANLAVADLLVNTLCLPFTLTYTLMG</v>
      </c>
      <c r="I296" s="4" t="str">
        <f t="shared" si="104"/>
        <v>EWKM</v>
      </c>
      <c r="J296" s="4" t="str">
        <f t="shared" si="105"/>
        <v>GPVLCHLVPYAQGLAVQVSTITLTVIALDRHRCIVY</v>
      </c>
      <c r="K296" s="4" t="str">
        <f t="shared" si="106"/>
        <v/>
      </c>
      <c r="L296" s="4" t="str">
        <f t="shared" si="107"/>
        <v>SKRISFLIIGLAWGISALLASPLAIFR</v>
      </c>
      <c r="M296" s="4" t="str">
        <f t="shared" si="108"/>
        <v>CTE</v>
      </c>
      <c r="N296" s="4" t="str">
        <f t="shared" si="109"/>
        <v>IYGTVYSLSSLLILYVLPLGIISFSYTRIWSKLKNHVSPG</v>
      </c>
      <c r="O296" s="4" t="str">
        <f t="shared" si="110"/>
        <v>DHYHQRRQKTTKMLVCVVVVFAVSWLPLHAFQLAVDID</v>
      </c>
      <c r="P296" s="4" t="str">
        <f t="shared" si="111"/>
        <v>DLKEYKLIFTVFHIIAMCSTFANPLLYGWM</v>
      </c>
      <c r="Q296" s="4" t="str">
        <f t="shared" si="112"/>
        <v>NSNYRKAFLSAF</v>
      </c>
      <c r="R296" s="5">
        <f>VLOOKUP($A296,'SegEnds_NonXtal_Prot#'!$A:$AL,3,FALSE)</f>
        <v>49</v>
      </c>
      <c r="S296" s="5">
        <f>VLOOKUP($A296,'SegEnds_NonXtal_Prot#'!$A:$AL,6,FALSE)</f>
        <v>79</v>
      </c>
      <c r="T296" s="5">
        <f>VLOOKUP($A296,'SegEnds_NonXtal_Prot#'!$A:$AL,9,FALSE)</f>
        <v>83</v>
      </c>
      <c r="U296" s="5">
        <f>VLOOKUP($A296,'SegEnds_NonXtal_Prot#'!$A:$AL,12,FALSE)</f>
        <v>115</v>
      </c>
      <c r="V296" s="5">
        <f>VLOOKUP($A296,'SegEnds_NonXtal_Prot#'!$A:$AL,15,FALSE)</f>
        <v>119</v>
      </c>
      <c r="W296" s="5" t="str">
        <f>VLOOKUP($A296,'SegEnds_NonXtal_Prot#'!$A:$AL,18,FALSE)</f>
        <v>-</v>
      </c>
      <c r="X296" s="5">
        <f>VLOOKUP($A296,'SegEnds_NonXtal_Prot#'!$A:$AL,21,FALSE)</f>
        <v>161</v>
      </c>
      <c r="Y296" s="5">
        <f>VLOOKUP($A296,'SegEnds_NonXtal_Prot#'!$A:$AL,24,FALSE)</f>
        <v>203</v>
      </c>
      <c r="Z296" s="5">
        <f>VLOOKUP($A296,'SegEnds_NonXtal_Prot#'!$A:$AL,27,FALSE)</f>
        <v>214</v>
      </c>
      <c r="AA296" s="5">
        <f>VLOOKUP($A296,'SegEnds_NonXtal_Prot#'!$A:$AL,30,FALSE)</f>
        <v>257</v>
      </c>
      <c r="AB296" s="5">
        <f>VLOOKUP($A296,'SegEnds_NonXtal_Prot#'!$A:$AL,33,FALSE)</f>
        <v>299</v>
      </c>
      <c r="AC296" s="5">
        <f>VLOOKUP($A296,'SegEnds_NonXtal_Prot#'!$A:$AL,36,FALSE)</f>
        <v>329</v>
      </c>
      <c r="AD296" s="5">
        <f>VLOOKUP($A296,'SegEnds_NonXtal_Prot#'!$A:$AL,5,FALSE)</f>
        <v>78</v>
      </c>
      <c r="AE296" s="5">
        <f>VLOOKUP($A296,'SegEnds_NonXtal_Prot#'!$A:$AL,8,FALSE)</f>
        <v>82</v>
      </c>
      <c r="AF296" s="5">
        <f>VLOOKUP($A296,'SegEnds_NonXtal_Prot#'!$A:$AL,11,FALSE)</f>
        <v>114</v>
      </c>
      <c r="AG296" s="5">
        <f>VLOOKUP($A296,'SegEnds_NonXtal_Prot#'!$A:$AL,14,FALSE)</f>
        <v>118</v>
      </c>
      <c r="AH296" s="5">
        <f>VLOOKUP($A296,'SegEnds_NonXtal_Prot#'!$A:$AL,17,FALSE)</f>
        <v>154</v>
      </c>
      <c r="AI296" s="5" t="str">
        <f>VLOOKUP($A296,'SegEnds_NonXtal_Prot#'!$A:$AL,20,FALSE)</f>
        <v>-</v>
      </c>
      <c r="AJ296" s="5">
        <f>VLOOKUP($A296,'SegEnds_NonXtal_Prot#'!$A:$AL,23,FALSE)</f>
        <v>187</v>
      </c>
      <c r="AK296" s="5">
        <f>VLOOKUP($A296,'SegEnds_NonXtal_Prot#'!$A:$AL,26,FALSE)</f>
        <v>205</v>
      </c>
      <c r="AL296" s="5">
        <f>VLOOKUP($A296,'SegEnds_NonXtal_Prot#'!$A:$AL,29,FALSE)</f>
        <v>253</v>
      </c>
      <c r="AM296" s="5">
        <f>VLOOKUP($A296,'SegEnds_NonXtal_Prot#'!$A:$AL,32,FALSE)</f>
        <v>294</v>
      </c>
      <c r="AN296" s="5">
        <f>VLOOKUP($A296,'SegEnds_NonXtal_Prot#'!$A:$AL,35,FALSE)</f>
        <v>328</v>
      </c>
      <c r="AO296" s="5">
        <f>VLOOKUP($A296,'SegEnds_NonXtal_Prot#'!$A:$AL,38,FALSE)</f>
        <v>340</v>
      </c>
      <c r="AP296" s="5">
        <f t="shared" si="113"/>
        <v>29</v>
      </c>
      <c r="AQ296" s="4">
        <f t="shared" si="114"/>
        <v>3</v>
      </c>
      <c r="AR296" s="4">
        <f t="shared" si="115"/>
        <v>31</v>
      </c>
      <c r="AS296" s="4">
        <f t="shared" si="116"/>
        <v>3</v>
      </c>
      <c r="AT296" s="4">
        <f t="shared" si="117"/>
        <v>35</v>
      </c>
      <c r="AU296" s="4" t="str">
        <f t="shared" si="118"/>
        <v>-</v>
      </c>
      <c r="AV296" s="4">
        <f t="shared" si="119"/>
        <v>26</v>
      </c>
      <c r="AW296" s="4">
        <f t="shared" si="120"/>
        <v>2</v>
      </c>
      <c r="AX296" s="4">
        <f t="shared" si="121"/>
        <v>39</v>
      </c>
      <c r="AY296" s="4">
        <f t="shared" si="122"/>
        <v>37</v>
      </c>
      <c r="AZ296" s="4">
        <f t="shared" si="123"/>
        <v>29</v>
      </c>
      <c r="BA296" s="4">
        <f t="shared" si="124"/>
        <v>11</v>
      </c>
    </row>
    <row r="297" spans="1:53" x14ac:dyDescent="0.2">
      <c r="A297" s="1" t="str">
        <f>'SegEnds_NonXtal_Prot#'!A289</f>
        <v>npy4r_human</v>
      </c>
      <c r="B297" s="1" t="str">
        <f t="shared" si="100"/>
        <v>SVDVMVFIVTSYSIETVVGVLGNLCLMCVTVRQNVTNLLIANLAFSDFLMCLLCQPLTAVYTIMDGETLCKMSAFIQCMSVTVSILSLVLVALERHQLIINSISQAYLGIVLIWVIACVLSLPFLANSLAHHRTIYTTFLLLFQYCLPLGFILVCYARIYRRLQRQGRVFSLRAGHMKQVNVVLVVMVVAFAVLWLPLHVFNSLEDWHICHGNLIFLVCHLLAMASTCVNPFIYGFLNTNFKKEIKALV</v>
      </c>
      <c r="C297" s="29" t="str">
        <f>IF(ISERROR(MATCH(A297,'SegEnds_Xtal_Prot#'!B:B, 0)), "NoXtal", "Xtal")</f>
        <v>NoXtal</v>
      </c>
      <c r="D297" s="4" t="str">
        <f>VLOOKUP(A297,Classification!A:D,2,FALSE)</f>
        <v>A</v>
      </c>
      <c r="E297" s="5" t="str">
        <f>VLOOKUP(A297,Seqs!A:B,2,FALSE)</f>
        <v>MNTSHLLALLLPKSPQGENRSKPLGTPYNFSEHCQDSVDVMVFIVTSYSIETVVGVLGNLCLMCVTVRQKEKANVTNLLIANLAFSDFLMCLLCQPLTAVYTIMDYWIFGETLCKMSAFIQCMSVTVSILSLVLVALERHQLIINPTGWKPSISQAYLGIVLIWVIACVLSLPFLANSILENVFHKNHSKALEFLADKVVCTESWPLAHHRTIYTTFLLLFQYCLPLGFILVCYARIYRRLQRQGRVFHKGTYSLRAGHMKQVNVVLVVMVVAFAVLWLPLHVFNSLEDWHHEAIPICHGNLIFLVCHLLAMASTCVNPFIYGFLNTNFKKEIKALVLTCQQSAPLEESEHLPLSTVHTEVSKGSLRLSGRSNPI</v>
      </c>
      <c r="F297" s="5" t="str">
        <f t="shared" si="101"/>
        <v>SVDVMVFIVTSYSIETVVGVLGNLCLMCVTVRQ</v>
      </c>
      <c r="G297" s="4" t="str">
        <f t="shared" si="102"/>
        <v>KEKA</v>
      </c>
      <c r="H297" s="4" t="str">
        <f t="shared" si="103"/>
        <v>NVTNLLIANLAFSDFLMCLLCQPLTAVYTIMD</v>
      </c>
      <c r="I297" s="4" t="str">
        <f t="shared" si="104"/>
        <v>YWIF</v>
      </c>
      <c r="J297" s="4" t="str">
        <f t="shared" si="105"/>
        <v>GETLCKMSAFIQCMSVTVSILSLVLVALERHQLIIN</v>
      </c>
      <c r="K297" s="4" t="str">
        <f t="shared" si="106"/>
        <v/>
      </c>
      <c r="L297" s="4" t="str">
        <f t="shared" si="107"/>
        <v>SISQAYLGIVLIWVIACVLSLPFLANS</v>
      </c>
      <c r="M297" s="4" t="str">
        <f t="shared" si="108"/>
        <v>CTE</v>
      </c>
      <c r="N297" s="4" t="str">
        <f t="shared" si="109"/>
        <v>LAHHRTIYTTFLLLFQYCLPLGFILVCYARIYRRLQRQGRVF</v>
      </c>
      <c r="O297" s="4" t="str">
        <f t="shared" si="110"/>
        <v>SLRAGHMKQVNVVLVVMVVAFAVLWLPLHVFNSLEDWH</v>
      </c>
      <c r="P297" s="4" t="str">
        <f t="shared" si="111"/>
        <v>ICHGNLIFLVCHLLAMASTCVNPFIYGFL</v>
      </c>
      <c r="Q297" s="4" t="str">
        <f t="shared" si="112"/>
        <v>NTNFKKEIKALV</v>
      </c>
      <c r="R297" s="5">
        <f>VLOOKUP($A297,'SegEnds_NonXtal_Prot#'!$A:$AL,3,FALSE)</f>
        <v>37</v>
      </c>
      <c r="S297" s="5">
        <f>VLOOKUP($A297,'SegEnds_NonXtal_Prot#'!$A:$AL,6,FALSE)</f>
        <v>70</v>
      </c>
      <c r="T297" s="5">
        <f>VLOOKUP($A297,'SegEnds_NonXtal_Prot#'!$A:$AL,9,FALSE)</f>
        <v>74</v>
      </c>
      <c r="U297" s="5">
        <f>VLOOKUP($A297,'SegEnds_NonXtal_Prot#'!$A:$AL,12,FALSE)</f>
        <v>106</v>
      </c>
      <c r="V297" s="5">
        <f>VLOOKUP($A297,'SegEnds_NonXtal_Prot#'!$A:$AL,15,FALSE)</f>
        <v>110</v>
      </c>
      <c r="W297" s="5" t="str">
        <f>VLOOKUP($A297,'SegEnds_NonXtal_Prot#'!$A:$AL,18,FALSE)</f>
        <v>-</v>
      </c>
      <c r="X297" s="5">
        <f>VLOOKUP($A297,'SegEnds_NonXtal_Prot#'!$A:$AL,21,FALSE)</f>
        <v>152</v>
      </c>
      <c r="Y297" s="5">
        <f>VLOOKUP($A297,'SegEnds_NonXtal_Prot#'!$A:$AL,24,FALSE)</f>
        <v>201</v>
      </c>
      <c r="Z297" s="5">
        <f>VLOOKUP($A297,'SegEnds_NonXtal_Prot#'!$A:$AL,27,FALSE)</f>
        <v>207</v>
      </c>
      <c r="AA297" s="5">
        <f>VLOOKUP($A297,'SegEnds_NonXtal_Prot#'!$A:$AL,30,FALSE)</f>
        <v>254</v>
      </c>
      <c r="AB297" s="5">
        <f>VLOOKUP($A297,'SegEnds_NonXtal_Prot#'!$A:$AL,33,FALSE)</f>
        <v>297</v>
      </c>
      <c r="AC297" s="5">
        <f>VLOOKUP($A297,'SegEnds_NonXtal_Prot#'!$A:$AL,36,FALSE)</f>
        <v>326</v>
      </c>
      <c r="AD297" s="5">
        <f>VLOOKUP($A297,'SegEnds_NonXtal_Prot#'!$A:$AL,5,FALSE)</f>
        <v>69</v>
      </c>
      <c r="AE297" s="5">
        <f>VLOOKUP($A297,'SegEnds_NonXtal_Prot#'!$A:$AL,8,FALSE)</f>
        <v>73</v>
      </c>
      <c r="AF297" s="5">
        <f>VLOOKUP($A297,'SegEnds_NonXtal_Prot#'!$A:$AL,11,FALSE)</f>
        <v>105</v>
      </c>
      <c r="AG297" s="5">
        <f>VLOOKUP($A297,'SegEnds_NonXtal_Prot#'!$A:$AL,14,FALSE)</f>
        <v>109</v>
      </c>
      <c r="AH297" s="5">
        <f>VLOOKUP($A297,'SegEnds_NonXtal_Prot#'!$A:$AL,17,FALSE)</f>
        <v>145</v>
      </c>
      <c r="AI297" s="5" t="str">
        <f>VLOOKUP($A297,'SegEnds_NonXtal_Prot#'!$A:$AL,20,FALSE)</f>
        <v>-</v>
      </c>
      <c r="AJ297" s="5">
        <f>VLOOKUP($A297,'SegEnds_NonXtal_Prot#'!$A:$AL,23,FALSE)</f>
        <v>178</v>
      </c>
      <c r="AK297" s="5">
        <f>VLOOKUP($A297,'SegEnds_NonXtal_Prot#'!$A:$AL,26,FALSE)</f>
        <v>203</v>
      </c>
      <c r="AL297" s="5">
        <f>VLOOKUP($A297,'SegEnds_NonXtal_Prot#'!$A:$AL,29,FALSE)</f>
        <v>248</v>
      </c>
      <c r="AM297" s="5">
        <f>VLOOKUP($A297,'SegEnds_NonXtal_Prot#'!$A:$AL,32,FALSE)</f>
        <v>291</v>
      </c>
      <c r="AN297" s="5">
        <f>VLOOKUP($A297,'SegEnds_NonXtal_Prot#'!$A:$AL,35,FALSE)</f>
        <v>325</v>
      </c>
      <c r="AO297" s="5">
        <f>VLOOKUP($A297,'SegEnds_NonXtal_Prot#'!$A:$AL,38,FALSE)</f>
        <v>337</v>
      </c>
      <c r="AP297" s="5">
        <f t="shared" si="113"/>
        <v>32</v>
      </c>
      <c r="AQ297" s="4">
        <f t="shared" si="114"/>
        <v>3</v>
      </c>
      <c r="AR297" s="4">
        <f t="shared" si="115"/>
        <v>31</v>
      </c>
      <c r="AS297" s="4">
        <f t="shared" si="116"/>
        <v>3</v>
      </c>
      <c r="AT297" s="4">
        <f t="shared" si="117"/>
        <v>35</v>
      </c>
      <c r="AU297" s="4" t="str">
        <f t="shared" si="118"/>
        <v>-</v>
      </c>
      <c r="AV297" s="4">
        <f t="shared" si="119"/>
        <v>26</v>
      </c>
      <c r="AW297" s="4">
        <f t="shared" si="120"/>
        <v>2</v>
      </c>
      <c r="AX297" s="4">
        <f t="shared" si="121"/>
        <v>41</v>
      </c>
      <c r="AY297" s="4">
        <f t="shared" si="122"/>
        <v>37</v>
      </c>
      <c r="AZ297" s="4">
        <f t="shared" si="123"/>
        <v>28</v>
      </c>
      <c r="BA297" s="4">
        <f t="shared" si="124"/>
        <v>11</v>
      </c>
    </row>
    <row r="298" spans="1:53" x14ac:dyDescent="0.2">
      <c r="A298" s="1" t="str">
        <f>'SegEnds_NonXtal_Prot#'!A290</f>
        <v>npy5r_human</v>
      </c>
      <c r="B298" s="1" t="str">
        <f t="shared" si="100"/>
        <v>VDDLQYFLIGLYTFVSLLGFMGNLLILMALMKKTTVNFLIGNLAFSDILVVLFCSPFTLTSVLLDGKVMCHIMPFLQCVSVLVSTLILISIAIVRYHMIKHTANHGYFLIATVWTLGFAICSPLPVFHSDSYRIAFTISLLLVQYILPLVCLTVSHTSVCRSISCGLSNKENRLTRIKKRSRSVFYRLTILILVFAVSWMPLHLFHVVTDFNNRHFKLVYCICHLLGMMSCCLNPILYGFLNNGIKADLVSLI</v>
      </c>
      <c r="C298" s="29" t="str">
        <f>IF(ISERROR(MATCH(A298,'SegEnds_Xtal_Prot#'!B:B, 0)), "NoXtal", "Xtal")</f>
        <v>NoXtal</v>
      </c>
      <c r="D298" s="4" t="str">
        <f>VLOOKUP(A298,Classification!A:D,2,FALSE)</f>
        <v>A</v>
      </c>
      <c r="E298" s="5" t="str">
        <f>VLOOKUP(A298,Seqs!A:B,2,FALSE)</f>
        <v>MDLELDEYYNKTLATENNTAATRNSDFPVWDDYKSSVDDLQYFLIGLYTFVSLLGFMGNLLILMALMKKRNQKTTVNFLIGNLAFSDILVVLFCSPFTLTSVLLDQWMFGKVMCHIMPFLQCVSVLVSTLILISIAIVRYHMIKHPISNNLTANHGYFLIATVWTLGFAICSPLPVFHSLVELQETFGSALLSSRYLCVESWPSDSYRIAFTISLLLVQYILPLVCLTVSHTSVCRSISCGLSNKENRLEENEMINLTLHPSKKSGPQVKLSGSHKWSYSFIKKHRRRYSKKTACVLPAPERPSQENHSRILPENFGSVRSQLSSSSKFIPGVPTCFEIKPEENSDVHELRVKRSVTRIKKRSRSVFYRLTILILVFAVSWMPLHLFHVVTDFNDNLISNRHFKLVYCICHLLGMMSCCLNPILYGFLNNGIKADLVSLIHCLHM</v>
      </c>
      <c r="F298" s="5" t="str">
        <f t="shared" si="101"/>
        <v>VDDLQYFLIGLYTFVSLLGFMGNLLILMALMKK</v>
      </c>
      <c r="G298" s="4" t="str">
        <f t="shared" si="102"/>
        <v>RNQK</v>
      </c>
      <c r="H298" s="4" t="str">
        <f t="shared" si="103"/>
        <v>TTVNFLIGNLAFSDILVVLFCSPFTLTSVLLD</v>
      </c>
      <c r="I298" s="4" t="str">
        <f t="shared" si="104"/>
        <v>QWMF</v>
      </c>
      <c r="J298" s="4" t="str">
        <f t="shared" si="105"/>
        <v>GKVMCHIMPFLQCVSVLVSTLILISIAIVRYHMIKH</v>
      </c>
      <c r="K298" s="4" t="str">
        <f t="shared" si="106"/>
        <v/>
      </c>
      <c r="L298" s="4" t="str">
        <f t="shared" si="107"/>
        <v>TANHGYFLIATVWTLGFAICSPLPVFH</v>
      </c>
      <c r="M298" s="4" t="str">
        <f t="shared" si="108"/>
        <v>CVE</v>
      </c>
      <c r="N298" s="4" t="str">
        <f t="shared" si="109"/>
        <v>SDSYRIAFTISLLLVQYILPLVCLTVSHTSVCRSISCGLSNKENRL</v>
      </c>
      <c r="O298" s="4" t="str">
        <f t="shared" si="110"/>
        <v>TRIKKRSRSVFYRLTILILVFAVSWMPLHLFHVVTDFN</v>
      </c>
      <c r="P298" s="4" t="str">
        <f t="shared" si="111"/>
        <v>NRHFKLVYCICHLLGMMSCCLNPILYGFL</v>
      </c>
      <c r="Q298" s="4" t="str">
        <f t="shared" si="112"/>
        <v>NNGIKADLVSLI</v>
      </c>
      <c r="R298" s="5">
        <f>VLOOKUP($A298,'SegEnds_NonXtal_Prot#'!$A:$AL,3,FALSE)</f>
        <v>37</v>
      </c>
      <c r="S298" s="5">
        <f>VLOOKUP($A298,'SegEnds_NonXtal_Prot#'!$A:$AL,6,FALSE)</f>
        <v>70</v>
      </c>
      <c r="T298" s="5">
        <f>VLOOKUP($A298,'SegEnds_NonXtal_Prot#'!$A:$AL,9,FALSE)</f>
        <v>74</v>
      </c>
      <c r="U298" s="5">
        <f>VLOOKUP($A298,'SegEnds_NonXtal_Prot#'!$A:$AL,12,FALSE)</f>
        <v>106</v>
      </c>
      <c r="V298" s="5">
        <f>VLOOKUP($A298,'SegEnds_NonXtal_Prot#'!$A:$AL,15,FALSE)</f>
        <v>110</v>
      </c>
      <c r="W298" s="5" t="str">
        <f>VLOOKUP($A298,'SegEnds_NonXtal_Prot#'!$A:$AL,18,FALSE)</f>
        <v>-</v>
      </c>
      <c r="X298" s="5">
        <f>VLOOKUP($A298,'SegEnds_NonXtal_Prot#'!$A:$AL,21,FALSE)</f>
        <v>152</v>
      </c>
      <c r="Y298" s="5">
        <f>VLOOKUP($A298,'SegEnds_NonXtal_Prot#'!$A:$AL,24,FALSE)</f>
        <v>198</v>
      </c>
      <c r="Z298" s="5">
        <f>VLOOKUP($A298,'SegEnds_NonXtal_Prot#'!$A:$AL,27,FALSE)</f>
        <v>204</v>
      </c>
      <c r="AA298" s="5">
        <f>VLOOKUP($A298,'SegEnds_NonXtal_Prot#'!$A:$AL,30,FALSE)</f>
        <v>357</v>
      </c>
      <c r="AB298" s="5">
        <f>VLOOKUP($A298,'SegEnds_NonXtal_Prot#'!$A:$AL,33,FALSE)</f>
        <v>400</v>
      </c>
      <c r="AC298" s="5">
        <f>VLOOKUP($A298,'SegEnds_NonXtal_Prot#'!$A:$AL,36,FALSE)</f>
        <v>429</v>
      </c>
      <c r="AD298" s="5">
        <f>VLOOKUP($A298,'SegEnds_NonXtal_Prot#'!$A:$AL,5,FALSE)</f>
        <v>69</v>
      </c>
      <c r="AE298" s="5">
        <f>VLOOKUP($A298,'SegEnds_NonXtal_Prot#'!$A:$AL,8,FALSE)</f>
        <v>73</v>
      </c>
      <c r="AF298" s="5">
        <f>VLOOKUP($A298,'SegEnds_NonXtal_Prot#'!$A:$AL,11,FALSE)</f>
        <v>105</v>
      </c>
      <c r="AG298" s="5">
        <f>VLOOKUP($A298,'SegEnds_NonXtal_Prot#'!$A:$AL,14,FALSE)</f>
        <v>109</v>
      </c>
      <c r="AH298" s="5">
        <f>VLOOKUP($A298,'SegEnds_NonXtal_Prot#'!$A:$AL,17,FALSE)</f>
        <v>145</v>
      </c>
      <c r="AI298" s="5" t="str">
        <f>VLOOKUP($A298,'SegEnds_NonXtal_Prot#'!$A:$AL,20,FALSE)</f>
        <v>-</v>
      </c>
      <c r="AJ298" s="5">
        <f>VLOOKUP($A298,'SegEnds_NonXtal_Prot#'!$A:$AL,23,FALSE)</f>
        <v>178</v>
      </c>
      <c r="AK298" s="5">
        <f>VLOOKUP($A298,'SegEnds_NonXtal_Prot#'!$A:$AL,26,FALSE)</f>
        <v>200</v>
      </c>
      <c r="AL298" s="5">
        <f>VLOOKUP($A298,'SegEnds_NonXtal_Prot#'!$A:$AL,29,FALSE)</f>
        <v>249</v>
      </c>
      <c r="AM298" s="5">
        <f>VLOOKUP($A298,'SegEnds_NonXtal_Prot#'!$A:$AL,32,FALSE)</f>
        <v>394</v>
      </c>
      <c r="AN298" s="5">
        <f>VLOOKUP($A298,'SegEnds_NonXtal_Prot#'!$A:$AL,35,FALSE)</f>
        <v>428</v>
      </c>
      <c r="AO298" s="5">
        <f>VLOOKUP($A298,'SegEnds_NonXtal_Prot#'!$A:$AL,38,FALSE)</f>
        <v>440</v>
      </c>
      <c r="AP298" s="5">
        <f t="shared" si="113"/>
        <v>32</v>
      </c>
      <c r="AQ298" s="4">
        <f t="shared" si="114"/>
        <v>3</v>
      </c>
      <c r="AR298" s="4">
        <f t="shared" si="115"/>
        <v>31</v>
      </c>
      <c r="AS298" s="4">
        <f t="shared" si="116"/>
        <v>3</v>
      </c>
      <c r="AT298" s="4">
        <f t="shared" si="117"/>
        <v>35</v>
      </c>
      <c r="AU298" s="4" t="str">
        <f t="shared" si="118"/>
        <v>-</v>
      </c>
      <c r="AV298" s="4">
        <f t="shared" si="119"/>
        <v>26</v>
      </c>
      <c r="AW298" s="4">
        <f t="shared" si="120"/>
        <v>2</v>
      </c>
      <c r="AX298" s="4">
        <f t="shared" si="121"/>
        <v>45</v>
      </c>
      <c r="AY298" s="4">
        <f t="shared" si="122"/>
        <v>37</v>
      </c>
      <c r="AZ298" s="4">
        <f t="shared" si="123"/>
        <v>28</v>
      </c>
      <c r="BA298" s="4">
        <f t="shared" si="124"/>
        <v>11</v>
      </c>
    </row>
    <row r="299" spans="1:53" x14ac:dyDescent="0.2">
      <c r="A299" s="1" t="str">
        <f>'SegEnds_NonXtal_Prot#'!A291</f>
        <v>npy6r_human</v>
      </c>
      <c r="B299" s="1" t="str">
        <f t="shared" si="100"/>
        <v>PSPALLLLCIAYTVVLIVGLFGNLSLIIIIFKKNFTSILIANLSLSDTLVCVMCIHFTIIYTLMDGDTMCRLTSYVQSVSISVSIFSLVFTAVERYQLIVNSVTHAYWGITLIWLFSLLLSIPFFLSYSKKDRLLFTTSLFLLQYFVPLGFILICYLKIVICLRRRNAKVDENEGRLNENKRINTMLISIVVTFGACWLPRISSMSSLTGI</v>
      </c>
      <c r="C299" s="29" t="str">
        <f>IF(ISERROR(MATCH(A299,'SegEnds_Xtal_Prot#'!B:B, 0)), "NoXtal", "Xtal")</f>
        <v>NoXtal</v>
      </c>
      <c r="D299" s="4" t="str">
        <f>VLOOKUP(A299,Classification!A:D,2,FALSE)</f>
        <v>A</v>
      </c>
      <c r="E299" s="5" t="str">
        <f>VLOOKUP(A299,Seqs!A:B,2,FALSE)</f>
        <v>MEVSLNHPASNTTSTKNNNSAFFYFESCQPPSPALLLLCIAYTVVLIVGLFGNLSLIIIIFKKQRKAQNFTSILIANLSLSDTLVCVMCIHFTIIYTLMDHWIFGDTMCRLTSYVQSVSISVSIFSLVFTAVERYQLIVNPRGWKPSVTHAYWGITLIWLFSLLLSIPFFLSYHLTDEPFRNLSLPTDLYTHQVACVENWPSKKDRLLFTTSLFLLQYFVPLGFILICYLKIVICLRRRNAKVDKKKENEGRLNENKRINTMLISIVVTFGACWLPRISSMSSLTGIMRC</v>
      </c>
      <c r="F299" s="5" t="str">
        <f t="shared" si="101"/>
        <v>PSPALLLLCIAYTVVLIVGLFGNLSLIIIIFKK</v>
      </c>
      <c r="G299" s="4" t="str">
        <f t="shared" si="102"/>
        <v>RKAQ</v>
      </c>
      <c r="H299" s="4" t="str">
        <f t="shared" si="103"/>
        <v>NFTSILIANLSLSDTLVCVMCIHFTIIYTLMD</v>
      </c>
      <c r="I299" s="4" t="str">
        <f t="shared" si="104"/>
        <v>HWIF</v>
      </c>
      <c r="J299" s="4" t="str">
        <f t="shared" si="105"/>
        <v>GDTMCRLTSYVQSVSISVSIFSLVFTAVERYQLIVN</v>
      </c>
      <c r="K299" s="4" t="str">
        <f t="shared" si="106"/>
        <v/>
      </c>
      <c r="L299" s="4" t="str">
        <f t="shared" si="107"/>
        <v>SVTHAYWGITLIWLFSLLLSIPFFLSY</v>
      </c>
      <c r="M299" s="4" t="str">
        <f t="shared" si="108"/>
        <v/>
      </c>
      <c r="N299" s="4" t="str">
        <f t="shared" si="109"/>
        <v>SKKDRLLFTTSLFLLQYFVPLGFILICYLKIVICLRRRNAKVD</v>
      </c>
      <c r="O299" s="4" t="str">
        <f t="shared" si="110"/>
        <v>ENEGRLNENKRINTMLISIVVTFGACWLPRISSMSSLTGI</v>
      </c>
      <c r="P299" s="4" t="str">
        <f t="shared" si="111"/>
        <v/>
      </c>
      <c r="Q299" s="4" t="str">
        <f t="shared" si="112"/>
        <v/>
      </c>
      <c r="R299" s="5">
        <f>VLOOKUP($A299,'SegEnds_NonXtal_Prot#'!$A:$AL,3,FALSE)</f>
        <v>31</v>
      </c>
      <c r="S299" s="5">
        <f>VLOOKUP($A299,'SegEnds_NonXtal_Prot#'!$A:$AL,6,FALSE)</f>
        <v>65</v>
      </c>
      <c r="T299" s="5">
        <f>VLOOKUP($A299,'SegEnds_NonXtal_Prot#'!$A:$AL,9,FALSE)</f>
        <v>69</v>
      </c>
      <c r="U299" s="5">
        <f>VLOOKUP($A299,'SegEnds_NonXtal_Prot#'!$A:$AL,12,FALSE)</f>
        <v>101</v>
      </c>
      <c r="V299" s="5">
        <f>VLOOKUP($A299,'SegEnds_NonXtal_Prot#'!$A:$AL,15,FALSE)</f>
        <v>105</v>
      </c>
      <c r="W299" s="5" t="str">
        <f>VLOOKUP($A299,'SegEnds_NonXtal_Prot#'!$A:$AL,18,FALSE)</f>
        <v>-</v>
      </c>
      <c r="X299" s="5">
        <f>VLOOKUP($A299,'SegEnds_NonXtal_Prot#'!$A:$AL,21,FALSE)</f>
        <v>147</v>
      </c>
      <c r="Y299" s="5" t="str">
        <f>VLOOKUP($A299,'SegEnds_NonXtal_Prot#'!$A:$AL,24,FALSE)</f>
        <v>-</v>
      </c>
      <c r="Z299" s="5">
        <f>VLOOKUP($A299,'SegEnds_NonXtal_Prot#'!$A:$AL,27,FALSE)</f>
        <v>202</v>
      </c>
      <c r="AA299" s="5">
        <f>VLOOKUP($A299,'SegEnds_NonXtal_Prot#'!$A:$AL,30,FALSE)</f>
        <v>248</v>
      </c>
      <c r="AB299" s="5" t="str">
        <f>VLOOKUP($A299,'SegEnds_NonXtal_Prot#'!$A:$AL,33,FALSE)</f>
        <v>-</v>
      </c>
      <c r="AC299" s="5" t="str">
        <f>VLOOKUP($A299,'SegEnds_NonXtal_Prot#'!$A:$AL,36,FALSE)</f>
        <v>-</v>
      </c>
      <c r="AD299" s="5">
        <f>VLOOKUP($A299,'SegEnds_NonXtal_Prot#'!$A:$AL,5,FALSE)</f>
        <v>63</v>
      </c>
      <c r="AE299" s="5">
        <f>VLOOKUP($A299,'SegEnds_NonXtal_Prot#'!$A:$AL,8,FALSE)</f>
        <v>68</v>
      </c>
      <c r="AF299" s="5">
        <f>VLOOKUP($A299,'SegEnds_NonXtal_Prot#'!$A:$AL,11,FALSE)</f>
        <v>100</v>
      </c>
      <c r="AG299" s="5">
        <f>VLOOKUP($A299,'SegEnds_NonXtal_Prot#'!$A:$AL,14,FALSE)</f>
        <v>104</v>
      </c>
      <c r="AH299" s="5">
        <f>VLOOKUP($A299,'SegEnds_NonXtal_Prot#'!$A:$AL,17,FALSE)</f>
        <v>140</v>
      </c>
      <c r="AI299" s="5" t="str">
        <f>VLOOKUP($A299,'SegEnds_NonXtal_Prot#'!$A:$AL,20,FALSE)</f>
        <v>-</v>
      </c>
      <c r="AJ299" s="5">
        <f>VLOOKUP($A299,'SegEnds_NonXtal_Prot#'!$A:$AL,23,FALSE)</f>
        <v>173</v>
      </c>
      <c r="AK299" s="5" t="str">
        <f>VLOOKUP($A299,'SegEnds_NonXtal_Prot#'!$A:$AL,26,FALSE)</f>
        <v>-</v>
      </c>
      <c r="AL299" s="5">
        <f>VLOOKUP($A299,'SegEnds_NonXtal_Prot#'!$A:$AL,29,FALSE)</f>
        <v>244</v>
      </c>
      <c r="AM299" s="5">
        <f>VLOOKUP($A299,'SegEnds_NonXtal_Prot#'!$A:$AL,32,FALSE)</f>
        <v>287</v>
      </c>
      <c r="AN299" s="5" t="str">
        <f>VLOOKUP($A299,'SegEnds_NonXtal_Prot#'!$A:$AL,35,FALSE)</f>
        <v>-</v>
      </c>
      <c r="AO299" s="5" t="str">
        <f>VLOOKUP($A299,'SegEnds_NonXtal_Prot#'!$A:$AL,38,FALSE)</f>
        <v>-</v>
      </c>
      <c r="AP299" s="5">
        <f t="shared" si="113"/>
        <v>32</v>
      </c>
      <c r="AQ299" s="4">
        <f t="shared" si="114"/>
        <v>3</v>
      </c>
      <c r="AR299" s="4">
        <f t="shared" si="115"/>
        <v>31</v>
      </c>
      <c r="AS299" s="4">
        <f t="shared" si="116"/>
        <v>3</v>
      </c>
      <c r="AT299" s="4">
        <f t="shared" si="117"/>
        <v>35</v>
      </c>
      <c r="AU299" s="4" t="str">
        <f t="shared" si="118"/>
        <v>-</v>
      </c>
      <c r="AV299" s="4">
        <f t="shared" si="119"/>
        <v>26</v>
      </c>
      <c r="AW299" s="4" t="str">
        <f t="shared" si="120"/>
        <v>-</v>
      </c>
      <c r="AX299" s="4">
        <f t="shared" si="121"/>
        <v>42</v>
      </c>
      <c r="AY299" s="4">
        <f t="shared" si="122"/>
        <v>39</v>
      </c>
      <c r="AZ299" s="4" t="str">
        <f t="shared" si="123"/>
        <v>-</v>
      </c>
      <c r="BA299" s="4" t="str">
        <f t="shared" si="124"/>
        <v>-</v>
      </c>
    </row>
    <row r="300" spans="1:53" x14ac:dyDescent="0.2">
      <c r="A300" s="1" t="str">
        <f>'SegEnds_NonXtal_Prot#'!A292</f>
        <v>opn3_human</v>
      </c>
      <c r="B300" s="1" t="str">
        <f t="shared" si="100"/>
        <v>SPGTYERLALLLGSIGLLGVGNNLLVLVLYYKFTPTHLLLVNISLSDLLVSLFGVTFTFVSCLRDTVGCVWDGFSGSLFGIVSIATLTVLAYERYIRVVHNFSWAWRAITYIWLYSLAWAGAPLLNDSSFVLFLFLGCLVVPLGVIAHCYGHILYSIRMLRCVEDQVIKILKYEKKLAKMCFLMIFTFLVCWMPYIVICFLVVNGTPTISIVSYLFAKSNTVYNPVIYVFMIRKFRRSLLQLLC</v>
      </c>
      <c r="C300" s="29" t="str">
        <f>IF(ISERROR(MATCH(A300,'SegEnds_Xtal_Prot#'!B:B, 0)), "NoXtal", "Xtal")</f>
        <v>NoXtal</v>
      </c>
      <c r="D300" s="4" t="str">
        <f>VLOOKUP(A300,Classification!A:D,2,FALSE)</f>
        <v>A</v>
      </c>
      <c r="E300" s="5" t="str">
        <f>VLOOKUP(A300,Seqs!A:B,2,FALSE)</f>
        <v>MYSGNRSGGHGYWDGGGAAGAEGPAPAGTLSPAPLFSPGTYERLALLLGSIGLLGVGNNLLVLVLYYKFQRLRTPTHLLLVNISLSDLLVSLFGVTFTFVSCLRNGWVWDTVGCVWDGFSGSLFGIVSIATLTVLAYERYIRVVHARVINFSWAWRAITYIWLYSLAWAGAPLLGWNRYILDVHGLGCTVDWKSKDANDSSFVLFLFLGCLVVPLGVIAHCYGHILYSIRMLRCVEDLQTIQVIKILKYEKKLAKMCFLMIFTFLVCWMPYIVICFLVVNGHGHLVTPTISIVSYLFAKSNTVYNPVIYVFMIRKFRRSLLQLLCLRLLRCQRPAKDLPAAGSEMQIRPIVMSQKDGDRPKKKVTFNSSSIIFIITSDESLSVDDSDKTNGSKVDVIQVRPL</v>
      </c>
      <c r="F300" s="5" t="str">
        <f t="shared" si="101"/>
        <v>SPGTYERLALLLGSIGLLGVGNNLLVLVLYYKF</v>
      </c>
      <c r="G300" s="4" t="str">
        <f t="shared" si="102"/>
        <v>QRLR</v>
      </c>
      <c r="H300" s="4" t="str">
        <f t="shared" si="103"/>
        <v>TPTHLLLVNISLSDLLVSLFGVTFTFVSCLR</v>
      </c>
      <c r="I300" s="4" t="str">
        <f t="shared" si="104"/>
        <v>GWVW</v>
      </c>
      <c r="J300" s="4" t="str">
        <f t="shared" si="105"/>
        <v>DTVGCVWDGFSGSLFGIVSIATLTVLAYERYIRVVH</v>
      </c>
      <c r="K300" s="4" t="str">
        <f t="shared" si="106"/>
        <v/>
      </c>
      <c r="L300" s="4" t="str">
        <f t="shared" si="107"/>
        <v>NFSWAWRAITYIWLYSLAWAGAPLL</v>
      </c>
      <c r="M300" s="4" t="str">
        <f t="shared" si="108"/>
        <v>CTV</v>
      </c>
      <c r="N300" s="4" t="str">
        <f t="shared" si="109"/>
        <v>NDSSFVLFLFLGCLVVPLGVIAHCYGHILYSIRMLRCVED</v>
      </c>
      <c r="O300" s="4" t="str">
        <f t="shared" si="110"/>
        <v>QVIKILKYEKKLAKMCFLMIFTFLVCWMPYIVICFLVVNG</v>
      </c>
      <c r="P300" s="4" t="str">
        <f t="shared" si="111"/>
        <v>TPTISIVSYLFAKSNTVYNPVIYVFM</v>
      </c>
      <c r="Q300" s="4" t="str">
        <f t="shared" si="112"/>
        <v>IRKFRRSLLQLLC</v>
      </c>
      <c r="R300" s="5">
        <f>VLOOKUP($A300,'SegEnds_NonXtal_Prot#'!$A:$AL,3,FALSE)</f>
        <v>37</v>
      </c>
      <c r="S300" s="5">
        <f>VLOOKUP($A300,'SegEnds_NonXtal_Prot#'!$A:$AL,6,FALSE)</f>
        <v>70</v>
      </c>
      <c r="T300" s="5">
        <f>VLOOKUP($A300,'SegEnds_NonXtal_Prot#'!$A:$AL,9,FALSE)</f>
        <v>74</v>
      </c>
      <c r="U300" s="5">
        <f>VLOOKUP($A300,'SegEnds_NonXtal_Prot#'!$A:$AL,12,FALSE)</f>
        <v>106</v>
      </c>
      <c r="V300" s="5">
        <f>VLOOKUP($A300,'SegEnds_NonXtal_Prot#'!$A:$AL,15,FALSE)</f>
        <v>110</v>
      </c>
      <c r="W300" s="5" t="str">
        <f>VLOOKUP($A300,'SegEnds_NonXtal_Prot#'!$A:$AL,18,FALSE)</f>
        <v>-</v>
      </c>
      <c r="X300" s="5">
        <f>VLOOKUP($A300,'SegEnds_NonXtal_Prot#'!$A:$AL,21,FALSE)</f>
        <v>150</v>
      </c>
      <c r="Y300" s="5">
        <f>VLOOKUP($A300,'SegEnds_NonXtal_Prot#'!$A:$AL,24,FALSE)</f>
        <v>188</v>
      </c>
      <c r="Z300" s="5">
        <f>VLOOKUP($A300,'SegEnds_NonXtal_Prot#'!$A:$AL,27,FALSE)</f>
        <v>198</v>
      </c>
      <c r="AA300" s="5">
        <f>VLOOKUP($A300,'SegEnds_NonXtal_Prot#'!$A:$AL,30,FALSE)</f>
        <v>242</v>
      </c>
      <c r="AB300" s="5">
        <f>VLOOKUP($A300,'SegEnds_NonXtal_Prot#'!$A:$AL,33,FALSE)</f>
        <v>287</v>
      </c>
      <c r="AC300" s="5">
        <f>VLOOKUP($A300,'SegEnds_NonXtal_Prot#'!$A:$AL,36,FALSE)</f>
        <v>313</v>
      </c>
      <c r="AD300" s="5">
        <f>VLOOKUP($A300,'SegEnds_NonXtal_Prot#'!$A:$AL,5,FALSE)</f>
        <v>69</v>
      </c>
      <c r="AE300" s="5">
        <f>VLOOKUP($A300,'SegEnds_NonXtal_Prot#'!$A:$AL,8,FALSE)</f>
        <v>73</v>
      </c>
      <c r="AF300" s="5">
        <f>VLOOKUP($A300,'SegEnds_NonXtal_Prot#'!$A:$AL,11,FALSE)</f>
        <v>104</v>
      </c>
      <c r="AG300" s="5">
        <f>VLOOKUP($A300,'SegEnds_NonXtal_Prot#'!$A:$AL,14,FALSE)</f>
        <v>109</v>
      </c>
      <c r="AH300" s="5">
        <f>VLOOKUP($A300,'SegEnds_NonXtal_Prot#'!$A:$AL,17,FALSE)</f>
        <v>145</v>
      </c>
      <c r="AI300" s="5" t="str">
        <f>VLOOKUP($A300,'SegEnds_NonXtal_Prot#'!$A:$AL,20,FALSE)</f>
        <v>-</v>
      </c>
      <c r="AJ300" s="5">
        <f>VLOOKUP($A300,'SegEnds_NonXtal_Prot#'!$A:$AL,23,FALSE)</f>
        <v>174</v>
      </c>
      <c r="AK300" s="5">
        <f>VLOOKUP($A300,'SegEnds_NonXtal_Prot#'!$A:$AL,26,FALSE)</f>
        <v>190</v>
      </c>
      <c r="AL300" s="5">
        <f>VLOOKUP($A300,'SegEnds_NonXtal_Prot#'!$A:$AL,29,FALSE)</f>
        <v>237</v>
      </c>
      <c r="AM300" s="5">
        <f>VLOOKUP($A300,'SegEnds_NonXtal_Prot#'!$A:$AL,32,FALSE)</f>
        <v>281</v>
      </c>
      <c r="AN300" s="5">
        <f>VLOOKUP($A300,'SegEnds_NonXtal_Prot#'!$A:$AL,35,FALSE)</f>
        <v>312</v>
      </c>
      <c r="AO300" s="5">
        <f>VLOOKUP($A300,'SegEnds_NonXtal_Prot#'!$A:$AL,38,FALSE)</f>
        <v>325</v>
      </c>
      <c r="AP300" s="5">
        <f t="shared" si="113"/>
        <v>32</v>
      </c>
      <c r="AQ300" s="4">
        <f t="shared" si="114"/>
        <v>3</v>
      </c>
      <c r="AR300" s="4">
        <f t="shared" si="115"/>
        <v>30</v>
      </c>
      <c r="AS300" s="4">
        <f t="shared" si="116"/>
        <v>3</v>
      </c>
      <c r="AT300" s="4">
        <f t="shared" si="117"/>
        <v>35</v>
      </c>
      <c r="AU300" s="4" t="str">
        <f t="shared" si="118"/>
        <v>-</v>
      </c>
      <c r="AV300" s="4">
        <f t="shared" si="119"/>
        <v>24</v>
      </c>
      <c r="AW300" s="4">
        <f t="shared" si="120"/>
        <v>2</v>
      </c>
      <c r="AX300" s="4">
        <f t="shared" si="121"/>
        <v>39</v>
      </c>
      <c r="AY300" s="4">
        <f t="shared" si="122"/>
        <v>39</v>
      </c>
      <c r="AZ300" s="4">
        <f t="shared" si="123"/>
        <v>25</v>
      </c>
      <c r="BA300" s="4">
        <f t="shared" si="124"/>
        <v>12</v>
      </c>
    </row>
    <row r="301" spans="1:53" x14ac:dyDescent="0.2">
      <c r="A301" s="1" t="str">
        <f>'SegEnds_NonXtal_Prot#'!A293</f>
        <v>oxyr_human</v>
      </c>
      <c r="B301" s="1" t="str">
        <f t="shared" si="100"/>
        <v>LARVEVAVLCLILLLALSGNACVLLALRTTSRLFFFMKHLSIADLVVAVFQVLPQLLWDIYGPDLLCRLVKYLQVVGMFASTYLLLLMSLDRCLAICQRRRTDRLAVLATWLGCLVASAPQVHIFWGPKAYITWITLAVYIVPVIVLAACYGLISFKIWQNLRLKTAAAKLISKAKIRTVKMTFIIVLAFIVCWTPFFFVQMWSVWDEASAFIIVMLLASLNSCCNPWIYMLFTGHLFHELVQRF</v>
      </c>
      <c r="C301" s="29" t="str">
        <f>IF(ISERROR(MATCH(A301,'SegEnds_Xtal_Prot#'!B:B, 0)), "NoXtal", "Xtal")</f>
        <v>NoXtal</v>
      </c>
      <c r="D301" s="4" t="str">
        <f>VLOOKUP(A301,Classification!A:D,2,FALSE)</f>
        <v>A</v>
      </c>
      <c r="E301" s="5" t="str">
        <f>VLOOKUP(A301,Seqs!A:B,2,FALSE)</f>
        <v>MEGALAANWSAEAANASAAPPGAEGNRTAGPPRRNEALARVEVAVLCLILLLALSGNACVLLALRTTRQKHSRLFFFMKHLSIADLVVAVFQVLPQLLWDITFRFYGPDLLCRLVKYLQVVGMFASTYLLLLMSLDRCLAICQPLRSLRRRTDRLAVLATWLGCLVASAPQVHIFSLREVADGVFDCWAVFIQPWGPKAYITWITLAVYIVPVIVLAACYGLISFKIWQNLRLKTAAAAAAEAPEGAAAGDGGRVALARVSSVKLISKAKIRTVKMTFIIVLAFIVCWTPFFFVQMWSVWDANAPKEASAFIIVMLLASLNSCCNPWIYMLFTGHLFHELVQRFLCCSASYLKGRRLGETSASKKSNSSSFVLSHRSSSQRSCSQPSTA</v>
      </c>
      <c r="F301" s="5" t="str">
        <f t="shared" si="101"/>
        <v>LARVEVAVLCLILLLALSGNACVLLALRTT</v>
      </c>
      <c r="G301" s="4" t="str">
        <f t="shared" si="102"/>
        <v>RQKH</v>
      </c>
      <c r="H301" s="4" t="str">
        <f t="shared" si="103"/>
        <v>SRLFFFMKHLSIADLVVAVFQVLPQLLWDI</v>
      </c>
      <c r="I301" s="4" t="str">
        <f t="shared" si="104"/>
        <v>TFRF</v>
      </c>
      <c r="J301" s="4" t="str">
        <f t="shared" si="105"/>
        <v>YGPDLLCRLVKYLQVVGMFASTYLLLLMSLDRCLAICQ</v>
      </c>
      <c r="K301" s="4" t="str">
        <f t="shared" si="106"/>
        <v/>
      </c>
      <c r="L301" s="4" t="str">
        <f t="shared" si="107"/>
        <v>RRRTDRLAVLATWLGCLVASAPQVHIF</v>
      </c>
      <c r="M301" s="4" t="str">
        <f t="shared" si="108"/>
        <v>CWA</v>
      </c>
      <c r="N301" s="4" t="str">
        <f t="shared" si="109"/>
        <v>WGPKAYITWITLAVYIVPVIVLAACYGLISFKIWQNLRLKTAAA</v>
      </c>
      <c r="O301" s="4" t="str">
        <f t="shared" si="110"/>
        <v>KLISKAKIRTVKMTFIIVLAFIVCWTPFFFVQMWSVWD</v>
      </c>
      <c r="P301" s="4" t="str">
        <f t="shared" si="111"/>
        <v>EASAFIIVMLLASLNSCCNPWIYMLF</v>
      </c>
      <c r="Q301" s="4" t="str">
        <f t="shared" si="112"/>
        <v>TGHLFHELVQRF</v>
      </c>
      <c r="R301" s="5">
        <f>VLOOKUP($A301,'SegEnds_NonXtal_Prot#'!$A:$AL,3,FALSE)</f>
        <v>38</v>
      </c>
      <c r="S301" s="5">
        <f>VLOOKUP($A301,'SegEnds_NonXtal_Prot#'!$A:$AL,6,FALSE)</f>
        <v>68</v>
      </c>
      <c r="T301" s="5">
        <f>VLOOKUP($A301,'SegEnds_NonXtal_Prot#'!$A:$AL,9,FALSE)</f>
        <v>72</v>
      </c>
      <c r="U301" s="5">
        <f>VLOOKUP($A301,'SegEnds_NonXtal_Prot#'!$A:$AL,12,FALSE)</f>
        <v>102</v>
      </c>
      <c r="V301" s="5">
        <f>VLOOKUP($A301,'SegEnds_NonXtal_Prot#'!$A:$AL,15,FALSE)</f>
        <v>106</v>
      </c>
      <c r="W301" s="5" t="str">
        <f>VLOOKUP($A301,'SegEnds_NonXtal_Prot#'!$A:$AL,18,FALSE)</f>
        <v>-</v>
      </c>
      <c r="X301" s="5">
        <f>VLOOKUP($A301,'SegEnds_NonXtal_Prot#'!$A:$AL,21,FALSE)</f>
        <v>149</v>
      </c>
      <c r="Y301" s="5">
        <f>VLOOKUP($A301,'SegEnds_NonXtal_Prot#'!$A:$AL,24,FALSE)</f>
        <v>187</v>
      </c>
      <c r="Z301" s="5">
        <f>VLOOKUP($A301,'SegEnds_NonXtal_Prot#'!$A:$AL,27,FALSE)</f>
        <v>195</v>
      </c>
      <c r="AA301" s="5">
        <f>VLOOKUP($A301,'SegEnds_NonXtal_Prot#'!$A:$AL,30,FALSE)</f>
        <v>264</v>
      </c>
      <c r="AB301" s="5">
        <f>VLOOKUP($A301,'SegEnds_NonXtal_Prot#'!$A:$AL,33,FALSE)</f>
        <v>307</v>
      </c>
      <c r="AC301" s="5">
        <f>VLOOKUP($A301,'SegEnds_NonXtal_Prot#'!$A:$AL,36,FALSE)</f>
        <v>333</v>
      </c>
      <c r="AD301" s="5">
        <f>VLOOKUP($A301,'SegEnds_NonXtal_Prot#'!$A:$AL,5,FALSE)</f>
        <v>67</v>
      </c>
      <c r="AE301" s="5">
        <f>VLOOKUP($A301,'SegEnds_NonXtal_Prot#'!$A:$AL,8,FALSE)</f>
        <v>71</v>
      </c>
      <c r="AF301" s="5">
        <f>VLOOKUP($A301,'SegEnds_NonXtal_Prot#'!$A:$AL,11,FALSE)</f>
        <v>101</v>
      </c>
      <c r="AG301" s="5">
        <f>VLOOKUP($A301,'SegEnds_NonXtal_Prot#'!$A:$AL,14,FALSE)</f>
        <v>105</v>
      </c>
      <c r="AH301" s="5">
        <f>VLOOKUP($A301,'SegEnds_NonXtal_Prot#'!$A:$AL,17,FALSE)</f>
        <v>143</v>
      </c>
      <c r="AI301" s="5" t="str">
        <f>VLOOKUP($A301,'SegEnds_NonXtal_Prot#'!$A:$AL,20,FALSE)</f>
        <v>-</v>
      </c>
      <c r="AJ301" s="5">
        <f>VLOOKUP($A301,'SegEnds_NonXtal_Prot#'!$A:$AL,23,FALSE)</f>
        <v>175</v>
      </c>
      <c r="AK301" s="5">
        <f>VLOOKUP($A301,'SegEnds_NonXtal_Prot#'!$A:$AL,26,FALSE)</f>
        <v>189</v>
      </c>
      <c r="AL301" s="5">
        <f>VLOOKUP($A301,'SegEnds_NonXtal_Prot#'!$A:$AL,29,FALSE)</f>
        <v>238</v>
      </c>
      <c r="AM301" s="5">
        <f>VLOOKUP($A301,'SegEnds_NonXtal_Prot#'!$A:$AL,32,FALSE)</f>
        <v>301</v>
      </c>
      <c r="AN301" s="5">
        <f>VLOOKUP($A301,'SegEnds_NonXtal_Prot#'!$A:$AL,35,FALSE)</f>
        <v>332</v>
      </c>
      <c r="AO301" s="5">
        <f>VLOOKUP($A301,'SegEnds_NonXtal_Prot#'!$A:$AL,38,FALSE)</f>
        <v>344</v>
      </c>
      <c r="AP301" s="5">
        <f t="shared" si="113"/>
        <v>29</v>
      </c>
      <c r="AQ301" s="4">
        <f t="shared" si="114"/>
        <v>3</v>
      </c>
      <c r="AR301" s="4">
        <f t="shared" si="115"/>
        <v>29</v>
      </c>
      <c r="AS301" s="4">
        <f t="shared" si="116"/>
        <v>3</v>
      </c>
      <c r="AT301" s="4">
        <f t="shared" si="117"/>
        <v>37</v>
      </c>
      <c r="AU301" s="4" t="str">
        <f t="shared" si="118"/>
        <v>-</v>
      </c>
      <c r="AV301" s="4">
        <f t="shared" si="119"/>
        <v>26</v>
      </c>
      <c r="AW301" s="4">
        <f t="shared" si="120"/>
        <v>2</v>
      </c>
      <c r="AX301" s="4">
        <f t="shared" si="121"/>
        <v>43</v>
      </c>
      <c r="AY301" s="4">
        <f t="shared" si="122"/>
        <v>37</v>
      </c>
      <c r="AZ301" s="4">
        <f t="shared" si="123"/>
        <v>25</v>
      </c>
      <c r="BA301" s="4">
        <f t="shared" si="124"/>
        <v>11</v>
      </c>
    </row>
    <row r="302" spans="1:53" x14ac:dyDescent="0.2">
      <c r="A302" s="1" t="str">
        <f>'SegEnds_NonXtal_Prot#'!A294</f>
        <v>pkr1_human</v>
      </c>
      <c r="B302" s="1" t="str">
        <f t="shared" si="100"/>
        <v>KIVIGMALVGIMLVCGIGNFIFIAALVRYNLTNLLIANLAISDFLVAIVCCPFEMDYYVVGHVLCTSVNYLRTVSLYVSTNALLAIAIDRYLAIVHKCQTATGLIALVWTVSILIAIPSAYFTQLYYKSYFLFIFGIEFVGPVVTMTLCYARISRELWFKAVPGFQIRKRLRCRRKTVLVLMCILTAYVLCWAPFYGFTIVRDFFEKHYLTAFYIVECIAMSNSMINTLCFVTVNDTVKYFKKIML</v>
      </c>
      <c r="C302" s="29" t="str">
        <f>IF(ISERROR(MATCH(A302,'SegEnds_Xtal_Prot#'!B:B, 0)), "NoXtal", "Xtal")</f>
        <v>NoXtal</v>
      </c>
      <c r="D302" s="4" t="str">
        <f>VLOOKUP(A302,Classification!A:D,2,FALSE)</f>
        <v>A</v>
      </c>
      <c r="E302" s="5" t="str">
        <f>VLOOKUP(A302,Seqs!A:B,2,FALSE)</f>
        <v>METTMGFMDDNATNTSTSFLSVLNPHGAHATSFPFNFSYSDYDMPLDEDEDVTNSRTFFAAKIVIGMALVGIMLVCGIGNFIFIAALVRYKKLRNLTNLLIANLAISDFLVAIVCCPFEMDYYVVRQLSWEHGHVLCTSVNYLRTVSLYVSTNALLAIAIDRYLAIVHPLRPRMKCQTATGLIALVWTVSILIAIPSAYFTTETVLVIVKSQEKIFCGQIWPVDQQLYYKSYFLFIFGIEFVGPVVTMTLCYARISRELWFKAVPGFQTEQIRKRLRCRRKTVLVLMCILTAYVLCWAPFYGFTIVRDFFPTVFVKEKHYLTAFYIVECIAMSNSMINTLCFVTVKNDTVKYFKKIMLLHWKASYNGGKSSADLDLKTIGMPATEEVDCIRLK</v>
      </c>
      <c r="F302" s="5" t="str">
        <f t="shared" si="101"/>
        <v>KIVIGMALVGIMLVCGIGNFIFIAALVRY</v>
      </c>
      <c r="G302" s="4" t="str">
        <f t="shared" si="102"/>
        <v>KKLR</v>
      </c>
      <c r="H302" s="4" t="str">
        <f t="shared" si="103"/>
        <v>NLTNLLIANLAISDFLVAIVCCPFEMDYYVV</v>
      </c>
      <c r="I302" s="4" t="str">
        <f t="shared" si="104"/>
        <v>SWEH</v>
      </c>
      <c r="J302" s="4" t="str">
        <f t="shared" si="105"/>
        <v>GHVLCTSVNYLRTVSLYVSTNALLAIAIDRYLAIVH</v>
      </c>
      <c r="K302" s="4" t="str">
        <f t="shared" si="106"/>
        <v/>
      </c>
      <c r="L302" s="4" t="str">
        <f t="shared" si="107"/>
        <v>KCQTATGLIALVWTVSILIAIPSAYFT</v>
      </c>
      <c r="M302" s="4" t="str">
        <f t="shared" si="108"/>
        <v>CGQ</v>
      </c>
      <c r="N302" s="4" t="str">
        <f t="shared" si="109"/>
        <v>QLYYKSYFLFIFGIEFVGPVVTMTLCYARISRELWFKAVPGF</v>
      </c>
      <c r="O302" s="4" t="str">
        <f t="shared" si="110"/>
        <v>QIRKRLRCRRKTVLVLMCILTAYVLCWAPFYGFTIVRDFF</v>
      </c>
      <c r="P302" s="4" t="str">
        <f t="shared" si="111"/>
        <v>EKHYLTAFYIVECIAMSNSMINTLCFVTV</v>
      </c>
      <c r="Q302" s="4" t="str">
        <f t="shared" si="112"/>
        <v>NDTVKYFKKIML</v>
      </c>
      <c r="R302" s="5">
        <f>VLOOKUP($A302,'SegEnds_NonXtal_Prot#'!$A:$AL,3,FALSE)</f>
        <v>62</v>
      </c>
      <c r="S302" s="5">
        <f>VLOOKUP($A302,'SegEnds_NonXtal_Prot#'!$A:$AL,6,FALSE)</f>
        <v>91</v>
      </c>
      <c r="T302" s="5">
        <f>VLOOKUP($A302,'SegEnds_NonXtal_Prot#'!$A:$AL,9,FALSE)</f>
        <v>95</v>
      </c>
      <c r="U302" s="5">
        <f>VLOOKUP($A302,'SegEnds_NonXtal_Prot#'!$A:$AL,12,FALSE)</f>
        <v>129</v>
      </c>
      <c r="V302" s="5">
        <f>VLOOKUP($A302,'SegEnds_NonXtal_Prot#'!$A:$AL,15,FALSE)</f>
        <v>133</v>
      </c>
      <c r="W302" s="5" t="str">
        <f>VLOOKUP($A302,'SegEnds_NonXtal_Prot#'!$A:$AL,18,FALSE)</f>
        <v>-</v>
      </c>
      <c r="X302" s="5">
        <f>VLOOKUP($A302,'SegEnds_NonXtal_Prot#'!$A:$AL,21,FALSE)</f>
        <v>175</v>
      </c>
      <c r="Y302" s="5">
        <f>VLOOKUP($A302,'SegEnds_NonXtal_Prot#'!$A:$AL,24,FALSE)</f>
        <v>217</v>
      </c>
      <c r="Z302" s="5">
        <f>VLOOKUP($A302,'SegEnds_NonXtal_Prot#'!$A:$AL,27,FALSE)</f>
        <v>226</v>
      </c>
      <c r="AA302" s="5">
        <f>VLOOKUP($A302,'SegEnds_NonXtal_Prot#'!$A:$AL,30,FALSE)</f>
        <v>271</v>
      </c>
      <c r="AB302" s="5">
        <f>VLOOKUP($A302,'SegEnds_NonXtal_Prot#'!$A:$AL,33,FALSE)</f>
        <v>317</v>
      </c>
      <c r="AC302" s="5">
        <f>VLOOKUP($A302,'SegEnds_NonXtal_Prot#'!$A:$AL,36,FALSE)</f>
        <v>347</v>
      </c>
      <c r="AD302" s="5">
        <f>VLOOKUP($A302,'SegEnds_NonXtal_Prot#'!$A:$AL,5,FALSE)</f>
        <v>90</v>
      </c>
      <c r="AE302" s="5">
        <f>VLOOKUP($A302,'SegEnds_NonXtal_Prot#'!$A:$AL,8,FALSE)</f>
        <v>94</v>
      </c>
      <c r="AF302" s="5">
        <f>VLOOKUP($A302,'SegEnds_NonXtal_Prot#'!$A:$AL,11,FALSE)</f>
        <v>125</v>
      </c>
      <c r="AG302" s="5">
        <f>VLOOKUP($A302,'SegEnds_NonXtal_Prot#'!$A:$AL,14,FALSE)</f>
        <v>132</v>
      </c>
      <c r="AH302" s="5">
        <f>VLOOKUP($A302,'SegEnds_NonXtal_Prot#'!$A:$AL,17,FALSE)</f>
        <v>168</v>
      </c>
      <c r="AI302" s="5" t="str">
        <f>VLOOKUP($A302,'SegEnds_NonXtal_Prot#'!$A:$AL,20,FALSE)</f>
        <v>-</v>
      </c>
      <c r="AJ302" s="5">
        <f>VLOOKUP($A302,'SegEnds_NonXtal_Prot#'!$A:$AL,23,FALSE)</f>
        <v>201</v>
      </c>
      <c r="AK302" s="5">
        <f>VLOOKUP($A302,'SegEnds_NonXtal_Prot#'!$A:$AL,26,FALSE)</f>
        <v>219</v>
      </c>
      <c r="AL302" s="5">
        <f>VLOOKUP($A302,'SegEnds_NonXtal_Prot#'!$A:$AL,29,FALSE)</f>
        <v>267</v>
      </c>
      <c r="AM302" s="5">
        <f>VLOOKUP($A302,'SegEnds_NonXtal_Prot#'!$A:$AL,32,FALSE)</f>
        <v>310</v>
      </c>
      <c r="AN302" s="5">
        <f>VLOOKUP($A302,'SegEnds_NonXtal_Prot#'!$A:$AL,35,FALSE)</f>
        <v>345</v>
      </c>
      <c r="AO302" s="5">
        <f>VLOOKUP($A302,'SegEnds_NonXtal_Prot#'!$A:$AL,38,FALSE)</f>
        <v>358</v>
      </c>
      <c r="AP302" s="5">
        <f t="shared" si="113"/>
        <v>28</v>
      </c>
      <c r="AQ302" s="4">
        <f t="shared" si="114"/>
        <v>3</v>
      </c>
      <c r="AR302" s="4">
        <f t="shared" si="115"/>
        <v>30</v>
      </c>
      <c r="AS302" s="4">
        <f t="shared" si="116"/>
        <v>3</v>
      </c>
      <c r="AT302" s="4">
        <f t="shared" si="117"/>
        <v>35</v>
      </c>
      <c r="AU302" s="4" t="str">
        <f t="shared" si="118"/>
        <v>-</v>
      </c>
      <c r="AV302" s="4">
        <f t="shared" si="119"/>
        <v>26</v>
      </c>
      <c r="AW302" s="4">
        <f t="shared" si="120"/>
        <v>2</v>
      </c>
      <c r="AX302" s="4">
        <f t="shared" si="121"/>
        <v>41</v>
      </c>
      <c r="AY302" s="4">
        <f t="shared" si="122"/>
        <v>39</v>
      </c>
      <c r="AZ302" s="4">
        <f t="shared" si="123"/>
        <v>28</v>
      </c>
      <c r="BA302" s="4">
        <f t="shared" si="124"/>
        <v>11</v>
      </c>
    </row>
    <row r="303" spans="1:53" x14ac:dyDescent="0.2">
      <c r="A303" s="1" t="str">
        <f>'SegEnds_NonXtal_Prot#'!A296</f>
        <v>rl3r1_human</v>
      </c>
      <c r="B303" s="1" t="str">
        <f t="shared" si="100"/>
        <v>EARVRILISVVYWVVCALGLAGNLLVLYLMKSMKSSINLFVTNLALTDFQFVLTLPFWAVENALGKAMCKIVSMVTSMNMYASVFFLTAMSVTRYHSVASCCFSAKALCVWIWALAALASLPSAIFSWLGLYHSQKVLLGFVLPLGIIILCYLLLVRFIADRRAAGTKRPTGASARRLSKVTKSVTIVVLSFFLCWLPNQALTTWSILIKFNSQEYFLCQVYAFPVSVCLAHSNSCLNPVLYCLVRREFRKALKSLLWRI</v>
      </c>
      <c r="C303" s="29" t="str">
        <f>IF(ISERROR(MATCH(A303,'SegEnds_Xtal_Prot#'!B:B, 0)), "NoXtal", "Xtal")</f>
        <v>NoXtal</v>
      </c>
      <c r="D303" s="4" t="str">
        <f>VLOOKUP(A303,Classification!A:D,2,FALSE)</f>
        <v>A</v>
      </c>
      <c r="E303" s="5" t="str">
        <f>VLOOKUP(A303,Seqs!A:B,2,FALSE)</f>
        <v>MQMADAATIATMNKAAGGDKLAELFSLVPDLLEAANTSGNASLQLPDLWWELGLELPDGAPPGHPPGSGGAESADTEARVRILISVVYWVVCALGLAGNLLVLYLMKSMQGWRKSSINLFVTNLALTDFQFVLTLPFWAVENALDFKWPFGKAMCKIVSMVTSMNMYASVFFLTAMSVTRYHSVASALKSHRTRGHGRGDCCGRSLGDSCCFSAKALCVWIWALAALASLPSAIFSTTVKVMGEELCLVRFPDKLLGRDRQFWLGLYHSQKVLLGFVLPLGIIILCYLLLVRFIADRRAAGTKGGAAVAGGRPTGASARRLSKVTKSVTIVVLSFFLCWLPNQALTTWSILIKFNAVPFSQEYFLCQVYAFPVSVCLAHSNSCLNPVLYCLVRREFRKALKSLLWRIASPSITSMRPFTATTKPEHEDQGLQAPAPPHAAAEPDLLYYPPGVVVYSGGRYDLLPSSSAY</v>
      </c>
      <c r="F303" s="5" t="str">
        <f t="shared" si="101"/>
        <v>EARVRILISVVYWVVCALGLAGNLLVLYLMKSM</v>
      </c>
      <c r="G303" s="4" t="str">
        <f t="shared" si="102"/>
        <v>QGWR</v>
      </c>
      <c r="H303" s="4" t="str">
        <f t="shared" si="103"/>
        <v>KSSINLFVTNLALTDFQFVLTLPFWAVENAL</v>
      </c>
      <c r="I303" s="4" t="str">
        <f t="shared" si="104"/>
        <v>KWPF</v>
      </c>
      <c r="J303" s="4" t="str">
        <f t="shared" si="105"/>
        <v>GKAMCKIVSMVTSMNMYASVFFLTAMSVTRYHSVAS</v>
      </c>
      <c r="K303" s="4" t="str">
        <f t="shared" si="106"/>
        <v/>
      </c>
      <c r="L303" s="4" t="str">
        <f t="shared" si="107"/>
        <v>CCFSAKALCVWIWALAALASLPSAIFS</v>
      </c>
      <c r="M303" s="4" t="str">
        <f t="shared" si="108"/>
        <v>CLV</v>
      </c>
      <c r="N303" s="4" t="str">
        <f t="shared" si="109"/>
        <v>WLGLYHSQKVLLGFVLPLGIIILCYLLLVRFIADRRAAGTK</v>
      </c>
      <c r="O303" s="4" t="str">
        <f t="shared" si="110"/>
        <v>RPTGASARRLSKVTKSVTIVVLSFFLCWLPNQALTTWSILIKFN</v>
      </c>
      <c r="P303" s="4" t="str">
        <f t="shared" si="111"/>
        <v>SQEYFLCQVYAFPVSVCLAHSNSCLNPVLYCLV</v>
      </c>
      <c r="Q303" s="4" t="str">
        <f t="shared" si="112"/>
        <v>RREFRKALKSLLWRI</v>
      </c>
      <c r="R303" s="5">
        <f>VLOOKUP($A303,'SegEnds_NonXtal_Prot#'!$A:$AL,3,FALSE)</f>
        <v>77</v>
      </c>
      <c r="S303" s="5">
        <f>VLOOKUP($A303,'SegEnds_NonXtal_Prot#'!$A:$AL,6,FALSE)</f>
        <v>110</v>
      </c>
      <c r="T303" s="5">
        <f>VLOOKUP($A303,'SegEnds_NonXtal_Prot#'!$A:$AL,9,FALSE)</f>
        <v>114</v>
      </c>
      <c r="U303" s="5">
        <f>VLOOKUP($A303,'SegEnds_NonXtal_Prot#'!$A:$AL,12,FALSE)</f>
        <v>147</v>
      </c>
      <c r="V303" s="5">
        <f>VLOOKUP($A303,'SegEnds_NonXtal_Prot#'!$A:$AL,15,FALSE)</f>
        <v>151</v>
      </c>
      <c r="W303" s="5" t="str">
        <f>VLOOKUP($A303,'SegEnds_NonXtal_Prot#'!$A:$AL,18,FALSE)</f>
        <v>-</v>
      </c>
      <c r="X303" s="5">
        <f>VLOOKUP($A303,'SegEnds_NonXtal_Prot#'!$A:$AL,21,FALSE)</f>
        <v>210</v>
      </c>
      <c r="Y303" s="5">
        <f>VLOOKUP($A303,'SegEnds_NonXtal_Prot#'!$A:$AL,24,FALSE)</f>
        <v>247</v>
      </c>
      <c r="Z303" s="5">
        <f>VLOOKUP($A303,'SegEnds_NonXtal_Prot#'!$A:$AL,27,FALSE)</f>
        <v>263</v>
      </c>
      <c r="AA303" s="5">
        <f>VLOOKUP($A303,'SegEnds_NonXtal_Prot#'!$A:$AL,30,FALSE)</f>
        <v>312</v>
      </c>
      <c r="AB303" s="5">
        <f>VLOOKUP($A303,'SegEnds_NonXtal_Prot#'!$A:$AL,33,FALSE)</f>
        <v>360</v>
      </c>
      <c r="AC303" s="5">
        <f>VLOOKUP($A303,'SegEnds_NonXtal_Prot#'!$A:$AL,36,FALSE)</f>
        <v>393</v>
      </c>
      <c r="AD303" s="5">
        <f>VLOOKUP($A303,'SegEnds_NonXtal_Prot#'!$A:$AL,5,FALSE)</f>
        <v>109</v>
      </c>
      <c r="AE303" s="5">
        <f>VLOOKUP($A303,'SegEnds_NonXtal_Prot#'!$A:$AL,8,FALSE)</f>
        <v>113</v>
      </c>
      <c r="AF303" s="5">
        <f>VLOOKUP($A303,'SegEnds_NonXtal_Prot#'!$A:$AL,11,FALSE)</f>
        <v>144</v>
      </c>
      <c r="AG303" s="5">
        <f>VLOOKUP($A303,'SegEnds_NonXtal_Prot#'!$A:$AL,14,FALSE)</f>
        <v>150</v>
      </c>
      <c r="AH303" s="5">
        <f>VLOOKUP($A303,'SegEnds_NonXtal_Prot#'!$A:$AL,17,FALSE)</f>
        <v>186</v>
      </c>
      <c r="AI303" s="5" t="str">
        <f>VLOOKUP($A303,'SegEnds_NonXtal_Prot#'!$A:$AL,20,FALSE)</f>
        <v>-</v>
      </c>
      <c r="AJ303" s="5">
        <f>VLOOKUP($A303,'SegEnds_NonXtal_Prot#'!$A:$AL,23,FALSE)</f>
        <v>236</v>
      </c>
      <c r="AK303" s="5">
        <f>VLOOKUP($A303,'SegEnds_NonXtal_Prot#'!$A:$AL,26,FALSE)</f>
        <v>249</v>
      </c>
      <c r="AL303" s="5">
        <f>VLOOKUP($A303,'SegEnds_NonXtal_Prot#'!$A:$AL,29,FALSE)</f>
        <v>303</v>
      </c>
      <c r="AM303" s="5">
        <f>VLOOKUP($A303,'SegEnds_NonXtal_Prot#'!$A:$AL,32,FALSE)</f>
        <v>355</v>
      </c>
      <c r="AN303" s="5">
        <f>VLOOKUP($A303,'SegEnds_NonXtal_Prot#'!$A:$AL,35,FALSE)</f>
        <v>392</v>
      </c>
      <c r="AO303" s="5">
        <f>VLOOKUP($A303,'SegEnds_NonXtal_Prot#'!$A:$AL,38,FALSE)</f>
        <v>407</v>
      </c>
      <c r="AP303" s="5">
        <f t="shared" si="113"/>
        <v>32</v>
      </c>
      <c r="AQ303" s="4">
        <f t="shared" si="114"/>
        <v>3</v>
      </c>
      <c r="AR303" s="4">
        <f t="shared" si="115"/>
        <v>30</v>
      </c>
      <c r="AS303" s="4">
        <f t="shared" si="116"/>
        <v>3</v>
      </c>
      <c r="AT303" s="4">
        <f t="shared" si="117"/>
        <v>35</v>
      </c>
      <c r="AU303" s="4" t="str">
        <f t="shared" si="118"/>
        <v>-</v>
      </c>
      <c r="AV303" s="4">
        <f t="shared" si="119"/>
        <v>26</v>
      </c>
      <c r="AW303" s="4">
        <f t="shared" si="120"/>
        <v>2</v>
      </c>
      <c r="AX303" s="4">
        <f t="shared" si="121"/>
        <v>40</v>
      </c>
      <c r="AY303" s="4">
        <f t="shared" si="122"/>
        <v>43</v>
      </c>
      <c r="AZ303" s="4">
        <f t="shared" si="123"/>
        <v>32</v>
      </c>
      <c r="BA303" s="4">
        <f t="shared" si="124"/>
        <v>14</v>
      </c>
    </row>
    <row r="304" spans="1:53" x14ac:dyDescent="0.2">
      <c r="A304" s="1" t="str">
        <f>'SegEnds_NonXtal_Prot#'!A297</f>
        <v>us28_hcmva</v>
      </c>
      <c r="B304" s="1" t="str">
        <f t="shared" si="100"/>
        <v>FTDVLNQSKPVTLFLYGVVFLFGSIGNFLVIFTITWRCSGDVYFINLAAADLLFVCTLPLWMQYLLDASVPCTLLTACFYVAMFASLCFITEIALDRYYAIVPVKQACLFSIFWWIFAVIIAIPHFMSYPIILNVELMLGAFVIPLSVISYCYYRISRIVAVSHKGRIVRVLIAVVLVFIIFWLPYHLTLFVDTLKLLKSCEFERSLKRALILTESLAFCHCCLNPLLYVFVGTKFRQELHCLLAEFR</v>
      </c>
      <c r="C304" s="29" t="str">
        <f>IF(ISERROR(MATCH(A304,'SegEnds_Xtal_Prot#'!B:B, 0)), "NoXtal", "Xtal")</f>
        <v>Xtal</v>
      </c>
      <c r="D304" s="4" t="str">
        <f>VLOOKUP(A304,Classification!A:D,2,FALSE)</f>
        <v>A</v>
      </c>
      <c r="E304" s="5" t="str">
        <f>VLOOKUP(A304,Seqs!A:B,2,FALSE)</f>
        <v>MTPTTTTAELTTEFDYDEDATPCVFTDVLNQSKPVTLFLYGVVFLFGSIGNFLVIFTITWRRRIQCSGDVYFINLAAADLLFVCTLPLWMQYLLDHNSLASVPCTLLTACFYVAMFASLCFITEIALDRYYAIVYMRYRPVKQACLFSIFWWIFAVIIAIPHFMVVTKKDNQCMTDYDYLEVSYPIILNVELMLGAFVIPLSVISYCYYRISRIVAVSQSRHKGRIVRVLIAVVLVFIIFWLPYHLTLFVDTLKLLKWISSSCEFERSLKRALILTESLAFCHCCLNPLLYVFVGTKFRQELHCLLAEFRQRLFSRDVSWYHSMSFSRRSSPSRRETSSDTLSDEVCRVSQIIP</v>
      </c>
      <c r="F304" s="5" t="str">
        <f t="shared" si="101"/>
        <v>FTDVLNQSKPVTLFLYGVVFLFGSIGNFLVIFTITWR</v>
      </c>
      <c r="G304" s="4" t="str">
        <f t="shared" si="102"/>
        <v>RRIQ</v>
      </c>
      <c r="H304" s="4" t="str">
        <f t="shared" si="103"/>
        <v>CSGDVYFINLAAADLLFVCTLPLWMQYLLD</v>
      </c>
      <c r="I304" s="4" t="str">
        <f t="shared" si="104"/>
        <v/>
      </c>
      <c r="J304" s="4" t="str">
        <f t="shared" si="105"/>
        <v>ASVPCTLLTACFYVAMFASLCFITEIALDRYYAIV</v>
      </c>
      <c r="K304" s="4" t="str">
        <f t="shared" si="106"/>
        <v/>
      </c>
      <c r="L304" s="4" t="str">
        <f t="shared" si="107"/>
        <v>PVKQACLFSIFWWIFAVIIAIPHFM</v>
      </c>
      <c r="M304" s="4" t="str">
        <f t="shared" si="108"/>
        <v>CMT</v>
      </c>
      <c r="N304" s="4" t="str">
        <f t="shared" si="109"/>
        <v>SYPIILNVELMLGAFVIPLSVISYCYYRISRIVAVS</v>
      </c>
      <c r="O304" s="4" t="str">
        <f t="shared" si="110"/>
        <v>HKGRIVRVLIAVVLVFIIFWLPYHLTLFVDTLKLLK</v>
      </c>
      <c r="P304" s="4" t="str">
        <f t="shared" si="111"/>
        <v>SCEFERSLKRALILTESLAFCHCCLNPLLYVFV</v>
      </c>
      <c r="Q304" s="4" t="str">
        <f t="shared" si="112"/>
        <v>GTKFRQELHCLLAEFR</v>
      </c>
      <c r="R304" s="5">
        <f>VLOOKUP($A304,'SegEnds_NonXtal_Prot#'!$A:$AL,3,FALSE)</f>
        <v>25</v>
      </c>
      <c r="S304" s="5">
        <f>VLOOKUP($A304,'SegEnds_NonXtal_Prot#'!$A:$AL,6,FALSE)</f>
        <v>62</v>
      </c>
      <c r="T304" s="5">
        <f>VLOOKUP($A304,'SegEnds_NonXtal_Prot#'!$A:$AL,9,FALSE)</f>
        <v>66</v>
      </c>
      <c r="U304" s="5" t="str">
        <f>VLOOKUP($A304,'SegEnds_NonXtal_Prot#'!$A:$AL,12,FALSE)</f>
        <v>-</v>
      </c>
      <c r="V304" s="5">
        <f>VLOOKUP($A304,'SegEnds_NonXtal_Prot#'!$A:$AL,15,FALSE)</f>
        <v>100</v>
      </c>
      <c r="W304" s="5" t="str">
        <f>VLOOKUP($A304,'SegEnds_NonXtal_Prot#'!$A:$AL,18,FALSE)</f>
        <v>-</v>
      </c>
      <c r="X304" s="5">
        <f>VLOOKUP($A304,'SegEnds_NonXtal_Prot#'!$A:$AL,21,FALSE)</f>
        <v>140</v>
      </c>
      <c r="Y304" s="5">
        <f>VLOOKUP($A304,'SegEnds_NonXtal_Prot#'!$A:$AL,24,FALSE)</f>
        <v>173</v>
      </c>
      <c r="Z304" s="5">
        <f>VLOOKUP($A304,'SegEnds_NonXtal_Prot#'!$A:$AL,27,FALSE)</f>
        <v>183</v>
      </c>
      <c r="AA304" s="5">
        <f>VLOOKUP($A304,'SegEnds_NonXtal_Prot#'!$A:$AL,30,FALSE)</f>
        <v>222</v>
      </c>
      <c r="AB304" s="5">
        <f>VLOOKUP($A304,'SegEnds_NonXtal_Prot#'!$A:$AL,33,FALSE)</f>
        <v>262</v>
      </c>
      <c r="AC304" s="5">
        <f>VLOOKUP($A304,'SegEnds_NonXtal_Prot#'!$A:$AL,36,FALSE)</f>
        <v>295</v>
      </c>
      <c r="AD304" s="5">
        <f>VLOOKUP($A304,'SegEnds_NonXtal_Prot#'!$A:$AL,5,FALSE)</f>
        <v>61</v>
      </c>
      <c r="AE304" s="5">
        <f>VLOOKUP($A304,'SegEnds_NonXtal_Prot#'!$A:$AL,8,FALSE)</f>
        <v>65</v>
      </c>
      <c r="AF304" s="5">
        <f>VLOOKUP($A304,'SegEnds_NonXtal_Prot#'!$A:$AL,11,FALSE)</f>
        <v>95</v>
      </c>
      <c r="AG304" s="5" t="str">
        <f>VLOOKUP($A304,'SegEnds_NonXtal_Prot#'!$A:$AL,14,FALSE)</f>
        <v>-</v>
      </c>
      <c r="AH304" s="5">
        <f>VLOOKUP($A304,'SegEnds_NonXtal_Prot#'!$A:$AL,17,FALSE)</f>
        <v>134</v>
      </c>
      <c r="AI304" s="5" t="str">
        <f>VLOOKUP($A304,'SegEnds_NonXtal_Prot#'!$A:$AL,20,FALSE)</f>
        <v>-</v>
      </c>
      <c r="AJ304" s="5">
        <f>VLOOKUP($A304,'SegEnds_NonXtal_Prot#'!$A:$AL,23,FALSE)</f>
        <v>164</v>
      </c>
      <c r="AK304" s="5">
        <f>VLOOKUP($A304,'SegEnds_NonXtal_Prot#'!$A:$AL,26,FALSE)</f>
        <v>175</v>
      </c>
      <c r="AL304" s="5">
        <f>VLOOKUP($A304,'SegEnds_NonXtal_Prot#'!$A:$AL,29,FALSE)</f>
        <v>218</v>
      </c>
      <c r="AM304" s="5">
        <f>VLOOKUP($A304,'SegEnds_NonXtal_Prot#'!$A:$AL,32,FALSE)</f>
        <v>257</v>
      </c>
      <c r="AN304" s="5">
        <f>VLOOKUP($A304,'SegEnds_NonXtal_Prot#'!$A:$AL,35,FALSE)</f>
        <v>294</v>
      </c>
      <c r="AO304" s="5">
        <f>VLOOKUP($A304,'SegEnds_NonXtal_Prot#'!$A:$AL,38,FALSE)</f>
        <v>310</v>
      </c>
      <c r="AP304" s="5">
        <f t="shared" si="113"/>
        <v>36</v>
      </c>
      <c r="AQ304" s="4">
        <f t="shared" si="114"/>
        <v>3</v>
      </c>
      <c r="AR304" s="4">
        <f t="shared" si="115"/>
        <v>29</v>
      </c>
      <c r="AS304" s="4" t="str">
        <f t="shared" si="116"/>
        <v>-</v>
      </c>
      <c r="AT304" s="4">
        <f t="shared" si="117"/>
        <v>34</v>
      </c>
      <c r="AU304" s="4" t="str">
        <f t="shared" si="118"/>
        <v>-</v>
      </c>
      <c r="AV304" s="4">
        <f t="shared" si="119"/>
        <v>24</v>
      </c>
      <c r="AW304" s="4">
        <f t="shared" si="120"/>
        <v>2</v>
      </c>
      <c r="AX304" s="4">
        <f t="shared" si="121"/>
        <v>35</v>
      </c>
      <c r="AY304" s="4">
        <f t="shared" si="122"/>
        <v>35</v>
      </c>
      <c r="AZ304" s="4">
        <f t="shared" si="123"/>
        <v>32</v>
      </c>
      <c r="BA304" s="4">
        <f t="shared" si="124"/>
        <v>15</v>
      </c>
    </row>
    <row r="305" spans="1:53" x14ac:dyDescent="0.2">
      <c r="A305" s="1" t="str">
        <f>'SegEnds_NonXtal_Prot#'!A299</f>
        <v>calcr_human</v>
      </c>
      <c r="B305" s="1" t="str">
        <f t="shared" si="100"/>
        <v>TMCNAFTPEKLKNAYVLYYLAIVGHSLSIFTLVISLGIFVFFCQRVTLHKNMFLTYILNSMIIIIHLVEVVSCKILHFFHQYMMACNYFWMLCEGIYLHTLIVVRLRWYYLLGWGFPLVPTTIHAITRAVYFLYIIHGPVMAALVVNFFFLLNIVRVLVTKMRYLKAVKATMILVPLLGIQFVVFPWKMLGKIYDYVMHSLIHFQGFFVATIYCFCNNEVQTTVKRQWAQFKIQWNQRWGRR</v>
      </c>
      <c r="C305" s="29" t="str">
        <f>IF(ISERROR(MATCH(A305,'SegEnds_Xtal_Prot#'!B:B, 0)), "NoXtal", "Xtal")</f>
        <v>Xtal</v>
      </c>
      <c r="D305" s="4" t="str">
        <f>VLOOKUP(A305,Classification!A:D,2,FALSE)</f>
        <v>B1</v>
      </c>
      <c r="E305" s="5" t="str">
        <f>VLOOKUP(A305,Seqs!A:B,2,FALSE)</f>
        <v>MRFTFTSRCLALFLLLNHPTPILPAFSNQTYPTIEPKPFLYVVGRKKMMDAQYKCYDRMQQLPAYQGEGPYCNRTWDGWLCWDDTPAGVLSYQFCPDYFPDFDPSEKVTKYCDEKGVWFKHPENNRTWSNYTMCNAFTPEKLKNAYVLYYLAIVGHSLSIFTLVISLGIFVFFRSLGCQRVTLHKNMFLTYILNSMIIIIHLVEVVPNGELVRRDPVSCKILHFFHQYMMACNYFWMLCEGIYLHTLIVVAVFTEKQRLRWYYLLGWGFPLVPTTIHAITRAVYFNDNCWLSVETHLLYIIHGPVMAALVVNFFFLLNIVRVLVTKMRETHEAESHMYLKAVKATMILVPLLGIQFVVFPWRPSNKMLGKIYDYVMHSLIHFQGFFVATIYCFCNNEVQTTVKRQWAQFKIQWNQRWGRRPSNRSARAAAAAAEAGDIPIYICHQEPRNEPANNQGEESAEIIPLNIIEQESSA</v>
      </c>
      <c r="F305" s="5" t="str">
        <f t="shared" si="101"/>
        <v>TMCNAFTPEKLKNAYVLYYLAIVGHSLSIFTLVISLGIFVFF</v>
      </c>
      <c r="G305" s="4" t="str">
        <f t="shared" si="102"/>
        <v>RSLG</v>
      </c>
      <c r="H305" s="4" t="str">
        <f t="shared" si="103"/>
        <v>CQRVTLHKNMFLTYILNSMIIIIHLVEV</v>
      </c>
      <c r="I305" s="4" t="str">
        <f t="shared" si="104"/>
        <v/>
      </c>
      <c r="J305" s="4" t="str">
        <f t="shared" si="105"/>
        <v>VSCKILHFFHQYMMACNYFWMLCEGIYLHTLIVV</v>
      </c>
      <c r="K305" s="4" t="str">
        <f t="shared" si="106"/>
        <v/>
      </c>
      <c r="L305" s="4" t="str">
        <f t="shared" si="107"/>
        <v>RLRWYYLLGWGFPLVPTTIHAITRAVYF</v>
      </c>
      <c r="M305" s="4" t="str">
        <f t="shared" si="108"/>
        <v>CWL</v>
      </c>
      <c r="N305" s="4" t="str">
        <f t="shared" si="109"/>
        <v>LYIIHGPVMAALVVNFFFLLNIVRVLVTKMR</v>
      </c>
      <c r="O305" s="4" t="str">
        <f t="shared" si="110"/>
        <v>YLKAVKATMILVPLLGIQFVVFPW</v>
      </c>
      <c r="P305" s="4" t="str">
        <f t="shared" si="111"/>
        <v>KMLGKIYDYVMHSLIHFQGFFVATIYCFC</v>
      </c>
      <c r="Q305" s="4" t="str">
        <f t="shared" si="112"/>
        <v>NNEVQTTVKRQWAQFKIQWNQRWGRR</v>
      </c>
      <c r="R305" s="5">
        <f>VLOOKUP($A305,'SegEnds_NonXtal_Prot#'!$A:$AL,3,FALSE)</f>
        <v>132</v>
      </c>
      <c r="S305" s="5">
        <f>VLOOKUP($A305,'SegEnds_NonXtal_Prot#'!$A:$AL,6,FALSE)</f>
        <v>174</v>
      </c>
      <c r="T305" s="5">
        <f>VLOOKUP($A305,'SegEnds_NonXtal_Prot#'!$A:$AL,9,FALSE)</f>
        <v>178</v>
      </c>
      <c r="U305" s="5" t="str">
        <f>VLOOKUP($A305,'SegEnds_NonXtal_Prot#'!$A:$AL,12,FALSE)</f>
        <v>-</v>
      </c>
      <c r="V305" s="5">
        <f>VLOOKUP($A305,'SegEnds_NonXtal_Prot#'!$A:$AL,15,FALSE)</f>
        <v>217</v>
      </c>
      <c r="W305" s="5" t="str">
        <f>VLOOKUP($A305,'SegEnds_NonXtal_Prot#'!$A:$AL,18,FALSE)</f>
        <v>-</v>
      </c>
      <c r="X305" s="5">
        <f>VLOOKUP($A305,'SegEnds_NonXtal_Prot#'!$A:$AL,21,FALSE)</f>
        <v>258</v>
      </c>
      <c r="Y305" s="5">
        <f>VLOOKUP($A305,'SegEnds_NonXtal_Prot#'!$A:$AL,24,FALSE)</f>
        <v>289</v>
      </c>
      <c r="Z305" s="5">
        <f>VLOOKUP($A305,'SegEnds_NonXtal_Prot#'!$A:$AL,27,FALSE)</f>
        <v>298</v>
      </c>
      <c r="AA305" s="5">
        <f>VLOOKUP($A305,'SegEnds_NonXtal_Prot#'!$A:$AL,30,FALSE)</f>
        <v>338</v>
      </c>
      <c r="AB305" s="5">
        <f>VLOOKUP($A305,'SegEnds_NonXtal_Prot#'!$A:$AL,33,FALSE)</f>
        <v>366</v>
      </c>
      <c r="AC305" s="5">
        <f>VLOOKUP($A305,'SegEnds_NonXtal_Prot#'!$A:$AL,36,FALSE)</f>
        <v>395</v>
      </c>
      <c r="AD305" s="5">
        <f>VLOOKUP($A305,'SegEnds_NonXtal_Prot#'!$A:$AL,5,FALSE)</f>
        <v>173</v>
      </c>
      <c r="AE305" s="5">
        <f>VLOOKUP($A305,'SegEnds_NonXtal_Prot#'!$A:$AL,8,FALSE)</f>
        <v>177</v>
      </c>
      <c r="AF305" s="5">
        <f>VLOOKUP($A305,'SegEnds_NonXtal_Prot#'!$A:$AL,11,FALSE)</f>
        <v>205</v>
      </c>
      <c r="AG305" s="5" t="str">
        <f>VLOOKUP($A305,'SegEnds_NonXtal_Prot#'!$A:$AL,14,FALSE)</f>
        <v>-</v>
      </c>
      <c r="AH305" s="5">
        <f>VLOOKUP($A305,'SegEnds_NonXtal_Prot#'!$A:$AL,17,FALSE)</f>
        <v>250</v>
      </c>
      <c r="AI305" s="5" t="str">
        <f>VLOOKUP($A305,'SegEnds_NonXtal_Prot#'!$A:$AL,20,FALSE)</f>
        <v>-</v>
      </c>
      <c r="AJ305" s="5">
        <f>VLOOKUP($A305,'SegEnds_NonXtal_Prot#'!$A:$AL,23,FALSE)</f>
        <v>285</v>
      </c>
      <c r="AK305" s="5">
        <f>VLOOKUP($A305,'SegEnds_NonXtal_Prot#'!$A:$AL,26,FALSE)</f>
        <v>291</v>
      </c>
      <c r="AL305" s="5">
        <f>VLOOKUP($A305,'SegEnds_NonXtal_Prot#'!$A:$AL,29,FALSE)</f>
        <v>328</v>
      </c>
      <c r="AM305" s="5">
        <f>VLOOKUP($A305,'SegEnds_NonXtal_Prot#'!$A:$AL,32,FALSE)</f>
        <v>361</v>
      </c>
      <c r="AN305" s="5">
        <f>VLOOKUP($A305,'SegEnds_NonXtal_Prot#'!$A:$AL,35,FALSE)</f>
        <v>394</v>
      </c>
      <c r="AO305" s="5">
        <f>VLOOKUP($A305,'SegEnds_NonXtal_Prot#'!$A:$AL,38,FALSE)</f>
        <v>420</v>
      </c>
      <c r="AP305" s="5">
        <f t="shared" si="113"/>
        <v>41</v>
      </c>
      <c r="AQ305" s="4">
        <f t="shared" si="114"/>
        <v>3</v>
      </c>
      <c r="AR305" s="4">
        <f t="shared" si="115"/>
        <v>27</v>
      </c>
      <c r="AS305" s="4" t="str">
        <f t="shared" si="116"/>
        <v>-</v>
      </c>
      <c r="AT305" s="4">
        <f t="shared" si="117"/>
        <v>33</v>
      </c>
      <c r="AU305" s="4" t="str">
        <f t="shared" si="118"/>
        <v>-</v>
      </c>
      <c r="AV305" s="4">
        <f t="shared" si="119"/>
        <v>27</v>
      </c>
      <c r="AW305" s="4">
        <f t="shared" si="120"/>
        <v>2</v>
      </c>
      <c r="AX305" s="4">
        <f t="shared" si="121"/>
        <v>30</v>
      </c>
      <c r="AY305" s="4">
        <f t="shared" si="122"/>
        <v>23</v>
      </c>
      <c r="AZ305" s="4">
        <f t="shared" si="123"/>
        <v>28</v>
      </c>
      <c r="BA305" s="4">
        <f t="shared" si="124"/>
        <v>25</v>
      </c>
    </row>
    <row r="306" spans="1:53" x14ac:dyDescent="0.2">
      <c r="A306" s="1" t="str">
        <f>'SegEnds_NonXtal_Prot#'!A300</f>
        <v>calrl_human</v>
      </c>
      <c r="B306" s="1" t="str">
        <f t="shared" si="100"/>
        <v>NTHEKVKTALNLFYLTIIGHGLSIASLLISLGIFFYFCQRITLHKNLFFSFVCNSVVTIIHLTAVVSCKVSQFIHLYLMGCNYFWMLCEGIYLHTLIVVHLMWYYFLGWGFPLIPACIHAIARSLYLLYIIHGPICAALLVNLFFLLNIVRVLITKLKYMKAVRATLILVPLLGIEFVLIPWKIAEEVYDYIMHILMHFQGLLVSTIFCFFNGEVQAILRRNWNQYKIQFGNSFSNS</v>
      </c>
      <c r="C306" s="29" t="str">
        <f>IF(ISERROR(MATCH(A306,'SegEnds_Xtal_Prot#'!B:B, 0)), "NoXtal", "Xtal")</f>
        <v>Xtal</v>
      </c>
      <c r="D306" s="4" t="str">
        <f>VLOOKUP(A306,Classification!A:D,2,FALSE)</f>
        <v>B1</v>
      </c>
      <c r="E306" s="5" t="str">
        <f>VLOOKUP(A306,Seqs!A:B,2,FALSE)</f>
        <v>MEKKCTLNFLVLLPFFMILVTAELEESPEDSIQLGVTRNKIMTAQYECYQKIMQDPIQQAEGVYCNRTWDGWLCWNDVAAGTESMQLCPDYFQDFDPSEKVTKICDQDGNWFRHPASNRTWTNYTQCNVNTHEKVKTALNLFYLTIIGHGLSIASLLISLGIFFYFKSLSCQRITLHKNLFFSFVCNSVVTIIHLTAVANNQALVATNPVSCKVSQFIHLYLMGCNYFWMLCEGIYLHTLIVVAVFAEKQHLMWYYFLGWGFPLIPACIHAIARSLYYNDNCWISSDTHLLYIIHGPICAALLVNLFFLLNIVRVLITKLKVTHQAESNLYMKAVRATLILVPLLGIEFVLIPWRPEGKIAEEVYDYIMHILMHFQGLLVSTIFCFFNGEVQAILRRNWNQYKIQFGNSFSNSEALRSASYTVSTISDGPGYSHDCPSEHLNGKSIHDIENVLLKPENLYN</v>
      </c>
      <c r="F306" s="5" t="str">
        <f t="shared" si="101"/>
        <v>NTHEKVKTALNLFYLTIIGHGLSIASLLISLGIFFYF</v>
      </c>
      <c r="G306" s="4" t="str">
        <f t="shared" si="102"/>
        <v>KSLS</v>
      </c>
      <c r="H306" s="4" t="str">
        <f t="shared" si="103"/>
        <v>CQRITLHKNLFFSFVCNSVVTIIHLTAV</v>
      </c>
      <c r="I306" s="4" t="str">
        <f t="shared" si="104"/>
        <v/>
      </c>
      <c r="J306" s="4" t="str">
        <f t="shared" si="105"/>
        <v>VSCKVSQFIHLYLMGCNYFWMLCEGIYLHTLIVV</v>
      </c>
      <c r="K306" s="4" t="str">
        <f t="shared" si="106"/>
        <v/>
      </c>
      <c r="L306" s="4" t="str">
        <f t="shared" si="107"/>
        <v>HLMWYYFLGWGFPLIPACIHAIARSLY</v>
      </c>
      <c r="M306" s="4" t="str">
        <f t="shared" si="108"/>
        <v>CWI</v>
      </c>
      <c r="N306" s="4" t="str">
        <f t="shared" si="109"/>
        <v>LLYIIHGPICAALLVNLFFLLNIVRVLITKLK</v>
      </c>
      <c r="O306" s="4" t="str">
        <f t="shared" si="110"/>
        <v>YMKAVRATLILVPLLGIEFVLIPW</v>
      </c>
      <c r="P306" s="4" t="str">
        <f t="shared" si="111"/>
        <v>KIAEEVYDYIMHILMHFQGLLVSTIFCFF</v>
      </c>
      <c r="Q306" s="4" t="str">
        <f t="shared" si="112"/>
        <v>NGEVQAILRRNWNQYKIQFGNSFSNS</v>
      </c>
      <c r="R306" s="5">
        <f>VLOOKUP($A306,'SegEnds_NonXtal_Prot#'!$A:$AL,3,FALSE)</f>
        <v>130</v>
      </c>
      <c r="S306" s="5">
        <f>VLOOKUP($A306,'SegEnds_NonXtal_Prot#'!$A:$AL,6,FALSE)</f>
        <v>167</v>
      </c>
      <c r="T306" s="5">
        <f>VLOOKUP($A306,'SegEnds_NonXtal_Prot#'!$A:$AL,9,FALSE)</f>
        <v>171</v>
      </c>
      <c r="U306" s="5" t="str">
        <f>VLOOKUP($A306,'SegEnds_NonXtal_Prot#'!$A:$AL,12,FALSE)</f>
        <v>-</v>
      </c>
      <c r="V306" s="5">
        <f>VLOOKUP($A306,'SegEnds_NonXtal_Prot#'!$A:$AL,15,FALSE)</f>
        <v>210</v>
      </c>
      <c r="W306" s="5" t="str">
        <f>VLOOKUP($A306,'SegEnds_NonXtal_Prot#'!$A:$AL,18,FALSE)</f>
        <v>-</v>
      </c>
      <c r="X306" s="5">
        <f>VLOOKUP($A306,'SegEnds_NonXtal_Prot#'!$A:$AL,21,FALSE)</f>
        <v>251</v>
      </c>
      <c r="Y306" s="5">
        <f>VLOOKUP($A306,'SegEnds_NonXtal_Prot#'!$A:$AL,24,FALSE)</f>
        <v>282</v>
      </c>
      <c r="Z306" s="5">
        <f>VLOOKUP($A306,'SegEnds_NonXtal_Prot#'!$A:$AL,27,FALSE)</f>
        <v>290</v>
      </c>
      <c r="AA306" s="5">
        <f>VLOOKUP($A306,'SegEnds_NonXtal_Prot#'!$A:$AL,30,FALSE)</f>
        <v>331</v>
      </c>
      <c r="AB306" s="5">
        <f>VLOOKUP($A306,'SegEnds_NonXtal_Prot#'!$A:$AL,33,FALSE)</f>
        <v>359</v>
      </c>
      <c r="AC306" s="5">
        <f>VLOOKUP($A306,'SegEnds_NonXtal_Prot#'!$A:$AL,36,FALSE)</f>
        <v>388</v>
      </c>
      <c r="AD306" s="5">
        <f>VLOOKUP($A306,'SegEnds_NonXtal_Prot#'!$A:$AL,5,FALSE)</f>
        <v>166</v>
      </c>
      <c r="AE306" s="5">
        <f>VLOOKUP($A306,'SegEnds_NonXtal_Prot#'!$A:$AL,8,FALSE)</f>
        <v>170</v>
      </c>
      <c r="AF306" s="5">
        <f>VLOOKUP($A306,'SegEnds_NonXtal_Prot#'!$A:$AL,11,FALSE)</f>
        <v>198</v>
      </c>
      <c r="AG306" s="5" t="str">
        <f>VLOOKUP($A306,'SegEnds_NonXtal_Prot#'!$A:$AL,14,FALSE)</f>
        <v>-</v>
      </c>
      <c r="AH306" s="5">
        <f>VLOOKUP($A306,'SegEnds_NonXtal_Prot#'!$A:$AL,17,FALSE)</f>
        <v>243</v>
      </c>
      <c r="AI306" s="5" t="str">
        <f>VLOOKUP($A306,'SegEnds_NonXtal_Prot#'!$A:$AL,20,FALSE)</f>
        <v>-</v>
      </c>
      <c r="AJ306" s="5">
        <f>VLOOKUP($A306,'SegEnds_NonXtal_Prot#'!$A:$AL,23,FALSE)</f>
        <v>277</v>
      </c>
      <c r="AK306" s="5">
        <f>VLOOKUP($A306,'SegEnds_NonXtal_Prot#'!$A:$AL,26,FALSE)</f>
        <v>284</v>
      </c>
      <c r="AL306" s="5">
        <f>VLOOKUP($A306,'SegEnds_NonXtal_Prot#'!$A:$AL,29,FALSE)</f>
        <v>321</v>
      </c>
      <c r="AM306" s="5">
        <f>VLOOKUP($A306,'SegEnds_NonXtal_Prot#'!$A:$AL,32,FALSE)</f>
        <v>354</v>
      </c>
      <c r="AN306" s="5">
        <f>VLOOKUP($A306,'SegEnds_NonXtal_Prot#'!$A:$AL,35,FALSE)</f>
        <v>387</v>
      </c>
      <c r="AO306" s="5">
        <f>VLOOKUP($A306,'SegEnds_NonXtal_Prot#'!$A:$AL,38,FALSE)</f>
        <v>413</v>
      </c>
      <c r="AP306" s="5">
        <f t="shared" si="113"/>
        <v>36</v>
      </c>
      <c r="AQ306" s="4">
        <f t="shared" si="114"/>
        <v>3</v>
      </c>
      <c r="AR306" s="4">
        <f t="shared" si="115"/>
        <v>27</v>
      </c>
      <c r="AS306" s="4" t="str">
        <f t="shared" si="116"/>
        <v>-</v>
      </c>
      <c r="AT306" s="4">
        <f t="shared" si="117"/>
        <v>33</v>
      </c>
      <c r="AU306" s="4" t="str">
        <f t="shared" si="118"/>
        <v>-</v>
      </c>
      <c r="AV306" s="4">
        <f t="shared" si="119"/>
        <v>26</v>
      </c>
      <c r="AW306" s="4">
        <f t="shared" si="120"/>
        <v>2</v>
      </c>
      <c r="AX306" s="4">
        <f t="shared" si="121"/>
        <v>31</v>
      </c>
      <c r="AY306" s="4">
        <f t="shared" si="122"/>
        <v>23</v>
      </c>
      <c r="AZ306" s="4">
        <f t="shared" si="123"/>
        <v>28</v>
      </c>
      <c r="BA306" s="4">
        <f t="shared" si="124"/>
        <v>25</v>
      </c>
    </row>
    <row r="307" spans="1:53" x14ac:dyDescent="0.2">
      <c r="A307" s="1" t="str">
        <f>'SegEnds_NonXtal_Prot#'!A301</f>
        <v>crfr1_human</v>
      </c>
      <c r="B307" s="1" t="str">
        <f t="shared" si="100"/>
        <v>QEILNEEKKSKVHYHVAVIINYLGHCISLVALLVAFVLFLRLCLRNIIHWNLISAFILRNATWFVVQLTVGWCRLVTAAYNYFHVTNFFWMFGEGCYLHTAIVLLRKWMFICIGWGVPFPIIVAWAIGKLYYDTDYIYQGPMILVLLINFIFLFNIVRILMTKLSETIQYRKAVKATLVLLPLLGITYMLFFVVSRVVFIYFNSFLESFQGFFVSVFYCFLNSEVRSAIRKRWHRWQDKHSIRARVA</v>
      </c>
      <c r="C307" s="29" t="str">
        <f>IF(ISERROR(MATCH(A307,'SegEnds_Xtal_Prot#'!B:B, 0)), "NoXtal", "Xtal")</f>
        <v>Xtal</v>
      </c>
      <c r="D307" s="4" t="str">
        <f>VLOOKUP(A307,Classification!A:D,2,FALSE)</f>
        <v>B1</v>
      </c>
      <c r="E307" s="5" t="str">
        <f>VLOOKUP(A307,Seqs!A:B,2,FALSE)</f>
        <v>MGGHPQLRLVKALLLLGLNPVSASLQDQHCESLSLASNISGLQCNASVDLIGTCWPRSPAGQLVVRPCPAFFYGVRYNTTNNGYRECLANGSWAARVNYSECQEILNEEKKSKVHYHVAVIINYLGHCISLVALLVAFVLFLRLRSIRCLRNIIHWNLISAFILRNATWFVVQLTMSPEVHQSNVGWCRLVTAAYNYFHVTNFFWMFGEGCYLHTAIVLTYSTDRLRKWMFICIGWGVPFPIIVAWAIGKLYYDNEKCWFGKRPGVYTDYIYQGPMILVLLINFIFLFNIVRILMTKLRASTTSETIQYRKAVKATLVLLPLLGITYMLFFVNPGEDEVSRVVFIYFNSFLESFQGFFVSVFYCFLNSEVRSAIRKRWHRWQDKHSIRARVARAMSIPTSPTRVSFHSIKQSTAV</v>
      </c>
      <c r="F307" s="5" t="str">
        <f t="shared" si="101"/>
        <v>QEILNEEKKSKVHYHVAVIINYLGHCISLVALLVAFVLFLRL</v>
      </c>
      <c r="G307" s="4" t="str">
        <f t="shared" si="102"/>
        <v>RSIR</v>
      </c>
      <c r="H307" s="4" t="str">
        <f t="shared" si="103"/>
        <v>CLRNIIHWNLISAFILRNATWFVVQLT</v>
      </c>
      <c r="I307" s="4" t="str">
        <f t="shared" si="104"/>
        <v/>
      </c>
      <c r="J307" s="4" t="str">
        <f t="shared" si="105"/>
        <v>VGWCRLVTAAYNYFHVTNFFWMFGEGCYLHTAIVL</v>
      </c>
      <c r="K307" s="4" t="str">
        <f t="shared" si="106"/>
        <v/>
      </c>
      <c r="L307" s="4" t="str">
        <f t="shared" si="107"/>
        <v>LRKWMFICIGWGVPFPIIVAWAIGKLYYD</v>
      </c>
      <c r="M307" s="4" t="str">
        <f t="shared" si="108"/>
        <v>CWF</v>
      </c>
      <c r="N307" s="4" t="str">
        <f t="shared" si="109"/>
        <v>TDYIYQGPMILVLLINFIFLFNIVRILMTKL</v>
      </c>
      <c r="O307" s="4" t="str">
        <f t="shared" si="110"/>
        <v>SETIQYRKAVKATLVLLPLLGITYMLFFV</v>
      </c>
      <c r="P307" s="4" t="str">
        <f t="shared" si="111"/>
        <v>VSRVVFIYFNSFLESFQGFFVSVFYCFL</v>
      </c>
      <c r="Q307" s="4" t="str">
        <f t="shared" si="112"/>
        <v>NSEVRSAIRKRWHRWQDKHSIRARVA</v>
      </c>
      <c r="R307" s="5">
        <f>VLOOKUP($A307,'SegEnds_NonXtal_Prot#'!$A:$AL,3,FALSE)</f>
        <v>103</v>
      </c>
      <c r="S307" s="5">
        <f>VLOOKUP($A307,'SegEnds_NonXtal_Prot#'!$A:$AL,6,FALSE)</f>
        <v>145</v>
      </c>
      <c r="T307" s="5">
        <f>VLOOKUP($A307,'SegEnds_NonXtal_Prot#'!$A:$AL,9,FALSE)</f>
        <v>149</v>
      </c>
      <c r="U307" s="5" t="str">
        <f>VLOOKUP($A307,'SegEnds_NonXtal_Prot#'!$A:$AL,12,FALSE)</f>
        <v>-</v>
      </c>
      <c r="V307" s="5">
        <f>VLOOKUP($A307,'SegEnds_NonXtal_Prot#'!$A:$AL,15,FALSE)</f>
        <v>185</v>
      </c>
      <c r="W307" s="5" t="str">
        <f>VLOOKUP($A307,'SegEnds_NonXtal_Prot#'!$A:$AL,18,FALSE)</f>
        <v>-</v>
      </c>
      <c r="X307" s="5">
        <f>VLOOKUP($A307,'SegEnds_NonXtal_Prot#'!$A:$AL,21,FALSE)</f>
        <v>226</v>
      </c>
      <c r="Y307" s="5">
        <f>VLOOKUP($A307,'SegEnds_NonXtal_Prot#'!$A:$AL,24,FALSE)</f>
        <v>258</v>
      </c>
      <c r="Z307" s="5">
        <f>VLOOKUP($A307,'SegEnds_NonXtal_Prot#'!$A:$AL,27,FALSE)</f>
        <v>268</v>
      </c>
      <c r="AA307" s="5">
        <f>VLOOKUP($A307,'SegEnds_NonXtal_Prot#'!$A:$AL,30,FALSE)</f>
        <v>304</v>
      </c>
      <c r="AB307" s="5">
        <f>VLOOKUP($A307,'SegEnds_NonXtal_Prot#'!$A:$AL,33,FALSE)</f>
        <v>339</v>
      </c>
      <c r="AC307" s="5">
        <f>VLOOKUP($A307,'SegEnds_NonXtal_Prot#'!$A:$AL,36,FALSE)</f>
        <v>367</v>
      </c>
      <c r="AD307" s="5">
        <f>VLOOKUP($A307,'SegEnds_NonXtal_Prot#'!$A:$AL,5,FALSE)</f>
        <v>144</v>
      </c>
      <c r="AE307" s="5">
        <f>VLOOKUP($A307,'SegEnds_NonXtal_Prot#'!$A:$AL,8,FALSE)</f>
        <v>148</v>
      </c>
      <c r="AF307" s="5">
        <f>VLOOKUP($A307,'SegEnds_NonXtal_Prot#'!$A:$AL,11,FALSE)</f>
        <v>175</v>
      </c>
      <c r="AG307" s="5" t="str">
        <f>VLOOKUP($A307,'SegEnds_NonXtal_Prot#'!$A:$AL,14,FALSE)</f>
        <v>-</v>
      </c>
      <c r="AH307" s="5">
        <f>VLOOKUP($A307,'SegEnds_NonXtal_Prot#'!$A:$AL,17,FALSE)</f>
        <v>219</v>
      </c>
      <c r="AI307" s="5" t="str">
        <f>VLOOKUP($A307,'SegEnds_NonXtal_Prot#'!$A:$AL,20,FALSE)</f>
        <v>-</v>
      </c>
      <c r="AJ307" s="5">
        <f>VLOOKUP($A307,'SegEnds_NonXtal_Prot#'!$A:$AL,23,FALSE)</f>
        <v>254</v>
      </c>
      <c r="AK307" s="5">
        <f>VLOOKUP($A307,'SegEnds_NonXtal_Prot#'!$A:$AL,26,FALSE)</f>
        <v>260</v>
      </c>
      <c r="AL307" s="5">
        <f>VLOOKUP($A307,'SegEnds_NonXtal_Prot#'!$A:$AL,29,FALSE)</f>
        <v>298</v>
      </c>
      <c r="AM307" s="5">
        <f>VLOOKUP($A307,'SegEnds_NonXtal_Prot#'!$A:$AL,32,FALSE)</f>
        <v>332</v>
      </c>
      <c r="AN307" s="5">
        <f>VLOOKUP($A307,'SegEnds_NonXtal_Prot#'!$A:$AL,35,FALSE)</f>
        <v>366</v>
      </c>
      <c r="AO307" s="5">
        <f>VLOOKUP($A307,'SegEnds_NonXtal_Prot#'!$A:$AL,38,FALSE)</f>
        <v>392</v>
      </c>
      <c r="AP307" s="5">
        <f t="shared" si="113"/>
        <v>41</v>
      </c>
      <c r="AQ307" s="4">
        <f t="shared" si="114"/>
        <v>3</v>
      </c>
      <c r="AR307" s="4">
        <f t="shared" si="115"/>
        <v>26</v>
      </c>
      <c r="AS307" s="4" t="str">
        <f t="shared" si="116"/>
        <v>-</v>
      </c>
      <c r="AT307" s="4">
        <f t="shared" si="117"/>
        <v>34</v>
      </c>
      <c r="AU307" s="4" t="str">
        <f t="shared" si="118"/>
        <v>-</v>
      </c>
      <c r="AV307" s="4">
        <f t="shared" si="119"/>
        <v>28</v>
      </c>
      <c r="AW307" s="4">
        <f t="shared" si="120"/>
        <v>2</v>
      </c>
      <c r="AX307" s="4">
        <f t="shared" si="121"/>
        <v>30</v>
      </c>
      <c r="AY307" s="4">
        <f t="shared" si="122"/>
        <v>28</v>
      </c>
      <c r="AZ307" s="4">
        <f t="shared" si="123"/>
        <v>27</v>
      </c>
      <c r="BA307" s="4">
        <f t="shared" si="124"/>
        <v>25</v>
      </c>
    </row>
    <row r="308" spans="1:53" x14ac:dyDescent="0.2">
      <c r="A308" s="1" t="str">
        <f>'SegEnds_NonXtal_Prot#'!A302</f>
        <v>crfr2_human</v>
      </c>
      <c r="B308" s="1" t="str">
        <f t="shared" si="100"/>
        <v>PILDDKQRKYDLHYRIALVVNYLGHCVSVAALVAAFLLFLALCLRNVIHWNLITTFILRNVMWFLLQLVEVWCRCITTIFNYFVVTNFFWMFVEGCYLHTAIVMLRKCLFLFIGWCIPFPIIVAWAIGKLYYEVDYIYQGPIILVLLINFVFLFNIVRILMTKLSETIQYRKAVKATLVLLPLLGITYMLFFVLSQIMFIYFNSFLQSFQGFFVSVFYCFFNGEVRSAVRKRWHRWQDHHSLRVPMA</v>
      </c>
      <c r="C308" s="29" t="str">
        <f>IF(ISERROR(MATCH(A308,'SegEnds_Xtal_Prot#'!B:B, 0)), "NoXtal", "Xtal")</f>
        <v>NoXtal</v>
      </c>
      <c r="D308" s="4" t="str">
        <f>VLOOKUP(A308,Classification!A:D,2,FALSE)</f>
        <v>B1</v>
      </c>
      <c r="E308" s="5" t="str">
        <f>VLOOKUP(A308,Seqs!A:B,2,FALSE)</f>
        <v>MDAALLHSLLEANCSLALAEELLLDGWGPPLDPEGPYSYCNTTLDQIGTCWPRSAAGALVERPCPEYFNGVKYNTTRNAYRECLENGTWASKINYSQCEPILDDKQRKYDLHYRIALVVNYLGHCVSVAALVAAFLLFLALRSIRCLRNVIHWNLITTFILRNVMWFLLQLVDHEVHESNEVWCRCITTIFNYFVVTNFFWMFVEGCYLHTAIVMTYSTERLRKCLFLFIGWCIPFPIIVAWAIGKLYYENEQCWFGKEPGDLVDYIYQGPIILVLLINFVFLFNIVRILMTKLRASTTSETIQYRKAVKATLVLLPLLGITYMLFFVNPGEDDLSQIMFIYFNSFLQSFQGFFVSVFYCFFNGEVRSAVRKRWHRWQDHHSLRVPMARAMSIPTSPTRISFHSIKQTAAV</v>
      </c>
      <c r="F308" s="5" t="str">
        <f t="shared" si="101"/>
        <v>PILDDKQRKYDLHYRIALVVNYLGHCVSVAALVAAFLLFLAL</v>
      </c>
      <c r="G308" s="4" t="str">
        <f t="shared" si="102"/>
        <v>RSIR</v>
      </c>
      <c r="H308" s="4" t="str">
        <f t="shared" si="103"/>
        <v>CLRNVIHWNLITTFILRNVMWFLLQLV</v>
      </c>
      <c r="I308" s="4" t="str">
        <f t="shared" si="104"/>
        <v/>
      </c>
      <c r="J308" s="4" t="str">
        <f t="shared" si="105"/>
        <v>EVWCRCITTIFNYFVVTNFFWMFVEGCYLHTAIVM</v>
      </c>
      <c r="K308" s="4" t="str">
        <f t="shared" si="106"/>
        <v/>
      </c>
      <c r="L308" s="4" t="str">
        <f t="shared" si="107"/>
        <v>LRKCLFLFIGWCIPFPIIVAWAIGKLYYE</v>
      </c>
      <c r="M308" s="4" t="str">
        <f t="shared" si="108"/>
        <v>CWF</v>
      </c>
      <c r="N308" s="4" t="str">
        <f t="shared" si="109"/>
        <v>VDYIYQGPIILVLLINFVFLFNIVRILMTKL</v>
      </c>
      <c r="O308" s="4" t="str">
        <f t="shared" si="110"/>
        <v>SETIQYRKAVKATLVLLPLLGITYMLFFV</v>
      </c>
      <c r="P308" s="4" t="str">
        <f t="shared" si="111"/>
        <v>LSQIMFIYFNSFLQSFQGFFVSVFYCFF</v>
      </c>
      <c r="Q308" s="4" t="str">
        <f t="shared" si="112"/>
        <v>NGEVRSAVRKRWHRWQDHHSLRVPMA</v>
      </c>
      <c r="R308" s="5">
        <f>VLOOKUP($A308,'SegEnds_NonXtal_Prot#'!$A:$AL,3,FALSE)</f>
        <v>100</v>
      </c>
      <c r="S308" s="5">
        <f>VLOOKUP($A308,'SegEnds_NonXtal_Prot#'!$A:$AL,6,FALSE)</f>
        <v>142</v>
      </c>
      <c r="T308" s="5">
        <f>VLOOKUP($A308,'SegEnds_NonXtal_Prot#'!$A:$AL,9,FALSE)</f>
        <v>146</v>
      </c>
      <c r="U308" s="5" t="str">
        <f>VLOOKUP($A308,'SegEnds_NonXtal_Prot#'!$A:$AL,12,FALSE)</f>
        <v>-</v>
      </c>
      <c r="V308" s="5">
        <f>VLOOKUP($A308,'SegEnds_NonXtal_Prot#'!$A:$AL,15,FALSE)</f>
        <v>181</v>
      </c>
      <c r="W308" s="5" t="str">
        <f>VLOOKUP($A308,'SegEnds_NonXtal_Prot#'!$A:$AL,18,FALSE)</f>
        <v>-</v>
      </c>
      <c r="X308" s="5">
        <f>VLOOKUP($A308,'SegEnds_NonXtal_Prot#'!$A:$AL,21,FALSE)</f>
        <v>222</v>
      </c>
      <c r="Y308" s="5">
        <f>VLOOKUP($A308,'SegEnds_NonXtal_Prot#'!$A:$AL,24,FALSE)</f>
        <v>254</v>
      </c>
      <c r="Z308" s="5">
        <f>VLOOKUP($A308,'SegEnds_NonXtal_Prot#'!$A:$AL,27,FALSE)</f>
        <v>264</v>
      </c>
      <c r="AA308" s="5">
        <f>VLOOKUP($A308,'SegEnds_NonXtal_Prot#'!$A:$AL,30,FALSE)</f>
        <v>300</v>
      </c>
      <c r="AB308" s="5">
        <f>VLOOKUP($A308,'SegEnds_NonXtal_Prot#'!$A:$AL,33,FALSE)</f>
        <v>335</v>
      </c>
      <c r="AC308" s="5">
        <f>VLOOKUP($A308,'SegEnds_NonXtal_Prot#'!$A:$AL,36,FALSE)</f>
        <v>363</v>
      </c>
      <c r="AD308" s="5">
        <f>VLOOKUP($A308,'SegEnds_NonXtal_Prot#'!$A:$AL,5,FALSE)</f>
        <v>141</v>
      </c>
      <c r="AE308" s="5">
        <f>VLOOKUP($A308,'SegEnds_NonXtal_Prot#'!$A:$AL,8,FALSE)</f>
        <v>145</v>
      </c>
      <c r="AF308" s="5">
        <f>VLOOKUP($A308,'SegEnds_NonXtal_Prot#'!$A:$AL,11,FALSE)</f>
        <v>172</v>
      </c>
      <c r="AG308" s="5" t="str">
        <f>VLOOKUP($A308,'SegEnds_NonXtal_Prot#'!$A:$AL,14,FALSE)</f>
        <v>-</v>
      </c>
      <c r="AH308" s="5">
        <f>VLOOKUP($A308,'SegEnds_NonXtal_Prot#'!$A:$AL,17,FALSE)</f>
        <v>215</v>
      </c>
      <c r="AI308" s="5" t="str">
        <f>VLOOKUP($A308,'SegEnds_NonXtal_Prot#'!$A:$AL,20,FALSE)</f>
        <v>-</v>
      </c>
      <c r="AJ308" s="5">
        <f>VLOOKUP($A308,'SegEnds_NonXtal_Prot#'!$A:$AL,23,FALSE)</f>
        <v>250</v>
      </c>
      <c r="AK308" s="5">
        <f>VLOOKUP($A308,'SegEnds_NonXtal_Prot#'!$A:$AL,26,FALSE)</f>
        <v>256</v>
      </c>
      <c r="AL308" s="5">
        <f>VLOOKUP($A308,'SegEnds_NonXtal_Prot#'!$A:$AL,29,FALSE)</f>
        <v>294</v>
      </c>
      <c r="AM308" s="5">
        <f>VLOOKUP($A308,'SegEnds_NonXtal_Prot#'!$A:$AL,32,FALSE)</f>
        <v>328</v>
      </c>
      <c r="AN308" s="5">
        <f>VLOOKUP($A308,'SegEnds_NonXtal_Prot#'!$A:$AL,35,FALSE)</f>
        <v>362</v>
      </c>
      <c r="AO308" s="5">
        <f>VLOOKUP($A308,'SegEnds_NonXtal_Prot#'!$A:$AL,38,FALSE)</f>
        <v>388</v>
      </c>
      <c r="AP308" s="5">
        <f t="shared" si="113"/>
        <v>41</v>
      </c>
      <c r="AQ308" s="4">
        <f t="shared" si="114"/>
        <v>3</v>
      </c>
      <c r="AR308" s="4">
        <f t="shared" si="115"/>
        <v>26</v>
      </c>
      <c r="AS308" s="4" t="str">
        <f t="shared" si="116"/>
        <v>-</v>
      </c>
      <c r="AT308" s="4">
        <f t="shared" si="117"/>
        <v>34</v>
      </c>
      <c r="AU308" s="4" t="str">
        <f t="shared" si="118"/>
        <v>-</v>
      </c>
      <c r="AV308" s="4">
        <f t="shared" si="119"/>
        <v>28</v>
      </c>
      <c r="AW308" s="4">
        <f t="shared" si="120"/>
        <v>2</v>
      </c>
      <c r="AX308" s="4">
        <f t="shared" si="121"/>
        <v>30</v>
      </c>
      <c r="AY308" s="4">
        <f t="shared" si="122"/>
        <v>28</v>
      </c>
      <c r="AZ308" s="4">
        <f t="shared" si="123"/>
        <v>27</v>
      </c>
      <c r="BA308" s="4">
        <f t="shared" si="124"/>
        <v>25</v>
      </c>
    </row>
    <row r="309" spans="1:53" x14ac:dyDescent="0.2">
      <c r="A309" s="1" t="str">
        <f>'SegEnds_NonXtal_Prot#'!A303</f>
        <v>g1sgd4_rabit</v>
      </c>
      <c r="B309" s="1" t="str">
        <f t="shared" si="100"/>
        <v>PEEQLLSLYIIYTVGYALSFSALVIASAILLGFCTRNYIHLNLFASFILRALSVFIKDAALKWMYSTAAQQLGCRLVFLLMQYCVAANYYWLLVEGAYLYTLLAFSEQRIFKLYLSIGWGVPLLFVIPWGIVKYLYEYWLIIRLPILFAIGVNFLIFIRVICIVVSKLKAKCRLAKSTLTLIPLLGTHEVIFAFLRFVKLFTELSFTSFQGLMVAILYCFVNNEVQMEFRKSWERWRLEHLRVQRDS</v>
      </c>
      <c r="C309" s="29" t="str">
        <f>IF(ISERROR(MATCH(A309,'SegEnds_Xtal_Prot#'!B:B, 0)), "NoXtal", "Xtal")</f>
        <v>Xtal</v>
      </c>
      <c r="D309" s="4" t="str">
        <f>VLOOKUP(A309,Classification!A:D,2,FALSE)</f>
        <v>B1</v>
      </c>
      <c r="E309" s="5" t="str">
        <f>VLOOKUP(A309,Seqs!A:B,2,FALSE)</f>
        <v>MAGAPSPLRLALLLLGAVGRAGPRPQGATVSLSETVQKWREYRRQCQHFLTEAPPLATGLFCNRTFDDYACWPDGAPGSFVNVSCPWYLPWASNVLQGHVYRFCTTEGHWLHKDNSSLPWRDLSECEESRRGEKSSPEEQLLSLYIIYTVGYALSFSALVIASAILLGFRHLHCTRNYIHLNLFASFILRALSVFIKDAALKWMYSTAAQQHQWDGLLSYQDSLGCRLVFLLMQYCVAANYYWLLVEGAYLYTLLAFAVFSEQRIFKLYLSIGWGVPLLFVIPWGIVKYLYEDEGCWTRNSNMNYWLIIRLPILFAIGVNFLIFIRVICIVVSKLKANLMCKTDIKCRLAKSTLTLIPLLGTHEVIFAFVMDEHARGTLRFVKLFTELSFTSFQGLMVAILYCFVNNEVQMEFRKSWERWRLEHLRVQRDSSMKPLKCPTSSLSSGATGGSSVYAATSQACS</v>
      </c>
      <c r="F309" s="5" t="str">
        <f t="shared" si="101"/>
        <v>PEEQLLSLYIIYTVGYALSFSALVIASAILLGF</v>
      </c>
      <c r="G309" s="4" t="str">
        <f t="shared" si="102"/>
        <v>RHLH</v>
      </c>
      <c r="H309" s="4" t="str">
        <f t="shared" si="103"/>
        <v>CTRNYIHLNLFASFILRALSVFIKDAALKWMYSTAAQQ</v>
      </c>
      <c r="I309" s="4" t="str">
        <f t="shared" si="104"/>
        <v/>
      </c>
      <c r="J309" s="4" t="str">
        <f t="shared" si="105"/>
        <v>LGCRLVFLLMQYCVAANYYWLLVEGAYLYTLLAF</v>
      </c>
      <c r="K309" s="4" t="str">
        <f t="shared" si="106"/>
        <v/>
      </c>
      <c r="L309" s="4" t="str">
        <f t="shared" si="107"/>
        <v>SEQRIFKLYLSIGWGVPLLFVIPWGIVKYLYE</v>
      </c>
      <c r="M309" s="4" t="str">
        <f t="shared" si="108"/>
        <v>CWT</v>
      </c>
      <c r="N309" s="4" t="str">
        <f t="shared" si="109"/>
        <v>YWLIIRLPILFAIGVNFLIFIRVICIVVSKLKA</v>
      </c>
      <c r="O309" s="4" t="str">
        <f t="shared" si="110"/>
        <v>KCRLAKSTLTLIPLLGTHEVIFAF</v>
      </c>
      <c r="P309" s="4" t="str">
        <f t="shared" si="111"/>
        <v>LRFVKLFTELSFTSFQGLMVAILYCFV</v>
      </c>
      <c r="Q309" s="4" t="str">
        <f t="shared" si="112"/>
        <v>NNEVQMEFRKSWERWRLEHLRVQRDS</v>
      </c>
      <c r="R309" s="5">
        <f>VLOOKUP($A309,'SegEnds_NonXtal_Prot#'!$A:$AL,3,FALSE)</f>
        <v>137</v>
      </c>
      <c r="S309" s="5">
        <f>VLOOKUP($A309,'SegEnds_NonXtal_Prot#'!$A:$AL,6,FALSE)</f>
        <v>170</v>
      </c>
      <c r="T309" s="5">
        <f>VLOOKUP($A309,'SegEnds_NonXtal_Prot#'!$A:$AL,9,FALSE)</f>
        <v>174</v>
      </c>
      <c r="U309" s="5" t="str">
        <f>VLOOKUP($A309,'SegEnds_NonXtal_Prot#'!$A:$AL,12,FALSE)</f>
        <v>-</v>
      </c>
      <c r="V309" s="5">
        <f>VLOOKUP($A309,'SegEnds_NonXtal_Prot#'!$A:$AL,15,FALSE)</f>
        <v>224</v>
      </c>
      <c r="W309" s="5" t="str">
        <f>VLOOKUP($A309,'SegEnds_NonXtal_Prot#'!$A:$AL,18,FALSE)</f>
        <v>-</v>
      </c>
      <c r="X309" s="5">
        <f>VLOOKUP($A309,'SegEnds_NonXtal_Prot#'!$A:$AL,21,FALSE)</f>
        <v>261</v>
      </c>
      <c r="Y309" s="5">
        <f>VLOOKUP($A309,'SegEnds_NonXtal_Prot#'!$A:$AL,24,FALSE)</f>
        <v>296</v>
      </c>
      <c r="Z309" s="5">
        <f>VLOOKUP($A309,'SegEnds_NonXtal_Prot#'!$A:$AL,27,FALSE)</f>
        <v>305</v>
      </c>
      <c r="AA309" s="5">
        <f>VLOOKUP($A309,'SegEnds_NonXtal_Prot#'!$A:$AL,30,FALSE)</f>
        <v>346</v>
      </c>
      <c r="AB309" s="5">
        <f>VLOOKUP($A309,'SegEnds_NonXtal_Prot#'!$A:$AL,33,FALSE)</f>
        <v>379</v>
      </c>
      <c r="AC309" s="5">
        <f>VLOOKUP($A309,'SegEnds_NonXtal_Prot#'!$A:$AL,36,FALSE)</f>
        <v>406</v>
      </c>
      <c r="AD309" s="5">
        <f>VLOOKUP($A309,'SegEnds_NonXtal_Prot#'!$A:$AL,5,FALSE)</f>
        <v>169</v>
      </c>
      <c r="AE309" s="5">
        <f>VLOOKUP($A309,'SegEnds_NonXtal_Prot#'!$A:$AL,8,FALSE)</f>
        <v>173</v>
      </c>
      <c r="AF309" s="5">
        <f>VLOOKUP($A309,'SegEnds_NonXtal_Prot#'!$A:$AL,11,FALSE)</f>
        <v>211</v>
      </c>
      <c r="AG309" s="5" t="str">
        <f>VLOOKUP($A309,'SegEnds_NonXtal_Prot#'!$A:$AL,14,FALSE)</f>
        <v>-</v>
      </c>
      <c r="AH309" s="5">
        <f>VLOOKUP($A309,'SegEnds_NonXtal_Prot#'!$A:$AL,17,FALSE)</f>
        <v>257</v>
      </c>
      <c r="AI309" s="5" t="str">
        <f>VLOOKUP($A309,'SegEnds_NonXtal_Prot#'!$A:$AL,20,FALSE)</f>
        <v>-</v>
      </c>
      <c r="AJ309" s="5">
        <f>VLOOKUP($A309,'SegEnds_NonXtal_Prot#'!$A:$AL,23,FALSE)</f>
        <v>292</v>
      </c>
      <c r="AK309" s="5">
        <f>VLOOKUP($A309,'SegEnds_NonXtal_Prot#'!$A:$AL,26,FALSE)</f>
        <v>298</v>
      </c>
      <c r="AL309" s="5">
        <f>VLOOKUP($A309,'SegEnds_NonXtal_Prot#'!$A:$AL,29,FALSE)</f>
        <v>337</v>
      </c>
      <c r="AM309" s="5">
        <f>VLOOKUP($A309,'SegEnds_NonXtal_Prot#'!$A:$AL,32,FALSE)</f>
        <v>369</v>
      </c>
      <c r="AN309" s="5">
        <f>VLOOKUP($A309,'SegEnds_NonXtal_Prot#'!$A:$AL,35,FALSE)</f>
        <v>405</v>
      </c>
      <c r="AO309" s="5">
        <f>VLOOKUP($A309,'SegEnds_NonXtal_Prot#'!$A:$AL,38,FALSE)</f>
        <v>431</v>
      </c>
      <c r="AP309" s="5">
        <f t="shared" si="113"/>
        <v>32</v>
      </c>
      <c r="AQ309" s="4">
        <f t="shared" si="114"/>
        <v>3</v>
      </c>
      <c r="AR309" s="4">
        <f t="shared" si="115"/>
        <v>37</v>
      </c>
      <c r="AS309" s="4" t="str">
        <f t="shared" si="116"/>
        <v>-</v>
      </c>
      <c r="AT309" s="4">
        <f t="shared" si="117"/>
        <v>33</v>
      </c>
      <c r="AU309" s="4" t="str">
        <f t="shared" si="118"/>
        <v>-</v>
      </c>
      <c r="AV309" s="4">
        <f t="shared" si="119"/>
        <v>31</v>
      </c>
      <c r="AW309" s="4">
        <f t="shared" si="120"/>
        <v>2</v>
      </c>
      <c r="AX309" s="4">
        <f t="shared" si="121"/>
        <v>32</v>
      </c>
      <c r="AY309" s="4">
        <f t="shared" si="122"/>
        <v>23</v>
      </c>
      <c r="AZ309" s="4">
        <f t="shared" si="123"/>
        <v>26</v>
      </c>
      <c r="BA309" s="4">
        <f t="shared" si="124"/>
        <v>25</v>
      </c>
    </row>
    <row r="310" spans="1:53" x14ac:dyDescent="0.2">
      <c r="A310" s="1" t="str">
        <f>'SegEnds_NonXtal_Prot#'!A304</f>
        <v>ghrhr_human</v>
      </c>
      <c r="B310" s="1" t="str">
        <f t="shared" si="100"/>
        <v>EEESYFSTVKIIYTVGHSISIVALFVAITILVALCPRNYVHTQLFTTFILKAGAVFLKDAALVLCKVSVAASHFATMTNFSWLLAEAVYLNCLLASSSRRAFWWLVLAGWGLPVLFTGTWVSCKLAFEYWWIIKGPIVLSVGVNFGLFLNIIRILVRKLHTQSQYWRLSKSTLFLIPLFGIHYIIFNFLLGIRLPLELGLGSFQGFIVAILYCFLNQEVRTEISRKWHGHDPELLPAWRTR</v>
      </c>
      <c r="C310" s="29" t="str">
        <f>IF(ISERROR(MATCH(A310,'SegEnds_Xtal_Prot#'!B:B, 0)), "NoXtal", "Xtal")</f>
        <v>NoXtal</v>
      </c>
      <c r="D310" s="4" t="str">
        <f>VLOOKUP(A310,Classification!A:D,2,FALSE)</f>
        <v>B1</v>
      </c>
      <c r="E310" s="5" t="str">
        <f>VLOOKUP(A310,Seqs!A:B,2,FALSE)</f>
        <v>MDRRMWGAHVFCVLSPLPTVLGHMHPECDFITQLREDESACLQAAEEMPNTTLGCPATWDGLLCWPTAGSGEWVTLPCPDFFSHFSSESGAVKRDCTITGWSEPFPPYPVACPVPLELLAEEESYFSTVKIIYTVGHSISIVALFVAITILVALRRLHCPRNYVHTQLFTTFILKAGAVFLKDAALFHSDDTDHCSFSTVLCKVSVAASHFATMTNFSWLLAEAVYLNCLLASTSPSSRRAFWWLVLAGWGLPVLFTGTWVSCKLAFEDIACWDLDDTSPYWWIIKGPIVLSVGVNFGLFLNIIRILVRKLEPAQGSLHTQSQYWRLSKSTLFLIPLFGIHYIIFNFLPDNAGLGIRLPLELGLGSFQGFIVAILYCFLNQEVRTEISRKWHGHDPELLPAWRTRAKWTTPSRSAAKVLTSMC</v>
      </c>
      <c r="F310" s="5" t="str">
        <f t="shared" si="101"/>
        <v>EEESYFSTVKIIYTVGHSISIVALFVAITILVAL</v>
      </c>
      <c r="G310" s="4" t="str">
        <f t="shared" si="102"/>
        <v>RRLH</v>
      </c>
      <c r="H310" s="4" t="str">
        <f t="shared" si="103"/>
        <v>CPRNYVHTQLFTTFILKAGAVFLKDAAL</v>
      </c>
      <c r="I310" s="4" t="str">
        <f t="shared" si="104"/>
        <v/>
      </c>
      <c r="J310" s="4" t="str">
        <f t="shared" si="105"/>
        <v>VLCKVSVAASHFATMTNFSWLLAEAVYLNCLLAS</v>
      </c>
      <c r="K310" s="4" t="str">
        <f t="shared" si="106"/>
        <v/>
      </c>
      <c r="L310" s="4" t="str">
        <f t="shared" si="107"/>
        <v>SSRRAFWWLVLAGWGLPVLFTGTWVSCKLAFE</v>
      </c>
      <c r="M310" s="4" t="str">
        <f t="shared" si="108"/>
        <v>CWD</v>
      </c>
      <c r="N310" s="4" t="str">
        <f t="shared" si="109"/>
        <v>YWWIIKGPIVLSVGVNFGLFLNIIRILVRKL</v>
      </c>
      <c r="O310" s="4" t="str">
        <f t="shared" si="110"/>
        <v>HTQSQYWRLSKSTLFLIPLFGIHYIIFNFL</v>
      </c>
      <c r="P310" s="4" t="str">
        <f t="shared" si="111"/>
        <v>LGIRLPLELGLGSFQGFIVAILYCFL</v>
      </c>
      <c r="Q310" s="4" t="str">
        <f t="shared" si="112"/>
        <v>NQEVRTEISRKWHGHDPELLPAWRTR</v>
      </c>
      <c r="R310" s="5">
        <f>VLOOKUP($A310,'SegEnds_NonXtal_Prot#'!$A:$AL,3,FALSE)</f>
        <v>121</v>
      </c>
      <c r="S310" s="5">
        <f>VLOOKUP($A310,'SegEnds_NonXtal_Prot#'!$A:$AL,6,FALSE)</f>
        <v>155</v>
      </c>
      <c r="T310" s="5">
        <f>VLOOKUP($A310,'SegEnds_NonXtal_Prot#'!$A:$AL,9,FALSE)</f>
        <v>159</v>
      </c>
      <c r="U310" s="5" t="str">
        <f>VLOOKUP($A310,'SegEnds_NonXtal_Prot#'!$A:$AL,12,FALSE)</f>
        <v>-</v>
      </c>
      <c r="V310" s="5">
        <f>VLOOKUP($A310,'SegEnds_NonXtal_Prot#'!$A:$AL,15,FALSE)</f>
        <v>200</v>
      </c>
      <c r="W310" s="5" t="str">
        <f>VLOOKUP($A310,'SegEnds_NonXtal_Prot#'!$A:$AL,18,FALSE)</f>
        <v>-</v>
      </c>
      <c r="X310" s="5">
        <f>VLOOKUP($A310,'SegEnds_NonXtal_Prot#'!$A:$AL,21,FALSE)</f>
        <v>237</v>
      </c>
      <c r="Y310" s="5">
        <f>VLOOKUP($A310,'SegEnds_NonXtal_Prot#'!$A:$AL,24,FALSE)</f>
        <v>272</v>
      </c>
      <c r="Z310" s="5">
        <f>VLOOKUP($A310,'SegEnds_NonXtal_Prot#'!$A:$AL,27,FALSE)</f>
        <v>281</v>
      </c>
      <c r="AA310" s="5">
        <f>VLOOKUP($A310,'SegEnds_NonXtal_Prot#'!$A:$AL,30,FALSE)</f>
        <v>319</v>
      </c>
      <c r="AB310" s="5">
        <f>VLOOKUP($A310,'SegEnds_NonXtal_Prot#'!$A:$AL,33,FALSE)</f>
        <v>354</v>
      </c>
      <c r="AC310" s="5">
        <f>VLOOKUP($A310,'SegEnds_NonXtal_Prot#'!$A:$AL,36,FALSE)</f>
        <v>380</v>
      </c>
      <c r="AD310" s="5">
        <f>VLOOKUP($A310,'SegEnds_NonXtal_Prot#'!$A:$AL,5,FALSE)</f>
        <v>154</v>
      </c>
      <c r="AE310" s="5">
        <f>VLOOKUP($A310,'SegEnds_NonXtal_Prot#'!$A:$AL,8,FALSE)</f>
        <v>158</v>
      </c>
      <c r="AF310" s="5">
        <f>VLOOKUP($A310,'SegEnds_NonXtal_Prot#'!$A:$AL,11,FALSE)</f>
        <v>186</v>
      </c>
      <c r="AG310" s="5" t="str">
        <f>VLOOKUP($A310,'SegEnds_NonXtal_Prot#'!$A:$AL,14,FALSE)</f>
        <v>-</v>
      </c>
      <c r="AH310" s="5">
        <f>VLOOKUP($A310,'SegEnds_NonXtal_Prot#'!$A:$AL,17,FALSE)</f>
        <v>233</v>
      </c>
      <c r="AI310" s="5" t="str">
        <f>VLOOKUP($A310,'SegEnds_NonXtal_Prot#'!$A:$AL,20,FALSE)</f>
        <v>-</v>
      </c>
      <c r="AJ310" s="5">
        <f>VLOOKUP($A310,'SegEnds_NonXtal_Prot#'!$A:$AL,23,FALSE)</f>
        <v>268</v>
      </c>
      <c r="AK310" s="5">
        <f>VLOOKUP($A310,'SegEnds_NonXtal_Prot#'!$A:$AL,26,FALSE)</f>
        <v>274</v>
      </c>
      <c r="AL310" s="5">
        <f>VLOOKUP($A310,'SegEnds_NonXtal_Prot#'!$A:$AL,29,FALSE)</f>
        <v>311</v>
      </c>
      <c r="AM310" s="5">
        <f>VLOOKUP($A310,'SegEnds_NonXtal_Prot#'!$A:$AL,32,FALSE)</f>
        <v>348</v>
      </c>
      <c r="AN310" s="5">
        <f>VLOOKUP($A310,'SegEnds_NonXtal_Prot#'!$A:$AL,35,FALSE)</f>
        <v>379</v>
      </c>
      <c r="AO310" s="5">
        <f>VLOOKUP($A310,'SegEnds_NonXtal_Prot#'!$A:$AL,38,FALSE)</f>
        <v>405</v>
      </c>
      <c r="AP310" s="5">
        <f t="shared" si="113"/>
        <v>33</v>
      </c>
      <c r="AQ310" s="4">
        <f t="shared" si="114"/>
        <v>3</v>
      </c>
      <c r="AR310" s="4">
        <f t="shared" si="115"/>
        <v>27</v>
      </c>
      <c r="AS310" s="4" t="str">
        <f t="shared" si="116"/>
        <v>-</v>
      </c>
      <c r="AT310" s="4">
        <f t="shared" si="117"/>
        <v>33</v>
      </c>
      <c r="AU310" s="4" t="str">
        <f t="shared" si="118"/>
        <v>-</v>
      </c>
      <c r="AV310" s="4">
        <f t="shared" si="119"/>
        <v>31</v>
      </c>
      <c r="AW310" s="4">
        <f t="shared" si="120"/>
        <v>2</v>
      </c>
      <c r="AX310" s="4">
        <f t="shared" si="121"/>
        <v>30</v>
      </c>
      <c r="AY310" s="4">
        <f t="shared" si="122"/>
        <v>29</v>
      </c>
      <c r="AZ310" s="4">
        <f t="shared" si="123"/>
        <v>25</v>
      </c>
      <c r="BA310" s="4">
        <f t="shared" si="124"/>
        <v>25</v>
      </c>
    </row>
    <row r="311" spans="1:53" x14ac:dyDescent="0.2">
      <c r="A311" s="1" t="str">
        <f>'SegEnds_NonXtal_Prot#'!A305</f>
        <v>gipr_human</v>
      </c>
      <c r="B311" s="1" t="str">
        <f t="shared" si="100"/>
        <v>FLDQRLILERLQVMYTVGYSLSLATLLLALLILSLFCTRNYIHINLFTSFMLRAAAILSRDRLLAACRTAQIVTQYCVGANYTWLLVEGVYLHSLLVLGHFRYYLLLGWGAPALFVIPWVIVRYLYEIWWIIRTPILMTILINFLIFIRILGILLSKLRTDYRLRLARSTLTLVPLLGVHEVVFAPGALRFAKLGFEIFLSSFQGFLVSVLYCFINKEVQSEIRRGWHHCRLRRSLGEEQR</v>
      </c>
      <c r="C311" s="29" t="str">
        <f>IF(ISERROR(MATCH(A311,'SegEnds_Xtal_Prot#'!B:B, 0)), "NoXtal", "Xtal")</f>
        <v>NoXtal</v>
      </c>
      <c r="D311" s="4" t="str">
        <f>VLOOKUP(A311,Classification!A:D,2,FALSE)</f>
        <v>B1</v>
      </c>
      <c r="E311" s="5" t="str">
        <f>VLOOKUP(A311,Seqs!A:B,2,FALSE)</f>
        <v>MTTSPILQLLLRLSLCGLLLQRAETGSKGQTAGELYQRWERYRRECQETLAAAEPPSGLACNGSFDMYVCWDYAAPNATARASCPWYLPWHHHVAAGFVLRQCGSDGQWGLWRDHTQCENPEKNEAFLDQRLILERLQVMYTVGYSLSLATLLLALLILSLFRRLHCTRNYIHINLFTSFMLRAAAILSRDRLLPRPGPYLGDQALALWNQALAACRTAQIVTQYCVGANYTWLLVEGVYLHSLLVLVGGSEEGHFRYYLLLGWGAPALFVIPWVIVRYLYENTQCWERNEVKAIWWIIRTPILMTILINFLIFIRILGILLSKLRTRQMRCRDYRLRLARSTLTLVPLLGVHEVVFAPVTEEQARGALRFAKLGFEIFLSSFQGFLVSVLYCFINKEVQSEIRRGWHHCRLRRSLGEEQRQLPERAFRALPSGSGPGEVPTSRGLSSGTLPGPGNEASRELESYC</v>
      </c>
      <c r="F311" s="5" t="str">
        <f t="shared" si="101"/>
        <v>FLDQRLILERLQVMYTVGYSLSLATLLLALLILSLF</v>
      </c>
      <c r="G311" s="4" t="str">
        <f t="shared" si="102"/>
        <v>RRLH</v>
      </c>
      <c r="H311" s="4" t="str">
        <f t="shared" si="103"/>
        <v>CTRNYIHINLFTSFMLRAAAILSRDRLL</v>
      </c>
      <c r="I311" s="4" t="str">
        <f t="shared" si="104"/>
        <v/>
      </c>
      <c r="J311" s="4" t="str">
        <f t="shared" si="105"/>
        <v>AACRTAQIVTQYCVGANYTWLLVEGVYLHSLLVL</v>
      </c>
      <c r="K311" s="4" t="str">
        <f t="shared" si="106"/>
        <v/>
      </c>
      <c r="L311" s="4" t="str">
        <f t="shared" si="107"/>
        <v>GHFRYYLLLGWGAPALFVIPWVIVRYLYE</v>
      </c>
      <c r="M311" s="4" t="str">
        <f t="shared" si="108"/>
        <v>CWE</v>
      </c>
      <c r="N311" s="4" t="str">
        <f t="shared" si="109"/>
        <v>IWWIIRTPILMTILINFLIFIRILGILLSKLRT</v>
      </c>
      <c r="O311" s="4" t="str">
        <f t="shared" si="110"/>
        <v>DYRLRLARSTLTLVPLLGVHEVVFAP</v>
      </c>
      <c r="P311" s="4" t="str">
        <f t="shared" si="111"/>
        <v>GALRFAKLGFEIFLSSFQGFLVSVLYCFI</v>
      </c>
      <c r="Q311" s="4" t="str">
        <f t="shared" si="112"/>
        <v>NKEVQSEIRRGWHHCRLRRSLGEEQR</v>
      </c>
      <c r="R311" s="5">
        <f>VLOOKUP($A311,'SegEnds_NonXtal_Prot#'!$A:$AL,3,FALSE)</f>
        <v>127</v>
      </c>
      <c r="S311" s="5">
        <f>VLOOKUP($A311,'SegEnds_NonXtal_Prot#'!$A:$AL,6,FALSE)</f>
        <v>163</v>
      </c>
      <c r="T311" s="5">
        <f>VLOOKUP($A311,'SegEnds_NonXtal_Prot#'!$A:$AL,9,FALSE)</f>
        <v>167</v>
      </c>
      <c r="U311" s="5" t="str">
        <f>VLOOKUP($A311,'SegEnds_NonXtal_Prot#'!$A:$AL,12,FALSE)</f>
        <v>-</v>
      </c>
      <c r="V311" s="5">
        <f>VLOOKUP($A311,'SegEnds_NonXtal_Prot#'!$A:$AL,15,FALSE)</f>
        <v>214</v>
      </c>
      <c r="W311" s="5" t="str">
        <f>VLOOKUP($A311,'SegEnds_NonXtal_Prot#'!$A:$AL,18,FALSE)</f>
        <v>-</v>
      </c>
      <c r="X311" s="5">
        <f>VLOOKUP($A311,'SegEnds_NonXtal_Prot#'!$A:$AL,21,FALSE)</f>
        <v>254</v>
      </c>
      <c r="Y311" s="5">
        <f>VLOOKUP($A311,'SegEnds_NonXtal_Prot#'!$A:$AL,24,FALSE)</f>
        <v>286</v>
      </c>
      <c r="Z311" s="5">
        <f>VLOOKUP($A311,'SegEnds_NonXtal_Prot#'!$A:$AL,27,FALSE)</f>
        <v>295</v>
      </c>
      <c r="AA311" s="5">
        <f>VLOOKUP($A311,'SegEnds_NonXtal_Prot#'!$A:$AL,30,FALSE)</f>
        <v>334</v>
      </c>
      <c r="AB311" s="5">
        <f>VLOOKUP($A311,'SegEnds_NonXtal_Prot#'!$A:$AL,33,FALSE)</f>
        <v>367</v>
      </c>
      <c r="AC311" s="5">
        <f>VLOOKUP($A311,'SegEnds_NonXtal_Prot#'!$A:$AL,36,FALSE)</f>
        <v>396</v>
      </c>
      <c r="AD311" s="5">
        <f>VLOOKUP($A311,'SegEnds_NonXtal_Prot#'!$A:$AL,5,FALSE)</f>
        <v>162</v>
      </c>
      <c r="AE311" s="5">
        <f>VLOOKUP($A311,'SegEnds_NonXtal_Prot#'!$A:$AL,8,FALSE)</f>
        <v>166</v>
      </c>
      <c r="AF311" s="5">
        <f>VLOOKUP($A311,'SegEnds_NonXtal_Prot#'!$A:$AL,11,FALSE)</f>
        <v>194</v>
      </c>
      <c r="AG311" s="5" t="str">
        <f>VLOOKUP($A311,'SegEnds_NonXtal_Prot#'!$A:$AL,14,FALSE)</f>
        <v>-</v>
      </c>
      <c r="AH311" s="5">
        <f>VLOOKUP($A311,'SegEnds_NonXtal_Prot#'!$A:$AL,17,FALSE)</f>
        <v>247</v>
      </c>
      <c r="AI311" s="5" t="str">
        <f>VLOOKUP($A311,'SegEnds_NonXtal_Prot#'!$A:$AL,20,FALSE)</f>
        <v>-</v>
      </c>
      <c r="AJ311" s="5">
        <f>VLOOKUP($A311,'SegEnds_NonXtal_Prot#'!$A:$AL,23,FALSE)</f>
        <v>282</v>
      </c>
      <c r="AK311" s="5">
        <f>VLOOKUP($A311,'SegEnds_NonXtal_Prot#'!$A:$AL,26,FALSE)</f>
        <v>288</v>
      </c>
      <c r="AL311" s="5">
        <f>VLOOKUP($A311,'SegEnds_NonXtal_Prot#'!$A:$AL,29,FALSE)</f>
        <v>327</v>
      </c>
      <c r="AM311" s="5">
        <f>VLOOKUP($A311,'SegEnds_NonXtal_Prot#'!$A:$AL,32,FALSE)</f>
        <v>359</v>
      </c>
      <c r="AN311" s="5">
        <f>VLOOKUP($A311,'SegEnds_NonXtal_Prot#'!$A:$AL,35,FALSE)</f>
        <v>395</v>
      </c>
      <c r="AO311" s="5">
        <f>VLOOKUP($A311,'SegEnds_NonXtal_Prot#'!$A:$AL,38,FALSE)</f>
        <v>421</v>
      </c>
      <c r="AP311" s="5">
        <f t="shared" si="113"/>
        <v>35</v>
      </c>
      <c r="AQ311" s="4">
        <f t="shared" si="114"/>
        <v>3</v>
      </c>
      <c r="AR311" s="4">
        <f t="shared" si="115"/>
        <v>27</v>
      </c>
      <c r="AS311" s="4" t="str">
        <f t="shared" si="116"/>
        <v>-</v>
      </c>
      <c r="AT311" s="4">
        <f t="shared" si="117"/>
        <v>33</v>
      </c>
      <c r="AU311" s="4" t="str">
        <f t="shared" si="118"/>
        <v>-</v>
      </c>
      <c r="AV311" s="4">
        <f t="shared" si="119"/>
        <v>28</v>
      </c>
      <c r="AW311" s="4">
        <f t="shared" si="120"/>
        <v>2</v>
      </c>
      <c r="AX311" s="4">
        <f t="shared" si="121"/>
        <v>32</v>
      </c>
      <c r="AY311" s="4">
        <f t="shared" si="122"/>
        <v>25</v>
      </c>
      <c r="AZ311" s="4">
        <f t="shared" si="123"/>
        <v>28</v>
      </c>
      <c r="BA311" s="4">
        <f t="shared" si="124"/>
        <v>25</v>
      </c>
    </row>
    <row r="312" spans="1:53" x14ac:dyDescent="0.2">
      <c r="A312" s="1" t="str">
        <f>'SegEnds_NonXtal_Prot#'!A306</f>
        <v>glp1r_human</v>
      </c>
      <c r="B312" s="1" t="str">
        <f t="shared" si="100"/>
        <v>EEQLLFLYIIYTVGYALSFSALVIASAILLGFCTRNYIHLNLFASFILRALSVFIKDAALLSCRLVFLLMQYCVAANYYWLLVEGVYLYTLLAFEQWIFRLYVSIGWGVPLLFVVPWGIVKYLYEYWLIIRLPILFAIGVNFLIFVRVICIVVSKLKADIKCRLAKSTLTLIPLLGTHEVIFAFGTLRFIKLFTELSFTSFQGLMVAILYCFVNNEVQLEFRKSWERWRLEHLHIQRDS</v>
      </c>
      <c r="C312" s="29" t="str">
        <f>IF(ISERROR(MATCH(A312,'SegEnds_Xtal_Prot#'!B:B, 0)), "NoXtal", "Xtal")</f>
        <v>Xtal</v>
      </c>
      <c r="D312" s="4" t="str">
        <f>VLOOKUP(A312,Classification!A:D,2,FALSE)</f>
        <v>B1</v>
      </c>
      <c r="E312" s="5" t="str">
        <f>VLOOKUP(A312,Seqs!A:B,2,FALSE)</f>
        <v>MAGAPGPLRLALLLLGMVGRAGPRPQGATVSLWETVQKWREYRRQCQRSLTEDPPPATDLFCNRTFDEYACWPDGEPGSFVNVSCPWYLPWASSVPQGHVYRFCTAEGLWLQKDNSSLPWRDLSECEESKRGERSSPEEQLLFLYIIYTVGYALSFSALVIASAILLGFRHLHCTRNYIHLNLFASFILRALSVFIKDAALKWMYSTAAQQHQWDGLLSYQDSLSCRLVFLLMQYCVAANYYWLLVEGVYLYTLLAFSVLSEQWIFRLYVSIGWGVPLLFVVPWGIVKYLYEDEGCWTRNSNMNYWLIIRLPILFAIGVNFLIFVRVICIVVSKLKANLMCKTDIKCRLAKSTLTLIPLLGTHEVIFAFVMDEHARGTLRFIKLFTELSFTSFQGLMVAILYCFVNNEVQLEFRKSWERWRLEHLHIQRDSSMKPLKCPTSSLSSGATAGSSMYTATCQASCS</v>
      </c>
      <c r="F312" s="5" t="str">
        <f t="shared" si="101"/>
        <v>EEQLLFLYIIYTVGYALSFSALVIASAILLGF</v>
      </c>
      <c r="G312" s="4" t="str">
        <f t="shared" si="102"/>
        <v>RHLH</v>
      </c>
      <c r="H312" s="4" t="str">
        <f t="shared" si="103"/>
        <v>CTRNYIHLNLFASFILRALSVFIKDAAL</v>
      </c>
      <c r="I312" s="4" t="str">
        <f t="shared" si="104"/>
        <v/>
      </c>
      <c r="J312" s="4" t="str">
        <f t="shared" si="105"/>
        <v>LSCRLVFLLMQYCVAANYYWLLVEGVYLYTLLAF</v>
      </c>
      <c r="K312" s="4" t="str">
        <f t="shared" si="106"/>
        <v/>
      </c>
      <c r="L312" s="4" t="str">
        <f t="shared" si="107"/>
        <v>EQWIFRLYVSIGWGVPLLFVVPWGIVKYLYE</v>
      </c>
      <c r="M312" s="4" t="str">
        <f t="shared" si="108"/>
        <v>CWT</v>
      </c>
      <c r="N312" s="4" t="str">
        <f t="shared" si="109"/>
        <v>YWLIIRLPILFAIGVNFLIFVRVICIVVSKLKA</v>
      </c>
      <c r="O312" s="4" t="str">
        <f t="shared" si="110"/>
        <v>DIKCRLAKSTLTLIPLLGTHEVIFAF</v>
      </c>
      <c r="P312" s="4" t="str">
        <f t="shared" si="111"/>
        <v>GTLRFIKLFTELSFTSFQGLMVAILYCFV</v>
      </c>
      <c r="Q312" s="4" t="str">
        <f t="shared" si="112"/>
        <v>NNEVQLEFRKSWERWRLEHLHIQRDS</v>
      </c>
      <c r="R312" s="5">
        <f>VLOOKUP($A312,'SegEnds_NonXtal_Prot#'!$A:$AL,3,FALSE)</f>
        <v>138</v>
      </c>
      <c r="S312" s="5">
        <f>VLOOKUP($A312,'SegEnds_NonXtal_Prot#'!$A:$AL,6,FALSE)</f>
        <v>170</v>
      </c>
      <c r="T312" s="5">
        <f>VLOOKUP($A312,'SegEnds_NonXtal_Prot#'!$A:$AL,9,FALSE)</f>
        <v>174</v>
      </c>
      <c r="U312" s="5" t="str">
        <f>VLOOKUP($A312,'SegEnds_NonXtal_Prot#'!$A:$AL,12,FALSE)</f>
        <v>-</v>
      </c>
      <c r="V312" s="5">
        <f>VLOOKUP($A312,'SegEnds_NonXtal_Prot#'!$A:$AL,15,FALSE)</f>
        <v>224</v>
      </c>
      <c r="W312" s="5" t="str">
        <f>VLOOKUP($A312,'SegEnds_NonXtal_Prot#'!$A:$AL,18,FALSE)</f>
        <v>-</v>
      </c>
      <c r="X312" s="5">
        <f>VLOOKUP($A312,'SegEnds_NonXtal_Prot#'!$A:$AL,21,FALSE)</f>
        <v>262</v>
      </c>
      <c r="Y312" s="5">
        <f>VLOOKUP($A312,'SegEnds_NonXtal_Prot#'!$A:$AL,24,FALSE)</f>
        <v>296</v>
      </c>
      <c r="Z312" s="5">
        <f>VLOOKUP($A312,'SegEnds_NonXtal_Prot#'!$A:$AL,27,FALSE)</f>
        <v>305</v>
      </c>
      <c r="AA312" s="5">
        <f>VLOOKUP($A312,'SegEnds_NonXtal_Prot#'!$A:$AL,30,FALSE)</f>
        <v>344</v>
      </c>
      <c r="AB312" s="5">
        <f>VLOOKUP($A312,'SegEnds_NonXtal_Prot#'!$A:$AL,33,FALSE)</f>
        <v>377</v>
      </c>
      <c r="AC312" s="5">
        <f>VLOOKUP($A312,'SegEnds_NonXtal_Prot#'!$A:$AL,36,FALSE)</f>
        <v>406</v>
      </c>
      <c r="AD312" s="5">
        <f>VLOOKUP($A312,'SegEnds_NonXtal_Prot#'!$A:$AL,5,FALSE)</f>
        <v>169</v>
      </c>
      <c r="AE312" s="5">
        <f>VLOOKUP($A312,'SegEnds_NonXtal_Prot#'!$A:$AL,8,FALSE)</f>
        <v>173</v>
      </c>
      <c r="AF312" s="5">
        <f>VLOOKUP($A312,'SegEnds_NonXtal_Prot#'!$A:$AL,11,FALSE)</f>
        <v>201</v>
      </c>
      <c r="AG312" s="5" t="str">
        <f>VLOOKUP($A312,'SegEnds_NonXtal_Prot#'!$A:$AL,14,FALSE)</f>
        <v>-</v>
      </c>
      <c r="AH312" s="5">
        <f>VLOOKUP($A312,'SegEnds_NonXtal_Prot#'!$A:$AL,17,FALSE)</f>
        <v>257</v>
      </c>
      <c r="AI312" s="5" t="str">
        <f>VLOOKUP($A312,'SegEnds_NonXtal_Prot#'!$A:$AL,20,FALSE)</f>
        <v>-</v>
      </c>
      <c r="AJ312" s="5">
        <f>VLOOKUP($A312,'SegEnds_NonXtal_Prot#'!$A:$AL,23,FALSE)</f>
        <v>292</v>
      </c>
      <c r="AK312" s="5">
        <f>VLOOKUP($A312,'SegEnds_NonXtal_Prot#'!$A:$AL,26,FALSE)</f>
        <v>298</v>
      </c>
      <c r="AL312" s="5">
        <f>VLOOKUP($A312,'SegEnds_NonXtal_Prot#'!$A:$AL,29,FALSE)</f>
        <v>337</v>
      </c>
      <c r="AM312" s="5">
        <f>VLOOKUP($A312,'SegEnds_NonXtal_Prot#'!$A:$AL,32,FALSE)</f>
        <v>369</v>
      </c>
      <c r="AN312" s="5">
        <f>VLOOKUP($A312,'SegEnds_NonXtal_Prot#'!$A:$AL,35,FALSE)</f>
        <v>405</v>
      </c>
      <c r="AO312" s="5">
        <f>VLOOKUP($A312,'SegEnds_NonXtal_Prot#'!$A:$AL,38,FALSE)</f>
        <v>431</v>
      </c>
      <c r="AP312" s="5">
        <f t="shared" si="113"/>
        <v>31</v>
      </c>
      <c r="AQ312" s="4">
        <f t="shared" si="114"/>
        <v>3</v>
      </c>
      <c r="AR312" s="4">
        <f t="shared" si="115"/>
        <v>27</v>
      </c>
      <c r="AS312" s="4" t="str">
        <f t="shared" si="116"/>
        <v>-</v>
      </c>
      <c r="AT312" s="4">
        <f t="shared" si="117"/>
        <v>33</v>
      </c>
      <c r="AU312" s="4" t="str">
        <f t="shared" si="118"/>
        <v>-</v>
      </c>
      <c r="AV312" s="4">
        <f t="shared" si="119"/>
        <v>30</v>
      </c>
      <c r="AW312" s="4">
        <f t="shared" si="120"/>
        <v>2</v>
      </c>
      <c r="AX312" s="4">
        <f t="shared" si="121"/>
        <v>32</v>
      </c>
      <c r="AY312" s="4">
        <f t="shared" si="122"/>
        <v>25</v>
      </c>
      <c r="AZ312" s="4">
        <f t="shared" si="123"/>
        <v>28</v>
      </c>
      <c r="BA312" s="4">
        <f t="shared" si="124"/>
        <v>25</v>
      </c>
    </row>
    <row r="313" spans="1:53" x14ac:dyDescent="0.2">
      <c r="A313" s="1" t="str">
        <f>'SegEnds_NonXtal_Prot#'!A307</f>
        <v>glp2r_human</v>
      </c>
      <c r="B313" s="1" t="str">
        <f t="shared" si="100"/>
        <v>NVDRYALLSTLQLMYTVGYSFSLISLFLALTLLLFLCTRNYIHMNLFASFILRTLAVLVKDVVFTSCRSVQVLLHYFVGANYLWLLVEGLYLHTLLEPRLWPRYLLLGWAFPVLFVVPWGFARAHLEIWWIIRGPMMLCVTVNFFIFLKILKLLISKLKADYKYRLAKSTLVLIPLLGVHEILFSFGFAKLIRLFIQLTLSSFHGFLVALQYGFANGEVKAELRKYWVRFLLARHSGCRAC</v>
      </c>
      <c r="C313" s="29" t="str">
        <f>IF(ISERROR(MATCH(A313,'SegEnds_Xtal_Prot#'!B:B, 0)), "NoXtal", "Xtal")</f>
        <v>NoXtal</v>
      </c>
      <c r="D313" s="4" t="str">
        <f>VLOOKUP(A313,Classification!A:D,2,FALSE)</f>
        <v>B1</v>
      </c>
      <c r="E313" s="5" t="str">
        <f>VLOOKUP(A313,Seqs!A:B,2,FALSE)</f>
        <v>MKLGSSRAGPGRGSAGLLPGVHELPMGIPAPWGTSPLSFHRKCSLWAPGRPFLTLVLLVSIKQVTGSLLEETTRKWAQYKQACLRDLLKEPSGIFCNGTFDQYVCWPHSSPGNVSVPCPSYLPWWSEESSGRAYRHCLAQGTWQTIENATDIWQDDSECSENHSFKQNVDRYALLSTLQLMYTVGYSFSLISLFLALTLLLFLRKLHCTRNYIHMNLFASFILRTLAVLVKDVVFYNSYSKRPDNENGWMSYLSEMSTSCRSVQVLLHYFVGANYLWLLVEGLYLHTLLEPTVLPERRLWPRYLLLGWAFPVLFVVPWGFARAHLENTGCWTTNGNKKIWWIIRGPMMLCVTVNFFIFLKILKLLISKLKAHQMCFRDYKYRLAKSTLVLIPLLGVHEILFSFITDDQVEGFAKLIRLFIQLTLSSFHGFLVALQYGFANGEVKAELRKYWVRFLLARHSGCRACVLGKDFRFLGKCPKKLSEGDGAEKLRKLQPSLNSGRLLHLAMRGLGELGAQPQQDHARWPRGSSLSECSEGDVTMANTMEEILEESEI</v>
      </c>
      <c r="F313" s="5" t="str">
        <f t="shared" si="101"/>
        <v>NVDRYALLSTLQLMYTVGYSFSLISLFLALTLLLFL</v>
      </c>
      <c r="G313" s="4" t="str">
        <f t="shared" si="102"/>
        <v>RKLH</v>
      </c>
      <c r="H313" s="4" t="str">
        <f t="shared" si="103"/>
        <v>CTRNYIHMNLFASFILRTLAVLVKDVVF</v>
      </c>
      <c r="I313" s="4" t="str">
        <f t="shared" si="104"/>
        <v/>
      </c>
      <c r="J313" s="4" t="str">
        <f t="shared" si="105"/>
        <v>TSCRSVQVLLHYFVGANYLWLLVEGLYLHTLLEP</v>
      </c>
      <c r="K313" s="4" t="str">
        <f t="shared" si="106"/>
        <v/>
      </c>
      <c r="L313" s="4" t="str">
        <f t="shared" si="107"/>
        <v>RLWPRYLLLGWAFPVLFVVPWGFARAHLE</v>
      </c>
      <c r="M313" s="4" t="str">
        <f t="shared" si="108"/>
        <v>CWT</v>
      </c>
      <c r="N313" s="4" t="str">
        <f t="shared" si="109"/>
        <v>IWWIIRGPMMLCVTVNFFIFLKILKLLISKLKA</v>
      </c>
      <c r="O313" s="4" t="str">
        <f t="shared" si="110"/>
        <v>DYKYRLAKSTLVLIPLLGVHEILFSF</v>
      </c>
      <c r="P313" s="4" t="str">
        <f t="shared" si="111"/>
        <v>GFAKLIRLFIQLTLSSFHGFLVALQYGFA</v>
      </c>
      <c r="Q313" s="4" t="str">
        <f t="shared" si="112"/>
        <v>NGEVKAELRKYWVRFLLARHSGCRAC</v>
      </c>
      <c r="R313" s="5">
        <f>VLOOKUP($A313,'SegEnds_NonXtal_Prot#'!$A:$AL,3,FALSE)</f>
        <v>168</v>
      </c>
      <c r="S313" s="5">
        <f>VLOOKUP($A313,'SegEnds_NonXtal_Prot#'!$A:$AL,6,FALSE)</f>
        <v>204</v>
      </c>
      <c r="T313" s="5">
        <f>VLOOKUP($A313,'SegEnds_NonXtal_Prot#'!$A:$AL,9,FALSE)</f>
        <v>208</v>
      </c>
      <c r="U313" s="5" t="str">
        <f>VLOOKUP($A313,'SegEnds_NonXtal_Prot#'!$A:$AL,12,FALSE)</f>
        <v>-</v>
      </c>
      <c r="V313" s="5">
        <f>VLOOKUP($A313,'SegEnds_NonXtal_Prot#'!$A:$AL,15,FALSE)</f>
        <v>258</v>
      </c>
      <c r="W313" s="5" t="str">
        <f>VLOOKUP($A313,'SegEnds_NonXtal_Prot#'!$A:$AL,18,FALSE)</f>
        <v>-</v>
      </c>
      <c r="X313" s="5">
        <f>VLOOKUP($A313,'SegEnds_NonXtal_Prot#'!$A:$AL,21,FALSE)</f>
        <v>298</v>
      </c>
      <c r="Y313" s="5">
        <f>VLOOKUP($A313,'SegEnds_NonXtal_Prot#'!$A:$AL,24,FALSE)</f>
        <v>330</v>
      </c>
      <c r="Z313" s="5">
        <f>VLOOKUP($A313,'SegEnds_NonXtal_Prot#'!$A:$AL,27,FALSE)</f>
        <v>339</v>
      </c>
      <c r="AA313" s="5">
        <f>VLOOKUP($A313,'SegEnds_NonXtal_Prot#'!$A:$AL,30,FALSE)</f>
        <v>378</v>
      </c>
      <c r="AB313" s="5">
        <f>VLOOKUP($A313,'SegEnds_NonXtal_Prot#'!$A:$AL,33,FALSE)</f>
        <v>411</v>
      </c>
      <c r="AC313" s="5">
        <f>VLOOKUP($A313,'SegEnds_NonXtal_Prot#'!$A:$AL,36,FALSE)</f>
        <v>440</v>
      </c>
      <c r="AD313" s="5">
        <f>VLOOKUP($A313,'SegEnds_NonXtal_Prot#'!$A:$AL,5,FALSE)</f>
        <v>203</v>
      </c>
      <c r="AE313" s="5">
        <f>VLOOKUP($A313,'SegEnds_NonXtal_Prot#'!$A:$AL,8,FALSE)</f>
        <v>207</v>
      </c>
      <c r="AF313" s="5">
        <f>VLOOKUP($A313,'SegEnds_NonXtal_Prot#'!$A:$AL,11,FALSE)</f>
        <v>235</v>
      </c>
      <c r="AG313" s="5" t="str">
        <f>VLOOKUP($A313,'SegEnds_NonXtal_Prot#'!$A:$AL,14,FALSE)</f>
        <v>-</v>
      </c>
      <c r="AH313" s="5">
        <f>VLOOKUP($A313,'SegEnds_NonXtal_Prot#'!$A:$AL,17,FALSE)</f>
        <v>291</v>
      </c>
      <c r="AI313" s="5" t="str">
        <f>VLOOKUP($A313,'SegEnds_NonXtal_Prot#'!$A:$AL,20,FALSE)</f>
        <v>-</v>
      </c>
      <c r="AJ313" s="5">
        <f>VLOOKUP($A313,'SegEnds_NonXtal_Prot#'!$A:$AL,23,FALSE)</f>
        <v>326</v>
      </c>
      <c r="AK313" s="5">
        <f>VLOOKUP($A313,'SegEnds_NonXtal_Prot#'!$A:$AL,26,FALSE)</f>
        <v>332</v>
      </c>
      <c r="AL313" s="5">
        <f>VLOOKUP($A313,'SegEnds_NonXtal_Prot#'!$A:$AL,29,FALSE)</f>
        <v>371</v>
      </c>
      <c r="AM313" s="5">
        <f>VLOOKUP($A313,'SegEnds_NonXtal_Prot#'!$A:$AL,32,FALSE)</f>
        <v>403</v>
      </c>
      <c r="AN313" s="5">
        <f>VLOOKUP($A313,'SegEnds_NonXtal_Prot#'!$A:$AL,35,FALSE)</f>
        <v>439</v>
      </c>
      <c r="AO313" s="5">
        <f>VLOOKUP($A313,'SegEnds_NonXtal_Prot#'!$A:$AL,38,FALSE)</f>
        <v>465</v>
      </c>
      <c r="AP313" s="5">
        <f t="shared" si="113"/>
        <v>35</v>
      </c>
      <c r="AQ313" s="4">
        <f t="shared" si="114"/>
        <v>3</v>
      </c>
      <c r="AR313" s="4">
        <f t="shared" si="115"/>
        <v>27</v>
      </c>
      <c r="AS313" s="4" t="str">
        <f t="shared" si="116"/>
        <v>-</v>
      </c>
      <c r="AT313" s="4">
        <f t="shared" si="117"/>
        <v>33</v>
      </c>
      <c r="AU313" s="4" t="str">
        <f t="shared" si="118"/>
        <v>-</v>
      </c>
      <c r="AV313" s="4">
        <f t="shared" si="119"/>
        <v>28</v>
      </c>
      <c r="AW313" s="4">
        <f t="shared" si="120"/>
        <v>2</v>
      </c>
      <c r="AX313" s="4">
        <f t="shared" si="121"/>
        <v>32</v>
      </c>
      <c r="AY313" s="4">
        <f t="shared" si="122"/>
        <v>25</v>
      </c>
      <c r="AZ313" s="4">
        <f t="shared" si="123"/>
        <v>28</v>
      </c>
      <c r="BA313" s="4">
        <f t="shared" si="124"/>
        <v>25</v>
      </c>
    </row>
    <row r="314" spans="1:53" x14ac:dyDescent="0.2">
      <c r="A314" s="1" t="str">
        <f>'SegEnds_NonXtal_Prot#'!A308</f>
        <v>glr_human</v>
      </c>
      <c r="B314" s="1" t="str">
        <f t="shared" si="100"/>
        <v>QKEVAKMYSSFQVMYTVGYSLSLGALLLALAILGGLCTRNAIHANLFASFVLKASSVLVIDGLLRTRYSAVAGCRVAAVFMQYGIVANYCWLLVEGLYLHNLLGLSFFSLYLGIGWGAPMLFVVPWAVVKCLFENMGFWWILRFPVFLAILINFFIFVRIVQLLVAKLRADYKFRLAKSTLTLIPLLGVHEVVFAFQGTLRSAKLFFDLFLSSFQGLLVAVLYCFLNKEVQSELRRRWHRWRLGKVLWEERN</v>
      </c>
      <c r="C314" s="29" t="str">
        <f>IF(ISERROR(MATCH(A314,'SegEnds_Xtal_Prot#'!B:B, 0)), "NoXtal", "Xtal")</f>
        <v>Xtal</v>
      </c>
      <c r="D314" s="4" t="str">
        <f>VLOOKUP(A314,Classification!A:D,2,FALSE)</f>
        <v>B1</v>
      </c>
      <c r="E314" s="5" t="str">
        <f>VLOOKUP(A314,Seqs!A:B,2,FALSE)</f>
        <v>MPPCQPQRPLLLLLLLLACQPQVPSAQVMDFLFEKWKLYGDQCHHNLSLLPPPTELVCNRTFDKYSCWPDTPANTTANISCPWYLPWHHKVQHRFVFKRCGPDGQWVRGPRGQPWRDASQCQMDGEEIEVQKEVAKMYSSFQVMYTVGYSLSLGALLLALAILGGLSKLHCTRNAIHANLFASFVLKASSVLVIDGLLRTRYSQKIGDDLSVSTWLSDGAVAGCRVAAVFMQYGIVANYCWLLVEGLYLHNLLGLATLPERSFFSLYLGIGWGAPMLFVVPWAVVKCLFENVQCWTSNDNMGFWWILRFPVFLAILINFFIFVRIVQLLVAKLRARQMHHTDYKFRLAKSTLTLIPLLGVHEVVFAFVTDEHAQGTLRSAKLFFDLFLSSFQGLLVAVLYCFLNKEVQSELRRRWHRWRLGKVLWEERNTSNHRASSSPGHGPPSKELQFGRGGGSQDSSAETPLAGGLPRLAESPF</v>
      </c>
      <c r="F314" s="5" t="str">
        <f t="shared" si="101"/>
        <v>QKEVAKMYSSFQVMYTVGYSLSLGALLLALAILGGL</v>
      </c>
      <c r="G314" s="4" t="str">
        <f t="shared" si="102"/>
        <v>SKLH</v>
      </c>
      <c r="H314" s="4" t="str">
        <f t="shared" si="103"/>
        <v>CTRNAIHANLFASFVLKASSVLVIDGLLRTRYS</v>
      </c>
      <c r="I314" s="4" t="str">
        <f t="shared" si="104"/>
        <v/>
      </c>
      <c r="J314" s="4" t="str">
        <f t="shared" si="105"/>
        <v>AVAGCRVAAVFMQYGIVANYCWLLVEGLYLHNLLGL</v>
      </c>
      <c r="K314" s="4" t="str">
        <f t="shared" si="106"/>
        <v/>
      </c>
      <c r="L314" s="4" t="str">
        <f t="shared" si="107"/>
        <v>SFFSLYLGIGWGAPMLFVVPWAVVKCLFE</v>
      </c>
      <c r="M314" s="4" t="str">
        <f t="shared" si="108"/>
        <v>CWT</v>
      </c>
      <c r="N314" s="4" t="str">
        <f t="shared" si="109"/>
        <v>NMGFWWILRFPVFLAILINFFIFVRIVQLLVAKLRA</v>
      </c>
      <c r="O314" s="4" t="str">
        <f t="shared" si="110"/>
        <v>DYKFRLAKSTLTLIPLLGVHEVVFAF</v>
      </c>
      <c r="P314" s="4" t="str">
        <f t="shared" si="111"/>
        <v>QGTLRSAKLFFDLFLSSFQGLLVAVLYCFL</v>
      </c>
      <c r="Q314" s="4" t="str">
        <f t="shared" si="112"/>
        <v>NKEVQSELRRRWHRWRLGKVLWEERN</v>
      </c>
      <c r="R314" s="5">
        <f>VLOOKUP($A314,'SegEnds_NonXtal_Prot#'!$A:$AL,3,FALSE)</f>
        <v>131</v>
      </c>
      <c r="S314" s="5">
        <f>VLOOKUP($A314,'SegEnds_NonXtal_Prot#'!$A:$AL,6,FALSE)</f>
        <v>167</v>
      </c>
      <c r="T314" s="5">
        <f>VLOOKUP($A314,'SegEnds_NonXtal_Prot#'!$A:$AL,9,FALSE)</f>
        <v>171</v>
      </c>
      <c r="U314" s="5" t="str">
        <f>VLOOKUP($A314,'SegEnds_NonXtal_Prot#'!$A:$AL,12,FALSE)</f>
        <v>-</v>
      </c>
      <c r="V314" s="5">
        <f>VLOOKUP($A314,'SegEnds_NonXtal_Prot#'!$A:$AL,15,FALSE)</f>
        <v>220</v>
      </c>
      <c r="W314" s="5" t="str">
        <f>VLOOKUP($A314,'SegEnds_NonXtal_Prot#'!$A:$AL,18,FALSE)</f>
        <v>-</v>
      </c>
      <c r="X314" s="5">
        <f>VLOOKUP($A314,'SegEnds_NonXtal_Prot#'!$A:$AL,21,FALSE)</f>
        <v>262</v>
      </c>
      <c r="Y314" s="5">
        <f>VLOOKUP($A314,'SegEnds_NonXtal_Prot#'!$A:$AL,24,FALSE)</f>
        <v>294</v>
      </c>
      <c r="Z314" s="5">
        <f>VLOOKUP($A314,'SegEnds_NonXtal_Prot#'!$A:$AL,27,FALSE)</f>
        <v>300</v>
      </c>
      <c r="AA314" s="5">
        <f>VLOOKUP($A314,'SegEnds_NonXtal_Prot#'!$A:$AL,30,FALSE)</f>
        <v>342</v>
      </c>
      <c r="AB314" s="5">
        <f>VLOOKUP($A314,'SegEnds_NonXtal_Prot#'!$A:$AL,33,FALSE)</f>
        <v>374</v>
      </c>
      <c r="AC314" s="5">
        <f>VLOOKUP($A314,'SegEnds_NonXtal_Prot#'!$A:$AL,36,FALSE)</f>
        <v>404</v>
      </c>
      <c r="AD314" s="5">
        <f>VLOOKUP($A314,'SegEnds_NonXtal_Prot#'!$A:$AL,5,FALSE)</f>
        <v>166</v>
      </c>
      <c r="AE314" s="5">
        <f>VLOOKUP($A314,'SegEnds_NonXtal_Prot#'!$A:$AL,8,FALSE)</f>
        <v>170</v>
      </c>
      <c r="AF314" s="5">
        <f>VLOOKUP($A314,'SegEnds_NonXtal_Prot#'!$A:$AL,11,FALSE)</f>
        <v>203</v>
      </c>
      <c r="AG314" s="5" t="str">
        <f>VLOOKUP($A314,'SegEnds_NonXtal_Prot#'!$A:$AL,14,FALSE)</f>
        <v>-</v>
      </c>
      <c r="AH314" s="5">
        <f>VLOOKUP($A314,'SegEnds_NonXtal_Prot#'!$A:$AL,17,FALSE)</f>
        <v>255</v>
      </c>
      <c r="AI314" s="5" t="str">
        <f>VLOOKUP($A314,'SegEnds_NonXtal_Prot#'!$A:$AL,20,FALSE)</f>
        <v>-</v>
      </c>
      <c r="AJ314" s="5">
        <f>VLOOKUP($A314,'SegEnds_NonXtal_Prot#'!$A:$AL,23,FALSE)</f>
        <v>290</v>
      </c>
      <c r="AK314" s="5">
        <f>VLOOKUP($A314,'SegEnds_NonXtal_Prot#'!$A:$AL,26,FALSE)</f>
        <v>296</v>
      </c>
      <c r="AL314" s="5">
        <f>VLOOKUP($A314,'SegEnds_NonXtal_Prot#'!$A:$AL,29,FALSE)</f>
        <v>335</v>
      </c>
      <c r="AM314" s="5">
        <f>VLOOKUP($A314,'SegEnds_NonXtal_Prot#'!$A:$AL,32,FALSE)</f>
        <v>367</v>
      </c>
      <c r="AN314" s="5">
        <f>VLOOKUP($A314,'SegEnds_NonXtal_Prot#'!$A:$AL,35,FALSE)</f>
        <v>403</v>
      </c>
      <c r="AO314" s="5">
        <f>VLOOKUP($A314,'SegEnds_NonXtal_Prot#'!$A:$AL,38,FALSE)</f>
        <v>429</v>
      </c>
      <c r="AP314" s="5">
        <f t="shared" si="113"/>
        <v>35</v>
      </c>
      <c r="AQ314" s="4">
        <f t="shared" si="114"/>
        <v>3</v>
      </c>
      <c r="AR314" s="4">
        <f t="shared" si="115"/>
        <v>32</v>
      </c>
      <c r="AS314" s="4" t="str">
        <f t="shared" si="116"/>
        <v>-</v>
      </c>
      <c r="AT314" s="4">
        <f t="shared" si="117"/>
        <v>35</v>
      </c>
      <c r="AU314" s="4" t="str">
        <f t="shared" si="118"/>
        <v>-</v>
      </c>
      <c r="AV314" s="4">
        <f t="shared" si="119"/>
        <v>28</v>
      </c>
      <c r="AW314" s="4">
        <f t="shared" si="120"/>
        <v>2</v>
      </c>
      <c r="AX314" s="4">
        <f t="shared" si="121"/>
        <v>35</v>
      </c>
      <c r="AY314" s="4">
        <f t="shared" si="122"/>
        <v>25</v>
      </c>
      <c r="AZ314" s="4">
        <f t="shared" si="123"/>
        <v>29</v>
      </c>
      <c r="BA314" s="4">
        <f t="shared" si="124"/>
        <v>25</v>
      </c>
    </row>
    <row r="315" spans="1:53" x14ac:dyDescent="0.2">
      <c r="A315" s="1" t="str">
        <f>'SegEnds_NonXtal_Prot#'!A309</f>
        <v>pacr_human</v>
      </c>
      <c r="B315" s="1" t="str">
        <f t="shared" si="100"/>
        <v>DQDYYYLSVKALYTVGYSTSLVTLTTAMVILCRFCTRNFIHMNLFVSFMLRAISVFIKDWILVECKAVMVFFHYCVVSNYFWLFIEGLYLFTLLVEPERRYFYWYTIIGWGTPTVCVTVWATLRLYFDLWWVIKGPVVGSIMVNFVLFIGIIVILVQKLNESSIYLRLARSTLLLIPLFGIHYTVFAFSKRERLVFELGLGSFQGFVVAVLYCFLNGEVQAEIKRKWRSWKVNRYFAVDFK</v>
      </c>
      <c r="C315" s="29" t="str">
        <f>IF(ISERROR(MATCH(A315,'SegEnds_Xtal_Prot#'!B:B, 0)), "NoXtal", "Xtal")</f>
        <v>NoXtal</v>
      </c>
      <c r="D315" s="4" t="str">
        <f>VLOOKUP(A315,Classification!A:D,2,FALSE)</f>
        <v>B1</v>
      </c>
      <c r="E315" s="5" t="str">
        <f>VLOOKUP(A315,Seqs!A:B,2,FALSE)</f>
        <v>MAGVVHVSLAALLLLPMAPAMHSDCIFKKEQAMCLEKIQRANELMGFNDSSPGCPGMWDNITCWKPAHVGEMVLVSCPELFRIFNPDQVWETETIGESDFGDSNSLDLSDMGVVSRNCTEDGWSEPFPHYFDACGFDEYESETGDQDYYYLSVKALYTVGYSTSLVTLTTAMVILCRFRKLHCTRNFIHMNLFVSFMLRAISVFIKDWILYAEQDSNHCFISTVECKAVMVFFHYCVVSNYFWLFIEGLYLFTLLVETFFPERRYFYWYTIIGWGTPTVCVTVWATLRLYFDDTGCWDMNDSTALWWVIKGPVVGSIMVNFVLFIGIIVILVQKLQSPDMGGNESSIYLRLARSTLLLIPLFGIHYTVFAFSPENVSKRERLVFELGLGSFQGFVVAVLYCFLNGEVQAEIKRKWRSWKVNRYFAVDFKHRHPSLASSGVNGGTQLSILSKSSSQIRMSGLPADNLAT</v>
      </c>
      <c r="F315" s="5" t="str">
        <f t="shared" si="101"/>
        <v>DQDYYYLSVKALYTVGYSTSLVTLTTAMVILCRF</v>
      </c>
      <c r="G315" s="4" t="str">
        <f t="shared" si="102"/>
        <v>RKLH</v>
      </c>
      <c r="H315" s="4" t="str">
        <f t="shared" si="103"/>
        <v>CTRNFIHMNLFVSFMLRAISVFIKDWIL</v>
      </c>
      <c r="I315" s="4" t="str">
        <f t="shared" si="104"/>
        <v/>
      </c>
      <c r="J315" s="4" t="str">
        <f t="shared" si="105"/>
        <v>VECKAVMVFFHYCVVSNYFWLFIEGLYLFTLLVE</v>
      </c>
      <c r="K315" s="4" t="str">
        <f t="shared" si="106"/>
        <v/>
      </c>
      <c r="L315" s="4" t="str">
        <f t="shared" si="107"/>
        <v>PERRYFYWYTIIGWGTPTVCVTVWATLRLYFD</v>
      </c>
      <c r="M315" s="4" t="str">
        <f t="shared" si="108"/>
        <v>CWD</v>
      </c>
      <c r="N315" s="4" t="str">
        <f t="shared" si="109"/>
        <v>LWWVIKGPVVGSIMVNFVLFIGIIVILVQKL</v>
      </c>
      <c r="O315" s="4" t="str">
        <f t="shared" si="110"/>
        <v>NESSIYLRLARSTLLLIPLFGIHYTVFAFS</v>
      </c>
      <c r="P315" s="4" t="str">
        <f t="shared" si="111"/>
        <v>KRERLVFELGLGSFQGFVVAVLYCFL</v>
      </c>
      <c r="Q315" s="4" t="str">
        <f t="shared" si="112"/>
        <v>NGEVQAEIKRKWRSWKVNRYFAVDFK</v>
      </c>
      <c r="R315" s="5">
        <f>VLOOKUP($A315,'SegEnds_NonXtal_Prot#'!$A:$AL,3,FALSE)</f>
        <v>145</v>
      </c>
      <c r="S315" s="5">
        <f>VLOOKUP($A315,'SegEnds_NonXtal_Prot#'!$A:$AL,6,FALSE)</f>
        <v>179</v>
      </c>
      <c r="T315" s="5">
        <f>VLOOKUP($A315,'SegEnds_NonXtal_Prot#'!$A:$AL,9,FALSE)</f>
        <v>183</v>
      </c>
      <c r="U315" s="5" t="str">
        <f>VLOOKUP($A315,'SegEnds_NonXtal_Prot#'!$A:$AL,12,FALSE)</f>
        <v>-</v>
      </c>
      <c r="V315" s="5">
        <f>VLOOKUP($A315,'SegEnds_NonXtal_Prot#'!$A:$AL,15,FALSE)</f>
        <v>224</v>
      </c>
      <c r="W315" s="5" t="str">
        <f>VLOOKUP($A315,'SegEnds_NonXtal_Prot#'!$A:$AL,18,FALSE)</f>
        <v>-</v>
      </c>
      <c r="X315" s="5">
        <f>VLOOKUP($A315,'SegEnds_NonXtal_Prot#'!$A:$AL,21,FALSE)</f>
        <v>261</v>
      </c>
      <c r="Y315" s="5">
        <f>VLOOKUP($A315,'SegEnds_NonXtal_Prot#'!$A:$AL,24,FALSE)</f>
        <v>296</v>
      </c>
      <c r="Z315" s="5">
        <f>VLOOKUP($A315,'SegEnds_NonXtal_Prot#'!$A:$AL,27,FALSE)</f>
        <v>305</v>
      </c>
      <c r="AA315" s="5">
        <f>VLOOKUP($A315,'SegEnds_NonXtal_Prot#'!$A:$AL,30,FALSE)</f>
        <v>343</v>
      </c>
      <c r="AB315" s="5">
        <f>VLOOKUP($A315,'SegEnds_NonXtal_Prot#'!$A:$AL,33,FALSE)</f>
        <v>378</v>
      </c>
      <c r="AC315" s="5">
        <f>VLOOKUP($A315,'SegEnds_NonXtal_Prot#'!$A:$AL,36,FALSE)</f>
        <v>404</v>
      </c>
      <c r="AD315" s="5">
        <f>VLOOKUP($A315,'SegEnds_NonXtal_Prot#'!$A:$AL,5,FALSE)</f>
        <v>178</v>
      </c>
      <c r="AE315" s="5">
        <f>VLOOKUP($A315,'SegEnds_NonXtal_Prot#'!$A:$AL,8,FALSE)</f>
        <v>182</v>
      </c>
      <c r="AF315" s="5">
        <f>VLOOKUP($A315,'SegEnds_NonXtal_Prot#'!$A:$AL,11,FALSE)</f>
        <v>210</v>
      </c>
      <c r="AG315" s="5" t="str">
        <f>VLOOKUP($A315,'SegEnds_NonXtal_Prot#'!$A:$AL,14,FALSE)</f>
        <v>-</v>
      </c>
      <c r="AH315" s="5">
        <f>VLOOKUP($A315,'SegEnds_NonXtal_Prot#'!$A:$AL,17,FALSE)</f>
        <v>257</v>
      </c>
      <c r="AI315" s="5" t="str">
        <f>VLOOKUP($A315,'SegEnds_NonXtal_Prot#'!$A:$AL,20,FALSE)</f>
        <v>-</v>
      </c>
      <c r="AJ315" s="5">
        <f>VLOOKUP($A315,'SegEnds_NonXtal_Prot#'!$A:$AL,23,FALSE)</f>
        <v>292</v>
      </c>
      <c r="AK315" s="5">
        <f>VLOOKUP($A315,'SegEnds_NonXtal_Prot#'!$A:$AL,26,FALSE)</f>
        <v>298</v>
      </c>
      <c r="AL315" s="5">
        <f>VLOOKUP($A315,'SegEnds_NonXtal_Prot#'!$A:$AL,29,FALSE)</f>
        <v>335</v>
      </c>
      <c r="AM315" s="5">
        <f>VLOOKUP($A315,'SegEnds_NonXtal_Prot#'!$A:$AL,32,FALSE)</f>
        <v>372</v>
      </c>
      <c r="AN315" s="5">
        <f>VLOOKUP($A315,'SegEnds_NonXtal_Prot#'!$A:$AL,35,FALSE)</f>
        <v>403</v>
      </c>
      <c r="AO315" s="5">
        <f>VLOOKUP($A315,'SegEnds_NonXtal_Prot#'!$A:$AL,38,FALSE)</f>
        <v>429</v>
      </c>
      <c r="AP315" s="5">
        <f t="shared" si="113"/>
        <v>33</v>
      </c>
      <c r="AQ315" s="4">
        <f t="shared" si="114"/>
        <v>3</v>
      </c>
      <c r="AR315" s="4">
        <f t="shared" si="115"/>
        <v>27</v>
      </c>
      <c r="AS315" s="4" t="str">
        <f t="shared" si="116"/>
        <v>-</v>
      </c>
      <c r="AT315" s="4">
        <f t="shared" si="117"/>
        <v>33</v>
      </c>
      <c r="AU315" s="4" t="str">
        <f t="shared" si="118"/>
        <v>-</v>
      </c>
      <c r="AV315" s="4">
        <f t="shared" si="119"/>
        <v>31</v>
      </c>
      <c r="AW315" s="4">
        <f t="shared" si="120"/>
        <v>2</v>
      </c>
      <c r="AX315" s="4">
        <f t="shared" si="121"/>
        <v>30</v>
      </c>
      <c r="AY315" s="4">
        <f t="shared" si="122"/>
        <v>29</v>
      </c>
      <c r="AZ315" s="4">
        <f t="shared" si="123"/>
        <v>25</v>
      </c>
      <c r="BA315" s="4">
        <f t="shared" si="124"/>
        <v>25</v>
      </c>
    </row>
    <row r="316" spans="1:53" x14ac:dyDescent="0.2">
      <c r="A316" s="1" t="str">
        <f>'SegEnds_NonXtal_Prot#'!A310</f>
        <v>pth1r_human</v>
      </c>
      <c r="B316" s="1" t="str">
        <f t="shared" si="100"/>
        <v>REREVFDRLGMIYTVGYSVSLASLTVAVLILAYFCTRNYIHMHLFLSFMLRAVSIFVKDAVLYSGATGYAGCRVAVTFFLYFLATNYYWILVEGLYLHSLIFMSEKKYLWGFTVFGWGLPAVFVAVWVSVRATLAKKWIIQVPILASIVLNFILFINIVRVLATKLDTRQQYRKLLKSTLVLMPLFGVHYIVFMATGTLWQVQMHYEMLFNSFQGFFVAIIYCFCNGEVQAEIKKSWSRWTLALDFKRKAR</v>
      </c>
      <c r="C316" s="29" t="str">
        <f>IF(ISERROR(MATCH(A316,'SegEnds_Xtal_Prot#'!B:B, 0)), "NoXtal", "Xtal")</f>
        <v>Xtal</v>
      </c>
      <c r="D316" s="4" t="str">
        <f>VLOOKUP(A316,Classification!A:D,2,FALSE)</f>
        <v>B1</v>
      </c>
      <c r="E316" s="5" t="str">
        <f>VLOOKUP(A316,Seqs!A:B,2,FALSE)</f>
        <v>MGTARIAPGLALLLCCPVLSSAYALVDADDVMTKEEQIFLLHRAQAQCEKRLKEVLQRPASIMESDKGWTSASTSGKPRKDKASGKLYPESEEDKEAPTGSRYRGRPCLPEWDHILCWPLGAPGEVVAVPCPDYIYDFNHKGHAYRRCDRNGSWELVPGHNRTWANYSECVKFLTNETREREVFDRLGMIYTVGYSVSLASLTVAVLILAYFRRLHCTRNYIHMHLFLSFMLRAVSIFVKDAVLYSGATLDEAERLTEEELRAIAQAPPPPATAAAGYAGCRVAVTFFLYFLATNYYWILVEGLYLHSLIFMAFFSEKKYLWGFTVFGWGLPAVFVAVWVSVRATLANTGCWDLSSGNKKWIIQVPILASIVLNFILFINIVRVLATKLRETNAGRCDTRQQYRKLLKSTLVLMPLFGVHYIVFMATPYTEVSGTLWQVQMHYEMLFNSFQGFFVAIIYCFCNGEVQAEIKKSWSRWTLALDFKRKARSGSSSYSYGPMVSHTSVTNVGPRVGLGLPLSPRLLPTATTNGHPQLPGHAKPGTPALETLETTPPAMAAPKDDGFLNGSCSGLDEEASGPERPPALLQEEWETVM</v>
      </c>
      <c r="F316" s="5" t="str">
        <f t="shared" si="101"/>
        <v>REREVFDRLGMIYTVGYSVSLASLTVAVLILAYF</v>
      </c>
      <c r="G316" s="4" t="str">
        <f t="shared" si="102"/>
        <v>RRLH</v>
      </c>
      <c r="H316" s="4" t="str">
        <f t="shared" si="103"/>
        <v>CTRNYIHMHLFLSFMLRAVSIFVKDAVLYSGAT</v>
      </c>
      <c r="I316" s="4" t="str">
        <f t="shared" si="104"/>
        <v/>
      </c>
      <c r="J316" s="4" t="str">
        <f t="shared" si="105"/>
        <v>GYAGCRVAVTFFLYFLATNYYWILVEGLYLHSLIFM</v>
      </c>
      <c r="K316" s="4" t="str">
        <f t="shared" si="106"/>
        <v/>
      </c>
      <c r="L316" s="4" t="str">
        <f t="shared" si="107"/>
        <v>SEKKYLWGFTVFGWGLPAVFVAVWVSVRATLA</v>
      </c>
      <c r="M316" s="4" t="str">
        <f t="shared" si="108"/>
        <v>CWD</v>
      </c>
      <c r="N316" s="4" t="str">
        <f t="shared" si="109"/>
        <v>KKWIIQVPILASIVLNFILFINIVRVLATKL</v>
      </c>
      <c r="O316" s="4" t="str">
        <f t="shared" si="110"/>
        <v>DTRQQYRKLLKSTLVLMPLFGVHYIVFMAT</v>
      </c>
      <c r="P316" s="4" t="str">
        <f t="shared" si="111"/>
        <v>GTLWQVQMHYEMLFNSFQGFFVAIIYCFC</v>
      </c>
      <c r="Q316" s="4" t="str">
        <f t="shared" si="112"/>
        <v>NGEVQAEIKKSWSRWTLALDFKRKAR</v>
      </c>
      <c r="R316" s="5">
        <f>VLOOKUP($A316,'SegEnds_NonXtal_Prot#'!$A:$AL,3,FALSE)</f>
        <v>179</v>
      </c>
      <c r="S316" s="5">
        <f>VLOOKUP($A316,'SegEnds_NonXtal_Prot#'!$A:$AL,6,FALSE)</f>
        <v>213</v>
      </c>
      <c r="T316" s="5">
        <f>VLOOKUP($A316,'SegEnds_NonXtal_Prot#'!$A:$AL,9,FALSE)</f>
        <v>217</v>
      </c>
      <c r="U316" s="5" t="str">
        <f>VLOOKUP($A316,'SegEnds_NonXtal_Prot#'!$A:$AL,12,FALSE)</f>
        <v>-</v>
      </c>
      <c r="V316" s="5">
        <f>VLOOKUP($A316,'SegEnds_NonXtal_Prot#'!$A:$AL,15,FALSE)</f>
        <v>277</v>
      </c>
      <c r="W316" s="5" t="str">
        <f>VLOOKUP($A316,'SegEnds_NonXtal_Prot#'!$A:$AL,18,FALSE)</f>
        <v>-</v>
      </c>
      <c r="X316" s="5">
        <f>VLOOKUP($A316,'SegEnds_NonXtal_Prot#'!$A:$AL,21,FALSE)</f>
        <v>316</v>
      </c>
      <c r="Y316" s="5">
        <f>VLOOKUP($A316,'SegEnds_NonXtal_Prot#'!$A:$AL,24,FALSE)</f>
        <v>351</v>
      </c>
      <c r="Z316" s="5">
        <f>VLOOKUP($A316,'SegEnds_NonXtal_Prot#'!$A:$AL,27,FALSE)</f>
        <v>359</v>
      </c>
      <c r="AA316" s="5">
        <f>VLOOKUP($A316,'SegEnds_NonXtal_Prot#'!$A:$AL,30,FALSE)</f>
        <v>398</v>
      </c>
      <c r="AB316" s="5">
        <f>VLOOKUP($A316,'SegEnds_NonXtal_Prot#'!$A:$AL,33,FALSE)</f>
        <v>434</v>
      </c>
      <c r="AC316" s="5">
        <f>VLOOKUP($A316,'SegEnds_NonXtal_Prot#'!$A:$AL,36,FALSE)</f>
        <v>463</v>
      </c>
      <c r="AD316" s="5">
        <f>VLOOKUP($A316,'SegEnds_NonXtal_Prot#'!$A:$AL,5,FALSE)</f>
        <v>212</v>
      </c>
      <c r="AE316" s="5">
        <f>VLOOKUP($A316,'SegEnds_NonXtal_Prot#'!$A:$AL,8,FALSE)</f>
        <v>216</v>
      </c>
      <c r="AF316" s="5">
        <f>VLOOKUP($A316,'SegEnds_NonXtal_Prot#'!$A:$AL,11,FALSE)</f>
        <v>249</v>
      </c>
      <c r="AG316" s="5" t="str">
        <f>VLOOKUP($A316,'SegEnds_NonXtal_Prot#'!$A:$AL,14,FALSE)</f>
        <v>-</v>
      </c>
      <c r="AH316" s="5">
        <f>VLOOKUP($A316,'SegEnds_NonXtal_Prot#'!$A:$AL,17,FALSE)</f>
        <v>312</v>
      </c>
      <c r="AI316" s="5" t="str">
        <f>VLOOKUP($A316,'SegEnds_NonXtal_Prot#'!$A:$AL,20,FALSE)</f>
        <v>-</v>
      </c>
      <c r="AJ316" s="5">
        <f>VLOOKUP($A316,'SegEnds_NonXtal_Prot#'!$A:$AL,23,FALSE)</f>
        <v>347</v>
      </c>
      <c r="AK316" s="5">
        <f>VLOOKUP($A316,'SegEnds_NonXtal_Prot#'!$A:$AL,26,FALSE)</f>
        <v>353</v>
      </c>
      <c r="AL316" s="5">
        <f>VLOOKUP($A316,'SegEnds_NonXtal_Prot#'!$A:$AL,29,FALSE)</f>
        <v>389</v>
      </c>
      <c r="AM316" s="5">
        <f>VLOOKUP($A316,'SegEnds_NonXtal_Prot#'!$A:$AL,32,FALSE)</f>
        <v>427</v>
      </c>
      <c r="AN316" s="5">
        <f>VLOOKUP($A316,'SegEnds_NonXtal_Prot#'!$A:$AL,35,FALSE)</f>
        <v>462</v>
      </c>
      <c r="AO316" s="5">
        <f>VLOOKUP($A316,'SegEnds_NonXtal_Prot#'!$A:$AL,38,FALSE)</f>
        <v>488</v>
      </c>
      <c r="AP316" s="5">
        <f t="shared" si="113"/>
        <v>33</v>
      </c>
      <c r="AQ316" s="4">
        <f t="shared" si="114"/>
        <v>3</v>
      </c>
      <c r="AR316" s="4">
        <f t="shared" si="115"/>
        <v>32</v>
      </c>
      <c r="AS316" s="4" t="str">
        <f t="shared" si="116"/>
        <v>-</v>
      </c>
      <c r="AT316" s="4">
        <f t="shared" si="117"/>
        <v>35</v>
      </c>
      <c r="AU316" s="4" t="str">
        <f t="shared" si="118"/>
        <v>-</v>
      </c>
      <c r="AV316" s="4">
        <f t="shared" si="119"/>
        <v>31</v>
      </c>
      <c r="AW316" s="4">
        <f t="shared" si="120"/>
        <v>2</v>
      </c>
      <c r="AX316" s="4">
        <f t="shared" si="121"/>
        <v>30</v>
      </c>
      <c r="AY316" s="4">
        <f t="shared" si="122"/>
        <v>29</v>
      </c>
      <c r="AZ316" s="4">
        <f t="shared" si="123"/>
        <v>28</v>
      </c>
      <c r="BA316" s="4">
        <f t="shared" si="124"/>
        <v>25</v>
      </c>
    </row>
    <row r="317" spans="1:53" x14ac:dyDescent="0.2">
      <c r="A317" s="1" t="str">
        <f>'SegEnds_NonXtal_Prot#'!A311</f>
        <v>pth2r_human</v>
      </c>
      <c r="B317" s="1" t="str">
        <f t="shared" si="100"/>
        <v>GKQEFFERLYVMYTVGYSISFGSLAVAILIIGYFCTRNYIHMHLFVSFMLRATSIFVKDRVVHAHIGQYIGCKIAVVMFIYFLATNYYWILVEGLYLHNLIFVSDTKYLWGFILIGWGFPAAFVAAWAVARATLAIKWIYQAPILAAIGLNFILFLNTVRVLATKIDTRKQYRKLAKSTLVLVLVFGVHYIVFVCLGLGWEIRMHCELFFNSFQGFFVSIIYCYCNGEVQAEVKKMWSRWNLSVDWKRTPP</v>
      </c>
      <c r="C317" s="29" t="str">
        <f>IF(ISERROR(MATCH(A317,'SegEnds_Xtal_Prot#'!B:B, 0)), "NoXtal", "Xtal")</f>
        <v>NoXtal</v>
      </c>
      <c r="D317" s="4" t="str">
        <f>VLOOKUP(A317,Classification!A:D,2,FALSE)</f>
        <v>B1</v>
      </c>
      <c r="E317" s="5" t="str">
        <f>VLOOKUP(A317,Seqs!A:B,2,FALSE)</f>
        <v>MAGLGASLHVWGWLMLGSCLLARAQLDSDGTITIEEQIVLVLKAKVQCELNITAQLQEGEGNCFPEWDGLICWPRGTVGKISAVPCPPYIYDFNHKGVAFRHCNPNGTWDFMHSLNKTWANYSDCLRFLQPDISIGKQEFFERLYVMYTVGYSISFGSLAVAILIIGYFRRLHCTRNYIHMHLFVSFMLRATSIFVKDRVVHAHIGVKELESLIMQDDPQNSIEATSVDKSQYIGCKIAVVMFIYFLATNYYWILVEGLYLHNLIFVAFFSDTKYLWGFILIGWGFPAAFVAAWAVARATLADARCWELSAGDIKWIYQAPILAAIGLNFILFLNTVRVLATKIWETNAVGHDTRKQYRKLAKSTLVLVLVFGVHYIVFVCLPHSFTGLGWEIRMHCELFFNSFQGFFVSIIYCYCNGEVQAEVKKMWSRWNLSVDWKRTPPCGSRRCGSVLTTVTHSTSSQSQVAASTRMVLISGKAAKIASRQPDSHITLPGYVWSNSEQDCLPHSFHEETKEDSGRQGDDILMEKPSRPMESNPDTEGCQGETEDVL</v>
      </c>
      <c r="F317" s="5" t="str">
        <f t="shared" si="101"/>
        <v>GKQEFFERLYVMYTVGYSISFGSLAVAILIIGYF</v>
      </c>
      <c r="G317" s="4" t="str">
        <f t="shared" si="102"/>
        <v>RRLH</v>
      </c>
      <c r="H317" s="4" t="str">
        <f t="shared" si="103"/>
        <v>CTRNYIHMHLFVSFMLRATSIFVKDRVVHAHIG</v>
      </c>
      <c r="I317" s="4" t="str">
        <f t="shared" si="104"/>
        <v/>
      </c>
      <c r="J317" s="4" t="str">
        <f t="shared" si="105"/>
        <v>QYIGCKIAVVMFIYFLATNYYWILVEGLYLHNLIFV</v>
      </c>
      <c r="K317" s="4" t="str">
        <f t="shared" si="106"/>
        <v/>
      </c>
      <c r="L317" s="4" t="str">
        <f t="shared" si="107"/>
        <v>SDTKYLWGFILIGWGFPAAFVAAWAVARATLA</v>
      </c>
      <c r="M317" s="4" t="str">
        <f t="shared" si="108"/>
        <v>CWE</v>
      </c>
      <c r="N317" s="4" t="str">
        <f t="shared" si="109"/>
        <v>IKWIYQAPILAAIGLNFILFLNTVRVLATKI</v>
      </c>
      <c r="O317" s="4" t="str">
        <f t="shared" si="110"/>
        <v>DTRKQYRKLAKSTLVLVLVFGVHYIVFVCL</v>
      </c>
      <c r="P317" s="4" t="str">
        <f t="shared" si="111"/>
        <v>GLGWEIRMHCELFFNSFQGFFVSIIYCYC</v>
      </c>
      <c r="Q317" s="4" t="str">
        <f t="shared" si="112"/>
        <v>NGEVQAEVKKMWSRWNLSVDWKRTPP</v>
      </c>
      <c r="R317" s="5">
        <f>VLOOKUP($A317,'SegEnds_NonXtal_Prot#'!$A:$AL,3,FALSE)</f>
        <v>136</v>
      </c>
      <c r="S317" s="5">
        <f>VLOOKUP($A317,'SegEnds_NonXtal_Prot#'!$A:$AL,6,FALSE)</f>
        <v>170</v>
      </c>
      <c r="T317" s="5">
        <f>VLOOKUP($A317,'SegEnds_NonXtal_Prot#'!$A:$AL,9,FALSE)</f>
        <v>174</v>
      </c>
      <c r="U317" s="5" t="str">
        <f>VLOOKUP($A317,'SegEnds_NonXtal_Prot#'!$A:$AL,12,FALSE)</f>
        <v>-</v>
      </c>
      <c r="V317" s="5">
        <f>VLOOKUP($A317,'SegEnds_NonXtal_Prot#'!$A:$AL,15,FALSE)</f>
        <v>232</v>
      </c>
      <c r="W317" s="5" t="str">
        <f>VLOOKUP($A317,'SegEnds_NonXtal_Prot#'!$A:$AL,18,FALSE)</f>
        <v>-</v>
      </c>
      <c r="X317" s="5">
        <f>VLOOKUP($A317,'SegEnds_NonXtal_Prot#'!$A:$AL,21,FALSE)</f>
        <v>271</v>
      </c>
      <c r="Y317" s="5">
        <f>VLOOKUP($A317,'SegEnds_NonXtal_Prot#'!$A:$AL,24,FALSE)</f>
        <v>306</v>
      </c>
      <c r="Z317" s="5">
        <f>VLOOKUP($A317,'SegEnds_NonXtal_Prot#'!$A:$AL,27,FALSE)</f>
        <v>314</v>
      </c>
      <c r="AA317" s="5">
        <f>VLOOKUP($A317,'SegEnds_NonXtal_Prot#'!$A:$AL,30,FALSE)</f>
        <v>353</v>
      </c>
      <c r="AB317" s="5">
        <f>VLOOKUP($A317,'SegEnds_NonXtal_Prot#'!$A:$AL,33,FALSE)</f>
        <v>388</v>
      </c>
      <c r="AC317" s="5">
        <f>VLOOKUP($A317,'SegEnds_NonXtal_Prot#'!$A:$AL,36,FALSE)</f>
        <v>417</v>
      </c>
      <c r="AD317" s="5">
        <f>VLOOKUP($A317,'SegEnds_NonXtal_Prot#'!$A:$AL,5,FALSE)</f>
        <v>169</v>
      </c>
      <c r="AE317" s="5">
        <f>VLOOKUP($A317,'SegEnds_NonXtal_Prot#'!$A:$AL,8,FALSE)</f>
        <v>173</v>
      </c>
      <c r="AF317" s="5">
        <f>VLOOKUP($A317,'SegEnds_NonXtal_Prot#'!$A:$AL,11,FALSE)</f>
        <v>206</v>
      </c>
      <c r="AG317" s="5" t="str">
        <f>VLOOKUP($A317,'SegEnds_NonXtal_Prot#'!$A:$AL,14,FALSE)</f>
        <v>-</v>
      </c>
      <c r="AH317" s="5">
        <f>VLOOKUP($A317,'SegEnds_NonXtal_Prot#'!$A:$AL,17,FALSE)</f>
        <v>267</v>
      </c>
      <c r="AI317" s="5" t="str">
        <f>VLOOKUP($A317,'SegEnds_NonXtal_Prot#'!$A:$AL,20,FALSE)</f>
        <v>-</v>
      </c>
      <c r="AJ317" s="5">
        <f>VLOOKUP($A317,'SegEnds_NonXtal_Prot#'!$A:$AL,23,FALSE)</f>
        <v>302</v>
      </c>
      <c r="AK317" s="5">
        <f>VLOOKUP($A317,'SegEnds_NonXtal_Prot#'!$A:$AL,26,FALSE)</f>
        <v>308</v>
      </c>
      <c r="AL317" s="5">
        <f>VLOOKUP($A317,'SegEnds_NonXtal_Prot#'!$A:$AL,29,FALSE)</f>
        <v>344</v>
      </c>
      <c r="AM317" s="5">
        <f>VLOOKUP($A317,'SegEnds_NonXtal_Prot#'!$A:$AL,32,FALSE)</f>
        <v>382</v>
      </c>
      <c r="AN317" s="5">
        <f>VLOOKUP($A317,'SegEnds_NonXtal_Prot#'!$A:$AL,35,FALSE)</f>
        <v>416</v>
      </c>
      <c r="AO317" s="5">
        <f>VLOOKUP($A317,'SegEnds_NonXtal_Prot#'!$A:$AL,38,FALSE)</f>
        <v>442</v>
      </c>
      <c r="AP317" s="5">
        <f t="shared" si="113"/>
        <v>33</v>
      </c>
      <c r="AQ317" s="4">
        <f t="shared" si="114"/>
        <v>3</v>
      </c>
      <c r="AR317" s="4">
        <f t="shared" si="115"/>
        <v>32</v>
      </c>
      <c r="AS317" s="4" t="str">
        <f t="shared" si="116"/>
        <v>-</v>
      </c>
      <c r="AT317" s="4">
        <f t="shared" si="117"/>
        <v>35</v>
      </c>
      <c r="AU317" s="4" t="str">
        <f t="shared" si="118"/>
        <v>-</v>
      </c>
      <c r="AV317" s="4">
        <f t="shared" si="119"/>
        <v>31</v>
      </c>
      <c r="AW317" s="4">
        <f t="shared" si="120"/>
        <v>2</v>
      </c>
      <c r="AX317" s="4">
        <f t="shared" si="121"/>
        <v>30</v>
      </c>
      <c r="AY317" s="4">
        <f t="shared" si="122"/>
        <v>29</v>
      </c>
      <c r="AZ317" s="4">
        <f t="shared" si="123"/>
        <v>28</v>
      </c>
      <c r="BA317" s="4">
        <f t="shared" si="124"/>
        <v>25</v>
      </c>
    </row>
    <row r="318" spans="1:53" x14ac:dyDescent="0.2">
      <c r="A318" s="1" t="str">
        <f>'SegEnds_NonXtal_Prot#'!A312</f>
        <v>sctr_human</v>
      </c>
      <c r="B318" s="1" t="str">
        <f t="shared" si="100"/>
        <v>KRHSYLLKLKVMYTVGYSSSLVMLLVALGILCAFCTRNYIHMHLFVSFILRALSNFIKDAVLAGCKLVMVLFQYCIMANYSWLLVEGLYLHTLLAISERKYLQGFVAFGWGSPAIFVALWAIARHFLEIWWIIRGPVILSILINFILFINILRILMRKLNEVSHYKRLARSTLLLIPLFGIHYIVFAFSMEIQLFFELALGSFQGLVVAVLYCFLNGEVQLEVQKKWQQWHLREFPLHPVA</v>
      </c>
      <c r="C318" s="29" t="str">
        <f>IF(ISERROR(MATCH(A318,'SegEnds_Xtal_Prot#'!B:B, 0)), "NoXtal", "Xtal")</f>
        <v>NoXtal</v>
      </c>
      <c r="D318" s="4" t="str">
        <f>VLOOKUP(A318,Classification!A:D,2,FALSE)</f>
        <v>B1</v>
      </c>
      <c r="E318" s="5" t="str">
        <f>VLOOKUP(A318,Seqs!A:B,2,FALSE)</f>
        <v>MRPHLSPPLQQLLLPVLLACAAHSTGALPRLCDVLQVLWEEQDQCLQELSREQTGDLGTEQPVPGCEGMWDNISCWPSSVPGRMVEVECPRFLRMLTSRNGSLFRNCTQDGWSETFPRPNLACGVNVNDSSNEKRHSYLLKLKVMYTVGYSSSLVMLLVALGILCAFRRLHCTRNYIHMHLFVSFILRALSNFIKDAVLFSSDDVTYCDAHRAGCKLVMVLFQYCIMANYSWLLVEGLYLHTLLAISFFSERKYLQGFVAFGWGSPAIFVALWAIARHFLEDVGCWDINANASIWWIIRGPVILSILINFILFINILRILMRKLRTQETRGNEVSHYKRLARSTLLLIPLFGIHYIVFAFSPEDAMEIQLFFELALGSFQGLVVAVLYCFLNGEVQLEVQKKWQQWHLREFPLHPVASFSNSTKASHLEQSQGTCRTSII</v>
      </c>
      <c r="F318" s="5" t="str">
        <f t="shared" si="101"/>
        <v>KRHSYLLKLKVMYTVGYSSSLVMLLVALGILCAF</v>
      </c>
      <c r="G318" s="4" t="str">
        <f t="shared" si="102"/>
        <v>RRLH</v>
      </c>
      <c r="H318" s="4" t="str">
        <f t="shared" si="103"/>
        <v>CTRNYIHMHLFVSFILRALSNFIKDAVL</v>
      </c>
      <c r="I318" s="4" t="str">
        <f t="shared" si="104"/>
        <v/>
      </c>
      <c r="J318" s="4" t="str">
        <f t="shared" si="105"/>
        <v>AGCKLVMVLFQYCIMANYSWLLVEGLYLHTLLAI</v>
      </c>
      <c r="K318" s="4" t="str">
        <f t="shared" si="106"/>
        <v/>
      </c>
      <c r="L318" s="4" t="str">
        <f t="shared" si="107"/>
        <v>SERKYLQGFVAFGWGSPAIFVALWAIARHFLE</v>
      </c>
      <c r="M318" s="4" t="str">
        <f t="shared" si="108"/>
        <v>CWD</v>
      </c>
      <c r="N318" s="4" t="str">
        <f t="shared" si="109"/>
        <v>IWWIIRGPVILSILINFILFINILRILMRKL</v>
      </c>
      <c r="O318" s="4" t="str">
        <f t="shared" si="110"/>
        <v>NEVSHYKRLARSTLLLIPLFGIHYIVFAFS</v>
      </c>
      <c r="P318" s="4" t="str">
        <f t="shared" si="111"/>
        <v>MEIQLFFELALGSFQGLVVAVLYCFL</v>
      </c>
      <c r="Q318" s="4" t="str">
        <f t="shared" si="112"/>
        <v>NGEVQLEVQKKWQQWHLREFPLHPVA</v>
      </c>
      <c r="R318" s="5">
        <f>VLOOKUP($A318,'SegEnds_NonXtal_Prot#'!$A:$AL,3,FALSE)</f>
        <v>134</v>
      </c>
      <c r="S318" s="5">
        <f>VLOOKUP($A318,'SegEnds_NonXtal_Prot#'!$A:$AL,6,FALSE)</f>
        <v>168</v>
      </c>
      <c r="T318" s="5">
        <f>VLOOKUP($A318,'SegEnds_NonXtal_Prot#'!$A:$AL,9,FALSE)</f>
        <v>172</v>
      </c>
      <c r="U318" s="5" t="str">
        <f>VLOOKUP($A318,'SegEnds_NonXtal_Prot#'!$A:$AL,12,FALSE)</f>
        <v>-</v>
      </c>
      <c r="V318" s="5">
        <f>VLOOKUP($A318,'SegEnds_NonXtal_Prot#'!$A:$AL,15,FALSE)</f>
        <v>213</v>
      </c>
      <c r="W318" s="5" t="str">
        <f>VLOOKUP($A318,'SegEnds_NonXtal_Prot#'!$A:$AL,18,FALSE)</f>
        <v>-</v>
      </c>
      <c r="X318" s="5">
        <f>VLOOKUP($A318,'SegEnds_NonXtal_Prot#'!$A:$AL,21,FALSE)</f>
        <v>250</v>
      </c>
      <c r="Y318" s="5">
        <f>VLOOKUP($A318,'SegEnds_NonXtal_Prot#'!$A:$AL,24,FALSE)</f>
        <v>285</v>
      </c>
      <c r="Z318" s="5">
        <f>VLOOKUP($A318,'SegEnds_NonXtal_Prot#'!$A:$AL,27,FALSE)</f>
        <v>294</v>
      </c>
      <c r="AA318" s="5">
        <f>VLOOKUP($A318,'SegEnds_NonXtal_Prot#'!$A:$AL,30,FALSE)</f>
        <v>332</v>
      </c>
      <c r="AB318" s="5">
        <f>VLOOKUP($A318,'SegEnds_NonXtal_Prot#'!$A:$AL,33,FALSE)</f>
        <v>366</v>
      </c>
      <c r="AC318" s="5">
        <f>VLOOKUP($A318,'SegEnds_NonXtal_Prot#'!$A:$AL,36,FALSE)</f>
        <v>392</v>
      </c>
      <c r="AD318" s="5">
        <f>VLOOKUP($A318,'SegEnds_NonXtal_Prot#'!$A:$AL,5,FALSE)</f>
        <v>167</v>
      </c>
      <c r="AE318" s="5">
        <f>VLOOKUP($A318,'SegEnds_NonXtal_Prot#'!$A:$AL,8,FALSE)</f>
        <v>171</v>
      </c>
      <c r="AF318" s="5">
        <f>VLOOKUP($A318,'SegEnds_NonXtal_Prot#'!$A:$AL,11,FALSE)</f>
        <v>199</v>
      </c>
      <c r="AG318" s="5" t="str">
        <f>VLOOKUP($A318,'SegEnds_NonXtal_Prot#'!$A:$AL,14,FALSE)</f>
        <v>-</v>
      </c>
      <c r="AH318" s="5">
        <f>VLOOKUP($A318,'SegEnds_NonXtal_Prot#'!$A:$AL,17,FALSE)</f>
        <v>246</v>
      </c>
      <c r="AI318" s="5" t="str">
        <f>VLOOKUP($A318,'SegEnds_NonXtal_Prot#'!$A:$AL,20,FALSE)</f>
        <v>-</v>
      </c>
      <c r="AJ318" s="5">
        <f>VLOOKUP($A318,'SegEnds_NonXtal_Prot#'!$A:$AL,23,FALSE)</f>
        <v>281</v>
      </c>
      <c r="AK318" s="5">
        <f>VLOOKUP($A318,'SegEnds_NonXtal_Prot#'!$A:$AL,26,FALSE)</f>
        <v>287</v>
      </c>
      <c r="AL318" s="5">
        <f>VLOOKUP($A318,'SegEnds_NonXtal_Prot#'!$A:$AL,29,FALSE)</f>
        <v>324</v>
      </c>
      <c r="AM318" s="5">
        <f>VLOOKUP($A318,'SegEnds_NonXtal_Prot#'!$A:$AL,32,FALSE)</f>
        <v>361</v>
      </c>
      <c r="AN318" s="5">
        <f>VLOOKUP($A318,'SegEnds_NonXtal_Prot#'!$A:$AL,35,FALSE)</f>
        <v>391</v>
      </c>
      <c r="AO318" s="5">
        <f>VLOOKUP($A318,'SegEnds_NonXtal_Prot#'!$A:$AL,38,FALSE)</f>
        <v>417</v>
      </c>
      <c r="AP318" s="5">
        <f t="shared" si="113"/>
        <v>33</v>
      </c>
      <c r="AQ318" s="4">
        <f t="shared" si="114"/>
        <v>3</v>
      </c>
      <c r="AR318" s="4">
        <f t="shared" si="115"/>
        <v>27</v>
      </c>
      <c r="AS318" s="4" t="str">
        <f t="shared" si="116"/>
        <v>-</v>
      </c>
      <c r="AT318" s="4">
        <f t="shared" si="117"/>
        <v>33</v>
      </c>
      <c r="AU318" s="4" t="str">
        <f t="shared" si="118"/>
        <v>-</v>
      </c>
      <c r="AV318" s="4">
        <f t="shared" si="119"/>
        <v>31</v>
      </c>
      <c r="AW318" s="4">
        <f t="shared" si="120"/>
        <v>2</v>
      </c>
      <c r="AX318" s="4">
        <f t="shared" si="121"/>
        <v>30</v>
      </c>
      <c r="AY318" s="4">
        <f t="shared" si="122"/>
        <v>29</v>
      </c>
      <c r="AZ318" s="4">
        <f t="shared" si="123"/>
        <v>25</v>
      </c>
      <c r="BA318" s="4">
        <f t="shared" si="124"/>
        <v>25</v>
      </c>
    </row>
    <row r="319" spans="1:53" x14ac:dyDescent="0.2">
      <c r="A319" s="1" t="str">
        <f>'SegEnds_NonXtal_Prot#'!A313</f>
        <v>vipr1_human</v>
      </c>
      <c r="B319" s="1" t="str">
        <f t="shared" si="100"/>
        <v>QQTMFYGSVKTGYTIGYGLSLATLLVATAILSLFCTRNYIHMHLFISFILRAAAVFIKDLALVGCKAAMVFFQYCVMANFFWLLVEGLYLYTLLAVSERKYFWGYILIGWGVPSTFTMVWTIARIHFELWWIIKGPILTSILVNFILFICIIRILLQKLSDSSPYSRLARSTLLLIPLFGVHYIMFAFFPEVKMVFELVVGSFQGFVVAILYCFLNGEVQAELRRKWRRWHLQGVLGWNPK</v>
      </c>
      <c r="C319" s="29" t="str">
        <f>IF(ISERROR(MATCH(A319,'SegEnds_Xtal_Prot#'!B:B, 0)), "NoXtal", "Xtal")</f>
        <v>NoXtal</v>
      </c>
      <c r="D319" s="4" t="str">
        <f>VLOOKUP(A319,Classification!A:D,2,FALSE)</f>
        <v>B1</v>
      </c>
      <c r="E319" s="5" t="str">
        <f>VLOOKUP(A319,Seqs!A:B,2,FALSE)</f>
        <v>MRPPSPLPARWLCVLAGALAWALGPAGGQAARLQEECDYVQMIEVQHKQCLEEAQLENETIGCSKMWDNLTCWPATPRGQVVVLACPLIFKLFSSIQGRNVSRSCTDEGWTHLEPGPYPIACGLDDKAASLDEQQTMFYGSVKTGYTIGYGLSLATLLVATAILSLFRKLHCTRNYIHMHLFISFILRAAAVFIKDLALFDSGESDQCSEGSVGCKAAMVFFQYCVMANFFWLLVEGLYLYTLLAVSFFSERKYFWGYILIGWGVPSTFTMVWTIARIHFEDYGCWDTINSSLWWIIKGPILTSILVNFILFICIIRILLQKLRPPDIRKSDSSPYSRLARSTLLLIPLFGVHYIMFAFFPDNFKPEVKMVFELVVGSFQGFVVAILYCFLNGEVQAELRRKWRRWHLQGVLGWNPKYRHPSGGSNGATCSTQVSMLTRVSPGARRSSSFQAEVSLV</v>
      </c>
      <c r="F319" s="5" t="str">
        <f t="shared" si="101"/>
        <v>QQTMFYGSVKTGYTIGYGLSLATLLVATAILSLF</v>
      </c>
      <c r="G319" s="4" t="str">
        <f t="shared" si="102"/>
        <v>RKLH</v>
      </c>
      <c r="H319" s="4" t="str">
        <f t="shared" si="103"/>
        <v>CTRNYIHMHLFISFILRAAAVFIKDLAL</v>
      </c>
      <c r="I319" s="4" t="str">
        <f t="shared" si="104"/>
        <v/>
      </c>
      <c r="J319" s="4" t="str">
        <f t="shared" si="105"/>
        <v>VGCKAAMVFFQYCVMANFFWLLVEGLYLYTLLAV</v>
      </c>
      <c r="K319" s="4" t="str">
        <f t="shared" si="106"/>
        <v/>
      </c>
      <c r="L319" s="4" t="str">
        <f t="shared" si="107"/>
        <v>SERKYFWGYILIGWGVPSTFTMVWTIARIHFE</v>
      </c>
      <c r="M319" s="4" t="str">
        <f t="shared" si="108"/>
        <v>CWD</v>
      </c>
      <c r="N319" s="4" t="str">
        <f t="shared" si="109"/>
        <v>LWWIIKGPILTSILVNFILFICIIRILLQKL</v>
      </c>
      <c r="O319" s="4" t="str">
        <f t="shared" si="110"/>
        <v>SDSSPYSRLARSTLLLIPLFGVHYIMFAFF</v>
      </c>
      <c r="P319" s="4" t="str">
        <f t="shared" si="111"/>
        <v>PEVKMVFELVVGSFQGFVVAILYCFL</v>
      </c>
      <c r="Q319" s="4" t="str">
        <f t="shared" si="112"/>
        <v>NGEVQAELRRKWRRWHLQGVLGWNPK</v>
      </c>
      <c r="R319" s="5">
        <f>VLOOKUP($A319,'SegEnds_NonXtal_Prot#'!$A:$AL,3,FALSE)</f>
        <v>134</v>
      </c>
      <c r="S319" s="5">
        <f>VLOOKUP($A319,'SegEnds_NonXtal_Prot#'!$A:$AL,6,FALSE)</f>
        <v>168</v>
      </c>
      <c r="T319" s="5">
        <f>VLOOKUP($A319,'SegEnds_NonXtal_Prot#'!$A:$AL,9,FALSE)</f>
        <v>172</v>
      </c>
      <c r="U319" s="5" t="str">
        <f>VLOOKUP($A319,'SegEnds_NonXtal_Prot#'!$A:$AL,12,FALSE)</f>
        <v>-</v>
      </c>
      <c r="V319" s="5">
        <f>VLOOKUP($A319,'SegEnds_NonXtal_Prot#'!$A:$AL,15,FALSE)</f>
        <v>213</v>
      </c>
      <c r="W319" s="5" t="str">
        <f>VLOOKUP($A319,'SegEnds_NonXtal_Prot#'!$A:$AL,18,FALSE)</f>
        <v>-</v>
      </c>
      <c r="X319" s="5">
        <f>VLOOKUP($A319,'SegEnds_NonXtal_Prot#'!$A:$AL,21,FALSE)</f>
        <v>250</v>
      </c>
      <c r="Y319" s="5">
        <f>VLOOKUP($A319,'SegEnds_NonXtal_Prot#'!$A:$AL,24,FALSE)</f>
        <v>285</v>
      </c>
      <c r="Z319" s="5">
        <f>VLOOKUP($A319,'SegEnds_NonXtal_Prot#'!$A:$AL,27,FALSE)</f>
        <v>293</v>
      </c>
      <c r="AA319" s="5">
        <f>VLOOKUP($A319,'SegEnds_NonXtal_Prot#'!$A:$AL,30,FALSE)</f>
        <v>331</v>
      </c>
      <c r="AB319" s="5">
        <f>VLOOKUP($A319,'SegEnds_NonXtal_Prot#'!$A:$AL,33,FALSE)</f>
        <v>366</v>
      </c>
      <c r="AC319" s="5">
        <f>VLOOKUP($A319,'SegEnds_NonXtal_Prot#'!$A:$AL,36,FALSE)</f>
        <v>392</v>
      </c>
      <c r="AD319" s="5">
        <f>VLOOKUP($A319,'SegEnds_NonXtal_Prot#'!$A:$AL,5,FALSE)</f>
        <v>167</v>
      </c>
      <c r="AE319" s="5">
        <f>VLOOKUP($A319,'SegEnds_NonXtal_Prot#'!$A:$AL,8,FALSE)</f>
        <v>171</v>
      </c>
      <c r="AF319" s="5">
        <f>VLOOKUP($A319,'SegEnds_NonXtal_Prot#'!$A:$AL,11,FALSE)</f>
        <v>199</v>
      </c>
      <c r="AG319" s="5" t="str">
        <f>VLOOKUP($A319,'SegEnds_NonXtal_Prot#'!$A:$AL,14,FALSE)</f>
        <v>-</v>
      </c>
      <c r="AH319" s="5">
        <f>VLOOKUP($A319,'SegEnds_NonXtal_Prot#'!$A:$AL,17,FALSE)</f>
        <v>246</v>
      </c>
      <c r="AI319" s="5" t="str">
        <f>VLOOKUP($A319,'SegEnds_NonXtal_Prot#'!$A:$AL,20,FALSE)</f>
        <v>-</v>
      </c>
      <c r="AJ319" s="5">
        <f>VLOOKUP($A319,'SegEnds_NonXtal_Prot#'!$A:$AL,23,FALSE)</f>
        <v>281</v>
      </c>
      <c r="AK319" s="5">
        <f>VLOOKUP($A319,'SegEnds_NonXtal_Prot#'!$A:$AL,26,FALSE)</f>
        <v>287</v>
      </c>
      <c r="AL319" s="5">
        <f>VLOOKUP($A319,'SegEnds_NonXtal_Prot#'!$A:$AL,29,FALSE)</f>
        <v>323</v>
      </c>
      <c r="AM319" s="5">
        <f>VLOOKUP($A319,'SegEnds_NonXtal_Prot#'!$A:$AL,32,FALSE)</f>
        <v>360</v>
      </c>
      <c r="AN319" s="5">
        <f>VLOOKUP($A319,'SegEnds_NonXtal_Prot#'!$A:$AL,35,FALSE)</f>
        <v>391</v>
      </c>
      <c r="AO319" s="5">
        <f>VLOOKUP($A319,'SegEnds_NonXtal_Prot#'!$A:$AL,38,FALSE)</f>
        <v>417</v>
      </c>
      <c r="AP319" s="5">
        <f t="shared" si="113"/>
        <v>33</v>
      </c>
      <c r="AQ319" s="4">
        <f t="shared" si="114"/>
        <v>3</v>
      </c>
      <c r="AR319" s="4">
        <f t="shared" si="115"/>
        <v>27</v>
      </c>
      <c r="AS319" s="4" t="str">
        <f t="shared" si="116"/>
        <v>-</v>
      </c>
      <c r="AT319" s="4">
        <f t="shared" si="117"/>
        <v>33</v>
      </c>
      <c r="AU319" s="4" t="str">
        <f t="shared" si="118"/>
        <v>-</v>
      </c>
      <c r="AV319" s="4">
        <f t="shared" si="119"/>
        <v>31</v>
      </c>
      <c r="AW319" s="4">
        <f t="shared" si="120"/>
        <v>2</v>
      </c>
      <c r="AX319" s="4">
        <f t="shared" si="121"/>
        <v>30</v>
      </c>
      <c r="AY319" s="4">
        <f t="shared" si="122"/>
        <v>29</v>
      </c>
      <c r="AZ319" s="4">
        <f t="shared" si="123"/>
        <v>25</v>
      </c>
      <c r="BA319" s="4">
        <f t="shared" si="124"/>
        <v>25</v>
      </c>
    </row>
    <row r="320" spans="1:53" x14ac:dyDescent="0.2">
      <c r="A320" s="1" t="str">
        <f>'SegEnds_NonXtal_Prot#'!A314</f>
        <v>vipr2_human</v>
      </c>
      <c r="B320" s="1" t="str">
        <f t="shared" si="100"/>
        <v>SKITFYILVKAIYTLGYSVSLMSLATGSIILCLFCTRNYIHLNLFLSFILRAISVLVKDDVLVGCKLSLVFLQYCIMANFFWLLVEGLYLHTLLVAPPRRCFLAYLLIGWGLPTVCIGAWTAARLYLEPWWVIRIPILISIIVNFVLFISIIRILLQKLNDQSQYKRLAKSTLLLIPLFGVHYMVFAVFSKYQILFELCLGSFQGLVVAVLYCFLNSEVQCELKRKWRSRCPTPSASRDYR</v>
      </c>
      <c r="C320" s="29" t="str">
        <f>IF(ISERROR(MATCH(A320,'SegEnds_Xtal_Prot#'!B:B, 0)), "NoXtal", "Xtal")</f>
        <v>NoXtal</v>
      </c>
      <c r="D320" s="4" t="str">
        <f>VLOOKUP(A320,Classification!A:D,2,FALSE)</f>
        <v>B1</v>
      </c>
      <c r="E320" s="5" t="str">
        <f>VLOOKUP(A320,Seqs!A:B,2,FALSE)</f>
        <v>MRTLLPPALLTCWLLAPVNSIHPECRFHLEIQEEETKCAELLRSQTEKHKACSGVWDNITCWRPANVGETVTVPCPKVFSNFYSKAGNISKNCTSDGWSETFPDFVDACGYSDPEDESKITFYILVKAIYTLGYSVSLMSLATGSIILCLFRKLHCTRNYIHLNLFLSFILRAISVLVKDDVLYSSSGTLHCPDQPSSWVGCKLSLVFLQYCIMANFFWLLVEGLYLHTLLVAMLPPRRCFLAYLLIGWGLPTVCIGAWTAARLYLEDTGCWDTNDHSVPWWVIRIPILISIIVNFVLFISIIRILLQKLTSPDVGGNDQSQYKRLAKSTLLLIPLFGVHYMVFAVFPISISSKYQILFELCLGSFQGLVVAVLYCFLNSEVQCELKRKWRSRCPTPSASRDYRVCGSSFSRNGSEGALQFHRGSRAQSFLQTETSVI</v>
      </c>
      <c r="F320" s="5" t="str">
        <f t="shared" si="101"/>
        <v>SKITFYILVKAIYTLGYSVSLMSLATGSIILCLF</v>
      </c>
      <c r="G320" s="4" t="str">
        <f t="shared" si="102"/>
        <v>RKLH</v>
      </c>
      <c r="H320" s="4" t="str">
        <f t="shared" si="103"/>
        <v>CTRNYIHLNLFLSFILRAISVLVKDDVL</v>
      </c>
      <c r="I320" s="4" t="str">
        <f t="shared" si="104"/>
        <v/>
      </c>
      <c r="J320" s="4" t="str">
        <f t="shared" si="105"/>
        <v>VGCKLSLVFLQYCIMANFFWLLVEGLYLHTLLVA</v>
      </c>
      <c r="K320" s="4" t="str">
        <f t="shared" si="106"/>
        <v/>
      </c>
      <c r="L320" s="4" t="str">
        <f t="shared" si="107"/>
        <v>PPRRCFLAYLLIGWGLPTVCIGAWTAARLYLE</v>
      </c>
      <c r="M320" s="4" t="str">
        <f t="shared" si="108"/>
        <v>CWD</v>
      </c>
      <c r="N320" s="4" t="str">
        <f t="shared" si="109"/>
        <v>PWWVIRIPILISIIVNFVLFISIIRILLQKL</v>
      </c>
      <c r="O320" s="4" t="str">
        <f t="shared" si="110"/>
        <v>NDQSQYKRLAKSTLLLIPLFGVHYMVFAVF</v>
      </c>
      <c r="P320" s="4" t="str">
        <f t="shared" si="111"/>
        <v>SKYQILFELCLGSFQGLVVAVLYCFL</v>
      </c>
      <c r="Q320" s="4" t="str">
        <f t="shared" si="112"/>
        <v>NSEVQCELKRKWRSRCPTPSASRDYR</v>
      </c>
      <c r="R320" s="5">
        <f>VLOOKUP($A320,'SegEnds_NonXtal_Prot#'!$A:$AL,3,FALSE)</f>
        <v>118</v>
      </c>
      <c r="S320" s="5">
        <f>VLOOKUP($A320,'SegEnds_NonXtal_Prot#'!$A:$AL,6,FALSE)</f>
        <v>152</v>
      </c>
      <c r="T320" s="5">
        <f>VLOOKUP($A320,'SegEnds_NonXtal_Prot#'!$A:$AL,9,FALSE)</f>
        <v>156</v>
      </c>
      <c r="U320" s="5" t="str">
        <f>VLOOKUP($A320,'SegEnds_NonXtal_Prot#'!$A:$AL,12,FALSE)</f>
        <v>-</v>
      </c>
      <c r="V320" s="5">
        <f>VLOOKUP($A320,'SegEnds_NonXtal_Prot#'!$A:$AL,15,FALSE)</f>
        <v>200</v>
      </c>
      <c r="W320" s="5" t="str">
        <f>VLOOKUP($A320,'SegEnds_NonXtal_Prot#'!$A:$AL,18,FALSE)</f>
        <v>-</v>
      </c>
      <c r="X320" s="5">
        <f>VLOOKUP($A320,'SegEnds_NonXtal_Prot#'!$A:$AL,21,FALSE)</f>
        <v>236</v>
      </c>
      <c r="Y320" s="5">
        <f>VLOOKUP($A320,'SegEnds_NonXtal_Prot#'!$A:$AL,24,FALSE)</f>
        <v>271</v>
      </c>
      <c r="Z320" s="5">
        <f>VLOOKUP($A320,'SegEnds_NonXtal_Prot#'!$A:$AL,27,FALSE)</f>
        <v>280</v>
      </c>
      <c r="AA320" s="5">
        <f>VLOOKUP($A320,'SegEnds_NonXtal_Prot#'!$A:$AL,30,FALSE)</f>
        <v>318</v>
      </c>
      <c r="AB320" s="5">
        <f>VLOOKUP($A320,'SegEnds_NonXtal_Prot#'!$A:$AL,33,FALSE)</f>
        <v>353</v>
      </c>
      <c r="AC320" s="5">
        <f>VLOOKUP($A320,'SegEnds_NonXtal_Prot#'!$A:$AL,36,FALSE)</f>
        <v>379</v>
      </c>
      <c r="AD320" s="5">
        <f>VLOOKUP($A320,'SegEnds_NonXtal_Prot#'!$A:$AL,5,FALSE)</f>
        <v>151</v>
      </c>
      <c r="AE320" s="5">
        <f>VLOOKUP($A320,'SegEnds_NonXtal_Prot#'!$A:$AL,8,FALSE)</f>
        <v>155</v>
      </c>
      <c r="AF320" s="5">
        <f>VLOOKUP($A320,'SegEnds_NonXtal_Prot#'!$A:$AL,11,FALSE)</f>
        <v>183</v>
      </c>
      <c r="AG320" s="5" t="str">
        <f>VLOOKUP($A320,'SegEnds_NonXtal_Prot#'!$A:$AL,14,FALSE)</f>
        <v>-</v>
      </c>
      <c r="AH320" s="5">
        <f>VLOOKUP($A320,'SegEnds_NonXtal_Prot#'!$A:$AL,17,FALSE)</f>
        <v>233</v>
      </c>
      <c r="AI320" s="5" t="str">
        <f>VLOOKUP($A320,'SegEnds_NonXtal_Prot#'!$A:$AL,20,FALSE)</f>
        <v>-</v>
      </c>
      <c r="AJ320" s="5">
        <f>VLOOKUP($A320,'SegEnds_NonXtal_Prot#'!$A:$AL,23,FALSE)</f>
        <v>267</v>
      </c>
      <c r="AK320" s="5">
        <f>VLOOKUP($A320,'SegEnds_NonXtal_Prot#'!$A:$AL,26,FALSE)</f>
        <v>273</v>
      </c>
      <c r="AL320" s="5">
        <f>VLOOKUP($A320,'SegEnds_NonXtal_Prot#'!$A:$AL,29,FALSE)</f>
        <v>310</v>
      </c>
      <c r="AM320" s="5">
        <f>VLOOKUP($A320,'SegEnds_NonXtal_Prot#'!$A:$AL,32,FALSE)</f>
        <v>347</v>
      </c>
      <c r="AN320" s="5">
        <f>VLOOKUP($A320,'SegEnds_NonXtal_Prot#'!$A:$AL,35,FALSE)</f>
        <v>378</v>
      </c>
      <c r="AO320" s="5">
        <f>VLOOKUP($A320,'SegEnds_NonXtal_Prot#'!$A:$AL,38,FALSE)</f>
        <v>404</v>
      </c>
      <c r="AP320" s="5">
        <f t="shared" si="113"/>
        <v>33</v>
      </c>
      <c r="AQ320" s="4">
        <f t="shared" si="114"/>
        <v>3</v>
      </c>
      <c r="AR320" s="4">
        <f t="shared" si="115"/>
        <v>27</v>
      </c>
      <c r="AS320" s="4" t="str">
        <f t="shared" si="116"/>
        <v>-</v>
      </c>
      <c r="AT320" s="4">
        <f t="shared" si="117"/>
        <v>33</v>
      </c>
      <c r="AU320" s="4" t="str">
        <f t="shared" si="118"/>
        <v>-</v>
      </c>
      <c r="AV320" s="4">
        <f t="shared" si="119"/>
        <v>31</v>
      </c>
      <c r="AW320" s="4">
        <f t="shared" si="120"/>
        <v>2</v>
      </c>
      <c r="AX320" s="4">
        <f t="shared" si="121"/>
        <v>30</v>
      </c>
      <c r="AY320" s="4">
        <f t="shared" si="122"/>
        <v>29</v>
      </c>
      <c r="AZ320" s="4">
        <f t="shared" si="123"/>
        <v>25</v>
      </c>
      <c r="BA320" s="4">
        <f t="shared" si="124"/>
        <v>25</v>
      </c>
    </row>
    <row r="321" spans="1:53" x14ac:dyDescent="0.2">
      <c r="A321" s="1" t="str">
        <f>'SegEnds_NonXtal_Prot#'!A315</f>
        <v>agra1_human</v>
      </c>
      <c r="B321" s="1" t="str">
        <f t="shared" si="100"/>
        <v>SLPRYPGEFLHPVVYACTAVMLLCLLASFVTYIVHQSAISRKGRHTLLNFCFHAALTFTVFAGGIILCQAVGIVLHYSTLSTMLWIGVTARNIYKQVTKQPLLRFYLVSGGVPFIICGVTAATNIRNYWEPSLGAFYGPAAIITLVTCVYFLGTYVQLRRHPSFQAQLRAAAFTLFLFTATWAFGALFLDMVFSCLYGAFCVTLGLFVLIHHCAKREDVWQCWWACCPPRKD</v>
      </c>
      <c r="C321" s="29" t="str">
        <f>IF(ISERROR(MATCH(A321,'SegEnds_Xtal_Prot#'!B:B, 0)), "NoXtal", "Xtal")</f>
        <v>NoXtal</v>
      </c>
      <c r="D321" s="4" t="str">
        <f>VLOOKUP(A321,Classification!A:D,2,FALSE)</f>
        <v>B2</v>
      </c>
      <c r="E321" s="5" t="str">
        <f>VLOOKUP(A321,Seqs!A:B,2,FALSE)</f>
        <v>MDLKTVLSLPRYPGEFLHPVVYACTAVMLLCLLASFVTYIVHQSAIRISRKGRHTLLNFCFHAALTFTVFAGGINRTKYPILCQAVGIVLHYSTLSTMLWIGVTARNIYKQVTKKAPLCLDTDQPPYPRQPLLRFYLVSGGVPFIICGVTAATNIRNYGTEDEDTAYCWMAWEPSLGAFYGPAAIITLVTCVYFLGTYVQLRRHPGRRYELRTQPEEQRRLATPEGGRGIRPGTPPAHDAPGASVLQNEHSFQAQLRAAAFTLFLFTATWAFGALAVSQGHFLDMVFSCLYGAFCVTLGLFVLIHHCAKREDVWQCWWACCPPRKDAHPALDANGAALGRAACLHSPGLGQPRGFAHPPGPCKMTNLQAAQGHASCLSPATPCCAKMHCEPLTADEAHVHLQEEGAFGHDPHLHGCLQGRTKPPYFSRHPAEEPEYAYHIPSSLDGSPRSSRTDSPPSSLDGPAGTHTLACCTQGDPFPMVTQPEGSDGSPALYSCPTQPGREAALGPGHLEMLRRTQSLPFGGPSQNGLPKGKLLEGLPFGTDGTGNIRTGPWKNETTV</v>
      </c>
      <c r="F321" s="5" t="str">
        <f t="shared" si="101"/>
        <v>SLPRYPGEFLHPVVYACTAVMLLCLLASFVTYIVHQSA</v>
      </c>
      <c r="G321" s="4" t="str">
        <f t="shared" si="102"/>
        <v/>
      </c>
      <c r="H321" s="4" t="str">
        <f t="shared" si="103"/>
        <v>ISRKGRHTLLNFCFHAALTFTVFAGGI</v>
      </c>
      <c r="I321" s="4" t="str">
        <f t="shared" si="104"/>
        <v/>
      </c>
      <c r="J321" s="4" t="str">
        <f t="shared" si="105"/>
        <v>ILCQAVGIVLHYSTLSTMLWIGVTARNIYKQVTK</v>
      </c>
      <c r="K321" s="4" t="str">
        <f t="shared" si="106"/>
        <v/>
      </c>
      <c r="L321" s="4" t="str">
        <f t="shared" si="107"/>
        <v>QPLLRFYLVSGGVPFIICGVTAATNIRNY</v>
      </c>
      <c r="M321" s="4" t="str">
        <f t="shared" si="108"/>
        <v>CWM</v>
      </c>
      <c r="N321" s="4" t="str">
        <f t="shared" si="109"/>
        <v>WEPSLGAFYGPAAIITLVTCVYFLGTYVQLRRHP</v>
      </c>
      <c r="O321" s="4" t="str">
        <f t="shared" si="110"/>
        <v>SFQAQLRAAAFTLFLFTATWAFGAL</v>
      </c>
      <c r="P321" s="4" t="str">
        <f t="shared" si="111"/>
        <v>FLDMVFSCLYGAFCVTLGLFVLIHHCAK</v>
      </c>
      <c r="Q321" s="4" t="str">
        <f t="shared" si="112"/>
        <v>REDVWQCWWACCPPRKD</v>
      </c>
      <c r="R321" s="5">
        <f>VLOOKUP($A321,'SegEnds_NonXtal_Prot#'!$A:$AL,3,FALSE)</f>
        <v>8</v>
      </c>
      <c r="S321" s="5" t="str">
        <f>VLOOKUP($A321,'SegEnds_NonXtal_Prot#'!$A:$AL,6,FALSE)</f>
        <v>-</v>
      </c>
      <c r="T321" s="5">
        <f>VLOOKUP($A321,'SegEnds_NonXtal_Prot#'!$A:$AL,9,FALSE)</f>
        <v>48</v>
      </c>
      <c r="U321" s="5" t="str">
        <f>VLOOKUP($A321,'SegEnds_NonXtal_Prot#'!$A:$AL,12,FALSE)</f>
        <v>-</v>
      </c>
      <c r="V321" s="5">
        <f>VLOOKUP($A321,'SegEnds_NonXtal_Prot#'!$A:$AL,15,FALSE)</f>
        <v>81</v>
      </c>
      <c r="W321" s="5" t="str">
        <f>VLOOKUP($A321,'SegEnds_NonXtal_Prot#'!$A:$AL,18,FALSE)</f>
        <v>-</v>
      </c>
      <c r="X321" s="5">
        <f>VLOOKUP($A321,'SegEnds_NonXtal_Prot#'!$A:$AL,21,FALSE)</f>
        <v>130</v>
      </c>
      <c r="Y321" s="5">
        <f>VLOOKUP($A321,'SegEnds_NonXtal_Prot#'!$A:$AL,24,FALSE)</f>
        <v>168</v>
      </c>
      <c r="Z321" s="5">
        <f>VLOOKUP($A321,'SegEnds_NonXtal_Prot#'!$A:$AL,27,FALSE)</f>
        <v>172</v>
      </c>
      <c r="AA321" s="5">
        <f>VLOOKUP($A321,'SegEnds_NonXtal_Prot#'!$A:$AL,30,FALSE)</f>
        <v>251</v>
      </c>
      <c r="AB321" s="5">
        <f>VLOOKUP($A321,'SegEnds_NonXtal_Prot#'!$A:$AL,33,FALSE)</f>
        <v>282</v>
      </c>
      <c r="AC321" s="5">
        <f>VLOOKUP($A321,'SegEnds_NonXtal_Prot#'!$A:$AL,36,FALSE)</f>
        <v>310</v>
      </c>
      <c r="AD321" s="5">
        <f>VLOOKUP($A321,'SegEnds_NonXtal_Prot#'!$A:$AL,5,FALSE)</f>
        <v>45</v>
      </c>
      <c r="AE321" s="5" t="str">
        <f>VLOOKUP($A321,'SegEnds_NonXtal_Prot#'!$A:$AL,8,FALSE)</f>
        <v>-</v>
      </c>
      <c r="AF321" s="5">
        <f>VLOOKUP($A321,'SegEnds_NonXtal_Prot#'!$A:$AL,11,FALSE)</f>
        <v>74</v>
      </c>
      <c r="AG321" s="5" t="str">
        <f>VLOOKUP($A321,'SegEnds_NonXtal_Prot#'!$A:$AL,14,FALSE)</f>
        <v>-</v>
      </c>
      <c r="AH321" s="5">
        <f>VLOOKUP($A321,'SegEnds_NonXtal_Prot#'!$A:$AL,17,FALSE)</f>
        <v>114</v>
      </c>
      <c r="AI321" s="5" t="str">
        <f>VLOOKUP($A321,'SegEnds_NonXtal_Prot#'!$A:$AL,20,FALSE)</f>
        <v>-</v>
      </c>
      <c r="AJ321" s="5">
        <f>VLOOKUP($A321,'SegEnds_NonXtal_Prot#'!$A:$AL,23,FALSE)</f>
        <v>158</v>
      </c>
      <c r="AK321" s="5">
        <f>VLOOKUP($A321,'SegEnds_NonXtal_Prot#'!$A:$AL,26,FALSE)</f>
        <v>170</v>
      </c>
      <c r="AL321" s="5">
        <f>VLOOKUP($A321,'SegEnds_NonXtal_Prot#'!$A:$AL,29,FALSE)</f>
        <v>205</v>
      </c>
      <c r="AM321" s="5">
        <f>VLOOKUP($A321,'SegEnds_NonXtal_Prot#'!$A:$AL,32,FALSE)</f>
        <v>275</v>
      </c>
      <c r="AN321" s="5">
        <f>VLOOKUP($A321,'SegEnds_NonXtal_Prot#'!$A:$AL,35,FALSE)</f>
        <v>309</v>
      </c>
      <c r="AO321" s="5">
        <f>VLOOKUP($A321,'SegEnds_NonXtal_Prot#'!$A:$AL,38,FALSE)</f>
        <v>326</v>
      </c>
      <c r="AP321" s="5">
        <f t="shared" si="113"/>
        <v>37</v>
      </c>
      <c r="AQ321" s="4" t="str">
        <f t="shared" si="114"/>
        <v>-</v>
      </c>
      <c r="AR321" s="4">
        <f t="shared" si="115"/>
        <v>26</v>
      </c>
      <c r="AS321" s="4" t="str">
        <f t="shared" si="116"/>
        <v>-</v>
      </c>
      <c r="AT321" s="4">
        <f t="shared" si="117"/>
        <v>33</v>
      </c>
      <c r="AU321" s="4" t="str">
        <f t="shared" si="118"/>
        <v>-</v>
      </c>
      <c r="AV321" s="4">
        <f t="shared" si="119"/>
        <v>28</v>
      </c>
      <c r="AW321" s="4">
        <f t="shared" si="120"/>
        <v>2</v>
      </c>
      <c r="AX321" s="4">
        <f t="shared" si="121"/>
        <v>33</v>
      </c>
      <c r="AY321" s="4">
        <f t="shared" si="122"/>
        <v>24</v>
      </c>
      <c r="AZ321" s="4">
        <f t="shared" si="123"/>
        <v>27</v>
      </c>
      <c r="BA321" s="4">
        <f t="shared" si="124"/>
        <v>16</v>
      </c>
    </row>
    <row r="322" spans="1:53" x14ac:dyDescent="0.2">
      <c r="A322" s="1" t="str">
        <f>'SegEnds_NonXtal_Prot#'!A316</f>
        <v>agra2_human</v>
      </c>
      <c r="B322" s="1" t="str">
        <f t="shared" ref="B322:B385" si="125">F322&amp;H322&amp;J322&amp;L322&amp;N322&amp;O322&amp;P322&amp;Q322</f>
        <v>REVGGAGAGLHPVVYPCTALLLLCLFATIITYILNHSSVSRKGWHMLLNLCFHIAMTSAVFAGGIMVCQAVGITLHYSSLSTLLWMGVKARVLHKELTWSPMLRFYLIAGGIPLIICGITAAVNIHNYWRPSLGAFYIPVALILLITWIYFLCAGLRLRGPLSPGVQLGALVTTHFLYLAMWACGALLPRVVCSCLYGVAASALGLFVFTHHCARRRDVRASWRACCPPASP</v>
      </c>
      <c r="C322" s="29" t="str">
        <f>IF(ISERROR(MATCH(A322,'SegEnds_Xtal_Prot#'!B:B, 0)), "NoXtal", "Xtal")</f>
        <v>NoXtal</v>
      </c>
      <c r="D322" s="4" t="str">
        <f>VLOOKUP(A322,Classification!A:D,2,FALSE)</f>
        <v>B2</v>
      </c>
      <c r="E322" s="5" t="str">
        <f>VLOOKUP(A322,Seqs!A:B,2,FALSE)</f>
        <v>MGAGGRRMRGAPARLLLPLLPWLLLLLAPEARGAPGCPLSIRSCKCSGERPKGLSGGVPGPARRRVVCSGGDLPEPPEPGLLPNGTVTLLLSNNKITGLRNGSFLGLSLLEKLDLRNNIISTVQPGAFLGLGELKRLDLSNNRIGCLTSETFQGLPRLLRLNISGNIFSSLQPGVFDELPALKVVDLGTEFLTCDCHLRWLLPWAQNRSLQLSEHTLCAYPSALHAQALGSLQEAQLCCEGALELHTHHLIPSLRQVVFQGDRLPFQCSASYLGNDTRIRWYHNRAPVEGDEQAGILLAESLIHDCTFITSELTLSHIGVWASGEWECTVSMAQGNASKKVEIVVLETSASYCPAERVANNRGDFRWPRTLAGITAYQSCLQYPFTSVPLGGGAPGTRASRRCDRAGRWEPGDYSHCLYTNDITRVLYTFVLMPINASNALTLAHQLRVYTAEAASFSDMMDVVYVAQMIQKFLGYVDQIKELVEVMVDMASNLMLVDEHLLWLAQREDKACSRIVGALERIGGAALSPHAQHISVNARNVALEAYLIKPHSYVGLTCTAFQRREGGVPGTRPGSPGQNPPPEPEPPADQQLRFRCTTGRPNVSLSSFHIKNSVALASIQLPPSLFSSLPAALAPPVPPDCTLQLLVFRNGRLFHSHSNTSRPGAAGPGKRRGVATPVIFAGTSGCGVGNLTEPVAVSLRHWAEGAEPVAAWWSQEGPGEAGGWTSEGCQLRSSQPNVSALHCQHLGNVAVLMELSAFPREVGGAGAGLHPVVYPCTALLLLCLFATIITYILNHSSIRVSRKGWHMLLNLCFHIAMTSAVFAGGITLTNYQMVCQAVGITLHYSSLSTLLWMGVKARVLHKELTWRAPPPQEGDPALPTPSPMLRFYLIAGGIPLIICGITAAVNIHNYRDHSPYCWLVWRPSLGAFYIPVALILLITWIYFLCAGLRLRGPLAQNPKAGNSRASLEAGEELRGSTRLRGSGPLLSDSGSLLATGSARVGTPGPPEDGDSLYSPGVQLGALVTTHFLYLAMWACGALAVSQRWLPRVVCSCLYGVAASALGLFVFTHHCARRRDVRASWRACCPPASPAAPHAPPRALPAAAEDGSPVFGEGPPSLKSSPSGSSGHPLALGPCKLTNLQLAQSQVCEAGAAAGGEGEPEPAGTRGNLAHRHPNNVHHGRRAHKSRAKGHRAGEACGKNRLKALRGGAAGALELLSSESGSLHNSPTDSYLGSSRNSPGAGLQLEGEPMLTPSEGSDTSAAPLSEAGRAGQRRSASRDSLKGGGALEKESHRRSYPLNAASLNGAPKGGKYDDVTLMGAEVASGGCMKTGLWKSETTV</v>
      </c>
      <c r="F322" s="5" t="str">
        <f t="shared" ref="F322:F385" si="126">IFERROR(MID($E322,R322,(AP322+1)),"")</f>
        <v>REVGGAGAGLHPVVYPCTALLLLCLFATIITYILNHSS</v>
      </c>
      <c r="G322" s="4" t="str">
        <f t="shared" ref="G322:G385" si="127">IFERROR(MID($E322,S322,(AQ322+1)),"")</f>
        <v/>
      </c>
      <c r="H322" s="4" t="str">
        <f t="shared" ref="H322:H385" si="128">IFERROR(MID($E322,T322,(AR322+1)),"")</f>
        <v>VSRKGWHMLLNLCFHIAMTSAVFAGGI</v>
      </c>
      <c r="I322" s="4" t="str">
        <f t="shared" ref="I322:I385" si="129">IFERROR(MID($E322,U322,(AS322+1)),"")</f>
        <v/>
      </c>
      <c r="J322" s="4" t="str">
        <f t="shared" ref="J322:J385" si="130">IFERROR(MID($E322,V322,(AT322+1)),"")</f>
        <v>MVCQAVGITLHYSSLSTLLWMGVKARVLHKELTW</v>
      </c>
      <c r="K322" s="4" t="str">
        <f t="shared" ref="K322:K385" si="131">IFERROR(MID($E322,W322,(AU322+1)),"")</f>
        <v/>
      </c>
      <c r="L322" s="4" t="str">
        <f t="shared" ref="L322:L385" si="132">IFERROR(MID($E322,X322,(AV322+1)),"")</f>
        <v>SPMLRFYLIAGGIPLIICGITAAVNIHNY</v>
      </c>
      <c r="M322" s="4" t="str">
        <f t="shared" ref="M322:M385" si="133">IFERROR(MID($E322,Y322,(AW322+1)),"")</f>
        <v>CWL</v>
      </c>
      <c r="N322" s="4" t="str">
        <f t="shared" ref="N322:N385" si="134">IFERROR(MID($E322,Z322,(AX322+1)),"")</f>
        <v>WRPSLGAFYIPVALILLITWIYFLCAGLRLRGPL</v>
      </c>
      <c r="O322" s="4" t="str">
        <f t="shared" ref="O322:O385" si="135">IFERROR(MID($E322,AA322,(AY322+1)),"")</f>
        <v>SPGVQLGALVTTHFLYLAMWACGAL</v>
      </c>
      <c r="P322" s="4" t="str">
        <f t="shared" ref="P322:P385" si="136">IFERROR(MID($E322,AB322,(AZ322+1)),"")</f>
        <v>LPRVVCSCLYGVAASALGLFVFTHHCAR</v>
      </c>
      <c r="Q322" s="4" t="str">
        <f t="shared" ref="Q322:Q385" si="137">IFERROR(MID($E322,AC322,(BA322+1)),"")</f>
        <v>RRDVRASWRACCPPASP</v>
      </c>
      <c r="R322" s="5">
        <f>VLOOKUP($A322,'SegEnds_NonXtal_Prot#'!$A:$AL,3,FALSE)</f>
        <v>760</v>
      </c>
      <c r="S322" s="5" t="str">
        <f>VLOOKUP($A322,'SegEnds_NonXtal_Prot#'!$A:$AL,6,FALSE)</f>
        <v>-</v>
      </c>
      <c r="T322" s="5">
        <f>VLOOKUP($A322,'SegEnds_NonXtal_Prot#'!$A:$AL,9,FALSE)</f>
        <v>800</v>
      </c>
      <c r="U322" s="5" t="str">
        <f>VLOOKUP($A322,'SegEnds_NonXtal_Prot#'!$A:$AL,12,FALSE)</f>
        <v>-</v>
      </c>
      <c r="V322" s="5">
        <f>VLOOKUP($A322,'SegEnds_NonXtal_Prot#'!$A:$AL,15,FALSE)</f>
        <v>833</v>
      </c>
      <c r="W322" s="5" t="str">
        <f>VLOOKUP($A322,'SegEnds_NonXtal_Prot#'!$A:$AL,18,FALSE)</f>
        <v>-</v>
      </c>
      <c r="X322" s="5">
        <f>VLOOKUP($A322,'SegEnds_NonXtal_Prot#'!$A:$AL,21,FALSE)</f>
        <v>882</v>
      </c>
      <c r="Y322" s="5">
        <f>VLOOKUP($A322,'SegEnds_NonXtal_Prot#'!$A:$AL,24,FALSE)</f>
        <v>917</v>
      </c>
      <c r="Z322" s="5">
        <f>VLOOKUP($A322,'SegEnds_NonXtal_Prot#'!$A:$AL,27,FALSE)</f>
        <v>921</v>
      </c>
      <c r="AA322" s="5">
        <f>VLOOKUP($A322,'SegEnds_NonXtal_Prot#'!$A:$AL,30,FALSE)</f>
        <v>1014</v>
      </c>
      <c r="AB322" s="5">
        <f>VLOOKUP($A322,'SegEnds_NonXtal_Prot#'!$A:$AL,33,FALSE)</f>
        <v>1045</v>
      </c>
      <c r="AC322" s="5">
        <f>VLOOKUP($A322,'SegEnds_NonXtal_Prot#'!$A:$AL,36,FALSE)</f>
        <v>1073</v>
      </c>
      <c r="AD322" s="5">
        <f>VLOOKUP($A322,'SegEnds_NonXtal_Prot#'!$A:$AL,5,FALSE)</f>
        <v>797</v>
      </c>
      <c r="AE322" s="5" t="str">
        <f>VLOOKUP($A322,'SegEnds_NonXtal_Prot#'!$A:$AL,8,FALSE)</f>
        <v>-</v>
      </c>
      <c r="AF322" s="5">
        <f>VLOOKUP($A322,'SegEnds_NonXtal_Prot#'!$A:$AL,11,FALSE)</f>
        <v>826</v>
      </c>
      <c r="AG322" s="5" t="str">
        <f>VLOOKUP($A322,'SegEnds_NonXtal_Prot#'!$A:$AL,14,FALSE)</f>
        <v>-</v>
      </c>
      <c r="AH322" s="5">
        <f>VLOOKUP($A322,'SegEnds_NonXtal_Prot#'!$A:$AL,17,FALSE)</f>
        <v>866</v>
      </c>
      <c r="AI322" s="5" t="str">
        <f>VLOOKUP($A322,'SegEnds_NonXtal_Prot#'!$A:$AL,20,FALSE)</f>
        <v>-</v>
      </c>
      <c r="AJ322" s="5">
        <f>VLOOKUP($A322,'SegEnds_NonXtal_Prot#'!$A:$AL,23,FALSE)</f>
        <v>910</v>
      </c>
      <c r="AK322" s="5">
        <f>VLOOKUP($A322,'SegEnds_NonXtal_Prot#'!$A:$AL,26,FALSE)</f>
        <v>919</v>
      </c>
      <c r="AL322" s="5">
        <f>VLOOKUP($A322,'SegEnds_NonXtal_Prot#'!$A:$AL,29,FALSE)</f>
        <v>954</v>
      </c>
      <c r="AM322" s="5">
        <f>VLOOKUP($A322,'SegEnds_NonXtal_Prot#'!$A:$AL,32,FALSE)</f>
        <v>1038</v>
      </c>
      <c r="AN322" s="5">
        <f>VLOOKUP($A322,'SegEnds_NonXtal_Prot#'!$A:$AL,35,FALSE)</f>
        <v>1072</v>
      </c>
      <c r="AO322" s="5">
        <f>VLOOKUP($A322,'SegEnds_NonXtal_Prot#'!$A:$AL,38,FALSE)</f>
        <v>1089</v>
      </c>
      <c r="AP322" s="5">
        <f t="shared" ref="AP322:AP385" si="138">IFERROR(AD322-R322,"-")</f>
        <v>37</v>
      </c>
      <c r="AQ322" s="4" t="str">
        <f t="shared" ref="AQ322:AQ385" si="139">IFERROR(AE322-S322,"-")</f>
        <v>-</v>
      </c>
      <c r="AR322" s="4">
        <f t="shared" ref="AR322:AR385" si="140">IFERROR(AF322-T322,"-")</f>
        <v>26</v>
      </c>
      <c r="AS322" s="4" t="str">
        <f t="shared" ref="AS322:AS385" si="141">IFERROR(AG322-U322,"-")</f>
        <v>-</v>
      </c>
      <c r="AT322" s="4">
        <f t="shared" ref="AT322:AT385" si="142">IFERROR(AH322-V322,"-")</f>
        <v>33</v>
      </c>
      <c r="AU322" s="4" t="str">
        <f t="shared" ref="AU322:AU385" si="143">IFERROR(AI322-W322,"-")</f>
        <v>-</v>
      </c>
      <c r="AV322" s="4">
        <f t="shared" ref="AV322:AV385" si="144">IFERROR(AJ322-X322,"-")</f>
        <v>28</v>
      </c>
      <c r="AW322" s="4">
        <f t="shared" ref="AW322:AW385" si="145">IFERROR(AK322-Y322,"-")</f>
        <v>2</v>
      </c>
      <c r="AX322" s="4">
        <f t="shared" ref="AX322:AX385" si="146">IFERROR(AL322-Z322,"-")</f>
        <v>33</v>
      </c>
      <c r="AY322" s="4">
        <f t="shared" ref="AY322:AY385" si="147">IFERROR(AM322-AA322,"-")</f>
        <v>24</v>
      </c>
      <c r="AZ322" s="4">
        <f t="shared" ref="AZ322:AZ385" si="148">IFERROR(AN322-AB322,"-")</f>
        <v>27</v>
      </c>
      <c r="BA322" s="4">
        <f t="shared" ref="BA322:BA385" si="149">IFERROR(AO322-AC322,"-")</f>
        <v>16</v>
      </c>
    </row>
    <row r="323" spans="1:53" x14ac:dyDescent="0.2">
      <c r="A323" s="1" t="str">
        <f>'SegEnds_NonXtal_Prot#'!A317</f>
        <v>agra3_human</v>
      </c>
      <c r="B323" s="1" t="str">
        <f t="shared" si="125"/>
        <v>ELYTQAASLLHPVVYTTAIILLLCLLAVIVSYIYHHSLISLKSWHMLVNLCFHIFLTCVVFVGGISICQAVGIILHYSTLATVLWVGVTARNIYKQVTKRPMLRFYLIGGGIPIIVCGITAAANIKNYWEPSLGAFYGPASFITFVNCMYFLSIFIQLKRHPTFHSQLLGASLTLLLYVALWMFGALPLDLVFSFVFGATSLSFSAFFVVHHCVNREDVRLAWIMTCCPGRS</v>
      </c>
      <c r="C323" s="29" t="str">
        <f>IF(ISERROR(MATCH(A323,'SegEnds_Xtal_Prot#'!B:B, 0)), "NoXtal", "Xtal")</f>
        <v>NoXtal</v>
      </c>
      <c r="D323" s="4" t="str">
        <f>VLOOKUP(A323,Classification!A:D,2,FALSE)</f>
        <v>B2</v>
      </c>
      <c r="E323" s="5" t="str">
        <f>VLOOKUP(A323,Seqs!A:B,2,FALSE)</f>
        <v>MEPPGRRRGRAQPPLLLPLSLLALLALLGGGGGGGAAALPAGCKHDGRPRGAGRAAGAAEGKVVCSSLELAQVLPPDTLPNRTVTLILSNNKISELKNGSFSGLSLLERLDLRNNLISSIDPGAFWGLSSLKRLDLTNNRIGCLNADIFRGLTNLVRLNLSGNLFSSLSQGTFDYLASLRSLEFQTEYLLCDCNILWMHRWVKEKNITVRDTRCVYPKSLQAQPVTGVKQELLTCDPPLELPSFYMTPSHRQVVFEGDSLPFQCMASYIDQDMQVLWYQDGRIVETDESQGIFVEKNMIHNCSLIASALTISNIQAGSTGNWGCHVQTKRGNNTRTVDIVVLESSAQYCPPERVVNNKGDFRWPRTLAGITAYLQCTRNTHGSGIYPGNPQDERKAWRRCDRGGFWADDDYSRCQYANDVTRVLYMFNQMPLNLTNAVATARQLLAYTVEAANFSDKMDVIFVAEMIEKFGRFTKEEKSKELGDVMVDIASNIMLADERVLWLAQREAKACSRIVQCLQRIATYRLAGGAHVYSTYSPNIALEAYVIKSTGFTGMTCTVFQKVAASDRTGLSDYGRRDPEGNLDKQLSFKCNVSNTFSSLALKNTIVEASIQLPPSLFSPKQKRELRPTDDSLYKLQLIAFRNGKLFPATGNSTNLADDGKRRTVVTPVILTKIDGVNVDTHHIPVNVTLRRIAHGADAVAARWDFDLLNGQGGWKSDGCHILYSDENITTIQCYSLSNYAVLMDLTGSELYTQAASLLHPVVYTTAIILLLCLLAVIVSYIYHHSLIRISLKSWHMLVNLCFHIFLTCVVFVGGITQTRNASICQAVGIILHYSTLATVLWVGVTARNIYKQVTKKAKRCQDPDEPPPPPRPMLRFYLIGGGIPIIVCGITAAANIKNYGSRPNAPYCWMAWEPSLGAFYGPASFITFVNCMYFLSIFIQLKRHPERKYELKEPTEEQQRLAANENGEINHQDSMSLSLISTSALENEHTFHSQLLGASLTLLLYVALWMFGALAVSLYYPLDLVFSFVFGATSLSFSAFFVVHHCVNREDVRLAWIMTCCPGRSSYSVQVNVQPPNSNGTNGEAPKCPNSSAESSCTNKSASSFKNSSQGCKLTNLQAAAAQCHANSLPLNSTPQLDNSLTEHSMDNDIKMHVAPLEVQFRTNVHSSRHHKNRSKGHRASRLTVLREYAYDVPTSVEGSVQNGLPKSRLGNNEGHSRSRRAYLAYRERQYNPPQQDSSDACSTLPKSSRNFEKPVSTTSKKDALRKPAVVELENQQKSYGLNLAIQNGPIKSNGQEGPLLGTDSTGNVRTGLWKHETTV</v>
      </c>
      <c r="F323" s="5" t="str">
        <f t="shared" si="126"/>
        <v>ELYTQAASLLHPVVYTTAIILLLCLLAVIVSYIYHHSL</v>
      </c>
      <c r="G323" s="4" t="str">
        <f t="shared" si="127"/>
        <v/>
      </c>
      <c r="H323" s="4" t="str">
        <f t="shared" si="128"/>
        <v>ISLKSWHMLVNLCFHIFLTCVVFVGGI</v>
      </c>
      <c r="I323" s="4" t="str">
        <f t="shared" si="129"/>
        <v/>
      </c>
      <c r="J323" s="4" t="str">
        <f t="shared" si="130"/>
        <v>SICQAVGIILHYSTLATVLWVGVTARNIYKQVTK</v>
      </c>
      <c r="K323" s="4" t="str">
        <f t="shared" si="131"/>
        <v/>
      </c>
      <c r="L323" s="4" t="str">
        <f t="shared" si="132"/>
        <v>RPMLRFYLIGGGIPIIVCGITAAANIKNY</v>
      </c>
      <c r="M323" s="4" t="str">
        <f t="shared" si="133"/>
        <v>CWM</v>
      </c>
      <c r="N323" s="4" t="str">
        <f t="shared" si="134"/>
        <v>WEPSLGAFYGPASFITFVNCMYFLSIFIQLKRHP</v>
      </c>
      <c r="O323" s="4" t="str">
        <f t="shared" si="135"/>
        <v>TFHSQLLGASLTLLLYVALWMFGAL</v>
      </c>
      <c r="P323" s="4" t="str">
        <f t="shared" si="136"/>
        <v>PLDLVFSFVFGATSLSFSAFFVVHHCVN</v>
      </c>
      <c r="Q323" s="4" t="str">
        <f t="shared" si="137"/>
        <v>REDVRLAWIMTCCPGRS</v>
      </c>
      <c r="R323" s="5">
        <f>VLOOKUP($A323,'SegEnds_NonXtal_Prot#'!$A:$AL,3,FALSE)</f>
        <v>750</v>
      </c>
      <c r="S323" s="5" t="str">
        <f>VLOOKUP($A323,'SegEnds_NonXtal_Prot#'!$A:$AL,6,FALSE)</f>
        <v>-</v>
      </c>
      <c r="T323" s="5">
        <f>VLOOKUP($A323,'SegEnds_NonXtal_Prot#'!$A:$AL,9,FALSE)</f>
        <v>790</v>
      </c>
      <c r="U323" s="5" t="str">
        <f>VLOOKUP($A323,'SegEnds_NonXtal_Prot#'!$A:$AL,12,FALSE)</f>
        <v>-</v>
      </c>
      <c r="V323" s="5">
        <f>VLOOKUP($A323,'SegEnds_NonXtal_Prot#'!$A:$AL,15,FALSE)</f>
        <v>823</v>
      </c>
      <c r="W323" s="5" t="str">
        <f>VLOOKUP($A323,'SegEnds_NonXtal_Prot#'!$A:$AL,18,FALSE)</f>
        <v>-</v>
      </c>
      <c r="X323" s="5">
        <f>VLOOKUP($A323,'SegEnds_NonXtal_Prot#'!$A:$AL,21,FALSE)</f>
        <v>872</v>
      </c>
      <c r="Y323" s="5">
        <f>VLOOKUP($A323,'SegEnds_NonXtal_Prot#'!$A:$AL,24,FALSE)</f>
        <v>909</v>
      </c>
      <c r="Z323" s="5">
        <f>VLOOKUP($A323,'SegEnds_NonXtal_Prot#'!$A:$AL,27,FALSE)</f>
        <v>913</v>
      </c>
      <c r="AA323" s="5">
        <f>VLOOKUP($A323,'SegEnds_NonXtal_Prot#'!$A:$AL,30,FALSE)</f>
        <v>991</v>
      </c>
      <c r="AB323" s="5">
        <f>VLOOKUP($A323,'SegEnds_NonXtal_Prot#'!$A:$AL,33,FALSE)</f>
        <v>1022</v>
      </c>
      <c r="AC323" s="5">
        <f>VLOOKUP($A323,'SegEnds_NonXtal_Prot#'!$A:$AL,36,FALSE)</f>
        <v>1050</v>
      </c>
      <c r="AD323" s="5">
        <f>VLOOKUP($A323,'SegEnds_NonXtal_Prot#'!$A:$AL,5,FALSE)</f>
        <v>787</v>
      </c>
      <c r="AE323" s="5" t="str">
        <f>VLOOKUP($A323,'SegEnds_NonXtal_Prot#'!$A:$AL,8,FALSE)</f>
        <v>-</v>
      </c>
      <c r="AF323" s="5">
        <f>VLOOKUP($A323,'SegEnds_NonXtal_Prot#'!$A:$AL,11,FALSE)</f>
        <v>816</v>
      </c>
      <c r="AG323" s="5" t="str">
        <f>VLOOKUP($A323,'SegEnds_NonXtal_Prot#'!$A:$AL,14,FALSE)</f>
        <v>-</v>
      </c>
      <c r="AH323" s="5">
        <f>VLOOKUP($A323,'SegEnds_NonXtal_Prot#'!$A:$AL,17,FALSE)</f>
        <v>856</v>
      </c>
      <c r="AI323" s="5" t="str">
        <f>VLOOKUP($A323,'SegEnds_NonXtal_Prot#'!$A:$AL,20,FALSE)</f>
        <v>-</v>
      </c>
      <c r="AJ323" s="5">
        <f>VLOOKUP($A323,'SegEnds_NonXtal_Prot#'!$A:$AL,23,FALSE)</f>
        <v>900</v>
      </c>
      <c r="AK323" s="5">
        <f>VLOOKUP($A323,'SegEnds_NonXtal_Prot#'!$A:$AL,26,FALSE)</f>
        <v>911</v>
      </c>
      <c r="AL323" s="5">
        <f>VLOOKUP($A323,'SegEnds_NonXtal_Prot#'!$A:$AL,29,FALSE)</f>
        <v>946</v>
      </c>
      <c r="AM323" s="5">
        <f>VLOOKUP($A323,'SegEnds_NonXtal_Prot#'!$A:$AL,32,FALSE)</f>
        <v>1015</v>
      </c>
      <c r="AN323" s="5">
        <f>VLOOKUP($A323,'SegEnds_NonXtal_Prot#'!$A:$AL,35,FALSE)</f>
        <v>1049</v>
      </c>
      <c r="AO323" s="5">
        <f>VLOOKUP($A323,'SegEnds_NonXtal_Prot#'!$A:$AL,38,FALSE)</f>
        <v>1066</v>
      </c>
      <c r="AP323" s="5">
        <f t="shared" si="138"/>
        <v>37</v>
      </c>
      <c r="AQ323" s="4" t="str">
        <f t="shared" si="139"/>
        <v>-</v>
      </c>
      <c r="AR323" s="4">
        <f t="shared" si="140"/>
        <v>26</v>
      </c>
      <c r="AS323" s="4" t="str">
        <f t="shared" si="141"/>
        <v>-</v>
      </c>
      <c r="AT323" s="4">
        <f t="shared" si="142"/>
        <v>33</v>
      </c>
      <c r="AU323" s="4" t="str">
        <f t="shared" si="143"/>
        <v>-</v>
      </c>
      <c r="AV323" s="4">
        <f t="shared" si="144"/>
        <v>28</v>
      </c>
      <c r="AW323" s="4">
        <f t="shared" si="145"/>
        <v>2</v>
      </c>
      <c r="AX323" s="4">
        <f t="shared" si="146"/>
        <v>33</v>
      </c>
      <c r="AY323" s="4">
        <f t="shared" si="147"/>
        <v>24</v>
      </c>
      <c r="AZ323" s="4">
        <f t="shared" si="148"/>
        <v>27</v>
      </c>
      <c r="BA323" s="4">
        <f t="shared" si="149"/>
        <v>16</v>
      </c>
    </row>
    <row r="324" spans="1:53" x14ac:dyDescent="0.2">
      <c r="A324" s="1" t="str">
        <f>'SegEnds_NonXtal_Prot#'!A318</f>
        <v>agrb2_human</v>
      </c>
      <c r="B324" s="1" t="str">
        <f t="shared" si="125"/>
        <v>PPKDLTLELAGSPSVPLVIGCAVSCMALLTLLAIYAAFSERSIILLNFCLSILASNILILVGQSRGVCTMTAAFLHFFFLSSFCWVLTEAWQSYLAVIGLVRKRFLCLGWGLPALVVAVSVGFTRTKGEGGLLYAFVGPAAVIVLVNMLIGIIVFNKLMARDNAMASLWSSCVVLPLLALTWMSAVLSVLFQALFAVFNSAQGFVITAVHCFLRREVQDVVKCQMGVCRA</v>
      </c>
      <c r="C324" s="29" t="str">
        <f>IF(ISERROR(MATCH(A324,'SegEnds_Xtal_Prot#'!B:B, 0)), "NoXtal", "Xtal")</f>
        <v>NoXtal</v>
      </c>
      <c r="D324" s="4" t="str">
        <f>VLOOKUP(A324,Classification!A:D,2,FALSE)</f>
        <v>B2</v>
      </c>
      <c r="E324" s="5" t="str">
        <f>VLOOKUP(A324,Seqs!A:B,2,FALSE)</f>
        <v>MENTGWMGKGHRMTPACPLLLSVILSLRLATAFDPAPSACSALASGVLYGAFSLQDLFPTIASGCSWTLENPDPTKYSLYLRFNRQEQVCAHFAPRLLPLDHYLVNFTCLRPSPEEAVAQAESEVGRPEEEEAEAAAGLELCSGSGPFTFLHFDKNFVQLCLSAEPSEAPRLLAPAALAFRFVEVLLINNNNSSQFTCGVLCRWSEECGRAAGRACGFAQPGCSCPGEAGAGSTTTTSPGPPAAHTLSNALVPGGPAPPAEADLHSGSSNDLFTTEMRYGEEPEEEPKVKTQWPRSADEPGLYMAQTGDPAAEEWSPWSVCSLTCGQGLQVRTRSCVSSPYGTLCSGPLRETRPCNNSATCPVHGVWEEWGSWSLCSRSCGRGSRSRMRTCVPPQHGGKACEGPELQTKLCSMAACPVEGQWLEWGPWGPCSTSCANGTQQRSRKCSVAGPAWATCTGALTDTRECSNLECPATDSKWGPWNAWSLCSKTCDTGWQRRFRMCQATGTQGYPCEGTGEEVKPCSEKRCPAFHEMCRDEYVMLMTWKKAAAGEIIYNKCPPNASGSASRRCLLSAQGVAYWGLPSFARCISHEYRYLYLSLREHLAKGQRMLAGEGMSQVVRSLQELLARRTYYSGDLLFSVDILRNVTDTFKRATYVPSADDVQRFFQVVSFMVDAENKEKWDDAQQVSPGSVHLLRVVEDFIHLVGDALKAFQSSLIVTDNLVISIQREPVSAVSSDITFPMRGRRGMKDWVRHSEDRLFLPKEVLSLSSPGKPATSGAAGSPGRGRGPGTVPPGPGHSHQRLLPADPDESSYFVIGAVLYRTLGLILPPPRPPLAVTSRVMTVTVRPPTQPPAEPLITVELSYIINGTTDPHCASWDYSRADASSGDWDTENCQTLETQAAHTRCQCQHLSTFAVLAQPPKDLTLELAGSPSVPLVIGCAVSCMALLTLLAIYAAFWRFIKSERSIILLNFCLSILASNILILVGQSRVLSKGVCTMTAAFLHFFFLSSFCWVLTEAWQSYLAVIGRMRTRLVRKRFLCLGWGLPALVVAVSVGFTRTKGYGTSSYCWLSLEGGLLYAFVGPAAVIVLVNMLIGIIVFNKLMARDGISDKSKKQRAGSERCPWASLLLPCSACGAVPSPLLSSASARNAMASLWSSCVVLPLLALTWMSAVLAMTDRRSVLFQALFAVFNSAQGFVITAVHCFLRREVQDVVKCQMGVCRADESEDSPDSCKNGQLQILSDFEKDVDLACQTVLFKEVNTCNPSTITGTLSRLSLDEDEEPKSCLVGPEGSLSFSPLPGNILVPMAASPGLGEPPPPQEANPVYMCGEGGLRQLDLTWLRPTEPGSEGDYMVLPRRTLSLQPGGGGGGGEDAPRARPEGTPRRAAKTVAHTEGYPSFLSVDHSGLGLGPAYGSLQNPYGMTFQPPPPTPSARQVPEPGERSRTMPRTVPGSTMKMGSLERKKLRYSDLDFEKVMHTRKRHSELYHELNQKFHTFDRYRSQSTAKREKRWSVSSGGAAERSVCTDKPSPGERPSLSQHRRHQSWSTFKSMTLGSLPPKPRERLTLHRAAAWEPTEPPDGDFQTEV</v>
      </c>
      <c r="F324" s="5" t="str">
        <f t="shared" si="126"/>
        <v>PPKDLTLELAGSPSVPLVIGCAVSCMALLTLLAIYAAF</v>
      </c>
      <c r="G324" s="4" t="str">
        <f t="shared" si="127"/>
        <v/>
      </c>
      <c r="H324" s="4" t="str">
        <f t="shared" si="128"/>
        <v>SERSIILLNFCLSILASNILILVGQSR</v>
      </c>
      <c r="I324" s="4" t="str">
        <f t="shared" si="129"/>
        <v/>
      </c>
      <c r="J324" s="4" t="str">
        <f t="shared" si="130"/>
        <v>GVCTMTAAFLHFFFLSSFCWVLTEAWQSYLAVIG</v>
      </c>
      <c r="K324" s="4" t="str">
        <f t="shared" si="131"/>
        <v/>
      </c>
      <c r="L324" s="4" t="str">
        <f t="shared" si="132"/>
        <v>LVRKRFLCLGWGLPALVVAVSVGFTRTKG</v>
      </c>
      <c r="M324" s="4" t="str">
        <f t="shared" si="133"/>
        <v>CWL</v>
      </c>
      <c r="N324" s="4" t="str">
        <f t="shared" si="134"/>
        <v>EGGLLYAFVGPAAVIVLVNMLIGIIVFNKLMARD</v>
      </c>
      <c r="O324" s="4" t="str">
        <f t="shared" si="135"/>
        <v>NAMASLWSSCVVLPLLALTWMSAVL</v>
      </c>
      <c r="P324" s="4" t="str">
        <f t="shared" si="136"/>
        <v>SVLFQALFAVFNSAQGFVITAVHCFL</v>
      </c>
      <c r="Q324" s="4" t="str">
        <f t="shared" si="137"/>
        <v>RREVQDVVKCQMGVCRA</v>
      </c>
      <c r="R324" s="5">
        <f>VLOOKUP($A324,'SegEnds_NonXtal_Prot#'!$A:$AL,3,FALSE)</f>
        <v>920</v>
      </c>
      <c r="S324" s="5" t="str">
        <f>VLOOKUP($A324,'SegEnds_NonXtal_Prot#'!$A:$AL,6,FALSE)</f>
        <v>-</v>
      </c>
      <c r="T324" s="5">
        <f>VLOOKUP($A324,'SegEnds_NonXtal_Prot#'!$A:$AL,9,FALSE)</f>
        <v>963</v>
      </c>
      <c r="U324" s="5" t="str">
        <f>VLOOKUP($A324,'SegEnds_NonXtal_Prot#'!$A:$AL,12,FALSE)</f>
        <v>-</v>
      </c>
      <c r="V324" s="5">
        <f>VLOOKUP($A324,'SegEnds_NonXtal_Prot#'!$A:$AL,15,FALSE)</f>
        <v>994</v>
      </c>
      <c r="W324" s="5" t="str">
        <f>VLOOKUP($A324,'SegEnds_NonXtal_Prot#'!$A:$AL,18,FALSE)</f>
        <v>-</v>
      </c>
      <c r="X324" s="5">
        <f>VLOOKUP($A324,'SegEnds_NonXtal_Prot#'!$A:$AL,21,FALSE)</f>
        <v>1033</v>
      </c>
      <c r="Y324" s="5">
        <f>VLOOKUP($A324,'SegEnds_NonXtal_Prot#'!$A:$AL,24,FALSE)</f>
        <v>1068</v>
      </c>
      <c r="Z324" s="5">
        <f>VLOOKUP($A324,'SegEnds_NonXtal_Prot#'!$A:$AL,27,FALSE)</f>
        <v>1073</v>
      </c>
      <c r="AA324" s="5">
        <f>VLOOKUP($A324,'SegEnds_NonXtal_Prot#'!$A:$AL,30,FALSE)</f>
        <v>1149</v>
      </c>
      <c r="AB324" s="5">
        <f>VLOOKUP($A324,'SegEnds_NonXtal_Prot#'!$A:$AL,33,FALSE)</f>
        <v>1180</v>
      </c>
      <c r="AC324" s="5">
        <f>VLOOKUP($A324,'SegEnds_NonXtal_Prot#'!$A:$AL,36,FALSE)</f>
        <v>1206</v>
      </c>
      <c r="AD324" s="5">
        <f>VLOOKUP($A324,'SegEnds_NonXtal_Prot#'!$A:$AL,5,FALSE)</f>
        <v>957</v>
      </c>
      <c r="AE324" s="5" t="str">
        <f>VLOOKUP($A324,'SegEnds_NonXtal_Prot#'!$A:$AL,8,FALSE)</f>
        <v>-</v>
      </c>
      <c r="AF324" s="5">
        <f>VLOOKUP($A324,'SegEnds_NonXtal_Prot#'!$A:$AL,11,FALSE)</f>
        <v>989</v>
      </c>
      <c r="AG324" s="5" t="str">
        <f>VLOOKUP($A324,'SegEnds_NonXtal_Prot#'!$A:$AL,14,FALSE)</f>
        <v>-</v>
      </c>
      <c r="AH324" s="5">
        <f>VLOOKUP($A324,'SegEnds_NonXtal_Prot#'!$A:$AL,17,FALSE)</f>
        <v>1027</v>
      </c>
      <c r="AI324" s="5" t="str">
        <f>VLOOKUP($A324,'SegEnds_NonXtal_Prot#'!$A:$AL,20,FALSE)</f>
        <v>-</v>
      </c>
      <c r="AJ324" s="5">
        <f>VLOOKUP($A324,'SegEnds_NonXtal_Prot#'!$A:$AL,23,FALSE)</f>
        <v>1061</v>
      </c>
      <c r="AK324" s="5">
        <f>VLOOKUP($A324,'SegEnds_NonXtal_Prot#'!$A:$AL,26,FALSE)</f>
        <v>1070</v>
      </c>
      <c r="AL324" s="5">
        <f>VLOOKUP($A324,'SegEnds_NonXtal_Prot#'!$A:$AL,29,FALSE)</f>
        <v>1106</v>
      </c>
      <c r="AM324" s="5">
        <f>VLOOKUP($A324,'SegEnds_NonXtal_Prot#'!$A:$AL,32,FALSE)</f>
        <v>1173</v>
      </c>
      <c r="AN324" s="5">
        <f>VLOOKUP($A324,'SegEnds_NonXtal_Prot#'!$A:$AL,35,FALSE)</f>
        <v>1205</v>
      </c>
      <c r="AO324" s="5">
        <f>VLOOKUP($A324,'SegEnds_NonXtal_Prot#'!$A:$AL,38,FALSE)</f>
        <v>1222</v>
      </c>
      <c r="AP324" s="5">
        <f t="shared" si="138"/>
        <v>37</v>
      </c>
      <c r="AQ324" s="4" t="str">
        <f t="shared" si="139"/>
        <v>-</v>
      </c>
      <c r="AR324" s="4">
        <f t="shared" si="140"/>
        <v>26</v>
      </c>
      <c r="AS324" s="4" t="str">
        <f t="shared" si="141"/>
        <v>-</v>
      </c>
      <c r="AT324" s="4">
        <f t="shared" si="142"/>
        <v>33</v>
      </c>
      <c r="AU324" s="4" t="str">
        <f t="shared" si="143"/>
        <v>-</v>
      </c>
      <c r="AV324" s="4">
        <f t="shared" si="144"/>
        <v>28</v>
      </c>
      <c r="AW324" s="4">
        <f t="shared" si="145"/>
        <v>2</v>
      </c>
      <c r="AX324" s="4">
        <f t="shared" si="146"/>
        <v>33</v>
      </c>
      <c r="AY324" s="4">
        <f t="shared" si="147"/>
        <v>24</v>
      </c>
      <c r="AZ324" s="4">
        <f t="shared" si="148"/>
        <v>25</v>
      </c>
      <c r="BA324" s="4">
        <f t="shared" si="149"/>
        <v>16</v>
      </c>
    </row>
    <row r="325" spans="1:53" x14ac:dyDescent="0.2">
      <c r="A325" s="1" t="str">
        <f>'SegEnds_NonXtal_Prot#'!A319</f>
        <v>agrb3_human</v>
      </c>
      <c r="B325" s="1" t="str">
        <f t="shared" si="125"/>
        <v>QPREIIMESSGTPSVTLIVGSGLSCLALITLAVVYAALSERSIILINFCLSIISSNILILVGQTQSICTTTTAFLHFFFLASFCWVLTEAWQSYMAVTGLIRKRFLCLGWGLPALVVATSVGFTRTKGEGGLLYAFVGPAAAVVLVNMVIGILVFNKLVSRDNAMASLWSSCVVLPLLALTWMSAVLSILFQILFAVFDSLQGFVIVMVHCILRREVQDAFRCRLRNCQD</v>
      </c>
      <c r="C325" s="29" t="str">
        <f>IF(ISERROR(MATCH(A325,'SegEnds_Xtal_Prot#'!B:B, 0)), "NoXtal", "Xtal")</f>
        <v>NoXtal</v>
      </c>
      <c r="D325" s="4" t="str">
        <f>VLOOKUP(A325,Classification!A:D,2,FALSE)</f>
        <v>B2</v>
      </c>
      <c r="E325" s="5" t="str">
        <f>VLOOKUP(A325,Seqs!A:B,2,FALSE)</f>
        <v>MKAVRNLLIYIFSTYLLVMFGFNAAQDFWCSTLVKGVIYGSYSVSEMFPKNFTNCTWTLENPDPTKYSIYLKFSKKDLSCSNFSLLAYQFDHFSHEKIKDLLRKNHSIMQLCNSKNAFVFLQYDKNFIQIRRVFPTNFPGLQKKGEEDQKSFFEFLVLNKVSPSQFGCHVLCTWLESCLKSENGRTESCGIMYTKCTCPQHLGEWGIDDQSLILLNNVVLPLNEQTEGCLTQELQTTQVCNLTREAKRPPKEEFGMMGDHTIKSQRPRSVHEKRVPQEQADAAKFMAQTGESGVEEWSQWSTCSVTCGQGSQVRTRTCVSPYGTHCSGPLRESRVCNNTALCPVHGVWEEWSPWSLCSFTCGRGQRTRTRSCTPPQYGGRPCEGPETHHKPCNIALCPVDGQWQEWSSWSQCSVTCSNGTQQRSRQCTAAAHGGSECRGPWAESRECYNPECTANGQWNQWGHWSGCSKSCDGGWERRIRTCQGAVITGQQCEGTGEEVRRCNEQRCPAPYEICPEDYLMSMVWKRTPAGDLAFNQCPLNATGTTSRRCSLSLHGVAFWEQPSFARCISNEYRHLQHSIKEHLAKGQRMLAGDGMSQVTKTLLDLTQRKNFYAGDLLMSVEILRNVTDTFKRASYIPASDGVQNFFQIVSNLLDEENKEKWEDAQQIYPGSIELMQVIEDFIHIVGMGMMDFQNSYLMTGNVVASIQKLPAASVLTDINFPMKGRKGMVDWARNSEDRVVIPKSIFTPVSSKELDESSVFVLGAVLYKNLDLILPTLRNYTVINSKIIVVTIRPEPKTTDSFLEIELAHLANGTLNPYCVLWDDSKTNESLGTWSTQGCKTVLTDASHTKCLCDRLSTFAILAQQPREIIMESSGTPSVTLIVGSGLSCLALITLAVVYAALWRYIRSERSIILINFCLSIISSNILILVGQTQTHNKSICTTTTAFLHFFFLASFCWVLTEAWQSYMAVTGKIRTRLIRKRFLCLGWGLPALVVATSVGFTRTKGYGTDHYCWLSLEGGLLYAFVGPAAAVVLVNMVIGILVFNKLVSRDGILDKKLKHRAGQMSEPHSGLTLKCAKCGVVSTTALSATTASNAMASLWSSCVVLPLLALTWMSAVLAMTDKRSILFQILFAVFDSLQGFVIVMVHCILRREVQDAFRCRLRNCQDPINADSSSSFPNGHAQIMTDFEKDVDIACRSVLHKDIGPCRAATITGTLSRISLNDDEEEKGTNPEGLSYSTLPGNVISKVIIQQPTGLHMPMSMNELSNPCLKKENSELRRTVYLCTDDNLRGADMDIVHPQERMMESDYIVMPRSSVNNQPSMKEESKMNIGMETLPHERLLHYKVNPEFNMNPPVMDQFNMNLEQHLAPQEHMQNLPFEPRTAVKNFMASELDDNAGLSRSETGSTISMSSLERRKSRYSDLDFEKVMHTRKRHMELFQELNQKFQTLDRFRDIPNTSSMENPAPNKNPWDTFKNPSEYPHYTTINVLDTEAKDALELRPAEWEKCLNLPLDVQEGDFQTEV</v>
      </c>
      <c r="F325" s="5" t="str">
        <f t="shared" si="126"/>
        <v>QPREIIMESSGTPSVTLIVGSGLSCLALITLAVVYAAL</v>
      </c>
      <c r="G325" s="4" t="str">
        <f t="shared" si="127"/>
        <v/>
      </c>
      <c r="H325" s="4" t="str">
        <f t="shared" si="128"/>
        <v>SERSIILINFCLSIISSNILILVGQTQ</v>
      </c>
      <c r="I325" s="4" t="str">
        <f t="shared" si="129"/>
        <v/>
      </c>
      <c r="J325" s="4" t="str">
        <f t="shared" si="130"/>
        <v>SICTTTTAFLHFFFLASFCWVLTEAWQSYMAVTG</v>
      </c>
      <c r="K325" s="4" t="str">
        <f t="shared" si="131"/>
        <v/>
      </c>
      <c r="L325" s="4" t="str">
        <f t="shared" si="132"/>
        <v>LIRKRFLCLGWGLPALVVATSVGFTRTKG</v>
      </c>
      <c r="M325" s="4" t="str">
        <f t="shared" si="133"/>
        <v>CWL</v>
      </c>
      <c r="N325" s="4" t="str">
        <f t="shared" si="134"/>
        <v>EGGLLYAFVGPAAAVVLVNMVIGILVFNKLVSRD</v>
      </c>
      <c r="O325" s="4" t="str">
        <f t="shared" si="135"/>
        <v>NAMASLWSSCVVLPLLALTWMSAVL</v>
      </c>
      <c r="P325" s="4" t="str">
        <f t="shared" si="136"/>
        <v>SILFQILFAVFDSLQGFVIVMVHCIL</v>
      </c>
      <c r="Q325" s="4" t="str">
        <f t="shared" si="137"/>
        <v>RREVQDAFRCRLRNCQD</v>
      </c>
      <c r="R325" s="5">
        <f>VLOOKUP($A325,'SegEnds_NonXtal_Prot#'!$A:$AL,3,FALSE)</f>
        <v>865</v>
      </c>
      <c r="S325" s="5" t="str">
        <f>VLOOKUP($A325,'SegEnds_NonXtal_Prot#'!$A:$AL,6,FALSE)</f>
        <v>-</v>
      </c>
      <c r="T325" s="5">
        <f>VLOOKUP($A325,'SegEnds_NonXtal_Prot#'!$A:$AL,9,FALSE)</f>
        <v>908</v>
      </c>
      <c r="U325" s="5" t="str">
        <f>VLOOKUP($A325,'SegEnds_NonXtal_Prot#'!$A:$AL,12,FALSE)</f>
        <v>-</v>
      </c>
      <c r="V325" s="5">
        <f>VLOOKUP($A325,'SegEnds_NonXtal_Prot#'!$A:$AL,15,FALSE)</f>
        <v>939</v>
      </c>
      <c r="W325" s="5" t="str">
        <f>VLOOKUP($A325,'SegEnds_NonXtal_Prot#'!$A:$AL,18,FALSE)</f>
        <v>-</v>
      </c>
      <c r="X325" s="5">
        <f>VLOOKUP($A325,'SegEnds_NonXtal_Prot#'!$A:$AL,21,FALSE)</f>
        <v>978</v>
      </c>
      <c r="Y325" s="5">
        <f>VLOOKUP($A325,'SegEnds_NonXtal_Prot#'!$A:$AL,24,FALSE)</f>
        <v>1013</v>
      </c>
      <c r="Z325" s="5">
        <f>VLOOKUP($A325,'SegEnds_NonXtal_Prot#'!$A:$AL,27,FALSE)</f>
        <v>1018</v>
      </c>
      <c r="AA325" s="5">
        <f>VLOOKUP($A325,'SegEnds_NonXtal_Prot#'!$A:$AL,30,FALSE)</f>
        <v>1094</v>
      </c>
      <c r="AB325" s="5">
        <f>VLOOKUP($A325,'SegEnds_NonXtal_Prot#'!$A:$AL,33,FALSE)</f>
        <v>1125</v>
      </c>
      <c r="AC325" s="5">
        <f>VLOOKUP($A325,'SegEnds_NonXtal_Prot#'!$A:$AL,36,FALSE)</f>
        <v>1151</v>
      </c>
      <c r="AD325" s="5">
        <f>VLOOKUP($A325,'SegEnds_NonXtal_Prot#'!$A:$AL,5,FALSE)</f>
        <v>902</v>
      </c>
      <c r="AE325" s="5" t="str">
        <f>VLOOKUP($A325,'SegEnds_NonXtal_Prot#'!$A:$AL,8,FALSE)</f>
        <v>-</v>
      </c>
      <c r="AF325" s="5">
        <f>VLOOKUP($A325,'SegEnds_NonXtal_Prot#'!$A:$AL,11,FALSE)</f>
        <v>934</v>
      </c>
      <c r="AG325" s="5" t="str">
        <f>VLOOKUP($A325,'SegEnds_NonXtal_Prot#'!$A:$AL,14,FALSE)</f>
        <v>-</v>
      </c>
      <c r="AH325" s="5">
        <f>VLOOKUP($A325,'SegEnds_NonXtal_Prot#'!$A:$AL,17,FALSE)</f>
        <v>972</v>
      </c>
      <c r="AI325" s="5" t="str">
        <f>VLOOKUP($A325,'SegEnds_NonXtal_Prot#'!$A:$AL,20,FALSE)</f>
        <v>-</v>
      </c>
      <c r="AJ325" s="5">
        <f>VLOOKUP($A325,'SegEnds_NonXtal_Prot#'!$A:$AL,23,FALSE)</f>
        <v>1006</v>
      </c>
      <c r="AK325" s="5">
        <f>VLOOKUP($A325,'SegEnds_NonXtal_Prot#'!$A:$AL,26,FALSE)</f>
        <v>1015</v>
      </c>
      <c r="AL325" s="5">
        <f>VLOOKUP($A325,'SegEnds_NonXtal_Prot#'!$A:$AL,29,FALSE)</f>
        <v>1051</v>
      </c>
      <c r="AM325" s="5">
        <f>VLOOKUP($A325,'SegEnds_NonXtal_Prot#'!$A:$AL,32,FALSE)</f>
        <v>1118</v>
      </c>
      <c r="AN325" s="5">
        <f>VLOOKUP($A325,'SegEnds_NonXtal_Prot#'!$A:$AL,35,FALSE)</f>
        <v>1150</v>
      </c>
      <c r="AO325" s="5">
        <f>VLOOKUP($A325,'SegEnds_NonXtal_Prot#'!$A:$AL,38,FALSE)</f>
        <v>1167</v>
      </c>
      <c r="AP325" s="5">
        <f t="shared" si="138"/>
        <v>37</v>
      </c>
      <c r="AQ325" s="4" t="str">
        <f t="shared" si="139"/>
        <v>-</v>
      </c>
      <c r="AR325" s="4">
        <f t="shared" si="140"/>
        <v>26</v>
      </c>
      <c r="AS325" s="4" t="str">
        <f t="shared" si="141"/>
        <v>-</v>
      </c>
      <c r="AT325" s="4">
        <f t="shared" si="142"/>
        <v>33</v>
      </c>
      <c r="AU325" s="4" t="str">
        <f t="shared" si="143"/>
        <v>-</v>
      </c>
      <c r="AV325" s="4">
        <f t="shared" si="144"/>
        <v>28</v>
      </c>
      <c r="AW325" s="4">
        <f t="shared" si="145"/>
        <v>2</v>
      </c>
      <c r="AX325" s="4">
        <f t="shared" si="146"/>
        <v>33</v>
      </c>
      <c r="AY325" s="4">
        <f t="shared" si="147"/>
        <v>24</v>
      </c>
      <c r="AZ325" s="4">
        <f t="shared" si="148"/>
        <v>25</v>
      </c>
      <c r="BA325" s="4">
        <f t="shared" si="149"/>
        <v>16</v>
      </c>
    </row>
    <row r="326" spans="1:53" x14ac:dyDescent="0.2">
      <c r="A326" s="1" t="str">
        <f>'SegEnds_NonXtal_Prot#'!A320</f>
        <v>agrd1_human</v>
      </c>
      <c r="B326" s="1" t="str">
        <f t="shared" si="125"/>
        <v>VPLELARGHQVALSSISYVGCSLSVLCLVATLVTFAVLTIRNQRYHIHANLSFAVLVAQVLLLISFRLTPCQVMAVLLHYFFLSAFAWMLVEGLHLYSMVIKSKHRYYYGMGWGFPLLICIISLSFAMDSYASGAIWAFVAPALFVIVVNIGILIAVTRVISQISAFKLTAKAVAVLLPILGTSWVFGVLAVVFQYMFATLNSLQGLFIFLFHCLLNSEVRAAFKHKTKVWSL</v>
      </c>
      <c r="C326" s="29" t="str">
        <f>IF(ISERROR(MATCH(A326,'SegEnds_Xtal_Prot#'!B:B, 0)), "NoXtal", "Xtal")</f>
        <v>NoXtal</v>
      </c>
      <c r="D326" s="4" t="str">
        <f>VLOOKUP(A326,Classification!A:D,2,FALSE)</f>
        <v>B2</v>
      </c>
      <c r="E326" s="5" t="str">
        <f>VLOOKUP(A326,Seqs!A:B,2,FALSE)</f>
        <v>MEKLLRLCCWYSWLLLFYYNFQVRGVYSRSQDHPGFQVLASASHYWPLENVDGIHELQDTTGDIVEGKVNKGIYLKEEKGVTLLYYGRYNSSCISKPEQCGPEGVTFSFFWKTQGEQSRPIPSAYGGQVISNGFKVCSSGGRGSVELYTRDNSMTWEASFSPPGPYWTHVLFTWKSKEGLKVYVNGTLSTSDPSGKVSRDYGESNVNLVIGSEQDQAKCYENGAFDEFIIWERALTPDEIAMYFTAAIGKHALLSSTLPSLFMTSTASPVMPTDAYHPIITNLTEERKTFQSPGVILSYLQNVSLSLPSKSLSEQTALNLTKTFLKAVGEILLLPGWIALSEDSAVVLSLIDTIDTVMGHVSSNLHGSTPQVTVEGSSAMAEFSVAKILPKTVNSSHYRFPAHGQSFIQIPHEAFHRHAWSTVVGLLYHSMHYYLNNIWPAHTKIAEAMHHQDCLLFATSHLISLEVSPPPTLSQNLSGSPLITVHLKHRLTRKQHSEATNSSNRVFVYCAFLDFSSGEGVWSNHGCALTRGNLTYSVCRCTHLTNFAILMQVVPLELARGHQVALSSISYVGCSLSVLCLVATLVTFAVLSSVSTIRNQRYHIHANLSFAVLVAQVLLLISFRLEPGTTPCQVMAVLLHYFFLSAFAWMLVEGLHLYSMVIKVFGSEDSKHRYYYGMGWGFPLLICIISLSFAMDSYGTSNNCWLSLASGAIWAFVAPALFVIVVNIGILIAVTRVISQISADNYKIHGDPSAFKLTAKAVAVLLPILGTSWVFGVLAVNGCAVVFQYMFATLNSLQGLFIFLFHCLLNSEVRAAFKHKTKVWSLTSSSARTSNAKPFHSDLMNGTRPGMASTKLSPWDKSSHSAHRVDLSAV</v>
      </c>
      <c r="F326" s="5" t="str">
        <f t="shared" si="126"/>
        <v>VPLELARGHQVALSSISYVGCSLSVLCLVATLVTFAVL</v>
      </c>
      <c r="G326" s="4" t="str">
        <f t="shared" si="127"/>
        <v>SSVS</v>
      </c>
      <c r="H326" s="4" t="str">
        <f t="shared" si="128"/>
        <v>TIRNQRYHIHANLSFAVLVAQVLLLISFRL</v>
      </c>
      <c r="I326" s="4" t="str">
        <f t="shared" si="129"/>
        <v/>
      </c>
      <c r="J326" s="4" t="str">
        <f t="shared" si="130"/>
        <v>TPCQVMAVLLHYFFLSAFAWMLVEGLHLYSMVIK</v>
      </c>
      <c r="K326" s="4" t="str">
        <f t="shared" si="131"/>
        <v/>
      </c>
      <c r="L326" s="4" t="str">
        <f t="shared" si="132"/>
        <v>SKHRYYYGMGWGFPLLICIISLSFAMDSY</v>
      </c>
      <c r="M326" s="4" t="str">
        <f t="shared" si="133"/>
        <v>CWL</v>
      </c>
      <c r="N326" s="4" t="str">
        <f t="shared" si="134"/>
        <v>ASGAIWAFVAPALFVIVVNIGILIAVTRVISQIS</v>
      </c>
      <c r="O326" s="4" t="str">
        <f t="shared" si="135"/>
        <v>AFKLTAKAVAVLLPILGTSWVFGVL</v>
      </c>
      <c r="P326" s="4" t="str">
        <f t="shared" si="136"/>
        <v>AVVFQYMFATLNSLQGLFIFLFHCLL</v>
      </c>
      <c r="Q326" s="4" t="str">
        <f t="shared" si="137"/>
        <v>NSEVRAAFKHKTKVWSL</v>
      </c>
      <c r="R326" s="5">
        <f>VLOOKUP($A326,'SegEnds_NonXtal_Prot#'!$A:$AL,3,FALSE)</f>
        <v>554</v>
      </c>
      <c r="S326" s="5">
        <f>VLOOKUP($A326,'SegEnds_NonXtal_Prot#'!$A:$AL,6,FALSE)</f>
        <v>592</v>
      </c>
      <c r="T326" s="5">
        <f>VLOOKUP($A326,'SegEnds_NonXtal_Prot#'!$A:$AL,9,FALSE)</f>
        <v>596</v>
      </c>
      <c r="U326" s="5" t="str">
        <f>VLOOKUP($A326,'SegEnds_NonXtal_Prot#'!$A:$AL,12,FALSE)</f>
        <v>-</v>
      </c>
      <c r="V326" s="5">
        <f>VLOOKUP($A326,'SegEnds_NonXtal_Prot#'!$A:$AL,15,FALSE)</f>
        <v>630</v>
      </c>
      <c r="W326" s="5" t="str">
        <f>VLOOKUP($A326,'SegEnds_NonXtal_Prot#'!$A:$AL,18,FALSE)</f>
        <v>-</v>
      </c>
      <c r="X326" s="5">
        <f>VLOOKUP($A326,'SegEnds_NonXtal_Prot#'!$A:$AL,21,FALSE)</f>
        <v>670</v>
      </c>
      <c r="Y326" s="5">
        <f>VLOOKUP($A326,'SegEnds_NonXtal_Prot#'!$A:$AL,24,FALSE)</f>
        <v>704</v>
      </c>
      <c r="Z326" s="5">
        <f>VLOOKUP($A326,'SegEnds_NonXtal_Prot#'!$A:$AL,27,FALSE)</f>
        <v>709</v>
      </c>
      <c r="AA326" s="5">
        <f>VLOOKUP($A326,'SegEnds_NonXtal_Prot#'!$A:$AL,30,FALSE)</f>
        <v>754</v>
      </c>
      <c r="AB326" s="5">
        <f>VLOOKUP($A326,'SegEnds_NonXtal_Prot#'!$A:$AL,33,FALSE)</f>
        <v>784</v>
      </c>
      <c r="AC326" s="5">
        <f>VLOOKUP($A326,'SegEnds_NonXtal_Prot#'!$A:$AL,36,FALSE)</f>
        <v>810</v>
      </c>
      <c r="AD326" s="5">
        <f>VLOOKUP($A326,'SegEnds_NonXtal_Prot#'!$A:$AL,5,FALSE)</f>
        <v>591</v>
      </c>
      <c r="AE326" s="5">
        <f>VLOOKUP($A326,'SegEnds_NonXtal_Prot#'!$A:$AL,8,FALSE)</f>
        <v>595</v>
      </c>
      <c r="AF326" s="5">
        <f>VLOOKUP($A326,'SegEnds_NonXtal_Prot#'!$A:$AL,11,FALSE)</f>
        <v>625</v>
      </c>
      <c r="AG326" s="5" t="str">
        <f>VLOOKUP($A326,'SegEnds_NonXtal_Prot#'!$A:$AL,14,FALSE)</f>
        <v>-</v>
      </c>
      <c r="AH326" s="5">
        <f>VLOOKUP($A326,'SegEnds_NonXtal_Prot#'!$A:$AL,17,FALSE)</f>
        <v>663</v>
      </c>
      <c r="AI326" s="5" t="str">
        <f>VLOOKUP($A326,'SegEnds_NonXtal_Prot#'!$A:$AL,20,FALSE)</f>
        <v>-</v>
      </c>
      <c r="AJ326" s="5">
        <f>VLOOKUP($A326,'SegEnds_NonXtal_Prot#'!$A:$AL,23,FALSE)</f>
        <v>698</v>
      </c>
      <c r="AK326" s="5">
        <f>VLOOKUP($A326,'SegEnds_NonXtal_Prot#'!$A:$AL,26,FALSE)</f>
        <v>706</v>
      </c>
      <c r="AL326" s="5">
        <f>VLOOKUP($A326,'SegEnds_NonXtal_Prot#'!$A:$AL,29,FALSE)</f>
        <v>742</v>
      </c>
      <c r="AM326" s="5">
        <f>VLOOKUP($A326,'SegEnds_NonXtal_Prot#'!$A:$AL,32,FALSE)</f>
        <v>778</v>
      </c>
      <c r="AN326" s="5">
        <f>VLOOKUP($A326,'SegEnds_NonXtal_Prot#'!$A:$AL,35,FALSE)</f>
        <v>809</v>
      </c>
      <c r="AO326" s="5">
        <f>VLOOKUP($A326,'SegEnds_NonXtal_Prot#'!$A:$AL,38,FALSE)</f>
        <v>826</v>
      </c>
      <c r="AP326" s="5">
        <f t="shared" si="138"/>
        <v>37</v>
      </c>
      <c r="AQ326" s="4">
        <f t="shared" si="139"/>
        <v>3</v>
      </c>
      <c r="AR326" s="4">
        <f t="shared" si="140"/>
        <v>29</v>
      </c>
      <c r="AS326" s="4" t="str">
        <f t="shared" si="141"/>
        <v>-</v>
      </c>
      <c r="AT326" s="4">
        <f t="shared" si="142"/>
        <v>33</v>
      </c>
      <c r="AU326" s="4" t="str">
        <f t="shared" si="143"/>
        <v>-</v>
      </c>
      <c r="AV326" s="4">
        <f t="shared" si="144"/>
        <v>28</v>
      </c>
      <c r="AW326" s="4">
        <f t="shared" si="145"/>
        <v>2</v>
      </c>
      <c r="AX326" s="4">
        <f t="shared" si="146"/>
        <v>33</v>
      </c>
      <c r="AY326" s="4">
        <f t="shared" si="147"/>
        <v>24</v>
      </c>
      <c r="AZ326" s="4">
        <f t="shared" si="148"/>
        <v>25</v>
      </c>
      <c r="BA326" s="4">
        <f t="shared" si="149"/>
        <v>16</v>
      </c>
    </row>
    <row r="327" spans="1:53" x14ac:dyDescent="0.2">
      <c r="A327" s="1" t="str">
        <f>'SegEnds_NonXtal_Prot#'!A322</f>
        <v>agre1_human</v>
      </c>
      <c r="B327" s="1" t="str">
        <f t="shared" si="125"/>
        <v>IMASGELTMDFSLYIISHVGIIISLVCLVLAIATFLLCNHNTYLHLHLCVCLLLAKTLFLAGIHKMGCAIIAGFLHYLFLACFFWMLVEAVILFLMVRNSRNIKMLHICAFGYGLPMLVVVISASVQPQGYETGFIWSFLGPVCTVIVINSLLLTWTLWILRQRLDTRLLTFKAFAQLFILGCSWVLGIFQAGVMAYLFTIINSLQGAFIFLIHCLLNGQVREEYKRWITGKTK</v>
      </c>
      <c r="C327" s="29" t="str">
        <f>IF(ISERROR(MATCH(A327,'SegEnds_Xtal_Prot#'!B:B, 0)), "NoXtal", "Xtal")</f>
        <v>NoXtal</v>
      </c>
      <c r="D327" s="4" t="str">
        <f>VLOOKUP(A327,Classification!A:D,2,FALSE)</f>
        <v>B2</v>
      </c>
      <c r="E327" s="5" t="str">
        <f>VLOOKUP(A327,Seqs!A:B,2,FALSE)</f>
        <v>MRGFNLLLFWGCCVMHSWEGHIRPTRKPNTKGNNCRDSTLCPAYATCTNTVDSYYCACKQGFLSSNGQNHFKDPGVRCKDIDECSQSPQPCGPNSSCKNLSGRYKCSCLDGFSSPTGNDWVPGKPGNFSCTDINECLTSSVCPEHSDCVNSMGSYSCSCQVGFISRNSTCEDVDECADPRACPEHATCNNTVGNYSCFCNPGFESSSGHLSFQGLKASCEDIDECTEMCPINSTCTNTPGSYFCTCHPGFAPSNGQLNFTDQGVECRDIDECRQDPSTCGPNSICTNALGSYSCGCIAGFHPNPEGSQKDGNFSCQRVLFKCKEDVIPDNKQIQQCQEGTAVKPAYVSFCAQINNIFSVLDKVCENKTTVVSLKNTTESFVPVLKQISTWTKFTKEETSSLATVFLESVESMTLASFWKPSANITPAVRTEYLDIESKVINKECSEENVTLDLVAKGDKMKIGCSTIEESESTETTGVAFVSFVGMESVLNERFFKDHQAPLTTSEIKLKMNSRVVGGIMTGEKKDGFSDPIIYTLENIQPKQKFERPICVSWSTDVKGGRWTSFGCVILEASETYTICSCNQMANLAVIMASGELTMDFSLYIISHVGIIISLVCLVLAIATFLLCRSIRNHNTYLHLHLCVCLLLAKTLFLAGIHKTDNKMGCAIIAGFLHYLFLACFFWMLVEAVILFLMVRNLKVVNYFSSRNIKMLHICAFGYGLPMLVVVISASVQPQGYGMHNRCWLNTETGFIWSFLGPVCTVIVINSLLLTWTLWILRQRLSSVNAEVSTLKDTRLLTFKAFAQLFILGCSWVLGIFQIGPVAGVMAYLFTIINSLQGAFIFLIHCLLNGQVREEYKRWITGKTKPSSQSQTSRILLSSMPSASKTG</v>
      </c>
      <c r="F327" s="5" t="str">
        <f t="shared" si="126"/>
        <v>IMASGELTMDFSLYIISHVGIIISLVCLVLAIATFLLC</v>
      </c>
      <c r="G327" s="4" t="str">
        <f t="shared" si="127"/>
        <v/>
      </c>
      <c r="H327" s="4" t="str">
        <f t="shared" si="128"/>
        <v>NHNTYLHLHLCVCLLLAKTLFLAGIHK</v>
      </c>
      <c r="I327" s="4" t="str">
        <f t="shared" si="129"/>
        <v/>
      </c>
      <c r="J327" s="4" t="str">
        <f t="shared" si="130"/>
        <v>MGCAIIAGFLHYLFLACFFWMLVEAVILFLMVRN</v>
      </c>
      <c r="K327" s="4" t="str">
        <f t="shared" si="131"/>
        <v/>
      </c>
      <c r="L327" s="4" t="str">
        <f t="shared" si="132"/>
        <v>SRNIKMLHICAFGYGLPMLVVVISASVQPQGY</v>
      </c>
      <c r="M327" s="4" t="str">
        <f t="shared" si="133"/>
        <v>CWL</v>
      </c>
      <c r="N327" s="4" t="str">
        <f t="shared" si="134"/>
        <v>ETGFIWSFLGPVCTVIVINSLLLTWTLWILRQRL</v>
      </c>
      <c r="O327" s="4" t="str">
        <f t="shared" si="135"/>
        <v>DTRLLTFKAFAQLFILGCSWVLGIFQ</v>
      </c>
      <c r="P327" s="4" t="str">
        <f t="shared" si="136"/>
        <v>AGVMAYLFTIINSLQGAFIFLIHCLL</v>
      </c>
      <c r="Q327" s="4" t="str">
        <f t="shared" si="137"/>
        <v>NGQVREEYKRWITGKTK</v>
      </c>
      <c r="R327" s="5">
        <f>VLOOKUP($A327,'SegEnds_NonXtal_Prot#'!$A:$AL,3,FALSE)</f>
        <v>590</v>
      </c>
      <c r="S327" s="5" t="str">
        <f>VLOOKUP($A327,'SegEnds_NonXtal_Prot#'!$A:$AL,6,FALSE)</f>
        <v>-</v>
      </c>
      <c r="T327" s="5">
        <f>VLOOKUP($A327,'SegEnds_NonXtal_Prot#'!$A:$AL,9,FALSE)</f>
        <v>632</v>
      </c>
      <c r="U327" s="5" t="str">
        <f>VLOOKUP($A327,'SegEnds_NonXtal_Prot#'!$A:$AL,12,FALSE)</f>
        <v>-</v>
      </c>
      <c r="V327" s="5">
        <f>VLOOKUP($A327,'SegEnds_NonXtal_Prot#'!$A:$AL,15,FALSE)</f>
        <v>663</v>
      </c>
      <c r="W327" s="5" t="str">
        <f>VLOOKUP($A327,'SegEnds_NonXtal_Prot#'!$A:$AL,18,FALSE)</f>
        <v>-</v>
      </c>
      <c r="X327" s="5">
        <f>VLOOKUP($A327,'SegEnds_NonXtal_Prot#'!$A:$AL,21,FALSE)</f>
        <v>705</v>
      </c>
      <c r="Y327" s="5">
        <f>VLOOKUP($A327,'SegEnds_NonXtal_Prot#'!$A:$AL,24,FALSE)</f>
        <v>742</v>
      </c>
      <c r="Z327" s="5">
        <f>VLOOKUP($A327,'SegEnds_NonXtal_Prot#'!$A:$AL,27,FALSE)</f>
        <v>747</v>
      </c>
      <c r="AA327" s="5">
        <f>VLOOKUP($A327,'SegEnds_NonXtal_Prot#'!$A:$AL,30,FALSE)</f>
        <v>792</v>
      </c>
      <c r="AB327" s="5">
        <f>VLOOKUP($A327,'SegEnds_NonXtal_Prot#'!$A:$AL,33,FALSE)</f>
        <v>822</v>
      </c>
      <c r="AC327" s="5">
        <f>VLOOKUP($A327,'SegEnds_NonXtal_Prot#'!$A:$AL,36,FALSE)</f>
        <v>848</v>
      </c>
      <c r="AD327" s="5">
        <f>VLOOKUP($A327,'SegEnds_NonXtal_Prot#'!$A:$AL,5,FALSE)</f>
        <v>627</v>
      </c>
      <c r="AE327" s="5" t="str">
        <f>VLOOKUP($A327,'SegEnds_NonXtal_Prot#'!$A:$AL,8,FALSE)</f>
        <v>-</v>
      </c>
      <c r="AF327" s="5">
        <f>VLOOKUP($A327,'SegEnds_NonXtal_Prot#'!$A:$AL,11,FALSE)</f>
        <v>658</v>
      </c>
      <c r="AG327" s="5" t="str">
        <f>VLOOKUP($A327,'SegEnds_NonXtal_Prot#'!$A:$AL,14,FALSE)</f>
        <v>-</v>
      </c>
      <c r="AH327" s="5">
        <f>VLOOKUP($A327,'SegEnds_NonXtal_Prot#'!$A:$AL,17,FALSE)</f>
        <v>696</v>
      </c>
      <c r="AI327" s="5" t="str">
        <f>VLOOKUP($A327,'SegEnds_NonXtal_Prot#'!$A:$AL,20,FALSE)</f>
        <v>-</v>
      </c>
      <c r="AJ327" s="5">
        <f>VLOOKUP($A327,'SegEnds_NonXtal_Prot#'!$A:$AL,23,FALSE)</f>
        <v>736</v>
      </c>
      <c r="AK327" s="5">
        <f>VLOOKUP($A327,'SegEnds_NonXtal_Prot#'!$A:$AL,26,FALSE)</f>
        <v>744</v>
      </c>
      <c r="AL327" s="5">
        <f>VLOOKUP($A327,'SegEnds_NonXtal_Prot#'!$A:$AL,29,FALSE)</f>
        <v>780</v>
      </c>
      <c r="AM327" s="5">
        <f>VLOOKUP($A327,'SegEnds_NonXtal_Prot#'!$A:$AL,32,FALSE)</f>
        <v>817</v>
      </c>
      <c r="AN327" s="5">
        <f>VLOOKUP($A327,'SegEnds_NonXtal_Prot#'!$A:$AL,35,FALSE)</f>
        <v>847</v>
      </c>
      <c r="AO327" s="5">
        <f>VLOOKUP($A327,'SegEnds_NonXtal_Prot#'!$A:$AL,38,FALSE)</f>
        <v>864</v>
      </c>
      <c r="AP327" s="5">
        <f t="shared" si="138"/>
        <v>37</v>
      </c>
      <c r="AQ327" s="4" t="str">
        <f t="shared" si="139"/>
        <v>-</v>
      </c>
      <c r="AR327" s="4">
        <f t="shared" si="140"/>
        <v>26</v>
      </c>
      <c r="AS327" s="4" t="str">
        <f t="shared" si="141"/>
        <v>-</v>
      </c>
      <c r="AT327" s="4">
        <f t="shared" si="142"/>
        <v>33</v>
      </c>
      <c r="AU327" s="4" t="str">
        <f t="shared" si="143"/>
        <v>-</v>
      </c>
      <c r="AV327" s="4">
        <f t="shared" si="144"/>
        <v>31</v>
      </c>
      <c r="AW327" s="4">
        <f t="shared" si="145"/>
        <v>2</v>
      </c>
      <c r="AX327" s="4">
        <f t="shared" si="146"/>
        <v>33</v>
      </c>
      <c r="AY327" s="4">
        <f t="shared" si="147"/>
        <v>25</v>
      </c>
      <c r="AZ327" s="4">
        <f t="shared" si="148"/>
        <v>25</v>
      </c>
      <c r="BA327" s="4">
        <f t="shared" si="149"/>
        <v>16</v>
      </c>
    </row>
    <row r="328" spans="1:53" x14ac:dyDescent="0.2">
      <c r="A328" s="1" t="str">
        <f>'SegEnds_NonXtal_Prot#'!A323</f>
        <v>agre2_human</v>
      </c>
      <c r="B328" s="1" t="str">
        <f t="shared" si="125"/>
        <v>MAHYDVQEEDPVLTVITYMGLSVSLLCLLLAALTFLLCNTSTSLHLQLSLCLFLAHLLFLVAIDQVLCSIIAGTLHYLYLATLTWMLLEALYLFLTARNNRFMKKLMFPVGYGVPAVTVAISAASRPHLYEKGFIWGFLGPVCAIFSVNLVLFLVTLWILKNRLNTRMLAFKATAQLFILGCTWCLGILARVMAYLFTIINSLQGVFIFLVYCLLSQQVREQYGKWSKGIRK</v>
      </c>
      <c r="C328" s="29" t="str">
        <f>IF(ISERROR(MATCH(A328,'SegEnds_Xtal_Prot#'!B:B, 0)), "NoXtal", "Xtal")</f>
        <v>NoXtal</v>
      </c>
      <c r="D328" s="4" t="str">
        <f>VLOOKUP(A328,Classification!A:D,2,FALSE)</f>
        <v>B2</v>
      </c>
      <c r="E328" s="5" t="str">
        <f>VLOOKUP(A328,Seqs!A:B,2,FALSE)</f>
        <v>MGGRVFLVFLAFCVWLTLPGAETQDSRGCARWCPQDSSCVNATACRCNPGFSSFSEIITTPMETCDDINECATLSKVSCGKFSDCWNTEGSYDCVCSPGYEPVSGAKTFKNESENTCQDVDECQQNPRLCKSYGTCVNTLGSYTCQCLPGFKLKPEDPKLCTDVNECTSGQNPCHSSTHCLNNVGSYQCRCRPGWQPIPGSPNGPNNTVCEDVDECSSGQHQCDSSTVCFNTVGSYSCRCRPGWKPRHGIPNNQKDTVCEDMTFSTWTPPPGVHSQTLSRFFDKVQDLGRDYKPGLANNTIQSILQALDELLEAPGDLETLPRLQQHCVASHLLDGLEDVLRGLSKNLSNGLLNFSYPAGTELSLEVQKQVDRSVTLRQNQAVMQLDWNQAQKSGDPGPSVVGLVSIPGMGKLLAEAPLVLEPEKQMLLHETHQGLLQDGSPILLSDVISAFLSNNDTQNLSSPVTFTFSHRSVIPRQKVLCVFWEHGQNGCGHWATTGCSTIGTRDTSTICRCTHLSSFAVLMAHYDVQEEDPVLTVITYMGLSVSLLCLLLAALTFLLCKAIQNTSTSLHLQLSLCLFLAHLLFLVAIDQTGHKVLCSIIAGTLHYLYLATLTWMLLEALYLFLTARNLTVVNYSSINRFMKKLMFPVGYGVPAVTVAISAASRPHLYGTPSRCWLQPEKGFIWGFLGPVCAIFSVNLVLFLVTLWILKNRLSSLNSEVSTLRNTRMLAFKATAQLFILGCTWCLGILQVGPAARVMAYLFTIINSLQGVFIFLVYCLLSQQVREQYGKWSKGIRKLKTESEMHTLSSSAKADTSKPSTVN</v>
      </c>
      <c r="F328" s="5" t="str">
        <f t="shared" si="126"/>
        <v>MAHYDVQEEDPVLTVITYMGLSVSLLCLLLAALTFLLC</v>
      </c>
      <c r="G328" s="4" t="str">
        <f t="shared" si="127"/>
        <v>KAIQ</v>
      </c>
      <c r="H328" s="4" t="str">
        <f t="shared" si="128"/>
        <v>NTSTSLHLQLSLCLFLAHLLFLVAIDQ</v>
      </c>
      <c r="I328" s="4" t="str">
        <f t="shared" si="129"/>
        <v/>
      </c>
      <c r="J328" s="4" t="str">
        <f t="shared" si="130"/>
        <v>VLCSIIAGTLHYLYLATLTWMLLEALYLFLTARN</v>
      </c>
      <c r="K328" s="4" t="str">
        <f t="shared" si="131"/>
        <v/>
      </c>
      <c r="L328" s="4" t="str">
        <f t="shared" si="132"/>
        <v>NRFMKKLMFPVGYGVPAVTVAISAASRPHLY</v>
      </c>
      <c r="M328" s="4" t="str">
        <f t="shared" si="133"/>
        <v>CWL</v>
      </c>
      <c r="N328" s="4" t="str">
        <f t="shared" si="134"/>
        <v>EKGFIWGFLGPVCAIFSVNLVLFLVTLWILKNRL</v>
      </c>
      <c r="O328" s="4" t="str">
        <f t="shared" si="135"/>
        <v>NTRMLAFKATAQLFILGCTWCLGIL</v>
      </c>
      <c r="P328" s="4" t="str">
        <f t="shared" si="136"/>
        <v>ARVMAYLFTIINSLQGVFIFLVYCLL</v>
      </c>
      <c r="Q328" s="4" t="str">
        <f t="shared" si="137"/>
        <v>SQQVREQYGKWSKGIRK</v>
      </c>
      <c r="R328" s="5">
        <f>VLOOKUP($A328,'SegEnds_NonXtal_Prot#'!$A:$AL,3,FALSE)</f>
        <v>524</v>
      </c>
      <c r="S328" s="5">
        <f>VLOOKUP($A328,'SegEnds_NonXtal_Prot#'!$A:$AL,6,FALSE)</f>
        <v>562</v>
      </c>
      <c r="T328" s="5">
        <f>VLOOKUP($A328,'SegEnds_NonXtal_Prot#'!$A:$AL,9,FALSE)</f>
        <v>566</v>
      </c>
      <c r="U328" s="5" t="str">
        <f>VLOOKUP($A328,'SegEnds_NonXtal_Prot#'!$A:$AL,12,FALSE)</f>
        <v>-</v>
      </c>
      <c r="V328" s="5">
        <f>VLOOKUP($A328,'SegEnds_NonXtal_Prot#'!$A:$AL,15,FALSE)</f>
        <v>597</v>
      </c>
      <c r="W328" s="5" t="str">
        <f>VLOOKUP($A328,'SegEnds_NonXtal_Prot#'!$A:$AL,18,FALSE)</f>
        <v>-</v>
      </c>
      <c r="X328" s="5">
        <f>VLOOKUP($A328,'SegEnds_NonXtal_Prot#'!$A:$AL,21,FALSE)</f>
        <v>640</v>
      </c>
      <c r="Y328" s="5">
        <f>VLOOKUP($A328,'SegEnds_NonXtal_Prot#'!$A:$AL,24,FALSE)</f>
        <v>676</v>
      </c>
      <c r="Z328" s="5">
        <f>VLOOKUP($A328,'SegEnds_NonXtal_Prot#'!$A:$AL,27,FALSE)</f>
        <v>681</v>
      </c>
      <c r="AA328" s="5">
        <f>VLOOKUP($A328,'SegEnds_NonXtal_Prot#'!$A:$AL,30,FALSE)</f>
        <v>726</v>
      </c>
      <c r="AB328" s="5">
        <f>VLOOKUP($A328,'SegEnds_NonXtal_Prot#'!$A:$AL,33,FALSE)</f>
        <v>756</v>
      </c>
      <c r="AC328" s="5">
        <f>VLOOKUP($A328,'SegEnds_NonXtal_Prot#'!$A:$AL,36,FALSE)</f>
        <v>782</v>
      </c>
      <c r="AD328" s="5">
        <f>VLOOKUP($A328,'SegEnds_NonXtal_Prot#'!$A:$AL,5,FALSE)</f>
        <v>561</v>
      </c>
      <c r="AE328" s="5">
        <f>VLOOKUP($A328,'SegEnds_NonXtal_Prot#'!$A:$AL,8,FALSE)</f>
        <v>565</v>
      </c>
      <c r="AF328" s="5">
        <f>VLOOKUP($A328,'SegEnds_NonXtal_Prot#'!$A:$AL,11,FALSE)</f>
        <v>592</v>
      </c>
      <c r="AG328" s="5" t="str">
        <f>VLOOKUP($A328,'SegEnds_NonXtal_Prot#'!$A:$AL,14,FALSE)</f>
        <v>-</v>
      </c>
      <c r="AH328" s="5">
        <f>VLOOKUP($A328,'SegEnds_NonXtal_Prot#'!$A:$AL,17,FALSE)</f>
        <v>630</v>
      </c>
      <c r="AI328" s="5" t="str">
        <f>VLOOKUP($A328,'SegEnds_NonXtal_Prot#'!$A:$AL,20,FALSE)</f>
        <v>-</v>
      </c>
      <c r="AJ328" s="5">
        <f>VLOOKUP($A328,'SegEnds_NonXtal_Prot#'!$A:$AL,23,FALSE)</f>
        <v>670</v>
      </c>
      <c r="AK328" s="5">
        <f>VLOOKUP($A328,'SegEnds_NonXtal_Prot#'!$A:$AL,26,FALSE)</f>
        <v>678</v>
      </c>
      <c r="AL328" s="5">
        <f>VLOOKUP($A328,'SegEnds_NonXtal_Prot#'!$A:$AL,29,FALSE)</f>
        <v>714</v>
      </c>
      <c r="AM328" s="5">
        <f>VLOOKUP($A328,'SegEnds_NonXtal_Prot#'!$A:$AL,32,FALSE)</f>
        <v>750</v>
      </c>
      <c r="AN328" s="5">
        <f>VLOOKUP($A328,'SegEnds_NonXtal_Prot#'!$A:$AL,35,FALSE)</f>
        <v>781</v>
      </c>
      <c r="AO328" s="5">
        <f>VLOOKUP($A328,'SegEnds_NonXtal_Prot#'!$A:$AL,38,FALSE)</f>
        <v>798</v>
      </c>
      <c r="AP328" s="5">
        <f t="shared" si="138"/>
        <v>37</v>
      </c>
      <c r="AQ328" s="4">
        <f t="shared" si="139"/>
        <v>3</v>
      </c>
      <c r="AR328" s="4">
        <f t="shared" si="140"/>
        <v>26</v>
      </c>
      <c r="AS328" s="4" t="str">
        <f t="shared" si="141"/>
        <v>-</v>
      </c>
      <c r="AT328" s="4">
        <f t="shared" si="142"/>
        <v>33</v>
      </c>
      <c r="AU328" s="4" t="str">
        <f t="shared" si="143"/>
        <v>-</v>
      </c>
      <c r="AV328" s="4">
        <f t="shared" si="144"/>
        <v>30</v>
      </c>
      <c r="AW328" s="4">
        <f t="shared" si="145"/>
        <v>2</v>
      </c>
      <c r="AX328" s="4">
        <f t="shared" si="146"/>
        <v>33</v>
      </c>
      <c r="AY328" s="4">
        <f t="shared" si="147"/>
        <v>24</v>
      </c>
      <c r="AZ328" s="4">
        <f t="shared" si="148"/>
        <v>25</v>
      </c>
      <c r="BA328" s="4">
        <f t="shared" si="149"/>
        <v>16</v>
      </c>
    </row>
    <row r="329" spans="1:53" x14ac:dyDescent="0.2">
      <c r="A329" s="1" t="str">
        <f>'SegEnds_NonXtal_Prot#'!A324</f>
        <v>agre3_human</v>
      </c>
      <c r="B329" s="1" t="str">
        <f t="shared" si="125"/>
        <v>LMALTSQEEDPVLTVITYVGLSVSLLCLLLAALTFLLCNTSTSLHLQLSLCLFLAHLLFLVGIDRVLCSIIAGALHYLYLAAFTWMLLEGVHLFLTARNINRLMKWIMFPVGYGVPAVTVAISAASWPHLYDQGFMWSFLGPVCAIFSANLVLFILVFWILKRKLNTRMLAFKATAQLFILGCTWCLGLLQAQVMAYLFTIINSLQGFFIFLVYCLLSQQVQKQYQKWFREIVK</v>
      </c>
      <c r="C329" s="29" t="str">
        <f>IF(ISERROR(MATCH(A329,'SegEnds_Xtal_Prot#'!B:B, 0)), "NoXtal", "Xtal")</f>
        <v>NoXtal</v>
      </c>
      <c r="D329" s="4" t="str">
        <f>VLOOKUP(A329,Classification!A:D,2,FALSE)</f>
        <v>B2</v>
      </c>
      <c r="E329" s="5" t="str">
        <f>VLOOKUP(A329,Seqs!A:B,2,FALSE)</f>
        <v>MQGPLLLPGLCFLLSLFGAVTQKTKTSCAKCPPNASCVNNTHCTCNHGYTSGSGQKLFTFPLETCNDINECTPPYSVYCGFNAVCYNVEGSFYCQCVPGYRLHSGNEQFSNSNENTCQDTTSSKTTEGRKELQKIVDKFESLLTNQTLWRTEGRQEISSTATTILRDVESKVLETALKDPEQKVLKIQNDSVAIETQAITDNCSEERKTFNLNVQMNSMDIRCSDIIQGDTQGPSAIAFISYSSLGNIINATFFEEMDKKDQVYLNSQVVSAAIGPKRNVSLSKSVTLTFQHVKMTPSTKKVFCVYWKSTGQGSQWSRDGCFLIHVNKSHTMCNCSHLSSFAVLMALTSQEEDPVLTVITYVGLSVSLLCLLLAALTFLLCKAIRNTSTSLHLQLSLCLFLAHLLFLVGIDRTEPKVLCSIIAGALHYLYLAAFTWMLLEGVHLFLTARNLTVVNYSSINRLMKWIMFPVGYGVPAVTVAISAASWPHLYGTADRCWLHLDQGFMWSFLGPVCAIFSANLVLFILVFWILKRKLSSLNSEVSTIQNTRMLAFKATAQLFILGCTWCLGLLQVGPAAQVMAYLFTIINSLQGFFIFLVYCLLSQQVQKQYQKWFREIVKSKSESETYTLSSKMGPDSKPSEGDVFPGQVKRKY</v>
      </c>
      <c r="F329" s="5" t="str">
        <f t="shared" si="126"/>
        <v>LMALTSQEEDPVLTVITYVGLSVSLLCLLLAALTFLLC</v>
      </c>
      <c r="G329" s="4" t="str">
        <f t="shared" si="127"/>
        <v>KAIR</v>
      </c>
      <c r="H329" s="4" t="str">
        <f t="shared" si="128"/>
        <v>NTSTSLHLQLSLCLFLAHLLFLVGIDR</v>
      </c>
      <c r="I329" s="4" t="str">
        <f t="shared" si="129"/>
        <v/>
      </c>
      <c r="J329" s="4" t="str">
        <f t="shared" si="130"/>
        <v>VLCSIIAGALHYLYLAAFTWMLLEGVHLFLTARN</v>
      </c>
      <c r="K329" s="4" t="str">
        <f t="shared" si="131"/>
        <v/>
      </c>
      <c r="L329" s="4" t="str">
        <f t="shared" si="132"/>
        <v>INRLMKWIMFPVGYGVPAVTVAISAASWPHLY</v>
      </c>
      <c r="M329" s="4" t="str">
        <f t="shared" si="133"/>
        <v>CWL</v>
      </c>
      <c r="N329" s="4" t="str">
        <f t="shared" si="134"/>
        <v>DQGFMWSFLGPVCAIFSANLVLFILVFWILKRKL</v>
      </c>
      <c r="O329" s="4" t="str">
        <f t="shared" si="135"/>
        <v>NTRMLAFKATAQLFILGCTWCLGLLQ</v>
      </c>
      <c r="P329" s="4" t="str">
        <f t="shared" si="136"/>
        <v>AQVMAYLFTIINSLQGFFIFLVYCLL</v>
      </c>
      <c r="Q329" s="4" t="str">
        <f t="shared" si="137"/>
        <v>SQQVQKQYQKWFREIVK</v>
      </c>
      <c r="R329" s="5">
        <f>VLOOKUP($A329,'SegEnds_NonXtal_Prot#'!$A:$AL,3,FALSE)</f>
        <v>344</v>
      </c>
      <c r="S329" s="5">
        <f>VLOOKUP($A329,'SegEnds_NonXtal_Prot#'!$A:$AL,6,FALSE)</f>
        <v>382</v>
      </c>
      <c r="T329" s="5">
        <f>VLOOKUP($A329,'SegEnds_NonXtal_Prot#'!$A:$AL,9,FALSE)</f>
        <v>386</v>
      </c>
      <c r="U329" s="5" t="str">
        <f>VLOOKUP($A329,'SegEnds_NonXtal_Prot#'!$A:$AL,12,FALSE)</f>
        <v>-</v>
      </c>
      <c r="V329" s="5">
        <f>VLOOKUP($A329,'SegEnds_NonXtal_Prot#'!$A:$AL,15,FALSE)</f>
        <v>417</v>
      </c>
      <c r="W329" s="5" t="str">
        <f>VLOOKUP($A329,'SegEnds_NonXtal_Prot#'!$A:$AL,18,FALSE)</f>
        <v>-</v>
      </c>
      <c r="X329" s="5">
        <f>VLOOKUP($A329,'SegEnds_NonXtal_Prot#'!$A:$AL,21,FALSE)</f>
        <v>459</v>
      </c>
      <c r="Y329" s="5">
        <f>VLOOKUP($A329,'SegEnds_NonXtal_Prot#'!$A:$AL,24,FALSE)</f>
        <v>496</v>
      </c>
      <c r="Z329" s="5">
        <f>VLOOKUP($A329,'SegEnds_NonXtal_Prot#'!$A:$AL,27,FALSE)</f>
        <v>501</v>
      </c>
      <c r="AA329" s="5">
        <f>VLOOKUP($A329,'SegEnds_NonXtal_Prot#'!$A:$AL,30,FALSE)</f>
        <v>546</v>
      </c>
      <c r="AB329" s="5">
        <f>VLOOKUP($A329,'SegEnds_NonXtal_Prot#'!$A:$AL,33,FALSE)</f>
        <v>576</v>
      </c>
      <c r="AC329" s="5">
        <f>VLOOKUP($A329,'SegEnds_NonXtal_Prot#'!$A:$AL,36,FALSE)</f>
        <v>602</v>
      </c>
      <c r="AD329" s="5">
        <f>VLOOKUP($A329,'SegEnds_NonXtal_Prot#'!$A:$AL,5,FALSE)</f>
        <v>381</v>
      </c>
      <c r="AE329" s="5">
        <f>VLOOKUP($A329,'SegEnds_NonXtal_Prot#'!$A:$AL,8,FALSE)</f>
        <v>385</v>
      </c>
      <c r="AF329" s="5">
        <f>VLOOKUP($A329,'SegEnds_NonXtal_Prot#'!$A:$AL,11,FALSE)</f>
        <v>412</v>
      </c>
      <c r="AG329" s="5" t="str">
        <f>VLOOKUP($A329,'SegEnds_NonXtal_Prot#'!$A:$AL,14,FALSE)</f>
        <v>-</v>
      </c>
      <c r="AH329" s="5">
        <f>VLOOKUP($A329,'SegEnds_NonXtal_Prot#'!$A:$AL,17,FALSE)</f>
        <v>450</v>
      </c>
      <c r="AI329" s="5" t="str">
        <f>VLOOKUP($A329,'SegEnds_NonXtal_Prot#'!$A:$AL,20,FALSE)</f>
        <v>-</v>
      </c>
      <c r="AJ329" s="5">
        <f>VLOOKUP($A329,'SegEnds_NonXtal_Prot#'!$A:$AL,23,FALSE)</f>
        <v>490</v>
      </c>
      <c r="AK329" s="5">
        <f>VLOOKUP($A329,'SegEnds_NonXtal_Prot#'!$A:$AL,26,FALSE)</f>
        <v>498</v>
      </c>
      <c r="AL329" s="5">
        <f>VLOOKUP($A329,'SegEnds_NonXtal_Prot#'!$A:$AL,29,FALSE)</f>
        <v>534</v>
      </c>
      <c r="AM329" s="5">
        <f>VLOOKUP($A329,'SegEnds_NonXtal_Prot#'!$A:$AL,32,FALSE)</f>
        <v>571</v>
      </c>
      <c r="AN329" s="5">
        <f>VLOOKUP($A329,'SegEnds_NonXtal_Prot#'!$A:$AL,35,FALSE)</f>
        <v>601</v>
      </c>
      <c r="AO329" s="5">
        <f>VLOOKUP($A329,'SegEnds_NonXtal_Prot#'!$A:$AL,38,FALSE)</f>
        <v>618</v>
      </c>
      <c r="AP329" s="5">
        <f t="shared" si="138"/>
        <v>37</v>
      </c>
      <c r="AQ329" s="4">
        <f t="shared" si="139"/>
        <v>3</v>
      </c>
      <c r="AR329" s="4">
        <f t="shared" si="140"/>
        <v>26</v>
      </c>
      <c r="AS329" s="4" t="str">
        <f t="shared" si="141"/>
        <v>-</v>
      </c>
      <c r="AT329" s="4">
        <f t="shared" si="142"/>
        <v>33</v>
      </c>
      <c r="AU329" s="4" t="str">
        <f t="shared" si="143"/>
        <v>-</v>
      </c>
      <c r="AV329" s="4">
        <f t="shared" si="144"/>
        <v>31</v>
      </c>
      <c r="AW329" s="4">
        <f t="shared" si="145"/>
        <v>2</v>
      </c>
      <c r="AX329" s="4">
        <f t="shared" si="146"/>
        <v>33</v>
      </c>
      <c r="AY329" s="4">
        <f t="shared" si="147"/>
        <v>25</v>
      </c>
      <c r="AZ329" s="4">
        <f t="shared" si="148"/>
        <v>25</v>
      </c>
      <c r="BA329" s="4">
        <f t="shared" si="149"/>
        <v>16</v>
      </c>
    </row>
    <row r="330" spans="1:53" x14ac:dyDescent="0.2">
      <c r="A330" s="1" t="str">
        <f>'SegEnds_NonXtal_Prot#'!A325</f>
        <v>agre4_human</v>
      </c>
      <c r="B330" s="1" t="str">
        <f t="shared" si="125"/>
        <v>VLVALAPKEDPVLTVITQVGLTISLLCLFLAILTFLLCNTSTSLHLELSLCLFLAHLLFLTGINRVLCSIIAGLLHFLYLACFTWMLLEGLHLFLTVRNGRFKKRFMYPVGYGIPAVIIAVSAIVGPQNYDKGFIWSFMGPVAVIILINLVFYFQVLWILRSKLDTRVMTFKAISQLFILGCSWGLGFFKTIGSIIAYSFTIINTLQGVLLFVVHCLLNRQVRLIILSVISLVPK</v>
      </c>
      <c r="C330" s="29" t="str">
        <f>IF(ISERROR(MATCH(A330,'SegEnds_Xtal_Prot#'!B:B, 0)), "NoXtal", "Xtal")</f>
        <v>NoXtal</v>
      </c>
      <c r="D330" s="4" t="str">
        <f>VLOOKUP(A330,Classification!A:D,2,FALSE)</f>
        <v>B2</v>
      </c>
      <c r="E330" s="5" t="str">
        <f>VLOOKUP(A330,Seqs!A:B,2,FALSE)</f>
        <v>MGSRFLLVLLSGASCPPCPKYASCHNSTHCTCEDGFRARSGRTYFHDSSEKCEDINECETGLAKCKYKAYCRNKVGGYICSCLVKYTLFNFLAGIIDYDHPDCYENNSQGTTQSNVDIWVSGVKPGFGKQLPGDKRTKHICVYWEGSEGGWSTEGCSHVHSNGSYTKCKCFHLSSFAVLVALAPKEDPVLTVITQVGLTISLLCLFLAILTFLLCRPIQNTSTSLHLELSLCLFLAHLLFLTGINRTEPEVLCSIIAGLLHFLYLACFTWMLLEGLHLFLTVRNLKVANYTSTGRFKKRFMYPVGYGIPAVIIAVSAIVGPQNYGTFTCWLKLDKGFIWSFMGPVAVIILINLVFYFQVLWILRSKLSSLNKEVSTIQDTRVMTFKAISQLFILGCSWGLGFFMVEEVGKTIGSIIAYSFTIINTLQGVLLFVVHCLLNRQVRLIILSVISLVPKSN</v>
      </c>
      <c r="F330" s="5" t="str">
        <f t="shared" si="126"/>
        <v>VLVALAPKEDPVLTVITQVGLTISLLCLFLAILTFLLC</v>
      </c>
      <c r="G330" s="4" t="str">
        <f t="shared" si="127"/>
        <v>RPIQ</v>
      </c>
      <c r="H330" s="4" t="str">
        <f t="shared" si="128"/>
        <v>NTSTSLHLELSLCLFLAHLLFLTGINR</v>
      </c>
      <c r="I330" s="4" t="str">
        <f t="shared" si="129"/>
        <v/>
      </c>
      <c r="J330" s="4" t="str">
        <f t="shared" si="130"/>
        <v>VLCSIIAGLLHFLYLACFTWMLLEGLHLFLTVRN</v>
      </c>
      <c r="K330" s="4" t="str">
        <f t="shared" si="131"/>
        <v/>
      </c>
      <c r="L330" s="4" t="str">
        <f t="shared" si="132"/>
        <v>GRFKKRFMYPVGYGIPAVIIAVSAIVGPQNY</v>
      </c>
      <c r="M330" s="4" t="str">
        <f t="shared" si="133"/>
        <v>CWL</v>
      </c>
      <c r="N330" s="4" t="str">
        <f t="shared" si="134"/>
        <v>DKGFIWSFMGPVAVIILINLVFYFQVLWILRSKL</v>
      </c>
      <c r="O330" s="4" t="str">
        <f t="shared" si="135"/>
        <v>DTRVMTFKAISQLFILGCSWGLGFF</v>
      </c>
      <c r="P330" s="4" t="str">
        <f t="shared" si="136"/>
        <v>KTIGSIIAYSFTIINTLQGVLLFVVHCLL</v>
      </c>
      <c r="Q330" s="4" t="str">
        <f t="shared" si="137"/>
        <v>NRQVRLIILSVISLVPK</v>
      </c>
      <c r="R330" s="5">
        <f>VLOOKUP($A330,'SegEnds_NonXtal_Prot#'!$A:$AL,3,FALSE)</f>
        <v>178</v>
      </c>
      <c r="S330" s="5">
        <f>VLOOKUP($A330,'SegEnds_NonXtal_Prot#'!$A:$AL,6,FALSE)</f>
        <v>216</v>
      </c>
      <c r="T330" s="5">
        <f>VLOOKUP($A330,'SegEnds_NonXtal_Prot#'!$A:$AL,9,FALSE)</f>
        <v>220</v>
      </c>
      <c r="U330" s="5" t="str">
        <f>VLOOKUP($A330,'SegEnds_NonXtal_Prot#'!$A:$AL,12,FALSE)</f>
        <v>-</v>
      </c>
      <c r="V330" s="5">
        <f>VLOOKUP($A330,'SegEnds_NonXtal_Prot#'!$A:$AL,15,FALSE)</f>
        <v>251</v>
      </c>
      <c r="W330" s="5" t="str">
        <f>VLOOKUP($A330,'SegEnds_NonXtal_Prot#'!$A:$AL,18,FALSE)</f>
        <v>-</v>
      </c>
      <c r="X330" s="5">
        <f>VLOOKUP($A330,'SegEnds_NonXtal_Prot#'!$A:$AL,21,FALSE)</f>
        <v>294</v>
      </c>
      <c r="Y330" s="5">
        <f>VLOOKUP($A330,'SegEnds_NonXtal_Prot#'!$A:$AL,24,FALSE)</f>
        <v>329</v>
      </c>
      <c r="Z330" s="5">
        <f>VLOOKUP($A330,'SegEnds_NonXtal_Prot#'!$A:$AL,27,FALSE)</f>
        <v>334</v>
      </c>
      <c r="AA330" s="5">
        <f>VLOOKUP($A330,'SegEnds_NonXtal_Prot#'!$A:$AL,30,FALSE)</f>
        <v>379</v>
      </c>
      <c r="AB330" s="5">
        <f>VLOOKUP($A330,'SegEnds_NonXtal_Prot#'!$A:$AL,33,FALSE)</f>
        <v>410</v>
      </c>
      <c r="AC330" s="5">
        <f>VLOOKUP($A330,'SegEnds_NonXtal_Prot#'!$A:$AL,36,FALSE)</f>
        <v>439</v>
      </c>
      <c r="AD330" s="5">
        <f>VLOOKUP($A330,'SegEnds_NonXtal_Prot#'!$A:$AL,5,FALSE)</f>
        <v>215</v>
      </c>
      <c r="AE330" s="5">
        <f>VLOOKUP($A330,'SegEnds_NonXtal_Prot#'!$A:$AL,8,FALSE)</f>
        <v>219</v>
      </c>
      <c r="AF330" s="5">
        <f>VLOOKUP($A330,'SegEnds_NonXtal_Prot#'!$A:$AL,11,FALSE)</f>
        <v>246</v>
      </c>
      <c r="AG330" s="5" t="str">
        <f>VLOOKUP($A330,'SegEnds_NonXtal_Prot#'!$A:$AL,14,FALSE)</f>
        <v>-</v>
      </c>
      <c r="AH330" s="5">
        <f>VLOOKUP($A330,'SegEnds_NonXtal_Prot#'!$A:$AL,17,FALSE)</f>
        <v>284</v>
      </c>
      <c r="AI330" s="5" t="str">
        <f>VLOOKUP($A330,'SegEnds_NonXtal_Prot#'!$A:$AL,20,FALSE)</f>
        <v>-</v>
      </c>
      <c r="AJ330" s="5">
        <f>VLOOKUP($A330,'SegEnds_NonXtal_Prot#'!$A:$AL,23,FALSE)</f>
        <v>324</v>
      </c>
      <c r="AK330" s="5">
        <f>VLOOKUP($A330,'SegEnds_NonXtal_Prot#'!$A:$AL,26,FALSE)</f>
        <v>331</v>
      </c>
      <c r="AL330" s="5">
        <f>VLOOKUP($A330,'SegEnds_NonXtal_Prot#'!$A:$AL,29,FALSE)</f>
        <v>367</v>
      </c>
      <c r="AM330" s="5">
        <f>VLOOKUP($A330,'SegEnds_NonXtal_Prot#'!$A:$AL,32,FALSE)</f>
        <v>403</v>
      </c>
      <c r="AN330" s="5">
        <f>VLOOKUP($A330,'SegEnds_NonXtal_Prot#'!$A:$AL,35,FALSE)</f>
        <v>438</v>
      </c>
      <c r="AO330" s="5">
        <f>VLOOKUP($A330,'SegEnds_NonXtal_Prot#'!$A:$AL,38,FALSE)</f>
        <v>455</v>
      </c>
      <c r="AP330" s="5">
        <f t="shared" si="138"/>
        <v>37</v>
      </c>
      <c r="AQ330" s="4">
        <f t="shared" si="139"/>
        <v>3</v>
      </c>
      <c r="AR330" s="4">
        <f t="shared" si="140"/>
        <v>26</v>
      </c>
      <c r="AS330" s="4" t="str">
        <f t="shared" si="141"/>
        <v>-</v>
      </c>
      <c r="AT330" s="4">
        <f t="shared" si="142"/>
        <v>33</v>
      </c>
      <c r="AU330" s="4" t="str">
        <f t="shared" si="143"/>
        <v>-</v>
      </c>
      <c r="AV330" s="4">
        <f t="shared" si="144"/>
        <v>30</v>
      </c>
      <c r="AW330" s="4">
        <f t="shared" si="145"/>
        <v>2</v>
      </c>
      <c r="AX330" s="4">
        <f t="shared" si="146"/>
        <v>33</v>
      </c>
      <c r="AY330" s="4">
        <f t="shared" si="147"/>
        <v>24</v>
      </c>
      <c r="AZ330" s="4">
        <f t="shared" si="148"/>
        <v>28</v>
      </c>
      <c r="BA330" s="4">
        <f t="shared" si="149"/>
        <v>16</v>
      </c>
    </row>
    <row r="331" spans="1:53" x14ac:dyDescent="0.2">
      <c r="A331" s="1" t="str">
        <f>'SegEnds_NonXtal_Prot#'!A326</f>
        <v>agrf1_human</v>
      </c>
      <c r="B331" s="1" t="str">
        <f t="shared" si="125"/>
        <v>MSPFVPSTIFPVVKWITYVGLGISIGSLILCLIIEALFQTSHTRRICMVNIALSLLIADVWFIVGGVCTAAVFFTHFFYLSLFFWMLMLGILLAYRIILAQHLMMAVGFCLGYGCPLIISVITIAVTQPSNGSKPLLAFVVPALAIVAVNFVVVLLVLTKLWRPTTIIRVGKSLLILTPLLGLTWGFGIGTNLAWHVIFALLNAFQGFFILCFGILLDSKLRQLLFNKLSALSS</v>
      </c>
      <c r="C331" s="29" t="str">
        <f>IF(ISERROR(MATCH(A331,'SegEnds_Xtal_Prot#'!B:B, 0)), "NoXtal", "Xtal")</f>
        <v>NoXtal</v>
      </c>
      <c r="D331" s="4" t="str">
        <f>VLOOKUP(A331,Classification!A:D,2,FALSE)</f>
        <v>B2</v>
      </c>
      <c r="E331" s="5" t="str">
        <f>VLOOKUP(A331,Seqs!A:B,2,FALSE)</f>
        <v>MKVGVLWLISFFTFTDGHGGFLGKNDGIKTKKELIVNKKKHLGPVEEYQLLLQVTYRDSKEKRDLRNFLKLLKPPLLWSHGLIRIIRAKATTDCNSLNGVLQCTCEDSYTWFPPSCLDPQNCYLHTAGALPSCECHLNNLSQSVNFCERTKIWGTFKINERFTNDLLNSSSAIYSKYANGIEIQLKKAYERIQGFESVQVTQFRNGSIVAGYEVVGSSSASELLSAIEHVAEKAKTALHKLFPLEDGSFRVFGKAQCNDIVFGFGSKDDEYTLPCSSGYRGNITAKCESSGWQVIRETCVLSLLEELNKNFSMIVGNATEAAVSSFVQNLSVIIRQNPSTTVGNLASVVSILSNISSLSLASHFRVSNSTMEDVISIADNILNSASVTNWTVLLREEKYASSRLLETLENISTLVPPTALPLNFSRKFIDWKGIPVNKSQLKRGYSYQIKMCPQNTSIPIRGRVLIGSDQFQRSLPETIISMASLTLGNILPVSKNGNAQVNGPVISTVIQNYSINEVFLFFSKIESNLSQPHCVFWDFSHLQWNDAGCHLVNETQDIVTCQCTHLTSFSILMSPFVPSTIFPVVKWITYVGLGISIGSLILCLIIEALFWKQIKKSQTSHTRRICMVNIALSLLIADVWFIVGATVDTTVNPSGVCTAAVFFTHFFYLSLFFWMLMLGILLAYRIILVFHHMAQHLMMAVGFCLGYGCPLIISVITIAVTQPSNTYKRKDVCWLNWSNGSKPLLAFVVPALAIVAVNFVVVLLVLTKLWRPTVGERLSRDDKATIIRVGKSLLILTPLLGLTWGFGIGTIVDSQNLAWHVIFALLNAFQGFFILCFGILLDSKLRQLLFNKLSALSSWKQTEKQNSSDLSAKPKFSKPFNPLQNKGHYAFSHTGDSSDNIMLTQFVSNE</v>
      </c>
      <c r="F331" s="5" t="str">
        <f t="shared" si="126"/>
        <v>MSPFVPSTIFPVVKWITYVGLGISIGSLILCLIIEALF</v>
      </c>
      <c r="G331" s="4" t="str">
        <f t="shared" si="127"/>
        <v/>
      </c>
      <c r="H331" s="4" t="str">
        <f t="shared" si="128"/>
        <v>QTSHTRRICMVNIALSLLIADVWFIVG</v>
      </c>
      <c r="I331" s="4" t="str">
        <f t="shared" si="129"/>
        <v/>
      </c>
      <c r="J331" s="4" t="str">
        <f t="shared" si="130"/>
        <v>GVCTAAVFFTHFFYLSLFFWMLMLGILLAYRIIL</v>
      </c>
      <c r="K331" s="4" t="str">
        <f t="shared" si="131"/>
        <v/>
      </c>
      <c r="L331" s="4" t="str">
        <f t="shared" si="132"/>
        <v>AQHLMMAVGFCLGYGCPLIISVITIAVTQPSN</v>
      </c>
      <c r="M331" s="4" t="str">
        <f t="shared" si="133"/>
        <v>CWL</v>
      </c>
      <c r="N331" s="4" t="str">
        <f t="shared" si="134"/>
        <v>GSKPLLAFVVPALAIVAVNFVVVLLVLTKLWRPT</v>
      </c>
      <c r="O331" s="4" t="str">
        <f t="shared" si="135"/>
        <v>TIIRVGKSLLILTPLLGLTWGFGIGT</v>
      </c>
      <c r="P331" s="4" t="str">
        <f t="shared" si="136"/>
        <v>NLAWHVIFALLNAFQGFFILCFGILL</v>
      </c>
      <c r="Q331" s="4" t="str">
        <f t="shared" si="137"/>
        <v>DSKLRQLLFNKLSALSS</v>
      </c>
      <c r="R331" s="5">
        <f>VLOOKUP($A331,'SegEnds_NonXtal_Prot#'!$A:$AL,3,FALSE)</f>
        <v>573</v>
      </c>
      <c r="S331" s="5" t="str">
        <f>VLOOKUP($A331,'SegEnds_NonXtal_Prot#'!$A:$AL,6,FALSE)</f>
        <v>-</v>
      </c>
      <c r="T331" s="5">
        <f>VLOOKUP($A331,'SegEnds_NonXtal_Prot#'!$A:$AL,9,FALSE)</f>
        <v>618</v>
      </c>
      <c r="U331" s="5" t="str">
        <f>VLOOKUP($A331,'SegEnds_NonXtal_Prot#'!$A:$AL,12,FALSE)</f>
        <v>-</v>
      </c>
      <c r="V331" s="5">
        <f>VLOOKUP($A331,'SegEnds_NonXtal_Prot#'!$A:$AL,15,FALSE)</f>
        <v>655</v>
      </c>
      <c r="W331" s="5" t="str">
        <f>VLOOKUP($A331,'SegEnds_NonXtal_Prot#'!$A:$AL,18,FALSE)</f>
        <v>-</v>
      </c>
      <c r="X331" s="5">
        <f>VLOOKUP($A331,'SegEnds_NonXtal_Prot#'!$A:$AL,21,FALSE)</f>
        <v>694</v>
      </c>
      <c r="Y331" s="5">
        <f>VLOOKUP($A331,'SegEnds_NonXtal_Prot#'!$A:$AL,24,FALSE)</f>
        <v>733</v>
      </c>
      <c r="Z331" s="5">
        <f>VLOOKUP($A331,'SegEnds_NonXtal_Prot#'!$A:$AL,27,FALSE)</f>
        <v>740</v>
      </c>
      <c r="AA331" s="5">
        <f>VLOOKUP($A331,'SegEnds_NonXtal_Prot#'!$A:$AL,30,FALSE)</f>
        <v>785</v>
      </c>
      <c r="AB331" s="5">
        <f>VLOOKUP($A331,'SegEnds_NonXtal_Prot#'!$A:$AL,33,FALSE)</f>
        <v>816</v>
      </c>
      <c r="AC331" s="5">
        <f>VLOOKUP($A331,'SegEnds_NonXtal_Prot#'!$A:$AL,36,FALSE)</f>
        <v>842</v>
      </c>
      <c r="AD331" s="5">
        <f>VLOOKUP($A331,'SegEnds_NonXtal_Prot#'!$A:$AL,5,FALSE)</f>
        <v>610</v>
      </c>
      <c r="AE331" s="5" t="str">
        <f>VLOOKUP($A331,'SegEnds_NonXtal_Prot#'!$A:$AL,8,FALSE)</f>
        <v>-</v>
      </c>
      <c r="AF331" s="5">
        <f>VLOOKUP($A331,'SegEnds_NonXtal_Prot#'!$A:$AL,11,FALSE)</f>
        <v>644</v>
      </c>
      <c r="AG331" s="5" t="str">
        <f>VLOOKUP($A331,'SegEnds_NonXtal_Prot#'!$A:$AL,14,FALSE)</f>
        <v>-</v>
      </c>
      <c r="AH331" s="5">
        <f>VLOOKUP($A331,'SegEnds_NonXtal_Prot#'!$A:$AL,17,FALSE)</f>
        <v>688</v>
      </c>
      <c r="AI331" s="5" t="str">
        <f>VLOOKUP($A331,'SegEnds_NonXtal_Prot#'!$A:$AL,20,FALSE)</f>
        <v>-</v>
      </c>
      <c r="AJ331" s="5">
        <f>VLOOKUP($A331,'SegEnds_NonXtal_Prot#'!$A:$AL,23,FALSE)</f>
        <v>725</v>
      </c>
      <c r="AK331" s="5">
        <f>VLOOKUP($A331,'SegEnds_NonXtal_Prot#'!$A:$AL,26,FALSE)</f>
        <v>735</v>
      </c>
      <c r="AL331" s="5">
        <f>VLOOKUP($A331,'SegEnds_NonXtal_Prot#'!$A:$AL,29,FALSE)</f>
        <v>773</v>
      </c>
      <c r="AM331" s="5">
        <f>VLOOKUP($A331,'SegEnds_NonXtal_Prot#'!$A:$AL,32,FALSE)</f>
        <v>810</v>
      </c>
      <c r="AN331" s="5">
        <f>VLOOKUP($A331,'SegEnds_NonXtal_Prot#'!$A:$AL,35,FALSE)</f>
        <v>841</v>
      </c>
      <c r="AO331" s="5">
        <f>VLOOKUP($A331,'SegEnds_NonXtal_Prot#'!$A:$AL,38,FALSE)</f>
        <v>858</v>
      </c>
      <c r="AP331" s="5">
        <f t="shared" si="138"/>
        <v>37</v>
      </c>
      <c r="AQ331" s="4" t="str">
        <f t="shared" si="139"/>
        <v>-</v>
      </c>
      <c r="AR331" s="4">
        <f t="shared" si="140"/>
        <v>26</v>
      </c>
      <c r="AS331" s="4" t="str">
        <f t="shared" si="141"/>
        <v>-</v>
      </c>
      <c r="AT331" s="4">
        <f t="shared" si="142"/>
        <v>33</v>
      </c>
      <c r="AU331" s="4" t="str">
        <f t="shared" si="143"/>
        <v>-</v>
      </c>
      <c r="AV331" s="4">
        <f t="shared" si="144"/>
        <v>31</v>
      </c>
      <c r="AW331" s="4">
        <f t="shared" si="145"/>
        <v>2</v>
      </c>
      <c r="AX331" s="4">
        <f t="shared" si="146"/>
        <v>33</v>
      </c>
      <c r="AY331" s="4">
        <f t="shared" si="147"/>
        <v>25</v>
      </c>
      <c r="AZ331" s="4">
        <f t="shared" si="148"/>
        <v>25</v>
      </c>
      <c r="BA331" s="4">
        <f t="shared" si="149"/>
        <v>16</v>
      </c>
    </row>
    <row r="332" spans="1:53" x14ac:dyDescent="0.2">
      <c r="A332" s="1" t="str">
        <f>'SegEnds_NonXtal_Prot#'!A328</f>
        <v>agrf3_human</v>
      </c>
      <c r="B332" s="1" t="str">
        <f t="shared" si="125"/>
        <v>LMSPHTVPEEPALALLTQVGLGASILALLVCLGVYWLVKISYFRHAALLNMVFCLLAADTCFLGAPLCLAAAFLCHFLYLATFFWMLAQALVLAHQLLFVLPLMVLLGYLCPLGLAGVTLGLYLPQKGGALYTFVGPVLAIIGVNGLVLAMAMLKLLRPSALLGVIKALLILTPIFGLTWGLGLASTVPHYIFTILNTLQGVFILLFGCLMDRKIQEALRKRFCRAQA</v>
      </c>
      <c r="C332" s="29" t="str">
        <f>IF(ISERROR(MATCH(A332,'SegEnds_Xtal_Prot#'!B:B, 0)), "NoXtal", "Xtal")</f>
        <v>NoXtal</v>
      </c>
      <c r="D332" s="4" t="str">
        <f>VLOOKUP(A332,Classification!A:D,2,FALSE)</f>
        <v>B2</v>
      </c>
      <c r="E332" s="5" t="str">
        <f>VLOOKUP(A332,Seqs!A:B,2,FALSE)</f>
        <v>MVCSAAPLLLLATTLPLLGSPVAQASQPVSETGVRPREGLQRRQWGPLIGRDKAWNERIDRPFPACPIPLSSSFGRWPKGQTMWAQTSTLTLTEEELGQSQAGGESGSGQLLDQENGAGESALVSVYVHLDFPDKTWPPELSRTLTLPAASASSSPRPLLTGLRLTTECNVNHKGNFYCACLSGYQWNTSICLHYPPCQSLHNHQPCGCLVFSHPEPGYCQLLPPGSPVTCLPAVPGILNLNSQLQMPGDTLSLTLHLSQEATNLSWFLRHPGSPSPILLQPGTQVSVTSSHGQAALSVSNMSHHWAGEYMSCFEAQGFKWNLYEVVRVPLKATDVARLPYQLSISCATSPGFQLSCCIPSTNLAYTAAWSPGEGSKASSFNESGSQCFVLAVQRCPMADTTYACDLQSLGLAPLRVPISITIIQDGDITCPEDASVLTWNVTKAGHVAQAPCPESKRGIVRRLCGADGVWGPVHSSCTDARLLALFTRTKLLQAGQGSPAEEVPQILAQLPGQAAEASSPSDLLTLLSTMKYVAKVVAEARIQLDRRALKNLLIATDKVLDMDTRSLWTLAQARKPWAGSTLLLAVETLACSLCPQDHPFAFSLPNVLLQSQLFGPTFPADYSISFPTRPPLQAQIPRHSLAPLVRNGTEISITSLVLRKLDHLLPSNYGQGLGDSLYATPGLVLVISIMAGDRAFSQGEVIMDFGNTDGSPHCVFWDHSLFQGRGGWSKEGCQAQVASASPTAQCLCQHLTAFSVLMSPHTVPEEPALALLTQVGLGASILALLVCLGVYWLVWRVVVRNKISYFRHAALLNMVFCLLAADTCFLGAPFLSPGPRSPLCLAAAFLCHFLYLATFFWMLAQALVLAHQLLFVFHQLAKHRVLPLMVLLGYLCPLGLAGVTLGLYLPQGQYLREGECWLDGKGGALYTFVGPVLAIIGVNGLVLAMAMLKLLRPSLSEGPPAEKRQALLGVIKALLILTPIFGLTWGLGLATLLEEVSTVPHYIFTILNTLQGVFILLFGCLMDRKIQEALRKRFCRAQAPSSTISLVSCCLQILSCASKSMSEGIPWPSSEDMGTARS</v>
      </c>
      <c r="F332" s="5" t="str">
        <f t="shared" si="126"/>
        <v>LMSPHTVPEEPALALLTQVGLGASILALLVCLGVYWLV</v>
      </c>
      <c r="G332" s="4" t="str">
        <f t="shared" si="127"/>
        <v/>
      </c>
      <c r="H332" s="4" t="str">
        <f t="shared" si="128"/>
        <v>KISYFRHAALLNMVFCLLAADTCFLGA</v>
      </c>
      <c r="I332" s="4" t="str">
        <f t="shared" si="129"/>
        <v/>
      </c>
      <c r="J332" s="4" t="str">
        <f t="shared" si="130"/>
        <v>PLCLAAAFLCHFLYLATFFWMLAQALVLAHQLLF</v>
      </c>
      <c r="K332" s="4" t="str">
        <f t="shared" si="131"/>
        <v/>
      </c>
      <c r="L332" s="4" t="str">
        <f t="shared" si="132"/>
        <v>VLPLMVLLGYLCPLGLAGVTLGLYLPQ</v>
      </c>
      <c r="M332" s="4" t="str">
        <f t="shared" si="133"/>
        <v>CWL</v>
      </c>
      <c r="N332" s="4" t="str">
        <f t="shared" si="134"/>
        <v>KGGALYTFVGPVLAIIGVNGLVLAMAMLKLLRPS</v>
      </c>
      <c r="O332" s="4" t="str">
        <f t="shared" si="135"/>
        <v>ALLGVIKALLILTPIFGLTWGLGLA</v>
      </c>
      <c r="P332" s="4" t="str">
        <f t="shared" si="136"/>
        <v>STVPHYIFTILNTLQGVFILLFGCLM</v>
      </c>
      <c r="Q332" s="4" t="str">
        <f t="shared" si="137"/>
        <v>DRKIQEALRKRFCRAQA</v>
      </c>
      <c r="R332" s="5">
        <f>VLOOKUP($A332,'SegEnds_NonXtal_Prot#'!$A:$AL,3,FALSE)</f>
        <v>758</v>
      </c>
      <c r="S332" s="5" t="str">
        <f>VLOOKUP($A332,'SegEnds_NonXtal_Prot#'!$A:$AL,6,FALSE)</f>
        <v>-</v>
      </c>
      <c r="T332" s="5">
        <f>VLOOKUP($A332,'SegEnds_NonXtal_Prot#'!$A:$AL,9,FALSE)</f>
        <v>803</v>
      </c>
      <c r="U332" s="5" t="str">
        <f>VLOOKUP($A332,'SegEnds_NonXtal_Prot#'!$A:$AL,12,FALSE)</f>
        <v>-</v>
      </c>
      <c r="V332" s="5">
        <f>VLOOKUP($A332,'SegEnds_NonXtal_Prot#'!$A:$AL,15,FALSE)</f>
        <v>839</v>
      </c>
      <c r="W332" s="5" t="str">
        <f>VLOOKUP($A332,'SegEnds_NonXtal_Prot#'!$A:$AL,18,FALSE)</f>
        <v>-</v>
      </c>
      <c r="X332" s="5">
        <f>VLOOKUP($A332,'SegEnds_NonXtal_Prot#'!$A:$AL,21,FALSE)</f>
        <v>882</v>
      </c>
      <c r="Y332" s="5">
        <f>VLOOKUP($A332,'SegEnds_NonXtal_Prot#'!$A:$AL,24,FALSE)</f>
        <v>917</v>
      </c>
      <c r="Z332" s="5">
        <f>VLOOKUP($A332,'SegEnds_NonXtal_Prot#'!$A:$AL,27,FALSE)</f>
        <v>922</v>
      </c>
      <c r="AA332" s="5">
        <f>VLOOKUP($A332,'SegEnds_NonXtal_Prot#'!$A:$AL,30,FALSE)</f>
        <v>967</v>
      </c>
      <c r="AB332" s="5">
        <f>VLOOKUP($A332,'SegEnds_NonXtal_Prot#'!$A:$AL,33,FALSE)</f>
        <v>998</v>
      </c>
      <c r="AC332" s="5">
        <f>VLOOKUP($A332,'SegEnds_NonXtal_Prot#'!$A:$AL,36,FALSE)</f>
        <v>1024</v>
      </c>
      <c r="AD332" s="5">
        <f>VLOOKUP($A332,'SegEnds_NonXtal_Prot#'!$A:$AL,5,FALSE)</f>
        <v>795</v>
      </c>
      <c r="AE332" s="5" t="str">
        <f>VLOOKUP($A332,'SegEnds_NonXtal_Prot#'!$A:$AL,8,FALSE)</f>
        <v>-</v>
      </c>
      <c r="AF332" s="5">
        <f>VLOOKUP($A332,'SegEnds_NonXtal_Prot#'!$A:$AL,11,FALSE)</f>
        <v>829</v>
      </c>
      <c r="AG332" s="5" t="str">
        <f>VLOOKUP($A332,'SegEnds_NonXtal_Prot#'!$A:$AL,14,FALSE)</f>
        <v>-</v>
      </c>
      <c r="AH332" s="5">
        <f>VLOOKUP($A332,'SegEnds_NonXtal_Prot#'!$A:$AL,17,FALSE)</f>
        <v>872</v>
      </c>
      <c r="AI332" s="5" t="str">
        <f>VLOOKUP($A332,'SegEnds_NonXtal_Prot#'!$A:$AL,20,FALSE)</f>
        <v>-</v>
      </c>
      <c r="AJ332" s="5">
        <f>VLOOKUP($A332,'SegEnds_NonXtal_Prot#'!$A:$AL,23,FALSE)</f>
        <v>908</v>
      </c>
      <c r="AK332" s="5">
        <f>VLOOKUP($A332,'SegEnds_NonXtal_Prot#'!$A:$AL,26,FALSE)</f>
        <v>919</v>
      </c>
      <c r="AL332" s="5">
        <f>VLOOKUP($A332,'SegEnds_NonXtal_Prot#'!$A:$AL,29,FALSE)</f>
        <v>955</v>
      </c>
      <c r="AM332" s="5">
        <f>VLOOKUP($A332,'SegEnds_NonXtal_Prot#'!$A:$AL,32,FALSE)</f>
        <v>991</v>
      </c>
      <c r="AN332" s="5">
        <f>VLOOKUP($A332,'SegEnds_NonXtal_Prot#'!$A:$AL,35,FALSE)</f>
        <v>1023</v>
      </c>
      <c r="AO332" s="5">
        <f>VLOOKUP($A332,'SegEnds_NonXtal_Prot#'!$A:$AL,38,FALSE)</f>
        <v>1040</v>
      </c>
      <c r="AP332" s="5">
        <f t="shared" si="138"/>
        <v>37</v>
      </c>
      <c r="AQ332" s="4" t="str">
        <f t="shared" si="139"/>
        <v>-</v>
      </c>
      <c r="AR332" s="4">
        <f t="shared" si="140"/>
        <v>26</v>
      </c>
      <c r="AS332" s="4" t="str">
        <f t="shared" si="141"/>
        <v>-</v>
      </c>
      <c r="AT332" s="4">
        <f t="shared" si="142"/>
        <v>33</v>
      </c>
      <c r="AU332" s="4" t="str">
        <f t="shared" si="143"/>
        <v>-</v>
      </c>
      <c r="AV332" s="4">
        <f t="shared" si="144"/>
        <v>26</v>
      </c>
      <c r="AW332" s="4">
        <f t="shared" si="145"/>
        <v>2</v>
      </c>
      <c r="AX332" s="4">
        <f t="shared" si="146"/>
        <v>33</v>
      </c>
      <c r="AY332" s="4">
        <f t="shared" si="147"/>
        <v>24</v>
      </c>
      <c r="AZ332" s="4">
        <f t="shared" si="148"/>
        <v>25</v>
      </c>
      <c r="BA332" s="4">
        <f t="shared" si="149"/>
        <v>16</v>
      </c>
    </row>
    <row r="333" spans="1:53" x14ac:dyDescent="0.2">
      <c r="A333" s="1" t="str">
        <f>'SegEnds_NonXtal_Prot#'!A329</f>
        <v>agrf4_human</v>
      </c>
      <c r="B333" s="1" t="str">
        <f t="shared" si="125"/>
        <v>ILMSSKSMTDKVLDYITCIGLSVSILSLVLCLIIEATVEISYMRHVCIVNIAVSLLTANVWFIIGNMCVAVTFFSHFFYLSLFFWMLFKALLIIYGILVRMMVIGFAIGYGCPLIIAVTTVAITEPEKNTKALLAFAIPAFVIVAVNLIVVLVVAVNTQRPSIIMRISKNVAILTPLLGLTWGFGIASLTFHIIFALLNAFQGFFILLFGTIMDHKIRDALRMRMSSLKG</v>
      </c>
      <c r="C333" s="29" t="str">
        <f>IF(ISERROR(MATCH(A333,'SegEnds_Xtal_Prot#'!B:B, 0)), "NoXtal", "Xtal")</f>
        <v>NoXtal</v>
      </c>
      <c r="D333" s="4" t="str">
        <f>VLOOKUP(A333,Classification!A:D,2,FALSE)</f>
        <v>B2</v>
      </c>
      <c r="E333" s="5" t="str">
        <f>VLOOKUP(A333,Seqs!A:B,2,FALSE)</f>
        <v>MKMKSQATMICCLVFFLSTECSHYRSKIHLKAGDKLQSPEGKPKTGRIQEKCEGPCISSSNCSQPCAKDFHGEIGFTCNQKKWQKSAETCTSLSVEKLFKDSTGASRLSVAAPSIPLHILDFRAPETIESVAQGIRKNCPFDYACITDMVKSSETTSGNIAFIVELLKNISTDLSDNVTREKMKSYSEVANHILDTAAISNWAFIPNKNASSDLLQSVNLFARQLHIHNNSENIVNELFIQTKGFHINHNTSEKSLNFSMSMNNTTEDILGMVQIPRQELRKLWPNASQAISIAFPTLGAILREAHLQNVSLPRQVNGLVLSVVLPERLQEIILTFEKINKTRNARAQCVGWHSKKRRWDEKACQMMLDIRNEVKCRCNYTSVVMSFSILMSSKSMTDKVLDYITCIGLSVSILSLVLCLIIEATVWSRVVVTEISYMRHVCIVNIAVSLLTANVWFIIGSHFNIKAQDYNMCVAVTFFSHFFYLSLFFWMLFKALLIIYGILVIFRRMMKSRMMVIGFAIGYGCPLIIAVTTVAITEPEKGYMRPEACWLNWDNTKALLAFAIPAFVIVAVNLIVVLVVAVNTQRPSIGSSKSQDVVIIMRISKNVAILTPLLGLTWGFGIATLIEGTSLTFHIIFALLNAFQGFFILLFGTIMDHKIRDALRMRMSSLKGKSRAAENASLGPTNGSKLMNRQG</v>
      </c>
      <c r="F333" s="5" t="str">
        <f t="shared" si="126"/>
        <v>ILMSSKSMTDKVLDYITCIGLSVSILSLVLCLIIEATV</v>
      </c>
      <c r="G333" s="4" t="str">
        <f t="shared" si="127"/>
        <v/>
      </c>
      <c r="H333" s="4" t="str">
        <f t="shared" si="128"/>
        <v>EISYMRHVCIVNIAVSLLTANVWFIIG</v>
      </c>
      <c r="I333" s="4" t="str">
        <f t="shared" si="129"/>
        <v/>
      </c>
      <c r="J333" s="4" t="str">
        <f t="shared" si="130"/>
        <v>NMCVAVTFFSHFFYLSLFFWMLFKALLIIYGILV</v>
      </c>
      <c r="K333" s="4" t="str">
        <f t="shared" si="131"/>
        <v/>
      </c>
      <c r="L333" s="4" t="str">
        <f t="shared" si="132"/>
        <v>RMMVIGFAIGYGCPLIIAVTTVAITEPEK</v>
      </c>
      <c r="M333" s="4" t="str">
        <f t="shared" si="133"/>
        <v>CWL</v>
      </c>
      <c r="N333" s="4" t="str">
        <f t="shared" si="134"/>
        <v>NTKALLAFAIPAFVIVAVNLIVVLVVAVNTQRPS</v>
      </c>
      <c r="O333" s="4" t="str">
        <f t="shared" si="135"/>
        <v>IIMRISKNVAILTPLLGLTWGFGIA</v>
      </c>
      <c r="P333" s="4" t="str">
        <f t="shared" si="136"/>
        <v>SLTFHIIFALLNAFQGFFILLFGTIM</v>
      </c>
      <c r="Q333" s="4" t="str">
        <f t="shared" si="137"/>
        <v>DHKIRDALRMRMSSLKG</v>
      </c>
      <c r="R333" s="5">
        <f>VLOOKUP($A333,'SegEnds_NonXtal_Prot#'!$A:$AL,3,FALSE)</f>
        <v>389</v>
      </c>
      <c r="S333" s="5" t="str">
        <f>VLOOKUP($A333,'SegEnds_NonXtal_Prot#'!$A:$AL,6,FALSE)</f>
        <v>-</v>
      </c>
      <c r="T333" s="5">
        <f>VLOOKUP($A333,'SegEnds_NonXtal_Prot#'!$A:$AL,9,FALSE)</f>
        <v>434</v>
      </c>
      <c r="U333" s="5" t="str">
        <f>VLOOKUP($A333,'SegEnds_NonXtal_Prot#'!$A:$AL,12,FALSE)</f>
        <v>-</v>
      </c>
      <c r="V333" s="5">
        <f>VLOOKUP($A333,'SegEnds_NonXtal_Prot#'!$A:$AL,15,FALSE)</f>
        <v>471</v>
      </c>
      <c r="W333" s="5" t="str">
        <f>VLOOKUP($A333,'SegEnds_NonXtal_Prot#'!$A:$AL,18,FALSE)</f>
        <v>-</v>
      </c>
      <c r="X333" s="5">
        <f>VLOOKUP($A333,'SegEnds_NonXtal_Prot#'!$A:$AL,21,FALSE)</f>
        <v>513</v>
      </c>
      <c r="Y333" s="5">
        <f>VLOOKUP($A333,'SegEnds_NonXtal_Prot#'!$A:$AL,24,FALSE)</f>
        <v>549</v>
      </c>
      <c r="Z333" s="5">
        <f>VLOOKUP($A333,'SegEnds_NonXtal_Prot#'!$A:$AL,27,FALSE)</f>
        <v>555</v>
      </c>
      <c r="AA333" s="5">
        <f>VLOOKUP($A333,'SegEnds_NonXtal_Prot#'!$A:$AL,30,FALSE)</f>
        <v>599</v>
      </c>
      <c r="AB333" s="5">
        <f>VLOOKUP($A333,'SegEnds_NonXtal_Prot#'!$A:$AL,33,FALSE)</f>
        <v>630</v>
      </c>
      <c r="AC333" s="5">
        <f>VLOOKUP($A333,'SegEnds_NonXtal_Prot#'!$A:$AL,36,FALSE)</f>
        <v>656</v>
      </c>
      <c r="AD333" s="5">
        <f>VLOOKUP($A333,'SegEnds_NonXtal_Prot#'!$A:$AL,5,FALSE)</f>
        <v>426</v>
      </c>
      <c r="AE333" s="5" t="str">
        <f>VLOOKUP($A333,'SegEnds_NonXtal_Prot#'!$A:$AL,8,FALSE)</f>
        <v>-</v>
      </c>
      <c r="AF333" s="5">
        <f>VLOOKUP($A333,'SegEnds_NonXtal_Prot#'!$A:$AL,11,FALSE)</f>
        <v>460</v>
      </c>
      <c r="AG333" s="5" t="str">
        <f>VLOOKUP($A333,'SegEnds_NonXtal_Prot#'!$A:$AL,14,FALSE)</f>
        <v>-</v>
      </c>
      <c r="AH333" s="5">
        <f>VLOOKUP($A333,'SegEnds_NonXtal_Prot#'!$A:$AL,17,FALSE)</f>
        <v>504</v>
      </c>
      <c r="AI333" s="5" t="str">
        <f>VLOOKUP($A333,'SegEnds_NonXtal_Prot#'!$A:$AL,20,FALSE)</f>
        <v>-</v>
      </c>
      <c r="AJ333" s="5">
        <f>VLOOKUP($A333,'SegEnds_NonXtal_Prot#'!$A:$AL,23,FALSE)</f>
        <v>541</v>
      </c>
      <c r="AK333" s="5">
        <f>VLOOKUP($A333,'SegEnds_NonXtal_Prot#'!$A:$AL,26,FALSE)</f>
        <v>551</v>
      </c>
      <c r="AL333" s="5">
        <f>VLOOKUP($A333,'SegEnds_NonXtal_Prot#'!$A:$AL,29,FALSE)</f>
        <v>588</v>
      </c>
      <c r="AM333" s="5">
        <f>VLOOKUP($A333,'SegEnds_NonXtal_Prot#'!$A:$AL,32,FALSE)</f>
        <v>623</v>
      </c>
      <c r="AN333" s="5">
        <f>VLOOKUP($A333,'SegEnds_NonXtal_Prot#'!$A:$AL,35,FALSE)</f>
        <v>655</v>
      </c>
      <c r="AO333" s="5">
        <f>VLOOKUP($A333,'SegEnds_NonXtal_Prot#'!$A:$AL,38,FALSE)</f>
        <v>672</v>
      </c>
      <c r="AP333" s="5">
        <f t="shared" si="138"/>
        <v>37</v>
      </c>
      <c r="AQ333" s="4" t="str">
        <f t="shared" si="139"/>
        <v>-</v>
      </c>
      <c r="AR333" s="4">
        <f t="shared" si="140"/>
        <v>26</v>
      </c>
      <c r="AS333" s="4" t="str">
        <f t="shared" si="141"/>
        <v>-</v>
      </c>
      <c r="AT333" s="4">
        <f t="shared" si="142"/>
        <v>33</v>
      </c>
      <c r="AU333" s="4" t="str">
        <f t="shared" si="143"/>
        <v>-</v>
      </c>
      <c r="AV333" s="4">
        <f t="shared" si="144"/>
        <v>28</v>
      </c>
      <c r="AW333" s="4">
        <f t="shared" si="145"/>
        <v>2</v>
      </c>
      <c r="AX333" s="4">
        <f t="shared" si="146"/>
        <v>33</v>
      </c>
      <c r="AY333" s="4">
        <f t="shared" si="147"/>
        <v>24</v>
      </c>
      <c r="AZ333" s="4">
        <f t="shared" si="148"/>
        <v>25</v>
      </c>
      <c r="BA333" s="4">
        <f t="shared" si="149"/>
        <v>16</v>
      </c>
    </row>
    <row r="334" spans="1:53" x14ac:dyDescent="0.2">
      <c r="A334" s="1" t="str">
        <f>'SegEnds_NonXtal_Prot#'!A330</f>
        <v>agrf5_human</v>
      </c>
      <c r="B334" s="1" t="str">
        <f t="shared" si="125"/>
        <v>DSPDPSSLLGILLDIISYVGVGFSILSLAACLVVEAVVKNRTSYMRHTCIVNIAASLLVANTWFIVVTACVAATFFIHFFYLSVFFWMLTLGLMLFYRLVFTQKAIAFCLGYGCPLAISVITLGATQPREDTKALLAFAIPALIIVVVNITITIVVITKILRPSSLFQISKSIGVLTPLLGLTWGFGLTNLVFHIIFAILNVFQGLFILLFGCLWDLKVQEALLNKFSLSRW</v>
      </c>
      <c r="C334" s="29" t="str">
        <f>IF(ISERROR(MATCH(A334,'SegEnds_Xtal_Prot#'!B:B, 0)), "NoXtal", "Xtal")</f>
        <v>NoXtal</v>
      </c>
      <c r="D334" s="4" t="str">
        <f>VLOOKUP(A334,Classification!A:D,2,FALSE)</f>
        <v>B2</v>
      </c>
      <c r="E334" s="5" t="str">
        <f>VLOOKUP(A334,Seqs!A:B,2,FALSE)</f>
        <v>MKSPRRTTLCLMFIVIYSSKAALNWNYESTIHPLSLHEHEPAGEEALRQKRAVATKSPTAEEYTVNIEISFENASFLDPIKAYLNSLSFPIHGNNTDQITDILSINVTTVCRPAGNEIWCSCETGYGWPRERCLHNLICQERDVFLPGHHCSCLKELPPNGPFCLLQEDVTLNMRVRLNVGFQEDLMNTSSALYRSYKTDLETAFRKGYGILPGFKGVTVTGFKSGSVVVTYEVKTTPPSLELIHKANEQVVQSLNQTYKMDYNSFQAVTINESNFFVTPEIIFEGDTVSLVCEKEVLSSNVSWRYEEQQLEIQNSSRFSIYTALFNNMTSVSKLTIHNITPGDAGEYVCKLILDIFEYECKKKIDVMPIQILANEEMKVMCDNNPVSLNCCSQGNVNWSKVEWKQEGKINIPGTPETDIDSSCSRYTLKADGTQCPSGSSGTTVIYTCEFISAYGARGSANIKVTFISVANLTITPDPISVSEGQNFSIKCISDVSNYDEVYWNTSAGIKIYQRFYTTRRYLDGAESVLTVKTSTREWNGTYHCIFRYKNSYSIATKDVIVHPLPLKLNIMVDPLEATVSCSGSHHIKCCIEEDGDYKVTFHTGSSSLPAAKEVNKKQVCYKHNFNASSVSWCSKTVDVCCHFTNAANNSVWSPSMKLNLVPGENITCQDPVIGVGEPGKVIQKLCRFSNVPSSPESPIGGTITYKCVGSQWEEKRNDCISAPINSLLQMAKALIKSPSQDEMLPTYLKDLSISIDKAEHEISSSPGSLGAIINILDLLSTVPTQVNSEMMTHVLSTVNVILGKPVLNTWKVLQQQWTNQSSQLLHSVERFSQALQSGDSPPLSFSQTNVQMSSMVIKSSHPETYQQRFVFPYFDLWGNVVIDKSYLENLQSDSSIVTMAFPTLQAILAQDIQENNFAESLVMTTTVSHNTTMPFRISMTFKNNSPSGGETKCVFWNFRLANNTGGWDSSGCYVEEGDGDNVTCICDHLTSFSILMSPDSPDPSSLLGILLDIISYVGVGFSILSLAACLVVEAVVWKSVTKNRTSYMRHTCIVNIAASLLVANTWFIVVAAIQDNRYILCKTACVAATFFIHFFYLSVFFWMLTLGLMLFYRLVFILHETSRSTQKAIAFCLGYGCPLAISVITLGATQPREVYTRKNVCWLNWEDTKALLAFAIPALIIVVVNITITIVVITKILRPSIGDKPCKQEKSSLFQISKSIGVLTPLLGLTWGFGLTTVFPGTNLVFHIIFAILNVFQGLFILLFGCLWDLKVQEALLNKFSLSRWSSQHSKSTSLGSSTPVFSMSSPISRRFNNLFGKTGTYNVSTPEATSSSLENSSSASSLLN</v>
      </c>
      <c r="F334" s="5" t="str">
        <f t="shared" si="126"/>
        <v>DSPDPSSLLGILLDIISYVGVGFSILSLAACLVVEAVV</v>
      </c>
      <c r="G334" s="4" t="str">
        <f t="shared" si="127"/>
        <v>KSVT</v>
      </c>
      <c r="H334" s="4" t="str">
        <f t="shared" si="128"/>
        <v>KNRTSYMRHTCIVNIAASLLVANTWFIVV</v>
      </c>
      <c r="I334" s="4" t="str">
        <f t="shared" si="129"/>
        <v/>
      </c>
      <c r="J334" s="4" t="str">
        <f t="shared" si="130"/>
        <v>TACVAATFFIHFFYLSVFFWMLTLGLMLFYRLVF</v>
      </c>
      <c r="K334" s="4" t="str">
        <f t="shared" si="131"/>
        <v/>
      </c>
      <c r="L334" s="4" t="str">
        <f t="shared" si="132"/>
        <v>TQKAIAFCLGYGCPLAISVITLGATQPRE</v>
      </c>
      <c r="M334" s="4" t="str">
        <f t="shared" si="133"/>
        <v>CWL</v>
      </c>
      <c r="N334" s="4" t="str">
        <f t="shared" si="134"/>
        <v>DTKALLAFAIPALIIVVVNITITIVVITKILRPS</v>
      </c>
      <c r="O334" s="4" t="str">
        <f t="shared" si="135"/>
        <v>SLFQISKSIGVLTPLLGLTWGFGLT</v>
      </c>
      <c r="P334" s="4" t="str">
        <f t="shared" si="136"/>
        <v>NLVFHIIFAILNVFQGLFILLFGCLW</v>
      </c>
      <c r="Q334" s="4" t="str">
        <f t="shared" si="137"/>
        <v>DLKVQEALLNKFSLSRW</v>
      </c>
      <c r="R334" s="5">
        <f>VLOOKUP($A334,'SegEnds_NonXtal_Prot#'!$A:$AL,3,FALSE)</f>
        <v>1000</v>
      </c>
      <c r="S334" s="5">
        <f>VLOOKUP($A334,'SegEnds_NonXtal_Prot#'!$A:$AL,6,FALSE)</f>
        <v>1039</v>
      </c>
      <c r="T334" s="5">
        <f>VLOOKUP($A334,'SegEnds_NonXtal_Prot#'!$A:$AL,9,FALSE)</f>
        <v>1043</v>
      </c>
      <c r="U334" s="5" t="str">
        <f>VLOOKUP($A334,'SegEnds_NonXtal_Prot#'!$A:$AL,12,FALSE)</f>
        <v>-</v>
      </c>
      <c r="V334" s="5">
        <f>VLOOKUP($A334,'SegEnds_NonXtal_Prot#'!$A:$AL,15,FALSE)</f>
        <v>1084</v>
      </c>
      <c r="W334" s="5" t="str">
        <f>VLOOKUP($A334,'SegEnds_NonXtal_Prot#'!$A:$AL,18,FALSE)</f>
        <v>-</v>
      </c>
      <c r="X334" s="5">
        <f>VLOOKUP($A334,'SegEnds_NonXtal_Prot#'!$A:$AL,21,FALSE)</f>
        <v>1126</v>
      </c>
      <c r="Y334" s="5">
        <f>VLOOKUP($A334,'SegEnds_NonXtal_Prot#'!$A:$AL,24,FALSE)</f>
        <v>1162</v>
      </c>
      <c r="Z334" s="5">
        <f>VLOOKUP($A334,'SegEnds_NonXtal_Prot#'!$A:$AL,27,FALSE)</f>
        <v>1168</v>
      </c>
      <c r="AA334" s="5">
        <f>VLOOKUP($A334,'SegEnds_NonXtal_Prot#'!$A:$AL,30,FALSE)</f>
        <v>1213</v>
      </c>
      <c r="AB334" s="5">
        <f>VLOOKUP($A334,'SegEnds_NonXtal_Prot#'!$A:$AL,33,FALSE)</f>
        <v>1244</v>
      </c>
      <c r="AC334" s="5">
        <f>VLOOKUP($A334,'SegEnds_NonXtal_Prot#'!$A:$AL,36,FALSE)</f>
        <v>1270</v>
      </c>
      <c r="AD334" s="5">
        <f>VLOOKUP($A334,'SegEnds_NonXtal_Prot#'!$A:$AL,5,FALSE)</f>
        <v>1037</v>
      </c>
      <c r="AE334" s="5">
        <f>VLOOKUP($A334,'SegEnds_NonXtal_Prot#'!$A:$AL,8,FALSE)</f>
        <v>1042</v>
      </c>
      <c r="AF334" s="5">
        <f>VLOOKUP($A334,'SegEnds_NonXtal_Prot#'!$A:$AL,11,FALSE)</f>
        <v>1071</v>
      </c>
      <c r="AG334" s="5" t="str">
        <f>VLOOKUP($A334,'SegEnds_NonXtal_Prot#'!$A:$AL,14,FALSE)</f>
        <v>-</v>
      </c>
      <c r="AH334" s="5">
        <f>VLOOKUP($A334,'SegEnds_NonXtal_Prot#'!$A:$AL,17,FALSE)</f>
        <v>1117</v>
      </c>
      <c r="AI334" s="5" t="str">
        <f>VLOOKUP($A334,'SegEnds_NonXtal_Prot#'!$A:$AL,20,FALSE)</f>
        <v>-</v>
      </c>
      <c r="AJ334" s="5">
        <f>VLOOKUP($A334,'SegEnds_NonXtal_Prot#'!$A:$AL,23,FALSE)</f>
        <v>1154</v>
      </c>
      <c r="AK334" s="5">
        <f>VLOOKUP($A334,'SegEnds_NonXtal_Prot#'!$A:$AL,26,FALSE)</f>
        <v>1164</v>
      </c>
      <c r="AL334" s="5">
        <f>VLOOKUP($A334,'SegEnds_NonXtal_Prot#'!$A:$AL,29,FALSE)</f>
        <v>1201</v>
      </c>
      <c r="AM334" s="5">
        <f>VLOOKUP($A334,'SegEnds_NonXtal_Prot#'!$A:$AL,32,FALSE)</f>
        <v>1237</v>
      </c>
      <c r="AN334" s="5">
        <f>VLOOKUP($A334,'SegEnds_NonXtal_Prot#'!$A:$AL,35,FALSE)</f>
        <v>1269</v>
      </c>
      <c r="AO334" s="5">
        <f>VLOOKUP($A334,'SegEnds_NonXtal_Prot#'!$A:$AL,38,FALSE)</f>
        <v>1286</v>
      </c>
      <c r="AP334" s="5">
        <f t="shared" si="138"/>
        <v>37</v>
      </c>
      <c r="AQ334" s="4">
        <f t="shared" si="139"/>
        <v>3</v>
      </c>
      <c r="AR334" s="4">
        <f t="shared" si="140"/>
        <v>28</v>
      </c>
      <c r="AS334" s="4" t="str">
        <f t="shared" si="141"/>
        <v>-</v>
      </c>
      <c r="AT334" s="4">
        <f t="shared" si="142"/>
        <v>33</v>
      </c>
      <c r="AU334" s="4" t="str">
        <f t="shared" si="143"/>
        <v>-</v>
      </c>
      <c r="AV334" s="4">
        <f t="shared" si="144"/>
        <v>28</v>
      </c>
      <c r="AW334" s="4">
        <f t="shared" si="145"/>
        <v>2</v>
      </c>
      <c r="AX334" s="4">
        <f t="shared" si="146"/>
        <v>33</v>
      </c>
      <c r="AY334" s="4">
        <f t="shared" si="147"/>
        <v>24</v>
      </c>
      <c r="AZ334" s="4">
        <f t="shared" si="148"/>
        <v>25</v>
      </c>
      <c r="BA334" s="4">
        <f t="shared" si="149"/>
        <v>16</v>
      </c>
    </row>
    <row r="335" spans="1:53" x14ac:dyDescent="0.2">
      <c r="A335" s="1" t="str">
        <f>'SegEnds_NonXtal_Prot#'!A331</f>
        <v>agrg1_human</v>
      </c>
      <c r="B335" s="1" t="str">
        <f t="shared" si="125"/>
        <v>SSVEVDAVHKHYLSLLSYVGCVVSALACLVTIAAYLCSCRRKPRDYTIKVHMNLLLAVFLLDTSFLLSEPVAGCRASAIFLHFSLLTCLSWMGLEGYNLYRLVVEGYLLKLSAMGWGFPIFLVTLVALVDVDNYSLVSYITNLGLFSLVFLFNMAMLATMVVQILRLRQKWSHVLTLLGLSLVLGLPWALIFFGTFQLVVLYLFSIITSFQGFLIFIWYWSMRLQARGGPSPLKSNSDS</v>
      </c>
      <c r="C335" s="29" t="str">
        <f>IF(ISERROR(MATCH(A335,'SegEnds_Xtal_Prot#'!B:B, 0)), "NoXtal", "Xtal")</f>
        <v>NoXtal</v>
      </c>
      <c r="D335" s="4" t="str">
        <f>VLOOKUP(A335,Classification!A:D,2,FALSE)</f>
        <v>B2</v>
      </c>
      <c r="E335" s="5" t="str">
        <f>VLOOKUP(A335,Seqs!A:B,2,FALSE)</f>
        <v>MTPQSLLQTTLFLLSLLFLVQGAHGRGHREDFRFCSQRNQTHRSSLHYKPTPDLRISIENSEEALTVHAPFPAAHPASRSFPDPRGLYHFCLYWNRHAGRLHLLYGKRDFLLSDKASSLLCFQHQEESLAQGPPLLATSVTSWWSPQNISLPSAASFTFSFHSPPHTAAHNASVDMCELKRDLQLLSQFLKHPQKASRRPSAAPASQQLQSLESKLTSVRFMGDMVSFEEDRINATVWKLQPTAGLQDLHIHSRQEEEQSEIMEYSVLLPRTLFQRTKGRSGEAEKRLLLVDFSSQALFQDKNSSQVLGEKVLGIVVQNTKVANLTEPVVLTFQHQLQPKNVTLQCVFWVEDPTLSSPGHWSSAGCETVRRETQTSCFCNHLTYFAVLMVSSVEVDAVHKHYLSLLSYVGCVVSALACLVTIAAYLCSRVPLPCRRKPRDYTIKVHMNLLLAVFLLDTSFLLSEPVALTGSEAGCRASAIFLHFSLLTCLSWMGLEGYNLYRLVVEVFGTYVPGYLLKLSAMGWGFPIFLVTLVALVDVDNYGPIILAVHRTPEGVIYPSMCWIRDSLVSYITNLGLFSLVFLFNMAMLATMVVQILRLRPHTQKWSHVLTLLGLSLVLGLPWALIFFSFASGTFQLVVLYLFSIITSFQGFLIFIWYWSMRLQARGGPSPLKSNSDSARLPISSGSTSSSRI</v>
      </c>
      <c r="F335" s="5" t="str">
        <f t="shared" si="126"/>
        <v>SSVEVDAVHKHYLSLLSYVGCVVSALACLVTIAAYLCS</v>
      </c>
      <c r="G335" s="4" t="str">
        <f t="shared" si="127"/>
        <v>VPLP</v>
      </c>
      <c r="H335" s="4" t="str">
        <f t="shared" si="128"/>
        <v>CRRKPRDYTIKVHMNLLLAVFLLDTSFLLSEPV</v>
      </c>
      <c r="I335" s="4" t="str">
        <f t="shared" si="129"/>
        <v/>
      </c>
      <c r="J335" s="4" t="str">
        <f t="shared" si="130"/>
        <v>AGCRASAIFLHFSLLTCLSWMGLEGYNLYRLVVE</v>
      </c>
      <c r="K335" s="4" t="str">
        <f t="shared" si="131"/>
        <v/>
      </c>
      <c r="L335" s="4" t="str">
        <f t="shared" si="132"/>
        <v>GYLLKLSAMGWGFPIFLVTLVALVDVDNY</v>
      </c>
      <c r="M335" s="4" t="str">
        <f t="shared" si="133"/>
        <v>CWI</v>
      </c>
      <c r="N335" s="4" t="str">
        <f t="shared" si="134"/>
        <v>SLVSYITNLGLFSLVFLFNMAMLATMVVQILRLR</v>
      </c>
      <c r="O335" s="4" t="str">
        <f t="shared" si="135"/>
        <v>QKWSHVLTLLGLSLVLGLPWALIFF</v>
      </c>
      <c r="P335" s="4" t="str">
        <f t="shared" si="136"/>
        <v>GTFQLVVLYLFSIITSFQGFLIFIWYWSM</v>
      </c>
      <c r="Q335" s="4" t="str">
        <f t="shared" si="137"/>
        <v>RLQARGGPSPLKSNSDS</v>
      </c>
      <c r="R335" s="5">
        <f>VLOOKUP($A335,'SegEnds_NonXtal_Prot#'!$A:$AL,3,FALSE)</f>
        <v>391</v>
      </c>
      <c r="S335" s="5">
        <f>VLOOKUP($A335,'SegEnds_NonXtal_Prot#'!$A:$AL,6,FALSE)</f>
        <v>430</v>
      </c>
      <c r="T335" s="5">
        <f>VLOOKUP($A335,'SegEnds_NonXtal_Prot#'!$A:$AL,9,FALSE)</f>
        <v>434</v>
      </c>
      <c r="U335" s="5" t="str">
        <f>VLOOKUP($A335,'SegEnds_NonXtal_Prot#'!$A:$AL,12,FALSE)</f>
        <v>-</v>
      </c>
      <c r="V335" s="5">
        <f>VLOOKUP($A335,'SegEnds_NonXtal_Prot#'!$A:$AL,15,FALSE)</f>
        <v>473</v>
      </c>
      <c r="W335" s="5" t="str">
        <f>VLOOKUP($A335,'SegEnds_NonXtal_Prot#'!$A:$AL,18,FALSE)</f>
        <v>-</v>
      </c>
      <c r="X335" s="5">
        <f>VLOOKUP($A335,'SegEnds_NonXtal_Prot#'!$A:$AL,21,FALSE)</f>
        <v>514</v>
      </c>
      <c r="Y335" s="5">
        <f>VLOOKUP($A335,'SegEnds_NonXtal_Prot#'!$A:$AL,24,FALSE)</f>
        <v>562</v>
      </c>
      <c r="Z335" s="5">
        <f>VLOOKUP($A335,'SegEnds_NonXtal_Prot#'!$A:$AL,27,FALSE)</f>
        <v>567</v>
      </c>
      <c r="AA335" s="5">
        <f>VLOOKUP($A335,'SegEnds_NonXtal_Prot#'!$A:$AL,30,FALSE)</f>
        <v>604</v>
      </c>
      <c r="AB335" s="5">
        <f>VLOOKUP($A335,'SegEnds_NonXtal_Prot#'!$A:$AL,33,FALSE)</f>
        <v>633</v>
      </c>
      <c r="AC335" s="5">
        <f>VLOOKUP($A335,'SegEnds_NonXtal_Prot#'!$A:$AL,36,FALSE)</f>
        <v>662</v>
      </c>
      <c r="AD335" s="5">
        <f>VLOOKUP($A335,'SegEnds_NonXtal_Prot#'!$A:$AL,5,FALSE)</f>
        <v>428</v>
      </c>
      <c r="AE335" s="5">
        <f>VLOOKUP($A335,'SegEnds_NonXtal_Prot#'!$A:$AL,8,FALSE)</f>
        <v>433</v>
      </c>
      <c r="AF335" s="5">
        <f>VLOOKUP($A335,'SegEnds_NonXtal_Prot#'!$A:$AL,11,FALSE)</f>
        <v>466</v>
      </c>
      <c r="AG335" s="5" t="str">
        <f>VLOOKUP($A335,'SegEnds_NonXtal_Prot#'!$A:$AL,14,FALSE)</f>
        <v>-</v>
      </c>
      <c r="AH335" s="5">
        <f>VLOOKUP($A335,'SegEnds_NonXtal_Prot#'!$A:$AL,17,FALSE)</f>
        <v>506</v>
      </c>
      <c r="AI335" s="5" t="str">
        <f>VLOOKUP($A335,'SegEnds_NonXtal_Prot#'!$A:$AL,20,FALSE)</f>
        <v>-</v>
      </c>
      <c r="AJ335" s="5">
        <f>VLOOKUP($A335,'SegEnds_NonXtal_Prot#'!$A:$AL,23,FALSE)</f>
        <v>542</v>
      </c>
      <c r="AK335" s="5">
        <f>VLOOKUP($A335,'SegEnds_NonXtal_Prot#'!$A:$AL,26,FALSE)</f>
        <v>564</v>
      </c>
      <c r="AL335" s="5">
        <f>VLOOKUP($A335,'SegEnds_NonXtal_Prot#'!$A:$AL,29,FALSE)</f>
        <v>600</v>
      </c>
      <c r="AM335" s="5">
        <f>VLOOKUP($A335,'SegEnds_NonXtal_Prot#'!$A:$AL,32,FALSE)</f>
        <v>628</v>
      </c>
      <c r="AN335" s="5">
        <f>VLOOKUP($A335,'SegEnds_NonXtal_Prot#'!$A:$AL,35,FALSE)</f>
        <v>661</v>
      </c>
      <c r="AO335" s="5">
        <f>VLOOKUP($A335,'SegEnds_NonXtal_Prot#'!$A:$AL,38,FALSE)</f>
        <v>678</v>
      </c>
      <c r="AP335" s="5">
        <f t="shared" si="138"/>
        <v>37</v>
      </c>
      <c r="AQ335" s="4">
        <f t="shared" si="139"/>
        <v>3</v>
      </c>
      <c r="AR335" s="4">
        <f t="shared" si="140"/>
        <v>32</v>
      </c>
      <c r="AS335" s="4" t="str">
        <f t="shared" si="141"/>
        <v>-</v>
      </c>
      <c r="AT335" s="4">
        <f t="shared" si="142"/>
        <v>33</v>
      </c>
      <c r="AU335" s="4" t="str">
        <f t="shared" si="143"/>
        <v>-</v>
      </c>
      <c r="AV335" s="4">
        <f t="shared" si="144"/>
        <v>28</v>
      </c>
      <c r="AW335" s="4">
        <f t="shared" si="145"/>
        <v>2</v>
      </c>
      <c r="AX335" s="4">
        <f t="shared" si="146"/>
        <v>33</v>
      </c>
      <c r="AY335" s="4">
        <f t="shared" si="147"/>
        <v>24</v>
      </c>
      <c r="AZ335" s="4">
        <f t="shared" si="148"/>
        <v>28</v>
      </c>
      <c r="BA335" s="4">
        <f t="shared" si="149"/>
        <v>16</v>
      </c>
    </row>
    <row r="336" spans="1:53" x14ac:dyDescent="0.2">
      <c r="A336" s="1" t="str">
        <f>'SegEnds_NonXtal_Prot#'!A332</f>
        <v>agrg2_human</v>
      </c>
      <c r="B336" s="1" t="str">
        <f t="shared" si="125"/>
        <v>SRTSVLPAQMMALTFITYIGCGLSSIFLSVTLVTYIAFDYPSKILIQLCAALLLLNLVFLLDSWIGLCISVAVFLHYFLLVSFTWMGLEAFHMYLALVKYIRKYILKFCIVGWGVPAVVVTIILTISPDNYNAVFYITVVGYFCVIFLLNVSMFIVVLVQLCRIKTSIQDLRSIAGLTFLLGITWGFAFFANVTFMYLFAIFNTLQGFFIFIFYCVAKENVRKQWRRYLCCGKL</v>
      </c>
      <c r="C336" s="29" t="str">
        <f>IF(ISERROR(MATCH(A336,'SegEnds_Xtal_Prot#'!B:B, 0)), "NoXtal", "Xtal")</f>
        <v>NoXtal</v>
      </c>
      <c r="D336" s="4" t="str">
        <f>VLOOKUP(A336,Classification!A:D,2,FALSE)</f>
        <v>B2</v>
      </c>
      <c r="E336" s="5" t="str">
        <f>VLOOKUP(A336,Seqs!A:B,2,FALSE)</f>
        <v>MVFSVRQCGHVGRTEEVLLTFKIFLVIICLHVVLVTSLEEDTDNSSLSPPPAKLSVVSFAPSSNGTPEVETTSLNDVTLSLLPSNETEKTKITIVKTFNASGVKPQRNICNLSSICNDSAFFRGEIMFQYDKESTVPQNQHITNGTLTGVLSLSELKRSELNKTLQTLSETYFIMCATAEAQSTLNCTFTIKLNNTMNACAVIAALERVKIRPMEHCCCSVRIPCPSSPEELEKLQCDLQDPIVCLADHPRGPPFSSSQSIPVVPRATVLSQVPKATSFAEPPDYSPVTHNVPSPIGEIQPLSPQPSAPIASSPAIDMPPQSETISSPMPQTHVSGTPPPVKASFSSPTVSAPANVNTTSAPPVQTDIVNTSSISDLENQVLQMEKALSLGSLEPNLAGEMINQVSRLLHSPPDMLAPLAQRLLKVVDDIGLQLNFSNTTISLTSPSLALAVIRVNASSFNTTTFVAQDPANLQVSLETQAPENSIGTITLPSSLMNNLPAHDMELASRVQFNFFETPALFQDPSLENLSLISYVISSSVANLTVRNLTRNVTVTLKHINPSQDELTVRCVFWDLGRNGGRGGWSDNGCSVKDRRLNETICTCSHLTSFGVLLDLSRTSVLPAQMMALTFITYIGCGLSSIFLSVTLVTYIAFEKIRRDYPSKILIQLCAALLLLNLVFLLDSWIALYKMQGLCISVAVFLHYFLLVSFTWMGLEAFHMYLALVKVFNTYIRKYILKFCIVGWGVPAVVVTIILTISPDNYGLGSYGKFPNGSPDDFCWINNNAVFYITVVGYFCVIFLLNVSMFIVVLVQLCRIKKKKQLGAQRKTSIQDLRSIAGLTFLLGITWGFAFFAWGPVNVTFMYLFAIFNTLQGFFIFIFYCVAKENVRKQWRRYLCCGKLRLAENSDWSKTATNGLKKQTVNQGVSSSSNSLQSSSNSTNSTTLLVNNDCSVHASGNGNASTERNGVSFSVQNGDVCLHDFTGKQHMFNEKEDSCNGKGRMALRRTSKRGSLHFIEQM</v>
      </c>
      <c r="F336" s="5" t="str">
        <f t="shared" si="126"/>
        <v>SRTSVLPAQMMALTFITYIGCGLSSIFLSVTLVTYIAF</v>
      </c>
      <c r="G336" s="4" t="str">
        <f t="shared" si="127"/>
        <v/>
      </c>
      <c r="H336" s="4" t="str">
        <f t="shared" si="128"/>
        <v>DYPSKILIQLCAALLLLNLVFLLDSWI</v>
      </c>
      <c r="I336" s="4" t="str">
        <f t="shared" si="129"/>
        <v/>
      </c>
      <c r="J336" s="4" t="str">
        <f t="shared" si="130"/>
        <v>GLCISVAVFLHYFLLVSFTWMGLEAFHMYLALVK</v>
      </c>
      <c r="K336" s="4" t="str">
        <f t="shared" si="131"/>
        <v/>
      </c>
      <c r="L336" s="4" t="str">
        <f t="shared" si="132"/>
        <v>YIRKYILKFCIVGWGVPAVVVTIILTISPDNY</v>
      </c>
      <c r="M336" s="4" t="str">
        <f t="shared" si="133"/>
        <v>CWI</v>
      </c>
      <c r="N336" s="4" t="str">
        <f t="shared" si="134"/>
        <v>NAVFYITVVGYFCVIFLLNVSMFIVVLVQLCRIK</v>
      </c>
      <c r="O336" s="4" t="str">
        <f t="shared" si="135"/>
        <v>TSIQDLRSIAGLTFLLGITWGFAFFA</v>
      </c>
      <c r="P336" s="4" t="str">
        <f t="shared" si="136"/>
        <v>NVTFMYLFAIFNTLQGFFIFIFYCVA</v>
      </c>
      <c r="Q336" s="4" t="str">
        <f t="shared" si="137"/>
        <v>KENVRKQWRRYLCCGKL</v>
      </c>
      <c r="R336" s="5">
        <f>VLOOKUP($A336,'SegEnds_NonXtal_Prot#'!$A:$AL,3,FALSE)</f>
        <v>616</v>
      </c>
      <c r="S336" s="5" t="str">
        <f>VLOOKUP($A336,'SegEnds_NonXtal_Prot#'!$A:$AL,6,FALSE)</f>
        <v>-</v>
      </c>
      <c r="T336" s="5">
        <f>VLOOKUP($A336,'SegEnds_NonXtal_Prot#'!$A:$AL,9,FALSE)</f>
        <v>659</v>
      </c>
      <c r="U336" s="5" t="str">
        <f>VLOOKUP($A336,'SegEnds_NonXtal_Prot#'!$A:$AL,12,FALSE)</f>
        <v>-</v>
      </c>
      <c r="V336" s="5">
        <f>VLOOKUP($A336,'SegEnds_NonXtal_Prot#'!$A:$AL,15,FALSE)</f>
        <v>692</v>
      </c>
      <c r="W336" s="5" t="str">
        <f>VLOOKUP($A336,'SegEnds_NonXtal_Prot#'!$A:$AL,18,FALSE)</f>
        <v>-</v>
      </c>
      <c r="X336" s="5">
        <f>VLOOKUP($A336,'SegEnds_NonXtal_Prot#'!$A:$AL,21,FALSE)</f>
        <v>730</v>
      </c>
      <c r="Y336" s="5">
        <f>VLOOKUP($A336,'SegEnds_NonXtal_Prot#'!$A:$AL,24,FALSE)</f>
        <v>778</v>
      </c>
      <c r="Z336" s="5">
        <f>VLOOKUP($A336,'SegEnds_NonXtal_Prot#'!$A:$AL,27,FALSE)</f>
        <v>783</v>
      </c>
      <c r="AA336" s="5">
        <f>VLOOKUP($A336,'SegEnds_NonXtal_Prot#'!$A:$AL,30,FALSE)</f>
        <v>827</v>
      </c>
      <c r="AB336" s="5">
        <f>VLOOKUP($A336,'SegEnds_NonXtal_Prot#'!$A:$AL,33,FALSE)</f>
        <v>857</v>
      </c>
      <c r="AC336" s="5">
        <f>VLOOKUP($A336,'SegEnds_NonXtal_Prot#'!$A:$AL,36,FALSE)</f>
        <v>883</v>
      </c>
      <c r="AD336" s="5">
        <f>VLOOKUP($A336,'SegEnds_NonXtal_Prot#'!$A:$AL,5,FALSE)</f>
        <v>653</v>
      </c>
      <c r="AE336" s="5" t="str">
        <f>VLOOKUP($A336,'SegEnds_NonXtal_Prot#'!$A:$AL,8,FALSE)</f>
        <v>-</v>
      </c>
      <c r="AF336" s="5">
        <f>VLOOKUP($A336,'SegEnds_NonXtal_Prot#'!$A:$AL,11,FALSE)</f>
        <v>685</v>
      </c>
      <c r="AG336" s="5" t="str">
        <f>VLOOKUP($A336,'SegEnds_NonXtal_Prot#'!$A:$AL,14,FALSE)</f>
        <v>-</v>
      </c>
      <c r="AH336" s="5">
        <f>VLOOKUP($A336,'SegEnds_NonXtal_Prot#'!$A:$AL,17,FALSE)</f>
        <v>725</v>
      </c>
      <c r="AI336" s="5" t="str">
        <f>VLOOKUP($A336,'SegEnds_NonXtal_Prot#'!$A:$AL,20,FALSE)</f>
        <v>-</v>
      </c>
      <c r="AJ336" s="5">
        <f>VLOOKUP($A336,'SegEnds_NonXtal_Prot#'!$A:$AL,23,FALSE)</f>
        <v>761</v>
      </c>
      <c r="AK336" s="5">
        <f>VLOOKUP($A336,'SegEnds_NonXtal_Prot#'!$A:$AL,26,FALSE)</f>
        <v>780</v>
      </c>
      <c r="AL336" s="5">
        <f>VLOOKUP($A336,'SegEnds_NonXtal_Prot#'!$A:$AL,29,FALSE)</f>
        <v>816</v>
      </c>
      <c r="AM336" s="5">
        <f>VLOOKUP($A336,'SegEnds_NonXtal_Prot#'!$A:$AL,32,FALSE)</f>
        <v>852</v>
      </c>
      <c r="AN336" s="5">
        <f>VLOOKUP($A336,'SegEnds_NonXtal_Prot#'!$A:$AL,35,FALSE)</f>
        <v>882</v>
      </c>
      <c r="AO336" s="5">
        <f>VLOOKUP($A336,'SegEnds_NonXtal_Prot#'!$A:$AL,38,FALSE)</f>
        <v>899</v>
      </c>
      <c r="AP336" s="5">
        <f t="shared" si="138"/>
        <v>37</v>
      </c>
      <c r="AQ336" s="4" t="str">
        <f t="shared" si="139"/>
        <v>-</v>
      </c>
      <c r="AR336" s="4">
        <f t="shared" si="140"/>
        <v>26</v>
      </c>
      <c r="AS336" s="4" t="str">
        <f t="shared" si="141"/>
        <v>-</v>
      </c>
      <c r="AT336" s="4">
        <f t="shared" si="142"/>
        <v>33</v>
      </c>
      <c r="AU336" s="4" t="str">
        <f t="shared" si="143"/>
        <v>-</v>
      </c>
      <c r="AV336" s="4">
        <f t="shared" si="144"/>
        <v>31</v>
      </c>
      <c r="AW336" s="4">
        <f t="shared" si="145"/>
        <v>2</v>
      </c>
      <c r="AX336" s="4">
        <f t="shared" si="146"/>
        <v>33</v>
      </c>
      <c r="AY336" s="4">
        <f t="shared" si="147"/>
        <v>25</v>
      </c>
      <c r="AZ336" s="4">
        <f t="shared" si="148"/>
        <v>25</v>
      </c>
      <c r="BA336" s="4">
        <f t="shared" si="149"/>
        <v>16</v>
      </c>
    </row>
    <row r="337" spans="1:53" x14ac:dyDescent="0.2">
      <c r="A337" s="1" t="str">
        <f>'SegEnds_NonXtal_Prot#'!A333</f>
        <v>agrg3_human</v>
      </c>
      <c r="B337" s="1" t="str">
        <f t="shared" si="125"/>
        <v>LRPTLDQSTVHILTRISQAGCGVSMIFLAFTIILYAFLEDAPKIHVALGGSLFLLNLAFLVNVGSAACWARGAVFHYFLLCAFTWMGLEAFHLYLLAVRYFGHYFLKLSLVGWGLPALMVIGTGSANSYGLEGTTMYALYITVHGYFLITFLFGMVVLALVVWKIKNRKKVLTLLGLSSLVGVTWGLGLSTVYIFALFNSLQGVFICCWFTILYLPSQSTTVSSSTARLD</v>
      </c>
      <c r="C337" s="29" t="str">
        <f>IF(ISERROR(MATCH(A337,'SegEnds_Xtal_Prot#'!B:B, 0)), "NoXtal", "Xtal")</f>
        <v>NoXtal</v>
      </c>
      <c r="D337" s="4" t="str">
        <f>VLOOKUP(A337,Classification!A:D,2,FALSE)</f>
        <v>B2</v>
      </c>
      <c r="E337" s="5" t="str">
        <f>VLOOKUP(A337,Seqs!A:B,2,FALSE)</f>
        <v>MATPRGLGALLLLLLLPTSGQEKPTEGPRNTCLGSNNMYDIFNLNDKALCFTKCRQSGSDSCNVENLQRYWLNYEAHLMKEGLTQKVNTPFLKALVQNLSTNTAEDFYFSLEPSQVPRQVMKDEDKPPDRVRLPKSLFRSLPGNRSVVRLAVTILDIGPGTLFKGPRLGLGDGSGVLNNRLVGLSVGQMHVTKLAEPLEIVFSHQRPPPNMTLTCVFWDVTKGTTGDWSSEGCSTEVRPEGTVCCCDHLTFFALLLRPTLDQSTVHILTRISQAGCGVSMIFLAFTIILYAFLRLSRERFKSEDAPKIHVALGGSLFLLNLAFLVNVGSGSKGSDAACWARGAVFHYFLLCAFTWMGLEAFHLYLLAVRVFNTYFGHYFLKLSLVGWGLPALMVIGTGSANSYGLYTIRDRENRTSLELCWFREGTTMYALYITVHGYFLITFLFGMVVLALVVWKIFTLSRATAVKERGKNRKKVLTLLGLSSLVGVTWGLAIFTPLGLSTVYIFALFNSLQGVFICCWFTILYLPSQSTTVSSSTARLDQAHSASQE</v>
      </c>
      <c r="F337" s="5" t="str">
        <f t="shared" si="126"/>
        <v>LRPTLDQSTVHILTRISQAGCGVSMIFLAFTIILYAFL</v>
      </c>
      <c r="G337" s="4" t="str">
        <f t="shared" si="127"/>
        <v/>
      </c>
      <c r="H337" s="4" t="str">
        <f t="shared" si="128"/>
        <v>EDAPKIHVALGGSLFLLNLAFLVNVGS</v>
      </c>
      <c r="I337" s="4" t="str">
        <f t="shared" si="129"/>
        <v/>
      </c>
      <c r="J337" s="4" t="str">
        <f t="shared" si="130"/>
        <v>AACWARGAVFHYFLLCAFTWMGLEAFHLYLLAVR</v>
      </c>
      <c r="K337" s="4" t="str">
        <f t="shared" si="131"/>
        <v/>
      </c>
      <c r="L337" s="4" t="str">
        <f t="shared" si="132"/>
        <v>YFGHYFLKLSLVGWGLPALMVIGTGSANSYGL</v>
      </c>
      <c r="M337" s="4" t="str">
        <f t="shared" si="133"/>
        <v>CWF</v>
      </c>
      <c r="N337" s="4" t="str">
        <f t="shared" si="134"/>
        <v>EGTTMYALYITVHGYFLITFLFGMVVLALVVWKI</v>
      </c>
      <c r="O337" s="4" t="str">
        <f t="shared" si="135"/>
        <v>KNRKKVLTLLGLSSLVGVTWGL</v>
      </c>
      <c r="P337" s="4" t="str">
        <f t="shared" si="136"/>
        <v>GLSTVYIFALFNSLQGVFICCWFTIL</v>
      </c>
      <c r="Q337" s="4" t="str">
        <f t="shared" si="137"/>
        <v>YLPSQSTTVSSSTARLD</v>
      </c>
      <c r="R337" s="5">
        <f>VLOOKUP($A337,'SegEnds_NonXtal_Prot#'!$A:$AL,3,FALSE)</f>
        <v>256</v>
      </c>
      <c r="S337" s="5" t="str">
        <f>VLOOKUP($A337,'SegEnds_NonXtal_Prot#'!$A:$AL,6,FALSE)</f>
        <v>-</v>
      </c>
      <c r="T337" s="5">
        <f>VLOOKUP($A337,'SegEnds_NonXtal_Prot#'!$A:$AL,9,FALSE)</f>
        <v>303</v>
      </c>
      <c r="U337" s="5" t="str">
        <f>VLOOKUP($A337,'SegEnds_NonXtal_Prot#'!$A:$AL,12,FALSE)</f>
        <v>-</v>
      </c>
      <c r="V337" s="5">
        <f>VLOOKUP($A337,'SegEnds_NonXtal_Prot#'!$A:$AL,15,FALSE)</f>
        <v>336</v>
      </c>
      <c r="W337" s="5" t="str">
        <f>VLOOKUP($A337,'SegEnds_NonXtal_Prot#'!$A:$AL,18,FALSE)</f>
        <v>-</v>
      </c>
      <c r="X337" s="5">
        <f>VLOOKUP($A337,'SegEnds_NonXtal_Prot#'!$A:$AL,21,FALSE)</f>
        <v>374</v>
      </c>
      <c r="Y337" s="5">
        <f>VLOOKUP($A337,'SegEnds_NonXtal_Prot#'!$A:$AL,24,FALSE)</f>
        <v>420</v>
      </c>
      <c r="Z337" s="5">
        <f>VLOOKUP($A337,'SegEnds_NonXtal_Prot#'!$A:$AL,27,FALSE)</f>
        <v>424</v>
      </c>
      <c r="AA337" s="5">
        <f>VLOOKUP($A337,'SegEnds_NonXtal_Prot#'!$A:$AL,30,FALSE)</f>
        <v>471</v>
      </c>
      <c r="AB337" s="5">
        <f>VLOOKUP($A337,'SegEnds_NonXtal_Prot#'!$A:$AL,33,FALSE)</f>
        <v>499</v>
      </c>
      <c r="AC337" s="5">
        <f>VLOOKUP($A337,'SegEnds_NonXtal_Prot#'!$A:$AL,36,FALSE)</f>
        <v>525</v>
      </c>
      <c r="AD337" s="5">
        <f>VLOOKUP($A337,'SegEnds_NonXtal_Prot#'!$A:$AL,5,FALSE)</f>
        <v>293</v>
      </c>
      <c r="AE337" s="5" t="str">
        <f>VLOOKUP($A337,'SegEnds_NonXtal_Prot#'!$A:$AL,8,FALSE)</f>
        <v>-</v>
      </c>
      <c r="AF337" s="5">
        <f>VLOOKUP($A337,'SegEnds_NonXtal_Prot#'!$A:$AL,11,FALSE)</f>
        <v>329</v>
      </c>
      <c r="AG337" s="5" t="str">
        <f>VLOOKUP($A337,'SegEnds_NonXtal_Prot#'!$A:$AL,14,FALSE)</f>
        <v>-</v>
      </c>
      <c r="AH337" s="5">
        <f>VLOOKUP($A337,'SegEnds_NonXtal_Prot#'!$A:$AL,17,FALSE)</f>
        <v>369</v>
      </c>
      <c r="AI337" s="5" t="str">
        <f>VLOOKUP($A337,'SegEnds_NonXtal_Prot#'!$A:$AL,20,FALSE)</f>
        <v>-</v>
      </c>
      <c r="AJ337" s="5">
        <f>VLOOKUP($A337,'SegEnds_NonXtal_Prot#'!$A:$AL,23,FALSE)</f>
        <v>405</v>
      </c>
      <c r="AK337" s="5">
        <f>VLOOKUP($A337,'SegEnds_NonXtal_Prot#'!$A:$AL,26,FALSE)</f>
        <v>422</v>
      </c>
      <c r="AL337" s="5">
        <f>VLOOKUP($A337,'SegEnds_NonXtal_Prot#'!$A:$AL,29,FALSE)</f>
        <v>457</v>
      </c>
      <c r="AM337" s="5">
        <f>VLOOKUP($A337,'SegEnds_NonXtal_Prot#'!$A:$AL,32,FALSE)</f>
        <v>492</v>
      </c>
      <c r="AN337" s="5">
        <f>VLOOKUP($A337,'SegEnds_NonXtal_Prot#'!$A:$AL,35,FALSE)</f>
        <v>524</v>
      </c>
      <c r="AO337" s="5">
        <f>VLOOKUP($A337,'SegEnds_NonXtal_Prot#'!$A:$AL,38,FALSE)</f>
        <v>541</v>
      </c>
      <c r="AP337" s="5">
        <f t="shared" si="138"/>
        <v>37</v>
      </c>
      <c r="AQ337" s="4" t="str">
        <f t="shared" si="139"/>
        <v>-</v>
      </c>
      <c r="AR337" s="4">
        <f t="shared" si="140"/>
        <v>26</v>
      </c>
      <c r="AS337" s="4" t="str">
        <f t="shared" si="141"/>
        <v>-</v>
      </c>
      <c r="AT337" s="4">
        <f t="shared" si="142"/>
        <v>33</v>
      </c>
      <c r="AU337" s="4" t="str">
        <f t="shared" si="143"/>
        <v>-</v>
      </c>
      <c r="AV337" s="4">
        <f t="shared" si="144"/>
        <v>31</v>
      </c>
      <c r="AW337" s="4">
        <f t="shared" si="145"/>
        <v>2</v>
      </c>
      <c r="AX337" s="4">
        <f t="shared" si="146"/>
        <v>33</v>
      </c>
      <c r="AY337" s="4">
        <f t="shared" si="147"/>
        <v>21</v>
      </c>
      <c r="AZ337" s="4">
        <f t="shared" si="148"/>
        <v>25</v>
      </c>
      <c r="BA337" s="4">
        <f t="shared" si="149"/>
        <v>16</v>
      </c>
    </row>
    <row r="338" spans="1:53" x14ac:dyDescent="0.2">
      <c r="A338" s="1" t="str">
        <f>'SegEnds_NonXtal_Prot#'!A334</f>
        <v>agrg4_human</v>
      </c>
      <c r="B338" s="1" t="str">
        <f t="shared" si="125"/>
        <v>SRSTVDSVNEQILALITYTGCGISSIFLGVAVVTYIAFDYPAKILINLCTALLMLNLVFLINSWLGVCITAAVALHYFLLVSFTWMGLEAVHMYLALVKYIPNYILKFCLVGWGIPAIMVAITVSVKKDLYDSIFYISVVAYFCLIFLMNLSMFCTVLVQLNSVKMILHDLKGTMSLTFLLGLTWGFAFFARNFFLYLFAIFNTLQGFFIFVFHCVMKESVREQWQIHLCCGWL</v>
      </c>
      <c r="C338" s="29" t="str">
        <f>IF(ISERROR(MATCH(A338,'SegEnds_Xtal_Prot#'!B:B, 0)), "NoXtal", "Xtal")</f>
        <v>NoXtal</v>
      </c>
      <c r="D338" s="4" t="str">
        <f>VLOOKUP(A338,Classification!A:D,2,FALSE)</f>
        <v>B2</v>
      </c>
      <c r="E338" s="5" t="str">
        <f>VLOOKUP(A338,Seqs!A:B,2,FALSE)</f>
        <v>MKEHIIYQKLYGLILMSSFIFLSDTLSLKGKKLDFFGRGDTYVSLIDTIPELSRFTACIDLVFMDDNSRYWMAFSYITNNALLGREDIDLGLAGDHQQLILYRLGKTFSIRHHLASFQWHTICLIWDGVKGKLELFLNKERILEVTDQPHNLTPHGTLFLGHFLKNESSEVKSMMRSFPGSLYYFQLWDHILENEEFMKCLDGNIVSWEEDVWLVNKIIPTVDRTLRCFVPENMTIQEKSTTVSQQIDMTTPSQITGVKPQNTAHSSTLLSQSIPIFATDYTTISYSNTTSPPLETMTAQKILKTLVDETATFAVDVLSTSSAISLPTQSISIDNTTNSMKKTKSPSSESTKTTKMVEAMATEIFQPPTPSNFLSTSRFTKNSVVSTTSAIKSQSAVTKTTSLFSTIESTSMSTTPCLKQKSTNTGALPISTAGQEFIESTAAGTVPWFTVEKTSPASTHVGTASSFPPEPVLISTAAPVDSVFPRNQTAFPLATTDMKIAFTVHSLTLPTRLIETTPAPRTAETELTSTNFQDVSLPRVEDAMSTSMSKETSSKTFSFLTSFSFTGTESVQTVIDAEATRTALTPEITLASTVAETMLSSTITGRVYTQNTPTADGHLLTLMSTRSASTSKAPESGPTSTTDEAAHLFSSNETIWTSRPDQALLASMNTTTILTFVPNENFTSAFHENTTYTEYLSATTNITPLKASPEGKGTTANDATTARYTTAVSKLTSPWFANFSIVSGTTSITNMPEFKLTTLLLKTIPMSTKPANELPLTPRETVVPSVDIISTLACIQPNFSTEESASETTQTEINGAIVFGGTTTPVPKSATTQRLNATVTRKEATSHYLMRKSTIAAVAEVSPFSTMLEVTDESAQRVTASVTVSSFPDIEKLSTPLDNKTATTEVRESWLLTKLVKTTPRSSYNEMTEMFNFNHTYVAHWTSETSEGISAGSPTSGSTHIFGEPLGASTTRISETSFSTTPTDRTATSLSDGILPPQPTAAHSSATPVPVTHMFSLPVNGSSVVAEETEVTMSEPSTLARAFSTSVLSDVSNLSSTTMTTALVPPLDQTASTTIVIVPTHGDLIRTTSEATVISVRKTSMAVPSLTETPFHSLRLSTPVTAKAETTLFSTSVDTVTPSTHTLVCSKPPPDNIPPASSTHVISTTSTPEATQPISQVEETSTYALSFPYTFSGGGVVASLATGTTETSVVDETTPSHISANKLTTSVNSHISSSATYRVHTPVSIQLVTSTSVLSSDKDQMTISLGKTPRTMEVTEMSPSKNSFISYSRGTPSLEMTDTGFPETTKISSHQTHSPSEIPLGTPSDGNLASSPTSGSTQITPTLTSSNTVGVHIPEMSTSLGKTALPSQALTITTFLCPEKESTSALPAYTPRTVEMIVNSTYVTHSVSYGQDTSFVDTTTSSSTRISNPMDINTTFSHLHSLRTQPEVTSVASFISESTQTFPESLSLSTAGLYNDGFTVLSDRITTAFSVPNVPTMLPRESSMATSTPIYQMSSLPVNVTAFTSKKVSDTPPIVITKSSKTMHPGCLKSPCTATSGPMSEMSSIPVNNSAFTPATVSSDTSTRVGLFSTLLSSVTPRTTMTMQTSTLDVTPVIYAGATSKNKMVSSAFTTEMIEAPSRITPTTFLSPTEPTLPFVKTVPTTIMAGIVTPFVGTTAFSPLSSKSTGAISSIPKTTFSPFLSATQQSSQADEATTLGILSGITNRSLSTVNSGTGVALTDTYSRITVPENMLSPTHADSLHTSFNIQVSPSLTSFKSASGPTKNVKTTTNCFSSNTRKMTSLLEKTSLTNYATSLNTPVSYPPWTPSSATLPSLTSFVYSPHSTEAEISTPKTSPPPTSQMVEFPVLGTRMTSSNTQPLLMTSWNIPTAEGSQFPISTTINVPTSNEMETETLHLVPGPLSTFTASQTGLVSKDVMAMSSIPMSGILPNHGLSENPSLSTSLRAITSTLADVKHTFEKMTTSVTPGTTLPSILSGATSGSVISKSPILTWLLSSLPSGSPPATVSNAPHVMTSSTVEVSKSTFLTSDMISAHPFTNLTTLPSATMSTILTRTIPTPTLGGITTGFPTSLPMSINVTDDIVYISTHPEASSRTTITANPRTVSHPSSFSRKTMSPSTTDHTLSVGAMPLPSSTITSSWNRIPTASSPSTLIIPKPTLDSLLNIMTTTSTVPGASFPLISTGVTYPFTATVSSPISSFFETTWLDSTPSFLSTEASTSPTATKSTVSFYNVEMSFSVFVEEPRIPITSVINEFTENSLNSIFQNSEFSLATLETQIKSRDISEEEMVMDRAILEQREGQEMATISYVPYSCVCQVIIKASSSLASSELMRKIKSKIHGNFTHGNFTQDQLTLLVNCEHVAVKKLEPGNCKADETASKYKGTYKWLLTNPTETAQTRCIKNEDGNATRFCSISINTGKSQWEKPKFKQCKLLQELPDKIVDLANITISDENAEDVAEHILNLINESPALGKEETKIIVSKISDISQCDEISMNLTHVMLQIINVVLEKQNNSASDLHEISNEILRIIERTGHKMEFSGQIANLTVAGLALAVLRGDHTFDGMAFSIHSYEEGTDPEIFLGNVPVGGILASIYLPKSLTERIPLSNLQTILFNFFGQTSLFKTKNVTKALTTYVVSASISDDMFIQNLADPVVITLQHIGGNQNYGQVHCAFWDFENNNGLGGWNSSGCKVKETNVNYTICQCDHLTHFGVLMDLSRSTVDSVNEQILALITYTGCGISSIFLGVAVVTYIAFHKLRKDYPAKILINLCTALLMLNLVFLINSWLSSFQKVGVCITAAVALHYFLLVSFTWMGLEAVHMYLALVKVFNIYIPNYILKFCLVGWGIPAIMVAITVSVKKDLYGTLSPTTPFCWIKDDSIFYISVVAYFCLIFLMNLSMFCTVLVQLNSVKSQIQKTRRKMILHDLKGTMSLTFLLGLTWGFAFFAWGPMRNFFLYLFAIFNTLQGFFIFVFHCVMKESVREQWQIHLCCGWLRLDNSSDGSSRCQIKVGYKQEGLKKIFEHKLLTPSLKSTATSSTFKSLGSAQGTPSEISFPNDDFDKDPYCSSP</v>
      </c>
      <c r="F338" s="5" t="str">
        <f t="shared" si="126"/>
        <v>SRSTVDSVNEQILALITYTGCGISSIFLGVAVVTYIAF</v>
      </c>
      <c r="G338" s="4" t="str">
        <f t="shared" si="127"/>
        <v/>
      </c>
      <c r="H338" s="4" t="str">
        <f t="shared" si="128"/>
        <v>DYPAKILINLCTALLMLNLVFLINSWL</v>
      </c>
      <c r="I338" s="4" t="str">
        <f t="shared" si="129"/>
        <v/>
      </c>
      <c r="J338" s="4" t="str">
        <f t="shared" si="130"/>
        <v>GVCITAAVALHYFLLVSFTWMGLEAVHMYLALVK</v>
      </c>
      <c r="K338" s="4" t="str">
        <f t="shared" si="131"/>
        <v/>
      </c>
      <c r="L338" s="4" t="str">
        <f t="shared" si="132"/>
        <v>YIPNYILKFCLVGWGIPAIMVAITVSVKKDLY</v>
      </c>
      <c r="M338" s="4" t="str">
        <f t="shared" si="133"/>
        <v>CWI</v>
      </c>
      <c r="N338" s="4" t="str">
        <f t="shared" si="134"/>
        <v>DSIFYISVVAYFCLIFLMNLSMFCTVLVQLNSVK</v>
      </c>
      <c r="O338" s="4" t="str">
        <f t="shared" si="135"/>
        <v>MILHDLKGTMSLTFLLGLTWGFAFFA</v>
      </c>
      <c r="P338" s="4" t="str">
        <f t="shared" si="136"/>
        <v>RNFFLYLFAIFNTLQGFFIFVFHCVM</v>
      </c>
      <c r="Q338" s="4" t="str">
        <f t="shared" si="137"/>
        <v>KESVREQWQIHLCCGWL</v>
      </c>
      <c r="R338" s="5">
        <f>VLOOKUP($A338,'SegEnds_NonXtal_Prot#'!$A:$AL,3,FALSE)</f>
        <v>2731</v>
      </c>
      <c r="S338" s="5" t="str">
        <f>VLOOKUP($A338,'SegEnds_NonXtal_Prot#'!$A:$AL,6,FALSE)</f>
        <v>-</v>
      </c>
      <c r="T338" s="5">
        <f>VLOOKUP($A338,'SegEnds_NonXtal_Prot#'!$A:$AL,9,FALSE)</f>
        <v>2774</v>
      </c>
      <c r="U338" s="5" t="str">
        <f>VLOOKUP($A338,'SegEnds_NonXtal_Prot#'!$A:$AL,12,FALSE)</f>
        <v>-</v>
      </c>
      <c r="V338" s="5">
        <f>VLOOKUP($A338,'SegEnds_NonXtal_Prot#'!$A:$AL,15,FALSE)</f>
        <v>2807</v>
      </c>
      <c r="W338" s="5" t="str">
        <f>VLOOKUP($A338,'SegEnds_NonXtal_Prot#'!$A:$AL,18,FALSE)</f>
        <v>-</v>
      </c>
      <c r="X338" s="5">
        <f>VLOOKUP($A338,'SegEnds_NonXtal_Prot#'!$A:$AL,21,FALSE)</f>
        <v>2845</v>
      </c>
      <c r="Y338" s="5">
        <f>VLOOKUP($A338,'SegEnds_NonXtal_Prot#'!$A:$AL,24,FALSE)</f>
        <v>2886</v>
      </c>
      <c r="Z338" s="5">
        <f>VLOOKUP($A338,'SegEnds_NonXtal_Prot#'!$A:$AL,27,FALSE)</f>
        <v>2891</v>
      </c>
      <c r="AA338" s="5">
        <f>VLOOKUP($A338,'SegEnds_NonXtal_Prot#'!$A:$AL,30,FALSE)</f>
        <v>2934</v>
      </c>
      <c r="AB338" s="5">
        <f>VLOOKUP($A338,'SegEnds_NonXtal_Prot#'!$A:$AL,33,FALSE)</f>
        <v>2964</v>
      </c>
      <c r="AC338" s="5">
        <f>VLOOKUP($A338,'SegEnds_NonXtal_Prot#'!$A:$AL,36,FALSE)</f>
        <v>2990</v>
      </c>
      <c r="AD338" s="5">
        <f>VLOOKUP($A338,'SegEnds_NonXtal_Prot#'!$A:$AL,5,FALSE)</f>
        <v>2768</v>
      </c>
      <c r="AE338" s="5" t="str">
        <f>VLOOKUP($A338,'SegEnds_NonXtal_Prot#'!$A:$AL,8,FALSE)</f>
        <v>-</v>
      </c>
      <c r="AF338" s="5">
        <f>VLOOKUP($A338,'SegEnds_NonXtal_Prot#'!$A:$AL,11,FALSE)</f>
        <v>2800</v>
      </c>
      <c r="AG338" s="5" t="str">
        <f>VLOOKUP($A338,'SegEnds_NonXtal_Prot#'!$A:$AL,14,FALSE)</f>
        <v>-</v>
      </c>
      <c r="AH338" s="5">
        <f>VLOOKUP($A338,'SegEnds_NonXtal_Prot#'!$A:$AL,17,FALSE)</f>
        <v>2840</v>
      </c>
      <c r="AI338" s="5" t="str">
        <f>VLOOKUP($A338,'SegEnds_NonXtal_Prot#'!$A:$AL,20,FALSE)</f>
        <v>-</v>
      </c>
      <c r="AJ338" s="5">
        <f>VLOOKUP($A338,'SegEnds_NonXtal_Prot#'!$A:$AL,23,FALSE)</f>
        <v>2876</v>
      </c>
      <c r="AK338" s="5">
        <f>VLOOKUP($A338,'SegEnds_NonXtal_Prot#'!$A:$AL,26,FALSE)</f>
        <v>2888</v>
      </c>
      <c r="AL338" s="5">
        <f>VLOOKUP($A338,'SegEnds_NonXtal_Prot#'!$A:$AL,29,FALSE)</f>
        <v>2924</v>
      </c>
      <c r="AM338" s="5">
        <f>VLOOKUP($A338,'SegEnds_NonXtal_Prot#'!$A:$AL,32,FALSE)</f>
        <v>2959</v>
      </c>
      <c r="AN338" s="5">
        <f>VLOOKUP($A338,'SegEnds_NonXtal_Prot#'!$A:$AL,35,FALSE)</f>
        <v>2989</v>
      </c>
      <c r="AO338" s="5">
        <f>VLOOKUP($A338,'SegEnds_NonXtal_Prot#'!$A:$AL,38,FALSE)</f>
        <v>3006</v>
      </c>
      <c r="AP338" s="5">
        <f t="shared" si="138"/>
        <v>37</v>
      </c>
      <c r="AQ338" s="4" t="str">
        <f t="shared" si="139"/>
        <v>-</v>
      </c>
      <c r="AR338" s="4">
        <f t="shared" si="140"/>
        <v>26</v>
      </c>
      <c r="AS338" s="4" t="str">
        <f t="shared" si="141"/>
        <v>-</v>
      </c>
      <c r="AT338" s="4">
        <f t="shared" si="142"/>
        <v>33</v>
      </c>
      <c r="AU338" s="4" t="str">
        <f t="shared" si="143"/>
        <v>-</v>
      </c>
      <c r="AV338" s="4">
        <f t="shared" si="144"/>
        <v>31</v>
      </c>
      <c r="AW338" s="4">
        <f t="shared" si="145"/>
        <v>2</v>
      </c>
      <c r="AX338" s="4">
        <f t="shared" si="146"/>
        <v>33</v>
      </c>
      <c r="AY338" s="4">
        <f t="shared" si="147"/>
        <v>25</v>
      </c>
      <c r="AZ338" s="4">
        <f t="shared" si="148"/>
        <v>25</v>
      </c>
      <c r="BA338" s="4">
        <f t="shared" si="149"/>
        <v>16</v>
      </c>
    </row>
    <row r="339" spans="1:53" x14ac:dyDescent="0.2">
      <c r="A339" s="1" t="str">
        <f>'SegEnds_NonXtal_Prot#'!A335</f>
        <v>agrg5_human</v>
      </c>
      <c r="B339" s="1" t="str">
        <f t="shared" si="125"/>
        <v>SPALVPAELLAPLTYISLVGCSISIVASLITVLLHFHFDSLTRIHMNLHASVLLLNIAFLLSPAFSACTALAAALHYALLSCLTWMAIEGFNLYLLLGRYIRRYVFKLGVLGWGAPALLVLLSLSVKSSVYPVVHSVLVMGYGGLTSLFNLVVLAWALWTLRRLRRACHDTVTVLGLTVLLGTTWALAFFSLLPQLFLFTILNSLYGFFLFLWFCSQRCRSEAEAKAQIEAFSS</v>
      </c>
      <c r="C339" s="29" t="str">
        <f>IF(ISERROR(MATCH(A339,'SegEnds_Xtal_Prot#'!B:B, 0)), "NoXtal", "Xtal")</f>
        <v>NoXtal</v>
      </c>
      <c r="D339" s="4" t="str">
        <f>VLOOKUP(A339,Classification!A:D,2,FALSE)</f>
        <v>B2</v>
      </c>
      <c r="E339" s="5" t="str">
        <f>VLOOKUP(A339,Seqs!A:B,2,FALSE)</f>
        <v>MDHCGALFLCLCLLTLQNATTETWEELLSYMENMQVSRGRSSVFSSRQLHQLEQMLLNTSFPGYNLTLQTPTIQSLAFKLSCDFSGLSLTSATLKRVPQAGGQHARGQHAMQFPAELTRDACKTRPRELRLICIYFSNTHFFKDENNSSLLNNYVLGAQLSHGHVNNLRDPVNISFWHNQSLEGYTLTCVFWKEGARKQPWGGWSPEGCRTEQPSHSQVLCRCNHLTYFAVLMQLSPALVPAELLAPLTYISLVGCSISIVASLITVLLHFHFRKQSDSLTRIHMNLHASVLLLNIAFLLSPAFAMSPVPGSACTALAAALHYALLSCLTWMAIEGFNLYLLLGRVYNIYIRRYVFKLGVLGWGAPALLVLLSLSVKSSVYGPCTIPVFDSWENGTGFQNMSICWVRSPVVHSVLVMGYGGLTSLFNLVVLAWALWTLRRLRERADAPSVRACHDTVTVLGLTVLLGTTWALAFFSFGVFLLPQLFLFTILNSLYGFFLFLWFCSQRCRSEAEAKAQIEAFSSSQTTQ</v>
      </c>
      <c r="F339" s="5" t="str">
        <f t="shared" si="126"/>
        <v>SPALVPAELLAPLTYISLVGCSISIVASLITVLLHFHF</v>
      </c>
      <c r="G339" s="4" t="str">
        <f t="shared" si="127"/>
        <v/>
      </c>
      <c r="H339" s="4" t="str">
        <f t="shared" si="128"/>
        <v>DSLTRIHMNLHASVLLLNIAFLLSPAF</v>
      </c>
      <c r="I339" s="4" t="str">
        <f t="shared" si="129"/>
        <v/>
      </c>
      <c r="J339" s="4" t="str">
        <f t="shared" si="130"/>
        <v>SACTALAAALHYALLSCLTWMAIEGFNLYLLLGR</v>
      </c>
      <c r="K339" s="4" t="str">
        <f t="shared" si="131"/>
        <v/>
      </c>
      <c r="L339" s="4" t="str">
        <f t="shared" si="132"/>
        <v>YIRRYVFKLGVLGWGAPALLVLLSLSVKSSVY</v>
      </c>
      <c r="M339" s="4" t="str">
        <f t="shared" si="133"/>
        <v>CWV</v>
      </c>
      <c r="N339" s="4" t="str">
        <f t="shared" si="134"/>
        <v>PVVHSVLVMGYGGLTSLFNLVVLAWALWTLRRLR</v>
      </c>
      <c r="O339" s="4" t="str">
        <f t="shared" si="135"/>
        <v>RACHDTVTVLGLTVLLGTTWALAFFS</v>
      </c>
      <c r="P339" s="4" t="str">
        <f t="shared" si="136"/>
        <v>LLPQLFLFTILNSLYGFFLFLWFCSQ</v>
      </c>
      <c r="Q339" s="4" t="str">
        <f t="shared" si="137"/>
        <v>RCRSEAEAKAQIEAFSS</v>
      </c>
      <c r="R339" s="5">
        <f>VLOOKUP($A339,'SegEnds_NonXtal_Prot#'!$A:$AL,3,FALSE)</f>
        <v>236</v>
      </c>
      <c r="S339" s="5" t="str">
        <f>VLOOKUP($A339,'SegEnds_NonXtal_Prot#'!$A:$AL,6,FALSE)</f>
        <v>-</v>
      </c>
      <c r="T339" s="5">
        <f>VLOOKUP($A339,'SegEnds_NonXtal_Prot#'!$A:$AL,9,FALSE)</f>
        <v>278</v>
      </c>
      <c r="U339" s="5" t="str">
        <f>VLOOKUP($A339,'SegEnds_NonXtal_Prot#'!$A:$AL,12,FALSE)</f>
        <v>-</v>
      </c>
      <c r="V339" s="5">
        <f>VLOOKUP($A339,'SegEnds_NonXtal_Prot#'!$A:$AL,15,FALSE)</f>
        <v>312</v>
      </c>
      <c r="W339" s="5" t="str">
        <f>VLOOKUP($A339,'SegEnds_NonXtal_Prot#'!$A:$AL,18,FALSE)</f>
        <v>-</v>
      </c>
      <c r="X339" s="5">
        <f>VLOOKUP($A339,'SegEnds_NonXtal_Prot#'!$A:$AL,21,FALSE)</f>
        <v>350</v>
      </c>
      <c r="Y339" s="5">
        <f>VLOOKUP($A339,'SegEnds_NonXtal_Prot#'!$A:$AL,24,FALSE)</f>
        <v>404</v>
      </c>
      <c r="Z339" s="5">
        <f>VLOOKUP($A339,'SegEnds_NonXtal_Prot#'!$A:$AL,27,FALSE)</f>
        <v>409</v>
      </c>
      <c r="AA339" s="5">
        <f>VLOOKUP($A339,'SegEnds_NonXtal_Prot#'!$A:$AL,30,FALSE)</f>
        <v>451</v>
      </c>
      <c r="AB339" s="5">
        <f>VLOOKUP($A339,'SegEnds_NonXtal_Prot#'!$A:$AL,33,FALSE)</f>
        <v>481</v>
      </c>
      <c r="AC339" s="5">
        <f>VLOOKUP($A339,'SegEnds_NonXtal_Prot#'!$A:$AL,36,FALSE)</f>
        <v>507</v>
      </c>
      <c r="AD339" s="5">
        <f>VLOOKUP($A339,'SegEnds_NonXtal_Prot#'!$A:$AL,5,FALSE)</f>
        <v>273</v>
      </c>
      <c r="AE339" s="5" t="str">
        <f>VLOOKUP($A339,'SegEnds_NonXtal_Prot#'!$A:$AL,8,FALSE)</f>
        <v>-</v>
      </c>
      <c r="AF339" s="5">
        <f>VLOOKUP($A339,'SegEnds_NonXtal_Prot#'!$A:$AL,11,FALSE)</f>
        <v>304</v>
      </c>
      <c r="AG339" s="5" t="str">
        <f>VLOOKUP($A339,'SegEnds_NonXtal_Prot#'!$A:$AL,14,FALSE)</f>
        <v>-</v>
      </c>
      <c r="AH339" s="5">
        <f>VLOOKUP($A339,'SegEnds_NonXtal_Prot#'!$A:$AL,17,FALSE)</f>
        <v>345</v>
      </c>
      <c r="AI339" s="5" t="str">
        <f>VLOOKUP($A339,'SegEnds_NonXtal_Prot#'!$A:$AL,20,FALSE)</f>
        <v>-</v>
      </c>
      <c r="AJ339" s="5">
        <f>VLOOKUP($A339,'SegEnds_NonXtal_Prot#'!$A:$AL,23,FALSE)</f>
        <v>381</v>
      </c>
      <c r="AK339" s="5">
        <f>VLOOKUP($A339,'SegEnds_NonXtal_Prot#'!$A:$AL,26,FALSE)</f>
        <v>406</v>
      </c>
      <c r="AL339" s="5">
        <f>VLOOKUP($A339,'SegEnds_NonXtal_Prot#'!$A:$AL,29,FALSE)</f>
        <v>442</v>
      </c>
      <c r="AM339" s="5">
        <f>VLOOKUP($A339,'SegEnds_NonXtal_Prot#'!$A:$AL,32,FALSE)</f>
        <v>476</v>
      </c>
      <c r="AN339" s="5">
        <f>VLOOKUP($A339,'SegEnds_NonXtal_Prot#'!$A:$AL,35,FALSE)</f>
        <v>506</v>
      </c>
      <c r="AO339" s="5">
        <f>VLOOKUP($A339,'SegEnds_NonXtal_Prot#'!$A:$AL,38,FALSE)</f>
        <v>523</v>
      </c>
      <c r="AP339" s="5">
        <f t="shared" si="138"/>
        <v>37</v>
      </c>
      <c r="AQ339" s="4" t="str">
        <f t="shared" si="139"/>
        <v>-</v>
      </c>
      <c r="AR339" s="4">
        <f t="shared" si="140"/>
        <v>26</v>
      </c>
      <c r="AS339" s="4" t="str">
        <f t="shared" si="141"/>
        <v>-</v>
      </c>
      <c r="AT339" s="4">
        <f t="shared" si="142"/>
        <v>33</v>
      </c>
      <c r="AU339" s="4" t="str">
        <f t="shared" si="143"/>
        <v>-</v>
      </c>
      <c r="AV339" s="4">
        <f t="shared" si="144"/>
        <v>31</v>
      </c>
      <c r="AW339" s="4">
        <f t="shared" si="145"/>
        <v>2</v>
      </c>
      <c r="AX339" s="4">
        <f t="shared" si="146"/>
        <v>33</v>
      </c>
      <c r="AY339" s="4">
        <f t="shared" si="147"/>
        <v>25</v>
      </c>
      <c r="AZ339" s="4">
        <f t="shared" si="148"/>
        <v>25</v>
      </c>
      <c r="BA339" s="4">
        <f t="shared" si="149"/>
        <v>16</v>
      </c>
    </row>
    <row r="340" spans="1:53" x14ac:dyDescent="0.2">
      <c r="A340" s="1" t="str">
        <f>'SegEnds_NonXtal_Prot#'!A336</f>
        <v>agrg6_human</v>
      </c>
      <c r="B340" s="1" t="str">
        <f t="shared" si="125"/>
        <v>SASQLDARNTKVLTFISYIGCGISAIFSAATLLTYVAFRDYPSKILMNLSTALLFLNLLFLLDGWIGLCIAVAVLLHFFLLATFTWMGLEAIHMYIALVKRYILKFCIIGWGLPALVVSVVLASRNNNEPVIFYVTCAGYFGVMFFLNIAMFIVVMVQICGRNEVLRNLRSVVSLTFLLGMTWGFAFFNIPFMYLFSIFNSLQGLFIFIFHCAMKENVQKQWRQHLCCGRF</v>
      </c>
      <c r="C340" s="29" t="str">
        <f>IF(ISERROR(MATCH(A340,'SegEnds_Xtal_Prot#'!B:B, 0)), "NoXtal", "Xtal")</f>
        <v>NoXtal</v>
      </c>
      <c r="D340" s="4" t="str">
        <f>VLOOKUP(A340,Classification!A:D,2,FALSE)</f>
        <v>B2</v>
      </c>
      <c r="E340" s="5" t="str">
        <f>VLOOKUP(A340,Seqs!A:B,2,FALSE)</f>
        <v>MMFRSDRMWSCHWKWKPSPLLFLFALYIMCVPHSVWGCANCRVVLSNPSGTFTSPCYPNDYPNSQACMWTLRAPTGYIIQITFNDFDIEEAPNCIYDSLSLDNGESQTKFCGATAKGLSFNSSANEMHVSFSSDFSIQKKGFNASYIRVAVSLRNQKVILPQTSDAYQVSVAKSISIPELSAFTLCFEATKVGHEDSDWTAFSYSNASFTQLLSFGKAKSGYFLSISDSKCLLNNALPVKEKEDIFAESFEQLCLVWNNSLGSIGVNFKRNYETVPCDSTISKVIPGNGKLLLGSNQNEIVSLKGDIYNFRLWNFTMNAKILSNLSCNVKGNVVDWQNDFWNIPNLALKAESNLSCGSYLIPLPAAELASCADLGTLCQATVNSPSTTPPTVTTNMPVTNRIDKQRNDGIIYRISVVIQNILRHPEVKVQSKVAEWLNSTFQNWNYTVYVVNISFHLSAGEDKIKVKRSLEDEPRLVLWALLVYNATNNTNLEGKIIQQKLLKNNESLDEGLRLHTVNVRQLGHCLAMEEPKGYYWPSIQPSEYVLPCPDKPGFSASRICFYNATNPLVTYWGPVDISNCLKEANEVANQILNLTADGQNLTSANITNIVEQVKRIVNKEENIDITLGSTLMNIFSNILSSSDSDLLESSSEALKTIDELAFKIDLNSTSHVNITTRNLALSVSSLLPGTNAISNFSIGLPSNNESYFQMDFESGQVDPLASVILPPNLLENLSPEDSVLVRRAQFTFFNKTGLFQDVGPQRKTLVSYVMACSIGNITIQNLKDPVQIKIKHTRTQEVHHPICAFWDLNKNKSFGGWNTSGCVAHRDSDASETVCLCNHFTHFGVLMDLPRSASQLDARNTKVLTFISYIGCGISAIFSAATLLTYVAFEKLRRDYPSKILMNLSTALLFLNLLFLLDGWITSFNVDGLCIAVAVLLHFFLLATFTWMGLEAIHMYIALVKVFNTYIRRYILKFCIIGWGLPALVVSVVLASRNNNEVYGKESYGKEKGDEFCWIQDPVIFYVTCAGYFGVMFFLNIAMFIVVMVQICGRNGKRSNRTLREEVLRNLRSVVSLTFLLGMTWGFAFFAWGPLNIPFMYLFSIFNSLQGLFIFIFHCAMKENVQKQWRQHLCCGRFRLADNSDWSKTATNIIKKSSDNLGKSLSSSSIGSNSTYLTSKSKSSSTTYFKRNSHTDNVSYEHSFNKSGSLRQCFHGQVLVKTGPC</v>
      </c>
      <c r="F340" s="5" t="str">
        <f t="shared" si="126"/>
        <v>SASQLDARNTKVLTFISYIGCGISAIFSAATLLTYVAF</v>
      </c>
      <c r="G340" s="4" t="str">
        <f t="shared" si="127"/>
        <v>EKLR</v>
      </c>
      <c r="H340" s="4" t="str">
        <f t="shared" si="128"/>
        <v>RDYPSKILMNLSTALLFLNLLFLLDGWI</v>
      </c>
      <c r="I340" s="4" t="str">
        <f t="shared" si="129"/>
        <v/>
      </c>
      <c r="J340" s="4" t="str">
        <f t="shared" si="130"/>
        <v>GLCIAVAVLLHFFLLATFTWMGLEAIHMYIALVK</v>
      </c>
      <c r="K340" s="4" t="str">
        <f t="shared" si="131"/>
        <v/>
      </c>
      <c r="L340" s="4" t="str">
        <f t="shared" si="132"/>
        <v>RYILKFCIIGWGLPALVVSVVLASRNNNE</v>
      </c>
      <c r="M340" s="4" t="str">
        <f t="shared" si="133"/>
        <v>CWI</v>
      </c>
      <c r="N340" s="4" t="str">
        <f t="shared" si="134"/>
        <v>PVIFYVTCAGYFGVMFFLNIAMFIVVMVQICGRN</v>
      </c>
      <c r="O340" s="4" t="str">
        <f t="shared" si="135"/>
        <v>EVLRNLRSVVSLTFLLGMTWGFAFF</v>
      </c>
      <c r="P340" s="4" t="str">
        <f t="shared" si="136"/>
        <v>NIPFMYLFSIFNSLQGLFIFIFHCAM</v>
      </c>
      <c r="Q340" s="4" t="str">
        <f t="shared" si="137"/>
        <v>KENVQKQWRQHLCCGRF</v>
      </c>
      <c r="R340" s="5">
        <f>VLOOKUP($A340,'SegEnds_NonXtal_Prot#'!$A:$AL,3,FALSE)</f>
        <v>852</v>
      </c>
      <c r="S340" s="5">
        <f>VLOOKUP($A340,'SegEnds_NonXtal_Prot#'!$A:$AL,6,FALSE)</f>
        <v>890</v>
      </c>
      <c r="T340" s="5">
        <f>VLOOKUP($A340,'SegEnds_NonXtal_Prot#'!$A:$AL,9,FALSE)</f>
        <v>894</v>
      </c>
      <c r="U340" s="5" t="str">
        <f>VLOOKUP($A340,'SegEnds_NonXtal_Prot#'!$A:$AL,12,FALSE)</f>
        <v>-</v>
      </c>
      <c r="V340" s="5">
        <f>VLOOKUP($A340,'SegEnds_NonXtal_Prot#'!$A:$AL,15,FALSE)</f>
        <v>928</v>
      </c>
      <c r="W340" s="5" t="str">
        <f>VLOOKUP($A340,'SegEnds_NonXtal_Prot#'!$A:$AL,18,FALSE)</f>
        <v>-</v>
      </c>
      <c r="X340" s="5">
        <f>VLOOKUP($A340,'SegEnds_NonXtal_Prot#'!$A:$AL,21,FALSE)</f>
        <v>969</v>
      </c>
      <c r="Y340" s="5">
        <f>VLOOKUP($A340,'SegEnds_NonXtal_Prot#'!$A:$AL,24,FALSE)</f>
        <v>1013</v>
      </c>
      <c r="Z340" s="5">
        <f>VLOOKUP($A340,'SegEnds_NonXtal_Prot#'!$A:$AL,27,FALSE)</f>
        <v>1018</v>
      </c>
      <c r="AA340" s="5">
        <f>VLOOKUP($A340,'SegEnds_NonXtal_Prot#'!$A:$AL,30,FALSE)</f>
        <v>1062</v>
      </c>
      <c r="AB340" s="5">
        <f>VLOOKUP($A340,'SegEnds_NonXtal_Prot#'!$A:$AL,33,FALSE)</f>
        <v>1092</v>
      </c>
      <c r="AC340" s="5">
        <f>VLOOKUP($A340,'SegEnds_NonXtal_Prot#'!$A:$AL,36,FALSE)</f>
        <v>1118</v>
      </c>
      <c r="AD340" s="5">
        <f>VLOOKUP($A340,'SegEnds_NonXtal_Prot#'!$A:$AL,5,FALSE)</f>
        <v>889</v>
      </c>
      <c r="AE340" s="5">
        <f>VLOOKUP($A340,'SegEnds_NonXtal_Prot#'!$A:$AL,8,FALSE)</f>
        <v>893</v>
      </c>
      <c r="AF340" s="5">
        <f>VLOOKUP($A340,'SegEnds_NonXtal_Prot#'!$A:$AL,11,FALSE)</f>
        <v>921</v>
      </c>
      <c r="AG340" s="5" t="str">
        <f>VLOOKUP($A340,'SegEnds_NonXtal_Prot#'!$A:$AL,14,FALSE)</f>
        <v>-</v>
      </c>
      <c r="AH340" s="5">
        <f>VLOOKUP($A340,'SegEnds_NonXtal_Prot#'!$A:$AL,17,FALSE)</f>
        <v>961</v>
      </c>
      <c r="AI340" s="5" t="str">
        <f>VLOOKUP($A340,'SegEnds_NonXtal_Prot#'!$A:$AL,20,FALSE)</f>
        <v>-</v>
      </c>
      <c r="AJ340" s="5">
        <f>VLOOKUP($A340,'SegEnds_NonXtal_Prot#'!$A:$AL,23,FALSE)</f>
        <v>997</v>
      </c>
      <c r="AK340" s="5">
        <f>VLOOKUP($A340,'SegEnds_NonXtal_Prot#'!$A:$AL,26,FALSE)</f>
        <v>1015</v>
      </c>
      <c r="AL340" s="5">
        <f>VLOOKUP($A340,'SegEnds_NonXtal_Prot#'!$A:$AL,29,FALSE)</f>
        <v>1051</v>
      </c>
      <c r="AM340" s="5">
        <f>VLOOKUP($A340,'SegEnds_NonXtal_Prot#'!$A:$AL,32,FALSE)</f>
        <v>1086</v>
      </c>
      <c r="AN340" s="5">
        <f>VLOOKUP($A340,'SegEnds_NonXtal_Prot#'!$A:$AL,35,FALSE)</f>
        <v>1117</v>
      </c>
      <c r="AO340" s="5">
        <f>VLOOKUP($A340,'SegEnds_NonXtal_Prot#'!$A:$AL,38,FALSE)</f>
        <v>1134</v>
      </c>
      <c r="AP340" s="5">
        <f t="shared" si="138"/>
        <v>37</v>
      </c>
      <c r="AQ340" s="4">
        <f t="shared" si="139"/>
        <v>3</v>
      </c>
      <c r="AR340" s="4">
        <f t="shared" si="140"/>
        <v>27</v>
      </c>
      <c r="AS340" s="4" t="str">
        <f t="shared" si="141"/>
        <v>-</v>
      </c>
      <c r="AT340" s="4">
        <f t="shared" si="142"/>
        <v>33</v>
      </c>
      <c r="AU340" s="4" t="str">
        <f t="shared" si="143"/>
        <v>-</v>
      </c>
      <c r="AV340" s="4">
        <f t="shared" si="144"/>
        <v>28</v>
      </c>
      <c r="AW340" s="4">
        <f t="shared" si="145"/>
        <v>2</v>
      </c>
      <c r="AX340" s="4">
        <f t="shared" si="146"/>
        <v>33</v>
      </c>
      <c r="AY340" s="4">
        <f t="shared" si="147"/>
        <v>24</v>
      </c>
      <c r="AZ340" s="4">
        <f t="shared" si="148"/>
        <v>25</v>
      </c>
      <c r="BA340" s="4">
        <f t="shared" si="149"/>
        <v>16</v>
      </c>
    </row>
    <row r="341" spans="1:53" x14ac:dyDescent="0.2">
      <c r="A341" s="1" t="str">
        <f>'SegEnds_NonXtal_Prot#'!A337</f>
        <v>agrg7_human</v>
      </c>
      <c r="B341" s="1" t="str">
        <f t="shared" si="125"/>
        <v>MTFKKDYQYPKSLDILSNVGCALSVTGLALTVIFQIVTTSVTWVLVNLCISMLIFNLLFVFGIENSNINIPNPMCTAIAALLHYFLLVTFTWNALSAAQLYYLLIRLPRHFILFISLIGWGVPAIVVAITVGVIYSQNKSPLLWSFIVPVTIILISNVVMFITISIKVLWKNSSMKKIVSTLSVAVVFGITWILAYLMSIRIVFSYIFCLFNTTQGLQIFILYTVRTKVFQSEASKVLMLLSS</v>
      </c>
      <c r="C341" s="29" t="str">
        <f>IF(ISERROR(MATCH(A341,'SegEnds_Xtal_Prot#'!B:B, 0)), "NoXtal", "Xtal")</f>
        <v>NoXtal</v>
      </c>
      <c r="D341" s="4" t="str">
        <f>VLOOKUP(A341,Classification!A:D,2,FALSE)</f>
        <v>B2</v>
      </c>
      <c r="E341" s="5" t="str">
        <f>VLOOKUP(A341,Seqs!A:B,2,FALSE)</f>
        <v>MASCRAWNLRVLVAVVCGLLTGIILGLGIWRIVIRIQRGKSTSSSSTPTEFCRNGGTWENGRCICTEEWKGLRCTIANFCENSTYMGFTFARIPVGRYGPSLQTCGKDTPNAGNPMAVRLCSLSLYGEIELQKVTIGNCNENLETLEKQVKDVTAPLNNISSEVQILTSDANKLTAENITSATRVVGQIFNTSRNASPEAKKVAIVTVSQLLDASEDAFQRVAATANDDALTTLIEQMETYSLSLGNQSVVEPNIAIQSANFSSENAVGPSNVRFSVQKGASSSLVSSSTFIHTNVDGLNPDAQTELQVLLNMTKNYTKTCGFVVYQNDKLFQSKTFTAKSDFSQKIISSKTDENEQDQSASVDMVFSPKYNQKEFQLYSYACVYWNLSAKDWDTYGCQKDKGTDGFLRCRCNHTTNFAVLMTFKKDYQYPKSLDILSNVGCALSVTGLALTVIFQIVTRKVRKTSVTWVLVNLCISMLIFNLLFVFGIENSNKNLQTSDGDINNIDFDNNDIPRTDTINIPNPMCTAIAALLHYFLLVTFTWNALSAAQLYYLLIRTMKPLPRHFILFISLIGWGVPAIVVAITVGVIYSQNGNNPQWELDYRQEKICWLAIPEPNGVIKSPLLWSFIVPVTIILISNVVMFITISIKVLWKNNQNLTSTKKVSSMKKIVSTLSVAVVFGITWILAYLMLVNDDSIRIVFSYIFCLFNTTQGLQIFILYTVRTKVFQSEASKVLMLLSSIGRRKSLPSVTRPRLRVKMYNFLRSLPTLHERFRLLETSPSTEEITLSESDNAKESI</v>
      </c>
      <c r="F341" s="5" t="str">
        <f t="shared" si="126"/>
        <v>MTFKKDYQYPKSLDILSNVGCALSVTGLALTVIFQIVT</v>
      </c>
      <c r="G341" s="4" t="str">
        <f t="shared" si="127"/>
        <v/>
      </c>
      <c r="H341" s="4" t="str">
        <f t="shared" si="128"/>
        <v>TSVTWVLVNLCISMLIFNLLFVFGIENSN</v>
      </c>
      <c r="I341" s="4" t="str">
        <f t="shared" si="129"/>
        <v/>
      </c>
      <c r="J341" s="4" t="str">
        <f t="shared" si="130"/>
        <v>INIPNPMCTAIAALLHYFLLVTFTWNALSAAQLYYLLIR</v>
      </c>
      <c r="K341" s="4" t="str">
        <f t="shared" si="131"/>
        <v/>
      </c>
      <c r="L341" s="4" t="str">
        <f t="shared" si="132"/>
        <v>LPRHFILFISLIGWGVPAIVVAITVGVIYSQN</v>
      </c>
      <c r="M341" s="4" t="str">
        <f t="shared" si="133"/>
        <v>CWL</v>
      </c>
      <c r="N341" s="4" t="str">
        <f t="shared" si="134"/>
        <v>KSPLLWSFIVPVTIILISNVVMFITISIKVLWKN</v>
      </c>
      <c r="O341" s="4" t="str">
        <f t="shared" si="135"/>
        <v>SSMKKIVSTLSVAVVFGITWILAYLM</v>
      </c>
      <c r="P341" s="4" t="str">
        <f t="shared" si="136"/>
        <v>SIRIVFSYIFCLFNTTQGLQIFILYTVR</v>
      </c>
      <c r="Q341" s="4" t="str">
        <f t="shared" si="137"/>
        <v>TKVFQSEASKVLMLLSS</v>
      </c>
      <c r="R341" s="5">
        <f>VLOOKUP($A341,'SegEnds_NonXtal_Prot#'!$A:$AL,3,FALSE)</f>
        <v>422</v>
      </c>
      <c r="S341" s="5" t="str">
        <f>VLOOKUP($A341,'SegEnds_NonXtal_Prot#'!$A:$AL,6,FALSE)</f>
        <v>-</v>
      </c>
      <c r="T341" s="5">
        <f>VLOOKUP($A341,'SegEnds_NonXtal_Prot#'!$A:$AL,9,FALSE)</f>
        <v>465</v>
      </c>
      <c r="U341" s="5" t="str">
        <f>VLOOKUP($A341,'SegEnds_NonXtal_Prot#'!$A:$AL,12,FALSE)</f>
        <v>-</v>
      </c>
      <c r="V341" s="5">
        <f>VLOOKUP($A341,'SegEnds_NonXtal_Prot#'!$A:$AL,15,FALSE)</f>
        <v>519</v>
      </c>
      <c r="W341" s="5" t="str">
        <f>VLOOKUP($A341,'SegEnds_NonXtal_Prot#'!$A:$AL,18,FALSE)</f>
        <v>-</v>
      </c>
      <c r="X341" s="5">
        <f>VLOOKUP($A341,'SegEnds_NonXtal_Prot#'!$A:$AL,21,FALSE)</f>
        <v>562</v>
      </c>
      <c r="Y341" s="5">
        <f>VLOOKUP($A341,'SegEnds_NonXtal_Prot#'!$A:$AL,24,FALSE)</f>
        <v>609</v>
      </c>
      <c r="Z341" s="5">
        <f>VLOOKUP($A341,'SegEnds_NonXtal_Prot#'!$A:$AL,27,FALSE)</f>
        <v>621</v>
      </c>
      <c r="AA341" s="5">
        <f>VLOOKUP($A341,'SegEnds_NonXtal_Prot#'!$A:$AL,30,FALSE)</f>
        <v>665</v>
      </c>
      <c r="AB341" s="5">
        <f>VLOOKUP($A341,'SegEnds_NonXtal_Prot#'!$A:$AL,33,FALSE)</f>
        <v>696</v>
      </c>
      <c r="AC341" s="5">
        <f>VLOOKUP($A341,'SegEnds_NonXtal_Prot#'!$A:$AL,36,FALSE)</f>
        <v>724</v>
      </c>
      <c r="AD341" s="5">
        <f>VLOOKUP($A341,'SegEnds_NonXtal_Prot#'!$A:$AL,5,FALSE)</f>
        <v>459</v>
      </c>
      <c r="AE341" s="5" t="str">
        <f>VLOOKUP($A341,'SegEnds_NonXtal_Prot#'!$A:$AL,8,FALSE)</f>
        <v>-</v>
      </c>
      <c r="AF341" s="5">
        <f>VLOOKUP($A341,'SegEnds_NonXtal_Prot#'!$A:$AL,11,FALSE)</f>
        <v>493</v>
      </c>
      <c r="AG341" s="5" t="str">
        <f>VLOOKUP($A341,'SegEnds_NonXtal_Prot#'!$A:$AL,14,FALSE)</f>
        <v>-</v>
      </c>
      <c r="AH341" s="5">
        <f>VLOOKUP($A341,'SegEnds_NonXtal_Prot#'!$A:$AL,17,FALSE)</f>
        <v>557</v>
      </c>
      <c r="AI341" s="5" t="str">
        <f>VLOOKUP($A341,'SegEnds_NonXtal_Prot#'!$A:$AL,20,FALSE)</f>
        <v>-</v>
      </c>
      <c r="AJ341" s="5">
        <f>VLOOKUP($A341,'SegEnds_NonXtal_Prot#'!$A:$AL,23,FALSE)</f>
        <v>593</v>
      </c>
      <c r="AK341" s="5">
        <f>VLOOKUP($A341,'SegEnds_NonXtal_Prot#'!$A:$AL,26,FALSE)</f>
        <v>611</v>
      </c>
      <c r="AL341" s="5">
        <f>VLOOKUP($A341,'SegEnds_NonXtal_Prot#'!$A:$AL,29,FALSE)</f>
        <v>654</v>
      </c>
      <c r="AM341" s="5">
        <f>VLOOKUP($A341,'SegEnds_NonXtal_Prot#'!$A:$AL,32,FALSE)</f>
        <v>690</v>
      </c>
      <c r="AN341" s="5">
        <f>VLOOKUP($A341,'SegEnds_NonXtal_Prot#'!$A:$AL,35,FALSE)</f>
        <v>723</v>
      </c>
      <c r="AO341" s="5">
        <f>VLOOKUP($A341,'SegEnds_NonXtal_Prot#'!$A:$AL,38,FALSE)</f>
        <v>740</v>
      </c>
      <c r="AP341" s="5">
        <f t="shared" si="138"/>
        <v>37</v>
      </c>
      <c r="AQ341" s="4" t="str">
        <f t="shared" si="139"/>
        <v>-</v>
      </c>
      <c r="AR341" s="4">
        <f t="shared" si="140"/>
        <v>28</v>
      </c>
      <c r="AS341" s="4" t="str">
        <f t="shared" si="141"/>
        <v>-</v>
      </c>
      <c r="AT341" s="4">
        <f t="shared" si="142"/>
        <v>38</v>
      </c>
      <c r="AU341" s="4" t="str">
        <f t="shared" si="143"/>
        <v>-</v>
      </c>
      <c r="AV341" s="4">
        <f t="shared" si="144"/>
        <v>31</v>
      </c>
      <c r="AW341" s="4">
        <f t="shared" si="145"/>
        <v>2</v>
      </c>
      <c r="AX341" s="4">
        <f t="shared" si="146"/>
        <v>33</v>
      </c>
      <c r="AY341" s="4">
        <f t="shared" si="147"/>
        <v>25</v>
      </c>
      <c r="AZ341" s="4">
        <f t="shared" si="148"/>
        <v>27</v>
      </c>
      <c r="BA341" s="4">
        <f t="shared" si="149"/>
        <v>16</v>
      </c>
    </row>
    <row r="342" spans="1:53" x14ac:dyDescent="0.2">
      <c r="A342" s="1" t="str">
        <f>'SegEnds_NonXtal_Prot#'!A338</f>
        <v>agrl1_human</v>
      </c>
      <c r="B342" s="1" t="str">
        <f t="shared" si="125"/>
        <v>REIYQGRINELLLSVITWVGIVISLVCLAICISTFCFLTDRNTIHKNLCINLFLAELLFLVGIDKIACPIFAGLLHYFFLAAFSWLCLEGVHLYLLLVERTKYYYLGGYCFPALVVGIAAAIDYRSYDNYFIWSFIGPVSFVIVVNLVFLMVTLHKMIRSSNIKSWALGAIALLFLLGLTWAFGLLSVVMAYLFTTFNAFQGVFIFVFHCALQKKVHKEYSKCLRHSYC</v>
      </c>
      <c r="C342" s="29" t="str">
        <f>IF(ISERROR(MATCH(A342,'SegEnds_Xtal_Prot#'!B:B, 0)), "NoXtal", "Xtal")</f>
        <v>NoXtal</v>
      </c>
      <c r="D342" s="4" t="str">
        <f>VLOOKUP(A342,Classification!A:D,2,FALSE)</f>
        <v>B2</v>
      </c>
      <c r="E342" s="5" t="str">
        <f>VLOOKUP(A342,Seqs!A:B,2,FALSE)</f>
        <v>MARLAAVLWNLCVTAVLVTSATQGLSRAGLPFGLMRRELACEGYPIELRCPGSDVIMVENANYGRTDDKICDADPFQMENVQCYLPDAFKIMSQRCNNRTQCVVVAGSDAFPDPCPGTYKYLEVQYDCVPYKVEQKVFVCPGTLQKVLEPTSTHESEHQSGAWCKDPLQAGDRIYVMPWIPYRTDTLTEYASWEDYVAARHTTTYRLPNRVDGTGFVVYDGAVFYNKERTRNIVKYDLRTRIKSGETVINTANYHDTSPYRWGGKTDIDLAVDENGLWVIYATEGNNGRLVVSQLNPYTLRFEGTWETGYDKRSASNAFMVCGVLYVLRSVYVDDDSEAAGNRVDYAFNTNANREEPVSLTFPNPYQFISSVDYNPRDNQLYVWNNYFVVRYSLEFGPPDPSAGPATSPPLSTTTTARPTPLTSTASPAATTPLRRAPLTTHPVGAINQLGPDLPPATAPVPSTRRPPAPNLHVSPELFCEPREVRRVQWPATQQGMLVERPCPKGTRGIASFQCLPALGLWNPRGPDLSNCTSPWVNQVAQKIKSGENAANIASELARHTRGSIYAGDVSSSVKLMEQLLDILDAQLQALRPIERESAGKNYNKMHKRERTCKDYIKAVVETVDNLLRPEALESWKDMNATEQVHTATMLLDVLEEGAFLLADNVREPARFLAAKENVVLEVTVLNTEGQVQELVFPQEEYPRKNSIQLSAKTIKQNSRNGVVKVVFILYNNLGLFLSTENATVKLAGEAGPGGPGGASLVVNSQVIAASINKESSRVFLMDPVIFTVAHLEDKNHFNANCSFWNYSERSMLGYWSTQGCRLVESNKTHTTCACSHLTNFAVLMAHREIYQGRINELLLSVITWVGIVISLVCLAICISTFCFLRGLQTDRNTIHKNLCINLFLAELLFLVGIDKTQYEIACPIFAGLLHYFFLAAFSWLCLEGVHLYLLLVEVFESEYSRTKYYYLGGYCFPALVVGIAAAIDYRSYGTEKACWLRVDNYFIWSFIGPVSFVIVVNLVFLMVTLHKMIRSSSVLKPDSSRLDNIKSWALGAIALLFLLGLTWAFGLLFINKESVVMAYLFTTFNAFQGVFIFVFHCALQKKVHKEYSKCLRHSYCCIRSPPGGTHGSLKTSAMRSNTRYYTGTQSRIRRMWNDTVRKQTESSFMAGDINSTPTLNRGTMGNHLLTNPVLQPRGGTSPYNTLIAESVGFNPSSPPVFNSPGSYREPKHPLGGREACGMDTLPLNGNFNNSYSLRSGDFPPGDGGPEPPRGRNLADAAAFEKMIISELVHNNLRGSSSAAKGPPPPEPPVPPVPGGGGEEEAGGPGGADRAEIELLYKALEEPLLLPRAQSVLYQSDLDESESCTAEDGATSRPLSSPPGRDSLYASGANLRDSPSYPDSSPEGPSEALPPPPPAPPGPPEIYYTSRPPALVARNPLQGYYQVRRPSHEGYLAAPGLEGPGPDGDGQMQLVTSL</v>
      </c>
      <c r="F342" s="5" t="str">
        <f t="shared" si="126"/>
        <v>REIYQGRINELLLSVITWVGIVISLVCLAICISTFCFL</v>
      </c>
      <c r="G342" s="4" t="str">
        <f t="shared" si="127"/>
        <v>RGLQ</v>
      </c>
      <c r="H342" s="4" t="str">
        <f t="shared" si="128"/>
        <v>TDRNTIHKNLCINLFLAELLFLVGIDK</v>
      </c>
      <c r="I342" s="4" t="str">
        <f t="shared" si="129"/>
        <v/>
      </c>
      <c r="J342" s="4" t="str">
        <f t="shared" si="130"/>
        <v>IACPIFAGLLHYFFLAAFSWLCLEGVHLYLLLVE</v>
      </c>
      <c r="K342" s="4" t="str">
        <f t="shared" si="131"/>
        <v/>
      </c>
      <c r="L342" s="4" t="str">
        <f t="shared" si="132"/>
        <v>RTKYYYLGGYCFPALVVGIAAAIDYRSY</v>
      </c>
      <c r="M342" s="4" t="str">
        <f t="shared" si="133"/>
        <v>CWL</v>
      </c>
      <c r="N342" s="4" t="str">
        <f t="shared" si="134"/>
        <v>DNYFIWSFIGPVSFVIVVNLVFLMVTLHKMIRSS</v>
      </c>
      <c r="O342" s="4" t="str">
        <f t="shared" si="135"/>
        <v>NIKSWALGAIALLFLLGLTWAFGLL</v>
      </c>
      <c r="P342" s="4" t="str">
        <f t="shared" si="136"/>
        <v>SVVMAYLFTTFNAFQGVFIFVFHCAL</v>
      </c>
      <c r="Q342" s="4" t="str">
        <f t="shared" si="137"/>
        <v>QKKVHKEYSKCLRHSYC</v>
      </c>
      <c r="R342" s="5">
        <f>VLOOKUP($A342,'SegEnds_NonXtal_Prot#'!$A:$AL,3,FALSE)</f>
        <v>848</v>
      </c>
      <c r="S342" s="5">
        <f>VLOOKUP($A342,'SegEnds_NonXtal_Prot#'!$A:$AL,6,FALSE)</f>
        <v>886</v>
      </c>
      <c r="T342" s="5">
        <f>VLOOKUP($A342,'SegEnds_NonXtal_Prot#'!$A:$AL,9,FALSE)</f>
        <v>890</v>
      </c>
      <c r="U342" s="5" t="str">
        <f>VLOOKUP($A342,'SegEnds_NonXtal_Prot#'!$A:$AL,12,FALSE)</f>
        <v>-</v>
      </c>
      <c r="V342" s="5">
        <f>VLOOKUP($A342,'SegEnds_NonXtal_Prot#'!$A:$AL,15,FALSE)</f>
        <v>921</v>
      </c>
      <c r="W342" s="5" t="str">
        <f>VLOOKUP($A342,'SegEnds_NonXtal_Prot#'!$A:$AL,18,FALSE)</f>
        <v>-</v>
      </c>
      <c r="X342" s="5">
        <f>VLOOKUP($A342,'SegEnds_NonXtal_Prot#'!$A:$AL,21,FALSE)</f>
        <v>962</v>
      </c>
      <c r="Y342" s="5">
        <f>VLOOKUP($A342,'SegEnds_NonXtal_Prot#'!$A:$AL,24,FALSE)</f>
        <v>995</v>
      </c>
      <c r="Z342" s="5">
        <f>VLOOKUP($A342,'SegEnds_NonXtal_Prot#'!$A:$AL,27,FALSE)</f>
        <v>1000</v>
      </c>
      <c r="AA342" s="5">
        <f>VLOOKUP($A342,'SegEnds_NonXtal_Prot#'!$A:$AL,30,FALSE)</f>
        <v>1045</v>
      </c>
      <c r="AB342" s="5">
        <f>VLOOKUP($A342,'SegEnds_NonXtal_Prot#'!$A:$AL,33,FALSE)</f>
        <v>1075</v>
      </c>
      <c r="AC342" s="5">
        <f>VLOOKUP($A342,'SegEnds_NonXtal_Prot#'!$A:$AL,36,FALSE)</f>
        <v>1101</v>
      </c>
      <c r="AD342" s="5">
        <f>VLOOKUP($A342,'SegEnds_NonXtal_Prot#'!$A:$AL,5,FALSE)</f>
        <v>885</v>
      </c>
      <c r="AE342" s="5">
        <f>VLOOKUP($A342,'SegEnds_NonXtal_Prot#'!$A:$AL,8,FALSE)</f>
        <v>889</v>
      </c>
      <c r="AF342" s="5">
        <f>VLOOKUP($A342,'SegEnds_NonXtal_Prot#'!$A:$AL,11,FALSE)</f>
        <v>916</v>
      </c>
      <c r="AG342" s="5" t="str">
        <f>VLOOKUP($A342,'SegEnds_NonXtal_Prot#'!$A:$AL,14,FALSE)</f>
        <v>-</v>
      </c>
      <c r="AH342" s="5">
        <f>VLOOKUP($A342,'SegEnds_NonXtal_Prot#'!$A:$AL,17,FALSE)</f>
        <v>954</v>
      </c>
      <c r="AI342" s="5" t="str">
        <f>VLOOKUP($A342,'SegEnds_NonXtal_Prot#'!$A:$AL,20,FALSE)</f>
        <v>-</v>
      </c>
      <c r="AJ342" s="5">
        <f>VLOOKUP($A342,'SegEnds_NonXtal_Prot#'!$A:$AL,23,FALSE)</f>
        <v>989</v>
      </c>
      <c r="AK342" s="5">
        <f>VLOOKUP($A342,'SegEnds_NonXtal_Prot#'!$A:$AL,26,FALSE)</f>
        <v>997</v>
      </c>
      <c r="AL342" s="5">
        <f>VLOOKUP($A342,'SegEnds_NonXtal_Prot#'!$A:$AL,29,FALSE)</f>
        <v>1033</v>
      </c>
      <c r="AM342" s="5">
        <f>VLOOKUP($A342,'SegEnds_NonXtal_Prot#'!$A:$AL,32,FALSE)</f>
        <v>1069</v>
      </c>
      <c r="AN342" s="5">
        <f>VLOOKUP($A342,'SegEnds_NonXtal_Prot#'!$A:$AL,35,FALSE)</f>
        <v>1100</v>
      </c>
      <c r="AO342" s="5">
        <f>VLOOKUP($A342,'SegEnds_NonXtal_Prot#'!$A:$AL,38,FALSE)</f>
        <v>1117</v>
      </c>
      <c r="AP342" s="5">
        <f t="shared" si="138"/>
        <v>37</v>
      </c>
      <c r="AQ342" s="4">
        <f t="shared" si="139"/>
        <v>3</v>
      </c>
      <c r="AR342" s="4">
        <f t="shared" si="140"/>
        <v>26</v>
      </c>
      <c r="AS342" s="4" t="str">
        <f t="shared" si="141"/>
        <v>-</v>
      </c>
      <c r="AT342" s="4">
        <f t="shared" si="142"/>
        <v>33</v>
      </c>
      <c r="AU342" s="4" t="str">
        <f t="shared" si="143"/>
        <v>-</v>
      </c>
      <c r="AV342" s="4">
        <f t="shared" si="144"/>
        <v>27</v>
      </c>
      <c r="AW342" s="4">
        <f t="shared" si="145"/>
        <v>2</v>
      </c>
      <c r="AX342" s="4">
        <f t="shared" si="146"/>
        <v>33</v>
      </c>
      <c r="AY342" s="4">
        <f t="shared" si="147"/>
        <v>24</v>
      </c>
      <c r="AZ342" s="4">
        <f t="shared" si="148"/>
        <v>25</v>
      </c>
      <c r="BA342" s="4">
        <f t="shared" si="149"/>
        <v>16</v>
      </c>
    </row>
    <row r="343" spans="1:53" x14ac:dyDescent="0.2">
      <c r="A343" s="1" t="str">
        <f>'SegEnds_NonXtal_Prot#'!A339</f>
        <v>agrl2_human</v>
      </c>
      <c r="B343" s="1" t="str">
        <f t="shared" si="125"/>
        <v>EIAYKDGVHELLLTVITWVGIVISLVCLAICIFTFCFFSDRNTIHKNLCINLFIAEFIFLIGIDKIACPIFAGLLHFFFLAAFAWMCLEGVQLYLMLVERKKYYYVAGYLFPATVVGVSAAIDYKSYDNYFIWSFIGPVTFIILLNIIFLVITLCKMVKHSNIKSWVLGAFALLCLLGLTWSFGLLTIVMAYLFTIFNAFQGVFIFIFHCALQKKVRKEYGKCFRHSYC</v>
      </c>
      <c r="C343" s="29" t="str">
        <f>IF(ISERROR(MATCH(A343,'SegEnds_Xtal_Prot#'!B:B, 0)), "NoXtal", "Xtal")</f>
        <v>NoXtal</v>
      </c>
      <c r="D343" s="4" t="str">
        <f>VLOOKUP(A343,Classification!A:D,2,FALSE)</f>
        <v>B2</v>
      </c>
      <c r="E343" s="5" t="str">
        <f>VLOOKUP(A343,Seqs!A:B,2,FALSE)</f>
        <v>MVSSGCRMRSLWFIIVISFLPNTEGFSRAALPFGLVRRELSCEGYSIDLRCPGSDVIMIESANYGRTDDKICDADPFQMENTDCYLPDAFKIMTQRCNNRTQCIVVTGSDVFPDPCPGTYKYLEVQYECVPYIFVCPGTLKAIVDSPCIYEAEQKAGAWCKDPLQAADKIYFMPWTPYRTDTLIEYASLEDFQNSRQTTTYKLPNRVDGTGFVVYDGAVFFNKERTRNIVKFDLRTRIKSGEAIINYANYHDTSPYRWGGKTDIDLAVDENGLWVIYATEQNNGMIVISQLNPYTLRFEATWETVYDKRAASNAFMICGVLYVVRSVYQDNESETGKNSIDYIYNTRLNRGEYVDVPFPNQYQYIAAVDYNPRDNQLYVWNNNFILRYSLEFGPPDPAQVPTTAVTITSSAELFKTIISTTSTTSQKGPMSTTVAGSQEGSKGTKPPPAVSTTKIPPITNIFPLPERFCEALDSKGIKWPQTQRGMMVERPCPKGTRGTASYLCMISTGTWNPKGPDLSNCTSHWVNQLAQKIRSGENAASLANELAKHTKGPVFAGDVSSSVRLMEQLVDILDAQLQELKPSEKDSAGRSYNKLQKREKTCRAYLKAIVDTVDNLLRPEALESWKHMNSSEQAHTATMLLDTLEEGAFVLADNLLEPTRVSMPTENIVLEVAVLSTEGQIQDFKFPLGIKGAGSSIQLSANTVKQNSRNGLAKLVFIIYRSLGQFLSTENATIKLGADFIGRNSTIAVNSHVISVSINKESSRVYLTDPVLFTLPHIDPDNYFNANCSFWNYSERTMMGYWSTQGCKLVDTNKTRTTCACSHLTNFAILMAHREIAYKDGVHELLLTVITWVGIVISLVCLAICIFTFCFFRGLQSDRNTIHKNLCINLFIAEFIFLIGIDKTKYAIACPIFAGLLHFFFLAAFAWMCLEGVQLYLMLVEVFESEYSRKKYYYVAGYLFPATVVGVSAAIDYKSYGTEKACWLHVDNYFIWSFIGPVTFIILLNIIFLVITLCKMVKHSNTLKPDSSRLENIKSWVLGAFALLCLLGLTWSFGLLFINEETIVMAYLFTIFNAFQGVFIFIFHCALQKKVRKEYGKCFRHSYCCGGLPTESPHSSVKASTTRTSARYSSGTQSRIRRMWNDTVRKQSESSFISGDINSTSTLNQGMTGNYLLTNPLLRPHGTNNPYNTLLAETVVCNAPSAPVFNSPGHSLNNARDTSAMDTLPLNGNFNNSYSLHKGDYNDSVQVVDCGLSLNDTAFEKMIISELVHNNLRGSSKTHNLELTLPVKPVIGGSSSEDDAIVADASSLMHSDNPGLELHHKELEAPLIPQRTHSLLYQPQKKVKSEGTDSYVSQLTAEAEDHLQSPNRDSLYTSMPNLRDSPYPESSPDMEEDLSPSRRSENEDIYYKSMPNLGAGHQLQMCYQISRGNSDGYIIPINKEGCIPEGDVREGQMQLVTSL</v>
      </c>
      <c r="F343" s="5" t="str">
        <f t="shared" si="126"/>
        <v>EIAYKDGVHELLLTVITWVGIVISLVCLAICIFTFCFF</v>
      </c>
      <c r="G343" s="4" t="str">
        <f t="shared" si="127"/>
        <v/>
      </c>
      <c r="H343" s="4" t="str">
        <f t="shared" si="128"/>
        <v>SDRNTIHKNLCINLFIAEFIFLIGIDK</v>
      </c>
      <c r="I343" s="4" t="str">
        <f t="shared" si="129"/>
        <v/>
      </c>
      <c r="J343" s="4" t="str">
        <f t="shared" si="130"/>
        <v>IACPIFAGLLHFFFLAAFAWMCLEGVQLYLMLVE</v>
      </c>
      <c r="K343" s="4" t="str">
        <f t="shared" si="131"/>
        <v/>
      </c>
      <c r="L343" s="4" t="str">
        <f t="shared" si="132"/>
        <v>RKKYYYVAGYLFPATVVGVSAAIDYKSY</v>
      </c>
      <c r="M343" s="4" t="str">
        <f t="shared" si="133"/>
        <v>CWL</v>
      </c>
      <c r="N343" s="4" t="str">
        <f t="shared" si="134"/>
        <v>DNYFIWSFIGPVTFIILLNIIFLVITLCKMVKHS</v>
      </c>
      <c r="O343" s="4" t="str">
        <f t="shared" si="135"/>
        <v>NIKSWVLGAFALLCLLGLTWSFGLL</v>
      </c>
      <c r="P343" s="4" t="str">
        <f t="shared" si="136"/>
        <v>TIVMAYLFTIFNAFQGVFIFIFHCAL</v>
      </c>
      <c r="Q343" s="4" t="str">
        <f t="shared" si="137"/>
        <v>QKKVRKEYGKCFRHSYC</v>
      </c>
      <c r="R343" s="5">
        <f>VLOOKUP($A343,'SegEnds_NonXtal_Prot#'!$A:$AL,3,FALSE)</f>
        <v>835</v>
      </c>
      <c r="S343" s="5" t="str">
        <f>VLOOKUP($A343,'SegEnds_NonXtal_Prot#'!$A:$AL,6,FALSE)</f>
        <v>-</v>
      </c>
      <c r="T343" s="5">
        <f>VLOOKUP($A343,'SegEnds_NonXtal_Prot#'!$A:$AL,9,FALSE)</f>
        <v>877</v>
      </c>
      <c r="U343" s="5" t="str">
        <f>VLOOKUP($A343,'SegEnds_NonXtal_Prot#'!$A:$AL,12,FALSE)</f>
        <v>-</v>
      </c>
      <c r="V343" s="5">
        <f>VLOOKUP($A343,'SegEnds_NonXtal_Prot#'!$A:$AL,15,FALSE)</f>
        <v>908</v>
      </c>
      <c r="W343" s="5" t="str">
        <f>VLOOKUP($A343,'SegEnds_NonXtal_Prot#'!$A:$AL,18,FALSE)</f>
        <v>-</v>
      </c>
      <c r="X343" s="5">
        <f>VLOOKUP($A343,'SegEnds_NonXtal_Prot#'!$A:$AL,21,FALSE)</f>
        <v>949</v>
      </c>
      <c r="Y343" s="5">
        <f>VLOOKUP($A343,'SegEnds_NonXtal_Prot#'!$A:$AL,24,FALSE)</f>
        <v>982</v>
      </c>
      <c r="Z343" s="5">
        <f>VLOOKUP($A343,'SegEnds_NonXtal_Prot#'!$A:$AL,27,FALSE)</f>
        <v>987</v>
      </c>
      <c r="AA343" s="5">
        <f>VLOOKUP($A343,'SegEnds_NonXtal_Prot#'!$A:$AL,30,FALSE)</f>
        <v>1032</v>
      </c>
      <c r="AB343" s="5">
        <f>VLOOKUP($A343,'SegEnds_NonXtal_Prot#'!$A:$AL,33,FALSE)</f>
        <v>1062</v>
      </c>
      <c r="AC343" s="5">
        <f>VLOOKUP($A343,'SegEnds_NonXtal_Prot#'!$A:$AL,36,FALSE)</f>
        <v>1088</v>
      </c>
      <c r="AD343" s="5">
        <f>VLOOKUP($A343,'SegEnds_NonXtal_Prot#'!$A:$AL,5,FALSE)</f>
        <v>872</v>
      </c>
      <c r="AE343" s="5" t="str">
        <f>VLOOKUP($A343,'SegEnds_NonXtal_Prot#'!$A:$AL,8,FALSE)</f>
        <v>-</v>
      </c>
      <c r="AF343" s="5">
        <f>VLOOKUP($A343,'SegEnds_NonXtal_Prot#'!$A:$AL,11,FALSE)</f>
        <v>903</v>
      </c>
      <c r="AG343" s="5" t="str">
        <f>VLOOKUP($A343,'SegEnds_NonXtal_Prot#'!$A:$AL,14,FALSE)</f>
        <v>-</v>
      </c>
      <c r="AH343" s="5">
        <f>VLOOKUP($A343,'SegEnds_NonXtal_Prot#'!$A:$AL,17,FALSE)</f>
        <v>941</v>
      </c>
      <c r="AI343" s="5" t="str">
        <f>VLOOKUP($A343,'SegEnds_NonXtal_Prot#'!$A:$AL,20,FALSE)</f>
        <v>-</v>
      </c>
      <c r="AJ343" s="5">
        <f>VLOOKUP($A343,'SegEnds_NonXtal_Prot#'!$A:$AL,23,FALSE)</f>
        <v>976</v>
      </c>
      <c r="AK343" s="5">
        <f>VLOOKUP($A343,'SegEnds_NonXtal_Prot#'!$A:$AL,26,FALSE)</f>
        <v>984</v>
      </c>
      <c r="AL343" s="5">
        <f>VLOOKUP($A343,'SegEnds_NonXtal_Prot#'!$A:$AL,29,FALSE)</f>
        <v>1020</v>
      </c>
      <c r="AM343" s="5">
        <f>VLOOKUP($A343,'SegEnds_NonXtal_Prot#'!$A:$AL,32,FALSE)</f>
        <v>1056</v>
      </c>
      <c r="AN343" s="5">
        <f>VLOOKUP($A343,'SegEnds_NonXtal_Prot#'!$A:$AL,35,FALSE)</f>
        <v>1087</v>
      </c>
      <c r="AO343" s="5">
        <f>VLOOKUP($A343,'SegEnds_NonXtal_Prot#'!$A:$AL,38,FALSE)</f>
        <v>1104</v>
      </c>
      <c r="AP343" s="5">
        <f t="shared" si="138"/>
        <v>37</v>
      </c>
      <c r="AQ343" s="4" t="str">
        <f t="shared" si="139"/>
        <v>-</v>
      </c>
      <c r="AR343" s="4">
        <f t="shared" si="140"/>
        <v>26</v>
      </c>
      <c r="AS343" s="4" t="str">
        <f t="shared" si="141"/>
        <v>-</v>
      </c>
      <c r="AT343" s="4">
        <f t="shared" si="142"/>
        <v>33</v>
      </c>
      <c r="AU343" s="4" t="str">
        <f t="shared" si="143"/>
        <v>-</v>
      </c>
      <c r="AV343" s="4">
        <f t="shared" si="144"/>
        <v>27</v>
      </c>
      <c r="AW343" s="4">
        <f t="shared" si="145"/>
        <v>2</v>
      </c>
      <c r="AX343" s="4">
        <f t="shared" si="146"/>
        <v>33</v>
      </c>
      <c r="AY343" s="4">
        <f t="shared" si="147"/>
        <v>24</v>
      </c>
      <c r="AZ343" s="4">
        <f t="shared" si="148"/>
        <v>25</v>
      </c>
      <c r="BA343" s="4">
        <f t="shared" si="149"/>
        <v>16</v>
      </c>
    </row>
    <row r="344" spans="1:53" x14ac:dyDescent="0.2">
      <c r="A344" s="1" t="str">
        <f>'SegEnds_NonXtal_Prot#'!A340</f>
        <v>agrl3_human</v>
      </c>
      <c r="B344" s="1" t="str">
        <f t="shared" si="125"/>
        <v>EVKHSDAVHDLLLDVITWVGILLSLVCLLICIFTFCFFSDRNTIHKNLCISLFVAELLFLIGINRIACAVFAALLHFFFLAAFTWMFLEGVQLYIMLVESRRKYFYLVGYGMPALIVAVSAAVDYRSYDTYFIWSFIGPATLIIMLNVIFLGIALYKMFHHTNIKSWVIGAIALLCLLGLTWAFGLMTVIMAYLFTIFNSLQGMFIFIFHCVLQKKVRKEYGKCLRTHCC</v>
      </c>
      <c r="C344" s="29" t="str">
        <f>IF(ISERROR(MATCH(A344,'SegEnds_Xtal_Prot#'!B:B, 0)), "NoXtal", "Xtal")</f>
        <v>NoXtal</v>
      </c>
      <c r="D344" s="4" t="str">
        <f>VLOOKUP(A344,Classification!A:D,2,FALSE)</f>
        <v>B2</v>
      </c>
      <c r="E344" s="5" t="str">
        <f>VLOOKUP(A344,Seqs!A:B,2,FALSE)</f>
        <v>MWPSQLLIFMMLLAPIIHAFSRAPIPMAVVRRELSCESYPIELRCPGTDVIMIESANYGRTDDKICDSDPAQMENIRCYLPDAYKIMSQRCNNRTQCAVVAGPDVFPDPCPGTYKYLEVQYECVPYKVEQKVFLCPGLLKGVYQSEHLFESDHQSGAWCKDPLQASDKIYYMPWTPYRTDTLTEYSSKDDFIAGRPTTTYKLPHRVDGTGFVVYDGALFFNKERTRNIVKFDLRTRIKSGEAIIANANYHDTSPYRWGGKSDIDLAVDENGLWVIYATEQNNGKIVISQLNPYTLRIEGTWDTAYDKRSASNAFMICGILYVVKSVYEDDDNEATGNKIDYIYNTDQSKDSLVDVPFPNSYQYIAAVDYNPRDNLLYVWNNYHVVKYSLDFGPLDSRSGQAHHGQVSYISPPIHLDSELERPSVKDISTTGPLGMGSTTTSTTLRTTTLSPGRSTTPSVSGRRNRSTSTPSPAVEVLDDMTTHLPSASSQIPALEESCEAVEAREIMWFKTRQGQIAKQPCPAGTIGVSTYLCLAPDGIWDPQGPDLSNCSSPWVNHITQKLKSGETAANIARELAEQTRNHLNAGDITYSVRAMDQLVGLLDVQLRNLTPGGKDSAARSLNKAMVETVNNLLQPQALNAWRDLTTSDQLRAATMLLHTVEESAFVLADNLLKTDIVRENTDNIKLEVARLSTEGNLEDLKFPENMGHGSTIQLSANTLKQNGRNGEIRVAFVLYNNLGPYLSTENASMKLGTEALSTNHSVIVNSPVITAAINKEFSNKVYLADPVVFTVKHIKQSEENFNPNCSFWSYSKRTMTGYWSTQGCRLLTTNKTHTTCSCNHLTNFAVLMAHVEVKHSDAVHDLLLDVITWVGILLSLVCLLICIFTFCFFRGLQSDRNTIHKNLCISLFVAELLFLIGINRTDQPIACAVFAALLHFFFLAAFTWMFLEGVQLYIMLVEVFESEHSRRKYFYLVGYGMPALIVAVSAAVDYRSYGTDKVCWLRLDTYFIWSFIGPATLIIMLNVIFLGIALYKMFHHTAILKPESGCLDNIKSWVIGAIALLCLLGLTWAFGLMYINESTVIMAYLFTIFNSLQGMFIFIFHCVLQKKVRKEYGKCLRTHCCSGKSTESSIGSGKTSGSRTPGRYSTGSQSRIRRMWNDTVRKQSESSFITGDINSSASLNREGLLNNARDTSVMDTLPLNGNHGNSYSIASGEYLSNCVQIIDRGYNHNETALEKKILKELTSNYIPSYLNNHERSSEQNRNLMNKLVNNLGSGREDDAIVLDDATSFNHEESLGLELIHEESDAPLLPPRVYSTENHQPHHYTRRRIPQDHSESFFPLLTNEHTEDLQSPHRDSLYTSMPTLAGVAATESVTTSTQTEPPPAKCGDAEDVYYKSMPNLGSRNHVHQLHTYYQLGRGSSDGFIVPPNKDGTPPEGSSKGPAHLVTSL</v>
      </c>
      <c r="F344" s="5" t="str">
        <f t="shared" si="126"/>
        <v>EVKHSDAVHDLLLDVITWVGILLSLVCLLICIFTFCFF</v>
      </c>
      <c r="G344" s="4" t="str">
        <f t="shared" si="127"/>
        <v>RGLQ</v>
      </c>
      <c r="H344" s="4" t="str">
        <f t="shared" si="128"/>
        <v>SDRNTIHKNLCISLFVAELLFLIGINR</v>
      </c>
      <c r="I344" s="4" t="str">
        <f t="shared" si="129"/>
        <v/>
      </c>
      <c r="J344" s="4" t="str">
        <f t="shared" si="130"/>
        <v>IACAVFAALLHFFFLAAFTWMFLEGVQLYIMLVE</v>
      </c>
      <c r="K344" s="4" t="str">
        <f t="shared" si="131"/>
        <v/>
      </c>
      <c r="L344" s="4" t="str">
        <f t="shared" si="132"/>
        <v>SRRKYFYLVGYGMPALIVAVSAAVDYRSY</v>
      </c>
      <c r="M344" s="4" t="str">
        <f t="shared" si="133"/>
        <v>CWL</v>
      </c>
      <c r="N344" s="4" t="str">
        <f t="shared" si="134"/>
        <v>DTYFIWSFIGPATLIIMLNVIFLGIALYKMFHHT</v>
      </c>
      <c r="O344" s="4" t="str">
        <f t="shared" si="135"/>
        <v>NIKSWVIGAIALLCLLGLTWAFGLM</v>
      </c>
      <c r="P344" s="4" t="str">
        <f t="shared" si="136"/>
        <v>TVIMAYLFTIFNSLQGMFIFIFHCVL</v>
      </c>
      <c r="Q344" s="4" t="str">
        <f t="shared" si="137"/>
        <v>QKKVRKEYGKCLRTHCC</v>
      </c>
      <c r="R344" s="5">
        <f>VLOOKUP($A344,'SegEnds_NonXtal_Prot#'!$A:$AL,3,FALSE)</f>
        <v>852</v>
      </c>
      <c r="S344" s="5">
        <f>VLOOKUP($A344,'SegEnds_NonXtal_Prot#'!$A:$AL,6,FALSE)</f>
        <v>890</v>
      </c>
      <c r="T344" s="5">
        <f>VLOOKUP($A344,'SegEnds_NonXtal_Prot#'!$A:$AL,9,FALSE)</f>
        <v>894</v>
      </c>
      <c r="U344" s="5" t="str">
        <f>VLOOKUP($A344,'SegEnds_NonXtal_Prot#'!$A:$AL,12,FALSE)</f>
        <v>-</v>
      </c>
      <c r="V344" s="5">
        <f>VLOOKUP($A344,'SegEnds_NonXtal_Prot#'!$A:$AL,15,FALSE)</f>
        <v>925</v>
      </c>
      <c r="W344" s="5" t="str">
        <f>VLOOKUP($A344,'SegEnds_NonXtal_Prot#'!$A:$AL,18,FALSE)</f>
        <v>-</v>
      </c>
      <c r="X344" s="5">
        <f>VLOOKUP($A344,'SegEnds_NonXtal_Prot#'!$A:$AL,21,FALSE)</f>
        <v>965</v>
      </c>
      <c r="Y344" s="5">
        <f>VLOOKUP($A344,'SegEnds_NonXtal_Prot#'!$A:$AL,24,FALSE)</f>
        <v>999</v>
      </c>
      <c r="Z344" s="5">
        <f>VLOOKUP($A344,'SegEnds_NonXtal_Prot#'!$A:$AL,27,FALSE)</f>
        <v>1004</v>
      </c>
      <c r="AA344" s="5">
        <f>VLOOKUP($A344,'SegEnds_NonXtal_Prot#'!$A:$AL,30,FALSE)</f>
        <v>1049</v>
      </c>
      <c r="AB344" s="5">
        <f>VLOOKUP($A344,'SegEnds_NonXtal_Prot#'!$A:$AL,33,FALSE)</f>
        <v>1079</v>
      </c>
      <c r="AC344" s="5">
        <f>VLOOKUP($A344,'SegEnds_NonXtal_Prot#'!$A:$AL,36,FALSE)</f>
        <v>1105</v>
      </c>
      <c r="AD344" s="5">
        <f>VLOOKUP($A344,'SegEnds_NonXtal_Prot#'!$A:$AL,5,FALSE)</f>
        <v>889</v>
      </c>
      <c r="AE344" s="5">
        <f>VLOOKUP($A344,'SegEnds_NonXtal_Prot#'!$A:$AL,8,FALSE)</f>
        <v>893</v>
      </c>
      <c r="AF344" s="5">
        <f>VLOOKUP($A344,'SegEnds_NonXtal_Prot#'!$A:$AL,11,FALSE)</f>
        <v>920</v>
      </c>
      <c r="AG344" s="5" t="str">
        <f>VLOOKUP($A344,'SegEnds_NonXtal_Prot#'!$A:$AL,14,FALSE)</f>
        <v>-</v>
      </c>
      <c r="AH344" s="5">
        <f>VLOOKUP($A344,'SegEnds_NonXtal_Prot#'!$A:$AL,17,FALSE)</f>
        <v>958</v>
      </c>
      <c r="AI344" s="5" t="str">
        <f>VLOOKUP($A344,'SegEnds_NonXtal_Prot#'!$A:$AL,20,FALSE)</f>
        <v>-</v>
      </c>
      <c r="AJ344" s="5">
        <f>VLOOKUP($A344,'SegEnds_NonXtal_Prot#'!$A:$AL,23,FALSE)</f>
        <v>993</v>
      </c>
      <c r="AK344" s="5">
        <f>VLOOKUP($A344,'SegEnds_NonXtal_Prot#'!$A:$AL,26,FALSE)</f>
        <v>1001</v>
      </c>
      <c r="AL344" s="5">
        <f>VLOOKUP($A344,'SegEnds_NonXtal_Prot#'!$A:$AL,29,FALSE)</f>
        <v>1037</v>
      </c>
      <c r="AM344" s="5">
        <f>VLOOKUP($A344,'SegEnds_NonXtal_Prot#'!$A:$AL,32,FALSE)</f>
        <v>1073</v>
      </c>
      <c r="AN344" s="5">
        <f>VLOOKUP($A344,'SegEnds_NonXtal_Prot#'!$A:$AL,35,FALSE)</f>
        <v>1104</v>
      </c>
      <c r="AO344" s="5">
        <f>VLOOKUP($A344,'SegEnds_NonXtal_Prot#'!$A:$AL,38,FALSE)</f>
        <v>1121</v>
      </c>
      <c r="AP344" s="5">
        <f t="shared" si="138"/>
        <v>37</v>
      </c>
      <c r="AQ344" s="4">
        <f t="shared" si="139"/>
        <v>3</v>
      </c>
      <c r="AR344" s="4">
        <f t="shared" si="140"/>
        <v>26</v>
      </c>
      <c r="AS344" s="4" t="str">
        <f t="shared" si="141"/>
        <v>-</v>
      </c>
      <c r="AT344" s="4">
        <f t="shared" si="142"/>
        <v>33</v>
      </c>
      <c r="AU344" s="4" t="str">
        <f t="shared" si="143"/>
        <v>-</v>
      </c>
      <c r="AV344" s="4">
        <f t="shared" si="144"/>
        <v>28</v>
      </c>
      <c r="AW344" s="4">
        <f t="shared" si="145"/>
        <v>2</v>
      </c>
      <c r="AX344" s="4">
        <f t="shared" si="146"/>
        <v>33</v>
      </c>
      <c r="AY344" s="4">
        <f t="shared" si="147"/>
        <v>24</v>
      </c>
      <c r="AZ344" s="4">
        <f t="shared" si="148"/>
        <v>25</v>
      </c>
      <c r="BA344" s="4">
        <f t="shared" si="149"/>
        <v>16</v>
      </c>
    </row>
    <row r="345" spans="1:53" x14ac:dyDescent="0.2">
      <c r="A345" s="1" t="str">
        <f>'SegEnds_NonXtal_Prot#'!A341</f>
        <v>agrl4_human</v>
      </c>
      <c r="B345" s="1" t="str">
        <f t="shared" si="125"/>
        <v>SGPSIGIKDYNILTRITQLGIIISLICLAICIFTFWFFSTRTTIHKNLCCSLFLAELVFLVGINTLFCSIIAGLLHYFFLAAFAWMCIEGIHLYLIVVGFLHKNFYIFGYLSPAVVVGFSAALGYRYYENNFIWSFIGPACLIILVNLLAFGVIIYKVFRHTNIRSCARGALALLFLLGTTWIFGVLSVVTAYLFTVSNAFQGMFIFLFLCVLSRKIQEEYYRLFKNVPC</v>
      </c>
      <c r="C345" s="29" t="str">
        <f>IF(ISERROR(MATCH(A345,'SegEnds_Xtal_Prot#'!B:B, 0)), "NoXtal", "Xtal")</f>
        <v>NoXtal</v>
      </c>
      <c r="D345" s="4" t="str">
        <f>VLOOKUP(A345,Classification!A:D,2,FALSE)</f>
        <v>B2</v>
      </c>
      <c r="E345" s="5" t="str">
        <f>VLOOKUP(A345,Seqs!A:B,2,FALSE)</f>
        <v>MKRLPLLVVFSTLLNCSYTQNCTKTPCLPNAKCEIRNGIEACYCNMGFSGNGVTICEDDNECGNLTQSCGENANCTNTEGSYYCMCVPGFRSSSNQDRFITNDGTVCIENVNANCHLDNVCIAANINKTLTKIRSIKEPVALLQEVYRNSVTDLSPTDIITYIEILAESSSLLGYKNNTISAKDTLSNSTLTEFVKTVNNFVQRDTFVVWDKLSVNHRRTHLTKLMHTVEQATLRISQSFQKTTEFDTNSTDIALKVFFFDSYNMKHIHPHMNMDGDYINIFPKRKAAYDSNGNVAVAFVYYKSIGPLLSSSDNFLLKPQNYDNSEEEERVISSVISVSMSSNPPTLYELEKITFTLSHRKVTDRYRSLCAFWNYSPDTMNGSWSSEGCELTYSNETHTSCRCNHLTHFAILMSSGPSIGIKDYNILTRITQLGIIISLICLAICIFTFWFFSEIQSTRTTIHKNLCCSLFLAELVFLVGINTNTNKLFCSIIAGLLHYFFLAAFAWMCIEGIHLYLIVVGVIYNKGFLHKNFYIFGYLSPAVVVGFSAALGYRYYGTTKVCWLSTENNFIWSFIGPACLIILVNLLAFGVIIYKVFRHTAGLKPEVSCFENIRSCARGALALLFLLGTTWIFGVLHVVHASVVTAYLFTVSNAFQGMFIFLFLCVLSRKIQEEYYRLFKNVPCCFGCLR</v>
      </c>
      <c r="F345" s="5" t="str">
        <f t="shared" si="126"/>
        <v>SGPSIGIKDYNILTRITQLGIIISLICLAICIFTFWFF</v>
      </c>
      <c r="G345" s="4" t="str">
        <f t="shared" si="127"/>
        <v/>
      </c>
      <c r="H345" s="4" t="str">
        <f t="shared" si="128"/>
        <v>STRTTIHKNLCCSLFLAELVFLVGINT</v>
      </c>
      <c r="I345" s="4" t="str">
        <f t="shared" si="129"/>
        <v/>
      </c>
      <c r="J345" s="4" t="str">
        <f t="shared" si="130"/>
        <v>LFCSIIAGLLHYFFLAAFAWMCIEGIHLYLIVVG</v>
      </c>
      <c r="K345" s="4" t="str">
        <f t="shared" si="131"/>
        <v/>
      </c>
      <c r="L345" s="4" t="str">
        <f t="shared" si="132"/>
        <v>FLHKNFYIFGYLSPAVVVGFSAALGYRYY</v>
      </c>
      <c r="M345" s="4" t="str">
        <f t="shared" si="133"/>
        <v>CWL</v>
      </c>
      <c r="N345" s="4" t="str">
        <f t="shared" si="134"/>
        <v>ENNFIWSFIGPACLIILVNLLAFGVIIYKVFRHT</v>
      </c>
      <c r="O345" s="4" t="str">
        <f t="shared" si="135"/>
        <v>NIRSCARGALALLFLLGTTWIFGVL</v>
      </c>
      <c r="P345" s="4" t="str">
        <f t="shared" si="136"/>
        <v>SVVTAYLFTVSNAFQGMFIFLFLCVL</v>
      </c>
      <c r="Q345" s="4" t="str">
        <f t="shared" si="137"/>
        <v>SRKIQEEYYRLFKNVPC</v>
      </c>
      <c r="R345" s="5">
        <f>VLOOKUP($A345,'SegEnds_NonXtal_Prot#'!$A:$AL,3,FALSE)</f>
        <v>415</v>
      </c>
      <c r="S345" s="5" t="str">
        <f>VLOOKUP($A345,'SegEnds_NonXtal_Prot#'!$A:$AL,6,FALSE)</f>
        <v>-</v>
      </c>
      <c r="T345" s="5">
        <f>VLOOKUP($A345,'SegEnds_NonXtal_Prot#'!$A:$AL,9,FALSE)</f>
        <v>457</v>
      </c>
      <c r="U345" s="5" t="str">
        <f>VLOOKUP($A345,'SegEnds_NonXtal_Prot#'!$A:$AL,12,FALSE)</f>
        <v>-</v>
      </c>
      <c r="V345" s="5">
        <f>VLOOKUP($A345,'SegEnds_NonXtal_Prot#'!$A:$AL,15,FALSE)</f>
        <v>488</v>
      </c>
      <c r="W345" s="5" t="str">
        <f>VLOOKUP($A345,'SegEnds_NonXtal_Prot#'!$A:$AL,18,FALSE)</f>
        <v>-</v>
      </c>
      <c r="X345" s="5">
        <f>VLOOKUP($A345,'SegEnds_NonXtal_Prot#'!$A:$AL,21,FALSE)</f>
        <v>528</v>
      </c>
      <c r="Y345" s="5">
        <f>VLOOKUP($A345,'SegEnds_NonXtal_Prot#'!$A:$AL,24,FALSE)</f>
        <v>562</v>
      </c>
      <c r="Z345" s="5">
        <f>VLOOKUP($A345,'SegEnds_NonXtal_Prot#'!$A:$AL,27,FALSE)</f>
        <v>567</v>
      </c>
      <c r="AA345" s="5">
        <f>VLOOKUP($A345,'SegEnds_NonXtal_Prot#'!$A:$AL,30,FALSE)</f>
        <v>612</v>
      </c>
      <c r="AB345" s="5">
        <f>VLOOKUP($A345,'SegEnds_NonXtal_Prot#'!$A:$AL,33,FALSE)</f>
        <v>642</v>
      </c>
      <c r="AC345" s="5">
        <f>VLOOKUP($A345,'SegEnds_NonXtal_Prot#'!$A:$AL,36,FALSE)</f>
        <v>668</v>
      </c>
      <c r="AD345" s="5">
        <f>VLOOKUP($A345,'SegEnds_NonXtal_Prot#'!$A:$AL,5,FALSE)</f>
        <v>452</v>
      </c>
      <c r="AE345" s="5" t="str">
        <f>VLOOKUP($A345,'SegEnds_NonXtal_Prot#'!$A:$AL,8,FALSE)</f>
        <v>-</v>
      </c>
      <c r="AF345" s="5">
        <f>VLOOKUP($A345,'SegEnds_NonXtal_Prot#'!$A:$AL,11,FALSE)</f>
        <v>483</v>
      </c>
      <c r="AG345" s="5" t="str">
        <f>VLOOKUP($A345,'SegEnds_NonXtal_Prot#'!$A:$AL,14,FALSE)</f>
        <v>-</v>
      </c>
      <c r="AH345" s="5">
        <f>VLOOKUP($A345,'SegEnds_NonXtal_Prot#'!$A:$AL,17,FALSE)</f>
        <v>521</v>
      </c>
      <c r="AI345" s="5" t="str">
        <f>VLOOKUP($A345,'SegEnds_NonXtal_Prot#'!$A:$AL,20,FALSE)</f>
        <v>-</v>
      </c>
      <c r="AJ345" s="5">
        <f>VLOOKUP($A345,'SegEnds_NonXtal_Prot#'!$A:$AL,23,FALSE)</f>
        <v>556</v>
      </c>
      <c r="AK345" s="5">
        <f>VLOOKUP($A345,'SegEnds_NonXtal_Prot#'!$A:$AL,26,FALSE)</f>
        <v>564</v>
      </c>
      <c r="AL345" s="5">
        <f>VLOOKUP($A345,'SegEnds_NonXtal_Prot#'!$A:$AL,29,FALSE)</f>
        <v>600</v>
      </c>
      <c r="AM345" s="5">
        <f>VLOOKUP($A345,'SegEnds_NonXtal_Prot#'!$A:$AL,32,FALSE)</f>
        <v>636</v>
      </c>
      <c r="AN345" s="5">
        <f>VLOOKUP($A345,'SegEnds_NonXtal_Prot#'!$A:$AL,35,FALSE)</f>
        <v>667</v>
      </c>
      <c r="AO345" s="5">
        <f>VLOOKUP($A345,'SegEnds_NonXtal_Prot#'!$A:$AL,38,FALSE)</f>
        <v>684</v>
      </c>
      <c r="AP345" s="5">
        <f t="shared" si="138"/>
        <v>37</v>
      </c>
      <c r="AQ345" s="4" t="str">
        <f t="shared" si="139"/>
        <v>-</v>
      </c>
      <c r="AR345" s="4">
        <f t="shared" si="140"/>
        <v>26</v>
      </c>
      <c r="AS345" s="4" t="str">
        <f t="shared" si="141"/>
        <v>-</v>
      </c>
      <c r="AT345" s="4">
        <f t="shared" si="142"/>
        <v>33</v>
      </c>
      <c r="AU345" s="4" t="str">
        <f t="shared" si="143"/>
        <v>-</v>
      </c>
      <c r="AV345" s="4">
        <f t="shared" si="144"/>
        <v>28</v>
      </c>
      <c r="AW345" s="4">
        <f t="shared" si="145"/>
        <v>2</v>
      </c>
      <c r="AX345" s="4">
        <f t="shared" si="146"/>
        <v>33</v>
      </c>
      <c r="AY345" s="4">
        <f t="shared" si="147"/>
        <v>24</v>
      </c>
      <c r="AZ345" s="4">
        <f t="shared" si="148"/>
        <v>25</v>
      </c>
      <c r="BA345" s="4">
        <f t="shared" si="149"/>
        <v>16</v>
      </c>
    </row>
    <row r="346" spans="1:53" x14ac:dyDescent="0.2">
      <c r="A346" s="1" t="str">
        <f>'SegEnds_NonXtal_Prot#'!A342</f>
        <v>bai1_human</v>
      </c>
      <c r="B346" s="1" t="str">
        <f t="shared" si="125"/>
        <v>LSADANMEKATLPSVTLIVGCGVSSLTLLMLVIIYVSVSERSVILINFCLSIISSNALILIGQTQVVCTLVAAFLHFFFLSSFCWVLTEAWQSYMAVTGLIRKRFLCLGWGLPALVVAISVGFTKAKGEGGLLYAFVGPAAAVVLVNMVIGILVFNKLVSKDRAGASLWSSCVVLPLLALTWMSAVLSALFQILFAVFDSLEGFVIVMVHCILRREVQDAVKCRVVDRQE</v>
      </c>
      <c r="C346" s="29" t="str">
        <f>IF(ISERROR(MATCH(A346,'SegEnds_Xtal_Prot#'!B:B, 0)), "NoXtal", "Xtal")</f>
        <v>NoXtal</v>
      </c>
      <c r="D346" s="4" t="str">
        <f>VLOOKUP(A346,Classification!A:D,2,FALSE)</f>
        <v>B2</v>
      </c>
      <c r="E346" s="5" t="str">
        <f>VLOOKUP(A346,Seqs!A:B,2,FALSE)</f>
        <v>MRGQAAAPGPVWILAPLLLLLLLLGRRARAAAGADAGPGPEPCATLVQGKFFGYFSAAAVFPANASRCSWTLRNPDPRRYTLYMKVAKAPVPCSGPGRVRTYQFDSFLESTRTYLGVESFDEVLRLCDPSAPLAFLQASKQFLQMRRQQPPQHDGLRPRAGPPGPTDDFSVEYLVVGNRNPSRAACQMLCRWLDACLAGSRSSHPCGIMQTPCACLGGEAGGPAAGPLAPRGDVCLRDAVAGGPENCLTSLTQDRGGHGATGGWKLWSLWGECTRDCGGGLQTRTRTCLPAPGVEGGGCEGVLEEGRQCNREACGPAGRTSSRSQSLRSTDARRREELGDELQQFGFPAPQTGDPAAEEWSPWSVCSSTCGEGWQTRTRFCVSSSYSTQCSGPLREQRLCNNSAVCPVHGAWDEWSPWSLCSSTCGRGFRDRTRTCRPPQFGGNPCEGPEKQTKFCNIALCPGRAVDGNWNEWSSWSACSASCSQGRQQRTRECNGPSYGGAECQGHWVETRDCFLQQCPVDGKWQAWASWGSCSVTCGAGSQRRERVCSGPFFGGAACQGPQDEYRQCGTQRCPEPHEICDEDNFGAVIWKETPAGEVAAVRCPRNATGLILRRCELDEEGIAYWEPPTYIRCVSIDYRNIQMMTREHLAKAQRGLPGEGVSEVIQTLVEISQDGTSYSGDLLSTIDVLRNMTEIFRRAYYSPTPGDVQNFVQILSNLLAEENRDKWEEAQLAGPNAKELFRLVEDFVDVIGFRMKDLRDAYQVTDNLVLSIHKLPASGATDISFPMKGWRATGDWAKVPEDRVTVSKSVFSTGLTEADEASVFVVGTVLYRNLGSFLALQRNTTVLNSKVISVTVKPPPRSLRTPLEIEFAHMYNGTTNQTCILWDETDVPSSSAPPQLGPWSWRGCRTVPLDALRTRCLCDRLSTFAILAQLSADANMEKATLPSVTLIVGCGVSSLTLLMLVIIYVSVWRYIRSERSVILINFCLSIISSNALILIGQTQTRNKVVCTLVAAFLHFFFLSSFCWVLTEAWQSYMAVTGHLRNRLIRKRFLCLGWGLPALVVAISVGFTKAKGYSTMNYCWLSLEGGLLYAFVGPAAAVVLVNMVIGILVFNKLVSKDGITDKKLKERAGASLWSSCVVLPLLALTWMSAVLAVTDRRSALFQILFAVFDSLEGFVIVMVHCILRREVQDAVKCRVVDRQEEGNGDSGGSFQNGHAQLMTDFEKDVDLACRSVLNKDIAACRTATITGTLKRPSLPEEEKLKLAHAKGPPTNFNSLPANVSKLHLHGSPRYPGGPLPDFPNHSLTLKRDKAPKSSFVGDGDIFKKLDSELSRAQEKALDTSYVILPTATATLRPKPKEEPKYSIHIDQMPQTRLIHLSTAPEASLPARSPPSRQPPSGGPPEAPPAQPPPPPPPPPPPPQQPLPPPPNLEPAPPSLGDPGEPAAHPGPSTGPSTKNENVATLSVSSLERRKSRYAELDFEKIMHTRKRHQDMFQDLNRKLQHAAEKDKEVLGPDSKPEKQQTPNKRPWESLRKAHGTPTWVKKELEPLQPSPLELRSVEWERSGATIPLVGQDIIDLQTEV</v>
      </c>
      <c r="F346" s="5" t="str">
        <f t="shared" si="126"/>
        <v>LSADANMEKATLPSVTLIVGCGVSSLTLLMLVIIYVSV</v>
      </c>
      <c r="G346" s="4" t="str">
        <f t="shared" si="127"/>
        <v/>
      </c>
      <c r="H346" s="4" t="str">
        <f t="shared" si="128"/>
        <v>SERSVILINFCLSIISSNALILIGQTQ</v>
      </c>
      <c r="I346" s="4" t="str">
        <f t="shared" si="129"/>
        <v/>
      </c>
      <c r="J346" s="4" t="str">
        <f t="shared" si="130"/>
        <v>VVCTLVAAFLHFFFLSSFCWVLTEAWQSYMAVTG</v>
      </c>
      <c r="K346" s="4" t="str">
        <f t="shared" si="131"/>
        <v/>
      </c>
      <c r="L346" s="4" t="str">
        <f t="shared" si="132"/>
        <v>LIRKRFLCLGWGLPALVVAISVGFTKAKG</v>
      </c>
      <c r="M346" s="4" t="str">
        <f t="shared" si="133"/>
        <v>CWL</v>
      </c>
      <c r="N346" s="4" t="str">
        <f t="shared" si="134"/>
        <v>EGGLLYAFVGPAAAVVLVNMVIGILVFNKLVSKD</v>
      </c>
      <c r="O346" s="4" t="str">
        <f t="shared" si="135"/>
        <v>RAGASLWSSCVVLPLLALTWMSAVL</v>
      </c>
      <c r="P346" s="4" t="str">
        <f t="shared" si="136"/>
        <v>SALFQILFAVFDSLEGFVIVMVHCIL</v>
      </c>
      <c r="Q346" s="4" t="str">
        <f t="shared" si="137"/>
        <v>RREVQDAVKCRVVDRQE</v>
      </c>
      <c r="R346" s="5">
        <f>VLOOKUP($A346,'SegEnds_NonXtal_Prot#'!$A:$AL,3,FALSE)</f>
        <v>935</v>
      </c>
      <c r="S346" s="5" t="str">
        <f>VLOOKUP($A346,'SegEnds_NonXtal_Prot#'!$A:$AL,6,FALSE)</f>
        <v>-</v>
      </c>
      <c r="T346" s="5">
        <f>VLOOKUP($A346,'SegEnds_NonXtal_Prot#'!$A:$AL,9,FALSE)</f>
        <v>978</v>
      </c>
      <c r="U346" s="5" t="str">
        <f>VLOOKUP($A346,'SegEnds_NonXtal_Prot#'!$A:$AL,12,FALSE)</f>
        <v>-</v>
      </c>
      <c r="V346" s="5">
        <f>VLOOKUP($A346,'SegEnds_NonXtal_Prot#'!$A:$AL,15,FALSE)</f>
        <v>1009</v>
      </c>
      <c r="W346" s="5" t="str">
        <f>VLOOKUP($A346,'SegEnds_NonXtal_Prot#'!$A:$AL,18,FALSE)</f>
        <v>-</v>
      </c>
      <c r="X346" s="5">
        <f>VLOOKUP($A346,'SegEnds_NonXtal_Prot#'!$A:$AL,21,FALSE)</f>
        <v>1048</v>
      </c>
      <c r="Y346" s="5">
        <f>VLOOKUP($A346,'SegEnds_NonXtal_Prot#'!$A:$AL,24,FALSE)</f>
        <v>1083</v>
      </c>
      <c r="Z346" s="5">
        <f>VLOOKUP($A346,'SegEnds_NonXtal_Prot#'!$A:$AL,27,FALSE)</f>
        <v>1088</v>
      </c>
      <c r="AA346" s="5">
        <f>VLOOKUP($A346,'SegEnds_NonXtal_Prot#'!$A:$AL,30,FALSE)</f>
        <v>1131</v>
      </c>
      <c r="AB346" s="5">
        <f>VLOOKUP($A346,'SegEnds_NonXtal_Prot#'!$A:$AL,33,FALSE)</f>
        <v>1162</v>
      </c>
      <c r="AC346" s="5">
        <f>VLOOKUP($A346,'SegEnds_NonXtal_Prot#'!$A:$AL,36,FALSE)</f>
        <v>1188</v>
      </c>
      <c r="AD346" s="5">
        <f>VLOOKUP($A346,'SegEnds_NonXtal_Prot#'!$A:$AL,5,FALSE)</f>
        <v>972</v>
      </c>
      <c r="AE346" s="5" t="str">
        <f>VLOOKUP($A346,'SegEnds_NonXtal_Prot#'!$A:$AL,8,FALSE)</f>
        <v>-</v>
      </c>
      <c r="AF346" s="5">
        <f>VLOOKUP($A346,'SegEnds_NonXtal_Prot#'!$A:$AL,11,FALSE)</f>
        <v>1004</v>
      </c>
      <c r="AG346" s="5" t="str">
        <f>VLOOKUP($A346,'SegEnds_NonXtal_Prot#'!$A:$AL,14,FALSE)</f>
        <v>-</v>
      </c>
      <c r="AH346" s="5">
        <f>VLOOKUP($A346,'SegEnds_NonXtal_Prot#'!$A:$AL,17,FALSE)</f>
        <v>1042</v>
      </c>
      <c r="AI346" s="5" t="str">
        <f>VLOOKUP($A346,'SegEnds_NonXtal_Prot#'!$A:$AL,20,FALSE)</f>
        <v>-</v>
      </c>
      <c r="AJ346" s="5">
        <f>VLOOKUP($A346,'SegEnds_NonXtal_Prot#'!$A:$AL,23,FALSE)</f>
        <v>1076</v>
      </c>
      <c r="AK346" s="5">
        <f>VLOOKUP($A346,'SegEnds_NonXtal_Prot#'!$A:$AL,26,FALSE)</f>
        <v>1085</v>
      </c>
      <c r="AL346" s="5">
        <f>VLOOKUP($A346,'SegEnds_NonXtal_Prot#'!$A:$AL,29,FALSE)</f>
        <v>1121</v>
      </c>
      <c r="AM346" s="5">
        <f>VLOOKUP($A346,'SegEnds_NonXtal_Prot#'!$A:$AL,32,FALSE)</f>
        <v>1155</v>
      </c>
      <c r="AN346" s="5">
        <f>VLOOKUP($A346,'SegEnds_NonXtal_Prot#'!$A:$AL,35,FALSE)</f>
        <v>1187</v>
      </c>
      <c r="AO346" s="5">
        <f>VLOOKUP($A346,'SegEnds_NonXtal_Prot#'!$A:$AL,38,FALSE)</f>
        <v>1204</v>
      </c>
      <c r="AP346" s="5">
        <f t="shared" si="138"/>
        <v>37</v>
      </c>
      <c r="AQ346" s="4" t="str">
        <f t="shared" si="139"/>
        <v>-</v>
      </c>
      <c r="AR346" s="4">
        <f t="shared" si="140"/>
        <v>26</v>
      </c>
      <c r="AS346" s="4" t="str">
        <f t="shared" si="141"/>
        <v>-</v>
      </c>
      <c r="AT346" s="4">
        <f t="shared" si="142"/>
        <v>33</v>
      </c>
      <c r="AU346" s="4" t="str">
        <f t="shared" si="143"/>
        <v>-</v>
      </c>
      <c r="AV346" s="4">
        <f t="shared" si="144"/>
        <v>28</v>
      </c>
      <c r="AW346" s="4">
        <f t="shared" si="145"/>
        <v>2</v>
      </c>
      <c r="AX346" s="4">
        <f t="shared" si="146"/>
        <v>33</v>
      </c>
      <c r="AY346" s="4">
        <f t="shared" si="147"/>
        <v>24</v>
      </c>
      <c r="AZ346" s="4">
        <f t="shared" si="148"/>
        <v>25</v>
      </c>
      <c r="BA346" s="4">
        <f t="shared" si="149"/>
        <v>16</v>
      </c>
    </row>
    <row r="347" spans="1:53" x14ac:dyDescent="0.2">
      <c r="A347" s="1" t="str">
        <f>'SegEnds_NonXtal_Prot#'!A343</f>
        <v>cd97_human</v>
      </c>
      <c r="B347" s="1" t="str">
        <f t="shared" si="125"/>
        <v>ILMAHYDVEDWKLTLITRVGLALSLFCLLLCILTFLLVGSRTTIHLHLCICLFVGSTIFLAGIENLRCRLVAGLLHYCFLAAFCWMSLEGLELYFLVVRQGLSTRWLCLIGYGVPLLIVGVSAAIYSKGYEQGFLWSFLGPVTFIILCNAVIFVTTVWKLTQKFKARALTITAIAQLFLLGCTWVFGLFSLVLTYVFTILNCLQGAFLYLLHCLLNKKVREEYRKWACLVAG</v>
      </c>
      <c r="C347" s="29" t="str">
        <f>IF(ISERROR(MATCH(A347,'SegEnds_Xtal_Prot#'!B:B, 0)), "NoXtal", "Xtal")</f>
        <v>NoXtal</v>
      </c>
      <c r="D347" s="4" t="str">
        <f>VLOOKUP(A347,Classification!A:D,2,FALSE)</f>
        <v>B2</v>
      </c>
      <c r="E347" s="5" t="str">
        <f>VLOOKUP(A347,Seqs!A:B,2,FALSE)</f>
        <v>MGGRVFLAFCVWLTLPGAETQDSRGCARWCPQNSSCVNATACRCNPGFSSFSEIITTPTETCDDINECATPSKVSCGKFSDCWNTEGSYDCVCSPGYEPVSGAKTFKNESENTCQDVDECQQNPRLCKSYGTCVNTLGSYTCQCLPGFKFIPEDPKVCTDVNECTSGQNPCHSSTHCLNNVGSYQCRCRPGWQPIPGSPNGPNNTVCEDVDECSSGQHQCDSSTVCFNTVGSYSCRCRPGWKPRHGIPNNQKDTVCEDMTFSTWTPPPGVHSQTLSRFFDKVQDLGRDSKTSSAEVTIQNVIKLVDELMEAPGDVEALAPPVRHLIATQLLSNLEDIMRILAKSLPKGPFTYISPSNTELTLMIQERGDKNVTMGQSSARMKLNWAVAAGAEDPGPAVAGILSIQNMTTLLANASLNLHSKKQAELEEIYESSIRGVQLRRLSAVNSIFLSHNNTKELNSPILFAFSHLESSDGEAGRDPPAKDVMPGPRQELLCAFWKSDSDRGGHWATEGCQVLGSKNGSTTCQCSHLSSFAILMAHYDVEDWKLTLITRVGLALSLFCLLLCILTFLLVRPIQGSRTTIHLHLCICLFVGSTIFLAGIENEGGQVGLRCRLVAGLLHYCFLAAFCWMSLEGLELYFLVVRVFQGQGLSTRWLCLIGYGVPLLIVGVSAAIYSKGYGRPRYCWLDFEQGFLWSFLGPVTFIILCNAVIFVTTVWKLTQKFSEINPDMKKLKKARALTITAIAQLFLLGCTWVFGLFIFDDRSLVLTYVFTILNCLQGAFLYLLHCLLNKKVREEYRKWACLVAGGSKYSEFTSTTSGTGHNQTRALRASESGI</v>
      </c>
      <c r="F347" s="5" t="str">
        <f t="shared" si="126"/>
        <v>ILMAHYDVEDWKLTLITRVGLALSLFCLLLCILTFLLV</v>
      </c>
      <c r="G347" s="4" t="str">
        <f t="shared" si="127"/>
        <v/>
      </c>
      <c r="H347" s="4" t="str">
        <f t="shared" si="128"/>
        <v>GSRTTIHLHLCICLFVGSTIFLAGIEN</v>
      </c>
      <c r="I347" s="4" t="str">
        <f t="shared" si="129"/>
        <v/>
      </c>
      <c r="J347" s="4" t="str">
        <f t="shared" si="130"/>
        <v>LRCRLVAGLLHYCFLAAFCWMSLEGLELYFLVVR</v>
      </c>
      <c r="K347" s="4" t="str">
        <f t="shared" si="131"/>
        <v/>
      </c>
      <c r="L347" s="4" t="str">
        <f t="shared" si="132"/>
        <v>QGLSTRWLCLIGYGVPLLIVGVSAAIYSKGY</v>
      </c>
      <c r="M347" s="4" t="str">
        <f t="shared" si="133"/>
        <v>CWL</v>
      </c>
      <c r="N347" s="4" t="str">
        <f t="shared" si="134"/>
        <v>EQGFLWSFLGPVTFIILCNAVIFVTTVWKLTQKF</v>
      </c>
      <c r="O347" s="4" t="str">
        <f t="shared" si="135"/>
        <v>KARALTITAIAQLFLLGCTWVFGLF</v>
      </c>
      <c r="P347" s="4" t="str">
        <f t="shared" si="136"/>
        <v>SLVLTYVFTILNCLQGAFLYLLHCLL</v>
      </c>
      <c r="Q347" s="4" t="str">
        <f t="shared" si="137"/>
        <v>NKKVREEYRKWACLVAG</v>
      </c>
      <c r="R347" s="5">
        <f>VLOOKUP($A347,'SegEnds_NonXtal_Prot#'!$A:$AL,3,FALSE)</f>
        <v>535</v>
      </c>
      <c r="S347" s="5" t="str">
        <f>VLOOKUP($A347,'SegEnds_NonXtal_Prot#'!$A:$AL,6,FALSE)</f>
        <v>-</v>
      </c>
      <c r="T347" s="5">
        <f>VLOOKUP($A347,'SegEnds_NonXtal_Prot#'!$A:$AL,9,FALSE)</f>
        <v>577</v>
      </c>
      <c r="U347" s="5" t="str">
        <f>VLOOKUP($A347,'SegEnds_NonXtal_Prot#'!$A:$AL,12,FALSE)</f>
        <v>-</v>
      </c>
      <c r="V347" s="5">
        <f>VLOOKUP($A347,'SegEnds_NonXtal_Prot#'!$A:$AL,15,FALSE)</f>
        <v>610</v>
      </c>
      <c r="W347" s="5" t="str">
        <f>VLOOKUP($A347,'SegEnds_NonXtal_Prot#'!$A:$AL,18,FALSE)</f>
        <v>-</v>
      </c>
      <c r="X347" s="5">
        <f>VLOOKUP($A347,'SegEnds_NonXtal_Prot#'!$A:$AL,21,FALSE)</f>
        <v>648</v>
      </c>
      <c r="Y347" s="5">
        <f>VLOOKUP($A347,'SegEnds_NonXtal_Prot#'!$A:$AL,24,FALSE)</f>
        <v>684</v>
      </c>
      <c r="Z347" s="5">
        <f>VLOOKUP($A347,'SegEnds_NonXtal_Prot#'!$A:$AL,27,FALSE)</f>
        <v>689</v>
      </c>
      <c r="AA347" s="5">
        <f>VLOOKUP($A347,'SegEnds_NonXtal_Prot#'!$A:$AL,30,FALSE)</f>
        <v>734</v>
      </c>
      <c r="AB347" s="5">
        <f>VLOOKUP($A347,'SegEnds_NonXtal_Prot#'!$A:$AL,33,FALSE)</f>
        <v>764</v>
      </c>
      <c r="AC347" s="5">
        <f>VLOOKUP($A347,'SegEnds_NonXtal_Prot#'!$A:$AL,36,FALSE)</f>
        <v>790</v>
      </c>
      <c r="AD347" s="5">
        <f>VLOOKUP($A347,'SegEnds_NonXtal_Prot#'!$A:$AL,5,FALSE)</f>
        <v>572</v>
      </c>
      <c r="AE347" s="5" t="str">
        <f>VLOOKUP($A347,'SegEnds_NonXtal_Prot#'!$A:$AL,8,FALSE)</f>
        <v>-</v>
      </c>
      <c r="AF347" s="5">
        <f>VLOOKUP($A347,'SegEnds_NonXtal_Prot#'!$A:$AL,11,FALSE)</f>
        <v>603</v>
      </c>
      <c r="AG347" s="5" t="str">
        <f>VLOOKUP($A347,'SegEnds_NonXtal_Prot#'!$A:$AL,14,FALSE)</f>
        <v>-</v>
      </c>
      <c r="AH347" s="5">
        <f>VLOOKUP($A347,'SegEnds_NonXtal_Prot#'!$A:$AL,17,FALSE)</f>
        <v>643</v>
      </c>
      <c r="AI347" s="5" t="str">
        <f>VLOOKUP($A347,'SegEnds_NonXtal_Prot#'!$A:$AL,20,FALSE)</f>
        <v>-</v>
      </c>
      <c r="AJ347" s="5">
        <f>VLOOKUP($A347,'SegEnds_NonXtal_Prot#'!$A:$AL,23,FALSE)</f>
        <v>678</v>
      </c>
      <c r="AK347" s="5">
        <f>VLOOKUP($A347,'SegEnds_NonXtal_Prot#'!$A:$AL,26,FALSE)</f>
        <v>686</v>
      </c>
      <c r="AL347" s="5">
        <f>VLOOKUP($A347,'SegEnds_NonXtal_Prot#'!$A:$AL,29,FALSE)</f>
        <v>722</v>
      </c>
      <c r="AM347" s="5">
        <f>VLOOKUP($A347,'SegEnds_NonXtal_Prot#'!$A:$AL,32,FALSE)</f>
        <v>758</v>
      </c>
      <c r="AN347" s="5">
        <f>VLOOKUP($A347,'SegEnds_NonXtal_Prot#'!$A:$AL,35,FALSE)</f>
        <v>789</v>
      </c>
      <c r="AO347" s="5">
        <f>VLOOKUP($A347,'SegEnds_NonXtal_Prot#'!$A:$AL,38,FALSE)</f>
        <v>806</v>
      </c>
      <c r="AP347" s="5">
        <f t="shared" si="138"/>
        <v>37</v>
      </c>
      <c r="AQ347" s="4" t="str">
        <f t="shared" si="139"/>
        <v>-</v>
      </c>
      <c r="AR347" s="4">
        <f t="shared" si="140"/>
        <v>26</v>
      </c>
      <c r="AS347" s="4" t="str">
        <f t="shared" si="141"/>
        <v>-</v>
      </c>
      <c r="AT347" s="4">
        <f t="shared" si="142"/>
        <v>33</v>
      </c>
      <c r="AU347" s="4" t="str">
        <f t="shared" si="143"/>
        <v>-</v>
      </c>
      <c r="AV347" s="4">
        <f t="shared" si="144"/>
        <v>30</v>
      </c>
      <c r="AW347" s="4">
        <f t="shared" si="145"/>
        <v>2</v>
      </c>
      <c r="AX347" s="4">
        <f t="shared" si="146"/>
        <v>33</v>
      </c>
      <c r="AY347" s="4">
        <f t="shared" si="147"/>
        <v>24</v>
      </c>
      <c r="AZ347" s="4">
        <f t="shared" si="148"/>
        <v>25</v>
      </c>
      <c r="BA347" s="4">
        <f t="shared" si="149"/>
        <v>16</v>
      </c>
    </row>
    <row r="348" spans="1:53" x14ac:dyDescent="0.2">
      <c r="A348" s="1" t="str">
        <f>'SegEnds_NonXtal_Prot#'!A344</f>
        <v>celr1_human</v>
      </c>
      <c r="B348" s="1" t="str">
        <f t="shared" si="125"/>
        <v>DISRRENGEVLPLKIVTYAAVSLSLAALLVAFVLLSLVSNLHSIHKHLAVALFLSQLVFVIGINQFLCTVVAILLHYIYMSTFAWTLVESLHVYRMLTEIDTGPMRFYYVVGWGIPAIVTGLAVGLDPQGYQDTLIWSFAGPIGAVIIINTVTSVLSAKVSCQRKGIVSLLRTAFLLLLLISATWLLGLLAALSFHYLFAIFSGLQGPFVLLFHCVLNQEVRKHLKGVLGGRKL</v>
      </c>
      <c r="C348" s="29" t="str">
        <f>IF(ISERROR(MATCH(A348,'SegEnds_Xtal_Prot#'!B:B, 0)), "NoXtal", "Xtal")</f>
        <v>NoXtal</v>
      </c>
      <c r="D348" s="4" t="str">
        <f>VLOOKUP(A348,Classification!A:D,2,FALSE)</f>
        <v>B2</v>
      </c>
      <c r="E348" s="5" t="str">
        <f>VLOOKUP(A348,Seqs!A:B,2,FALSE)</f>
        <v>MAPPPPPVLPVLLLLAAAAALPAMGLRAAAWEPRVPGGTRAFALRPGCTYAVGAACTPRAPRELLDVGRDGRLAGRRRVSGAGRPLPLQVRLVARSAPTALSRRLRARTHLPGCGARARLCGTGARLCGALCFPVPGGCAAAQHSALAAPTTLPACRCPPRPRPRCPGRPICLPPGGSVRLRLLCALRRAAGAVRVGLALEAATAGTPSASPSPSPPLPPNLPEARAGPARRARRGTSGRGSLKFPMPNYQVALFENEPAGTLILQLHAHYTIEGEEERVSYYMEGLFDERSRGYFRIDSATGAVSTDSVLDRETKETHVLRVKAVDYSTPPRSATTYITVLVKDTNDHSPVFEQSEYRERVRENLEVGYEVLTIRASDRDSPINANLRYRVLGGAWDVFQLNESSGVVSTRAVLDREEAAEYQLLVEANDQGRNPGPLSATATVYIEVEDENDNYPQFSEQNYVVQVPEDVGLNTAVLRVQATDRDQGQNAAIHYSILSGNVAGQFYLHSLSGILDVINPLDFEDVQKYSLSIKAQDGGRPPLINSSGVVSVQVLDVNDNEPIFVSSPFQATVLENVPLGYPVVHIQAVDADSGENARLHYRLVDTASTFLGGGSAGPKNPAPTPDFPFQIHNSSGWITVCAELDREEVEHYSFGVEAVDHGSPPMSSSTSVSITVLDVNDNDPVFTQPTYELRLNEDAAVGSSVLTLQARDRDANSVITYQLTGGNTRNRFALSSQRGGGLITLALPLDYKQEQQYVLAVTASDGTRSHTAHVLINVTDANTHRPVFQSSHYTVSVSEDRPVGTSIATLSANDEDTGENARITYVIQDPVPQFRIDPDSGTMYTMMELDYENQVAYTLTIMAQDNGIPQKSDTTTLEILILDANDNAPQFLWDFYQGSIFEDAPPSTSILQVSATDRDSGPNGRLLYTFQGGDDGDGDFYIEPTSGVIRTQRRLDRENVAVYNLWALAVDRGSPTPLSASVEIQVTILDINDNAPMFEKDELELFVEENNPVGSVVAKIRANDPDEGPNAQIMYQIVEGDMRHFFQLDLLNGDLRAMVELDFEVRREYVLVVQATSAPLVSRATVHILLVDQNDNPPVLPDFQILFNNYVTNKSNSFPTGVIGCIPAHDPDVSDSLNYTFVQGNELRLLLLDPATGELQLSRDLDNNRPLEALMEVSVSDGIHSVTAFCTLRVTIITDDMLTNSITVRLENMSQEKFLSPLLALFVEGVAAVLSTTKDDVFVFNVQNDTDVSSNILNVTFSALLPGGVRGQFFPSEDLQEQIYLNRTLLTTISTQRVLPFDDNICLREPCENYMKCVSVLRFDSSAPFLSSTTVLFRPIHPINGLRCRCPPGFTGDYCETEIDLCYSDPCGANGRCRSREGGYTCECFEDFTGEHCEVDARSGRCANGVCKNGGTCVNLLIGGFHCVCPPGEYERPYCEVTTRSFPPQSFVTFRGLRQRFHFTISLTFATQERNGLLLYNGRFNEKHDFIALEIVDEQVQLTFSAGETTTTVAPKVPSGVSDGRWHSVQVQYYNKPNIGHLGLPHGPSGEKMAVVTVDDCDTTMAVRFGKDIGNYSCAAQGTQTGSKKSLDLTGPLLLGGVPNLPEDFPVHNRQFVGCMRNLSVDGKNVDMAGFIANNGTREGCAARRNFCDGRRCQNGGTCVNRWNMYLCECPLRFGGKNCEQAMPHPQLFSGESVVSWSDLNIIISVPWYLGLMFRTRKEDSVLMEATSGGPTSFRLQILNNYLQFEVSHGPSDVESVMLSGLRVTDGEWHHLLIELKNVKEDSEMKHLVTMTLDYGMDQNKADIGGMLPGLTVRSVVVGGASEDKVSVRRGFRGCMQGVRMGGTPTNVATLNMNNALKVRVKDGCDVDDPCTSSPCPPNSRCHDAWEDYSCVCDKGYLGINCVDACHLNPCENMGACVRSPGSPQGYVCECGPSHYGPYCENKLDLPCPRGWWGNPVCGPCHCAVSKGFDPDCNKTNGQCQCKENYYKLLAQDTCLPCDCFPHGSHSRTCDMATGQCACKPGVIGRQCNRCDNPFAEVTTLGCEVIYNGCPKAFEAGIWWPQTKFGQPAAVPCPKGSVGNAVRHCSGEKGWLPPELFNCTTISFVDLRAMNEKLSRNETQVDGARALQLVRALRSATQHTGTLFGNDVRTAYQLLGHVLQHESWQQGFDLAATQDADFHEDVIHSGSALLAPATRAAWEQIQRSEGGTAQLLRRLEGYFSNVARNVRRTYLRPFVIVTANMILAVDIFDKFNFTGARVPRFDTIHEEFPRELESSVSFPADFFRPPEEKEGPLLRPAGRRTTPQTTRPGPGTEREAPISRRRRHPDDAGQFAVALVIIYRTLGQLLPERYDPDRRSLRLPHRPIINTPMVSTLVYSEGAPLPRPLERPVLVEFALLEVEERTKPVCVFWNHSLAVGGTGGWSARGCELLSRNRTHVACQCSHTASFAVLMDISRRENGEVLPLKIVTYAAVSLSLAALLVAFVLLSLVRMLRSNLHSIHKHLAVALFLSQLVFVIGINQTENPFLCTVVAILLHYIYMSTFAWTLVESLHVYRMLTEVRNIDTGPMRFYYVVGWGIPAIVTGLAVGLDPQGYGNPDFCWLSLQDTLIWSFAGPIGAVIIINTVTSVLSAKVSCQRKHHYYGKKGIVSLLRTAFLLLLLISATWLLGLLAVNRDALSFHYLFAIFSGLQGPFVLLFHCVLNQEVRKHLKGVLGGRKLHLEDSATTRATLLTRSLNCNTTFGDGPDMLRTDLGESTASLDSIVRDEGIQKLGVSSGLVRGSHGEPDASLMPRSCKDPPGHDSDSDSELSLDEQSSSYASSHSSDSEDDGVGAEEKWDPARGAVHSTPKGDAVANHVPAGWPDQSLAESDSEDPSGKPRLKVETKVSVELHREEQGSHRGEYPPDQESGGAARLASSQPPEQRKGILKNKVTYPPPLTLTEQTLKGRLREKLADCEQSPTSSRTSSLGSGGPDCAITVKSPGREPGRDHLNGVAMNVRTGSAQADGSDSEKP</v>
      </c>
      <c r="F348" s="5" t="str">
        <f t="shared" si="126"/>
        <v>DISRRENGEVLPLKIVTYAAVSLSLAALLVAFVLLSLV</v>
      </c>
      <c r="G348" s="4" t="str">
        <f t="shared" si="127"/>
        <v>RMLR</v>
      </c>
      <c r="H348" s="4" t="str">
        <f t="shared" si="128"/>
        <v>SNLHSIHKHLAVALFLSQLVFVIGINQ</v>
      </c>
      <c r="I348" s="4" t="str">
        <f t="shared" si="129"/>
        <v/>
      </c>
      <c r="J348" s="4" t="str">
        <f t="shared" si="130"/>
        <v>FLCTVVAILLHYIYMSTFAWTLVESLHVYRMLTE</v>
      </c>
      <c r="K348" s="4" t="str">
        <f t="shared" si="131"/>
        <v/>
      </c>
      <c r="L348" s="4" t="str">
        <f t="shared" si="132"/>
        <v>IDTGPMRFYYVVGWGIPAIVTGLAVGLDPQGY</v>
      </c>
      <c r="M348" s="4" t="str">
        <f t="shared" si="133"/>
        <v>CWL</v>
      </c>
      <c r="N348" s="4" t="str">
        <f t="shared" si="134"/>
        <v>QDTLIWSFAGPIGAVIIINTVTSVLSAKVSCQRK</v>
      </c>
      <c r="O348" s="4" t="str">
        <f t="shared" si="135"/>
        <v>GIVSLLRTAFLLLLLISATWLLGLLA</v>
      </c>
      <c r="P348" s="4" t="str">
        <f t="shared" si="136"/>
        <v>ALSFHYLFAIFSGLQGPFVLLFHCVL</v>
      </c>
      <c r="Q348" s="4" t="str">
        <f t="shared" si="137"/>
        <v>NQEVRKHLKGVLGGRKL</v>
      </c>
      <c r="R348" s="5">
        <f>VLOOKUP($A348,'SegEnds_NonXtal_Prot#'!$A:$AL,3,FALSE)</f>
        <v>2456</v>
      </c>
      <c r="S348" s="5">
        <f>VLOOKUP($A348,'SegEnds_NonXtal_Prot#'!$A:$AL,6,FALSE)</f>
        <v>2494</v>
      </c>
      <c r="T348" s="5">
        <f>VLOOKUP($A348,'SegEnds_NonXtal_Prot#'!$A:$AL,9,FALSE)</f>
        <v>2498</v>
      </c>
      <c r="U348" s="5" t="str">
        <f>VLOOKUP($A348,'SegEnds_NonXtal_Prot#'!$A:$AL,12,FALSE)</f>
        <v>-</v>
      </c>
      <c r="V348" s="5">
        <f>VLOOKUP($A348,'SegEnds_NonXtal_Prot#'!$A:$AL,15,FALSE)</f>
        <v>2529</v>
      </c>
      <c r="W348" s="5" t="str">
        <f>VLOOKUP($A348,'SegEnds_NonXtal_Prot#'!$A:$AL,18,FALSE)</f>
        <v>-</v>
      </c>
      <c r="X348" s="5">
        <f>VLOOKUP($A348,'SegEnds_NonXtal_Prot#'!$A:$AL,21,FALSE)</f>
        <v>2566</v>
      </c>
      <c r="Y348" s="5">
        <f>VLOOKUP($A348,'SegEnds_NonXtal_Prot#'!$A:$AL,24,FALSE)</f>
        <v>2603</v>
      </c>
      <c r="Z348" s="5">
        <f>VLOOKUP($A348,'SegEnds_NonXtal_Prot#'!$A:$AL,27,FALSE)</f>
        <v>2608</v>
      </c>
      <c r="AA348" s="5">
        <f>VLOOKUP($A348,'SegEnds_NonXtal_Prot#'!$A:$AL,30,FALSE)</f>
        <v>2649</v>
      </c>
      <c r="AB348" s="5">
        <f>VLOOKUP($A348,'SegEnds_NonXtal_Prot#'!$A:$AL,33,FALSE)</f>
        <v>2679</v>
      </c>
      <c r="AC348" s="5">
        <f>VLOOKUP($A348,'SegEnds_NonXtal_Prot#'!$A:$AL,36,FALSE)</f>
        <v>2705</v>
      </c>
      <c r="AD348" s="5">
        <f>VLOOKUP($A348,'SegEnds_NonXtal_Prot#'!$A:$AL,5,FALSE)</f>
        <v>2493</v>
      </c>
      <c r="AE348" s="5">
        <f>VLOOKUP($A348,'SegEnds_NonXtal_Prot#'!$A:$AL,8,FALSE)</f>
        <v>2497</v>
      </c>
      <c r="AF348" s="5">
        <f>VLOOKUP($A348,'SegEnds_NonXtal_Prot#'!$A:$AL,11,FALSE)</f>
        <v>2524</v>
      </c>
      <c r="AG348" s="5" t="str">
        <f>VLOOKUP($A348,'SegEnds_NonXtal_Prot#'!$A:$AL,14,FALSE)</f>
        <v>-</v>
      </c>
      <c r="AH348" s="5">
        <f>VLOOKUP($A348,'SegEnds_NonXtal_Prot#'!$A:$AL,17,FALSE)</f>
        <v>2562</v>
      </c>
      <c r="AI348" s="5" t="str">
        <f>VLOOKUP($A348,'SegEnds_NonXtal_Prot#'!$A:$AL,20,FALSE)</f>
        <v>-</v>
      </c>
      <c r="AJ348" s="5">
        <f>VLOOKUP($A348,'SegEnds_NonXtal_Prot#'!$A:$AL,23,FALSE)</f>
        <v>2597</v>
      </c>
      <c r="AK348" s="5">
        <f>VLOOKUP($A348,'SegEnds_NonXtal_Prot#'!$A:$AL,26,FALSE)</f>
        <v>2605</v>
      </c>
      <c r="AL348" s="5">
        <f>VLOOKUP($A348,'SegEnds_NonXtal_Prot#'!$A:$AL,29,FALSE)</f>
        <v>2641</v>
      </c>
      <c r="AM348" s="5">
        <f>VLOOKUP($A348,'SegEnds_NonXtal_Prot#'!$A:$AL,32,FALSE)</f>
        <v>2674</v>
      </c>
      <c r="AN348" s="5">
        <f>VLOOKUP($A348,'SegEnds_NonXtal_Prot#'!$A:$AL,35,FALSE)</f>
        <v>2704</v>
      </c>
      <c r="AO348" s="5">
        <f>VLOOKUP($A348,'SegEnds_NonXtal_Prot#'!$A:$AL,38,FALSE)</f>
        <v>2721</v>
      </c>
      <c r="AP348" s="5">
        <f t="shared" si="138"/>
        <v>37</v>
      </c>
      <c r="AQ348" s="4">
        <f t="shared" si="139"/>
        <v>3</v>
      </c>
      <c r="AR348" s="4">
        <f t="shared" si="140"/>
        <v>26</v>
      </c>
      <c r="AS348" s="4" t="str">
        <f t="shared" si="141"/>
        <v>-</v>
      </c>
      <c r="AT348" s="4">
        <f t="shared" si="142"/>
        <v>33</v>
      </c>
      <c r="AU348" s="4" t="str">
        <f t="shared" si="143"/>
        <v>-</v>
      </c>
      <c r="AV348" s="4">
        <f t="shared" si="144"/>
        <v>31</v>
      </c>
      <c r="AW348" s="4">
        <f t="shared" si="145"/>
        <v>2</v>
      </c>
      <c r="AX348" s="4">
        <f t="shared" si="146"/>
        <v>33</v>
      </c>
      <c r="AY348" s="4">
        <f t="shared" si="147"/>
        <v>25</v>
      </c>
      <c r="AZ348" s="4">
        <f t="shared" si="148"/>
        <v>25</v>
      </c>
      <c r="BA348" s="4">
        <f t="shared" si="149"/>
        <v>16</v>
      </c>
    </row>
    <row r="349" spans="1:53" x14ac:dyDescent="0.2">
      <c r="A349" s="1" t="str">
        <f>'SegEnds_NonXtal_Prot#'!A345</f>
        <v>celr2_human</v>
      </c>
      <c r="B349" s="1" t="str">
        <f t="shared" si="125"/>
        <v>DVSRRENGEILPLKTLTYVALGVTLAALLLTFFFLTLLSNQHGIRRNLTAALGLAQLVFLLGINQFACTVIAILLHFLYLCTFSWALLEALHLYRALTEPMRFYYMLGWGVPAFITGLAVGLDPEGYDTLIWSFAGPVAFAVSMSVFLYILAARASCAAQGPVSGLQPSFAVLLLLSATWLLALLTLLFHYLFATCNCIQGPFIFLSYVVLSKEVRKALKLACSRKPS</v>
      </c>
      <c r="C349" s="29" t="str">
        <f>IF(ISERROR(MATCH(A349,'SegEnds_Xtal_Prot#'!B:B, 0)), "NoXtal", "Xtal")</f>
        <v>NoXtal</v>
      </c>
      <c r="D349" s="4" t="str">
        <f>VLOOKUP(A349,Classification!A:D,2,FALSE)</f>
        <v>B2</v>
      </c>
      <c r="E349" s="5" t="str">
        <f>VLOOKUP(A349,Seqs!A:B,2,FALSE)</f>
        <v>MRSPATGVPLPTPPPPLLLLLLLLLPPPLLGDQVGPCRSLGSRGRGSSGACAPMGWLCPSSASNLWLYTSRCRDAGTELTGHLVPHHDGLRVWCPESEAHIPLPPAPEGCPWSCRLLGIGGHLSPQGKLTLPEEHPCLKAPRLRCQSCKLAQAPGLRAGERSPEESLGGRRKRNVNTAPQFQPPSYQATVPENQPAGTPVASLRAIDPDEGEAGRLEYTMDALFDSRSNQFFSLDPVTGAVTTAEELDRETKSTHVFRVTAQDHGMPRRSALATLTILVTDTNDHDPVFEQQEYKESLRENLEVGYEVLTVRATDGDAPPNANILYRLLEGSGGSPSEVFEIDPRSGVIRTRGPVDREEVESYQLTVEASDQGRDPGPRSTTAAVFLSVEDDNDNAPQFSEKRYVVQVREDVTPGAPVLRVTASDRDKGSNAVVHYSIMSGNARGQFYLDAQTGALDVVSPLDYETTKEYTLRVRAQDGGRPPLSNVSGLVTVQVLDINDNAPIFVSTPFQATVLESVPLGYLVLHVQAIDADAGDNARLEYRLAGVGHDFPFTINNGTGWISVAAELDREEVDFYSFGVEARDHGTPALTASASVSVTVLDVNDNNPTFTQPEYTVRLNEDAAVGTSVVTVSAVDRDAHSVITYQITSGNTRNRFSITSQSGGGLVSLALPLDYKLERQYVLAVTASDGTRQDTAQIVVNVTDANTHRPVFQSSHYTVNVNEDRPAGTTVVLISATDEDTGENARITYFMEDSIPQFRIDADTGAVTTQAELDYEDQVSYTLAITARDNGIPQKSDTTYLEILVNDVNDNAPQFLRDSYQGSVYEDVPPFTSVLQISATDRDSGLNGRVFYTFQGGDDGDGDFIVESTSGIVRTLRRLDRENVAQYVLRAYAVDKGMPPARTPMEVTVTVLDVNDNPPVFEQDEFDVFVEENSPIGLAVARVTATDPDEGTNAQIMYQIVEGNIPEVFQLDIFSGELTALVDLDYEDRPEYVLVIQATSAPLVSRATVHVRLLDRNDNPPVLGNFEILFNNYVTNRSSSFPGGAIGRVPAHDPDISDSLTYSFERGNELSLVLLNASTGELKLSRALDNNRPLEAIMSVLVSDGVHSVTAQCALRVTIITDEMLTHSITLRLEDMSPERFLSPLLGLFIQAVAATLATPPDHVVVFNVQRDTDAPGGHILNVSLSVGQPPGPGGGPPFLPSEDLQERLYLNRSLLTAISAQRVLPFDDNICLREPCENYMRCVSVLRFDSSAPFIASSSVLFRPIHPVGGLRCRCPPGFTGDYCETEVDLCYSRPCGPHGRCRSREGGYTCLCRDGYTGEHCEVSARSGRCTPGVCKNGGTCVNLLVGGFKCDCPSGDFEKPYCQVTTRSFPAHSFITFRGLRQRFHFTLALSFATKERDGLLLYNGRFNEKHDFVALEVIQEQVQLTFSAGESTTTVSPFVPGGVSDGQWHTVQLKYYNKPLLGQTGLPQGPSEQKVAVVTVDGCDTGVALRFGSVLGNYSCAAQGTQGGSKKSLDLTGPLLLGGVPDLPESFPVRMRQFVGCMRNLQVDSRHIDMADFIANNGTVPGCPAKKNVCDSNTCHNGGTCVNQWDAFSCECPLGFGGKSCAQEMANPQHFLGSSLVAWHGLSLPISQPWYLSLMFRTRQADGVLLQAITRGRSTITLQLREGHVMLSVEGTGLQASSLRLEPGRANDGDWHHAQLALGASGGPGHAILSFDYGQQRAEGNLGPRLHGLHLSNITVGGIPGPAGGVARGFRGCLQGVRVSDTPEGVNSLDPSHGESINVEQGCSLPDPCDSNPCPANSYCSNDWDSYSCSCDPGYYGDNCTNVCDLNPCEHQSVCTRKPSAPHGYTCECPPNYLGPYCETRIDQPCPRGWWGHPTCGPCNCDVSKGFDPDCNKTSGECHCKENHYRPPGSPTCLLCDCYPTGSLSRVCDPEDGQCPCKPGVIGRQCDRCDNPFAEVTTNGCEVNYDSCPRAIEAGIWWPRTRFGLPAAAPCPKGSFGTAVRHCDEHRGWLPPNLFNCTSITFSELKGFAERLQRNESGLDSGRSQQLALLLRNATQHTAGYFGSDVKVAYQLATRLLAHESTQRGFGLSATQDVHFTENLLRVGSALLDTANKRHWELIQQTEGGTAWLLQHYEAYASALAQNMRHTYLSPFTIVTPNIVISVVRLDKGNFAGAKLPRYEALRGEQPPDLETTVILPESVFRETPPVVRPAGPGEAQEPEELARRQRRHPELSQGEAVASVIIYRTLAGLLPHNYDPDKRSLRVPKRPIINTPVVSISVHDDEELLPRALDKPVTVQFRLLETEERTKPICVFWNHSILVSGTGGWSARGCEVVFRNESHVSCQCNHMTSFAVLMDVSRRENGEILPLKTLTYVALGVTLAALLLTFFFLTLLRILRSNQHGIRRNLTAALGLAQLVFLLGINQADLPFACTVIAILLHFLYLCTFSWALLEALHLYRALTEVRDVNTGPMRFYYMLGWGVPAFITGLAVGLDPEGYGNPDFCWLSIYDTLIWSFAGPVAFAVSMSVFLYILAARASCAAQRQGFEKKGPVSGLQPSFAVLLLLSATWLLALLSVNSDTLLFHYLFATCNCIQGPFIFLSYVVLSKEVRKALKLACSRKPSPDPALTTKSTLTSSYNCPSPYADGRLYQPYGDSAGSLHSTSRSGKSQPSYIPFLLREESALNPGQGPPGLGDPGSLFLEGQDQQHDPDTDSDSDLSLEDDQSGSYASTHSSDSEEEEEEEEEEAAFPGEQGWDSLLGPGAERLPLHSTPKDGGPGPGKAPWPGDFGTTAKESSGNGAPEERLRENGDALSREGSLGPLPGSSAQPHKGILKKKCLPTISEKSSLLRLPLEQCTGSSRGSSASEGSRGGPPPRPPPRQSLQEQLNGVMPIAMSIKAGTVDEDSSGSEFLFFNFLH</v>
      </c>
      <c r="F349" s="5" t="str">
        <f t="shared" si="126"/>
        <v>DVSRRENGEILPLKTLTYVALGVTLAALLLTFFFLTLL</v>
      </c>
      <c r="G349" s="4" t="str">
        <f t="shared" si="127"/>
        <v>RILR</v>
      </c>
      <c r="H349" s="4" t="str">
        <f t="shared" si="128"/>
        <v>SNQHGIRRNLTAALGLAQLVFLLGINQ</v>
      </c>
      <c r="I349" s="4" t="str">
        <f t="shared" si="129"/>
        <v/>
      </c>
      <c r="J349" s="4" t="str">
        <f t="shared" si="130"/>
        <v>FACTVIAILLHFLYLCTFSWALLEALHLYRALTE</v>
      </c>
      <c r="K349" s="4" t="str">
        <f t="shared" si="131"/>
        <v/>
      </c>
      <c r="L349" s="4" t="str">
        <f t="shared" si="132"/>
        <v>PMRFYYMLGWGVPAFITGLAVGLDPEG</v>
      </c>
      <c r="M349" s="4" t="str">
        <f t="shared" si="133"/>
        <v>CWL</v>
      </c>
      <c r="N349" s="4" t="str">
        <f t="shared" si="134"/>
        <v>YDTLIWSFAGPVAFAVSMSVFLYILAARASCAAQ</v>
      </c>
      <c r="O349" s="4" t="str">
        <f t="shared" si="135"/>
        <v>GPVSGLQPSFAVLLLLSATWLLALL</v>
      </c>
      <c r="P349" s="4" t="str">
        <f t="shared" si="136"/>
        <v>TLLFHYLFATCNCIQGPFIFLSYVVL</v>
      </c>
      <c r="Q349" s="4" t="str">
        <f t="shared" si="137"/>
        <v>SKEVRKALKLACSRKPS</v>
      </c>
      <c r="R349" s="5">
        <f>VLOOKUP($A349,'SegEnds_NonXtal_Prot#'!$A:$AL,3,FALSE)</f>
        <v>2364</v>
      </c>
      <c r="S349" s="5">
        <f>VLOOKUP($A349,'SegEnds_NonXtal_Prot#'!$A:$AL,6,FALSE)</f>
        <v>2402</v>
      </c>
      <c r="T349" s="5">
        <f>VLOOKUP($A349,'SegEnds_NonXtal_Prot#'!$A:$AL,9,FALSE)</f>
        <v>2406</v>
      </c>
      <c r="U349" s="5" t="str">
        <f>VLOOKUP($A349,'SegEnds_NonXtal_Prot#'!$A:$AL,12,FALSE)</f>
        <v>-</v>
      </c>
      <c r="V349" s="5">
        <f>VLOOKUP($A349,'SegEnds_NonXtal_Prot#'!$A:$AL,15,FALSE)</f>
        <v>2437</v>
      </c>
      <c r="W349" s="5" t="str">
        <f>VLOOKUP($A349,'SegEnds_NonXtal_Prot#'!$A:$AL,18,FALSE)</f>
        <v>-</v>
      </c>
      <c r="X349" s="5">
        <f>VLOOKUP($A349,'SegEnds_NonXtal_Prot#'!$A:$AL,21,FALSE)</f>
        <v>2478</v>
      </c>
      <c r="Y349" s="5">
        <f>VLOOKUP($A349,'SegEnds_NonXtal_Prot#'!$A:$AL,24,FALSE)</f>
        <v>2511</v>
      </c>
      <c r="Z349" s="5">
        <f>VLOOKUP($A349,'SegEnds_NonXtal_Prot#'!$A:$AL,27,FALSE)</f>
        <v>2516</v>
      </c>
      <c r="AA349" s="5">
        <f>VLOOKUP($A349,'SegEnds_NonXtal_Prot#'!$A:$AL,30,FALSE)</f>
        <v>2557</v>
      </c>
      <c r="AB349" s="5">
        <f>VLOOKUP($A349,'SegEnds_NonXtal_Prot#'!$A:$AL,33,FALSE)</f>
        <v>2587</v>
      </c>
      <c r="AC349" s="5">
        <f>VLOOKUP($A349,'SegEnds_NonXtal_Prot#'!$A:$AL,36,FALSE)</f>
        <v>2613</v>
      </c>
      <c r="AD349" s="5">
        <f>VLOOKUP($A349,'SegEnds_NonXtal_Prot#'!$A:$AL,5,FALSE)</f>
        <v>2401</v>
      </c>
      <c r="AE349" s="5">
        <f>VLOOKUP($A349,'SegEnds_NonXtal_Prot#'!$A:$AL,8,FALSE)</f>
        <v>2405</v>
      </c>
      <c r="AF349" s="5">
        <f>VLOOKUP($A349,'SegEnds_NonXtal_Prot#'!$A:$AL,11,FALSE)</f>
        <v>2432</v>
      </c>
      <c r="AG349" s="5" t="str">
        <f>VLOOKUP($A349,'SegEnds_NonXtal_Prot#'!$A:$AL,14,FALSE)</f>
        <v>-</v>
      </c>
      <c r="AH349" s="5">
        <f>VLOOKUP($A349,'SegEnds_NonXtal_Prot#'!$A:$AL,17,FALSE)</f>
        <v>2470</v>
      </c>
      <c r="AI349" s="5" t="str">
        <f>VLOOKUP($A349,'SegEnds_NonXtal_Prot#'!$A:$AL,20,FALSE)</f>
        <v>-</v>
      </c>
      <c r="AJ349" s="5">
        <f>VLOOKUP($A349,'SegEnds_NonXtal_Prot#'!$A:$AL,23,FALSE)</f>
        <v>2504</v>
      </c>
      <c r="AK349" s="5">
        <f>VLOOKUP($A349,'SegEnds_NonXtal_Prot#'!$A:$AL,26,FALSE)</f>
        <v>2513</v>
      </c>
      <c r="AL349" s="5">
        <f>VLOOKUP($A349,'SegEnds_NonXtal_Prot#'!$A:$AL,29,FALSE)</f>
        <v>2549</v>
      </c>
      <c r="AM349" s="5">
        <f>VLOOKUP($A349,'SegEnds_NonXtal_Prot#'!$A:$AL,32,FALSE)</f>
        <v>2581</v>
      </c>
      <c r="AN349" s="5">
        <f>VLOOKUP($A349,'SegEnds_NonXtal_Prot#'!$A:$AL,35,FALSE)</f>
        <v>2612</v>
      </c>
      <c r="AO349" s="5">
        <f>VLOOKUP($A349,'SegEnds_NonXtal_Prot#'!$A:$AL,38,FALSE)</f>
        <v>2629</v>
      </c>
      <c r="AP349" s="5">
        <f t="shared" si="138"/>
        <v>37</v>
      </c>
      <c r="AQ349" s="4">
        <f t="shared" si="139"/>
        <v>3</v>
      </c>
      <c r="AR349" s="4">
        <f t="shared" si="140"/>
        <v>26</v>
      </c>
      <c r="AS349" s="4" t="str">
        <f t="shared" si="141"/>
        <v>-</v>
      </c>
      <c r="AT349" s="4">
        <f t="shared" si="142"/>
        <v>33</v>
      </c>
      <c r="AU349" s="4" t="str">
        <f t="shared" si="143"/>
        <v>-</v>
      </c>
      <c r="AV349" s="4">
        <f t="shared" si="144"/>
        <v>26</v>
      </c>
      <c r="AW349" s="4">
        <f t="shared" si="145"/>
        <v>2</v>
      </c>
      <c r="AX349" s="4">
        <f t="shared" si="146"/>
        <v>33</v>
      </c>
      <c r="AY349" s="4">
        <f t="shared" si="147"/>
        <v>24</v>
      </c>
      <c r="AZ349" s="4">
        <f t="shared" si="148"/>
        <v>25</v>
      </c>
      <c r="BA349" s="4">
        <f t="shared" si="149"/>
        <v>16</v>
      </c>
    </row>
    <row r="350" spans="1:53" x14ac:dyDescent="0.2">
      <c r="A350" s="1" t="str">
        <f>'SegEnds_NonXtal_Prot#'!A346</f>
        <v>celr3_human</v>
      </c>
      <c r="B350" s="1" t="str">
        <f t="shared" si="125"/>
        <v>SPRERLEGDLELLAVFTHVVVAVSVAALVLTAAILLSLSNVRGIHANVAAALGVAELLFLLGIHRLVCTAVAILLHYFFLSTFAWLFVQGLHLYRMQVEGAMRFYHALGWGVPAVLLGLAVGLDPEGYHEPLIWSFAGPVVLVIVMNGTMFLLAARTSCSTGTSALTLRSSFLLLLLVSASWLFGLLILAFHYLHAGLCGLQGLAVLLLFCVLNADARAAWMPACLGRKA</v>
      </c>
      <c r="C350" s="29" t="str">
        <f>IF(ISERROR(MATCH(A350,'SegEnds_Xtal_Prot#'!B:B, 0)), "NoXtal", "Xtal")</f>
        <v>NoXtal</v>
      </c>
      <c r="D350" s="4" t="str">
        <f>VLOOKUP(A350,Classification!A:D,2,FALSE)</f>
        <v>B2</v>
      </c>
      <c r="E350" s="5" t="str">
        <f>VLOOKUP(A350,Seqs!A:B,2,FALSE)</f>
        <v>MMARRPPWRGLGGRSTPILLLLLLSLFPLSQEELGGGGHQGWDPGLAATTGPRAHIGGGALALCPESSGVREDGGPGLGVREPIFVGLRGRRQSARNSRGPPEQPNEELGIEHGVQPLGSRERETGQGPGSVLYWRPEVSSCGRTGPLQRGSLSPGALSSGVPGSGNSSPLPSDFLIRHHGPKPVSSQRNAGTGSRKRVGTARCCGELWATGSKGQGERATTSGAERTAPRRNCLPGASGSGPELDSAPRTARTAPASGSAPRESRTAPEPAPKRMRSRGLFRCRFLPQRPGPRPPGLPARPEARKVTSANRARFRRAANRHPQFPQYNYQTLVPENEAAGTAVLRVVAQDPDAGEAGRLVYSLAALMNSRSLELFSIDPQSGLIRTAAALDRESMERHYLRVTAQDHGSPRLSATTMVAVTVADRNDHSPVFEQAQYRETLRENVEEGYPILQLRATDGDAPPNANLRYRFVGPPAARAAAAAAFEIDPRSGLISTSGRVDREHMESYELVVEASDQGQEPGPRSATVRVHITVLDENDNAPQFSEKRYVAQVREDVRPHTVVLRVTATDRDKDANGLVHYNIISGNSRGHFAIDSLTGEIQVVAPLDFEAEREYALRIRAQDAGRPPLSNNTGLASIQVVDINDHIPIFVSTPFQVSVLENAPLGHSVIHIQAVDADHGENARLEYSLTGVAPDTPFVINSATGWVSVSGPLDRESVEHYFFGVEARDHGSPPLSASASVTVTVLDVNDNRPEFTMKEYHLRLNEDAAVGTSVVSVTAVDRDANSAISYQITGGNTRNRFAISTQGGVGLVTLALPLDYKQERYFKLVLTASDRALHDHCYVHINITDANTHRPVFQSAHYSVSVNEDRPMGSTIVVISASDDDVGENARITYLLEDNLPQFRIDADSGAITLQAPLDYEDQVTYTLAITARDNGIPQKADTTYVEVMVNDVNDNAPQFVASHYTGLVSEDAPPFTSVLQISATDRDAHANGRVQYTFQNGEDGDGDFTIEPTSGIVRTVRRLDREAVSVYELTAYAVDRGVPPLRTPVSIQVMVQDVNDNAPVFPAEEFEVRVKENSIVGSVVAQITAVDPDEGPNAHIMYQIVEGNIPELFQMDIFSGELTALIDLDYEARQEYVIVVQATSAPLVSRATVHVRLVDQNDNSPVLNNFQILFNNYVSNRSDTFPSGIIGRIPAYDPDVSDHLFYSFERGNELQLLVVNQTSGELRLSRKLDNNRPLVASMLVTVTDGLHSVTAQCVLRVVIITEELLANSLTVRLENMWQERFLSPLLGRFLEGVAAVLATPAEDVFIFNIQNDTDVGGTVLNVSFSALAPRGAGAGAAGPWFSSEELQEQLYVRRAALAARSLLDVLPFDDNVCLREPCENYMKCVSVLRFDSSAPFLASASTLFRPIQPIAGLRCRCPPGFTGDFCETELDLCYSNPCRNGGACARREGGYTCVCRPRFTGEDCELDTEAGRCVPGVCRNGGTCTDAPNGGFRCQCPAGGAFEGPRCEVAARSFPPSSFVMFRGLRQRFHLTLSLSFATVQQSGLLFYNGRLNEKHDFLALELVAGQVRLTYSTGESNTVVSPTVPGGLSDGQWHTVHLRYYNKPRTDALGGAQGPSKDKVAVLSVDDCDVAVALQFGAEIGNYSCAAAGVQTSSKKSLDLTGPLLLGGVPNLPENFPVSHKDFIGCMRDLHIDGRRVDMAAFVANNGTMAGCQAKLHFCDSGPCKNSGFCSERWGSFSCDCPVGFGGKDCQLTMAHPHHFRGNGTLSWNFGSDMAVSVPWYLGLAFRTRATQGVLMQVQAGPHSTLLCQLDRGLLSVTVTRGSGRASHLLLDQVTVSDGRWHDLRLELQEEPGGRRGHHVLMVSLDFSLFQDTMAVGSELQGLKVKQLHVGGLPPGSAEEAPQGLVGCIQGVWLGSTPSGSPALLPPSHRVNAEPGCVVTNACASGPCPPHADCRDLWQTFSCTCQPGYYGPGCVDACLLNPCQNQGSCRHLPGAPHGYTCDCVGGYFGHHCEHRMDQQCPRGWWGSPTCGPCNCDVHKGFDPNCNKTNGQCHCKEFHYRPRGSDSCLPCDCYPVGSTSRSCAPHSGQCPCRPGALGRQCNSCDSPFAEVTASGCRVLYDACPKSLRSGVWWPQTKFGVLATVPCPRGALGAAVRLCDEAQGWLEPDLFNCTSPAFRELSLLLDGLELNKTALDTMEAKKLAQRLREVTGHTDHYFSQDVRVTARLLAHLLAFESHQQGFGLTATQDAHFNENLLWAGSALLAPETGDLWAALGQRAPGGSPGSAGLVRHLEEYAATLARNMELTYLNPMGLVTPNIMLSIDRMEHPSSPRGARRYPRYHSNLFRGQDAWDPHTHVLLPSQSPRPSPSEVLPTSSSIENSTTSSVVPPPAPPEPEPGISIIILLVYRTLGGLLPAQFQAERRGARLPQNPVMNSPVVSVAVFHGRNFLRGILESPISLEFRLLQTANRSKAICVQWDPPGLAEQHGVWTARDCELVHRNGSHARCRCSRTGTFGVLMDASPRERLEGDLELLAVFTHVVVAVSVAALVLTAAILLSLRSLKSNVRGIHANVAAALGVAELLFLLGIHRTHNQLVCTAVAILLHYFFLSTFAWLFVQGLHLYRMQVEPRNVDRGAMRFYHALGWGVPAVLLGLAVGLDPEGYGNPDFCWISVHEPLIWSFAGPVVLVIVMNGTMFLLAARTSCSTGQREAKKTSALTLRSSFLLLLLVSASWLFGLLAVNHSILAFHYLHAGLCGLQGLAVLLLFCVLNADARAAWMPACLGRKAAPEEARPAPGLGPGAYNNTALFEESGLIRITLGASTVSSVSSARSGRTQDQDSQRGRSYLRDNVLVRHGSAADHTDHSLQAHAGPTDLDVAMFHRDAGADSDSDSDLSLEEERSLSIPSSESEDNGRTRGRFQRPLCRAAQSERLLTHPKDVDGNDLLSYWPALGECEAAPCALQTWGSERRLGLDTSKDAANNNQPDPALTSGDETSLGRAQRQRKGILKNRLQYPLVPQTRGAPELSWCRAATLGHRAVPAASYGRIYAGGGTGSLSQPASRYSSREQLDLLLRRQLSRERLEEAPAPVLRPLSRPGSQECMDAAPGRLEPKDRGSTLPRRQPPRDYPGAMAGRFGSRDALDLGAPREWLSTLPPPRRTRDLDPQPPPLPLSPQRQLSRDPLLPSRPLDSLSRSSNSREQLDQVPSRHPSREALGPLPQLLRAREDSVSGPSHGPSTEQLDILSSILASFNSSALSSVQSSSTPLGPHTTATPSATASVLGPSTPRSATSHSISELSPDSEVPRSEGHS</v>
      </c>
      <c r="F350" s="5" t="str">
        <f t="shared" si="126"/>
        <v>SPRERLEGDLELLAVFTHVVVAVSVAALVLTAAILLSL</v>
      </c>
      <c r="G350" s="4" t="str">
        <f t="shared" si="127"/>
        <v>RSLK</v>
      </c>
      <c r="H350" s="4" t="str">
        <f t="shared" si="128"/>
        <v>SNVRGIHANVAAALGVAELLFLLGIHR</v>
      </c>
      <c r="I350" s="4" t="str">
        <f t="shared" si="129"/>
        <v/>
      </c>
      <c r="J350" s="4" t="str">
        <f t="shared" si="130"/>
        <v>LVCTAVAILLHYFFLSTFAWLFVQGLHLYRMQVE</v>
      </c>
      <c r="K350" s="4" t="str">
        <f t="shared" si="131"/>
        <v/>
      </c>
      <c r="L350" s="4" t="str">
        <f t="shared" si="132"/>
        <v>GAMRFYHALGWGVPAVLLGLAVGLDPEGY</v>
      </c>
      <c r="M350" s="4" t="str">
        <f t="shared" si="133"/>
        <v>CWI</v>
      </c>
      <c r="N350" s="4" t="str">
        <f t="shared" si="134"/>
        <v>HEPLIWSFAGPVVLVIVMNGTMFLLAARTSCSTG</v>
      </c>
      <c r="O350" s="4" t="str">
        <f t="shared" si="135"/>
        <v>TSALTLRSSFLLLLLVSASWLFGLL</v>
      </c>
      <c r="P350" s="4" t="str">
        <f t="shared" si="136"/>
        <v>ILAFHYLHAGLCGLQGLAVLLLFCVL</v>
      </c>
      <c r="Q350" s="4" t="str">
        <f t="shared" si="137"/>
        <v>NADARAAWMPACLGRKA</v>
      </c>
      <c r="R350" s="5">
        <f>VLOOKUP($A350,'SegEnds_NonXtal_Prot#'!$A:$AL,3,FALSE)</f>
        <v>2527</v>
      </c>
      <c r="S350" s="5">
        <f>VLOOKUP($A350,'SegEnds_NonXtal_Prot#'!$A:$AL,6,FALSE)</f>
        <v>2565</v>
      </c>
      <c r="T350" s="5">
        <f>VLOOKUP($A350,'SegEnds_NonXtal_Prot#'!$A:$AL,9,FALSE)</f>
        <v>2569</v>
      </c>
      <c r="U350" s="5" t="str">
        <f>VLOOKUP($A350,'SegEnds_NonXtal_Prot#'!$A:$AL,12,FALSE)</f>
        <v>-</v>
      </c>
      <c r="V350" s="5">
        <f>VLOOKUP($A350,'SegEnds_NonXtal_Prot#'!$A:$AL,15,FALSE)</f>
        <v>2600</v>
      </c>
      <c r="W350" s="5" t="str">
        <f>VLOOKUP($A350,'SegEnds_NonXtal_Prot#'!$A:$AL,18,FALSE)</f>
        <v>-</v>
      </c>
      <c r="X350" s="5">
        <f>VLOOKUP($A350,'SegEnds_NonXtal_Prot#'!$A:$AL,21,FALSE)</f>
        <v>2640</v>
      </c>
      <c r="Y350" s="5">
        <f>VLOOKUP($A350,'SegEnds_NonXtal_Prot#'!$A:$AL,24,FALSE)</f>
        <v>2674</v>
      </c>
      <c r="Z350" s="5">
        <f>VLOOKUP($A350,'SegEnds_NonXtal_Prot#'!$A:$AL,27,FALSE)</f>
        <v>2679</v>
      </c>
      <c r="AA350" s="5">
        <f>VLOOKUP($A350,'SegEnds_NonXtal_Prot#'!$A:$AL,30,FALSE)</f>
        <v>2719</v>
      </c>
      <c r="AB350" s="5">
        <f>VLOOKUP($A350,'SegEnds_NonXtal_Prot#'!$A:$AL,33,FALSE)</f>
        <v>2749</v>
      </c>
      <c r="AC350" s="5">
        <f>VLOOKUP($A350,'SegEnds_NonXtal_Prot#'!$A:$AL,36,FALSE)</f>
        <v>2775</v>
      </c>
      <c r="AD350" s="5">
        <f>VLOOKUP($A350,'SegEnds_NonXtal_Prot#'!$A:$AL,5,FALSE)</f>
        <v>2564</v>
      </c>
      <c r="AE350" s="5">
        <f>VLOOKUP($A350,'SegEnds_NonXtal_Prot#'!$A:$AL,8,FALSE)</f>
        <v>2568</v>
      </c>
      <c r="AF350" s="5">
        <f>VLOOKUP($A350,'SegEnds_NonXtal_Prot#'!$A:$AL,11,FALSE)</f>
        <v>2595</v>
      </c>
      <c r="AG350" s="5" t="str">
        <f>VLOOKUP($A350,'SegEnds_NonXtal_Prot#'!$A:$AL,14,FALSE)</f>
        <v>-</v>
      </c>
      <c r="AH350" s="5">
        <f>VLOOKUP($A350,'SegEnds_NonXtal_Prot#'!$A:$AL,17,FALSE)</f>
        <v>2633</v>
      </c>
      <c r="AI350" s="5" t="str">
        <f>VLOOKUP($A350,'SegEnds_NonXtal_Prot#'!$A:$AL,20,FALSE)</f>
        <v>-</v>
      </c>
      <c r="AJ350" s="5">
        <f>VLOOKUP($A350,'SegEnds_NonXtal_Prot#'!$A:$AL,23,FALSE)</f>
        <v>2668</v>
      </c>
      <c r="AK350" s="5">
        <f>VLOOKUP($A350,'SegEnds_NonXtal_Prot#'!$A:$AL,26,FALSE)</f>
        <v>2676</v>
      </c>
      <c r="AL350" s="5">
        <f>VLOOKUP($A350,'SegEnds_NonXtal_Prot#'!$A:$AL,29,FALSE)</f>
        <v>2712</v>
      </c>
      <c r="AM350" s="5">
        <f>VLOOKUP($A350,'SegEnds_NonXtal_Prot#'!$A:$AL,32,FALSE)</f>
        <v>2743</v>
      </c>
      <c r="AN350" s="5">
        <f>VLOOKUP($A350,'SegEnds_NonXtal_Prot#'!$A:$AL,35,FALSE)</f>
        <v>2774</v>
      </c>
      <c r="AO350" s="5">
        <f>VLOOKUP($A350,'SegEnds_NonXtal_Prot#'!$A:$AL,38,FALSE)</f>
        <v>2791</v>
      </c>
      <c r="AP350" s="5">
        <f t="shared" si="138"/>
        <v>37</v>
      </c>
      <c r="AQ350" s="4">
        <f t="shared" si="139"/>
        <v>3</v>
      </c>
      <c r="AR350" s="4">
        <f t="shared" si="140"/>
        <v>26</v>
      </c>
      <c r="AS350" s="4" t="str">
        <f t="shared" si="141"/>
        <v>-</v>
      </c>
      <c r="AT350" s="4">
        <f t="shared" si="142"/>
        <v>33</v>
      </c>
      <c r="AU350" s="4" t="str">
        <f t="shared" si="143"/>
        <v>-</v>
      </c>
      <c r="AV350" s="4">
        <f t="shared" si="144"/>
        <v>28</v>
      </c>
      <c r="AW350" s="4">
        <f t="shared" si="145"/>
        <v>2</v>
      </c>
      <c r="AX350" s="4">
        <f t="shared" si="146"/>
        <v>33</v>
      </c>
      <c r="AY350" s="4">
        <f t="shared" si="147"/>
        <v>24</v>
      </c>
      <c r="AZ350" s="4">
        <f t="shared" si="148"/>
        <v>25</v>
      </c>
      <c r="BA350" s="4">
        <f t="shared" si="149"/>
        <v>16</v>
      </c>
    </row>
    <row r="351" spans="1:53" x14ac:dyDescent="0.2">
      <c r="A351" s="1" t="str">
        <f>'SegEnds_NonXtal_Prot#'!A348</f>
        <v>casr_human</v>
      </c>
      <c r="B351" s="1" t="str">
        <f t="shared" si="125"/>
        <v>PFGIALTLFAVLGIFLTAFVLGVFIKFNRELSYLLLFSLLCCFSSSLFFIQDWTCRLRQPAFGISFVLCISCILVKTNRVLLVFGLNLQFLLVFLCTFMQIVICVIWLYTASLMALGFLIGYTCLLAAICFFFAFKSEAKFITFSMLIFFIVWISFIPAYASFVSAVEVIAILAASFGLLACIFFNKIYIILFKPSRNTIEEVRCS</v>
      </c>
      <c r="C351" s="29" t="str">
        <f>IF(ISERROR(MATCH(A351,'SegEnds_Xtal_Prot#'!B:B, 0)), "NoXtal", "Xtal")</f>
        <v>NoXtal</v>
      </c>
      <c r="D351" s="4" t="str">
        <f>VLOOKUP(A351,Classification!A:D,2,FALSE)</f>
        <v>C</v>
      </c>
      <c r="E351" s="5" t="str">
        <f>VLOOKUP(A351,Seqs!A:B,2,FALSE)</f>
        <v>MAFYSCCWVLLALTWHTSAYGPDQRAQKKGDIILGGLFPIHFGVAAKDQDLKSRPESVECIRYNFRGFRWLQAMIFAIEEINSSPALLPNLTLGYRIFDTCNTVSKALEATLSFVAQNKIDSLNLDEFCNCSEHIPSTIAVVGATGSGVSTAVANLLGLFYIPQVSYASSSRLLSNKNQFKSFLRTIPNDEHQATAMADIIEYFRWNWVGTIAADDDYGRPGIEKFREEAEERDICIDFSELISQYSDEEEIQHVVEVIQNSTAKVIVVFSSGPDLEPLIKEIVRRNITGKIWLASEAWASSSLIAMPQYFHVVGGTIGFALKAGQIPGFREFLKKVHPRKSVHNGFAKEFWEETFNCHLQEGAKGPLPVDTFLRGHEESGDRFSNSSTAFRPLCTGDENISSVETPYIDYTHLRISYNVYLAVYSIAHALQDIYTCLPGRGLFTNGSCADIKKVEAWQVLKHLRHLNFTNNMGEQVTFDECGDLVGNYSIINWHLSPEDGSIVFKEVGYYNVYAKKGERLFINEEKILWSGFSREVPFSNCSRDCLAGTRKGIIEGEPTCCFECVECPDGEYSDETDASACNKCPDDFWSNENHTSCIAKEIEFLSWTEPFGIALTLFAVLGIFLTAFVLGVFIKFRNTPIVKATNRELSYLLLFSLLCCFSSSLFFIGEPQDWTCRLRQPAFGISFVLCISCILVKTNRVLLVFEAKIPTSFHRKWWGLNLQFLLVFLCTFMQIVICVIWLYTAPPSSYRNQELEDEIIFITCHEGSLMALGFLIGYTCLLAAICFFFAFKSRKLPENFNEAKFITFSMLIFFIVWISFIPAYASTYGKFVSAVEVIAILAASFGLLACIFFNKIYIILFKPSRNTIEEVRCSTAAHAFKVAARATLRRSNVSRKRSSSLGGSTGSTPSSSISSKSNSEDPFPQPERQKQQQPLALTQQEQQQQPLTLPQQQRSQQQPRCKQKVIFGSGTVTFSLSFDEPQKNAMAHRNSTHQNSLEAQKSSDTLTRHQPLLPLQCGETDLDLTVQETGLQGPVGGDQRPEVEDPEELSPALVVSSSQSFVISGGGSTVTENVVNS</v>
      </c>
      <c r="F351" s="5" t="str">
        <f t="shared" si="126"/>
        <v>PFGIALTLFAVLGIFLTAFVLGVFIKF</v>
      </c>
      <c r="G351" s="4" t="str">
        <f t="shared" si="127"/>
        <v>TPIVKAT</v>
      </c>
      <c r="H351" s="4" t="str">
        <f t="shared" si="128"/>
        <v>NRELSYLLLFSLLCCFSSSLFFI</v>
      </c>
      <c r="I351" s="4" t="str">
        <f t="shared" si="129"/>
        <v/>
      </c>
      <c r="J351" s="4" t="str">
        <f t="shared" si="130"/>
        <v>QDWTCRLRQPAFGISFVLCISCILVKTNRVLLVF</v>
      </c>
      <c r="K351" s="4" t="str">
        <f t="shared" si="131"/>
        <v/>
      </c>
      <c r="L351" s="4" t="str">
        <f t="shared" si="132"/>
        <v>GLNLQFLLVFLCTFMQIVICVIWLYTA</v>
      </c>
      <c r="M351" s="4" t="str">
        <f t="shared" si="133"/>
        <v>CHE</v>
      </c>
      <c r="N351" s="4" t="str">
        <f t="shared" si="134"/>
        <v>SLMALGFLIGYTCLLAAICFFFAFKS</v>
      </c>
      <c r="O351" s="4" t="str">
        <f t="shared" si="135"/>
        <v>EAKFITFSMLIFFIVWISFIPAYAS</v>
      </c>
      <c r="P351" s="4" t="str">
        <f t="shared" si="136"/>
        <v>FVSAVEVIAILAASFGLLACIFFNKIYIILFK</v>
      </c>
      <c r="Q351" s="4" t="str">
        <f t="shared" si="137"/>
        <v>PSRNTIEEVRCS</v>
      </c>
      <c r="R351" s="5">
        <f>VLOOKUP($A351,'SegEnds_NonXtal_Prot#'!$A:$AL,3,FALSE)</f>
        <v>611</v>
      </c>
      <c r="S351" s="5">
        <f>VLOOKUP($A351,'SegEnds_NonXtal_Prot#'!$A:$AL,6,FALSE)</f>
        <v>640</v>
      </c>
      <c r="T351" s="5">
        <f>VLOOKUP($A351,'SegEnds_NonXtal_Prot#'!$A:$AL,9,FALSE)</f>
        <v>647</v>
      </c>
      <c r="U351" s="5" t="str">
        <f>VLOOKUP($A351,'SegEnds_NonXtal_Prot#'!$A:$AL,12,FALSE)</f>
        <v>-</v>
      </c>
      <c r="V351" s="5">
        <f>VLOOKUP($A351,'SegEnds_NonXtal_Prot#'!$A:$AL,15,FALSE)</f>
        <v>673</v>
      </c>
      <c r="W351" s="5" t="str">
        <f>VLOOKUP($A351,'SegEnds_NonXtal_Prot#'!$A:$AL,18,FALSE)</f>
        <v>-</v>
      </c>
      <c r="X351" s="5">
        <f>VLOOKUP($A351,'SegEnds_NonXtal_Prot#'!$A:$AL,21,FALSE)</f>
        <v>720</v>
      </c>
      <c r="Y351" s="5">
        <f>VLOOKUP($A351,'SegEnds_NonXtal_Prot#'!$A:$AL,24,FALSE)</f>
        <v>765</v>
      </c>
      <c r="Z351" s="5">
        <f>VLOOKUP($A351,'SegEnds_NonXtal_Prot#'!$A:$AL,27,FALSE)</f>
        <v>769</v>
      </c>
      <c r="AA351" s="5">
        <f>VLOOKUP($A351,'SegEnds_NonXtal_Prot#'!$A:$AL,30,FALSE)</f>
        <v>803</v>
      </c>
      <c r="AB351" s="5">
        <f>VLOOKUP($A351,'SegEnds_NonXtal_Prot#'!$A:$AL,33,FALSE)</f>
        <v>832</v>
      </c>
      <c r="AC351" s="5">
        <f>VLOOKUP($A351,'SegEnds_NonXtal_Prot#'!$A:$AL,36,FALSE)</f>
        <v>864</v>
      </c>
      <c r="AD351" s="5">
        <f>VLOOKUP($A351,'SegEnds_NonXtal_Prot#'!$A:$AL,5,FALSE)</f>
        <v>637</v>
      </c>
      <c r="AE351" s="5">
        <f>VLOOKUP($A351,'SegEnds_NonXtal_Prot#'!$A:$AL,8,FALSE)</f>
        <v>646</v>
      </c>
      <c r="AF351" s="5">
        <f>VLOOKUP($A351,'SegEnds_NonXtal_Prot#'!$A:$AL,11,FALSE)</f>
        <v>669</v>
      </c>
      <c r="AG351" s="5" t="str">
        <f>VLOOKUP($A351,'SegEnds_NonXtal_Prot#'!$A:$AL,14,FALSE)</f>
        <v>-</v>
      </c>
      <c r="AH351" s="5">
        <f>VLOOKUP($A351,'SegEnds_NonXtal_Prot#'!$A:$AL,17,FALSE)</f>
        <v>706</v>
      </c>
      <c r="AI351" s="5" t="str">
        <f>VLOOKUP($A351,'SegEnds_NonXtal_Prot#'!$A:$AL,20,FALSE)</f>
        <v>-</v>
      </c>
      <c r="AJ351" s="5">
        <f>VLOOKUP($A351,'SegEnds_NonXtal_Prot#'!$A:$AL,23,FALSE)</f>
        <v>746</v>
      </c>
      <c r="AK351" s="5">
        <f>VLOOKUP($A351,'SegEnds_NonXtal_Prot#'!$A:$AL,26,FALSE)</f>
        <v>767</v>
      </c>
      <c r="AL351" s="5">
        <f>VLOOKUP($A351,'SegEnds_NonXtal_Prot#'!$A:$AL,29,FALSE)</f>
        <v>794</v>
      </c>
      <c r="AM351" s="5">
        <f>VLOOKUP($A351,'SegEnds_NonXtal_Prot#'!$A:$AL,32,FALSE)</f>
        <v>827</v>
      </c>
      <c r="AN351" s="5">
        <f>VLOOKUP($A351,'SegEnds_NonXtal_Prot#'!$A:$AL,35,FALSE)</f>
        <v>863</v>
      </c>
      <c r="AO351" s="5">
        <f>VLOOKUP($A351,'SegEnds_NonXtal_Prot#'!$A:$AL,38,FALSE)</f>
        <v>875</v>
      </c>
      <c r="AP351" s="5">
        <f t="shared" si="138"/>
        <v>26</v>
      </c>
      <c r="AQ351" s="4">
        <f t="shared" si="139"/>
        <v>6</v>
      </c>
      <c r="AR351" s="4">
        <f t="shared" si="140"/>
        <v>22</v>
      </c>
      <c r="AS351" s="4" t="str">
        <f t="shared" si="141"/>
        <v>-</v>
      </c>
      <c r="AT351" s="4">
        <f t="shared" si="142"/>
        <v>33</v>
      </c>
      <c r="AU351" s="4" t="str">
        <f t="shared" si="143"/>
        <v>-</v>
      </c>
      <c r="AV351" s="4">
        <f t="shared" si="144"/>
        <v>26</v>
      </c>
      <c r="AW351" s="4">
        <f t="shared" si="145"/>
        <v>2</v>
      </c>
      <c r="AX351" s="4">
        <f t="shared" si="146"/>
        <v>25</v>
      </c>
      <c r="AY351" s="4">
        <f t="shared" si="147"/>
        <v>24</v>
      </c>
      <c r="AZ351" s="4">
        <f t="shared" si="148"/>
        <v>31</v>
      </c>
      <c r="BA351" s="4">
        <f t="shared" si="149"/>
        <v>11</v>
      </c>
    </row>
    <row r="352" spans="1:53" x14ac:dyDescent="0.2">
      <c r="A352" s="1" t="str">
        <f>'SegEnds_NonXtal_Prot#'!A349</f>
        <v>gabr1_human</v>
      </c>
      <c r="B352" s="1" t="str">
        <f t="shared" si="125"/>
        <v>KLFISVSVLSSLGIVLAVVCLSFNIYNQPNLNNLTAVGCSLALAAVFPLGPFVCQARLWLLGLGFSLGYGSMFTKIWWVHTVFEPWKLYATVGLLVGMDVLTLAIWQIVDMNTWLGIFYGYKGLLLLLGIFLAYETDHRAVGMAIYNVAVLCLITAPVTMIAAFAFASLAIVFSSYITLVVLFVPKMRRLITRGEWQSEAQDTMK</v>
      </c>
      <c r="C352" s="29" t="str">
        <f>IF(ISERROR(MATCH(A352,'SegEnds_Xtal_Prot#'!B:B, 0)), "NoXtal", "Xtal")</f>
        <v>NoXtal</v>
      </c>
      <c r="D352" s="4" t="str">
        <f>VLOOKUP(A352,Classification!A:D,2,FALSE)</f>
        <v>C</v>
      </c>
      <c r="E352" s="5" t="str">
        <f>VLOOKUP(A352,Seqs!A:B,2,FALSE)</f>
        <v>MLLLLLLAPLFLRPPGAGGAQTPNATSEGCQIIHPPWEGGIRYRGLTRDQVKAINFLPVDYEIEYVCRGEREVVGPKVRKCLANGSWTDMDTPSRCVRICSKSYLTLENGKVFLTGGDLPALDGARVDFRCDPDFHLVGSSRSICSQGQWSTPKPHCQVNRTPHSERRAVYIGALFPMSGGWPGGQACQPAVEMALEDVNSRRDILPDYELKLIHHDSKCDPGQATKYLYELLYNDPIKIILMPGCSSVSTLVAEAARMWNLIVLSYGSSSPALSNRQRFPTFFRTHPSATLHNPTRVKLFEKWGWKKIATIQQTTEVFTSTLDDLEERVKEAGIEITFRQSFFSDPAVPVKNLKRQDARIIVGLFYETEARKVFCEVYKERLFGKKYVWFLIGWYADNWFKIYDPSINCTVDEMTEAVEGHITTEIVMLNPANTRSISNMTSQEFVEKLTKRLKRHPEETGGFQEAPLAYDAIWALALALNKTSGGGGRSGVRLEDFNYNNQTITDQIYRAMNSSSFEGVSGHVVFDASGSRMAWTLIEQLQGGSYKKIGYYDSTKDDLSWSKTDKWIGGSPPADQTLVIKTFRFLSQKLFISVSVLSSLGIVLAVVCLSFNIYNSHVRYIQNSQPNLNNLTAVGCSLALAAVFPLGLDGYHIGRNQFPFVCQARLWLLGLGFSLGYGSMFTKIWWVHTVFTKKEEKKEWRKTLEPWKLYATVGLLVGMDVLTLAIWQIVDPLHRTIETFAKEEPKEDIDVSILPQLEHCSSRKMNTWLGIFYGYKGLLLLLGIFLAYETKSVSTEKINDHRAVGMAIYNVAVLCLITAPVTMILSSQQDAAFAFASLAIVFSSYITLVVLFVPKMRRLITRGEWQSEAQDTMKTGSSTNNNEEEKSRLLEKENRELEKIIAEKEERVSELRHQLQSRQQLRSRRHPPTPPEPSGGLPRGPPEPPDRLSCDGSRVHLLYK</v>
      </c>
      <c r="F352" s="5" t="str">
        <f t="shared" si="126"/>
        <v>KLFISVSVLSSLGIVLAVVCLSFNIYN</v>
      </c>
      <c r="G352" s="4" t="str">
        <f t="shared" si="127"/>
        <v>VRYIQNS</v>
      </c>
      <c r="H352" s="4" t="str">
        <f t="shared" si="128"/>
        <v>QPNLNNLTAVGCSLALAAVFPLG</v>
      </c>
      <c r="I352" s="4" t="str">
        <f t="shared" si="129"/>
        <v/>
      </c>
      <c r="J352" s="4" t="str">
        <f t="shared" si="130"/>
        <v>PFVCQARLWLLGLGFSLGYGSMFTKIWWVHTVF</v>
      </c>
      <c r="K352" s="4" t="str">
        <f t="shared" si="131"/>
        <v/>
      </c>
      <c r="L352" s="4" t="str">
        <f t="shared" si="132"/>
        <v>EPWKLYATVGLLVGMDVLTLAIWQIVD</v>
      </c>
      <c r="M352" s="4" t="str">
        <f t="shared" si="133"/>
        <v>CSS</v>
      </c>
      <c r="N352" s="4" t="str">
        <f t="shared" si="134"/>
        <v>MNTWLGIFYGYKGLLLLLGIFLAYET</v>
      </c>
      <c r="O352" s="4" t="str">
        <f t="shared" si="135"/>
        <v>DHRAVGMAIYNVAVLCLITAPVTMI</v>
      </c>
      <c r="P352" s="4" t="str">
        <f t="shared" si="136"/>
        <v>AAFAFASLAIVFSSYITLVVLFVPKMRRLITR</v>
      </c>
      <c r="Q352" s="4" t="str">
        <f t="shared" si="137"/>
        <v>GEWQSEAQDTMK</v>
      </c>
      <c r="R352" s="5">
        <f>VLOOKUP($A352,'SegEnds_NonXtal_Prot#'!$A:$AL,3,FALSE)</f>
        <v>590</v>
      </c>
      <c r="S352" s="5">
        <f>VLOOKUP($A352,'SegEnds_NonXtal_Prot#'!$A:$AL,6,FALSE)</f>
        <v>619</v>
      </c>
      <c r="T352" s="5">
        <f>VLOOKUP($A352,'SegEnds_NonXtal_Prot#'!$A:$AL,9,FALSE)</f>
        <v>626</v>
      </c>
      <c r="U352" s="5" t="str">
        <f>VLOOKUP($A352,'SegEnds_NonXtal_Prot#'!$A:$AL,12,FALSE)</f>
        <v>-</v>
      </c>
      <c r="V352" s="5">
        <f>VLOOKUP($A352,'SegEnds_NonXtal_Prot#'!$A:$AL,15,FALSE)</f>
        <v>660</v>
      </c>
      <c r="W352" s="5" t="str">
        <f>VLOOKUP($A352,'SegEnds_NonXtal_Prot#'!$A:$AL,18,FALSE)</f>
        <v>-</v>
      </c>
      <c r="X352" s="5">
        <f>VLOOKUP($A352,'SegEnds_NonXtal_Prot#'!$A:$AL,21,FALSE)</f>
        <v>706</v>
      </c>
      <c r="Y352" s="5">
        <f>VLOOKUP($A352,'SegEnds_NonXtal_Prot#'!$A:$AL,24,FALSE)</f>
        <v>761</v>
      </c>
      <c r="Z352" s="5">
        <f>VLOOKUP($A352,'SegEnds_NonXtal_Prot#'!$A:$AL,27,FALSE)</f>
        <v>766</v>
      </c>
      <c r="AA352" s="5">
        <f>VLOOKUP($A352,'SegEnds_NonXtal_Prot#'!$A:$AL,30,FALSE)</f>
        <v>801</v>
      </c>
      <c r="AB352" s="5">
        <f>VLOOKUP($A352,'SegEnds_NonXtal_Prot#'!$A:$AL,33,FALSE)</f>
        <v>832</v>
      </c>
      <c r="AC352" s="5">
        <f>VLOOKUP($A352,'SegEnds_NonXtal_Prot#'!$A:$AL,36,FALSE)</f>
        <v>864</v>
      </c>
      <c r="AD352" s="5">
        <f>VLOOKUP($A352,'SegEnds_NonXtal_Prot#'!$A:$AL,5,FALSE)</f>
        <v>616</v>
      </c>
      <c r="AE352" s="5">
        <f>VLOOKUP($A352,'SegEnds_NonXtal_Prot#'!$A:$AL,8,FALSE)</f>
        <v>625</v>
      </c>
      <c r="AF352" s="5">
        <f>VLOOKUP($A352,'SegEnds_NonXtal_Prot#'!$A:$AL,11,FALSE)</f>
        <v>648</v>
      </c>
      <c r="AG352" s="5" t="str">
        <f>VLOOKUP($A352,'SegEnds_NonXtal_Prot#'!$A:$AL,14,FALSE)</f>
        <v>-</v>
      </c>
      <c r="AH352" s="5">
        <f>VLOOKUP($A352,'SegEnds_NonXtal_Prot#'!$A:$AL,17,FALSE)</f>
        <v>692</v>
      </c>
      <c r="AI352" s="5" t="str">
        <f>VLOOKUP($A352,'SegEnds_NonXtal_Prot#'!$A:$AL,20,FALSE)</f>
        <v>-</v>
      </c>
      <c r="AJ352" s="5">
        <f>VLOOKUP($A352,'SegEnds_NonXtal_Prot#'!$A:$AL,23,FALSE)</f>
        <v>732</v>
      </c>
      <c r="AK352" s="5">
        <f>VLOOKUP($A352,'SegEnds_NonXtal_Prot#'!$A:$AL,26,FALSE)</f>
        <v>763</v>
      </c>
      <c r="AL352" s="5">
        <f>VLOOKUP($A352,'SegEnds_NonXtal_Prot#'!$A:$AL,29,FALSE)</f>
        <v>791</v>
      </c>
      <c r="AM352" s="5">
        <f>VLOOKUP($A352,'SegEnds_NonXtal_Prot#'!$A:$AL,32,FALSE)</f>
        <v>825</v>
      </c>
      <c r="AN352" s="5">
        <f>VLOOKUP($A352,'SegEnds_NonXtal_Prot#'!$A:$AL,35,FALSE)</f>
        <v>863</v>
      </c>
      <c r="AO352" s="5">
        <f>VLOOKUP($A352,'SegEnds_NonXtal_Prot#'!$A:$AL,38,FALSE)</f>
        <v>875</v>
      </c>
      <c r="AP352" s="5">
        <f t="shared" si="138"/>
        <v>26</v>
      </c>
      <c r="AQ352" s="4">
        <f t="shared" si="139"/>
        <v>6</v>
      </c>
      <c r="AR352" s="4">
        <f t="shared" si="140"/>
        <v>22</v>
      </c>
      <c r="AS352" s="4" t="str">
        <f t="shared" si="141"/>
        <v>-</v>
      </c>
      <c r="AT352" s="4">
        <f t="shared" si="142"/>
        <v>32</v>
      </c>
      <c r="AU352" s="4" t="str">
        <f t="shared" si="143"/>
        <v>-</v>
      </c>
      <c r="AV352" s="4">
        <f t="shared" si="144"/>
        <v>26</v>
      </c>
      <c r="AW352" s="4">
        <f t="shared" si="145"/>
        <v>2</v>
      </c>
      <c r="AX352" s="4">
        <f t="shared" si="146"/>
        <v>25</v>
      </c>
      <c r="AY352" s="4">
        <f t="shared" si="147"/>
        <v>24</v>
      </c>
      <c r="AZ352" s="4">
        <f t="shared" si="148"/>
        <v>31</v>
      </c>
      <c r="BA352" s="4">
        <f t="shared" si="149"/>
        <v>11</v>
      </c>
    </row>
    <row r="353" spans="1:53" x14ac:dyDescent="0.2">
      <c r="A353" s="1" t="str">
        <f>'SegEnds_NonXtal_Prot#'!A350</f>
        <v>gabr2_human</v>
      </c>
      <c r="B353" s="1" t="str">
        <f t="shared" si="125"/>
        <v>PLYSILSALTILGMIMASAFLFFNIKNSPYMNNLIILGGMLSYASIFLFGFETLCTVRTWILTVGYTTAFGAMFAKTWRVHAIFKDQKLLVIVGGMLLIDLCILICWQAVDMTIWLGIVYAYKGLLMLFGCFLAWETDSKYIGMSVYNVGIMCIIGAAVSFLVQFCIVALVIIFCSTITLCLVFVPKLITLRTNPDAATQNRRFQF</v>
      </c>
      <c r="C353" s="29" t="str">
        <f>IF(ISERROR(MATCH(A353,'SegEnds_Xtal_Prot#'!B:B, 0)), "NoXtal", "Xtal")</f>
        <v>NoXtal</v>
      </c>
      <c r="D353" s="4" t="str">
        <f>VLOOKUP(A353,Classification!A:D,2,FALSE)</f>
        <v>C</v>
      </c>
      <c r="E353" s="5" t="str">
        <f>VLOOKUP(A353,Seqs!A:B,2,FALSE)</f>
        <v>MASPRSSGQPGPPPPPPPPPARLLLLLLLPLLLPLAPGAWGWARGAPRPPPSSPPLSIMGLMPLTKEVAKGSIGRGVLPAVELAIEQIRNESLLRPYFLDLRLYDTECDNAKGLKAFYDAIKYGPNHLMVFGGVCPSVTSIIAESLQGWNLVQLSFAATTPVLADKKKYPYFFRTVPSDNAVNPAILKLLKHYQWKRVGTLTQDVQRFSEVRNDLTGVLYGEDIEISDTESFSNDPCTSVKKLKGNDVRIILGQFDQNMAAKVFCCAYEENMYGSKYQWIIPGWYEPSWWEQVHTEANSSRCLRKNLLAAMEGYIGVDFEPLSSKQIKTISGKTPQQYEREYNNKRSGVGPSKFHGYAYDGIWVIAKTLQRAMETLHASSRHQRIQDFNYTDHTLGRIILNAMNETNFFGVTGQVVFRNGERMGTIKFTQFQDSREVKVGEYNAVADTLEIINDTIRFQGSEPPKDKTIILEQLRKISLPLYSILSALTILGMIMASAFLFFNIKNRNQKLIKMSSPYMNNLIILGGMLSYASIFLFGLDGSFVSEKTFETLCTVRTWILTVGYTTAFGAMFAKTWRVHAIFKNVKMKKKIIKDQKLLVIVGGMLLIDLCILICWQAVDPLRRTVEKYSMEPDPAGRDISIRPLLEHCENTHMTIWLGIVYAYKGLLMLFGCFLAWETRNVSIPALNDSKYIGMSVYNVGIMCIIGAAVSFLTRDQPNVQFCIVALVIIFCSTITLCLVFVPKLITLRTNPDAATQNRRFQFTQNQKKEDSKTSTSVTSVNQASTSRLEGLQSENHRLRMKITELDKDLEEVTMQLQDTPEKTTYIKQNHYQELNDILNLGNFTESTDGGKAILKNHLDQNPQLQWNTTEPSRTCKDPIEDINSPEHIQRRLSLQLPILHHAYLPSIGGVDASCVSPCVSPTASPRHRHVPPSFRVMVSGL</v>
      </c>
      <c r="F353" s="5" t="str">
        <f t="shared" si="126"/>
        <v>PLYSILSALTILGMIMASAFLFFNIKN</v>
      </c>
      <c r="G353" s="4" t="str">
        <f t="shared" si="127"/>
        <v>QKLIKMS</v>
      </c>
      <c r="H353" s="4" t="str">
        <f t="shared" si="128"/>
        <v>SPYMNNLIILGGMLSYASIFLFG</v>
      </c>
      <c r="I353" s="4" t="str">
        <f t="shared" si="129"/>
        <v/>
      </c>
      <c r="J353" s="4" t="str">
        <f t="shared" si="130"/>
        <v>FETLCTVRTWILTVGYTTAFGAMFAKTWRVHAIF</v>
      </c>
      <c r="K353" s="4" t="str">
        <f t="shared" si="131"/>
        <v/>
      </c>
      <c r="L353" s="4" t="str">
        <f t="shared" si="132"/>
        <v>KDQKLLVIVGGMLLIDLCILICWQAVD</v>
      </c>
      <c r="M353" s="4" t="str">
        <f t="shared" si="133"/>
        <v>CEN</v>
      </c>
      <c r="N353" s="4" t="str">
        <f t="shared" si="134"/>
        <v>MTIWLGIVYAYKGLLMLFGCFLAWET</v>
      </c>
      <c r="O353" s="4" t="str">
        <f t="shared" si="135"/>
        <v>DSKYIGMSVYNVGIMCIIGAAVSFL</v>
      </c>
      <c r="P353" s="4" t="str">
        <f t="shared" si="136"/>
        <v>VQFCIVALVIIFCSTITLCLVFVPKLITLRTN</v>
      </c>
      <c r="Q353" s="4" t="str">
        <f t="shared" si="137"/>
        <v>PDAATQNRRFQF</v>
      </c>
      <c r="R353" s="5">
        <f>VLOOKUP($A353,'SegEnds_NonXtal_Prot#'!$A:$AL,3,FALSE)</f>
        <v>480</v>
      </c>
      <c r="S353" s="5">
        <f>VLOOKUP($A353,'SegEnds_NonXtal_Prot#'!$A:$AL,6,FALSE)</f>
        <v>509</v>
      </c>
      <c r="T353" s="5">
        <f>VLOOKUP($A353,'SegEnds_NonXtal_Prot#'!$A:$AL,9,FALSE)</f>
        <v>516</v>
      </c>
      <c r="U353" s="5" t="str">
        <f>VLOOKUP($A353,'SegEnds_NonXtal_Prot#'!$A:$AL,12,FALSE)</f>
        <v>-</v>
      </c>
      <c r="V353" s="5">
        <f>VLOOKUP($A353,'SegEnds_NonXtal_Prot#'!$A:$AL,15,FALSE)</f>
        <v>549</v>
      </c>
      <c r="W353" s="5" t="str">
        <f>VLOOKUP($A353,'SegEnds_NonXtal_Prot#'!$A:$AL,18,FALSE)</f>
        <v>-</v>
      </c>
      <c r="X353" s="5">
        <f>VLOOKUP($A353,'SegEnds_NonXtal_Prot#'!$A:$AL,21,FALSE)</f>
        <v>593</v>
      </c>
      <c r="Y353" s="5">
        <f>VLOOKUP($A353,'SegEnds_NonXtal_Prot#'!$A:$AL,24,FALSE)</f>
        <v>648</v>
      </c>
      <c r="Z353" s="5">
        <f>VLOOKUP($A353,'SegEnds_NonXtal_Prot#'!$A:$AL,27,FALSE)</f>
        <v>653</v>
      </c>
      <c r="AA353" s="5">
        <f>VLOOKUP($A353,'SegEnds_NonXtal_Prot#'!$A:$AL,30,FALSE)</f>
        <v>688</v>
      </c>
      <c r="AB353" s="5">
        <f>VLOOKUP($A353,'SegEnds_NonXtal_Prot#'!$A:$AL,33,FALSE)</f>
        <v>719</v>
      </c>
      <c r="AC353" s="5">
        <f>VLOOKUP($A353,'SegEnds_NonXtal_Prot#'!$A:$AL,36,FALSE)</f>
        <v>751</v>
      </c>
      <c r="AD353" s="5">
        <f>VLOOKUP($A353,'SegEnds_NonXtal_Prot#'!$A:$AL,5,FALSE)</f>
        <v>506</v>
      </c>
      <c r="AE353" s="5">
        <f>VLOOKUP($A353,'SegEnds_NonXtal_Prot#'!$A:$AL,8,FALSE)</f>
        <v>515</v>
      </c>
      <c r="AF353" s="5">
        <f>VLOOKUP($A353,'SegEnds_NonXtal_Prot#'!$A:$AL,11,FALSE)</f>
        <v>538</v>
      </c>
      <c r="AG353" s="5" t="str">
        <f>VLOOKUP($A353,'SegEnds_NonXtal_Prot#'!$A:$AL,14,FALSE)</f>
        <v>-</v>
      </c>
      <c r="AH353" s="5">
        <f>VLOOKUP($A353,'SegEnds_NonXtal_Prot#'!$A:$AL,17,FALSE)</f>
        <v>582</v>
      </c>
      <c r="AI353" s="5" t="str">
        <f>VLOOKUP($A353,'SegEnds_NonXtal_Prot#'!$A:$AL,20,FALSE)</f>
        <v>-</v>
      </c>
      <c r="AJ353" s="5">
        <f>VLOOKUP($A353,'SegEnds_NonXtal_Prot#'!$A:$AL,23,FALSE)</f>
        <v>619</v>
      </c>
      <c r="AK353" s="5">
        <f>VLOOKUP($A353,'SegEnds_NonXtal_Prot#'!$A:$AL,26,FALSE)</f>
        <v>650</v>
      </c>
      <c r="AL353" s="5">
        <f>VLOOKUP($A353,'SegEnds_NonXtal_Prot#'!$A:$AL,29,FALSE)</f>
        <v>678</v>
      </c>
      <c r="AM353" s="5">
        <f>VLOOKUP($A353,'SegEnds_NonXtal_Prot#'!$A:$AL,32,FALSE)</f>
        <v>712</v>
      </c>
      <c r="AN353" s="5">
        <f>VLOOKUP($A353,'SegEnds_NonXtal_Prot#'!$A:$AL,35,FALSE)</f>
        <v>750</v>
      </c>
      <c r="AO353" s="5">
        <f>VLOOKUP($A353,'SegEnds_NonXtal_Prot#'!$A:$AL,38,FALSE)</f>
        <v>762</v>
      </c>
      <c r="AP353" s="5">
        <f t="shared" si="138"/>
        <v>26</v>
      </c>
      <c r="AQ353" s="4">
        <f t="shared" si="139"/>
        <v>6</v>
      </c>
      <c r="AR353" s="4">
        <f t="shared" si="140"/>
        <v>22</v>
      </c>
      <c r="AS353" s="4" t="str">
        <f t="shared" si="141"/>
        <v>-</v>
      </c>
      <c r="AT353" s="4">
        <f t="shared" si="142"/>
        <v>33</v>
      </c>
      <c r="AU353" s="4" t="str">
        <f t="shared" si="143"/>
        <v>-</v>
      </c>
      <c r="AV353" s="4">
        <f t="shared" si="144"/>
        <v>26</v>
      </c>
      <c r="AW353" s="4">
        <f t="shared" si="145"/>
        <v>2</v>
      </c>
      <c r="AX353" s="4">
        <f t="shared" si="146"/>
        <v>25</v>
      </c>
      <c r="AY353" s="4">
        <f t="shared" si="147"/>
        <v>24</v>
      </c>
      <c r="AZ353" s="4">
        <f t="shared" si="148"/>
        <v>31</v>
      </c>
      <c r="BA353" s="4">
        <f t="shared" si="149"/>
        <v>11</v>
      </c>
    </row>
    <row r="354" spans="1:53" x14ac:dyDescent="0.2">
      <c r="A354" s="1" t="str">
        <f>'SegEnds_NonXtal_Prot#'!A351</f>
        <v>gp156_human</v>
      </c>
      <c r="B354" s="1" t="str">
        <f t="shared" si="125"/>
        <v>VLLGIVWTFLSCGLLLILFFLAFTIHCSPNLNIVTLLGSCLTYSSAYLFGETLIQTRLSMLCIGTSLVFGPILGKSWRLYKVFKDLQLLGLVAALLMADVILLMTWVLTDSDVWIALIWGCKGLLLLYGAYLAGLTSLTIMVGVNLLVLAAGLLFVVTRYLLVFGLTSGGIFVCTTTINCFIFIPQLKQWKAFEEENQTIRRMAK</v>
      </c>
      <c r="C354" s="29" t="str">
        <f>IF(ISERROR(MATCH(A354,'SegEnds_Xtal_Prot#'!B:B, 0)), "NoXtal", "Xtal")</f>
        <v>NoXtal</v>
      </c>
      <c r="D354" s="4" t="str">
        <f>VLOOKUP(A354,Classification!A:D,2,FALSE)</f>
        <v>C</v>
      </c>
      <c r="E354" s="5" t="str">
        <f>VLOOKUP(A354,Seqs!A:B,2,FALSE)</f>
        <v>MEPEINCSELCDSFPGQELDRRPLHDLCKTTITSSHHSSKTISSLSPVLLGIVWTFLSCGLLLILFFLAFTIHCRKNRIVKMSSPNLNIVTLLGSCLTYSSAYLFGIQDVLVGSSMETLIQTRLSMLCIGTSLVFGPILGKSWRLYKVFTQRVPDKRVIIKDLQLLGLVAALLMADVILLMTWVLTDPIQCLQILSVSMTVTGKDVSCTSTSTHFCASRYSDVWIALIWGCKGLLLLYGAYLAGLTGHVSSPPVNQSLTIMVGVNLLVLAAGLLFVVTRYLHSWPNLVFGLTSGGIFVCTTTINCFIFIPQLKQWKAFEEENQTIRRMAKYFSTPNKSFHTQYGEEENCHPRGEKSSMERLLTEKNAVIESLQEQVNNAKEKIVRLMSAECTYDLPEGAAPPASSPNKDVQAVASVHTLAAAQGPSGHLSDFQNDPGMAARDSQCTSGPSSYAQSLEGPGKDSSFSPGKEEKISDSKDFSDHLDSGCSQKPWTEQSLGPERGDQVPMNPSQSLLPERGGSDPQRQRHLENSEEPPERRSRVSSVIREKLQEVLQDLGLGPEASLSTAPSCHQQTWKNSAAFSPQKMPLSKELGFSPYMVRRRRAAQRARSHFPGSAPSSVGHRANRTVPGAHSRLHVQNGDSPSLAPQTTDSRVRRPSSRKPSLPSDPQDRPGTLEGSKQSQTEPEGARGSKAAFLRQPSGSGRAPSPAAPCLSKASPDLPEQWQLWPPVPSGCASLSSQHSYFDTESSSSDEFFCRCHRPYCEICFQSSSDSSDSGTSDTDPEPTGGLASWEKLWARSKPIVNFKDDLKPTLV</v>
      </c>
      <c r="F354" s="5" t="str">
        <f t="shared" si="126"/>
        <v>VLLGIVWTFLSCGLLLILFFLAFTIHC</v>
      </c>
      <c r="G354" s="4" t="str">
        <f t="shared" si="127"/>
        <v>NRIVKMS</v>
      </c>
      <c r="H354" s="4" t="str">
        <f t="shared" si="128"/>
        <v>SPNLNIVTLLGSCLTYSSAYLFG</v>
      </c>
      <c r="I354" s="4" t="str">
        <f t="shared" si="129"/>
        <v/>
      </c>
      <c r="J354" s="4" t="str">
        <f t="shared" si="130"/>
        <v>ETLIQTRLSMLCIGTSLVFGPILGKSWRLYKVF</v>
      </c>
      <c r="K354" s="4" t="str">
        <f t="shared" si="131"/>
        <v/>
      </c>
      <c r="L354" s="4" t="str">
        <f t="shared" si="132"/>
        <v>KDLQLLGLVAALLMADVILLMTWVLTD</v>
      </c>
      <c r="M354" s="4" t="str">
        <f t="shared" si="133"/>
        <v>CAS</v>
      </c>
      <c r="N354" s="4" t="str">
        <f t="shared" si="134"/>
        <v>SDVWIALIWGCKGLLLLYGAYLAGLT</v>
      </c>
      <c r="O354" s="4" t="str">
        <f t="shared" si="135"/>
        <v>SLTIMVGVNLLVLAAGLLFVVTRYL</v>
      </c>
      <c r="P354" s="4" t="str">
        <f t="shared" si="136"/>
        <v>LVFGLTSGGIFVCTTTINCFIFIPQLKQWKAF</v>
      </c>
      <c r="Q354" s="4" t="str">
        <f t="shared" si="137"/>
        <v>EEENQTIRRMAK</v>
      </c>
      <c r="R354" s="5">
        <f>VLOOKUP($A354,'SegEnds_NonXtal_Prot#'!$A:$AL,3,FALSE)</f>
        <v>48</v>
      </c>
      <c r="S354" s="5">
        <f>VLOOKUP($A354,'SegEnds_NonXtal_Prot#'!$A:$AL,6,FALSE)</f>
        <v>77</v>
      </c>
      <c r="T354" s="5">
        <f>VLOOKUP($A354,'SegEnds_NonXtal_Prot#'!$A:$AL,9,FALSE)</f>
        <v>84</v>
      </c>
      <c r="U354" s="5" t="str">
        <f>VLOOKUP($A354,'SegEnds_NonXtal_Prot#'!$A:$AL,12,FALSE)</f>
        <v>-</v>
      </c>
      <c r="V354" s="5">
        <f>VLOOKUP($A354,'SegEnds_NonXtal_Prot#'!$A:$AL,15,FALSE)</f>
        <v>117</v>
      </c>
      <c r="W354" s="5" t="str">
        <f>VLOOKUP($A354,'SegEnds_NonXtal_Prot#'!$A:$AL,18,FALSE)</f>
        <v>-</v>
      </c>
      <c r="X354" s="5">
        <f>VLOOKUP($A354,'SegEnds_NonXtal_Prot#'!$A:$AL,21,FALSE)</f>
        <v>161</v>
      </c>
      <c r="Y354" s="5">
        <f>VLOOKUP($A354,'SegEnds_NonXtal_Prot#'!$A:$AL,24,FALSE)</f>
        <v>216</v>
      </c>
      <c r="Z354" s="5">
        <f>VLOOKUP($A354,'SegEnds_NonXtal_Prot#'!$A:$AL,27,FALSE)</f>
        <v>221</v>
      </c>
      <c r="AA354" s="5">
        <f>VLOOKUP($A354,'SegEnds_NonXtal_Prot#'!$A:$AL,30,FALSE)</f>
        <v>257</v>
      </c>
      <c r="AB354" s="5">
        <f>VLOOKUP($A354,'SegEnds_NonXtal_Prot#'!$A:$AL,33,FALSE)</f>
        <v>287</v>
      </c>
      <c r="AC354" s="5">
        <f>VLOOKUP($A354,'SegEnds_NonXtal_Prot#'!$A:$AL,36,FALSE)</f>
        <v>319</v>
      </c>
      <c r="AD354" s="5">
        <f>VLOOKUP($A354,'SegEnds_NonXtal_Prot#'!$A:$AL,5,FALSE)</f>
        <v>74</v>
      </c>
      <c r="AE354" s="5">
        <f>VLOOKUP($A354,'SegEnds_NonXtal_Prot#'!$A:$AL,8,FALSE)</f>
        <v>83</v>
      </c>
      <c r="AF354" s="5">
        <f>VLOOKUP($A354,'SegEnds_NonXtal_Prot#'!$A:$AL,11,FALSE)</f>
        <v>106</v>
      </c>
      <c r="AG354" s="5" t="str">
        <f>VLOOKUP($A354,'SegEnds_NonXtal_Prot#'!$A:$AL,14,FALSE)</f>
        <v>-</v>
      </c>
      <c r="AH354" s="5">
        <f>VLOOKUP($A354,'SegEnds_NonXtal_Prot#'!$A:$AL,17,FALSE)</f>
        <v>149</v>
      </c>
      <c r="AI354" s="5" t="str">
        <f>VLOOKUP($A354,'SegEnds_NonXtal_Prot#'!$A:$AL,20,FALSE)</f>
        <v>-</v>
      </c>
      <c r="AJ354" s="5">
        <f>VLOOKUP($A354,'SegEnds_NonXtal_Prot#'!$A:$AL,23,FALSE)</f>
        <v>187</v>
      </c>
      <c r="AK354" s="5">
        <f>VLOOKUP($A354,'SegEnds_NonXtal_Prot#'!$A:$AL,26,FALSE)</f>
        <v>218</v>
      </c>
      <c r="AL354" s="5">
        <f>VLOOKUP($A354,'SegEnds_NonXtal_Prot#'!$A:$AL,29,FALSE)</f>
        <v>246</v>
      </c>
      <c r="AM354" s="5">
        <f>VLOOKUP($A354,'SegEnds_NonXtal_Prot#'!$A:$AL,32,FALSE)</f>
        <v>281</v>
      </c>
      <c r="AN354" s="5">
        <f>VLOOKUP($A354,'SegEnds_NonXtal_Prot#'!$A:$AL,35,FALSE)</f>
        <v>318</v>
      </c>
      <c r="AO354" s="5">
        <f>VLOOKUP($A354,'SegEnds_NonXtal_Prot#'!$A:$AL,38,FALSE)</f>
        <v>330</v>
      </c>
      <c r="AP354" s="5">
        <f t="shared" si="138"/>
        <v>26</v>
      </c>
      <c r="AQ354" s="4">
        <f t="shared" si="139"/>
        <v>6</v>
      </c>
      <c r="AR354" s="4">
        <f t="shared" si="140"/>
        <v>22</v>
      </c>
      <c r="AS354" s="4" t="str">
        <f t="shared" si="141"/>
        <v>-</v>
      </c>
      <c r="AT354" s="4">
        <f t="shared" si="142"/>
        <v>32</v>
      </c>
      <c r="AU354" s="4" t="str">
        <f t="shared" si="143"/>
        <v>-</v>
      </c>
      <c r="AV354" s="4">
        <f t="shared" si="144"/>
        <v>26</v>
      </c>
      <c r="AW354" s="4">
        <f t="shared" si="145"/>
        <v>2</v>
      </c>
      <c r="AX354" s="4">
        <f t="shared" si="146"/>
        <v>25</v>
      </c>
      <c r="AY354" s="4">
        <f t="shared" si="147"/>
        <v>24</v>
      </c>
      <c r="AZ354" s="4">
        <f t="shared" si="148"/>
        <v>31</v>
      </c>
      <c r="BA354" s="4">
        <f t="shared" si="149"/>
        <v>11</v>
      </c>
    </row>
    <row r="355" spans="1:53" x14ac:dyDescent="0.2">
      <c r="A355" s="1" t="str">
        <f>'SegEnds_NonXtal_Prot#'!A352</f>
        <v>gp158_human</v>
      </c>
      <c r="B355" s="1" t="str">
        <f t="shared" si="125"/>
        <v>YLRLAIISFQALCMLLDFVSMLVVYHFGLILLETILFGSLLLYFPVVILYTFRCILLRWARLLGFATVYGTVTLKLHRVLKVFSRTAQRIPYMTGGRVMRMLAVILLVVFDRWDYMTAVAEFLFLLWGVYLCYAVEPRYMAVAVHNELIISAIFHTIRFVWMLMLYFAHTHLTVTVTIGLLLIPKFSHSSNNPRDDIATEAYED</v>
      </c>
      <c r="C355" s="29" t="str">
        <f>IF(ISERROR(MATCH(A355,'SegEnds_Xtal_Prot#'!B:B, 0)), "NoXtal", "Xtal")</f>
        <v>NoXtal</v>
      </c>
      <c r="D355" s="4" t="str">
        <f>VLOOKUP(A355,Classification!A:D,2,FALSE)</f>
        <v>C</v>
      </c>
      <c r="E355" s="5" t="str">
        <f>VLOOKUP(A355,Seqs!A:B,2,FALSE)</f>
        <v>MGAMAYPLLLCLLLAQLGLGAVGASRDPQGRPDSPRERTPKGKPHAQQPGRASASDSSAPWSRSTDGTILAQKLAEEVPMDVASYLYTGDSHQLKRANCSGRYELAGLPGKWPALASAHPSLHRALDTLTHATNFLNVMLQSNKSREQNLQDDLDWYQALVWSLLEGEPSISRAAITFSTDSLSAPAPQVFLQATREESRILLQDLSSSAPHLANATLETEWFHGLRRKWRPHLHRRGPNQGPRGLGHSWRRKDGLGGDKSHFKWSPPYLECENGSYKPGWLVTLSSAIYGLQPNLVPEFRGVMKVDINLQKVDIDQCSSDGWFSGTHKCHLNNSECMPIKGLGFVLGAYECICKAGFYHPGVLPVNNFRRRGPDQHISGSTKDVSEEAYVCLPCREGCPFCADDSPCFVQEDKYLRLAIISFQALCMLLDFVSMLVVYHFRKAKSIRASGLILLETILFGSLLLYFPVVILYFEPSTFRCILLRWARLLGFATVYGTVTLKLHRVLKVFLSRTAQRIPYMTGGRVMRMLAVILLVVFWFLIGWTSSVCQNLEKQISLIGQGKTSDHLIFNMCLIDRWDYMTAVAEFLFLLWGVYLCYAVRTVPSAFHEPRYMAVAVHNELIISAIFHTIRFVLASRLQSDWMLMLYFAHTHLTVTVTIGLLLIPKFSHSSNNPRDDIATEAYEDELDMGRSGSYLNSSINSAWSEHSLDPEDIRDELKKLYAQLEIYKRKKMITNNPHLQKKRCSKKGLGRSIMRRITEIPETVSRQCSKEDKEGADHGTAKGTALIRKNPPESSGNTGKSKEETLKNRVFSLKKSHSTYDHVRDQTEESSSLPTESQEEETTENSTLESLSGKKLTQKLKEDSEAESTESVPLVCKSASAHNLSSEKKTGHPRTSMLQKSLSVIASAKEKTLGLAGKTQTAGVEERTKSQKPLPKDKETNRNHSNSDNTETKDPAPQNSNPAEEPRKPQKSGIMKQQRVNPTTANSDLNPGTTQMKDNFDIGEVCPWEVYDLTPGPVPSESKVQKHVSIVASEMEKNPTFSLKEKSHHKPKAAEVCQQSNQKRIDKAEVCLWESQGQSILEDEKLLISKTPVLPERAKEENGGQPRAANVCAGQSEELPPKAVASKTENENLNQIGHQEKKTSSSEENVRGSYNSSNNFQQPLTSRAEVCPWEFETPAQPNAGRSVALPASSALSANKIAGPRKEEIWDSFKV</v>
      </c>
      <c r="F355" s="5" t="str">
        <f t="shared" si="126"/>
        <v>YLRLAIISFQALCMLLDFVSMLVVYHF</v>
      </c>
      <c r="G355" s="4" t="str">
        <f t="shared" si="127"/>
        <v>AKSIRAS</v>
      </c>
      <c r="H355" s="4" t="str">
        <f t="shared" si="128"/>
        <v>GLILLETILFGSLLLYFPVVILY</v>
      </c>
      <c r="I355" s="4" t="str">
        <f t="shared" si="129"/>
        <v/>
      </c>
      <c r="J355" s="4" t="str">
        <f t="shared" si="130"/>
        <v>TFRCILLRWARLLGFATVYGTVTLKLHRVLKVF</v>
      </c>
      <c r="K355" s="4" t="str">
        <f t="shared" si="131"/>
        <v/>
      </c>
      <c r="L355" s="4" t="str">
        <f t="shared" si="132"/>
        <v>SRTAQRIPYMTGGRVMRMLAVILLVVF</v>
      </c>
      <c r="M355" s="4" t="str">
        <f t="shared" si="133"/>
        <v>CLI</v>
      </c>
      <c r="N355" s="4" t="str">
        <f t="shared" si="134"/>
        <v>DRWDYMTAVAEFLFLLWGVYLCYAV</v>
      </c>
      <c r="O355" s="4" t="str">
        <f t="shared" si="135"/>
        <v>EPRYMAVAVHNELIISAIFHTIRFV</v>
      </c>
      <c r="P355" s="4" t="str">
        <f t="shared" si="136"/>
        <v>WMLMLYFAHTHLTVTVTIGLLLIPKFSHSSNN</v>
      </c>
      <c r="Q355" s="4" t="str">
        <f t="shared" si="137"/>
        <v>PRDDIATEAYED</v>
      </c>
      <c r="R355" s="5">
        <f>VLOOKUP($A355,'SegEnds_NonXtal_Prot#'!$A:$AL,3,FALSE)</f>
        <v>415</v>
      </c>
      <c r="S355" s="5">
        <f>VLOOKUP($A355,'SegEnds_NonXtal_Prot#'!$A:$AL,6,FALSE)</f>
        <v>444</v>
      </c>
      <c r="T355" s="5">
        <f>VLOOKUP($A355,'SegEnds_NonXtal_Prot#'!$A:$AL,9,FALSE)</f>
        <v>451</v>
      </c>
      <c r="U355" s="5" t="str">
        <f>VLOOKUP($A355,'SegEnds_NonXtal_Prot#'!$A:$AL,12,FALSE)</f>
        <v>-</v>
      </c>
      <c r="V355" s="5">
        <f>VLOOKUP($A355,'SegEnds_NonXtal_Prot#'!$A:$AL,15,FALSE)</f>
        <v>478</v>
      </c>
      <c r="W355" s="5" t="str">
        <f>VLOOKUP($A355,'SegEnds_NonXtal_Prot#'!$A:$AL,18,FALSE)</f>
        <v>-</v>
      </c>
      <c r="X355" s="5">
        <f>VLOOKUP($A355,'SegEnds_NonXtal_Prot#'!$A:$AL,21,FALSE)</f>
        <v>512</v>
      </c>
      <c r="Y355" s="5">
        <f>VLOOKUP($A355,'SegEnds_NonXtal_Prot#'!$A:$AL,24,FALSE)</f>
        <v>573</v>
      </c>
      <c r="Z355" s="5">
        <f>VLOOKUP($A355,'SegEnds_NonXtal_Prot#'!$A:$AL,27,FALSE)</f>
        <v>576</v>
      </c>
      <c r="AA355" s="5">
        <f>VLOOKUP($A355,'SegEnds_NonXtal_Prot#'!$A:$AL,30,FALSE)</f>
        <v>609</v>
      </c>
      <c r="AB355" s="5">
        <f>VLOOKUP($A355,'SegEnds_NonXtal_Prot#'!$A:$AL,33,FALSE)</f>
        <v>642</v>
      </c>
      <c r="AC355" s="5">
        <f>VLOOKUP($A355,'SegEnds_NonXtal_Prot#'!$A:$AL,36,FALSE)</f>
        <v>674</v>
      </c>
      <c r="AD355" s="5">
        <f>VLOOKUP($A355,'SegEnds_NonXtal_Prot#'!$A:$AL,5,FALSE)</f>
        <v>441</v>
      </c>
      <c r="AE355" s="5">
        <f>VLOOKUP($A355,'SegEnds_NonXtal_Prot#'!$A:$AL,8,FALSE)</f>
        <v>450</v>
      </c>
      <c r="AF355" s="5">
        <f>VLOOKUP($A355,'SegEnds_NonXtal_Prot#'!$A:$AL,11,FALSE)</f>
        <v>473</v>
      </c>
      <c r="AG355" s="5" t="str">
        <f>VLOOKUP($A355,'SegEnds_NonXtal_Prot#'!$A:$AL,14,FALSE)</f>
        <v>-</v>
      </c>
      <c r="AH355" s="5">
        <f>VLOOKUP($A355,'SegEnds_NonXtal_Prot#'!$A:$AL,17,FALSE)</f>
        <v>510</v>
      </c>
      <c r="AI355" s="5" t="str">
        <f>VLOOKUP($A355,'SegEnds_NonXtal_Prot#'!$A:$AL,20,FALSE)</f>
        <v>-</v>
      </c>
      <c r="AJ355" s="5">
        <f>VLOOKUP($A355,'SegEnds_NonXtal_Prot#'!$A:$AL,23,FALSE)</f>
        <v>538</v>
      </c>
      <c r="AK355" s="5">
        <f>VLOOKUP($A355,'SegEnds_NonXtal_Prot#'!$A:$AL,26,FALSE)</f>
        <v>575</v>
      </c>
      <c r="AL355" s="5">
        <f>VLOOKUP($A355,'SegEnds_NonXtal_Prot#'!$A:$AL,29,FALSE)</f>
        <v>600</v>
      </c>
      <c r="AM355" s="5">
        <f>VLOOKUP($A355,'SegEnds_NonXtal_Prot#'!$A:$AL,32,FALSE)</f>
        <v>633</v>
      </c>
      <c r="AN355" s="5">
        <f>VLOOKUP($A355,'SegEnds_NonXtal_Prot#'!$A:$AL,35,FALSE)</f>
        <v>673</v>
      </c>
      <c r="AO355" s="5">
        <f>VLOOKUP($A355,'SegEnds_NonXtal_Prot#'!$A:$AL,38,FALSE)</f>
        <v>685</v>
      </c>
      <c r="AP355" s="5">
        <f t="shared" si="138"/>
        <v>26</v>
      </c>
      <c r="AQ355" s="4">
        <f t="shared" si="139"/>
        <v>6</v>
      </c>
      <c r="AR355" s="4">
        <f t="shared" si="140"/>
        <v>22</v>
      </c>
      <c r="AS355" s="4" t="str">
        <f t="shared" si="141"/>
        <v>-</v>
      </c>
      <c r="AT355" s="4">
        <f t="shared" si="142"/>
        <v>32</v>
      </c>
      <c r="AU355" s="4" t="str">
        <f t="shared" si="143"/>
        <v>-</v>
      </c>
      <c r="AV355" s="4">
        <f t="shared" si="144"/>
        <v>26</v>
      </c>
      <c r="AW355" s="4">
        <f t="shared" si="145"/>
        <v>2</v>
      </c>
      <c r="AX355" s="4">
        <f t="shared" si="146"/>
        <v>24</v>
      </c>
      <c r="AY355" s="4">
        <f t="shared" si="147"/>
        <v>24</v>
      </c>
      <c r="AZ355" s="4">
        <f t="shared" si="148"/>
        <v>31</v>
      </c>
      <c r="BA355" s="4">
        <f t="shared" si="149"/>
        <v>11</v>
      </c>
    </row>
    <row r="356" spans="1:53" x14ac:dyDescent="0.2">
      <c r="A356" s="1" t="str">
        <f>'SegEnds_NonXtal_Prot#'!A353</f>
        <v>gp179_human</v>
      </c>
      <c r="B356" s="1" t="str">
        <f t="shared" si="125"/>
        <v>VLRAAVLACQACCMLAIFLSMLVSYRCGVVLLETVLFGFLLLYFPVFILYVFRCIALRWVRLLGFAIVYGTIILKLYRVLQLFSRTAQRSALLSSGRLLRRLGLLLLPVLDRWDYIMVVAELLLLCWGSFLCYATEPRYMGIALHNELLLSAAFHTARFVWTLLLFFFHTHSTVTTTLALIFIPKFWKLGAPPREEMVDEVCED</v>
      </c>
      <c r="C356" s="29" t="str">
        <f>IF(ISERROR(MATCH(A356,'SegEnds_Xtal_Prot#'!B:B, 0)), "NoXtal", "Xtal")</f>
        <v>NoXtal</v>
      </c>
      <c r="D356" s="4" t="str">
        <f>VLOOKUP(A356,Classification!A:D,2,FALSE)</f>
        <v>C</v>
      </c>
      <c r="E356" s="5" t="str">
        <f>VLOOKUP(A356,Seqs!A:B,2,FALSE)</f>
        <v>MGTRGAVMPPPMWGLLGCCFVCAWALGGPRPIRSLPPLSSQVKPGSVPMQVPLEGAEAALAYLYSGDAQQLSQVNCSERYEARGAGAMPGLPPSLQGAAGTLAQAANFLNMLLQANDIRESSVEEDVEWYQALVRSVAEGDPRVYRALLTFNPPPGASHLQLALQATRTGEETILQDLSGNWVQEENPPGDLDTPALKKRVLTNDLGSLGSPKWPQADGYVGDTQQVRLSPPFLECQEGRLRPGWLITLSATFYGLKPDLSPEVRGQVQMDVDLQSVDINQCASGPGWYSNTHLCDLNSTQCVPLESQGFVLGRYLCRCRPGFYGASPSGGLEESDFQTTGQFGFPEGRSGRLLQCLPCPEGCTSCMDATPCLVEEAAVLRAAVLACQACCMLAIFLSMLVSYRCRRNKRIWASGVVLLETVLFGFLLLYFPVFILYFKPSVFRCIALRWVRLLGFAIVYGTIILKLYRVLQLFLSRTAQRSALLSSGRLLRRLGLLLLPVLGFLAVWTVGALERGIQHAPLVIRGHTPSGRHFYLCHHDRWDYIMVVAELLLLCWGSFLCYATRAVLSAFHEPRYMGIALHNELLLSAAFHTARFVLVPSLHPDWTLLLFFFHTHSTVTTTLALIFIPKFWKLGAPPREEMVDEVCEDELDLQHSGSYLGSSIASAWSEHSLDPGDIRDELKKLYAQLEVHKTKEMAANNPHLPKKRGSSCQGLGRSFMRYLAEFPEALARQHSRDSGSPGHGSLPGSSRRRLLSSSLQEPEGTPALHKSRSTYDQRREQDPPLLDSLLRRKLAKKASRTESRESVEGPPALGFRSASAHNLTVGERLPRARPASLQKSLSVASSREKALLMASQAYLEETYRQAKEREERKKAKAAMASLVRRPSARRLERPRGAPLSAPPSPAKSSSVDSSHTSGRLHEEARRRLPHPPIRHQVSTPILALSGGLGEPRMLSPTSTLAPALLPALAPTPAPALAPVPVSPQSPNLLTYICPWENAELPAKQENVPQEGPSGPERGHHSPAPARARLWRALSVAVEKSRAGENEMDAEDAHHQREANDVDEDRPKIFPKSHSLKAPVQQGSMRSLGLAIKALTRSRSTYREKESVEESPEGQNSGTAGESMGAPSRSPRLGRPKAVSKQAALIPSDDKESLQNQQNAHTSRMLQVCQREGSREQEDRGRRMTQGLGERKAERAGKTGLAMLRQVSRDKNIKQSKETPVGWQELPKAGLQSLGSADHRVAEVCPWEVTESETRQPDSGNKAEICPWETSEGAPESRALRQDPGDSQKKRGEARGKSEPIDVVPMMRKKPERLVREQEAVCPWESADRGGLSPGSAPQDPGRIRDKSEAGDSVEARKVEKPGWEAAGPEAHTPDITKAEPCPWEASEGGEDGKPAQEAVKDLPQEKQKTRKATFWKEQKPGGDLESLCPWESTDFRGPSAVSIQAPGSSECSGSLGSGIAEVCLWEAGDAPAIQKAEICPWELDDNVMGQEMLSLGTGRESLQEKEKASRKGSFGEMGEQTVKAVQKLSQQQESVCPRESTVPGHSSPCLDNSSSKAGSQFLCNGGSRATQVCPQEDLRPEAQEATPAKTEICPWEVNERTREEWTSAQVPRGGESQKDKEKMPGKSEIEDVTAWEKPEGQIQKQEAVGPWESVDPGSFSPQPRPQDTERPQTLLQMSGSVGSKAADICPLDVEENLTAGKAEICPWEVGAGAGEERALGAEAIRKSPNDTGKVSADLGPRERAVTAPEKPQKPTPEWEVACPWGSVGPGACSQHPGTLDADGPKAGFQELDHMGCRPGEVCPWEAQEAATSEKAKICPWEVSEGTTGKGLDQKAGSESAEQREKALEKGRLTSLGEDVSKGMAKLCQQQETICIWENKDLRESPAQAPKISDLPSSMSSEVAEGHSLEATEKGDLRQDPKTGSFPEHITQEKAPAADTEEFTTEDGEKTSHELQSVCPWETTAPADSVSHLDRQRPDQPKASSQRLVSTGGRAADVCPWDVPDAGVYKSDSSAKAETCPWEVTERIPVKGVSRQDGKGDSQEEKGRAPEKSEPKGVPVQKKPEMADFRQQEAVCPWESQDGKGLSPQPAPDASDRSRGSSEAAGSVETRVAEVCLWEVVEAPSAKKAEICPWEAGGGAAEEGEQERESQGQGEMFLQKAGPGGTEEHFSKAAAKPREQEAVCPGEGTGSGGLLPQSGALDPELKVSPKEAGSMGSRMAELCQWEITDPEGNKIKGTMADICPGEETGVPSEESGLLALTATRREFFPTAPEKPLCLLVHGPLDHFFPESKIPCPKVSRPASTFTLEGVRELQGPSGLEPRTSLAPEPSLQEAESQSSSLTEDSGQVAFEAQYEEFTPPTVYPWDWE</v>
      </c>
      <c r="F356" s="5" t="str">
        <f t="shared" si="126"/>
        <v>VLRAAVLACQACCMLAIFLSMLVSYRC</v>
      </c>
      <c r="G356" s="4" t="str">
        <f t="shared" si="127"/>
        <v>NKRIWAS</v>
      </c>
      <c r="H356" s="4" t="str">
        <f t="shared" si="128"/>
        <v>GVVLLETVLFGFLLLYFPVFILY</v>
      </c>
      <c r="I356" s="4" t="str">
        <f t="shared" si="129"/>
        <v/>
      </c>
      <c r="J356" s="4" t="str">
        <f t="shared" si="130"/>
        <v>VFRCIALRWVRLLGFAIVYGTIILKLYRVLQLF</v>
      </c>
      <c r="K356" s="4" t="str">
        <f t="shared" si="131"/>
        <v/>
      </c>
      <c r="L356" s="4" t="str">
        <f t="shared" si="132"/>
        <v>SRTAQRSALLSSGRLLRRLGLLLLPVL</v>
      </c>
      <c r="M356" s="4" t="str">
        <f t="shared" si="133"/>
        <v>CHH</v>
      </c>
      <c r="N356" s="4" t="str">
        <f t="shared" si="134"/>
        <v>DRWDYIMVVAELLLLCWGSFLCYAT</v>
      </c>
      <c r="O356" s="4" t="str">
        <f t="shared" si="135"/>
        <v>EPRYMGIALHNELLLSAAFHTARFV</v>
      </c>
      <c r="P356" s="4" t="str">
        <f t="shared" si="136"/>
        <v>WTLLLFFFHTHSTVTTTLALIFIPKFWKLGAP</v>
      </c>
      <c r="Q356" s="4" t="str">
        <f t="shared" si="137"/>
        <v>PREEMVDEVCED</v>
      </c>
      <c r="R356" s="5">
        <f>VLOOKUP($A356,'SegEnds_NonXtal_Prot#'!$A:$AL,3,FALSE)</f>
        <v>379</v>
      </c>
      <c r="S356" s="5">
        <f>VLOOKUP($A356,'SegEnds_NonXtal_Prot#'!$A:$AL,6,FALSE)</f>
        <v>408</v>
      </c>
      <c r="T356" s="5">
        <f>VLOOKUP($A356,'SegEnds_NonXtal_Prot#'!$A:$AL,9,FALSE)</f>
        <v>415</v>
      </c>
      <c r="U356" s="5" t="str">
        <f>VLOOKUP($A356,'SegEnds_NonXtal_Prot#'!$A:$AL,12,FALSE)</f>
        <v>-</v>
      </c>
      <c r="V356" s="5">
        <f>VLOOKUP($A356,'SegEnds_NonXtal_Prot#'!$A:$AL,15,FALSE)</f>
        <v>442</v>
      </c>
      <c r="W356" s="5" t="str">
        <f>VLOOKUP($A356,'SegEnds_NonXtal_Prot#'!$A:$AL,18,FALSE)</f>
        <v>-</v>
      </c>
      <c r="X356" s="5">
        <f>VLOOKUP($A356,'SegEnds_NonXtal_Prot#'!$A:$AL,21,FALSE)</f>
        <v>476</v>
      </c>
      <c r="Y356" s="5">
        <f>VLOOKUP($A356,'SegEnds_NonXtal_Prot#'!$A:$AL,24,FALSE)</f>
        <v>537</v>
      </c>
      <c r="Z356" s="5">
        <f>VLOOKUP($A356,'SegEnds_NonXtal_Prot#'!$A:$AL,27,FALSE)</f>
        <v>540</v>
      </c>
      <c r="AA356" s="5">
        <f>VLOOKUP($A356,'SegEnds_NonXtal_Prot#'!$A:$AL,30,FALSE)</f>
        <v>573</v>
      </c>
      <c r="AB356" s="5">
        <f>VLOOKUP($A356,'SegEnds_NonXtal_Prot#'!$A:$AL,33,FALSE)</f>
        <v>606</v>
      </c>
      <c r="AC356" s="5">
        <f>VLOOKUP($A356,'SegEnds_NonXtal_Prot#'!$A:$AL,36,FALSE)</f>
        <v>638</v>
      </c>
      <c r="AD356" s="5">
        <f>VLOOKUP($A356,'SegEnds_NonXtal_Prot#'!$A:$AL,5,FALSE)</f>
        <v>405</v>
      </c>
      <c r="AE356" s="5">
        <f>VLOOKUP($A356,'SegEnds_NonXtal_Prot#'!$A:$AL,8,FALSE)</f>
        <v>414</v>
      </c>
      <c r="AF356" s="5">
        <f>VLOOKUP($A356,'SegEnds_NonXtal_Prot#'!$A:$AL,11,FALSE)</f>
        <v>437</v>
      </c>
      <c r="AG356" s="5" t="str">
        <f>VLOOKUP($A356,'SegEnds_NonXtal_Prot#'!$A:$AL,14,FALSE)</f>
        <v>-</v>
      </c>
      <c r="AH356" s="5">
        <f>VLOOKUP($A356,'SegEnds_NonXtal_Prot#'!$A:$AL,17,FALSE)</f>
        <v>474</v>
      </c>
      <c r="AI356" s="5" t="str">
        <f>VLOOKUP($A356,'SegEnds_NonXtal_Prot#'!$A:$AL,20,FALSE)</f>
        <v>-</v>
      </c>
      <c r="AJ356" s="5">
        <f>VLOOKUP($A356,'SegEnds_NonXtal_Prot#'!$A:$AL,23,FALSE)</f>
        <v>502</v>
      </c>
      <c r="AK356" s="5">
        <f>VLOOKUP($A356,'SegEnds_NonXtal_Prot#'!$A:$AL,26,FALSE)</f>
        <v>539</v>
      </c>
      <c r="AL356" s="5">
        <f>VLOOKUP($A356,'SegEnds_NonXtal_Prot#'!$A:$AL,29,FALSE)</f>
        <v>564</v>
      </c>
      <c r="AM356" s="5">
        <f>VLOOKUP($A356,'SegEnds_NonXtal_Prot#'!$A:$AL,32,FALSE)</f>
        <v>597</v>
      </c>
      <c r="AN356" s="5">
        <f>VLOOKUP($A356,'SegEnds_NonXtal_Prot#'!$A:$AL,35,FALSE)</f>
        <v>637</v>
      </c>
      <c r="AO356" s="5">
        <f>VLOOKUP($A356,'SegEnds_NonXtal_Prot#'!$A:$AL,38,FALSE)</f>
        <v>649</v>
      </c>
      <c r="AP356" s="5">
        <f t="shared" si="138"/>
        <v>26</v>
      </c>
      <c r="AQ356" s="4">
        <f t="shared" si="139"/>
        <v>6</v>
      </c>
      <c r="AR356" s="4">
        <f t="shared" si="140"/>
        <v>22</v>
      </c>
      <c r="AS356" s="4" t="str">
        <f t="shared" si="141"/>
        <v>-</v>
      </c>
      <c r="AT356" s="4">
        <f t="shared" si="142"/>
        <v>32</v>
      </c>
      <c r="AU356" s="4" t="str">
        <f t="shared" si="143"/>
        <v>-</v>
      </c>
      <c r="AV356" s="4">
        <f t="shared" si="144"/>
        <v>26</v>
      </c>
      <c r="AW356" s="4">
        <f t="shared" si="145"/>
        <v>2</v>
      </c>
      <c r="AX356" s="4">
        <f t="shared" si="146"/>
        <v>24</v>
      </c>
      <c r="AY356" s="4">
        <f t="shared" si="147"/>
        <v>24</v>
      </c>
      <c r="AZ356" s="4">
        <f t="shared" si="148"/>
        <v>31</v>
      </c>
      <c r="BA356" s="4">
        <f t="shared" si="149"/>
        <v>11</v>
      </c>
    </row>
    <row r="357" spans="1:53" x14ac:dyDescent="0.2">
      <c r="A357" s="1" t="str">
        <f>'SegEnds_NonXtal_Prot#'!A354</f>
        <v>gpc5b_human</v>
      </c>
      <c r="B357" s="1" t="str">
        <f t="shared" si="125"/>
        <v>IWGIVVEAVAGAGALITLLLMLILLVREKKSPVGLHFLFLLGTLGLFGLTFAFIETICSVRRFLWGVLFALCFSCLLSQAWRVRRLVAGWQLVGLALCLMLVQVIIAVEWLVLTEPMDFVMALIYDMVLLVVTLGLALFTNGAFLLITAFLSVLIWVAWMTMYLFWNDPTLAITLAASGWVFVIFHAIPEIHCTLLPLQENTPNYFDTS</v>
      </c>
      <c r="C357" s="29" t="str">
        <f>IF(ISERROR(MATCH(A357,'SegEnds_Xtal_Prot#'!B:B, 0)), "NoXtal", "Xtal")</f>
        <v>NoXtal</v>
      </c>
      <c r="D357" s="4" t="str">
        <f>VLOOKUP(A357,Classification!A:D,2,FALSE)</f>
        <v>C</v>
      </c>
      <c r="E357" s="5" t="str">
        <f>VLOOKUP(A357,Seqs!A:B,2,FALSE)</f>
        <v>MFVASERKMRAHQVLTFLLLFVITSVASENASTSRGCGLDLLPQYVSLCDLDAIWGIVVEAVAGAGALITLLLMLILLVRLPFIKEKEKKSPVGLHFLFLLGTLGLFGLTFAFIIQEDETICSVRRFLWGVLFALCFSCLLSQAWRVRRLVRHGTGPAGWQLVGLALCLMLVQVIIAVEWLVLTVLRDTRPACAYEPMDFVMALIYDMVLLVVTLGLALFTLCGKFKRWKLNGAFLLITAFLSVLIWVAWMTMYLFGNVKLQQGDAWNDPTLAITLAASGWVFVIFHAIPEIHCTLLPALQENTPNYFDTSQPRMRETAFEEDVQLPRAYMENKAFSMDEHNAALRTAGFPNGSLGKRPSGSLGKRPSAPFRSNVYQPTEMAVVLNGGTIPTAPPSHTGRHLW</v>
      </c>
      <c r="F357" s="5" t="str">
        <f t="shared" si="126"/>
        <v>IWGIVVEAVAGAGALITLLLMLILLVR</v>
      </c>
      <c r="G357" s="4" t="str">
        <f t="shared" si="127"/>
        <v>LPFIKEK</v>
      </c>
      <c r="H357" s="4" t="str">
        <f t="shared" si="128"/>
        <v>EKKSPVGLHFLFLLGTLGLFGLTFAFI</v>
      </c>
      <c r="I357" s="4" t="str">
        <f t="shared" si="129"/>
        <v/>
      </c>
      <c r="J357" s="4" t="str">
        <f t="shared" si="130"/>
        <v>ETICSVRRFLWGVLFALCFSCLLSQAWRVRRLV</v>
      </c>
      <c r="K357" s="4" t="str">
        <f t="shared" si="131"/>
        <v/>
      </c>
      <c r="L357" s="4" t="str">
        <f t="shared" si="132"/>
        <v>AGWQLVGLALCLMLVQVIIAVEWLVLT</v>
      </c>
      <c r="M357" s="4" t="str">
        <f t="shared" si="133"/>
        <v>CAY</v>
      </c>
      <c r="N357" s="4" t="str">
        <f t="shared" si="134"/>
        <v>EPMDFVMALIYDMVLLVVTLGLALFT</v>
      </c>
      <c r="O357" s="4" t="str">
        <f t="shared" si="135"/>
        <v>NGAFLLITAFLSVLIWVAWMTMYLF</v>
      </c>
      <c r="P357" s="4" t="str">
        <f t="shared" si="136"/>
        <v>WNDPTLAITLAASGWVFVIFHAIPEIHCTLLP</v>
      </c>
      <c r="Q357" s="4" t="str">
        <f t="shared" si="137"/>
        <v>LQENTPNYFDTS</v>
      </c>
      <c r="R357" s="5">
        <f>VLOOKUP($A357,'SegEnds_NonXtal_Prot#'!$A:$AL,3,FALSE)</f>
        <v>54</v>
      </c>
      <c r="S357" s="5">
        <f>VLOOKUP($A357,'SegEnds_NonXtal_Prot#'!$A:$AL,6,FALSE)</f>
        <v>81</v>
      </c>
      <c r="T357" s="5">
        <f>VLOOKUP($A357,'SegEnds_NonXtal_Prot#'!$A:$AL,9,FALSE)</f>
        <v>88</v>
      </c>
      <c r="U357" s="5" t="str">
        <f>VLOOKUP($A357,'SegEnds_NonXtal_Prot#'!$A:$AL,12,FALSE)</f>
        <v>-</v>
      </c>
      <c r="V357" s="5">
        <f>VLOOKUP($A357,'SegEnds_NonXtal_Prot#'!$A:$AL,15,FALSE)</f>
        <v>119</v>
      </c>
      <c r="W357" s="5" t="str">
        <f>VLOOKUP($A357,'SegEnds_NonXtal_Prot#'!$A:$AL,18,FALSE)</f>
        <v>-</v>
      </c>
      <c r="X357" s="5">
        <f>VLOOKUP($A357,'SegEnds_NonXtal_Prot#'!$A:$AL,21,FALSE)</f>
        <v>158</v>
      </c>
      <c r="Y357" s="5">
        <f>VLOOKUP($A357,'SegEnds_NonXtal_Prot#'!$A:$AL,24,FALSE)</f>
        <v>193</v>
      </c>
      <c r="Z357" s="5">
        <f>VLOOKUP($A357,'SegEnds_NonXtal_Prot#'!$A:$AL,27,FALSE)</f>
        <v>196</v>
      </c>
      <c r="AA357" s="5">
        <f>VLOOKUP($A357,'SegEnds_NonXtal_Prot#'!$A:$AL,30,FALSE)</f>
        <v>232</v>
      </c>
      <c r="AB357" s="5">
        <f>VLOOKUP($A357,'SegEnds_NonXtal_Prot#'!$A:$AL,33,FALSE)</f>
        <v>267</v>
      </c>
      <c r="AC357" s="5">
        <f>VLOOKUP($A357,'SegEnds_NonXtal_Prot#'!$A:$AL,36,FALSE)</f>
        <v>300</v>
      </c>
      <c r="AD357" s="5">
        <f>VLOOKUP($A357,'SegEnds_NonXtal_Prot#'!$A:$AL,5,FALSE)</f>
        <v>80</v>
      </c>
      <c r="AE357" s="5">
        <f>VLOOKUP($A357,'SegEnds_NonXtal_Prot#'!$A:$AL,8,FALSE)</f>
        <v>87</v>
      </c>
      <c r="AF357" s="5">
        <f>VLOOKUP($A357,'SegEnds_NonXtal_Prot#'!$A:$AL,11,FALSE)</f>
        <v>114</v>
      </c>
      <c r="AG357" s="5" t="str">
        <f>VLOOKUP($A357,'SegEnds_NonXtal_Prot#'!$A:$AL,14,FALSE)</f>
        <v>-</v>
      </c>
      <c r="AH357" s="5">
        <f>VLOOKUP($A357,'SegEnds_NonXtal_Prot#'!$A:$AL,17,FALSE)</f>
        <v>151</v>
      </c>
      <c r="AI357" s="5" t="str">
        <f>VLOOKUP($A357,'SegEnds_NonXtal_Prot#'!$A:$AL,20,FALSE)</f>
        <v>-</v>
      </c>
      <c r="AJ357" s="5">
        <f>VLOOKUP($A357,'SegEnds_NonXtal_Prot#'!$A:$AL,23,FALSE)</f>
        <v>184</v>
      </c>
      <c r="AK357" s="5">
        <f>VLOOKUP($A357,'SegEnds_NonXtal_Prot#'!$A:$AL,26,FALSE)</f>
        <v>195</v>
      </c>
      <c r="AL357" s="5">
        <f>VLOOKUP($A357,'SegEnds_NonXtal_Prot#'!$A:$AL,29,FALSE)</f>
        <v>221</v>
      </c>
      <c r="AM357" s="5">
        <f>VLOOKUP($A357,'SegEnds_NonXtal_Prot#'!$A:$AL,32,FALSE)</f>
        <v>256</v>
      </c>
      <c r="AN357" s="5">
        <f>VLOOKUP($A357,'SegEnds_NonXtal_Prot#'!$A:$AL,35,FALSE)</f>
        <v>298</v>
      </c>
      <c r="AO357" s="5">
        <f>VLOOKUP($A357,'SegEnds_NonXtal_Prot#'!$A:$AL,38,FALSE)</f>
        <v>311</v>
      </c>
      <c r="AP357" s="5">
        <f t="shared" si="138"/>
        <v>26</v>
      </c>
      <c r="AQ357" s="4">
        <f t="shared" si="139"/>
        <v>6</v>
      </c>
      <c r="AR357" s="4">
        <f t="shared" si="140"/>
        <v>26</v>
      </c>
      <c r="AS357" s="4" t="str">
        <f t="shared" si="141"/>
        <v>-</v>
      </c>
      <c r="AT357" s="4">
        <f t="shared" si="142"/>
        <v>32</v>
      </c>
      <c r="AU357" s="4" t="str">
        <f t="shared" si="143"/>
        <v>-</v>
      </c>
      <c r="AV357" s="4">
        <f t="shared" si="144"/>
        <v>26</v>
      </c>
      <c r="AW357" s="4">
        <f t="shared" si="145"/>
        <v>2</v>
      </c>
      <c r="AX357" s="4">
        <f t="shared" si="146"/>
        <v>25</v>
      </c>
      <c r="AY357" s="4">
        <f t="shared" si="147"/>
        <v>24</v>
      </c>
      <c r="AZ357" s="4">
        <f t="shared" si="148"/>
        <v>31</v>
      </c>
      <c r="BA357" s="4">
        <f t="shared" si="149"/>
        <v>11</v>
      </c>
    </row>
    <row r="358" spans="1:53" x14ac:dyDescent="0.2">
      <c r="A358" s="1" t="str">
        <f>'SegEnds_NonXtal_Prot#'!A355</f>
        <v>gpc5c_human</v>
      </c>
      <c r="B358" s="1" t="str">
        <f t="shared" si="125"/>
        <v>AWGIVLEAVAGAGIVTTFVLTIILVASKKRSLLGTQVFFLLGTLGLFCLVFACVFSTCASRRFLFGVLFAICFSCLAAHVFALNFLARGWVIFTVALLLTLVEVIINTEWLIITANMDFVMALIYVMLLLLGAFLGAWPAHGVFVLLTTATSVAIWVVWIVMYTYWDDPTLAIALAANAWAFVLFYVIPEVSQVTKSPEQSYQGDMYPT</v>
      </c>
      <c r="C358" s="29" t="str">
        <f>IF(ISERROR(MATCH(A358,'SegEnds_Xtal_Prot#'!B:B, 0)), "NoXtal", "Xtal")</f>
        <v>NoXtal</v>
      </c>
      <c r="D358" s="4" t="str">
        <f>VLOOKUP(A358,Classification!A:D,2,FALSE)</f>
        <v>C</v>
      </c>
      <c r="E358" s="5" t="str">
        <f>VLOOKUP(A358,Seqs!A:B,2,FALSE)</f>
        <v>MAIHKALVMCLGLPLFLFPGAWAQGHVPPGCSQGLNPLYYNLCDRSGAWGIVLEAVAGAGIVTTFVLTIILVASLPFVQDTKKRSLLGTQVFFLLGTLGLFCLVFACVVKPDFSTCASRRFLFGVLFAICFSCLAAHVFALNFLARKNHGPRGWVIFTVALLLTLVEVIINTEWLIITLVRGSGEGGPQGNSSAGWAVASPCAIANMDFVMALIYVMLLLLGAFLGAWPALCGRYKRWRKHGVFVLLTTATSVAIWVVWIVMYTYGNKQHNSPTWDDPTLAIALAANAWAFVLFYVIPEVSQVTKSSPEQSYQGDMYPTRGVGYETILKEQKGQSMFVENKAFSMDEPVAAKRPVSPYSGYNGQLLTSVYQPTEMALMHKVPSEGAYDIILPRATANSQVMGSANSTLRAEDMYSAQSHQAATPPKDGKNSQVFRNPYVWD</v>
      </c>
      <c r="F358" s="5" t="str">
        <f t="shared" si="126"/>
        <v>AWGIVLEAVAGAGIVTTFVLTIILVAS</v>
      </c>
      <c r="G358" s="4" t="str">
        <f t="shared" si="127"/>
        <v>LPFVQDT</v>
      </c>
      <c r="H358" s="4" t="str">
        <f t="shared" si="128"/>
        <v>KKRSLLGTQVFFLLGTLGLFCLVFACV</v>
      </c>
      <c r="I358" s="4" t="str">
        <f t="shared" si="129"/>
        <v/>
      </c>
      <c r="J358" s="4" t="str">
        <f t="shared" si="130"/>
        <v>FSTCASRRFLFGVLFAICFSCLAAHVFALNFLA</v>
      </c>
      <c r="K358" s="4" t="str">
        <f t="shared" si="131"/>
        <v/>
      </c>
      <c r="L358" s="4" t="str">
        <f t="shared" si="132"/>
        <v>RGWVIFTVALLLTLVEVIINTEWLIIT</v>
      </c>
      <c r="M358" s="4" t="str">
        <f t="shared" si="133"/>
        <v>CAI</v>
      </c>
      <c r="N358" s="4" t="str">
        <f t="shared" si="134"/>
        <v>ANMDFVMALIYVMLLLLGAFLGAWPA</v>
      </c>
      <c r="O358" s="4" t="str">
        <f t="shared" si="135"/>
        <v>HGVFVLLTTATSVAIWVVWIVMYTY</v>
      </c>
      <c r="P358" s="4" t="str">
        <f t="shared" si="136"/>
        <v>WDDPTLAIALAANAWAFVLFYVIPEVSQVTKS</v>
      </c>
      <c r="Q358" s="4" t="str">
        <f t="shared" si="137"/>
        <v>PEQSYQGDMYPT</v>
      </c>
      <c r="R358" s="5">
        <f>VLOOKUP($A358,'SegEnds_NonXtal_Prot#'!$A:$AL,3,FALSE)</f>
        <v>48</v>
      </c>
      <c r="S358" s="5">
        <f>VLOOKUP($A358,'SegEnds_NonXtal_Prot#'!$A:$AL,6,FALSE)</f>
        <v>75</v>
      </c>
      <c r="T358" s="5">
        <f>VLOOKUP($A358,'SegEnds_NonXtal_Prot#'!$A:$AL,9,FALSE)</f>
        <v>82</v>
      </c>
      <c r="U358" s="5" t="str">
        <f>VLOOKUP($A358,'SegEnds_NonXtal_Prot#'!$A:$AL,12,FALSE)</f>
        <v>-</v>
      </c>
      <c r="V358" s="5">
        <f>VLOOKUP($A358,'SegEnds_NonXtal_Prot#'!$A:$AL,15,FALSE)</f>
        <v>113</v>
      </c>
      <c r="W358" s="5" t="str">
        <f>VLOOKUP($A358,'SegEnds_NonXtal_Prot#'!$A:$AL,18,FALSE)</f>
        <v>-</v>
      </c>
      <c r="X358" s="5">
        <f>VLOOKUP($A358,'SegEnds_NonXtal_Prot#'!$A:$AL,21,FALSE)</f>
        <v>152</v>
      </c>
      <c r="Y358" s="5">
        <f>VLOOKUP($A358,'SegEnds_NonXtal_Prot#'!$A:$AL,24,FALSE)</f>
        <v>202</v>
      </c>
      <c r="Z358" s="5">
        <f>VLOOKUP($A358,'SegEnds_NonXtal_Prot#'!$A:$AL,27,FALSE)</f>
        <v>205</v>
      </c>
      <c r="AA358" s="5">
        <f>VLOOKUP($A358,'SegEnds_NonXtal_Prot#'!$A:$AL,30,FALSE)</f>
        <v>241</v>
      </c>
      <c r="AB358" s="5">
        <f>VLOOKUP($A358,'SegEnds_NonXtal_Prot#'!$A:$AL,33,FALSE)</f>
        <v>275</v>
      </c>
      <c r="AC358" s="5">
        <f>VLOOKUP($A358,'SegEnds_NonXtal_Prot#'!$A:$AL,36,FALSE)</f>
        <v>308</v>
      </c>
      <c r="AD358" s="5">
        <f>VLOOKUP($A358,'SegEnds_NonXtal_Prot#'!$A:$AL,5,FALSE)</f>
        <v>74</v>
      </c>
      <c r="AE358" s="5">
        <f>VLOOKUP($A358,'SegEnds_NonXtal_Prot#'!$A:$AL,8,FALSE)</f>
        <v>81</v>
      </c>
      <c r="AF358" s="5">
        <f>VLOOKUP($A358,'SegEnds_NonXtal_Prot#'!$A:$AL,11,FALSE)</f>
        <v>108</v>
      </c>
      <c r="AG358" s="5" t="str">
        <f>VLOOKUP($A358,'SegEnds_NonXtal_Prot#'!$A:$AL,14,FALSE)</f>
        <v>-</v>
      </c>
      <c r="AH358" s="5">
        <f>VLOOKUP($A358,'SegEnds_NonXtal_Prot#'!$A:$AL,17,FALSE)</f>
        <v>145</v>
      </c>
      <c r="AI358" s="5" t="str">
        <f>VLOOKUP($A358,'SegEnds_NonXtal_Prot#'!$A:$AL,20,FALSE)</f>
        <v>-</v>
      </c>
      <c r="AJ358" s="5">
        <f>VLOOKUP($A358,'SegEnds_NonXtal_Prot#'!$A:$AL,23,FALSE)</f>
        <v>178</v>
      </c>
      <c r="AK358" s="5">
        <f>VLOOKUP($A358,'SegEnds_NonXtal_Prot#'!$A:$AL,26,FALSE)</f>
        <v>204</v>
      </c>
      <c r="AL358" s="5">
        <f>VLOOKUP($A358,'SegEnds_NonXtal_Prot#'!$A:$AL,29,FALSE)</f>
        <v>230</v>
      </c>
      <c r="AM358" s="5">
        <f>VLOOKUP($A358,'SegEnds_NonXtal_Prot#'!$A:$AL,32,FALSE)</f>
        <v>265</v>
      </c>
      <c r="AN358" s="5">
        <f>VLOOKUP($A358,'SegEnds_NonXtal_Prot#'!$A:$AL,35,FALSE)</f>
        <v>306</v>
      </c>
      <c r="AO358" s="5">
        <f>VLOOKUP($A358,'SegEnds_NonXtal_Prot#'!$A:$AL,38,FALSE)</f>
        <v>319</v>
      </c>
      <c r="AP358" s="5">
        <f t="shared" si="138"/>
        <v>26</v>
      </c>
      <c r="AQ358" s="4">
        <f t="shared" si="139"/>
        <v>6</v>
      </c>
      <c r="AR358" s="4">
        <f t="shared" si="140"/>
        <v>26</v>
      </c>
      <c r="AS358" s="4" t="str">
        <f t="shared" si="141"/>
        <v>-</v>
      </c>
      <c r="AT358" s="4">
        <f t="shared" si="142"/>
        <v>32</v>
      </c>
      <c r="AU358" s="4" t="str">
        <f t="shared" si="143"/>
        <v>-</v>
      </c>
      <c r="AV358" s="4">
        <f t="shared" si="144"/>
        <v>26</v>
      </c>
      <c r="AW358" s="4">
        <f t="shared" si="145"/>
        <v>2</v>
      </c>
      <c r="AX358" s="4">
        <f t="shared" si="146"/>
        <v>25</v>
      </c>
      <c r="AY358" s="4">
        <f t="shared" si="147"/>
        <v>24</v>
      </c>
      <c r="AZ358" s="4">
        <f t="shared" si="148"/>
        <v>31</v>
      </c>
      <c r="BA358" s="4">
        <f t="shared" si="149"/>
        <v>11</v>
      </c>
    </row>
    <row r="359" spans="1:53" x14ac:dyDescent="0.2">
      <c r="A359" s="1" t="str">
        <f>'SegEnds_NonXtal_Prot#'!A356</f>
        <v>gpc5d_human</v>
      </c>
      <c r="B359" s="1" t="str">
        <f t="shared" si="125"/>
        <v>PWGIILESLAILGIVVTILLLLAFLFLSQWNVLPTQLLFLLSVLGLFGLAFAFIQQTAPVRYFLFGVLFALCFSCLLAHASNLVKLVSWTTILCIAIGCSLLQIIIATEYVTLINVDFVVLLVYVLFLMALTFFVSKATHGRLIFITVLFSIIIWVVWISMLLRWDDPVVCIALVTNAWVFLLLYIVPELCILYRSQECPLQGNACP</v>
      </c>
      <c r="C359" s="29" t="str">
        <f>IF(ISERROR(MATCH(A359,'SegEnds_Xtal_Prot#'!B:B, 0)), "NoXtal", "Xtal")</f>
        <v>NoXtal</v>
      </c>
      <c r="D359" s="4" t="str">
        <f>VLOOKUP(A359,Classification!A:D,2,FALSE)</f>
        <v>C</v>
      </c>
      <c r="E359" s="5" t="str">
        <f>VLOOKUP(A359,Seqs!A:B,2,FALSE)</f>
        <v>MYKDCIESTGDYFLLCDAEGPWGIILESLAILGIVVTILLLLAFLFLMRKIQDCSQWNVLPTQLLFLLSVLGLFGLAFAFIIELNQQTAPVRYFLFGVLFALCFSCLLAHASNLVKLVRGCVSFSWTTILCIAIGCSLLQIIIATEYVTLIMTRGMMFVNMTPCQLNVDFVVLLVYVLFLMALTFFVSKATFCGPCENWKQHGRLIFITVLFSIIIWVVWISMLLRGNPQFQRQPQWDDPVVCIALVTNAWVFLLLYIVPELCILYRSCRQECPLQGNACPVTAYQHSFQVENQELSRARDSDGAEEDVALTSYGTPIQPQTVDPTQECFIPQAKLSPQQDAGGV</v>
      </c>
      <c r="F359" s="5" t="str">
        <f t="shared" si="126"/>
        <v>PWGIILESLAILGIVVTILLLLAFLFL</v>
      </c>
      <c r="G359" s="4" t="str">
        <f t="shared" si="127"/>
        <v>MRKIQDC</v>
      </c>
      <c r="H359" s="4" t="str">
        <f t="shared" si="128"/>
        <v>SQWNVLPTQLLFLLSVLGLFGLAFAFI</v>
      </c>
      <c r="I359" s="4" t="str">
        <f t="shared" si="129"/>
        <v/>
      </c>
      <c r="J359" s="4" t="str">
        <f t="shared" si="130"/>
        <v>QQTAPVRYFLFGVLFALCFSCLLAHASNLVKLV</v>
      </c>
      <c r="K359" s="4" t="str">
        <f t="shared" si="131"/>
        <v/>
      </c>
      <c r="L359" s="4" t="str">
        <f t="shared" si="132"/>
        <v>SWTTILCIAIGCSLLQIIIATEYVTLI</v>
      </c>
      <c r="M359" s="4" t="str">
        <f t="shared" si="133"/>
        <v>CQL</v>
      </c>
      <c r="N359" s="4" t="str">
        <f t="shared" si="134"/>
        <v>NVDFVVLLVYVLFLMALTFFVSKAT</v>
      </c>
      <c r="O359" s="4" t="str">
        <f t="shared" si="135"/>
        <v>HGRLIFITVLFSIIIWVVWISMLLR</v>
      </c>
      <c r="P359" s="4" t="str">
        <f t="shared" si="136"/>
        <v>WDDPVVCIALVTNAWVFLLLYIVPELCILYRS</v>
      </c>
      <c r="Q359" s="4" t="str">
        <f t="shared" si="137"/>
        <v>QECPLQGNACP</v>
      </c>
      <c r="R359" s="5">
        <f>VLOOKUP($A359,'SegEnds_NonXtal_Prot#'!$A:$AL,3,FALSE)</f>
        <v>21</v>
      </c>
      <c r="S359" s="5">
        <f>VLOOKUP($A359,'SegEnds_NonXtal_Prot#'!$A:$AL,6,FALSE)</f>
        <v>48</v>
      </c>
      <c r="T359" s="5">
        <f>VLOOKUP($A359,'SegEnds_NonXtal_Prot#'!$A:$AL,9,FALSE)</f>
        <v>55</v>
      </c>
      <c r="U359" s="5" t="str">
        <f>VLOOKUP($A359,'SegEnds_NonXtal_Prot#'!$A:$AL,12,FALSE)</f>
        <v>-</v>
      </c>
      <c r="V359" s="5">
        <f>VLOOKUP($A359,'SegEnds_NonXtal_Prot#'!$A:$AL,15,FALSE)</f>
        <v>86</v>
      </c>
      <c r="W359" s="5" t="str">
        <f>VLOOKUP($A359,'SegEnds_NonXtal_Prot#'!$A:$AL,18,FALSE)</f>
        <v>-</v>
      </c>
      <c r="X359" s="5">
        <f>VLOOKUP($A359,'SegEnds_NonXtal_Prot#'!$A:$AL,21,FALSE)</f>
        <v>125</v>
      </c>
      <c r="Y359" s="5">
        <f>VLOOKUP($A359,'SegEnds_NonXtal_Prot#'!$A:$AL,24,FALSE)</f>
        <v>164</v>
      </c>
      <c r="Z359" s="5">
        <f>VLOOKUP($A359,'SegEnds_NonXtal_Prot#'!$A:$AL,27,FALSE)</f>
        <v>167</v>
      </c>
      <c r="AA359" s="5">
        <f>VLOOKUP($A359,'SegEnds_NonXtal_Prot#'!$A:$AL,30,FALSE)</f>
        <v>202</v>
      </c>
      <c r="AB359" s="5">
        <f>VLOOKUP($A359,'SegEnds_NonXtal_Prot#'!$A:$AL,33,FALSE)</f>
        <v>237</v>
      </c>
      <c r="AC359" s="5">
        <f>VLOOKUP($A359,'SegEnds_NonXtal_Prot#'!$A:$AL,36,FALSE)</f>
        <v>271</v>
      </c>
      <c r="AD359" s="5">
        <f>VLOOKUP($A359,'SegEnds_NonXtal_Prot#'!$A:$AL,5,FALSE)</f>
        <v>47</v>
      </c>
      <c r="AE359" s="5">
        <f>VLOOKUP($A359,'SegEnds_NonXtal_Prot#'!$A:$AL,8,FALSE)</f>
        <v>54</v>
      </c>
      <c r="AF359" s="5">
        <f>VLOOKUP($A359,'SegEnds_NonXtal_Prot#'!$A:$AL,11,FALSE)</f>
        <v>81</v>
      </c>
      <c r="AG359" s="5" t="str">
        <f>VLOOKUP($A359,'SegEnds_NonXtal_Prot#'!$A:$AL,14,FALSE)</f>
        <v>-</v>
      </c>
      <c r="AH359" s="5">
        <f>VLOOKUP($A359,'SegEnds_NonXtal_Prot#'!$A:$AL,17,FALSE)</f>
        <v>118</v>
      </c>
      <c r="AI359" s="5" t="str">
        <f>VLOOKUP($A359,'SegEnds_NonXtal_Prot#'!$A:$AL,20,FALSE)</f>
        <v>-</v>
      </c>
      <c r="AJ359" s="5">
        <f>VLOOKUP($A359,'SegEnds_NonXtal_Prot#'!$A:$AL,23,FALSE)</f>
        <v>151</v>
      </c>
      <c r="AK359" s="5">
        <f>VLOOKUP($A359,'SegEnds_NonXtal_Prot#'!$A:$AL,26,FALSE)</f>
        <v>166</v>
      </c>
      <c r="AL359" s="5">
        <f>VLOOKUP($A359,'SegEnds_NonXtal_Prot#'!$A:$AL,29,FALSE)</f>
        <v>191</v>
      </c>
      <c r="AM359" s="5">
        <f>VLOOKUP($A359,'SegEnds_NonXtal_Prot#'!$A:$AL,32,FALSE)</f>
        <v>226</v>
      </c>
      <c r="AN359" s="5">
        <f>VLOOKUP($A359,'SegEnds_NonXtal_Prot#'!$A:$AL,35,FALSE)</f>
        <v>268</v>
      </c>
      <c r="AO359" s="5">
        <f>VLOOKUP($A359,'SegEnds_NonXtal_Prot#'!$A:$AL,38,FALSE)</f>
        <v>281</v>
      </c>
      <c r="AP359" s="5">
        <f t="shared" si="138"/>
        <v>26</v>
      </c>
      <c r="AQ359" s="4">
        <f t="shared" si="139"/>
        <v>6</v>
      </c>
      <c r="AR359" s="4">
        <f t="shared" si="140"/>
        <v>26</v>
      </c>
      <c r="AS359" s="4" t="str">
        <f t="shared" si="141"/>
        <v>-</v>
      </c>
      <c r="AT359" s="4">
        <f t="shared" si="142"/>
        <v>32</v>
      </c>
      <c r="AU359" s="4" t="str">
        <f t="shared" si="143"/>
        <v>-</v>
      </c>
      <c r="AV359" s="4">
        <f t="shared" si="144"/>
        <v>26</v>
      </c>
      <c r="AW359" s="4">
        <f t="shared" si="145"/>
        <v>2</v>
      </c>
      <c r="AX359" s="4">
        <f t="shared" si="146"/>
        <v>24</v>
      </c>
      <c r="AY359" s="4">
        <f t="shared" si="147"/>
        <v>24</v>
      </c>
      <c r="AZ359" s="4">
        <f t="shared" si="148"/>
        <v>31</v>
      </c>
      <c r="BA359" s="4">
        <f t="shared" si="149"/>
        <v>10</v>
      </c>
    </row>
    <row r="360" spans="1:53" x14ac:dyDescent="0.2">
      <c r="A360" s="1" t="str">
        <f>'SegEnds_NonXtal_Prot#'!A357</f>
        <v>gpc6a_human</v>
      </c>
      <c r="B360" s="1" t="str">
        <f t="shared" si="125"/>
        <v>SLAILLLILSLLGIIFVLVVGIIFTRNGGLRVCYVILLCHFLNFASTSFFIDFTCKTRQTMFGVSFTLCISCILTKSLKILLAFCLYRPILIIFTCTGIQVVICTLWLIFASILAFGTMLGYIAILAFICFIFAFKGEAKFITFGMLIYFIAWITFIPIYATYVPAVEIIVILISNYGILYCTFIPKCYVIICKQEINTKSAFLKM</v>
      </c>
      <c r="C360" s="29" t="str">
        <f>IF(ISERROR(MATCH(A360,'SegEnds_Xtal_Prot#'!B:B, 0)), "NoXtal", "Xtal")</f>
        <v>NoXtal</v>
      </c>
      <c r="D360" s="4" t="str">
        <f>VLOOKUP(A360,Classification!A:D,2,FALSE)</f>
        <v>C</v>
      </c>
      <c r="E360" s="5" t="str">
        <f>VLOOKUP(A360,Seqs!A:B,2,FALSE)</f>
        <v>MAFLIILITCFVIILATSQPCQTPDDFVAATSPGHIIIGGLFAIHEKMLSSEDSPRRPQIQECVGFEISVFLQTLAMIHSIEMINNSTLLPGVKLGYEIYDTCTEVTVAMAATLRFLSKFNCSRETVEFKCDYSSYMPRVKAVIGSGYSEITMAVSRMLNLQLMPQVGYESTAEILSDKIRFPSFLRTVPSDFHQIKAMAHLIQKSGWNWIGIITTDDDYGRLALNTFIIQAEANNVCIAFKEVLPAFLSDNTIEVRINRTLKKIILEAQVNVIVVFLRQFHVFDLFNKAIEMNINKMWIASDNWSTATKITTIPNVKKIGKVVGFAFRRGNISSFHSFLQNLHLLPSDSHKLLHEYAMHLSACAYVKDTDLSQCIFNHSQRTLAYKANKAIERNFVMRNDFLWDYAEPGLIHSIQLAVFALGYAIRDLCQARDCQNPNAFQPWELLGVLKNVTFTDGWNSFHFDAHGDLNTGYDVVLWKEINGHMTVTKMAEYDLQNDVFIIPDQETKNEFRNLKQIQSKCSKECSPGQMKKTTRSQHICCYECQNCPENHYTNQTDMPHCLLCNNKTHWAPVRSTMCFEKEVEYLNWNDSLAILLLILSLLGIIFVLVVGIIFTRNLNTPVVKSSGGLRVCYVILLCHFLNFASTSFFIGEPQDFTCKTRQTMFGVSFTLCISCILTKSLKILLAFSFDPKLQKFLKCLYRPILIIFTCTGIQVVICTLWLIFAAPTVEVNVSLPRVIILECEEGSILAFGTMLGYIAILAFICFIFAFKGKYENYNEAKFITFGMLIYFIAWITFIPIYATTFGKYVPAVEIIVILISNYGILYCTFIPKCYVIICKQEINTKSAFLKMIYSYSSHSVSSIALSPASLDSMSGNVTMTNPSSSGKSATWQKSKDLQAQAFAHICRENATSVSKTLPRKRMSSI</v>
      </c>
      <c r="F360" s="5" t="str">
        <f t="shared" si="126"/>
        <v>SLAILLLILSLLGIIFVLVVGIIFTRN</v>
      </c>
      <c r="G360" s="4" t="str">
        <f t="shared" si="127"/>
        <v>TPVVKSS</v>
      </c>
      <c r="H360" s="4" t="str">
        <f t="shared" si="128"/>
        <v>GGLRVCYVILLCHFLNFASTSFFI</v>
      </c>
      <c r="I360" s="4" t="str">
        <f t="shared" si="129"/>
        <v/>
      </c>
      <c r="J360" s="4" t="str">
        <f t="shared" si="130"/>
        <v>DFTCKTRQTMFGVSFTLCISCILTKSLKILLAF</v>
      </c>
      <c r="K360" s="4" t="str">
        <f t="shared" si="131"/>
        <v/>
      </c>
      <c r="L360" s="4" t="str">
        <f t="shared" si="132"/>
        <v>CLYRPILIIFTCTGIQVVICTLWLIFA</v>
      </c>
      <c r="M360" s="4" t="str">
        <f t="shared" si="133"/>
        <v>CEE</v>
      </c>
      <c r="N360" s="4" t="str">
        <f t="shared" si="134"/>
        <v>SILAFGTMLGYIAILAFICFIFAFKG</v>
      </c>
      <c r="O360" s="4" t="str">
        <f t="shared" si="135"/>
        <v>EAKFITFGMLIYFIAWITFIPIYAT</v>
      </c>
      <c r="P360" s="4" t="str">
        <f t="shared" si="136"/>
        <v>YVPAVEIIVILISNYGILYCTFIPKCYVIICK</v>
      </c>
      <c r="Q360" s="4" t="str">
        <f t="shared" si="137"/>
        <v>QEINTKSAFLKM</v>
      </c>
      <c r="R360" s="5">
        <f>VLOOKUP($A360,'SegEnds_NonXtal_Prot#'!$A:$AL,3,FALSE)</f>
        <v>592</v>
      </c>
      <c r="S360" s="5">
        <f>VLOOKUP($A360,'SegEnds_NonXtal_Prot#'!$A:$AL,6,FALSE)</f>
        <v>621</v>
      </c>
      <c r="T360" s="5">
        <f>VLOOKUP($A360,'SegEnds_NonXtal_Prot#'!$A:$AL,9,FALSE)</f>
        <v>628</v>
      </c>
      <c r="U360" s="5" t="str">
        <f>VLOOKUP($A360,'SegEnds_NonXtal_Prot#'!$A:$AL,12,FALSE)</f>
        <v>-</v>
      </c>
      <c r="V360" s="5">
        <f>VLOOKUP($A360,'SegEnds_NonXtal_Prot#'!$A:$AL,15,FALSE)</f>
        <v>656</v>
      </c>
      <c r="W360" s="5" t="str">
        <f>VLOOKUP($A360,'SegEnds_NonXtal_Prot#'!$A:$AL,18,FALSE)</f>
        <v>-</v>
      </c>
      <c r="X360" s="5">
        <f>VLOOKUP($A360,'SegEnds_NonXtal_Prot#'!$A:$AL,21,FALSE)</f>
        <v>700</v>
      </c>
      <c r="Y360" s="5">
        <f>VLOOKUP($A360,'SegEnds_NonXtal_Prot#'!$A:$AL,24,FALSE)</f>
        <v>744</v>
      </c>
      <c r="Z360" s="5">
        <f>VLOOKUP($A360,'SegEnds_NonXtal_Prot#'!$A:$AL,27,FALSE)</f>
        <v>748</v>
      </c>
      <c r="AA360" s="5">
        <f>VLOOKUP($A360,'SegEnds_NonXtal_Prot#'!$A:$AL,30,FALSE)</f>
        <v>780</v>
      </c>
      <c r="AB360" s="5">
        <f>VLOOKUP($A360,'SegEnds_NonXtal_Prot#'!$A:$AL,33,FALSE)</f>
        <v>809</v>
      </c>
      <c r="AC360" s="5">
        <f>VLOOKUP($A360,'SegEnds_NonXtal_Prot#'!$A:$AL,36,FALSE)</f>
        <v>841</v>
      </c>
      <c r="AD360" s="5">
        <f>VLOOKUP($A360,'SegEnds_NonXtal_Prot#'!$A:$AL,5,FALSE)</f>
        <v>618</v>
      </c>
      <c r="AE360" s="5">
        <f>VLOOKUP($A360,'SegEnds_NonXtal_Prot#'!$A:$AL,8,FALSE)</f>
        <v>627</v>
      </c>
      <c r="AF360" s="5">
        <f>VLOOKUP($A360,'SegEnds_NonXtal_Prot#'!$A:$AL,11,FALSE)</f>
        <v>651</v>
      </c>
      <c r="AG360" s="5" t="str">
        <f>VLOOKUP($A360,'SegEnds_NonXtal_Prot#'!$A:$AL,14,FALSE)</f>
        <v>-</v>
      </c>
      <c r="AH360" s="5">
        <f>VLOOKUP($A360,'SegEnds_NonXtal_Prot#'!$A:$AL,17,FALSE)</f>
        <v>688</v>
      </c>
      <c r="AI360" s="5" t="str">
        <f>VLOOKUP($A360,'SegEnds_NonXtal_Prot#'!$A:$AL,20,FALSE)</f>
        <v>-</v>
      </c>
      <c r="AJ360" s="5">
        <f>VLOOKUP($A360,'SegEnds_NonXtal_Prot#'!$A:$AL,23,FALSE)</f>
        <v>726</v>
      </c>
      <c r="AK360" s="5">
        <f>VLOOKUP($A360,'SegEnds_NonXtal_Prot#'!$A:$AL,26,FALSE)</f>
        <v>746</v>
      </c>
      <c r="AL360" s="5">
        <f>VLOOKUP($A360,'SegEnds_NonXtal_Prot#'!$A:$AL,29,FALSE)</f>
        <v>773</v>
      </c>
      <c r="AM360" s="5">
        <f>VLOOKUP($A360,'SegEnds_NonXtal_Prot#'!$A:$AL,32,FALSE)</f>
        <v>804</v>
      </c>
      <c r="AN360" s="5">
        <f>VLOOKUP($A360,'SegEnds_NonXtal_Prot#'!$A:$AL,35,FALSE)</f>
        <v>840</v>
      </c>
      <c r="AO360" s="5">
        <f>VLOOKUP($A360,'SegEnds_NonXtal_Prot#'!$A:$AL,38,FALSE)</f>
        <v>852</v>
      </c>
      <c r="AP360" s="5">
        <f t="shared" si="138"/>
        <v>26</v>
      </c>
      <c r="AQ360" s="4">
        <f t="shared" si="139"/>
        <v>6</v>
      </c>
      <c r="AR360" s="4">
        <f t="shared" si="140"/>
        <v>23</v>
      </c>
      <c r="AS360" s="4" t="str">
        <f t="shared" si="141"/>
        <v>-</v>
      </c>
      <c r="AT360" s="4">
        <f t="shared" si="142"/>
        <v>32</v>
      </c>
      <c r="AU360" s="4" t="str">
        <f t="shared" si="143"/>
        <v>-</v>
      </c>
      <c r="AV360" s="4">
        <f t="shared" si="144"/>
        <v>26</v>
      </c>
      <c r="AW360" s="4">
        <f t="shared" si="145"/>
        <v>2</v>
      </c>
      <c r="AX360" s="4">
        <f t="shared" si="146"/>
        <v>25</v>
      </c>
      <c r="AY360" s="4">
        <f t="shared" si="147"/>
        <v>24</v>
      </c>
      <c r="AZ360" s="4">
        <f t="shared" si="148"/>
        <v>31</v>
      </c>
      <c r="BA360" s="4">
        <f t="shared" si="149"/>
        <v>11</v>
      </c>
    </row>
    <row r="361" spans="1:53" x14ac:dyDescent="0.2">
      <c r="A361" s="1" t="str">
        <f>'SegEnds_NonXtal_Prot#'!A359</f>
        <v>grm2_human</v>
      </c>
      <c r="B361" s="1" t="str">
        <f t="shared" si="125"/>
        <v>AWAVGPVTIACLGALATLFVLGVFVRHGRELCYILLGGVFLCYCMTFIFITAVCTLRRLGLGTAFSVCYSALLTKTNRIARIFSPASQVAICLALISGQLLIVVAWLVVERDASMLGSLAYNVLLIALCTLYAFKTEAKFIGFTMYTTCIIWLAFLPIFYVVQTTTMCVSVSLSGSVVLGCLFAPKLHIILFQPQKNVVSHRAPT</v>
      </c>
      <c r="C361" s="29" t="str">
        <f>IF(ISERROR(MATCH(A361,'SegEnds_Xtal_Prot#'!B:B, 0)), "NoXtal", "Xtal")</f>
        <v>NoXtal</v>
      </c>
      <c r="D361" s="4" t="str">
        <f>VLOOKUP(A361,Classification!A:D,2,FALSE)</f>
        <v>C</v>
      </c>
      <c r="E361" s="5" t="str">
        <f>VLOOKUP(A361,Seqs!A:B,2,FALSE)</f>
        <v>MGSLLALLALLLLWGAVAEGPAKKVLTLEGDLVLGGLFPVHQKGGPAEDCGPVNEHRGIQRLEAMLFALDRINRDPHLLPGVRLGAHILDSCSKDTHALEQALDFVRASLSRGADGSRHICPDGSYATHGDAPTAITGVIGGSYSDVSIQVANLLRLFQIPQISYASTSAKLSDKSRYDYFARTVPPDFFQAKAMAEILRFFNWTYVSTVASEGDYGETGIEAFELEARARNICVATSEKVGRAMSRAAFEGVVRALLQKPSARVAVLFTRSEDARELLAASQRLNASFTWVASDGWGALESVVAGSEGAAEGAITIELASYPISDFASYFQSLDPWNNSRNPWFREFWEQRFRCSFRQRDCAAHSLRAVPFEQESKIMFVVNAVYAMAHALHNMHRALCPNTTRLCDAMRPVNGRRLYKDFVLNVKFDAPFRPADTHNEVRFDRFGDGIGRYNIFTYLRAGSGRYRYQKVGYWAEGLTLDTSLIPWASPSAGPLPASRCSEPCLQNEVKSVQPGEVCCWLCIPCQPYEYRLDEFTCADCGLGYWPNASLTGCFELPQEYIRWGDAWAVGPVTIACLGALATLFVLGVFVRHNATPVVKASGRELCYILLGGVFLCYCMTFIFIAKPSTAVCTLRRLGLGTAFSVCYSALLTKTNRIARIFGGAREGAQRPRFISPASQVAICLALISGQLLIVVAWLVVEAPGTGKETAPERREVVTLRCNHRDASMLGSLAYNVLLIALCTLYAFKTRKCPENFNEAKFIGFTMYTTCIIWLAFLPIFYVTSSDYRVQTTTMCVSVSLSGSVVLGCLFAPKLHIILFQPQKNVVSHRAPTSRFGSAAARASSSLGQGSGSQFVPTVCNGREVVDSTTSSL</v>
      </c>
      <c r="F361" s="5" t="str">
        <f t="shared" si="126"/>
        <v>AWAVGPVTIACLGALATLFVLGVFVRH</v>
      </c>
      <c r="G361" s="4" t="str">
        <f t="shared" si="127"/>
        <v>TPVVKAS</v>
      </c>
      <c r="H361" s="4" t="str">
        <f t="shared" si="128"/>
        <v>GRELCYILLGGVFLCYCMTFIFI</v>
      </c>
      <c r="I361" s="4" t="str">
        <f t="shared" si="129"/>
        <v/>
      </c>
      <c r="J361" s="4" t="str">
        <f t="shared" si="130"/>
        <v>TAVCTLRRLGLGTAFSVCYSALLTKTNRIARIF</v>
      </c>
      <c r="K361" s="4" t="str">
        <f t="shared" si="131"/>
        <v/>
      </c>
      <c r="L361" s="4" t="str">
        <f t="shared" si="132"/>
        <v>SPASQVAICLALISGQLLIVVAWLVVE</v>
      </c>
      <c r="M361" s="4" t="str">
        <f t="shared" si="133"/>
        <v>CNH</v>
      </c>
      <c r="N361" s="4" t="str">
        <f t="shared" si="134"/>
        <v>RDASMLGSLAYNVLLIALCTLYAFKT</v>
      </c>
      <c r="O361" s="4" t="str">
        <f t="shared" si="135"/>
        <v>EAKFIGFTMYTTCIIWLAFLPIFYV</v>
      </c>
      <c r="P361" s="4" t="str">
        <f t="shared" si="136"/>
        <v>VQTTTMCVSVSLSGSVVLGCLFAPKLHIILFQ</v>
      </c>
      <c r="Q361" s="4" t="str">
        <f t="shared" si="137"/>
        <v>PQKNVVSHRAPT</v>
      </c>
      <c r="R361" s="5">
        <f>VLOOKUP($A361,'SegEnds_NonXtal_Prot#'!$A:$AL,3,FALSE)</f>
        <v>566</v>
      </c>
      <c r="S361" s="5">
        <f>VLOOKUP($A361,'SegEnds_NonXtal_Prot#'!$A:$AL,6,FALSE)</f>
        <v>595</v>
      </c>
      <c r="T361" s="5">
        <f>VLOOKUP($A361,'SegEnds_NonXtal_Prot#'!$A:$AL,9,FALSE)</f>
        <v>602</v>
      </c>
      <c r="U361" s="5" t="str">
        <f>VLOOKUP($A361,'SegEnds_NonXtal_Prot#'!$A:$AL,12,FALSE)</f>
        <v>-</v>
      </c>
      <c r="V361" s="5">
        <f>VLOOKUP($A361,'SegEnds_NonXtal_Prot#'!$A:$AL,15,FALSE)</f>
        <v>629</v>
      </c>
      <c r="W361" s="5" t="str">
        <f>VLOOKUP($A361,'SegEnds_NonXtal_Prot#'!$A:$AL,18,FALSE)</f>
        <v>-</v>
      </c>
      <c r="X361" s="5">
        <f>VLOOKUP($A361,'SegEnds_NonXtal_Prot#'!$A:$AL,21,FALSE)</f>
        <v>675</v>
      </c>
      <c r="Y361" s="5">
        <f>VLOOKUP($A361,'SegEnds_NonXtal_Prot#'!$A:$AL,24,FALSE)</f>
        <v>721</v>
      </c>
      <c r="Z361" s="5">
        <f>VLOOKUP($A361,'SegEnds_NonXtal_Prot#'!$A:$AL,27,FALSE)</f>
        <v>724</v>
      </c>
      <c r="AA361" s="5">
        <f>VLOOKUP($A361,'SegEnds_NonXtal_Prot#'!$A:$AL,30,FALSE)</f>
        <v>758</v>
      </c>
      <c r="AB361" s="5">
        <f>VLOOKUP($A361,'SegEnds_NonXtal_Prot#'!$A:$AL,33,FALSE)</f>
        <v>789</v>
      </c>
      <c r="AC361" s="5">
        <f>VLOOKUP($A361,'SegEnds_NonXtal_Prot#'!$A:$AL,36,FALSE)</f>
        <v>821</v>
      </c>
      <c r="AD361" s="5">
        <f>VLOOKUP($A361,'SegEnds_NonXtal_Prot#'!$A:$AL,5,FALSE)</f>
        <v>592</v>
      </c>
      <c r="AE361" s="5">
        <f>VLOOKUP($A361,'SegEnds_NonXtal_Prot#'!$A:$AL,8,FALSE)</f>
        <v>601</v>
      </c>
      <c r="AF361" s="5">
        <f>VLOOKUP($A361,'SegEnds_NonXtal_Prot#'!$A:$AL,11,FALSE)</f>
        <v>624</v>
      </c>
      <c r="AG361" s="5" t="str">
        <f>VLOOKUP($A361,'SegEnds_NonXtal_Prot#'!$A:$AL,14,FALSE)</f>
        <v>-</v>
      </c>
      <c r="AH361" s="5">
        <f>VLOOKUP($A361,'SegEnds_NonXtal_Prot#'!$A:$AL,17,FALSE)</f>
        <v>661</v>
      </c>
      <c r="AI361" s="5" t="str">
        <f>VLOOKUP($A361,'SegEnds_NonXtal_Prot#'!$A:$AL,20,FALSE)</f>
        <v>-</v>
      </c>
      <c r="AJ361" s="5">
        <f>VLOOKUP($A361,'SegEnds_NonXtal_Prot#'!$A:$AL,23,FALSE)</f>
        <v>701</v>
      </c>
      <c r="AK361" s="5">
        <f>VLOOKUP($A361,'SegEnds_NonXtal_Prot#'!$A:$AL,26,FALSE)</f>
        <v>723</v>
      </c>
      <c r="AL361" s="5">
        <f>VLOOKUP($A361,'SegEnds_NonXtal_Prot#'!$A:$AL,29,FALSE)</f>
        <v>749</v>
      </c>
      <c r="AM361" s="5">
        <f>VLOOKUP($A361,'SegEnds_NonXtal_Prot#'!$A:$AL,32,FALSE)</f>
        <v>782</v>
      </c>
      <c r="AN361" s="5">
        <f>VLOOKUP($A361,'SegEnds_NonXtal_Prot#'!$A:$AL,35,FALSE)</f>
        <v>820</v>
      </c>
      <c r="AO361" s="5">
        <f>VLOOKUP($A361,'SegEnds_NonXtal_Prot#'!$A:$AL,38,FALSE)</f>
        <v>832</v>
      </c>
      <c r="AP361" s="5">
        <f t="shared" si="138"/>
        <v>26</v>
      </c>
      <c r="AQ361" s="4">
        <f t="shared" si="139"/>
        <v>6</v>
      </c>
      <c r="AR361" s="4">
        <f t="shared" si="140"/>
        <v>22</v>
      </c>
      <c r="AS361" s="4" t="str">
        <f t="shared" si="141"/>
        <v>-</v>
      </c>
      <c r="AT361" s="4">
        <f t="shared" si="142"/>
        <v>32</v>
      </c>
      <c r="AU361" s="4" t="str">
        <f t="shared" si="143"/>
        <v>-</v>
      </c>
      <c r="AV361" s="4">
        <f t="shared" si="144"/>
        <v>26</v>
      </c>
      <c r="AW361" s="4">
        <f t="shared" si="145"/>
        <v>2</v>
      </c>
      <c r="AX361" s="4">
        <f t="shared" si="146"/>
        <v>25</v>
      </c>
      <c r="AY361" s="4">
        <f t="shared" si="147"/>
        <v>24</v>
      </c>
      <c r="AZ361" s="4">
        <f t="shared" si="148"/>
        <v>31</v>
      </c>
      <c r="BA361" s="4">
        <f t="shared" si="149"/>
        <v>11</v>
      </c>
    </row>
    <row r="362" spans="1:53" x14ac:dyDescent="0.2">
      <c r="A362" s="1" t="str">
        <f>'SegEnds_NonXtal_Prot#'!A360</f>
        <v>grm3_human</v>
      </c>
      <c r="B362" s="1" t="str">
        <f t="shared" si="125"/>
        <v>AWAIGPVTIACLGFMCTCMVVTVFIKHGRELCYILLFGVGLSYCMTFFFISPVICALRRLGLGSSFAICYSALLTKTNCIARIFSPSSQVFICLGLILVQIVMVSVWLILEKDSSMLISLTYDVILVILCTVYAFKTEAKFIGFTMYTTCIIWLAFLPIFYVVQTTTMCISVSLSGFVVLGCLFAPKVHIILFQPQKNVVTHRLHL</v>
      </c>
      <c r="C362" s="29" t="str">
        <f>IF(ISERROR(MATCH(A362,'SegEnds_Xtal_Prot#'!B:B, 0)), "NoXtal", "Xtal")</f>
        <v>NoXtal</v>
      </c>
      <c r="D362" s="4" t="str">
        <f>VLOOKUP(A362,Classification!A:D,2,FALSE)</f>
        <v>C</v>
      </c>
      <c r="E362" s="5" t="str">
        <f>VLOOKUP(A362,Seqs!A:B,2,FALSE)</f>
        <v>MKMLTRLQVLTLALFSKGFLLSLGDHNFLRREIKIEGDLVLGGLFPINEKGTGTEECGRINEDRGIQRLEAMLFAIDEINKDDYLLPGVKLGVHILDTCSRDTYALEQSLEFVRASLTKVDEAEYMCPDGSYAIQENIPLLIAGVIGGSYSSVSIQVANLLRLFQIPQISYASTSAKLSDKSRYDYFARTVPPDFYQAKAMAEILRFFNWTYVSTVASEGDYGETGIEAFEQEARLRNICIATAEKVGRSNIRKSYDSVIRELLQKPNARVVVLFMRSDDSRELIAAASRANASFTWVASDGWGAQESIIKGSEHVAYGAITLELASQPVRQFDRYFQSLNPYNNHRNPWFRDFWEQKFQCSLQNKRNHRRVCDKHLAIDSSNYEQESKIMFVVNAVYAMAHALHKMQRTLCPNTTKLCDAMKILDGKKLYKDYLLKINFTAPFNPNKDADSIVKFDTFGDGMGRYNVFNFQNVGGKYSYLKVGHWAETLSLDVNSIHWSRNSVPTSQCSDPCAPNEMKNMQPGDVCCWICIPCEPYEYLADEFTCMDCGSGQWPTADLTGCYDLPEDYIRWEDAWAIGPVTIACLGFMCTCMVVTVFIKHNNTPLVKASGRELCYILLFGVGLSYCMTFFFIAKPSPVICALRRLGLGSSFAICYSALLTKTNCIARIFDGVKNGAQRPKFISPSSQVFICLGLILVQIVMVSVWLILEAPGTRRYTLAEKRETVILKCNVKDSSMLISLTYDVILVILCTVYAFKTRKCPENFNEAKFIGFTMYTTCIIWLAFLPIFYVTSSDYRVQTTTMCISVSLSGFVVLGCLFAPKVHIILFQPQKNVVTHRLHLNRFSVSGTGTTYSQSSASTYVPTVCNGREVLDSTTSSL</v>
      </c>
      <c r="F362" s="5" t="str">
        <f t="shared" si="126"/>
        <v>AWAIGPVTIACLGFMCTCMVVTVFIKH</v>
      </c>
      <c r="G362" s="4" t="str">
        <f t="shared" si="127"/>
        <v>TPLVKAS</v>
      </c>
      <c r="H362" s="4" t="str">
        <f t="shared" si="128"/>
        <v>GRELCYILLFGVGLSYCMTFFFI</v>
      </c>
      <c r="I362" s="4" t="str">
        <f t="shared" si="129"/>
        <v/>
      </c>
      <c r="J362" s="4" t="str">
        <f t="shared" si="130"/>
        <v>SPVICALRRLGLGSSFAICYSALLTKTNCIARIF</v>
      </c>
      <c r="K362" s="4" t="str">
        <f t="shared" si="131"/>
        <v/>
      </c>
      <c r="L362" s="4" t="str">
        <f t="shared" si="132"/>
        <v>SPSSQVFICLGLILVQIVMVSVWLILE</v>
      </c>
      <c r="M362" s="4" t="str">
        <f t="shared" si="133"/>
        <v>CNV</v>
      </c>
      <c r="N362" s="4" t="str">
        <f t="shared" si="134"/>
        <v>KDSSMLISLTYDVILVILCTVYAFKT</v>
      </c>
      <c r="O362" s="4" t="str">
        <f t="shared" si="135"/>
        <v>EAKFIGFTMYTTCIIWLAFLPIFYV</v>
      </c>
      <c r="P362" s="4" t="str">
        <f t="shared" si="136"/>
        <v>VQTTTMCISVSLSGFVVLGCLFAPKVHIILFQ</v>
      </c>
      <c r="Q362" s="4" t="str">
        <f t="shared" si="137"/>
        <v>PQKNVVTHRLHL</v>
      </c>
      <c r="R362" s="5">
        <f>VLOOKUP($A362,'SegEnds_NonXtal_Prot#'!$A:$AL,3,FALSE)</f>
        <v>575</v>
      </c>
      <c r="S362" s="5">
        <f>VLOOKUP($A362,'SegEnds_NonXtal_Prot#'!$A:$AL,6,FALSE)</f>
        <v>604</v>
      </c>
      <c r="T362" s="5">
        <f>VLOOKUP($A362,'SegEnds_NonXtal_Prot#'!$A:$AL,9,FALSE)</f>
        <v>611</v>
      </c>
      <c r="U362" s="5" t="str">
        <f>VLOOKUP($A362,'SegEnds_NonXtal_Prot#'!$A:$AL,12,FALSE)</f>
        <v>-</v>
      </c>
      <c r="V362" s="5">
        <f>VLOOKUP($A362,'SegEnds_NonXtal_Prot#'!$A:$AL,15,FALSE)</f>
        <v>637</v>
      </c>
      <c r="W362" s="5" t="str">
        <f>VLOOKUP($A362,'SegEnds_NonXtal_Prot#'!$A:$AL,18,FALSE)</f>
        <v>-</v>
      </c>
      <c r="X362" s="5">
        <f>VLOOKUP($A362,'SegEnds_NonXtal_Prot#'!$A:$AL,21,FALSE)</f>
        <v>684</v>
      </c>
      <c r="Y362" s="5">
        <f>VLOOKUP($A362,'SegEnds_NonXtal_Prot#'!$A:$AL,24,FALSE)</f>
        <v>730</v>
      </c>
      <c r="Z362" s="5">
        <f>VLOOKUP($A362,'SegEnds_NonXtal_Prot#'!$A:$AL,27,FALSE)</f>
        <v>733</v>
      </c>
      <c r="AA362" s="5">
        <f>VLOOKUP($A362,'SegEnds_NonXtal_Prot#'!$A:$AL,30,FALSE)</f>
        <v>767</v>
      </c>
      <c r="AB362" s="5">
        <f>VLOOKUP($A362,'SegEnds_NonXtal_Prot#'!$A:$AL,33,FALSE)</f>
        <v>798</v>
      </c>
      <c r="AC362" s="5">
        <f>VLOOKUP($A362,'SegEnds_NonXtal_Prot#'!$A:$AL,36,FALSE)</f>
        <v>830</v>
      </c>
      <c r="AD362" s="5">
        <f>VLOOKUP($A362,'SegEnds_NonXtal_Prot#'!$A:$AL,5,FALSE)</f>
        <v>601</v>
      </c>
      <c r="AE362" s="5">
        <f>VLOOKUP($A362,'SegEnds_NonXtal_Prot#'!$A:$AL,8,FALSE)</f>
        <v>610</v>
      </c>
      <c r="AF362" s="5">
        <f>VLOOKUP($A362,'SegEnds_NonXtal_Prot#'!$A:$AL,11,FALSE)</f>
        <v>633</v>
      </c>
      <c r="AG362" s="5" t="str">
        <f>VLOOKUP($A362,'SegEnds_NonXtal_Prot#'!$A:$AL,14,FALSE)</f>
        <v>-</v>
      </c>
      <c r="AH362" s="5">
        <f>VLOOKUP($A362,'SegEnds_NonXtal_Prot#'!$A:$AL,17,FALSE)</f>
        <v>670</v>
      </c>
      <c r="AI362" s="5" t="str">
        <f>VLOOKUP($A362,'SegEnds_NonXtal_Prot#'!$A:$AL,20,FALSE)</f>
        <v>-</v>
      </c>
      <c r="AJ362" s="5">
        <f>VLOOKUP($A362,'SegEnds_NonXtal_Prot#'!$A:$AL,23,FALSE)</f>
        <v>710</v>
      </c>
      <c r="AK362" s="5">
        <f>VLOOKUP($A362,'SegEnds_NonXtal_Prot#'!$A:$AL,26,FALSE)</f>
        <v>732</v>
      </c>
      <c r="AL362" s="5">
        <f>VLOOKUP($A362,'SegEnds_NonXtal_Prot#'!$A:$AL,29,FALSE)</f>
        <v>758</v>
      </c>
      <c r="AM362" s="5">
        <f>VLOOKUP($A362,'SegEnds_NonXtal_Prot#'!$A:$AL,32,FALSE)</f>
        <v>791</v>
      </c>
      <c r="AN362" s="5">
        <f>VLOOKUP($A362,'SegEnds_NonXtal_Prot#'!$A:$AL,35,FALSE)</f>
        <v>829</v>
      </c>
      <c r="AO362" s="5">
        <f>VLOOKUP($A362,'SegEnds_NonXtal_Prot#'!$A:$AL,38,FALSE)</f>
        <v>841</v>
      </c>
      <c r="AP362" s="5">
        <f t="shared" si="138"/>
        <v>26</v>
      </c>
      <c r="AQ362" s="4">
        <f t="shared" si="139"/>
        <v>6</v>
      </c>
      <c r="AR362" s="4">
        <f t="shared" si="140"/>
        <v>22</v>
      </c>
      <c r="AS362" s="4" t="str">
        <f t="shared" si="141"/>
        <v>-</v>
      </c>
      <c r="AT362" s="4">
        <f t="shared" si="142"/>
        <v>33</v>
      </c>
      <c r="AU362" s="4" t="str">
        <f t="shared" si="143"/>
        <v>-</v>
      </c>
      <c r="AV362" s="4">
        <f t="shared" si="144"/>
        <v>26</v>
      </c>
      <c r="AW362" s="4">
        <f t="shared" si="145"/>
        <v>2</v>
      </c>
      <c r="AX362" s="4">
        <f t="shared" si="146"/>
        <v>25</v>
      </c>
      <c r="AY362" s="4">
        <f t="shared" si="147"/>
        <v>24</v>
      </c>
      <c r="AZ362" s="4">
        <f t="shared" si="148"/>
        <v>31</v>
      </c>
      <c r="BA362" s="4">
        <f t="shared" si="149"/>
        <v>11</v>
      </c>
    </row>
    <row r="363" spans="1:53" x14ac:dyDescent="0.2">
      <c r="A363" s="1" t="str">
        <f>'SegEnds_NonXtal_Prot#'!A361</f>
        <v>grm4_human</v>
      </c>
      <c r="B363" s="1" t="str">
        <f t="shared" si="125"/>
        <v>PWAVLPLFLAVVGIAATLFVVITFVRYGRELSYVLLAGIFLCYATTFLMIDLGTCSLRRIFLGLGMSISYAALLTKTNRIYRIFSPASQLAITFSLISLQLLGICVWFVVDSDLSLICLLGYSMLLMVTCTVYAIKTEAKPIGFTMYTTCIVWLAFIPIFFGIQTTTLTVSVSLSASVSLGMLYMPKVYIILFHPEQNVPKRKRSL</v>
      </c>
      <c r="C363" s="29" t="str">
        <f>IF(ISERROR(MATCH(A363,'SegEnds_Xtal_Prot#'!B:B, 0)), "NoXtal", "Xtal")</f>
        <v>NoXtal</v>
      </c>
      <c r="D363" s="4" t="str">
        <f>VLOOKUP(A363,Classification!A:D,2,FALSE)</f>
        <v>C</v>
      </c>
      <c r="E363" s="5" t="str">
        <f>VLOOKUP(A363,Seqs!A:B,2,FALSE)</f>
        <v>MPGKRGLGWWWARLPLCLLLSLYGPWMPSSLGKPKGHPHMNSIRIDGDITLGGLFPVHGRGSEGKPCGELKKEKGIHRLEAMLFALDRINNDPDLLPNITLGARILDTCSRDTHALEQSLTFVQALIEKDGTEVRCGSGGPPIITKPERVVGVIGASGSSVSIMVANILRLFKIPQISYASTAPDLSDNSRYDFFSRVVPSDTYQAQAMVDIVRALKWNYVSTVASEGSYGESGVEAFIQKSREDGGVCIAQSVKIPREPKAGEFDKIIRRLLETSNARAVIIFANEDDIRRVLEAARRANQTGHFFWMGSDSWGSKIAPVLHLEEVAEGAVTILPKRMSVRGFDRYFSSRTLDNNRRNIWFAEFWEDNFHCKLSRHALKKGSHVKKCTNRERIGQDSAYEQEGKVQFVIDAVYAMGHALHAMHRDLCPGRVGLCPRMDPVDGTQLLKYIRNVNFSGIAGNPVTFNENGDAPGRYDIYQYQLRNDSAEYKVIGSWTDHLHLRIERMHWPGSGQQLPRSICSLPCQPGERKKTVKGMPCCWHCEPCTGYQYQVDRYTCKTCPYDMRPTENRTGCRPIPIIKLEWGSPWAVLPLFLAVVGIAATLFVVITFVRYNDTPIVKASGRELSYVLLAGIFLCYATTFLMIAEPDLGTCSLRRIFLGLGMSISYAALLTKTNRIYRIFEQGKRSVSAPRFISPASQLAITFSLISLQLLGICVWFVVDPSHSVVDFQDQRTLDPRFARGVLKCDISDLSLICLLGYSMLLMVTCTVYAIKTRGVPETFNEAKPIGFTMYTTCIVWLAFIPIFFGTSQSADKLYIQTTTLTVSVSLSASVSLGMLYMPKVYIILFHPEQNVPKRKRSLKAVVTAATMSNKFTQKGNFRPNGEAKSELCENLEAPALATKQTYVTYTNHAI</v>
      </c>
      <c r="F363" s="5" t="str">
        <f t="shared" si="126"/>
        <v>PWAVLPLFLAVVGIAATLFVVITFVRY</v>
      </c>
      <c r="G363" s="4" t="str">
        <f t="shared" si="127"/>
        <v>TPIVKAS</v>
      </c>
      <c r="H363" s="4" t="str">
        <f t="shared" si="128"/>
        <v>GRELSYVLLAGIFLCYATTFLMI</v>
      </c>
      <c r="I363" s="4" t="str">
        <f t="shared" si="129"/>
        <v/>
      </c>
      <c r="J363" s="4" t="str">
        <f t="shared" si="130"/>
        <v>DLGTCSLRRIFLGLGMSISYAALLTKTNRIYRIF</v>
      </c>
      <c r="K363" s="4" t="str">
        <f t="shared" si="131"/>
        <v/>
      </c>
      <c r="L363" s="4" t="str">
        <f t="shared" si="132"/>
        <v>SPASQLAITFSLISLQLLGICVWFVVD</v>
      </c>
      <c r="M363" s="4" t="str">
        <f t="shared" si="133"/>
        <v>CDI</v>
      </c>
      <c r="N363" s="4" t="str">
        <f t="shared" si="134"/>
        <v>SDLSLICLLGYSMLLMVTCTVYAIKT</v>
      </c>
      <c r="O363" s="4" t="str">
        <f t="shared" si="135"/>
        <v>EAKPIGFTMYTTCIVWLAFIPIFFG</v>
      </c>
      <c r="P363" s="4" t="str">
        <f t="shared" si="136"/>
        <v>IQTTTLTVSVSLSASVSLGMLYMPKVYIILFH</v>
      </c>
      <c r="Q363" s="4" t="str">
        <f t="shared" si="137"/>
        <v>PEQNVPKRKRSL</v>
      </c>
      <c r="R363" s="5">
        <f>VLOOKUP($A363,'SegEnds_NonXtal_Prot#'!$A:$AL,3,FALSE)</f>
        <v>586</v>
      </c>
      <c r="S363" s="5">
        <f>VLOOKUP($A363,'SegEnds_NonXtal_Prot#'!$A:$AL,6,FALSE)</f>
        <v>615</v>
      </c>
      <c r="T363" s="5">
        <f>VLOOKUP($A363,'SegEnds_NonXtal_Prot#'!$A:$AL,9,FALSE)</f>
        <v>622</v>
      </c>
      <c r="U363" s="5" t="str">
        <f>VLOOKUP($A363,'SegEnds_NonXtal_Prot#'!$A:$AL,12,FALSE)</f>
        <v>-</v>
      </c>
      <c r="V363" s="5">
        <f>VLOOKUP($A363,'SegEnds_NonXtal_Prot#'!$A:$AL,15,FALSE)</f>
        <v>648</v>
      </c>
      <c r="W363" s="5" t="str">
        <f>VLOOKUP($A363,'SegEnds_NonXtal_Prot#'!$A:$AL,18,FALSE)</f>
        <v>-</v>
      </c>
      <c r="X363" s="5">
        <f>VLOOKUP($A363,'SegEnds_NonXtal_Prot#'!$A:$AL,21,FALSE)</f>
        <v>695</v>
      </c>
      <c r="Y363" s="5">
        <f>VLOOKUP($A363,'SegEnds_NonXtal_Prot#'!$A:$AL,24,FALSE)</f>
        <v>746</v>
      </c>
      <c r="Z363" s="5">
        <f>VLOOKUP($A363,'SegEnds_NonXtal_Prot#'!$A:$AL,27,FALSE)</f>
        <v>749</v>
      </c>
      <c r="AA363" s="5">
        <f>VLOOKUP($A363,'SegEnds_NonXtal_Prot#'!$A:$AL,30,FALSE)</f>
        <v>783</v>
      </c>
      <c r="AB363" s="5">
        <f>VLOOKUP($A363,'SegEnds_NonXtal_Prot#'!$A:$AL,33,FALSE)</f>
        <v>817</v>
      </c>
      <c r="AC363" s="5">
        <f>VLOOKUP($A363,'SegEnds_NonXtal_Prot#'!$A:$AL,36,FALSE)</f>
        <v>849</v>
      </c>
      <c r="AD363" s="5">
        <f>VLOOKUP($A363,'SegEnds_NonXtal_Prot#'!$A:$AL,5,FALSE)</f>
        <v>612</v>
      </c>
      <c r="AE363" s="5">
        <f>VLOOKUP($A363,'SegEnds_NonXtal_Prot#'!$A:$AL,8,FALSE)</f>
        <v>621</v>
      </c>
      <c r="AF363" s="5">
        <f>VLOOKUP($A363,'SegEnds_NonXtal_Prot#'!$A:$AL,11,FALSE)</f>
        <v>644</v>
      </c>
      <c r="AG363" s="5" t="str">
        <f>VLOOKUP($A363,'SegEnds_NonXtal_Prot#'!$A:$AL,14,FALSE)</f>
        <v>-</v>
      </c>
      <c r="AH363" s="5">
        <f>VLOOKUP($A363,'SegEnds_NonXtal_Prot#'!$A:$AL,17,FALSE)</f>
        <v>681</v>
      </c>
      <c r="AI363" s="5" t="str">
        <f>VLOOKUP($A363,'SegEnds_NonXtal_Prot#'!$A:$AL,20,FALSE)</f>
        <v>-</v>
      </c>
      <c r="AJ363" s="5">
        <f>VLOOKUP($A363,'SegEnds_NonXtal_Prot#'!$A:$AL,23,FALSE)</f>
        <v>721</v>
      </c>
      <c r="AK363" s="5">
        <f>VLOOKUP($A363,'SegEnds_NonXtal_Prot#'!$A:$AL,26,FALSE)</f>
        <v>748</v>
      </c>
      <c r="AL363" s="5">
        <f>VLOOKUP($A363,'SegEnds_NonXtal_Prot#'!$A:$AL,29,FALSE)</f>
        <v>774</v>
      </c>
      <c r="AM363" s="5">
        <f>VLOOKUP($A363,'SegEnds_NonXtal_Prot#'!$A:$AL,32,FALSE)</f>
        <v>807</v>
      </c>
      <c r="AN363" s="5">
        <f>VLOOKUP($A363,'SegEnds_NonXtal_Prot#'!$A:$AL,35,FALSE)</f>
        <v>848</v>
      </c>
      <c r="AO363" s="5">
        <f>VLOOKUP($A363,'SegEnds_NonXtal_Prot#'!$A:$AL,38,FALSE)</f>
        <v>860</v>
      </c>
      <c r="AP363" s="5">
        <f t="shared" si="138"/>
        <v>26</v>
      </c>
      <c r="AQ363" s="4">
        <f t="shared" si="139"/>
        <v>6</v>
      </c>
      <c r="AR363" s="4">
        <f t="shared" si="140"/>
        <v>22</v>
      </c>
      <c r="AS363" s="4" t="str">
        <f t="shared" si="141"/>
        <v>-</v>
      </c>
      <c r="AT363" s="4">
        <f t="shared" si="142"/>
        <v>33</v>
      </c>
      <c r="AU363" s="4" t="str">
        <f t="shared" si="143"/>
        <v>-</v>
      </c>
      <c r="AV363" s="4">
        <f t="shared" si="144"/>
        <v>26</v>
      </c>
      <c r="AW363" s="4">
        <f t="shared" si="145"/>
        <v>2</v>
      </c>
      <c r="AX363" s="4">
        <f t="shared" si="146"/>
        <v>25</v>
      </c>
      <c r="AY363" s="4">
        <f t="shared" si="147"/>
        <v>24</v>
      </c>
      <c r="AZ363" s="4">
        <f t="shared" si="148"/>
        <v>31</v>
      </c>
      <c r="BA363" s="4">
        <f t="shared" si="149"/>
        <v>11</v>
      </c>
    </row>
    <row r="364" spans="1:53" x14ac:dyDescent="0.2">
      <c r="A364" s="1" t="str">
        <f>'SegEnds_NonXtal_Prot#'!A362</f>
        <v>grm5_human</v>
      </c>
      <c r="B364" s="1" t="str">
        <f t="shared" si="125"/>
        <v>PEPIAAVVFACLGLLATLFVTVVFIIYSRELCYIILAGICLGYLCTFCLIKQIYCYLQRIGIGLSPAMSYSALVTKTNRIARILSACAQLVIAFILICIQLGIIVALFIMETNLGVVTPLGYNGLLILSCTFYAFKTEAKYIAFTMYTTCIIWLAFVPIYFGYKIITMCFSVSLSATVALGCMFVPKVYIILAKPERNVRSAFTTS</v>
      </c>
      <c r="C364" s="29" t="str">
        <f>IF(ISERROR(MATCH(A364,'SegEnds_Xtal_Prot#'!B:B, 0)), "NoXtal", "Xtal")</f>
        <v>Xtal</v>
      </c>
      <c r="D364" s="4" t="str">
        <f>VLOOKUP(A364,Classification!A:D,2,FALSE)</f>
        <v>C</v>
      </c>
      <c r="E364" s="5" t="str">
        <f>VLOOKUP(A364,Seqs!A:B,2,FALSE)</f>
        <v>MVLLLILSVLLLKEDVRGSAQSSERRVVAHMPGDIIIGALFSVHHQPTVDKVHERKCGAVREQYGIQRVEAMLHTLERINSDPTLLPNITLGCEIRDSCWHSAVALEQSIEFIRDSLISSEEEEGLVRCVDGSSSSFRSKKPIVGVIGPGSSSVAIQVQNLLQLFNIPQIAYSATSMDLSDKTLFKYFMRVVPSDAQQARAMVDIVKRYNWTYVSAVHTEGNYGESGMEAFKDMSAKEGICIAHSYKIYSNAGEQSFDKLLKKLTSHLPKARVVACFCEGMTVRGLLMAMRRLGLAGEFLLLGSDGWADRYDVTDGYQREAVGGITIKLQSPDVKWFDDYYLKLRPETNHRNPWFQEFWQHRFQCRLEGFPQENSKYNKTCNSSLTLKTHHVQDSKMGFVINAIYSMAYGLHNMQMSLCPGYAGLCDAMKPIDGRKLLESLMKTNFTGVSGDTILFDENGDSPGRYEIMNFKEMGKDYFDYINVGSWDNGELKMDDDEVWSKKSNIIRSVCSEPCEKGQIKVIRKGEVSCCWTCTPCKENEYVFDEYTCKACQLGSWPTDDLTGCDLIPVQYLRWGDPEPIAAVVFACLGLLATLFVTVVFIIYRDTPVVKSSSRELCYIILAGICLGYLCTFCLIAKPKQIYCYLQRIGIGLSPAMSYSALVTKTNRIARILAGSKKKICTKKPRFMSACAQLVIAFILICIQLGIIVALFIMEPPDIMHDYPSIREVYLICNTTNLGVVTPLGYNGLLILSCTFYAFKTRNVPANFNEAKYIAFTMYTTCIIWLAFVPIYFGSNYKIITMCFSVSLSATVALGCMFVPKVYIILAKPERNVRSAFTTSTVVRMHVGDGKSSSAASRSSSLVNLWKRRGSSGETLRYKDRRLAQHKSEIECFTPKGSMGNGGRATMSSSNGKSVTWAQNEKSSRGQHLWQRLSIHINKKENPNQTAVIKPFPKSTESRGLGAGAGAGGSAGGVGATGGAGCAGAGPGGPESPDAGPKALYDVAEAEEHFPAPARPRSPSPISTLSHRAGSASRTDDDVPSLHSEPVARSSSSQGSLMEQISSVVTRFTANISELNSMMLSTAAPSPGVGAPLCSSYLIPKEIQLPTTMTTFAEIQPLPAIEVTGGAQPAAGAQAAGDAARESPAAGPEAAAAKPDLEELVALTPPSPFRDSVDSGSTTPNSPVSESALCIPSSPKYDTLIIRDYTQSSSSL</v>
      </c>
      <c r="F364" s="5" t="str">
        <f t="shared" si="126"/>
        <v>PEPIAAVVFACLGLLATLFVTVVFIIY</v>
      </c>
      <c r="G364" s="4" t="str">
        <f t="shared" si="127"/>
        <v>TPVVKSS</v>
      </c>
      <c r="H364" s="4" t="str">
        <f t="shared" si="128"/>
        <v>SRELCYIILAGICLGYLCTFCLI</v>
      </c>
      <c r="I364" s="4" t="str">
        <f t="shared" si="129"/>
        <v/>
      </c>
      <c r="J364" s="4" t="str">
        <f t="shared" si="130"/>
        <v>KQIYCYLQRIGIGLSPAMSYSALVTKTNRIARIL</v>
      </c>
      <c r="K364" s="4" t="str">
        <f t="shared" si="131"/>
        <v/>
      </c>
      <c r="L364" s="4" t="str">
        <f t="shared" si="132"/>
        <v>SACAQLVIAFILICIQLGIIVALFIME</v>
      </c>
      <c r="M364" s="4" t="str">
        <f t="shared" si="133"/>
        <v>CNT</v>
      </c>
      <c r="N364" s="4" t="str">
        <f t="shared" si="134"/>
        <v>TNLGVVTPLGYNGLLILSCTFYAFKT</v>
      </c>
      <c r="O364" s="4" t="str">
        <f t="shared" si="135"/>
        <v>EAKYIAFTMYTTCIIWLAFVPIYFG</v>
      </c>
      <c r="P364" s="4" t="str">
        <f t="shared" si="136"/>
        <v>YKIITMCFSVSLSATVALGCMFVPKVYIILAK</v>
      </c>
      <c r="Q364" s="4" t="str">
        <f t="shared" si="137"/>
        <v>PERNVRSAFTTS</v>
      </c>
      <c r="R364" s="5">
        <f>VLOOKUP($A364,'SegEnds_NonXtal_Prot#'!$A:$AL,3,FALSE)</f>
        <v>578</v>
      </c>
      <c r="S364" s="5">
        <f>VLOOKUP($A364,'SegEnds_NonXtal_Prot#'!$A:$AL,6,FALSE)</f>
        <v>607</v>
      </c>
      <c r="T364" s="5">
        <f>VLOOKUP($A364,'SegEnds_NonXtal_Prot#'!$A:$AL,9,FALSE)</f>
        <v>614</v>
      </c>
      <c r="U364" s="5" t="str">
        <f>VLOOKUP($A364,'SegEnds_NonXtal_Prot#'!$A:$AL,12,FALSE)</f>
        <v>-</v>
      </c>
      <c r="V364" s="5">
        <f>VLOOKUP($A364,'SegEnds_NonXtal_Prot#'!$A:$AL,15,FALSE)</f>
        <v>640</v>
      </c>
      <c r="W364" s="5" t="str">
        <f>VLOOKUP($A364,'SegEnds_NonXtal_Prot#'!$A:$AL,18,FALSE)</f>
        <v>-</v>
      </c>
      <c r="X364" s="5">
        <f>VLOOKUP($A364,'SegEnds_NonXtal_Prot#'!$A:$AL,21,FALSE)</f>
        <v>689</v>
      </c>
      <c r="Y364" s="5">
        <f>VLOOKUP($A364,'SegEnds_NonXtal_Prot#'!$A:$AL,24,FALSE)</f>
        <v>733</v>
      </c>
      <c r="Z364" s="5">
        <f>VLOOKUP($A364,'SegEnds_NonXtal_Prot#'!$A:$AL,27,FALSE)</f>
        <v>736</v>
      </c>
      <c r="AA364" s="5">
        <f>VLOOKUP($A364,'SegEnds_NonXtal_Prot#'!$A:$AL,30,FALSE)</f>
        <v>770</v>
      </c>
      <c r="AB364" s="5">
        <f>VLOOKUP($A364,'SegEnds_NonXtal_Prot#'!$A:$AL,33,FALSE)</f>
        <v>797</v>
      </c>
      <c r="AC364" s="5">
        <f>VLOOKUP($A364,'SegEnds_NonXtal_Prot#'!$A:$AL,36,FALSE)</f>
        <v>829</v>
      </c>
      <c r="AD364" s="5">
        <f>VLOOKUP($A364,'SegEnds_NonXtal_Prot#'!$A:$AL,5,FALSE)</f>
        <v>604</v>
      </c>
      <c r="AE364" s="5">
        <f>VLOOKUP($A364,'SegEnds_NonXtal_Prot#'!$A:$AL,8,FALSE)</f>
        <v>613</v>
      </c>
      <c r="AF364" s="5">
        <f>VLOOKUP($A364,'SegEnds_NonXtal_Prot#'!$A:$AL,11,FALSE)</f>
        <v>636</v>
      </c>
      <c r="AG364" s="5" t="str">
        <f>VLOOKUP($A364,'SegEnds_NonXtal_Prot#'!$A:$AL,14,FALSE)</f>
        <v>-</v>
      </c>
      <c r="AH364" s="5">
        <f>VLOOKUP($A364,'SegEnds_NonXtal_Prot#'!$A:$AL,17,FALSE)</f>
        <v>673</v>
      </c>
      <c r="AI364" s="5" t="str">
        <f>VLOOKUP($A364,'SegEnds_NonXtal_Prot#'!$A:$AL,20,FALSE)</f>
        <v>-</v>
      </c>
      <c r="AJ364" s="5">
        <f>VLOOKUP($A364,'SegEnds_NonXtal_Prot#'!$A:$AL,23,FALSE)</f>
        <v>715</v>
      </c>
      <c r="AK364" s="5">
        <f>VLOOKUP($A364,'SegEnds_NonXtal_Prot#'!$A:$AL,26,FALSE)</f>
        <v>735</v>
      </c>
      <c r="AL364" s="5">
        <f>VLOOKUP($A364,'SegEnds_NonXtal_Prot#'!$A:$AL,29,FALSE)</f>
        <v>761</v>
      </c>
      <c r="AM364" s="5">
        <f>VLOOKUP($A364,'SegEnds_NonXtal_Prot#'!$A:$AL,32,FALSE)</f>
        <v>794</v>
      </c>
      <c r="AN364" s="5">
        <f>VLOOKUP($A364,'SegEnds_NonXtal_Prot#'!$A:$AL,35,FALSE)</f>
        <v>828</v>
      </c>
      <c r="AO364" s="5">
        <f>VLOOKUP($A364,'SegEnds_NonXtal_Prot#'!$A:$AL,38,FALSE)</f>
        <v>840</v>
      </c>
      <c r="AP364" s="5">
        <f t="shared" si="138"/>
        <v>26</v>
      </c>
      <c r="AQ364" s="4">
        <f t="shared" si="139"/>
        <v>6</v>
      </c>
      <c r="AR364" s="4">
        <f t="shared" si="140"/>
        <v>22</v>
      </c>
      <c r="AS364" s="4" t="str">
        <f t="shared" si="141"/>
        <v>-</v>
      </c>
      <c r="AT364" s="4">
        <f t="shared" si="142"/>
        <v>33</v>
      </c>
      <c r="AU364" s="4" t="str">
        <f t="shared" si="143"/>
        <v>-</v>
      </c>
      <c r="AV364" s="4">
        <f t="shared" si="144"/>
        <v>26</v>
      </c>
      <c r="AW364" s="4">
        <f t="shared" si="145"/>
        <v>2</v>
      </c>
      <c r="AX364" s="4">
        <f t="shared" si="146"/>
        <v>25</v>
      </c>
      <c r="AY364" s="4">
        <f t="shared" si="147"/>
        <v>24</v>
      </c>
      <c r="AZ364" s="4">
        <f t="shared" si="148"/>
        <v>31</v>
      </c>
      <c r="BA364" s="4">
        <f t="shared" si="149"/>
        <v>11</v>
      </c>
    </row>
    <row r="365" spans="1:53" x14ac:dyDescent="0.2">
      <c r="A365" s="1" t="str">
        <f>'SegEnds_NonXtal_Prot#'!A363</f>
        <v>grm6_human</v>
      </c>
      <c r="B365" s="1" t="str">
        <f t="shared" si="125"/>
        <v>PWAAPPLLLAVLGIVATTTVVATFVRYGRELSYVLLTGIFLIYAITFLMVGAAVCAARRLFLGLGTTLSYSALLTKTNRIYRIFSPTSQLVITFSLTSLQVVGMIAWLGARSDLSLIGCLGYSLLLMVTCTVYAIKAEAKPIGFTMYTTCIIWLAFVPIFFGIQTTTLTVSLSLSASVSLGMLYVPKTYVILFHPEQNVQKRKRSL</v>
      </c>
      <c r="C365" s="29" t="str">
        <f>IF(ISERROR(MATCH(A365,'SegEnds_Xtal_Prot#'!B:B, 0)), "NoXtal", "Xtal")</f>
        <v>NoXtal</v>
      </c>
      <c r="D365" s="4" t="str">
        <f>VLOOKUP(A365,Classification!A:D,2,FALSE)</f>
        <v>C</v>
      </c>
      <c r="E365" s="5" t="str">
        <f>VLOOKUP(A365,Seqs!A:B,2,FALSE)</f>
        <v>MARPRRAREPLLVALLPLAWLAQAGLARAAGSVRLAGGLTLGGLFPVHARGAAGRACGQLKKEQGVHRLEAMLYALDRVNADPELLPGVRLGARLLDTCSRDTYALEQALSFVQALIRGRGDGDEVGVRCPGGVPPLRPAPPERVVAVVGASASSVSIMVANVLRLFAIPQISYASTAPELSDSTRYDFFSRVVPPDSYQAQAMVDIVRALGWNYVSTLASEGNYGESGVEAFVQISREAGGVCIAQSIKIPREPKPGEFSKVIRRLMETPNARGIIIFANEDDIRRVLEAARQANLTGHFLWVGSDSWGAKTSPILSLEDVAVGAITILPKRASIDGFDQYFMTRSLENNRRNIWFAEFWEENFNCKLTSSGTQSDDSTRKCTGEERIGRDSTYEQEGKVQFVIDAVYAIAHALHSMHQALCPGHTGLCPAMEPTDGRMLLQYIRAVRFNGSAGTPVMFNENGDAPGRYDIFQYQATNGSASSGGYQAVGQWAETLRLDVEALQWSGDPHEVPSSLCSLPCGPGERKKMVKGVPCCWHCEACDGYRFQVDEFTCEACPGDMRPTPNHTGCRPTPVVRLSWSSPWAAPPLLLAVLGIVATTTVVATFVRYNNTPIVRASGRELSYVLLTGIFLIYAITFLMVAEPGAAVCAARRLFLGLGTTLSYSALLTKTNRIYRIFEQGKRSVTPPPFISPTSQLVITFSLTSLQVVGMIAWLGARPPHSVIDYEEQRTVDPEQARGVLKCDMSDLSLIGCLGYSLLLMVTCTVYAIKARGVPETFNEAKPIGFTMYTTCIIWLAFVPIFFGTAQSAEKIYIQTTTLTVSLSLSASVSLGMLYVPKTYVILFHPEQNVQKRKRSLKATSTVAAPPKGEDAEAHK</v>
      </c>
      <c r="F365" s="5" t="str">
        <f t="shared" si="126"/>
        <v>PWAAPPLLLAVLGIVATTTVVATFVRY</v>
      </c>
      <c r="G365" s="4" t="str">
        <f t="shared" si="127"/>
        <v>TPIVRAS</v>
      </c>
      <c r="H365" s="4" t="str">
        <f t="shared" si="128"/>
        <v>GRELSYVLLTGIFLIYAITFLMV</v>
      </c>
      <c r="I365" s="4" t="str">
        <f t="shared" si="129"/>
        <v/>
      </c>
      <c r="J365" s="4" t="str">
        <f t="shared" si="130"/>
        <v>GAAVCAARRLFLGLGTTLSYSALLTKTNRIYRIF</v>
      </c>
      <c r="K365" s="4" t="str">
        <f t="shared" si="131"/>
        <v/>
      </c>
      <c r="L365" s="4" t="str">
        <f t="shared" si="132"/>
        <v>SPTSQLVITFSLTSLQVVGMIAWLGAR</v>
      </c>
      <c r="M365" s="4" t="str">
        <f t="shared" si="133"/>
        <v>CDM</v>
      </c>
      <c r="N365" s="4" t="str">
        <f t="shared" si="134"/>
        <v>SDLSLIGCLGYSLLLMVTCTVYAIKA</v>
      </c>
      <c r="O365" s="4" t="str">
        <f t="shared" si="135"/>
        <v>EAKPIGFTMYTTCIIWLAFVPIFFG</v>
      </c>
      <c r="P365" s="4" t="str">
        <f t="shared" si="136"/>
        <v>IQTTTLTVSLSLSASVSLGMLYVPKTYVILFH</v>
      </c>
      <c r="Q365" s="4" t="str">
        <f t="shared" si="137"/>
        <v>PEQNVQKRKRSL</v>
      </c>
      <c r="R365" s="5">
        <f>VLOOKUP($A365,'SegEnds_NonXtal_Prot#'!$A:$AL,3,FALSE)</f>
        <v>584</v>
      </c>
      <c r="S365" s="5">
        <f>VLOOKUP($A365,'SegEnds_NonXtal_Prot#'!$A:$AL,6,FALSE)</f>
        <v>613</v>
      </c>
      <c r="T365" s="5">
        <f>VLOOKUP($A365,'SegEnds_NonXtal_Prot#'!$A:$AL,9,FALSE)</f>
        <v>620</v>
      </c>
      <c r="U365" s="5" t="str">
        <f>VLOOKUP($A365,'SegEnds_NonXtal_Prot#'!$A:$AL,12,FALSE)</f>
        <v>-</v>
      </c>
      <c r="V365" s="5">
        <f>VLOOKUP($A365,'SegEnds_NonXtal_Prot#'!$A:$AL,15,FALSE)</f>
        <v>646</v>
      </c>
      <c r="W365" s="5" t="str">
        <f>VLOOKUP($A365,'SegEnds_NonXtal_Prot#'!$A:$AL,18,FALSE)</f>
        <v>-</v>
      </c>
      <c r="X365" s="5">
        <f>VLOOKUP($A365,'SegEnds_NonXtal_Prot#'!$A:$AL,21,FALSE)</f>
        <v>693</v>
      </c>
      <c r="Y365" s="5">
        <f>VLOOKUP($A365,'SegEnds_NonXtal_Prot#'!$A:$AL,24,FALSE)</f>
        <v>744</v>
      </c>
      <c r="Z365" s="5">
        <f>VLOOKUP($A365,'SegEnds_NonXtal_Prot#'!$A:$AL,27,FALSE)</f>
        <v>747</v>
      </c>
      <c r="AA365" s="5">
        <f>VLOOKUP($A365,'SegEnds_NonXtal_Prot#'!$A:$AL,30,FALSE)</f>
        <v>781</v>
      </c>
      <c r="AB365" s="5">
        <f>VLOOKUP($A365,'SegEnds_NonXtal_Prot#'!$A:$AL,33,FALSE)</f>
        <v>815</v>
      </c>
      <c r="AC365" s="5">
        <f>VLOOKUP($A365,'SegEnds_NonXtal_Prot#'!$A:$AL,36,FALSE)</f>
        <v>847</v>
      </c>
      <c r="AD365" s="5">
        <f>VLOOKUP($A365,'SegEnds_NonXtal_Prot#'!$A:$AL,5,FALSE)</f>
        <v>610</v>
      </c>
      <c r="AE365" s="5">
        <f>VLOOKUP($A365,'SegEnds_NonXtal_Prot#'!$A:$AL,8,FALSE)</f>
        <v>619</v>
      </c>
      <c r="AF365" s="5">
        <f>VLOOKUP($A365,'SegEnds_NonXtal_Prot#'!$A:$AL,11,FALSE)</f>
        <v>642</v>
      </c>
      <c r="AG365" s="5" t="str">
        <f>VLOOKUP($A365,'SegEnds_NonXtal_Prot#'!$A:$AL,14,FALSE)</f>
        <v>-</v>
      </c>
      <c r="AH365" s="5">
        <f>VLOOKUP($A365,'SegEnds_NonXtal_Prot#'!$A:$AL,17,FALSE)</f>
        <v>679</v>
      </c>
      <c r="AI365" s="5" t="str">
        <f>VLOOKUP($A365,'SegEnds_NonXtal_Prot#'!$A:$AL,20,FALSE)</f>
        <v>-</v>
      </c>
      <c r="AJ365" s="5">
        <f>VLOOKUP($A365,'SegEnds_NonXtal_Prot#'!$A:$AL,23,FALSE)</f>
        <v>719</v>
      </c>
      <c r="AK365" s="5">
        <f>VLOOKUP($A365,'SegEnds_NonXtal_Prot#'!$A:$AL,26,FALSE)</f>
        <v>746</v>
      </c>
      <c r="AL365" s="5">
        <f>VLOOKUP($A365,'SegEnds_NonXtal_Prot#'!$A:$AL,29,FALSE)</f>
        <v>772</v>
      </c>
      <c r="AM365" s="5">
        <f>VLOOKUP($A365,'SegEnds_NonXtal_Prot#'!$A:$AL,32,FALSE)</f>
        <v>805</v>
      </c>
      <c r="AN365" s="5">
        <f>VLOOKUP($A365,'SegEnds_NonXtal_Prot#'!$A:$AL,35,FALSE)</f>
        <v>846</v>
      </c>
      <c r="AO365" s="5">
        <f>VLOOKUP($A365,'SegEnds_NonXtal_Prot#'!$A:$AL,38,FALSE)</f>
        <v>858</v>
      </c>
      <c r="AP365" s="5">
        <f t="shared" si="138"/>
        <v>26</v>
      </c>
      <c r="AQ365" s="4">
        <f t="shared" si="139"/>
        <v>6</v>
      </c>
      <c r="AR365" s="4">
        <f t="shared" si="140"/>
        <v>22</v>
      </c>
      <c r="AS365" s="4" t="str">
        <f t="shared" si="141"/>
        <v>-</v>
      </c>
      <c r="AT365" s="4">
        <f t="shared" si="142"/>
        <v>33</v>
      </c>
      <c r="AU365" s="4" t="str">
        <f t="shared" si="143"/>
        <v>-</v>
      </c>
      <c r="AV365" s="4">
        <f t="shared" si="144"/>
        <v>26</v>
      </c>
      <c r="AW365" s="4">
        <f t="shared" si="145"/>
        <v>2</v>
      </c>
      <c r="AX365" s="4">
        <f t="shared" si="146"/>
        <v>25</v>
      </c>
      <c r="AY365" s="4">
        <f t="shared" si="147"/>
        <v>24</v>
      </c>
      <c r="AZ365" s="4">
        <f t="shared" si="148"/>
        <v>31</v>
      </c>
      <c r="BA365" s="4">
        <f t="shared" si="149"/>
        <v>11</v>
      </c>
    </row>
    <row r="366" spans="1:53" x14ac:dyDescent="0.2">
      <c r="A366" s="1" t="str">
        <f>'SegEnds_NonXtal_Prot#'!A364</f>
        <v>grm7_human</v>
      </c>
      <c r="B366" s="1" t="str">
        <f t="shared" si="125"/>
        <v>PWAVIPVFLAMLGIIATIFVMATFIRYGRELSYVLLTGIFLCYIITFLMIDVAVCSFRRVFLGLGMCISYAALLTKTNRIYRIFSPTSQLAITSSLISVQLLGVFIWFGVDTDLQIICSLGYSILLMVTCTVYAIKTEAKPIGFTMYTTCIVWLAFIPIFFGIQTTTLTISMNLSASVALGMLYMPKVYIIIFHPELNVQKRKRSF</v>
      </c>
      <c r="C366" s="29" t="str">
        <f>IF(ISERROR(MATCH(A366,'SegEnds_Xtal_Prot#'!B:B, 0)), "NoXtal", "Xtal")</f>
        <v>NoXtal</v>
      </c>
      <c r="D366" s="4" t="str">
        <f>VLOOKUP(A366,Classification!A:D,2,FALSE)</f>
        <v>C</v>
      </c>
      <c r="E366" s="5" t="str">
        <f>VLOOKUP(A366,Seqs!A:B,2,FALSE)</f>
        <v>MVQLRKLLRVLTLMKFPCCVLEVLLCALAAAARGQEMYAPHSIRIEGDVTLGGLFPVHAKGPSGVPCGDIKRENGIHRLEAMLYALDQINSDPNLLPNVTLGARILDTCSRDTYALEQSLTFVQALIQKDTSDVRCTNGEPPVFVKPEKVVGVIGASGSSVSIMVANILRLFQIPQISYASTAPELSDDRRYDFFSRVVPPDSFQAQAMVDIVKALGWNYVSTLASEGSYGEKGVESFTQISKEAGGLCIAQSVRIPQERKDRTIDFDRIIKQLLDTPNSRAVVIFANDEDIKQILAAAKRADQVGHFLWVGSDSWGSKINPLHQHEDIAEGAITIQPKRATVEGFDAYFTSRTLENNRRNVWFAEYWEENFNCKLTISGSKKEDTDRKCTGQERIGKDSNYEQEGKVQFVIDAVYAMAHALHHMNKDLCADYRGVCPEMEQAGGKKLLKYIRNVNFNGSAGTPVMFNKNGDAPGRYDIFQYQTTNTSNPGYRLIGQWTDELQLNIEDMQWGKGVREIPASVCTLPCKPGQRKKTQKGTPCCWTCEPCDGYQYQFDEMTCQHCPYDQRPNENRTGCQDIPIIKLEWHSPWAVIPVFLAMLGIIATIFVMATFIRYNDTPIVRASGRELSYVLLTGIFLCYIITFLMIAKPDVAVCSFRRVFLGLGMCISYAALLTKTNRIYRIFEQGKKSVTAPRLISPTSQLAITSSLISVQLLGVFIWFGVDPPNIIIDYDEHKTMNPEQARGVLKCDITDLQIICSLGYSILLMVTCTVYAIKTRGVPENFNEAKPIGFTMYTTCIVWLAFIPIFFGTAQSAEKLYIQTTTLTISMNLSASVALGMLYMPKVYIIIFHPELNVQKRKRSFKAVVTAATMSSRLSHKPSDRPNGEAKTELCENVDPNSPAAKKKYVSYNNLVI</v>
      </c>
      <c r="F366" s="5" t="str">
        <f t="shared" si="126"/>
        <v>PWAVIPVFLAMLGIIATIFVMATFIRY</v>
      </c>
      <c r="G366" s="4" t="str">
        <f t="shared" si="127"/>
        <v>TPIVRAS</v>
      </c>
      <c r="H366" s="4" t="str">
        <f t="shared" si="128"/>
        <v>GRELSYVLLTGIFLCYIITFLMI</v>
      </c>
      <c r="I366" s="4" t="str">
        <f t="shared" si="129"/>
        <v/>
      </c>
      <c r="J366" s="4" t="str">
        <f t="shared" si="130"/>
        <v>DVAVCSFRRVFLGLGMCISYAALLTKTNRIYRIF</v>
      </c>
      <c r="K366" s="4" t="str">
        <f t="shared" si="131"/>
        <v/>
      </c>
      <c r="L366" s="4" t="str">
        <f t="shared" si="132"/>
        <v>SPTSQLAITSSLISVQLLGVFIWFGVD</v>
      </c>
      <c r="M366" s="4" t="str">
        <f t="shared" si="133"/>
        <v>CDI</v>
      </c>
      <c r="N366" s="4" t="str">
        <f t="shared" si="134"/>
        <v>TDLQIICSLGYSILLMVTCTVYAIKT</v>
      </c>
      <c r="O366" s="4" t="str">
        <f t="shared" si="135"/>
        <v>EAKPIGFTMYTTCIVWLAFIPIFFG</v>
      </c>
      <c r="P366" s="4" t="str">
        <f t="shared" si="136"/>
        <v>IQTTTLTISMNLSASVALGMLYMPKVYIIIFH</v>
      </c>
      <c r="Q366" s="4" t="str">
        <f t="shared" si="137"/>
        <v>PELNVQKRKRSF</v>
      </c>
      <c r="R366" s="5">
        <f>VLOOKUP($A366,'SegEnds_NonXtal_Prot#'!$A:$AL,3,FALSE)</f>
        <v>589</v>
      </c>
      <c r="S366" s="5">
        <f>VLOOKUP($A366,'SegEnds_NonXtal_Prot#'!$A:$AL,6,FALSE)</f>
        <v>618</v>
      </c>
      <c r="T366" s="5">
        <f>VLOOKUP($A366,'SegEnds_NonXtal_Prot#'!$A:$AL,9,FALSE)</f>
        <v>625</v>
      </c>
      <c r="U366" s="5" t="str">
        <f>VLOOKUP($A366,'SegEnds_NonXtal_Prot#'!$A:$AL,12,FALSE)</f>
        <v>-</v>
      </c>
      <c r="V366" s="5">
        <f>VLOOKUP($A366,'SegEnds_NonXtal_Prot#'!$A:$AL,15,FALSE)</f>
        <v>651</v>
      </c>
      <c r="W366" s="5" t="str">
        <f>VLOOKUP($A366,'SegEnds_NonXtal_Prot#'!$A:$AL,18,FALSE)</f>
        <v>-</v>
      </c>
      <c r="X366" s="5">
        <f>VLOOKUP($A366,'SegEnds_NonXtal_Prot#'!$A:$AL,21,FALSE)</f>
        <v>698</v>
      </c>
      <c r="Y366" s="5">
        <f>VLOOKUP($A366,'SegEnds_NonXtal_Prot#'!$A:$AL,24,FALSE)</f>
        <v>749</v>
      </c>
      <c r="Z366" s="5">
        <f>VLOOKUP($A366,'SegEnds_NonXtal_Prot#'!$A:$AL,27,FALSE)</f>
        <v>752</v>
      </c>
      <c r="AA366" s="5">
        <f>VLOOKUP($A366,'SegEnds_NonXtal_Prot#'!$A:$AL,30,FALSE)</f>
        <v>786</v>
      </c>
      <c r="AB366" s="5">
        <f>VLOOKUP($A366,'SegEnds_NonXtal_Prot#'!$A:$AL,33,FALSE)</f>
        <v>820</v>
      </c>
      <c r="AC366" s="5">
        <f>VLOOKUP($A366,'SegEnds_NonXtal_Prot#'!$A:$AL,36,FALSE)</f>
        <v>852</v>
      </c>
      <c r="AD366" s="5">
        <f>VLOOKUP($A366,'SegEnds_NonXtal_Prot#'!$A:$AL,5,FALSE)</f>
        <v>615</v>
      </c>
      <c r="AE366" s="5">
        <f>VLOOKUP($A366,'SegEnds_NonXtal_Prot#'!$A:$AL,8,FALSE)</f>
        <v>624</v>
      </c>
      <c r="AF366" s="5">
        <f>VLOOKUP($A366,'SegEnds_NonXtal_Prot#'!$A:$AL,11,FALSE)</f>
        <v>647</v>
      </c>
      <c r="AG366" s="5" t="str">
        <f>VLOOKUP($A366,'SegEnds_NonXtal_Prot#'!$A:$AL,14,FALSE)</f>
        <v>-</v>
      </c>
      <c r="AH366" s="5">
        <f>VLOOKUP($A366,'SegEnds_NonXtal_Prot#'!$A:$AL,17,FALSE)</f>
        <v>684</v>
      </c>
      <c r="AI366" s="5" t="str">
        <f>VLOOKUP($A366,'SegEnds_NonXtal_Prot#'!$A:$AL,20,FALSE)</f>
        <v>-</v>
      </c>
      <c r="AJ366" s="5">
        <f>VLOOKUP($A366,'SegEnds_NonXtal_Prot#'!$A:$AL,23,FALSE)</f>
        <v>724</v>
      </c>
      <c r="AK366" s="5">
        <f>VLOOKUP($A366,'SegEnds_NonXtal_Prot#'!$A:$AL,26,FALSE)</f>
        <v>751</v>
      </c>
      <c r="AL366" s="5">
        <f>VLOOKUP($A366,'SegEnds_NonXtal_Prot#'!$A:$AL,29,FALSE)</f>
        <v>777</v>
      </c>
      <c r="AM366" s="5">
        <f>VLOOKUP($A366,'SegEnds_NonXtal_Prot#'!$A:$AL,32,FALSE)</f>
        <v>810</v>
      </c>
      <c r="AN366" s="5">
        <f>VLOOKUP($A366,'SegEnds_NonXtal_Prot#'!$A:$AL,35,FALSE)</f>
        <v>851</v>
      </c>
      <c r="AO366" s="5">
        <f>VLOOKUP($A366,'SegEnds_NonXtal_Prot#'!$A:$AL,38,FALSE)</f>
        <v>863</v>
      </c>
      <c r="AP366" s="5">
        <f t="shared" si="138"/>
        <v>26</v>
      </c>
      <c r="AQ366" s="4">
        <f t="shared" si="139"/>
        <v>6</v>
      </c>
      <c r="AR366" s="4">
        <f t="shared" si="140"/>
        <v>22</v>
      </c>
      <c r="AS366" s="4" t="str">
        <f t="shared" si="141"/>
        <v>-</v>
      </c>
      <c r="AT366" s="4">
        <f t="shared" si="142"/>
        <v>33</v>
      </c>
      <c r="AU366" s="4" t="str">
        <f t="shared" si="143"/>
        <v>-</v>
      </c>
      <c r="AV366" s="4">
        <f t="shared" si="144"/>
        <v>26</v>
      </c>
      <c r="AW366" s="4">
        <f t="shared" si="145"/>
        <v>2</v>
      </c>
      <c r="AX366" s="4">
        <f t="shared" si="146"/>
        <v>25</v>
      </c>
      <c r="AY366" s="4">
        <f t="shared" si="147"/>
        <v>24</v>
      </c>
      <c r="AZ366" s="4">
        <f t="shared" si="148"/>
        <v>31</v>
      </c>
      <c r="BA366" s="4">
        <f t="shared" si="149"/>
        <v>11</v>
      </c>
    </row>
    <row r="367" spans="1:53" x14ac:dyDescent="0.2">
      <c r="A367" s="1" t="str">
        <f>'SegEnds_NonXtal_Prot#'!A365</f>
        <v>grm8_human</v>
      </c>
      <c r="B367" s="1" t="str">
        <f t="shared" si="125"/>
        <v>PWAVVPVFVAILGIIATTFVIVTFVRYGRELSYVLLTGIFLCYSITFLMIDTIICSFRRVFLGLGMCFSYAALLTKTNRIHRIFSPASQLVITFSLISVQLLGVFVWFVVDSDLSLICSLGYSILLMVTCTVYAIKTEAKPIGFTMYTTCIIWLAFIPIFFGIQTTTLTVSMSLSASVSLGMLYMPKVYIIIFHPEQNVQKRKRSF</v>
      </c>
      <c r="C367" s="29" t="str">
        <f>IF(ISERROR(MATCH(A367,'SegEnds_Xtal_Prot#'!B:B, 0)), "NoXtal", "Xtal")</f>
        <v>NoXtal</v>
      </c>
      <c r="D367" s="4" t="str">
        <f>VLOOKUP(A367,Classification!A:D,2,FALSE)</f>
        <v>C</v>
      </c>
      <c r="E367" s="5" t="str">
        <f>VLOOKUP(A367,Seqs!A:B,2,FALSE)</f>
        <v>MVCEGKRSASCPCFFLLTAKFYWILTMMQRTHSQEYAHSIRVDGDIILGGLFPVHAKGERGVPCGELKKEKGIHRLEAMLYAIDQINKDPDLLSNITLGVRILDTCSRDTYALEQSLTFVQALIEKDASDVKCANGDPPIFTKPDKISGVIGAAASSVSIMVANILRLFKIPQISYASTAPELSDNTRYDFFSRVVPPDSYQAQAMVDIVTALGWNYVSTLASEGNYGESGVEAFTQISREIGGVCIAQSQKIPREPRPGEFEKIIKRLLETPNARAVIMFANEDDIRRILEAAKKLNQSGHFLWIGSDSWGSKIAPVYQQEEIAEGAVTILPKRASIDGFDRYFRSRTLANNRRNVWFAEFWEENFGCKLGSHGKRNSHIKKCTGLERIARDSSYEQEGKVQFVIDAVYSMAYALHNMHKDLCPGYIGLCPRMSTIDGKELLGYIRAVNFNGSAGTPVTFNENGDAPGRYDIFQYQITNKSTEYKVIGHWTNQLHLKVEDMQWAHREHTHPASVCSLPCKPGERKKTVKGVPCCWHCERCEGYNYQVDELSCELCPLDQRPNMNRTGCQLIPIIKLEWHSPWAVVPVFVAILGIIATTFVIVTFVRYNDTPIVRASGRELSYVLLTGIFLCYSITFLMIAAPDTIICSFRRVFLGLGMCFSYAALLTKTNRIHRIFEQGKKSVTAPKFISPASQLVITFSLISVQLLGVFVWFVVDPPHIIIDYGEQRTLDPEKARGVLKCDISDLSLICSLGYSILLMVTCTVYAIKTRGVPETFNEAKPIGFTMYTTCIIWLAFIPIFFGTAQSAEKMYIQTTTLTVSMSLSASVSLGMLYMPKVYIIIFHPEQNVQKRKRSFKAVVTAATMQSKLIQKGNDRPNGEVKSELCESLETNTSSTKTTYISYSNHSI</v>
      </c>
      <c r="F367" s="5" t="str">
        <f t="shared" si="126"/>
        <v>PWAVVPVFVAILGIIATTFVIVTFVRY</v>
      </c>
      <c r="G367" s="4" t="str">
        <f t="shared" si="127"/>
        <v>TPIVRAS</v>
      </c>
      <c r="H367" s="4" t="str">
        <f t="shared" si="128"/>
        <v>GRELSYVLLTGIFLCYSITFLMI</v>
      </c>
      <c r="I367" s="4" t="str">
        <f t="shared" si="129"/>
        <v/>
      </c>
      <c r="J367" s="4" t="str">
        <f t="shared" si="130"/>
        <v>DTIICSFRRVFLGLGMCFSYAALLTKTNRIHRIF</v>
      </c>
      <c r="K367" s="4" t="str">
        <f t="shared" si="131"/>
        <v/>
      </c>
      <c r="L367" s="4" t="str">
        <f t="shared" si="132"/>
        <v>SPASQLVITFSLISVQLLGVFVWFVVD</v>
      </c>
      <c r="M367" s="4" t="str">
        <f t="shared" si="133"/>
        <v>CDI</v>
      </c>
      <c r="N367" s="4" t="str">
        <f t="shared" si="134"/>
        <v>SDLSLICSLGYSILLMVTCTVYAIKT</v>
      </c>
      <c r="O367" s="4" t="str">
        <f t="shared" si="135"/>
        <v>EAKPIGFTMYTTCIIWLAFIPIFFG</v>
      </c>
      <c r="P367" s="4" t="str">
        <f t="shared" si="136"/>
        <v>IQTTTLTVSMSLSASVSLGMLYMPKVYIIIFH</v>
      </c>
      <c r="Q367" s="4" t="str">
        <f t="shared" si="137"/>
        <v>PEQNVQKRKRSF</v>
      </c>
      <c r="R367" s="5">
        <f>VLOOKUP($A367,'SegEnds_NonXtal_Prot#'!$A:$AL,3,FALSE)</f>
        <v>582</v>
      </c>
      <c r="S367" s="5">
        <f>VLOOKUP($A367,'SegEnds_NonXtal_Prot#'!$A:$AL,6,FALSE)</f>
        <v>611</v>
      </c>
      <c r="T367" s="5">
        <f>VLOOKUP($A367,'SegEnds_NonXtal_Prot#'!$A:$AL,9,FALSE)</f>
        <v>618</v>
      </c>
      <c r="U367" s="5" t="str">
        <f>VLOOKUP($A367,'SegEnds_NonXtal_Prot#'!$A:$AL,12,FALSE)</f>
        <v>-</v>
      </c>
      <c r="V367" s="5">
        <f>VLOOKUP($A367,'SegEnds_NonXtal_Prot#'!$A:$AL,15,FALSE)</f>
        <v>644</v>
      </c>
      <c r="W367" s="5" t="str">
        <f>VLOOKUP($A367,'SegEnds_NonXtal_Prot#'!$A:$AL,18,FALSE)</f>
        <v>-</v>
      </c>
      <c r="X367" s="5">
        <f>VLOOKUP($A367,'SegEnds_NonXtal_Prot#'!$A:$AL,21,FALSE)</f>
        <v>691</v>
      </c>
      <c r="Y367" s="5">
        <f>VLOOKUP($A367,'SegEnds_NonXtal_Prot#'!$A:$AL,24,FALSE)</f>
        <v>742</v>
      </c>
      <c r="Z367" s="5">
        <f>VLOOKUP($A367,'SegEnds_NonXtal_Prot#'!$A:$AL,27,FALSE)</f>
        <v>745</v>
      </c>
      <c r="AA367" s="5">
        <f>VLOOKUP($A367,'SegEnds_NonXtal_Prot#'!$A:$AL,30,FALSE)</f>
        <v>779</v>
      </c>
      <c r="AB367" s="5">
        <f>VLOOKUP($A367,'SegEnds_NonXtal_Prot#'!$A:$AL,33,FALSE)</f>
        <v>813</v>
      </c>
      <c r="AC367" s="5">
        <f>VLOOKUP($A367,'SegEnds_NonXtal_Prot#'!$A:$AL,36,FALSE)</f>
        <v>845</v>
      </c>
      <c r="AD367" s="5">
        <f>VLOOKUP($A367,'SegEnds_NonXtal_Prot#'!$A:$AL,5,FALSE)</f>
        <v>608</v>
      </c>
      <c r="AE367" s="5">
        <f>VLOOKUP($A367,'SegEnds_NonXtal_Prot#'!$A:$AL,8,FALSE)</f>
        <v>617</v>
      </c>
      <c r="AF367" s="5">
        <f>VLOOKUP($A367,'SegEnds_NonXtal_Prot#'!$A:$AL,11,FALSE)</f>
        <v>640</v>
      </c>
      <c r="AG367" s="5" t="str">
        <f>VLOOKUP($A367,'SegEnds_NonXtal_Prot#'!$A:$AL,14,FALSE)</f>
        <v>-</v>
      </c>
      <c r="AH367" s="5">
        <f>VLOOKUP($A367,'SegEnds_NonXtal_Prot#'!$A:$AL,17,FALSE)</f>
        <v>677</v>
      </c>
      <c r="AI367" s="5" t="str">
        <f>VLOOKUP($A367,'SegEnds_NonXtal_Prot#'!$A:$AL,20,FALSE)</f>
        <v>-</v>
      </c>
      <c r="AJ367" s="5">
        <f>VLOOKUP($A367,'SegEnds_NonXtal_Prot#'!$A:$AL,23,FALSE)</f>
        <v>717</v>
      </c>
      <c r="AK367" s="5">
        <f>VLOOKUP($A367,'SegEnds_NonXtal_Prot#'!$A:$AL,26,FALSE)</f>
        <v>744</v>
      </c>
      <c r="AL367" s="5">
        <f>VLOOKUP($A367,'SegEnds_NonXtal_Prot#'!$A:$AL,29,FALSE)</f>
        <v>770</v>
      </c>
      <c r="AM367" s="5">
        <f>VLOOKUP($A367,'SegEnds_NonXtal_Prot#'!$A:$AL,32,FALSE)</f>
        <v>803</v>
      </c>
      <c r="AN367" s="5">
        <f>VLOOKUP($A367,'SegEnds_NonXtal_Prot#'!$A:$AL,35,FALSE)</f>
        <v>844</v>
      </c>
      <c r="AO367" s="5">
        <f>VLOOKUP($A367,'SegEnds_NonXtal_Prot#'!$A:$AL,38,FALSE)</f>
        <v>856</v>
      </c>
      <c r="AP367" s="5">
        <f t="shared" si="138"/>
        <v>26</v>
      </c>
      <c r="AQ367" s="4">
        <f t="shared" si="139"/>
        <v>6</v>
      </c>
      <c r="AR367" s="4">
        <f t="shared" si="140"/>
        <v>22</v>
      </c>
      <c r="AS367" s="4" t="str">
        <f t="shared" si="141"/>
        <v>-</v>
      </c>
      <c r="AT367" s="4">
        <f t="shared" si="142"/>
        <v>33</v>
      </c>
      <c r="AU367" s="4" t="str">
        <f t="shared" si="143"/>
        <v>-</v>
      </c>
      <c r="AV367" s="4">
        <f t="shared" si="144"/>
        <v>26</v>
      </c>
      <c r="AW367" s="4">
        <f t="shared" si="145"/>
        <v>2</v>
      </c>
      <c r="AX367" s="4">
        <f t="shared" si="146"/>
        <v>25</v>
      </c>
      <c r="AY367" s="4">
        <f t="shared" si="147"/>
        <v>24</v>
      </c>
      <c r="AZ367" s="4">
        <f t="shared" si="148"/>
        <v>31</v>
      </c>
      <c r="BA367" s="4">
        <f t="shared" si="149"/>
        <v>11</v>
      </c>
    </row>
    <row r="368" spans="1:53" x14ac:dyDescent="0.2">
      <c r="A368" s="1" t="str">
        <f>'SegEnds_NonXtal_Prot#'!A367</f>
        <v>ts1r1_human</v>
      </c>
      <c r="B368" s="1" t="str">
        <f t="shared" si="125"/>
        <v>HTSWVLLAANTLLLLLLLGTAGLFAWHGGRLCFLMLGSLAAGSGSLYGFFRPACLLRQALFALGFTIFLSCLTVRSFQLIIIFQNHGAGLFVMISSAAQLLICLTWLVVWNSLGFILAFLYNGLLSISAFACSYLGEAKCVTFSLLFNFVSWIAFFTTASVYLPAANMMAGLSSLSSGFGGYFLPKCYVILCRPDLNSTEHFQAS</v>
      </c>
      <c r="C368" s="29" t="str">
        <f>IF(ISERROR(MATCH(A368,'SegEnds_Xtal_Prot#'!B:B, 0)), "NoXtal", "Xtal")</f>
        <v>NoXtal</v>
      </c>
      <c r="D368" s="4" t="str">
        <f>VLOOKUP(A368,Classification!A:D,2,FALSE)</f>
        <v>C</v>
      </c>
      <c r="E368" s="5" t="str">
        <f>VLOOKUP(A368,Seqs!A:B,2,FALSE)</f>
        <v>MLLCTARLVGLQLLISCCWAFACHSTESSPDFTLPGDYLLAGLFPLHSGCLQVRHRPEVTLCDRSCSFNEHGYHLFQAMRLGVEEINNSTALLPNITLGYQLYDVCSDSANVYATLRVLSLPGQHHIELQGDLLHYSPTVLAVIGPDSTNRAATTAALLSPFLVPMISYAASSETLSVKRQYPSFLRTIPNDKYQVETMVLLLQKFGWTWISLVGSSDDYGQLGVQALENQATGQGICIAFKDIMPFSAQVGDERMQCLMRHLAQAGATVVVVFSSRQLARVFFESVVLTNLTGKVWVASEAWALSRHITGVPGIQRIGMVLGVAIQKRAVPGLKAFEEAYARADKKAPRPCHKGSWCSSNQLCRECQAFMAHTMPKLKAFSMSSAYNAYRAVYAVAHGLHQLLGCASGACSRGRVYPWQLLEQIHKVHFLLHKDTVAFNDNRDPLSSYNIIAWDWNGPKWTFTVLGSSTWSPVQLNINETKIQWHGKDNQVPKSVCSSDCLEGHQRVVTGFHHCCFECVPCGAGTFLNKSDLYRCQPCGKEEWAPEGSQTCFPRTVVFLALREHTSWVLLAANTLLLLLLLGTAGLFAWHLDTPVVRSAGGRLCFLMLGSLAAGSGSLYGFFGEPTRPACLLRQALFALGFTIFLSCLTVRSFQLIIIFKFSTKVPTFYHAWVQNHGAGLFVMISSAAQLLICLTWLVVWTPLPAREYQRFPHLVMLECTETNSLGFILAFLYNGLLSISAFACSYLGKDLPENYNEAKCVTFSLLFNFVSWIAFFTTASVYDGKYLPAANMMAGLSSLSSGFGGYFLPKCYVILCRPDLNSTEHFQASIQDYTRRCGST</v>
      </c>
      <c r="F368" s="5" t="str">
        <f t="shared" si="126"/>
        <v>HTSWVLLAANTLLLLLLLGTAGLFAWH</v>
      </c>
      <c r="G368" s="4" t="str">
        <f t="shared" si="127"/>
        <v>TPVVRSA</v>
      </c>
      <c r="H368" s="4" t="str">
        <f t="shared" si="128"/>
        <v>GGRLCFLMLGSLAAGSGSLYGFF</v>
      </c>
      <c r="I368" s="4" t="str">
        <f t="shared" si="129"/>
        <v/>
      </c>
      <c r="J368" s="4" t="str">
        <f t="shared" si="130"/>
        <v>RPACLLRQALFALGFTIFLSCLTVRSFQLIIIF</v>
      </c>
      <c r="K368" s="4" t="str">
        <f t="shared" si="131"/>
        <v/>
      </c>
      <c r="L368" s="4" t="str">
        <f t="shared" si="132"/>
        <v>QNHGAGLFVMISSAAQLLICLTWLVVW</v>
      </c>
      <c r="M368" s="4" t="str">
        <f t="shared" si="133"/>
        <v>CTE</v>
      </c>
      <c r="N368" s="4" t="str">
        <f t="shared" si="134"/>
        <v>NSLGFILAFLYNGLLSISAFACSYLG</v>
      </c>
      <c r="O368" s="4" t="str">
        <f t="shared" si="135"/>
        <v>EAKCVTFSLLFNFVSWIAFFTTASV</v>
      </c>
      <c r="P368" s="4" t="str">
        <f t="shared" si="136"/>
        <v>YLPAANMMAGLSSLSSGFGGYFLPKCYVILCR</v>
      </c>
      <c r="Q368" s="4" t="str">
        <f t="shared" si="137"/>
        <v>PDLNSTEHFQAS</v>
      </c>
      <c r="R368" s="5">
        <f>VLOOKUP($A368,'SegEnds_NonXtal_Prot#'!$A:$AL,3,FALSE)</f>
        <v>565</v>
      </c>
      <c r="S368" s="5">
        <f>VLOOKUP($A368,'SegEnds_NonXtal_Prot#'!$A:$AL,6,FALSE)</f>
        <v>594</v>
      </c>
      <c r="T368" s="5">
        <f>VLOOKUP($A368,'SegEnds_NonXtal_Prot#'!$A:$AL,9,FALSE)</f>
        <v>601</v>
      </c>
      <c r="U368" s="5" t="str">
        <f>VLOOKUP($A368,'SegEnds_NonXtal_Prot#'!$A:$AL,12,FALSE)</f>
        <v>-</v>
      </c>
      <c r="V368" s="5">
        <f>VLOOKUP($A368,'SegEnds_NonXtal_Prot#'!$A:$AL,15,FALSE)</f>
        <v>628</v>
      </c>
      <c r="W368" s="5" t="str">
        <f>VLOOKUP($A368,'SegEnds_NonXtal_Prot#'!$A:$AL,18,FALSE)</f>
        <v>-</v>
      </c>
      <c r="X368" s="5">
        <f>VLOOKUP($A368,'SegEnds_NonXtal_Prot#'!$A:$AL,21,FALSE)</f>
        <v>675</v>
      </c>
      <c r="Y368" s="5">
        <f>VLOOKUP($A368,'SegEnds_NonXtal_Prot#'!$A:$AL,24,FALSE)</f>
        <v>720</v>
      </c>
      <c r="Z368" s="5">
        <f>VLOOKUP($A368,'SegEnds_NonXtal_Prot#'!$A:$AL,27,FALSE)</f>
        <v>724</v>
      </c>
      <c r="AA368" s="5">
        <f>VLOOKUP($A368,'SegEnds_NonXtal_Prot#'!$A:$AL,30,FALSE)</f>
        <v>758</v>
      </c>
      <c r="AB368" s="5">
        <f>VLOOKUP($A368,'SegEnds_NonXtal_Prot#'!$A:$AL,33,FALSE)</f>
        <v>787</v>
      </c>
      <c r="AC368" s="5">
        <f>VLOOKUP($A368,'SegEnds_NonXtal_Prot#'!$A:$AL,36,FALSE)</f>
        <v>819</v>
      </c>
      <c r="AD368" s="5">
        <f>VLOOKUP($A368,'SegEnds_NonXtal_Prot#'!$A:$AL,5,FALSE)</f>
        <v>591</v>
      </c>
      <c r="AE368" s="5">
        <f>VLOOKUP($A368,'SegEnds_NonXtal_Prot#'!$A:$AL,8,FALSE)</f>
        <v>600</v>
      </c>
      <c r="AF368" s="5">
        <f>VLOOKUP($A368,'SegEnds_NonXtal_Prot#'!$A:$AL,11,FALSE)</f>
        <v>623</v>
      </c>
      <c r="AG368" s="5" t="str">
        <f>VLOOKUP($A368,'SegEnds_NonXtal_Prot#'!$A:$AL,14,FALSE)</f>
        <v>-</v>
      </c>
      <c r="AH368" s="5">
        <f>VLOOKUP($A368,'SegEnds_NonXtal_Prot#'!$A:$AL,17,FALSE)</f>
        <v>660</v>
      </c>
      <c r="AI368" s="5" t="str">
        <f>VLOOKUP($A368,'SegEnds_NonXtal_Prot#'!$A:$AL,20,FALSE)</f>
        <v>-</v>
      </c>
      <c r="AJ368" s="5">
        <f>VLOOKUP($A368,'SegEnds_NonXtal_Prot#'!$A:$AL,23,FALSE)</f>
        <v>701</v>
      </c>
      <c r="AK368" s="5">
        <f>VLOOKUP($A368,'SegEnds_NonXtal_Prot#'!$A:$AL,26,FALSE)</f>
        <v>722</v>
      </c>
      <c r="AL368" s="5">
        <f>VLOOKUP($A368,'SegEnds_NonXtal_Prot#'!$A:$AL,29,FALSE)</f>
        <v>749</v>
      </c>
      <c r="AM368" s="5">
        <f>VLOOKUP($A368,'SegEnds_NonXtal_Prot#'!$A:$AL,32,FALSE)</f>
        <v>782</v>
      </c>
      <c r="AN368" s="5">
        <f>VLOOKUP($A368,'SegEnds_NonXtal_Prot#'!$A:$AL,35,FALSE)</f>
        <v>818</v>
      </c>
      <c r="AO368" s="5">
        <f>VLOOKUP($A368,'SegEnds_NonXtal_Prot#'!$A:$AL,38,FALSE)</f>
        <v>830</v>
      </c>
      <c r="AP368" s="5">
        <f t="shared" si="138"/>
        <v>26</v>
      </c>
      <c r="AQ368" s="4">
        <f t="shared" si="139"/>
        <v>6</v>
      </c>
      <c r="AR368" s="4">
        <f t="shared" si="140"/>
        <v>22</v>
      </c>
      <c r="AS368" s="4" t="str">
        <f t="shared" si="141"/>
        <v>-</v>
      </c>
      <c r="AT368" s="4">
        <f t="shared" si="142"/>
        <v>32</v>
      </c>
      <c r="AU368" s="4" t="str">
        <f t="shared" si="143"/>
        <v>-</v>
      </c>
      <c r="AV368" s="4">
        <f t="shared" si="144"/>
        <v>26</v>
      </c>
      <c r="AW368" s="4">
        <f t="shared" si="145"/>
        <v>2</v>
      </c>
      <c r="AX368" s="4">
        <f t="shared" si="146"/>
        <v>25</v>
      </c>
      <c r="AY368" s="4">
        <f t="shared" si="147"/>
        <v>24</v>
      </c>
      <c r="AZ368" s="4">
        <f t="shared" si="148"/>
        <v>31</v>
      </c>
      <c r="BA368" s="4">
        <f t="shared" si="149"/>
        <v>11</v>
      </c>
    </row>
    <row r="369" spans="1:53" x14ac:dyDescent="0.2">
      <c r="A369" s="1" t="str">
        <f>'SegEnds_NonXtal_Prot#'!A368</f>
        <v>ts1r2_human</v>
      </c>
      <c r="B369" s="1" t="str">
        <f t="shared" si="125"/>
        <v>APTIAVALLAALGFLSTLAILVIFWRHGGPMCFLMLTLLLVAYMVVPVYVVSTCLCRQALFPLCFTICISCIAVRSFQIVCAFRYQGPYVSMAFITVLKMVIVVIGMLATYRNSLLFNTSLDLLLSVVGFSFAYMGEAKFITLSMTFYFTSSVSLCTFMSALVTIVDLLVTVLNLLAISLGYFGPKCYMILFYPERNTPAYFNSM</v>
      </c>
      <c r="C369" s="29" t="str">
        <f>IF(ISERROR(MATCH(A369,'SegEnds_Xtal_Prot#'!B:B, 0)), "NoXtal", "Xtal")</f>
        <v>NoXtal</v>
      </c>
      <c r="D369" s="4" t="str">
        <f>VLOOKUP(A369,Classification!A:D,2,FALSE)</f>
        <v>C</v>
      </c>
      <c r="E369" s="5" t="str">
        <f>VLOOKUP(A369,Seqs!A:B,2,FALSE)</f>
        <v>MGPRAKTISSLFFLLWVLAEPAENSDFYLPGDYLLGGLFSLHANMKGIVHLNFLQVPMCKEYEVKVIGYNLMQAMRFAVEEINNDSSLLPGVLLGYEIVDVCYISNNVQPVLYFLAHEDNLLPIQEDYSNYISRVVAVIGPDNSESVMTVANFLSLFLLPQITYSAISDELRDKVRFPALLRTTPSADHHIEAMVQLMLHFRWNWIIVLVSSDTYGRDNGQLLGERVARRDICIAFQETLPTLQPNQNMTSEERQRLVTIVDKLQQSTARVVVVFSPDLTLYHFFNEVLRQNFTGAVWIASESWAIDPVLHNLTELRHLGTFLGITIQSVPIPGFSEFREWGPQAGPPPLSRTSQSYTCNQECDNCLNATLSFNTILRLSGERVVYSVYSAVYAVAHALHSLLGCDKSTCTKRVVYPWQLLEEIWKVNFTLLDHQIFFDPQGDVALHLEIVQWQWDRSQNPFQSVASYYPLQRQLKNIQDISWHTINNTIPMSMCSKRCQSGQKKKPVGIHVCCFECIDCLPGTFLNHTEDEYECQACPNNEWSYQSETSCFKRQLVFLEWHEAPTIAVALLAALGFLSTLAILVIFWRHFQTPIVRSAGGPMCFLMLTLLLVAYMVVPVYVGPPKVSTCLCRQALFPLCFTICISCIAVRSFQIVCAFKMASRFPRAYSYWVRYQGPYVSMAFITVLKMVIVVIGMLATGLSPTTRTDPDDPKITIVSCNPNYRNSLLFNTSLDLLLSVVGFSFAYMGKELPTNYNEAKFITLSMTFYFTSSVSLCTFMSAYSGVLVTIVDLLVTVLNLLAISLGYFGPKCYMILFYPERNTPAYFNSMIQGYTMRRD</v>
      </c>
      <c r="F369" s="5" t="str">
        <f t="shared" si="126"/>
        <v>APTIAVALLAALGFLSTLAILVIFWRH</v>
      </c>
      <c r="G369" s="4" t="str">
        <f t="shared" si="127"/>
        <v>TPIVRSA</v>
      </c>
      <c r="H369" s="4" t="str">
        <f t="shared" si="128"/>
        <v>GGPMCFLMLTLLLVAYMVVPVYV</v>
      </c>
      <c r="I369" s="4" t="str">
        <f t="shared" si="129"/>
        <v/>
      </c>
      <c r="J369" s="4" t="str">
        <f t="shared" si="130"/>
        <v>VSTCLCRQALFPLCFTICISCIAVRSFQIVCAF</v>
      </c>
      <c r="K369" s="4" t="str">
        <f t="shared" si="131"/>
        <v/>
      </c>
      <c r="L369" s="4" t="str">
        <f t="shared" si="132"/>
        <v>RYQGPYVSMAFITVLKMVIVVIGMLAT</v>
      </c>
      <c r="M369" s="4" t="str">
        <f t="shared" si="133"/>
        <v>CNP</v>
      </c>
      <c r="N369" s="4" t="str">
        <f t="shared" si="134"/>
        <v>YRNSLLFNTSLDLLLSVVGFSFAYMG</v>
      </c>
      <c r="O369" s="4" t="str">
        <f t="shared" si="135"/>
        <v>EAKFITLSMTFYFTSSVSLCTFMSA</v>
      </c>
      <c r="P369" s="4" t="str">
        <f t="shared" si="136"/>
        <v>LVTIVDLLVTVLNLLAISLGYFGPKCYMILFY</v>
      </c>
      <c r="Q369" s="4" t="str">
        <f t="shared" si="137"/>
        <v>PERNTPAYFNSM</v>
      </c>
      <c r="R369" s="5">
        <f>VLOOKUP($A369,'SegEnds_NonXtal_Prot#'!$A:$AL,3,FALSE)</f>
        <v>564</v>
      </c>
      <c r="S369" s="5">
        <f>VLOOKUP($A369,'SegEnds_NonXtal_Prot#'!$A:$AL,6,FALSE)</f>
        <v>593</v>
      </c>
      <c r="T369" s="5">
        <f>VLOOKUP($A369,'SegEnds_NonXtal_Prot#'!$A:$AL,9,FALSE)</f>
        <v>600</v>
      </c>
      <c r="U369" s="5" t="str">
        <f>VLOOKUP($A369,'SegEnds_NonXtal_Prot#'!$A:$AL,12,FALSE)</f>
        <v>-</v>
      </c>
      <c r="V369" s="5">
        <f>VLOOKUP($A369,'SegEnds_NonXtal_Prot#'!$A:$AL,15,FALSE)</f>
        <v>627</v>
      </c>
      <c r="W369" s="5" t="str">
        <f>VLOOKUP($A369,'SegEnds_NonXtal_Prot#'!$A:$AL,18,FALSE)</f>
        <v>-</v>
      </c>
      <c r="X369" s="5">
        <f>VLOOKUP($A369,'SegEnds_NonXtal_Prot#'!$A:$AL,21,FALSE)</f>
        <v>674</v>
      </c>
      <c r="Y369" s="5">
        <f>VLOOKUP($A369,'SegEnds_NonXtal_Prot#'!$A:$AL,24,FALSE)</f>
        <v>720</v>
      </c>
      <c r="Z369" s="5">
        <f>VLOOKUP($A369,'SegEnds_NonXtal_Prot#'!$A:$AL,27,FALSE)</f>
        <v>724</v>
      </c>
      <c r="AA369" s="5">
        <f>VLOOKUP($A369,'SegEnds_NonXtal_Prot#'!$A:$AL,30,FALSE)</f>
        <v>758</v>
      </c>
      <c r="AB369" s="5">
        <f>VLOOKUP($A369,'SegEnds_NonXtal_Prot#'!$A:$AL,33,FALSE)</f>
        <v>787</v>
      </c>
      <c r="AC369" s="5">
        <f>VLOOKUP($A369,'SegEnds_NonXtal_Prot#'!$A:$AL,36,FALSE)</f>
        <v>819</v>
      </c>
      <c r="AD369" s="5">
        <f>VLOOKUP($A369,'SegEnds_NonXtal_Prot#'!$A:$AL,5,FALSE)</f>
        <v>590</v>
      </c>
      <c r="AE369" s="5">
        <f>VLOOKUP($A369,'SegEnds_NonXtal_Prot#'!$A:$AL,8,FALSE)</f>
        <v>599</v>
      </c>
      <c r="AF369" s="5">
        <f>VLOOKUP($A369,'SegEnds_NonXtal_Prot#'!$A:$AL,11,FALSE)</f>
        <v>622</v>
      </c>
      <c r="AG369" s="5" t="str">
        <f>VLOOKUP($A369,'SegEnds_NonXtal_Prot#'!$A:$AL,14,FALSE)</f>
        <v>-</v>
      </c>
      <c r="AH369" s="5">
        <f>VLOOKUP($A369,'SegEnds_NonXtal_Prot#'!$A:$AL,17,FALSE)</f>
        <v>659</v>
      </c>
      <c r="AI369" s="5" t="str">
        <f>VLOOKUP($A369,'SegEnds_NonXtal_Prot#'!$A:$AL,20,FALSE)</f>
        <v>-</v>
      </c>
      <c r="AJ369" s="5">
        <f>VLOOKUP($A369,'SegEnds_NonXtal_Prot#'!$A:$AL,23,FALSE)</f>
        <v>700</v>
      </c>
      <c r="AK369" s="5">
        <f>VLOOKUP($A369,'SegEnds_NonXtal_Prot#'!$A:$AL,26,FALSE)</f>
        <v>722</v>
      </c>
      <c r="AL369" s="5">
        <f>VLOOKUP($A369,'SegEnds_NonXtal_Prot#'!$A:$AL,29,FALSE)</f>
        <v>749</v>
      </c>
      <c r="AM369" s="5">
        <f>VLOOKUP($A369,'SegEnds_NonXtal_Prot#'!$A:$AL,32,FALSE)</f>
        <v>782</v>
      </c>
      <c r="AN369" s="5">
        <f>VLOOKUP($A369,'SegEnds_NonXtal_Prot#'!$A:$AL,35,FALSE)</f>
        <v>818</v>
      </c>
      <c r="AO369" s="5">
        <f>VLOOKUP($A369,'SegEnds_NonXtal_Prot#'!$A:$AL,38,FALSE)</f>
        <v>830</v>
      </c>
      <c r="AP369" s="5">
        <f t="shared" si="138"/>
        <v>26</v>
      </c>
      <c r="AQ369" s="4">
        <f t="shared" si="139"/>
        <v>6</v>
      </c>
      <c r="AR369" s="4">
        <f t="shared" si="140"/>
        <v>22</v>
      </c>
      <c r="AS369" s="4" t="str">
        <f t="shared" si="141"/>
        <v>-</v>
      </c>
      <c r="AT369" s="4">
        <f t="shared" si="142"/>
        <v>32</v>
      </c>
      <c r="AU369" s="4" t="str">
        <f t="shared" si="143"/>
        <v>-</v>
      </c>
      <c r="AV369" s="4">
        <f t="shared" si="144"/>
        <v>26</v>
      </c>
      <c r="AW369" s="4">
        <f t="shared" si="145"/>
        <v>2</v>
      </c>
      <c r="AX369" s="4">
        <f t="shared" si="146"/>
        <v>25</v>
      </c>
      <c r="AY369" s="4">
        <f t="shared" si="147"/>
        <v>24</v>
      </c>
      <c r="AZ369" s="4">
        <f t="shared" si="148"/>
        <v>31</v>
      </c>
      <c r="BA369" s="4">
        <f t="shared" si="149"/>
        <v>11</v>
      </c>
    </row>
    <row r="370" spans="1:53" x14ac:dyDescent="0.2">
      <c r="A370" s="1" t="str">
        <f>'SegEnds_NonXtal_Prot#'!A369</f>
        <v>ts1r3_human</v>
      </c>
      <c r="B370" s="1" t="str">
        <f t="shared" si="125"/>
        <v>PAVLLLLLLLSLALGLVLAALGLFVHHGGPLACFGLVCLGLVCLSVLLFPPARCLAQQPLSHLPLTGCLSTLFLQAAEIFVESRGPWAWLVVLLAMLVEVALCTWYLVAFSWVSFGLAHATNATLAFLCFLGTFLVRARGLTFAMLAYFITWVSFVPLLANLRPAVQMGALLLCVLGILAAFHLPRCYLLMRQPGLNTPEFFLGG</v>
      </c>
      <c r="C370" s="29" t="str">
        <f>IF(ISERROR(MATCH(A370,'SegEnds_Xtal_Prot#'!B:B, 0)), "NoXtal", "Xtal")</f>
        <v>NoXtal</v>
      </c>
      <c r="D370" s="4" t="str">
        <f>VLOOKUP(A370,Classification!A:D,2,FALSE)</f>
        <v>C</v>
      </c>
      <c r="E370" s="5" t="str">
        <f>VLOOKUP(A370,Seqs!A:B,2,FALSE)</f>
        <v>MLGPAVLGLSLWALLHPGTGAPLCLSQQLRMKGDYVLGGLFPLGEAEEAGLRSRTRPSSPVCTRFSSNGLLWALAMKMAVEEINNKSDLLPGLRLGYDLFDTCSEPVVAMKPSLMFLAKAGSRDIAAYCNYTQYQPRVLAVIGPHSSELAMVTGKFFSFFLMPQVSYGASMELLSARETFPSFFRTVPSDRVQLTAAAELLQEFGWNWVAALGSDDEYGRQGLSIFSALAAARGICIAHEGLVPLPRADDSRLGKVQDVLHQVNQSSVQVVLLFASVHAAHALFNYSISSRLSPKVWVASEAWLTSDLVMGLPGMAQMGTVLGFLQRGAQLHEFPQYVKTHLALATDPAFCSALGEREQGLEEDVVGQRCPQCDCITLQNVSAGLNHHQTFSVYAAVYSVAQALHNTLQCNASGCPAQDPVKPWQLLENMYNLTFHVGGLPLRFDSSGNVDMEYDLKLWVWQGSVPRLHDVGRFNGSLRTERLKIRWHTSDNQKPVSRCSRQCQEGQVRRVKGFHSCCYDCVDCEAGSYRQNPDDIACTFCGQDEWSPERSTRCFRRRSRFLAWGEPAVLLLLLLLSLALGLVLAALGLFVHHRDSPLVQASGGPLACFGLVCLGLVCLSVLLFPGQPSPARCLAQQPLSHLPLTGCLSTLFLQAAEIFVESELPLSWADRLSGCLRGPWAWLVVLLAMLVEVALCTWYLVAFPPEVVTDWHMLPTEALVHCRTRSWVSFGLAHATNATLAFLCFLGTFLVRSQPGCYNRARGLTFAMLAYFITWVSFVPLLANVQVVLRPAVQMGALLLCVLGILAAFHLPRCYLLMRQPGLNTPEFFLGGGPGDAQGQNDGNTGNQGKHE</v>
      </c>
      <c r="F370" s="5" t="str">
        <f t="shared" si="126"/>
        <v>PAVLLLLLLLSLALGLVLAALGLFVHH</v>
      </c>
      <c r="G370" s="4" t="str">
        <f t="shared" si="127"/>
        <v>SPLVQAS</v>
      </c>
      <c r="H370" s="4" t="str">
        <f t="shared" si="128"/>
        <v>GGPLACFGLVCLGLVCLSVLLFP</v>
      </c>
      <c r="I370" s="4" t="str">
        <f t="shared" si="129"/>
        <v/>
      </c>
      <c r="J370" s="4" t="str">
        <f t="shared" si="130"/>
        <v>PARCLAQQPLSHLPLTGCLSTLFLQAAEIFVES</v>
      </c>
      <c r="K370" s="4" t="str">
        <f t="shared" si="131"/>
        <v/>
      </c>
      <c r="L370" s="4" t="str">
        <f t="shared" si="132"/>
        <v>RGPWAWLVVLLAMLVEVALCTWYLVAF</v>
      </c>
      <c r="M370" s="4" t="str">
        <f t="shared" si="133"/>
        <v>CRT</v>
      </c>
      <c r="N370" s="4" t="str">
        <f t="shared" si="134"/>
        <v>SWVSFGLAHATNATLAFLCFLGTFLV</v>
      </c>
      <c r="O370" s="4" t="str">
        <f t="shared" si="135"/>
        <v>RARGLTFAMLAYFITWVSFVPLLAN</v>
      </c>
      <c r="P370" s="4" t="str">
        <f t="shared" si="136"/>
        <v>LRPAVQMGALLLCVLGILAAFHLPRCYLLMRQ</v>
      </c>
      <c r="Q370" s="4" t="str">
        <f t="shared" si="137"/>
        <v>PGLNTPEFFLGG</v>
      </c>
      <c r="R370" s="5">
        <f>VLOOKUP($A370,'SegEnds_NonXtal_Prot#'!$A:$AL,3,FALSE)</f>
        <v>567</v>
      </c>
      <c r="S370" s="5">
        <f>VLOOKUP($A370,'SegEnds_NonXtal_Prot#'!$A:$AL,6,FALSE)</f>
        <v>596</v>
      </c>
      <c r="T370" s="5">
        <f>VLOOKUP($A370,'SegEnds_NonXtal_Prot#'!$A:$AL,9,FALSE)</f>
        <v>603</v>
      </c>
      <c r="U370" s="5" t="str">
        <f>VLOOKUP($A370,'SegEnds_NonXtal_Prot#'!$A:$AL,12,FALSE)</f>
        <v>-</v>
      </c>
      <c r="V370" s="5">
        <f>VLOOKUP($A370,'SegEnds_NonXtal_Prot#'!$A:$AL,15,FALSE)</f>
        <v>630</v>
      </c>
      <c r="W370" s="5" t="str">
        <f>VLOOKUP($A370,'SegEnds_NonXtal_Prot#'!$A:$AL,18,FALSE)</f>
        <v>-</v>
      </c>
      <c r="X370" s="5">
        <f>VLOOKUP($A370,'SegEnds_NonXtal_Prot#'!$A:$AL,21,FALSE)</f>
        <v>677</v>
      </c>
      <c r="Y370" s="5">
        <f>VLOOKUP($A370,'SegEnds_NonXtal_Prot#'!$A:$AL,24,FALSE)</f>
        <v>722</v>
      </c>
      <c r="Z370" s="5">
        <f>VLOOKUP($A370,'SegEnds_NonXtal_Prot#'!$A:$AL,27,FALSE)</f>
        <v>726</v>
      </c>
      <c r="AA370" s="5">
        <f>VLOOKUP($A370,'SegEnds_NonXtal_Prot#'!$A:$AL,30,FALSE)</f>
        <v>760</v>
      </c>
      <c r="AB370" s="5">
        <f>VLOOKUP($A370,'SegEnds_NonXtal_Prot#'!$A:$AL,33,FALSE)</f>
        <v>789</v>
      </c>
      <c r="AC370" s="5">
        <f>VLOOKUP($A370,'SegEnds_NonXtal_Prot#'!$A:$AL,36,FALSE)</f>
        <v>821</v>
      </c>
      <c r="AD370" s="5">
        <f>VLOOKUP($A370,'SegEnds_NonXtal_Prot#'!$A:$AL,5,FALSE)</f>
        <v>593</v>
      </c>
      <c r="AE370" s="5">
        <f>VLOOKUP($A370,'SegEnds_NonXtal_Prot#'!$A:$AL,8,FALSE)</f>
        <v>602</v>
      </c>
      <c r="AF370" s="5">
        <f>VLOOKUP($A370,'SegEnds_NonXtal_Prot#'!$A:$AL,11,FALSE)</f>
        <v>625</v>
      </c>
      <c r="AG370" s="5" t="str">
        <f>VLOOKUP($A370,'SegEnds_NonXtal_Prot#'!$A:$AL,14,FALSE)</f>
        <v>-</v>
      </c>
      <c r="AH370" s="5">
        <f>VLOOKUP($A370,'SegEnds_NonXtal_Prot#'!$A:$AL,17,FALSE)</f>
        <v>662</v>
      </c>
      <c r="AI370" s="5" t="str">
        <f>VLOOKUP($A370,'SegEnds_NonXtal_Prot#'!$A:$AL,20,FALSE)</f>
        <v>-</v>
      </c>
      <c r="AJ370" s="5">
        <f>VLOOKUP($A370,'SegEnds_NonXtal_Prot#'!$A:$AL,23,FALSE)</f>
        <v>703</v>
      </c>
      <c r="AK370" s="5">
        <f>VLOOKUP($A370,'SegEnds_NonXtal_Prot#'!$A:$AL,26,FALSE)</f>
        <v>724</v>
      </c>
      <c r="AL370" s="5">
        <f>VLOOKUP($A370,'SegEnds_NonXtal_Prot#'!$A:$AL,29,FALSE)</f>
        <v>751</v>
      </c>
      <c r="AM370" s="5">
        <f>VLOOKUP($A370,'SegEnds_NonXtal_Prot#'!$A:$AL,32,FALSE)</f>
        <v>784</v>
      </c>
      <c r="AN370" s="5">
        <f>VLOOKUP($A370,'SegEnds_NonXtal_Prot#'!$A:$AL,35,FALSE)</f>
        <v>820</v>
      </c>
      <c r="AO370" s="5">
        <f>VLOOKUP($A370,'SegEnds_NonXtal_Prot#'!$A:$AL,38,FALSE)</f>
        <v>832</v>
      </c>
      <c r="AP370" s="5">
        <f t="shared" si="138"/>
        <v>26</v>
      </c>
      <c r="AQ370" s="4">
        <f t="shared" si="139"/>
        <v>6</v>
      </c>
      <c r="AR370" s="4">
        <f t="shared" si="140"/>
        <v>22</v>
      </c>
      <c r="AS370" s="4" t="str">
        <f t="shared" si="141"/>
        <v>-</v>
      </c>
      <c r="AT370" s="4">
        <f t="shared" si="142"/>
        <v>32</v>
      </c>
      <c r="AU370" s="4" t="str">
        <f t="shared" si="143"/>
        <v>-</v>
      </c>
      <c r="AV370" s="4">
        <f t="shared" si="144"/>
        <v>26</v>
      </c>
      <c r="AW370" s="4">
        <f t="shared" si="145"/>
        <v>2</v>
      </c>
      <c r="AX370" s="4">
        <f t="shared" si="146"/>
        <v>25</v>
      </c>
      <c r="AY370" s="4">
        <f t="shared" si="147"/>
        <v>24</v>
      </c>
      <c r="AZ370" s="4">
        <f t="shared" si="148"/>
        <v>31</v>
      </c>
      <c r="BA370" s="4">
        <f t="shared" si="149"/>
        <v>11</v>
      </c>
    </row>
    <row r="371" spans="1:53" x14ac:dyDescent="0.2">
      <c r="A371" s="1" t="str">
        <f>'SegEnds_NonXtal_Prot#'!A371</f>
        <v>fzd10_human</v>
      </c>
      <c r="B371" s="1" t="str">
        <f t="shared" si="125"/>
        <v>SREDKRFAVVWLAIWAVLCFFSSAFTVLTFLIDYPERPIIFLSMCYCVYSVGYLIRLFAGSTGCTLVFLVLYYFGMASSLWWVVLTLTWFLAAGNSSYFHLAAWAIPAVKTILILVMRDVNALTGFVLIPLACYLVIGTSFILSGFVALFHIRRVMEKLMVRIGLFSVLYTVPATCVIACYFYERLNMDYWKILAAQHKCKMNNQTKAVEIFMVKIFMLLVVGITSGMWIWTSKTLQSWQQVCSRRL</v>
      </c>
      <c r="C371" s="29" t="str">
        <f>IF(ISERROR(MATCH(A371,'SegEnds_Xtal_Prot#'!B:B, 0)), "NoXtal", "Xtal")</f>
        <v>NoXtal</v>
      </c>
      <c r="D371" s="4" t="str">
        <f>VLOOKUP(A371,Classification!A:D,2,FALSE)</f>
        <v>F</v>
      </c>
      <c r="E371" s="5" t="str">
        <f>VLOOKUP(A371,Seqs!A:B,2,FALSE)</f>
        <v>MQRPGPRLWLVLQVMGSCAAISSMDMERPGDGKCQPIEIPMCKDIGYNMTRMPNLMGHENQREAAIQLHEFAPLVEYGCHGHLRFFLCSLYAPMCTEQVSTPIPACRVMCEQARLKCSPIMEQFNFKWPDSLDCRKLPNKNDPNYLCMEAPNNGSDEPTRGSGLFPPLFRPQRPHSAQEHPLKDGGPGRGGCDNPGKFHHVEKSASCAPLCTPGVDVYWSREDKRFAVVWLAIWAVLCFFSSAFTVLTFLIDPARFRYPERPIIFLSMCYCVYSVGYLIRLFAGAESIACDRDSGQLYVIQEGLESTGCTLVFLVLYYFGMASSLWWVVLTLTWFLAAGKKWGHEAIEANSSYFHLAAWAIPAVKTILILVMRRVAGDELTGVCYVGSMDVNALTGFVLIPLACYLVIGTSFILSGFVALFHIRRVMKTGGENTDKLEKLMVRIGLFSVLYTVPATCVIACYFYERLNMDYWKILAAQHKCKMNNQTKTLDCLMAASIPAVEIFMVKIFMLLVVGITSGMWIWTSKTLQSWQQVCSRRLKKKSRRKPASVITSGGIYKKAQHPQKTHHGKYEIPAQSPTCV</v>
      </c>
      <c r="F371" s="5" t="str">
        <f t="shared" si="126"/>
        <v>SREDKRFAVVWLAIWAVLCFFSSAFTVLTFLID</v>
      </c>
      <c r="G371" s="4" t="str">
        <f t="shared" si="127"/>
        <v>PARFR</v>
      </c>
      <c r="H371" s="4" t="str">
        <f t="shared" si="128"/>
        <v>YPERPIIFLSMCYCVYSVGYLIRLFAG</v>
      </c>
      <c r="I371" s="4" t="str">
        <f t="shared" si="129"/>
        <v/>
      </c>
      <c r="J371" s="4" t="str">
        <f t="shared" si="130"/>
        <v>STGCTLVFLVLYYFGMASSLWWVVLTLTWFLAAG</v>
      </c>
      <c r="K371" s="4" t="str">
        <f t="shared" si="131"/>
        <v/>
      </c>
      <c r="L371" s="4" t="str">
        <f t="shared" si="132"/>
        <v>NSSYFHLAAWAIPAVKTILILVMR</v>
      </c>
      <c r="M371" s="4" t="str">
        <f t="shared" si="133"/>
        <v>CYV</v>
      </c>
      <c r="N371" s="4" t="str">
        <f t="shared" si="134"/>
        <v>DVNALTGFVLIPLACYLVIGTSFILSGFVALFHIRRVM</v>
      </c>
      <c r="O371" s="4" t="str">
        <f t="shared" si="135"/>
        <v>EKLMVRIGLFSVLYTVPATCVIACYFYERLNMDYWKILAAQHKCKMNNQTK</v>
      </c>
      <c r="P371" s="4" t="str">
        <f t="shared" si="136"/>
        <v>AVEIFMVKIFMLLVVGITSGMWIW</v>
      </c>
      <c r="Q371" s="4" t="str">
        <f t="shared" si="137"/>
        <v>TSKTLQSWQQVCSRRL</v>
      </c>
      <c r="R371" s="5">
        <f>VLOOKUP($A371,'SegEnds_NonXtal_Prot#'!$A:$AL,3,FALSE)</f>
        <v>220</v>
      </c>
      <c r="S371" s="5">
        <f>VLOOKUP($A371,'SegEnds_NonXtal_Prot#'!$A:$AL,6,FALSE)</f>
        <v>253</v>
      </c>
      <c r="T371" s="5">
        <f>VLOOKUP($A371,'SegEnds_NonXtal_Prot#'!$A:$AL,9,FALSE)</f>
        <v>258</v>
      </c>
      <c r="U371" s="5" t="str">
        <f>VLOOKUP($A371,'SegEnds_NonXtal_Prot#'!$A:$AL,12,FALSE)</f>
        <v>-</v>
      </c>
      <c r="V371" s="5">
        <f>VLOOKUP($A371,'SegEnds_NonXtal_Prot#'!$A:$AL,15,FALSE)</f>
        <v>306</v>
      </c>
      <c r="W371" s="5" t="str">
        <f>VLOOKUP($A371,'SegEnds_NonXtal_Prot#'!$A:$AL,18,FALSE)</f>
        <v>-</v>
      </c>
      <c r="X371" s="5">
        <f>VLOOKUP($A371,'SegEnds_NonXtal_Prot#'!$A:$AL,21,FALSE)</f>
        <v>350</v>
      </c>
      <c r="Y371" s="5">
        <f>VLOOKUP($A371,'SegEnds_NonXtal_Prot#'!$A:$AL,24,FALSE)</f>
        <v>384</v>
      </c>
      <c r="Z371" s="5">
        <f>VLOOKUP($A371,'SegEnds_NonXtal_Prot#'!$A:$AL,27,FALSE)</f>
        <v>390</v>
      </c>
      <c r="AA371" s="5">
        <f>VLOOKUP($A371,'SegEnds_NonXtal_Prot#'!$A:$AL,30,FALSE)</f>
        <v>438</v>
      </c>
      <c r="AB371" s="5">
        <f>VLOOKUP($A371,'SegEnds_NonXtal_Prot#'!$A:$AL,33,FALSE)</f>
        <v>500</v>
      </c>
      <c r="AC371" s="5">
        <f>VLOOKUP($A371,'SegEnds_NonXtal_Prot#'!$A:$AL,36,FALSE)</f>
        <v>524</v>
      </c>
      <c r="AD371" s="5">
        <f>VLOOKUP($A371,'SegEnds_NonXtal_Prot#'!$A:$AL,5,FALSE)</f>
        <v>252</v>
      </c>
      <c r="AE371" s="5">
        <f>VLOOKUP($A371,'SegEnds_NonXtal_Prot#'!$A:$AL,8,FALSE)</f>
        <v>257</v>
      </c>
      <c r="AF371" s="5">
        <f>VLOOKUP($A371,'SegEnds_NonXtal_Prot#'!$A:$AL,11,FALSE)</f>
        <v>284</v>
      </c>
      <c r="AG371" s="5" t="str">
        <f>VLOOKUP($A371,'SegEnds_NonXtal_Prot#'!$A:$AL,14,FALSE)</f>
        <v>-</v>
      </c>
      <c r="AH371" s="5">
        <f>VLOOKUP($A371,'SegEnds_NonXtal_Prot#'!$A:$AL,17,FALSE)</f>
        <v>339</v>
      </c>
      <c r="AI371" s="5" t="str">
        <f>VLOOKUP($A371,'SegEnds_NonXtal_Prot#'!$A:$AL,20,FALSE)</f>
        <v>-</v>
      </c>
      <c r="AJ371" s="5">
        <f>VLOOKUP($A371,'SegEnds_NonXtal_Prot#'!$A:$AL,23,FALSE)</f>
        <v>373</v>
      </c>
      <c r="AK371" s="5">
        <f>VLOOKUP($A371,'SegEnds_NonXtal_Prot#'!$A:$AL,26,FALSE)</f>
        <v>386</v>
      </c>
      <c r="AL371" s="5">
        <f>VLOOKUP($A371,'SegEnds_NonXtal_Prot#'!$A:$AL,29,FALSE)</f>
        <v>427</v>
      </c>
      <c r="AM371" s="5">
        <f>VLOOKUP($A371,'SegEnds_NonXtal_Prot#'!$A:$AL,32,FALSE)</f>
        <v>488</v>
      </c>
      <c r="AN371" s="5">
        <f>VLOOKUP($A371,'SegEnds_NonXtal_Prot#'!$A:$AL,35,FALSE)</f>
        <v>523</v>
      </c>
      <c r="AO371" s="5">
        <f>VLOOKUP($A371,'SegEnds_NonXtal_Prot#'!$A:$AL,38,FALSE)</f>
        <v>539</v>
      </c>
      <c r="AP371" s="5">
        <f t="shared" si="138"/>
        <v>32</v>
      </c>
      <c r="AQ371" s="4">
        <f t="shared" si="139"/>
        <v>4</v>
      </c>
      <c r="AR371" s="4">
        <f t="shared" si="140"/>
        <v>26</v>
      </c>
      <c r="AS371" s="4" t="str">
        <f t="shared" si="141"/>
        <v>-</v>
      </c>
      <c r="AT371" s="4">
        <f t="shared" si="142"/>
        <v>33</v>
      </c>
      <c r="AU371" s="4" t="str">
        <f t="shared" si="143"/>
        <v>-</v>
      </c>
      <c r="AV371" s="4">
        <f t="shared" si="144"/>
        <v>23</v>
      </c>
      <c r="AW371" s="4">
        <f t="shared" si="145"/>
        <v>2</v>
      </c>
      <c r="AX371" s="4">
        <f t="shared" si="146"/>
        <v>37</v>
      </c>
      <c r="AY371" s="4">
        <f t="shared" si="147"/>
        <v>50</v>
      </c>
      <c r="AZ371" s="4">
        <f t="shared" si="148"/>
        <v>23</v>
      </c>
      <c r="BA371" s="4">
        <f t="shared" si="149"/>
        <v>15</v>
      </c>
    </row>
    <row r="372" spans="1:53" x14ac:dyDescent="0.2">
      <c r="A372" s="1" t="str">
        <f>'SegEnds_NonXtal_Prot#'!A372</f>
        <v>fzd2_human</v>
      </c>
      <c r="B372" s="1" t="str">
        <f t="shared" si="125"/>
        <v>SQEETRFARLWILTWSVLCCASTFFTVTTYLVDYPERPIIFLSGCYTMVSVAYIAGFVLQKEGCTILFMMLYFFSMASSIWWVILSLTWFLAAGNSQYFHLAAWAVPAVKTITILAMGSLDPLRGFVLAPLFVYLFIGTSFLLAGFVSLFRIRTIMERLMVRIGVFSVLYTVPATIVIACYFYEQAFREHWERSWVSQHCKSLAIPCDFTVYMIKYLMTLIVGITSGFWIWSGKTLHSWRKFYTRLT</v>
      </c>
      <c r="C372" s="29" t="str">
        <f>IF(ISERROR(MATCH(A372,'SegEnds_Xtal_Prot#'!B:B, 0)), "NoXtal", "Xtal")</f>
        <v>NoXtal</v>
      </c>
      <c r="D372" s="4" t="str">
        <f>VLOOKUP(A372,Classification!A:D,2,FALSE)</f>
        <v>F</v>
      </c>
      <c r="E372" s="5" t="str">
        <f>VLOOKUP(A372,Seqs!A:B,2,FALSE)</f>
        <v>MRPRSALPRLLLPLLLLPAAGPAQFHGEKGISIPDHGFCQPISIPLCTDIAYNQTIMPNLLGHTNQEDAGLEVHQFYPLVKVQCSPELRFFLCSMYAPVCTVLEQAIPPCRSICERARQGCEALMNKFGFQWPERLRCEHFPRHGAEQICVGQNHSEDGAPALLTTAPPPGLQPGAGGTPGGPGGGGAPPRYATLEHPFHCPRVLKVPSYLSYKFLGERDCAAPCEPARPDGSMFFSQEETRFARLWILTWSVLCCASTFFTVTTYLVDMQRFRYPERPIIFLSGCYTMVSVAYIAGFVLQERVVCNERFSEDGYRTVVQGTKKEGCTILFMMLYFFSMASSIWWVILSLTWFLAAGMKWGHEAIEANSQYFHLAAWAVPAVKTITILAMGQIDGDLLSGVCFVGLNSLDPLRGFVLAPLFVYLFIGTSFLLAGFVSLFRIRTIMKHDGTKTEKLERLMVRIGVFSVLYTVPATIVIACYFYEQAFREHWERSWVSQHCKSLAIPCPAHYTPRMSPDFTVYMIKYLMTLIVGITSGFWIWSGKTLHSWRKFYTRLTNSRHGETTV</v>
      </c>
      <c r="F372" s="5" t="str">
        <f t="shared" si="126"/>
        <v>SQEETRFARLWILTWSVLCCASTFFTVTTYLVD</v>
      </c>
      <c r="G372" s="4" t="str">
        <f t="shared" si="127"/>
        <v>MQRFR</v>
      </c>
      <c r="H372" s="4" t="str">
        <f t="shared" si="128"/>
        <v>YPERPIIFLSGCYTMVSVAYIAGFVLQ</v>
      </c>
      <c r="I372" s="4" t="str">
        <f t="shared" si="129"/>
        <v/>
      </c>
      <c r="J372" s="4" t="str">
        <f t="shared" si="130"/>
        <v>KEGCTILFMMLYFFSMASSIWWVILSLTWFLAAG</v>
      </c>
      <c r="K372" s="4" t="str">
        <f t="shared" si="131"/>
        <v/>
      </c>
      <c r="L372" s="4" t="str">
        <f t="shared" si="132"/>
        <v>NSQYFHLAAWAVPAVKTITILAMG</v>
      </c>
      <c r="M372" s="4" t="str">
        <f t="shared" si="133"/>
        <v>CFV</v>
      </c>
      <c r="N372" s="4" t="str">
        <f t="shared" si="134"/>
        <v>SLDPLRGFVLAPLFVYLFIGTSFLLAGFVSLFRIRTIM</v>
      </c>
      <c r="O372" s="4" t="str">
        <f t="shared" si="135"/>
        <v>ERLMVRIGVFSVLYTVPATIVIACYFYEQAFREHWERSWVSQHCKSLAIPC</v>
      </c>
      <c r="P372" s="4" t="str">
        <f t="shared" si="136"/>
        <v>DFTVYMIKYLMTLIVGITSGFWIW</v>
      </c>
      <c r="Q372" s="4" t="str">
        <f t="shared" si="137"/>
        <v>SGKTLHSWRKFYTRLT</v>
      </c>
      <c r="R372" s="5">
        <f>VLOOKUP($A372,'SegEnds_NonXtal_Prot#'!$A:$AL,3,FALSE)</f>
        <v>237</v>
      </c>
      <c r="S372" s="5">
        <f>VLOOKUP($A372,'SegEnds_NonXtal_Prot#'!$A:$AL,6,FALSE)</f>
        <v>270</v>
      </c>
      <c r="T372" s="5">
        <f>VLOOKUP($A372,'SegEnds_NonXtal_Prot#'!$A:$AL,9,FALSE)</f>
        <v>275</v>
      </c>
      <c r="U372" s="5" t="str">
        <f>VLOOKUP($A372,'SegEnds_NonXtal_Prot#'!$A:$AL,12,FALSE)</f>
        <v>-</v>
      </c>
      <c r="V372" s="5">
        <f>VLOOKUP($A372,'SegEnds_NonXtal_Prot#'!$A:$AL,15,FALSE)</f>
        <v>324</v>
      </c>
      <c r="W372" s="5" t="str">
        <f>VLOOKUP($A372,'SegEnds_NonXtal_Prot#'!$A:$AL,18,FALSE)</f>
        <v>-</v>
      </c>
      <c r="X372" s="5">
        <f>VLOOKUP($A372,'SegEnds_NonXtal_Prot#'!$A:$AL,21,FALSE)</f>
        <v>368</v>
      </c>
      <c r="Y372" s="5">
        <f>VLOOKUP($A372,'SegEnds_NonXtal_Prot#'!$A:$AL,24,FALSE)</f>
        <v>402</v>
      </c>
      <c r="Z372" s="5">
        <f>VLOOKUP($A372,'SegEnds_NonXtal_Prot#'!$A:$AL,27,FALSE)</f>
        <v>408</v>
      </c>
      <c r="AA372" s="5">
        <f>VLOOKUP($A372,'SegEnds_NonXtal_Prot#'!$A:$AL,30,FALSE)</f>
        <v>456</v>
      </c>
      <c r="AB372" s="5">
        <f>VLOOKUP($A372,'SegEnds_NonXtal_Prot#'!$A:$AL,33,FALSE)</f>
        <v>517</v>
      </c>
      <c r="AC372" s="5">
        <f>VLOOKUP($A372,'SegEnds_NonXtal_Prot#'!$A:$AL,36,FALSE)</f>
        <v>541</v>
      </c>
      <c r="AD372" s="5">
        <f>VLOOKUP($A372,'SegEnds_NonXtal_Prot#'!$A:$AL,5,FALSE)</f>
        <v>269</v>
      </c>
      <c r="AE372" s="5">
        <f>VLOOKUP($A372,'SegEnds_NonXtal_Prot#'!$A:$AL,8,FALSE)</f>
        <v>274</v>
      </c>
      <c r="AF372" s="5">
        <f>VLOOKUP($A372,'SegEnds_NonXtal_Prot#'!$A:$AL,11,FALSE)</f>
        <v>301</v>
      </c>
      <c r="AG372" s="5" t="str">
        <f>VLOOKUP($A372,'SegEnds_NonXtal_Prot#'!$A:$AL,14,FALSE)</f>
        <v>-</v>
      </c>
      <c r="AH372" s="5">
        <f>VLOOKUP($A372,'SegEnds_NonXtal_Prot#'!$A:$AL,17,FALSE)</f>
        <v>357</v>
      </c>
      <c r="AI372" s="5" t="str">
        <f>VLOOKUP($A372,'SegEnds_NonXtal_Prot#'!$A:$AL,20,FALSE)</f>
        <v>-</v>
      </c>
      <c r="AJ372" s="5">
        <f>VLOOKUP($A372,'SegEnds_NonXtal_Prot#'!$A:$AL,23,FALSE)</f>
        <v>391</v>
      </c>
      <c r="AK372" s="5">
        <f>VLOOKUP($A372,'SegEnds_NonXtal_Prot#'!$A:$AL,26,FALSE)</f>
        <v>404</v>
      </c>
      <c r="AL372" s="5">
        <f>VLOOKUP($A372,'SegEnds_NonXtal_Prot#'!$A:$AL,29,FALSE)</f>
        <v>445</v>
      </c>
      <c r="AM372" s="5">
        <f>VLOOKUP($A372,'SegEnds_NonXtal_Prot#'!$A:$AL,32,FALSE)</f>
        <v>506</v>
      </c>
      <c r="AN372" s="5">
        <f>VLOOKUP($A372,'SegEnds_NonXtal_Prot#'!$A:$AL,35,FALSE)</f>
        <v>540</v>
      </c>
      <c r="AO372" s="5">
        <f>VLOOKUP($A372,'SegEnds_NonXtal_Prot#'!$A:$AL,38,FALSE)</f>
        <v>556</v>
      </c>
      <c r="AP372" s="5">
        <f t="shared" si="138"/>
        <v>32</v>
      </c>
      <c r="AQ372" s="4">
        <f t="shared" si="139"/>
        <v>4</v>
      </c>
      <c r="AR372" s="4">
        <f t="shared" si="140"/>
        <v>26</v>
      </c>
      <c r="AS372" s="4" t="str">
        <f t="shared" si="141"/>
        <v>-</v>
      </c>
      <c r="AT372" s="4">
        <f t="shared" si="142"/>
        <v>33</v>
      </c>
      <c r="AU372" s="4" t="str">
        <f t="shared" si="143"/>
        <v>-</v>
      </c>
      <c r="AV372" s="4">
        <f t="shared" si="144"/>
        <v>23</v>
      </c>
      <c r="AW372" s="4">
        <f t="shared" si="145"/>
        <v>2</v>
      </c>
      <c r="AX372" s="4">
        <f t="shared" si="146"/>
        <v>37</v>
      </c>
      <c r="AY372" s="4">
        <f t="shared" si="147"/>
        <v>50</v>
      </c>
      <c r="AZ372" s="4">
        <f t="shared" si="148"/>
        <v>23</v>
      </c>
      <c r="BA372" s="4">
        <f t="shared" si="149"/>
        <v>15</v>
      </c>
    </row>
    <row r="373" spans="1:53" x14ac:dyDescent="0.2">
      <c r="A373" s="1" t="str">
        <f>'SegEnds_NonXtal_Prot#'!A373</f>
        <v>fzd3_human</v>
      </c>
      <c r="B373" s="1" t="str">
        <f t="shared" si="125"/>
        <v>RREELSFARYFIGLISIICLSATLFTFLTFLIDYPERPIIFYAVCYMMVSLIFFIGFLLENKACTMLFMILYFFTMAGSVWWVILTITWFLAAVKALLFHASAWGIPGTLTIILLAMNDVDALRYFVLAPLCLYVVVGVSLLLAGIISLNRVRIEIVKFMIRIGVFSILYLVPLLVVIGCYFYEQAYRGIWETTWIQERCREYHIPCDLILFLMKYLMALIVGIPSVFWVGSKKTCFEWASFFHGRR</v>
      </c>
      <c r="C373" s="29" t="str">
        <f>IF(ISERROR(MATCH(A373,'SegEnds_Xtal_Prot#'!B:B, 0)), "NoXtal", "Xtal")</f>
        <v>NoXtal</v>
      </c>
      <c r="D373" s="4" t="str">
        <f>VLOOKUP(A373,Classification!A:D,2,FALSE)</f>
        <v>F</v>
      </c>
      <c r="E373" s="5" t="str">
        <f>VLOOKUP(A373,Seqs!A:B,2,FALSE)</f>
        <v>MAMTWIVFSLWPLTVFMGHIGGHSLFSCEPITLRMCQDLPYNTTFMPNLLNHYDQQTAALAMEPFHPMVNLDCSRDFRPFLCALYAPICMEYGRVTLPCRRLCQRAYSECSKLMEMFGVPWPEDMECSRFPDCDEPYPRLVDLNLAGEPTEGAPVAVQRDYGFWCPRELKIDPDLGYSFLHVRDCSPPCPNMYFRREELSFARYFIGLISIICLSATLFTFLTFLIDVTRFRYPERPIIFYAVCYMMVSLIFFIGFLLEDRVACNASIPAQYKASTVTQGSHNKACTMLFMILYFFTMAGSVWWVILTITWFLAAVPKWGSEAIEKKALLFHASAWGIPGTLTIILLAMNKIEGDNISGVCFVGLYDVDALRYFVLAPLCLYVVVGVSLLLAGIISLNRVRIEIPLEKENQDKLVKFMIRIGVFSILYLVPLLVVIGCYFYEQAYRGIWETTWIQERCREYHIPCPYQVTQMSRPDLILFLMKYLMALIVGIPSVFWVGSKKTCFEWASFFHGRRKKEIVNESRQVLQEPDFAQSLLRDPNTPIIRKSRGTSTQGTSTHASSTQLAMVDDQRSKAGSIHSKVSSYHGSLHRSRDGRYTPCSYRGMEERLPHGSMSRLTDHSRHSSSHRLNEQSRHSSIRDLSNNPMTHITHGTSMNRVIEEDGTSA</v>
      </c>
      <c r="F373" s="5" t="str">
        <f t="shared" si="126"/>
        <v>RREELSFARYFIGLISIICLSATLFTFLTFLID</v>
      </c>
      <c r="G373" s="4" t="str">
        <f t="shared" si="127"/>
        <v>VTRFR</v>
      </c>
      <c r="H373" s="4" t="str">
        <f t="shared" si="128"/>
        <v>YPERPIIFYAVCYMMVSLIFFIGFLLE</v>
      </c>
      <c r="I373" s="4" t="str">
        <f t="shared" si="129"/>
        <v/>
      </c>
      <c r="J373" s="4" t="str">
        <f t="shared" si="130"/>
        <v>NKACTMLFMILYFFTMAGSVWWVILTITWFLAAV</v>
      </c>
      <c r="K373" s="4" t="str">
        <f t="shared" si="131"/>
        <v/>
      </c>
      <c r="L373" s="4" t="str">
        <f t="shared" si="132"/>
        <v>KALLFHASAWGIPGTLTIILLAMN</v>
      </c>
      <c r="M373" s="4" t="str">
        <f t="shared" si="133"/>
        <v>CFV</v>
      </c>
      <c r="N373" s="4" t="str">
        <f t="shared" si="134"/>
        <v>DVDALRYFVLAPLCLYVVVGVSLLLAGIISLNRVRIEI</v>
      </c>
      <c r="O373" s="4" t="str">
        <f t="shared" si="135"/>
        <v>VKFMIRIGVFSILYLVPLLVVIGCYFYEQAYRGIWETTWIQERCREYHIPC</v>
      </c>
      <c r="P373" s="4" t="str">
        <f t="shared" si="136"/>
        <v>DLILFLMKYLMALIVGIPSVFWVG</v>
      </c>
      <c r="Q373" s="4" t="str">
        <f t="shared" si="137"/>
        <v>SKKTCFEWASFFHGRR</v>
      </c>
      <c r="R373" s="5">
        <f>VLOOKUP($A373,'SegEnds_NonXtal_Prot#'!$A:$AL,3,FALSE)</f>
        <v>195</v>
      </c>
      <c r="S373" s="5">
        <f>VLOOKUP($A373,'SegEnds_NonXtal_Prot#'!$A:$AL,6,FALSE)</f>
        <v>228</v>
      </c>
      <c r="T373" s="5">
        <f>VLOOKUP($A373,'SegEnds_NonXtal_Prot#'!$A:$AL,9,FALSE)</f>
        <v>233</v>
      </c>
      <c r="U373" s="5" t="str">
        <f>VLOOKUP($A373,'SegEnds_NonXtal_Prot#'!$A:$AL,12,FALSE)</f>
        <v>-</v>
      </c>
      <c r="V373" s="5">
        <f>VLOOKUP($A373,'SegEnds_NonXtal_Prot#'!$A:$AL,15,FALSE)</f>
        <v>283</v>
      </c>
      <c r="W373" s="5" t="str">
        <f>VLOOKUP($A373,'SegEnds_NonXtal_Prot#'!$A:$AL,18,FALSE)</f>
        <v>-</v>
      </c>
      <c r="X373" s="5">
        <f>VLOOKUP($A373,'SegEnds_NonXtal_Prot#'!$A:$AL,21,FALSE)</f>
        <v>327</v>
      </c>
      <c r="Y373" s="5">
        <f>VLOOKUP($A373,'SegEnds_NonXtal_Prot#'!$A:$AL,24,FALSE)</f>
        <v>361</v>
      </c>
      <c r="Z373" s="5">
        <f>VLOOKUP($A373,'SegEnds_NonXtal_Prot#'!$A:$AL,27,FALSE)</f>
        <v>367</v>
      </c>
      <c r="AA373" s="5">
        <f>VLOOKUP($A373,'SegEnds_NonXtal_Prot#'!$A:$AL,30,FALSE)</f>
        <v>415</v>
      </c>
      <c r="AB373" s="5">
        <f>VLOOKUP($A373,'SegEnds_NonXtal_Prot#'!$A:$AL,33,FALSE)</f>
        <v>476</v>
      </c>
      <c r="AC373" s="5">
        <f>VLOOKUP($A373,'SegEnds_NonXtal_Prot#'!$A:$AL,36,FALSE)</f>
        <v>500</v>
      </c>
      <c r="AD373" s="5">
        <f>VLOOKUP($A373,'SegEnds_NonXtal_Prot#'!$A:$AL,5,FALSE)</f>
        <v>227</v>
      </c>
      <c r="AE373" s="5">
        <f>VLOOKUP($A373,'SegEnds_NonXtal_Prot#'!$A:$AL,8,FALSE)</f>
        <v>232</v>
      </c>
      <c r="AF373" s="5">
        <f>VLOOKUP($A373,'SegEnds_NonXtal_Prot#'!$A:$AL,11,FALSE)</f>
        <v>259</v>
      </c>
      <c r="AG373" s="5" t="str">
        <f>VLOOKUP($A373,'SegEnds_NonXtal_Prot#'!$A:$AL,14,FALSE)</f>
        <v>-</v>
      </c>
      <c r="AH373" s="5">
        <f>VLOOKUP($A373,'SegEnds_NonXtal_Prot#'!$A:$AL,17,FALSE)</f>
        <v>316</v>
      </c>
      <c r="AI373" s="5" t="str">
        <f>VLOOKUP($A373,'SegEnds_NonXtal_Prot#'!$A:$AL,20,FALSE)</f>
        <v>-</v>
      </c>
      <c r="AJ373" s="5">
        <f>VLOOKUP($A373,'SegEnds_NonXtal_Prot#'!$A:$AL,23,FALSE)</f>
        <v>350</v>
      </c>
      <c r="AK373" s="5">
        <f>VLOOKUP($A373,'SegEnds_NonXtal_Prot#'!$A:$AL,26,FALSE)</f>
        <v>363</v>
      </c>
      <c r="AL373" s="5">
        <f>VLOOKUP($A373,'SegEnds_NonXtal_Prot#'!$A:$AL,29,FALSE)</f>
        <v>404</v>
      </c>
      <c r="AM373" s="5">
        <f>VLOOKUP($A373,'SegEnds_NonXtal_Prot#'!$A:$AL,32,FALSE)</f>
        <v>465</v>
      </c>
      <c r="AN373" s="5">
        <f>VLOOKUP($A373,'SegEnds_NonXtal_Prot#'!$A:$AL,35,FALSE)</f>
        <v>499</v>
      </c>
      <c r="AO373" s="5">
        <f>VLOOKUP($A373,'SegEnds_NonXtal_Prot#'!$A:$AL,38,FALSE)</f>
        <v>515</v>
      </c>
      <c r="AP373" s="5">
        <f t="shared" si="138"/>
        <v>32</v>
      </c>
      <c r="AQ373" s="4">
        <f t="shared" si="139"/>
        <v>4</v>
      </c>
      <c r="AR373" s="4">
        <f t="shared" si="140"/>
        <v>26</v>
      </c>
      <c r="AS373" s="4" t="str">
        <f t="shared" si="141"/>
        <v>-</v>
      </c>
      <c r="AT373" s="4">
        <f t="shared" si="142"/>
        <v>33</v>
      </c>
      <c r="AU373" s="4" t="str">
        <f t="shared" si="143"/>
        <v>-</v>
      </c>
      <c r="AV373" s="4">
        <f t="shared" si="144"/>
        <v>23</v>
      </c>
      <c r="AW373" s="4">
        <f t="shared" si="145"/>
        <v>2</v>
      </c>
      <c r="AX373" s="4">
        <f t="shared" si="146"/>
        <v>37</v>
      </c>
      <c r="AY373" s="4">
        <f t="shared" si="147"/>
        <v>50</v>
      </c>
      <c r="AZ373" s="4">
        <f t="shared" si="148"/>
        <v>23</v>
      </c>
      <c r="BA373" s="4">
        <f t="shared" si="149"/>
        <v>15</v>
      </c>
    </row>
    <row r="374" spans="1:53" x14ac:dyDescent="0.2">
      <c r="A374" s="1" t="str">
        <f>'SegEnds_NonXtal_Prot#'!A374</f>
        <v>fzd4_human</v>
      </c>
      <c r="B374" s="1" t="str">
        <f t="shared" si="125"/>
        <v>SRSAKEFTDIWMAVWASLCFISTAFTVLTFLIDYPERPIIFLSMCYNIYSIAYIVRLTVGNTGCAIIFLLMYFFGMASSIWWVILTLTWFLAAGHSSYFHIAAWAIPAVKTIVILIMRNLDALTGFVVAPLFTYLVIGTLFIAAGLVALFKIRSNLERLMVKIGVFSVLYTVPATCVIACYFYEISNNMAVEMLKIFMSLLVGITSGMWIWSAKTLHTWQKCSNRLV</v>
      </c>
      <c r="C374" s="29" t="str">
        <f>IF(ISERROR(MATCH(A374,'SegEnds_Xtal_Prot#'!B:B, 0)), "NoXtal", "Xtal")</f>
        <v>Xtal</v>
      </c>
      <c r="D374" s="4" t="str">
        <f>VLOOKUP(A374,Classification!A:D,2,FALSE)</f>
        <v>F</v>
      </c>
      <c r="E374" s="5" t="str">
        <f>VLOOKUP(A374,Seqs!A:B,2,FALSE)</f>
        <v>MAWRGAGPSVPGAPGGVGLSLGLLLQLLLLLGPARGFGDEEERRCDPIRISMCQNLGYNVTKMPNLVGHELQTDAELQLTTFTPLIQYGCSSQLQFFLCSVYVPMCTEKINIPIGPCGGMCLSVKRRCEPVLKEFGFAWPESLNCSKFPPQNDHNHMCMEGPGDEEVPLPHKTPIQPGEECHSVGTNSDQYIWVKRSLNCVLKCGYDAGLYSRSAKEFTDIWMAVWASLCFISTAFTVLTFLIDSSRFSYPERPIIFLSMCYNIYSIAYIVRLTVGRERISCDFEEAAEPVLIQEGLKNTGCAIIFLLMYFFGMASSIWWVILTLTWFLAAGLKWGHEAIEMHSSYFHIAAWAIPAVKTIVILIMRLVDADELTGLCYVGNQNLDALTGFVVAPLFTYLVIGTLFIAAGLVALFKIRSNLQKDGTKTDKLERLMVKIGVFSVLYTVPATCVIACYFYEISNWALFRYSADDSNMAVEMLKIFMSLLVGITSGMWIWSAKTLHTWQKCSNRLVNSGKVKREKRGNGWVKPGKGSETVV</v>
      </c>
      <c r="F374" s="5" t="str">
        <f t="shared" si="126"/>
        <v>SRSAKEFTDIWMAVWASLCFISTAFTVLTFLID</v>
      </c>
      <c r="G374" s="4" t="str">
        <f t="shared" si="127"/>
        <v>SSRFS</v>
      </c>
      <c r="H374" s="4" t="str">
        <f t="shared" si="128"/>
        <v>YPERPIIFLSMCYNIYSIAYIVRLTVG</v>
      </c>
      <c r="I374" s="4" t="str">
        <f t="shared" si="129"/>
        <v/>
      </c>
      <c r="J374" s="4" t="str">
        <f t="shared" si="130"/>
        <v>NTGCAIIFLLMYFFGMASSIWWVILTLTWFLAAG</v>
      </c>
      <c r="K374" s="4" t="str">
        <f t="shared" si="131"/>
        <v/>
      </c>
      <c r="L374" s="4" t="str">
        <f t="shared" si="132"/>
        <v>HSSYFHIAAWAIPAVKTIVILIMR</v>
      </c>
      <c r="M374" s="4" t="str">
        <f t="shared" si="133"/>
        <v>CYV</v>
      </c>
      <c r="N374" s="4" t="str">
        <f t="shared" si="134"/>
        <v>NLDALTGFVVAPLFTYLVIGTLFIAAGLVALFKIRSNL</v>
      </c>
      <c r="O374" s="4" t="str">
        <f t="shared" si="135"/>
        <v>ERLMVKIGVFSVLYTVPATCVIACYFYEISN</v>
      </c>
      <c r="P374" s="4" t="str">
        <f t="shared" si="136"/>
        <v>NMAVEMLKIFMSLLVGITSGMWIW</v>
      </c>
      <c r="Q374" s="4" t="str">
        <f t="shared" si="137"/>
        <v>SAKTLHTWQKCSNRLV</v>
      </c>
      <c r="R374" s="5">
        <f>VLOOKUP($A374,'SegEnds_NonXtal_Prot#'!$A:$AL,3,FALSE)</f>
        <v>212</v>
      </c>
      <c r="S374" s="5">
        <f>VLOOKUP($A374,'SegEnds_NonXtal_Prot#'!$A:$AL,6,FALSE)</f>
        <v>245</v>
      </c>
      <c r="T374" s="5">
        <f>VLOOKUP($A374,'SegEnds_NonXtal_Prot#'!$A:$AL,9,FALSE)</f>
        <v>250</v>
      </c>
      <c r="U374" s="5" t="str">
        <f>VLOOKUP($A374,'SegEnds_NonXtal_Prot#'!$A:$AL,12,FALSE)</f>
        <v>-</v>
      </c>
      <c r="V374" s="5">
        <f>VLOOKUP($A374,'SegEnds_NonXtal_Prot#'!$A:$AL,15,FALSE)</f>
        <v>299</v>
      </c>
      <c r="W374" s="5" t="str">
        <f>VLOOKUP($A374,'SegEnds_NonXtal_Prot#'!$A:$AL,18,FALSE)</f>
        <v>-</v>
      </c>
      <c r="X374" s="5">
        <f>VLOOKUP($A374,'SegEnds_NonXtal_Prot#'!$A:$AL,21,FALSE)</f>
        <v>343</v>
      </c>
      <c r="Y374" s="5">
        <f>VLOOKUP($A374,'SegEnds_NonXtal_Prot#'!$A:$AL,24,FALSE)</f>
        <v>377</v>
      </c>
      <c r="Z374" s="5">
        <f>VLOOKUP($A374,'SegEnds_NonXtal_Prot#'!$A:$AL,27,FALSE)</f>
        <v>383</v>
      </c>
      <c r="AA374" s="5">
        <f>VLOOKUP($A374,'SegEnds_NonXtal_Prot#'!$A:$AL,30,FALSE)</f>
        <v>431</v>
      </c>
      <c r="AB374" s="5">
        <f>VLOOKUP($A374,'SegEnds_NonXtal_Prot#'!$A:$AL,33,FALSE)</f>
        <v>473</v>
      </c>
      <c r="AC374" s="5">
        <f>VLOOKUP($A374,'SegEnds_NonXtal_Prot#'!$A:$AL,36,FALSE)</f>
        <v>497</v>
      </c>
      <c r="AD374" s="5">
        <f>VLOOKUP($A374,'SegEnds_NonXtal_Prot#'!$A:$AL,5,FALSE)</f>
        <v>244</v>
      </c>
      <c r="AE374" s="5">
        <f>VLOOKUP($A374,'SegEnds_NonXtal_Prot#'!$A:$AL,8,FALSE)</f>
        <v>249</v>
      </c>
      <c r="AF374" s="5">
        <f>VLOOKUP($A374,'SegEnds_NonXtal_Prot#'!$A:$AL,11,FALSE)</f>
        <v>276</v>
      </c>
      <c r="AG374" s="5" t="str">
        <f>VLOOKUP($A374,'SegEnds_NonXtal_Prot#'!$A:$AL,14,FALSE)</f>
        <v>-</v>
      </c>
      <c r="AH374" s="5">
        <f>VLOOKUP($A374,'SegEnds_NonXtal_Prot#'!$A:$AL,17,FALSE)</f>
        <v>332</v>
      </c>
      <c r="AI374" s="5" t="str">
        <f>VLOOKUP($A374,'SegEnds_NonXtal_Prot#'!$A:$AL,20,FALSE)</f>
        <v>-</v>
      </c>
      <c r="AJ374" s="5">
        <f>VLOOKUP($A374,'SegEnds_NonXtal_Prot#'!$A:$AL,23,FALSE)</f>
        <v>366</v>
      </c>
      <c r="AK374" s="5">
        <f>VLOOKUP($A374,'SegEnds_NonXtal_Prot#'!$A:$AL,26,FALSE)</f>
        <v>379</v>
      </c>
      <c r="AL374" s="5">
        <f>VLOOKUP($A374,'SegEnds_NonXtal_Prot#'!$A:$AL,29,FALSE)</f>
        <v>420</v>
      </c>
      <c r="AM374" s="5">
        <f>VLOOKUP($A374,'SegEnds_NonXtal_Prot#'!$A:$AL,32,FALSE)</f>
        <v>461</v>
      </c>
      <c r="AN374" s="5">
        <f>VLOOKUP($A374,'SegEnds_NonXtal_Prot#'!$A:$AL,35,FALSE)</f>
        <v>496</v>
      </c>
      <c r="AO374" s="5">
        <f>VLOOKUP($A374,'SegEnds_NonXtal_Prot#'!$A:$AL,38,FALSE)</f>
        <v>512</v>
      </c>
      <c r="AP374" s="5">
        <f t="shared" si="138"/>
        <v>32</v>
      </c>
      <c r="AQ374" s="4">
        <f t="shared" si="139"/>
        <v>4</v>
      </c>
      <c r="AR374" s="4">
        <f t="shared" si="140"/>
        <v>26</v>
      </c>
      <c r="AS374" s="4" t="str">
        <f t="shared" si="141"/>
        <v>-</v>
      </c>
      <c r="AT374" s="4">
        <f t="shared" si="142"/>
        <v>33</v>
      </c>
      <c r="AU374" s="4" t="str">
        <f t="shared" si="143"/>
        <v>-</v>
      </c>
      <c r="AV374" s="4">
        <f t="shared" si="144"/>
        <v>23</v>
      </c>
      <c r="AW374" s="4">
        <f t="shared" si="145"/>
        <v>2</v>
      </c>
      <c r="AX374" s="4">
        <f t="shared" si="146"/>
        <v>37</v>
      </c>
      <c r="AY374" s="4">
        <f t="shared" si="147"/>
        <v>30</v>
      </c>
      <c r="AZ374" s="4">
        <f t="shared" si="148"/>
        <v>23</v>
      </c>
      <c r="BA374" s="4">
        <f t="shared" si="149"/>
        <v>15</v>
      </c>
    </row>
    <row r="375" spans="1:53" x14ac:dyDescent="0.2">
      <c r="A375" s="1" t="str">
        <f>'SegEnds_NonXtal_Prot#'!A375</f>
        <v>fzd5_human</v>
      </c>
      <c r="B375" s="1" t="str">
        <f t="shared" si="125"/>
        <v>SADERTFATFWIGLWSVLCFISTSTTVATFLIDYPERPIIFLSACYLCVSLGFLVRLVVGPALCTIVFLLVYFFGMASSIWWVILSLTWFLAAGYAQYFHLAAWLIPSVKSITALALSNLNSLRGFVLGPLVLYLLVGTLFLLAGFVSLFRIRSVIEKLMIRIGIFTLLYTVPASIVVACYLYEQHYRESWEAALTCACPGHDTGQPEYWVLMLKYFMCLVVGITSGVWIWSGKTVESWRRFTSRCC</v>
      </c>
      <c r="C375" s="29" t="str">
        <f>IF(ISERROR(MATCH(A375,'SegEnds_Xtal_Prot#'!B:B, 0)), "NoXtal", "Xtal")</f>
        <v>NoXtal</v>
      </c>
      <c r="D375" s="4" t="str">
        <f>VLOOKUP(A375,Classification!A:D,2,FALSE)</f>
        <v>F</v>
      </c>
      <c r="E375" s="5" t="str">
        <f>VLOOKUP(A375,Seqs!A:B,2,FALSE)</f>
        <v>MARPDPSAPPSLLLLLLAQLVGRAAAASKAPVCQEITVPMCRGIGYNLTHMPNQFNHDTQDEAGLEVHQFWPLVEIQCSPDLRFFLCSMYTPICLPDYHKPLPPCRSVCERAKAGCSPLMRQYGFAWPERMSCDRLPVLGRDAEVLCMDYNRSEATTAPPRPFPAKPTLPGPPGAPASGGECPAGGPFVCKCREPFVPILKESHPLYNKVRTGQVPNCAVPCYQPSFSADERTFATFWIGLWSVLCFISTSTTVATFLIDMERFRYPERPIIFLSACYLCVSLGFLVRLVVGHASVACSREHNHIHYETTGPALCTIVFLLVYFFGMASSIWWVILSLTWFLAAGMKWGNEAIAGYAQYFHLAAWLIPSVKSITALALSSVDGDPVAGICYVGNQNLNSLRGFVLGPLVLYLLVGTLFLLAGFVSLFRIRSVIKQGGTKTDKLEKLMIRIGIFTLLYTVPASIVVACYLYEQHYRESWEAALTCACPGHDTGQPRAKPEYWVLMLKYFMCLVVGITSGVWIWSGKTVESWRRFTSRCCCRPRRGHKSGGAMAAGDYPEASAALTGRTGPPGPAATYHKQVSLSHV</v>
      </c>
      <c r="F375" s="5" t="str">
        <f t="shared" si="126"/>
        <v>SADERTFATFWIGLWSVLCFISTSTTVATFLID</v>
      </c>
      <c r="G375" s="4" t="str">
        <f t="shared" si="127"/>
        <v>MERFR</v>
      </c>
      <c r="H375" s="4" t="str">
        <f t="shared" si="128"/>
        <v>YPERPIIFLSACYLCVSLGFLVRLVVG</v>
      </c>
      <c r="I375" s="4" t="str">
        <f t="shared" si="129"/>
        <v/>
      </c>
      <c r="J375" s="4" t="str">
        <f t="shared" si="130"/>
        <v>PALCTIVFLLVYFFGMASSIWWVILSLTWFLAAG</v>
      </c>
      <c r="K375" s="4" t="str">
        <f t="shared" si="131"/>
        <v/>
      </c>
      <c r="L375" s="4" t="str">
        <f t="shared" si="132"/>
        <v>YAQYFHLAAWLIPSVKSITALALS</v>
      </c>
      <c r="M375" s="4" t="str">
        <f t="shared" si="133"/>
        <v>CYV</v>
      </c>
      <c r="N375" s="4" t="str">
        <f t="shared" si="134"/>
        <v>NLNSLRGFVLGPLVLYLLVGTLFLLAGFVSLFRIRSVI</v>
      </c>
      <c r="O375" s="4" t="str">
        <f t="shared" si="135"/>
        <v>EKLMIRIGIFTLLYTVPASIVVACYLYEQHYRESWEAALTCACPGHDTGQP</v>
      </c>
      <c r="P375" s="4" t="str">
        <f t="shared" si="136"/>
        <v>EYWVLMLKYFMCLVVGITSGVWIW</v>
      </c>
      <c r="Q375" s="4" t="str">
        <f t="shared" si="137"/>
        <v>SGKTVESWRRFTSRCC</v>
      </c>
      <c r="R375" s="5">
        <f>VLOOKUP($A375,'SegEnds_NonXtal_Prot#'!$A:$AL,3,FALSE)</f>
        <v>228</v>
      </c>
      <c r="S375" s="5">
        <f>VLOOKUP($A375,'SegEnds_NonXtal_Prot#'!$A:$AL,6,FALSE)</f>
        <v>261</v>
      </c>
      <c r="T375" s="5">
        <f>VLOOKUP($A375,'SegEnds_NonXtal_Prot#'!$A:$AL,9,FALSE)</f>
        <v>266</v>
      </c>
      <c r="U375" s="5" t="str">
        <f>VLOOKUP($A375,'SegEnds_NonXtal_Prot#'!$A:$AL,12,FALSE)</f>
        <v>-</v>
      </c>
      <c r="V375" s="5">
        <f>VLOOKUP($A375,'SegEnds_NonXtal_Prot#'!$A:$AL,15,FALSE)</f>
        <v>312</v>
      </c>
      <c r="W375" s="5" t="str">
        <f>VLOOKUP($A375,'SegEnds_NonXtal_Prot#'!$A:$AL,18,FALSE)</f>
        <v>-</v>
      </c>
      <c r="X375" s="5">
        <f>VLOOKUP($A375,'SegEnds_NonXtal_Prot#'!$A:$AL,21,FALSE)</f>
        <v>356</v>
      </c>
      <c r="Y375" s="5">
        <f>VLOOKUP($A375,'SegEnds_NonXtal_Prot#'!$A:$AL,24,FALSE)</f>
        <v>390</v>
      </c>
      <c r="Z375" s="5">
        <f>VLOOKUP($A375,'SegEnds_NonXtal_Prot#'!$A:$AL,27,FALSE)</f>
        <v>396</v>
      </c>
      <c r="AA375" s="5">
        <f>VLOOKUP($A375,'SegEnds_NonXtal_Prot#'!$A:$AL,30,FALSE)</f>
        <v>444</v>
      </c>
      <c r="AB375" s="5">
        <f>VLOOKUP($A375,'SegEnds_NonXtal_Prot#'!$A:$AL,33,FALSE)</f>
        <v>499</v>
      </c>
      <c r="AC375" s="5">
        <f>VLOOKUP($A375,'SegEnds_NonXtal_Prot#'!$A:$AL,36,FALSE)</f>
        <v>523</v>
      </c>
      <c r="AD375" s="5">
        <f>VLOOKUP($A375,'SegEnds_NonXtal_Prot#'!$A:$AL,5,FALSE)</f>
        <v>260</v>
      </c>
      <c r="AE375" s="5">
        <f>VLOOKUP($A375,'SegEnds_NonXtal_Prot#'!$A:$AL,8,FALSE)</f>
        <v>265</v>
      </c>
      <c r="AF375" s="5">
        <f>VLOOKUP($A375,'SegEnds_NonXtal_Prot#'!$A:$AL,11,FALSE)</f>
        <v>292</v>
      </c>
      <c r="AG375" s="5" t="str">
        <f>VLOOKUP($A375,'SegEnds_NonXtal_Prot#'!$A:$AL,14,FALSE)</f>
        <v>-</v>
      </c>
      <c r="AH375" s="5">
        <f>VLOOKUP($A375,'SegEnds_NonXtal_Prot#'!$A:$AL,17,FALSE)</f>
        <v>345</v>
      </c>
      <c r="AI375" s="5" t="str">
        <f>VLOOKUP($A375,'SegEnds_NonXtal_Prot#'!$A:$AL,20,FALSE)</f>
        <v>-</v>
      </c>
      <c r="AJ375" s="5">
        <f>VLOOKUP($A375,'SegEnds_NonXtal_Prot#'!$A:$AL,23,FALSE)</f>
        <v>379</v>
      </c>
      <c r="AK375" s="5">
        <f>VLOOKUP($A375,'SegEnds_NonXtal_Prot#'!$A:$AL,26,FALSE)</f>
        <v>392</v>
      </c>
      <c r="AL375" s="5">
        <f>VLOOKUP($A375,'SegEnds_NonXtal_Prot#'!$A:$AL,29,FALSE)</f>
        <v>433</v>
      </c>
      <c r="AM375" s="5">
        <f>VLOOKUP($A375,'SegEnds_NonXtal_Prot#'!$A:$AL,32,FALSE)</f>
        <v>494</v>
      </c>
      <c r="AN375" s="5">
        <f>VLOOKUP($A375,'SegEnds_NonXtal_Prot#'!$A:$AL,35,FALSE)</f>
        <v>522</v>
      </c>
      <c r="AO375" s="5">
        <f>VLOOKUP($A375,'SegEnds_NonXtal_Prot#'!$A:$AL,38,FALSE)</f>
        <v>538</v>
      </c>
      <c r="AP375" s="5">
        <f t="shared" si="138"/>
        <v>32</v>
      </c>
      <c r="AQ375" s="4">
        <f t="shared" si="139"/>
        <v>4</v>
      </c>
      <c r="AR375" s="4">
        <f t="shared" si="140"/>
        <v>26</v>
      </c>
      <c r="AS375" s="4" t="str">
        <f t="shared" si="141"/>
        <v>-</v>
      </c>
      <c r="AT375" s="4">
        <f t="shared" si="142"/>
        <v>33</v>
      </c>
      <c r="AU375" s="4" t="str">
        <f t="shared" si="143"/>
        <v>-</v>
      </c>
      <c r="AV375" s="4">
        <f t="shared" si="144"/>
        <v>23</v>
      </c>
      <c r="AW375" s="4">
        <f t="shared" si="145"/>
        <v>2</v>
      </c>
      <c r="AX375" s="4">
        <f t="shared" si="146"/>
        <v>37</v>
      </c>
      <c r="AY375" s="4">
        <f t="shared" si="147"/>
        <v>50</v>
      </c>
      <c r="AZ375" s="4">
        <f t="shared" si="148"/>
        <v>23</v>
      </c>
      <c r="BA375" s="4">
        <f t="shared" si="149"/>
        <v>15</v>
      </c>
    </row>
    <row r="376" spans="1:53" x14ac:dyDescent="0.2">
      <c r="A376" s="1" t="str">
        <f>'SegEnds_NonXtal_Prot#'!A376</f>
        <v>fzd6_human</v>
      </c>
      <c r="B376" s="1" t="str">
        <f t="shared" si="125"/>
        <v>KSDELEFAKSFIGTVSIFCLCATLFTFLTFLIDYPERPIIYYSVCYSIVSLMYFIGFLLGNKACTVLFMLLYFFTMAGTVWWVILTITWFLAAGKAVWFHAVAWGTPGFLTVMLLAMNDLDASRYFVLLPLCLCVFVGLSLLLAGIISLNHVRQVIKKFMIRIGVFSGLYLVPLVTLLGCYVYEQVNRITWEITWVSDHCRQYHIPCELALFMIKYLMTLIVGISAVFWVGSKKTCTEWAGFFKRNR</v>
      </c>
      <c r="C376" s="29" t="str">
        <f>IF(ISERROR(MATCH(A376,'SegEnds_Xtal_Prot#'!B:B, 0)), "NoXtal", "Xtal")</f>
        <v>NoXtal</v>
      </c>
      <c r="D376" s="4" t="str">
        <f>VLOOKUP(A376,Classification!A:D,2,FALSE)</f>
        <v>F</v>
      </c>
      <c r="E376" s="5" t="str">
        <f>VLOOKUP(A376,Seqs!A:B,2,FALSE)</f>
        <v>MEMFTFLLTCIFLPLLRGHSLFTCEPITVPRCMKMAYNMTFFPNLMGHYDQSIAAVEMEHFLPLANLECSPNIETFLCKAFVPTCIEQIHVVPPCRKLCEKVYSDCKKLIDTFGIRWPEELECDRLQYCDETVPVTFDPHTEFLGPQKKTEQVQRDIGFWCPRHLKTSGGQGYKFLGIDQCAPPCPNMYFKSDELEFAKSFIGTVSIFCLCATLFTFLTFLIDVRRFRYPERPIIYYSVCYSIVSLMYFIGFLLGDSTACNKADEKLELGDTVVLGSQNKACTVLFMLLYFFTMAGTVWWVILTITWFLAAGRKWSCEAIEQKAVWFHAVAWGTPGFLTVMLLAMNKVEGDNISGVCFVGLYDLDASRYFVLLPLCLCVFVGLSLLLAGIISLNHVRQVIQHDGRNQEKLKKFMIRIGVFSGLYLVPLVTLLGCYVYEQVNRITWEITWVSDHCRQYHIPCPYQAKAKARPELALFMIKYLMTLIVGISAVFWVGSKKTCTEWAGFFKRNRKRDPISESRRVLQESCEFFLKHNSKVKHKKKHYKPSSHKLKVISKSMGTSTGATANHGTSAVAITSHDYLGQETLTEIQTSPETSMREVKADGASTPRLREQDCGEPASPAASISRLSGEQVDGKGQAGSVSESARSEGRISPKSDITDTGLAQSNNLQVPSSSEPSSLKGSTSLLVHPVSGVRKEQGGGCHSDT</v>
      </c>
      <c r="F376" s="5" t="str">
        <f t="shared" si="126"/>
        <v>KSDELEFAKSFIGTVSIFCLCATLFTFLTFLID</v>
      </c>
      <c r="G376" s="4" t="str">
        <f t="shared" si="127"/>
        <v>VRRFR</v>
      </c>
      <c r="H376" s="4" t="str">
        <f t="shared" si="128"/>
        <v>YPERPIIYYSVCYSIVSLMYFIGFLLG</v>
      </c>
      <c r="I376" s="4" t="str">
        <f t="shared" si="129"/>
        <v/>
      </c>
      <c r="J376" s="4" t="str">
        <f t="shared" si="130"/>
        <v>NKACTVLFMLLYFFTMAGTVWWVILTITWFLAAG</v>
      </c>
      <c r="K376" s="4" t="str">
        <f t="shared" si="131"/>
        <v/>
      </c>
      <c r="L376" s="4" t="str">
        <f t="shared" si="132"/>
        <v>KAVWFHAVAWGTPGFLTVMLLAMN</v>
      </c>
      <c r="M376" s="4" t="str">
        <f t="shared" si="133"/>
        <v>CFV</v>
      </c>
      <c r="N376" s="4" t="str">
        <f t="shared" si="134"/>
        <v>DLDASRYFVLLPLCLCVFVGLSLLLAGIISLNHVRQVI</v>
      </c>
      <c r="O376" s="4" t="str">
        <f t="shared" si="135"/>
        <v>KKFMIRIGVFSGLYLVPLVTLLGCYVYEQVNRITWEITWVSDHCRQYHIPC</v>
      </c>
      <c r="P376" s="4" t="str">
        <f t="shared" si="136"/>
        <v>ELALFMIKYLMTLIVGISAVFWVG</v>
      </c>
      <c r="Q376" s="4" t="str">
        <f t="shared" si="137"/>
        <v>SKKTCTEWAGFFKRNR</v>
      </c>
      <c r="R376" s="5">
        <f>VLOOKUP($A376,'SegEnds_NonXtal_Prot#'!$A:$AL,3,FALSE)</f>
        <v>191</v>
      </c>
      <c r="S376" s="5">
        <f>VLOOKUP($A376,'SegEnds_NonXtal_Prot#'!$A:$AL,6,FALSE)</f>
        <v>224</v>
      </c>
      <c r="T376" s="5">
        <f>VLOOKUP($A376,'SegEnds_NonXtal_Prot#'!$A:$AL,9,FALSE)</f>
        <v>229</v>
      </c>
      <c r="U376" s="5" t="str">
        <f>VLOOKUP($A376,'SegEnds_NonXtal_Prot#'!$A:$AL,12,FALSE)</f>
        <v>-</v>
      </c>
      <c r="V376" s="5">
        <f>VLOOKUP($A376,'SegEnds_NonXtal_Prot#'!$A:$AL,15,FALSE)</f>
        <v>279</v>
      </c>
      <c r="W376" s="5" t="str">
        <f>VLOOKUP($A376,'SegEnds_NonXtal_Prot#'!$A:$AL,18,FALSE)</f>
        <v>-</v>
      </c>
      <c r="X376" s="5">
        <f>VLOOKUP($A376,'SegEnds_NonXtal_Prot#'!$A:$AL,21,FALSE)</f>
        <v>323</v>
      </c>
      <c r="Y376" s="5">
        <f>VLOOKUP($A376,'SegEnds_NonXtal_Prot#'!$A:$AL,24,FALSE)</f>
        <v>357</v>
      </c>
      <c r="Z376" s="5">
        <f>VLOOKUP($A376,'SegEnds_NonXtal_Prot#'!$A:$AL,27,FALSE)</f>
        <v>363</v>
      </c>
      <c r="AA376" s="5">
        <f>VLOOKUP($A376,'SegEnds_NonXtal_Prot#'!$A:$AL,30,FALSE)</f>
        <v>411</v>
      </c>
      <c r="AB376" s="5">
        <f>VLOOKUP($A376,'SegEnds_NonXtal_Prot#'!$A:$AL,33,FALSE)</f>
        <v>472</v>
      </c>
      <c r="AC376" s="5">
        <f>VLOOKUP($A376,'SegEnds_NonXtal_Prot#'!$A:$AL,36,FALSE)</f>
        <v>496</v>
      </c>
      <c r="AD376" s="5">
        <f>VLOOKUP($A376,'SegEnds_NonXtal_Prot#'!$A:$AL,5,FALSE)</f>
        <v>223</v>
      </c>
      <c r="AE376" s="5">
        <f>VLOOKUP($A376,'SegEnds_NonXtal_Prot#'!$A:$AL,8,FALSE)</f>
        <v>228</v>
      </c>
      <c r="AF376" s="5">
        <f>VLOOKUP($A376,'SegEnds_NonXtal_Prot#'!$A:$AL,11,FALSE)</f>
        <v>255</v>
      </c>
      <c r="AG376" s="5" t="str">
        <f>VLOOKUP($A376,'SegEnds_NonXtal_Prot#'!$A:$AL,14,FALSE)</f>
        <v>-</v>
      </c>
      <c r="AH376" s="5">
        <f>VLOOKUP($A376,'SegEnds_NonXtal_Prot#'!$A:$AL,17,FALSE)</f>
        <v>312</v>
      </c>
      <c r="AI376" s="5" t="str">
        <f>VLOOKUP($A376,'SegEnds_NonXtal_Prot#'!$A:$AL,20,FALSE)</f>
        <v>-</v>
      </c>
      <c r="AJ376" s="5">
        <f>VLOOKUP($A376,'SegEnds_NonXtal_Prot#'!$A:$AL,23,FALSE)</f>
        <v>346</v>
      </c>
      <c r="AK376" s="5">
        <f>VLOOKUP($A376,'SegEnds_NonXtal_Prot#'!$A:$AL,26,FALSE)</f>
        <v>359</v>
      </c>
      <c r="AL376" s="5">
        <f>VLOOKUP($A376,'SegEnds_NonXtal_Prot#'!$A:$AL,29,FALSE)</f>
        <v>400</v>
      </c>
      <c r="AM376" s="5">
        <f>VLOOKUP($A376,'SegEnds_NonXtal_Prot#'!$A:$AL,32,FALSE)</f>
        <v>461</v>
      </c>
      <c r="AN376" s="5">
        <f>VLOOKUP($A376,'SegEnds_NonXtal_Prot#'!$A:$AL,35,FALSE)</f>
        <v>495</v>
      </c>
      <c r="AO376" s="5">
        <f>VLOOKUP($A376,'SegEnds_NonXtal_Prot#'!$A:$AL,38,FALSE)</f>
        <v>511</v>
      </c>
      <c r="AP376" s="5">
        <f t="shared" si="138"/>
        <v>32</v>
      </c>
      <c r="AQ376" s="4">
        <f t="shared" si="139"/>
        <v>4</v>
      </c>
      <c r="AR376" s="4">
        <f t="shared" si="140"/>
        <v>26</v>
      </c>
      <c r="AS376" s="4" t="str">
        <f t="shared" si="141"/>
        <v>-</v>
      </c>
      <c r="AT376" s="4">
        <f t="shared" si="142"/>
        <v>33</v>
      </c>
      <c r="AU376" s="4" t="str">
        <f t="shared" si="143"/>
        <v>-</v>
      </c>
      <c r="AV376" s="4">
        <f t="shared" si="144"/>
        <v>23</v>
      </c>
      <c r="AW376" s="4">
        <f t="shared" si="145"/>
        <v>2</v>
      </c>
      <c r="AX376" s="4">
        <f t="shared" si="146"/>
        <v>37</v>
      </c>
      <c r="AY376" s="4">
        <f t="shared" si="147"/>
        <v>50</v>
      </c>
      <c r="AZ376" s="4">
        <f t="shared" si="148"/>
        <v>23</v>
      </c>
      <c r="BA376" s="4">
        <f t="shared" si="149"/>
        <v>15</v>
      </c>
    </row>
    <row r="377" spans="1:53" x14ac:dyDescent="0.2">
      <c r="A377" s="1" t="str">
        <f>'SegEnds_NonXtal_Prot#'!A377</f>
        <v>fzd7_human</v>
      </c>
      <c r="B377" s="1" t="str">
        <f t="shared" si="125"/>
        <v>KEEERRFARLWVGVWSVLCCASTLFTVLTYLVDYPERPIIFLSGCYFMVAVAHVAGFLLEKEGCTILFMVLYFFGMASSIWWVILSLTWFLAAGNSQYFHLAAWAVPAVKTITILAMGSVDALRGFVLAPLFVYLFIGTSFLLAGFVSLFRIRTIMEKLMVRIGVFSVLYTVPATIVLACYFYEQAFREHWERTWLLQTCKSYAVPCDFTVFMIKYLMTMIVGITTGFWIWSGKTLQSWRRFYHRLS</v>
      </c>
      <c r="C377" s="29" t="str">
        <f>IF(ISERROR(MATCH(A377,'SegEnds_Xtal_Prot#'!B:B, 0)), "NoXtal", "Xtal")</f>
        <v>NoXtal</v>
      </c>
      <c r="D377" s="4" t="str">
        <f>VLOOKUP(A377,Classification!A:D,2,FALSE)</f>
        <v>F</v>
      </c>
      <c r="E377" s="5" t="str">
        <f>VLOOKUP(A377,Seqs!A:B,2,FALSE)</f>
        <v>MRDPGAAAPLSSLGLCALVLALLGALSAGAGAQPYHGEKGISVPDHGFCQPISIPLCTDIAYNQTILPNLLGHTNQEDAGLEVHQFYPLVKVQCSPELRFFLCSMYAPVCTVLDQAIPPCRSLCERARQGCEALMNKFGFQWPERLRCENFPVHGAGEICVGQNTSDGSGGPGGGPTAYPTAPYLPDLPFTALPPGASDGRGRPAFPFSCPRQLKVPPYLGYRFLGERDCGAPCEPGRANGLMYFKEEERRFARLWVGVWSVLCCASTLFTVLTYLVDMRRFSYPERPIIFLSGCYFMVAVAHVAGFLLEDRAVCVERFSDDGYRTVAQGTKKEGCTILFMVLYFFGMASSIWWVILSLTWFLAAGMKWGHEAIEANSQYFHLAAWAVPAVKTITILAMGQVDGDLLSGVCYVGLSSVDALRGFVLAPLFVYLFIGTSFLLAGFVSLFRIRTIMKHDGTKTEKLEKLMVRIGVFSVLYTVPATIVLACYFYEQAFREHWERTWLLQTCKSYAVPCPPGHFPPMSPDFTVFMIKYLMTMIVGITTGFWIWSGKTLQSWRRFYHRLSHSSKGETAV</v>
      </c>
      <c r="F377" s="5" t="str">
        <f t="shared" si="126"/>
        <v>KEEERRFARLWVGVWSVLCCASTLFTVLTYLVD</v>
      </c>
      <c r="G377" s="4" t="str">
        <f t="shared" si="127"/>
        <v>MRRFS</v>
      </c>
      <c r="H377" s="4" t="str">
        <f t="shared" si="128"/>
        <v>YPERPIIFLSGCYFMVAVAHVAGFLLE</v>
      </c>
      <c r="I377" s="4" t="str">
        <f t="shared" si="129"/>
        <v/>
      </c>
      <c r="J377" s="4" t="str">
        <f t="shared" si="130"/>
        <v>KEGCTILFMVLYFFGMASSIWWVILSLTWFLAAG</v>
      </c>
      <c r="K377" s="4" t="str">
        <f t="shared" si="131"/>
        <v/>
      </c>
      <c r="L377" s="4" t="str">
        <f t="shared" si="132"/>
        <v>NSQYFHLAAWAVPAVKTITILAMG</v>
      </c>
      <c r="M377" s="4" t="str">
        <f t="shared" si="133"/>
        <v>CYV</v>
      </c>
      <c r="N377" s="4" t="str">
        <f t="shared" si="134"/>
        <v>SVDALRGFVLAPLFVYLFIGTSFLLAGFVSLFRIRTIM</v>
      </c>
      <c r="O377" s="4" t="str">
        <f t="shared" si="135"/>
        <v>EKLMVRIGVFSVLYTVPATIVLACYFYEQAFREHWERTWLLQTCKSYAVPC</v>
      </c>
      <c r="P377" s="4" t="str">
        <f t="shared" si="136"/>
        <v>DFTVFMIKYLMTMIVGITTGFWIW</v>
      </c>
      <c r="Q377" s="4" t="str">
        <f t="shared" si="137"/>
        <v>SGKTLQSWRRFYHRLS</v>
      </c>
      <c r="R377" s="5">
        <f>VLOOKUP($A377,'SegEnds_NonXtal_Prot#'!$A:$AL,3,FALSE)</f>
        <v>246</v>
      </c>
      <c r="S377" s="5">
        <f>VLOOKUP($A377,'SegEnds_NonXtal_Prot#'!$A:$AL,6,FALSE)</f>
        <v>279</v>
      </c>
      <c r="T377" s="5">
        <f>VLOOKUP($A377,'SegEnds_NonXtal_Prot#'!$A:$AL,9,FALSE)</f>
        <v>284</v>
      </c>
      <c r="U377" s="5" t="str">
        <f>VLOOKUP($A377,'SegEnds_NonXtal_Prot#'!$A:$AL,12,FALSE)</f>
        <v>-</v>
      </c>
      <c r="V377" s="5">
        <f>VLOOKUP($A377,'SegEnds_NonXtal_Prot#'!$A:$AL,15,FALSE)</f>
        <v>333</v>
      </c>
      <c r="W377" s="5" t="str">
        <f>VLOOKUP($A377,'SegEnds_NonXtal_Prot#'!$A:$AL,18,FALSE)</f>
        <v>-</v>
      </c>
      <c r="X377" s="5">
        <f>VLOOKUP($A377,'SegEnds_NonXtal_Prot#'!$A:$AL,21,FALSE)</f>
        <v>377</v>
      </c>
      <c r="Y377" s="5">
        <f>VLOOKUP($A377,'SegEnds_NonXtal_Prot#'!$A:$AL,24,FALSE)</f>
        <v>411</v>
      </c>
      <c r="Z377" s="5">
        <f>VLOOKUP($A377,'SegEnds_NonXtal_Prot#'!$A:$AL,27,FALSE)</f>
        <v>417</v>
      </c>
      <c r="AA377" s="5">
        <f>VLOOKUP($A377,'SegEnds_NonXtal_Prot#'!$A:$AL,30,FALSE)</f>
        <v>465</v>
      </c>
      <c r="AB377" s="5">
        <f>VLOOKUP($A377,'SegEnds_NonXtal_Prot#'!$A:$AL,33,FALSE)</f>
        <v>526</v>
      </c>
      <c r="AC377" s="5">
        <f>VLOOKUP($A377,'SegEnds_NonXtal_Prot#'!$A:$AL,36,FALSE)</f>
        <v>550</v>
      </c>
      <c r="AD377" s="5">
        <f>VLOOKUP($A377,'SegEnds_NonXtal_Prot#'!$A:$AL,5,FALSE)</f>
        <v>278</v>
      </c>
      <c r="AE377" s="5">
        <f>VLOOKUP($A377,'SegEnds_NonXtal_Prot#'!$A:$AL,8,FALSE)</f>
        <v>283</v>
      </c>
      <c r="AF377" s="5">
        <f>VLOOKUP($A377,'SegEnds_NonXtal_Prot#'!$A:$AL,11,FALSE)</f>
        <v>310</v>
      </c>
      <c r="AG377" s="5" t="str">
        <f>VLOOKUP($A377,'SegEnds_NonXtal_Prot#'!$A:$AL,14,FALSE)</f>
        <v>-</v>
      </c>
      <c r="AH377" s="5">
        <f>VLOOKUP($A377,'SegEnds_NonXtal_Prot#'!$A:$AL,17,FALSE)</f>
        <v>366</v>
      </c>
      <c r="AI377" s="5" t="str">
        <f>VLOOKUP($A377,'SegEnds_NonXtal_Prot#'!$A:$AL,20,FALSE)</f>
        <v>-</v>
      </c>
      <c r="AJ377" s="5">
        <f>VLOOKUP($A377,'SegEnds_NonXtal_Prot#'!$A:$AL,23,FALSE)</f>
        <v>400</v>
      </c>
      <c r="AK377" s="5">
        <f>VLOOKUP($A377,'SegEnds_NonXtal_Prot#'!$A:$AL,26,FALSE)</f>
        <v>413</v>
      </c>
      <c r="AL377" s="5">
        <f>VLOOKUP($A377,'SegEnds_NonXtal_Prot#'!$A:$AL,29,FALSE)</f>
        <v>454</v>
      </c>
      <c r="AM377" s="5">
        <f>VLOOKUP($A377,'SegEnds_NonXtal_Prot#'!$A:$AL,32,FALSE)</f>
        <v>515</v>
      </c>
      <c r="AN377" s="5">
        <f>VLOOKUP($A377,'SegEnds_NonXtal_Prot#'!$A:$AL,35,FALSE)</f>
        <v>549</v>
      </c>
      <c r="AO377" s="5">
        <f>VLOOKUP($A377,'SegEnds_NonXtal_Prot#'!$A:$AL,38,FALSE)</f>
        <v>565</v>
      </c>
      <c r="AP377" s="5">
        <f t="shared" si="138"/>
        <v>32</v>
      </c>
      <c r="AQ377" s="4">
        <f t="shared" si="139"/>
        <v>4</v>
      </c>
      <c r="AR377" s="4">
        <f t="shared" si="140"/>
        <v>26</v>
      </c>
      <c r="AS377" s="4" t="str">
        <f t="shared" si="141"/>
        <v>-</v>
      </c>
      <c r="AT377" s="4">
        <f t="shared" si="142"/>
        <v>33</v>
      </c>
      <c r="AU377" s="4" t="str">
        <f t="shared" si="143"/>
        <v>-</v>
      </c>
      <c r="AV377" s="4">
        <f t="shared" si="144"/>
        <v>23</v>
      </c>
      <c r="AW377" s="4">
        <f t="shared" si="145"/>
        <v>2</v>
      </c>
      <c r="AX377" s="4">
        <f t="shared" si="146"/>
        <v>37</v>
      </c>
      <c r="AY377" s="4">
        <f t="shared" si="147"/>
        <v>50</v>
      </c>
      <c r="AZ377" s="4">
        <f t="shared" si="148"/>
        <v>23</v>
      </c>
      <c r="BA377" s="4">
        <f t="shared" si="149"/>
        <v>15</v>
      </c>
    </row>
    <row r="378" spans="1:53" x14ac:dyDescent="0.2">
      <c r="A378" s="1" t="str">
        <f>'SegEnds_NonXtal_Prot#'!A378</f>
        <v>fzd8_human</v>
      </c>
      <c r="B378" s="1" t="str">
        <f t="shared" si="125"/>
        <v>SQDERAFTVFWIGLWSVLCFVSTFATVSTFLIDYPERPIIFLSACYLFVSVGYLVRLVAGPALCTVVFLLVYFFGMASSIWWVILSLTWFLAAGYSQYFHLAAWLVPSVKSIAVLALSSLDNLRGFVLAPLVIYLFIGTMFLLAGFVSLFRIRSVIEKLMIRLGLFTVLYTVPAAVVVACLFYEQHNRPRWEATHNCPCLRDLQPDQDYAVFMLKYFMCLVVGITSGVWVWSGKTLESWRSLCTRCC</v>
      </c>
      <c r="C378" s="29" t="str">
        <f>IF(ISERROR(MATCH(A378,'SegEnds_Xtal_Prot#'!B:B, 0)), "NoXtal", "Xtal")</f>
        <v>NoXtal</v>
      </c>
      <c r="D378" s="4" t="str">
        <f>VLOOKUP(A378,Classification!A:D,2,FALSE)</f>
        <v>F</v>
      </c>
      <c r="E378" s="5" t="str">
        <f>VLOOKUP(A378,Seqs!A:B,2,FALSE)</f>
        <v>MEWGYLLEVTSLLAALALLQRSSGAAAASAKELACQEITVPLCKGIGYNYTYMPNQFNHDTQDEAGLEVHQFWPLVEIQCSPDLKFFLCSMYTPICLEDYKKPLPPCRSVCERAKAGCAPLMRQYGFAWPDRMRCDRLPEQGNPDTLCMDYNRTDLTTAAPSPPRRLPPPPPGEQPPSGSGHGRPPGARPPHRGGGRGGGGGDAAAPPARGGGGGGKARPPGGGAAPCEPGCQCRAPMVSVSSERHPLYNRVKTGQIANCALPCHNPFFSQDERAFTVFWIGLWSVLCFVSTFATVSTFLIDMERFKYPERPIIFLSACYLFVSVGYLVRLVAGHEKVACSGGAPGAGGAGGAGGAAAGAGAAGAGAGGPGGRGEYEELGAVEQHVRYETTGPALCTVVFLLVYFFGMASSIWWVILSLTWFLAAGMKWGNEAIAGYSQYFHLAAWLVPSVKSIAVLALSSVDGDPVAGICYVGNQSLDNLRGFVLAPLVIYLFIGTMFLLAGFVSLFRIRSVIKQQDGPTKTHKLEKLMIRLGLFTVLYTVPAAVVVACLFYEQHNRPRWEATHNCPCLRDLQPDQARRPDYAVFMLKYFMCLVVGITSGVWVWSGKTLESWRSLCTRCCWASKGAAVGGGAGATAAGGGGGPGGGGGGGPGGGGGPGGGGGSLYSDVSTGLTWRSGTASSVSYPKQMPLSQV</v>
      </c>
      <c r="F378" s="5" t="str">
        <f t="shared" si="126"/>
        <v>SQDERAFTVFWIGLWSVLCFVSTFATVSTFLID</v>
      </c>
      <c r="G378" s="4" t="str">
        <f t="shared" si="127"/>
        <v>MERFK</v>
      </c>
      <c r="H378" s="4" t="str">
        <f t="shared" si="128"/>
        <v>YPERPIIFLSACYLFVSVGYLVRLVAG</v>
      </c>
      <c r="I378" s="4" t="str">
        <f t="shared" si="129"/>
        <v/>
      </c>
      <c r="J378" s="4" t="str">
        <f t="shared" si="130"/>
        <v>PALCTVVFLLVYFFGMASSIWWVILSLTWFLAAG</v>
      </c>
      <c r="K378" s="4" t="str">
        <f t="shared" si="131"/>
        <v/>
      </c>
      <c r="L378" s="4" t="str">
        <f t="shared" si="132"/>
        <v>YSQYFHLAAWLVPSVKSIAVLALS</v>
      </c>
      <c r="M378" s="4" t="str">
        <f t="shared" si="133"/>
        <v>CYV</v>
      </c>
      <c r="N378" s="4" t="str">
        <f t="shared" si="134"/>
        <v>SLDNLRGFVLAPLVIYLFIGTMFLLAGFVSLFRIRSVI</v>
      </c>
      <c r="O378" s="4" t="str">
        <f t="shared" si="135"/>
        <v>EKLMIRLGLFTVLYTVPAAVVVACLFYEQHNRPRWEATHNCPCLRDLQPDQ</v>
      </c>
      <c r="P378" s="4" t="str">
        <f t="shared" si="136"/>
        <v>DYAVFMLKYFMCLVVGITSGVWVW</v>
      </c>
      <c r="Q378" s="4" t="str">
        <f t="shared" si="137"/>
        <v>SGKTLESWRSLCTRCC</v>
      </c>
      <c r="R378" s="5">
        <f>VLOOKUP($A378,'SegEnds_NonXtal_Prot#'!$A:$AL,3,FALSE)</f>
        <v>270</v>
      </c>
      <c r="S378" s="5">
        <f>VLOOKUP($A378,'SegEnds_NonXtal_Prot#'!$A:$AL,6,FALSE)</f>
        <v>303</v>
      </c>
      <c r="T378" s="5">
        <f>VLOOKUP($A378,'SegEnds_NonXtal_Prot#'!$A:$AL,9,FALSE)</f>
        <v>308</v>
      </c>
      <c r="U378" s="5" t="str">
        <f>VLOOKUP($A378,'SegEnds_NonXtal_Prot#'!$A:$AL,12,FALSE)</f>
        <v>-</v>
      </c>
      <c r="V378" s="5">
        <f>VLOOKUP($A378,'SegEnds_NonXtal_Prot#'!$A:$AL,15,FALSE)</f>
        <v>393</v>
      </c>
      <c r="W378" s="5" t="str">
        <f>VLOOKUP($A378,'SegEnds_NonXtal_Prot#'!$A:$AL,18,FALSE)</f>
        <v>-</v>
      </c>
      <c r="X378" s="5">
        <f>VLOOKUP($A378,'SegEnds_NonXtal_Prot#'!$A:$AL,21,FALSE)</f>
        <v>437</v>
      </c>
      <c r="Y378" s="5">
        <f>VLOOKUP($A378,'SegEnds_NonXtal_Prot#'!$A:$AL,24,FALSE)</f>
        <v>471</v>
      </c>
      <c r="Z378" s="5">
        <f>VLOOKUP($A378,'SegEnds_NonXtal_Prot#'!$A:$AL,27,FALSE)</f>
        <v>477</v>
      </c>
      <c r="AA378" s="5">
        <f>VLOOKUP($A378,'SegEnds_NonXtal_Prot#'!$A:$AL,30,FALSE)</f>
        <v>527</v>
      </c>
      <c r="AB378" s="5">
        <f>VLOOKUP($A378,'SegEnds_NonXtal_Prot#'!$A:$AL,33,FALSE)</f>
        <v>582</v>
      </c>
      <c r="AC378" s="5">
        <f>VLOOKUP($A378,'SegEnds_NonXtal_Prot#'!$A:$AL,36,FALSE)</f>
        <v>606</v>
      </c>
      <c r="AD378" s="5">
        <f>VLOOKUP($A378,'SegEnds_NonXtal_Prot#'!$A:$AL,5,FALSE)</f>
        <v>302</v>
      </c>
      <c r="AE378" s="5">
        <f>VLOOKUP($A378,'SegEnds_NonXtal_Prot#'!$A:$AL,8,FALSE)</f>
        <v>307</v>
      </c>
      <c r="AF378" s="5">
        <f>VLOOKUP($A378,'SegEnds_NonXtal_Prot#'!$A:$AL,11,FALSE)</f>
        <v>334</v>
      </c>
      <c r="AG378" s="5" t="str">
        <f>VLOOKUP($A378,'SegEnds_NonXtal_Prot#'!$A:$AL,14,FALSE)</f>
        <v>-</v>
      </c>
      <c r="AH378" s="5">
        <f>VLOOKUP($A378,'SegEnds_NonXtal_Prot#'!$A:$AL,17,FALSE)</f>
        <v>426</v>
      </c>
      <c r="AI378" s="5" t="str">
        <f>VLOOKUP($A378,'SegEnds_NonXtal_Prot#'!$A:$AL,20,FALSE)</f>
        <v>-</v>
      </c>
      <c r="AJ378" s="5">
        <f>VLOOKUP($A378,'SegEnds_NonXtal_Prot#'!$A:$AL,23,FALSE)</f>
        <v>460</v>
      </c>
      <c r="AK378" s="5">
        <f>VLOOKUP($A378,'SegEnds_NonXtal_Prot#'!$A:$AL,26,FALSE)</f>
        <v>473</v>
      </c>
      <c r="AL378" s="5">
        <f>VLOOKUP($A378,'SegEnds_NonXtal_Prot#'!$A:$AL,29,FALSE)</f>
        <v>514</v>
      </c>
      <c r="AM378" s="5">
        <f>VLOOKUP($A378,'SegEnds_NonXtal_Prot#'!$A:$AL,32,FALSE)</f>
        <v>577</v>
      </c>
      <c r="AN378" s="5">
        <f>VLOOKUP($A378,'SegEnds_NonXtal_Prot#'!$A:$AL,35,FALSE)</f>
        <v>605</v>
      </c>
      <c r="AO378" s="5">
        <f>VLOOKUP($A378,'SegEnds_NonXtal_Prot#'!$A:$AL,38,FALSE)</f>
        <v>621</v>
      </c>
      <c r="AP378" s="5">
        <f t="shared" si="138"/>
        <v>32</v>
      </c>
      <c r="AQ378" s="4">
        <f t="shared" si="139"/>
        <v>4</v>
      </c>
      <c r="AR378" s="4">
        <f t="shared" si="140"/>
        <v>26</v>
      </c>
      <c r="AS378" s="4" t="str">
        <f t="shared" si="141"/>
        <v>-</v>
      </c>
      <c r="AT378" s="4">
        <f t="shared" si="142"/>
        <v>33</v>
      </c>
      <c r="AU378" s="4" t="str">
        <f t="shared" si="143"/>
        <v>-</v>
      </c>
      <c r="AV378" s="4">
        <f t="shared" si="144"/>
        <v>23</v>
      </c>
      <c r="AW378" s="4">
        <f t="shared" si="145"/>
        <v>2</v>
      </c>
      <c r="AX378" s="4">
        <f t="shared" si="146"/>
        <v>37</v>
      </c>
      <c r="AY378" s="4">
        <f t="shared" si="147"/>
        <v>50</v>
      </c>
      <c r="AZ378" s="4">
        <f t="shared" si="148"/>
        <v>23</v>
      </c>
      <c r="BA378" s="4">
        <f t="shared" si="149"/>
        <v>15</v>
      </c>
    </row>
    <row r="379" spans="1:53" x14ac:dyDescent="0.2">
      <c r="A379" s="1" t="str">
        <f>'SegEnds_NonXtal_Prot#'!A379</f>
        <v>fzd9_human</v>
      </c>
      <c r="B379" s="1" t="str">
        <f t="shared" si="125"/>
        <v>SRRDKDFALVWMAVWSALCFFSTAFTVLTFLLEYPERPIIFLSMCYNVYSLAFLIRAVAGNTGCTLVFLLLYYFGMASSLWWVVLTLTWFLAAGHGSYFHMAAWGLPALKTIVILTLRDAAALTGFVLVPLSGYLVLGSSFLLTGFVALFHIRKIMEKLMVKIGVFSILYTVPATCVIVCYVYERLNMDFWRLRATEQPCAAAAGPGTVAVFMLKIFMSLVVGITSGVWVWSSKTFQTWQSLCYRKI</v>
      </c>
      <c r="C379" s="29" t="str">
        <f>IF(ISERROR(MATCH(A379,'SegEnds_Xtal_Prot#'!B:B, 0)), "NoXtal", "Xtal")</f>
        <v>NoXtal</v>
      </c>
      <c r="D379" s="4" t="str">
        <f>VLOOKUP(A379,Classification!A:D,2,FALSE)</f>
        <v>F</v>
      </c>
      <c r="E379" s="5" t="str">
        <f>VLOOKUP(A379,Seqs!A:B,2,FALSE)</f>
        <v>MAVAPLRGALLLWQLLAAGGAALEIGRFDPERGRGAAPCQAVEIPMCRGIGYNLTRMPNLLGHTSQGEAAAELAEFAPLVQYGCHSHLRFFLCSLYAPMCTDQVSTPIPACRPMCEQARLRCAPIMEQFNFGWPDSLDCARLPTRNDPHALCMEAPENATAGPAEPHKGLGMLPVAPRPARPPGDLGPGAGGSGTCENPEKFQYVEKSRSCAPRCGPGVEVFWSRRDKDFALVWMAVWSALCFFSTAFTVLTFLLEPHRFQYPERPIIFLSMCYNVYSLAFLIRAVAGAQSVACDQEAGALYVIQEGLENTGCTLVFLLLYYFGMASSLWWVVLTLTWFLAAGKKWGHEAIEAHGSYFHMAAWGLPALKTIVILTLRKVAGDELTGLCYVASTDAAALTGFVLVPLSGYLVLGSSFLLTGFVALFHIRKIMKTGGTNTEKLEKLMVKIGVFSILYTVPATCVIVCYVYERLNMDFWRLRATEQPCAAAAGPGGRRDCSLPGGSVPTVAVFMLKIFMSLVVGITSGVWVWSSKTFQTWQSLCYRKIAAGRARAKACRAPGSYGRGTHCHYKAPTVVLHMTKTDPSLENPTHL</v>
      </c>
      <c r="F379" s="5" t="str">
        <f t="shared" si="126"/>
        <v>SRRDKDFALVWMAVWSALCFFSTAFTVLTFLLE</v>
      </c>
      <c r="G379" s="4" t="str">
        <f t="shared" si="127"/>
        <v>PHRFQ</v>
      </c>
      <c r="H379" s="4" t="str">
        <f t="shared" si="128"/>
        <v>YPERPIIFLSMCYNVYSLAFLIRAVAG</v>
      </c>
      <c r="I379" s="4" t="str">
        <f t="shared" si="129"/>
        <v/>
      </c>
      <c r="J379" s="4" t="str">
        <f t="shared" si="130"/>
        <v>NTGCTLVFLLLYYFGMASSLWWVVLTLTWFLAAG</v>
      </c>
      <c r="K379" s="4" t="str">
        <f t="shared" si="131"/>
        <v/>
      </c>
      <c r="L379" s="4" t="str">
        <f t="shared" si="132"/>
        <v>HGSYFHMAAWGLPALKTIVILTLR</v>
      </c>
      <c r="M379" s="4" t="str">
        <f t="shared" si="133"/>
        <v>CYV</v>
      </c>
      <c r="N379" s="4" t="str">
        <f t="shared" si="134"/>
        <v>DAAALTGFVLVPLSGYLVLGSSFLLTGFVALFHIRKIM</v>
      </c>
      <c r="O379" s="4" t="str">
        <f t="shared" si="135"/>
        <v>EKLMVKIGVFSILYTVPATCVIVCYVYERLNMDFWRLRATEQPCAAAAGPG</v>
      </c>
      <c r="P379" s="4" t="str">
        <f t="shared" si="136"/>
        <v>TVAVFMLKIFMSLVVGITSGVWVW</v>
      </c>
      <c r="Q379" s="4" t="str">
        <f t="shared" si="137"/>
        <v>SSKTFQTWQSLCYRKI</v>
      </c>
      <c r="R379" s="5">
        <f>VLOOKUP($A379,'SegEnds_NonXtal_Prot#'!$A:$AL,3,FALSE)</f>
        <v>224</v>
      </c>
      <c r="S379" s="5">
        <f>VLOOKUP($A379,'SegEnds_NonXtal_Prot#'!$A:$AL,6,FALSE)</f>
        <v>257</v>
      </c>
      <c r="T379" s="5">
        <f>VLOOKUP($A379,'SegEnds_NonXtal_Prot#'!$A:$AL,9,FALSE)</f>
        <v>262</v>
      </c>
      <c r="U379" s="5" t="str">
        <f>VLOOKUP($A379,'SegEnds_NonXtal_Prot#'!$A:$AL,12,FALSE)</f>
        <v>-</v>
      </c>
      <c r="V379" s="5">
        <f>VLOOKUP($A379,'SegEnds_NonXtal_Prot#'!$A:$AL,15,FALSE)</f>
        <v>310</v>
      </c>
      <c r="W379" s="5" t="str">
        <f>VLOOKUP($A379,'SegEnds_NonXtal_Prot#'!$A:$AL,18,FALSE)</f>
        <v>-</v>
      </c>
      <c r="X379" s="5">
        <f>VLOOKUP($A379,'SegEnds_NonXtal_Prot#'!$A:$AL,21,FALSE)</f>
        <v>354</v>
      </c>
      <c r="Y379" s="5">
        <f>VLOOKUP($A379,'SegEnds_NonXtal_Prot#'!$A:$AL,24,FALSE)</f>
        <v>388</v>
      </c>
      <c r="Z379" s="5">
        <f>VLOOKUP($A379,'SegEnds_NonXtal_Prot#'!$A:$AL,27,FALSE)</f>
        <v>394</v>
      </c>
      <c r="AA379" s="5">
        <f>VLOOKUP($A379,'SegEnds_NonXtal_Prot#'!$A:$AL,30,FALSE)</f>
        <v>442</v>
      </c>
      <c r="AB379" s="5">
        <f>VLOOKUP($A379,'SegEnds_NonXtal_Prot#'!$A:$AL,33,FALSE)</f>
        <v>506</v>
      </c>
      <c r="AC379" s="5">
        <f>VLOOKUP($A379,'SegEnds_NonXtal_Prot#'!$A:$AL,36,FALSE)</f>
        <v>530</v>
      </c>
      <c r="AD379" s="5">
        <f>VLOOKUP($A379,'SegEnds_NonXtal_Prot#'!$A:$AL,5,FALSE)</f>
        <v>256</v>
      </c>
      <c r="AE379" s="5">
        <f>VLOOKUP($A379,'SegEnds_NonXtal_Prot#'!$A:$AL,8,FALSE)</f>
        <v>261</v>
      </c>
      <c r="AF379" s="5">
        <f>VLOOKUP($A379,'SegEnds_NonXtal_Prot#'!$A:$AL,11,FALSE)</f>
        <v>288</v>
      </c>
      <c r="AG379" s="5" t="str">
        <f>VLOOKUP($A379,'SegEnds_NonXtal_Prot#'!$A:$AL,14,FALSE)</f>
        <v>-</v>
      </c>
      <c r="AH379" s="5">
        <f>VLOOKUP($A379,'SegEnds_NonXtal_Prot#'!$A:$AL,17,FALSE)</f>
        <v>343</v>
      </c>
      <c r="AI379" s="5" t="str">
        <f>VLOOKUP($A379,'SegEnds_NonXtal_Prot#'!$A:$AL,20,FALSE)</f>
        <v>-</v>
      </c>
      <c r="AJ379" s="5">
        <f>VLOOKUP($A379,'SegEnds_NonXtal_Prot#'!$A:$AL,23,FALSE)</f>
        <v>377</v>
      </c>
      <c r="AK379" s="5">
        <f>VLOOKUP($A379,'SegEnds_NonXtal_Prot#'!$A:$AL,26,FALSE)</f>
        <v>390</v>
      </c>
      <c r="AL379" s="5">
        <f>VLOOKUP($A379,'SegEnds_NonXtal_Prot#'!$A:$AL,29,FALSE)</f>
        <v>431</v>
      </c>
      <c r="AM379" s="5">
        <f>VLOOKUP($A379,'SegEnds_NonXtal_Prot#'!$A:$AL,32,FALSE)</f>
        <v>492</v>
      </c>
      <c r="AN379" s="5">
        <f>VLOOKUP($A379,'SegEnds_NonXtal_Prot#'!$A:$AL,35,FALSE)</f>
        <v>529</v>
      </c>
      <c r="AO379" s="5">
        <f>VLOOKUP($A379,'SegEnds_NonXtal_Prot#'!$A:$AL,38,FALSE)</f>
        <v>545</v>
      </c>
      <c r="AP379" s="5">
        <f t="shared" si="138"/>
        <v>32</v>
      </c>
      <c r="AQ379" s="4">
        <f t="shared" si="139"/>
        <v>4</v>
      </c>
      <c r="AR379" s="4">
        <f t="shared" si="140"/>
        <v>26</v>
      </c>
      <c r="AS379" s="4" t="str">
        <f t="shared" si="141"/>
        <v>-</v>
      </c>
      <c r="AT379" s="4">
        <f t="shared" si="142"/>
        <v>33</v>
      </c>
      <c r="AU379" s="4" t="str">
        <f t="shared" si="143"/>
        <v>-</v>
      </c>
      <c r="AV379" s="4">
        <f t="shared" si="144"/>
        <v>23</v>
      </c>
      <c r="AW379" s="4">
        <f t="shared" si="145"/>
        <v>2</v>
      </c>
      <c r="AX379" s="4">
        <f t="shared" si="146"/>
        <v>37</v>
      </c>
      <c r="AY379" s="4">
        <f t="shared" si="147"/>
        <v>50</v>
      </c>
      <c r="AZ379" s="4">
        <f t="shared" si="148"/>
        <v>23</v>
      </c>
      <c r="BA379" s="4">
        <f t="shared" si="149"/>
        <v>15</v>
      </c>
    </row>
    <row r="380" spans="1:53" x14ac:dyDescent="0.2">
      <c r="A380" s="1" t="str">
        <f>'SegEnds_NonXtal_Prot#'!A382</f>
        <v>g137a_human</v>
      </c>
      <c r="B380" s="1" t="str">
        <f t="shared" si="125"/>
        <v>PAVTLGLTAAYTTLYALLFFSVYAQLWLVLLYGHKRLSYQTVFLTVFLALCLLWAALRTTLFSFYFRDTKVKRRPEMSRGLLAVRGAFVGASLLFLLVNVLCARVLVSDSLFVICALSLAACLCLVARNVSDQADLVNDLGNKGYLVFGLIGHCEDEGCSWEHSRGESTRCQDQAAPSPTEYPGPSPPHPRPLCQVCLPLLAQDPGGRG</v>
      </c>
      <c r="C380" s="29" t="str">
        <f>IF(ISERROR(MATCH(A380,'SegEnds_Xtal_Prot#'!B:B, 0)), "NoXtal", "Xtal")</f>
        <v>NoXtal</v>
      </c>
      <c r="D380" s="4" t="str">
        <f>VLOOKUP(A380,Classification!A:D,2,FALSE)</f>
        <v>O</v>
      </c>
      <c r="E380" s="5" t="str">
        <f>VLOOKUP(A380,Seqs!A:B,2,FALSE)</f>
        <v>MESNLSGLVPAAGLVPALPPAVTLGLTAAYTTLYALLFFSVYAQLWLVLLYGHKRLSYQTVFLALCLLWAALRTTLFSFYFRDTPRANRLGPLPFWLLYCCPVCLQFFTLTLMNLYFAQVVFKAKVKRRPEMSRGLLAVRGAFVGASLLFLLVNVLCAVLSHRRRAQPWALLLVRVLVSDSLFVICALSLAACLCLVARRAPSTSIYLEAKGTSVCQAAAMGGAMVLLYASRACYNLTALALAPQSRLDTFDYDWYNVSDQADLVNDLGNKGYLVFGLILFVWELLPTTLLVGFFRVHRPPQDLSTSHILNGQVFASRSYFFDRAGHCEDEGCSWEHSRGESTRCQDQAATTTVSTPPHRRDPPPSPTEYPGPSPPHPRPLCQVCLPLLAQDPGGRGYPLLWPAPCCSCHSELVPSP</v>
      </c>
      <c r="F380" s="5" t="str">
        <f t="shared" si="126"/>
        <v>PAVTLGLTAAYTTLYALLFFSVYAQLWLVLLYGHKRLSYQTVFL</v>
      </c>
      <c r="G380" s="4" t="str">
        <f t="shared" si="127"/>
        <v/>
      </c>
      <c r="H380" s="4" t="str">
        <f t="shared" si="128"/>
        <v>TVFLALCLLWAALRTTLFSFYFRDT</v>
      </c>
      <c r="I380" s="4" t="str">
        <f t="shared" si="129"/>
        <v/>
      </c>
      <c r="J380" s="4" t="str">
        <f t="shared" si="130"/>
        <v>KVKRRPEMSRGLLAVRGAFVGASLLFLLVNVLCA</v>
      </c>
      <c r="K380" s="4" t="str">
        <f t="shared" si="131"/>
        <v/>
      </c>
      <c r="L380" s="4" t="str">
        <f t="shared" si="132"/>
        <v>RVLVSDSLFVICALSLAACLCLVAR</v>
      </c>
      <c r="M380" s="4" t="str">
        <f t="shared" si="133"/>
        <v/>
      </c>
      <c r="N380" s="4" t="str">
        <f t="shared" si="134"/>
        <v>NVSDQADLVNDLGNKGYLVFGLI</v>
      </c>
      <c r="O380" s="4" t="str">
        <f t="shared" si="135"/>
        <v>GHCEDEGCSWEHSRGESTRCQDQAA</v>
      </c>
      <c r="P380" s="4" t="str">
        <f t="shared" si="136"/>
        <v>PSPTEYPGPSPPHPRPLCQVCL</v>
      </c>
      <c r="Q380" s="4" t="str">
        <f t="shared" si="137"/>
        <v>PLLAQDPGGRG</v>
      </c>
      <c r="R380" s="5">
        <f>VLOOKUP($A380,'SegEnds_NonXtal_Prot#'!$A:$AL,3,FALSE)</f>
        <v>20</v>
      </c>
      <c r="S380" s="5" t="str">
        <f>VLOOKUP($A380,'SegEnds_NonXtal_Prot#'!$A:$AL,6,FALSE)</f>
        <v>-</v>
      </c>
      <c r="T380" s="5">
        <f>VLOOKUP($A380,'SegEnds_NonXtal_Prot#'!$A:$AL,9,FALSE)</f>
        <v>60</v>
      </c>
      <c r="U380" s="5" t="str">
        <f>VLOOKUP($A380,'SegEnds_NonXtal_Prot#'!$A:$AL,12,FALSE)</f>
        <v>-</v>
      </c>
      <c r="V380" s="5">
        <f>VLOOKUP($A380,'SegEnds_NonXtal_Prot#'!$A:$AL,15,FALSE)</f>
        <v>125</v>
      </c>
      <c r="W380" s="5" t="str">
        <f>VLOOKUP($A380,'SegEnds_NonXtal_Prot#'!$A:$AL,18,FALSE)</f>
        <v>-</v>
      </c>
      <c r="X380" s="5">
        <f>VLOOKUP($A380,'SegEnds_NonXtal_Prot#'!$A:$AL,21,FALSE)</f>
        <v>175</v>
      </c>
      <c r="Y380" s="5" t="str">
        <f>VLOOKUP($A380,'SegEnds_NonXtal_Prot#'!$A:$AL,24,FALSE)</f>
        <v>-</v>
      </c>
      <c r="Z380" s="5">
        <f>VLOOKUP($A380,'SegEnds_NonXtal_Prot#'!$A:$AL,27,FALSE)</f>
        <v>257</v>
      </c>
      <c r="AA380" s="5">
        <f>VLOOKUP($A380,'SegEnds_NonXtal_Prot#'!$A:$AL,30,FALSE)</f>
        <v>326</v>
      </c>
      <c r="AB380" s="5">
        <f>VLOOKUP($A380,'SegEnds_NonXtal_Prot#'!$A:$AL,33,FALSE)</f>
        <v>365</v>
      </c>
      <c r="AC380" s="5">
        <f>VLOOKUP($A380,'SegEnds_NonXtal_Prot#'!$A:$AL,36,FALSE)</f>
        <v>387</v>
      </c>
      <c r="AD380" s="5">
        <f>VLOOKUP($A380,'SegEnds_NonXtal_Prot#'!$A:$AL,5,FALSE)</f>
        <v>63</v>
      </c>
      <c r="AE380" s="5" t="str">
        <f>VLOOKUP($A380,'SegEnds_NonXtal_Prot#'!$A:$AL,8,FALSE)</f>
        <v>-</v>
      </c>
      <c r="AF380" s="5">
        <f>VLOOKUP($A380,'SegEnds_NonXtal_Prot#'!$A:$AL,11,FALSE)</f>
        <v>84</v>
      </c>
      <c r="AG380" s="5" t="str">
        <f>VLOOKUP($A380,'SegEnds_NonXtal_Prot#'!$A:$AL,14,FALSE)</f>
        <v>-</v>
      </c>
      <c r="AH380" s="5">
        <f>VLOOKUP($A380,'SegEnds_NonXtal_Prot#'!$A:$AL,17,FALSE)</f>
        <v>158</v>
      </c>
      <c r="AI380" s="5" t="str">
        <f>VLOOKUP($A380,'SegEnds_NonXtal_Prot#'!$A:$AL,20,FALSE)</f>
        <v>-</v>
      </c>
      <c r="AJ380" s="5">
        <f>VLOOKUP($A380,'SegEnds_NonXtal_Prot#'!$A:$AL,23,FALSE)</f>
        <v>199</v>
      </c>
      <c r="AK380" s="5" t="str">
        <f>VLOOKUP($A380,'SegEnds_NonXtal_Prot#'!$A:$AL,26,FALSE)</f>
        <v>-</v>
      </c>
      <c r="AL380" s="5">
        <f>VLOOKUP($A380,'SegEnds_NonXtal_Prot#'!$A:$AL,29,FALSE)</f>
        <v>279</v>
      </c>
      <c r="AM380" s="5">
        <f>VLOOKUP($A380,'SegEnds_NonXtal_Prot#'!$A:$AL,32,FALSE)</f>
        <v>350</v>
      </c>
      <c r="AN380" s="5">
        <f>VLOOKUP($A380,'SegEnds_NonXtal_Prot#'!$A:$AL,35,FALSE)</f>
        <v>386</v>
      </c>
      <c r="AO380" s="5">
        <f>VLOOKUP($A380,'SegEnds_NonXtal_Prot#'!$A:$AL,38,FALSE)</f>
        <v>397</v>
      </c>
      <c r="AP380" s="5">
        <f t="shared" si="138"/>
        <v>43</v>
      </c>
      <c r="AQ380" s="4" t="str">
        <f t="shared" si="139"/>
        <v>-</v>
      </c>
      <c r="AR380" s="4">
        <f t="shared" si="140"/>
        <v>24</v>
      </c>
      <c r="AS380" s="4" t="str">
        <f t="shared" si="141"/>
        <v>-</v>
      </c>
      <c r="AT380" s="4">
        <f t="shared" si="142"/>
        <v>33</v>
      </c>
      <c r="AU380" s="4" t="str">
        <f t="shared" si="143"/>
        <v>-</v>
      </c>
      <c r="AV380" s="4">
        <f t="shared" si="144"/>
        <v>24</v>
      </c>
      <c r="AW380" s="4" t="str">
        <f t="shared" si="145"/>
        <v>-</v>
      </c>
      <c r="AX380" s="4">
        <f t="shared" si="146"/>
        <v>22</v>
      </c>
      <c r="AY380" s="4">
        <f t="shared" si="147"/>
        <v>24</v>
      </c>
      <c r="AZ380" s="4">
        <f t="shared" si="148"/>
        <v>21</v>
      </c>
      <c r="BA380" s="4">
        <f t="shared" si="149"/>
        <v>10</v>
      </c>
    </row>
    <row r="381" spans="1:53" x14ac:dyDescent="0.2">
      <c r="A381" s="1" t="str">
        <f>'SegEnds_NonXtal_Prot#'!A380</f>
        <v>smo_human</v>
      </c>
      <c r="B381" s="1" t="str">
        <f t="shared" si="125"/>
        <v>TEAEHQDMHSYIAAFGAVTGLCTLFTLATFVADRYPAVILFYVNACFFVGSIGWLAQFLSCVIIFVIVYYALMAGVVWFVVLTYAWHTSFKALGTLSGKTSYFHLLTWSLPFVLTVAILAVNYRYRAGFVLAPIGLVLIVGGYFLIRGVMTLFSIKSNHASKINETMLRLGIFGFLAFGFVLITFSCHFYDFFNQAEWERSFRDYVLCQANVTISLLVEKINLFAMFGTGIAMSTWVWTKATLLIWRRTWCRLT</v>
      </c>
      <c r="C381" s="29" t="str">
        <f>IF(ISERROR(MATCH(A381,'SegEnds_Xtal_Prot#'!B:B, 0)), "NoXtal", "Xtal")</f>
        <v>Xtal</v>
      </c>
      <c r="D381" s="4" t="str">
        <f>VLOOKUP(A381,Classification!A:D,2,FALSE)</f>
        <v>F</v>
      </c>
      <c r="E381" s="5" t="str">
        <f>VLOOKUP(A381,Seqs!A:B,2,FALSE)</f>
        <v>MAAARPARGPELPLLGLLLLLLLGDPGRGAASSGNATGPGPRSAGGSARRSAAVTGPPPPLSHCGRAAPCEPLRYNVCLGSVLPYGATSTLLAGDSDSQEEAHGKLVLWSGLRNAPRCWAVIQPLLCAVYMPKCENDRVELPSRTLCQATRGPCAIVERERGWPDFLRCTPDRFPEGCTNEVQNIKFNSSGQCEVPLVRTDNPKSWYEDVEGCGIQCQNPLFTEAEHQDMHSYIAAFGAVTGLCTLFTLATFVADWRNSNRYPAVILFYVNACFFVGSIGWLAQFMDGARREIVCRADGTMRLGEPTSNETLSCVIIFVIVYYALMAGVVWFVVLTYAWHTSFKALGTTYQPLSGKTSYFHLLTWSLPFVLTVAILAVAQVDGDSVSGICFVGYKNYRYRAGFVLAPIGLVLIVGGYFLIRGVMTLFSIKSNHPGLLSEKAASKINETMLRLGIFGFLAFGFVLITFSCHFYDFFNQAEWERSFRDYVLCQANVTIGLPTKQPIPDCEIKNRPSLLVEKINLFAMFGTGIAMSTWVWTKATLLIWRRTWCRLTGQSDDEPKRIKKSKMIAKAFSKRHELLQNPGQELSFSMHTVSHDGPVAGLAFDLNEPSADVSSAWAQHVTKMVARRGAILPQDISVTPVATPVPPEEQANLWLVEAEISPELQKRLGRKKKRRKRKKEVCPLAPPPELHPPAPAPSTIPRLPQLPRQKCLVAAGAWGAGDSCRQGAWTLVSNPFCPEPSPPQDPFLPSAPAPVAWAHGRRQGLGPIHSRTNLMDTELMDADSDF</v>
      </c>
      <c r="F381" s="5" t="str">
        <f t="shared" si="126"/>
        <v>TEAEHQDMHSYIAAFGAVTGLCTLFTLATFVAD</v>
      </c>
      <c r="G381" s="4" t="str">
        <f t="shared" si="127"/>
        <v>WRNSN</v>
      </c>
      <c r="H381" s="4" t="str">
        <f t="shared" si="128"/>
        <v>RYPAVILFYVNACFFVGSIGWLAQF</v>
      </c>
      <c r="I381" s="4" t="str">
        <f t="shared" si="129"/>
        <v/>
      </c>
      <c r="J381" s="4" t="str">
        <f t="shared" si="130"/>
        <v>LSCVIIFVIVYYALMAGVVWFVVLTYAWHTSFKALGT</v>
      </c>
      <c r="K381" s="4" t="str">
        <f t="shared" si="131"/>
        <v/>
      </c>
      <c r="L381" s="4" t="str">
        <f t="shared" si="132"/>
        <v>LSGKTSYFHLLTWSLPFVLTVAILAV</v>
      </c>
      <c r="M381" s="4" t="str">
        <f t="shared" si="133"/>
        <v>CFV</v>
      </c>
      <c r="N381" s="4" t="str">
        <f t="shared" si="134"/>
        <v>NYRYRAGFVLAPIGLVLIVGGYFLIRGVMTLFSIKSNH</v>
      </c>
      <c r="O381" s="4" t="str">
        <f t="shared" si="135"/>
        <v>ASKINETMLRLGIFGFLAFGFVLITFSCHFYDFFNQAEWERSFRDYVLCQANVTI</v>
      </c>
      <c r="P381" s="4" t="str">
        <f t="shared" si="136"/>
        <v>SLLVEKINLFAMFGTGIAMSTWVW</v>
      </c>
      <c r="Q381" s="4" t="str">
        <f t="shared" si="137"/>
        <v>TKATLLIWRRTWCRLT</v>
      </c>
      <c r="R381" s="5">
        <f>VLOOKUP($A381,'SegEnds_NonXtal_Prot#'!$A:$AL,3,FALSE)</f>
        <v>223</v>
      </c>
      <c r="S381" s="5">
        <f>VLOOKUP($A381,'SegEnds_NonXtal_Prot#'!$A:$AL,6,FALSE)</f>
        <v>256</v>
      </c>
      <c r="T381" s="5">
        <f>VLOOKUP($A381,'SegEnds_NonXtal_Prot#'!$A:$AL,9,FALSE)</f>
        <v>261</v>
      </c>
      <c r="U381" s="5" t="str">
        <f>VLOOKUP($A381,'SegEnds_NonXtal_Prot#'!$A:$AL,12,FALSE)</f>
        <v>-</v>
      </c>
      <c r="V381" s="5">
        <f>VLOOKUP($A381,'SegEnds_NonXtal_Prot#'!$A:$AL,15,FALSE)</f>
        <v>312</v>
      </c>
      <c r="W381" s="5" t="str">
        <f>VLOOKUP($A381,'SegEnds_NonXtal_Prot#'!$A:$AL,18,FALSE)</f>
        <v>-</v>
      </c>
      <c r="X381" s="5">
        <f>VLOOKUP($A381,'SegEnds_NonXtal_Prot#'!$A:$AL,21,FALSE)</f>
        <v>353</v>
      </c>
      <c r="Y381" s="5">
        <f>VLOOKUP($A381,'SegEnds_NonXtal_Prot#'!$A:$AL,24,FALSE)</f>
        <v>390</v>
      </c>
      <c r="Z381" s="5">
        <f>VLOOKUP($A381,'SegEnds_NonXtal_Prot#'!$A:$AL,27,FALSE)</f>
        <v>396</v>
      </c>
      <c r="AA381" s="5">
        <f>VLOOKUP($A381,'SegEnds_NonXtal_Prot#'!$A:$AL,30,FALSE)</f>
        <v>442</v>
      </c>
      <c r="AB381" s="5">
        <f>VLOOKUP($A381,'SegEnds_NonXtal_Prot#'!$A:$AL,33,FALSE)</f>
        <v>514</v>
      </c>
      <c r="AC381" s="5">
        <f>VLOOKUP($A381,'SegEnds_NonXtal_Prot#'!$A:$AL,36,FALSE)</f>
        <v>538</v>
      </c>
      <c r="AD381" s="5">
        <f>VLOOKUP($A381,'SegEnds_NonXtal_Prot#'!$A:$AL,5,FALSE)</f>
        <v>255</v>
      </c>
      <c r="AE381" s="5">
        <f>VLOOKUP($A381,'SegEnds_NonXtal_Prot#'!$A:$AL,8,FALSE)</f>
        <v>260</v>
      </c>
      <c r="AF381" s="5">
        <f>VLOOKUP($A381,'SegEnds_NonXtal_Prot#'!$A:$AL,11,FALSE)</f>
        <v>285</v>
      </c>
      <c r="AG381" s="5" t="str">
        <f>VLOOKUP($A381,'SegEnds_NonXtal_Prot#'!$A:$AL,14,FALSE)</f>
        <v>-</v>
      </c>
      <c r="AH381" s="5">
        <f>VLOOKUP($A381,'SegEnds_NonXtal_Prot#'!$A:$AL,17,FALSE)</f>
        <v>348</v>
      </c>
      <c r="AI381" s="5" t="str">
        <f>VLOOKUP($A381,'SegEnds_NonXtal_Prot#'!$A:$AL,20,FALSE)</f>
        <v>-</v>
      </c>
      <c r="AJ381" s="5">
        <f>VLOOKUP($A381,'SegEnds_NonXtal_Prot#'!$A:$AL,23,FALSE)</f>
        <v>378</v>
      </c>
      <c r="AK381" s="5">
        <f>VLOOKUP($A381,'SegEnds_NonXtal_Prot#'!$A:$AL,26,FALSE)</f>
        <v>392</v>
      </c>
      <c r="AL381" s="5">
        <f>VLOOKUP($A381,'SegEnds_NonXtal_Prot#'!$A:$AL,29,FALSE)</f>
        <v>433</v>
      </c>
      <c r="AM381" s="5">
        <f>VLOOKUP($A381,'SegEnds_NonXtal_Prot#'!$A:$AL,32,FALSE)</f>
        <v>496</v>
      </c>
      <c r="AN381" s="5">
        <f>VLOOKUP($A381,'SegEnds_NonXtal_Prot#'!$A:$AL,35,FALSE)</f>
        <v>537</v>
      </c>
      <c r="AO381" s="5">
        <f>VLOOKUP($A381,'SegEnds_NonXtal_Prot#'!$A:$AL,38,FALSE)</f>
        <v>553</v>
      </c>
      <c r="AP381" s="5">
        <f t="shared" si="138"/>
        <v>32</v>
      </c>
      <c r="AQ381" s="4">
        <f t="shared" si="139"/>
        <v>4</v>
      </c>
      <c r="AR381" s="4">
        <f t="shared" si="140"/>
        <v>24</v>
      </c>
      <c r="AS381" s="4" t="str">
        <f t="shared" si="141"/>
        <v>-</v>
      </c>
      <c r="AT381" s="4">
        <f t="shared" si="142"/>
        <v>36</v>
      </c>
      <c r="AU381" s="4" t="str">
        <f t="shared" si="143"/>
        <v>-</v>
      </c>
      <c r="AV381" s="4">
        <f t="shared" si="144"/>
        <v>25</v>
      </c>
      <c r="AW381" s="4">
        <f t="shared" si="145"/>
        <v>2</v>
      </c>
      <c r="AX381" s="4">
        <f t="shared" si="146"/>
        <v>37</v>
      </c>
      <c r="AY381" s="4">
        <f t="shared" si="147"/>
        <v>54</v>
      </c>
      <c r="AZ381" s="4">
        <f t="shared" si="148"/>
        <v>23</v>
      </c>
      <c r="BA381" s="4">
        <f t="shared" si="149"/>
        <v>15</v>
      </c>
    </row>
    <row r="382" spans="1:53" x14ac:dyDescent="0.2">
      <c r="A382" s="1" t="str">
        <f>'SegEnds_NonXtal_Prot#'!A384</f>
        <v>gp143_human</v>
      </c>
      <c r="B382" s="1" t="str">
        <f t="shared" si="125"/>
        <v>PTRDAATQLVLSFQPRAFHALCLGSGGLRLALGLLQLLPGRSVRILRAAAACDLLGCLGMVIRSTVAFCVGSAMWIQLLYSACFWWLFCYAVDAYLVIRRSTILLYHIMAWGLATLLCVEGAAMLHAIPHYVTMYLPLLLVLVANPILMGAVIKIRFFKIMLVLIICWLSNIIFIMGILNPAQGFLLSLAFYGWTGCSLGFQSPRK</v>
      </c>
      <c r="C382" s="29" t="str">
        <f>IF(ISERROR(MATCH(A382,'SegEnds_Xtal_Prot#'!B:B, 0)), "NoXtal", "Xtal")</f>
        <v>NoXtal</v>
      </c>
      <c r="D382" s="4" t="str">
        <f>VLOOKUP(A382,Classification!A:D,2,FALSE)</f>
        <v>O</v>
      </c>
      <c r="E382" s="5" t="str">
        <f>VLOOKUP(A382,Seqs!A:B,2,FALSE)</f>
        <v>MASPRLGTFCCPTRDAATQLVLSFQPRAFHALCLGSGGLRLALGLLQLLPGRRPAGPGSPATSPPASVRILRAAAACDLLGCLGMVIRSTVWLGFPNFVDSVSDMNHTEIWPAAFCVGSAMWIQLLYSACFWWLFCYAVDAYLVIRRSAGLSTILLYHIMAWGLATLLCVEGAAMLYYPSVSRCERGLDHAIPHYVTMYLPLLLVLVANPILFQKTVTAVASLLKGRQGIYTENERRMGAVIKIRFFKIMLVLIICWLSNIINESLLFYLEMQTDINGGSLKPVRTAAKTTWFIMGILNPAQGFLLSLAFYGWTGCSLGFQSPRKEIQWESLTTSAAEGAHPSPLMPHENPASGKVSQVGGQTSDEALSMLSEGSDASTIEIHTASESCNKNEGDPALPTHGDL</v>
      </c>
      <c r="F382" s="5" t="str">
        <f t="shared" si="126"/>
        <v>PTRDAATQLVLSFQPRAFHALCLGSGGLRLALGLLQLLPGR</v>
      </c>
      <c r="G382" s="4" t="str">
        <f t="shared" si="127"/>
        <v/>
      </c>
      <c r="H382" s="4" t="str">
        <f t="shared" si="128"/>
        <v>SVRILRAAAACDLLGCLGMVIRSTV</v>
      </c>
      <c r="I382" s="4" t="str">
        <f t="shared" si="129"/>
        <v/>
      </c>
      <c r="J382" s="4" t="str">
        <f t="shared" si="130"/>
        <v>AFCVGSAMWIQLLYSACFWWLFCYAVDAYLVIRR</v>
      </c>
      <c r="K382" s="4" t="str">
        <f t="shared" si="131"/>
        <v/>
      </c>
      <c r="L382" s="4" t="str">
        <f t="shared" si="132"/>
        <v>STILLYHIMAWGLATLLCVEGAAML</v>
      </c>
      <c r="M382" s="4" t="str">
        <f t="shared" si="133"/>
        <v/>
      </c>
      <c r="N382" s="4" t="str">
        <f t="shared" si="134"/>
        <v>HAIPHYVTMYLPLLLVLVANPIL</v>
      </c>
      <c r="O382" s="4" t="str">
        <f t="shared" si="135"/>
        <v>MGAVIKIRFFKIMLVLIICWLSNII</v>
      </c>
      <c r="P382" s="4" t="str">
        <f t="shared" si="136"/>
        <v>FIMGILNPAQGFLLSLAFYGWT</v>
      </c>
      <c r="Q382" s="4" t="str">
        <f t="shared" si="137"/>
        <v>GCSLGFQSPRK</v>
      </c>
      <c r="R382" s="5">
        <f>VLOOKUP($A382,'SegEnds_NonXtal_Prot#'!$A:$AL,3,FALSE)</f>
        <v>12</v>
      </c>
      <c r="S382" s="5" t="str">
        <f>VLOOKUP($A382,'SegEnds_NonXtal_Prot#'!$A:$AL,6,FALSE)</f>
        <v>-</v>
      </c>
      <c r="T382" s="5">
        <f>VLOOKUP($A382,'SegEnds_NonXtal_Prot#'!$A:$AL,9,FALSE)</f>
        <v>67</v>
      </c>
      <c r="U382" s="5" t="str">
        <f>VLOOKUP($A382,'SegEnds_NonXtal_Prot#'!$A:$AL,12,FALSE)</f>
        <v>-</v>
      </c>
      <c r="V382" s="5">
        <f>VLOOKUP($A382,'SegEnds_NonXtal_Prot#'!$A:$AL,15,FALSE)</f>
        <v>114</v>
      </c>
      <c r="W382" s="5" t="str">
        <f>VLOOKUP($A382,'SegEnds_NonXtal_Prot#'!$A:$AL,18,FALSE)</f>
        <v>-</v>
      </c>
      <c r="X382" s="5">
        <f>VLOOKUP($A382,'SegEnds_NonXtal_Prot#'!$A:$AL,21,FALSE)</f>
        <v>152</v>
      </c>
      <c r="Y382" s="5" t="str">
        <f>VLOOKUP($A382,'SegEnds_NonXtal_Prot#'!$A:$AL,24,FALSE)</f>
        <v>-</v>
      </c>
      <c r="Z382" s="5">
        <f>VLOOKUP($A382,'SegEnds_NonXtal_Prot#'!$A:$AL,27,FALSE)</f>
        <v>190</v>
      </c>
      <c r="AA382" s="5">
        <f>VLOOKUP($A382,'SegEnds_NonXtal_Prot#'!$A:$AL,30,FALSE)</f>
        <v>238</v>
      </c>
      <c r="AB382" s="5">
        <f>VLOOKUP($A382,'SegEnds_NonXtal_Prot#'!$A:$AL,33,FALSE)</f>
        <v>293</v>
      </c>
      <c r="AC382" s="5">
        <f>VLOOKUP($A382,'SegEnds_NonXtal_Prot#'!$A:$AL,36,FALSE)</f>
        <v>315</v>
      </c>
      <c r="AD382" s="5">
        <f>VLOOKUP($A382,'SegEnds_NonXtal_Prot#'!$A:$AL,5,FALSE)</f>
        <v>52</v>
      </c>
      <c r="AE382" s="5" t="str">
        <f>VLOOKUP($A382,'SegEnds_NonXtal_Prot#'!$A:$AL,8,FALSE)</f>
        <v>-</v>
      </c>
      <c r="AF382" s="5">
        <f>VLOOKUP($A382,'SegEnds_NonXtal_Prot#'!$A:$AL,11,FALSE)</f>
        <v>91</v>
      </c>
      <c r="AG382" s="5" t="str">
        <f>VLOOKUP($A382,'SegEnds_NonXtal_Prot#'!$A:$AL,14,FALSE)</f>
        <v>-</v>
      </c>
      <c r="AH382" s="5">
        <f>VLOOKUP($A382,'SegEnds_NonXtal_Prot#'!$A:$AL,17,FALSE)</f>
        <v>147</v>
      </c>
      <c r="AI382" s="5" t="str">
        <f>VLOOKUP($A382,'SegEnds_NonXtal_Prot#'!$A:$AL,20,FALSE)</f>
        <v>-</v>
      </c>
      <c r="AJ382" s="5">
        <f>VLOOKUP($A382,'SegEnds_NonXtal_Prot#'!$A:$AL,23,FALSE)</f>
        <v>176</v>
      </c>
      <c r="AK382" s="5" t="str">
        <f>VLOOKUP($A382,'SegEnds_NonXtal_Prot#'!$A:$AL,26,FALSE)</f>
        <v>-</v>
      </c>
      <c r="AL382" s="5">
        <f>VLOOKUP($A382,'SegEnds_NonXtal_Prot#'!$A:$AL,29,FALSE)</f>
        <v>212</v>
      </c>
      <c r="AM382" s="5">
        <f>VLOOKUP($A382,'SegEnds_NonXtal_Prot#'!$A:$AL,32,FALSE)</f>
        <v>262</v>
      </c>
      <c r="AN382" s="5">
        <f>VLOOKUP($A382,'SegEnds_NonXtal_Prot#'!$A:$AL,35,FALSE)</f>
        <v>314</v>
      </c>
      <c r="AO382" s="5">
        <f>VLOOKUP($A382,'SegEnds_NonXtal_Prot#'!$A:$AL,38,FALSE)</f>
        <v>325</v>
      </c>
      <c r="AP382" s="5">
        <f t="shared" si="138"/>
        <v>40</v>
      </c>
      <c r="AQ382" s="4" t="str">
        <f t="shared" si="139"/>
        <v>-</v>
      </c>
      <c r="AR382" s="4">
        <f t="shared" si="140"/>
        <v>24</v>
      </c>
      <c r="AS382" s="4" t="str">
        <f t="shared" si="141"/>
        <v>-</v>
      </c>
      <c r="AT382" s="4">
        <f t="shared" si="142"/>
        <v>33</v>
      </c>
      <c r="AU382" s="4" t="str">
        <f t="shared" si="143"/>
        <v>-</v>
      </c>
      <c r="AV382" s="4">
        <f t="shared" si="144"/>
        <v>24</v>
      </c>
      <c r="AW382" s="4" t="str">
        <f t="shared" si="145"/>
        <v>-</v>
      </c>
      <c r="AX382" s="4">
        <f t="shared" si="146"/>
        <v>22</v>
      </c>
      <c r="AY382" s="4">
        <f t="shared" si="147"/>
        <v>24</v>
      </c>
      <c r="AZ382" s="4">
        <f t="shared" si="148"/>
        <v>21</v>
      </c>
      <c r="BA382" s="4">
        <f t="shared" si="149"/>
        <v>10</v>
      </c>
    </row>
    <row r="383" spans="1:53" x14ac:dyDescent="0.2">
      <c r="A383" s="1" t="str">
        <f>'SegEnds_NonXtal_Prot#'!A385</f>
        <v>gp157_human</v>
      </c>
      <c r="B383" s="1" t="str">
        <f t="shared" si="125"/>
        <v>PSERAVVLLSCALSALGSGLLVATHALWARRLLLFLSLADLLSAASYFYGVLQWDCVLQGALSTFANTSSFFWTVAIALYLYLSIVRHVVSWGVPLVITVAAVALKKIGYDASVGWCWIDLEAKDHVLWMLLTGKLSQEHRLLRHSSMADKKLVLIPLIFVVLHGIGNTFQGGANCIMFVLCVRTRLFSLCCCCCSSQ</v>
      </c>
      <c r="C383" s="29" t="str">
        <f>IF(ISERROR(MATCH(A383,'SegEnds_Xtal_Prot#'!B:B, 0)), "NoXtal", "Xtal")</f>
        <v>NoXtal</v>
      </c>
      <c r="D383" s="4" t="str">
        <f>VLOOKUP(A383,Classification!A:D,2,FALSE)</f>
        <v>O</v>
      </c>
      <c r="E383" s="5" t="str">
        <f>VLOOKUP(A383,Seqs!A:B,2,FALSE)</f>
        <v>MQPSPPPTELVPSERAVVLLSCALSALGSGLLVATHALWPDLRSRARRLLLFLSLADLLSAASYFYGVLQNFAGPSWDCVLQGALSTFANTSSFFWTVAIALYLYLSIVRAARGPRTDRLLWAFHVVSWGVPLVITVAAVALKKIGYDASDVSVGWCWIDLEAKDHVLWMLLTGKLWEMLAYVLLPLLYLLVRKHINRAHTALSEYRPILSQEHRLLRHSSMADKKLVLIPLIFIGLRVWSTVRFVLTLCGSPAVQTPVLVVLHGIGNTFQGGANCIMFVLCTRAVRTRLFSLCCCCCSSQPPTKSPAGTPKAPAPSKPGESQESQGTPGELPST</v>
      </c>
      <c r="F383" s="5" t="str">
        <f t="shared" si="126"/>
        <v>PSERAVVLLSCALSALGSGLLVATHALW</v>
      </c>
      <c r="G383" s="4" t="str">
        <f t="shared" si="127"/>
        <v/>
      </c>
      <c r="H383" s="4" t="str">
        <f t="shared" si="128"/>
        <v>ARRLLLFLSLADLLSAASYFYGVLQ</v>
      </c>
      <c r="I383" s="4" t="str">
        <f t="shared" si="129"/>
        <v/>
      </c>
      <c r="J383" s="4" t="str">
        <f t="shared" si="130"/>
        <v>WDCVLQGALSTFANTSSFFWTVAIALYLYLSIVR</v>
      </c>
      <c r="K383" s="4" t="str">
        <f t="shared" si="131"/>
        <v/>
      </c>
      <c r="L383" s="4" t="str">
        <f t="shared" si="132"/>
        <v>HVVSWGVPLVITVAAVALKKIGYDA</v>
      </c>
      <c r="M383" s="4" t="str">
        <f t="shared" si="133"/>
        <v/>
      </c>
      <c r="N383" s="4" t="str">
        <f t="shared" si="134"/>
        <v>SVGWCWIDLEAKDHVLWMLLTGK</v>
      </c>
      <c r="O383" s="4" t="str">
        <f t="shared" si="135"/>
        <v>LSQEHRLLRHSSMADKKLVLIPLIF</v>
      </c>
      <c r="P383" s="4" t="str">
        <f t="shared" si="136"/>
        <v>VVLHGIGNTFQGGANCIMFVLC</v>
      </c>
      <c r="Q383" s="4" t="str">
        <f t="shared" si="137"/>
        <v>VRTRLFSLCCCCCSSQ</v>
      </c>
      <c r="R383" s="5">
        <f>VLOOKUP($A383,'SegEnds_NonXtal_Prot#'!$A:$AL,3,FALSE)</f>
        <v>12</v>
      </c>
      <c r="S383" s="5" t="str">
        <f>VLOOKUP($A383,'SegEnds_NonXtal_Prot#'!$A:$AL,6,FALSE)</f>
        <v>-</v>
      </c>
      <c r="T383" s="5">
        <f>VLOOKUP($A383,'SegEnds_NonXtal_Prot#'!$A:$AL,9,FALSE)</f>
        <v>46</v>
      </c>
      <c r="U383" s="5" t="str">
        <f>VLOOKUP($A383,'SegEnds_NonXtal_Prot#'!$A:$AL,12,FALSE)</f>
        <v>-</v>
      </c>
      <c r="V383" s="5">
        <f>VLOOKUP($A383,'SegEnds_NonXtal_Prot#'!$A:$AL,15,FALSE)</f>
        <v>77</v>
      </c>
      <c r="W383" s="5" t="str">
        <f>VLOOKUP($A383,'SegEnds_NonXtal_Prot#'!$A:$AL,18,FALSE)</f>
        <v>-</v>
      </c>
      <c r="X383" s="5">
        <f>VLOOKUP($A383,'SegEnds_NonXtal_Prot#'!$A:$AL,21,FALSE)</f>
        <v>125</v>
      </c>
      <c r="Y383" s="5" t="str">
        <f>VLOOKUP($A383,'SegEnds_NonXtal_Prot#'!$A:$AL,24,FALSE)</f>
        <v>-</v>
      </c>
      <c r="Z383" s="5">
        <f>VLOOKUP($A383,'SegEnds_NonXtal_Prot#'!$A:$AL,27,FALSE)</f>
        <v>153</v>
      </c>
      <c r="AA383" s="5">
        <f>VLOOKUP($A383,'SegEnds_NonXtal_Prot#'!$A:$AL,30,FALSE)</f>
        <v>210</v>
      </c>
      <c r="AB383" s="5">
        <f>VLOOKUP($A383,'SegEnds_NonXtal_Prot#'!$A:$AL,33,FALSE)</f>
        <v>261</v>
      </c>
      <c r="AC383" s="5">
        <f>VLOOKUP($A383,'SegEnds_NonXtal_Prot#'!$A:$AL,36,FALSE)</f>
        <v>286</v>
      </c>
      <c r="AD383" s="5">
        <f>VLOOKUP($A383,'SegEnds_NonXtal_Prot#'!$A:$AL,5,FALSE)</f>
        <v>39</v>
      </c>
      <c r="AE383" s="5" t="str">
        <f>VLOOKUP($A383,'SegEnds_NonXtal_Prot#'!$A:$AL,8,FALSE)</f>
        <v>-</v>
      </c>
      <c r="AF383" s="5">
        <f>VLOOKUP($A383,'SegEnds_NonXtal_Prot#'!$A:$AL,11,FALSE)</f>
        <v>70</v>
      </c>
      <c r="AG383" s="5" t="str">
        <f>VLOOKUP($A383,'SegEnds_NonXtal_Prot#'!$A:$AL,14,FALSE)</f>
        <v>-</v>
      </c>
      <c r="AH383" s="5">
        <f>VLOOKUP($A383,'SegEnds_NonXtal_Prot#'!$A:$AL,17,FALSE)</f>
        <v>110</v>
      </c>
      <c r="AI383" s="5" t="str">
        <f>VLOOKUP($A383,'SegEnds_NonXtal_Prot#'!$A:$AL,20,FALSE)</f>
        <v>-</v>
      </c>
      <c r="AJ383" s="5">
        <f>VLOOKUP($A383,'SegEnds_NonXtal_Prot#'!$A:$AL,23,FALSE)</f>
        <v>149</v>
      </c>
      <c r="AK383" s="5" t="str">
        <f>VLOOKUP($A383,'SegEnds_NonXtal_Prot#'!$A:$AL,26,FALSE)</f>
        <v>-</v>
      </c>
      <c r="AL383" s="5">
        <f>VLOOKUP($A383,'SegEnds_NonXtal_Prot#'!$A:$AL,29,FALSE)</f>
        <v>175</v>
      </c>
      <c r="AM383" s="5">
        <f>VLOOKUP($A383,'SegEnds_NonXtal_Prot#'!$A:$AL,32,FALSE)</f>
        <v>234</v>
      </c>
      <c r="AN383" s="5">
        <f>VLOOKUP($A383,'SegEnds_NonXtal_Prot#'!$A:$AL,35,FALSE)</f>
        <v>282</v>
      </c>
      <c r="AO383" s="5">
        <f>VLOOKUP($A383,'SegEnds_NonXtal_Prot#'!$A:$AL,38,FALSE)</f>
        <v>301</v>
      </c>
      <c r="AP383" s="5">
        <f t="shared" si="138"/>
        <v>27</v>
      </c>
      <c r="AQ383" s="4" t="str">
        <f t="shared" si="139"/>
        <v>-</v>
      </c>
      <c r="AR383" s="4">
        <f t="shared" si="140"/>
        <v>24</v>
      </c>
      <c r="AS383" s="4" t="str">
        <f t="shared" si="141"/>
        <v>-</v>
      </c>
      <c r="AT383" s="4">
        <f t="shared" si="142"/>
        <v>33</v>
      </c>
      <c r="AU383" s="4" t="str">
        <f t="shared" si="143"/>
        <v>-</v>
      </c>
      <c r="AV383" s="4">
        <f t="shared" si="144"/>
        <v>24</v>
      </c>
      <c r="AW383" s="4" t="str">
        <f t="shared" si="145"/>
        <v>-</v>
      </c>
      <c r="AX383" s="4">
        <f t="shared" si="146"/>
        <v>22</v>
      </c>
      <c r="AY383" s="4">
        <f t="shared" si="147"/>
        <v>24</v>
      </c>
      <c r="AZ383" s="4">
        <f t="shared" si="148"/>
        <v>21</v>
      </c>
      <c r="BA383" s="4">
        <f t="shared" si="149"/>
        <v>15</v>
      </c>
    </row>
    <row r="384" spans="1:53" x14ac:dyDescent="0.2">
      <c r="A384" s="1" t="str">
        <f>'SegEnds_NonXtal_Prot#'!A383</f>
        <v>gp107_human</v>
      </c>
      <c r="B384" s="1" t="str">
        <f t="shared" si="125"/>
        <v>GAVSFQFFFNISTDDQEGLYSLYFHKCLGKELPSDKFTFSMAFFFFLSGTIWIHILRKRRNDVFKEGWAVVYYITHLLKGALLFITIALIGTGWAFIKHNVAYIIIESTEEGTTEYGLWKDSLFQADLELLASSCPPASVSQRAGITLAKLKLFRHYYVLIVCYIYFTRIIAFFVLTGYKFRPASDNPYLQLSQEEDLEMESVVT</v>
      </c>
      <c r="C384" s="29" t="str">
        <f>IF(ISERROR(MATCH(A384,'SegEnds_Xtal_Prot#'!B:B, 0)), "NoXtal", "Xtal")</f>
        <v>NoXtal</v>
      </c>
      <c r="D384" s="4" t="str">
        <f>VLOOKUP(A384,Classification!A:D,2,FALSE)</f>
        <v>O</v>
      </c>
      <c r="E384" s="5" t="str">
        <f>VLOOKUP(A384,Seqs!A:B,2,FALSE)</f>
        <v>MAALAPVGSPASRGPRLAAGLRLLPMLGLLQLLAEPGLGRVHHLALKDDVRHKVHLNTFGFFKDGYMVVNVSSLSLNEPEDKDVTIGFSLDRTKNDGFSSYLDEDVNYCILKKQSVSVTLLILDISRSEVRVKSPPEAGTQLPKIIFSRDEKVLGQSQEPNVNPASAGNQTQKTQDGGKSKRSTVDSKAMGEKSFSVHNNGGAVSFQFFFNISTDDQEGLYSLYFHKCLGKELPSDKFTFSLDIEITEKNPDSYLSAGEIPLPKLYISMAFFFFLSGTIWIHILRKRRNDVFKIHWLMAALPFTKSLSLVFHAIDYHYISSQGFPIEGWAVVYYITHLLKGALLFITIALIGTGWAFIKHILSDKDKKIFMIVIPLQVLANVAYIIIESTEEGTTEYGLWKDSLFLVDLLCCGAILFPVVWSIRHLQEASATDGKGDSMGPLQQRANLRAGSRIESHHFAQADLELLASSCPPASVSQRAGITAAINLAKLKLFRHYYVLIVCYIYFTRIIAFLLKLAVPFQWKWLYQLLDETATLVFFVLTGYKFRPASDNPYLQLSQEEEDLEMESVVTTSGVMESMKKVKKVTNGSVEPQGEWEGAV</v>
      </c>
      <c r="F384" s="5" t="str">
        <f t="shared" si="126"/>
        <v>GAVSFQFFFNISTDDQEGLYSLYFHKCLGKELPSDKFTFS</v>
      </c>
      <c r="G384" s="4" t="str">
        <f t="shared" si="127"/>
        <v/>
      </c>
      <c r="H384" s="4" t="str">
        <f t="shared" si="128"/>
        <v>MAFFFFLSGTIWIHILRKRRNDVFK</v>
      </c>
      <c r="I384" s="4" t="str">
        <f t="shared" si="129"/>
        <v/>
      </c>
      <c r="J384" s="4" t="str">
        <f t="shared" si="130"/>
        <v>EGWAVVYYITHLLKGALLFITIALIGTGWAFIKH</v>
      </c>
      <c r="K384" s="4" t="str">
        <f t="shared" si="131"/>
        <v/>
      </c>
      <c r="L384" s="4" t="str">
        <f t="shared" si="132"/>
        <v>NVAYIIIESTEEGTTEYGLWKDSLF</v>
      </c>
      <c r="M384" s="4" t="str">
        <f t="shared" si="133"/>
        <v/>
      </c>
      <c r="N384" s="4" t="str">
        <f t="shared" si="134"/>
        <v>QADLELLASSCPPASVSQRAGIT</v>
      </c>
      <c r="O384" s="4" t="str">
        <f t="shared" si="135"/>
        <v>LAKLKLFRHYYVLIVCYIYFTRIIA</v>
      </c>
      <c r="P384" s="4" t="str">
        <f t="shared" si="136"/>
        <v>FFVLTGYKFRPASDNPYLQLSQ</v>
      </c>
      <c r="Q384" s="4" t="str">
        <f t="shared" si="137"/>
        <v>EEDLEMESVVT</v>
      </c>
      <c r="R384" s="5">
        <f>VLOOKUP($A384,'SegEnds_NonXtal_Prot#'!$A:$AL,3,FALSE)</f>
        <v>202</v>
      </c>
      <c r="S384" s="5" t="str">
        <f>VLOOKUP($A384,'SegEnds_NonXtal_Prot#'!$A:$AL,6,FALSE)</f>
        <v>-</v>
      </c>
      <c r="T384" s="5">
        <f>VLOOKUP($A384,'SegEnds_NonXtal_Prot#'!$A:$AL,9,FALSE)</f>
        <v>269</v>
      </c>
      <c r="U384" s="5" t="str">
        <f>VLOOKUP($A384,'SegEnds_NonXtal_Prot#'!$A:$AL,12,FALSE)</f>
        <v>-</v>
      </c>
      <c r="V384" s="5">
        <f>VLOOKUP($A384,'SegEnds_NonXtal_Prot#'!$A:$AL,15,FALSE)</f>
        <v>327</v>
      </c>
      <c r="W384" s="5" t="str">
        <f>VLOOKUP($A384,'SegEnds_NonXtal_Prot#'!$A:$AL,18,FALSE)</f>
        <v>-</v>
      </c>
      <c r="X384" s="5">
        <f>VLOOKUP($A384,'SegEnds_NonXtal_Prot#'!$A:$AL,21,FALSE)</f>
        <v>381</v>
      </c>
      <c r="Y384" s="5" t="str">
        <f>VLOOKUP($A384,'SegEnds_NonXtal_Prot#'!$A:$AL,24,FALSE)</f>
        <v>-</v>
      </c>
      <c r="Z384" s="5">
        <f>VLOOKUP($A384,'SegEnds_NonXtal_Prot#'!$A:$AL,27,FALSE)</f>
        <v>461</v>
      </c>
      <c r="AA384" s="5">
        <f>VLOOKUP($A384,'SegEnds_NonXtal_Prot#'!$A:$AL,30,FALSE)</f>
        <v>488</v>
      </c>
      <c r="AB384" s="5">
        <f>VLOOKUP($A384,'SegEnds_NonXtal_Prot#'!$A:$AL,33,FALSE)</f>
        <v>538</v>
      </c>
      <c r="AC384" s="5">
        <f>VLOOKUP($A384,'SegEnds_NonXtal_Prot#'!$A:$AL,36,FALSE)</f>
        <v>561</v>
      </c>
      <c r="AD384" s="5">
        <f>VLOOKUP($A384,'SegEnds_NonXtal_Prot#'!$A:$AL,5,FALSE)</f>
        <v>241</v>
      </c>
      <c r="AE384" s="5" t="str">
        <f>VLOOKUP($A384,'SegEnds_NonXtal_Prot#'!$A:$AL,8,FALSE)</f>
        <v>-</v>
      </c>
      <c r="AF384" s="5">
        <f>VLOOKUP($A384,'SegEnds_NonXtal_Prot#'!$A:$AL,11,FALSE)</f>
        <v>293</v>
      </c>
      <c r="AG384" s="5" t="str">
        <f>VLOOKUP($A384,'SegEnds_NonXtal_Prot#'!$A:$AL,14,FALSE)</f>
        <v>-</v>
      </c>
      <c r="AH384" s="5">
        <f>VLOOKUP($A384,'SegEnds_NonXtal_Prot#'!$A:$AL,17,FALSE)</f>
        <v>360</v>
      </c>
      <c r="AI384" s="5" t="str">
        <f>VLOOKUP($A384,'SegEnds_NonXtal_Prot#'!$A:$AL,20,FALSE)</f>
        <v>-</v>
      </c>
      <c r="AJ384" s="5">
        <f>VLOOKUP($A384,'SegEnds_NonXtal_Prot#'!$A:$AL,23,FALSE)</f>
        <v>405</v>
      </c>
      <c r="AK384" s="5" t="str">
        <f>VLOOKUP($A384,'SegEnds_NonXtal_Prot#'!$A:$AL,26,FALSE)</f>
        <v>-</v>
      </c>
      <c r="AL384" s="5">
        <f>VLOOKUP($A384,'SegEnds_NonXtal_Prot#'!$A:$AL,29,FALSE)</f>
        <v>483</v>
      </c>
      <c r="AM384" s="5">
        <f>VLOOKUP($A384,'SegEnds_NonXtal_Prot#'!$A:$AL,32,FALSE)</f>
        <v>512</v>
      </c>
      <c r="AN384" s="5">
        <f>VLOOKUP($A384,'SegEnds_NonXtal_Prot#'!$A:$AL,35,FALSE)</f>
        <v>559</v>
      </c>
      <c r="AO384" s="5">
        <f>VLOOKUP($A384,'SegEnds_NonXtal_Prot#'!$A:$AL,38,FALSE)</f>
        <v>571</v>
      </c>
      <c r="AP384" s="5">
        <f t="shared" si="138"/>
        <v>39</v>
      </c>
      <c r="AQ384" s="4" t="str">
        <f t="shared" si="139"/>
        <v>-</v>
      </c>
      <c r="AR384" s="4">
        <f t="shared" si="140"/>
        <v>24</v>
      </c>
      <c r="AS384" s="4" t="str">
        <f t="shared" si="141"/>
        <v>-</v>
      </c>
      <c r="AT384" s="4">
        <f t="shared" si="142"/>
        <v>33</v>
      </c>
      <c r="AU384" s="4" t="str">
        <f t="shared" si="143"/>
        <v>-</v>
      </c>
      <c r="AV384" s="4">
        <f t="shared" si="144"/>
        <v>24</v>
      </c>
      <c r="AW384" s="4" t="str">
        <f t="shared" si="145"/>
        <v>-</v>
      </c>
      <c r="AX384" s="4">
        <f t="shared" si="146"/>
        <v>22</v>
      </c>
      <c r="AY384" s="4">
        <f t="shared" si="147"/>
        <v>24</v>
      </c>
      <c r="AZ384" s="4">
        <f t="shared" si="148"/>
        <v>21</v>
      </c>
      <c r="BA384" s="4">
        <f t="shared" si="149"/>
        <v>10</v>
      </c>
    </row>
    <row r="385" spans="1:53" x14ac:dyDescent="0.2">
      <c r="A385" s="1" t="str">
        <f>'SegEnds_NonXtal_Prot#'!A386</f>
        <v>tpra1_human</v>
      </c>
      <c r="B385" s="1" t="str">
        <f t="shared" si="125"/>
        <v>PHRCLLLLYEDIGTSRVRYWDLLLLIPNVLFLIFLLWKLPSARAKIRIILVFVVALVGIARAVVSMTVSTSNADKILWEITRFFLLAIELSVIILGLAFGHLESKSSYSVTQGTLEILYPDAHLSAEDFGHGGRQFWLVSSCFFFLVYSLVDIIEGLCCVDATTFLYFSFFAPLIYYKCQVDETEEPDVHLPQPYAVALEAAGAAGASAASYSSTQFDS</v>
      </c>
      <c r="C385" s="29" t="str">
        <f>IF(ISERROR(MATCH(A385,'SegEnds_Xtal_Prot#'!B:B, 0)), "NoXtal", "Xtal")</f>
        <v>NoXtal</v>
      </c>
      <c r="D385" s="4" t="str">
        <f>VLOOKUP(A385,Classification!A:D,2,FALSE)</f>
        <v>O</v>
      </c>
      <c r="E385" s="5" t="str">
        <f>VLOOKUP(A385,Seqs!A:B,2,FALSE)</f>
        <v>MDTLEEVTWANGSTALPPPLAPNISVPHRCLLLLYEDIGTSRVRYWDLLLLIPNVLFLIFLLWKLPSARAKIRITSSPIFITFYILVFVVALVGIARAVVSMTVSTSNAATVADKILWEITRFFLLAIELSVIILGLAFGHLESKSSIKRVLAITTVLSLAYSVTQGTLEILYPDAHLSAEDFNIYGHGGRQFWLVSSCFFFLVYSLVVILPKTPLKERISLPSRRSFYVYAGILALLNLLQGLGSVLLCFDIIEGLCCVDATTFLYFSFFAPLIYVAFLRGFFGSEPKILFSYKCQVDETEEPDVHLPQPYAVARREGLEAAGAAGASAASYSSTQFDSAGGVAYLDDIASMPCHTGSINSTDSERWKAINA</v>
      </c>
      <c r="F385" s="5" t="str">
        <f t="shared" si="126"/>
        <v>PHRCLLLLYEDIGTSRVRYWDLLLLIPNVLFLIFLLWKLPSARAKIRI</v>
      </c>
      <c r="G385" s="4" t="str">
        <f t="shared" si="127"/>
        <v/>
      </c>
      <c r="H385" s="4" t="str">
        <f t="shared" si="128"/>
        <v>ILVFVVALVGIARAVVSMTVSTSNA</v>
      </c>
      <c r="I385" s="4" t="str">
        <f t="shared" si="129"/>
        <v/>
      </c>
      <c r="J385" s="4" t="str">
        <f t="shared" si="130"/>
        <v>DKILWEITRFFLLAIELSVIILGLAFGHLESKSS</v>
      </c>
      <c r="K385" s="4" t="str">
        <f t="shared" si="131"/>
        <v/>
      </c>
      <c r="L385" s="4" t="str">
        <f t="shared" si="132"/>
        <v>YSVTQGTLEILYPDAHLSAEDF</v>
      </c>
      <c r="M385" s="4" t="str">
        <f t="shared" si="133"/>
        <v/>
      </c>
      <c r="N385" s="4" t="str">
        <f t="shared" si="134"/>
        <v>GHGGRQFWLVSSCFFFLVYSLV</v>
      </c>
      <c r="O385" s="4" t="str">
        <f t="shared" si="135"/>
        <v>DIIEGLCCVDATTFLYFSFFAPLIY</v>
      </c>
      <c r="P385" s="4" t="str">
        <f t="shared" si="136"/>
        <v>YKCQVDETEEPDVHLPQPYAVA</v>
      </c>
      <c r="Q385" s="4" t="str">
        <f t="shared" si="137"/>
        <v>LEAAGAAGASAASYSSTQFDS</v>
      </c>
      <c r="R385" s="5">
        <f>VLOOKUP($A385,'SegEnds_NonXtal_Prot#'!$A:$AL,3,FALSE)</f>
        <v>27</v>
      </c>
      <c r="S385" s="5" t="str">
        <f>VLOOKUP($A385,'SegEnds_NonXtal_Prot#'!$A:$AL,6,FALSE)</f>
        <v>-</v>
      </c>
      <c r="T385" s="5">
        <f>VLOOKUP($A385,'SegEnds_NonXtal_Prot#'!$A:$AL,9,FALSE)</f>
        <v>85</v>
      </c>
      <c r="U385" s="5" t="str">
        <f>VLOOKUP($A385,'SegEnds_NonXtal_Prot#'!$A:$AL,12,FALSE)</f>
        <v>-</v>
      </c>
      <c r="V385" s="5">
        <f>VLOOKUP($A385,'SegEnds_NonXtal_Prot#'!$A:$AL,15,FALSE)</f>
        <v>114</v>
      </c>
      <c r="W385" s="5" t="str">
        <f>VLOOKUP($A385,'SegEnds_NonXtal_Prot#'!$A:$AL,18,FALSE)</f>
        <v>-</v>
      </c>
      <c r="X385" s="5">
        <f>VLOOKUP($A385,'SegEnds_NonXtal_Prot#'!$A:$AL,21,FALSE)</f>
        <v>162</v>
      </c>
      <c r="Y385" s="5" t="str">
        <f>VLOOKUP($A385,'SegEnds_NonXtal_Prot#'!$A:$AL,24,FALSE)</f>
        <v>-</v>
      </c>
      <c r="Z385" s="5">
        <f>VLOOKUP($A385,'SegEnds_NonXtal_Prot#'!$A:$AL,27,FALSE)</f>
        <v>187</v>
      </c>
      <c r="AA385" s="5">
        <f>VLOOKUP($A385,'SegEnds_NonXtal_Prot#'!$A:$AL,30,FALSE)</f>
        <v>252</v>
      </c>
      <c r="AB385" s="5">
        <f>VLOOKUP($A385,'SegEnds_NonXtal_Prot#'!$A:$AL,33,FALSE)</f>
        <v>294</v>
      </c>
      <c r="AC385" s="5">
        <f>VLOOKUP($A385,'SegEnds_NonXtal_Prot#'!$A:$AL,36,FALSE)</f>
        <v>320</v>
      </c>
      <c r="AD385" s="5">
        <f>VLOOKUP($A385,'SegEnds_NonXtal_Prot#'!$A:$AL,5,FALSE)</f>
        <v>74</v>
      </c>
      <c r="AE385" s="5" t="str">
        <f>VLOOKUP($A385,'SegEnds_NonXtal_Prot#'!$A:$AL,8,FALSE)</f>
        <v>-</v>
      </c>
      <c r="AF385" s="5">
        <f>VLOOKUP($A385,'SegEnds_NonXtal_Prot#'!$A:$AL,11,FALSE)</f>
        <v>109</v>
      </c>
      <c r="AG385" s="5" t="str">
        <f>VLOOKUP($A385,'SegEnds_NonXtal_Prot#'!$A:$AL,14,FALSE)</f>
        <v>-</v>
      </c>
      <c r="AH385" s="5">
        <f>VLOOKUP($A385,'SegEnds_NonXtal_Prot#'!$A:$AL,17,FALSE)</f>
        <v>147</v>
      </c>
      <c r="AI385" s="5" t="str">
        <f>VLOOKUP($A385,'SegEnds_NonXtal_Prot#'!$A:$AL,20,FALSE)</f>
        <v>-</v>
      </c>
      <c r="AJ385" s="5">
        <f>VLOOKUP($A385,'SegEnds_NonXtal_Prot#'!$A:$AL,23,FALSE)</f>
        <v>183</v>
      </c>
      <c r="AK385" s="5" t="str">
        <f>VLOOKUP($A385,'SegEnds_NonXtal_Prot#'!$A:$AL,26,FALSE)</f>
        <v>-</v>
      </c>
      <c r="AL385" s="5">
        <f>VLOOKUP($A385,'SegEnds_NonXtal_Prot#'!$A:$AL,29,FALSE)</f>
        <v>208</v>
      </c>
      <c r="AM385" s="5">
        <f>VLOOKUP($A385,'SegEnds_NonXtal_Prot#'!$A:$AL,32,FALSE)</f>
        <v>276</v>
      </c>
      <c r="AN385" s="5">
        <f>VLOOKUP($A385,'SegEnds_NonXtal_Prot#'!$A:$AL,35,FALSE)</f>
        <v>315</v>
      </c>
      <c r="AO385" s="5">
        <f>VLOOKUP($A385,'SegEnds_NonXtal_Prot#'!$A:$AL,38,FALSE)</f>
        <v>340</v>
      </c>
      <c r="AP385" s="5">
        <f t="shared" si="138"/>
        <v>47</v>
      </c>
      <c r="AQ385" s="4" t="str">
        <f t="shared" si="139"/>
        <v>-</v>
      </c>
      <c r="AR385" s="4">
        <f t="shared" si="140"/>
        <v>24</v>
      </c>
      <c r="AS385" s="4" t="str">
        <f t="shared" si="141"/>
        <v>-</v>
      </c>
      <c r="AT385" s="4">
        <f t="shared" si="142"/>
        <v>33</v>
      </c>
      <c r="AU385" s="4" t="str">
        <f t="shared" si="143"/>
        <v>-</v>
      </c>
      <c r="AV385" s="4">
        <f t="shared" si="144"/>
        <v>21</v>
      </c>
      <c r="AW385" s="4" t="str">
        <f t="shared" si="145"/>
        <v>-</v>
      </c>
      <c r="AX385" s="4">
        <f t="shared" si="146"/>
        <v>21</v>
      </c>
      <c r="AY385" s="4">
        <f t="shared" si="147"/>
        <v>24</v>
      </c>
      <c r="AZ385" s="4">
        <f t="shared" si="148"/>
        <v>21</v>
      </c>
      <c r="BA385" s="4">
        <f t="shared" si="149"/>
        <v>20</v>
      </c>
    </row>
    <row r="386" spans="1:53" x14ac:dyDescent="0.2">
      <c r="A386" s="1" t="str">
        <f>'SegEnds_NonXtal_Prot#'!A388</f>
        <v>t2r13_human</v>
      </c>
      <c r="B386" s="1" t="str">
        <f t="shared" ref="B386:B406" si="150">F386&amp;H386&amp;J386&amp;L386&amp;N386&amp;O386&amp;P386&amp;Q386</f>
        <v>PSIFTLVIIAEFIIGNLSNGFIVLINCIDWVLSSVDKLLIILAISRIGLIWEILVSWFLALHYSGTGLRIMIFSWIVSNHFNLWLATIFSIFYLLKIASWRVNKVILMILLGTLVFLFLNLIQINMHIKFETFSVSVKFTMTMFSLTPFTVAFISFLLLIFSLQKHLQKMPRTKVHTNALKIVISFLLFYASFFLCVLISWISNTVIYMLCETIGVFSPSSHSFLLILGNAKLRQAFLLVAAK</v>
      </c>
      <c r="C386" s="29" t="str">
        <f>IF(ISERROR(MATCH(A386,'SegEnds_Xtal_Prot#'!B:B, 0)), "NoXtal", "Xtal")</f>
        <v>NoXtal</v>
      </c>
      <c r="D386" s="4" t="str">
        <f>VLOOKUP(A386,Classification!A:D,2,FALSE)</f>
        <v>T</v>
      </c>
      <c r="E386" s="5" t="str">
        <f>VLOOKUP(A386,Seqs!A:B,2,FALSE)</f>
        <v>MESALPSIFTLVIIAEFIIGNLSNGFIVLINCIDWVSKRELSSVDKLLIILAISRIGLIWEILVSWFLALHYLAIFVSGTGLRIMIFSWIVSNHFNLWLATIFSIFYLLKIASFSSPAFLYLKWRVNKVILMILLGTLVFLFLNLIQINMHIKDWLDRYERNTTWNFSMSDFETFSVSVKFTMTMFSLTPFTVAFISFLLLIFSLQKHLQKMQLNYKGHRDPRTKVHTNALKIVISFLLFYASFFLCVLISWISELYQNTVIYMLCETIGVFSPSSHSFLLILGNAKLRQAFLLVAAKVWAKR</v>
      </c>
      <c r="F386" s="5" t="str">
        <f t="shared" ref="F386:F406" si="151">IFERROR(MID($E386,R386,(AP386+1)),"")</f>
        <v>PSIFTLVIIAEFIIGNLSNGFIVLINCIDWV</v>
      </c>
      <c r="G386" s="4" t="str">
        <f t="shared" ref="G386:G406" si="152">IFERROR(MID($E386,S386,(AQ386+1)),"")</f>
        <v>SKRE</v>
      </c>
      <c r="H386" s="4" t="str">
        <f t="shared" ref="H386:H406" si="153">IFERROR(MID($E386,T386,(AR386+1)),"")</f>
        <v>LSSVDKLLIILAISRIGLIWEILVSWFLALHY</v>
      </c>
      <c r="I386" s="4" t="str">
        <f t="shared" ref="I386:I406" si="154">IFERROR(MID($E386,U386,(AS386+1)),"")</f>
        <v/>
      </c>
      <c r="J386" s="4" t="str">
        <f t="shared" ref="J386:J406" si="155">IFERROR(MID($E386,V386,(AT386+1)),"")</f>
        <v>SGTGLRIMIFSWIVSNHFNLWLATIFSIFYLLKIAS</v>
      </c>
      <c r="K386" s="4" t="str">
        <f t="shared" ref="K386:K406" si="156">IFERROR(MID($E386,W386,(AU386+1)),"")</f>
        <v>SPAFLYLK</v>
      </c>
      <c r="L386" s="4" t="str">
        <f t="shared" ref="L386:L406" si="157">IFERROR(MID($E386,X386,(AV386+1)),"")</f>
        <v>WRVNKVILMILLGTLVFLFLNLIQINMHIK</v>
      </c>
      <c r="M386" s="4" t="str">
        <f t="shared" ref="M386:M406" si="158">IFERROR(MID($E386,Y386,(AW386+1)),"")</f>
        <v/>
      </c>
      <c r="N386" s="4" t="str">
        <f t="shared" ref="N386:N406" si="159">IFERROR(MID($E386,Z386,(AX386+1)),"")</f>
        <v>FETFSVSVKFTMTMFSLTPFTVAFISFLLLIFSLQKHLQKM</v>
      </c>
      <c r="O386" s="4" t="str">
        <f t="shared" ref="O386:O406" si="160">IFERROR(MID($E386,AA386,(AY386+1)),"")</f>
        <v>PRTKVHTNALKIVISFLLFYASFFLCVLISWIS</v>
      </c>
      <c r="P386" s="4" t="str">
        <f t="shared" ref="P386:P406" si="161">IFERROR(MID($E386,AB386,(AZ386+1)),"")</f>
        <v>NTVIYMLCETIGVFSPSSHSFLLILG</v>
      </c>
      <c r="Q386" s="4" t="str">
        <f t="shared" ref="Q386:Q406" si="162">IFERROR(MID($E386,AC386,(BA386+1)),"")</f>
        <v>NAKLRQAFLLVAAK</v>
      </c>
      <c r="R386" s="5">
        <f>VLOOKUP($A386,'SegEnds_NonXtal_Prot#'!$A:$AL,3,FALSE)</f>
        <v>6</v>
      </c>
      <c r="S386" s="5">
        <f>VLOOKUP($A386,'SegEnds_NonXtal_Prot#'!$A:$AL,6,FALSE)</f>
        <v>37</v>
      </c>
      <c r="T386" s="5">
        <f>VLOOKUP($A386,'SegEnds_NonXtal_Prot#'!$A:$AL,9,FALSE)</f>
        <v>41</v>
      </c>
      <c r="U386" s="5" t="str">
        <f>VLOOKUP($A386,'SegEnds_NonXtal_Prot#'!$A:$AL,12,FALSE)</f>
        <v>-</v>
      </c>
      <c r="V386" s="5">
        <f>VLOOKUP($A386,'SegEnds_NonXtal_Prot#'!$A:$AL,15,FALSE)</f>
        <v>78</v>
      </c>
      <c r="W386" s="5">
        <f>VLOOKUP($A386,'SegEnds_NonXtal_Prot#'!$A:$AL,18,FALSE)</f>
        <v>116</v>
      </c>
      <c r="X386" s="5">
        <f>VLOOKUP($A386,'SegEnds_NonXtal_Prot#'!$A:$AL,21,FALSE)</f>
        <v>124</v>
      </c>
      <c r="Y386" s="5" t="str">
        <f>VLOOKUP($A386,'SegEnds_NonXtal_Prot#'!$A:$AL,24,FALSE)</f>
        <v>-</v>
      </c>
      <c r="Z386" s="5">
        <f>VLOOKUP($A386,'SegEnds_NonXtal_Prot#'!$A:$AL,27,FALSE)</f>
        <v>172</v>
      </c>
      <c r="AA386" s="5">
        <f>VLOOKUP($A386,'SegEnds_NonXtal_Prot#'!$A:$AL,30,FALSE)</f>
        <v>222</v>
      </c>
      <c r="AB386" s="5">
        <f>VLOOKUP($A386,'SegEnds_NonXtal_Prot#'!$A:$AL,33,FALSE)</f>
        <v>259</v>
      </c>
      <c r="AC386" s="5">
        <f>VLOOKUP($A386,'SegEnds_NonXtal_Prot#'!$A:$AL,36,FALSE)</f>
        <v>285</v>
      </c>
      <c r="AD386" s="5">
        <f>VLOOKUP($A386,'SegEnds_NonXtal_Prot#'!$A:$AL,5,FALSE)</f>
        <v>36</v>
      </c>
      <c r="AE386" s="5">
        <f>VLOOKUP($A386,'SegEnds_NonXtal_Prot#'!$A:$AL,8,FALSE)</f>
        <v>40</v>
      </c>
      <c r="AF386" s="5">
        <f>VLOOKUP($A386,'SegEnds_NonXtal_Prot#'!$A:$AL,11,FALSE)</f>
        <v>72</v>
      </c>
      <c r="AG386" s="5" t="str">
        <f>VLOOKUP($A386,'SegEnds_NonXtal_Prot#'!$A:$AL,14,FALSE)</f>
        <v>-</v>
      </c>
      <c r="AH386" s="5">
        <f>VLOOKUP($A386,'SegEnds_NonXtal_Prot#'!$A:$AL,17,FALSE)</f>
        <v>113</v>
      </c>
      <c r="AI386" s="5">
        <f>VLOOKUP($A386,'SegEnds_NonXtal_Prot#'!$A:$AL,20,FALSE)</f>
        <v>123</v>
      </c>
      <c r="AJ386" s="5">
        <f>VLOOKUP($A386,'SegEnds_NonXtal_Prot#'!$A:$AL,23,FALSE)</f>
        <v>153</v>
      </c>
      <c r="AK386" s="5" t="str">
        <f>VLOOKUP($A386,'SegEnds_NonXtal_Prot#'!$A:$AL,26,FALSE)</f>
        <v>-</v>
      </c>
      <c r="AL386" s="5">
        <f>VLOOKUP($A386,'SegEnds_NonXtal_Prot#'!$A:$AL,29,FALSE)</f>
        <v>212</v>
      </c>
      <c r="AM386" s="5">
        <f>VLOOKUP($A386,'SegEnds_NonXtal_Prot#'!$A:$AL,32,FALSE)</f>
        <v>254</v>
      </c>
      <c r="AN386" s="5">
        <f>VLOOKUP($A386,'SegEnds_NonXtal_Prot#'!$A:$AL,35,FALSE)</f>
        <v>284</v>
      </c>
      <c r="AO386" s="5">
        <f>VLOOKUP($A386,'SegEnds_NonXtal_Prot#'!$A:$AL,38,FALSE)</f>
        <v>298</v>
      </c>
      <c r="AP386" s="5">
        <f t="shared" ref="AP386:AP406" si="163">IFERROR(AD386-R386,"-")</f>
        <v>30</v>
      </c>
      <c r="AQ386" s="4">
        <f t="shared" ref="AQ386:AQ406" si="164">IFERROR(AE386-S386,"-")</f>
        <v>3</v>
      </c>
      <c r="AR386" s="4">
        <f t="shared" ref="AR386:AR406" si="165">IFERROR(AF386-T386,"-")</f>
        <v>31</v>
      </c>
      <c r="AS386" s="4" t="str">
        <f t="shared" ref="AS386:AS406" si="166">IFERROR(AG386-U386,"-")</f>
        <v>-</v>
      </c>
      <c r="AT386" s="4">
        <f t="shared" ref="AT386:AT406" si="167">IFERROR(AH386-V386,"-")</f>
        <v>35</v>
      </c>
      <c r="AU386" s="4">
        <f t="shared" ref="AU386:AU406" si="168">IFERROR(AI386-W386,"-")</f>
        <v>7</v>
      </c>
      <c r="AV386" s="4">
        <f t="shared" ref="AV386:AV406" si="169">IFERROR(AJ386-X386,"-")</f>
        <v>29</v>
      </c>
      <c r="AW386" s="4" t="str">
        <f t="shared" ref="AW386:AW406" si="170">IFERROR(AK386-Y386,"-")</f>
        <v>-</v>
      </c>
      <c r="AX386" s="4">
        <f t="shared" ref="AX386:AX406" si="171">IFERROR(AL386-Z386,"-")</f>
        <v>40</v>
      </c>
      <c r="AY386" s="4">
        <f t="shared" ref="AY386:AY406" si="172">IFERROR(AM386-AA386,"-")</f>
        <v>32</v>
      </c>
      <c r="AZ386" s="4">
        <f t="shared" ref="AZ386:AZ406" si="173">IFERROR(AN386-AB386,"-")</f>
        <v>25</v>
      </c>
      <c r="BA386" s="4">
        <f t="shared" ref="BA386:BA406" si="174">IFERROR(AO386-AC386,"-")</f>
        <v>13</v>
      </c>
    </row>
    <row r="387" spans="1:53" x14ac:dyDescent="0.2">
      <c r="A387" s="1" t="str">
        <f>'SegEnds_NonXtal_Prot#'!A389</f>
        <v>t2r14_human</v>
      </c>
      <c r="B387" s="1" t="str">
        <f t="shared" si="150"/>
        <v>KSIFTFVLIVEFIIGNLGNSFIALVNCIDWVISSVDRILTALAISRISLVWLIFGSWCVSVFFTEKMFRMLTNIWTVINHFSVWLATGLGTFYFLKIANWRVKKVVLVLLLVTSVFLFLNIALINIHINFTRFSSLIVLTSTVFIFIPFTLSLAMFLLLIFSMWKHRKKMDASTKAHRGVKSVITFFLLYAIFSLSFFISVWTEENLIILSQVMGMAYPSCHSCVLILGNKKLRQASLSVLLW</v>
      </c>
      <c r="C387" s="29" t="str">
        <f>IF(ISERROR(MATCH(A387,'SegEnds_Xtal_Prot#'!B:B, 0)), "NoXtal", "Xtal")</f>
        <v>NoXtal</v>
      </c>
      <c r="D387" s="4" t="str">
        <f>VLOOKUP(A387,Classification!A:D,2,FALSE)</f>
        <v>T</v>
      </c>
      <c r="E387" s="5" t="str">
        <f>VLOOKUP(A387,Seqs!A:B,2,FALSE)</f>
        <v>MGGVIKSIFTFVLIVEFIIGNLGNSFIALVNCIDWVKGRKISSVDRILTALAISRISLVWLIFGSWCVSVFFPALFATEKMFRMLTNIWTVINHFSVWLATGLGTFYFLKIANFSNSIFLYLKWRVKKVVLVLLLVTSVFLFLNIALINIHINASINGYRRNKTCSSDSSNFTRFSSLIVLTSTVFIFIPFTLSLAMFLLLIFSMWKHRKKMQHTVKISGDASTKAHRGVKSVITFFLLYAIFSLSFFISVWTSERLEENLIILSQVMGMAYPSCHSCVLILGNKKLRQASLSVLLWLRYMFKDGEPSGHKEFRESS</v>
      </c>
      <c r="F387" s="5" t="str">
        <f t="shared" si="151"/>
        <v>KSIFTFVLIVEFIIGNLGNSFIALVNCIDWV</v>
      </c>
      <c r="G387" s="4" t="str">
        <f t="shared" si="152"/>
        <v>KGRK</v>
      </c>
      <c r="H387" s="4" t="str">
        <f t="shared" si="153"/>
        <v>ISSVDRILTALAISRISLVWLIFGSWCVSVFF</v>
      </c>
      <c r="I387" s="4" t="str">
        <f t="shared" si="154"/>
        <v/>
      </c>
      <c r="J387" s="4" t="str">
        <f t="shared" si="155"/>
        <v>TEKMFRMLTNIWTVINHFSVWLATGLGTFYFLKIAN</v>
      </c>
      <c r="K387" s="4" t="str">
        <f t="shared" si="156"/>
        <v>NSIFLYLK</v>
      </c>
      <c r="L387" s="4" t="str">
        <f t="shared" si="157"/>
        <v>WRVKKVVLVLLLVTSVFLFLNIALINIHIN</v>
      </c>
      <c r="M387" s="4" t="str">
        <f t="shared" si="158"/>
        <v/>
      </c>
      <c r="N387" s="4" t="str">
        <f t="shared" si="159"/>
        <v>FTRFSSLIVLTSTVFIFIPFTLSLAMFLLLIFSMWKHRKKM</v>
      </c>
      <c r="O387" s="4" t="str">
        <f t="shared" si="160"/>
        <v>DASTKAHRGVKSVITFFLLYAIFSLSFFISVWT</v>
      </c>
      <c r="P387" s="4" t="str">
        <f t="shared" si="161"/>
        <v>EENLIILSQVMGMAYPSCHSCVLILG</v>
      </c>
      <c r="Q387" s="4" t="str">
        <f t="shared" si="162"/>
        <v>NKKLRQASLSVLLW</v>
      </c>
      <c r="R387" s="5">
        <f>VLOOKUP($A387,'SegEnds_NonXtal_Prot#'!$A:$AL,3,FALSE)</f>
        <v>6</v>
      </c>
      <c r="S387" s="5">
        <f>VLOOKUP($A387,'SegEnds_NonXtal_Prot#'!$A:$AL,6,FALSE)</f>
        <v>37</v>
      </c>
      <c r="T387" s="5">
        <f>VLOOKUP($A387,'SegEnds_NonXtal_Prot#'!$A:$AL,9,FALSE)</f>
        <v>41</v>
      </c>
      <c r="U387" s="5" t="str">
        <f>VLOOKUP($A387,'SegEnds_NonXtal_Prot#'!$A:$AL,12,FALSE)</f>
        <v>-</v>
      </c>
      <c r="V387" s="5">
        <f>VLOOKUP($A387,'SegEnds_NonXtal_Prot#'!$A:$AL,15,FALSE)</f>
        <v>78</v>
      </c>
      <c r="W387" s="5">
        <f>VLOOKUP($A387,'SegEnds_NonXtal_Prot#'!$A:$AL,18,FALSE)</f>
        <v>116</v>
      </c>
      <c r="X387" s="5">
        <f>VLOOKUP($A387,'SegEnds_NonXtal_Prot#'!$A:$AL,21,FALSE)</f>
        <v>124</v>
      </c>
      <c r="Y387" s="5" t="str">
        <f>VLOOKUP($A387,'SegEnds_NonXtal_Prot#'!$A:$AL,24,FALSE)</f>
        <v>-</v>
      </c>
      <c r="Z387" s="5">
        <f>VLOOKUP($A387,'SegEnds_NonXtal_Prot#'!$A:$AL,27,FALSE)</f>
        <v>172</v>
      </c>
      <c r="AA387" s="5">
        <f>VLOOKUP($A387,'SegEnds_NonXtal_Prot#'!$A:$AL,30,FALSE)</f>
        <v>221</v>
      </c>
      <c r="AB387" s="5">
        <f>VLOOKUP($A387,'SegEnds_NonXtal_Prot#'!$A:$AL,33,FALSE)</f>
        <v>258</v>
      </c>
      <c r="AC387" s="5">
        <f>VLOOKUP($A387,'SegEnds_NonXtal_Prot#'!$A:$AL,36,FALSE)</f>
        <v>284</v>
      </c>
      <c r="AD387" s="5">
        <f>VLOOKUP($A387,'SegEnds_NonXtal_Prot#'!$A:$AL,5,FALSE)</f>
        <v>36</v>
      </c>
      <c r="AE387" s="5">
        <f>VLOOKUP($A387,'SegEnds_NonXtal_Prot#'!$A:$AL,8,FALSE)</f>
        <v>40</v>
      </c>
      <c r="AF387" s="5">
        <f>VLOOKUP($A387,'SegEnds_NonXtal_Prot#'!$A:$AL,11,FALSE)</f>
        <v>72</v>
      </c>
      <c r="AG387" s="5" t="str">
        <f>VLOOKUP($A387,'SegEnds_NonXtal_Prot#'!$A:$AL,14,FALSE)</f>
        <v>-</v>
      </c>
      <c r="AH387" s="5">
        <f>VLOOKUP($A387,'SegEnds_NonXtal_Prot#'!$A:$AL,17,FALSE)</f>
        <v>113</v>
      </c>
      <c r="AI387" s="5">
        <f>VLOOKUP($A387,'SegEnds_NonXtal_Prot#'!$A:$AL,20,FALSE)</f>
        <v>123</v>
      </c>
      <c r="AJ387" s="5">
        <f>VLOOKUP($A387,'SegEnds_NonXtal_Prot#'!$A:$AL,23,FALSE)</f>
        <v>153</v>
      </c>
      <c r="AK387" s="5" t="str">
        <f>VLOOKUP($A387,'SegEnds_NonXtal_Prot#'!$A:$AL,26,FALSE)</f>
        <v>-</v>
      </c>
      <c r="AL387" s="5">
        <f>VLOOKUP($A387,'SegEnds_NonXtal_Prot#'!$A:$AL,29,FALSE)</f>
        <v>212</v>
      </c>
      <c r="AM387" s="5">
        <f>VLOOKUP($A387,'SegEnds_NonXtal_Prot#'!$A:$AL,32,FALSE)</f>
        <v>253</v>
      </c>
      <c r="AN387" s="5">
        <f>VLOOKUP($A387,'SegEnds_NonXtal_Prot#'!$A:$AL,35,FALSE)</f>
        <v>283</v>
      </c>
      <c r="AO387" s="5">
        <f>VLOOKUP($A387,'SegEnds_NonXtal_Prot#'!$A:$AL,38,FALSE)</f>
        <v>297</v>
      </c>
      <c r="AP387" s="5">
        <f t="shared" si="163"/>
        <v>30</v>
      </c>
      <c r="AQ387" s="4">
        <f t="shared" si="164"/>
        <v>3</v>
      </c>
      <c r="AR387" s="4">
        <f t="shared" si="165"/>
        <v>31</v>
      </c>
      <c r="AS387" s="4" t="str">
        <f t="shared" si="166"/>
        <v>-</v>
      </c>
      <c r="AT387" s="4">
        <f t="shared" si="167"/>
        <v>35</v>
      </c>
      <c r="AU387" s="4">
        <f t="shared" si="168"/>
        <v>7</v>
      </c>
      <c r="AV387" s="4">
        <f t="shared" si="169"/>
        <v>29</v>
      </c>
      <c r="AW387" s="4" t="str">
        <f t="shared" si="170"/>
        <v>-</v>
      </c>
      <c r="AX387" s="4">
        <f t="shared" si="171"/>
        <v>40</v>
      </c>
      <c r="AY387" s="4">
        <f t="shared" si="172"/>
        <v>32</v>
      </c>
      <c r="AZ387" s="4">
        <f t="shared" si="173"/>
        <v>25</v>
      </c>
      <c r="BA387" s="4">
        <f t="shared" si="174"/>
        <v>13</v>
      </c>
    </row>
    <row r="388" spans="1:53" x14ac:dyDescent="0.2">
      <c r="A388" s="1" t="str">
        <f>'SegEnds_NonXtal_Prot#'!A390</f>
        <v>t2r16_human</v>
      </c>
      <c r="B388" s="1" t="str">
        <f t="shared" si="150"/>
        <v>TVFFMIIYVLESLTIIVQSSLIVAVLGREWLLMPVDMILISLGISRFCLQWASMLNNFCSYFVLCNLTITWEFFNILTFWLNSLLTVFYCIKVSSWRILRLFPWILLGSLMITCVTIIPSAILENFHQYQFQAHTVALVIPFILFLASTIFLMASLTKQIQHHPSMKARFTALRSLAVLFIVFTSYFLTILITIIGKRCWLWVWEAFVYAFILMHSTSLMLSSPTLKRILKGKC</v>
      </c>
      <c r="C388" s="29" t="str">
        <f>IF(ISERROR(MATCH(A388,'SegEnds_Xtal_Prot#'!B:B, 0)), "NoXtal", "Xtal")</f>
        <v>NoXtal</v>
      </c>
      <c r="D388" s="4" t="str">
        <f>VLOOKUP(A388,Classification!A:D,2,FALSE)</f>
        <v>T</v>
      </c>
      <c r="E388" s="5" t="str">
        <f>VLOOKUP(A388,Seqs!A:B,2,FALSE)</f>
        <v>MIPIQLTVFFMIIYVLESLTIIVQSSLIVAVLGREWLQVRRLMPVDMILISLGISRFCLQWASMLNNFCSYFNLNYVLCNLTITWEFFNILTFWLNSLLTVFYCIKVSSFTHHIFLWLRWRILRLFPWILLGSLMITCVTIIPSAIGNYIQIQLLTMEHLPRNSTVTDKLENFHQYQFQAHTVALVIPFILFLASTIFLMASLTKQIQHHSTGHCNPSMKARFTALRSLAVLFIVFTSYFLTILITIIGTLFDKRCWLWVWEAFVYAFILMHSTSLMLSSPTLKRILKGKC</v>
      </c>
      <c r="F388" s="5" t="str">
        <f t="shared" si="151"/>
        <v>TVFFMIIYVLESLTIIVQSSLIVAVLGREWL</v>
      </c>
      <c r="G388" s="4" t="str">
        <f t="shared" si="152"/>
        <v>QVRR</v>
      </c>
      <c r="H388" s="4" t="str">
        <f t="shared" si="153"/>
        <v>LMPVDMILISLGISRFCLQWASMLNNFCSYF</v>
      </c>
      <c r="I388" s="4" t="str">
        <f t="shared" si="154"/>
        <v/>
      </c>
      <c r="J388" s="4" t="str">
        <f t="shared" si="155"/>
        <v>VLCNLTITWEFFNILTFWLNSLLTVFYCIKVSS</v>
      </c>
      <c r="K388" s="4" t="str">
        <f t="shared" si="156"/>
        <v>HHIFLWLR</v>
      </c>
      <c r="L388" s="4" t="str">
        <f t="shared" si="157"/>
        <v>WRILRLFPWILLGSLMITCVTIIPSAI</v>
      </c>
      <c r="M388" s="4" t="str">
        <f t="shared" si="158"/>
        <v/>
      </c>
      <c r="N388" s="4" t="str">
        <f t="shared" si="159"/>
        <v>LENFHQYQFQAHTVALVIPFILFLASTIFLMASLTKQIQHH</v>
      </c>
      <c r="O388" s="4" t="str">
        <f t="shared" si="160"/>
        <v>PSMKARFTALRSLAVLFIVFTSYFLTILITIIG</v>
      </c>
      <c r="P388" s="4" t="str">
        <f t="shared" si="161"/>
        <v>KRCWLWVWEAFVYAFILMHSTSLMLS</v>
      </c>
      <c r="Q388" s="4" t="str">
        <f t="shared" si="162"/>
        <v>SPTLKRILKGKC</v>
      </c>
      <c r="R388" s="5">
        <f>VLOOKUP($A388,'SegEnds_NonXtal_Prot#'!$A:$AL,3,FALSE)</f>
        <v>7</v>
      </c>
      <c r="S388" s="5">
        <f>VLOOKUP($A388,'SegEnds_NonXtal_Prot#'!$A:$AL,6,FALSE)</f>
        <v>38</v>
      </c>
      <c r="T388" s="5">
        <f>VLOOKUP($A388,'SegEnds_NonXtal_Prot#'!$A:$AL,9,FALSE)</f>
        <v>42</v>
      </c>
      <c r="U388" s="5" t="str">
        <f>VLOOKUP($A388,'SegEnds_NonXtal_Prot#'!$A:$AL,12,FALSE)</f>
        <v>-</v>
      </c>
      <c r="V388" s="5">
        <f>VLOOKUP($A388,'SegEnds_NonXtal_Prot#'!$A:$AL,15,FALSE)</f>
        <v>77</v>
      </c>
      <c r="W388" s="5">
        <f>VLOOKUP($A388,'SegEnds_NonXtal_Prot#'!$A:$AL,18,FALSE)</f>
        <v>112</v>
      </c>
      <c r="X388" s="5">
        <f>VLOOKUP($A388,'SegEnds_NonXtal_Prot#'!$A:$AL,21,FALSE)</f>
        <v>120</v>
      </c>
      <c r="Y388" s="5" t="str">
        <f>VLOOKUP($A388,'SegEnds_NonXtal_Prot#'!$A:$AL,24,FALSE)</f>
        <v>-</v>
      </c>
      <c r="Z388" s="5">
        <f>VLOOKUP($A388,'SegEnds_NonXtal_Prot#'!$A:$AL,27,FALSE)</f>
        <v>170</v>
      </c>
      <c r="AA388" s="5">
        <f>VLOOKUP($A388,'SegEnds_NonXtal_Prot#'!$A:$AL,30,FALSE)</f>
        <v>217</v>
      </c>
      <c r="AB388" s="5">
        <f>VLOOKUP($A388,'SegEnds_NonXtal_Prot#'!$A:$AL,33,FALSE)</f>
        <v>254</v>
      </c>
      <c r="AC388" s="5">
        <f>VLOOKUP($A388,'SegEnds_NonXtal_Prot#'!$A:$AL,36,FALSE)</f>
        <v>280</v>
      </c>
      <c r="AD388" s="5">
        <f>VLOOKUP($A388,'SegEnds_NonXtal_Prot#'!$A:$AL,5,FALSE)</f>
        <v>37</v>
      </c>
      <c r="AE388" s="5">
        <f>VLOOKUP($A388,'SegEnds_NonXtal_Prot#'!$A:$AL,8,FALSE)</f>
        <v>41</v>
      </c>
      <c r="AF388" s="5">
        <f>VLOOKUP($A388,'SegEnds_NonXtal_Prot#'!$A:$AL,11,FALSE)</f>
        <v>72</v>
      </c>
      <c r="AG388" s="5" t="str">
        <f>VLOOKUP($A388,'SegEnds_NonXtal_Prot#'!$A:$AL,14,FALSE)</f>
        <v>-</v>
      </c>
      <c r="AH388" s="5">
        <f>VLOOKUP($A388,'SegEnds_NonXtal_Prot#'!$A:$AL,17,FALSE)</f>
        <v>109</v>
      </c>
      <c r="AI388" s="5">
        <f>VLOOKUP($A388,'SegEnds_NonXtal_Prot#'!$A:$AL,20,FALSE)</f>
        <v>119</v>
      </c>
      <c r="AJ388" s="5">
        <f>VLOOKUP($A388,'SegEnds_NonXtal_Prot#'!$A:$AL,23,FALSE)</f>
        <v>146</v>
      </c>
      <c r="AK388" s="5" t="str">
        <f>VLOOKUP($A388,'SegEnds_NonXtal_Prot#'!$A:$AL,26,FALSE)</f>
        <v>-</v>
      </c>
      <c r="AL388" s="5">
        <f>VLOOKUP($A388,'SegEnds_NonXtal_Prot#'!$A:$AL,29,FALSE)</f>
        <v>210</v>
      </c>
      <c r="AM388" s="5">
        <f>VLOOKUP($A388,'SegEnds_NonXtal_Prot#'!$A:$AL,32,FALSE)</f>
        <v>249</v>
      </c>
      <c r="AN388" s="5">
        <f>VLOOKUP($A388,'SegEnds_NonXtal_Prot#'!$A:$AL,35,FALSE)</f>
        <v>279</v>
      </c>
      <c r="AO388" s="5">
        <f>VLOOKUP($A388,'SegEnds_NonXtal_Prot#'!$A:$AL,38,FALSE)</f>
        <v>291</v>
      </c>
      <c r="AP388" s="5">
        <f t="shared" si="163"/>
        <v>30</v>
      </c>
      <c r="AQ388" s="4">
        <f t="shared" si="164"/>
        <v>3</v>
      </c>
      <c r="AR388" s="4">
        <f t="shared" si="165"/>
        <v>30</v>
      </c>
      <c r="AS388" s="4" t="str">
        <f t="shared" si="166"/>
        <v>-</v>
      </c>
      <c r="AT388" s="4">
        <f t="shared" si="167"/>
        <v>32</v>
      </c>
      <c r="AU388" s="4">
        <f t="shared" si="168"/>
        <v>7</v>
      </c>
      <c r="AV388" s="4">
        <f t="shared" si="169"/>
        <v>26</v>
      </c>
      <c r="AW388" s="4" t="str">
        <f t="shared" si="170"/>
        <v>-</v>
      </c>
      <c r="AX388" s="4">
        <f t="shared" si="171"/>
        <v>40</v>
      </c>
      <c r="AY388" s="4">
        <f t="shared" si="172"/>
        <v>32</v>
      </c>
      <c r="AZ388" s="4">
        <f t="shared" si="173"/>
        <v>25</v>
      </c>
      <c r="BA388" s="4">
        <f t="shared" si="174"/>
        <v>11</v>
      </c>
    </row>
    <row r="389" spans="1:53" x14ac:dyDescent="0.2">
      <c r="A389" s="1" t="str">
        <f>'SegEnds_NonXtal_Prot#'!A391</f>
        <v>t2r19_human</v>
      </c>
      <c r="B389" s="1" t="str">
        <f t="shared" si="150"/>
        <v>LIISSILVVFAFVLGNVANGFIALVNVIDWVISSAEQILTALVVSRIGLLWVMLFLWYATVFGLEVRIVASNAWAVTNHFSMWLAASLSIFCLLKIANKRIKSVVLVILLGPLVFLICNLAVITMDERRNAIHLSSLTVTTLANLIPFTLSLICFLLLICSLCKHLKKMPSTKVHIKALQTVTSFLMLFAIYFLCIITSTWNSKLVLLLCQTVAIMYPSFHSFILIMGSRKLKQTFLSVLWQ</v>
      </c>
      <c r="C389" s="29" t="str">
        <f>IF(ISERROR(MATCH(A389,'SegEnds_Xtal_Prot#'!B:B, 0)), "NoXtal", "Xtal")</f>
        <v>NoXtal</v>
      </c>
      <c r="D389" s="4" t="str">
        <f>VLOOKUP(A389,Classification!A:D,2,FALSE)</f>
        <v>T</v>
      </c>
      <c r="E389" s="5" t="str">
        <f>VLOOKUP(A389,Seqs!A:B,2,FALSE)</f>
        <v>MMCFLLIISSILVVFAFVLGNVANGFIALVNVIDWVNTRKISSAEQILTALVVSRIGLLWVMLFLWYATVFNSALYGLEVRIVASNAWAVTNHFSMWLAASLSIFCLLKIANFSNLISLHLKKRIKSVVLVILLGPLVFLICNLAVITMDERVWTKEYEGNVTWKIKLRNAIHLSSLTVTTLANLIPFTLSLICFLLLICSLCKHLKKMRLHSKGSQDPSTKVHIKALQTVTSFLMLFAIYFLCIITSTWNLRTQQSKLVLLLCQTVAIMYPSFHSFILIMGSRKLKQTFLSVLWQMTR</v>
      </c>
      <c r="F389" s="5" t="str">
        <f t="shared" si="151"/>
        <v>LIISSILVVFAFVLGNVANGFIALVNVIDWV</v>
      </c>
      <c r="G389" s="4" t="str">
        <f t="shared" si="152"/>
        <v>NTRK</v>
      </c>
      <c r="H389" s="4" t="str">
        <f t="shared" si="153"/>
        <v>ISSAEQILTALVVSRIGLLWVMLFLWYATVF</v>
      </c>
      <c r="I389" s="4" t="str">
        <f t="shared" si="154"/>
        <v/>
      </c>
      <c r="J389" s="4" t="str">
        <f t="shared" si="155"/>
        <v>GLEVRIVASNAWAVTNHFSMWLAASLSIFCLLKIAN</v>
      </c>
      <c r="K389" s="4" t="str">
        <f t="shared" si="156"/>
        <v>NLISLHLK</v>
      </c>
      <c r="L389" s="4" t="str">
        <f t="shared" si="157"/>
        <v>KRIKSVVLVILLGPLVFLICNLAVITMDER</v>
      </c>
      <c r="M389" s="4" t="str">
        <f t="shared" si="158"/>
        <v/>
      </c>
      <c r="N389" s="4" t="str">
        <f t="shared" si="159"/>
        <v>RNAIHLSSLTVTTLANLIPFTLSLICFLLLICSLCKHLKKM</v>
      </c>
      <c r="O389" s="4" t="str">
        <f t="shared" si="160"/>
        <v>PSTKVHIKALQTVTSFLMLFAIYFLCIITSTWN</v>
      </c>
      <c r="P389" s="4" t="str">
        <f t="shared" si="161"/>
        <v>SKLVLLLCQTVAIMYPSFHSFILIMG</v>
      </c>
      <c r="Q389" s="4" t="str">
        <f t="shared" si="162"/>
        <v>SRKLKQTFLSVLWQ</v>
      </c>
      <c r="R389" s="5">
        <f>VLOOKUP($A389,'SegEnds_NonXtal_Prot#'!$A:$AL,3,FALSE)</f>
        <v>6</v>
      </c>
      <c r="S389" s="5">
        <f>VLOOKUP($A389,'SegEnds_NonXtal_Prot#'!$A:$AL,6,FALSE)</f>
        <v>37</v>
      </c>
      <c r="T389" s="5">
        <f>VLOOKUP($A389,'SegEnds_NonXtal_Prot#'!$A:$AL,9,FALSE)</f>
        <v>41</v>
      </c>
      <c r="U389" s="5" t="str">
        <f>VLOOKUP($A389,'SegEnds_NonXtal_Prot#'!$A:$AL,12,FALSE)</f>
        <v>-</v>
      </c>
      <c r="V389" s="5">
        <f>VLOOKUP($A389,'SegEnds_NonXtal_Prot#'!$A:$AL,15,FALSE)</f>
        <v>77</v>
      </c>
      <c r="W389" s="5">
        <f>VLOOKUP($A389,'SegEnds_NonXtal_Prot#'!$A:$AL,18,FALSE)</f>
        <v>115</v>
      </c>
      <c r="X389" s="5">
        <f>VLOOKUP($A389,'SegEnds_NonXtal_Prot#'!$A:$AL,21,FALSE)</f>
        <v>123</v>
      </c>
      <c r="Y389" s="5" t="str">
        <f>VLOOKUP($A389,'SegEnds_NonXtal_Prot#'!$A:$AL,24,FALSE)</f>
        <v>-</v>
      </c>
      <c r="Z389" s="5">
        <f>VLOOKUP($A389,'SegEnds_NonXtal_Prot#'!$A:$AL,27,FALSE)</f>
        <v>169</v>
      </c>
      <c r="AA389" s="5">
        <f>VLOOKUP($A389,'SegEnds_NonXtal_Prot#'!$A:$AL,30,FALSE)</f>
        <v>219</v>
      </c>
      <c r="AB389" s="5">
        <f>VLOOKUP($A389,'SegEnds_NonXtal_Prot#'!$A:$AL,33,FALSE)</f>
        <v>257</v>
      </c>
      <c r="AC389" s="5">
        <f>VLOOKUP($A389,'SegEnds_NonXtal_Prot#'!$A:$AL,36,FALSE)</f>
        <v>283</v>
      </c>
      <c r="AD389" s="5">
        <f>VLOOKUP($A389,'SegEnds_NonXtal_Prot#'!$A:$AL,5,FALSE)</f>
        <v>36</v>
      </c>
      <c r="AE389" s="5">
        <f>VLOOKUP($A389,'SegEnds_NonXtal_Prot#'!$A:$AL,8,FALSE)</f>
        <v>40</v>
      </c>
      <c r="AF389" s="5">
        <f>VLOOKUP($A389,'SegEnds_NonXtal_Prot#'!$A:$AL,11,FALSE)</f>
        <v>71</v>
      </c>
      <c r="AG389" s="5" t="str">
        <f>VLOOKUP($A389,'SegEnds_NonXtal_Prot#'!$A:$AL,14,FALSE)</f>
        <v>-</v>
      </c>
      <c r="AH389" s="5">
        <f>VLOOKUP($A389,'SegEnds_NonXtal_Prot#'!$A:$AL,17,FALSE)</f>
        <v>112</v>
      </c>
      <c r="AI389" s="5">
        <f>VLOOKUP($A389,'SegEnds_NonXtal_Prot#'!$A:$AL,20,FALSE)</f>
        <v>122</v>
      </c>
      <c r="AJ389" s="5">
        <f>VLOOKUP($A389,'SegEnds_NonXtal_Prot#'!$A:$AL,23,FALSE)</f>
        <v>152</v>
      </c>
      <c r="AK389" s="5" t="str">
        <f>VLOOKUP($A389,'SegEnds_NonXtal_Prot#'!$A:$AL,26,FALSE)</f>
        <v>-</v>
      </c>
      <c r="AL389" s="5">
        <f>VLOOKUP($A389,'SegEnds_NonXtal_Prot#'!$A:$AL,29,FALSE)</f>
        <v>209</v>
      </c>
      <c r="AM389" s="5">
        <f>VLOOKUP($A389,'SegEnds_NonXtal_Prot#'!$A:$AL,32,FALSE)</f>
        <v>251</v>
      </c>
      <c r="AN389" s="5">
        <f>VLOOKUP($A389,'SegEnds_NonXtal_Prot#'!$A:$AL,35,FALSE)</f>
        <v>282</v>
      </c>
      <c r="AO389" s="5">
        <f>VLOOKUP($A389,'SegEnds_NonXtal_Prot#'!$A:$AL,38,FALSE)</f>
        <v>296</v>
      </c>
      <c r="AP389" s="5">
        <f t="shared" si="163"/>
        <v>30</v>
      </c>
      <c r="AQ389" s="4">
        <f t="shared" si="164"/>
        <v>3</v>
      </c>
      <c r="AR389" s="4">
        <f t="shared" si="165"/>
        <v>30</v>
      </c>
      <c r="AS389" s="4" t="str">
        <f t="shared" si="166"/>
        <v>-</v>
      </c>
      <c r="AT389" s="4">
        <f t="shared" si="167"/>
        <v>35</v>
      </c>
      <c r="AU389" s="4">
        <f t="shared" si="168"/>
        <v>7</v>
      </c>
      <c r="AV389" s="4">
        <f t="shared" si="169"/>
        <v>29</v>
      </c>
      <c r="AW389" s="4" t="str">
        <f t="shared" si="170"/>
        <v>-</v>
      </c>
      <c r="AX389" s="4">
        <f t="shared" si="171"/>
        <v>40</v>
      </c>
      <c r="AY389" s="4">
        <f t="shared" si="172"/>
        <v>32</v>
      </c>
      <c r="AZ389" s="4">
        <f t="shared" si="173"/>
        <v>25</v>
      </c>
      <c r="BA389" s="4">
        <f t="shared" si="174"/>
        <v>13</v>
      </c>
    </row>
    <row r="390" spans="1:53" x14ac:dyDescent="0.2">
      <c r="A390" s="1" t="str">
        <f>'SegEnds_NonXtal_Prot#'!A392</f>
        <v>t2r20_human</v>
      </c>
      <c r="B390" s="1" t="str">
        <f t="shared" si="150"/>
        <v>HIVFSILVVVAFILGNFANGFIALINFIAWVISSADQIIAALAVSRVGLLWVILLHWYSTVLNLKVIIFISNAWAVTNHFSIWLATSLSIFYLLKIVNRKAKSVVLVIVLGSLFFLVCHLVMKHTYINRNAMHLSNLTVAMLANLIPFTLTLISFLLLIYSLCKHLKKMPSTKIHIKALQTVTSFLILLAIYFLCLIISFWNKEIVLMLCQAFGIIYPSFHSFILIWGNKTLKQTFLSVLWQ</v>
      </c>
      <c r="C390" s="29" t="str">
        <f>IF(ISERROR(MATCH(A390,'SegEnds_Xtal_Prot#'!B:B, 0)), "NoXtal", "Xtal")</f>
        <v>NoXtal</v>
      </c>
      <c r="D390" s="4" t="str">
        <f>VLOOKUP(A390,Classification!A:D,2,FALSE)</f>
        <v>T</v>
      </c>
      <c r="E390" s="5" t="str">
        <f>VLOOKUP(A390,Seqs!A:B,2,FALSE)</f>
        <v>MMSFLHIVFSILVVVAFILGNFANGFIALINFIAWVKRQKISSADQIIAALAVSRVGLLWVILLHWYSTVLNPTSSNLKVIIFISNAWAVTNHFSIWLATSLSIFYLLKIVNFSRLIFHHLKRKAKSVVLVIVLGSLFFLVCHLVMKHTYINVWTEECEGNVTWKIKLRNAMHLSNLTVAMLANLIPFTLTLISFLLLIYSLCKHLKKMQLHGKGSQDPSTKIHIKALQTVTSFLILLAIYFLCLIISFWNFKMRPKEIVLMLCQAFGIIYPSFHSFILIWGNKTLKQTFLSVLWQVTCWAKGQNQSTP</v>
      </c>
      <c r="F390" s="5" t="str">
        <f t="shared" si="151"/>
        <v>HIVFSILVVVAFILGNFANGFIALINFIAWV</v>
      </c>
      <c r="G390" s="4" t="str">
        <f t="shared" si="152"/>
        <v>KRQK</v>
      </c>
      <c r="H390" s="4" t="str">
        <f t="shared" si="153"/>
        <v>ISSADQIIAALAVSRVGLLWVILLHWYSTVL</v>
      </c>
      <c r="I390" s="4" t="str">
        <f t="shared" si="154"/>
        <v/>
      </c>
      <c r="J390" s="4" t="str">
        <f t="shared" si="155"/>
        <v>NLKVIIFISNAWAVTNHFSIWLATSLSIFYLLKIVN</v>
      </c>
      <c r="K390" s="4" t="str">
        <f t="shared" si="156"/>
        <v>RLIFHHLK</v>
      </c>
      <c r="L390" s="4" t="str">
        <f t="shared" si="157"/>
        <v>RKAKSVVLVIVLGSLFFLVCHLVMKHTYIN</v>
      </c>
      <c r="M390" s="4" t="str">
        <f t="shared" si="158"/>
        <v/>
      </c>
      <c r="N390" s="4" t="str">
        <f t="shared" si="159"/>
        <v>RNAMHLSNLTVAMLANLIPFTLTLISFLLLIYSLCKHLKKM</v>
      </c>
      <c r="O390" s="4" t="str">
        <f t="shared" si="160"/>
        <v>PSTKIHIKALQTVTSFLILLAIYFLCLIISFWN</v>
      </c>
      <c r="P390" s="4" t="str">
        <f t="shared" si="161"/>
        <v>KEIVLMLCQAFGIIYPSFHSFILIWG</v>
      </c>
      <c r="Q390" s="4" t="str">
        <f t="shared" si="162"/>
        <v>NKTLKQTFLSVLWQ</v>
      </c>
      <c r="R390" s="5">
        <f>VLOOKUP($A390,'SegEnds_NonXtal_Prot#'!$A:$AL,3,FALSE)</f>
        <v>6</v>
      </c>
      <c r="S390" s="5">
        <f>VLOOKUP($A390,'SegEnds_NonXtal_Prot#'!$A:$AL,6,FALSE)</f>
        <v>37</v>
      </c>
      <c r="T390" s="5">
        <f>VLOOKUP($A390,'SegEnds_NonXtal_Prot#'!$A:$AL,9,FALSE)</f>
        <v>41</v>
      </c>
      <c r="U390" s="5" t="str">
        <f>VLOOKUP($A390,'SegEnds_NonXtal_Prot#'!$A:$AL,12,FALSE)</f>
        <v>-</v>
      </c>
      <c r="V390" s="5">
        <f>VLOOKUP($A390,'SegEnds_NonXtal_Prot#'!$A:$AL,15,FALSE)</f>
        <v>77</v>
      </c>
      <c r="W390" s="5">
        <f>VLOOKUP($A390,'SegEnds_NonXtal_Prot#'!$A:$AL,18,FALSE)</f>
        <v>115</v>
      </c>
      <c r="X390" s="5">
        <f>VLOOKUP($A390,'SegEnds_NonXtal_Prot#'!$A:$AL,21,FALSE)</f>
        <v>123</v>
      </c>
      <c r="Y390" s="5" t="str">
        <f>VLOOKUP($A390,'SegEnds_NonXtal_Prot#'!$A:$AL,24,FALSE)</f>
        <v>-</v>
      </c>
      <c r="Z390" s="5">
        <f>VLOOKUP($A390,'SegEnds_NonXtal_Prot#'!$A:$AL,27,FALSE)</f>
        <v>169</v>
      </c>
      <c r="AA390" s="5">
        <f>VLOOKUP($A390,'SegEnds_NonXtal_Prot#'!$A:$AL,30,FALSE)</f>
        <v>219</v>
      </c>
      <c r="AB390" s="5">
        <f>VLOOKUP($A390,'SegEnds_NonXtal_Prot#'!$A:$AL,33,FALSE)</f>
        <v>257</v>
      </c>
      <c r="AC390" s="5">
        <f>VLOOKUP($A390,'SegEnds_NonXtal_Prot#'!$A:$AL,36,FALSE)</f>
        <v>283</v>
      </c>
      <c r="AD390" s="5">
        <f>VLOOKUP($A390,'SegEnds_NonXtal_Prot#'!$A:$AL,5,FALSE)</f>
        <v>36</v>
      </c>
      <c r="AE390" s="5">
        <f>VLOOKUP($A390,'SegEnds_NonXtal_Prot#'!$A:$AL,8,FALSE)</f>
        <v>40</v>
      </c>
      <c r="AF390" s="5">
        <f>VLOOKUP($A390,'SegEnds_NonXtal_Prot#'!$A:$AL,11,FALSE)</f>
        <v>71</v>
      </c>
      <c r="AG390" s="5" t="str">
        <f>VLOOKUP($A390,'SegEnds_NonXtal_Prot#'!$A:$AL,14,FALSE)</f>
        <v>-</v>
      </c>
      <c r="AH390" s="5">
        <f>VLOOKUP($A390,'SegEnds_NonXtal_Prot#'!$A:$AL,17,FALSE)</f>
        <v>112</v>
      </c>
      <c r="AI390" s="5">
        <f>VLOOKUP($A390,'SegEnds_NonXtal_Prot#'!$A:$AL,20,FALSE)</f>
        <v>122</v>
      </c>
      <c r="AJ390" s="5">
        <f>VLOOKUP($A390,'SegEnds_NonXtal_Prot#'!$A:$AL,23,FALSE)</f>
        <v>152</v>
      </c>
      <c r="AK390" s="5" t="str">
        <f>VLOOKUP($A390,'SegEnds_NonXtal_Prot#'!$A:$AL,26,FALSE)</f>
        <v>-</v>
      </c>
      <c r="AL390" s="5">
        <f>VLOOKUP($A390,'SegEnds_NonXtal_Prot#'!$A:$AL,29,FALSE)</f>
        <v>209</v>
      </c>
      <c r="AM390" s="5">
        <f>VLOOKUP($A390,'SegEnds_NonXtal_Prot#'!$A:$AL,32,FALSE)</f>
        <v>251</v>
      </c>
      <c r="AN390" s="5">
        <f>VLOOKUP($A390,'SegEnds_NonXtal_Prot#'!$A:$AL,35,FALSE)</f>
        <v>282</v>
      </c>
      <c r="AO390" s="5">
        <f>VLOOKUP($A390,'SegEnds_NonXtal_Prot#'!$A:$AL,38,FALSE)</f>
        <v>296</v>
      </c>
      <c r="AP390" s="5">
        <f t="shared" si="163"/>
        <v>30</v>
      </c>
      <c r="AQ390" s="4">
        <f t="shared" si="164"/>
        <v>3</v>
      </c>
      <c r="AR390" s="4">
        <f t="shared" si="165"/>
        <v>30</v>
      </c>
      <c r="AS390" s="4" t="str">
        <f t="shared" si="166"/>
        <v>-</v>
      </c>
      <c r="AT390" s="4">
        <f t="shared" si="167"/>
        <v>35</v>
      </c>
      <c r="AU390" s="4">
        <f t="shared" si="168"/>
        <v>7</v>
      </c>
      <c r="AV390" s="4">
        <f t="shared" si="169"/>
        <v>29</v>
      </c>
      <c r="AW390" s="4" t="str">
        <f t="shared" si="170"/>
        <v>-</v>
      </c>
      <c r="AX390" s="4">
        <f t="shared" si="171"/>
        <v>40</v>
      </c>
      <c r="AY390" s="4">
        <f t="shared" si="172"/>
        <v>32</v>
      </c>
      <c r="AZ390" s="4">
        <f t="shared" si="173"/>
        <v>25</v>
      </c>
      <c r="BA390" s="4">
        <f t="shared" si="174"/>
        <v>13</v>
      </c>
    </row>
    <row r="391" spans="1:53" x14ac:dyDescent="0.2">
      <c r="A391" s="1" t="str">
        <f>'SegEnds_NonXtal_Prot#'!A393</f>
        <v>t2r30_human</v>
      </c>
      <c r="B391" s="1" t="str">
        <f t="shared" si="150"/>
        <v>PIIFSILIVVIFVIGNFANGFIALVNSIEWVISFVDQILTALAVSRVGLLWVLLLHWYATQLSVEVRITAYNVWAVTNHFSSWLATSLSMFYLLRIANRRVKSVVLVILLGPLLFLVCHLFVINMDETRSAMYHSNMTLTMLANFVPLTLTLISFLLLICSLCKHLKKMPSTKVHIKALQTVTSFLLLCAIYFLSMIISVCNKQPVFMFCQAIIFSYPSTHPFILILGNKKLKQIFLSVLRH</v>
      </c>
      <c r="C391" s="29" t="str">
        <f>IF(ISERROR(MATCH(A391,'SegEnds_Xtal_Prot#'!B:B, 0)), "NoXtal", "Xtal")</f>
        <v>NoXtal</v>
      </c>
      <c r="D391" s="4" t="str">
        <f>VLOOKUP(A391,Classification!A:D,2,FALSE)</f>
        <v>T</v>
      </c>
      <c r="E391" s="5" t="str">
        <f>VLOOKUP(A391,Seqs!A:B,2,FALSE)</f>
        <v>MITFLPIIFSILIVVIFVIGNFANGFIALVNSIEWVKRQKISFVDQILTALAVSRVGLLWVLLLHWYATQLNPAFYSVEVRITAYNVWAVTNHFSSWLATSLSMFYLLRIANFSNLIFLRIKRRVKSVVLVILLGPLLFLVCHLFVINMDETVWTKEYEGNVTWKIKLRSAMYHSNMTLTMLANFVPLTLTLISFLLLICSLCKHLKKMQLHGKGSQDPSTKVHIKALQTVTSFLLLCAIYFLSMIISVCNFGRLEKQPVFMFCQAIIFSYPSTHPFILILGNKKLKQIFLSVLRHVRYWVKDRSLRLHRFTRGALCVF</v>
      </c>
      <c r="F391" s="5" t="str">
        <f t="shared" si="151"/>
        <v>PIIFSILIVVIFVIGNFANGFIALVNSIEWV</v>
      </c>
      <c r="G391" s="4" t="str">
        <f t="shared" si="152"/>
        <v>KRQK</v>
      </c>
      <c r="H391" s="4" t="str">
        <f t="shared" si="153"/>
        <v>ISFVDQILTALAVSRVGLLWVLLLHWYATQL</v>
      </c>
      <c r="I391" s="4" t="str">
        <f t="shared" si="154"/>
        <v/>
      </c>
      <c r="J391" s="4" t="str">
        <f t="shared" si="155"/>
        <v>SVEVRITAYNVWAVTNHFSSWLATSLSMFYLLRIAN</v>
      </c>
      <c r="K391" s="4" t="str">
        <f t="shared" si="156"/>
        <v>NLIFLRIK</v>
      </c>
      <c r="L391" s="4" t="str">
        <f t="shared" si="157"/>
        <v>RRVKSVVLVILLGPLLFLVCHLFVINMDET</v>
      </c>
      <c r="M391" s="4" t="str">
        <f t="shared" si="158"/>
        <v/>
      </c>
      <c r="N391" s="4" t="str">
        <f t="shared" si="159"/>
        <v>RSAMYHSNMTLTMLANFVPLTLTLISFLLLICSLCKHLKKM</v>
      </c>
      <c r="O391" s="4" t="str">
        <f t="shared" si="160"/>
        <v>PSTKVHIKALQTVTSFLLLCAIYFLSMIISVCN</v>
      </c>
      <c r="P391" s="4" t="str">
        <f t="shared" si="161"/>
        <v>KQPVFMFCQAIIFSYPSTHPFILILG</v>
      </c>
      <c r="Q391" s="4" t="str">
        <f t="shared" si="162"/>
        <v>NKKLKQIFLSVLRH</v>
      </c>
      <c r="R391" s="5">
        <f>VLOOKUP($A391,'SegEnds_NonXtal_Prot#'!$A:$AL,3,FALSE)</f>
        <v>6</v>
      </c>
      <c r="S391" s="5">
        <f>VLOOKUP($A391,'SegEnds_NonXtal_Prot#'!$A:$AL,6,FALSE)</f>
        <v>37</v>
      </c>
      <c r="T391" s="5">
        <f>VLOOKUP($A391,'SegEnds_NonXtal_Prot#'!$A:$AL,9,FALSE)</f>
        <v>41</v>
      </c>
      <c r="U391" s="5" t="str">
        <f>VLOOKUP($A391,'SegEnds_NonXtal_Prot#'!$A:$AL,12,FALSE)</f>
        <v>-</v>
      </c>
      <c r="V391" s="5">
        <f>VLOOKUP($A391,'SegEnds_NonXtal_Prot#'!$A:$AL,15,FALSE)</f>
        <v>77</v>
      </c>
      <c r="W391" s="5">
        <f>VLOOKUP($A391,'SegEnds_NonXtal_Prot#'!$A:$AL,18,FALSE)</f>
        <v>115</v>
      </c>
      <c r="X391" s="5">
        <f>VLOOKUP($A391,'SegEnds_NonXtal_Prot#'!$A:$AL,21,FALSE)</f>
        <v>123</v>
      </c>
      <c r="Y391" s="5" t="str">
        <f>VLOOKUP($A391,'SegEnds_NonXtal_Prot#'!$A:$AL,24,FALSE)</f>
        <v>-</v>
      </c>
      <c r="Z391" s="5">
        <f>VLOOKUP($A391,'SegEnds_NonXtal_Prot#'!$A:$AL,27,FALSE)</f>
        <v>169</v>
      </c>
      <c r="AA391" s="5">
        <f>VLOOKUP($A391,'SegEnds_NonXtal_Prot#'!$A:$AL,30,FALSE)</f>
        <v>219</v>
      </c>
      <c r="AB391" s="5">
        <f>VLOOKUP($A391,'SegEnds_NonXtal_Prot#'!$A:$AL,33,FALSE)</f>
        <v>257</v>
      </c>
      <c r="AC391" s="5">
        <f>VLOOKUP($A391,'SegEnds_NonXtal_Prot#'!$A:$AL,36,FALSE)</f>
        <v>283</v>
      </c>
      <c r="AD391" s="5">
        <f>VLOOKUP($A391,'SegEnds_NonXtal_Prot#'!$A:$AL,5,FALSE)</f>
        <v>36</v>
      </c>
      <c r="AE391" s="5">
        <f>VLOOKUP($A391,'SegEnds_NonXtal_Prot#'!$A:$AL,8,FALSE)</f>
        <v>40</v>
      </c>
      <c r="AF391" s="5">
        <f>VLOOKUP($A391,'SegEnds_NonXtal_Prot#'!$A:$AL,11,FALSE)</f>
        <v>71</v>
      </c>
      <c r="AG391" s="5" t="str">
        <f>VLOOKUP($A391,'SegEnds_NonXtal_Prot#'!$A:$AL,14,FALSE)</f>
        <v>-</v>
      </c>
      <c r="AH391" s="5">
        <f>VLOOKUP($A391,'SegEnds_NonXtal_Prot#'!$A:$AL,17,FALSE)</f>
        <v>112</v>
      </c>
      <c r="AI391" s="5">
        <f>VLOOKUP($A391,'SegEnds_NonXtal_Prot#'!$A:$AL,20,FALSE)</f>
        <v>122</v>
      </c>
      <c r="AJ391" s="5">
        <f>VLOOKUP($A391,'SegEnds_NonXtal_Prot#'!$A:$AL,23,FALSE)</f>
        <v>152</v>
      </c>
      <c r="AK391" s="5" t="str">
        <f>VLOOKUP($A391,'SegEnds_NonXtal_Prot#'!$A:$AL,26,FALSE)</f>
        <v>-</v>
      </c>
      <c r="AL391" s="5">
        <f>VLOOKUP($A391,'SegEnds_NonXtal_Prot#'!$A:$AL,29,FALSE)</f>
        <v>209</v>
      </c>
      <c r="AM391" s="5">
        <f>VLOOKUP($A391,'SegEnds_NonXtal_Prot#'!$A:$AL,32,FALSE)</f>
        <v>251</v>
      </c>
      <c r="AN391" s="5">
        <f>VLOOKUP($A391,'SegEnds_NonXtal_Prot#'!$A:$AL,35,FALSE)</f>
        <v>282</v>
      </c>
      <c r="AO391" s="5">
        <f>VLOOKUP($A391,'SegEnds_NonXtal_Prot#'!$A:$AL,38,FALSE)</f>
        <v>296</v>
      </c>
      <c r="AP391" s="5">
        <f t="shared" si="163"/>
        <v>30</v>
      </c>
      <c r="AQ391" s="4">
        <f t="shared" si="164"/>
        <v>3</v>
      </c>
      <c r="AR391" s="4">
        <f t="shared" si="165"/>
        <v>30</v>
      </c>
      <c r="AS391" s="4" t="str">
        <f t="shared" si="166"/>
        <v>-</v>
      </c>
      <c r="AT391" s="4">
        <f t="shared" si="167"/>
        <v>35</v>
      </c>
      <c r="AU391" s="4">
        <f t="shared" si="168"/>
        <v>7</v>
      </c>
      <c r="AV391" s="4">
        <f t="shared" si="169"/>
        <v>29</v>
      </c>
      <c r="AW391" s="4" t="str">
        <f t="shared" si="170"/>
        <v>-</v>
      </c>
      <c r="AX391" s="4">
        <f t="shared" si="171"/>
        <v>40</v>
      </c>
      <c r="AY391" s="4">
        <f t="shared" si="172"/>
        <v>32</v>
      </c>
      <c r="AZ391" s="4">
        <f t="shared" si="173"/>
        <v>25</v>
      </c>
      <c r="BA391" s="4">
        <f t="shared" si="174"/>
        <v>13</v>
      </c>
    </row>
    <row r="392" spans="1:53" x14ac:dyDescent="0.2">
      <c r="A392" s="1" t="str">
        <f>'SegEnds_NonXtal_Prot#'!A394</f>
        <v>t2r31_human</v>
      </c>
      <c r="B392" s="1" t="str">
        <f t="shared" si="150"/>
        <v>PIIFSSVVVVLFVIGNFANGFIALVNSIERVISFADQILTALAVSRVGLLWVLLLNWYSTVFSVEVRTTAYNVWAVTGHFSNWLATSLSIFYLLKIANRRVKSVILVMLLGPLLFLACQLFVIRSAVYLSDATVTTLGNLVPFTLTLLCFLLLICSLCKHLKKMPSTKVHIKALQTVIFFLLLCAVYFLSIMISVWSNKPVFMFCKAIRFSYPSIHPFILIWGNKKLKQTFLSVLRQ</v>
      </c>
      <c r="C392" s="29" t="str">
        <f>IF(ISERROR(MATCH(A392,'SegEnds_Xtal_Prot#'!B:B, 0)), "NoXtal", "Xtal")</f>
        <v>NoXtal</v>
      </c>
      <c r="D392" s="4" t="str">
        <f>VLOOKUP(A392,Classification!A:D,2,FALSE)</f>
        <v>T</v>
      </c>
      <c r="E392" s="5" t="str">
        <f>VLOOKUP(A392,Seqs!A:B,2,FALSE)</f>
        <v>MTTFIPIIFSSVVVVLFVIGNFANGFIALVNSIERVKRQKISFADQILTALAVSRVGLLWVLLLNWYSTVFNPAFYSVEVRTTAYNVWAVTGHFSNWLATSLSIFYLLKIANFSNLIFLHLKRRVKSVILVMLLGPLLFLACQLFVINMKEIVRTKEYEGNLTWKIKLRSAVYLSDATVTTLGNLVPFTLTLLCFLLLICSLCKHLKKMQLHGKGSQDPSTKVHIKALQTVIFFLLLCAVYFLSIMISVWSFGSLENKPVFMFCKAIRFSYPSIHPFILIWGNKKLKQTFLSVLRQVRYWVKGEKPSSP</v>
      </c>
      <c r="F392" s="5" t="str">
        <f t="shared" si="151"/>
        <v>PIIFSSVVVVLFVIGNFANGFIALVNSIERV</v>
      </c>
      <c r="G392" s="4" t="str">
        <f t="shared" si="152"/>
        <v>KRQK</v>
      </c>
      <c r="H392" s="4" t="str">
        <f t="shared" si="153"/>
        <v>ISFADQILTALAVSRVGLLWVLLLNWYSTVF</v>
      </c>
      <c r="I392" s="4" t="str">
        <f t="shared" si="154"/>
        <v/>
      </c>
      <c r="J392" s="4" t="str">
        <f t="shared" si="155"/>
        <v>SVEVRTTAYNVWAVTGHFSNWLATSLSIFYLLKIAN</v>
      </c>
      <c r="K392" s="4" t="str">
        <f t="shared" si="156"/>
        <v>NLIFLHLK</v>
      </c>
      <c r="L392" s="4" t="str">
        <f t="shared" si="157"/>
        <v>RRVKSVILVMLLGPLLFLACQLFVI</v>
      </c>
      <c r="M392" s="4" t="str">
        <f t="shared" si="158"/>
        <v/>
      </c>
      <c r="N392" s="4" t="str">
        <f t="shared" si="159"/>
        <v>RSAVYLSDATVTTLGNLVPFTLTLLCFLLLICSLCKHLKKM</v>
      </c>
      <c r="O392" s="4" t="str">
        <f t="shared" si="160"/>
        <v>PSTKVHIKALQTVIFFLLLCAVYFLSIMISVWS</v>
      </c>
      <c r="P392" s="4" t="str">
        <f t="shared" si="161"/>
        <v>NKPVFMFCKAIRFSYPSIHPFILIWG</v>
      </c>
      <c r="Q392" s="4" t="str">
        <f t="shared" si="162"/>
        <v>NKKLKQTFLSVLRQ</v>
      </c>
      <c r="R392" s="5">
        <f>VLOOKUP($A392,'SegEnds_NonXtal_Prot#'!$A:$AL,3,FALSE)</f>
        <v>6</v>
      </c>
      <c r="S392" s="5">
        <f>VLOOKUP($A392,'SegEnds_NonXtal_Prot#'!$A:$AL,6,FALSE)</f>
        <v>37</v>
      </c>
      <c r="T392" s="5">
        <f>VLOOKUP($A392,'SegEnds_NonXtal_Prot#'!$A:$AL,9,FALSE)</f>
        <v>41</v>
      </c>
      <c r="U392" s="5" t="str">
        <f>VLOOKUP($A392,'SegEnds_NonXtal_Prot#'!$A:$AL,12,FALSE)</f>
        <v>-</v>
      </c>
      <c r="V392" s="5">
        <f>VLOOKUP($A392,'SegEnds_NonXtal_Prot#'!$A:$AL,15,FALSE)</f>
        <v>77</v>
      </c>
      <c r="W392" s="5">
        <f>VLOOKUP($A392,'SegEnds_NonXtal_Prot#'!$A:$AL,18,FALSE)</f>
        <v>115</v>
      </c>
      <c r="X392" s="5">
        <f>VLOOKUP($A392,'SegEnds_NonXtal_Prot#'!$A:$AL,21,FALSE)</f>
        <v>123</v>
      </c>
      <c r="Y392" s="5" t="str">
        <f>VLOOKUP($A392,'SegEnds_NonXtal_Prot#'!$A:$AL,24,FALSE)</f>
        <v>-</v>
      </c>
      <c r="Z392" s="5">
        <f>VLOOKUP($A392,'SegEnds_NonXtal_Prot#'!$A:$AL,27,FALSE)</f>
        <v>169</v>
      </c>
      <c r="AA392" s="5">
        <f>VLOOKUP($A392,'SegEnds_NonXtal_Prot#'!$A:$AL,30,FALSE)</f>
        <v>219</v>
      </c>
      <c r="AB392" s="5">
        <f>VLOOKUP($A392,'SegEnds_NonXtal_Prot#'!$A:$AL,33,FALSE)</f>
        <v>257</v>
      </c>
      <c r="AC392" s="5">
        <f>VLOOKUP($A392,'SegEnds_NonXtal_Prot#'!$A:$AL,36,FALSE)</f>
        <v>283</v>
      </c>
      <c r="AD392" s="5">
        <f>VLOOKUP($A392,'SegEnds_NonXtal_Prot#'!$A:$AL,5,FALSE)</f>
        <v>36</v>
      </c>
      <c r="AE392" s="5">
        <f>VLOOKUP($A392,'SegEnds_NonXtal_Prot#'!$A:$AL,8,FALSE)</f>
        <v>40</v>
      </c>
      <c r="AF392" s="5">
        <f>VLOOKUP($A392,'SegEnds_NonXtal_Prot#'!$A:$AL,11,FALSE)</f>
        <v>71</v>
      </c>
      <c r="AG392" s="5" t="str">
        <f>VLOOKUP($A392,'SegEnds_NonXtal_Prot#'!$A:$AL,14,FALSE)</f>
        <v>-</v>
      </c>
      <c r="AH392" s="5">
        <f>VLOOKUP($A392,'SegEnds_NonXtal_Prot#'!$A:$AL,17,FALSE)</f>
        <v>112</v>
      </c>
      <c r="AI392" s="5">
        <f>VLOOKUP($A392,'SegEnds_NonXtal_Prot#'!$A:$AL,20,FALSE)</f>
        <v>122</v>
      </c>
      <c r="AJ392" s="5">
        <f>VLOOKUP($A392,'SegEnds_NonXtal_Prot#'!$A:$AL,23,FALSE)</f>
        <v>147</v>
      </c>
      <c r="AK392" s="5" t="str">
        <f>VLOOKUP($A392,'SegEnds_NonXtal_Prot#'!$A:$AL,26,FALSE)</f>
        <v>-</v>
      </c>
      <c r="AL392" s="5">
        <f>VLOOKUP($A392,'SegEnds_NonXtal_Prot#'!$A:$AL,29,FALSE)</f>
        <v>209</v>
      </c>
      <c r="AM392" s="5">
        <f>VLOOKUP($A392,'SegEnds_NonXtal_Prot#'!$A:$AL,32,FALSE)</f>
        <v>251</v>
      </c>
      <c r="AN392" s="5">
        <f>VLOOKUP($A392,'SegEnds_NonXtal_Prot#'!$A:$AL,35,FALSE)</f>
        <v>282</v>
      </c>
      <c r="AO392" s="5">
        <f>VLOOKUP($A392,'SegEnds_NonXtal_Prot#'!$A:$AL,38,FALSE)</f>
        <v>296</v>
      </c>
      <c r="AP392" s="5">
        <f t="shared" si="163"/>
        <v>30</v>
      </c>
      <c r="AQ392" s="4">
        <f t="shared" si="164"/>
        <v>3</v>
      </c>
      <c r="AR392" s="4">
        <f t="shared" si="165"/>
        <v>30</v>
      </c>
      <c r="AS392" s="4" t="str">
        <f t="shared" si="166"/>
        <v>-</v>
      </c>
      <c r="AT392" s="4">
        <f t="shared" si="167"/>
        <v>35</v>
      </c>
      <c r="AU392" s="4">
        <f t="shared" si="168"/>
        <v>7</v>
      </c>
      <c r="AV392" s="4">
        <f t="shared" si="169"/>
        <v>24</v>
      </c>
      <c r="AW392" s="4" t="str">
        <f t="shared" si="170"/>
        <v>-</v>
      </c>
      <c r="AX392" s="4">
        <f t="shared" si="171"/>
        <v>40</v>
      </c>
      <c r="AY392" s="4">
        <f t="shared" si="172"/>
        <v>32</v>
      </c>
      <c r="AZ392" s="4">
        <f t="shared" si="173"/>
        <v>25</v>
      </c>
      <c r="BA392" s="4">
        <f t="shared" si="174"/>
        <v>13</v>
      </c>
    </row>
    <row r="393" spans="1:53" x14ac:dyDescent="0.2">
      <c r="A393" s="1" t="str">
        <f>'SegEnds_NonXtal_Prot#'!A395</f>
        <v>t2r38_human</v>
      </c>
      <c r="B393" s="1" t="str">
        <f t="shared" si="150"/>
        <v>RSTFLFISVLEFAVGFLTNAFVFLVNFWDVVLSNSDCVLLCLSISRLFLHGLLFLSAIQLTHFSEPLNHSYQAIIMLWMIANQANLWLAACLSLLYCSKLIRSWVSRKISQMLLGIILCSCICTVLCVWKDLNLFYSFLFCYLWSVPPFLLFLVSSGMLTVSLGRHMRTMPSLEAHIKALKSLVSFFCFFVISSCAAFISVPLDKIGVMVCVGIMAACPSGHAAILISGNAKLRRAVMTILLW</v>
      </c>
      <c r="C393" s="29" t="str">
        <f>IF(ISERROR(MATCH(A393,'SegEnds_Xtal_Prot#'!B:B, 0)), "NoXtal", "Xtal")</f>
        <v>NoXtal</v>
      </c>
      <c r="D393" s="4" t="str">
        <f>VLOOKUP(A393,Classification!A:D,2,FALSE)</f>
        <v>T</v>
      </c>
      <c r="E393" s="5" t="str">
        <f>VLOOKUP(A393,Seqs!A:B,2,FALSE)</f>
        <v>MLTLTRIRTVSYEVRSTFLFISVLEFAVGFLTNAFVFLVNFWDVVKRQALSNSDCVLLCLSISRLFLHGLLFLSAIQLTHFQKLSEPLNHSYQAIIMLWMIANQANLWLAACLSLLYCSKLIRFSHTFLICLASWVSRKISQMLLGIILCSCICTVLCVWCFFSRPHFTVTTVLFMNNNTRLNWQIKDLNLFYSFLFCYLWSVPPFLLFLVSSGMLTVSLGRHMRTMKVYTRNSRDPSLEAHIKALKSLVSFFCFFVISSCAAFISVPLLILWRDKIGVMVCVGIMAACPSGHAAILISGNAKLRRAVMTILLWAQSSLKVRADHKADSRTLC</v>
      </c>
      <c r="F393" s="5" t="str">
        <f t="shared" si="151"/>
        <v>RSTFLFISVLEFAVGFLTNAFVFLVNFWDVV</v>
      </c>
      <c r="G393" s="4" t="str">
        <f t="shared" si="152"/>
        <v>KRQA</v>
      </c>
      <c r="H393" s="4" t="str">
        <f t="shared" si="153"/>
        <v>LSNSDCVLLCLSISRLFLHGLLFLSAIQLTHF</v>
      </c>
      <c r="I393" s="4" t="str">
        <f t="shared" si="154"/>
        <v/>
      </c>
      <c r="J393" s="4" t="str">
        <f t="shared" si="155"/>
        <v>SEPLNHSYQAIIMLWMIANQANLWLAACLSLLYCSKLIR</v>
      </c>
      <c r="K393" s="4" t="str">
        <f t="shared" si="156"/>
        <v>HTFLICLA</v>
      </c>
      <c r="L393" s="4" t="str">
        <f t="shared" si="157"/>
        <v>SWVSRKISQMLLGIILCSCICTVLCVW</v>
      </c>
      <c r="M393" s="4" t="str">
        <f t="shared" si="158"/>
        <v/>
      </c>
      <c r="N393" s="4" t="str">
        <f t="shared" si="159"/>
        <v>KDLNLFYSFLFCYLWSVPPFLLFLVSSGMLTVSLGRHMRTM</v>
      </c>
      <c r="O393" s="4" t="str">
        <f t="shared" si="160"/>
        <v>PSLEAHIKALKSLVSFFCFFVISSCAAFISVPL</v>
      </c>
      <c r="P393" s="4" t="str">
        <f t="shared" si="161"/>
        <v>DKIGVMVCVGIMAACPSGHAAILISG</v>
      </c>
      <c r="Q393" s="4" t="str">
        <f t="shared" si="162"/>
        <v>NAKLRRAVMTILLW</v>
      </c>
      <c r="R393" s="5">
        <f>VLOOKUP($A393,'SegEnds_NonXtal_Prot#'!$A:$AL,3,FALSE)</f>
        <v>15</v>
      </c>
      <c r="S393" s="5">
        <f>VLOOKUP($A393,'SegEnds_NonXtal_Prot#'!$A:$AL,6,FALSE)</f>
        <v>46</v>
      </c>
      <c r="T393" s="5">
        <f>VLOOKUP($A393,'SegEnds_NonXtal_Prot#'!$A:$AL,9,FALSE)</f>
        <v>50</v>
      </c>
      <c r="U393" s="5" t="str">
        <f>VLOOKUP($A393,'SegEnds_NonXtal_Prot#'!$A:$AL,12,FALSE)</f>
        <v>-</v>
      </c>
      <c r="V393" s="5">
        <f>VLOOKUP($A393,'SegEnds_NonXtal_Prot#'!$A:$AL,15,FALSE)</f>
        <v>85</v>
      </c>
      <c r="W393" s="5">
        <f>VLOOKUP($A393,'SegEnds_NonXtal_Prot#'!$A:$AL,18,FALSE)</f>
        <v>126</v>
      </c>
      <c r="X393" s="5">
        <f>VLOOKUP($A393,'SegEnds_NonXtal_Prot#'!$A:$AL,21,FALSE)</f>
        <v>134</v>
      </c>
      <c r="Y393" s="5" t="str">
        <f>VLOOKUP($A393,'SegEnds_NonXtal_Prot#'!$A:$AL,24,FALSE)</f>
        <v>-</v>
      </c>
      <c r="Z393" s="5">
        <f>VLOOKUP($A393,'SegEnds_NonXtal_Prot#'!$A:$AL,27,FALSE)</f>
        <v>187</v>
      </c>
      <c r="AA393" s="5">
        <f>VLOOKUP($A393,'SegEnds_NonXtal_Prot#'!$A:$AL,30,FALSE)</f>
        <v>237</v>
      </c>
      <c r="AB393" s="5">
        <f>VLOOKUP($A393,'SegEnds_NonXtal_Prot#'!$A:$AL,33,FALSE)</f>
        <v>275</v>
      </c>
      <c r="AC393" s="5">
        <f>VLOOKUP($A393,'SegEnds_NonXtal_Prot#'!$A:$AL,36,FALSE)</f>
        <v>301</v>
      </c>
      <c r="AD393" s="5">
        <f>VLOOKUP($A393,'SegEnds_NonXtal_Prot#'!$A:$AL,5,FALSE)</f>
        <v>45</v>
      </c>
      <c r="AE393" s="5">
        <f>VLOOKUP($A393,'SegEnds_NonXtal_Prot#'!$A:$AL,8,FALSE)</f>
        <v>49</v>
      </c>
      <c r="AF393" s="5">
        <f>VLOOKUP($A393,'SegEnds_NonXtal_Prot#'!$A:$AL,11,FALSE)</f>
        <v>81</v>
      </c>
      <c r="AG393" s="5" t="str">
        <f>VLOOKUP($A393,'SegEnds_NonXtal_Prot#'!$A:$AL,14,FALSE)</f>
        <v>-</v>
      </c>
      <c r="AH393" s="5">
        <f>VLOOKUP($A393,'SegEnds_NonXtal_Prot#'!$A:$AL,17,FALSE)</f>
        <v>123</v>
      </c>
      <c r="AI393" s="5">
        <f>VLOOKUP($A393,'SegEnds_NonXtal_Prot#'!$A:$AL,20,FALSE)</f>
        <v>133</v>
      </c>
      <c r="AJ393" s="5">
        <f>VLOOKUP($A393,'SegEnds_NonXtal_Prot#'!$A:$AL,23,FALSE)</f>
        <v>160</v>
      </c>
      <c r="AK393" s="5" t="str">
        <f>VLOOKUP($A393,'SegEnds_NonXtal_Prot#'!$A:$AL,26,FALSE)</f>
        <v>-</v>
      </c>
      <c r="AL393" s="5">
        <f>VLOOKUP($A393,'SegEnds_NonXtal_Prot#'!$A:$AL,29,FALSE)</f>
        <v>227</v>
      </c>
      <c r="AM393" s="5">
        <f>VLOOKUP($A393,'SegEnds_NonXtal_Prot#'!$A:$AL,32,FALSE)</f>
        <v>269</v>
      </c>
      <c r="AN393" s="5">
        <f>VLOOKUP($A393,'SegEnds_NonXtal_Prot#'!$A:$AL,35,FALSE)</f>
        <v>300</v>
      </c>
      <c r="AO393" s="5">
        <f>VLOOKUP($A393,'SegEnds_NonXtal_Prot#'!$A:$AL,38,FALSE)</f>
        <v>314</v>
      </c>
      <c r="AP393" s="5">
        <f t="shared" si="163"/>
        <v>30</v>
      </c>
      <c r="AQ393" s="4">
        <f t="shared" si="164"/>
        <v>3</v>
      </c>
      <c r="AR393" s="4">
        <f t="shared" si="165"/>
        <v>31</v>
      </c>
      <c r="AS393" s="4" t="str">
        <f t="shared" si="166"/>
        <v>-</v>
      </c>
      <c r="AT393" s="4">
        <f t="shared" si="167"/>
        <v>38</v>
      </c>
      <c r="AU393" s="4">
        <f t="shared" si="168"/>
        <v>7</v>
      </c>
      <c r="AV393" s="4">
        <f t="shared" si="169"/>
        <v>26</v>
      </c>
      <c r="AW393" s="4" t="str">
        <f t="shared" si="170"/>
        <v>-</v>
      </c>
      <c r="AX393" s="4">
        <f t="shared" si="171"/>
        <v>40</v>
      </c>
      <c r="AY393" s="4">
        <f t="shared" si="172"/>
        <v>32</v>
      </c>
      <c r="AZ393" s="4">
        <f t="shared" si="173"/>
        <v>25</v>
      </c>
      <c r="BA393" s="4">
        <f t="shared" si="174"/>
        <v>13</v>
      </c>
    </row>
    <row r="394" spans="1:53" x14ac:dyDescent="0.2">
      <c r="A394" s="1" t="str">
        <f>'SegEnds_NonXtal_Prot#'!A397</f>
        <v>t2r40_human</v>
      </c>
      <c r="B394" s="1" t="str">
        <f t="shared" si="150"/>
        <v>VTFTLVVSGIECITGILGSGFITAIYGAEWALPTGDRIMLMLSFSRLLLQIWMMLENIFSLLVYNQNSVYILFKVITVFLNHSNLWFAAWLKVFYCLRIANRKIIVLMPWLLRLSVLVSLSFSFPLSRDVFSETNMVNLVFFYNMGIFVPLIMFILAATLLILSLKRHTLHMPSMKAHIGAIKATSYFLILYIFNAIALFLSTSNYSSWNILCKIIMAAYPAGHSVQLILGNPGLRRAWKRFQHQ</v>
      </c>
      <c r="C394" s="29" t="str">
        <f>IF(ISERROR(MATCH(A394,'SegEnds_Xtal_Prot#'!B:B, 0)), "NoXtal", "Xtal")</f>
        <v>NoXtal</v>
      </c>
      <c r="D394" s="4" t="str">
        <f>VLOOKUP(A394,Classification!A:D,2,FALSE)</f>
        <v>T</v>
      </c>
      <c r="E394" s="5" t="str">
        <f>VLOOKUP(A394,Seqs!A:B,2,FALSE)</f>
        <v>MATVNTDATDKDISKFKVTFTLVVSGIECITGILGSGFITAIYGAEWARGKTLPTGDRIMLMLSFSRLLLQIWMMLENIFSLLFRIVYNQNSVYILFKVITVFLNHSNLWFAAWLKVFYCLRIANFNHPLFFLMKRKIIVLMPWLLRLSVLVSLSFSFPLSRDVFNVYVNSSIPIPSSNSTEKKYFSETNMVNLVFFYNMGIFVPLIMFILAATLLILSLKRHTLHMGSNATGSRDPSMKAHIGAIKATSYFLILYIFNAIALFLSTSNIFDTYSSWNILCKIIMAAYPAGHSVQLILGNPGLRRAWKRFQHQVPLYLKGQTL</v>
      </c>
      <c r="F394" s="5" t="str">
        <f t="shared" si="151"/>
        <v>VTFTLVVSGIECITGILGSGFITAIYGAEWA</v>
      </c>
      <c r="G394" s="4" t="str">
        <f t="shared" si="152"/>
        <v>RGKT</v>
      </c>
      <c r="H394" s="4" t="str">
        <f t="shared" si="153"/>
        <v>LPTGDRIMLMLSFSRLLLQIWMMLENIFSLL</v>
      </c>
      <c r="I394" s="4" t="str">
        <f t="shared" si="154"/>
        <v/>
      </c>
      <c r="J394" s="4" t="str">
        <f t="shared" si="155"/>
        <v>VYNQNSVYILFKVITVFLNHSNLWFAAWLKVFYCLRIAN</v>
      </c>
      <c r="K394" s="4" t="str">
        <f t="shared" si="156"/>
        <v>HPLFFLMK</v>
      </c>
      <c r="L394" s="4" t="str">
        <f t="shared" si="157"/>
        <v>RKIIVLMPWLLRLSVLVSLSFSFPLSRDVF</v>
      </c>
      <c r="M394" s="4" t="str">
        <f t="shared" si="158"/>
        <v/>
      </c>
      <c r="N394" s="4" t="str">
        <f t="shared" si="159"/>
        <v>SETNMVNLVFFYNMGIFVPLIMFILAATLLILSLKRHTLHM</v>
      </c>
      <c r="O394" s="4" t="str">
        <f t="shared" si="160"/>
        <v>PSMKAHIGAIKATSYFLILYIFNAIALFLSTSN</v>
      </c>
      <c r="P394" s="4" t="str">
        <f t="shared" si="161"/>
        <v>YSSWNILCKIIMAAYPAGHSVQLILG</v>
      </c>
      <c r="Q394" s="4" t="str">
        <f t="shared" si="162"/>
        <v>NPGLRRAWKRFQHQ</v>
      </c>
      <c r="R394" s="5">
        <f>VLOOKUP($A394,'SegEnds_NonXtal_Prot#'!$A:$AL,3,FALSE)</f>
        <v>18</v>
      </c>
      <c r="S394" s="5">
        <f>VLOOKUP($A394,'SegEnds_NonXtal_Prot#'!$A:$AL,6,FALSE)</f>
        <v>49</v>
      </c>
      <c r="T394" s="5">
        <f>VLOOKUP($A394,'SegEnds_NonXtal_Prot#'!$A:$AL,9,FALSE)</f>
        <v>53</v>
      </c>
      <c r="U394" s="5" t="str">
        <f>VLOOKUP($A394,'SegEnds_NonXtal_Prot#'!$A:$AL,12,FALSE)</f>
        <v>-</v>
      </c>
      <c r="V394" s="5">
        <f>VLOOKUP($A394,'SegEnds_NonXtal_Prot#'!$A:$AL,15,FALSE)</f>
        <v>87</v>
      </c>
      <c r="W394" s="5">
        <f>VLOOKUP($A394,'SegEnds_NonXtal_Prot#'!$A:$AL,18,FALSE)</f>
        <v>128</v>
      </c>
      <c r="X394" s="5">
        <f>VLOOKUP($A394,'SegEnds_NonXtal_Prot#'!$A:$AL,21,FALSE)</f>
        <v>136</v>
      </c>
      <c r="Y394" s="5" t="str">
        <f>VLOOKUP($A394,'SegEnds_NonXtal_Prot#'!$A:$AL,24,FALSE)</f>
        <v>-</v>
      </c>
      <c r="Z394" s="5">
        <f>VLOOKUP($A394,'SegEnds_NonXtal_Prot#'!$A:$AL,27,FALSE)</f>
        <v>187</v>
      </c>
      <c r="AA394" s="5">
        <f>VLOOKUP($A394,'SegEnds_NonXtal_Prot#'!$A:$AL,30,FALSE)</f>
        <v>237</v>
      </c>
      <c r="AB394" s="5">
        <f>VLOOKUP($A394,'SegEnds_NonXtal_Prot#'!$A:$AL,33,FALSE)</f>
        <v>274</v>
      </c>
      <c r="AC394" s="5">
        <f>VLOOKUP($A394,'SegEnds_NonXtal_Prot#'!$A:$AL,36,FALSE)</f>
        <v>300</v>
      </c>
      <c r="AD394" s="5">
        <f>VLOOKUP($A394,'SegEnds_NonXtal_Prot#'!$A:$AL,5,FALSE)</f>
        <v>48</v>
      </c>
      <c r="AE394" s="5">
        <f>VLOOKUP($A394,'SegEnds_NonXtal_Prot#'!$A:$AL,8,FALSE)</f>
        <v>52</v>
      </c>
      <c r="AF394" s="5">
        <f>VLOOKUP($A394,'SegEnds_NonXtal_Prot#'!$A:$AL,11,FALSE)</f>
        <v>83</v>
      </c>
      <c r="AG394" s="5" t="str">
        <f>VLOOKUP($A394,'SegEnds_NonXtal_Prot#'!$A:$AL,14,FALSE)</f>
        <v>-</v>
      </c>
      <c r="AH394" s="5">
        <f>VLOOKUP($A394,'SegEnds_NonXtal_Prot#'!$A:$AL,17,FALSE)</f>
        <v>125</v>
      </c>
      <c r="AI394" s="5">
        <f>VLOOKUP($A394,'SegEnds_NonXtal_Prot#'!$A:$AL,20,FALSE)</f>
        <v>135</v>
      </c>
      <c r="AJ394" s="5">
        <f>VLOOKUP($A394,'SegEnds_NonXtal_Prot#'!$A:$AL,23,FALSE)</f>
        <v>165</v>
      </c>
      <c r="AK394" s="5" t="str">
        <f>VLOOKUP($A394,'SegEnds_NonXtal_Prot#'!$A:$AL,26,FALSE)</f>
        <v>-</v>
      </c>
      <c r="AL394" s="5">
        <f>VLOOKUP($A394,'SegEnds_NonXtal_Prot#'!$A:$AL,29,FALSE)</f>
        <v>227</v>
      </c>
      <c r="AM394" s="5">
        <f>VLOOKUP($A394,'SegEnds_NonXtal_Prot#'!$A:$AL,32,FALSE)</f>
        <v>269</v>
      </c>
      <c r="AN394" s="5">
        <f>VLOOKUP($A394,'SegEnds_NonXtal_Prot#'!$A:$AL,35,FALSE)</f>
        <v>299</v>
      </c>
      <c r="AO394" s="5">
        <f>VLOOKUP($A394,'SegEnds_NonXtal_Prot#'!$A:$AL,38,FALSE)</f>
        <v>313</v>
      </c>
      <c r="AP394" s="5">
        <f t="shared" si="163"/>
        <v>30</v>
      </c>
      <c r="AQ394" s="4">
        <f t="shared" si="164"/>
        <v>3</v>
      </c>
      <c r="AR394" s="4">
        <f t="shared" si="165"/>
        <v>30</v>
      </c>
      <c r="AS394" s="4" t="str">
        <f t="shared" si="166"/>
        <v>-</v>
      </c>
      <c r="AT394" s="4">
        <f t="shared" si="167"/>
        <v>38</v>
      </c>
      <c r="AU394" s="4">
        <f t="shared" si="168"/>
        <v>7</v>
      </c>
      <c r="AV394" s="4">
        <f t="shared" si="169"/>
        <v>29</v>
      </c>
      <c r="AW394" s="4" t="str">
        <f t="shared" si="170"/>
        <v>-</v>
      </c>
      <c r="AX394" s="4">
        <f t="shared" si="171"/>
        <v>40</v>
      </c>
      <c r="AY394" s="4">
        <f t="shared" si="172"/>
        <v>32</v>
      </c>
      <c r="AZ394" s="4">
        <f t="shared" si="173"/>
        <v>25</v>
      </c>
      <c r="BA394" s="4">
        <f t="shared" si="174"/>
        <v>13</v>
      </c>
    </row>
    <row r="395" spans="1:53" x14ac:dyDescent="0.2">
      <c r="A395" s="1" t="str">
        <f>'SegEnds_NonXtal_Prot#'!A398</f>
        <v>t2r41_human</v>
      </c>
      <c r="B395" s="1" t="str">
        <f t="shared" si="150"/>
        <v>TAFFVLLFSLLSLLGIAANGFIVLVLGREWLLLPLDMILISLGASRFCLQLVGTVHNFYYSAQGGLGRQFFHLHWHFLNSATFWFCSWLSVLFCVKIANWRFPGWVPWLLLGSVLISFIITLLFTRIETYYFPSLKLVIWSIPFSVFLVSIMLLINSLRRHTQRMPSTQAHTRALKSLISFLILYALSFLSLIIDAAKQNDFYWPWQIAVYLCISVHPFILIFSNLKLRSVFSQLLLL</v>
      </c>
      <c r="C395" s="29" t="str">
        <f>IF(ISERROR(MATCH(A395,'SegEnds_Xtal_Prot#'!B:B, 0)), "NoXtal", "Xtal")</f>
        <v>NoXtal</v>
      </c>
      <c r="D395" s="4" t="str">
        <f>VLOOKUP(A395,Classification!A:D,2,FALSE)</f>
        <v>T</v>
      </c>
      <c r="E395" s="5" t="str">
        <f>VLOOKUP(A395,Seqs!A:B,2,FALSE)</f>
        <v>MQAALTAFFVLLFSLLSLLGIAANGFIVLVLGREWLRYGRLLPLDMILISLGASRFCLQLVGTVHNFYYSAQKVEYSGGLGRQFFHLHWHFLNSATFWFCSWLSVLFCVKIANITHSTFLWLKWRFPGWVPWLLLGSVLISFIITLLFFWVNYPVYQEFLIRKFSGNMTYKWNTRIETYYFPSLKLVIWSIPFSVFLVSIMLLINSLRRHTQRMQHNGHSLQDPSTQAHTRALKSLISFLILYALSFLSLIIDAAKFISMQNDFYWPWQIAVYLCISVHPFILIFSNLKLRSVFSQLLLLARGFWVA</v>
      </c>
      <c r="F395" s="5" t="str">
        <f t="shared" si="151"/>
        <v>TAFFVLLFSLLSLLGIAANGFIVLVLGREWL</v>
      </c>
      <c r="G395" s="4" t="str">
        <f t="shared" si="152"/>
        <v>RYGR</v>
      </c>
      <c r="H395" s="4" t="str">
        <f t="shared" si="153"/>
        <v>LLPLDMILISLGASRFCLQLVGTVHNFYYSAQ</v>
      </c>
      <c r="I395" s="4" t="str">
        <f t="shared" si="154"/>
        <v/>
      </c>
      <c r="J395" s="4" t="str">
        <f t="shared" si="155"/>
        <v>GGLGRQFFHLHWHFLNSATFWFCSWLSVLFCVKIAN</v>
      </c>
      <c r="K395" s="4" t="str">
        <f t="shared" si="156"/>
        <v>HSTFLWLK</v>
      </c>
      <c r="L395" s="4" t="str">
        <f t="shared" si="157"/>
        <v>WRFPGWVPWLLLGSVLISFIITLLF</v>
      </c>
      <c r="M395" s="4" t="str">
        <f t="shared" si="158"/>
        <v/>
      </c>
      <c r="N395" s="4" t="str">
        <f t="shared" si="159"/>
        <v>TRIETYYFPSLKLVIWSIPFSVFLVSIMLLINSLRRHTQRM</v>
      </c>
      <c r="O395" s="4" t="str">
        <f t="shared" si="160"/>
        <v>PSTQAHTRALKSLISFLILYALSFLSLIIDAAK</v>
      </c>
      <c r="P395" s="4" t="str">
        <f t="shared" si="161"/>
        <v>QNDFYWPWQIAVYLCISVHPFILIFS</v>
      </c>
      <c r="Q395" s="4" t="str">
        <f t="shared" si="162"/>
        <v>NLKLRSVFSQLLLL</v>
      </c>
      <c r="R395" s="5">
        <f>VLOOKUP($A395,'SegEnds_NonXtal_Prot#'!$A:$AL,3,FALSE)</f>
        <v>6</v>
      </c>
      <c r="S395" s="5">
        <f>VLOOKUP($A395,'SegEnds_NonXtal_Prot#'!$A:$AL,6,FALSE)</f>
        <v>37</v>
      </c>
      <c r="T395" s="5">
        <f>VLOOKUP($A395,'SegEnds_NonXtal_Prot#'!$A:$AL,9,FALSE)</f>
        <v>41</v>
      </c>
      <c r="U395" s="5" t="str">
        <f>VLOOKUP($A395,'SegEnds_NonXtal_Prot#'!$A:$AL,12,FALSE)</f>
        <v>-</v>
      </c>
      <c r="V395" s="5">
        <f>VLOOKUP($A395,'SegEnds_NonXtal_Prot#'!$A:$AL,15,FALSE)</f>
        <v>78</v>
      </c>
      <c r="W395" s="5">
        <f>VLOOKUP($A395,'SegEnds_NonXtal_Prot#'!$A:$AL,18,FALSE)</f>
        <v>116</v>
      </c>
      <c r="X395" s="5">
        <f>VLOOKUP($A395,'SegEnds_NonXtal_Prot#'!$A:$AL,21,FALSE)</f>
        <v>124</v>
      </c>
      <c r="Y395" s="5" t="str">
        <f>VLOOKUP($A395,'SegEnds_NonXtal_Prot#'!$A:$AL,24,FALSE)</f>
        <v>-</v>
      </c>
      <c r="Z395" s="5">
        <f>VLOOKUP($A395,'SegEnds_NonXtal_Prot#'!$A:$AL,27,FALSE)</f>
        <v>174</v>
      </c>
      <c r="AA395" s="5">
        <f>VLOOKUP($A395,'SegEnds_NonXtal_Prot#'!$A:$AL,30,FALSE)</f>
        <v>224</v>
      </c>
      <c r="AB395" s="5">
        <f>VLOOKUP($A395,'SegEnds_NonXtal_Prot#'!$A:$AL,33,FALSE)</f>
        <v>261</v>
      </c>
      <c r="AC395" s="5">
        <f>VLOOKUP($A395,'SegEnds_NonXtal_Prot#'!$A:$AL,36,FALSE)</f>
        <v>287</v>
      </c>
      <c r="AD395" s="5">
        <f>VLOOKUP($A395,'SegEnds_NonXtal_Prot#'!$A:$AL,5,FALSE)</f>
        <v>36</v>
      </c>
      <c r="AE395" s="5">
        <f>VLOOKUP($A395,'SegEnds_NonXtal_Prot#'!$A:$AL,8,FALSE)</f>
        <v>40</v>
      </c>
      <c r="AF395" s="5">
        <f>VLOOKUP($A395,'SegEnds_NonXtal_Prot#'!$A:$AL,11,FALSE)</f>
        <v>72</v>
      </c>
      <c r="AG395" s="5" t="str">
        <f>VLOOKUP($A395,'SegEnds_NonXtal_Prot#'!$A:$AL,14,FALSE)</f>
        <v>-</v>
      </c>
      <c r="AH395" s="5">
        <f>VLOOKUP($A395,'SegEnds_NonXtal_Prot#'!$A:$AL,17,FALSE)</f>
        <v>113</v>
      </c>
      <c r="AI395" s="5">
        <f>VLOOKUP($A395,'SegEnds_NonXtal_Prot#'!$A:$AL,20,FALSE)</f>
        <v>123</v>
      </c>
      <c r="AJ395" s="5">
        <f>VLOOKUP($A395,'SegEnds_NonXtal_Prot#'!$A:$AL,23,FALSE)</f>
        <v>148</v>
      </c>
      <c r="AK395" s="5" t="str">
        <f>VLOOKUP($A395,'SegEnds_NonXtal_Prot#'!$A:$AL,26,FALSE)</f>
        <v>-</v>
      </c>
      <c r="AL395" s="5">
        <f>VLOOKUP($A395,'SegEnds_NonXtal_Prot#'!$A:$AL,29,FALSE)</f>
        <v>214</v>
      </c>
      <c r="AM395" s="5">
        <f>VLOOKUP($A395,'SegEnds_NonXtal_Prot#'!$A:$AL,32,FALSE)</f>
        <v>256</v>
      </c>
      <c r="AN395" s="5">
        <f>VLOOKUP($A395,'SegEnds_NonXtal_Prot#'!$A:$AL,35,FALSE)</f>
        <v>286</v>
      </c>
      <c r="AO395" s="5">
        <f>VLOOKUP($A395,'SegEnds_NonXtal_Prot#'!$A:$AL,38,FALSE)</f>
        <v>300</v>
      </c>
      <c r="AP395" s="5">
        <f t="shared" si="163"/>
        <v>30</v>
      </c>
      <c r="AQ395" s="4">
        <f t="shared" si="164"/>
        <v>3</v>
      </c>
      <c r="AR395" s="4">
        <f t="shared" si="165"/>
        <v>31</v>
      </c>
      <c r="AS395" s="4" t="str">
        <f t="shared" si="166"/>
        <v>-</v>
      </c>
      <c r="AT395" s="4">
        <f t="shared" si="167"/>
        <v>35</v>
      </c>
      <c r="AU395" s="4">
        <f t="shared" si="168"/>
        <v>7</v>
      </c>
      <c r="AV395" s="4">
        <f t="shared" si="169"/>
        <v>24</v>
      </c>
      <c r="AW395" s="4" t="str">
        <f t="shared" si="170"/>
        <v>-</v>
      </c>
      <c r="AX395" s="4">
        <f t="shared" si="171"/>
        <v>40</v>
      </c>
      <c r="AY395" s="4">
        <f t="shared" si="172"/>
        <v>32</v>
      </c>
      <c r="AZ395" s="4">
        <f t="shared" si="173"/>
        <v>25</v>
      </c>
      <c r="BA395" s="4">
        <f t="shared" si="174"/>
        <v>13</v>
      </c>
    </row>
    <row r="396" spans="1:53" x14ac:dyDescent="0.2">
      <c r="A396" s="1" t="str">
        <f>'SegEnds_NonXtal_Prot#'!A399</f>
        <v>t2r42_human</v>
      </c>
      <c r="B396" s="1" t="str">
        <f t="shared" si="150"/>
        <v>DKIFLILAIAEFIISMLGNVFIGLVNCSEGIVFSADFILTCLAISTIGQLLVILFDSFLVGLATYRLGKTVIMLWHMTNHLTTWLATCLSIFYFFKIAHWRMNGMIVMLLILSLFLLIFDSLVLLYDKLSILKTLLSLTSFIPFSLFLTSLLFLFLSLVRHTRNLSSTEAHRRAMKMVMSFLFLFIVHFFSLQVANGINNKYIKFVMLALNAFPSCHSFILILGNSKLRQTAVRLLWH</v>
      </c>
      <c r="C396" s="29" t="str">
        <f>IF(ISERROR(MATCH(A396,'SegEnds_Xtal_Prot#'!B:B, 0)), "NoXtal", "Xtal")</f>
        <v>NoXtal</v>
      </c>
      <c r="D396" s="4" t="str">
        <f>VLOOKUP(A396,Classification!A:D,2,FALSE)</f>
        <v>T</v>
      </c>
      <c r="E396" s="5" t="str">
        <f>VLOOKUP(A396,Seqs!A:B,2,FALSE)</f>
        <v>MATELDKIFLILAIAEFIISMLGNVFIGLVNCSEGIKNQKVFSADFILTCLAISTIGQLLVILFDSFLVGLASHLYTTYRLGKTVIMLWHMTNHLTTWLATCLSIFYFFKIAHFPHSLFLWLRWRMNGMIVMLLILSLFLLIFDSLVLEIFIDISLNIIDKSNLTLYLDESKTLYDKLSILKTLLSLTSFIPFSLFLTSLLFLFLSLVRHTRNLKLSSLGSRDSSTEAHRRAMKMVMSFLFLFIVHFFSLQVANGIFFMLWNNKYIKFVMLALNAFPSCHSFILILGNSKLRQTAVRLLWHLRNYTKTPNALPL</v>
      </c>
      <c r="F396" s="5" t="str">
        <f t="shared" si="151"/>
        <v>DKIFLILAIAEFIISMLGNVFIGLVNCSEGI</v>
      </c>
      <c r="G396" s="4" t="str">
        <f t="shared" si="152"/>
        <v>KNQK</v>
      </c>
      <c r="H396" s="4" t="str">
        <f t="shared" si="153"/>
        <v>VFSADFILTCLAISTIGQLLVILFDSFLVGLA</v>
      </c>
      <c r="I396" s="4" t="str">
        <f t="shared" si="154"/>
        <v/>
      </c>
      <c r="J396" s="4" t="str">
        <f t="shared" si="155"/>
        <v>TYRLGKTVIMLWHMTNHLTTWLATCLSIFYFFKIAH</v>
      </c>
      <c r="K396" s="4" t="str">
        <f t="shared" si="156"/>
        <v>HSLFLWLR</v>
      </c>
      <c r="L396" s="4" t="str">
        <f t="shared" si="157"/>
        <v>WRMNGMIVMLLILSLFLLIFDSLVL</v>
      </c>
      <c r="M396" s="4" t="str">
        <f t="shared" si="158"/>
        <v/>
      </c>
      <c r="N396" s="4" t="str">
        <f t="shared" si="159"/>
        <v>LYDKLSILKTLLSLTSFIPFSLFLTSLLFLFLSLVRHTRNL</v>
      </c>
      <c r="O396" s="4" t="str">
        <f t="shared" si="160"/>
        <v>SSTEAHRRAMKMVMSFLFLFIVHFFSLQVANGI</v>
      </c>
      <c r="P396" s="4" t="str">
        <f t="shared" si="161"/>
        <v>NNKYIKFVMLALNAFPSCHSFILILG</v>
      </c>
      <c r="Q396" s="4" t="str">
        <f t="shared" si="162"/>
        <v>NSKLRQTAVRLLWH</v>
      </c>
      <c r="R396" s="5">
        <f>VLOOKUP($A396,'SegEnds_NonXtal_Prot#'!$A:$AL,3,FALSE)</f>
        <v>6</v>
      </c>
      <c r="S396" s="5">
        <f>VLOOKUP($A396,'SegEnds_NonXtal_Prot#'!$A:$AL,6,FALSE)</f>
        <v>37</v>
      </c>
      <c r="T396" s="5">
        <f>VLOOKUP($A396,'SegEnds_NonXtal_Prot#'!$A:$AL,9,FALSE)</f>
        <v>41</v>
      </c>
      <c r="U396" s="5" t="str">
        <f>VLOOKUP($A396,'SegEnds_NonXtal_Prot#'!$A:$AL,12,FALSE)</f>
        <v>-</v>
      </c>
      <c r="V396" s="5">
        <f>VLOOKUP($A396,'SegEnds_NonXtal_Prot#'!$A:$AL,15,FALSE)</f>
        <v>78</v>
      </c>
      <c r="W396" s="5">
        <f>VLOOKUP($A396,'SegEnds_NonXtal_Prot#'!$A:$AL,18,FALSE)</f>
        <v>116</v>
      </c>
      <c r="X396" s="5">
        <f>VLOOKUP($A396,'SegEnds_NonXtal_Prot#'!$A:$AL,21,FALSE)</f>
        <v>124</v>
      </c>
      <c r="Y396" s="5" t="str">
        <f>VLOOKUP($A396,'SegEnds_NonXtal_Prot#'!$A:$AL,24,FALSE)</f>
        <v>-</v>
      </c>
      <c r="Z396" s="5">
        <f>VLOOKUP($A396,'SegEnds_NonXtal_Prot#'!$A:$AL,27,FALSE)</f>
        <v>174</v>
      </c>
      <c r="AA396" s="5">
        <f>VLOOKUP($A396,'SegEnds_NonXtal_Prot#'!$A:$AL,30,FALSE)</f>
        <v>224</v>
      </c>
      <c r="AB396" s="5">
        <f>VLOOKUP($A396,'SegEnds_NonXtal_Prot#'!$A:$AL,33,FALSE)</f>
        <v>262</v>
      </c>
      <c r="AC396" s="5">
        <f>VLOOKUP($A396,'SegEnds_NonXtal_Prot#'!$A:$AL,36,FALSE)</f>
        <v>288</v>
      </c>
      <c r="AD396" s="5">
        <f>VLOOKUP($A396,'SegEnds_NonXtal_Prot#'!$A:$AL,5,FALSE)</f>
        <v>36</v>
      </c>
      <c r="AE396" s="5">
        <f>VLOOKUP($A396,'SegEnds_NonXtal_Prot#'!$A:$AL,8,FALSE)</f>
        <v>40</v>
      </c>
      <c r="AF396" s="5">
        <f>VLOOKUP($A396,'SegEnds_NonXtal_Prot#'!$A:$AL,11,FALSE)</f>
        <v>72</v>
      </c>
      <c r="AG396" s="5" t="str">
        <f>VLOOKUP($A396,'SegEnds_NonXtal_Prot#'!$A:$AL,14,FALSE)</f>
        <v>-</v>
      </c>
      <c r="AH396" s="5">
        <f>VLOOKUP($A396,'SegEnds_NonXtal_Prot#'!$A:$AL,17,FALSE)</f>
        <v>113</v>
      </c>
      <c r="AI396" s="5">
        <f>VLOOKUP($A396,'SegEnds_NonXtal_Prot#'!$A:$AL,20,FALSE)</f>
        <v>123</v>
      </c>
      <c r="AJ396" s="5">
        <f>VLOOKUP($A396,'SegEnds_NonXtal_Prot#'!$A:$AL,23,FALSE)</f>
        <v>148</v>
      </c>
      <c r="AK396" s="5" t="str">
        <f>VLOOKUP($A396,'SegEnds_NonXtal_Prot#'!$A:$AL,26,FALSE)</f>
        <v>-</v>
      </c>
      <c r="AL396" s="5">
        <f>VLOOKUP($A396,'SegEnds_NonXtal_Prot#'!$A:$AL,29,FALSE)</f>
        <v>214</v>
      </c>
      <c r="AM396" s="5">
        <f>VLOOKUP($A396,'SegEnds_NonXtal_Prot#'!$A:$AL,32,FALSE)</f>
        <v>256</v>
      </c>
      <c r="AN396" s="5">
        <f>VLOOKUP($A396,'SegEnds_NonXtal_Prot#'!$A:$AL,35,FALSE)</f>
        <v>287</v>
      </c>
      <c r="AO396" s="5">
        <f>VLOOKUP($A396,'SegEnds_NonXtal_Prot#'!$A:$AL,38,FALSE)</f>
        <v>301</v>
      </c>
      <c r="AP396" s="5">
        <f t="shared" si="163"/>
        <v>30</v>
      </c>
      <c r="AQ396" s="4">
        <f t="shared" si="164"/>
        <v>3</v>
      </c>
      <c r="AR396" s="4">
        <f t="shared" si="165"/>
        <v>31</v>
      </c>
      <c r="AS396" s="4" t="str">
        <f t="shared" si="166"/>
        <v>-</v>
      </c>
      <c r="AT396" s="4">
        <f t="shared" si="167"/>
        <v>35</v>
      </c>
      <c r="AU396" s="4">
        <f t="shared" si="168"/>
        <v>7</v>
      </c>
      <c r="AV396" s="4">
        <f t="shared" si="169"/>
        <v>24</v>
      </c>
      <c r="AW396" s="4" t="str">
        <f t="shared" si="170"/>
        <v>-</v>
      </c>
      <c r="AX396" s="4">
        <f t="shared" si="171"/>
        <v>40</v>
      </c>
      <c r="AY396" s="4">
        <f t="shared" si="172"/>
        <v>32</v>
      </c>
      <c r="AZ396" s="4">
        <f t="shared" si="173"/>
        <v>25</v>
      </c>
      <c r="BA396" s="4">
        <f t="shared" si="174"/>
        <v>13</v>
      </c>
    </row>
    <row r="397" spans="1:53" x14ac:dyDescent="0.2">
      <c r="A397" s="1" t="str">
        <f>'SegEnds_NonXtal_Prot#'!A400</f>
        <v>t2r43_human</v>
      </c>
      <c r="B397" s="1" t="str">
        <f t="shared" si="150"/>
        <v>PIIFSSLVVVTFVIGNFANGFIALVNSIEWFISFADQILTALAVSRVGLLWVLLLNWYSTVLSVEVRTTAYNIWAVINHFSNWLATTLSIFYLLKIANRRVKSVILVMLLGPLLFLACHLFVIKSAMYFSNMTVTMVANLVPFTLTLLSFMLLICSLCKHLKKMPSTKVHIKALQTVISFLLLCAIYFLSIMISVWSNKPVFMFCKAIRFSYPSIHPFILIWGNKKLKQTFLSVFWQ</v>
      </c>
      <c r="C397" s="29" t="str">
        <f>IF(ISERROR(MATCH(A397,'SegEnds_Xtal_Prot#'!B:B, 0)), "NoXtal", "Xtal")</f>
        <v>NoXtal</v>
      </c>
      <c r="D397" s="4" t="str">
        <f>VLOOKUP(A397,Classification!A:D,2,FALSE)</f>
        <v>T</v>
      </c>
      <c r="E397" s="5" t="str">
        <f>VLOOKUP(A397,Seqs!A:B,2,FALSE)</f>
        <v>MITFLPIIFSSLVVVTFVIGNFANGFIALVNSIEWFKRQKISFADQILTALAVSRVGLLWVLLLNWYSTVLNPAFNSVEVRTTAYNIWAVINHFSNWLATTLSIFYLLKIANFSNFIFLHLKRRVKSVILVMLLGPLLFLACHLFVINMNEIVRTKEFEGNMTWKIKLKSAMYFSNMTVTMVANLVPFTLTLLSFMLLICSLCKHLKKMQLHGKGSQDPSTKVHIKALQTVISFLLLCAIYFLSIMISVWSFGSLENKPVFMFCKAIRFSYPSIHPFILIWGNKKLKQTFLSVFWQMRYWVKGEKTSSP</v>
      </c>
      <c r="F397" s="5" t="str">
        <f t="shared" si="151"/>
        <v>PIIFSSLVVVTFVIGNFANGFIALVNSIEWF</v>
      </c>
      <c r="G397" s="4" t="str">
        <f t="shared" si="152"/>
        <v>KRQK</v>
      </c>
      <c r="H397" s="4" t="str">
        <f t="shared" si="153"/>
        <v>ISFADQILTALAVSRVGLLWVLLLNWYSTVL</v>
      </c>
      <c r="I397" s="4" t="str">
        <f t="shared" si="154"/>
        <v/>
      </c>
      <c r="J397" s="4" t="str">
        <f t="shared" si="155"/>
        <v>SVEVRTTAYNIWAVINHFSNWLATTLSIFYLLKIAN</v>
      </c>
      <c r="K397" s="4" t="str">
        <f t="shared" si="156"/>
        <v>NFIFLHLK</v>
      </c>
      <c r="L397" s="4" t="str">
        <f t="shared" si="157"/>
        <v>RRVKSVILVMLLGPLLFLACHLFVI</v>
      </c>
      <c r="M397" s="4" t="str">
        <f t="shared" si="158"/>
        <v/>
      </c>
      <c r="N397" s="4" t="str">
        <f t="shared" si="159"/>
        <v>KSAMYFSNMTVTMVANLVPFTLTLLSFMLLICSLCKHLKKM</v>
      </c>
      <c r="O397" s="4" t="str">
        <f t="shared" si="160"/>
        <v>PSTKVHIKALQTVISFLLLCAIYFLSIMISVWS</v>
      </c>
      <c r="P397" s="4" t="str">
        <f t="shared" si="161"/>
        <v>NKPVFMFCKAIRFSYPSIHPFILIWG</v>
      </c>
      <c r="Q397" s="4" t="str">
        <f t="shared" si="162"/>
        <v>NKKLKQTFLSVFWQ</v>
      </c>
      <c r="R397" s="5">
        <f>VLOOKUP($A397,'SegEnds_NonXtal_Prot#'!$A:$AL,3,FALSE)</f>
        <v>6</v>
      </c>
      <c r="S397" s="5">
        <f>VLOOKUP($A397,'SegEnds_NonXtal_Prot#'!$A:$AL,6,FALSE)</f>
        <v>37</v>
      </c>
      <c r="T397" s="5">
        <f>VLOOKUP($A397,'SegEnds_NonXtal_Prot#'!$A:$AL,9,FALSE)</f>
        <v>41</v>
      </c>
      <c r="U397" s="5" t="str">
        <f>VLOOKUP($A397,'SegEnds_NonXtal_Prot#'!$A:$AL,12,FALSE)</f>
        <v>-</v>
      </c>
      <c r="V397" s="5">
        <f>VLOOKUP($A397,'SegEnds_NonXtal_Prot#'!$A:$AL,15,FALSE)</f>
        <v>77</v>
      </c>
      <c r="W397" s="5">
        <f>VLOOKUP($A397,'SegEnds_NonXtal_Prot#'!$A:$AL,18,FALSE)</f>
        <v>115</v>
      </c>
      <c r="X397" s="5">
        <f>VLOOKUP($A397,'SegEnds_NonXtal_Prot#'!$A:$AL,21,FALSE)</f>
        <v>123</v>
      </c>
      <c r="Y397" s="5" t="str">
        <f>VLOOKUP($A397,'SegEnds_NonXtal_Prot#'!$A:$AL,24,FALSE)</f>
        <v>-</v>
      </c>
      <c r="Z397" s="5">
        <f>VLOOKUP($A397,'SegEnds_NonXtal_Prot#'!$A:$AL,27,FALSE)</f>
        <v>169</v>
      </c>
      <c r="AA397" s="5">
        <f>VLOOKUP($A397,'SegEnds_NonXtal_Prot#'!$A:$AL,30,FALSE)</f>
        <v>219</v>
      </c>
      <c r="AB397" s="5">
        <f>VLOOKUP($A397,'SegEnds_NonXtal_Prot#'!$A:$AL,33,FALSE)</f>
        <v>257</v>
      </c>
      <c r="AC397" s="5">
        <f>VLOOKUP($A397,'SegEnds_NonXtal_Prot#'!$A:$AL,36,FALSE)</f>
        <v>283</v>
      </c>
      <c r="AD397" s="5">
        <f>VLOOKUP($A397,'SegEnds_NonXtal_Prot#'!$A:$AL,5,FALSE)</f>
        <v>36</v>
      </c>
      <c r="AE397" s="5">
        <f>VLOOKUP($A397,'SegEnds_NonXtal_Prot#'!$A:$AL,8,FALSE)</f>
        <v>40</v>
      </c>
      <c r="AF397" s="5">
        <f>VLOOKUP($A397,'SegEnds_NonXtal_Prot#'!$A:$AL,11,FALSE)</f>
        <v>71</v>
      </c>
      <c r="AG397" s="5" t="str">
        <f>VLOOKUP($A397,'SegEnds_NonXtal_Prot#'!$A:$AL,14,FALSE)</f>
        <v>-</v>
      </c>
      <c r="AH397" s="5">
        <f>VLOOKUP($A397,'SegEnds_NonXtal_Prot#'!$A:$AL,17,FALSE)</f>
        <v>112</v>
      </c>
      <c r="AI397" s="5">
        <f>VLOOKUP($A397,'SegEnds_NonXtal_Prot#'!$A:$AL,20,FALSE)</f>
        <v>122</v>
      </c>
      <c r="AJ397" s="5">
        <f>VLOOKUP($A397,'SegEnds_NonXtal_Prot#'!$A:$AL,23,FALSE)</f>
        <v>147</v>
      </c>
      <c r="AK397" s="5" t="str">
        <f>VLOOKUP($A397,'SegEnds_NonXtal_Prot#'!$A:$AL,26,FALSE)</f>
        <v>-</v>
      </c>
      <c r="AL397" s="5">
        <f>VLOOKUP($A397,'SegEnds_NonXtal_Prot#'!$A:$AL,29,FALSE)</f>
        <v>209</v>
      </c>
      <c r="AM397" s="5">
        <f>VLOOKUP($A397,'SegEnds_NonXtal_Prot#'!$A:$AL,32,FALSE)</f>
        <v>251</v>
      </c>
      <c r="AN397" s="5">
        <f>VLOOKUP($A397,'SegEnds_NonXtal_Prot#'!$A:$AL,35,FALSE)</f>
        <v>282</v>
      </c>
      <c r="AO397" s="5">
        <f>VLOOKUP($A397,'SegEnds_NonXtal_Prot#'!$A:$AL,38,FALSE)</f>
        <v>296</v>
      </c>
      <c r="AP397" s="5">
        <f t="shared" si="163"/>
        <v>30</v>
      </c>
      <c r="AQ397" s="4">
        <f t="shared" si="164"/>
        <v>3</v>
      </c>
      <c r="AR397" s="4">
        <f t="shared" si="165"/>
        <v>30</v>
      </c>
      <c r="AS397" s="4" t="str">
        <f t="shared" si="166"/>
        <v>-</v>
      </c>
      <c r="AT397" s="4">
        <f t="shared" si="167"/>
        <v>35</v>
      </c>
      <c r="AU397" s="4">
        <f t="shared" si="168"/>
        <v>7</v>
      </c>
      <c r="AV397" s="4">
        <f t="shared" si="169"/>
        <v>24</v>
      </c>
      <c r="AW397" s="4" t="str">
        <f t="shared" si="170"/>
        <v>-</v>
      </c>
      <c r="AX397" s="4">
        <f t="shared" si="171"/>
        <v>40</v>
      </c>
      <c r="AY397" s="4">
        <f t="shared" si="172"/>
        <v>32</v>
      </c>
      <c r="AZ397" s="4">
        <f t="shared" si="173"/>
        <v>25</v>
      </c>
      <c r="BA397" s="4">
        <f t="shared" si="174"/>
        <v>13</v>
      </c>
    </row>
    <row r="398" spans="1:53" x14ac:dyDescent="0.2">
      <c r="A398" s="1" t="str">
        <f>'SegEnds_NonXtal_Prot#'!A401</f>
        <v>t2r45_human</v>
      </c>
      <c r="B398" s="1" t="str">
        <f t="shared" si="150"/>
        <v>PIIFSILVVVTFVIGNFANGFIALVNSTEWVISFADQIVTALAVSRVGLLWVLLLNWYSTVLSVELRTTAYNIWAVTGHFSNWPATSLSIFYLLKIANRRVKSVILVVLLGPLLFLACHLFVVNMNQIRRAMYLSDTTVTMLANLVPFTVTLISFLLLVCSLCKHLKKMKVHIKVLQTVISFFLLRAIYFVSVIISVWSFKNPVFMFCQAIGFSCSSAHPFILIWGNKKLKQTYLSVLWQ</v>
      </c>
      <c r="C398" s="29" t="str">
        <f>IF(ISERROR(MATCH(A398,'SegEnds_Xtal_Prot#'!B:B, 0)), "NoXtal", "Xtal")</f>
        <v>NoXtal</v>
      </c>
      <c r="D398" s="4" t="str">
        <f>VLOOKUP(A398,Classification!A:D,2,FALSE)</f>
        <v>T</v>
      </c>
      <c r="E398" s="5" t="str">
        <f>VLOOKUP(A398,Seqs!A:B,2,FALSE)</f>
        <v>MITFLPIIFSILVVVTFVIGNFANGFIALVNSTEWVKRQKISFADQIVTALAVSRVGLLWVLLLNWYSTVLNPAFCSVELRTTAYNIWAVTGHFSNWPATSLSIFYLLKIANFSNLIFLRLKRRVKSVILVVLLGPLLFLACHLFVVNMNQIVWTKEYEGNMTWKIKLRRAMYLSDTTVTMLANLVPFTVTLISFLLLVCSLCKHLKKMQLHGKGSQDPSTKVHIKVLQTVISFFLLRAIYFVSVIISVWSFKNLENKPVFMFCQAIGFSCSSAHPFILIWGNKKLKQTYLSVLWQMRY</v>
      </c>
      <c r="F398" s="5" t="str">
        <f t="shared" si="151"/>
        <v>PIIFSILVVVTFVIGNFANGFIALVNSTEWV</v>
      </c>
      <c r="G398" s="4" t="str">
        <f t="shared" si="152"/>
        <v>KRQK</v>
      </c>
      <c r="H398" s="4" t="str">
        <f t="shared" si="153"/>
        <v>ISFADQIVTALAVSRVGLLWVLLLNWYSTVL</v>
      </c>
      <c r="I398" s="4" t="str">
        <f t="shared" si="154"/>
        <v/>
      </c>
      <c r="J398" s="4" t="str">
        <f t="shared" si="155"/>
        <v>SVELRTTAYNIWAVTGHFSNWPATSLSIFYLLKIAN</v>
      </c>
      <c r="K398" s="4" t="str">
        <f t="shared" si="156"/>
        <v>NLIFLRLK</v>
      </c>
      <c r="L398" s="4" t="str">
        <f t="shared" si="157"/>
        <v>RRVKSVILVVLLGPLLFLACHLFVVNMNQI</v>
      </c>
      <c r="M398" s="4" t="str">
        <f t="shared" si="158"/>
        <v/>
      </c>
      <c r="N398" s="4" t="str">
        <f t="shared" si="159"/>
        <v>RRAMYLSDTTVTMLANLVPFTVTLISFLLLVCSLCKHLKKM</v>
      </c>
      <c r="O398" s="4" t="str">
        <f t="shared" si="160"/>
        <v>KVHIKVLQTVISFFLLRAIYFVSVIISVWSFKN</v>
      </c>
      <c r="P398" s="4" t="str">
        <f t="shared" si="161"/>
        <v>PVFMFCQAIGFSCSSAHPFILIWG</v>
      </c>
      <c r="Q398" s="4" t="str">
        <f t="shared" si="162"/>
        <v>NKKLKQTYLSVLWQ</v>
      </c>
      <c r="R398" s="5">
        <f>VLOOKUP($A398,'SegEnds_NonXtal_Prot#'!$A:$AL,3,FALSE)</f>
        <v>6</v>
      </c>
      <c r="S398" s="5">
        <f>VLOOKUP($A398,'SegEnds_NonXtal_Prot#'!$A:$AL,6,FALSE)</f>
        <v>37</v>
      </c>
      <c r="T398" s="5">
        <f>VLOOKUP($A398,'SegEnds_NonXtal_Prot#'!$A:$AL,9,FALSE)</f>
        <v>41</v>
      </c>
      <c r="U398" s="5" t="str">
        <f>VLOOKUP($A398,'SegEnds_NonXtal_Prot#'!$A:$AL,12,FALSE)</f>
        <v>-</v>
      </c>
      <c r="V398" s="5">
        <f>VLOOKUP($A398,'SegEnds_NonXtal_Prot#'!$A:$AL,15,FALSE)</f>
        <v>77</v>
      </c>
      <c r="W398" s="5">
        <f>VLOOKUP($A398,'SegEnds_NonXtal_Prot#'!$A:$AL,18,FALSE)</f>
        <v>115</v>
      </c>
      <c r="X398" s="5">
        <f>VLOOKUP($A398,'SegEnds_NonXtal_Prot#'!$A:$AL,21,FALSE)</f>
        <v>123</v>
      </c>
      <c r="Y398" s="5" t="str">
        <f>VLOOKUP($A398,'SegEnds_NonXtal_Prot#'!$A:$AL,24,FALSE)</f>
        <v>-</v>
      </c>
      <c r="Z398" s="5">
        <f>VLOOKUP($A398,'SegEnds_NonXtal_Prot#'!$A:$AL,27,FALSE)</f>
        <v>169</v>
      </c>
      <c r="AA398" s="5">
        <f>VLOOKUP($A398,'SegEnds_NonXtal_Prot#'!$A:$AL,30,FALSE)</f>
        <v>222</v>
      </c>
      <c r="AB398" s="5">
        <f>VLOOKUP($A398,'SegEnds_NonXtal_Prot#'!$A:$AL,33,FALSE)</f>
        <v>259</v>
      </c>
      <c r="AC398" s="5">
        <f>VLOOKUP($A398,'SegEnds_NonXtal_Prot#'!$A:$AL,36,FALSE)</f>
        <v>283</v>
      </c>
      <c r="AD398" s="5">
        <f>VLOOKUP($A398,'SegEnds_NonXtal_Prot#'!$A:$AL,5,FALSE)</f>
        <v>36</v>
      </c>
      <c r="AE398" s="5">
        <f>VLOOKUP($A398,'SegEnds_NonXtal_Prot#'!$A:$AL,8,FALSE)</f>
        <v>40</v>
      </c>
      <c r="AF398" s="5">
        <f>VLOOKUP($A398,'SegEnds_NonXtal_Prot#'!$A:$AL,11,FALSE)</f>
        <v>71</v>
      </c>
      <c r="AG398" s="5" t="str">
        <f>VLOOKUP($A398,'SegEnds_NonXtal_Prot#'!$A:$AL,14,FALSE)</f>
        <v>-</v>
      </c>
      <c r="AH398" s="5">
        <f>VLOOKUP($A398,'SegEnds_NonXtal_Prot#'!$A:$AL,17,FALSE)</f>
        <v>112</v>
      </c>
      <c r="AI398" s="5">
        <f>VLOOKUP($A398,'SegEnds_NonXtal_Prot#'!$A:$AL,20,FALSE)</f>
        <v>122</v>
      </c>
      <c r="AJ398" s="5">
        <f>VLOOKUP($A398,'SegEnds_NonXtal_Prot#'!$A:$AL,23,FALSE)</f>
        <v>152</v>
      </c>
      <c r="AK398" s="5" t="str">
        <f>VLOOKUP($A398,'SegEnds_NonXtal_Prot#'!$A:$AL,26,FALSE)</f>
        <v>-</v>
      </c>
      <c r="AL398" s="5">
        <f>VLOOKUP($A398,'SegEnds_NonXtal_Prot#'!$A:$AL,29,FALSE)</f>
        <v>209</v>
      </c>
      <c r="AM398" s="5">
        <f>VLOOKUP($A398,'SegEnds_NonXtal_Prot#'!$A:$AL,32,FALSE)</f>
        <v>254</v>
      </c>
      <c r="AN398" s="5">
        <f>VLOOKUP($A398,'SegEnds_NonXtal_Prot#'!$A:$AL,35,FALSE)</f>
        <v>282</v>
      </c>
      <c r="AO398" s="5">
        <f>VLOOKUP($A398,'SegEnds_NonXtal_Prot#'!$A:$AL,38,FALSE)</f>
        <v>296</v>
      </c>
      <c r="AP398" s="5">
        <f t="shared" si="163"/>
        <v>30</v>
      </c>
      <c r="AQ398" s="4">
        <f t="shared" si="164"/>
        <v>3</v>
      </c>
      <c r="AR398" s="4">
        <f t="shared" si="165"/>
        <v>30</v>
      </c>
      <c r="AS398" s="4" t="str">
        <f t="shared" si="166"/>
        <v>-</v>
      </c>
      <c r="AT398" s="4">
        <f t="shared" si="167"/>
        <v>35</v>
      </c>
      <c r="AU398" s="4">
        <f t="shared" si="168"/>
        <v>7</v>
      </c>
      <c r="AV398" s="4">
        <f t="shared" si="169"/>
        <v>29</v>
      </c>
      <c r="AW398" s="4" t="str">
        <f t="shared" si="170"/>
        <v>-</v>
      </c>
      <c r="AX398" s="4">
        <f t="shared" si="171"/>
        <v>40</v>
      </c>
      <c r="AY398" s="4">
        <f t="shared" si="172"/>
        <v>32</v>
      </c>
      <c r="AZ398" s="4">
        <f t="shared" si="173"/>
        <v>23</v>
      </c>
      <c r="BA398" s="4">
        <f t="shared" si="174"/>
        <v>13</v>
      </c>
    </row>
    <row r="399" spans="1:53" x14ac:dyDescent="0.2">
      <c r="A399" s="1" t="str">
        <f>'SegEnds_NonXtal_Prot#'!A403</f>
        <v>t2r50_human</v>
      </c>
      <c r="B399" s="1" t="str">
        <f t="shared" si="150"/>
        <v>YIFFSILIMVLFVLGNFANGFIALVNFIDWVISSADQILTALAVSRIGLLWALLLNWYLTVLSVELRITSYNAWVVTNHFSMWLAANLSIFYLLKIANRRVRSVILVILLGTLIFLVCHLLVARNTVHLSYLTVTTLWSFIPFTLSLISFLMLICSLCKHLKKMLSTKVHIKALQTLISFLLLCAIFFLFLIVSVWSNDPVVMVSKAVGNIYLAFDSFILIWRTKKLKHTFLLILCQ</v>
      </c>
      <c r="C399" s="29" t="str">
        <f>IF(ISERROR(MATCH(A399,'SegEnds_Xtal_Prot#'!B:B, 0)), "NoXtal", "Xtal")</f>
        <v>NoXtal</v>
      </c>
      <c r="D399" s="4" t="str">
        <f>VLOOKUP(A399,Classification!A:D,2,FALSE)</f>
        <v>T</v>
      </c>
      <c r="E399" s="5" t="str">
        <f>VLOOKUP(A399,Seqs!A:B,2,FALSE)</f>
        <v>MITFLYIFFSILIMVLFVLGNFANGFIALVNFIDWVKRKKISSADQILTALAVSRIGLLWALLLNWYLTVLNPAFYSVELRITSYNAWVVTNHFSMWLAANLSIFYLLKIANFSNLLFLHLKRRVRSVILVILLGTLIFLVCHLLVANMDESMWAEEYEGNMTGKMKLRNTVHLSYLTVTTLWSFIPFTLSLISFLMLICSLCKHLKKMQLHGEGSQDLSTKVHIKALQTLISFLLLCAIFFLFLIVSVWSPRRLRNDPVVMVSKAVGNIYLAFDSFILIWRTKKLKHTFLLILCQIRC</v>
      </c>
      <c r="F399" s="5" t="str">
        <f t="shared" si="151"/>
        <v>YIFFSILIMVLFVLGNFANGFIALVNFIDWV</v>
      </c>
      <c r="G399" s="4" t="str">
        <f t="shared" si="152"/>
        <v>KRKK</v>
      </c>
      <c r="H399" s="4" t="str">
        <f t="shared" si="153"/>
        <v>ISSADQILTALAVSRIGLLWALLLNWYLTVL</v>
      </c>
      <c r="I399" s="4" t="str">
        <f t="shared" si="154"/>
        <v/>
      </c>
      <c r="J399" s="4" t="str">
        <f t="shared" si="155"/>
        <v>SVELRITSYNAWVVTNHFSMWLAANLSIFYLLKIAN</v>
      </c>
      <c r="K399" s="4" t="str">
        <f t="shared" si="156"/>
        <v>NLLFLHLK</v>
      </c>
      <c r="L399" s="4" t="str">
        <f t="shared" si="157"/>
        <v>RRVRSVILVILLGTLIFLVCHLLVA</v>
      </c>
      <c r="M399" s="4" t="str">
        <f t="shared" si="158"/>
        <v/>
      </c>
      <c r="N399" s="4" t="str">
        <f t="shared" si="159"/>
        <v>RNTVHLSYLTVTTLWSFIPFTLSLISFLMLICSLCKHLKKM</v>
      </c>
      <c r="O399" s="4" t="str">
        <f t="shared" si="160"/>
        <v>LSTKVHIKALQTLISFLLLCAIFFLFLIVSVWS</v>
      </c>
      <c r="P399" s="4" t="str">
        <f t="shared" si="161"/>
        <v>NDPVVMVSKAVGNIYLAFDSFILIWR</v>
      </c>
      <c r="Q399" s="4" t="str">
        <f t="shared" si="162"/>
        <v>TKKLKHTFLLILCQ</v>
      </c>
      <c r="R399" s="5">
        <f>VLOOKUP($A399,'SegEnds_NonXtal_Prot#'!$A:$AL,3,FALSE)</f>
        <v>6</v>
      </c>
      <c r="S399" s="5">
        <f>VLOOKUP($A399,'SegEnds_NonXtal_Prot#'!$A:$AL,6,FALSE)</f>
        <v>37</v>
      </c>
      <c r="T399" s="5">
        <f>VLOOKUP($A399,'SegEnds_NonXtal_Prot#'!$A:$AL,9,FALSE)</f>
        <v>41</v>
      </c>
      <c r="U399" s="5" t="str">
        <f>VLOOKUP($A399,'SegEnds_NonXtal_Prot#'!$A:$AL,12,FALSE)</f>
        <v>-</v>
      </c>
      <c r="V399" s="5">
        <f>VLOOKUP($A399,'SegEnds_NonXtal_Prot#'!$A:$AL,15,FALSE)</f>
        <v>77</v>
      </c>
      <c r="W399" s="5">
        <f>VLOOKUP($A399,'SegEnds_NonXtal_Prot#'!$A:$AL,18,FALSE)</f>
        <v>115</v>
      </c>
      <c r="X399" s="5">
        <f>VLOOKUP($A399,'SegEnds_NonXtal_Prot#'!$A:$AL,21,FALSE)</f>
        <v>123</v>
      </c>
      <c r="Y399" s="5" t="str">
        <f>VLOOKUP($A399,'SegEnds_NonXtal_Prot#'!$A:$AL,24,FALSE)</f>
        <v>-</v>
      </c>
      <c r="Z399" s="5">
        <f>VLOOKUP($A399,'SegEnds_NonXtal_Prot#'!$A:$AL,27,FALSE)</f>
        <v>169</v>
      </c>
      <c r="AA399" s="5">
        <f>VLOOKUP($A399,'SegEnds_NonXtal_Prot#'!$A:$AL,30,FALSE)</f>
        <v>219</v>
      </c>
      <c r="AB399" s="5">
        <f>VLOOKUP($A399,'SegEnds_NonXtal_Prot#'!$A:$AL,33,FALSE)</f>
        <v>257</v>
      </c>
      <c r="AC399" s="5">
        <f>VLOOKUP($A399,'SegEnds_NonXtal_Prot#'!$A:$AL,36,FALSE)</f>
        <v>283</v>
      </c>
      <c r="AD399" s="5">
        <f>VLOOKUP($A399,'SegEnds_NonXtal_Prot#'!$A:$AL,5,FALSE)</f>
        <v>36</v>
      </c>
      <c r="AE399" s="5">
        <f>VLOOKUP($A399,'SegEnds_NonXtal_Prot#'!$A:$AL,8,FALSE)</f>
        <v>40</v>
      </c>
      <c r="AF399" s="5">
        <f>VLOOKUP($A399,'SegEnds_NonXtal_Prot#'!$A:$AL,11,FALSE)</f>
        <v>71</v>
      </c>
      <c r="AG399" s="5" t="str">
        <f>VLOOKUP($A399,'SegEnds_NonXtal_Prot#'!$A:$AL,14,FALSE)</f>
        <v>-</v>
      </c>
      <c r="AH399" s="5">
        <f>VLOOKUP($A399,'SegEnds_NonXtal_Prot#'!$A:$AL,17,FALSE)</f>
        <v>112</v>
      </c>
      <c r="AI399" s="5">
        <f>VLOOKUP($A399,'SegEnds_NonXtal_Prot#'!$A:$AL,20,FALSE)</f>
        <v>122</v>
      </c>
      <c r="AJ399" s="5">
        <f>VLOOKUP($A399,'SegEnds_NonXtal_Prot#'!$A:$AL,23,FALSE)</f>
        <v>147</v>
      </c>
      <c r="AK399" s="5" t="str">
        <f>VLOOKUP($A399,'SegEnds_NonXtal_Prot#'!$A:$AL,26,FALSE)</f>
        <v>-</v>
      </c>
      <c r="AL399" s="5">
        <f>VLOOKUP($A399,'SegEnds_NonXtal_Prot#'!$A:$AL,29,FALSE)</f>
        <v>209</v>
      </c>
      <c r="AM399" s="5">
        <f>VLOOKUP($A399,'SegEnds_NonXtal_Prot#'!$A:$AL,32,FALSE)</f>
        <v>251</v>
      </c>
      <c r="AN399" s="5">
        <f>VLOOKUP($A399,'SegEnds_NonXtal_Prot#'!$A:$AL,35,FALSE)</f>
        <v>282</v>
      </c>
      <c r="AO399" s="5">
        <f>VLOOKUP($A399,'SegEnds_NonXtal_Prot#'!$A:$AL,38,FALSE)</f>
        <v>296</v>
      </c>
      <c r="AP399" s="5">
        <f t="shared" si="163"/>
        <v>30</v>
      </c>
      <c r="AQ399" s="4">
        <f t="shared" si="164"/>
        <v>3</v>
      </c>
      <c r="AR399" s="4">
        <f t="shared" si="165"/>
        <v>30</v>
      </c>
      <c r="AS399" s="4" t="str">
        <f t="shared" si="166"/>
        <v>-</v>
      </c>
      <c r="AT399" s="4">
        <f t="shared" si="167"/>
        <v>35</v>
      </c>
      <c r="AU399" s="4">
        <f t="shared" si="168"/>
        <v>7</v>
      </c>
      <c r="AV399" s="4">
        <f t="shared" si="169"/>
        <v>24</v>
      </c>
      <c r="AW399" s="4" t="str">
        <f t="shared" si="170"/>
        <v>-</v>
      </c>
      <c r="AX399" s="4">
        <f t="shared" si="171"/>
        <v>40</v>
      </c>
      <c r="AY399" s="4">
        <f t="shared" si="172"/>
        <v>32</v>
      </c>
      <c r="AZ399" s="4">
        <f t="shared" si="173"/>
        <v>25</v>
      </c>
      <c r="BA399" s="4">
        <f t="shared" si="174"/>
        <v>13</v>
      </c>
    </row>
    <row r="400" spans="1:53" x14ac:dyDescent="0.2">
      <c r="A400" s="1" t="str">
        <f>'SegEnds_NonXtal_Prot#'!A404</f>
        <v>t2r60_human</v>
      </c>
      <c r="B400" s="1" t="str">
        <f t="shared" si="150"/>
        <v>AIILVTILLLLRLVAIAGNGFITAALGVEWVLLPCDKLLVSLGASRFCLQSVVMGKTIYVFLAFPYNPVLQFLAFQWDFLNAATLWSSTWLSVFYCVKIATHKLSGWLPWMLFSSVGLSSFTTILFFISYCEKFYLFPLKMITWTMPTAVFFICMILLITSLGRHRKKAPSVQAHIKALLALLSFAMLFISYFLSLVFSAAGLDFKFWVWESVIYLCAAVHPIILLFSNCRLRAVLKSRRSS</v>
      </c>
      <c r="C400" s="29" t="str">
        <f>IF(ISERROR(MATCH(A400,'SegEnds_Xtal_Prot#'!B:B, 0)), "NoXtal", "Xtal")</f>
        <v>NoXtal</v>
      </c>
      <c r="D400" s="4" t="str">
        <f>VLOOKUP(A400,Classification!A:D,2,FALSE)</f>
        <v>T</v>
      </c>
      <c r="E400" s="5" t="str">
        <f>VLOOKUP(A400,Seqs!A:B,2,FALSE)</f>
        <v>MNGDHMVLGSSVTDKKAIILVTILLLLRLVAIAGNGFITAALGVEWVLRRMLLPCDKLLVSLGASRFCLQSVVMGKTIYVFLHPMAFPYNPVLQFLAFQWDFLNAATLWSSTWLSVFYCVKIATFTHPVFFWLKHKLSGWLPWMLFSSVGLSSFTTILFFIGNHRMYQNYLRNHLQPWNVTGDSIRSYCEKFYLFPLKMITWTMPTAVFFICMILLITSLGRHRKKALLTTSGFREPSVQAHIKALLALLSFAMLFISYFLSLVFSAAGIFPPLDFKFWVWESVIYLCAAVHPIILLFSNCRLRAVLKSRRSSRCGTP</v>
      </c>
      <c r="F400" s="5" t="str">
        <f t="shared" si="151"/>
        <v>AIILVTILLLLRLVAIAGNGFITAALGVEWV</v>
      </c>
      <c r="G400" s="4" t="str">
        <f t="shared" si="152"/>
        <v>LRRM</v>
      </c>
      <c r="H400" s="4" t="str">
        <f t="shared" si="153"/>
        <v>LLPCDKLLVSLGASRFCLQSVVMGKTIYVFL</v>
      </c>
      <c r="I400" s="4" t="str">
        <f t="shared" si="154"/>
        <v/>
      </c>
      <c r="J400" s="4" t="str">
        <f t="shared" si="155"/>
        <v>AFPYNPVLQFLAFQWDFLNAATLWSSTWLSVFYCVKIAT</v>
      </c>
      <c r="K400" s="4" t="str">
        <f t="shared" si="156"/>
        <v>HPVFFWLK</v>
      </c>
      <c r="L400" s="4" t="str">
        <f t="shared" si="157"/>
        <v>HKLSGWLPWMLFSSVGLSSFTTILFFI</v>
      </c>
      <c r="M400" s="4" t="str">
        <f t="shared" si="158"/>
        <v/>
      </c>
      <c r="N400" s="4" t="str">
        <f t="shared" si="159"/>
        <v>SYCEKFYLFPLKMITWTMPTAVFFICMILLITSLGRHRKKA</v>
      </c>
      <c r="O400" s="4" t="str">
        <f t="shared" si="160"/>
        <v>PSVQAHIKALLALLSFAMLFISYFLSLVFSAAG</v>
      </c>
      <c r="P400" s="4" t="str">
        <f t="shared" si="161"/>
        <v>LDFKFWVWESVIYLCAAVHPIILLFS</v>
      </c>
      <c r="Q400" s="4" t="str">
        <f t="shared" si="162"/>
        <v>NCRLRAVLKSRRSS</v>
      </c>
      <c r="R400" s="5">
        <f>VLOOKUP($A400,'SegEnds_NonXtal_Prot#'!$A:$AL,3,FALSE)</f>
        <v>17</v>
      </c>
      <c r="S400" s="5">
        <f>VLOOKUP($A400,'SegEnds_NonXtal_Prot#'!$A:$AL,6,FALSE)</f>
        <v>48</v>
      </c>
      <c r="T400" s="5">
        <f>VLOOKUP($A400,'SegEnds_NonXtal_Prot#'!$A:$AL,9,FALSE)</f>
        <v>52</v>
      </c>
      <c r="U400" s="5" t="str">
        <f>VLOOKUP($A400,'SegEnds_NonXtal_Prot#'!$A:$AL,12,FALSE)</f>
        <v>-</v>
      </c>
      <c r="V400" s="5">
        <f>VLOOKUP($A400,'SegEnds_NonXtal_Prot#'!$A:$AL,15,FALSE)</f>
        <v>86</v>
      </c>
      <c r="W400" s="5">
        <f>VLOOKUP($A400,'SegEnds_NonXtal_Prot#'!$A:$AL,18,FALSE)</f>
        <v>127</v>
      </c>
      <c r="X400" s="5">
        <f>VLOOKUP($A400,'SegEnds_NonXtal_Prot#'!$A:$AL,21,FALSE)</f>
        <v>135</v>
      </c>
      <c r="Y400" s="5" t="str">
        <f>VLOOKUP($A400,'SegEnds_NonXtal_Prot#'!$A:$AL,24,FALSE)</f>
        <v>-</v>
      </c>
      <c r="Z400" s="5">
        <f>VLOOKUP($A400,'SegEnds_NonXtal_Prot#'!$A:$AL,27,FALSE)</f>
        <v>187</v>
      </c>
      <c r="AA400" s="5">
        <f>VLOOKUP($A400,'SegEnds_NonXtal_Prot#'!$A:$AL,30,FALSE)</f>
        <v>237</v>
      </c>
      <c r="AB400" s="5">
        <f>VLOOKUP($A400,'SegEnds_NonXtal_Prot#'!$A:$AL,33,FALSE)</f>
        <v>274</v>
      </c>
      <c r="AC400" s="5">
        <f>VLOOKUP($A400,'SegEnds_NonXtal_Prot#'!$A:$AL,36,FALSE)</f>
        <v>300</v>
      </c>
      <c r="AD400" s="5">
        <f>VLOOKUP($A400,'SegEnds_NonXtal_Prot#'!$A:$AL,5,FALSE)</f>
        <v>47</v>
      </c>
      <c r="AE400" s="5">
        <f>VLOOKUP($A400,'SegEnds_NonXtal_Prot#'!$A:$AL,8,FALSE)</f>
        <v>51</v>
      </c>
      <c r="AF400" s="5">
        <f>VLOOKUP($A400,'SegEnds_NonXtal_Prot#'!$A:$AL,11,FALSE)</f>
        <v>82</v>
      </c>
      <c r="AG400" s="5" t="str">
        <f>VLOOKUP($A400,'SegEnds_NonXtal_Prot#'!$A:$AL,14,FALSE)</f>
        <v>-</v>
      </c>
      <c r="AH400" s="5">
        <f>VLOOKUP($A400,'SegEnds_NonXtal_Prot#'!$A:$AL,17,FALSE)</f>
        <v>124</v>
      </c>
      <c r="AI400" s="5">
        <f>VLOOKUP($A400,'SegEnds_NonXtal_Prot#'!$A:$AL,20,FALSE)</f>
        <v>134</v>
      </c>
      <c r="AJ400" s="5">
        <f>VLOOKUP($A400,'SegEnds_NonXtal_Prot#'!$A:$AL,23,FALSE)</f>
        <v>161</v>
      </c>
      <c r="AK400" s="5" t="str">
        <f>VLOOKUP($A400,'SegEnds_NonXtal_Prot#'!$A:$AL,26,FALSE)</f>
        <v>-</v>
      </c>
      <c r="AL400" s="5">
        <f>VLOOKUP($A400,'SegEnds_NonXtal_Prot#'!$A:$AL,29,FALSE)</f>
        <v>227</v>
      </c>
      <c r="AM400" s="5">
        <f>VLOOKUP($A400,'SegEnds_NonXtal_Prot#'!$A:$AL,32,FALSE)</f>
        <v>269</v>
      </c>
      <c r="AN400" s="5">
        <f>VLOOKUP($A400,'SegEnds_NonXtal_Prot#'!$A:$AL,35,FALSE)</f>
        <v>299</v>
      </c>
      <c r="AO400" s="5">
        <f>VLOOKUP($A400,'SegEnds_NonXtal_Prot#'!$A:$AL,38,FALSE)</f>
        <v>313</v>
      </c>
      <c r="AP400" s="5">
        <f t="shared" si="163"/>
        <v>30</v>
      </c>
      <c r="AQ400" s="4">
        <f t="shared" si="164"/>
        <v>3</v>
      </c>
      <c r="AR400" s="4">
        <f t="shared" si="165"/>
        <v>30</v>
      </c>
      <c r="AS400" s="4" t="str">
        <f t="shared" si="166"/>
        <v>-</v>
      </c>
      <c r="AT400" s="4">
        <f t="shared" si="167"/>
        <v>38</v>
      </c>
      <c r="AU400" s="4">
        <f t="shared" si="168"/>
        <v>7</v>
      </c>
      <c r="AV400" s="4">
        <f t="shared" si="169"/>
        <v>26</v>
      </c>
      <c r="AW400" s="4" t="str">
        <f t="shared" si="170"/>
        <v>-</v>
      </c>
      <c r="AX400" s="4">
        <f t="shared" si="171"/>
        <v>40</v>
      </c>
      <c r="AY400" s="4">
        <f t="shared" si="172"/>
        <v>32</v>
      </c>
      <c r="AZ400" s="4">
        <f t="shared" si="173"/>
        <v>25</v>
      </c>
      <c r="BA400" s="4">
        <f t="shared" si="174"/>
        <v>13</v>
      </c>
    </row>
    <row r="401" spans="1:53" x14ac:dyDescent="0.2">
      <c r="A401" s="1" t="str">
        <f>'SegEnds_NonXtal_Prot#'!A405</f>
        <v>ta2r1_human</v>
      </c>
      <c r="B401" s="1" t="str">
        <f t="shared" si="150"/>
        <v>LIIYFLLAVIQFLLGIFTNGIIVVVNGIDLIMAPLDLLLSCLAVSRIFLQLFIFYVNVIVIFMCSANCAILLFINELELWLATWLGVFYCAKVASMRISKLVPWMILGSLLYVSMICVFHSKKEDTLAIQIFSFVAEFSVPLLIFLFAVLLLIFSLGRHTRQMPGRGAPISALLSILSFLILYFSHCMIKVFLSSLRRFIFLFFILVIGIYPSGHSLILILGNPKLKQNAKKFLLH</v>
      </c>
      <c r="C401" s="29" t="str">
        <f>IF(ISERROR(MATCH(A401,'SegEnds_Xtal_Prot#'!B:B, 0)), "NoXtal", "Xtal")</f>
        <v>NoXtal</v>
      </c>
      <c r="D401" s="4" t="str">
        <f>VLOOKUP(A401,Classification!A:D,2,FALSE)</f>
        <v>T</v>
      </c>
      <c r="E401" s="5" t="str">
        <f>VLOOKUP(A401,Seqs!A:B,2,FALSE)</f>
        <v>MLESHLIIYFLLAVIQFLLGIFTNGIIVVVNGIDLIKHRKMAPLDLLLSCLAVSRIFLQLFIFYVNVIVIFFIEFIMCSANCAILLFINELELWLATWLGVFYCAKVASVRHPLFIWLKMRISKLVPWMILGSLLYVSMICVFHSKYAGFMVPYFLRKFFSQNATIQKEDTLAIQIFSFVAEFSVPLLIFLFAVLLLIFSLGRHTRQMRNTVAGSRVPGRGAPISALLSILSFLILYFSHCMIKVFLSSLKFHIRRFIFLFFILVIGIYPSGHSLILILGNPKLKQNAKKFLLHSKCCQ</v>
      </c>
      <c r="F401" s="5" t="str">
        <f t="shared" si="151"/>
        <v>LIIYFLLAVIQFLLGIFTNGIIVVVNGIDLI</v>
      </c>
      <c r="G401" s="4" t="str">
        <f t="shared" si="152"/>
        <v>KHRK</v>
      </c>
      <c r="H401" s="4" t="str">
        <f t="shared" si="153"/>
        <v>MAPLDLLLSCLAVSRIFLQLFIFYVNVIVIF</v>
      </c>
      <c r="I401" s="4" t="str">
        <f t="shared" si="154"/>
        <v/>
      </c>
      <c r="J401" s="4" t="str">
        <f t="shared" si="155"/>
        <v>MCSANCAILLFINELELWLATWLGVFYCAKVAS</v>
      </c>
      <c r="K401" s="4" t="str">
        <f t="shared" si="156"/>
        <v>HPLFIWLK</v>
      </c>
      <c r="L401" s="4" t="str">
        <f t="shared" si="157"/>
        <v>MRISKLVPWMILGSLLYVSMICVFHSK</v>
      </c>
      <c r="M401" s="4" t="str">
        <f t="shared" si="158"/>
        <v/>
      </c>
      <c r="N401" s="4" t="str">
        <f t="shared" si="159"/>
        <v>KEDTLAIQIFSFVAEFSVPLLIFLFAVLLLIFSLGRHTRQM</v>
      </c>
      <c r="O401" s="4" t="str">
        <f t="shared" si="160"/>
        <v>PGRGAPISALLSILSFLILYFSHCMIKVFLSSL</v>
      </c>
      <c r="P401" s="4" t="str">
        <f t="shared" si="161"/>
        <v>RRFIFLFFILVIGIYPSGHSLILILG</v>
      </c>
      <c r="Q401" s="4" t="str">
        <f t="shared" si="162"/>
        <v>NPKLKQNAKKFLLH</v>
      </c>
      <c r="R401" s="5">
        <f>VLOOKUP($A401,'SegEnds_NonXtal_Prot#'!$A:$AL,3,FALSE)</f>
        <v>6</v>
      </c>
      <c r="S401" s="5">
        <f>VLOOKUP($A401,'SegEnds_NonXtal_Prot#'!$A:$AL,6,FALSE)</f>
        <v>37</v>
      </c>
      <c r="T401" s="5">
        <f>VLOOKUP($A401,'SegEnds_NonXtal_Prot#'!$A:$AL,9,FALSE)</f>
        <v>41</v>
      </c>
      <c r="U401" s="5" t="str">
        <f>VLOOKUP($A401,'SegEnds_NonXtal_Prot#'!$A:$AL,12,FALSE)</f>
        <v>-</v>
      </c>
      <c r="V401" s="5">
        <f>VLOOKUP($A401,'SegEnds_NonXtal_Prot#'!$A:$AL,15,FALSE)</f>
        <v>77</v>
      </c>
      <c r="W401" s="5">
        <f>VLOOKUP($A401,'SegEnds_NonXtal_Prot#'!$A:$AL,18,FALSE)</f>
        <v>112</v>
      </c>
      <c r="X401" s="5">
        <f>VLOOKUP($A401,'SegEnds_NonXtal_Prot#'!$A:$AL,21,FALSE)</f>
        <v>120</v>
      </c>
      <c r="Y401" s="5" t="str">
        <f>VLOOKUP($A401,'SegEnds_NonXtal_Prot#'!$A:$AL,24,FALSE)</f>
        <v>-</v>
      </c>
      <c r="Z401" s="5">
        <f>VLOOKUP($A401,'SegEnds_NonXtal_Prot#'!$A:$AL,27,FALSE)</f>
        <v>168</v>
      </c>
      <c r="AA401" s="5">
        <f>VLOOKUP($A401,'SegEnds_NonXtal_Prot#'!$A:$AL,30,FALSE)</f>
        <v>218</v>
      </c>
      <c r="AB401" s="5">
        <f>VLOOKUP($A401,'SegEnds_NonXtal_Prot#'!$A:$AL,33,FALSE)</f>
        <v>255</v>
      </c>
      <c r="AC401" s="5">
        <f>VLOOKUP($A401,'SegEnds_NonXtal_Prot#'!$A:$AL,36,FALSE)</f>
        <v>281</v>
      </c>
      <c r="AD401" s="5">
        <f>VLOOKUP($A401,'SegEnds_NonXtal_Prot#'!$A:$AL,5,FALSE)</f>
        <v>36</v>
      </c>
      <c r="AE401" s="5">
        <f>VLOOKUP($A401,'SegEnds_NonXtal_Prot#'!$A:$AL,8,FALSE)</f>
        <v>40</v>
      </c>
      <c r="AF401" s="5">
        <f>VLOOKUP($A401,'SegEnds_NonXtal_Prot#'!$A:$AL,11,FALSE)</f>
        <v>71</v>
      </c>
      <c r="AG401" s="5" t="str">
        <f>VLOOKUP($A401,'SegEnds_NonXtal_Prot#'!$A:$AL,14,FALSE)</f>
        <v>-</v>
      </c>
      <c r="AH401" s="5">
        <f>VLOOKUP($A401,'SegEnds_NonXtal_Prot#'!$A:$AL,17,FALSE)</f>
        <v>109</v>
      </c>
      <c r="AI401" s="5">
        <f>VLOOKUP($A401,'SegEnds_NonXtal_Prot#'!$A:$AL,20,FALSE)</f>
        <v>119</v>
      </c>
      <c r="AJ401" s="5">
        <f>VLOOKUP($A401,'SegEnds_NonXtal_Prot#'!$A:$AL,23,FALSE)</f>
        <v>146</v>
      </c>
      <c r="AK401" s="5" t="str">
        <f>VLOOKUP($A401,'SegEnds_NonXtal_Prot#'!$A:$AL,26,FALSE)</f>
        <v>-</v>
      </c>
      <c r="AL401" s="5">
        <f>VLOOKUP($A401,'SegEnds_NonXtal_Prot#'!$A:$AL,29,FALSE)</f>
        <v>208</v>
      </c>
      <c r="AM401" s="5">
        <f>VLOOKUP($A401,'SegEnds_NonXtal_Prot#'!$A:$AL,32,FALSE)</f>
        <v>250</v>
      </c>
      <c r="AN401" s="5">
        <f>VLOOKUP($A401,'SegEnds_NonXtal_Prot#'!$A:$AL,35,FALSE)</f>
        <v>280</v>
      </c>
      <c r="AO401" s="5">
        <f>VLOOKUP($A401,'SegEnds_NonXtal_Prot#'!$A:$AL,38,FALSE)</f>
        <v>294</v>
      </c>
      <c r="AP401" s="5">
        <f t="shared" si="163"/>
        <v>30</v>
      </c>
      <c r="AQ401" s="4">
        <f t="shared" si="164"/>
        <v>3</v>
      </c>
      <c r="AR401" s="4">
        <f t="shared" si="165"/>
        <v>30</v>
      </c>
      <c r="AS401" s="4" t="str">
        <f t="shared" si="166"/>
        <v>-</v>
      </c>
      <c r="AT401" s="4">
        <f t="shared" si="167"/>
        <v>32</v>
      </c>
      <c r="AU401" s="4">
        <f t="shared" si="168"/>
        <v>7</v>
      </c>
      <c r="AV401" s="4">
        <f t="shared" si="169"/>
        <v>26</v>
      </c>
      <c r="AW401" s="4" t="str">
        <f t="shared" si="170"/>
        <v>-</v>
      </c>
      <c r="AX401" s="4">
        <f t="shared" si="171"/>
        <v>40</v>
      </c>
      <c r="AY401" s="4">
        <f t="shared" si="172"/>
        <v>32</v>
      </c>
      <c r="AZ401" s="4">
        <f t="shared" si="173"/>
        <v>25</v>
      </c>
      <c r="BA401" s="4">
        <f t="shared" si="174"/>
        <v>13</v>
      </c>
    </row>
    <row r="402" spans="1:53" x14ac:dyDescent="0.2">
      <c r="A402" s="1" t="str">
        <f>'SegEnds_NonXtal_Prot#'!A406</f>
        <v>ta2r3_human</v>
      </c>
      <c r="B402" s="1" t="str">
        <f t="shared" si="150"/>
        <v>EGVFLILSGTQFTLGILVNCFIELVNGSSWFMSLSDFIITTLALLRIILLCIILTDSFLIEFSSGIIMQIIDVSWTFTNHLSIWLATCLGVLYCLKIASWRVSRVMVWMLLGALLLSCGSTASLINKRSEYYLIHVLGTLWYLPPLIVSLASYSLLIFSLGRHTRQMPTTEAHKRAIRIILSFFFLFLLYFLAFLIASFGTKMAKMIGEVMTMFYPAGHSFILILGNSKLKQTFVVMLRC</v>
      </c>
      <c r="C402" s="29" t="str">
        <f>IF(ISERROR(MATCH(A402,'SegEnds_Xtal_Prot#'!B:B, 0)), "NoXtal", "Xtal")</f>
        <v>NoXtal</v>
      </c>
      <c r="D402" s="4" t="str">
        <f>VLOOKUP(A402,Classification!A:D,2,FALSE)</f>
        <v>T</v>
      </c>
      <c r="E402" s="5" t="str">
        <f>VLOOKUP(A402,Seqs!A:B,2,FALSE)</f>
        <v>MMGLTEGVFLILSGTQFTLGILVNCFIELVNGSSWFKTKRMSLSDFIITTLALLRIILLCIILTDSFLIEFSPNTHDSGIIMQIIDVSWTFTNHLSIWLATCLGVLYCLKIASFSHPTFLWLKWRVSRVMVWMLLGALLLSCGSTASLINEFKLYSVFRGIEATRNVTEHFRKKRSEYYLIHVLGTLWYLPPLIVSLASYSLLIFSLGRHTRQMLQNGTSSRDPTTEAHKRAIRIILSFFFLFLLYFLAFLIASFGNFLPKTKMAKMIGEVMTMFYPAGHSFILILGNSKLKQTFVVMLRCESGHLKPGSKGPIFS</v>
      </c>
      <c r="F402" s="5" t="str">
        <f t="shared" si="151"/>
        <v>EGVFLILSGTQFTLGILVNCFIELVNGSSWF</v>
      </c>
      <c r="G402" s="4" t="str">
        <f t="shared" si="152"/>
        <v>KTKR</v>
      </c>
      <c r="H402" s="4" t="str">
        <f t="shared" si="153"/>
        <v>MSLSDFIITTLALLRIILLCIILTDSFLIEFS</v>
      </c>
      <c r="I402" s="4" t="str">
        <f t="shared" si="154"/>
        <v/>
      </c>
      <c r="J402" s="4" t="str">
        <f t="shared" si="155"/>
        <v>SGIIMQIIDVSWTFTNHLSIWLATCLGVLYCLKIAS</v>
      </c>
      <c r="K402" s="4" t="str">
        <f t="shared" si="156"/>
        <v>HPTFLWLK</v>
      </c>
      <c r="L402" s="4" t="str">
        <f t="shared" si="157"/>
        <v>WRVSRVMVWMLLGALLLSCGSTASLIN</v>
      </c>
      <c r="M402" s="4" t="str">
        <f t="shared" si="158"/>
        <v/>
      </c>
      <c r="N402" s="4" t="str">
        <f t="shared" si="159"/>
        <v>KRSEYYLIHVLGTLWYLPPLIVSLASYSLLIFSLGRHTRQM</v>
      </c>
      <c r="O402" s="4" t="str">
        <f t="shared" si="160"/>
        <v>PTTEAHKRAIRIILSFFFLFLLYFLAFLIASFG</v>
      </c>
      <c r="P402" s="4" t="str">
        <f t="shared" si="161"/>
        <v>TKMAKMIGEVMTMFYPAGHSFILILG</v>
      </c>
      <c r="Q402" s="4" t="str">
        <f t="shared" si="162"/>
        <v>NSKLKQTFVVMLRC</v>
      </c>
      <c r="R402" s="5">
        <f>VLOOKUP($A402,'SegEnds_NonXtal_Prot#'!$A:$AL,3,FALSE)</f>
        <v>6</v>
      </c>
      <c r="S402" s="5">
        <f>VLOOKUP($A402,'SegEnds_NonXtal_Prot#'!$A:$AL,6,FALSE)</f>
        <v>37</v>
      </c>
      <c r="T402" s="5">
        <f>VLOOKUP($A402,'SegEnds_NonXtal_Prot#'!$A:$AL,9,FALSE)</f>
        <v>41</v>
      </c>
      <c r="U402" s="5" t="str">
        <f>VLOOKUP($A402,'SegEnds_NonXtal_Prot#'!$A:$AL,12,FALSE)</f>
        <v>-</v>
      </c>
      <c r="V402" s="5">
        <f>VLOOKUP($A402,'SegEnds_NonXtal_Prot#'!$A:$AL,15,FALSE)</f>
        <v>78</v>
      </c>
      <c r="W402" s="5">
        <f>VLOOKUP($A402,'SegEnds_NonXtal_Prot#'!$A:$AL,18,FALSE)</f>
        <v>116</v>
      </c>
      <c r="X402" s="5">
        <f>VLOOKUP($A402,'SegEnds_NonXtal_Prot#'!$A:$AL,21,FALSE)</f>
        <v>124</v>
      </c>
      <c r="Y402" s="5" t="str">
        <f>VLOOKUP($A402,'SegEnds_NonXtal_Prot#'!$A:$AL,24,FALSE)</f>
        <v>-</v>
      </c>
      <c r="Z402" s="5">
        <f>VLOOKUP($A402,'SegEnds_NonXtal_Prot#'!$A:$AL,27,FALSE)</f>
        <v>174</v>
      </c>
      <c r="AA402" s="5">
        <f>VLOOKUP($A402,'SegEnds_NonXtal_Prot#'!$A:$AL,30,FALSE)</f>
        <v>224</v>
      </c>
      <c r="AB402" s="5">
        <f>VLOOKUP($A402,'SegEnds_NonXtal_Prot#'!$A:$AL,33,FALSE)</f>
        <v>262</v>
      </c>
      <c r="AC402" s="5">
        <f>VLOOKUP($A402,'SegEnds_NonXtal_Prot#'!$A:$AL,36,FALSE)</f>
        <v>288</v>
      </c>
      <c r="AD402" s="5">
        <f>VLOOKUP($A402,'SegEnds_NonXtal_Prot#'!$A:$AL,5,FALSE)</f>
        <v>36</v>
      </c>
      <c r="AE402" s="5">
        <f>VLOOKUP($A402,'SegEnds_NonXtal_Prot#'!$A:$AL,8,FALSE)</f>
        <v>40</v>
      </c>
      <c r="AF402" s="5">
        <f>VLOOKUP($A402,'SegEnds_NonXtal_Prot#'!$A:$AL,11,FALSE)</f>
        <v>72</v>
      </c>
      <c r="AG402" s="5" t="str">
        <f>VLOOKUP($A402,'SegEnds_NonXtal_Prot#'!$A:$AL,14,FALSE)</f>
        <v>-</v>
      </c>
      <c r="AH402" s="5">
        <f>VLOOKUP($A402,'SegEnds_NonXtal_Prot#'!$A:$AL,17,FALSE)</f>
        <v>113</v>
      </c>
      <c r="AI402" s="5">
        <f>VLOOKUP($A402,'SegEnds_NonXtal_Prot#'!$A:$AL,20,FALSE)</f>
        <v>123</v>
      </c>
      <c r="AJ402" s="5">
        <f>VLOOKUP($A402,'SegEnds_NonXtal_Prot#'!$A:$AL,23,FALSE)</f>
        <v>150</v>
      </c>
      <c r="AK402" s="5" t="str">
        <f>VLOOKUP($A402,'SegEnds_NonXtal_Prot#'!$A:$AL,26,FALSE)</f>
        <v>-</v>
      </c>
      <c r="AL402" s="5">
        <f>VLOOKUP($A402,'SegEnds_NonXtal_Prot#'!$A:$AL,29,FALSE)</f>
        <v>214</v>
      </c>
      <c r="AM402" s="5">
        <f>VLOOKUP($A402,'SegEnds_NonXtal_Prot#'!$A:$AL,32,FALSE)</f>
        <v>256</v>
      </c>
      <c r="AN402" s="5">
        <f>VLOOKUP($A402,'SegEnds_NonXtal_Prot#'!$A:$AL,35,FALSE)</f>
        <v>287</v>
      </c>
      <c r="AO402" s="5">
        <f>VLOOKUP($A402,'SegEnds_NonXtal_Prot#'!$A:$AL,38,FALSE)</f>
        <v>301</v>
      </c>
      <c r="AP402" s="5">
        <f t="shared" si="163"/>
        <v>30</v>
      </c>
      <c r="AQ402" s="4">
        <f t="shared" si="164"/>
        <v>3</v>
      </c>
      <c r="AR402" s="4">
        <f t="shared" si="165"/>
        <v>31</v>
      </c>
      <c r="AS402" s="4" t="str">
        <f t="shared" si="166"/>
        <v>-</v>
      </c>
      <c r="AT402" s="4">
        <f t="shared" si="167"/>
        <v>35</v>
      </c>
      <c r="AU402" s="4">
        <f t="shared" si="168"/>
        <v>7</v>
      </c>
      <c r="AV402" s="4">
        <f t="shared" si="169"/>
        <v>26</v>
      </c>
      <c r="AW402" s="4" t="str">
        <f t="shared" si="170"/>
        <v>-</v>
      </c>
      <c r="AX402" s="4">
        <f t="shared" si="171"/>
        <v>40</v>
      </c>
      <c r="AY402" s="4">
        <f t="shared" si="172"/>
        <v>32</v>
      </c>
      <c r="AZ402" s="4">
        <f t="shared" si="173"/>
        <v>25</v>
      </c>
      <c r="BA402" s="4">
        <f t="shared" si="174"/>
        <v>13</v>
      </c>
    </row>
    <row r="403" spans="1:53" x14ac:dyDescent="0.2">
      <c r="A403" s="1" t="str">
        <f>'SegEnds_NonXtal_Prot#'!A407</f>
        <v>ta2r4_human</v>
      </c>
      <c r="B403" s="1" t="str">
        <f t="shared" si="150"/>
        <v>YFSAIIASVILNFVGIIMNLFITVVNCKTWVISSSDRILFSLGITRFLMLGLFLVNTIYFVSSVYLSAFFVLCFMFLDSSSVWFVTLLNILYCVKITNRNISPKIPRLLLACVLISAFTTCLYIISEGILSLVVSLVLSSSLQFIINVTSASLLIHSLRRHIQKMPQTEAHVGAMKLMVYFLILYIPYSVATLVQYLPDMGTKSICLIFATLYSPGHSVLIIITHPKLKTTAKKILCF</v>
      </c>
      <c r="C403" s="29" t="str">
        <f>IF(ISERROR(MATCH(A403,'SegEnds_Xtal_Prot#'!B:B, 0)), "NoXtal", "Xtal")</f>
        <v>NoXtal</v>
      </c>
      <c r="D403" s="4" t="str">
        <f>VLOOKUP(A403,Classification!A:D,2,FALSE)</f>
        <v>T</v>
      </c>
      <c r="E403" s="5" t="str">
        <f>VLOOKUP(A403,Seqs!A:B,2,FALSE)</f>
        <v>MLRLFYFSAIIASVILNFVGIIMNLFITVVNCKTWVKSHRISSSDRILFSLGITRFLMLGLFLVNTIYFVSSNTERSVYLSAFFVLCFMFLDSSSVWFVTLLNILYCVKITNFQHSVFLLLKRNISPKIPRLLLACVLISAFTTCLYITLSQASPFPELVTTRNNTSFNISEGILSLVVSLVLSSSLQFIINVTSASLLIHSLRRHIQKMQKNATGFWNPQTEAHVGAMKLMVYFLILYIPYSVATLVQYLPFYAGMDMGTKSICLIFATLYSPGHSVLIIITHPKLKTTAKKILCFKK</v>
      </c>
      <c r="F403" s="5" t="str">
        <f t="shared" si="151"/>
        <v>YFSAIIASVILNFVGIIMNLFITVVNCKTWV</v>
      </c>
      <c r="G403" s="4" t="str">
        <f t="shared" si="152"/>
        <v>KSHR</v>
      </c>
      <c r="H403" s="4" t="str">
        <f t="shared" si="153"/>
        <v>ISSSDRILFSLGITRFLMLGLFLVNTIYFVS</v>
      </c>
      <c r="I403" s="4" t="str">
        <f t="shared" si="154"/>
        <v/>
      </c>
      <c r="J403" s="4" t="str">
        <f t="shared" si="155"/>
        <v>SVYLSAFFVLCFMFLDSSSVWFVTLLNILYCVKITN</v>
      </c>
      <c r="K403" s="4" t="str">
        <f t="shared" si="156"/>
        <v>HSVFLLLK</v>
      </c>
      <c r="L403" s="4" t="str">
        <f t="shared" si="157"/>
        <v>RNISPKIPRLLLACVLISAFTTCLYI</v>
      </c>
      <c r="M403" s="4" t="str">
        <f t="shared" si="158"/>
        <v/>
      </c>
      <c r="N403" s="4" t="str">
        <f t="shared" si="159"/>
        <v>ISEGILSLVVSLVLSSSLQFIINVTSASLLIHSLRRHIQKM</v>
      </c>
      <c r="O403" s="4" t="str">
        <f t="shared" si="160"/>
        <v>PQTEAHVGAMKLMVYFLILYIPYSVATLVQYLP</v>
      </c>
      <c r="P403" s="4" t="str">
        <f t="shared" si="161"/>
        <v>DMGTKSICLIFATLYSPGHSVLIIIT</v>
      </c>
      <c r="Q403" s="4" t="str">
        <f t="shared" si="162"/>
        <v>HPKLKTTAKKILCF</v>
      </c>
      <c r="R403" s="5">
        <f>VLOOKUP($A403,'SegEnds_NonXtal_Prot#'!$A:$AL,3,FALSE)</f>
        <v>6</v>
      </c>
      <c r="S403" s="5">
        <f>VLOOKUP($A403,'SegEnds_NonXtal_Prot#'!$A:$AL,6,FALSE)</f>
        <v>37</v>
      </c>
      <c r="T403" s="5">
        <f>VLOOKUP($A403,'SegEnds_NonXtal_Prot#'!$A:$AL,9,FALSE)</f>
        <v>41</v>
      </c>
      <c r="U403" s="5" t="str">
        <f>VLOOKUP($A403,'SegEnds_NonXtal_Prot#'!$A:$AL,12,FALSE)</f>
        <v>-</v>
      </c>
      <c r="V403" s="5">
        <f>VLOOKUP($A403,'SegEnds_NonXtal_Prot#'!$A:$AL,15,FALSE)</f>
        <v>77</v>
      </c>
      <c r="W403" s="5">
        <f>VLOOKUP($A403,'SegEnds_NonXtal_Prot#'!$A:$AL,18,FALSE)</f>
        <v>115</v>
      </c>
      <c r="X403" s="5">
        <f>VLOOKUP($A403,'SegEnds_NonXtal_Prot#'!$A:$AL,21,FALSE)</f>
        <v>123</v>
      </c>
      <c r="Y403" s="5" t="str">
        <f>VLOOKUP($A403,'SegEnds_NonXtal_Prot#'!$A:$AL,24,FALSE)</f>
        <v>-</v>
      </c>
      <c r="Z403" s="5">
        <f>VLOOKUP($A403,'SegEnds_NonXtal_Prot#'!$A:$AL,27,FALSE)</f>
        <v>170</v>
      </c>
      <c r="AA403" s="5">
        <f>VLOOKUP($A403,'SegEnds_NonXtal_Prot#'!$A:$AL,30,FALSE)</f>
        <v>220</v>
      </c>
      <c r="AB403" s="5">
        <f>VLOOKUP($A403,'SegEnds_NonXtal_Prot#'!$A:$AL,33,FALSE)</f>
        <v>258</v>
      </c>
      <c r="AC403" s="5">
        <f>VLOOKUP($A403,'SegEnds_NonXtal_Prot#'!$A:$AL,36,FALSE)</f>
        <v>284</v>
      </c>
      <c r="AD403" s="5">
        <f>VLOOKUP($A403,'SegEnds_NonXtal_Prot#'!$A:$AL,5,FALSE)</f>
        <v>36</v>
      </c>
      <c r="AE403" s="5">
        <f>VLOOKUP($A403,'SegEnds_NonXtal_Prot#'!$A:$AL,8,FALSE)</f>
        <v>40</v>
      </c>
      <c r="AF403" s="5">
        <f>VLOOKUP($A403,'SegEnds_NonXtal_Prot#'!$A:$AL,11,FALSE)</f>
        <v>71</v>
      </c>
      <c r="AG403" s="5" t="str">
        <f>VLOOKUP($A403,'SegEnds_NonXtal_Prot#'!$A:$AL,14,FALSE)</f>
        <v>-</v>
      </c>
      <c r="AH403" s="5">
        <f>VLOOKUP($A403,'SegEnds_NonXtal_Prot#'!$A:$AL,17,FALSE)</f>
        <v>112</v>
      </c>
      <c r="AI403" s="5">
        <f>VLOOKUP($A403,'SegEnds_NonXtal_Prot#'!$A:$AL,20,FALSE)</f>
        <v>122</v>
      </c>
      <c r="AJ403" s="5">
        <f>VLOOKUP($A403,'SegEnds_NonXtal_Prot#'!$A:$AL,23,FALSE)</f>
        <v>148</v>
      </c>
      <c r="AK403" s="5" t="str">
        <f>VLOOKUP($A403,'SegEnds_NonXtal_Prot#'!$A:$AL,26,FALSE)</f>
        <v>-</v>
      </c>
      <c r="AL403" s="5">
        <f>VLOOKUP($A403,'SegEnds_NonXtal_Prot#'!$A:$AL,29,FALSE)</f>
        <v>210</v>
      </c>
      <c r="AM403" s="5">
        <f>VLOOKUP($A403,'SegEnds_NonXtal_Prot#'!$A:$AL,32,FALSE)</f>
        <v>252</v>
      </c>
      <c r="AN403" s="5">
        <f>VLOOKUP($A403,'SegEnds_NonXtal_Prot#'!$A:$AL,35,FALSE)</f>
        <v>283</v>
      </c>
      <c r="AO403" s="5">
        <f>VLOOKUP($A403,'SegEnds_NonXtal_Prot#'!$A:$AL,38,FALSE)</f>
        <v>297</v>
      </c>
      <c r="AP403" s="5">
        <f t="shared" si="163"/>
        <v>30</v>
      </c>
      <c r="AQ403" s="4">
        <f t="shared" si="164"/>
        <v>3</v>
      </c>
      <c r="AR403" s="4">
        <f t="shared" si="165"/>
        <v>30</v>
      </c>
      <c r="AS403" s="4" t="str">
        <f t="shared" si="166"/>
        <v>-</v>
      </c>
      <c r="AT403" s="4">
        <f t="shared" si="167"/>
        <v>35</v>
      </c>
      <c r="AU403" s="4">
        <f t="shared" si="168"/>
        <v>7</v>
      </c>
      <c r="AV403" s="4">
        <f t="shared" si="169"/>
        <v>25</v>
      </c>
      <c r="AW403" s="4" t="str">
        <f t="shared" si="170"/>
        <v>-</v>
      </c>
      <c r="AX403" s="4">
        <f t="shared" si="171"/>
        <v>40</v>
      </c>
      <c r="AY403" s="4">
        <f t="shared" si="172"/>
        <v>32</v>
      </c>
      <c r="AZ403" s="4">
        <f t="shared" si="173"/>
        <v>25</v>
      </c>
      <c r="BA403" s="4">
        <f t="shared" si="174"/>
        <v>13</v>
      </c>
    </row>
    <row r="404" spans="1:53" x14ac:dyDescent="0.2">
      <c r="A404" s="1" t="str">
        <f>'SegEnds_NonXtal_Prot#'!A408</f>
        <v>ta2r5_human</v>
      </c>
      <c r="B404" s="1" t="str">
        <f t="shared" si="150"/>
        <v>LGLLMLVAVVEFLIGLIGNGSLVVWSFREWIWSSYNLIILGLAGCRFLLQWLIILDLSLFPLWLRYLSIFWVLVSQASLWFATFLSVFYCKKITTQRAYNLSLWCLLGYFIINLLLTVQIFESWQYLYAFQLNSGSYLPLVVFLVSSGMLIVSLYTHHKKMVRAKAHITALKSLGCFLLLHLVYIMASPFSITSDLTSVFIWETLMAAYPSLHSLILIMGIPRVKQTCQKILWK</v>
      </c>
      <c r="C404" s="29" t="str">
        <f>IF(ISERROR(MATCH(A404,'SegEnds_Xtal_Prot#'!B:B, 0)), "NoXtal", "Xtal")</f>
        <v>NoXtal</v>
      </c>
      <c r="D404" s="4" t="str">
        <f>VLOOKUP(A404,Classification!A:D,2,FALSE)</f>
        <v>T</v>
      </c>
      <c r="E404" s="5" t="str">
        <f>VLOOKUP(A404,Seqs!A:B,2,FALSE)</f>
        <v>MLSAGLGLLMLVAVVEFLIGLIGNGSLVVWSFREWIRKFNWSSYNLIILGLAGCRFLLQWLIILDLSLFPLFQSSRWLRYLSIFWVLVSQASLWFATFLSVFYCKKITTFDRPAYLWLKQRAYNLSLWCLLGYFIINLLLTVQIGLTFYHPPQGNSSIRYPFESWQYLYAFQLNSGSYLPLVVFLVSSGMLIVSLYTHHKKMKVHSAGRRDVRAKAHITALKSLGCFLLLHLVYIMASPFSITSKTYPPDLTSVFIWETLMAAYPSLHSLILIMGIPRVKQTCQKILWKTVCARRCWGP</v>
      </c>
      <c r="F404" s="5" t="str">
        <f t="shared" si="151"/>
        <v>LGLLMLVAVVEFLIGLIGNGSLVVWSFREWI</v>
      </c>
      <c r="G404" s="4" t="str">
        <f t="shared" si="152"/>
        <v>RKFN</v>
      </c>
      <c r="H404" s="4" t="str">
        <f t="shared" si="153"/>
        <v>WSSYNLIILGLAGCRFLLQWLIILDLSLFPL</v>
      </c>
      <c r="I404" s="4" t="str">
        <f t="shared" si="154"/>
        <v/>
      </c>
      <c r="J404" s="4" t="str">
        <f t="shared" si="155"/>
        <v>WLRYLSIFWVLVSQASLWFATFLSVFYCKKITT</v>
      </c>
      <c r="K404" s="4" t="str">
        <f t="shared" si="156"/>
        <v>RPAYLWLK</v>
      </c>
      <c r="L404" s="4" t="str">
        <f t="shared" si="157"/>
        <v>QRAYNLSLWCLLGYFIINLLLTVQI</v>
      </c>
      <c r="M404" s="4" t="str">
        <f t="shared" si="158"/>
        <v/>
      </c>
      <c r="N404" s="4" t="str">
        <f t="shared" si="159"/>
        <v>FESWQYLYAFQLNSGSYLPLVVFLVSSGMLIVSLYTHHKKM</v>
      </c>
      <c r="O404" s="4" t="str">
        <f t="shared" si="160"/>
        <v>VRAKAHITALKSLGCFLLLHLVYIMASPFSITS</v>
      </c>
      <c r="P404" s="4" t="str">
        <f t="shared" si="161"/>
        <v>DLTSVFIWETLMAAYPSLHSLILIMG</v>
      </c>
      <c r="Q404" s="4" t="str">
        <f t="shared" si="162"/>
        <v>IPRVKQTCQKILWK</v>
      </c>
      <c r="R404" s="5">
        <f>VLOOKUP($A404,'SegEnds_NonXtal_Prot#'!$A:$AL,3,FALSE)</f>
        <v>6</v>
      </c>
      <c r="S404" s="5">
        <f>VLOOKUP($A404,'SegEnds_NonXtal_Prot#'!$A:$AL,6,FALSE)</f>
        <v>37</v>
      </c>
      <c r="T404" s="5">
        <f>VLOOKUP($A404,'SegEnds_NonXtal_Prot#'!$A:$AL,9,FALSE)</f>
        <v>41</v>
      </c>
      <c r="U404" s="5" t="str">
        <f>VLOOKUP($A404,'SegEnds_NonXtal_Prot#'!$A:$AL,12,FALSE)</f>
        <v>-</v>
      </c>
      <c r="V404" s="5">
        <f>VLOOKUP($A404,'SegEnds_NonXtal_Prot#'!$A:$AL,15,FALSE)</f>
        <v>77</v>
      </c>
      <c r="W404" s="5">
        <f>VLOOKUP($A404,'SegEnds_NonXtal_Prot#'!$A:$AL,18,FALSE)</f>
        <v>112</v>
      </c>
      <c r="X404" s="5">
        <f>VLOOKUP($A404,'SegEnds_NonXtal_Prot#'!$A:$AL,21,FALSE)</f>
        <v>120</v>
      </c>
      <c r="Y404" s="5" t="str">
        <f>VLOOKUP($A404,'SegEnds_NonXtal_Prot#'!$A:$AL,24,FALSE)</f>
        <v>-</v>
      </c>
      <c r="Z404" s="5">
        <f>VLOOKUP($A404,'SegEnds_NonXtal_Prot#'!$A:$AL,27,FALSE)</f>
        <v>162</v>
      </c>
      <c r="AA404" s="5">
        <f>VLOOKUP($A404,'SegEnds_NonXtal_Prot#'!$A:$AL,30,FALSE)</f>
        <v>212</v>
      </c>
      <c r="AB404" s="5">
        <f>VLOOKUP($A404,'SegEnds_NonXtal_Prot#'!$A:$AL,33,FALSE)</f>
        <v>250</v>
      </c>
      <c r="AC404" s="5">
        <f>VLOOKUP($A404,'SegEnds_NonXtal_Prot#'!$A:$AL,36,FALSE)</f>
        <v>276</v>
      </c>
      <c r="AD404" s="5">
        <f>VLOOKUP($A404,'SegEnds_NonXtal_Prot#'!$A:$AL,5,FALSE)</f>
        <v>36</v>
      </c>
      <c r="AE404" s="5">
        <f>VLOOKUP($A404,'SegEnds_NonXtal_Prot#'!$A:$AL,8,FALSE)</f>
        <v>40</v>
      </c>
      <c r="AF404" s="5">
        <f>VLOOKUP($A404,'SegEnds_NonXtal_Prot#'!$A:$AL,11,FALSE)</f>
        <v>71</v>
      </c>
      <c r="AG404" s="5" t="str">
        <f>VLOOKUP($A404,'SegEnds_NonXtal_Prot#'!$A:$AL,14,FALSE)</f>
        <v>-</v>
      </c>
      <c r="AH404" s="5">
        <f>VLOOKUP($A404,'SegEnds_NonXtal_Prot#'!$A:$AL,17,FALSE)</f>
        <v>109</v>
      </c>
      <c r="AI404" s="5">
        <f>VLOOKUP($A404,'SegEnds_NonXtal_Prot#'!$A:$AL,20,FALSE)</f>
        <v>119</v>
      </c>
      <c r="AJ404" s="5">
        <f>VLOOKUP($A404,'SegEnds_NonXtal_Prot#'!$A:$AL,23,FALSE)</f>
        <v>144</v>
      </c>
      <c r="AK404" s="5" t="str">
        <f>VLOOKUP($A404,'SegEnds_NonXtal_Prot#'!$A:$AL,26,FALSE)</f>
        <v>-</v>
      </c>
      <c r="AL404" s="5">
        <f>VLOOKUP($A404,'SegEnds_NonXtal_Prot#'!$A:$AL,29,FALSE)</f>
        <v>202</v>
      </c>
      <c r="AM404" s="5">
        <f>VLOOKUP($A404,'SegEnds_NonXtal_Prot#'!$A:$AL,32,FALSE)</f>
        <v>244</v>
      </c>
      <c r="AN404" s="5">
        <f>VLOOKUP($A404,'SegEnds_NonXtal_Prot#'!$A:$AL,35,FALSE)</f>
        <v>275</v>
      </c>
      <c r="AO404" s="5">
        <f>VLOOKUP($A404,'SegEnds_NonXtal_Prot#'!$A:$AL,38,FALSE)</f>
        <v>289</v>
      </c>
      <c r="AP404" s="5">
        <f t="shared" si="163"/>
        <v>30</v>
      </c>
      <c r="AQ404" s="4">
        <f t="shared" si="164"/>
        <v>3</v>
      </c>
      <c r="AR404" s="4">
        <f t="shared" si="165"/>
        <v>30</v>
      </c>
      <c r="AS404" s="4" t="str">
        <f t="shared" si="166"/>
        <v>-</v>
      </c>
      <c r="AT404" s="4">
        <f t="shared" si="167"/>
        <v>32</v>
      </c>
      <c r="AU404" s="4">
        <f t="shared" si="168"/>
        <v>7</v>
      </c>
      <c r="AV404" s="4">
        <f t="shared" si="169"/>
        <v>24</v>
      </c>
      <c r="AW404" s="4" t="str">
        <f t="shared" si="170"/>
        <v>-</v>
      </c>
      <c r="AX404" s="4">
        <f t="shared" si="171"/>
        <v>40</v>
      </c>
      <c r="AY404" s="4">
        <f t="shared" si="172"/>
        <v>32</v>
      </c>
      <c r="AZ404" s="4">
        <f t="shared" si="173"/>
        <v>25</v>
      </c>
      <c r="BA404" s="4">
        <f t="shared" si="174"/>
        <v>13</v>
      </c>
    </row>
    <row r="405" spans="1:53" x14ac:dyDescent="0.2">
      <c r="A405" s="1" t="str">
        <f>'SegEnds_NonXtal_Prot#'!A409</f>
        <v>ta2r7_human</v>
      </c>
      <c r="B405" s="1" t="str">
        <f t="shared" si="150"/>
        <v>QTTLLFLAVGEFSVGILGNAFIGLVNCMDWVIASIDLILTSLAISRICLLCVILLDCFILVLYTGKEMRIIDFFWTLTNHLSIWFATCLSIYYFFKIGNWRIDRVISWILLGCVVLSVFISLPANKTQHASTKLFLNLATLLPFCVCLMSFFLLILSLRRHIRRMPSTEAHVRALKAVISFLLLFIAYYLSFLIATSSTELAVIFGESIALIYPSSHSFILILGNNKLRHASLKVIWK</v>
      </c>
      <c r="C405" s="29" t="str">
        <f>IF(ISERROR(MATCH(A405,'SegEnds_Xtal_Prot#'!B:B, 0)), "NoXtal", "Xtal")</f>
        <v>NoXtal</v>
      </c>
      <c r="D405" s="4" t="str">
        <f>VLOOKUP(A405,Classification!A:D,2,FALSE)</f>
        <v>T</v>
      </c>
      <c r="E405" s="5" t="str">
        <f>VLOOKUP(A405,Seqs!A:B,2,FALSE)</f>
        <v>MADKVQTTLLFLAVGEFSVGILGNAFIGLVNCMDWVKKRKIASIDLILTSLAISRICLLCVILLDCFILVLYPDVYATGKEMRIIDFFWTLTNHLSIWFATCLSIYYFFKIGNFFHPLFLWMKWRIDRVISWILLGCVVLSVFISLPATENLNADFRFCVKAKRKTNLTWSCRVNKTQHASTKLFLNLATLLPFCVCLMSFFLLILSLRRHIRRMQLSATGCRDPSTEAHVRALKAVISFLLLFIAYYLSFLIATSSYFMPETELAVIFGESIALIYPSSHSFILILGNNKLRHASLKVIWKVMSILKGRKFQQHKQI</v>
      </c>
      <c r="F405" s="5" t="str">
        <f t="shared" si="151"/>
        <v>QTTLLFLAVGEFSVGILGNAFIGLVNCMDWV</v>
      </c>
      <c r="G405" s="4" t="str">
        <f t="shared" si="152"/>
        <v>KKRK</v>
      </c>
      <c r="H405" s="4" t="str">
        <f t="shared" si="153"/>
        <v>IASIDLILTSLAISRICLLCVILLDCFILVLY</v>
      </c>
      <c r="I405" s="4" t="str">
        <f t="shared" si="154"/>
        <v/>
      </c>
      <c r="J405" s="4" t="str">
        <f t="shared" si="155"/>
        <v>TGKEMRIIDFFWTLTNHLSIWFATCLSIYYFFKIGN</v>
      </c>
      <c r="K405" s="4" t="str">
        <f t="shared" si="156"/>
        <v>HPLFLWMK</v>
      </c>
      <c r="L405" s="4" t="str">
        <f t="shared" si="157"/>
        <v>WRIDRVISWILLGCVVLSVFISLPA</v>
      </c>
      <c r="M405" s="4" t="str">
        <f t="shared" si="158"/>
        <v/>
      </c>
      <c r="N405" s="4" t="str">
        <f t="shared" si="159"/>
        <v>NKTQHASTKLFLNLATLLPFCVCLMSFFLLILSLRRHIRRM</v>
      </c>
      <c r="O405" s="4" t="str">
        <f t="shared" si="160"/>
        <v>PSTEAHVRALKAVISFLLLFIAYYLSFLIATSS</v>
      </c>
      <c r="P405" s="4" t="str">
        <f t="shared" si="161"/>
        <v>TELAVIFGESIALIYPSSHSFILILG</v>
      </c>
      <c r="Q405" s="4" t="str">
        <f t="shared" si="162"/>
        <v>NNKLRHASLKVIWK</v>
      </c>
      <c r="R405" s="5">
        <f>VLOOKUP($A405,'SegEnds_NonXtal_Prot#'!$A:$AL,3,FALSE)</f>
        <v>6</v>
      </c>
      <c r="S405" s="5">
        <f>VLOOKUP($A405,'SegEnds_NonXtal_Prot#'!$A:$AL,6,FALSE)</f>
        <v>37</v>
      </c>
      <c r="T405" s="5">
        <f>VLOOKUP($A405,'SegEnds_NonXtal_Prot#'!$A:$AL,9,FALSE)</f>
        <v>41</v>
      </c>
      <c r="U405" s="5" t="str">
        <f>VLOOKUP($A405,'SegEnds_NonXtal_Prot#'!$A:$AL,12,FALSE)</f>
        <v>-</v>
      </c>
      <c r="V405" s="5">
        <f>VLOOKUP($A405,'SegEnds_NonXtal_Prot#'!$A:$AL,15,FALSE)</f>
        <v>78</v>
      </c>
      <c r="W405" s="5">
        <f>VLOOKUP($A405,'SegEnds_NonXtal_Prot#'!$A:$AL,18,FALSE)</f>
        <v>116</v>
      </c>
      <c r="X405" s="5">
        <f>VLOOKUP($A405,'SegEnds_NonXtal_Prot#'!$A:$AL,21,FALSE)</f>
        <v>124</v>
      </c>
      <c r="Y405" s="5" t="str">
        <f>VLOOKUP($A405,'SegEnds_NonXtal_Prot#'!$A:$AL,24,FALSE)</f>
        <v>-</v>
      </c>
      <c r="Z405" s="5">
        <f>VLOOKUP($A405,'SegEnds_NonXtal_Prot#'!$A:$AL,27,FALSE)</f>
        <v>175</v>
      </c>
      <c r="AA405" s="5">
        <f>VLOOKUP($A405,'SegEnds_NonXtal_Prot#'!$A:$AL,30,FALSE)</f>
        <v>225</v>
      </c>
      <c r="AB405" s="5">
        <f>VLOOKUP($A405,'SegEnds_NonXtal_Prot#'!$A:$AL,33,FALSE)</f>
        <v>263</v>
      </c>
      <c r="AC405" s="5">
        <f>VLOOKUP($A405,'SegEnds_NonXtal_Prot#'!$A:$AL,36,FALSE)</f>
        <v>289</v>
      </c>
      <c r="AD405" s="5">
        <f>VLOOKUP($A405,'SegEnds_NonXtal_Prot#'!$A:$AL,5,FALSE)</f>
        <v>36</v>
      </c>
      <c r="AE405" s="5">
        <f>VLOOKUP($A405,'SegEnds_NonXtal_Prot#'!$A:$AL,8,FALSE)</f>
        <v>40</v>
      </c>
      <c r="AF405" s="5">
        <f>VLOOKUP($A405,'SegEnds_NonXtal_Prot#'!$A:$AL,11,FALSE)</f>
        <v>72</v>
      </c>
      <c r="AG405" s="5" t="str">
        <f>VLOOKUP($A405,'SegEnds_NonXtal_Prot#'!$A:$AL,14,FALSE)</f>
        <v>-</v>
      </c>
      <c r="AH405" s="5">
        <f>VLOOKUP($A405,'SegEnds_NonXtal_Prot#'!$A:$AL,17,FALSE)</f>
        <v>113</v>
      </c>
      <c r="AI405" s="5">
        <f>VLOOKUP($A405,'SegEnds_NonXtal_Prot#'!$A:$AL,20,FALSE)</f>
        <v>123</v>
      </c>
      <c r="AJ405" s="5">
        <f>VLOOKUP($A405,'SegEnds_NonXtal_Prot#'!$A:$AL,23,FALSE)</f>
        <v>148</v>
      </c>
      <c r="AK405" s="5" t="str">
        <f>VLOOKUP($A405,'SegEnds_NonXtal_Prot#'!$A:$AL,26,FALSE)</f>
        <v>-</v>
      </c>
      <c r="AL405" s="5">
        <f>VLOOKUP($A405,'SegEnds_NonXtal_Prot#'!$A:$AL,29,FALSE)</f>
        <v>215</v>
      </c>
      <c r="AM405" s="5">
        <f>VLOOKUP($A405,'SegEnds_NonXtal_Prot#'!$A:$AL,32,FALSE)</f>
        <v>257</v>
      </c>
      <c r="AN405" s="5">
        <f>VLOOKUP($A405,'SegEnds_NonXtal_Prot#'!$A:$AL,35,FALSE)</f>
        <v>288</v>
      </c>
      <c r="AO405" s="5">
        <f>VLOOKUP($A405,'SegEnds_NonXtal_Prot#'!$A:$AL,38,FALSE)</f>
        <v>302</v>
      </c>
      <c r="AP405" s="5">
        <f t="shared" si="163"/>
        <v>30</v>
      </c>
      <c r="AQ405" s="4">
        <f t="shared" si="164"/>
        <v>3</v>
      </c>
      <c r="AR405" s="4">
        <f t="shared" si="165"/>
        <v>31</v>
      </c>
      <c r="AS405" s="4" t="str">
        <f t="shared" si="166"/>
        <v>-</v>
      </c>
      <c r="AT405" s="4">
        <f t="shared" si="167"/>
        <v>35</v>
      </c>
      <c r="AU405" s="4">
        <f t="shared" si="168"/>
        <v>7</v>
      </c>
      <c r="AV405" s="4">
        <f t="shared" si="169"/>
        <v>24</v>
      </c>
      <c r="AW405" s="4" t="str">
        <f t="shared" si="170"/>
        <v>-</v>
      </c>
      <c r="AX405" s="4">
        <f t="shared" si="171"/>
        <v>40</v>
      </c>
      <c r="AY405" s="4">
        <f t="shared" si="172"/>
        <v>32</v>
      </c>
      <c r="AZ405" s="4">
        <f t="shared" si="173"/>
        <v>25</v>
      </c>
      <c r="BA405" s="4">
        <f t="shared" si="174"/>
        <v>13</v>
      </c>
    </row>
    <row r="406" spans="1:53" x14ac:dyDescent="0.2">
      <c r="A406" s="1" t="str">
        <f>'SegEnds_NonXtal_Prot#'!A410</f>
        <v>ta2r8_human</v>
      </c>
      <c r="B406" s="1" t="str">
        <f t="shared" si="150"/>
        <v>DNIFIILITGEFILGILGNGYIALVNWIDWIISTVDYILTNLVIARICLISVMVVNGIVIVLVYTKNKQQIVIFTFWTFANYLNMWITTCLNVFYFLKIASWKIDMVVHWILLGCFAISLLVSLIASKIPYFEPLTLFNLFAIVPFIVSLISFFLLVRSLWRHTKQIPSTEVHVRAIKTMTSFIFFFFLYYISSILMTFSYKLAVEFGEIAAILYPLGHSLILIVLNNKLRQTFVRMLTC</v>
      </c>
      <c r="C406" s="29" t="str">
        <f>IF(ISERROR(MATCH(A406,'SegEnds_Xtal_Prot#'!B:B, 0)), "NoXtal", "Xtal")</f>
        <v>NoXtal</v>
      </c>
      <c r="D406" s="4" t="str">
        <f>VLOOKUP(A406,Classification!A:D,2,FALSE)</f>
        <v>T</v>
      </c>
      <c r="E406" s="5" t="str">
        <f>VLOOKUP(A406,Seqs!A:B,2,FALSE)</f>
        <v>MFSPADNIFIILITGEFILGILGNGYIALVNWIDWIKKKKISTVDYILTNLVIARICLISVMVVNGIVIVLNPDVYTKNKQQIVIFTFWTFANYLNMWITTCLNVFYFLKIASSSHPLFLWLKWKIDMVVHWILLGCFAISLLVSLIAAIVLSCDYRFHAIAKHKRNITEMFHVSKIPYFEPLTLFNLFAIVPFIVSLISFFLLVRSLWRHTKQIKLYATGSRDPSTEVHVRAIKTMTSFIFFFFLYYISSILMTFSYLMTKYKLAVEFGEIAAILYPLGHSLILIVLNNKLRQTFVRMLTCRKIACMI</v>
      </c>
      <c r="F406" s="5" t="str">
        <f t="shared" si="151"/>
        <v>DNIFIILITGEFILGILGNGYIALVNWIDWI</v>
      </c>
      <c r="G406" s="4" t="str">
        <f t="shared" si="152"/>
        <v>KKKK</v>
      </c>
      <c r="H406" s="4" t="str">
        <f t="shared" si="153"/>
        <v>ISTVDYILTNLVIARICLISVMVVNGIVIVL</v>
      </c>
      <c r="I406" s="4" t="str">
        <f t="shared" si="154"/>
        <v/>
      </c>
      <c r="J406" s="4" t="str">
        <f t="shared" si="155"/>
        <v>VYTKNKQQIVIFTFWTFANYLNMWITTCLNVFYFLKIAS</v>
      </c>
      <c r="K406" s="4" t="str">
        <f t="shared" si="156"/>
        <v>HPLFLWLK</v>
      </c>
      <c r="L406" s="4" t="str">
        <f t="shared" si="157"/>
        <v>WKIDMVVHWILLGCFAISLLVSLIA</v>
      </c>
      <c r="M406" s="4" t="str">
        <f t="shared" si="158"/>
        <v/>
      </c>
      <c r="N406" s="4" t="str">
        <f t="shared" si="159"/>
        <v>SKIPYFEPLTLFNLFAIVPFIVSLISFFLLVRSLWRHTKQI</v>
      </c>
      <c r="O406" s="4" t="str">
        <f t="shared" si="160"/>
        <v>PSTEVHVRAIKTMTSFIFFFFLYYISSILMTFS</v>
      </c>
      <c r="P406" s="4" t="str">
        <f t="shared" si="161"/>
        <v>YKLAVEFGEIAAILYPLGHSLILIVL</v>
      </c>
      <c r="Q406" s="4" t="str">
        <f t="shared" si="162"/>
        <v>NNKLRQTFVRMLTC</v>
      </c>
      <c r="R406" s="5">
        <f>VLOOKUP($A406,'SegEnds_NonXtal_Prot#'!$A:$AL,3,FALSE)</f>
        <v>6</v>
      </c>
      <c r="S406" s="5">
        <f>VLOOKUP($A406,'SegEnds_NonXtal_Prot#'!$A:$AL,6,FALSE)</f>
        <v>37</v>
      </c>
      <c r="T406" s="5">
        <f>VLOOKUP($A406,'SegEnds_NonXtal_Prot#'!$A:$AL,9,FALSE)</f>
        <v>41</v>
      </c>
      <c r="U406" s="5" t="str">
        <f>VLOOKUP($A406,'SegEnds_NonXtal_Prot#'!$A:$AL,12,FALSE)</f>
        <v>-</v>
      </c>
      <c r="V406" s="5">
        <f>VLOOKUP($A406,'SegEnds_NonXtal_Prot#'!$A:$AL,15,FALSE)</f>
        <v>75</v>
      </c>
      <c r="W406" s="5">
        <f>VLOOKUP($A406,'SegEnds_NonXtal_Prot#'!$A:$AL,18,FALSE)</f>
        <v>116</v>
      </c>
      <c r="X406" s="5">
        <f>VLOOKUP($A406,'SegEnds_NonXtal_Prot#'!$A:$AL,21,FALSE)</f>
        <v>124</v>
      </c>
      <c r="Y406" s="5" t="str">
        <f>VLOOKUP($A406,'SegEnds_NonXtal_Prot#'!$A:$AL,24,FALSE)</f>
        <v>-</v>
      </c>
      <c r="Z406" s="5">
        <f>VLOOKUP($A406,'SegEnds_NonXtal_Prot#'!$A:$AL,27,FALSE)</f>
        <v>175</v>
      </c>
      <c r="AA406" s="5">
        <f>VLOOKUP($A406,'SegEnds_NonXtal_Prot#'!$A:$AL,30,FALSE)</f>
        <v>225</v>
      </c>
      <c r="AB406" s="5">
        <f>VLOOKUP($A406,'SegEnds_NonXtal_Prot#'!$A:$AL,33,FALSE)</f>
        <v>263</v>
      </c>
      <c r="AC406" s="5">
        <f>VLOOKUP($A406,'SegEnds_NonXtal_Prot#'!$A:$AL,36,FALSE)</f>
        <v>289</v>
      </c>
      <c r="AD406" s="5">
        <f>VLOOKUP($A406,'SegEnds_NonXtal_Prot#'!$A:$AL,5,FALSE)</f>
        <v>36</v>
      </c>
      <c r="AE406" s="5">
        <f>VLOOKUP($A406,'SegEnds_NonXtal_Prot#'!$A:$AL,8,FALSE)</f>
        <v>40</v>
      </c>
      <c r="AF406" s="5">
        <f>VLOOKUP($A406,'SegEnds_NonXtal_Prot#'!$A:$AL,11,FALSE)</f>
        <v>71</v>
      </c>
      <c r="AG406" s="5" t="str">
        <f>VLOOKUP($A406,'SegEnds_NonXtal_Prot#'!$A:$AL,14,FALSE)</f>
        <v>-</v>
      </c>
      <c r="AH406" s="5">
        <f>VLOOKUP($A406,'SegEnds_NonXtal_Prot#'!$A:$AL,17,FALSE)</f>
        <v>113</v>
      </c>
      <c r="AI406" s="5">
        <f>VLOOKUP($A406,'SegEnds_NonXtal_Prot#'!$A:$AL,20,FALSE)</f>
        <v>123</v>
      </c>
      <c r="AJ406" s="5">
        <f>VLOOKUP($A406,'SegEnds_NonXtal_Prot#'!$A:$AL,23,FALSE)</f>
        <v>148</v>
      </c>
      <c r="AK406" s="5" t="str">
        <f>VLOOKUP($A406,'SegEnds_NonXtal_Prot#'!$A:$AL,26,FALSE)</f>
        <v>-</v>
      </c>
      <c r="AL406" s="5">
        <f>VLOOKUP($A406,'SegEnds_NonXtal_Prot#'!$A:$AL,29,FALSE)</f>
        <v>215</v>
      </c>
      <c r="AM406" s="5">
        <f>VLOOKUP($A406,'SegEnds_NonXtal_Prot#'!$A:$AL,32,FALSE)</f>
        <v>257</v>
      </c>
      <c r="AN406" s="5">
        <f>VLOOKUP($A406,'SegEnds_NonXtal_Prot#'!$A:$AL,35,FALSE)</f>
        <v>288</v>
      </c>
      <c r="AO406" s="5">
        <f>VLOOKUP($A406,'SegEnds_NonXtal_Prot#'!$A:$AL,38,FALSE)</f>
        <v>302</v>
      </c>
      <c r="AP406" s="5">
        <f t="shared" si="163"/>
        <v>30</v>
      </c>
      <c r="AQ406" s="4">
        <f t="shared" si="164"/>
        <v>3</v>
      </c>
      <c r="AR406" s="4">
        <f t="shared" si="165"/>
        <v>30</v>
      </c>
      <c r="AS406" s="4" t="str">
        <f t="shared" si="166"/>
        <v>-</v>
      </c>
      <c r="AT406" s="4">
        <f t="shared" si="167"/>
        <v>38</v>
      </c>
      <c r="AU406" s="4">
        <f t="shared" si="168"/>
        <v>7</v>
      </c>
      <c r="AV406" s="4">
        <f t="shared" si="169"/>
        <v>24</v>
      </c>
      <c r="AW406" s="4" t="str">
        <f t="shared" si="170"/>
        <v>-</v>
      </c>
      <c r="AX406" s="4">
        <f t="shared" si="171"/>
        <v>40</v>
      </c>
      <c r="AY406" s="4">
        <f t="shared" si="172"/>
        <v>32</v>
      </c>
      <c r="AZ406" s="4">
        <f t="shared" si="173"/>
        <v>25</v>
      </c>
      <c r="BA406" s="4">
        <f t="shared" si="174"/>
        <v>13</v>
      </c>
    </row>
  </sheetData>
  <sortState ref="A2:BA408">
    <sortCondition descending="1" ref="C2:C408"/>
  </sortState>
  <customSheetViews>
    <customSheetView guid="{3E3401AF-8459-8641-BD70-AD04F80E86ED}" scale="135">
      <pane ySplit="1" topLeftCell="A2" activePane="bottomLeft" state="frozenSplit"/>
      <selection pane="bottomLeft" activeCell="B2" sqref="B2"/>
      <pageMargins left="0.7" right="0.7" top="0.75" bottom="0.75" header="0.3" footer="0.3"/>
      <pageSetup paperSize="9" orientation="portrait" horizontalDpi="0" verticalDpi="0"/>
    </customSheetView>
  </customSheetView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rgb="FFFF0000"/>
  </sheetPr>
  <dimension ref="A1:L434"/>
  <sheetViews>
    <sheetView topLeftCell="A374" workbookViewId="0">
      <selection activeCell="B396" sqref="B396"/>
    </sheetView>
  </sheetViews>
  <sheetFormatPr baseColWidth="10" defaultColWidth="10.83203125" defaultRowHeight="16" x14ac:dyDescent="0.2"/>
  <cols>
    <col min="1" max="1" width="15.1640625" style="1" bestFit="1" customWidth="1"/>
    <col min="2" max="2" width="12.83203125" style="1" bestFit="1" customWidth="1"/>
    <col min="3" max="3" width="14.6640625" style="1" bestFit="1" customWidth="1"/>
    <col min="4" max="4" width="10.83203125" style="28"/>
    <col min="5" max="5" width="10.83203125" style="49"/>
    <col min="6" max="6" width="16.1640625" style="15" bestFit="1" customWidth="1"/>
    <col min="7" max="7" width="8.33203125" style="15" customWidth="1"/>
    <col min="8" max="8" width="10.83203125" style="1"/>
    <col min="9" max="9" width="13.33203125" style="1" bestFit="1" customWidth="1"/>
    <col min="10" max="11" width="13.33203125" style="1" customWidth="1"/>
    <col min="12" max="12" width="13" style="1" customWidth="1"/>
    <col min="13" max="13" width="12.83203125" style="1" bestFit="1" customWidth="1"/>
    <col min="14" max="16384" width="10.83203125" style="1"/>
  </cols>
  <sheetData>
    <row r="1" spans="1:12" s="32" customFormat="1" x14ac:dyDescent="0.2">
      <c r="A1" s="32" t="s">
        <v>1158</v>
      </c>
      <c r="B1" s="32" t="s">
        <v>1116</v>
      </c>
      <c r="C1" s="32" t="s">
        <v>1411</v>
      </c>
      <c r="D1" s="33" t="s">
        <v>1228</v>
      </c>
      <c r="E1" s="32" t="s">
        <v>1412</v>
      </c>
      <c r="F1" s="32" t="s">
        <v>1413</v>
      </c>
      <c r="G1" s="85" t="s">
        <v>1374</v>
      </c>
      <c r="H1" s="32" t="s">
        <v>1507</v>
      </c>
    </row>
    <row r="2" spans="1:12" s="10" customFormat="1" x14ac:dyDescent="0.2">
      <c r="A2" s="3" t="s">
        <v>472</v>
      </c>
      <c r="B2" s="3" t="s">
        <v>336</v>
      </c>
      <c r="C2" t="s">
        <v>34</v>
      </c>
      <c r="D2" s="28" t="str">
        <f>VLOOKUP(A2,Classification!$A:$D,2,FALSE)</f>
        <v>T</v>
      </c>
      <c r="E2" s="49" t="str">
        <f>VLOOKUP(B2,Classification!$A:$D,2,FALSE)</f>
        <v>A</v>
      </c>
      <c r="F2" s="15" t="str">
        <f>VLOOKUP(C2,Classification!$A:$D,2,FALSE)</f>
        <v>A</v>
      </c>
      <c r="G2" s="15" t="b">
        <f>OR(D2=F2,AND(D2="T",F2="A"),AND(D2="B2",F2="B1"),D2="O")</f>
        <v>1</v>
      </c>
      <c r="H2" s="10" t="str">
        <f>IF(ISERROR(MATCH(A2,'SegEnds_Xtal_Prot#'!B:B, 0)), "NoXtal", "Xtal")</f>
        <v>NoXtal</v>
      </c>
      <c r="I2" s="1"/>
      <c r="J2" s="3"/>
      <c r="K2" s="3"/>
      <c r="L2" s="3"/>
    </row>
    <row r="3" spans="1:12" x14ac:dyDescent="0.2">
      <c r="A3" s="1" t="s">
        <v>457</v>
      </c>
      <c r="B3" s="1" t="s">
        <v>132</v>
      </c>
      <c r="C3" t="s">
        <v>35</v>
      </c>
      <c r="D3" s="28" t="str">
        <f>VLOOKUP(A3,Classification!$A:$D,2,FALSE)</f>
        <v>T</v>
      </c>
      <c r="E3" s="49" t="str">
        <f>VLOOKUP(B3,Classification!$A:$D,2,FALSE)</f>
        <v>A</v>
      </c>
      <c r="F3" s="15" t="str">
        <f>VLOOKUP(C3,Classification!$A:$D,2,FALSE)</f>
        <v>A</v>
      </c>
      <c r="G3" s="15" t="b">
        <f t="shared" ref="G3:G66" si="0">OR(D3=F3,AND(D3="T",F3="A"),AND(D3="B2",F3="B1"),D3="O")</f>
        <v>1</v>
      </c>
      <c r="H3" s="10" t="str">
        <f>IF(ISERROR(MATCH(A3,'SegEnds_Xtal_Prot#'!B:B, 0)), "NoXtal", "Xtal")</f>
        <v>NoXtal</v>
      </c>
      <c r="J3" s="3"/>
    </row>
    <row r="4" spans="1:12" x14ac:dyDescent="0.2">
      <c r="A4" s="1" t="s">
        <v>476</v>
      </c>
      <c r="B4" s="1" t="s">
        <v>34</v>
      </c>
      <c r="C4" t="s">
        <v>147</v>
      </c>
      <c r="D4" s="28" t="str">
        <f>VLOOKUP(A4,Classification!$A:$D,2,FALSE)</f>
        <v>T</v>
      </c>
      <c r="E4" s="49" t="str">
        <f>VLOOKUP(B4,Classification!$A:$D,2,FALSE)</f>
        <v>A</v>
      </c>
      <c r="F4" s="15" t="str">
        <f>VLOOKUP(C4,Classification!$A:$D,2,FALSE)</f>
        <v>A</v>
      </c>
      <c r="G4" s="15" t="b">
        <f t="shared" si="0"/>
        <v>1</v>
      </c>
      <c r="H4" s="10" t="str">
        <f>IF(ISERROR(MATCH(A4,'SegEnds_Xtal_Prot#'!B:B, 0)), "NoXtal", "Xtal")</f>
        <v>NoXtal</v>
      </c>
      <c r="J4" s="3"/>
    </row>
    <row r="5" spans="1:12" x14ac:dyDescent="0.2">
      <c r="A5" s="1" t="s">
        <v>465</v>
      </c>
      <c r="B5" s="1" t="s">
        <v>158</v>
      </c>
      <c r="C5" t="s">
        <v>910</v>
      </c>
      <c r="D5" s="28" t="str">
        <f>VLOOKUP(A5,Classification!$A:$D,2,FALSE)</f>
        <v>T</v>
      </c>
      <c r="E5" s="49" t="str">
        <f>VLOOKUP(B5,Classification!$A:$D,2,FALSE)</f>
        <v>A</v>
      </c>
      <c r="F5" s="15" t="str">
        <f>VLOOKUP(C5,Classification!$A:$D,2,FALSE)</f>
        <v>A</v>
      </c>
      <c r="G5" s="15" t="b">
        <f t="shared" si="0"/>
        <v>1</v>
      </c>
      <c r="H5" s="10" t="str">
        <f>IF(ISERROR(MATCH(A5,'SegEnds_Xtal_Prot#'!B:B, 0)), "NoXtal", "Xtal")</f>
        <v>NoXtal</v>
      </c>
      <c r="J5" s="3"/>
    </row>
    <row r="6" spans="1:12" x14ac:dyDescent="0.2">
      <c r="A6" s="1" t="s">
        <v>485</v>
      </c>
      <c r="B6" s="1" t="s">
        <v>139</v>
      </c>
      <c r="C6" t="s">
        <v>158</v>
      </c>
      <c r="D6" s="28" t="str">
        <f>VLOOKUP(A6,Classification!$A:$D,2,FALSE)</f>
        <v>O</v>
      </c>
      <c r="E6" s="49" t="str">
        <f>VLOOKUP(B6,Classification!$A:$D,2,FALSE)</f>
        <v>A</v>
      </c>
      <c r="F6" s="15" t="str">
        <f>VLOOKUP(C6,Classification!$A:$D,2,FALSE)</f>
        <v>A</v>
      </c>
      <c r="G6" s="15" t="b">
        <f t="shared" si="0"/>
        <v>1</v>
      </c>
      <c r="H6" s="10" t="str">
        <f>IF(ISERROR(MATCH(A6,'SegEnds_Xtal_Prot#'!B:B, 0)), "NoXtal", "Xtal")</f>
        <v>NoXtal</v>
      </c>
      <c r="J6" s="3"/>
    </row>
    <row r="7" spans="1:12" x14ac:dyDescent="0.2">
      <c r="A7" s="1" t="s">
        <v>460</v>
      </c>
      <c r="B7" s="1" t="s">
        <v>133</v>
      </c>
      <c r="C7" t="s">
        <v>158</v>
      </c>
      <c r="D7" s="28" t="str">
        <f>VLOOKUP(A7,Classification!$A:$D,2,FALSE)</f>
        <v>T</v>
      </c>
      <c r="E7" s="49" t="str">
        <f>VLOOKUP(B7,Classification!$A:$D,2,FALSE)</f>
        <v>A</v>
      </c>
      <c r="F7" s="15" t="str">
        <f>VLOOKUP(C7,Classification!$A:$D,2,FALSE)</f>
        <v>A</v>
      </c>
      <c r="G7" s="15" t="b">
        <f t="shared" si="0"/>
        <v>1</v>
      </c>
      <c r="H7" s="10" t="str">
        <f>IF(ISERROR(MATCH(A7,'SegEnds_Xtal_Prot#'!B:B, 0)), "NoXtal", "Xtal")</f>
        <v>NoXtal</v>
      </c>
      <c r="J7" s="3"/>
    </row>
    <row r="8" spans="1:12" x14ac:dyDescent="0.2">
      <c r="A8" s="1" t="s">
        <v>930</v>
      </c>
      <c r="B8" s="1" t="s">
        <v>133</v>
      </c>
      <c r="C8" t="s">
        <v>158</v>
      </c>
      <c r="D8" s="28" t="str">
        <f>VLOOKUP(A8,Classification!$A:$D,2,FALSE)</f>
        <v>T</v>
      </c>
      <c r="E8" s="49" t="str">
        <f>VLOOKUP(B8,Classification!$A:$D,2,FALSE)</f>
        <v>A</v>
      </c>
      <c r="F8" s="15" t="str">
        <f>VLOOKUP(C8,Classification!$A:$D,2,FALSE)</f>
        <v>A</v>
      </c>
      <c r="G8" s="15" t="b">
        <f t="shared" si="0"/>
        <v>1</v>
      </c>
      <c r="H8" s="10" t="str">
        <f>IF(ISERROR(MATCH(A8,'SegEnds_Xtal_Prot#'!B:B, 0)), "NoXtal", "Xtal")</f>
        <v>NoXtal</v>
      </c>
      <c r="J8" s="3"/>
    </row>
    <row r="9" spans="1:12" x14ac:dyDescent="0.2">
      <c r="A9" s="1" t="s">
        <v>471</v>
      </c>
      <c r="B9" s="1" t="s">
        <v>191</v>
      </c>
      <c r="C9" t="s">
        <v>158</v>
      </c>
      <c r="D9" s="28" t="str">
        <f>VLOOKUP(A9,Classification!$A:$D,2,FALSE)</f>
        <v>T</v>
      </c>
      <c r="E9" s="49" t="str">
        <f>VLOOKUP(B9,Classification!$A:$D,2,FALSE)</f>
        <v>A</v>
      </c>
      <c r="F9" s="15" t="str">
        <f>VLOOKUP(C9,Classification!$A:$D,2,FALSE)</f>
        <v>A</v>
      </c>
      <c r="G9" s="15" t="b">
        <f t="shared" si="0"/>
        <v>1</v>
      </c>
      <c r="H9" s="10" t="str">
        <f>IF(ISERROR(MATCH(A9,'SegEnds_Xtal_Prot#'!B:B, 0)), "NoXtal", "Xtal")</f>
        <v>NoXtal</v>
      </c>
      <c r="J9" s="3"/>
    </row>
    <row r="10" spans="1:12" x14ac:dyDescent="0.2">
      <c r="A10" s="1" t="s">
        <v>467</v>
      </c>
      <c r="B10" s="1" t="s">
        <v>191</v>
      </c>
      <c r="C10" t="s">
        <v>158</v>
      </c>
      <c r="D10" s="28" t="str">
        <f>VLOOKUP(A10,Classification!$A:$D,2,FALSE)</f>
        <v>T</v>
      </c>
      <c r="E10" s="49" t="str">
        <f>VLOOKUP(B10,Classification!$A:$D,2,FALSE)</f>
        <v>A</v>
      </c>
      <c r="F10" s="15" t="str">
        <f>VLOOKUP(C10,Classification!$A:$D,2,FALSE)</f>
        <v>A</v>
      </c>
      <c r="G10" s="15" t="b">
        <f t="shared" si="0"/>
        <v>1</v>
      </c>
      <c r="H10" s="10" t="str">
        <f>IF(ISERROR(MATCH(A10,'SegEnds_Xtal_Prot#'!B:B, 0)), "NoXtal", "Xtal")</f>
        <v>NoXtal</v>
      </c>
      <c r="J10" s="3"/>
    </row>
    <row r="11" spans="1:12" x14ac:dyDescent="0.2">
      <c r="A11" s="1" t="s">
        <v>479</v>
      </c>
      <c r="B11" s="1" t="s">
        <v>191</v>
      </c>
      <c r="C11" t="s">
        <v>158</v>
      </c>
      <c r="D11" s="28" t="str">
        <f>VLOOKUP(A11,Classification!$A:$D,2,FALSE)</f>
        <v>T</v>
      </c>
      <c r="E11" s="49" t="str">
        <f>VLOOKUP(B11,Classification!$A:$D,2,FALSE)</f>
        <v>A</v>
      </c>
      <c r="F11" s="15" t="str">
        <f>VLOOKUP(C11,Classification!$A:$D,2,FALSE)</f>
        <v>A</v>
      </c>
      <c r="G11" s="15" t="b">
        <f t="shared" si="0"/>
        <v>1</v>
      </c>
      <c r="H11" s="10" t="str">
        <f>IF(ISERROR(MATCH(A11,'SegEnds_Xtal_Prot#'!B:B, 0)), "NoXtal", "Xtal")</f>
        <v>NoXtal</v>
      </c>
      <c r="J11" s="3"/>
    </row>
    <row r="12" spans="1:12" x14ac:dyDescent="0.2">
      <c r="A12" s="1" t="s">
        <v>461</v>
      </c>
      <c r="B12" s="1" t="s">
        <v>133</v>
      </c>
      <c r="C12" t="s">
        <v>158</v>
      </c>
      <c r="D12" s="28" t="str">
        <f>VLOOKUP(A12,Classification!$A:$D,2,FALSE)</f>
        <v>T</v>
      </c>
      <c r="E12" s="49" t="str">
        <f>VLOOKUP(B12,Classification!$A:$D,2,FALSE)</f>
        <v>A</v>
      </c>
      <c r="F12" s="15" t="str">
        <f>VLOOKUP(C12,Classification!$A:$D,2,FALSE)</f>
        <v>A</v>
      </c>
      <c r="G12" s="15" t="b">
        <f t="shared" si="0"/>
        <v>1</v>
      </c>
      <c r="H12" s="10" t="str">
        <f>IF(ISERROR(MATCH(A12,'SegEnds_Xtal_Prot#'!B:B, 0)), "NoXtal", "Xtal")</f>
        <v>NoXtal</v>
      </c>
      <c r="J12" s="3"/>
    </row>
    <row r="13" spans="1:12" x14ac:dyDescent="0.2">
      <c r="A13" s="1" t="s">
        <v>463</v>
      </c>
      <c r="B13" s="1" t="s">
        <v>191</v>
      </c>
      <c r="C13" t="s">
        <v>158</v>
      </c>
      <c r="D13" s="28" t="str">
        <f>VLOOKUP(A13,Classification!$A:$D,2,FALSE)</f>
        <v>T</v>
      </c>
      <c r="E13" s="49" t="str">
        <f>VLOOKUP(B13,Classification!$A:$D,2,FALSE)</f>
        <v>A</v>
      </c>
      <c r="F13" s="15" t="str">
        <f>VLOOKUP(C13,Classification!$A:$D,2,FALSE)</f>
        <v>A</v>
      </c>
      <c r="G13" s="15" t="b">
        <f t="shared" si="0"/>
        <v>1</v>
      </c>
      <c r="H13" s="10" t="str">
        <f>IF(ISERROR(MATCH(A13,'SegEnds_Xtal_Prot#'!B:B, 0)), "NoXtal", "Xtal")</f>
        <v>NoXtal</v>
      </c>
      <c r="J13" s="3"/>
    </row>
    <row r="14" spans="1:12" x14ac:dyDescent="0.2">
      <c r="A14" s="1" t="s">
        <v>468</v>
      </c>
      <c r="B14" s="1" t="s">
        <v>278</v>
      </c>
      <c r="C14" t="s">
        <v>158</v>
      </c>
      <c r="D14" s="28" t="str">
        <f>VLOOKUP(A14,Classification!$A:$D,2,FALSE)</f>
        <v>T</v>
      </c>
      <c r="E14" s="49" t="str">
        <f>VLOOKUP(B14,Classification!$A:$D,2,FALSE)</f>
        <v>A</v>
      </c>
      <c r="F14" s="15" t="str">
        <f>VLOOKUP(C14,Classification!$A:$D,2,FALSE)</f>
        <v>A</v>
      </c>
      <c r="G14" s="15" t="b">
        <f t="shared" si="0"/>
        <v>1</v>
      </c>
      <c r="H14" s="10" t="str">
        <f>IF(ISERROR(MATCH(A14,'SegEnds_Xtal_Prot#'!B:B, 0)), "NoXtal", "Xtal")</f>
        <v>NoXtal</v>
      </c>
      <c r="J14" s="3"/>
    </row>
    <row r="15" spans="1:12" x14ac:dyDescent="0.2">
      <c r="A15" s="1" t="s">
        <v>469</v>
      </c>
      <c r="B15" s="1" t="s">
        <v>191</v>
      </c>
      <c r="C15" t="s">
        <v>158</v>
      </c>
      <c r="D15" s="28" t="str">
        <f>VLOOKUP(A15,Classification!$A:$D,2,FALSE)</f>
        <v>T</v>
      </c>
      <c r="E15" s="49" t="str">
        <f>VLOOKUP(B15,Classification!$A:$D,2,FALSE)</f>
        <v>A</v>
      </c>
      <c r="F15" s="15" t="str">
        <f>VLOOKUP(C15,Classification!$A:$D,2,FALSE)</f>
        <v>A</v>
      </c>
      <c r="G15" s="15" t="b">
        <f t="shared" si="0"/>
        <v>1</v>
      </c>
      <c r="H15" s="10" t="str">
        <f>IF(ISERROR(MATCH(A15,'SegEnds_Xtal_Prot#'!B:B, 0)), "NoXtal", "Xtal")</f>
        <v>NoXtal</v>
      </c>
      <c r="J15" s="3"/>
    </row>
    <row r="16" spans="1:12" x14ac:dyDescent="0.2">
      <c r="A16" s="1" t="s">
        <v>470</v>
      </c>
      <c r="B16" s="1" t="s">
        <v>133</v>
      </c>
      <c r="C16" t="s">
        <v>158</v>
      </c>
      <c r="D16" s="28" t="str">
        <f>VLOOKUP(A16,Classification!$A:$D,2,FALSE)</f>
        <v>T</v>
      </c>
      <c r="E16" s="49" t="str">
        <f>VLOOKUP(B16,Classification!$A:$D,2,FALSE)</f>
        <v>A</v>
      </c>
      <c r="F16" s="15" t="str">
        <f>VLOOKUP(C16,Classification!$A:$D,2,FALSE)</f>
        <v>A</v>
      </c>
      <c r="G16" s="15" t="b">
        <f t="shared" si="0"/>
        <v>1</v>
      </c>
      <c r="H16" s="10" t="str">
        <f>IF(ISERROR(MATCH(A16,'SegEnds_Xtal_Prot#'!B:B, 0)), "NoXtal", "Xtal")</f>
        <v>NoXtal</v>
      </c>
      <c r="J16" s="3"/>
    </row>
    <row r="17" spans="1:10" x14ac:dyDescent="0.2">
      <c r="A17" s="1" t="s">
        <v>480</v>
      </c>
      <c r="B17" s="1" t="s">
        <v>158</v>
      </c>
      <c r="C17" t="s">
        <v>158</v>
      </c>
      <c r="D17" s="28" t="str">
        <f>VLOOKUP(A17,Classification!$A:$D,2,FALSE)</f>
        <v>T</v>
      </c>
      <c r="E17" s="49" t="str">
        <f>VLOOKUP(B17,Classification!$A:$D,2,FALSE)</f>
        <v>A</v>
      </c>
      <c r="F17" s="15" t="str">
        <f>VLOOKUP(C17,Classification!$A:$D,2,FALSE)</f>
        <v>A</v>
      </c>
      <c r="G17" s="15" t="b">
        <f t="shared" si="0"/>
        <v>1</v>
      </c>
      <c r="H17" s="10" t="str">
        <f>IF(ISERROR(MATCH(A17,'SegEnds_Xtal_Prot#'!B:B, 0)), "NoXtal", "Xtal")</f>
        <v>NoXtal</v>
      </c>
      <c r="J17" s="3"/>
    </row>
    <row r="18" spans="1:10" x14ac:dyDescent="0.2">
      <c r="A18" s="1" t="s">
        <v>475</v>
      </c>
      <c r="B18" s="1" t="s">
        <v>158</v>
      </c>
      <c r="C18" t="s">
        <v>158</v>
      </c>
      <c r="D18" s="28" t="str">
        <f>VLOOKUP(A18,Classification!$A:$D,2,FALSE)</f>
        <v>T</v>
      </c>
      <c r="E18" s="49" t="str">
        <f>VLOOKUP(B18,Classification!$A:$D,2,FALSE)</f>
        <v>A</v>
      </c>
      <c r="F18" s="15" t="str">
        <f>VLOOKUP(C18,Classification!$A:$D,2,FALSE)</f>
        <v>A</v>
      </c>
      <c r="G18" s="15" t="b">
        <f t="shared" si="0"/>
        <v>1</v>
      </c>
      <c r="H18" s="10" t="str">
        <f>IF(ISERROR(MATCH(A18,'SegEnds_Xtal_Prot#'!B:B, 0)), "NoXtal", "Xtal")</f>
        <v>NoXtal</v>
      </c>
      <c r="J18" s="3"/>
    </row>
    <row r="19" spans="1:10" x14ac:dyDescent="0.2">
      <c r="A19" s="1" t="s">
        <v>478</v>
      </c>
      <c r="B19" s="1" t="s">
        <v>191</v>
      </c>
      <c r="C19" t="s">
        <v>158</v>
      </c>
      <c r="D19" s="28" t="str">
        <f>VLOOKUP(A19,Classification!$A:$D,2,FALSE)</f>
        <v>T</v>
      </c>
      <c r="E19" s="49" t="str">
        <f>VLOOKUP(B19,Classification!$A:$D,2,FALSE)</f>
        <v>A</v>
      </c>
      <c r="F19" s="15" t="str">
        <f>VLOOKUP(C19,Classification!$A:$D,2,FALSE)</f>
        <v>A</v>
      </c>
      <c r="G19" s="15" t="b">
        <f t="shared" si="0"/>
        <v>1</v>
      </c>
      <c r="H19" s="10" t="str">
        <f>IF(ISERROR(MATCH(A19,'SegEnds_Xtal_Prot#'!B:B, 0)), "NoXtal", "Xtal")</f>
        <v>NoXtal</v>
      </c>
      <c r="J19" s="3"/>
    </row>
    <row r="20" spans="1:10" x14ac:dyDescent="0.2">
      <c r="A20" s="1" t="s">
        <v>464</v>
      </c>
      <c r="B20" s="1" t="s">
        <v>158</v>
      </c>
      <c r="C20" t="s">
        <v>158</v>
      </c>
      <c r="D20" s="28" t="str">
        <f>VLOOKUP(A20,Classification!$A:$D,2,FALSE)</f>
        <v>T</v>
      </c>
      <c r="E20" s="49" t="str">
        <f>VLOOKUP(B20,Classification!$A:$D,2,FALSE)</f>
        <v>A</v>
      </c>
      <c r="F20" s="15" t="str">
        <f>VLOOKUP(C20,Classification!$A:$D,2,FALSE)</f>
        <v>A</v>
      </c>
      <c r="G20" s="15" t="b">
        <f t="shared" si="0"/>
        <v>1</v>
      </c>
      <c r="H20" s="10" t="str">
        <f>IF(ISERROR(MATCH(A20,'SegEnds_Xtal_Prot#'!B:B, 0)), "NoXtal", "Xtal")</f>
        <v>NoXtal</v>
      </c>
      <c r="J20" s="3"/>
    </row>
    <row r="21" spans="1:10" x14ac:dyDescent="0.2">
      <c r="A21" s="1" t="s">
        <v>462</v>
      </c>
      <c r="B21" s="1" t="s">
        <v>133</v>
      </c>
      <c r="C21" t="s">
        <v>158</v>
      </c>
      <c r="D21" s="28" t="str">
        <f>VLOOKUP(A21,Classification!$A:$D,2,FALSE)</f>
        <v>T</v>
      </c>
      <c r="E21" s="49" t="str">
        <f>VLOOKUP(B21,Classification!$A:$D,2,FALSE)</f>
        <v>A</v>
      </c>
      <c r="F21" s="15" t="str">
        <f>VLOOKUP(C21,Classification!$A:$D,2,FALSE)</f>
        <v>A</v>
      </c>
      <c r="G21" s="15" t="b">
        <f t="shared" si="0"/>
        <v>1</v>
      </c>
      <c r="H21" s="10" t="str">
        <f>IF(ISERROR(MATCH(A21,'SegEnds_Xtal_Prot#'!B:B, 0)), "NoXtal", "Xtal")</f>
        <v>NoXtal</v>
      </c>
      <c r="J21" s="3"/>
    </row>
    <row r="22" spans="1:10" x14ac:dyDescent="0.2">
      <c r="A22" s="1" t="s">
        <v>1187</v>
      </c>
      <c r="B22" s="1" t="s">
        <v>406</v>
      </c>
      <c r="C22" t="s">
        <v>38</v>
      </c>
      <c r="D22" s="28" t="str">
        <f>VLOOKUP(A22,Classification!$A:$D,2,FALSE)</f>
        <v>B2</v>
      </c>
      <c r="E22" s="49" t="str">
        <f>VLOOKUP(B22,Classification!$A:$D,2,FALSE)</f>
        <v>B1</v>
      </c>
      <c r="F22" s="15" t="str">
        <f>VLOOKUP(C22,Classification!$A:$D,2,FALSE)</f>
        <v>B1</v>
      </c>
      <c r="G22" s="15" t="b">
        <f t="shared" si="0"/>
        <v>1</v>
      </c>
      <c r="H22" s="10" t="str">
        <f>IF(ISERROR(MATCH(A22,'SegEnds_Xtal_Prot#'!B:B, 0)), "NoXtal", "Xtal")</f>
        <v>NoXtal</v>
      </c>
      <c r="J22" s="3"/>
    </row>
    <row r="23" spans="1:10" x14ac:dyDescent="0.2">
      <c r="A23" s="1" t="s">
        <v>1197</v>
      </c>
      <c r="B23" s="1" t="s">
        <v>409</v>
      </c>
      <c r="C23" t="s">
        <v>38</v>
      </c>
      <c r="D23" s="28" t="str">
        <f>VLOOKUP(A23,Classification!$A:$D,2,FALSE)</f>
        <v>B2</v>
      </c>
      <c r="E23" s="49" t="str">
        <f>VLOOKUP(B23,Classification!$A:$D,2,FALSE)</f>
        <v>B1</v>
      </c>
      <c r="F23" s="15" t="str">
        <f>VLOOKUP(C23,Classification!$A:$D,2,FALSE)</f>
        <v>B1</v>
      </c>
      <c r="G23" s="15" t="b">
        <f t="shared" si="0"/>
        <v>1</v>
      </c>
      <c r="H23" s="10" t="str">
        <f>IF(ISERROR(MATCH(A23,'SegEnds_Xtal_Prot#'!B:B, 0)), "NoXtal", "Xtal")</f>
        <v>NoXtal</v>
      </c>
      <c r="J23" s="3"/>
    </row>
    <row r="24" spans="1:10" x14ac:dyDescent="0.2">
      <c r="A24" s="1" t="s">
        <v>1202</v>
      </c>
      <c r="B24" s="1" t="s">
        <v>38</v>
      </c>
      <c r="C24" t="s">
        <v>38</v>
      </c>
      <c r="D24" s="28" t="str">
        <f>VLOOKUP(A24,Classification!$A:$D,2,FALSE)</f>
        <v>B2</v>
      </c>
      <c r="E24" s="49" t="str">
        <f>VLOOKUP(B24,Classification!$A:$D,2,FALSE)</f>
        <v>B1</v>
      </c>
      <c r="F24" s="15" t="str">
        <f>VLOOKUP(C24,Classification!$A:$D,2,FALSE)</f>
        <v>B1</v>
      </c>
      <c r="G24" s="15" t="b">
        <f t="shared" si="0"/>
        <v>1</v>
      </c>
      <c r="H24" s="10" t="str">
        <f>IF(ISERROR(MATCH(A24,'SegEnds_Xtal_Prot#'!B:B, 0)), "NoXtal", "Xtal")</f>
        <v>NoXtal</v>
      </c>
      <c r="J24" s="3"/>
    </row>
    <row r="25" spans="1:10" x14ac:dyDescent="0.2">
      <c r="A25" s="1" t="s">
        <v>1195</v>
      </c>
      <c r="B25" s="1" t="s">
        <v>409</v>
      </c>
      <c r="C25" t="s">
        <v>38</v>
      </c>
      <c r="D25" s="28" t="str">
        <f>VLOOKUP(A25,Classification!$A:$D,2,FALSE)</f>
        <v>B2</v>
      </c>
      <c r="E25" s="49" t="str">
        <f>VLOOKUP(B25,Classification!$A:$D,2,FALSE)</f>
        <v>B1</v>
      </c>
      <c r="F25" s="15" t="str">
        <f>VLOOKUP(C25,Classification!$A:$D,2,FALSE)</f>
        <v>B1</v>
      </c>
      <c r="G25" s="15" t="b">
        <f t="shared" si="0"/>
        <v>1</v>
      </c>
      <c r="H25" s="10" t="str">
        <f>IF(ISERROR(MATCH(A25,'SegEnds_Xtal_Prot#'!B:B, 0)), "NoXtal", "Xtal")</f>
        <v>NoXtal</v>
      </c>
      <c r="J25" s="3"/>
    </row>
    <row r="26" spans="1:10" x14ac:dyDescent="0.2">
      <c r="A26" s="1" t="s">
        <v>1193</v>
      </c>
      <c r="B26" s="1" t="s">
        <v>38</v>
      </c>
      <c r="C26" t="s">
        <v>38</v>
      </c>
      <c r="D26" s="28" t="str">
        <f>VLOOKUP(A26,Classification!$A:$D,2,FALSE)</f>
        <v>B2</v>
      </c>
      <c r="E26" s="49" t="str">
        <f>VLOOKUP(B26,Classification!$A:$D,2,FALSE)</f>
        <v>B1</v>
      </c>
      <c r="F26" s="15" t="str">
        <f>VLOOKUP(C26,Classification!$A:$D,2,FALSE)</f>
        <v>B1</v>
      </c>
      <c r="G26" s="15" t="b">
        <f t="shared" si="0"/>
        <v>1</v>
      </c>
      <c r="H26" s="10" t="str">
        <f>IF(ISERROR(MATCH(A26,'SegEnds_Xtal_Prot#'!B:B, 0)), "NoXtal", "Xtal")</f>
        <v>NoXtal</v>
      </c>
      <c r="J26" s="3"/>
    </row>
    <row r="27" spans="1:10" x14ac:dyDescent="0.2">
      <c r="A27" s="1" t="s">
        <v>1184</v>
      </c>
      <c r="B27" s="1" t="s">
        <v>409</v>
      </c>
      <c r="C27" t="s">
        <v>38</v>
      </c>
      <c r="D27" s="28" t="str">
        <f>VLOOKUP(A27,Classification!$A:$D,2,FALSE)</f>
        <v>B2</v>
      </c>
      <c r="E27" s="49" t="str">
        <f>VLOOKUP(B27,Classification!$A:$D,2,FALSE)</f>
        <v>B1</v>
      </c>
      <c r="F27" s="15" t="str">
        <f>VLOOKUP(C27,Classification!$A:$D,2,FALSE)</f>
        <v>B1</v>
      </c>
      <c r="G27" s="15" t="b">
        <f t="shared" si="0"/>
        <v>1</v>
      </c>
      <c r="H27" s="10" t="str">
        <f>IF(ISERROR(MATCH(A27,'SegEnds_Xtal_Prot#'!B:B, 0)), "NoXtal", "Xtal")</f>
        <v>NoXtal</v>
      </c>
      <c r="J27" s="3"/>
    </row>
    <row r="28" spans="1:10" x14ac:dyDescent="0.2">
      <c r="A28" s="1" t="s">
        <v>1191</v>
      </c>
      <c r="B28" s="1" t="s">
        <v>38</v>
      </c>
      <c r="C28" t="s">
        <v>38</v>
      </c>
      <c r="D28" s="28" t="str">
        <f>VLOOKUP(A28,Classification!$A:$D,2,FALSE)</f>
        <v>B2</v>
      </c>
      <c r="E28" s="49" t="str">
        <f>VLOOKUP(B28,Classification!$A:$D,2,FALSE)</f>
        <v>B1</v>
      </c>
      <c r="F28" s="15" t="str">
        <f>VLOOKUP(C28,Classification!$A:$D,2,FALSE)</f>
        <v>B1</v>
      </c>
      <c r="G28" s="15" t="b">
        <f t="shared" si="0"/>
        <v>1</v>
      </c>
      <c r="H28" s="10" t="str">
        <f>IF(ISERROR(MATCH(A28,'SegEnds_Xtal_Prot#'!B:B, 0)), "NoXtal", "Xtal")</f>
        <v>NoXtal</v>
      </c>
      <c r="J28" s="3"/>
    </row>
    <row r="29" spans="1:10" x14ac:dyDescent="0.2">
      <c r="A29" s="1" t="s">
        <v>1185</v>
      </c>
      <c r="B29" s="1" t="s">
        <v>406</v>
      </c>
      <c r="C29" t="s">
        <v>38</v>
      </c>
      <c r="D29" s="28" t="str">
        <f>VLOOKUP(A29,Classification!$A:$D,2,FALSE)</f>
        <v>B2</v>
      </c>
      <c r="E29" s="49" t="str">
        <f>VLOOKUP(B29,Classification!$A:$D,2,FALSE)</f>
        <v>B1</v>
      </c>
      <c r="F29" s="15" t="str">
        <f>VLOOKUP(C29,Classification!$A:$D,2,FALSE)</f>
        <v>B1</v>
      </c>
      <c r="G29" s="15" t="b">
        <f t="shared" si="0"/>
        <v>1</v>
      </c>
      <c r="H29" s="10" t="str">
        <f>IF(ISERROR(MATCH(A29,'SegEnds_Xtal_Prot#'!B:B, 0)), "NoXtal", "Xtal")</f>
        <v>NoXtal</v>
      </c>
      <c r="J29" s="3"/>
    </row>
    <row r="30" spans="1:10" x14ac:dyDescent="0.2">
      <c r="A30" s="1" t="s">
        <v>1186</v>
      </c>
      <c r="B30" s="1" t="s">
        <v>409</v>
      </c>
      <c r="C30" t="s">
        <v>38</v>
      </c>
      <c r="D30" s="28" t="str">
        <f>VLOOKUP(A30,Classification!$A:$D,2,FALSE)</f>
        <v>B2</v>
      </c>
      <c r="E30" s="49" t="str">
        <f>VLOOKUP(B30,Classification!$A:$D,2,FALSE)</f>
        <v>B1</v>
      </c>
      <c r="F30" s="15" t="str">
        <f>VLOOKUP(C30,Classification!$A:$D,2,FALSE)</f>
        <v>B1</v>
      </c>
      <c r="G30" s="15" t="b">
        <f t="shared" si="0"/>
        <v>1</v>
      </c>
      <c r="H30" s="10" t="str">
        <f>IF(ISERROR(MATCH(A30,'SegEnds_Xtal_Prot#'!B:B, 0)), "NoXtal", "Xtal")</f>
        <v>NoXtal</v>
      </c>
      <c r="J30" s="3"/>
    </row>
    <row r="31" spans="1:10" x14ac:dyDescent="0.2">
      <c r="A31" s="1" t="s">
        <v>1190</v>
      </c>
      <c r="B31" s="1" t="s">
        <v>402</v>
      </c>
      <c r="C31" t="s">
        <v>38</v>
      </c>
      <c r="D31" s="28" t="str">
        <f>VLOOKUP(A31,Classification!$A:$D,2,FALSE)</f>
        <v>B2</v>
      </c>
      <c r="E31" s="49" t="str">
        <f>VLOOKUP(B31,Classification!$A:$D,2,FALSE)</f>
        <v>B1</v>
      </c>
      <c r="F31" s="15" t="str">
        <f>VLOOKUP(C31,Classification!$A:$D,2,FALSE)</f>
        <v>B1</v>
      </c>
      <c r="G31" s="15" t="b">
        <f t="shared" si="0"/>
        <v>1</v>
      </c>
      <c r="H31" s="10" t="str">
        <f>IF(ISERROR(MATCH(A31,'SegEnds_Xtal_Prot#'!B:B, 0)), "NoXtal", "Xtal")</f>
        <v>NoXtal</v>
      </c>
      <c r="J31" s="3"/>
    </row>
    <row r="32" spans="1:10" x14ac:dyDescent="0.2">
      <c r="A32" s="1" t="s">
        <v>1183</v>
      </c>
      <c r="B32" s="1" t="s">
        <v>38</v>
      </c>
      <c r="C32" t="s">
        <v>38</v>
      </c>
      <c r="D32" s="28" t="str">
        <f>VLOOKUP(A32,Classification!$A:$D,2,FALSE)</f>
        <v>B2</v>
      </c>
      <c r="E32" s="49" t="str">
        <f>VLOOKUP(B32,Classification!$A:$D,2,FALSE)</f>
        <v>B1</v>
      </c>
      <c r="F32" s="15" t="str">
        <f>VLOOKUP(C32,Classification!$A:$D,2,FALSE)</f>
        <v>B1</v>
      </c>
      <c r="G32" s="15" t="b">
        <f t="shared" si="0"/>
        <v>1</v>
      </c>
      <c r="H32" s="10" t="str">
        <f>IF(ISERROR(MATCH(A32,'SegEnds_Xtal_Prot#'!B:B, 0)), "NoXtal", "Xtal")</f>
        <v>NoXtal</v>
      </c>
      <c r="J32" s="3"/>
    </row>
    <row r="33" spans="1:10" x14ac:dyDescent="0.2">
      <c r="A33" s="1" t="s">
        <v>1182</v>
      </c>
      <c r="B33" s="1" t="s">
        <v>38</v>
      </c>
      <c r="C33" t="s">
        <v>38</v>
      </c>
      <c r="D33" s="28" t="str">
        <f>VLOOKUP(A33,Classification!$A:$D,2,FALSE)</f>
        <v>B2</v>
      </c>
      <c r="E33" s="49" t="str">
        <f>VLOOKUP(B33,Classification!$A:$D,2,FALSE)</f>
        <v>B1</v>
      </c>
      <c r="F33" s="15" t="str">
        <f>VLOOKUP(C33,Classification!$A:$D,2,FALSE)</f>
        <v>B1</v>
      </c>
      <c r="G33" s="15" t="b">
        <f t="shared" si="0"/>
        <v>1</v>
      </c>
      <c r="H33" s="10" t="str">
        <f>IF(ISERROR(MATCH(A33,'SegEnds_Xtal_Prot#'!B:B, 0)), "NoXtal", "Xtal")</f>
        <v>NoXtal</v>
      </c>
      <c r="J33" s="3"/>
    </row>
    <row r="34" spans="1:10" x14ac:dyDescent="0.2">
      <c r="A34" s="1" t="s">
        <v>1188</v>
      </c>
      <c r="B34" s="1" t="s">
        <v>409</v>
      </c>
      <c r="C34" t="s">
        <v>38</v>
      </c>
      <c r="D34" s="28" t="str">
        <f>VLOOKUP(A34,Classification!$A:$D,2,FALSE)</f>
        <v>B2</v>
      </c>
      <c r="E34" s="49" t="str">
        <f>VLOOKUP(B34,Classification!$A:$D,2,FALSE)</f>
        <v>B1</v>
      </c>
      <c r="F34" s="15" t="str">
        <f>VLOOKUP(C34,Classification!$A:$D,2,FALSE)</f>
        <v>B1</v>
      </c>
      <c r="G34" s="15" t="b">
        <f t="shared" si="0"/>
        <v>1</v>
      </c>
      <c r="H34" s="10" t="str">
        <f>IF(ISERROR(MATCH(A34,'SegEnds_Xtal_Prot#'!B:B, 0)), "NoXtal", "Xtal")</f>
        <v>NoXtal</v>
      </c>
      <c r="J34" s="3"/>
    </row>
    <row r="35" spans="1:10" x14ac:dyDescent="0.2">
      <c r="A35" s="1" t="s">
        <v>1198</v>
      </c>
      <c r="B35" s="1" t="s">
        <v>409</v>
      </c>
      <c r="C35" t="s">
        <v>38</v>
      </c>
      <c r="D35" s="28" t="str">
        <f>VLOOKUP(A35,Classification!$A:$D,2,FALSE)</f>
        <v>B2</v>
      </c>
      <c r="E35" s="49" t="str">
        <f>VLOOKUP(B35,Classification!$A:$D,2,FALSE)</f>
        <v>B1</v>
      </c>
      <c r="F35" s="15" t="str">
        <f>VLOOKUP(C35,Classification!$A:$D,2,FALSE)</f>
        <v>B1</v>
      </c>
      <c r="G35" s="15" t="b">
        <f t="shared" si="0"/>
        <v>1</v>
      </c>
      <c r="H35" s="10" t="str">
        <f>IF(ISERROR(MATCH(A35,'SegEnds_Xtal_Prot#'!B:B, 0)), "NoXtal", "Xtal")</f>
        <v>NoXtal</v>
      </c>
      <c r="J35" s="3"/>
    </row>
    <row r="36" spans="1:10" x14ac:dyDescent="0.2">
      <c r="A36" s="1" t="s">
        <v>1192</v>
      </c>
      <c r="B36" s="1" t="s">
        <v>38</v>
      </c>
      <c r="C36" t="s">
        <v>38</v>
      </c>
      <c r="D36" s="28" t="str">
        <f>VLOOKUP(A36,Classification!$A:$D,2,FALSE)</f>
        <v>B2</v>
      </c>
      <c r="E36" s="49" t="str">
        <f>VLOOKUP(B36,Classification!$A:$D,2,FALSE)</f>
        <v>B1</v>
      </c>
      <c r="F36" s="15" t="str">
        <f>VLOOKUP(C36,Classification!$A:$D,2,FALSE)</f>
        <v>B1</v>
      </c>
      <c r="G36" s="15" t="b">
        <f t="shared" si="0"/>
        <v>1</v>
      </c>
      <c r="H36" s="10" t="str">
        <f>IF(ISERROR(MATCH(A36,'SegEnds_Xtal_Prot#'!B:B, 0)), "NoXtal", "Xtal")</f>
        <v>NoXtal</v>
      </c>
      <c r="J36" s="3"/>
    </row>
    <row r="37" spans="1:10" x14ac:dyDescent="0.2">
      <c r="A37" s="1" t="s">
        <v>1196</v>
      </c>
      <c r="B37" s="1" t="s">
        <v>409</v>
      </c>
      <c r="C37" t="s">
        <v>38</v>
      </c>
      <c r="D37" s="28" t="str">
        <f>VLOOKUP(A37,Classification!$A:$D,2,FALSE)</f>
        <v>B2</v>
      </c>
      <c r="E37" s="49" t="str">
        <f>VLOOKUP(B37,Classification!$A:$D,2,FALSE)</f>
        <v>B1</v>
      </c>
      <c r="F37" s="15" t="str">
        <f>VLOOKUP(C37,Classification!$A:$D,2,FALSE)</f>
        <v>B1</v>
      </c>
      <c r="G37" s="15" t="b">
        <f t="shared" si="0"/>
        <v>1</v>
      </c>
      <c r="H37" s="10" t="str">
        <f>IF(ISERROR(MATCH(A37,'SegEnds_Xtal_Prot#'!B:B, 0)), "NoXtal", "Xtal")</f>
        <v>NoXtal</v>
      </c>
      <c r="J37" s="3"/>
    </row>
    <row r="38" spans="1:10" x14ac:dyDescent="0.2">
      <c r="A38" s="1" t="s">
        <v>1422</v>
      </c>
      <c r="B38" s="1" t="s">
        <v>38</v>
      </c>
      <c r="C38" t="s">
        <v>38</v>
      </c>
      <c r="D38" s="28" t="str">
        <f>VLOOKUP(A38,Classification!$A:$D,2,FALSE)</f>
        <v>B2</v>
      </c>
      <c r="E38" s="49" t="str">
        <f>VLOOKUP(B38,Classification!$A:$D,2,FALSE)</f>
        <v>B1</v>
      </c>
      <c r="F38" s="15" t="str">
        <f>VLOOKUP(C38,Classification!$A:$D,2,FALSE)</f>
        <v>B1</v>
      </c>
      <c r="G38" s="15" t="b">
        <f t="shared" si="0"/>
        <v>1</v>
      </c>
      <c r="H38" s="10" t="str">
        <f>IF(ISERROR(MATCH(A38,'SegEnds_Xtal_Prot#'!B:B, 0)), "NoXtal", "Xtal")</f>
        <v>NoXtal</v>
      </c>
      <c r="J38" s="3"/>
    </row>
    <row r="39" spans="1:10" x14ac:dyDescent="0.2">
      <c r="A39" s="1" t="s">
        <v>1194</v>
      </c>
      <c r="B39" s="1" t="s">
        <v>409</v>
      </c>
      <c r="C39" t="s">
        <v>38</v>
      </c>
      <c r="D39" s="28" t="str">
        <f>VLOOKUP(A39,Classification!$A:$D,2,FALSE)</f>
        <v>B2</v>
      </c>
      <c r="E39" s="49" t="str">
        <f>VLOOKUP(B39,Classification!$A:$D,2,FALSE)</f>
        <v>B1</v>
      </c>
      <c r="F39" s="15" t="str">
        <f>VLOOKUP(C39,Classification!$A:$D,2,FALSE)</f>
        <v>B1</v>
      </c>
      <c r="G39" s="15" t="b">
        <f t="shared" si="0"/>
        <v>1</v>
      </c>
      <c r="H39" s="10" t="str">
        <f>IF(ISERROR(MATCH(A39,'SegEnds_Xtal_Prot#'!B:B, 0)), "NoXtal", "Xtal")</f>
        <v>NoXtal</v>
      </c>
      <c r="J39" s="3"/>
    </row>
    <row r="40" spans="1:10" x14ac:dyDescent="0.2">
      <c r="A40" s="1" t="s">
        <v>442</v>
      </c>
      <c r="B40" s="1" t="s">
        <v>38</v>
      </c>
      <c r="C40" t="s">
        <v>38</v>
      </c>
      <c r="D40" s="28" t="str">
        <f>VLOOKUP(A40,Classification!$A:$D,2,FALSE)</f>
        <v>B2</v>
      </c>
      <c r="E40" s="49" t="str">
        <f>VLOOKUP(B40,Classification!$A:$D,2,FALSE)</f>
        <v>B1</v>
      </c>
      <c r="F40" s="15" t="str">
        <f>VLOOKUP(C40,Classification!$A:$D,2,FALSE)</f>
        <v>B1</v>
      </c>
      <c r="G40" s="15" t="b">
        <f t="shared" si="0"/>
        <v>1</v>
      </c>
      <c r="H40" s="10" t="str">
        <f>IF(ISERROR(MATCH(A40,'SegEnds_Xtal_Prot#'!B:B, 0)), "NoXtal", "Xtal")</f>
        <v>NoXtal</v>
      </c>
      <c r="J40" s="3"/>
    </row>
    <row r="41" spans="1:10" x14ac:dyDescent="0.2">
      <c r="A41" s="1" t="s">
        <v>1177</v>
      </c>
      <c r="B41" s="1" t="s">
        <v>38</v>
      </c>
      <c r="C41" t="s">
        <v>38</v>
      </c>
      <c r="D41" s="28" t="str">
        <f>VLOOKUP(A41,Classification!$A:$D,2,FALSE)</f>
        <v>B2</v>
      </c>
      <c r="E41" s="49" t="str">
        <f>VLOOKUP(B41,Classification!$A:$D,2,FALSE)</f>
        <v>B1</v>
      </c>
      <c r="F41" s="15" t="str">
        <f>VLOOKUP(C41,Classification!$A:$D,2,FALSE)</f>
        <v>B1</v>
      </c>
      <c r="G41" s="15" t="b">
        <f t="shared" si="0"/>
        <v>1</v>
      </c>
      <c r="H41" s="10" t="str">
        <f>IF(ISERROR(MATCH(A41,'SegEnds_Xtal_Prot#'!B:B, 0)), "NoXtal", "Xtal")</f>
        <v>NoXtal</v>
      </c>
      <c r="J41" s="3"/>
    </row>
    <row r="42" spans="1:10" x14ac:dyDescent="0.2">
      <c r="A42" s="1" t="s">
        <v>1178</v>
      </c>
      <c r="B42" s="1" t="s">
        <v>38</v>
      </c>
      <c r="C42" t="s">
        <v>38</v>
      </c>
      <c r="D42" s="28" t="str">
        <f>VLOOKUP(A42,Classification!$A:$D,2,FALSE)</f>
        <v>B2</v>
      </c>
      <c r="E42" s="49" t="str">
        <f>VLOOKUP(B42,Classification!$A:$D,2,FALSE)</f>
        <v>B1</v>
      </c>
      <c r="F42" s="15" t="str">
        <f>VLOOKUP(C42,Classification!$A:$D,2,FALSE)</f>
        <v>B1</v>
      </c>
      <c r="G42" s="15" t="b">
        <f t="shared" si="0"/>
        <v>1</v>
      </c>
      <c r="H42" s="10" t="str">
        <f>IF(ISERROR(MATCH(A42,'SegEnds_Xtal_Prot#'!B:B, 0)), "NoXtal", "Xtal")</f>
        <v>NoXtal</v>
      </c>
      <c r="J42" s="3"/>
    </row>
    <row r="43" spans="1:10" x14ac:dyDescent="0.2">
      <c r="A43" s="1" t="s">
        <v>1179</v>
      </c>
      <c r="B43" s="1" t="s">
        <v>38</v>
      </c>
      <c r="C43" t="s">
        <v>38</v>
      </c>
      <c r="D43" s="28" t="str">
        <f>VLOOKUP(A43,Classification!$A:$D,2,FALSE)</f>
        <v>B2</v>
      </c>
      <c r="E43" s="49" t="str">
        <f>VLOOKUP(B43,Classification!$A:$D,2,FALSE)</f>
        <v>B1</v>
      </c>
      <c r="F43" s="15" t="str">
        <f>VLOOKUP(C43,Classification!$A:$D,2,FALSE)</f>
        <v>B1</v>
      </c>
      <c r="G43" s="15" t="b">
        <f t="shared" si="0"/>
        <v>1</v>
      </c>
      <c r="H43" s="10" t="str">
        <f>IF(ISERROR(MATCH(A43,'SegEnds_Xtal_Prot#'!B:B, 0)), "NoXtal", "Xtal")</f>
        <v>NoXtal</v>
      </c>
      <c r="J43" s="3"/>
    </row>
    <row r="44" spans="1:10" x14ac:dyDescent="0.2">
      <c r="A44" s="1" t="s">
        <v>418</v>
      </c>
      <c r="B44" s="1" t="s">
        <v>409</v>
      </c>
      <c r="C44" t="s">
        <v>38</v>
      </c>
      <c r="D44" s="28" t="str">
        <f>VLOOKUP(A44,Classification!$A:$D,2,FALSE)</f>
        <v>B2</v>
      </c>
      <c r="E44" s="49" t="str">
        <f>VLOOKUP(B44,Classification!$A:$D,2,FALSE)</f>
        <v>B1</v>
      </c>
      <c r="F44" s="15" t="str">
        <f>VLOOKUP(C44,Classification!$A:$D,2,FALSE)</f>
        <v>B1</v>
      </c>
      <c r="G44" s="15" t="b">
        <f t="shared" si="0"/>
        <v>1</v>
      </c>
      <c r="H44" s="10" t="str">
        <f>IF(ISERROR(MATCH(A44,'SegEnds_Xtal_Prot#'!B:B, 0)), "NoXtal", "Xtal")</f>
        <v>NoXtal</v>
      </c>
      <c r="J44" s="3"/>
    </row>
    <row r="45" spans="1:10" x14ac:dyDescent="0.2">
      <c r="A45" s="1" t="s">
        <v>419</v>
      </c>
      <c r="B45" s="1" t="s">
        <v>402</v>
      </c>
      <c r="C45" t="s">
        <v>38</v>
      </c>
      <c r="D45" s="28" t="str">
        <f>VLOOKUP(A45,Classification!$A:$D,2,FALSE)</f>
        <v>B2</v>
      </c>
      <c r="E45" s="49" t="str">
        <f>VLOOKUP(B45,Classification!$A:$D,2,FALSE)</f>
        <v>B1</v>
      </c>
      <c r="F45" s="15" t="str">
        <f>VLOOKUP(C45,Classification!$A:$D,2,FALSE)</f>
        <v>B1</v>
      </c>
      <c r="G45" s="15" t="b">
        <f t="shared" si="0"/>
        <v>1</v>
      </c>
      <c r="H45" s="10" t="str">
        <f>IF(ISERROR(MATCH(A45,'SegEnds_Xtal_Prot#'!B:B, 0)), "NoXtal", "Xtal")</f>
        <v>NoXtal</v>
      </c>
      <c r="J45" s="3"/>
    </row>
    <row r="46" spans="1:10" x14ac:dyDescent="0.2">
      <c r="A46" s="1" t="s">
        <v>1201</v>
      </c>
      <c r="B46" s="1" t="s">
        <v>38</v>
      </c>
      <c r="C46" t="s">
        <v>38</v>
      </c>
      <c r="D46" s="28" t="str">
        <f>VLOOKUP(A46,Classification!$A:$D,2,FALSE)</f>
        <v>B2</v>
      </c>
      <c r="E46" s="49" t="str">
        <f>VLOOKUP(B46,Classification!$A:$D,2,FALSE)</f>
        <v>B1</v>
      </c>
      <c r="F46" s="15" t="str">
        <f>VLOOKUP(C46,Classification!$A:$D,2,FALSE)</f>
        <v>B1</v>
      </c>
      <c r="G46" s="15" t="b">
        <f t="shared" si="0"/>
        <v>1</v>
      </c>
      <c r="H46" s="10" t="str">
        <f>IF(ISERROR(MATCH(A46,'SegEnds_Xtal_Prot#'!B:B, 0)), "NoXtal", "Xtal")</f>
        <v>NoXtal</v>
      </c>
      <c r="J46" s="3"/>
    </row>
    <row r="47" spans="1:10" x14ac:dyDescent="0.2">
      <c r="A47" s="1" t="s">
        <v>1200</v>
      </c>
      <c r="B47" s="1" t="s">
        <v>401</v>
      </c>
      <c r="C47" t="s">
        <v>38</v>
      </c>
      <c r="D47" s="28" t="str">
        <f>VLOOKUP(A47,Classification!$A:$D,2,FALSE)</f>
        <v>B2</v>
      </c>
      <c r="E47" s="49" t="str">
        <f>VLOOKUP(B47,Classification!$A:$D,2,FALSE)</f>
        <v>B1</v>
      </c>
      <c r="F47" s="15" t="str">
        <f>VLOOKUP(C47,Classification!$A:$D,2,FALSE)</f>
        <v>B1</v>
      </c>
      <c r="G47" s="15" t="b">
        <f t="shared" si="0"/>
        <v>1</v>
      </c>
      <c r="H47" s="10" t="str">
        <f>IF(ISERROR(MATCH(A47,'SegEnds_Xtal_Prot#'!B:B, 0)), "NoXtal", "Xtal")</f>
        <v>NoXtal</v>
      </c>
      <c r="J47" s="3"/>
    </row>
    <row r="48" spans="1:10" x14ac:dyDescent="0.2">
      <c r="A48" s="1" t="s">
        <v>1181</v>
      </c>
      <c r="B48" s="1" t="s">
        <v>38</v>
      </c>
      <c r="C48" t="s">
        <v>38</v>
      </c>
      <c r="D48" s="28" t="str">
        <f>VLOOKUP(A48,Classification!$A:$D,2,FALSE)</f>
        <v>B2</v>
      </c>
      <c r="E48" s="49" t="str">
        <f>VLOOKUP(B48,Classification!$A:$D,2,FALSE)</f>
        <v>B1</v>
      </c>
      <c r="F48" s="15" t="str">
        <f>VLOOKUP(C48,Classification!$A:$D,2,FALSE)</f>
        <v>B1</v>
      </c>
      <c r="G48" s="15" t="b">
        <f t="shared" si="0"/>
        <v>1</v>
      </c>
      <c r="H48" s="10" t="str">
        <f>IF(ISERROR(MATCH(A48,'SegEnds_Xtal_Prot#'!B:B, 0)), "NoXtal", "Xtal")</f>
        <v>NoXtal</v>
      </c>
      <c r="J48" s="3"/>
    </row>
    <row r="49" spans="1:10" x14ac:dyDescent="0.2">
      <c r="A49" s="1" t="s">
        <v>1199</v>
      </c>
      <c r="B49" s="1" t="s">
        <v>401</v>
      </c>
      <c r="C49" t="s">
        <v>38</v>
      </c>
      <c r="D49" s="28" t="str">
        <f>VLOOKUP(A49,Classification!$A:$D,2,FALSE)</f>
        <v>B2</v>
      </c>
      <c r="E49" s="49" t="str">
        <f>VLOOKUP(B49,Classification!$A:$D,2,FALSE)</f>
        <v>B1</v>
      </c>
      <c r="F49" s="15" t="str">
        <f>VLOOKUP(C49,Classification!$A:$D,2,FALSE)</f>
        <v>B1</v>
      </c>
      <c r="G49" s="15" t="b">
        <f t="shared" si="0"/>
        <v>1</v>
      </c>
      <c r="H49" s="10" t="str">
        <f>IF(ISERROR(MATCH(A49,'SegEnds_Xtal_Prot#'!B:B, 0)), "NoXtal", "Xtal")</f>
        <v>NoXtal</v>
      </c>
      <c r="J49" s="3"/>
    </row>
    <row r="50" spans="1:10" x14ac:dyDescent="0.2">
      <c r="A50" s="1" t="s">
        <v>1180</v>
      </c>
      <c r="B50" s="1" t="s">
        <v>38</v>
      </c>
      <c r="C50" t="s">
        <v>38</v>
      </c>
      <c r="D50" s="28" t="str">
        <f>VLOOKUP(A50,Classification!$A:$D,2,FALSE)</f>
        <v>B2</v>
      </c>
      <c r="E50" s="49" t="str">
        <f>VLOOKUP(B50,Classification!$A:$D,2,FALSE)</f>
        <v>B1</v>
      </c>
      <c r="F50" s="15" t="str">
        <f>VLOOKUP(C50,Classification!$A:$D,2,FALSE)</f>
        <v>B1</v>
      </c>
      <c r="G50" s="15" t="b">
        <f t="shared" si="0"/>
        <v>1</v>
      </c>
      <c r="H50" s="10" t="str">
        <f>IF(ISERROR(MATCH(A50,'SegEnds_Xtal_Prot#'!B:B, 0)), "NoXtal", "Xtal")</f>
        <v>NoXtal</v>
      </c>
      <c r="J50" s="3"/>
    </row>
    <row r="51" spans="1:10" x14ac:dyDescent="0.2">
      <c r="A51" s="1" t="s">
        <v>414</v>
      </c>
      <c r="B51" s="1" t="s">
        <v>38</v>
      </c>
      <c r="C51" t="s">
        <v>38</v>
      </c>
      <c r="D51" s="28" t="str">
        <f>VLOOKUP(A51,Classification!$A:$D,2,FALSE)</f>
        <v>B2</v>
      </c>
      <c r="E51" s="49" t="str">
        <f>VLOOKUP(B51,Classification!$A:$D,2,FALSE)</f>
        <v>B1</v>
      </c>
      <c r="F51" s="15" t="str">
        <f>VLOOKUP(C51,Classification!$A:$D,2,FALSE)</f>
        <v>B1</v>
      </c>
      <c r="G51" s="15" t="b">
        <f t="shared" si="0"/>
        <v>1</v>
      </c>
      <c r="H51" s="10" t="str">
        <f>IF(ISERROR(MATCH(A51,'SegEnds_Xtal_Prot#'!B:B, 0)), "NoXtal", "Xtal")</f>
        <v>NoXtal</v>
      </c>
      <c r="J51" s="3"/>
    </row>
    <row r="52" spans="1:10" x14ac:dyDescent="0.2">
      <c r="A52" s="1" t="s">
        <v>1189</v>
      </c>
      <c r="B52" s="1" t="s">
        <v>402</v>
      </c>
      <c r="C52" t="s">
        <v>38</v>
      </c>
      <c r="D52" s="28" t="str">
        <f>VLOOKUP(A52,Classification!$A:$D,2,FALSE)</f>
        <v>B2</v>
      </c>
      <c r="E52" s="49" t="str">
        <f>VLOOKUP(B52,Classification!$A:$D,2,FALSE)</f>
        <v>B1</v>
      </c>
      <c r="F52" s="15" t="str">
        <f>VLOOKUP(C52,Classification!$A:$D,2,FALSE)</f>
        <v>B1</v>
      </c>
      <c r="G52" s="15" t="b">
        <f t="shared" si="0"/>
        <v>1</v>
      </c>
      <c r="H52" s="10" t="str">
        <f>IF(ISERROR(MATCH(A52,'SegEnds_Xtal_Prot#'!B:B, 0)), "NoXtal", "Xtal")</f>
        <v>NoXtal</v>
      </c>
      <c r="J52" s="3"/>
    </row>
    <row r="53" spans="1:10" x14ac:dyDescent="0.2">
      <c r="A53" s="1" t="s">
        <v>481</v>
      </c>
      <c r="B53" s="1" t="s">
        <v>158</v>
      </c>
      <c r="C53" t="s">
        <v>1172</v>
      </c>
      <c r="D53" s="28" t="str">
        <f>VLOOKUP(A53,Classification!$A:$D,2,FALSE)</f>
        <v>O</v>
      </c>
      <c r="E53" s="49" t="str">
        <f>VLOOKUP(B53,Classification!$A:$D,2,FALSE)</f>
        <v>A</v>
      </c>
      <c r="F53" s="15" t="str">
        <f>VLOOKUP(C53,Classification!$A:$D,2,FALSE)</f>
        <v>A</v>
      </c>
      <c r="G53" s="15" t="b">
        <f t="shared" si="0"/>
        <v>1</v>
      </c>
      <c r="H53" s="10" t="str">
        <f>IF(ISERROR(MATCH(A53,'SegEnds_Xtal_Prot#'!B:B, 0)), "NoXtal", "Xtal")</f>
        <v>NoXtal</v>
      </c>
      <c r="J53" s="3"/>
    </row>
    <row r="54" spans="1:10" x14ac:dyDescent="0.2">
      <c r="A54" s="1" t="s">
        <v>484</v>
      </c>
      <c r="B54" s="1" t="s">
        <v>364</v>
      </c>
      <c r="C54" t="s">
        <v>1172</v>
      </c>
      <c r="D54" s="28" t="str">
        <f>VLOOKUP(A54,Classification!$A:$D,2,FALSE)</f>
        <v>O</v>
      </c>
      <c r="E54" s="49" t="str">
        <f>VLOOKUP(B54,Classification!$A:$D,2,FALSE)</f>
        <v>A</v>
      </c>
      <c r="F54" s="15" t="str">
        <f>VLOOKUP(C54,Classification!$A:$D,2,FALSE)</f>
        <v>A</v>
      </c>
      <c r="G54" s="15" t="b">
        <f t="shared" si="0"/>
        <v>1</v>
      </c>
      <c r="H54" s="10" t="str">
        <f>IF(ISERROR(MATCH(A54,'SegEnds_Xtal_Prot#'!B:B, 0)), "NoXtal", "Xtal")</f>
        <v>NoXtal</v>
      </c>
      <c r="J54" s="3"/>
    </row>
    <row r="55" spans="1:10" x14ac:dyDescent="0.2">
      <c r="A55" s="1" t="s">
        <v>417</v>
      </c>
      <c r="B55" s="1" t="s">
        <v>406</v>
      </c>
      <c r="C55" t="s">
        <v>32</v>
      </c>
      <c r="D55" s="28" t="str">
        <f>VLOOKUP(A55,Classification!$A:$D,2,FALSE)</f>
        <v>B2</v>
      </c>
      <c r="E55" s="49" t="str">
        <f>VLOOKUP(B55,Classification!$A:$D,2,FALSE)</f>
        <v>B1</v>
      </c>
      <c r="F55" s="15" t="str">
        <f>VLOOKUP(C55,Classification!$A:$D,2,FALSE)</f>
        <v>B1</v>
      </c>
      <c r="G55" s="15" t="b">
        <f t="shared" si="0"/>
        <v>1</v>
      </c>
      <c r="H55" s="10" t="str">
        <f>IF(ISERROR(MATCH(A55,'SegEnds_Xtal_Prot#'!B:B, 0)), "NoXtal", "Xtal")</f>
        <v>NoXtal</v>
      </c>
      <c r="J55" s="3"/>
    </row>
    <row r="56" spans="1:10" x14ac:dyDescent="0.2">
      <c r="A56" s="1" t="s">
        <v>420</v>
      </c>
      <c r="B56" s="1" t="s">
        <v>38</v>
      </c>
      <c r="C56" t="s">
        <v>32</v>
      </c>
      <c r="D56" s="28" t="str">
        <f>VLOOKUP(A56,Classification!$A:$D,2,FALSE)</f>
        <v>B2</v>
      </c>
      <c r="E56" s="49" t="str">
        <f>VLOOKUP(B56,Classification!$A:$D,2,FALSE)</f>
        <v>B1</v>
      </c>
      <c r="F56" s="15" t="str">
        <f>VLOOKUP(C56,Classification!$A:$D,2,FALSE)</f>
        <v>B1</v>
      </c>
      <c r="G56" s="15" t="b">
        <f t="shared" si="0"/>
        <v>1</v>
      </c>
      <c r="H56" s="10" t="str">
        <f>IF(ISERROR(MATCH(A56,'SegEnds_Xtal_Prot#'!B:B, 0)), "NoXtal", "Xtal")</f>
        <v>NoXtal</v>
      </c>
      <c r="J56" s="3"/>
    </row>
    <row r="57" spans="1:10" x14ac:dyDescent="0.2">
      <c r="A57" s="1" t="s">
        <v>486</v>
      </c>
      <c r="B57" s="1" t="s">
        <v>133</v>
      </c>
      <c r="C57" t="s">
        <v>40</v>
      </c>
      <c r="D57" s="28" t="str">
        <f>VLOOKUP(A57,Classification!$A:$D,2,FALSE)</f>
        <v>O</v>
      </c>
      <c r="E57" s="49" t="str">
        <f>VLOOKUP(B57,Classification!$A:$D,2,FALSE)</f>
        <v>A</v>
      </c>
      <c r="F57" s="15" t="str">
        <f>VLOOKUP(C57,Classification!$A:$D,2,FALSE)</f>
        <v>C</v>
      </c>
      <c r="G57" s="15" t="b">
        <f t="shared" si="0"/>
        <v>1</v>
      </c>
      <c r="H57" s="10" t="str">
        <f>IF(ISERROR(MATCH(A57,'SegEnds_Xtal_Prot#'!B:B, 0)), "NoXtal", "Xtal")</f>
        <v>NoXtal</v>
      </c>
      <c r="J57" s="3"/>
    </row>
    <row r="58" spans="1:10" x14ac:dyDescent="0.2">
      <c r="A58" s="1" t="s">
        <v>466</v>
      </c>
      <c r="B58" s="1" t="s">
        <v>132</v>
      </c>
      <c r="C58" t="s">
        <v>918</v>
      </c>
      <c r="D58" s="28" t="str">
        <f>VLOOKUP(A58,Classification!$A:$D,2,FALSE)</f>
        <v>T</v>
      </c>
      <c r="E58" s="49" t="str">
        <f>VLOOKUP(B58,Classification!$A:$D,2,FALSE)</f>
        <v>A</v>
      </c>
      <c r="F58" s="15" t="str">
        <f>VLOOKUP(C58,Classification!$A:$D,2,FALSE)</f>
        <v>A</v>
      </c>
      <c r="G58" s="15" t="b">
        <f t="shared" si="0"/>
        <v>1</v>
      </c>
      <c r="H58" s="10" t="str">
        <f>IF(ISERROR(MATCH(A58,'SegEnds_Xtal_Prot#'!B:B, 0)), "NoXtal", "Xtal")</f>
        <v>NoXtal</v>
      </c>
      <c r="J58" s="3"/>
    </row>
    <row r="59" spans="1:10" x14ac:dyDescent="0.2">
      <c r="A59" s="1" t="s">
        <v>474</v>
      </c>
      <c r="B59" s="1" t="s">
        <v>1172</v>
      </c>
      <c r="C59" t="s">
        <v>339</v>
      </c>
      <c r="D59" s="28" t="str">
        <f>VLOOKUP(A59,Classification!$A:$D,2,FALSE)</f>
        <v>T</v>
      </c>
      <c r="E59" s="49" t="str">
        <f>VLOOKUP(B59,Classification!$A:$D,2,FALSE)</f>
        <v>A</v>
      </c>
      <c r="F59" s="15" t="str">
        <f>VLOOKUP(C59,Classification!$A:$D,2,FALSE)</f>
        <v>A</v>
      </c>
      <c r="G59" s="15" t="b">
        <f t="shared" si="0"/>
        <v>1</v>
      </c>
      <c r="H59" s="10" t="str">
        <f>IF(ISERROR(MATCH(A59,'SegEnds_Xtal_Prot#'!B:B, 0)), "NoXtal", "Xtal")</f>
        <v>NoXtal</v>
      </c>
      <c r="J59" s="3"/>
    </row>
    <row r="60" spans="1:10" x14ac:dyDescent="0.2">
      <c r="A60" s="1" t="s">
        <v>459</v>
      </c>
      <c r="B60" s="1" t="s">
        <v>360</v>
      </c>
      <c r="C60" t="s">
        <v>1176</v>
      </c>
      <c r="D60" s="28" t="str">
        <f>VLOOKUP(A60,Classification!$A:$D,2,FALSE)</f>
        <v>T</v>
      </c>
      <c r="E60" s="49" t="str">
        <f>VLOOKUP(B60,Classification!$A:$D,2,FALSE)</f>
        <v>A</v>
      </c>
      <c r="F60" s="15" t="str">
        <f>VLOOKUP(C60,Classification!$A:$D,2,FALSE)</f>
        <v>A</v>
      </c>
      <c r="G60" s="15" t="b">
        <f t="shared" si="0"/>
        <v>1</v>
      </c>
      <c r="H60" s="10" t="str">
        <f>IF(ISERROR(MATCH(A60,'SegEnds_Xtal_Prot#'!B:B, 0)), "NoXtal", "Xtal")</f>
        <v>NoXtal</v>
      </c>
      <c r="J60" s="3"/>
    </row>
    <row r="61" spans="1:10" x14ac:dyDescent="0.2">
      <c r="A61" s="1" t="s">
        <v>458</v>
      </c>
      <c r="B61" s="1" t="s">
        <v>133</v>
      </c>
      <c r="C61" t="s">
        <v>345</v>
      </c>
      <c r="D61" s="28" t="str">
        <f>VLOOKUP(A61,Classification!$A:$D,2,FALSE)</f>
        <v>T</v>
      </c>
      <c r="E61" s="49" t="str">
        <f>VLOOKUP(B61,Classification!$A:$D,2,FALSE)</f>
        <v>A</v>
      </c>
      <c r="F61" s="15" t="str">
        <f>VLOOKUP(C61,Classification!$A:$D,2,FALSE)</f>
        <v>A</v>
      </c>
      <c r="G61" s="15" t="b">
        <f t="shared" si="0"/>
        <v>1</v>
      </c>
      <c r="H61" s="10" t="str">
        <f>IF(ISERROR(MATCH(A61,'SegEnds_Xtal_Prot#'!B:B, 0)), "NoXtal", "Xtal")</f>
        <v>NoXtal</v>
      </c>
      <c r="J61" s="3"/>
    </row>
    <row r="62" spans="1:10" x14ac:dyDescent="0.2">
      <c r="A62" s="1" t="s">
        <v>482</v>
      </c>
      <c r="B62" s="1" t="s">
        <v>177</v>
      </c>
      <c r="C62" t="s">
        <v>352</v>
      </c>
      <c r="D62" s="28" t="str">
        <f>VLOOKUP(A62,Classification!$A:$D,2,FALSE)</f>
        <v>O</v>
      </c>
      <c r="E62" s="49" t="str">
        <f>VLOOKUP(B62,Classification!$A:$D,2,FALSE)</f>
        <v>A</v>
      </c>
      <c r="F62" s="15" t="str">
        <f>VLOOKUP(C62,Classification!$A:$D,2,FALSE)</f>
        <v>A</v>
      </c>
      <c r="G62" s="15" t="b">
        <f t="shared" si="0"/>
        <v>1</v>
      </c>
      <c r="H62" s="10" t="str">
        <f>IF(ISERROR(MATCH(A62,'SegEnds_Xtal_Prot#'!B:B, 0)), "NoXtal", "Xtal")</f>
        <v>NoXtal</v>
      </c>
      <c r="J62" s="3"/>
    </row>
    <row r="63" spans="1:10" x14ac:dyDescent="0.2">
      <c r="A63" s="1" t="s">
        <v>456</v>
      </c>
      <c r="B63" s="1" t="s">
        <v>191</v>
      </c>
      <c r="C63" t="s">
        <v>104</v>
      </c>
      <c r="D63" s="28" t="str">
        <f>VLOOKUP(A63,Classification!$A:$D,2,FALSE)</f>
        <v>T</v>
      </c>
      <c r="E63" s="49" t="str">
        <f>VLOOKUP(B63,Classification!$A:$D,2,FALSE)</f>
        <v>A</v>
      </c>
      <c r="F63" s="15" t="str">
        <f>VLOOKUP(C63,Classification!$A:$D,2,FALSE)</f>
        <v>A</v>
      </c>
      <c r="G63" s="15" t="b">
        <f t="shared" si="0"/>
        <v>1</v>
      </c>
      <c r="H63" s="10" t="str">
        <f>IF(ISERROR(MATCH(A63,'SegEnds_Xtal_Prot#'!B:B, 0)), "NoXtal", "Xtal")</f>
        <v>NoXtal</v>
      </c>
      <c r="J63" s="3"/>
    </row>
    <row r="64" spans="1:10" x14ac:dyDescent="0.2">
      <c r="A64" s="1" t="s">
        <v>477</v>
      </c>
      <c r="B64" s="1" t="s">
        <v>278</v>
      </c>
      <c r="C64" t="s">
        <v>924</v>
      </c>
      <c r="D64" s="28" t="str">
        <f>VLOOKUP(A64,Classification!$A:$D,2,FALSE)</f>
        <v>T</v>
      </c>
      <c r="E64" s="49" t="str">
        <f>VLOOKUP(B64,Classification!$A:$D,2,FALSE)</f>
        <v>A</v>
      </c>
      <c r="F64" s="15" t="str">
        <f>VLOOKUP(C64,Classification!$A:$D,2,FALSE)</f>
        <v>A</v>
      </c>
      <c r="G64" s="15" t="b">
        <f t="shared" si="0"/>
        <v>1</v>
      </c>
      <c r="H64" s="10" t="str">
        <f>IF(ISERROR(MATCH(A64,'SegEnds_Xtal_Prot#'!B:B, 0)), "NoXtal", "Xtal")</f>
        <v>NoXtal</v>
      </c>
      <c r="J64" s="3"/>
    </row>
    <row r="65" spans="1:10" x14ac:dyDescent="0.2">
      <c r="A65" s="1" t="s">
        <v>131</v>
      </c>
      <c r="B65" s="1" t="s">
        <v>34</v>
      </c>
      <c r="C65" t="s">
        <v>34</v>
      </c>
      <c r="D65" s="28" t="str">
        <f>VLOOKUP(A65,Classification!$A:$D,2,FALSE)</f>
        <v>A</v>
      </c>
      <c r="E65" s="49" t="str">
        <f>VLOOKUP(B65,Classification!$A:$D,2,FALSE)</f>
        <v>A</v>
      </c>
      <c r="F65" s="15" t="str">
        <f>VLOOKUP(C65,Classification!$A:$D,2,FALSE)</f>
        <v>A</v>
      </c>
      <c r="G65" s="15" t="b">
        <f t="shared" si="0"/>
        <v>1</v>
      </c>
      <c r="H65" s="10" t="str">
        <f>IF(ISERROR(MATCH(A65,'SegEnds_Xtal_Prot#'!B:B, 0)), "NoXtal", "Xtal")</f>
        <v>NoXtal</v>
      </c>
      <c r="J65" s="3"/>
    </row>
    <row r="66" spans="1:10" x14ac:dyDescent="0.2">
      <c r="A66" s="1" t="s">
        <v>135</v>
      </c>
      <c r="B66" s="1" t="s">
        <v>34</v>
      </c>
      <c r="C66" t="s">
        <v>34</v>
      </c>
      <c r="D66" s="28" t="str">
        <f>VLOOKUP(A66,Classification!$A:$D,2,FALSE)</f>
        <v>A</v>
      </c>
      <c r="E66" s="49" t="str">
        <f>VLOOKUP(B66,Classification!$A:$D,2,FALSE)</f>
        <v>A</v>
      </c>
      <c r="F66" s="15" t="str">
        <f>VLOOKUP(C66,Classification!$A:$D,2,FALSE)</f>
        <v>A</v>
      </c>
      <c r="G66" s="15" t="b">
        <f t="shared" si="0"/>
        <v>1</v>
      </c>
      <c r="H66" s="10" t="str">
        <f>IF(ISERROR(MATCH(A66,'SegEnds_Xtal_Prot#'!B:B, 0)), "NoXtal", "Xtal")</f>
        <v>NoXtal</v>
      </c>
      <c r="J66" s="3"/>
    </row>
    <row r="67" spans="1:10" x14ac:dyDescent="0.2">
      <c r="A67" s="1" t="s">
        <v>130</v>
      </c>
      <c r="B67" s="1" t="s">
        <v>34</v>
      </c>
      <c r="C67" t="s">
        <v>34</v>
      </c>
      <c r="D67" s="28" t="str">
        <f>VLOOKUP(A67,Classification!$A:$D,2,FALSE)</f>
        <v>A</v>
      </c>
      <c r="E67" s="49" t="str">
        <f>VLOOKUP(B67,Classification!$A:$D,2,FALSE)</f>
        <v>A</v>
      </c>
      <c r="F67" s="15" t="str">
        <f>VLOOKUP(C67,Classification!$A:$D,2,FALSE)</f>
        <v>A</v>
      </c>
      <c r="G67" s="15" t="b">
        <f t="shared" ref="G67:G130" si="1">OR(D67=F67,AND(D67="T",F67="A"),AND(D67="B2",F67="B1"),D67="O")</f>
        <v>1</v>
      </c>
      <c r="H67" s="10" t="str">
        <f>IF(ISERROR(MATCH(A67,'SegEnds_Xtal_Prot#'!B:B, 0)), "NoXtal", "Xtal")</f>
        <v>NoXtal</v>
      </c>
      <c r="J67" s="3"/>
    </row>
    <row r="68" spans="1:10" x14ac:dyDescent="0.2">
      <c r="A68" s="1" t="s">
        <v>129</v>
      </c>
      <c r="B68" s="1" t="s">
        <v>34</v>
      </c>
      <c r="C68" t="s">
        <v>34</v>
      </c>
      <c r="D68" s="28" t="str">
        <f>VLOOKUP(A68,Classification!$A:$D,2,FALSE)</f>
        <v>A</v>
      </c>
      <c r="E68" s="49" t="str">
        <f>VLOOKUP(B68,Classification!$A:$D,2,FALSE)</f>
        <v>A</v>
      </c>
      <c r="F68" s="15" t="str">
        <f>VLOOKUP(C68,Classification!$A:$D,2,FALSE)</f>
        <v>A</v>
      </c>
      <c r="G68" s="15" t="b">
        <f t="shared" si="1"/>
        <v>1</v>
      </c>
      <c r="H68" s="10" t="str">
        <f>IF(ISERROR(MATCH(A68,'SegEnds_Xtal_Prot#'!B:B, 0)), "NoXtal", "Xtal")</f>
        <v>NoXtal</v>
      </c>
      <c r="J68" s="3"/>
    </row>
    <row r="69" spans="1:10" x14ac:dyDescent="0.2">
      <c r="A69" s="1" t="s">
        <v>34</v>
      </c>
      <c r="B69" s="1" t="s">
        <v>34</v>
      </c>
      <c r="C69" t="s">
        <v>34</v>
      </c>
      <c r="D69" s="28" t="str">
        <f>VLOOKUP(A69,Classification!$A:$D,2,FALSE)</f>
        <v>A</v>
      </c>
      <c r="E69" s="49" t="str">
        <f>VLOOKUP(B69,Classification!$A:$D,2,FALSE)</f>
        <v>A</v>
      </c>
      <c r="F69" s="15" t="str">
        <f>VLOOKUP(C69,Classification!$A:$D,2,FALSE)</f>
        <v>A</v>
      </c>
      <c r="G69" s="15" t="b">
        <f t="shared" si="1"/>
        <v>1</v>
      </c>
      <c r="H69" s="10" t="str">
        <f>IF(ISERROR(MATCH(A69,'SegEnds_Xtal_Prot#'!B:B, 0)), "NoXtal", "Xtal")</f>
        <v>Xtal</v>
      </c>
      <c r="J69" s="3"/>
    </row>
    <row r="70" spans="1:10" x14ac:dyDescent="0.2">
      <c r="A70" s="1" t="s">
        <v>128</v>
      </c>
      <c r="B70" s="1" t="s">
        <v>34</v>
      </c>
      <c r="C70" t="s">
        <v>34</v>
      </c>
      <c r="D70" s="28" t="str">
        <f>VLOOKUP(A70,Classification!$A:$D,2,FALSE)</f>
        <v>A</v>
      </c>
      <c r="E70" s="49" t="str">
        <f>VLOOKUP(B70,Classification!$A:$D,2,FALSE)</f>
        <v>A</v>
      </c>
      <c r="F70" s="15" t="str">
        <f>VLOOKUP(C70,Classification!$A:$D,2,FALSE)</f>
        <v>A</v>
      </c>
      <c r="G70" s="15" t="b">
        <f t="shared" si="1"/>
        <v>1</v>
      </c>
      <c r="H70" s="10" t="str">
        <f>IF(ISERROR(MATCH(A70,'SegEnds_Xtal_Prot#'!B:B, 0)), "NoXtal", "Xtal")</f>
        <v>NoXtal</v>
      </c>
      <c r="J70" s="3"/>
    </row>
    <row r="71" spans="1:10" x14ac:dyDescent="0.2">
      <c r="A71" s="1" t="s">
        <v>155</v>
      </c>
      <c r="B71" s="1" t="s">
        <v>191</v>
      </c>
      <c r="C71" t="s">
        <v>34</v>
      </c>
      <c r="D71" s="28" t="str">
        <f>VLOOKUP(A71,Classification!$A:$D,2,FALSE)</f>
        <v>A</v>
      </c>
      <c r="E71" s="49" t="str">
        <f>VLOOKUP(B71,Classification!$A:$D,2,FALSE)</f>
        <v>A</v>
      </c>
      <c r="F71" s="15" t="str">
        <f>VLOOKUP(C71,Classification!$A:$D,2,FALSE)</f>
        <v>A</v>
      </c>
      <c r="G71" s="15" t="b">
        <f t="shared" si="1"/>
        <v>1</v>
      </c>
      <c r="H71" s="10" t="str">
        <f>IF(ISERROR(MATCH(A71,'SegEnds_Xtal_Prot#'!B:B, 0)), "NoXtal", "Xtal")</f>
        <v>NoXtal</v>
      </c>
      <c r="J71" s="3"/>
    </row>
    <row r="72" spans="1:10" x14ac:dyDescent="0.2">
      <c r="A72" s="1" t="s">
        <v>157</v>
      </c>
      <c r="B72" s="1" t="s">
        <v>191</v>
      </c>
      <c r="C72" t="s">
        <v>34</v>
      </c>
      <c r="D72" s="28" t="str">
        <f>VLOOKUP(A72,Classification!$A:$D,2,FALSE)</f>
        <v>A</v>
      </c>
      <c r="E72" s="49" t="str">
        <f>VLOOKUP(B72,Classification!$A:$D,2,FALSE)</f>
        <v>A</v>
      </c>
      <c r="F72" s="15" t="str">
        <f>VLOOKUP(C72,Classification!$A:$D,2,FALSE)</f>
        <v>A</v>
      </c>
      <c r="G72" s="15" t="b">
        <f t="shared" si="1"/>
        <v>1</v>
      </c>
      <c r="H72" s="10" t="str">
        <f>IF(ISERROR(MATCH(A72,'SegEnds_Xtal_Prot#'!B:B, 0)), "NoXtal", "Xtal")</f>
        <v>NoXtal</v>
      </c>
      <c r="J72" s="3"/>
    </row>
    <row r="73" spans="1:10" x14ac:dyDescent="0.2">
      <c r="A73" s="1" t="s">
        <v>392</v>
      </c>
      <c r="B73" s="1" t="s">
        <v>34</v>
      </c>
      <c r="C73" t="s">
        <v>34</v>
      </c>
      <c r="D73" s="28" t="str">
        <f>VLOOKUP(A73,Classification!$A:$D,2,FALSE)</f>
        <v>A</v>
      </c>
      <c r="E73" s="49" t="str">
        <f>VLOOKUP(B73,Classification!$A:$D,2,FALSE)</f>
        <v>A</v>
      </c>
      <c r="F73" s="15" t="str">
        <f>VLOOKUP(C73,Classification!$A:$D,2,FALSE)</f>
        <v>A</v>
      </c>
      <c r="G73" s="15" t="b">
        <f t="shared" si="1"/>
        <v>1</v>
      </c>
      <c r="H73" s="10" t="str">
        <f>IF(ISERROR(MATCH(A73,'SegEnds_Xtal_Prot#'!B:B, 0)), "NoXtal", "Xtal")</f>
        <v>NoXtal</v>
      </c>
      <c r="J73" s="3"/>
    </row>
    <row r="74" spans="1:10" x14ac:dyDescent="0.2">
      <c r="A74" s="1" t="s">
        <v>390</v>
      </c>
      <c r="B74" s="1" t="s">
        <v>34</v>
      </c>
      <c r="C74" t="s">
        <v>34</v>
      </c>
      <c r="D74" s="28" t="str">
        <f>VLOOKUP(A74,Classification!$A:$D,2,FALSE)</f>
        <v>A</v>
      </c>
      <c r="E74" s="49" t="str">
        <f>VLOOKUP(B74,Classification!$A:$D,2,FALSE)</f>
        <v>A</v>
      </c>
      <c r="F74" s="15" t="str">
        <f>VLOOKUP(C74,Classification!$A:$D,2,FALSE)</f>
        <v>A</v>
      </c>
      <c r="G74" s="15" t="b">
        <f t="shared" si="1"/>
        <v>1</v>
      </c>
      <c r="H74" s="10" t="str">
        <f>IF(ISERROR(MATCH(A74,'SegEnds_Xtal_Prot#'!B:B, 0)), "NoXtal", "Xtal")</f>
        <v>NoXtal</v>
      </c>
      <c r="J74" s="3"/>
    </row>
    <row r="75" spans="1:10" x14ac:dyDescent="0.2">
      <c r="A75" s="1" t="s">
        <v>389</v>
      </c>
      <c r="B75" s="1" t="s">
        <v>191</v>
      </c>
      <c r="C75" t="s">
        <v>34</v>
      </c>
      <c r="D75" s="28" t="str">
        <f>VLOOKUP(A75,Classification!$A:$D,2,FALSE)</f>
        <v>A</v>
      </c>
      <c r="E75" s="49" t="str">
        <f>VLOOKUP(B75,Classification!$A:$D,2,FALSE)</f>
        <v>A</v>
      </c>
      <c r="F75" s="15" t="str">
        <f>VLOOKUP(C75,Classification!$A:$D,2,FALSE)</f>
        <v>A</v>
      </c>
      <c r="G75" s="15" t="b">
        <f t="shared" si="1"/>
        <v>1</v>
      </c>
      <c r="H75" s="10" t="str">
        <f>IF(ISERROR(MATCH(A75,'SegEnds_Xtal_Prot#'!B:B, 0)), "NoXtal", "Xtal")</f>
        <v>NoXtal</v>
      </c>
      <c r="J75" s="3"/>
    </row>
    <row r="76" spans="1:10" x14ac:dyDescent="0.2">
      <c r="A76" s="1" t="s">
        <v>391</v>
      </c>
      <c r="B76" s="1" t="s">
        <v>34</v>
      </c>
      <c r="C76" t="s">
        <v>34</v>
      </c>
      <c r="D76" s="28" t="str">
        <f>VLOOKUP(A76,Classification!$A:$D,2,FALSE)</f>
        <v>A</v>
      </c>
      <c r="E76" s="49" t="str">
        <f>VLOOKUP(B76,Classification!$A:$D,2,FALSE)</f>
        <v>A</v>
      </c>
      <c r="F76" s="15" t="str">
        <f>VLOOKUP(C76,Classification!$A:$D,2,FALSE)</f>
        <v>A</v>
      </c>
      <c r="G76" s="15" t="b">
        <f t="shared" si="1"/>
        <v>1</v>
      </c>
      <c r="H76" s="10" t="str">
        <f>IF(ISERROR(MATCH(A76,'SegEnds_Xtal_Prot#'!B:B, 0)), "NoXtal", "Xtal")</f>
        <v>NoXtal</v>
      </c>
      <c r="J76" s="3"/>
    </row>
    <row r="77" spans="1:10" x14ac:dyDescent="0.2">
      <c r="A77" s="1" t="s">
        <v>220</v>
      </c>
      <c r="B77" s="1" t="s">
        <v>138</v>
      </c>
      <c r="C77" t="s">
        <v>34</v>
      </c>
      <c r="D77" s="28" t="str">
        <f>VLOOKUP(A77,Classification!$A:$D,2,FALSE)</f>
        <v>A</v>
      </c>
      <c r="E77" s="49" t="str">
        <f>VLOOKUP(B77,Classification!$A:$D,2,FALSE)</f>
        <v>A</v>
      </c>
      <c r="F77" s="15" t="str">
        <f>VLOOKUP(C77,Classification!$A:$D,2,FALSE)</f>
        <v>A</v>
      </c>
      <c r="G77" s="15" t="b">
        <f t="shared" si="1"/>
        <v>1</v>
      </c>
      <c r="H77" s="10" t="str">
        <f>IF(ISERROR(MATCH(A77,'SegEnds_Xtal_Prot#'!B:B, 0)), "NoXtal", "Xtal")</f>
        <v>NoXtal</v>
      </c>
      <c r="J77" s="3"/>
    </row>
    <row r="78" spans="1:10" x14ac:dyDescent="0.2">
      <c r="A78" s="1" t="s">
        <v>388</v>
      </c>
      <c r="B78" s="1" t="s">
        <v>191</v>
      </c>
      <c r="C78" t="s">
        <v>34</v>
      </c>
      <c r="D78" s="28" t="str">
        <f>VLOOKUP(A78,Classification!$A:$D,2,FALSE)</f>
        <v>A</v>
      </c>
      <c r="E78" s="49" t="str">
        <f>VLOOKUP(B78,Classification!$A:$D,2,FALSE)</f>
        <v>A</v>
      </c>
      <c r="F78" s="15" t="str">
        <f>VLOOKUP(C78,Classification!$A:$D,2,FALSE)</f>
        <v>A</v>
      </c>
      <c r="G78" s="15" t="b">
        <f t="shared" si="1"/>
        <v>1</v>
      </c>
      <c r="H78" s="10" t="str">
        <f>IF(ISERROR(MATCH(A78,'SegEnds_Xtal_Prot#'!B:B, 0)), "NoXtal", "Xtal")</f>
        <v>NoXtal</v>
      </c>
      <c r="J78" s="3"/>
    </row>
    <row r="79" spans="1:10" x14ac:dyDescent="0.2">
      <c r="A79" s="1" t="s">
        <v>393</v>
      </c>
      <c r="B79" s="1" t="s">
        <v>34</v>
      </c>
      <c r="C79" t="s">
        <v>34</v>
      </c>
      <c r="D79" s="28" t="str">
        <f>VLOOKUP(A79,Classification!$A:$D,2,FALSE)</f>
        <v>A</v>
      </c>
      <c r="E79" s="49" t="str">
        <f>VLOOKUP(B79,Classification!$A:$D,2,FALSE)</f>
        <v>A</v>
      </c>
      <c r="F79" s="15" t="str">
        <f>VLOOKUP(C79,Classification!$A:$D,2,FALSE)</f>
        <v>A</v>
      </c>
      <c r="G79" s="15" t="b">
        <f t="shared" si="1"/>
        <v>1</v>
      </c>
      <c r="H79" s="10" t="str">
        <f>IF(ISERROR(MATCH(A79,'SegEnds_Xtal_Prot#'!B:B, 0)), "NoXtal", "Xtal")</f>
        <v>NoXtal</v>
      </c>
      <c r="J79" s="3"/>
    </row>
    <row r="80" spans="1:10" x14ac:dyDescent="0.2">
      <c r="A80" s="1" t="s">
        <v>265</v>
      </c>
      <c r="B80" s="1" t="s">
        <v>133</v>
      </c>
      <c r="C80" t="s">
        <v>34</v>
      </c>
      <c r="D80" s="28" t="str">
        <f>VLOOKUP(A80,Classification!$A:$D,2,FALSE)</f>
        <v>A</v>
      </c>
      <c r="E80" s="49" t="str">
        <f>VLOOKUP(B80,Classification!$A:$D,2,FALSE)</f>
        <v>A</v>
      </c>
      <c r="F80" s="15" t="str">
        <f>VLOOKUP(C80,Classification!$A:$D,2,FALSE)</f>
        <v>A</v>
      </c>
      <c r="G80" s="15" t="b">
        <f t="shared" si="1"/>
        <v>1</v>
      </c>
      <c r="H80" s="10" t="str">
        <f>IF(ISERROR(MATCH(A80,'SegEnds_Xtal_Prot#'!B:B, 0)), "NoXtal", "Xtal")</f>
        <v>NoXtal</v>
      </c>
      <c r="J80" s="3"/>
    </row>
    <row r="81" spans="1:10" x14ac:dyDescent="0.2">
      <c r="A81" s="1" t="s">
        <v>137</v>
      </c>
      <c r="B81" s="1" t="s">
        <v>34</v>
      </c>
      <c r="C81" t="s">
        <v>34</v>
      </c>
      <c r="D81" s="28" t="str">
        <f>VLOOKUP(A81,Classification!$A:$D,2,FALSE)</f>
        <v>A</v>
      </c>
      <c r="E81" s="49" t="str">
        <f>VLOOKUP(B81,Classification!$A:$D,2,FALSE)</f>
        <v>A</v>
      </c>
      <c r="F81" s="15" t="str">
        <f>VLOOKUP(C81,Classification!$A:$D,2,FALSE)</f>
        <v>A</v>
      </c>
      <c r="G81" s="15" t="b">
        <f t="shared" si="1"/>
        <v>1</v>
      </c>
      <c r="H81" s="10" t="str">
        <f>IF(ISERROR(MATCH(A81,'SegEnds_Xtal_Prot#'!B:B, 0)), "NoXtal", "Xtal")</f>
        <v>NoXtal</v>
      </c>
      <c r="J81" s="3"/>
    </row>
    <row r="82" spans="1:10" x14ac:dyDescent="0.2">
      <c r="A82" s="1" t="s">
        <v>152</v>
      </c>
      <c r="B82" s="1" t="s">
        <v>191</v>
      </c>
      <c r="C82" t="s">
        <v>34</v>
      </c>
      <c r="D82" s="28" t="str">
        <f>VLOOKUP(A82,Classification!$A:$D,2,FALSE)</f>
        <v>A</v>
      </c>
      <c r="E82" s="49" t="str">
        <f>VLOOKUP(B82,Classification!$A:$D,2,FALSE)</f>
        <v>A</v>
      </c>
      <c r="F82" s="15" t="str">
        <f>VLOOKUP(C82,Classification!$A:$D,2,FALSE)</f>
        <v>A</v>
      </c>
      <c r="G82" s="15" t="b">
        <f t="shared" si="1"/>
        <v>1</v>
      </c>
      <c r="H82" s="10" t="str">
        <f>IF(ISERROR(MATCH(A82,'SegEnds_Xtal_Prot#'!B:B, 0)), "NoXtal", "Xtal")</f>
        <v>NoXtal</v>
      </c>
      <c r="J82" s="3"/>
    </row>
    <row r="83" spans="1:10" x14ac:dyDescent="0.2">
      <c r="A83" s="1" t="s">
        <v>227</v>
      </c>
      <c r="B83" s="1" t="s">
        <v>34</v>
      </c>
      <c r="C83" t="s">
        <v>34</v>
      </c>
      <c r="D83" s="28" t="str">
        <f>VLOOKUP(A83,Classification!$A:$D,2,FALSE)</f>
        <v>A</v>
      </c>
      <c r="E83" s="49" t="str">
        <f>VLOOKUP(B83,Classification!$A:$D,2,FALSE)</f>
        <v>A</v>
      </c>
      <c r="F83" s="15" t="str">
        <f>VLOOKUP(C83,Classification!$A:$D,2,FALSE)</f>
        <v>A</v>
      </c>
      <c r="G83" s="15" t="b">
        <f t="shared" si="1"/>
        <v>1</v>
      </c>
      <c r="H83" s="10" t="str">
        <f>IF(ISERROR(MATCH(A83,'SegEnds_Xtal_Prot#'!B:B, 0)), "NoXtal", "Xtal")</f>
        <v>NoXtal</v>
      </c>
      <c r="J83" s="3"/>
    </row>
    <row r="84" spans="1:10" x14ac:dyDescent="0.2">
      <c r="A84" s="1" t="s">
        <v>271</v>
      </c>
      <c r="B84" s="1" t="s">
        <v>133</v>
      </c>
      <c r="C84" t="s">
        <v>35</v>
      </c>
      <c r="D84" s="28" t="str">
        <f>VLOOKUP(A84,Classification!$A:$D,2,FALSE)</f>
        <v>A</v>
      </c>
      <c r="E84" s="49" t="str">
        <f>VLOOKUP(B84,Classification!$A:$D,2,FALSE)</f>
        <v>A</v>
      </c>
      <c r="F84" s="15" t="str">
        <f>VLOOKUP(C84,Classification!$A:$D,2,FALSE)</f>
        <v>A</v>
      </c>
      <c r="G84" s="15" t="b">
        <f t="shared" si="1"/>
        <v>1</v>
      </c>
      <c r="H84" s="10" t="str">
        <f>IF(ISERROR(MATCH(A84,'SegEnds_Xtal_Prot#'!B:B, 0)), "NoXtal", "Xtal")</f>
        <v>NoXtal</v>
      </c>
      <c r="J84" s="3"/>
    </row>
    <row r="85" spans="1:10" x14ac:dyDescent="0.2">
      <c r="A85" s="1" t="s">
        <v>230</v>
      </c>
      <c r="B85" s="1" t="s">
        <v>132</v>
      </c>
      <c r="C85" t="s">
        <v>35</v>
      </c>
      <c r="D85" s="28" t="str">
        <f>VLOOKUP(A85,Classification!$A:$D,2,FALSE)</f>
        <v>A</v>
      </c>
      <c r="E85" s="49" t="str">
        <f>VLOOKUP(B85,Classification!$A:$D,2,FALSE)</f>
        <v>A</v>
      </c>
      <c r="F85" s="15" t="str">
        <f>VLOOKUP(C85,Classification!$A:$D,2,FALSE)</f>
        <v>A</v>
      </c>
      <c r="G85" s="15" t="b">
        <f t="shared" si="1"/>
        <v>1</v>
      </c>
      <c r="H85" s="10" t="str">
        <f>IF(ISERROR(MATCH(A85,'SegEnds_Xtal_Prot#'!B:B, 0)), "NoXtal", "Xtal")</f>
        <v>NoXtal</v>
      </c>
      <c r="J85" s="3"/>
    </row>
    <row r="86" spans="1:10" x14ac:dyDescent="0.2">
      <c r="A86" s="1" t="s">
        <v>248</v>
      </c>
      <c r="B86" s="1" t="s">
        <v>1175</v>
      </c>
      <c r="C86" t="s">
        <v>35</v>
      </c>
      <c r="D86" s="28" t="str">
        <f>VLOOKUP(A86,Classification!$A:$D,2,FALSE)</f>
        <v>A</v>
      </c>
      <c r="E86" s="49" t="str">
        <f>VLOOKUP(B86,Classification!$A:$D,2,FALSE)</f>
        <v>A</v>
      </c>
      <c r="F86" s="15" t="str">
        <f>VLOOKUP(C86,Classification!$A:$D,2,FALSE)</f>
        <v>A</v>
      </c>
      <c r="G86" s="15" t="b">
        <f t="shared" si="1"/>
        <v>1</v>
      </c>
      <c r="H86" s="10" t="str">
        <f>IF(ISERROR(MATCH(A86,'SegEnds_Xtal_Prot#'!B:B, 0)), "NoXtal", "Xtal")</f>
        <v>NoXtal</v>
      </c>
      <c r="J86" s="3"/>
    </row>
    <row r="87" spans="1:10" x14ac:dyDescent="0.2">
      <c r="A87" s="1" t="s">
        <v>133</v>
      </c>
      <c r="B87" s="1" t="s">
        <v>133</v>
      </c>
      <c r="C87" t="s">
        <v>35</v>
      </c>
      <c r="D87" s="28" t="str">
        <f>VLOOKUP(A87,Classification!$A:$D,2,FALSE)</f>
        <v>A</v>
      </c>
      <c r="E87" s="49" t="str">
        <f>VLOOKUP(B87,Classification!$A:$D,2,FALSE)</f>
        <v>A</v>
      </c>
      <c r="F87" s="15" t="str">
        <f>VLOOKUP(C87,Classification!$A:$D,2,FALSE)</f>
        <v>A</v>
      </c>
      <c r="G87" s="15" t="b">
        <f t="shared" si="1"/>
        <v>1</v>
      </c>
      <c r="H87" s="10" t="str">
        <f>IF(ISERROR(MATCH(A87,'SegEnds_Xtal_Prot#'!B:B, 0)), "NoXtal", "Xtal")</f>
        <v>Xtal</v>
      </c>
      <c r="J87" s="3"/>
    </row>
    <row r="88" spans="1:10" x14ac:dyDescent="0.2">
      <c r="A88" s="1" t="s">
        <v>132</v>
      </c>
      <c r="B88" s="1" t="s">
        <v>132</v>
      </c>
      <c r="C88" t="s">
        <v>35</v>
      </c>
      <c r="D88" s="28" t="str">
        <f>VLOOKUP(A88,Classification!$A:$D,2,FALSE)</f>
        <v>A</v>
      </c>
      <c r="E88" s="49" t="str">
        <f>VLOOKUP(B88,Classification!$A:$D,2,FALSE)</f>
        <v>A</v>
      </c>
      <c r="F88" s="15" t="str">
        <f>VLOOKUP(C88,Classification!$A:$D,2,FALSE)</f>
        <v>A</v>
      </c>
      <c r="G88" s="15" t="b">
        <f t="shared" si="1"/>
        <v>1</v>
      </c>
      <c r="H88" s="10" t="str">
        <f>IF(ISERROR(MATCH(A88,'SegEnds_Xtal_Prot#'!B:B, 0)), "NoXtal", "Xtal")</f>
        <v>Xtal</v>
      </c>
      <c r="J88" s="3"/>
    </row>
    <row r="89" spans="1:10" x14ac:dyDescent="0.2">
      <c r="A89" s="1" t="s">
        <v>35</v>
      </c>
      <c r="B89" s="1" t="s">
        <v>35</v>
      </c>
      <c r="C89" t="s">
        <v>35</v>
      </c>
      <c r="D89" s="28" t="str">
        <f>VLOOKUP(A89,Classification!$A:$D,2,FALSE)</f>
        <v>A</v>
      </c>
      <c r="E89" s="49" t="str">
        <f>VLOOKUP(B89,Classification!$A:$D,2,FALSE)</f>
        <v>A</v>
      </c>
      <c r="F89" s="15" t="str">
        <f>VLOOKUP(C89,Classification!$A:$D,2,FALSE)</f>
        <v>A</v>
      </c>
      <c r="G89" s="15" t="b">
        <f t="shared" si="1"/>
        <v>1</v>
      </c>
      <c r="H89" s="10" t="str">
        <f>IF(ISERROR(MATCH(A89,'SegEnds_Xtal_Prot#'!B:B, 0)), "NoXtal", "Xtal")</f>
        <v>Xtal</v>
      </c>
      <c r="J89" s="3"/>
    </row>
    <row r="90" spans="1:10" x14ac:dyDescent="0.2">
      <c r="A90" s="1" t="s">
        <v>298</v>
      </c>
      <c r="B90" s="1" t="s">
        <v>103</v>
      </c>
      <c r="C90" t="s">
        <v>139</v>
      </c>
      <c r="D90" s="28" t="str">
        <f>VLOOKUP(A90,Classification!$A:$D,2,FALSE)</f>
        <v>A</v>
      </c>
      <c r="E90" s="49" t="str">
        <f>VLOOKUP(B90,Classification!$A:$D,2,FALSE)</f>
        <v>A</v>
      </c>
      <c r="F90" s="15" t="str">
        <f>VLOOKUP(C90,Classification!$A:$D,2,FALSE)</f>
        <v>A</v>
      </c>
      <c r="G90" s="15" t="b">
        <f t="shared" si="1"/>
        <v>1</v>
      </c>
      <c r="H90" s="10" t="str">
        <f>IF(ISERROR(MATCH(A90,'SegEnds_Xtal_Prot#'!B:B, 0)), "NoXtal", "Xtal")</f>
        <v>NoXtal</v>
      </c>
      <c r="J90" s="3"/>
    </row>
    <row r="91" spans="1:10" x14ac:dyDescent="0.2">
      <c r="A91" s="1" t="s">
        <v>141</v>
      </c>
      <c r="B91" s="1" t="s">
        <v>138</v>
      </c>
      <c r="C91" t="s">
        <v>138</v>
      </c>
      <c r="D91" s="28" t="str">
        <f>VLOOKUP(A91,Classification!$A:$D,2,FALSE)</f>
        <v>A</v>
      </c>
      <c r="E91" s="49" t="str">
        <f>VLOOKUP(B91,Classification!$A:$D,2,FALSE)</f>
        <v>A</v>
      </c>
      <c r="F91" s="15" t="str">
        <f>VLOOKUP(C91,Classification!$A:$D,2,FALSE)</f>
        <v>A</v>
      </c>
      <c r="G91" s="15" t="b">
        <f t="shared" si="1"/>
        <v>1</v>
      </c>
      <c r="H91" s="10" t="str">
        <f>IF(ISERROR(MATCH(A91,'SegEnds_Xtal_Prot#'!B:B, 0)), "NoXtal", "Xtal")</f>
        <v>NoXtal</v>
      </c>
      <c r="J91" s="3"/>
    </row>
    <row r="92" spans="1:10" x14ac:dyDescent="0.2">
      <c r="A92" s="1" t="s">
        <v>138</v>
      </c>
      <c r="B92" s="1" t="s">
        <v>138</v>
      </c>
      <c r="C92" t="s">
        <v>138</v>
      </c>
      <c r="D92" s="28" t="str">
        <f>VLOOKUP(A92,Classification!$A:$D,2,FALSE)</f>
        <v>A</v>
      </c>
      <c r="E92" s="49" t="str">
        <f>VLOOKUP(B92,Classification!$A:$D,2,FALSE)</f>
        <v>A</v>
      </c>
      <c r="F92" s="15" t="str">
        <f>VLOOKUP(C92,Classification!$A:$D,2,FALSE)</f>
        <v>A</v>
      </c>
      <c r="G92" s="15" t="b">
        <f t="shared" si="1"/>
        <v>1</v>
      </c>
      <c r="H92" s="10" t="str">
        <f>IF(ISERROR(MATCH(A92,'SegEnds_Xtal_Prot#'!B:B, 0)), "NoXtal", "Xtal")</f>
        <v>Xtal</v>
      </c>
      <c r="J92" s="3"/>
    </row>
    <row r="93" spans="1:10" x14ac:dyDescent="0.2">
      <c r="A93" s="1" t="s">
        <v>140</v>
      </c>
      <c r="B93" s="1" t="s">
        <v>139</v>
      </c>
      <c r="C93" t="s">
        <v>139</v>
      </c>
      <c r="D93" s="28" t="str">
        <f>VLOOKUP(A93,Classification!$A:$D,2,FALSE)</f>
        <v>A</v>
      </c>
      <c r="E93" s="49" t="str">
        <f>VLOOKUP(B93,Classification!$A:$D,2,FALSE)</f>
        <v>A</v>
      </c>
      <c r="F93" s="15" t="str">
        <f>VLOOKUP(C93,Classification!$A:$D,2,FALSE)</f>
        <v>A</v>
      </c>
      <c r="G93" s="15" t="b">
        <f t="shared" si="1"/>
        <v>1</v>
      </c>
      <c r="H93" s="10" t="str">
        <f>IF(ISERROR(MATCH(A93,'SegEnds_Xtal_Prot#'!B:B, 0)), "NoXtal", "Xtal")</f>
        <v>NoXtal</v>
      </c>
      <c r="J93" s="3"/>
    </row>
    <row r="94" spans="1:10" x14ac:dyDescent="0.2">
      <c r="A94" s="1" t="s">
        <v>361</v>
      </c>
      <c r="B94" s="1" t="s">
        <v>473</v>
      </c>
      <c r="C94" t="s">
        <v>139</v>
      </c>
      <c r="D94" s="28" t="str">
        <f>VLOOKUP(A94,Classification!$A:$D,2,FALSE)</f>
        <v>A</v>
      </c>
      <c r="E94" s="49" t="str">
        <f>VLOOKUP(B94,Classification!$A:$D,2,FALSE)</f>
        <v>A</v>
      </c>
      <c r="F94" s="15" t="str">
        <f>VLOOKUP(C94,Classification!$A:$D,2,FALSE)</f>
        <v>A</v>
      </c>
      <c r="G94" s="15" t="b">
        <f t="shared" si="1"/>
        <v>1</v>
      </c>
      <c r="H94" s="10" t="str">
        <f>IF(ISERROR(MATCH(A94,'SegEnds_Xtal_Prot#'!B:B, 0)), "NoXtal", "Xtal")</f>
        <v>NoXtal</v>
      </c>
      <c r="J94" s="3"/>
    </row>
    <row r="95" spans="1:10" x14ac:dyDescent="0.2">
      <c r="A95" s="1" t="s">
        <v>204</v>
      </c>
      <c r="B95" s="1" t="s">
        <v>139</v>
      </c>
      <c r="C95" t="s">
        <v>139</v>
      </c>
      <c r="D95" s="28" t="str">
        <f>VLOOKUP(A95,Classification!$A:$D,2,FALSE)</f>
        <v>A</v>
      </c>
      <c r="E95" s="49" t="str">
        <f>VLOOKUP(B95,Classification!$A:$D,2,FALSE)</f>
        <v>A</v>
      </c>
      <c r="F95" s="15" t="str">
        <f>VLOOKUP(C95,Classification!$A:$D,2,FALSE)</f>
        <v>A</v>
      </c>
      <c r="G95" s="15" t="b">
        <f t="shared" si="1"/>
        <v>1</v>
      </c>
      <c r="H95" s="10" t="str">
        <f>IF(ISERROR(MATCH(A95,'SegEnds_Xtal_Prot#'!B:B, 0)), "NoXtal", "Xtal")</f>
        <v>NoXtal</v>
      </c>
      <c r="J95" s="3"/>
    </row>
    <row r="96" spans="1:10" x14ac:dyDescent="0.2">
      <c r="A96" s="1" t="s">
        <v>291</v>
      </c>
      <c r="B96" s="1" t="s">
        <v>278</v>
      </c>
      <c r="C96" t="s">
        <v>139</v>
      </c>
      <c r="D96" s="28" t="str">
        <f>VLOOKUP(A96,Classification!$A:$D,2,FALSE)</f>
        <v>A</v>
      </c>
      <c r="E96" s="49" t="str">
        <f>VLOOKUP(B96,Classification!$A:$D,2,FALSE)</f>
        <v>A</v>
      </c>
      <c r="F96" s="15" t="str">
        <f>VLOOKUP(C96,Classification!$A:$D,2,FALSE)</f>
        <v>A</v>
      </c>
      <c r="G96" s="15" t="b">
        <f t="shared" si="1"/>
        <v>1</v>
      </c>
      <c r="H96" s="10" t="str">
        <f>IF(ISERROR(MATCH(A96,'SegEnds_Xtal_Prot#'!B:B, 0)), "NoXtal", "Xtal")</f>
        <v>NoXtal</v>
      </c>
      <c r="J96" s="3"/>
    </row>
    <row r="97" spans="1:10" x14ac:dyDescent="0.2">
      <c r="A97" s="1" t="s">
        <v>395</v>
      </c>
      <c r="B97" s="1" t="s">
        <v>139</v>
      </c>
      <c r="C97" t="s">
        <v>139</v>
      </c>
      <c r="D97" s="28" t="str">
        <f>VLOOKUP(A97,Classification!$A:$D,2,FALSE)</f>
        <v>A</v>
      </c>
      <c r="E97" s="49" t="str">
        <f>VLOOKUP(B97,Classification!$A:$D,2,FALSE)</f>
        <v>A</v>
      </c>
      <c r="F97" s="15" t="str">
        <f>VLOOKUP(C97,Classification!$A:$D,2,FALSE)</f>
        <v>A</v>
      </c>
      <c r="G97" s="15" t="b">
        <f t="shared" si="1"/>
        <v>1</v>
      </c>
      <c r="H97" s="10" t="str">
        <f>IF(ISERROR(MATCH(A97,'SegEnds_Xtal_Prot#'!B:B, 0)), "NoXtal", "Xtal")</f>
        <v>NoXtal</v>
      </c>
      <c r="J97" s="3"/>
    </row>
    <row r="98" spans="1:10" x14ac:dyDescent="0.2">
      <c r="A98" s="1" t="s">
        <v>284</v>
      </c>
      <c r="B98" s="1" t="s">
        <v>139</v>
      </c>
      <c r="C98" t="s">
        <v>139</v>
      </c>
      <c r="D98" s="28" t="str">
        <f>VLOOKUP(A98,Classification!$A:$D,2,FALSE)</f>
        <v>A</v>
      </c>
      <c r="E98" s="49" t="str">
        <f>VLOOKUP(B98,Classification!$A:$D,2,FALSE)</f>
        <v>A</v>
      </c>
      <c r="F98" s="15" t="str">
        <f>VLOOKUP(C98,Classification!$A:$D,2,FALSE)</f>
        <v>A</v>
      </c>
      <c r="G98" s="15" t="b">
        <f t="shared" si="1"/>
        <v>1</v>
      </c>
      <c r="H98" s="10" t="str">
        <f>IF(ISERROR(MATCH(A98,'SegEnds_Xtal_Prot#'!B:B, 0)), "NoXtal", "Xtal")</f>
        <v>NoXtal</v>
      </c>
      <c r="J98" s="3"/>
    </row>
    <row r="99" spans="1:10" x14ac:dyDescent="0.2">
      <c r="A99" s="1" t="s">
        <v>139</v>
      </c>
      <c r="B99" s="1" t="s">
        <v>139</v>
      </c>
      <c r="C99" t="s">
        <v>139</v>
      </c>
      <c r="D99" s="28" t="str">
        <f>VLOOKUP(A99,Classification!$A:$D,2,FALSE)</f>
        <v>A</v>
      </c>
      <c r="E99" s="49" t="str">
        <f>VLOOKUP(B99,Classification!$A:$D,2,FALSE)</f>
        <v>A</v>
      </c>
      <c r="F99" s="15" t="str">
        <f>VLOOKUP(C99,Classification!$A:$D,2,FALSE)</f>
        <v>A</v>
      </c>
      <c r="G99" s="15" t="b">
        <f t="shared" si="1"/>
        <v>1</v>
      </c>
      <c r="H99" s="10" t="str">
        <f>IF(ISERROR(MATCH(A99,'SegEnds_Xtal_Prot#'!B:B, 0)), "NoXtal", "Xtal")</f>
        <v>Xtal</v>
      </c>
      <c r="J99" s="3"/>
    </row>
    <row r="100" spans="1:10" x14ac:dyDescent="0.2">
      <c r="A100" s="1" t="s">
        <v>280</v>
      </c>
      <c r="B100" s="1" t="s">
        <v>278</v>
      </c>
      <c r="C100" t="s">
        <v>146</v>
      </c>
      <c r="D100" s="28" t="str">
        <f>VLOOKUP(A100,Classification!$A:$D,2,FALSE)</f>
        <v>A</v>
      </c>
      <c r="E100" s="49" t="str">
        <f>VLOOKUP(B100,Classification!$A:$D,2,FALSE)</f>
        <v>A</v>
      </c>
      <c r="F100" s="15" t="str">
        <f>VLOOKUP(C100,Classification!$A:$D,2,FALSE)</f>
        <v>A</v>
      </c>
      <c r="G100" s="15" t="b">
        <f t="shared" si="1"/>
        <v>1</v>
      </c>
      <c r="H100" s="10" t="str">
        <f>IF(ISERROR(MATCH(A100,'SegEnds_Xtal_Prot#'!B:B, 0)), "NoXtal", "Xtal")</f>
        <v>NoXtal</v>
      </c>
      <c r="J100" s="3"/>
    </row>
    <row r="101" spans="1:10" x14ac:dyDescent="0.2">
      <c r="A101" s="1" t="s">
        <v>146</v>
      </c>
      <c r="B101" s="1" t="s">
        <v>146</v>
      </c>
      <c r="C101" t="s">
        <v>146</v>
      </c>
      <c r="D101" s="28" t="str">
        <f>VLOOKUP(A101,Classification!$A:$D,2,FALSE)</f>
        <v>A</v>
      </c>
      <c r="E101" s="49" t="str">
        <f>VLOOKUP(B101,Classification!$A:$D,2,FALSE)</f>
        <v>A</v>
      </c>
      <c r="F101" s="15" t="str">
        <f>VLOOKUP(C101,Classification!$A:$D,2,FALSE)</f>
        <v>A</v>
      </c>
      <c r="G101" s="15" t="b">
        <f t="shared" si="1"/>
        <v>1</v>
      </c>
      <c r="H101" s="10" t="str">
        <f>IF(ISERROR(MATCH(A101,'SegEnds_Xtal_Prot#'!B:B, 0)), "NoXtal", "Xtal")</f>
        <v>Xtal</v>
      </c>
      <c r="J101" s="3"/>
    </row>
    <row r="102" spans="1:10" x14ac:dyDescent="0.2">
      <c r="A102" s="1" t="s">
        <v>235</v>
      </c>
      <c r="B102" s="1" t="s">
        <v>103</v>
      </c>
      <c r="C102" t="s">
        <v>146</v>
      </c>
      <c r="D102" s="28" t="str">
        <f>VLOOKUP(A102,Classification!$A:$D,2,FALSE)</f>
        <v>A</v>
      </c>
      <c r="E102" s="49" t="str">
        <f>VLOOKUP(B102,Classification!$A:$D,2,FALSE)</f>
        <v>A</v>
      </c>
      <c r="F102" s="15" t="str">
        <f>VLOOKUP(C102,Classification!$A:$D,2,FALSE)</f>
        <v>A</v>
      </c>
      <c r="G102" s="15" t="b">
        <f t="shared" si="1"/>
        <v>1</v>
      </c>
      <c r="H102" s="10" t="str">
        <f>IF(ISERROR(MATCH(A102,'SegEnds_Xtal_Prot#'!B:B, 0)), "NoXtal", "Xtal")</f>
        <v>NoXtal</v>
      </c>
      <c r="J102" s="3"/>
    </row>
    <row r="103" spans="1:10" x14ac:dyDescent="0.2">
      <c r="A103" s="1" t="s">
        <v>147</v>
      </c>
      <c r="B103" s="1" t="s">
        <v>147</v>
      </c>
      <c r="C103" t="s">
        <v>147</v>
      </c>
      <c r="D103" s="28" t="str">
        <f>VLOOKUP(A103,Classification!$A:$D,2,FALSE)</f>
        <v>A</v>
      </c>
      <c r="E103" s="49" t="str">
        <f>VLOOKUP(B103,Classification!$A:$D,2,FALSE)</f>
        <v>A</v>
      </c>
      <c r="F103" s="15" t="str">
        <f>VLOOKUP(C103,Classification!$A:$D,2,FALSE)</f>
        <v>A</v>
      </c>
      <c r="G103" s="15" t="b">
        <f t="shared" si="1"/>
        <v>1</v>
      </c>
      <c r="H103" s="10" t="str">
        <f>IF(ISERROR(MATCH(A103,'SegEnds_Xtal_Prot#'!B:B, 0)), "NoXtal", "Xtal")</f>
        <v>Xtal</v>
      </c>
      <c r="J103" s="3"/>
    </row>
    <row r="104" spans="1:10" x14ac:dyDescent="0.2">
      <c r="A104" s="1" t="s">
        <v>281</v>
      </c>
      <c r="B104" s="1" t="s">
        <v>910</v>
      </c>
      <c r="C104" t="s">
        <v>910</v>
      </c>
      <c r="D104" s="28" t="str">
        <f>VLOOKUP(A104,Classification!$A:$D,2,FALSE)</f>
        <v>A</v>
      </c>
      <c r="E104" s="49" t="str">
        <f>VLOOKUP(B104,Classification!$A:$D,2,FALSE)</f>
        <v>A</v>
      </c>
      <c r="F104" s="15" t="str">
        <f>VLOOKUP(C104,Classification!$A:$D,2,FALSE)</f>
        <v>A</v>
      </c>
      <c r="G104" s="15" t="b">
        <f t="shared" si="1"/>
        <v>1</v>
      </c>
      <c r="H104" s="10" t="str">
        <f>IF(ISERROR(MATCH(A104,'SegEnds_Xtal_Prot#'!B:B, 0)), "NoXtal", "Xtal")</f>
        <v>NoXtal</v>
      </c>
      <c r="J104" s="3"/>
    </row>
    <row r="105" spans="1:10" x14ac:dyDescent="0.2">
      <c r="A105" s="1" t="s">
        <v>150</v>
      </c>
      <c r="B105" s="1" t="s">
        <v>910</v>
      </c>
      <c r="C105" t="s">
        <v>910</v>
      </c>
      <c r="D105" s="28" t="str">
        <f>VLOOKUP(A105,Classification!$A:$D,2,FALSE)</f>
        <v>A</v>
      </c>
      <c r="E105" s="49" t="str">
        <f>VLOOKUP(B105,Classification!$A:$D,2,FALSE)</f>
        <v>A</v>
      </c>
      <c r="F105" s="15" t="str">
        <f>VLOOKUP(C105,Classification!$A:$D,2,FALSE)</f>
        <v>A</v>
      </c>
      <c r="G105" s="15" t="b">
        <f t="shared" si="1"/>
        <v>1</v>
      </c>
      <c r="H105" s="10" t="str">
        <f>IF(ISERROR(MATCH(A105,'SegEnds_Xtal_Prot#'!B:B, 0)), "NoXtal", "Xtal")</f>
        <v>NoXtal</v>
      </c>
      <c r="J105" s="3"/>
    </row>
    <row r="106" spans="1:10" x14ac:dyDescent="0.2">
      <c r="A106" s="1" t="s">
        <v>910</v>
      </c>
      <c r="B106" s="1" t="s">
        <v>910</v>
      </c>
      <c r="C106" t="s">
        <v>910</v>
      </c>
      <c r="D106" s="28" t="str">
        <f>VLOOKUP(A106,Classification!$A:$D,2,FALSE)</f>
        <v>A</v>
      </c>
      <c r="E106" s="49" t="str">
        <f>VLOOKUP(B106,Classification!$A:$D,2,FALSE)</f>
        <v>A</v>
      </c>
      <c r="F106" s="15" t="str">
        <f>VLOOKUP(C106,Classification!$A:$D,2,FALSE)</f>
        <v>A</v>
      </c>
      <c r="G106" s="15" t="b">
        <f t="shared" si="1"/>
        <v>1</v>
      </c>
      <c r="H106" s="10" t="str">
        <f>IF(ISERROR(MATCH(A106,'SegEnds_Xtal_Prot#'!B:B, 0)), "NoXtal", "Xtal")</f>
        <v>Xtal</v>
      </c>
      <c r="J106" s="3"/>
    </row>
    <row r="107" spans="1:10" x14ac:dyDescent="0.2">
      <c r="A107" s="1" t="s">
        <v>148</v>
      </c>
      <c r="B107" s="1" t="s">
        <v>910</v>
      </c>
      <c r="C107" t="s">
        <v>910</v>
      </c>
      <c r="D107" s="28" t="str">
        <f>VLOOKUP(A107,Classification!$A:$D,2,FALSE)</f>
        <v>A</v>
      </c>
      <c r="E107" s="49" t="str">
        <f>VLOOKUP(B107,Classification!$A:$D,2,FALSE)</f>
        <v>A</v>
      </c>
      <c r="F107" s="15" t="str">
        <f>VLOOKUP(C107,Classification!$A:$D,2,FALSE)</f>
        <v>A</v>
      </c>
      <c r="G107" s="15" t="b">
        <f t="shared" si="1"/>
        <v>1</v>
      </c>
      <c r="H107" s="10" t="str">
        <f>IF(ISERROR(MATCH(A107,'SegEnds_Xtal_Prot#'!B:B, 0)), "NoXtal", "Xtal")</f>
        <v>NoXtal</v>
      </c>
      <c r="J107" s="3"/>
    </row>
    <row r="108" spans="1:10" x14ac:dyDescent="0.2">
      <c r="A108" s="1" t="s">
        <v>149</v>
      </c>
      <c r="B108" s="1" t="s">
        <v>149</v>
      </c>
      <c r="C108" t="s">
        <v>149</v>
      </c>
      <c r="D108" s="28" t="str">
        <f>VLOOKUP(A108,Classification!$A:$D,2,FALSE)</f>
        <v>A</v>
      </c>
      <c r="E108" s="49" t="str">
        <f>VLOOKUP(B108,Classification!$A:$D,2,FALSE)</f>
        <v>A</v>
      </c>
      <c r="F108" s="15" t="str">
        <f>VLOOKUP(C108,Classification!$A:$D,2,FALSE)</f>
        <v>A</v>
      </c>
      <c r="G108" s="15" t="b">
        <f t="shared" si="1"/>
        <v>1</v>
      </c>
      <c r="H108" s="10" t="str">
        <f>IF(ISERROR(MATCH(A108,'SegEnds_Xtal_Prot#'!B:B, 0)), "NoXtal", "Xtal")</f>
        <v>Xtal</v>
      </c>
      <c r="J108" s="3"/>
    </row>
    <row r="109" spans="1:10" x14ac:dyDescent="0.2">
      <c r="A109" s="1" t="s">
        <v>228</v>
      </c>
      <c r="B109" s="1" t="s">
        <v>325</v>
      </c>
      <c r="C109" t="s">
        <v>149</v>
      </c>
      <c r="D109" s="28" t="str">
        <f>VLOOKUP(A109,Classification!$A:$D,2,FALSE)</f>
        <v>A</v>
      </c>
      <c r="E109" s="49" t="str">
        <f>VLOOKUP(B109,Classification!$A:$D,2,FALSE)</f>
        <v>A</v>
      </c>
      <c r="F109" s="15" t="str">
        <f>VLOOKUP(C109,Classification!$A:$D,2,FALSE)</f>
        <v>A</v>
      </c>
      <c r="G109" s="15" t="b">
        <f t="shared" si="1"/>
        <v>1</v>
      </c>
      <c r="H109" s="10" t="str">
        <f>IF(ISERROR(MATCH(A109,'SegEnds_Xtal_Prot#'!B:B, 0)), "NoXtal", "Xtal")</f>
        <v>NoXtal</v>
      </c>
      <c r="J109" s="3"/>
    </row>
    <row r="110" spans="1:10" x14ac:dyDescent="0.2">
      <c r="A110" s="1" t="s">
        <v>387</v>
      </c>
      <c r="B110" s="1" t="s">
        <v>191</v>
      </c>
      <c r="C110" t="s">
        <v>912</v>
      </c>
      <c r="D110" s="28" t="str">
        <f>VLOOKUP(A110,Classification!$A:$D,2,FALSE)</f>
        <v>A</v>
      </c>
      <c r="E110" s="49" t="str">
        <f>VLOOKUP(B110,Classification!$A:$D,2,FALSE)</f>
        <v>A</v>
      </c>
      <c r="F110" s="15" t="str">
        <f>VLOOKUP(C110,Classification!$A:$D,2,FALSE)</f>
        <v>A</v>
      </c>
      <c r="G110" s="15" t="b">
        <f t="shared" si="1"/>
        <v>1</v>
      </c>
      <c r="H110" s="10" t="str">
        <f>IF(ISERROR(MATCH(A110,'SegEnds_Xtal_Prot#'!B:B, 0)), "NoXtal", "Xtal")</f>
        <v>NoXtal</v>
      </c>
      <c r="J110" s="3"/>
    </row>
    <row r="111" spans="1:10" x14ac:dyDescent="0.2">
      <c r="A111" s="1" t="s">
        <v>259</v>
      </c>
      <c r="B111" s="1" t="s">
        <v>191</v>
      </c>
      <c r="C111" t="s">
        <v>912</v>
      </c>
      <c r="D111" s="28" t="str">
        <f>VLOOKUP(A111,Classification!$A:$D,2,FALSE)</f>
        <v>A</v>
      </c>
      <c r="E111" s="49" t="str">
        <f>VLOOKUP(B111,Classification!$A:$D,2,FALSE)</f>
        <v>A</v>
      </c>
      <c r="F111" s="15" t="str">
        <f>VLOOKUP(C111,Classification!$A:$D,2,FALSE)</f>
        <v>A</v>
      </c>
      <c r="G111" s="15" t="b">
        <f t="shared" si="1"/>
        <v>1</v>
      </c>
      <c r="H111" s="10" t="str">
        <f>IF(ISERROR(MATCH(A111,'SegEnds_Xtal_Prot#'!B:B, 0)), "NoXtal", "Xtal")</f>
        <v>NoXtal</v>
      </c>
      <c r="J111" s="3"/>
    </row>
    <row r="112" spans="1:10" x14ac:dyDescent="0.2">
      <c r="A112" s="1" t="s">
        <v>212</v>
      </c>
      <c r="B112" s="1" t="s">
        <v>133</v>
      </c>
      <c r="C112" t="s">
        <v>912</v>
      </c>
      <c r="D112" s="28" t="str">
        <f>VLOOKUP(A112,Classification!$A:$D,2,FALSE)</f>
        <v>A</v>
      </c>
      <c r="E112" s="49" t="str">
        <f>VLOOKUP(B112,Classification!$A:$D,2,FALSE)</f>
        <v>A</v>
      </c>
      <c r="F112" s="15" t="str">
        <f>VLOOKUP(C112,Classification!$A:$D,2,FALSE)</f>
        <v>A</v>
      </c>
      <c r="G112" s="15" t="b">
        <f t="shared" si="1"/>
        <v>1</v>
      </c>
      <c r="H112" s="10" t="str">
        <f>IF(ISERROR(MATCH(A112,'SegEnds_Xtal_Prot#'!B:B, 0)), "NoXtal", "Xtal")</f>
        <v>NoXtal</v>
      </c>
      <c r="J112" s="3"/>
    </row>
    <row r="113" spans="1:10" x14ac:dyDescent="0.2">
      <c r="A113" s="1" t="s">
        <v>311</v>
      </c>
      <c r="B113" s="1" t="s">
        <v>325</v>
      </c>
      <c r="C113" t="s">
        <v>912</v>
      </c>
      <c r="D113" s="28" t="str">
        <f>VLOOKUP(A113,Classification!$A:$D,2,FALSE)</f>
        <v>A</v>
      </c>
      <c r="E113" s="49" t="str">
        <f>VLOOKUP(B113,Classification!$A:$D,2,FALSE)</f>
        <v>A</v>
      </c>
      <c r="F113" s="15" t="str">
        <f>VLOOKUP(C113,Classification!$A:$D,2,FALSE)</f>
        <v>A</v>
      </c>
      <c r="G113" s="15" t="b">
        <f t="shared" si="1"/>
        <v>1</v>
      </c>
      <c r="H113" s="10" t="str">
        <f>IF(ISERROR(MATCH(A113,'SegEnds_Xtal_Prot#'!B:B, 0)), "NoXtal", "Xtal")</f>
        <v>NoXtal</v>
      </c>
      <c r="J113" s="3"/>
    </row>
    <row r="114" spans="1:10" x14ac:dyDescent="0.2">
      <c r="A114" s="1" t="s">
        <v>102</v>
      </c>
      <c r="B114" s="1" t="s">
        <v>126</v>
      </c>
      <c r="C114" t="s">
        <v>912</v>
      </c>
      <c r="D114" s="28" t="str">
        <f>VLOOKUP(A114,Classification!$A:$D,2,FALSE)</f>
        <v>A</v>
      </c>
      <c r="E114" s="49" t="str">
        <f>VLOOKUP(B114,Classification!$A:$D,2,FALSE)</f>
        <v>A</v>
      </c>
      <c r="F114" s="15" t="str">
        <f>VLOOKUP(C114,Classification!$A:$D,2,FALSE)</f>
        <v>A</v>
      </c>
      <c r="G114" s="15" t="b">
        <f t="shared" si="1"/>
        <v>1</v>
      </c>
      <c r="H114" s="10" t="str">
        <f>IF(ISERROR(MATCH(A114,'SegEnds_Xtal_Prot#'!B:B, 0)), "NoXtal", "Xtal")</f>
        <v>NoXtal</v>
      </c>
      <c r="J114" s="3"/>
    </row>
    <row r="115" spans="1:10" x14ac:dyDescent="0.2">
      <c r="A115" s="1" t="s">
        <v>376</v>
      </c>
      <c r="B115" s="1" t="s">
        <v>138</v>
      </c>
      <c r="C115" t="s">
        <v>912</v>
      </c>
      <c r="D115" s="28" t="str">
        <f>VLOOKUP(A115,Classification!$A:$D,2,FALSE)</f>
        <v>A</v>
      </c>
      <c r="E115" s="49" t="str">
        <f>VLOOKUP(B115,Classification!$A:$D,2,FALSE)</f>
        <v>A</v>
      </c>
      <c r="F115" s="15" t="str">
        <f>VLOOKUP(C115,Classification!$A:$D,2,FALSE)</f>
        <v>A</v>
      </c>
      <c r="G115" s="15" t="b">
        <f t="shared" si="1"/>
        <v>1</v>
      </c>
      <c r="H115" s="10" t="str">
        <f>IF(ISERROR(MATCH(A115,'SegEnds_Xtal_Prot#'!B:B, 0)), "NoXtal", "Xtal")</f>
        <v>NoXtal</v>
      </c>
      <c r="J115" s="3"/>
    </row>
    <row r="116" spans="1:10" x14ac:dyDescent="0.2">
      <c r="A116" s="1" t="s">
        <v>279</v>
      </c>
      <c r="B116" s="1" t="s">
        <v>126</v>
      </c>
      <c r="C116" t="s">
        <v>912</v>
      </c>
      <c r="D116" s="28" t="str">
        <f>VLOOKUP(A116,Classification!$A:$D,2,FALSE)</f>
        <v>A</v>
      </c>
      <c r="E116" s="49" t="str">
        <f>VLOOKUP(B116,Classification!$A:$D,2,FALSE)</f>
        <v>A</v>
      </c>
      <c r="F116" s="15" t="str">
        <f>VLOOKUP(C116,Classification!$A:$D,2,FALSE)</f>
        <v>A</v>
      </c>
      <c r="G116" s="15" t="b">
        <f t="shared" si="1"/>
        <v>1</v>
      </c>
      <c r="H116" s="10" t="str">
        <f>IF(ISERROR(MATCH(A116,'SegEnds_Xtal_Prot#'!B:B, 0)), "NoXtal", "Xtal")</f>
        <v>NoXtal</v>
      </c>
      <c r="J116" s="3"/>
    </row>
    <row r="117" spans="1:10" x14ac:dyDescent="0.2">
      <c r="A117" s="1" t="s">
        <v>134</v>
      </c>
      <c r="B117" s="1" t="s">
        <v>191</v>
      </c>
      <c r="C117" t="s">
        <v>912</v>
      </c>
      <c r="D117" s="28" t="str">
        <f>VLOOKUP(A117,Classification!$A:$D,2,FALSE)</f>
        <v>A</v>
      </c>
      <c r="E117" s="49" t="str">
        <f>VLOOKUP(B117,Classification!$A:$D,2,FALSE)</f>
        <v>A</v>
      </c>
      <c r="F117" s="15" t="str">
        <f>VLOOKUP(C117,Classification!$A:$D,2,FALSE)</f>
        <v>A</v>
      </c>
      <c r="G117" s="15" t="b">
        <f t="shared" si="1"/>
        <v>1</v>
      </c>
      <c r="H117" s="10" t="str">
        <f>IF(ISERROR(MATCH(A117,'SegEnds_Xtal_Prot#'!B:B, 0)), "NoXtal", "Xtal")</f>
        <v>NoXtal</v>
      </c>
      <c r="J117" s="3"/>
    </row>
    <row r="118" spans="1:10" x14ac:dyDescent="0.2">
      <c r="A118" s="1" t="s">
        <v>125</v>
      </c>
      <c r="B118" s="1" t="s">
        <v>126</v>
      </c>
      <c r="C118" t="s">
        <v>912</v>
      </c>
      <c r="D118" s="28" t="str">
        <f>VLOOKUP(A118,Classification!$A:$D,2,FALSE)</f>
        <v>A</v>
      </c>
      <c r="E118" s="49" t="str">
        <f>VLOOKUP(B118,Classification!$A:$D,2,FALSE)</f>
        <v>A</v>
      </c>
      <c r="F118" s="15" t="str">
        <f>VLOOKUP(C118,Classification!$A:$D,2,FALSE)</f>
        <v>A</v>
      </c>
      <c r="G118" s="15" t="b">
        <f t="shared" si="1"/>
        <v>1</v>
      </c>
      <c r="H118" s="10" t="str">
        <f>IF(ISERROR(MATCH(A118,'SegEnds_Xtal_Prot#'!B:B, 0)), "NoXtal", "Xtal")</f>
        <v>NoXtal</v>
      </c>
      <c r="J118" s="3"/>
    </row>
    <row r="119" spans="1:10" x14ac:dyDescent="0.2">
      <c r="A119" s="1" t="s">
        <v>190</v>
      </c>
      <c r="B119" s="1" t="s">
        <v>126</v>
      </c>
      <c r="C119" t="s">
        <v>912</v>
      </c>
      <c r="D119" s="28" t="str">
        <f>VLOOKUP(A119,Classification!$A:$D,2,FALSE)</f>
        <v>A</v>
      </c>
      <c r="E119" s="49" t="str">
        <f>VLOOKUP(B119,Classification!$A:$D,2,FALSE)</f>
        <v>A</v>
      </c>
      <c r="F119" s="15" t="str">
        <f>VLOOKUP(C119,Classification!$A:$D,2,FALSE)</f>
        <v>A</v>
      </c>
      <c r="G119" s="15" t="b">
        <f t="shared" si="1"/>
        <v>1</v>
      </c>
      <c r="H119" s="10" t="str">
        <f>IF(ISERROR(MATCH(A119,'SegEnds_Xtal_Prot#'!B:B, 0)), "NoXtal", "Xtal")</f>
        <v>NoXtal</v>
      </c>
      <c r="J119" s="3"/>
    </row>
    <row r="120" spans="1:10" x14ac:dyDescent="0.2">
      <c r="A120" s="1" t="s">
        <v>194</v>
      </c>
      <c r="B120" s="1" t="s">
        <v>126</v>
      </c>
      <c r="C120" t="s">
        <v>912</v>
      </c>
      <c r="D120" s="28" t="str">
        <f>VLOOKUP(A120,Classification!$A:$D,2,FALSE)</f>
        <v>A</v>
      </c>
      <c r="E120" s="49" t="str">
        <f>VLOOKUP(B120,Classification!$A:$D,2,FALSE)</f>
        <v>A</v>
      </c>
      <c r="F120" s="15" t="str">
        <f>VLOOKUP(C120,Classification!$A:$D,2,FALSE)</f>
        <v>A</v>
      </c>
      <c r="G120" s="15" t="b">
        <f t="shared" si="1"/>
        <v>1</v>
      </c>
      <c r="H120" s="10" t="str">
        <f>IF(ISERROR(MATCH(A120,'SegEnds_Xtal_Prot#'!B:B, 0)), "NoXtal", "Xtal")</f>
        <v>NoXtal</v>
      </c>
      <c r="J120" s="3"/>
    </row>
    <row r="121" spans="1:10" x14ac:dyDescent="0.2">
      <c r="A121" s="1" t="s">
        <v>136</v>
      </c>
      <c r="B121" s="1" t="s">
        <v>133</v>
      </c>
      <c r="C121" t="s">
        <v>912</v>
      </c>
      <c r="D121" s="28" t="str">
        <f>VLOOKUP(A121,Classification!$A:$D,2,FALSE)</f>
        <v>A</v>
      </c>
      <c r="E121" s="49" t="str">
        <f>VLOOKUP(B121,Classification!$A:$D,2,FALSE)</f>
        <v>A</v>
      </c>
      <c r="F121" s="15" t="str">
        <f>VLOOKUP(C121,Classification!$A:$D,2,FALSE)</f>
        <v>A</v>
      </c>
      <c r="G121" s="15" t="b">
        <f t="shared" si="1"/>
        <v>1</v>
      </c>
      <c r="H121" s="10" t="str">
        <f>IF(ISERROR(MATCH(A121,'SegEnds_Xtal_Prot#'!B:B, 0)), "NoXtal", "Xtal")</f>
        <v>NoXtal</v>
      </c>
      <c r="J121" s="3"/>
    </row>
    <row r="122" spans="1:10" x14ac:dyDescent="0.2">
      <c r="A122" s="1" t="s">
        <v>912</v>
      </c>
      <c r="B122" s="1" t="s">
        <v>912</v>
      </c>
      <c r="C122" t="s">
        <v>912</v>
      </c>
      <c r="D122" s="28" t="str">
        <f>VLOOKUP(A122,Classification!$A:$D,2,FALSE)</f>
        <v>A</v>
      </c>
      <c r="E122" s="49" t="str">
        <f>VLOOKUP(B122,Classification!$A:$D,2,FALSE)</f>
        <v>A</v>
      </c>
      <c r="F122" s="15" t="str">
        <f>VLOOKUP(C122,Classification!$A:$D,2,FALSE)</f>
        <v>A</v>
      </c>
      <c r="G122" s="15" t="b">
        <f t="shared" si="1"/>
        <v>1</v>
      </c>
      <c r="H122" s="10" t="str">
        <f>IF(ISERROR(MATCH(A122,'SegEnds_Xtal_Prot#'!B:B, 0)), "NoXtal", "Xtal")</f>
        <v>Xtal</v>
      </c>
      <c r="J122" s="3"/>
    </row>
    <row r="123" spans="1:10" x14ac:dyDescent="0.2">
      <c r="A123" s="1" t="s">
        <v>154</v>
      </c>
      <c r="B123" s="1" t="s">
        <v>191</v>
      </c>
      <c r="C123" t="s">
        <v>912</v>
      </c>
      <c r="D123" s="28" t="str">
        <f>VLOOKUP(A123,Classification!$A:$D,2,FALSE)</f>
        <v>A</v>
      </c>
      <c r="E123" s="49" t="str">
        <f>VLOOKUP(B123,Classification!$A:$D,2,FALSE)</f>
        <v>A</v>
      </c>
      <c r="F123" s="15" t="str">
        <f>VLOOKUP(C123,Classification!$A:$D,2,FALSE)</f>
        <v>A</v>
      </c>
      <c r="G123" s="15" t="b">
        <f t="shared" si="1"/>
        <v>1</v>
      </c>
      <c r="H123" s="10" t="str">
        <f>IF(ISERROR(MATCH(A123,'SegEnds_Xtal_Prot#'!B:B, 0)), "NoXtal", "Xtal")</f>
        <v>NoXtal</v>
      </c>
      <c r="J123" s="3"/>
    </row>
    <row r="124" spans="1:10" x14ac:dyDescent="0.2">
      <c r="A124" s="1" t="s">
        <v>153</v>
      </c>
      <c r="B124" s="1" t="s">
        <v>191</v>
      </c>
      <c r="C124" t="s">
        <v>912</v>
      </c>
      <c r="D124" s="28" t="str">
        <f>VLOOKUP(A124,Classification!$A:$D,2,FALSE)</f>
        <v>A</v>
      </c>
      <c r="E124" s="49" t="str">
        <f>VLOOKUP(B124,Classification!$A:$D,2,FALSE)</f>
        <v>A</v>
      </c>
      <c r="F124" s="15" t="str">
        <f>VLOOKUP(C124,Classification!$A:$D,2,FALSE)</f>
        <v>A</v>
      </c>
      <c r="G124" s="15" t="b">
        <f t="shared" si="1"/>
        <v>1</v>
      </c>
      <c r="H124" s="10" t="str">
        <f>IF(ISERROR(MATCH(A124,'SegEnds_Xtal_Prot#'!B:B, 0)), "NoXtal", "Xtal")</f>
        <v>NoXtal</v>
      </c>
      <c r="J124" s="3"/>
    </row>
    <row r="125" spans="1:10" x14ac:dyDescent="0.2">
      <c r="A125" s="1" t="s">
        <v>375</v>
      </c>
      <c r="B125" s="1" t="s">
        <v>138</v>
      </c>
      <c r="C125" t="s">
        <v>126</v>
      </c>
      <c r="D125" s="28" t="str">
        <f>VLOOKUP(A125,Classification!$A:$D,2,FALSE)</f>
        <v>A</v>
      </c>
      <c r="E125" s="49" t="str">
        <f>VLOOKUP(B125,Classification!$A:$D,2,FALSE)</f>
        <v>A</v>
      </c>
      <c r="F125" s="15" t="str">
        <f>VLOOKUP(C125,Classification!$A:$D,2,FALSE)</f>
        <v>A</v>
      </c>
      <c r="G125" s="15" t="b">
        <f t="shared" si="1"/>
        <v>1</v>
      </c>
      <c r="H125" s="10" t="str">
        <f>IF(ISERROR(MATCH(A125,'SegEnds_Xtal_Prot#'!B:B, 0)), "NoXtal", "Xtal")</f>
        <v>NoXtal</v>
      </c>
      <c r="J125" s="3"/>
    </row>
    <row r="126" spans="1:10" x14ac:dyDescent="0.2">
      <c r="A126" s="1" t="s">
        <v>126</v>
      </c>
      <c r="B126" s="1" t="s">
        <v>126</v>
      </c>
      <c r="C126" t="s">
        <v>126</v>
      </c>
      <c r="D126" s="28" t="str">
        <f>VLOOKUP(A126,Classification!$A:$D,2,FALSE)</f>
        <v>A</v>
      </c>
      <c r="E126" s="49" t="str">
        <f>VLOOKUP(B126,Classification!$A:$D,2,FALSE)</f>
        <v>A</v>
      </c>
      <c r="F126" s="15" t="str">
        <f>VLOOKUP(C126,Classification!$A:$D,2,FALSE)</f>
        <v>A</v>
      </c>
      <c r="G126" s="15" t="b">
        <f t="shared" si="1"/>
        <v>1</v>
      </c>
      <c r="H126" s="10" t="str">
        <f>IF(ISERROR(MATCH(A126,'SegEnds_Xtal_Prot#'!B:B, 0)), "NoXtal", "Xtal")</f>
        <v>Xtal</v>
      </c>
      <c r="J126" s="3"/>
    </row>
    <row r="127" spans="1:10" x14ac:dyDescent="0.2">
      <c r="A127" s="1" t="s">
        <v>252</v>
      </c>
      <c r="B127" s="1" t="s">
        <v>158</v>
      </c>
      <c r="C127" t="s">
        <v>158</v>
      </c>
      <c r="D127" s="28" t="str">
        <f>VLOOKUP(A127,Classification!$A:$D,2,FALSE)</f>
        <v>A</v>
      </c>
      <c r="E127" s="49" t="str">
        <f>VLOOKUP(B127,Classification!$A:$D,2,FALSE)</f>
        <v>A</v>
      </c>
      <c r="F127" s="15" t="str">
        <f>VLOOKUP(C127,Classification!$A:$D,2,FALSE)</f>
        <v>A</v>
      </c>
      <c r="G127" s="15" t="b">
        <f t="shared" si="1"/>
        <v>1</v>
      </c>
      <c r="H127" s="10" t="str">
        <f>IF(ISERROR(MATCH(A127,'SegEnds_Xtal_Prot#'!B:B, 0)), "NoXtal", "Xtal")</f>
        <v>NoXtal</v>
      </c>
      <c r="J127" s="3"/>
    </row>
    <row r="128" spans="1:10" x14ac:dyDescent="0.2">
      <c r="A128" s="1" t="s">
        <v>304</v>
      </c>
      <c r="B128" s="1" t="s">
        <v>360</v>
      </c>
      <c r="C128" t="s">
        <v>158</v>
      </c>
      <c r="D128" s="28" t="str">
        <f>VLOOKUP(A128,Classification!$A:$D,2,FALSE)</f>
        <v>A</v>
      </c>
      <c r="E128" s="49" t="str">
        <f>VLOOKUP(B128,Classification!$A:$D,2,FALSE)</f>
        <v>A</v>
      </c>
      <c r="F128" s="15" t="str">
        <f>VLOOKUP(C128,Classification!$A:$D,2,FALSE)</f>
        <v>A</v>
      </c>
      <c r="G128" s="15" t="b">
        <f t="shared" si="1"/>
        <v>1</v>
      </c>
      <c r="H128" s="10" t="str">
        <f>IF(ISERROR(MATCH(A128,'SegEnds_Xtal_Prot#'!B:B, 0)), "NoXtal", "Xtal")</f>
        <v>NoXtal</v>
      </c>
      <c r="J128" s="3"/>
    </row>
    <row r="129" spans="1:10" x14ac:dyDescent="0.2">
      <c r="A129" s="1" t="s">
        <v>161</v>
      </c>
      <c r="B129" s="1" t="s">
        <v>158</v>
      </c>
      <c r="C129" t="s">
        <v>158</v>
      </c>
      <c r="D129" s="28" t="str">
        <f>VLOOKUP(A129,Classification!$A:$D,2,FALSE)</f>
        <v>A</v>
      </c>
      <c r="E129" s="49" t="str">
        <f>VLOOKUP(B129,Classification!$A:$D,2,FALSE)</f>
        <v>A</v>
      </c>
      <c r="F129" s="15" t="str">
        <f>VLOOKUP(C129,Classification!$A:$D,2,FALSE)</f>
        <v>A</v>
      </c>
      <c r="G129" s="15" t="b">
        <f t="shared" si="1"/>
        <v>1</v>
      </c>
      <c r="H129" s="10" t="str">
        <f>IF(ISERROR(MATCH(A129,'SegEnds_Xtal_Prot#'!B:B, 0)), "NoXtal", "Xtal")</f>
        <v>NoXtal</v>
      </c>
      <c r="J129" s="3"/>
    </row>
    <row r="130" spans="1:10" x14ac:dyDescent="0.2">
      <c r="A130" s="1" t="s">
        <v>159</v>
      </c>
      <c r="B130" s="1" t="s">
        <v>159</v>
      </c>
      <c r="C130" t="s">
        <v>159</v>
      </c>
      <c r="D130" s="28" t="str">
        <f>VLOOKUP(A130,Classification!$A:$D,2,FALSE)</f>
        <v>A</v>
      </c>
      <c r="E130" s="49" t="str">
        <f>VLOOKUP(B130,Classification!$A:$D,2,FALSE)</f>
        <v>A</v>
      </c>
      <c r="F130" s="15" t="str">
        <f>VLOOKUP(C130,Classification!$A:$D,2,FALSE)</f>
        <v>A</v>
      </c>
      <c r="G130" s="15" t="b">
        <f t="shared" si="1"/>
        <v>1</v>
      </c>
      <c r="H130" s="10" t="str">
        <f>IF(ISERROR(MATCH(A130,'SegEnds_Xtal_Prot#'!B:B, 0)), "NoXtal", "Xtal")</f>
        <v>Xtal</v>
      </c>
      <c r="J130" s="3"/>
    </row>
    <row r="131" spans="1:10" x14ac:dyDescent="0.2">
      <c r="A131" s="1" t="s">
        <v>144</v>
      </c>
      <c r="B131" s="1" t="s">
        <v>158</v>
      </c>
      <c r="C131" t="s">
        <v>158</v>
      </c>
      <c r="D131" s="28" t="str">
        <f>VLOOKUP(A131,Classification!$A:$D,2,FALSE)</f>
        <v>A</v>
      </c>
      <c r="E131" s="49" t="str">
        <f>VLOOKUP(B131,Classification!$A:$D,2,FALSE)</f>
        <v>A</v>
      </c>
      <c r="F131" s="15" t="str">
        <f>VLOOKUP(C131,Classification!$A:$D,2,FALSE)</f>
        <v>A</v>
      </c>
      <c r="G131" s="15" t="b">
        <f t="shared" ref="G131:G194" si="2">OR(D131=F131,AND(D131="T",F131="A"),AND(D131="B2",F131="B1"),D131="O")</f>
        <v>1</v>
      </c>
      <c r="H131" s="10" t="str">
        <f>IF(ISERROR(MATCH(A131,'SegEnds_Xtal_Prot#'!B:B, 0)), "NoXtal", "Xtal")</f>
        <v>NoXtal</v>
      </c>
      <c r="J131" s="3"/>
    </row>
    <row r="132" spans="1:10" x14ac:dyDescent="0.2">
      <c r="A132" s="1" t="s">
        <v>165</v>
      </c>
      <c r="B132" s="1" t="s">
        <v>165</v>
      </c>
      <c r="C132" t="s">
        <v>158</v>
      </c>
      <c r="D132" s="28" t="str">
        <f>VLOOKUP(A132,Classification!$A:$D,2,FALSE)</f>
        <v>A</v>
      </c>
      <c r="E132" s="49" t="str">
        <f>VLOOKUP(B132,Classification!$A:$D,2,FALSE)</f>
        <v>A</v>
      </c>
      <c r="F132" s="15" t="str">
        <f>VLOOKUP(C132,Classification!$A:$D,2,FALSE)</f>
        <v>A</v>
      </c>
      <c r="G132" s="15" t="b">
        <f t="shared" si="2"/>
        <v>1</v>
      </c>
      <c r="H132" s="10" t="str">
        <f>IF(ISERROR(MATCH(A132,'SegEnds_Xtal_Prot#'!B:B, 0)), "NoXtal", "Xtal")</f>
        <v>Xtal</v>
      </c>
      <c r="J132" s="3"/>
    </row>
    <row r="133" spans="1:10" x14ac:dyDescent="0.2">
      <c r="A133" s="1" t="s">
        <v>306</v>
      </c>
      <c r="B133" s="1" t="s">
        <v>165</v>
      </c>
      <c r="C133" t="s">
        <v>158</v>
      </c>
      <c r="D133" s="28" t="str">
        <f>VLOOKUP(A133,Classification!$A:$D,2,FALSE)</f>
        <v>A</v>
      </c>
      <c r="E133" s="49" t="str">
        <f>VLOOKUP(B133,Classification!$A:$D,2,FALSE)</f>
        <v>A</v>
      </c>
      <c r="F133" s="15" t="str">
        <f>VLOOKUP(C133,Classification!$A:$D,2,FALSE)</f>
        <v>A</v>
      </c>
      <c r="G133" s="15" t="b">
        <f t="shared" si="2"/>
        <v>1</v>
      </c>
      <c r="H133" s="10" t="str">
        <f>IF(ISERROR(MATCH(A133,'SegEnds_Xtal_Prot#'!B:B, 0)), "NoXtal", "Xtal")</f>
        <v>NoXtal</v>
      </c>
      <c r="J133" s="3"/>
    </row>
    <row r="134" spans="1:10" x14ac:dyDescent="0.2">
      <c r="A134" s="1" t="s">
        <v>237</v>
      </c>
      <c r="B134" s="1" t="s">
        <v>158</v>
      </c>
      <c r="C134" t="s">
        <v>158</v>
      </c>
      <c r="D134" s="28" t="str">
        <f>VLOOKUP(A134,Classification!$A:$D,2,FALSE)</f>
        <v>A</v>
      </c>
      <c r="E134" s="49" t="str">
        <f>VLOOKUP(B134,Classification!$A:$D,2,FALSE)</f>
        <v>A</v>
      </c>
      <c r="F134" s="15" t="str">
        <f>VLOOKUP(C134,Classification!$A:$D,2,FALSE)</f>
        <v>A</v>
      </c>
      <c r="G134" s="15" t="b">
        <f t="shared" si="2"/>
        <v>1</v>
      </c>
      <c r="H134" s="10" t="str">
        <f>IF(ISERROR(MATCH(A134,'SegEnds_Xtal_Prot#'!B:B, 0)), "NoXtal", "Xtal")</f>
        <v>NoXtal</v>
      </c>
      <c r="J134" s="3"/>
    </row>
    <row r="135" spans="1:10" x14ac:dyDescent="0.2">
      <c r="A135" s="1" t="s">
        <v>236</v>
      </c>
      <c r="B135" s="1" t="s">
        <v>173</v>
      </c>
      <c r="C135" t="s">
        <v>158</v>
      </c>
      <c r="D135" s="28" t="str">
        <f>VLOOKUP(A135,Classification!$A:$D,2,FALSE)</f>
        <v>A</v>
      </c>
      <c r="E135" s="49" t="str">
        <f>VLOOKUP(B135,Classification!$A:$D,2,FALSE)</f>
        <v>A</v>
      </c>
      <c r="F135" s="15" t="str">
        <f>VLOOKUP(C135,Classification!$A:$D,2,FALSE)</f>
        <v>A</v>
      </c>
      <c r="G135" s="15" t="b">
        <f t="shared" si="2"/>
        <v>1</v>
      </c>
      <c r="H135" s="10" t="str">
        <f>IF(ISERROR(MATCH(A135,'SegEnds_Xtal_Prot#'!B:B, 0)), "NoXtal", "Xtal")</f>
        <v>NoXtal</v>
      </c>
      <c r="J135" s="3"/>
    </row>
    <row r="136" spans="1:10" x14ac:dyDescent="0.2">
      <c r="A136" s="1" t="s">
        <v>246</v>
      </c>
      <c r="B136" s="1" t="s">
        <v>158</v>
      </c>
      <c r="C136" t="s">
        <v>158</v>
      </c>
      <c r="D136" s="28" t="str">
        <f>VLOOKUP(A136,Classification!$A:$D,2,FALSE)</f>
        <v>A</v>
      </c>
      <c r="E136" s="49" t="str">
        <f>VLOOKUP(B136,Classification!$A:$D,2,FALSE)</f>
        <v>A</v>
      </c>
      <c r="F136" s="15" t="str">
        <f>VLOOKUP(C136,Classification!$A:$D,2,FALSE)</f>
        <v>A</v>
      </c>
      <c r="G136" s="15" t="b">
        <f t="shared" si="2"/>
        <v>1</v>
      </c>
      <c r="H136" s="10" t="str">
        <f>IF(ISERROR(MATCH(A136,'SegEnds_Xtal_Prot#'!B:B, 0)), "NoXtal", "Xtal")</f>
        <v>NoXtal</v>
      </c>
      <c r="J136" s="3"/>
    </row>
    <row r="137" spans="1:10" x14ac:dyDescent="0.2">
      <c r="A137" s="1" t="s">
        <v>158</v>
      </c>
      <c r="B137" s="1" t="s">
        <v>158</v>
      </c>
      <c r="C137" t="s">
        <v>158</v>
      </c>
      <c r="D137" s="28" t="str">
        <f>VLOOKUP(A137,Classification!$A:$D,2,FALSE)</f>
        <v>A</v>
      </c>
      <c r="E137" s="49" t="str">
        <f>VLOOKUP(B137,Classification!$A:$D,2,FALSE)</f>
        <v>A</v>
      </c>
      <c r="F137" s="15" t="str">
        <f>VLOOKUP(C137,Classification!$A:$D,2,FALSE)</f>
        <v>A</v>
      </c>
      <c r="G137" s="15" t="b">
        <f t="shared" si="2"/>
        <v>1</v>
      </c>
      <c r="H137" s="10" t="str">
        <f>IF(ISERROR(MATCH(A137,'SegEnds_Xtal_Prot#'!B:B, 0)), "NoXtal", "Xtal")</f>
        <v>Xtal</v>
      </c>
      <c r="J137" s="3"/>
    </row>
    <row r="138" spans="1:10" x14ac:dyDescent="0.2">
      <c r="A138" s="1" t="s">
        <v>181</v>
      </c>
      <c r="B138" s="1" t="s">
        <v>158</v>
      </c>
      <c r="C138" t="s">
        <v>158</v>
      </c>
      <c r="D138" s="28" t="str">
        <f>VLOOKUP(A138,Classification!$A:$D,2,FALSE)</f>
        <v>A</v>
      </c>
      <c r="E138" s="49" t="str">
        <f>VLOOKUP(B138,Classification!$A:$D,2,FALSE)</f>
        <v>A</v>
      </c>
      <c r="F138" s="15" t="str">
        <f>VLOOKUP(C138,Classification!$A:$D,2,FALSE)</f>
        <v>A</v>
      </c>
      <c r="G138" s="15" t="b">
        <f t="shared" si="2"/>
        <v>1</v>
      </c>
      <c r="H138" s="10" t="str">
        <f>IF(ISERROR(MATCH(A138,'SegEnds_Xtal_Prot#'!B:B, 0)), "NoXtal", "Xtal")</f>
        <v>NoXtal</v>
      </c>
      <c r="J138" s="3"/>
    </row>
    <row r="139" spans="1:10" x14ac:dyDescent="0.2">
      <c r="A139" s="1" t="s">
        <v>239</v>
      </c>
      <c r="B139" s="1" t="s">
        <v>158</v>
      </c>
      <c r="C139" t="s">
        <v>158</v>
      </c>
      <c r="D139" s="28" t="str">
        <f>VLOOKUP(A139,Classification!$A:$D,2,FALSE)</f>
        <v>A</v>
      </c>
      <c r="E139" s="49" t="str">
        <f>VLOOKUP(B139,Classification!$A:$D,2,FALSE)</f>
        <v>A</v>
      </c>
      <c r="F139" s="15" t="str">
        <f>VLOOKUP(C139,Classification!$A:$D,2,FALSE)</f>
        <v>A</v>
      </c>
      <c r="G139" s="15" t="b">
        <f t="shared" si="2"/>
        <v>1</v>
      </c>
      <c r="H139" s="10" t="str">
        <f>IF(ISERROR(MATCH(A139,'SegEnds_Xtal_Prot#'!B:B, 0)), "NoXtal", "Xtal")</f>
        <v>NoXtal</v>
      </c>
      <c r="J139" s="3"/>
    </row>
    <row r="140" spans="1:10" x14ac:dyDescent="0.2">
      <c r="A140" s="1" t="s">
        <v>162</v>
      </c>
      <c r="B140" s="1" t="s">
        <v>159</v>
      </c>
      <c r="C140" t="s">
        <v>158</v>
      </c>
      <c r="D140" s="28" t="str">
        <f>VLOOKUP(A140,Classification!$A:$D,2,FALSE)</f>
        <v>A</v>
      </c>
      <c r="E140" s="49" t="str">
        <f>VLOOKUP(B140,Classification!$A:$D,2,FALSE)</f>
        <v>A</v>
      </c>
      <c r="F140" s="15" t="str">
        <f>VLOOKUP(C140,Classification!$A:$D,2,FALSE)</f>
        <v>A</v>
      </c>
      <c r="G140" s="15" t="b">
        <f t="shared" si="2"/>
        <v>1</v>
      </c>
      <c r="H140" s="10" t="str">
        <f>IF(ISERROR(MATCH(A140,'SegEnds_Xtal_Prot#'!B:B, 0)), "NoXtal", "Xtal")</f>
        <v>NoXtal</v>
      </c>
      <c r="J140" s="3"/>
    </row>
    <row r="141" spans="1:10" x14ac:dyDescent="0.2">
      <c r="A141" s="1" t="s">
        <v>374</v>
      </c>
      <c r="B141" s="1" t="s">
        <v>336</v>
      </c>
      <c r="C141" t="s">
        <v>158</v>
      </c>
      <c r="D141" s="28" t="str">
        <f>VLOOKUP(A141,Classification!$A:$D,2,FALSE)</f>
        <v>A</v>
      </c>
      <c r="E141" s="49" t="str">
        <f>VLOOKUP(B141,Classification!$A:$D,2,FALSE)</f>
        <v>A</v>
      </c>
      <c r="F141" s="15" t="str">
        <f>VLOOKUP(C141,Classification!$A:$D,2,FALSE)</f>
        <v>A</v>
      </c>
      <c r="G141" s="15" t="b">
        <f t="shared" si="2"/>
        <v>1</v>
      </c>
      <c r="H141" s="10" t="str">
        <f>IF(ISERROR(MATCH(A141,'SegEnds_Xtal_Prot#'!B:B, 0)), "NoXtal", "Xtal")</f>
        <v>NoXtal</v>
      </c>
      <c r="J141" s="3"/>
    </row>
    <row r="142" spans="1:10" x14ac:dyDescent="0.2">
      <c r="A142" s="1" t="s">
        <v>292</v>
      </c>
      <c r="B142" s="1" t="s">
        <v>360</v>
      </c>
      <c r="C142" t="s">
        <v>158</v>
      </c>
      <c r="D142" s="28" t="str">
        <f>VLOOKUP(A142,Classification!$A:$D,2,FALSE)</f>
        <v>A</v>
      </c>
      <c r="E142" s="49" t="str">
        <f>VLOOKUP(B142,Classification!$A:$D,2,FALSE)</f>
        <v>A</v>
      </c>
      <c r="F142" s="15" t="str">
        <f>VLOOKUP(C142,Classification!$A:$D,2,FALSE)</f>
        <v>A</v>
      </c>
      <c r="G142" s="15" t="b">
        <f t="shared" si="2"/>
        <v>1</v>
      </c>
      <c r="H142" s="10" t="str">
        <f>IF(ISERROR(MATCH(A142,'SegEnds_Xtal_Prot#'!B:B, 0)), "NoXtal", "Xtal")</f>
        <v>NoXtal</v>
      </c>
      <c r="J142" s="3"/>
    </row>
    <row r="143" spans="1:10" x14ac:dyDescent="0.2">
      <c r="A143" s="1" t="s">
        <v>160</v>
      </c>
      <c r="B143" s="1" t="s">
        <v>160</v>
      </c>
      <c r="C143" t="s">
        <v>158</v>
      </c>
      <c r="D143" s="28" t="str">
        <f>VLOOKUP(A143,Classification!$A:$D,2,FALSE)</f>
        <v>A</v>
      </c>
      <c r="E143" s="49" t="str">
        <f>VLOOKUP(B143,Classification!$A:$D,2,FALSE)</f>
        <v>A</v>
      </c>
      <c r="F143" s="15" t="str">
        <f>VLOOKUP(C143,Classification!$A:$D,2,FALSE)</f>
        <v>A</v>
      </c>
      <c r="G143" s="15" t="b">
        <f t="shared" si="2"/>
        <v>1</v>
      </c>
      <c r="H143" s="10" t="str">
        <f>IF(ISERROR(MATCH(A143,'SegEnds_Xtal_Prot#'!B:B, 0)), "NoXtal", "Xtal")</f>
        <v>Xtal</v>
      </c>
      <c r="J143" s="3"/>
    </row>
    <row r="144" spans="1:10" x14ac:dyDescent="0.2">
      <c r="A144" s="1" t="s">
        <v>331</v>
      </c>
      <c r="B144" s="1" t="s">
        <v>159</v>
      </c>
      <c r="C144" t="s">
        <v>158</v>
      </c>
      <c r="D144" s="28" t="str">
        <f>VLOOKUP(A144,Classification!$A:$D,2,FALSE)</f>
        <v>A</v>
      </c>
      <c r="E144" s="49" t="str">
        <f>VLOOKUP(B144,Classification!$A:$D,2,FALSE)</f>
        <v>A</v>
      </c>
      <c r="F144" s="15" t="str">
        <f>VLOOKUP(C144,Classification!$A:$D,2,FALSE)</f>
        <v>A</v>
      </c>
      <c r="G144" s="15" t="b">
        <f t="shared" si="2"/>
        <v>1</v>
      </c>
      <c r="H144" s="10" t="str">
        <f>IF(ISERROR(MATCH(A144,'SegEnds_Xtal_Prot#'!B:B, 0)), "NoXtal", "Xtal")</f>
        <v>NoXtal</v>
      </c>
      <c r="J144" s="3"/>
    </row>
    <row r="145" spans="1:10" x14ac:dyDescent="0.2">
      <c r="A145" s="1" t="s">
        <v>373</v>
      </c>
      <c r="B145" s="1" t="s">
        <v>158</v>
      </c>
      <c r="C145" t="s">
        <v>158</v>
      </c>
      <c r="D145" s="28" t="str">
        <f>VLOOKUP(A145,Classification!$A:$D,2,FALSE)</f>
        <v>A</v>
      </c>
      <c r="E145" s="49" t="str">
        <f>VLOOKUP(B145,Classification!$A:$D,2,FALSE)</f>
        <v>A</v>
      </c>
      <c r="F145" s="15" t="str">
        <f>VLOOKUP(C145,Classification!$A:$D,2,FALSE)</f>
        <v>A</v>
      </c>
      <c r="G145" s="15" t="b">
        <f t="shared" si="2"/>
        <v>1</v>
      </c>
      <c r="H145" s="10" t="str">
        <f>IF(ISERROR(MATCH(A145,'SegEnds_Xtal_Prot#'!B:B, 0)), "NoXtal", "Xtal")</f>
        <v>NoXtal</v>
      </c>
      <c r="J145" s="3"/>
    </row>
    <row r="146" spans="1:10" x14ac:dyDescent="0.2">
      <c r="A146" s="1" t="s">
        <v>233</v>
      </c>
      <c r="B146" s="1" t="s">
        <v>160</v>
      </c>
      <c r="C146" t="s">
        <v>158</v>
      </c>
      <c r="D146" s="28" t="str">
        <f>VLOOKUP(A146,Classification!$A:$D,2,FALSE)</f>
        <v>A</v>
      </c>
      <c r="E146" s="49" t="str">
        <f>VLOOKUP(B146,Classification!$A:$D,2,FALSE)</f>
        <v>A</v>
      </c>
      <c r="F146" s="15" t="str">
        <f>VLOOKUP(C146,Classification!$A:$D,2,FALSE)</f>
        <v>A</v>
      </c>
      <c r="G146" s="15" t="b">
        <f t="shared" si="2"/>
        <v>1</v>
      </c>
      <c r="H146" s="10" t="str">
        <f>IF(ISERROR(MATCH(A146,'SegEnds_Xtal_Prot#'!B:B, 0)), "NoXtal", "Xtal")</f>
        <v>NoXtal</v>
      </c>
      <c r="J146" s="3"/>
    </row>
    <row r="147" spans="1:10" x14ac:dyDescent="0.2">
      <c r="A147" s="1" t="s">
        <v>283</v>
      </c>
      <c r="B147" s="1" t="s">
        <v>158</v>
      </c>
      <c r="C147" t="s">
        <v>158</v>
      </c>
      <c r="D147" s="28" t="str">
        <f>VLOOKUP(A147,Classification!$A:$D,2,FALSE)</f>
        <v>A</v>
      </c>
      <c r="E147" s="49" t="str">
        <f>VLOOKUP(B147,Classification!$A:$D,2,FALSE)</f>
        <v>A</v>
      </c>
      <c r="F147" s="15" t="str">
        <f>VLOOKUP(C147,Classification!$A:$D,2,FALSE)</f>
        <v>A</v>
      </c>
      <c r="G147" s="15" t="b">
        <f t="shared" si="2"/>
        <v>1</v>
      </c>
      <c r="H147" s="10" t="str">
        <f>IF(ISERROR(MATCH(A147,'SegEnds_Xtal_Prot#'!B:B, 0)), "NoXtal", "Xtal")</f>
        <v>NoXtal</v>
      </c>
      <c r="J147" s="3"/>
    </row>
    <row r="148" spans="1:10" x14ac:dyDescent="0.2">
      <c r="A148" s="1" t="s">
        <v>142</v>
      </c>
      <c r="B148" s="1" t="s">
        <v>165</v>
      </c>
      <c r="C148" t="s">
        <v>173</v>
      </c>
      <c r="D148" s="28" t="str">
        <f>VLOOKUP(A148,Classification!$A:$D,2,FALSE)</f>
        <v>A</v>
      </c>
      <c r="E148" s="49" t="str">
        <f>VLOOKUP(B148,Classification!$A:$D,2,FALSE)</f>
        <v>A</v>
      </c>
      <c r="F148" s="15" t="str">
        <f>VLOOKUP(C148,Classification!$A:$D,2,FALSE)</f>
        <v>A</v>
      </c>
      <c r="G148" s="15" t="b">
        <f t="shared" si="2"/>
        <v>1</v>
      </c>
      <c r="H148" s="10" t="str">
        <f>IF(ISERROR(MATCH(A148,'SegEnds_Xtal_Prot#'!B:B, 0)), "NoXtal", "Xtal")</f>
        <v>NoXtal</v>
      </c>
      <c r="J148" s="3"/>
    </row>
    <row r="149" spans="1:10" x14ac:dyDescent="0.2">
      <c r="A149" s="1" t="s">
        <v>178</v>
      </c>
      <c r="B149" s="1" t="s">
        <v>173</v>
      </c>
      <c r="C149" t="s">
        <v>173</v>
      </c>
      <c r="D149" s="28" t="str">
        <f>VLOOKUP(A149,Classification!$A:$D,2,FALSE)</f>
        <v>A</v>
      </c>
      <c r="E149" s="49" t="str">
        <f>VLOOKUP(B149,Classification!$A:$D,2,FALSE)</f>
        <v>A</v>
      </c>
      <c r="F149" s="15" t="str">
        <f>VLOOKUP(C149,Classification!$A:$D,2,FALSE)</f>
        <v>A</v>
      </c>
      <c r="G149" s="15" t="b">
        <f t="shared" si="2"/>
        <v>1</v>
      </c>
      <c r="H149" s="10" t="str">
        <f>IF(ISERROR(MATCH(A149,'SegEnds_Xtal_Prot#'!B:B, 0)), "NoXtal", "Xtal")</f>
        <v>NoXtal</v>
      </c>
      <c r="J149" s="3"/>
    </row>
    <row r="150" spans="1:10" x14ac:dyDescent="0.2">
      <c r="A150" s="1" t="s">
        <v>185</v>
      </c>
      <c r="B150" s="1" t="s">
        <v>170</v>
      </c>
      <c r="C150" t="s">
        <v>173</v>
      </c>
      <c r="D150" s="28" t="str">
        <f>VLOOKUP(A150,Classification!$A:$D,2,FALSE)</f>
        <v>A</v>
      </c>
      <c r="E150" s="49" t="str">
        <f>VLOOKUP(B150,Classification!$A:$D,2,FALSE)</f>
        <v>A</v>
      </c>
      <c r="F150" s="15" t="str">
        <f>VLOOKUP(C150,Classification!$A:$D,2,FALSE)</f>
        <v>A</v>
      </c>
      <c r="G150" s="15" t="b">
        <f t="shared" si="2"/>
        <v>1</v>
      </c>
      <c r="H150" s="10" t="str">
        <f>IF(ISERROR(MATCH(A150,'SegEnds_Xtal_Prot#'!B:B, 0)), "NoXtal", "Xtal")</f>
        <v>NoXtal</v>
      </c>
      <c r="J150" s="3"/>
    </row>
    <row r="151" spans="1:10" x14ac:dyDescent="0.2">
      <c r="A151" s="1" t="s">
        <v>400</v>
      </c>
      <c r="B151" s="1" t="s">
        <v>173</v>
      </c>
      <c r="C151" t="s">
        <v>173</v>
      </c>
      <c r="D151" s="28" t="str">
        <f>VLOOKUP(A151,Classification!$A:$D,2,FALSE)</f>
        <v>A</v>
      </c>
      <c r="E151" s="49" t="str">
        <f>VLOOKUP(B151,Classification!$A:$D,2,FALSE)</f>
        <v>A</v>
      </c>
      <c r="F151" s="15" t="str">
        <f>VLOOKUP(C151,Classification!$A:$D,2,FALSE)</f>
        <v>A</v>
      </c>
      <c r="G151" s="15" t="b">
        <f t="shared" si="2"/>
        <v>1</v>
      </c>
      <c r="H151" s="10" t="str">
        <f>IF(ISERROR(MATCH(A151,'SegEnds_Xtal_Prot#'!B:B, 0)), "NoXtal", "Xtal")</f>
        <v>NoXtal</v>
      </c>
      <c r="J151" s="3"/>
    </row>
    <row r="152" spans="1:10" x14ac:dyDescent="0.2">
      <c r="A152" s="1" t="s">
        <v>186</v>
      </c>
      <c r="B152" s="1" t="s">
        <v>177</v>
      </c>
      <c r="C152" t="s">
        <v>173</v>
      </c>
      <c r="D152" s="28" t="str">
        <f>VLOOKUP(A152,Classification!$A:$D,2,FALSE)</f>
        <v>A</v>
      </c>
      <c r="E152" s="49" t="str">
        <f>VLOOKUP(B152,Classification!$A:$D,2,FALSE)</f>
        <v>A</v>
      </c>
      <c r="F152" s="15" t="str">
        <f>VLOOKUP(C152,Classification!$A:$D,2,FALSE)</f>
        <v>A</v>
      </c>
      <c r="G152" s="15" t="b">
        <f t="shared" si="2"/>
        <v>1</v>
      </c>
      <c r="H152" s="10" t="str">
        <f>IF(ISERROR(MATCH(A152,'SegEnds_Xtal_Prot#'!B:B, 0)), "NoXtal", "Xtal")</f>
        <v>NoXtal</v>
      </c>
      <c r="J152" s="3"/>
    </row>
    <row r="153" spans="1:10" x14ac:dyDescent="0.2">
      <c r="A153" s="1" t="s">
        <v>145</v>
      </c>
      <c r="B153" s="1" t="s">
        <v>177</v>
      </c>
      <c r="C153" t="s">
        <v>173</v>
      </c>
      <c r="D153" s="28" t="str">
        <f>VLOOKUP(A153,Classification!$A:$D,2,FALSE)</f>
        <v>A</v>
      </c>
      <c r="E153" s="49" t="str">
        <f>VLOOKUP(B153,Classification!$A:$D,2,FALSE)</f>
        <v>A</v>
      </c>
      <c r="F153" s="15" t="str">
        <f>VLOOKUP(C153,Classification!$A:$D,2,FALSE)</f>
        <v>A</v>
      </c>
      <c r="G153" s="15" t="b">
        <f t="shared" si="2"/>
        <v>1</v>
      </c>
      <c r="H153" s="10" t="str">
        <f>IF(ISERROR(MATCH(A153,'SegEnds_Xtal_Prot#'!B:B, 0)), "NoXtal", "Xtal")</f>
        <v>NoXtal</v>
      </c>
      <c r="J153" s="3"/>
    </row>
    <row r="154" spans="1:10" x14ac:dyDescent="0.2">
      <c r="A154" s="1" t="s">
        <v>169</v>
      </c>
      <c r="B154" s="1" t="s">
        <v>177</v>
      </c>
      <c r="C154" t="s">
        <v>173</v>
      </c>
      <c r="D154" s="28" t="str">
        <f>VLOOKUP(A154,Classification!$A:$D,2,FALSE)</f>
        <v>A</v>
      </c>
      <c r="E154" s="49" t="str">
        <f>VLOOKUP(B154,Classification!$A:$D,2,FALSE)</f>
        <v>A</v>
      </c>
      <c r="F154" s="15" t="str">
        <f>VLOOKUP(C154,Classification!$A:$D,2,FALSE)</f>
        <v>A</v>
      </c>
      <c r="G154" s="15" t="b">
        <f t="shared" si="2"/>
        <v>1</v>
      </c>
      <c r="H154" s="10" t="str">
        <f>IF(ISERROR(MATCH(A154,'SegEnds_Xtal_Prot#'!B:B, 0)), "NoXtal", "Xtal")</f>
        <v>NoXtal</v>
      </c>
      <c r="J154" s="3"/>
    </row>
    <row r="155" spans="1:10" x14ac:dyDescent="0.2">
      <c r="A155" s="1" t="s">
        <v>177</v>
      </c>
      <c r="B155" s="1" t="s">
        <v>177</v>
      </c>
      <c r="C155" t="s">
        <v>177</v>
      </c>
      <c r="D155" s="28" t="str">
        <f>VLOOKUP(A155,Classification!$A:$D,2,FALSE)</f>
        <v>A</v>
      </c>
      <c r="E155" s="49" t="str">
        <f>VLOOKUP(B155,Classification!$A:$D,2,FALSE)</f>
        <v>A</v>
      </c>
      <c r="F155" s="15" t="str">
        <f>VLOOKUP(C155,Classification!$A:$D,2,FALSE)</f>
        <v>A</v>
      </c>
      <c r="G155" s="15" t="b">
        <f t="shared" si="2"/>
        <v>1</v>
      </c>
      <c r="H155" s="10" t="str">
        <f>IF(ISERROR(MATCH(A155,'SegEnds_Xtal_Prot#'!B:B, 0)), "NoXtal", "Xtal")</f>
        <v>Xtal</v>
      </c>
      <c r="J155" s="3"/>
    </row>
    <row r="156" spans="1:10" x14ac:dyDescent="0.2">
      <c r="A156" s="1" t="s">
        <v>175</v>
      </c>
      <c r="B156" s="1" t="s">
        <v>177</v>
      </c>
      <c r="C156" t="s">
        <v>173</v>
      </c>
      <c r="D156" s="28" t="str">
        <f>VLOOKUP(A156,Classification!$A:$D,2,FALSE)</f>
        <v>A</v>
      </c>
      <c r="E156" s="49" t="str">
        <f>VLOOKUP(B156,Classification!$A:$D,2,FALSE)</f>
        <v>A</v>
      </c>
      <c r="F156" s="15" t="str">
        <f>VLOOKUP(C156,Classification!$A:$D,2,FALSE)</f>
        <v>A</v>
      </c>
      <c r="G156" s="15" t="b">
        <f t="shared" si="2"/>
        <v>1</v>
      </c>
      <c r="H156" s="10" t="str">
        <f>IF(ISERROR(MATCH(A156,'SegEnds_Xtal_Prot#'!B:B, 0)), "NoXtal", "Xtal")</f>
        <v>NoXtal</v>
      </c>
      <c r="J156" s="3"/>
    </row>
    <row r="157" spans="1:10" x14ac:dyDescent="0.2">
      <c r="A157" s="1" t="s">
        <v>189</v>
      </c>
      <c r="B157" s="1" t="s">
        <v>177</v>
      </c>
      <c r="C157" t="s">
        <v>173</v>
      </c>
      <c r="D157" s="28" t="str">
        <f>VLOOKUP(A157,Classification!$A:$D,2,FALSE)</f>
        <v>A</v>
      </c>
      <c r="E157" s="49" t="str">
        <f>VLOOKUP(B157,Classification!$A:$D,2,FALSE)</f>
        <v>A</v>
      </c>
      <c r="F157" s="15" t="str">
        <f>VLOOKUP(C157,Classification!$A:$D,2,FALSE)</f>
        <v>A</v>
      </c>
      <c r="G157" s="15" t="b">
        <f t="shared" si="2"/>
        <v>1</v>
      </c>
      <c r="H157" s="10" t="str">
        <f>IF(ISERROR(MATCH(A157,'SegEnds_Xtal_Prot#'!B:B, 0)), "NoXtal", "Xtal")</f>
        <v>NoXtal</v>
      </c>
      <c r="J157" s="3"/>
    </row>
    <row r="158" spans="1:10" x14ac:dyDescent="0.2">
      <c r="A158" s="1" t="s">
        <v>168</v>
      </c>
      <c r="B158" s="1" t="s">
        <v>173</v>
      </c>
      <c r="C158" t="s">
        <v>173</v>
      </c>
      <c r="D158" s="28" t="str">
        <f>VLOOKUP(A158,Classification!$A:$D,2,FALSE)</f>
        <v>A</v>
      </c>
      <c r="E158" s="49" t="str">
        <f>VLOOKUP(B158,Classification!$A:$D,2,FALSE)</f>
        <v>A</v>
      </c>
      <c r="F158" s="15" t="str">
        <f>VLOOKUP(C158,Classification!$A:$D,2,FALSE)</f>
        <v>A</v>
      </c>
      <c r="G158" s="15" t="b">
        <f t="shared" si="2"/>
        <v>1</v>
      </c>
      <c r="H158" s="10" t="str">
        <f>IF(ISERROR(MATCH(A158,'SegEnds_Xtal_Prot#'!B:B, 0)), "NoXtal", "Xtal")</f>
        <v>NoXtal</v>
      </c>
      <c r="J158" s="3"/>
    </row>
    <row r="159" spans="1:10" x14ac:dyDescent="0.2">
      <c r="A159" s="1" t="s">
        <v>171</v>
      </c>
      <c r="B159" s="1" t="s">
        <v>173</v>
      </c>
      <c r="C159" t="s">
        <v>173</v>
      </c>
      <c r="D159" s="28" t="str">
        <f>VLOOKUP(A159,Classification!$A:$D,2,FALSE)</f>
        <v>A</v>
      </c>
      <c r="E159" s="49" t="str">
        <f>VLOOKUP(B159,Classification!$A:$D,2,FALSE)</f>
        <v>A</v>
      </c>
      <c r="F159" s="15" t="str">
        <f>VLOOKUP(C159,Classification!$A:$D,2,FALSE)</f>
        <v>A</v>
      </c>
      <c r="G159" s="15" t="b">
        <f t="shared" si="2"/>
        <v>1</v>
      </c>
      <c r="H159" s="10" t="str">
        <f>IF(ISERROR(MATCH(A159,'SegEnds_Xtal_Prot#'!B:B, 0)), "NoXtal", "Xtal")</f>
        <v>NoXtal</v>
      </c>
      <c r="J159" s="3"/>
    </row>
    <row r="160" spans="1:10" x14ac:dyDescent="0.2">
      <c r="A160" s="1" t="s">
        <v>173</v>
      </c>
      <c r="B160" s="1" t="s">
        <v>173</v>
      </c>
      <c r="C160" t="s">
        <v>173</v>
      </c>
      <c r="D160" s="28" t="str">
        <f>VLOOKUP(A160,Classification!$A:$D,2,FALSE)</f>
        <v>A</v>
      </c>
      <c r="E160" s="49" t="str">
        <f>VLOOKUP(B160,Classification!$A:$D,2,FALSE)</f>
        <v>A</v>
      </c>
      <c r="F160" s="15" t="str">
        <f>VLOOKUP(C160,Classification!$A:$D,2,FALSE)</f>
        <v>A</v>
      </c>
      <c r="G160" s="15" t="b">
        <f t="shared" si="2"/>
        <v>1</v>
      </c>
      <c r="H160" s="10" t="str">
        <f>IF(ISERROR(MATCH(A160,'SegEnds_Xtal_Prot#'!B:B, 0)), "NoXtal", "Xtal")</f>
        <v>Xtal</v>
      </c>
      <c r="J160" s="3"/>
    </row>
    <row r="161" spans="1:10" x14ac:dyDescent="0.2">
      <c r="A161" s="1" t="s">
        <v>176</v>
      </c>
      <c r="B161" s="1" t="s">
        <v>173</v>
      </c>
      <c r="C161" t="s">
        <v>173</v>
      </c>
      <c r="D161" s="28" t="str">
        <f>VLOOKUP(A161,Classification!$A:$D,2,FALSE)</f>
        <v>A</v>
      </c>
      <c r="E161" s="49" t="str">
        <f>VLOOKUP(B161,Classification!$A:$D,2,FALSE)</f>
        <v>A</v>
      </c>
      <c r="F161" s="15" t="str">
        <f>VLOOKUP(C161,Classification!$A:$D,2,FALSE)</f>
        <v>A</v>
      </c>
      <c r="G161" s="15" t="b">
        <f t="shared" si="2"/>
        <v>1</v>
      </c>
      <c r="H161" s="10" t="str">
        <f>IF(ISERROR(MATCH(A161,'SegEnds_Xtal_Prot#'!B:B, 0)), "NoXtal", "Xtal")</f>
        <v>NoXtal</v>
      </c>
      <c r="J161" s="3"/>
    </row>
    <row r="162" spans="1:10" x14ac:dyDescent="0.2">
      <c r="A162" s="1" t="s">
        <v>172</v>
      </c>
      <c r="B162" s="1" t="s">
        <v>173</v>
      </c>
      <c r="C162" t="s">
        <v>173</v>
      </c>
      <c r="D162" s="28" t="str">
        <f>VLOOKUP(A162,Classification!$A:$D,2,FALSE)</f>
        <v>A</v>
      </c>
      <c r="E162" s="49" t="str">
        <f>VLOOKUP(B162,Classification!$A:$D,2,FALSE)</f>
        <v>A</v>
      </c>
      <c r="F162" s="15" t="str">
        <f>VLOOKUP(C162,Classification!$A:$D,2,FALSE)</f>
        <v>A</v>
      </c>
      <c r="G162" s="15" t="b">
        <f t="shared" si="2"/>
        <v>1</v>
      </c>
      <c r="H162" s="10" t="str">
        <f>IF(ISERROR(MATCH(A162,'SegEnds_Xtal_Prot#'!B:B, 0)), "NoXtal", "Xtal")</f>
        <v>NoXtal</v>
      </c>
      <c r="J162" s="3"/>
    </row>
    <row r="163" spans="1:10" x14ac:dyDescent="0.2">
      <c r="A163" s="1" t="s">
        <v>174</v>
      </c>
      <c r="B163" s="1" t="s">
        <v>177</v>
      </c>
      <c r="C163" t="s">
        <v>173</v>
      </c>
      <c r="D163" s="28" t="str">
        <f>VLOOKUP(A163,Classification!$A:$D,2,FALSE)</f>
        <v>A</v>
      </c>
      <c r="E163" s="49" t="str">
        <f>VLOOKUP(B163,Classification!$A:$D,2,FALSE)</f>
        <v>A</v>
      </c>
      <c r="F163" s="15" t="str">
        <f>VLOOKUP(C163,Classification!$A:$D,2,FALSE)</f>
        <v>A</v>
      </c>
      <c r="G163" s="15" t="b">
        <f t="shared" si="2"/>
        <v>1</v>
      </c>
      <c r="H163" s="10" t="str">
        <f>IF(ISERROR(MATCH(A163,'SegEnds_Xtal_Prot#'!B:B, 0)), "NoXtal", "Xtal")</f>
        <v>NoXtal</v>
      </c>
      <c r="J163" s="3"/>
    </row>
    <row r="164" spans="1:10" x14ac:dyDescent="0.2">
      <c r="A164" s="1" t="s">
        <v>184</v>
      </c>
      <c r="B164" s="1" t="s">
        <v>173</v>
      </c>
      <c r="C164" t="s">
        <v>173</v>
      </c>
      <c r="D164" s="28" t="str">
        <f>VLOOKUP(A164,Classification!$A:$D,2,FALSE)</f>
        <v>A</v>
      </c>
      <c r="E164" s="49" t="str">
        <f>VLOOKUP(B164,Classification!$A:$D,2,FALSE)</f>
        <v>A</v>
      </c>
      <c r="F164" s="15" t="str">
        <f>VLOOKUP(C164,Classification!$A:$D,2,FALSE)</f>
        <v>A</v>
      </c>
      <c r="G164" s="15" t="b">
        <f t="shared" si="2"/>
        <v>1</v>
      </c>
      <c r="H164" s="10" t="str">
        <f>IF(ISERROR(MATCH(A164,'SegEnds_Xtal_Prot#'!B:B, 0)), "NoXtal", "Xtal")</f>
        <v>NoXtal</v>
      </c>
      <c r="J164" s="3"/>
    </row>
    <row r="165" spans="1:10" x14ac:dyDescent="0.2">
      <c r="A165" s="1" t="s">
        <v>170</v>
      </c>
      <c r="B165" s="1" t="s">
        <v>170</v>
      </c>
      <c r="C165" t="s">
        <v>170</v>
      </c>
      <c r="D165" s="28" t="str">
        <f>VLOOKUP(A165,Classification!$A:$D,2,FALSE)</f>
        <v>A</v>
      </c>
      <c r="E165" s="49" t="str">
        <f>VLOOKUP(B165,Classification!$A:$D,2,FALSE)</f>
        <v>A</v>
      </c>
      <c r="F165" s="15" t="str">
        <f>VLOOKUP(C165,Classification!$A:$D,2,FALSE)</f>
        <v>A</v>
      </c>
      <c r="G165" s="15" t="b">
        <f t="shared" si="2"/>
        <v>1</v>
      </c>
      <c r="H165" s="10" t="str">
        <f>IF(ISERROR(MATCH(A165,'SegEnds_Xtal_Prot#'!B:B, 0)), "NoXtal", "Xtal")</f>
        <v>Xtal</v>
      </c>
      <c r="J165" s="3"/>
    </row>
    <row r="166" spans="1:10" x14ac:dyDescent="0.2">
      <c r="A166" s="1" t="s">
        <v>143</v>
      </c>
      <c r="B166" s="1" t="s">
        <v>173</v>
      </c>
      <c r="C166" t="s">
        <v>173</v>
      </c>
      <c r="D166" s="28" t="str">
        <f>VLOOKUP(A166,Classification!$A:$D,2,FALSE)</f>
        <v>A</v>
      </c>
      <c r="E166" s="49" t="str">
        <f>VLOOKUP(B166,Classification!$A:$D,2,FALSE)</f>
        <v>A</v>
      </c>
      <c r="F166" s="15" t="str">
        <f>VLOOKUP(C166,Classification!$A:$D,2,FALSE)</f>
        <v>A</v>
      </c>
      <c r="G166" s="15" t="b">
        <f t="shared" si="2"/>
        <v>1</v>
      </c>
      <c r="H166" s="10" t="str">
        <f>IF(ISERROR(MATCH(A166,'SegEnds_Xtal_Prot#'!B:B, 0)), "NoXtal", "Xtal")</f>
        <v>NoXtal</v>
      </c>
      <c r="J166" s="3"/>
    </row>
    <row r="167" spans="1:10" x14ac:dyDescent="0.2">
      <c r="A167" s="1" t="s">
        <v>403</v>
      </c>
      <c r="B167" s="1" t="s">
        <v>38</v>
      </c>
      <c r="C167" t="s">
        <v>38</v>
      </c>
      <c r="D167" s="28" t="str">
        <f>VLOOKUP(A167,Classification!$A:$D,2,FALSE)</f>
        <v>B1</v>
      </c>
      <c r="E167" s="49" t="str">
        <f>VLOOKUP(B167,Classification!$A:$D,2,FALSE)</f>
        <v>B1</v>
      </c>
      <c r="F167" s="15" t="str">
        <f>VLOOKUP(C167,Classification!$A:$D,2,FALSE)</f>
        <v>B1</v>
      </c>
      <c r="G167" s="15" t="b">
        <f t="shared" si="2"/>
        <v>1</v>
      </c>
      <c r="H167" s="10" t="str">
        <f>IF(ISERROR(MATCH(A167,'SegEnds_Xtal_Prot#'!B:B, 0)), "NoXtal", "Xtal")</f>
        <v>NoXtal</v>
      </c>
      <c r="J167" s="3"/>
    </row>
    <row r="168" spans="1:10" x14ac:dyDescent="0.2">
      <c r="A168" s="1" t="s">
        <v>38</v>
      </c>
      <c r="B168" s="1" t="s">
        <v>38</v>
      </c>
      <c r="C168" t="s">
        <v>38</v>
      </c>
      <c r="D168" s="28" t="str">
        <f>VLOOKUP(A168,Classification!$A:$D,2,FALSE)</f>
        <v>B1</v>
      </c>
      <c r="E168" s="49" t="str">
        <f>VLOOKUP(B168,Classification!$A:$D,2,FALSE)</f>
        <v>B1</v>
      </c>
      <c r="F168" s="15" t="str">
        <f>VLOOKUP(C168,Classification!$A:$D,2,FALSE)</f>
        <v>B1</v>
      </c>
      <c r="G168" s="15" t="b">
        <f t="shared" si="2"/>
        <v>1</v>
      </c>
      <c r="H168" s="10" t="str">
        <f>IF(ISERROR(MATCH(A168,'SegEnds_Xtal_Prot#'!B:B, 0)), "NoXtal", "Xtal")</f>
        <v>Xtal</v>
      </c>
      <c r="J168" s="3"/>
    </row>
    <row r="169" spans="1:10" x14ac:dyDescent="0.2">
      <c r="A169" s="1" t="s">
        <v>402</v>
      </c>
      <c r="B169" s="1" t="s">
        <v>402</v>
      </c>
      <c r="C169" t="s">
        <v>401</v>
      </c>
      <c r="D169" s="28" t="str">
        <f>VLOOKUP(A169,Classification!$A:$D,2,FALSE)</f>
        <v>B1</v>
      </c>
      <c r="E169" s="49" t="str">
        <f>VLOOKUP(B169,Classification!$A:$D,2,FALSE)</f>
        <v>B1</v>
      </c>
      <c r="F169" s="15" t="str">
        <f>VLOOKUP(C169,Classification!$A:$D,2,FALSE)</f>
        <v>B1</v>
      </c>
      <c r="G169" s="15" t="b">
        <f t="shared" si="2"/>
        <v>1</v>
      </c>
      <c r="H169" s="10" t="str">
        <f>IF(ISERROR(MATCH(A169,'SegEnds_Xtal_Prot#'!B:B, 0)), "NoXtal", "Xtal")</f>
        <v>Xtal</v>
      </c>
      <c r="J169" s="3"/>
    </row>
    <row r="170" spans="1:10" x14ac:dyDescent="0.2">
      <c r="A170" s="1" t="s">
        <v>401</v>
      </c>
      <c r="B170" s="1" t="s">
        <v>401</v>
      </c>
      <c r="C170" t="s">
        <v>401</v>
      </c>
      <c r="D170" s="28" t="str">
        <f>VLOOKUP(A170,Classification!$A:$D,2,FALSE)</f>
        <v>B1</v>
      </c>
      <c r="E170" s="49" t="str">
        <f>VLOOKUP(B170,Classification!$A:$D,2,FALSE)</f>
        <v>B1</v>
      </c>
      <c r="F170" s="15" t="str">
        <f>VLOOKUP(C170,Classification!$A:$D,2,FALSE)</f>
        <v>B1</v>
      </c>
      <c r="G170" s="15" t="b">
        <f t="shared" si="2"/>
        <v>1</v>
      </c>
      <c r="H170" s="10" t="str">
        <f>IF(ISERROR(MATCH(A170,'SegEnds_Xtal_Prot#'!B:B, 0)), "NoXtal", "Xtal")</f>
        <v>Xtal</v>
      </c>
      <c r="J170" s="3"/>
    </row>
    <row r="171" spans="1:10" x14ac:dyDescent="0.2">
      <c r="A171" s="1" t="s">
        <v>166</v>
      </c>
      <c r="B171" s="1" t="s">
        <v>165</v>
      </c>
      <c r="C171" t="s">
        <v>1172</v>
      </c>
      <c r="D171" s="28" t="str">
        <f>VLOOKUP(A171,Classification!$A:$D,2,FALSE)</f>
        <v>A</v>
      </c>
      <c r="E171" s="49" t="str">
        <f>VLOOKUP(B171,Classification!$A:$D,2,FALSE)</f>
        <v>A</v>
      </c>
      <c r="F171" s="15" t="str">
        <f>VLOOKUP(C171,Classification!$A:$D,2,FALSE)</f>
        <v>A</v>
      </c>
      <c r="G171" s="15" t="b">
        <f t="shared" si="2"/>
        <v>1</v>
      </c>
      <c r="H171" s="10" t="str">
        <f>IF(ISERROR(MATCH(A171,'SegEnds_Xtal_Prot#'!B:B, 0)), "NoXtal", "Xtal")</f>
        <v>NoXtal</v>
      </c>
      <c r="J171" s="3"/>
    </row>
    <row r="172" spans="1:10" x14ac:dyDescent="0.2">
      <c r="A172" s="1" t="s">
        <v>201</v>
      </c>
      <c r="B172" s="1" t="s">
        <v>360</v>
      </c>
      <c r="C172" t="s">
        <v>1172</v>
      </c>
      <c r="D172" s="28" t="str">
        <f>VLOOKUP(A172,Classification!$A:$D,2,FALSE)</f>
        <v>A</v>
      </c>
      <c r="E172" s="49" t="str">
        <f>VLOOKUP(B172,Classification!$A:$D,2,FALSE)</f>
        <v>A</v>
      </c>
      <c r="F172" s="15" t="str">
        <f>VLOOKUP(C172,Classification!$A:$D,2,FALSE)</f>
        <v>A</v>
      </c>
      <c r="G172" s="15" t="b">
        <f t="shared" si="2"/>
        <v>1</v>
      </c>
      <c r="H172" s="10" t="str">
        <f>IF(ISERROR(MATCH(A172,'SegEnds_Xtal_Prot#'!B:B, 0)), "NoXtal", "Xtal")</f>
        <v>NoXtal</v>
      </c>
      <c r="J172" s="3"/>
    </row>
    <row r="173" spans="1:10" x14ac:dyDescent="0.2">
      <c r="A173" s="1" t="s">
        <v>202</v>
      </c>
      <c r="B173" s="1" t="s">
        <v>360</v>
      </c>
      <c r="C173" t="s">
        <v>1172</v>
      </c>
      <c r="D173" s="28" t="str">
        <f>VLOOKUP(A173,Classification!$A:$D,2,FALSE)</f>
        <v>A</v>
      </c>
      <c r="E173" s="49" t="str">
        <f>VLOOKUP(B173,Classification!$A:$D,2,FALSE)</f>
        <v>A</v>
      </c>
      <c r="F173" s="15" t="str">
        <f>VLOOKUP(C173,Classification!$A:$D,2,FALSE)</f>
        <v>A</v>
      </c>
      <c r="G173" s="15" t="b">
        <f t="shared" si="2"/>
        <v>1</v>
      </c>
      <c r="H173" s="10" t="str">
        <f>IF(ISERROR(MATCH(A173,'SegEnds_Xtal_Prot#'!B:B, 0)), "NoXtal", "Xtal")</f>
        <v>NoXtal</v>
      </c>
      <c r="J173" s="3"/>
    </row>
    <row r="174" spans="1:10" x14ac:dyDescent="0.2">
      <c r="A174" s="1" t="s">
        <v>1172</v>
      </c>
      <c r="B174" s="1" t="s">
        <v>1172</v>
      </c>
      <c r="C174" t="s">
        <v>1172</v>
      </c>
      <c r="D174" s="28" t="str">
        <f>VLOOKUP(A174,Classification!$A:$D,2,FALSE)</f>
        <v>A</v>
      </c>
      <c r="E174" s="49" t="str">
        <f>VLOOKUP(B174,Classification!$A:$D,2,FALSE)</f>
        <v>A</v>
      </c>
      <c r="F174" s="15" t="str">
        <f>VLOOKUP(C174,Classification!$A:$D,2,FALSE)</f>
        <v>A</v>
      </c>
      <c r="G174" s="15" t="b">
        <f t="shared" si="2"/>
        <v>1</v>
      </c>
      <c r="H174" s="10" t="str">
        <f>IF(ISERROR(MATCH(A174,'SegEnds_Xtal_Prot#'!B:B, 0)), "NoXtal", "Xtal")</f>
        <v>Xtal</v>
      </c>
      <c r="J174" s="3"/>
    </row>
    <row r="175" spans="1:10" x14ac:dyDescent="0.2">
      <c r="A175" s="1" t="s">
        <v>188</v>
      </c>
      <c r="B175" s="1" t="s">
        <v>1172</v>
      </c>
      <c r="C175" t="s">
        <v>1172</v>
      </c>
      <c r="D175" s="28" t="str">
        <f>VLOOKUP(A175,Classification!$A:$D,2,FALSE)</f>
        <v>A</v>
      </c>
      <c r="E175" s="49" t="str">
        <f>VLOOKUP(B175,Classification!$A:$D,2,FALSE)</f>
        <v>A</v>
      </c>
      <c r="F175" s="15" t="str">
        <f>VLOOKUP(C175,Classification!$A:$D,2,FALSE)</f>
        <v>A</v>
      </c>
      <c r="G175" s="15" t="b">
        <f t="shared" si="2"/>
        <v>1</v>
      </c>
      <c r="H175" s="10" t="str">
        <f>IF(ISERROR(MATCH(A175,'SegEnds_Xtal_Prot#'!B:B, 0)), "NoXtal", "Xtal")</f>
        <v>NoXtal</v>
      </c>
      <c r="J175" s="3"/>
    </row>
    <row r="176" spans="1:10" x14ac:dyDescent="0.2">
      <c r="A176" s="1" t="s">
        <v>187</v>
      </c>
      <c r="B176" s="1" t="s">
        <v>1172</v>
      </c>
      <c r="C176" t="s">
        <v>1172</v>
      </c>
      <c r="D176" s="28" t="str">
        <f>VLOOKUP(A176,Classification!$A:$D,2,FALSE)</f>
        <v>A</v>
      </c>
      <c r="E176" s="49" t="str">
        <f>VLOOKUP(B176,Classification!$A:$D,2,FALSE)</f>
        <v>A</v>
      </c>
      <c r="F176" s="15" t="str">
        <f>VLOOKUP(C176,Classification!$A:$D,2,FALSE)</f>
        <v>A</v>
      </c>
      <c r="G176" s="15" t="b">
        <f t="shared" si="2"/>
        <v>1</v>
      </c>
      <c r="H176" s="10" t="str">
        <f>IF(ISERROR(MATCH(A176,'SegEnds_Xtal_Prot#'!B:B, 0)), "NoXtal", "Xtal")</f>
        <v>NoXtal</v>
      </c>
      <c r="J176" s="3"/>
    </row>
    <row r="177" spans="1:10" x14ac:dyDescent="0.2">
      <c r="A177" s="1" t="s">
        <v>203</v>
      </c>
      <c r="B177" s="1" t="s">
        <v>360</v>
      </c>
      <c r="C177" t="s">
        <v>1172</v>
      </c>
      <c r="D177" s="28" t="str">
        <f>VLOOKUP(A177,Classification!$A:$D,2,FALSE)</f>
        <v>A</v>
      </c>
      <c r="E177" s="49" t="str">
        <f>VLOOKUP(B177,Classification!$A:$D,2,FALSE)</f>
        <v>A</v>
      </c>
      <c r="F177" s="15" t="str">
        <f>VLOOKUP(C177,Classification!$A:$D,2,FALSE)</f>
        <v>A</v>
      </c>
      <c r="G177" s="15" t="b">
        <f t="shared" si="2"/>
        <v>1</v>
      </c>
      <c r="H177" s="10" t="str">
        <f>IF(ISERROR(MATCH(A177,'SegEnds_Xtal_Prot#'!B:B, 0)), "NoXtal", "Xtal")</f>
        <v>NoXtal</v>
      </c>
      <c r="J177" s="3"/>
    </row>
    <row r="178" spans="1:10" x14ac:dyDescent="0.2">
      <c r="A178" s="1" t="s">
        <v>293</v>
      </c>
      <c r="B178" s="1" t="s">
        <v>360</v>
      </c>
      <c r="C178" t="s">
        <v>1172</v>
      </c>
      <c r="D178" s="28" t="str">
        <f>VLOOKUP(A178,Classification!$A:$D,2,FALSE)</f>
        <v>A</v>
      </c>
      <c r="E178" s="49" t="str">
        <f>VLOOKUP(B178,Classification!$A:$D,2,FALSE)</f>
        <v>A</v>
      </c>
      <c r="F178" s="15" t="str">
        <f>VLOOKUP(C178,Classification!$A:$D,2,FALSE)</f>
        <v>A</v>
      </c>
      <c r="G178" s="15" t="b">
        <f t="shared" si="2"/>
        <v>1</v>
      </c>
      <c r="H178" s="10" t="str">
        <f>IF(ISERROR(MATCH(A178,'SegEnds_Xtal_Prot#'!B:B, 0)), "NoXtal", "Xtal")</f>
        <v>NoXtal</v>
      </c>
      <c r="J178" s="3"/>
    </row>
    <row r="179" spans="1:10" x14ac:dyDescent="0.2">
      <c r="A179" s="1" t="s">
        <v>192</v>
      </c>
      <c r="B179" s="1" t="s">
        <v>192</v>
      </c>
      <c r="C179" t="s">
        <v>192</v>
      </c>
      <c r="D179" s="28" t="str">
        <f>VLOOKUP(A179,Classification!$A:$D,2,FALSE)</f>
        <v>A</v>
      </c>
      <c r="E179" s="49" t="str">
        <f>VLOOKUP(B179,Classification!$A:$D,2,FALSE)</f>
        <v>A</v>
      </c>
      <c r="F179" s="15" t="str">
        <f>VLOOKUP(C179,Classification!$A:$D,2,FALSE)</f>
        <v>A</v>
      </c>
      <c r="G179" s="15" t="b">
        <f t="shared" si="2"/>
        <v>1</v>
      </c>
      <c r="H179" s="10" t="str">
        <f>IF(ISERROR(MATCH(A179,'SegEnds_Xtal_Prot#'!B:B, 0)), "NoXtal", "Xtal")</f>
        <v>Xtal</v>
      </c>
      <c r="J179" s="3"/>
    </row>
    <row r="180" spans="1:10" x14ac:dyDescent="0.2">
      <c r="A180" s="1" t="s">
        <v>191</v>
      </c>
      <c r="B180" s="1" t="s">
        <v>191</v>
      </c>
      <c r="C180" t="s">
        <v>192</v>
      </c>
      <c r="D180" s="28" t="str">
        <f>VLOOKUP(A180,Classification!$A:$D,2,FALSE)</f>
        <v>A</v>
      </c>
      <c r="E180" s="49" t="str">
        <f>VLOOKUP(B180,Classification!$A:$D,2,FALSE)</f>
        <v>A</v>
      </c>
      <c r="F180" s="15" t="str">
        <f>VLOOKUP(C180,Classification!$A:$D,2,FALSE)</f>
        <v>A</v>
      </c>
      <c r="G180" s="15" t="b">
        <f t="shared" si="2"/>
        <v>1</v>
      </c>
      <c r="H180" s="10" t="str">
        <f>IF(ISERROR(MATCH(A180,'SegEnds_Xtal_Prot#'!B:B, 0)), "NoXtal", "Xtal")</f>
        <v>Xtal</v>
      </c>
      <c r="J180" s="3"/>
    </row>
    <row r="181" spans="1:10" x14ac:dyDescent="0.2">
      <c r="A181" s="1" t="s">
        <v>193</v>
      </c>
      <c r="B181" s="1" t="s">
        <v>193</v>
      </c>
      <c r="C181" t="s">
        <v>193</v>
      </c>
      <c r="D181" s="28" t="str">
        <f>VLOOKUP(A181,Classification!$A:$D,2,FALSE)</f>
        <v>A</v>
      </c>
      <c r="E181" s="49" t="str">
        <f>VLOOKUP(B181,Classification!$A:$D,2,FALSE)</f>
        <v>A</v>
      </c>
      <c r="F181" s="15" t="str">
        <f>VLOOKUP(C181,Classification!$A:$D,2,FALSE)</f>
        <v>A</v>
      </c>
      <c r="G181" s="15" t="b">
        <f t="shared" si="2"/>
        <v>1</v>
      </c>
      <c r="H181" s="10" t="str">
        <f>IF(ISERROR(MATCH(A181,'SegEnds_Xtal_Prot#'!B:B, 0)), "NoXtal", "Xtal")</f>
        <v>Xtal</v>
      </c>
      <c r="J181" s="3"/>
    </row>
    <row r="182" spans="1:10" x14ac:dyDescent="0.2">
      <c r="A182" s="1" t="s">
        <v>156</v>
      </c>
      <c r="B182" s="1" t="s">
        <v>191</v>
      </c>
      <c r="C182" t="s">
        <v>192</v>
      </c>
      <c r="D182" s="28" t="str">
        <f>VLOOKUP(A182,Classification!$A:$D,2,FALSE)</f>
        <v>A</v>
      </c>
      <c r="E182" s="49" t="str">
        <f>VLOOKUP(B182,Classification!$A:$D,2,FALSE)</f>
        <v>A</v>
      </c>
      <c r="F182" s="15" t="str">
        <f>VLOOKUP(C182,Classification!$A:$D,2,FALSE)</f>
        <v>A</v>
      </c>
      <c r="G182" s="15" t="b">
        <f t="shared" si="2"/>
        <v>1</v>
      </c>
      <c r="H182" s="10" t="str">
        <f>IF(ISERROR(MATCH(A182,'SegEnds_Xtal_Prot#'!B:B, 0)), "NoXtal", "Xtal")</f>
        <v>NoXtal</v>
      </c>
      <c r="J182" s="3"/>
    </row>
    <row r="183" spans="1:10" x14ac:dyDescent="0.2">
      <c r="A183" s="1" t="s">
        <v>273</v>
      </c>
      <c r="B183" s="1" t="s">
        <v>1175</v>
      </c>
      <c r="C183" t="s">
        <v>192</v>
      </c>
      <c r="D183" s="28" t="str">
        <f>VLOOKUP(A183,Classification!$A:$D,2,FALSE)</f>
        <v>A</v>
      </c>
      <c r="E183" s="49" t="str">
        <f>VLOOKUP(B183,Classification!$A:$D,2,FALSE)</f>
        <v>A</v>
      </c>
      <c r="F183" s="15" t="str">
        <f>VLOOKUP(C183,Classification!$A:$D,2,FALSE)</f>
        <v>A</v>
      </c>
      <c r="G183" s="15" t="b">
        <f t="shared" si="2"/>
        <v>1</v>
      </c>
      <c r="H183" s="10" t="str">
        <f>IF(ISERROR(MATCH(A183,'SegEnds_Xtal_Prot#'!B:B, 0)), "NoXtal", "Xtal")</f>
        <v>NoXtal</v>
      </c>
      <c r="J183" s="3"/>
    </row>
    <row r="184" spans="1:10" x14ac:dyDescent="0.2">
      <c r="A184" s="1" t="s">
        <v>264</v>
      </c>
      <c r="B184" s="1" t="s">
        <v>192</v>
      </c>
      <c r="C184" t="s">
        <v>192</v>
      </c>
      <c r="D184" s="28" t="str">
        <f>VLOOKUP(A184,Classification!$A:$D,2,FALSE)</f>
        <v>A</v>
      </c>
      <c r="E184" s="49" t="str">
        <f>VLOOKUP(B184,Classification!$A:$D,2,FALSE)</f>
        <v>A</v>
      </c>
      <c r="F184" s="15" t="str">
        <f>VLOOKUP(C184,Classification!$A:$D,2,FALSE)</f>
        <v>A</v>
      </c>
      <c r="G184" s="15" t="b">
        <f t="shared" si="2"/>
        <v>1</v>
      </c>
      <c r="H184" s="10" t="str">
        <f>IF(ISERROR(MATCH(A184,'SegEnds_Xtal_Prot#'!B:B, 0)), "NoXtal", "Xtal")</f>
        <v>NoXtal</v>
      </c>
      <c r="J184" s="3"/>
    </row>
    <row r="185" spans="1:10" x14ac:dyDescent="0.2">
      <c r="A185" s="1" t="s">
        <v>366</v>
      </c>
      <c r="B185" s="1" t="s">
        <v>364</v>
      </c>
      <c r="C185" t="s">
        <v>192</v>
      </c>
      <c r="D185" s="28" t="str">
        <f>VLOOKUP(A185,Classification!$A:$D,2,FALSE)</f>
        <v>A</v>
      </c>
      <c r="E185" s="49" t="str">
        <f>VLOOKUP(B185,Classification!$A:$D,2,FALSE)</f>
        <v>A</v>
      </c>
      <c r="F185" s="15" t="str">
        <f>VLOOKUP(C185,Classification!$A:$D,2,FALSE)</f>
        <v>A</v>
      </c>
      <c r="G185" s="15" t="b">
        <f t="shared" si="2"/>
        <v>1</v>
      </c>
      <c r="H185" s="10" t="str">
        <f>IF(ISERROR(MATCH(A185,'SegEnds_Xtal_Prot#'!B:B, 0)), "NoXtal", "Xtal")</f>
        <v>NoXtal</v>
      </c>
      <c r="J185" s="3"/>
    </row>
    <row r="186" spans="1:10" x14ac:dyDescent="0.2">
      <c r="A186" s="1" t="s">
        <v>263</v>
      </c>
      <c r="B186" s="1" t="s">
        <v>1176</v>
      </c>
      <c r="C186" t="s">
        <v>192</v>
      </c>
      <c r="D186" s="28" t="str">
        <f>VLOOKUP(A186,Classification!$A:$D,2,FALSE)</f>
        <v>A</v>
      </c>
      <c r="E186" s="49" t="str">
        <f>VLOOKUP(B186,Classification!$A:$D,2,FALSE)</f>
        <v>A</v>
      </c>
      <c r="F186" s="15" t="str">
        <f>VLOOKUP(C186,Classification!$A:$D,2,FALSE)</f>
        <v>A</v>
      </c>
      <c r="G186" s="15" t="b">
        <f t="shared" si="2"/>
        <v>1</v>
      </c>
      <c r="H186" s="10" t="str">
        <f>IF(ISERROR(MATCH(A186,'SegEnds_Xtal_Prot#'!B:B, 0)), "NoXtal", "Xtal")</f>
        <v>NoXtal</v>
      </c>
      <c r="J186" s="3"/>
    </row>
    <row r="187" spans="1:10" x14ac:dyDescent="0.2">
      <c r="A187" s="1" t="s">
        <v>266</v>
      </c>
      <c r="B187" s="1" t="s">
        <v>191</v>
      </c>
      <c r="C187" t="s">
        <v>192</v>
      </c>
      <c r="D187" s="28" t="str">
        <f>VLOOKUP(A187,Classification!$A:$D,2,FALSE)</f>
        <v>A</v>
      </c>
      <c r="E187" s="49" t="str">
        <f>VLOOKUP(B187,Classification!$A:$D,2,FALSE)</f>
        <v>A</v>
      </c>
      <c r="F187" s="15" t="str">
        <f>VLOOKUP(C187,Classification!$A:$D,2,FALSE)</f>
        <v>A</v>
      </c>
      <c r="G187" s="15" t="b">
        <f t="shared" si="2"/>
        <v>1</v>
      </c>
      <c r="H187" s="10" t="str">
        <f>IF(ISERROR(MATCH(A187,'SegEnds_Xtal_Prot#'!B:B, 0)), "NoXtal", "Xtal")</f>
        <v>NoXtal</v>
      </c>
      <c r="J187" s="3"/>
    </row>
    <row r="188" spans="1:10" x14ac:dyDescent="0.2">
      <c r="A188" s="1" t="s">
        <v>196</v>
      </c>
      <c r="B188" s="1" t="s">
        <v>196</v>
      </c>
      <c r="C188" t="s">
        <v>196</v>
      </c>
      <c r="D188" s="28" t="str">
        <f>VLOOKUP(A188,Classification!$A:$D,2,FALSE)</f>
        <v>A</v>
      </c>
      <c r="E188" s="49" t="str">
        <f>VLOOKUP(B188,Classification!$A:$D,2,FALSE)</f>
        <v>A</v>
      </c>
      <c r="F188" s="15" t="str">
        <f>VLOOKUP(C188,Classification!$A:$D,2,FALSE)</f>
        <v>A</v>
      </c>
      <c r="G188" s="15" t="b">
        <f t="shared" si="2"/>
        <v>1</v>
      </c>
      <c r="H188" s="10" t="str">
        <f>IF(ISERROR(MATCH(A188,'SegEnds_Xtal_Prot#'!B:B, 0)), "NoXtal", "Xtal")</f>
        <v>Xtal</v>
      </c>
      <c r="J188" s="3"/>
    </row>
    <row r="189" spans="1:10" x14ac:dyDescent="0.2">
      <c r="A189" s="1" t="s">
        <v>195</v>
      </c>
      <c r="B189" s="1" t="s">
        <v>196</v>
      </c>
      <c r="C189" t="s">
        <v>196</v>
      </c>
      <c r="D189" s="28" t="str">
        <f>VLOOKUP(A189,Classification!$A:$D,2,FALSE)</f>
        <v>A</v>
      </c>
      <c r="E189" s="49" t="str">
        <f>VLOOKUP(B189,Classification!$A:$D,2,FALSE)</f>
        <v>A</v>
      </c>
      <c r="F189" s="15" t="str">
        <f>VLOOKUP(C189,Classification!$A:$D,2,FALSE)</f>
        <v>A</v>
      </c>
      <c r="G189" s="15" t="b">
        <f t="shared" si="2"/>
        <v>1</v>
      </c>
      <c r="H189" s="10" t="str">
        <f>IF(ISERROR(MATCH(A189,'SegEnds_Xtal_Prot#'!B:B, 0)), "NoXtal", "Xtal")</f>
        <v>NoXtal</v>
      </c>
      <c r="J189" s="3"/>
    </row>
    <row r="190" spans="1:10" x14ac:dyDescent="0.2">
      <c r="A190" s="1" t="s">
        <v>274</v>
      </c>
      <c r="B190" s="1" t="s">
        <v>196</v>
      </c>
      <c r="C190" t="s">
        <v>196</v>
      </c>
      <c r="D190" s="28" t="str">
        <f>VLOOKUP(A190,Classification!$A:$D,2,FALSE)</f>
        <v>A</v>
      </c>
      <c r="E190" s="49" t="str">
        <f>VLOOKUP(B190,Classification!$A:$D,2,FALSE)</f>
        <v>A</v>
      </c>
      <c r="F190" s="15" t="str">
        <f>VLOOKUP(C190,Classification!$A:$D,2,FALSE)</f>
        <v>A</v>
      </c>
      <c r="G190" s="15" t="b">
        <f t="shared" si="2"/>
        <v>1</v>
      </c>
      <c r="H190" s="10" t="str">
        <f>IF(ISERROR(MATCH(A190,'SegEnds_Xtal_Prot#'!B:B, 0)), "NoXtal", "Xtal")</f>
        <v>NoXtal</v>
      </c>
      <c r="J190" s="3"/>
    </row>
    <row r="191" spans="1:10" x14ac:dyDescent="0.2">
      <c r="A191" s="1" t="s">
        <v>255</v>
      </c>
      <c r="B191" s="1" t="s">
        <v>196</v>
      </c>
      <c r="C191" t="s">
        <v>196</v>
      </c>
      <c r="D191" s="28" t="str">
        <f>VLOOKUP(A191,Classification!$A:$D,2,FALSE)</f>
        <v>A</v>
      </c>
      <c r="E191" s="49" t="str">
        <f>VLOOKUP(B191,Classification!$A:$D,2,FALSE)</f>
        <v>A</v>
      </c>
      <c r="F191" s="15" t="str">
        <f>VLOOKUP(C191,Classification!$A:$D,2,FALSE)</f>
        <v>A</v>
      </c>
      <c r="G191" s="15" t="b">
        <f t="shared" si="2"/>
        <v>1</v>
      </c>
      <c r="H191" s="10" t="str">
        <f>IF(ISERROR(MATCH(A191,'SegEnds_Xtal_Prot#'!B:B, 0)), "NoXtal", "Xtal")</f>
        <v>NoXtal</v>
      </c>
      <c r="J191" s="3"/>
    </row>
    <row r="192" spans="1:10" x14ac:dyDescent="0.2">
      <c r="A192" s="1" t="s">
        <v>197</v>
      </c>
      <c r="B192" s="1" t="s">
        <v>196</v>
      </c>
      <c r="C192" t="s">
        <v>196</v>
      </c>
      <c r="D192" s="28" t="str">
        <f>VLOOKUP(A192,Classification!$A:$D,2,FALSE)</f>
        <v>A</v>
      </c>
      <c r="E192" s="49" t="str">
        <f>VLOOKUP(B192,Classification!$A:$D,2,FALSE)</f>
        <v>A</v>
      </c>
      <c r="F192" s="15" t="str">
        <f>VLOOKUP(C192,Classification!$A:$D,2,FALSE)</f>
        <v>A</v>
      </c>
      <c r="G192" s="15" t="b">
        <f t="shared" si="2"/>
        <v>1</v>
      </c>
      <c r="H192" s="10" t="str">
        <f>IF(ISERROR(MATCH(A192,'SegEnds_Xtal_Prot#'!B:B, 0)), "NoXtal", "Xtal")</f>
        <v>NoXtal</v>
      </c>
      <c r="J192" s="3"/>
    </row>
    <row r="193" spans="1:10" x14ac:dyDescent="0.2">
      <c r="A193" s="1" t="s">
        <v>317</v>
      </c>
      <c r="B193" s="1" t="s">
        <v>196</v>
      </c>
      <c r="C193" t="s">
        <v>196</v>
      </c>
      <c r="D193" s="28" t="str">
        <f>VLOOKUP(A193,Classification!$A:$D,2,FALSE)</f>
        <v>A</v>
      </c>
      <c r="E193" s="49" t="str">
        <f>VLOOKUP(B193,Classification!$A:$D,2,FALSE)</f>
        <v>A</v>
      </c>
      <c r="F193" s="15" t="str">
        <f>VLOOKUP(C193,Classification!$A:$D,2,FALSE)</f>
        <v>A</v>
      </c>
      <c r="G193" s="15" t="b">
        <f t="shared" si="2"/>
        <v>1</v>
      </c>
      <c r="H193" s="10" t="str">
        <f>IF(ISERROR(MATCH(A193,'SegEnds_Xtal_Prot#'!B:B, 0)), "NoXtal", "Xtal")</f>
        <v>NoXtal</v>
      </c>
      <c r="J193" s="3"/>
    </row>
    <row r="194" spans="1:10" x14ac:dyDescent="0.2">
      <c r="A194" s="1" t="s">
        <v>1173</v>
      </c>
      <c r="B194" s="1" t="s">
        <v>1173</v>
      </c>
      <c r="C194" t="s">
        <v>1173</v>
      </c>
      <c r="D194" s="28" t="str">
        <f>VLOOKUP(A194,Classification!$A:$D,2,FALSE)</f>
        <v>A</v>
      </c>
      <c r="E194" s="49" t="str">
        <f>VLOOKUP(B194,Classification!$A:$D,2,FALSE)</f>
        <v>A</v>
      </c>
      <c r="F194" s="15" t="str">
        <f>VLOOKUP(C194,Classification!$A:$D,2,FALSE)</f>
        <v>A</v>
      </c>
      <c r="G194" s="15" t="b">
        <f t="shared" si="2"/>
        <v>1</v>
      </c>
      <c r="H194" s="10" t="str">
        <f>IF(ISERROR(MATCH(A194,'SegEnds_Xtal_Prot#'!B:B, 0)), "NoXtal", "Xtal")</f>
        <v>Xtal</v>
      </c>
      <c r="J194" s="3"/>
    </row>
    <row r="195" spans="1:10" x14ac:dyDescent="0.2">
      <c r="A195" s="1" t="s">
        <v>198</v>
      </c>
      <c r="B195" s="1" t="s">
        <v>356</v>
      </c>
      <c r="C195" t="s">
        <v>1173</v>
      </c>
      <c r="D195" s="28" t="str">
        <f>VLOOKUP(A195,Classification!$A:$D,2,FALSE)</f>
        <v>A</v>
      </c>
      <c r="E195" s="49" t="str">
        <f>VLOOKUP(B195,Classification!$A:$D,2,FALSE)</f>
        <v>A</v>
      </c>
      <c r="F195" s="15" t="str">
        <f>VLOOKUP(C195,Classification!$A:$D,2,FALSE)</f>
        <v>A</v>
      </c>
      <c r="G195" s="15" t="b">
        <f t="shared" ref="G195:G258" si="3">OR(D195=F195,AND(D195="T",F195="A"),AND(D195="B2",F195="B1"),D195="O")</f>
        <v>1</v>
      </c>
      <c r="H195" s="10" t="str">
        <f>IF(ISERROR(MATCH(A195,'SegEnds_Xtal_Prot#'!B:B, 0)), "NoXtal", "Xtal")</f>
        <v>NoXtal</v>
      </c>
      <c r="J195" s="3"/>
    </row>
    <row r="196" spans="1:10" x14ac:dyDescent="0.2">
      <c r="A196" s="1" t="s">
        <v>404</v>
      </c>
      <c r="B196" s="1" t="s">
        <v>409</v>
      </c>
      <c r="C196" t="s">
        <v>32</v>
      </c>
      <c r="D196" s="28" t="str">
        <f>VLOOKUP(A196,Classification!$A:$D,2,FALSE)</f>
        <v>B1</v>
      </c>
      <c r="E196" s="49" t="str">
        <f>VLOOKUP(B196,Classification!$A:$D,2,FALSE)</f>
        <v>B1</v>
      </c>
      <c r="F196" s="15" t="str">
        <f>VLOOKUP(C196,Classification!$A:$D,2,FALSE)</f>
        <v>B1</v>
      </c>
      <c r="G196" s="15" t="b">
        <f t="shared" si="3"/>
        <v>1</v>
      </c>
      <c r="H196" s="10" t="str">
        <f>IF(ISERROR(MATCH(A196,'SegEnds_Xtal_Prot#'!B:B, 0)), "NoXtal", "Xtal")</f>
        <v>NoXtal</v>
      </c>
      <c r="J196" s="3"/>
    </row>
    <row r="197" spans="1:10" x14ac:dyDescent="0.2">
      <c r="A197" s="1" t="s">
        <v>411</v>
      </c>
      <c r="B197" s="1" t="s">
        <v>409</v>
      </c>
      <c r="C197" t="s">
        <v>32</v>
      </c>
      <c r="D197" s="28" t="str">
        <f>VLOOKUP(A197,Classification!$A:$D,2,FALSE)</f>
        <v>B1</v>
      </c>
      <c r="E197" s="49" t="str">
        <f>VLOOKUP(B197,Classification!$A:$D,2,FALSE)</f>
        <v>B1</v>
      </c>
      <c r="F197" s="15" t="str">
        <f>VLOOKUP(C197,Classification!$A:$D,2,FALSE)</f>
        <v>B1</v>
      </c>
      <c r="G197" s="15" t="b">
        <f t="shared" si="3"/>
        <v>1</v>
      </c>
      <c r="H197" s="10" t="str">
        <f>IF(ISERROR(MATCH(A197,'SegEnds_Xtal_Prot#'!B:B, 0)), "NoXtal", "Xtal")</f>
        <v>NoXtal</v>
      </c>
      <c r="J197" s="3"/>
    </row>
    <row r="198" spans="1:10" x14ac:dyDescent="0.2">
      <c r="A198" s="1" t="s">
        <v>406</v>
      </c>
      <c r="B198" s="1" t="s">
        <v>406</v>
      </c>
      <c r="C198" t="s">
        <v>32</v>
      </c>
      <c r="D198" s="28" t="str">
        <f>VLOOKUP(A198,Classification!$A:$D,2,FALSE)</f>
        <v>B1</v>
      </c>
      <c r="E198" s="49" t="str">
        <f>VLOOKUP(B198,Classification!$A:$D,2,FALSE)</f>
        <v>B1</v>
      </c>
      <c r="F198" s="15" t="str">
        <f>VLOOKUP(C198,Classification!$A:$D,2,FALSE)</f>
        <v>B1</v>
      </c>
      <c r="G198" s="15" t="b">
        <f t="shared" si="3"/>
        <v>1</v>
      </c>
      <c r="H198" s="10" t="str">
        <f>IF(ISERROR(MATCH(A198,'SegEnds_Xtal_Prot#'!B:B, 0)), "NoXtal", "Xtal")</f>
        <v>Xtal</v>
      </c>
      <c r="J198" s="3"/>
    </row>
    <row r="199" spans="1:10" x14ac:dyDescent="0.2">
      <c r="A199" s="1" t="s">
        <v>413</v>
      </c>
      <c r="B199" s="1" t="s">
        <v>409</v>
      </c>
      <c r="C199" t="s">
        <v>32</v>
      </c>
      <c r="D199" s="28" t="str">
        <f>VLOOKUP(A199,Classification!$A:$D,2,FALSE)</f>
        <v>B1</v>
      </c>
      <c r="E199" s="49" t="str">
        <f>VLOOKUP(B199,Classification!$A:$D,2,FALSE)</f>
        <v>B1</v>
      </c>
      <c r="F199" s="15" t="str">
        <f>VLOOKUP(C199,Classification!$A:$D,2,FALSE)</f>
        <v>B1</v>
      </c>
      <c r="G199" s="15" t="b">
        <f t="shared" si="3"/>
        <v>1</v>
      </c>
      <c r="H199" s="10" t="str">
        <f>IF(ISERROR(MATCH(A199,'SegEnds_Xtal_Prot#'!B:B, 0)), "NoXtal", "Xtal")</f>
        <v>NoXtal</v>
      </c>
      <c r="J199" s="3"/>
    </row>
    <row r="200" spans="1:10" x14ac:dyDescent="0.2">
      <c r="A200" s="1" t="s">
        <v>408</v>
      </c>
      <c r="B200" s="1" t="s">
        <v>409</v>
      </c>
      <c r="C200" t="s">
        <v>32</v>
      </c>
      <c r="D200" s="28" t="str">
        <f>VLOOKUP(A200,Classification!$A:$D,2,FALSE)</f>
        <v>B1</v>
      </c>
      <c r="E200" s="49" t="str">
        <f>VLOOKUP(B200,Classification!$A:$D,2,FALSE)</f>
        <v>B1</v>
      </c>
      <c r="F200" s="15" t="str">
        <f>VLOOKUP(C200,Classification!$A:$D,2,FALSE)</f>
        <v>B1</v>
      </c>
      <c r="G200" s="15" t="b">
        <f t="shared" si="3"/>
        <v>1</v>
      </c>
      <c r="H200" s="10" t="str">
        <f>IF(ISERROR(MATCH(A200,'SegEnds_Xtal_Prot#'!B:B, 0)), "NoXtal", "Xtal")</f>
        <v>NoXtal</v>
      </c>
      <c r="J200" s="3"/>
    </row>
    <row r="201" spans="1:10" x14ac:dyDescent="0.2">
      <c r="A201" s="1" t="s">
        <v>412</v>
      </c>
      <c r="B201" s="1" t="s">
        <v>409</v>
      </c>
      <c r="C201" t="s">
        <v>32</v>
      </c>
      <c r="D201" s="28" t="str">
        <f>VLOOKUP(A201,Classification!$A:$D,2,FALSE)</f>
        <v>B1</v>
      </c>
      <c r="E201" s="49" t="str">
        <f>VLOOKUP(B201,Classification!$A:$D,2,FALSE)</f>
        <v>B1</v>
      </c>
      <c r="F201" s="15" t="str">
        <f>VLOOKUP(C201,Classification!$A:$D,2,FALSE)</f>
        <v>B1</v>
      </c>
      <c r="G201" s="15" t="b">
        <f t="shared" si="3"/>
        <v>1</v>
      </c>
      <c r="H201" s="10" t="str">
        <f>IF(ISERROR(MATCH(A201,'SegEnds_Xtal_Prot#'!B:B, 0)), "NoXtal", "Xtal")</f>
        <v>NoXtal</v>
      </c>
      <c r="J201" s="3"/>
    </row>
    <row r="202" spans="1:10" x14ac:dyDescent="0.2">
      <c r="A202" s="1" t="s">
        <v>405</v>
      </c>
      <c r="B202" s="1" t="s">
        <v>32</v>
      </c>
      <c r="C202" t="s">
        <v>32</v>
      </c>
      <c r="D202" s="28" t="str">
        <f>VLOOKUP(A202,Classification!$A:$D,2,FALSE)</f>
        <v>B1</v>
      </c>
      <c r="E202" s="49" t="str">
        <f>VLOOKUP(B202,Classification!$A:$D,2,FALSE)</f>
        <v>B1</v>
      </c>
      <c r="F202" s="15" t="str">
        <f>VLOOKUP(C202,Classification!$A:$D,2,FALSE)</f>
        <v>B1</v>
      </c>
      <c r="G202" s="15" t="b">
        <f t="shared" si="3"/>
        <v>1</v>
      </c>
      <c r="H202" s="10" t="str">
        <f>IF(ISERROR(MATCH(A202,'SegEnds_Xtal_Prot#'!B:B, 0)), "NoXtal", "Xtal")</f>
        <v>NoXtal</v>
      </c>
      <c r="J202" s="3"/>
    </row>
    <row r="203" spans="1:10" x14ac:dyDescent="0.2">
      <c r="A203" s="1" t="s">
        <v>32</v>
      </c>
      <c r="B203" s="1" t="s">
        <v>32</v>
      </c>
      <c r="C203" t="s">
        <v>32</v>
      </c>
      <c r="D203" s="28" t="str">
        <f>VLOOKUP(A203,Classification!$A:$D,2,FALSE)</f>
        <v>B1</v>
      </c>
      <c r="E203" s="49" t="str">
        <f>VLOOKUP(B203,Classification!$A:$D,2,FALSE)</f>
        <v>B1</v>
      </c>
      <c r="F203" s="15" t="str">
        <f>VLOOKUP(C203,Classification!$A:$D,2,FALSE)</f>
        <v>B1</v>
      </c>
      <c r="G203" s="15" t="b">
        <f t="shared" si="3"/>
        <v>1</v>
      </c>
      <c r="H203" s="10" t="str">
        <f>IF(ISERROR(MATCH(A203,'SegEnds_Xtal_Prot#'!B:B, 0)), "NoXtal", "Xtal")</f>
        <v>Xtal</v>
      </c>
      <c r="J203" s="3"/>
    </row>
    <row r="204" spans="1:10" x14ac:dyDescent="0.2">
      <c r="A204" s="1" t="s">
        <v>407</v>
      </c>
      <c r="B204" s="1" t="s">
        <v>32</v>
      </c>
      <c r="C204" t="s">
        <v>32</v>
      </c>
      <c r="D204" s="28" t="str">
        <f>VLOOKUP(A204,Classification!$A:$D,2,FALSE)</f>
        <v>B1</v>
      </c>
      <c r="E204" s="49" t="str">
        <f>VLOOKUP(B204,Classification!$A:$D,2,FALSE)</f>
        <v>B1</v>
      </c>
      <c r="F204" s="15" t="str">
        <f>VLOOKUP(C204,Classification!$A:$D,2,FALSE)</f>
        <v>B1</v>
      </c>
      <c r="G204" s="15" t="b">
        <f t="shared" si="3"/>
        <v>1</v>
      </c>
      <c r="H204" s="10" t="str">
        <f>IF(ISERROR(MATCH(A204,'SegEnds_Xtal_Prot#'!B:B, 0)), "NoXtal", "Xtal")</f>
        <v>NoXtal</v>
      </c>
      <c r="J204" s="3"/>
    </row>
    <row r="205" spans="1:10" x14ac:dyDescent="0.2">
      <c r="A205" s="1" t="s">
        <v>409</v>
      </c>
      <c r="B205" s="1" t="s">
        <v>409</v>
      </c>
      <c r="C205" t="s">
        <v>32</v>
      </c>
      <c r="D205" s="28" t="str">
        <f>VLOOKUP(A205,Classification!$A:$D,2,FALSE)</f>
        <v>B1</v>
      </c>
      <c r="E205" s="49" t="str">
        <f>VLOOKUP(B205,Classification!$A:$D,2,FALSE)</f>
        <v>B1</v>
      </c>
      <c r="F205" s="15" t="str">
        <f>VLOOKUP(C205,Classification!$A:$D,2,FALSE)</f>
        <v>B1</v>
      </c>
      <c r="G205" s="15" t="b">
        <f t="shared" si="3"/>
        <v>1</v>
      </c>
      <c r="H205" s="10" t="str">
        <f>IF(ISERROR(MATCH(A205,'SegEnds_Xtal_Prot#'!B:B, 0)), "NoXtal", "Xtal")</f>
        <v>Xtal</v>
      </c>
      <c r="J205" s="3"/>
    </row>
    <row r="206" spans="1:10" x14ac:dyDescent="0.2">
      <c r="A206" s="1" t="s">
        <v>410</v>
      </c>
      <c r="B206" s="1" t="s">
        <v>409</v>
      </c>
      <c r="C206" t="s">
        <v>32</v>
      </c>
      <c r="D206" s="28" t="str">
        <f>VLOOKUP(A206,Classification!$A:$D,2,FALSE)</f>
        <v>B1</v>
      </c>
      <c r="E206" s="49" t="str">
        <f>VLOOKUP(B206,Classification!$A:$D,2,FALSE)</f>
        <v>B1</v>
      </c>
      <c r="F206" s="15" t="str">
        <f>VLOOKUP(C206,Classification!$A:$D,2,FALSE)</f>
        <v>B1</v>
      </c>
      <c r="G206" s="15" t="b">
        <f t="shared" si="3"/>
        <v>1</v>
      </c>
      <c r="H206" s="10" t="str">
        <f>IF(ISERROR(MATCH(A206,'SegEnds_Xtal_Prot#'!B:B, 0)), "NoXtal", "Xtal")</f>
        <v>NoXtal</v>
      </c>
      <c r="J206" s="3"/>
    </row>
    <row r="207" spans="1:10" x14ac:dyDescent="0.2">
      <c r="A207" s="1" t="s">
        <v>123</v>
      </c>
      <c r="B207" s="1" t="s">
        <v>40</v>
      </c>
      <c r="C207" t="s">
        <v>40</v>
      </c>
      <c r="D207" s="28" t="str">
        <f>VLOOKUP(A207,Classification!$A:$D,2,FALSE)</f>
        <v>C</v>
      </c>
      <c r="E207" s="49" t="str">
        <f>VLOOKUP(B207,Classification!$A:$D,2,FALSE)</f>
        <v>C</v>
      </c>
      <c r="F207" s="15" t="str">
        <f>VLOOKUP(C207,Classification!$A:$D,2,FALSE)</f>
        <v>C</v>
      </c>
      <c r="G207" s="15" t="b">
        <f t="shared" si="3"/>
        <v>1</v>
      </c>
      <c r="H207" s="10" t="str">
        <f>IF(ISERROR(MATCH(A207,'SegEnds_Xtal_Prot#'!B:B, 0)), "NoXtal", "Xtal")</f>
        <v>NoXtal</v>
      </c>
      <c r="J207" s="3"/>
    </row>
    <row r="208" spans="1:10" x14ac:dyDescent="0.2">
      <c r="A208" s="1" t="s">
        <v>122</v>
      </c>
      <c r="B208" s="1" t="s">
        <v>40</v>
      </c>
      <c r="C208" t="s">
        <v>40</v>
      </c>
      <c r="D208" s="28" t="str">
        <f>VLOOKUP(A208,Classification!$A:$D,2,FALSE)</f>
        <v>C</v>
      </c>
      <c r="E208" s="49" t="str">
        <f>VLOOKUP(B208,Classification!$A:$D,2,FALSE)</f>
        <v>C</v>
      </c>
      <c r="F208" s="15" t="str">
        <f>VLOOKUP(C208,Classification!$A:$D,2,FALSE)</f>
        <v>C</v>
      </c>
      <c r="G208" s="15" t="b">
        <f t="shared" si="3"/>
        <v>1</v>
      </c>
      <c r="H208" s="10" t="str">
        <f>IF(ISERROR(MATCH(A208,'SegEnds_Xtal_Prot#'!B:B, 0)), "NoXtal", "Xtal")</f>
        <v>NoXtal</v>
      </c>
      <c r="J208" s="3"/>
    </row>
    <row r="209" spans="1:10" x14ac:dyDescent="0.2">
      <c r="A209" s="1" t="s">
        <v>124</v>
      </c>
      <c r="B209" s="1" t="s">
        <v>40</v>
      </c>
      <c r="C209" t="s">
        <v>40</v>
      </c>
      <c r="D209" s="28" t="str">
        <f>VLOOKUP(A209,Classification!$A:$D,2,FALSE)</f>
        <v>C</v>
      </c>
      <c r="E209" s="49" t="str">
        <f>VLOOKUP(B209,Classification!$A:$D,2,FALSE)</f>
        <v>C</v>
      </c>
      <c r="F209" s="15" t="str">
        <f>VLOOKUP(C209,Classification!$A:$D,2,FALSE)</f>
        <v>C</v>
      </c>
      <c r="G209" s="15" t="b">
        <f t="shared" si="3"/>
        <v>1</v>
      </c>
      <c r="H209" s="10" t="str">
        <f>IF(ISERROR(MATCH(A209,'SegEnds_Xtal_Prot#'!B:B, 0)), "NoXtal", "Xtal")</f>
        <v>NoXtal</v>
      </c>
      <c r="J209" s="3"/>
    </row>
    <row r="210" spans="1:10" x14ac:dyDescent="0.2">
      <c r="A210" s="1" t="s">
        <v>113</v>
      </c>
      <c r="B210" s="1" t="s">
        <v>40</v>
      </c>
      <c r="C210" t="s">
        <v>40</v>
      </c>
      <c r="D210" s="28" t="str">
        <f>VLOOKUP(A210,Classification!$A:$D,2,FALSE)</f>
        <v>C</v>
      </c>
      <c r="E210" s="49" t="str">
        <f>VLOOKUP(B210,Classification!$A:$D,2,FALSE)</f>
        <v>C</v>
      </c>
      <c r="F210" s="15" t="str">
        <f>VLOOKUP(C210,Classification!$A:$D,2,FALSE)</f>
        <v>C</v>
      </c>
      <c r="G210" s="15" t="b">
        <f t="shared" si="3"/>
        <v>1</v>
      </c>
      <c r="H210" s="10" t="str">
        <f>IF(ISERROR(MATCH(A210,'SegEnds_Xtal_Prot#'!B:B, 0)), "NoXtal", "Xtal")</f>
        <v>NoXtal</v>
      </c>
      <c r="J210" s="3"/>
    </row>
    <row r="211" spans="1:10" x14ac:dyDescent="0.2">
      <c r="A211" s="1" t="s">
        <v>121</v>
      </c>
      <c r="B211" s="1" t="s">
        <v>40</v>
      </c>
      <c r="C211" t="s">
        <v>40</v>
      </c>
      <c r="D211" s="28" t="str">
        <f>VLOOKUP(A211,Classification!$A:$D,2,FALSE)</f>
        <v>C</v>
      </c>
      <c r="E211" s="49" t="str">
        <f>VLOOKUP(B211,Classification!$A:$D,2,FALSE)</f>
        <v>C</v>
      </c>
      <c r="F211" s="15" t="str">
        <f>VLOOKUP(C211,Classification!$A:$D,2,FALSE)</f>
        <v>C</v>
      </c>
      <c r="G211" s="15" t="b">
        <f t="shared" si="3"/>
        <v>1</v>
      </c>
      <c r="H211" s="10" t="str">
        <f>IF(ISERROR(MATCH(A211,'SegEnds_Xtal_Prot#'!B:B, 0)), "NoXtal", "Xtal")</f>
        <v>NoXtal</v>
      </c>
      <c r="J211" s="3"/>
    </row>
    <row r="212" spans="1:10" x14ac:dyDescent="0.2">
      <c r="A212" s="1" t="s">
        <v>114</v>
      </c>
      <c r="B212" s="1" t="s">
        <v>40</v>
      </c>
      <c r="C212" t="s">
        <v>40</v>
      </c>
      <c r="D212" s="28" t="str">
        <f>VLOOKUP(A212,Classification!$A:$D,2,FALSE)</f>
        <v>C</v>
      </c>
      <c r="E212" s="49" t="str">
        <f>VLOOKUP(B212,Classification!$A:$D,2,FALSE)</f>
        <v>C</v>
      </c>
      <c r="F212" s="15" t="str">
        <f>VLOOKUP(C212,Classification!$A:$D,2,FALSE)</f>
        <v>C</v>
      </c>
      <c r="G212" s="15" t="b">
        <f t="shared" si="3"/>
        <v>1</v>
      </c>
      <c r="H212" s="10" t="str">
        <f>IF(ISERROR(MATCH(A212,'SegEnds_Xtal_Prot#'!B:B, 0)), "NoXtal", "Xtal")</f>
        <v>NoXtal</v>
      </c>
      <c r="J212" s="3"/>
    </row>
    <row r="213" spans="1:10" x14ac:dyDescent="0.2">
      <c r="A213" s="1" t="s">
        <v>106</v>
      </c>
      <c r="B213" s="1" t="s">
        <v>40</v>
      </c>
      <c r="C213" t="s">
        <v>40</v>
      </c>
      <c r="D213" s="28" t="str">
        <f>VLOOKUP(A213,Classification!$A:$D,2,FALSE)</f>
        <v>C</v>
      </c>
      <c r="E213" s="49" t="str">
        <f>VLOOKUP(B213,Classification!$A:$D,2,FALSE)</f>
        <v>C</v>
      </c>
      <c r="F213" s="15" t="str">
        <f>VLOOKUP(C213,Classification!$A:$D,2,FALSE)</f>
        <v>C</v>
      </c>
      <c r="G213" s="15" t="b">
        <f t="shared" si="3"/>
        <v>1</v>
      </c>
      <c r="H213" s="10" t="str">
        <f>IF(ISERROR(MATCH(A213,'SegEnds_Xtal_Prot#'!B:B, 0)), "NoXtal", "Xtal")</f>
        <v>NoXtal</v>
      </c>
      <c r="J213" s="3"/>
    </row>
    <row r="214" spans="1:10" x14ac:dyDescent="0.2">
      <c r="A214" s="1" t="s">
        <v>111</v>
      </c>
      <c r="B214" s="1" t="s">
        <v>40</v>
      </c>
      <c r="C214" t="s">
        <v>40</v>
      </c>
      <c r="D214" s="28" t="str">
        <f>VLOOKUP(A214,Classification!$A:$D,2,FALSE)</f>
        <v>C</v>
      </c>
      <c r="E214" s="49" t="str">
        <f>VLOOKUP(B214,Classification!$A:$D,2,FALSE)</f>
        <v>C</v>
      </c>
      <c r="F214" s="15" t="str">
        <f>VLOOKUP(C214,Classification!$A:$D,2,FALSE)</f>
        <v>C</v>
      </c>
      <c r="G214" s="15" t="b">
        <f t="shared" si="3"/>
        <v>1</v>
      </c>
      <c r="H214" s="10" t="str">
        <f>IF(ISERROR(MATCH(A214,'SegEnds_Xtal_Prot#'!B:B, 0)), "NoXtal", "Xtal")</f>
        <v>NoXtal</v>
      </c>
      <c r="J214" s="3"/>
    </row>
    <row r="215" spans="1:10" x14ac:dyDescent="0.2">
      <c r="A215" s="1" t="s">
        <v>112</v>
      </c>
      <c r="B215" s="1" t="s">
        <v>40</v>
      </c>
      <c r="C215" t="s">
        <v>40</v>
      </c>
      <c r="D215" s="28" t="str">
        <f>VLOOKUP(A215,Classification!$A:$D,2,FALSE)</f>
        <v>C</v>
      </c>
      <c r="E215" s="49" t="str">
        <f>VLOOKUP(B215,Classification!$A:$D,2,FALSE)</f>
        <v>C</v>
      </c>
      <c r="F215" s="15" t="str">
        <f>VLOOKUP(C215,Classification!$A:$D,2,FALSE)</f>
        <v>C</v>
      </c>
      <c r="G215" s="15" t="b">
        <f t="shared" si="3"/>
        <v>1</v>
      </c>
      <c r="H215" s="10" t="str">
        <f>IF(ISERROR(MATCH(A215,'SegEnds_Xtal_Prot#'!B:B, 0)), "NoXtal", "Xtal")</f>
        <v>NoXtal</v>
      </c>
      <c r="J215" s="3"/>
    </row>
    <row r="216" spans="1:10" x14ac:dyDescent="0.2">
      <c r="A216" s="1" t="s">
        <v>40</v>
      </c>
      <c r="B216" s="1" t="s">
        <v>40</v>
      </c>
      <c r="C216" t="s">
        <v>40</v>
      </c>
      <c r="D216" s="28" t="str">
        <f>VLOOKUP(A216,Classification!$A:$D,2,FALSE)</f>
        <v>C</v>
      </c>
      <c r="E216" s="49" t="str">
        <f>VLOOKUP(B216,Classification!$A:$D,2,FALSE)</f>
        <v>C</v>
      </c>
      <c r="F216" s="15" t="str">
        <f>VLOOKUP(C216,Classification!$A:$D,2,FALSE)</f>
        <v>C</v>
      </c>
      <c r="G216" s="15" t="b">
        <f t="shared" si="3"/>
        <v>1</v>
      </c>
      <c r="H216" s="10" t="str">
        <f>IF(ISERROR(MATCH(A216,'SegEnds_Xtal_Prot#'!B:B, 0)), "NoXtal", "Xtal")</f>
        <v>Xtal</v>
      </c>
      <c r="J216" s="3"/>
    </row>
    <row r="217" spans="1:10" x14ac:dyDescent="0.2">
      <c r="A217" s="1" t="s">
        <v>108</v>
      </c>
      <c r="B217" s="1" t="s">
        <v>40</v>
      </c>
      <c r="C217" t="s">
        <v>40</v>
      </c>
      <c r="D217" s="28" t="str">
        <f>VLOOKUP(A217,Classification!$A:$D,2,FALSE)</f>
        <v>C</v>
      </c>
      <c r="E217" s="49" t="str">
        <f>VLOOKUP(B217,Classification!$A:$D,2,FALSE)</f>
        <v>C</v>
      </c>
      <c r="F217" s="15" t="str">
        <f>VLOOKUP(C217,Classification!$A:$D,2,FALSE)</f>
        <v>C</v>
      </c>
      <c r="G217" s="15" t="b">
        <f t="shared" si="3"/>
        <v>1</v>
      </c>
      <c r="H217" s="10" t="str">
        <f>IF(ISERROR(MATCH(A217,'SegEnds_Xtal_Prot#'!B:B, 0)), "NoXtal", "Xtal")</f>
        <v>NoXtal</v>
      </c>
      <c r="J217" s="3"/>
    </row>
    <row r="218" spans="1:10" x14ac:dyDescent="0.2">
      <c r="A218" s="1" t="s">
        <v>109</v>
      </c>
      <c r="B218" s="1" t="s">
        <v>40</v>
      </c>
      <c r="C218" t="s">
        <v>40</v>
      </c>
      <c r="D218" s="28" t="str">
        <f>VLOOKUP(A218,Classification!$A:$D,2,FALSE)</f>
        <v>C</v>
      </c>
      <c r="E218" s="49" t="str">
        <f>VLOOKUP(B218,Classification!$A:$D,2,FALSE)</f>
        <v>C</v>
      </c>
      <c r="F218" s="15" t="str">
        <f>VLOOKUP(C218,Classification!$A:$D,2,FALSE)</f>
        <v>C</v>
      </c>
      <c r="G218" s="15" t="b">
        <f t="shared" si="3"/>
        <v>1</v>
      </c>
      <c r="H218" s="10" t="str">
        <f>IF(ISERROR(MATCH(A218,'SegEnds_Xtal_Prot#'!B:B, 0)), "NoXtal", "Xtal")</f>
        <v>NoXtal</v>
      </c>
      <c r="J218" s="3"/>
    </row>
    <row r="219" spans="1:10" x14ac:dyDescent="0.2">
      <c r="A219" s="1" t="s">
        <v>110</v>
      </c>
      <c r="B219" s="1" t="s">
        <v>40</v>
      </c>
      <c r="C219" t="s">
        <v>40</v>
      </c>
      <c r="D219" s="28" t="str">
        <f>VLOOKUP(A219,Classification!$A:$D,2,FALSE)</f>
        <v>C</v>
      </c>
      <c r="E219" s="49" t="str">
        <f>VLOOKUP(B219,Classification!$A:$D,2,FALSE)</f>
        <v>C</v>
      </c>
      <c r="F219" s="15" t="str">
        <f>VLOOKUP(C219,Classification!$A:$D,2,FALSE)</f>
        <v>C</v>
      </c>
      <c r="G219" s="15" t="b">
        <f t="shared" si="3"/>
        <v>1</v>
      </c>
      <c r="H219" s="10" t="str">
        <f>IF(ISERROR(MATCH(A219,'SegEnds_Xtal_Prot#'!B:B, 0)), "NoXtal", "Xtal")</f>
        <v>NoXtal</v>
      </c>
      <c r="J219" s="3"/>
    </row>
    <row r="220" spans="1:10" x14ac:dyDescent="0.2">
      <c r="A220" s="1" t="s">
        <v>118</v>
      </c>
      <c r="B220" s="1" t="s">
        <v>41</v>
      </c>
      <c r="C220" t="s">
        <v>41</v>
      </c>
      <c r="D220" s="28" t="str">
        <f>VLOOKUP(A220,Classification!$A:$D,2,FALSE)</f>
        <v>C</v>
      </c>
      <c r="E220" s="49" t="str">
        <f>VLOOKUP(B220,Classification!$A:$D,2,FALSE)</f>
        <v>C</v>
      </c>
      <c r="F220" s="15" t="str">
        <f>VLOOKUP(C220,Classification!$A:$D,2,FALSE)</f>
        <v>C</v>
      </c>
      <c r="G220" s="15" t="b">
        <f t="shared" si="3"/>
        <v>1</v>
      </c>
      <c r="H220" s="10" t="str">
        <f>IF(ISERROR(MATCH(A220,'SegEnds_Xtal_Prot#'!B:B, 0)), "NoXtal", "Xtal")</f>
        <v>NoXtal</v>
      </c>
      <c r="J220" s="3"/>
    </row>
    <row r="221" spans="1:10" x14ac:dyDescent="0.2">
      <c r="A221" s="1" t="s">
        <v>116</v>
      </c>
      <c r="B221" s="1" t="s">
        <v>41</v>
      </c>
      <c r="C221" t="s">
        <v>41</v>
      </c>
      <c r="D221" s="28" t="str">
        <f>VLOOKUP(A221,Classification!$A:$D,2,FALSE)</f>
        <v>C</v>
      </c>
      <c r="E221" s="49" t="str">
        <f>VLOOKUP(B221,Classification!$A:$D,2,FALSE)</f>
        <v>C</v>
      </c>
      <c r="F221" s="15" t="str">
        <f>VLOOKUP(C221,Classification!$A:$D,2,FALSE)</f>
        <v>C</v>
      </c>
      <c r="G221" s="15" t="b">
        <f t="shared" si="3"/>
        <v>1</v>
      </c>
      <c r="H221" s="10" t="str">
        <f>IF(ISERROR(MATCH(A221,'SegEnds_Xtal_Prot#'!B:B, 0)), "NoXtal", "Xtal")</f>
        <v>NoXtal</v>
      </c>
      <c r="J221" s="3"/>
    </row>
    <row r="222" spans="1:10" x14ac:dyDescent="0.2">
      <c r="A222" s="1" t="s">
        <v>115</v>
      </c>
      <c r="B222" s="1" t="s">
        <v>40</v>
      </c>
      <c r="C222" t="s">
        <v>41</v>
      </c>
      <c r="D222" s="28" t="str">
        <f>VLOOKUP(A222,Classification!$A:$D,2,FALSE)</f>
        <v>C</v>
      </c>
      <c r="E222" s="49" t="str">
        <f>VLOOKUP(B222,Classification!$A:$D,2,FALSE)</f>
        <v>C</v>
      </c>
      <c r="F222" s="15" t="str">
        <f>VLOOKUP(C222,Classification!$A:$D,2,FALSE)</f>
        <v>C</v>
      </c>
      <c r="G222" s="15" t="b">
        <f t="shared" si="3"/>
        <v>1</v>
      </c>
      <c r="H222" s="10" t="str">
        <f>IF(ISERROR(MATCH(A222,'SegEnds_Xtal_Prot#'!B:B, 0)), "NoXtal", "Xtal")</f>
        <v>NoXtal</v>
      </c>
      <c r="J222" s="3"/>
    </row>
    <row r="223" spans="1:10" x14ac:dyDescent="0.2">
      <c r="A223" s="1" t="s">
        <v>120</v>
      </c>
      <c r="B223" s="1" t="s">
        <v>41</v>
      </c>
      <c r="C223" t="s">
        <v>41</v>
      </c>
      <c r="D223" s="28" t="str">
        <f>VLOOKUP(A223,Classification!$A:$D,2,FALSE)</f>
        <v>C</v>
      </c>
      <c r="E223" s="49" t="str">
        <f>VLOOKUP(B223,Classification!$A:$D,2,FALSE)</f>
        <v>C</v>
      </c>
      <c r="F223" s="15" t="str">
        <f>VLOOKUP(C223,Classification!$A:$D,2,FALSE)</f>
        <v>C</v>
      </c>
      <c r="G223" s="15" t="b">
        <f t="shared" si="3"/>
        <v>1</v>
      </c>
      <c r="H223" s="10" t="str">
        <f>IF(ISERROR(MATCH(A223,'SegEnds_Xtal_Prot#'!B:B, 0)), "NoXtal", "Xtal")</f>
        <v>NoXtal</v>
      </c>
      <c r="J223" s="3"/>
    </row>
    <row r="224" spans="1:10" x14ac:dyDescent="0.2">
      <c r="A224" s="1" t="s">
        <v>117</v>
      </c>
      <c r="B224" s="1" t="s">
        <v>41</v>
      </c>
      <c r="C224" t="s">
        <v>41</v>
      </c>
      <c r="D224" s="28" t="str">
        <f>VLOOKUP(A224,Classification!$A:$D,2,FALSE)</f>
        <v>C</v>
      </c>
      <c r="E224" s="49" t="str">
        <f>VLOOKUP(B224,Classification!$A:$D,2,FALSE)</f>
        <v>C</v>
      </c>
      <c r="F224" s="15" t="str">
        <f>VLOOKUP(C224,Classification!$A:$D,2,FALSE)</f>
        <v>C</v>
      </c>
      <c r="G224" s="15" t="b">
        <f t="shared" si="3"/>
        <v>1</v>
      </c>
      <c r="H224" s="10" t="str">
        <f>IF(ISERROR(MATCH(A224,'SegEnds_Xtal_Prot#'!B:B, 0)), "NoXtal", "Xtal")</f>
        <v>NoXtal</v>
      </c>
      <c r="J224" s="3"/>
    </row>
    <row r="225" spans="1:10" x14ac:dyDescent="0.2">
      <c r="A225" s="1" t="s">
        <v>119</v>
      </c>
      <c r="B225" s="1" t="s">
        <v>41</v>
      </c>
      <c r="C225" t="s">
        <v>41</v>
      </c>
      <c r="D225" s="28" t="str">
        <f>VLOOKUP(A225,Classification!$A:$D,2,FALSE)</f>
        <v>C</v>
      </c>
      <c r="E225" s="49" t="str">
        <f>VLOOKUP(B225,Classification!$A:$D,2,FALSE)</f>
        <v>C</v>
      </c>
      <c r="F225" s="15" t="str">
        <f>VLOOKUP(C225,Classification!$A:$D,2,FALSE)</f>
        <v>C</v>
      </c>
      <c r="G225" s="15" t="b">
        <f t="shared" si="3"/>
        <v>1</v>
      </c>
      <c r="H225" s="10" t="str">
        <f>IF(ISERROR(MATCH(A225,'SegEnds_Xtal_Prot#'!B:B, 0)), "NoXtal", "Xtal")</f>
        <v>NoXtal</v>
      </c>
      <c r="J225" s="3"/>
    </row>
    <row r="226" spans="1:10" x14ac:dyDescent="0.2">
      <c r="A226" s="1" t="s">
        <v>107</v>
      </c>
      <c r="B226" s="1" t="s">
        <v>41</v>
      </c>
      <c r="C226" t="s">
        <v>41</v>
      </c>
      <c r="D226" s="28" t="str">
        <f>VLOOKUP(A226,Classification!$A:$D,2,FALSE)</f>
        <v>C</v>
      </c>
      <c r="E226" s="49" t="str">
        <f>VLOOKUP(B226,Classification!$A:$D,2,FALSE)</f>
        <v>C</v>
      </c>
      <c r="F226" s="15" t="str">
        <f>VLOOKUP(C226,Classification!$A:$D,2,FALSE)</f>
        <v>C</v>
      </c>
      <c r="G226" s="15" t="b">
        <f t="shared" si="3"/>
        <v>1</v>
      </c>
      <c r="H226" s="10" t="str">
        <f>IF(ISERROR(MATCH(A226,'SegEnds_Xtal_Prot#'!B:B, 0)), "NoXtal", "Xtal")</f>
        <v>NoXtal</v>
      </c>
      <c r="J226" s="3"/>
    </row>
    <row r="227" spans="1:10" x14ac:dyDescent="0.2">
      <c r="A227" s="1" t="s">
        <v>105</v>
      </c>
      <c r="B227" s="1" t="s">
        <v>41</v>
      </c>
      <c r="C227" t="s">
        <v>41</v>
      </c>
      <c r="D227" s="28" t="str">
        <f>VLOOKUP(A227,Classification!$A:$D,2,FALSE)</f>
        <v>C</v>
      </c>
      <c r="E227" s="49" t="str">
        <f>VLOOKUP(B227,Classification!$A:$D,2,FALSE)</f>
        <v>C</v>
      </c>
      <c r="F227" s="15" t="str">
        <f>VLOOKUP(C227,Classification!$A:$D,2,FALSE)</f>
        <v>C</v>
      </c>
      <c r="G227" s="15" t="b">
        <f t="shared" si="3"/>
        <v>1</v>
      </c>
      <c r="H227" s="10" t="str">
        <f>IF(ISERROR(MATCH(A227,'SegEnds_Xtal_Prot#'!B:B, 0)), "NoXtal", "Xtal")</f>
        <v>NoXtal</v>
      </c>
      <c r="J227" s="3"/>
    </row>
    <row r="228" spans="1:10" x14ac:dyDescent="0.2">
      <c r="A228" s="1" t="s">
        <v>41</v>
      </c>
      <c r="B228" s="1" t="s">
        <v>41</v>
      </c>
      <c r="C228" t="s">
        <v>41</v>
      </c>
      <c r="D228" s="28" t="str">
        <f>VLOOKUP(A228,Classification!$A:$D,2,FALSE)</f>
        <v>C</v>
      </c>
      <c r="E228" s="49" t="str">
        <f>VLOOKUP(B228,Classification!$A:$D,2,FALSE)</f>
        <v>C</v>
      </c>
      <c r="F228" s="15" t="str">
        <f>VLOOKUP(C228,Classification!$A:$D,2,FALSE)</f>
        <v>C</v>
      </c>
      <c r="G228" s="15" t="b">
        <f t="shared" si="3"/>
        <v>1</v>
      </c>
      <c r="H228" s="10" t="str">
        <f>IF(ISERROR(MATCH(A228,'SegEnds_Xtal_Prot#'!B:B, 0)), "NoXtal", "Xtal")</f>
        <v>Xtal</v>
      </c>
      <c r="J228" s="3"/>
    </row>
    <row r="229" spans="1:10" x14ac:dyDescent="0.2">
      <c r="A229" s="1" t="s">
        <v>278</v>
      </c>
      <c r="B229" s="1" t="s">
        <v>278</v>
      </c>
      <c r="C229" t="s">
        <v>278</v>
      </c>
      <c r="D229" s="28" t="str">
        <f>VLOOKUP(A229,Classification!$A:$D,2,FALSE)</f>
        <v>A</v>
      </c>
      <c r="E229" s="49" t="str">
        <f>VLOOKUP(B229,Classification!$A:$D,2,FALSE)</f>
        <v>A</v>
      </c>
      <c r="F229" s="15" t="str">
        <f>VLOOKUP(C229,Classification!$A:$D,2,FALSE)</f>
        <v>A</v>
      </c>
      <c r="G229" s="15" t="b">
        <f t="shared" si="3"/>
        <v>1</v>
      </c>
      <c r="H229" s="10" t="str">
        <f>IF(ISERROR(MATCH(A229,'SegEnds_Xtal_Prot#'!B:B, 0)), "NoXtal", "Xtal")</f>
        <v>Xtal</v>
      </c>
      <c r="J229" s="3"/>
    </row>
    <row r="230" spans="1:10" x14ac:dyDescent="0.2">
      <c r="A230" s="1" t="s">
        <v>219</v>
      </c>
      <c r="B230" s="1" t="s">
        <v>158</v>
      </c>
      <c r="C230" t="s">
        <v>278</v>
      </c>
      <c r="D230" s="28" t="str">
        <f>VLOOKUP(A230,Classification!$A:$D,2,FALSE)</f>
        <v>A</v>
      </c>
      <c r="E230" s="49" t="str">
        <f>VLOOKUP(B230,Classification!$A:$D,2,FALSE)</f>
        <v>A</v>
      </c>
      <c r="F230" s="15" t="str">
        <f>VLOOKUP(C230,Classification!$A:$D,2,FALSE)</f>
        <v>A</v>
      </c>
      <c r="G230" s="15" t="b">
        <f t="shared" si="3"/>
        <v>1</v>
      </c>
      <c r="H230" s="10" t="str">
        <f>IF(ISERROR(MATCH(A230,'SegEnds_Xtal_Prot#'!B:B, 0)), "NoXtal", "Xtal")</f>
        <v>NoXtal</v>
      </c>
      <c r="J230" s="3"/>
    </row>
    <row r="231" spans="1:10" x14ac:dyDescent="0.2">
      <c r="A231" s="1" t="s">
        <v>226</v>
      </c>
      <c r="B231" s="1" t="s">
        <v>355</v>
      </c>
      <c r="C231" t="s">
        <v>278</v>
      </c>
      <c r="D231" s="28" t="str">
        <f>VLOOKUP(A231,Classification!$A:$D,2,FALSE)</f>
        <v>A</v>
      </c>
      <c r="E231" s="49" t="str">
        <f>VLOOKUP(B231,Classification!$A:$D,2,FALSE)</f>
        <v>A</v>
      </c>
      <c r="F231" s="15" t="str">
        <f>VLOOKUP(C231,Classification!$A:$D,2,FALSE)</f>
        <v>A</v>
      </c>
      <c r="G231" s="15" t="b">
        <f t="shared" si="3"/>
        <v>1</v>
      </c>
      <c r="H231" s="10" t="str">
        <f>IF(ISERROR(MATCH(A231,'SegEnds_Xtal_Prot#'!B:B, 0)), "NoXtal", "Xtal")</f>
        <v>NoXtal</v>
      </c>
      <c r="J231" s="3"/>
    </row>
    <row r="232" spans="1:10" x14ac:dyDescent="0.2">
      <c r="A232" s="1" t="s">
        <v>245</v>
      </c>
      <c r="B232" s="1" t="s">
        <v>278</v>
      </c>
      <c r="C232" t="s">
        <v>278</v>
      </c>
      <c r="D232" s="28" t="str">
        <f>VLOOKUP(A232,Classification!$A:$D,2,FALSE)</f>
        <v>A</v>
      </c>
      <c r="E232" s="49" t="str">
        <f>VLOOKUP(B232,Classification!$A:$D,2,FALSE)</f>
        <v>A</v>
      </c>
      <c r="F232" s="15" t="str">
        <f>VLOOKUP(C232,Classification!$A:$D,2,FALSE)</f>
        <v>A</v>
      </c>
      <c r="G232" s="15" t="b">
        <f t="shared" si="3"/>
        <v>1</v>
      </c>
      <c r="H232" s="10" t="str">
        <f>IF(ISERROR(MATCH(A232,'SegEnds_Xtal_Prot#'!B:B, 0)), "NoXtal", "Xtal")</f>
        <v>NoXtal</v>
      </c>
      <c r="J232" s="3"/>
    </row>
    <row r="233" spans="1:10" x14ac:dyDescent="0.2">
      <c r="A233" s="1" t="s">
        <v>249</v>
      </c>
      <c r="B233" s="1" t="s">
        <v>103</v>
      </c>
      <c r="C233" t="s">
        <v>103</v>
      </c>
      <c r="D233" s="28" t="str">
        <f>VLOOKUP(A233,Classification!$A:$D,2,FALSE)</f>
        <v>A</v>
      </c>
      <c r="E233" s="49" t="str">
        <f>VLOOKUP(B233,Classification!$A:$D,2,FALSE)</f>
        <v>A</v>
      </c>
      <c r="F233" s="15" t="str">
        <f>VLOOKUP(C233,Classification!$A:$D,2,FALSE)</f>
        <v>A</v>
      </c>
      <c r="G233" s="15" t="b">
        <f t="shared" si="3"/>
        <v>1</v>
      </c>
      <c r="H233" s="10" t="str">
        <f>IF(ISERROR(MATCH(A233,'SegEnds_Xtal_Prot#'!B:B, 0)), "NoXtal", "Xtal")</f>
        <v>NoXtal</v>
      </c>
      <c r="J233" s="3"/>
    </row>
    <row r="234" spans="1:10" x14ac:dyDescent="0.2">
      <c r="A234" s="1" t="s">
        <v>103</v>
      </c>
      <c r="B234" s="1" t="s">
        <v>103</v>
      </c>
      <c r="C234" t="s">
        <v>103</v>
      </c>
      <c r="D234" s="28" t="str">
        <f>VLOOKUP(A234,Classification!$A:$D,2,FALSE)</f>
        <v>A</v>
      </c>
      <c r="E234" s="49" t="str">
        <f>VLOOKUP(B234,Classification!$A:$D,2,FALSE)</f>
        <v>A</v>
      </c>
      <c r="F234" s="15" t="str">
        <f>VLOOKUP(C234,Classification!$A:$D,2,FALSE)</f>
        <v>A</v>
      </c>
      <c r="G234" s="15" t="b">
        <f t="shared" si="3"/>
        <v>1</v>
      </c>
      <c r="H234" s="10" t="str">
        <f>IF(ISERROR(MATCH(A234,'SegEnds_Xtal_Prot#'!B:B, 0)), "NoXtal", "Xtal")</f>
        <v>Xtal</v>
      </c>
      <c r="J234" s="3"/>
    </row>
    <row r="235" spans="1:10" x14ac:dyDescent="0.2">
      <c r="A235" s="1" t="s">
        <v>286</v>
      </c>
      <c r="B235" s="1" t="s">
        <v>103</v>
      </c>
      <c r="C235" t="s">
        <v>103</v>
      </c>
      <c r="D235" s="28" t="str">
        <f>VLOOKUP(A235,Classification!$A:$D,2,FALSE)</f>
        <v>A</v>
      </c>
      <c r="E235" s="49" t="str">
        <f>VLOOKUP(B235,Classification!$A:$D,2,FALSE)</f>
        <v>A</v>
      </c>
      <c r="F235" s="15" t="str">
        <f>VLOOKUP(C235,Classification!$A:$D,2,FALSE)</f>
        <v>A</v>
      </c>
      <c r="G235" s="15" t="b">
        <f t="shared" si="3"/>
        <v>1</v>
      </c>
      <c r="H235" s="10" t="str">
        <f>IF(ISERROR(MATCH(A235,'SegEnds_Xtal_Prot#'!B:B, 0)), "NoXtal", "Xtal")</f>
        <v>NoXtal</v>
      </c>
      <c r="J235" s="3"/>
    </row>
    <row r="236" spans="1:10" x14ac:dyDescent="0.2">
      <c r="A236" s="1" t="s">
        <v>287</v>
      </c>
      <c r="B236" s="1" t="s">
        <v>103</v>
      </c>
      <c r="C236" t="s">
        <v>103</v>
      </c>
      <c r="D236" s="28" t="str">
        <f>VLOOKUP(A236,Classification!$A:$D,2,FALSE)</f>
        <v>A</v>
      </c>
      <c r="E236" s="49" t="str">
        <f>VLOOKUP(B236,Classification!$A:$D,2,FALSE)</f>
        <v>A</v>
      </c>
      <c r="F236" s="15" t="str">
        <f>VLOOKUP(C236,Classification!$A:$D,2,FALSE)</f>
        <v>A</v>
      </c>
      <c r="G236" s="15" t="b">
        <f t="shared" si="3"/>
        <v>1</v>
      </c>
      <c r="H236" s="10" t="str">
        <f>IF(ISERROR(MATCH(A236,'SegEnds_Xtal_Prot#'!B:B, 0)), "NoXtal", "Xtal")</f>
        <v>NoXtal</v>
      </c>
      <c r="I236" s="10"/>
      <c r="J236" s="3"/>
    </row>
    <row r="237" spans="1:10" x14ac:dyDescent="0.2">
      <c r="A237" s="1" t="s">
        <v>183</v>
      </c>
      <c r="B237" s="1" t="s">
        <v>183</v>
      </c>
      <c r="C237" t="s">
        <v>182</v>
      </c>
      <c r="D237" s="28" t="str">
        <f>VLOOKUP(A237,Classification!$A:$D,2,FALSE)</f>
        <v>A</v>
      </c>
      <c r="E237" s="49" t="str">
        <f>VLOOKUP(B237,Classification!$A:$D,2,FALSE)</f>
        <v>A</v>
      </c>
      <c r="F237" s="15" t="str">
        <f>VLOOKUP(C237,Classification!$A:$D,2,FALSE)</f>
        <v>A</v>
      </c>
      <c r="G237" s="15" t="b">
        <f t="shared" si="3"/>
        <v>1</v>
      </c>
      <c r="H237" s="10" t="str">
        <f>IF(ISERROR(MATCH(A237,'SegEnds_Xtal_Prot#'!B:B, 0)), "NoXtal", "Xtal")</f>
        <v>Xtal</v>
      </c>
      <c r="J237" s="3"/>
    </row>
    <row r="238" spans="1:10" x14ac:dyDescent="0.2">
      <c r="A238" s="1" t="s">
        <v>182</v>
      </c>
      <c r="B238" s="1" t="s">
        <v>182</v>
      </c>
      <c r="C238" t="s">
        <v>182</v>
      </c>
      <c r="D238" s="28" t="str">
        <f>VLOOKUP(A238,Classification!$A:$D,2,FALSE)</f>
        <v>A</v>
      </c>
      <c r="E238" s="49" t="str">
        <f>VLOOKUP(B238,Classification!$A:$D,2,FALSE)</f>
        <v>A</v>
      </c>
      <c r="F238" s="15" t="str">
        <f>VLOOKUP(C238,Classification!$A:$D,2,FALSE)</f>
        <v>A</v>
      </c>
      <c r="G238" s="15" t="b">
        <f t="shared" si="3"/>
        <v>1</v>
      </c>
      <c r="H238" s="10" t="str">
        <f>IF(ISERROR(MATCH(A238,'SegEnds_Xtal_Prot#'!B:B, 0)), "NoXtal", "Xtal")</f>
        <v>Xtal</v>
      </c>
      <c r="J238" s="3"/>
    </row>
    <row r="239" spans="1:10" x14ac:dyDescent="0.2">
      <c r="A239" s="1" t="s">
        <v>362</v>
      </c>
      <c r="B239" s="1" t="s">
        <v>364</v>
      </c>
      <c r="C239" t="s">
        <v>914</v>
      </c>
      <c r="D239" s="28" t="str">
        <f>VLOOKUP(A239,Classification!$A:$D,2,FALSE)</f>
        <v>A</v>
      </c>
      <c r="E239" s="49" t="str">
        <f>VLOOKUP(B239,Classification!$A:$D,2,FALSE)</f>
        <v>A</v>
      </c>
      <c r="F239" s="15" t="str">
        <f>VLOOKUP(C239,Classification!$A:$D,2,FALSE)</f>
        <v>A</v>
      </c>
      <c r="G239" s="15" t="b">
        <f t="shared" si="3"/>
        <v>1</v>
      </c>
      <c r="H239" s="10" t="str">
        <f>IF(ISERROR(MATCH(A239,'SegEnds_Xtal_Prot#'!B:B, 0)), "NoXtal", "Xtal")</f>
        <v>NoXtal</v>
      </c>
      <c r="J239" s="3"/>
    </row>
    <row r="240" spans="1:10" x14ac:dyDescent="0.2">
      <c r="A240" s="1" t="s">
        <v>209</v>
      </c>
      <c r="B240" s="1" t="s">
        <v>914</v>
      </c>
      <c r="C240" t="s">
        <v>914</v>
      </c>
      <c r="D240" s="28" t="str">
        <f>VLOOKUP(A240,Classification!$A:$D,2,FALSE)</f>
        <v>A</v>
      </c>
      <c r="E240" s="49" t="str">
        <f>VLOOKUP(B240,Classification!$A:$D,2,FALSE)</f>
        <v>A</v>
      </c>
      <c r="F240" s="15" t="str">
        <f>VLOOKUP(C240,Classification!$A:$D,2,FALSE)</f>
        <v>A</v>
      </c>
      <c r="G240" s="15" t="b">
        <f t="shared" si="3"/>
        <v>1</v>
      </c>
      <c r="H240" s="10" t="str">
        <f>IF(ISERROR(MATCH(A240,'SegEnds_Xtal_Prot#'!B:B, 0)), "NoXtal", "Xtal")</f>
        <v>NoXtal</v>
      </c>
      <c r="J240" s="3"/>
    </row>
    <row r="241" spans="1:10" x14ac:dyDescent="0.2">
      <c r="A241" s="1" t="s">
        <v>330</v>
      </c>
      <c r="B241" s="1" t="s">
        <v>914</v>
      </c>
      <c r="C241" t="s">
        <v>914</v>
      </c>
      <c r="D241" s="28" t="str">
        <f>VLOOKUP(A241,Classification!$A:$D,2,FALSE)</f>
        <v>A</v>
      </c>
      <c r="E241" s="49" t="str">
        <f>VLOOKUP(B241,Classification!$A:$D,2,FALSE)</f>
        <v>A</v>
      </c>
      <c r="F241" s="15" t="str">
        <f>VLOOKUP(C241,Classification!$A:$D,2,FALSE)</f>
        <v>A</v>
      </c>
      <c r="G241" s="15" t="b">
        <f t="shared" si="3"/>
        <v>1</v>
      </c>
      <c r="H241" s="10" t="str">
        <f>IF(ISERROR(MATCH(A241,'SegEnds_Xtal_Prot#'!B:B, 0)), "NoXtal", "Xtal")</f>
        <v>NoXtal</v>
      </c>
      <c r="J241" s="3"/>
    </row>
    <row r="242" spans="1:10" x14ac:dyDescent="0.2">
      <c r="A242" s="1" t="s">
        <v>127</v>
      </c>
      <c r="B242" s="1" t="s">
        <v>914</v>
      </c>
      <c r="C242" t="s">
        <v>914</v>
      </c>
      <c r="D242" s="28" t="str">
        <f>VLOOKUP(A242,Classification!$A:$D,2,FALSE)</f>
        <v>A</v>
      </c>
      <c r="E242" s="49" t="str">
        <f>VLOOKUP(B242,Classification!$A:$D,2,FALSE)</f>
        <v>A</v>
      </c>
      <c r="F242" s="15" t="str">
        <f>VLOOKUP(C242,Classification!$A:$D,2,FALSE)</f>
        <v>A</v>
      </c>
      <c r="G242" s="15" t="b">
        <f t="shared" si="3"/>
        <v>1</v>
      </c>
      <c r="H242" s="10" t="str">
        <f>IF(ISERROR(MATCH(A242,'SegEnds_Xtal_Prot#'!B:B, 0)), "NoXtal", "Xtal")</f>
        <v>NoXtal</v>
      </c>
      <c r="J242" s="3"/>
    </row>
    <row r="243" spans="1:10" x14ac:dyDescent="0.2">
      <c r="A243" s="1" t="s">
        <v>914</v>
      </c>
      <c r="B243" s="1" t="s">
        <v>914</v>
      </c>
      <c r="C243" t="s">
        <v>914</v>
      </c>
      <c r="D243" s="28" t="str">
        <f>VLOOKUP(A243,Classification!$A:$D,2,FALSE)</f>
        <v>A</v>
      </c>
      <c r="E243" s="49" t="str">
        <f>VLOOKUP(B243,Classification!$A:$D,2,FALSE)</f>
        <v>A</v>
      </c>
      <c r="F243" s="15" t="str">
        <f>VLOOKUP(C243,Classification!$A:$D,2,FALSE)</f>
        <v>A</v>
      </c>
      <c r="G243" s="15" t="b">
        <f t="shared" si="3"/>
        <v>1</v>
      </c>
      <c r="H243" s="10" t="str">
        <f>IF(ISERROR(MATCH(A243,'SegEnds_Xtal_Prot#'!B:B, 0)), "NoXtal", "Xtal")</f>
        <v>Xtal</v>
      </c>
      <c r="J243" s="3"/>
    </row>
    <row r="244" spans="1:10" x14ac:dyDescent="0.2">
      <c r="A244" s="1" t="s">
        <v>310</v>
      </c>
      <c r="B244" s="1" t="s">
        <v>914</v>
      </c>
      <c r="C244" t="s">
        <v>914</v>
      </c>
      <c r="D244" s="28" t="str">
        <f>VLOOKUP(A244,Classification!$A:$D,2,FALSE)</f>
        <v>A</v>
      </c>
      <c r="E244" s="49" t="str">
        <f>VLOOKUP(B244,Classification!$A:$D,2,FALSE)</f>
        <v>A</v>
      </c>
      <c r="F244" s="15" t="str">
        <f>VLOOKUP(C244,Classification!$A:$D,2,FALSE)</f>
        <v>A</v>
      </c>
      <c r="G244" s="15" t="b">
        <f t="shared" si="3"/>
        <v>1</v>
      </c>
      <c r="H244" s="10" t="str">
        <f>IF(ISERROR(MATCH(A244,'SegEnds_Xtal_Prot#'!B:B, 0)), "NoXtal", "Xtal")</f>
        <v>NoXtal</v>
      </c>
      <c r="J244" s="3"/>
    </row>
    <row r="245" spans="1:10" x14ac:dyDescent="0.2">
      <c r="A245" s="1" t="s">
        <v>216</v>
      </c>
      <c r="B245" s="1" t="s">
        <v>133</v>
      </c>
      <c r="C245" t="s">
        <v>914</v>
      </c>
      <c r="D245" s="28" t="str">
        <f>VLOOKUP(A245,Classification!$A:$D,2,FALSE)</f>
        <v>A</v>
      </c>
      <c r="E245" s="49" t="str">
        <f>VLOOKUP(B245,Classification!$A:$D,2,FALSE)</f>
        <v>A</v>
      </c>
      <c r="F245" s="15" t="str">
        <f>VLOOKUP(C245,Classification!$A:$D,2,FALSE)</f>
        <v>A</v>
      </c>
      <c r="G245" s="15" t="b">
        <f t="shared" si="3"/>
        <v>1</v>
      </c>
      <c r="H245" s="10" t="str">
        <f>IF(ISERROR(MATCH(A245,'SegEnds_Xtal_Prot#'!B:B, 0)), "NoXtal", "Xtal")</f>
        <v>NoXtal</v>
      </c>
      <c r="J245" s="3"/>
    </row>
    <row r="246" spans="1:10" x14ac:dyDescent="0.2">
      <c r="A246" s="1" t="s">
        <v>318</v>
      </c>
      <c r="B246" s="1" t="s">
        <v>914</v>
      </c>
      <c r="C246" t="s">
        <v>914</v>
      </c>
      <c r="D246" s="28" t="str">
        <f>VLOOKUP(A246,Classification!$A:$D,2,FALSE)</f>
        <v>A</v>
      </c>
      <c r="E246" s="49" t="str">
        <f>VLOOKUP(B246,Classification!$A:$D,2,FALSE)</f>
        <v>A</v>
      </c>
      <c r="F246" s="15" t="str">
        <f>VLOOKUP(C246,Classification!$A:$D,2,FALSE)</f>
        <v>A</v>
      </c>
      <c r="G246" s="15" t="b">
        <f t="shared" si="3"/>
        <v>1</v>
      </c>
      <c r="H246" s="10" t="str">
        <f>IF(ISERROR(MATCH(A246,'SegEnds_Xtal_Prot#'!B:B, 0)), "NoXtal", "Xtal")</f>
        <v>NoXtal</v>
      </c>
      <c r="J246" s="3"/>
    </row>
    <row r="247" spans="1:10" x14ac:dyDescent="0.2">
      <c r="A247" s="1" t="s">
        <v>319</v>
      </c>
      <c r="B247" s="1" t="s">
        <v>914</v>
      </c>
      <c r="C247" t="s">
        <v>914</v>
      </c>
      <c r="D247" s="28" t="str">
        <f>VLOOKUP(A247,Classification!$A:$D,2,FALSE)</f>
        <v>A</v>
      </c>
      <c r="E247" s="49" t="str">
        <f>VLOOKUP(B247,Classification!$A:$D,2,FALSE)</f>
        <v>A</v>
      </c>
      <c r="F247" s="15" t="str">
        <f>VLOOKUP(C247,Classification!$A:$D,2,FALSE)</f>
        <v>A</v>
      </c>
      <c r="G247" s="15" t="b">
        <f t="shared" si="3"/>
        <v>1</v>
      </c>
      <c r="H247" s="10" t="str">
        <f>IF(ISERROR(MATCH(A247,'SegEnds_Xtal_Prot#'!B:B, 0)), "NoXtal", "Xtal")</f>
        <v>NoXtal</v>
      </c>
      <c r="J247" s="3"/>
    </row>
    <row r="248" spans="1:10" x14ac:dyDescent="0.2">
      <c r="A248" s="1" t="s">
        <v>256</v>
      </c>
      <c r="B248" s="1" t="s">
        <v>914</v>
      </c>
      <c r="C248" t="s">
        <v>914</v>
      </c>
      <c r="D248" s="28" t="str">
        <f>VLOOKUP(A248,Classification!$A:$D,2,FALSE)</f>
        <v>A</v>
      </c>
      <c r="E248" s="49" t="str">
        <f>VLOOKUP(B248,Classification!$A:$D,2,FALSE)</f>
        <v>A</v>
      </c>
      <c r="F248" s="15" t="str">
        <f>VLOOKUP(C248,Classification!$A:$D,2,FALSE)</f>
        <v>A</v>
      </c>
      <c r="G248" s="15" t="b">
        <f t="shared" si="3"/>
        <v>1</v>
      </c>
      <c r="H248" s="10" t="str">
        <f>IF(ISERROR(MATCH(A248,'SegEnds_Xtal_Prot#'!B:B, 0)), "NoXtal", "Xtal")</f>
        <v>NoXtal</v>
      </c>
      <c r="J248" s="3"/>
    </row>
    <row r="249" spans="1:10" x14ac:dyDescent="0.2">
      <c r="A249" s="1" t="s">
        <v>224</v>
      </c>
      <c r="B249" s="1" t="s">
        <v>360</v>
      </c>
      <c r="C249" t="s">
        <v>914</v>
      </c>
      <c r="D249" s="28" t="str">
        <f>VLOOKUP(A249,Classification!$A:$D,2,FALSE)</f>
        <v>A</v>
      </c>
      <c r="E249" s="49" t="str">
        <f>VLOOKUP(B249,Classification!$A:$D,2,FALSE)</f>
        <v>A</v>
      </c>
      <c r="F249" s="15" t="str">
        <f>VLOOKUP(C249,Classification!$A:$D,2,FALSE)</f>
        <v>A</v>
      </c>
      <c r="G249" s="15" t="b">
        <f t="shared" si="3"/>
        <v>1</v>
      </c>
      <c r="H249" s="10" t="str">
        <f>IF(ISERROR(MATCH(A249,'SegEnds_Xtal_Prot#'!B:B, 0)), "NoXtal", "Xtal")</f>
        <v>NoXtal</v>
      </c>
      <c r="J249" s="3"/>
    </row>
    <row r="250" spans="1:10" x14ac:dyDescent="0.2">
      <c r="A250" s="1" t="s">
        <v>321</v>
      </c>
      <c r="B250" s="1" t="s">
        <v>335</v>
      </c>
      <c r="C250" t="s">
        <v>916</v>
      </c>
      <c r="D250" s="28" t="str">
        <f>VLOOKUP(A250,Classification!$A:$D,2,FALSE)</f>
        <v>A</v>
      </c>
      <c r="E250" s="49" t="str">
        <f>VLOOKUP(B250,Classification!$A:$D,2,FALSE)</f>
        <v>A</v>
      </c>
      <c r="F250" s="15" t="str">
        <f>VLOOKUP(C250,Classification!$A:$D,2,FALSE)</f>
        <v>A</v>
      </c>
      <c r="G250" s="15" t="b">
        <f t="shared" si="3"/>
        <v>1</v>
      </c>
      <c r="H250" s="10" t="str">
        <f>IF(ISERROR(MATCH(A250,'SegEnds_Xtal_Prot#'!B:B, 0)), "NoXtal", "Xtal")</f>
        <v>NoXtal</v>
      </c>
      <c r="J250" s="3"/>
    </row>
    <row r="251" spans="1:10" x14ac:dyDescent="0.2">
      <c r="A251" s="1" t="s">
        <v>268</v>
      </c>
      <c r="B251" s="1" t="s">
        <v>918</v>
      </c>
      <c r="C251" t="s">
        <v>916</v>
      </c>
      <c r="D251" s="28" t="str">
        <f>VLOOKUP(A251,Classification!$A:$D,2,FALSE)</f>
        <v>A</v>
      </c>
      <c r="E251" s="49" t="str">
        <f>VLOOKUP(B251,Classification!$A:$D,2,FALSE)</f>
        <v>A</v>
      </c>
      <c r="F251" s="15" t="str">
        <f>VLOOKUP(C251,Classification!$A:$D,2,FALSE)</f>
        <v>A</v>
      </c>
      <c r="G251" s="15" t="b">
        <f t="shared" si="3"/>
        <v>1</v>
      </c>
      <c r="H251" s="10" t="str">
        <f>IF(ISERROR(MATCH(A251,'SegEnds_Xtal_Prot#'!B:B, 0)), "NoXtal", "Xtal")</f>
        <v>NoXtal</v>
      </c>
      <c r="J251" s="3"/>
    </row>
    <row r="252" spans="1:10" x14ac:dyDescent="0.2">
      <c r="A252" s="1" t="s">
        <v>300</v>
      </c>
      <c r="B252" s="1" t="s">
        <v>335</v>
      </c>
      <c r="C252" t="s">
        <v>916</v>
      </c>
      <c r="D252" s="28" t="str">
        <f>VLOOKUP(A252,Classification!$A:$D,2,FALSE)</f>
        <v>A</v>
      </c>
      <c r="E252" s="49" t="str">
        <f>VLOOKUP(B252,Classification!$A:$D,2,FALSE)</f>
        <v>A</v>
      </c>
      <c r="F252" s="15" t="str">
        <f>VLOOKUP(C252,Classification!$A:$D,2,FALSE)</f>
        <v>A</v>
      </c>
      <c r="G252" s="15" t="b">
        <f t="shared" si="3"/>
        <v>1</v>
      </c>
      <c r="H252" s="10" t="str">
        <f>IF(ISERROR(MATCH(A252,'SegEnds_Xtal_Prot#'!B:B, 0)), "NoXtal", "Xtal")</f>
        <v>NoXtal</v>
      </c>
      <c r="J252" s="3"/>
    </row>
    <row r="253" spans="1:10" x14ac:dyDescent="0.2">
      <c r="A253" s="1" t="s">
        <v>335</v>
      </c>
      <c r="B253" s="1" t="s">
        <v>335</v>
      </c>
      <c r="C253" s="1" t="s">
        <v>335</v>
      </c>
      <c r="D253" s="28" t="str">
        <f>VLOOKUP(A253,Classification!$A:$D,2,FALSE)</f>
        <v>A</v>
      </c>
      <c r="E253" s="49" t="str">
        <f>VLOOKUP(B253,Classification!$A:$D,2,FALSE)</f>
        <v>A</v>
      </c>
      <c r="F253" s="15" t="str">
        <f>VLOOKUP(C253,Classification!$A:$D,2,FALSE)</f>
        <v>A</v>
      </c>
      <c r="G253" s="15" t="b">
        <f t="shared" si="3"/>
        <v>1</v>
      </c>
      <c r="H253" s="10" t="str">
        <f>IF(ISERROR(MATCH(A253,'SegEnds_Xtal_Prot#'!B:B, 0)), "NoXtal", "Xtal")</f>
        <v>Xtal</v>
      </c>
      <c r="J253" s="3"/>
    </row>
    <row r="254" spans="1:10" x14ac:dyDescent="0.2">
      <c r="A254" s="1" t="s">
        <v>916</v>
      </c>
      <c r="B254" s="1" t="s">
        <v>916</v>
      </c>
      <c r="C254" t="s">
        <v>916</v>
      </c>
      <c r="D254" s="28" t="str">
        <f>VLOOKUP(A254,Classification!$A:$D,2,FALSE)</f>
        <v>A</v>
      </c>
      <c r="E254" s="49" t="str">
        <f>VLOOKUP(B254,Classification!$A:$D,2,FALSE)</f>
        <v>A</v>
      </c>
      <c r="F254" s="15" t="str">
        <f>VLOOKUP(C254,Classification!$A:$D,2,FALSE)</f>
        <v>A</v>
      </c>
      <c r="G254" s="15" t="b">
        <f t="shared" si="3"/>
        <v>1</v>
      </c>
      <c r="H254" s="10" t="str">
        <f>IF(ISERROR(MATCH(A254,'SegEnds_Xtal_Prot#'!B:B, 0)), "NoXtal", "Xtal")</f>
        <v>Xtal</v>
      </c>
      <c r="J254" s="3"/>
    </row>
    <row r="255" spans="1:10" x14ac:dyDescent="0.2">
      <c r="A255" s="1" t="s">
        <v>384</v>
      </c>
      <c r="B255" s="1" t="s">
        <v>335</v>
      </c>
      <c r="C255" t="s">
        <v>916</v>
      </c>
      <c r="D255" s="28" t="str">
        <f>VLOOKUP(A255,Classification!$A:$D,2,FALSE)</f>
        <v>A</v>
      </c>
      <c r="E255" s="49" t="str">
        <f>VLOOKUP(B255,Classification!$A:$D,2,FALSE)</f>
        <v>A</v>
      </c>
      <c r="F255" s="15" t="str">
        <f>VLOOKUP(C255,Classification!$A:$D,2,FALSE)</f>
        <v>A</v>
      </c>
      <c r="G255" s="15" t="b">
        <f t="shared" si="3"/>
        <v>1</v>
      </c>
      <c r="H255" s="10" t="str">
        <f>IF(ISERROR(MATCH(A255,'SegEnds_Xtal_Prot#'!B:B, 0)), "NoXtal", "Xtal")</f>
        <v>NoXtal</v>
      </c>
      <c r="J255" s="3"/>
    </row>
    <row r="256" spans="1:10" x14ac:dyDescent="0.2">
      <c r="A256" s="1" t="s">
        <v>360</v>
      </c>
      <c r="B256" s="1" t="s">
        <v>360</v>
      </c>
      <c r="C256" t="s">
        <v>916</v>
      </c>
      <c r="D256" s="28" t="str">
        <f>VLOOKUP(A256,Classification!$A:$D,2,FALSE)</f>
        <v>A</v>
      </c>
      <c r="E256" s="49" t="str">
        <f>VLOOKUP(B256,Classification!$A:$D,2,FALSE)</f>
        <v>A</v>
      </c>
      <c r="F256" s="15" t="str">
        <f>VLOOKUP(C256,Classification!$A:$D,2,FALSE)</f>
        <v>A</v>
      </c>
      <c r="G256" s="15" t="b">
        <f t="shared" si="3"/>
        <v>1</v>
      </c>
      <c r="H256" s="10" t="str">
        <f>IF(ISERROR(MATCH(A256,'SegEnds_Xtal_Prot#'!B:B, 0)), "NoXtal", "Xtal")</f>
        <v>Xtal</v>
      </c>
      <c r="J256" s="3"/>
    </row>
    <row r="257" spans="1:10" x14ac:dyDescent="0.2">
      <c r="A257" s="1" t="s">
        <v>200</v>
      </c>
      <c r="B257" s="1" t="s">
        <v>1176</v>
      </c>
      <c r="C257" t="s">
        <v>336</v>
      </c>
      <c r="D257" s="28" t="str">
        <f>VLOOKUP(A257,Classification!$A:$D,2,FALSE)</f>
        <v>A</v>
      </c>
      <c r="E257" s="49" t="str">
        <f>VLOOKUP(B257,Classification!$A:$D,2,FALSE)</f>
        <v>A</v>
      </c>
      <c r="F257" s="15" t="str">
        <f>VLOOKUP(C257,Classification!$A:$D,2,FALSE)</f>
        <v>A</v>
      </c>
      <c r="G257" s="15" t="b">
        <f t="shared" si="3"/>
        <v>1</v>
      </c>
      <c r="H257" s="10" t="str">
        <f>IF(ISERROR(MATCH(A257,'SegEnds_Xtal_Prot#'!B:B, 0)), "NoXtal", "Xtal")</f>
        <v>NoXtal</v>
      </c>
      <c r="J257" s="3"/>
    </row>
    <row r="258" spans="1:10" x14ac:dyDescent="0.2">
      <c r="A258" s="1" t="s">
        <v>251</v>
      </c>
      <c r="B258" s="1" t="s">
        <v>335</v>
      </c>
      <c r="C258" t="s">
        <v>336</v>
      </c>
      <c r="D258" s="28" t="str">
        <f>VLOOKUP(A258,Classification!$A:$D,2,FALSE)</f>
        <v>A</v>
      </c>
      <c r="E258" s="49" t="str">
        <f>VLOOKUP(B258,Classification!$A:$D,2,FALSE)</f>
        <v>A</v>
      </c>
      <c r="F258" s="15" t="str">
        <f>VLOOKUP(C258,Classification!$A:$D,2,FALSE)</f>
        <v>A</v>
      </c>
      <c r="G258" s="15" t="b">
        <f t="shared" si="3"/>
        <v>1</v>
      </c>
      <c r="H258" s="10" t="str">
        <f>IF(ISERROR(MATCH(A258,'SegEnds_Xtal_Prot#'!B:B, 0)), "NoXtal", "Xtal")</f>
        <v>NoXtal</v>
      </c>
      <c r="J258" s="3"/>
    </row>
    <row r="259" spans="1:10" x14ac:dyDescent="0.2">
      <c r="A259" s="1" t="s">
        <v>164</v>
      </c>
      <c r="B259" s="1" t="s">
        <v>165</v>
      </c>
      <c r="C259" t="s">
        <v>336</v>
      </c>
      <c r="D259" s="28" t="str">
        <f>VLOOKUP(A259,Classification!$A:$D,2,FALSE)</f>
        <v>A</v>
      </c>
      <c r="E259" s="49" t="str">
        <f>VLOOKUP(B259,Classification!$A:$D,2,FALSE)</f>
        <v>A</v>
      </c>
      <c r="F259" s="15" t="str">
        <f>VLOOKUP(C259,Classification!$A:$D,2,FALSE)</f>
        <v>A</v>
      </c>
      <c r="G259" s="15" t="b">
        <f t="shared" ref="G259:G322" si="4">OR(D259=F259,AND(D259="T",F259="A"),AND(D259="B2",F259="B1"),D259="O")</f>
        <v>1</v>
      </c>
      <c r="H259" s="10" t="str">
        <f>IF(ISERROR(MATCH(A259,'SegEnds_Xtal_Prot#'!B:B, 0)), "NoXtal", "Xtal")</f>
        <v>NoXtal</v>
      </c>
      <c r="J259" s="3"/>
    </row>
    <row r="260" spans="1:10" x14ac:dyDescent="0.2">
      <c r="A260" s="1" t="s">
        <v>308</v>
      </c>
      <c r="B260" s="1" t="s">
        <v>165</v>
      </c>
      <c r="C260" t="s">
        <v>336</v>
      </c>
      <c r="D260" s="28" t="str">
        <f>VLOOKUP(A260,Classification!$A:$D,2,FALSE)</f>
        <v>A</v>
      </c>
      <c r="E260" s="49" t="str">
        <f>VLOOKUP(B260,Classification!$A:$D,2,FALSE)</f>
        <v>A</v>
      </c>
      <c r="F260" s="15" t="str">
        <f>VLOOKUP(C260,Classification!$A:$D,2,FALSE)</f>
        <v>A</v>
      </c>
      <c r="G260" s="15" t="b">
        <f t="shared" si="4"/>
        <v>1</v>
      </c>
      <c r="H260" s="10" t="str">
        <f>IF(ISERROR(MATCH(A260,'SegEnds_Xtal_Prot#'!B:B, 0)), "NoXtal", "Xtal")</f>
        <v>NoXtal</v>
      </c>
      <c r="J260" s="3"/>
    </row>
    <row r="261" spans="1:10" x14ac:dyDescent="0.2">
      <c r="A261" s="1" t="s">
        <v>336</v>
      </c>
      <c r="B261" s="1" t="s">
        <v>336</v>
      </c>
      <c r="C261" t="s">
        <v>336</v>
      </c>
      <c r="D261" s="28" t="str">
        <f>VLOOKUP(A261,Classification!$A:$D,2,FALSE)</f>
        <v>A</v>
      </c>
      <c r="E261" s="49" t="str">
        <f>VLOOKUP(B261,Classification!$A:$D,2,FALSE)</f>
        <v>A</v>
      </c>
      <c r="F261" s="15" t="str">
        <f>VLOOKUP(C261,Classification!$A:$D,2,FALSE)</f>
        <v>A</v>
      </c>
      <c r="G261" s="15" t="b">
        <f t="shared" si="4"/>
        <v>1</v>
      </c>
      <c r="H261" s="10" t="str">
        <f>IF(ISERROR(MATCH(A261,'SegEnds_Xtal_Prot#'!B:B, 0)), "NoXtal", "Xtal")</f>
        <v>Xtal</v>
      </c>
      <c r="J261" s="3"/>
    </row>
    <row r="262" spans="1:10" x14ac:dyDescent="0.2">
      <c r="A262" s="1" t="s">
        <v>342</v>
      </c>
      <c r="B262" s="1" t="s">
        <v>360</v>
      </c>
      <c r="C262" t="s">
        <v>336</v>
      </c>
      <c r="D262" s="28" t="str">
        <f>VLOOKUP(A262,Classification!$A:$D,2,FALSE)</f>
        <v>A</v>
      </c>
      <c r="E262" s="49" t="str">
        <f>VLOOKUP(B262,Classification!$A:$D,2,FALSE)</f>
        <v>A</v>
      </c>
      <c r="F262" s="15" t="str">
        <f>VLOOKUP(C262,Classification!$A:$D,2,FALSE)</f>
        <v>A</v>
      </c>
      <c r="G262" s="15" t="b">
        <f t="shared" si="4"/>
        <v>1</v>
      </c>
      <c r="H262" s="10" t="str">
        <f>IF(ISERROR(MATCH(A262,'SegEnds_Xtal_Prot#'!B:B, 0)), "NoXtal", "Xtal")</f>
        <v>NoXtal</v>
      </c>
      <c r="J262" s="3"/>
    </row>
    <row r="263" spans="1:10" x14ac:dyDescent="0.2">
      <c r="A263" s="1" t="s">
        <v>205</v>
      </c>
      <c r="B263" s="1" t="s">
        <v>336</v>
      </c>
      <c r="C263" t="s">
        <v>918</v>
      </c>
      <c r="D263" s="28" t="str">
        <f>VLOOKUP(A263,Classification!$A:$D,2,FALSE)</f>
        <v>A</v>
      </c>
      <c r="E263" s="49" t="str">
        <f>VLOOKUP(B263,Classification!$A:$D,2,FALSE)</f>
        <v>A</v>
      </c>
      <c r="F263" s="15" t="str">
        <f>VLOOKUP(C263,Classification!$A:$D,2,FALSE)</f>
        <v>A</v>
      </c>
      <c r="G263" s="15" t="b">
        <f t="shared" si="4"/>
        <v>1</v>
      </c>
      <c r="H263" s="10" t="str">
        <f>IF(ISERROR(MATCH(A263,'SegEnds_Xtal_Prot#'!B:B, 0)), "NoXtal", "Xtal")</f>
        <v>NoXtal</v>
      </c>
      <c r="J263" s="3"/>
    </row>
    <row r="264" spans="1:10" x14ac:dyDescent="0.2">
      <c r="A264" s="1" t="s">
        <v>382</v>
      </c>
      <c r="B264" s="1" t="s">
        <v>336</v>
      </c>
      <c r="C264" t="s">
        <v>918</v>
      </c>
      <c r="D264" s="28" t="str">
        <f>VLOOKUP(A264,Classification!$A:$D,2,FALSE)</f>
        <v>A</v>
      </c>
      <c r="E264" s="49" t="str">
        <f>VLOOKUP(B264,Classification!$A:$D,2,FALSE)</f>
        <v>A</v>
      </c>
      <c r="F264" s="15" t="str">
        <f>VLOOKUP(C264,Classification!$A:$D,2,FALSE)</f>
        <v>A</v>
      </c>
      <c r="G264" s="15" t="b">
        <f t="shared" si="4"/>
        <v>1</v>
      </c>
      <c r="H264" s="10" t="str">
        <f>IF(ISERROR(MATCH(A264,'SegEnds_Xtal_Prot#'!B:B, 0)), "NoXtal", "Xtal")</f>
        <v>NoXtal</v>
      </c>
      <c r="J264" s="3"/>
    </row>
    <row r="265" spans="1:10" x14ac:dyDescent="0.2">
      <c r="A265" s="1" t="s">
        <v>385</v>
      </c>
      <c r="B265" s="1" t="s">
        <v>336</v>
      </c>
      <c r="C265" t="s">
        <v>918</v>
      </c>
      <c r="D265" s="28" t="str">
        <f>VLOOKUP(A265,Classification!$A:$D,2,FALSE)</f>
        <v>A</v>
      </c>
      <c r="E265" s="49" t="str">
        <f>VLOOKUP(B265,Classification!$A:$D,2,FALSE)</f>
        <v>A</v>
      </c>
      <c r="F265" s="15" t="str">
        <f>VLOOKUP(C265,Classification!$A:$D,2,FALSE)</f>
        <v>A</v>
      </c>
      <c r="G265" s="15" t="b">
        <f t="shared" si="4"/>
        <v>1</v>
      </c>
      <c r="H265" s="10" t="str">
        <f>IF(ISERROR(MATCH(A265,'SegEnds_Xtal_Prot#'!B:B, 0)), "NoXtal", "Xtal")</f>
        <v>NoXtal</v>
      </c>
      <c r="J265" s="3"/>
    </row>
    <row r="266" spans="1:10" x14ac:dyDescent="0.2">
      <c r="A266" s="1" t="s">
        <v>918</v>
      </c>
      <c r="B266" s="1" t="s">
        <v>918</v>
      </c>
      <c r="C266" t="s">
        <v>918</v>
      </c>
      <c r="D266" s="28" t="str">
        <f>VLOOKUP(A266,Classification!$A:$D,2,FALSE)</f>
        <v>A</v>
      </c>
      <c r="E266" s="49" t="str">
        <f>VLOOKUP(B266,Classification!$A:$D,2,FALSE)</f>
        <v>A</v>
      </c>
      <c r="F266" s="15" t="str">
        <f>VLOOKUP(C266,Classification!$A:$D,2,FALSE)</f>
        <v>A</v>
      </c>
      <c r="G266" s="15" t="b">
        <f t="shared" si="4"/>
        <v>1</v>
      </c>
      <c r="H266" s="10" t="str">
        <f>IF(ISERROR(MATCH(A266,'SegEnds_Xtal_Prot#'!B:B, 0)), "NoXtal", "Xtal")</f>
        <v>Xtal</v>
      </c>
      <c r="J266" s="3"/>
    </row>
    <row r="267" spans="1:10" x14ac:dyDescent="0.2">
      <c r="A267" s="1" t="s">
        <v>337</v>
      </c>
      <c r="B267" s="1" t="s">
        <v>918</v>
      </c>
      <c r="C267" t="s">
        <v>918</v>
      </c>
      <c r="D267" s="28" t="str">
        <f>VLOOKUP(A267,Classification!$A:$D,2,FALSE)</f>
        <v>A</v>
      </c>
      <c r="E267" s="49" t="str">
        <f>VLOOKUP(B267,Classification!$A:$D,2,FALSE)</f>
        <v>A</v>
      </c>
      <c r="F267" s="15" t="str">
        <f>VLOOKUP(C267,Classification!$A:$D,2,FALSE)</f>
        <v>A</v>
      </c>
      <c r="G267" s="15" t="b">
        <f t="shared" si="4"/>
        <v>1</v>
      </c>
      <c r="H267" s="10" t="str">
        <f>IF(ISERROR(MATCH(A267,'SegEnds_Xtal_Prot#'!B:B, 0)), "NoXtal", "Xtal")</f>
        <v>NoXtal</v>
      </c>
      <c r="J267" s="3"/>
    </row>
    <row r="268" spans="1:10" x14ac:dyDescent="0.2">
      <c r="A268" s="1" t="s">
        <v>381</v>
      </c>
      <c r="B268" s="1" t="s">
        <v>336</v>
      </c>
      <c r="C268" t="s">
        <v>918</v>
      </c>
      <c r="D268" s="28" t="str">
        <f>VLOOKUP(A268,Classification!$A:$D,2,FALSE)</f>
        <v>A</v>
      </c>
      <c r="E268" s="49" t="str">
        <f>VLOOKUP(B268,Classification!$A:$D,2,FALSE)</f>
        <v>A</v>
      </c>
      <c r="F268" s="15" t="str">
        <f>VLOOKUP(C268,Classification!$A:$D,2,FALSE)</f>
        <v>A</v>
      </c>
      <c r="G268" s="15" t="b">
        <f t="shared" si="4"/>
        <v>1</v>
      </c>
      <c r="H268" s="10" t="str">
        <f>IF(ISERROR(MATCH(A268,'SegEnds_Xtal_Prot#'!B:B, 0)), "NoXtal", "Xtal")</f>
        <v>NoXtal</v>
      </c>
      <c r="J268" s="3"/>
    </row>
    <row r="269" spans="1:10" x14ac:dyDescent="0.2">
      <c r="A269" s="1" t="s">
        <v>397</v>
      </c>
      <c r="B269" s="1" t="s">
        <v>1176</v>
      </c>
      <c r="C269" t="s">
        <v>918</v>
      </c>
      <c r="D269" s="28" t="str">
        <f>VLOOKUP(A269,Classification!$A:$D,2,FALSE)</f>
        <v>A</v>
      </c>
      <c r="E269" s="49" t="str">
        <f>VLOOKUP(B269,Classification!$A:$D,2,FALSE)</f>
        <v>A</v>
      </c>
      <c r="F269" s="15" t="str">
        <f>VLOOKUP(C269,Classification!$A:$D,2,FALSE)</f>
        <v>A</v>
      </c>
      <c r="G269" s="15" t="b">
        <f t="shared" si="4"/>
        <v>1</v>
      </c>
      <c r="H269" s="10" t="str">
        <f>IF(ISERROR(MATCH(A269,'SegEnds_Xtal_Prot#'!B:B, 0)), "NoXtal", "Xtal")</f>
        <v>NoXtal</v>
      </c>
      <c r="J269" s="3"/>
    </row>
    <row r="270" spans="1:10" x14ac:dyDescent="0.2">
      <c r="A270" s="1" t="s">
        <v>207</v>
      </c>
      <c r="B270" s="1" t="s">
        <v>336</v>
      </c>
      <c r="C270" t="s">
        <v>918</v>
      </c>
      <c r="D270" s="28" t="str">
        <f>VLOOKUP(A270,Classification!$A:$D,2,FALSE)</f>
        <v>A</v>
      </c>
      <c r="E270" s="49" t="str">
        <f>VLOOKUP(B270,Classification!$A:$D,2,FALSE)</f>
        <v>A</v>
      </c>
      <c r="F270" s="15" t="str">
        <f>VLOOKUP(C270,Classification!$A:$D,2,FALSE)</f>
        <v>A</v>
      </c>
      <c r="G270" s="15" t="b">
        <f t="shared" si="4"/>
        <v>1</v>
      </c>
      <c r="H270" s="10" t="str">
        <f>IF(ISERROR(MATCH(A270,'SegEnds_Xtal_Prot#'!B:B, 0)), "NoXtal", "Xtal")</f>
        <v>NoXtal</v>
      </c>
      <c r="J270" s="3"/>
    </row>
    <row r="271" spans="1:10" x14ac:dyDescent="0.2">
      <c r="A271" s="1" t="s">
        <v>206</v>
      </c>
      <c r="B271" s="1" t="s">
        <v>336</v>
      </c>
      <c r="C271" t="s">
        <v>918</v>
      </c>
      <c r="D271" s="28" t="str">
        <f>VLOOKUP(A271,Classification!$A:$D,2,FALSE)</f>
        <v>A</v>
      </c>
      <c r="E271" s="49" t="str">
        <f>VLOOKUP(B271,Classification!$A:$D,2,FALSE)</f>
        <v>A</v>
      </c>
      <c r="F271" s="15" t="str">
        <f>VLOOKUP(C271,Classification!$A:$D,2,FALSE)</f>
        <v>A</v>
      </c>
      <c r="G271" s="15" t="b">
        <f t="shared" si="4"/>
        <v>1</v>
      </c>
      <c r="H271" s="10" t="str">
        <f>IF(ISERROR(MATCH(A271,'SegEnds_Xtal_Prot#'!B:B, 0)), "NoXtal", "Xtal")</f>
        <v>NoXtal</v>
      </c>
      <c r="J271" s="3"/>
    </row>
    <row r="272" spans="1:10" x14ac:dyDescent="0.2">
      <c r="A272" s="1" t="s">
        <v>210</v>
      </c>
      <c r="B272" s="1" t="s">
        <v>160</v>
      </c>
      <c r="C272" t="s">
        <v>918</v>
      </c>
      <c r="D272" s="28" t="str">
        <f>VLOOKUP(A272,Classification!$A:$D,2,FALSE)</f>
        <v>A</v>
      </c>
      <c r="E272" s="49" t="str">
        <f>VLOOKUP(B272,Classification!$A:$D,2,FALSE)</f>
        <v>A</v>
      </c>
      <c r="F272" s="15" t="str">
        <f>VLOOKUP(C272,Classification!$A:$D,2,FALSE)</f>
        <v>A</v>
      </c>
      <c r="G272" s="15" t="b">
        <f t="shared" si="4"/>
        <v>1</v>
      </c>
      <c r="H272" s="10" t="str">
        <f>IF(ISERROR(MATCH(A272,'SegEnds_Xtal_Prot#'!B:B, 0)), "NoXtal", "Xtal")</f>
        <v>NoXtal</v>
      </c>
      <c r="J272" s="3"/>
    </row>
    <row r="273" spans="1:10" x14ac:dyDescent="0.2">
      <c r="A273" s="1" t="s">
        <v>217</v>
      </c>
      <c r="B273" s="1" t="s">
        <v>278</v>
      </c>
      <c r="C273" t="s">
        <v>1174</v>
      </c>
      <c r="D273" s="28" t="str">
        <f>VLOOKUP(A273,Classification!$A:$D,2,FALSE)</f>
        <v>A</v>
      </c>
      <c r="E273" s="49" t="str">
        <f>VLOOKUP(B273,Classification!$A:$D,2,FALSE)</f>
        <v>A</v>
      </c>
      <c r="F273" s="15" t="str">
        <f>VLOOKUP(C273,Classification!$A:$D,2,FALSE)</f>
        <v>A</v>
      </c>
      <c r="G273" s="15" t="b">
        <f t="shared" si="4"/>
        <v>1</v>
      </c>
      <c r="H273" s="10" t="str">
        <f>IF(ISERROR(MATCH(A273,'SegEnds_Xtal_Prot#'!B:B, 0)), "NoXtal", "Xtal")</f>
        <v>NoXtal</v>
      </c>
      <c r="J273" s="3"/>
    </row>
    <row r="274" spans="1:10" x14ac:dyDescent="0.2">
      <c r="A274" s="1" t="s">
        <v>320</v>
      </c>
      <c r="B274" s="1" t="s">
        <v>916</v>
      </c>
      <c r="C274" t="s">
        <v>1174</v>
      </c>
      <c r="D274" s="28" t="str">
        <f>VLOOKUP(A274,Classification!$A:$D,2,FALSE)</f>
        <v>A</v>
      </c>
      <c r="E274" s="49" t="str">
        <f>VLOOKUP(B274,Classification!$A:$D,2,FALSE)</f>
        <v>A</v>
      </c>
      <c r="F274" s="15" t="str">
        <f>VLOOKUP(C274,Classification!$A:$D,2,FALSE)</f>
        <v>A</v>
      </c>
      <c r="G274" s="15" t="b">
        <f t="shared" si="4"/>
        <v>1</v>
      </c>
      <c r="H274" s="10" t="str">
        <f>IF(ISERROR(MATCH(A274,'SegEnds_Xtal_Prot#'!B:B, 0)), "NoXtal", "Xtal")</f>
        <v>NoXtal</v>
      </c>
      <c r="J274" s="3"/>
    </row>
    <row r="275" spans="1:10" x14ac:dyDescent="0.2">
      <c r="A275" s="1" t="s">
        <v>299</v>
      </c>
      <c r="B275" s="1" t="s">
        <v>336</v>
      </c>
      <c r="C275" t="s">
        <v>1174</v>
      </c>
      <c r="D275" s="28" t="str">
        <f>VLOOKUP(A275,Classification!$A:$D,2,FALSE)</f>
        <v>A</v>
      </c>
      <c r="E275" s="49" t="str">
        <f>VLOOKUP(B275,Classification!$A:$D,2,FALSE)</f>
        <v>A</v>
      </c>
      <c r="F275" s="15" t="str">
        <f>VLOOKUP(C275,Classification!$A:$D,2,FALSE)</f>
        <v>A</v>
      </c>
      <c r="G275" s="15" t="b">
        <f t="shared" si="4"/>
        <v>1</v>
      </c>
      <c r="H275" s="10" t="str">
        <f>IF(ISERROR(MATCH(A275,'SegEnds_Xtal_Prot#'!B:B, 0)), "NoXtal", "Xtal")</f>
        <v>NoXtal</v>
      </c>
      <c r="J275" s="3"/>
    </row>
    <row r="276" spans="1:10" x14ac:dyDescent="0.2">
      <c r="A276" s="1" t="s">
        <v>399</v>
      </c>
      <c r="B276" s="1" t="s">
        <v>914</v>
      </c>
      <c r="C276" t="s">
        <v>1174</v>
      </c>
      <c r="D276" s="28" t="str">
        <f>VLOOKUP(A276,Classification!$A:$D,2,FALSE)</f>
        <v>A</v>
      </c>
      <c r="E276" s="49" t="str">
        <f>VLOOKUP(B276,Classification!$A:$D,2,FALSE)</f>
        <v>A</v>
      </c>
      <c r="F276" s="15" t="str">
        <f>VLOOKUP(C276,Classification!$A:$D,2,FALSE)</f>
        <v>A</v>
      </c>
      <c r="G276" s="15" t="b">
        <f t="shared" si="4"/>
        <v>1</v>
      </c>
      <c r="H276" s="10" t="str">
        <f>IF(ISERROR(MATCH(A276,'SegEnds_Xtal_Prot#'!B:B, 0)), "NoXtal", "Xtal")</f>
        <v>NoXtal</v>
      </c>
      <c r="J276" s="3"/>
    </row>
    <row r="277" spans="1:10" x14ac:dyDescent="0.2">
      <c r="A277" s="1" t="s">
        <v>218</v>
      </c>
      <c r="B277" s="1" t="s">
        <v>132</v>
      </c>
      <c r="C277" t="s">
        <v>1174</v>
      </c>
      <c r="D277" s="28" t="str">
        <f>VLOOKUP(A277,Classification!$A:$D,2,FALSE)</f>
        <v>A</v>
      </c>
      <c r="E277" s="49" t="str">
        <f>VLOOKUP(B277,Classification!$A:$D,2,FALSE)</f>
        <v>A</v>
      </c>
      <c r="F277" s="15" t="str">
        <f>VLOOKUP(C277,Classification!$A:$D,2,FALSE)</f>
        <v>A</v>
      </c>
      <c r="G277" s="15" t="b">
        <f t="shared" si="4"/>
        <v>1</v>
      </c>
      <c r="H277" s="10" t="str">
        <f>IF(ISERROR(MATCH(A277,'SegEnds_Xtal_Prot#'!B:B, 0)), "NoXtal", "Xtal")</f>
        <v>NoXtal</v>
      </c>
      <c r="J277" s="3"/>
    </row>
    <row r="278" spans="1:10" x14ac:dyDescent="0.2">
      <c r="A278" s="1" t="s">
        <v>1174</v>
      </c>
      <c r="B278" s="1" t="s">
        <v>1174</v>
      </c>
      <c r="C278" t="s">
        <v>1174</v>
      </c>
      <c r="D278" s="28" t="str">
        <f>VLOOKUP(A278,Classification!$A:$D,2,FALSE)</f>
        <v>A</v>
      </c>
      <c r="E278" s="49" t="str">
        <f>VLOOKUP(B278,Classification!$A:$D,2,FALSE)</f>
        <v>A</v>
      </c>
      <c r="F278" s="15" t="str">
        <f>VLOOKUP(C278,Classification!$A:$D,2,FALSE)</f>
        <v>A</v>
      </c>
      <c r="G278" s="15" t="b">
        <f t="shared" si="4"/>
        <v>1</v>
      </c>
      <c r="H278" s="10" t="str">
        <f>IF(ISERROR(MATCH(A278,'SegEnds_Xtal_Prot#'!B:B, 0)), "NoXtal", "Xtal")</f>
        <v>Xtal</v>
      </c>
      <c r="J278" s="3"/>
    </row>
    <row r="279" spans="1:10" x14ac:dyDescent="0.2">
      <c r="A279" s="1" t="s">
        <v>396</v>
      </c>
      <c r="B279" s="1" t="s">
        <v>126</v>
      </c>
      <c r="C279" t="s">
        <v>1174</v>
      </c>
      <c r="D279" s="28" t="str">
        <f>VLOOKUP(A279,Classification!$A:$D,2,FALSE)</f>
        <v>A</v>
      </c>
      <c r="E279" s="49" t="str">
        <f>VLOOKUP(B279,Classification!$A:$D,2,FALSE)</f>
        <v>A</v>
      </c>
      <c r="F279" s="15" t="str">
        <f>VLOOKUP(C279,Classification!$A:$D,2,FALSE)</f>
        <v>A</v>
      </c>
      <c r="G279" s="15" t="b">
        <f t="shared" si="4"/>
        <v>1</v>
      </c>
      <c r="H279" s="10" t="str">
        <f>IF(ISERROR(MATCH(A279,'SegEnds_Xtal_Prot#'!B:B, 0)), "NoXtal", "Xtal")</f>
        <v>NoXtal</v>
      </c>
      <c r="J279" s="3"/>
    </row>
    <row r="280" spans="1:10" x14ac:dyDescent="0.2">
      <c r="A280" s="1" t="s">
        <v>282</v>
      </c>
      <c r="B280" s="1" t="s">
        <v>336</v>
      </c>
      <c r="C280" t="s">
        <v>1174</v>
      </c>
      <c r="D280" s="28" t="str">
        <f>VLOOKUP(A280,Classification!$A:$D,2,FALSE)</f>
        <v>A</v>
      </c>
      <c r="E280" s="49" t="str">
        <f>VLOOKUP(B280,Classification!$A:$D,2,FALSE)</f>
        <v>A</v>
      </c>
      <c r="F280" s="15" t="str">
        <f>VLOOKUP(C280,Classification!$A:$D,2,FALSE)</f>
        <v>A</v>
      </c>
      <c r="G280" s="15" t="b">
        <f t="shared" si="4"/>
        <v>1</v>
      </c>
      <c r="H280" s="10" t="str">
        <f>IF(ISERROR(MATCH(A280,'SegEnds_Xtal_Prot#'!B:B, 0)), "NoXtal", "Xtal")</f>
        <v>NoXtal</v>
      </c>
      <c r="J280" s="3"/>
    </row>
    <row r="281" spans="1:10" x14ac:dyDescent="0.2">
      <c r="A281" s="1" t="s">
        <v>394</v>
      </c>
      <c r="B281" s="1" t="s">
        <v>1174</v>
      </c>
      <c r="C281" t="s">
        <v>1174</v>
      </c>
      <c r="D281" s="28" t="str">
        <f>VLOOKUP(A281,Classification!$A:$D,2,FALSE)</f>
        <v>A</v>
      </c>
      <c r="E281" s="49" t="str">
        <f>VLOOKUP(B281,Classification!$A:$D,2,FALSE)</f>
        <v>A</v>
      </c>
      <c r="F281" s="15" t="str">
        <f>VLOOKUP(C281,Classification!$A:$D,2,FALSE)</f>
        <v>A</v>
      </c>
      <c r="G281" s="15" t="b">
        <f t="shared" si="4"/>
        <v>1</v>
      </c>
      <c r="H281" s="10" t="str">
        <f>IF(ISERROR(MATCH(A281,'SegEnds_Xtal_Prot#'!B:B, 0)), "NoXtal", "Xtal")</f>
        <v>NoXtal</v>
      </c>
      <c r="J281" s="3"/>
    </row>
    <row r="282" spans="1:10" x14ac:dyDescent="0.2">
      <c r="A282" s="1" t="s">
        <v>398</v>
      </c>
      <c r="B282" s="1" t="s">
        <v>914</v>
      </c>
      <c r="C282" t="s">
        <v>1174</v>
      </c>
      <c r="D282" s="28" t="str">
        <f>VLOOKUP(A282,Classification!$A:$D,2,FALSE)</f>
        <v>A</v>
      </c>
      <c r="E282" s="49" t="str">
        <f>VLOOKUP(B282,Classification!$A:$D,2,FALSE)</f>
        <v>A</v>
      </c>
      <c r="F282" s="15" t="str">
        <f>VLOOKUP(C282,Classification!$A:$D,2,FALSE)</f>
        <v>A</v>
      </c>
      <c r="G282" s="15" t="b">
        <f t="shared" si="4"/>
        <v>1</v>
      </c>
      <c r="H282" s="10" t="str">
        <f>IF(ISERROR(MATCH(A282,'SegEnds_Xtal_Prot#'!B:B, 0)), "NoXtal", "Xtal")</f>
        <v>NoXtal</v>
      </c>
      <c r="J282" s="3"/>
    </row>
    <row r="283" spans="1:10" x14ac:dyDescent="0.2">
      <c r="A283" s="1" t="s">
        <v>383</v>
      </c>
      <c r="B283" s="1" t="s">
        <v>336</v>
      </c>
      <c r="C283" t="s">
        <v>1174</v>
      </c>
      <c r="D283" s="28" t="str">
        <f>VLOOKUP(A283,Classification!$A:$D,2,FALSE)</f>
        <v>A</v>
      </c>
      <c r="E283" s="49" t="str">
        <f>VLOOKUP(B283,Classification!$A:$D,2,FALSE)</f>
        <v>A</v>
      </c>
      <c r="F283" s="15" t="str">
        <f>VLOOKUP(C283,Classification!$A:$D,2,FALSE)</f>
        <v>A</v>
      </c>
      <c r="G283" s="15" t="b">
        <f t="shared" si="4"/>
        <v>1</v>
      </c>
      <c r="H283" s="10" t="str">
        <f>IF(ISERROR(MATCH(A283,'SegEnds_Xtal_Prot#'!B:B, 0)), "NoXtal", "Xtal")</f>
        <v>NoXtal</v>
      </c>
      <c r="J283" s="3"/>
    </row>
    <row r="284" spans="1:10" x14ac:dyDescent="0.2">
      <c r="A284" s="1" t="s">
        <v>920</v>
      </c>
      <c r="B284" s="1" t="s">
        <v>920</v>
      </c>
      <c r="C284" t="s">
        <v>920</v>
      </c>
      <c r="D284" s="28" t="str">
        <f>VLOOKUP(A284,Classification!$A:$D,2,FALSE)</f>
        <v>A</v>
      </c>
      <c r="E284" s="49" t="str">
        <f>VLOOKUP(B284,Classification!$A:$D,2,FALSE)</f>
        <v>A</v>
      </c>
      <c r="F284" s="15" t="str">
        <f>VLOOKUP(C284,Classification!$A:$D,2,FALSE)</f>
        <v>A</v>
      </c>
      <c r="G284" s="15" t="b">
        <f t="shared" si="4"/>
        <v>1</v>
      </c>
      <c r="H284" s="10" t="str">
        <f>IF(ISERROR(MATCH(A284,'SegEnds_Xtal_Prot#'!B:B, 0)), "NoXtal", "Xtal")</f>
        <v>Xtal</v>
      </c>
      <c r="J284" s="3"/>
    </row>
    <row r="285" spans="1:10" x14ac:dyDescent="0.2">
      <c r="A285" s="1" t="s">
        <v>332</v>
      </c>
      <c r="B285" s="1" t="s">
        <v>920</v>
      </c>
      <c r="C285" t="s">
        <v>920</v>
      </c>
      <c r="D285" s="28" t="str">
        <f>VLOOKUP(A285,Classification!$A:$D,2,FALSE)</f>
        <v>A</v>
      </c>
      <c r="E285" s="49" t="str">
        <f>VLOOKUP(B285,Classification!$A:$D,2,FALSE)</f>
        <v>A</v>
      </c>
      <c r="F285" s="15" t="str">
        <f>VLOOKUP(C285,Classification!$A:$D,2,FALSE)</f>
        <v>A</v>
      </c>
      <c r="G285" s="15" t="b">
        <f t="shared" si="4"/>
        <v>1</v>
      </c>
      <c r="H285" s="10" t="str">
        <f>IF(ISERROR(MATCH(A285,'SegEnds_Xtal_Prot#'!B:B, 0)), "NoXtal", "Xtal")</f>
        <v>NoXtal</v>
      </c>
      <c r="J285" s="3"/>
    </row>
    <row r="286" spans="1:10" x14ac:dyDescent="0.2">
      <c r="A286" s="1" t="s">
        <v>339</v>
      </c>
      <c r="B286" s="1" t="s">
        <v>339</v>
      </c>
      <c r="C286" t="s">
        <v>339</v>
      </c>
      <c r="D286" s="28" t="str">
        <f>VLOOKUP(A286,Classification!$A:$D,2,FALSE)</f>
        <v>A</v>
      </c>
      <c r="E286" s="49" t="str">
        <f>VLOOKUP(B286,Classification!$A:$D,2,FALSE)</f>
        <v>A</v>
      </c>
      <c r="F286" s="15" t="str">
        <f>VLOOKUP(C286,Classification!$A:$D,2,FALSE)</f>
        <v>A</v>
      </c>
      <c r="G286" s="15" t="b">
        <f t="shared" si="4"/>
        <v>1</v>
      </c>
      <c r="H286" s="10" t="str">
        <f>IF(ISERROR(MATCH(A286,'SegEnds_Xtal_Prot#'!B:B, 0)), "NoXtal", "Xtal")</f>
        <v>Xtal</v>
      </c>
      <c r="J286" s="3"/>
    </row>
    <row r="287" spans="1:10" x14ac:dyDescent="0.2">
      <c r="A287" s="1" t="s">
        <v>340</v>
      </c>
      <c r="B287" s="1" t="s">
        <v>339</v>
      </c>
      <c r="C287" t="s">
        <v>339</v>
      </c>
      <c r="D287" s="28" t="str">
        <f>VLOOKUP(A287,Classification!$A:$D,2,FALSE)</f>
        <v>A</v>
      </c>
      <c r="E287" s="49" t="str">
        <f>VLOOKUP(B287,Classification!$A:$D,2,FALSE)</f>
        <v>A</v>
      </c>
      <c r="F287" s="15" t="str">
        <f>VLOOKUP(C287,Classification!$A:$D,2,FALSE)</f>
        <v>A</v>
      </c>
      <c r="G287" s="15" t="b">
        <f t="shared" si="4"/>
        <v>1</v>
      </c>
      <c r="H287" s="10" t="str">
        <f>IF(ISERROR(MATCH(A287,'SegEnds_Xtal_Prot#'!B:B, 0)), "NoXtal", "Xtal")</f>
        <v>NoXtal</v>
      </c>
      <c r="J287" s="3"/>
    </row>
    <row r="288" spans="1:10" x14ac:dyDescent="0.2">
      <c r="A288" s="1" t="s">
        <v>341</v>
      </c>
      <c r="B288" s="1" t="s">
        <v>339</v>
      </c>
      <c r="C288" t="s">
        <v>339</v>
      </c>
      <c r="D288" s="28" t="str">
        <f>VLOOKUP(A288,Classification!$A:$D,2,FALSE)</f>
        <v>A</v>
      </c>
      <c r="E288" s="49" t="str">
        <f>VLOOKUP(B288,Classification!$A:$D,2,FALSE)</f>
        <v>A</v>
      </c>
      <c r="F288" s="15" t="str">
        <f>VLOOKUP(C288,Classification!$A:$D,2,FALSE)</f>
        <v>A</v>
      </c>
      <c r="G288" s="15" t="b">
        <f t="shared" si="4"/>
        <v>1</v>
      </c>
      <c r="H288" s="10" t="str">
        <f>IF(ISERROR(MATCH(A288,'SegEnds_Xtal_Prot#'!B:B, 0)), "NoXtal", "Xtal")</f>
        <v>NoXtal</v>
      </c>
      <c r="J288" s="3"/>
    </row>
    <row r="289" spans="1:10" x14ac:dyDescent="0.2">
      <c r="A289" s="1" t="s">
        <v>338</v>
      </c>
      <c r="B289" s="1" t="s">
        <v>339</v>
      </c>
      <c r="C289" t="s">
        <v>339</v>
      </c>
      <c r="D289" s="28" t="str">
        <f>VLOOKUP(A289,Classification!$A:$D,2,FALSE)</f>
        <v>A</v>
      </c>
      <c r="E289" s="49" t="str">
        <f>VLOOKUP(B289,Classification!$A:$D,2,FALSE)</f>
        <v>A</v>
      </c>
      <c r="F289" s="15" t="str">
        <f>VLOOKUP(C289,Classification!$A:$D,2,FALSE)</f>
        <v>A</v>
      </c>
      <c r="G289" s="15" t="b">
        <f t="shared" si="4"/>
        <v>1</v>
      </c>
      <c r="H289" s="10" t="str">
        <f>IF(ISERROR(MATCH(A289,'SegEnds_Xtal_Prot#'!B:B, 0)), "NoXtal", "Xtal")</f>
        <v>NoXtal</v>
      </c>
      <c r="J289" s="3"/>
    </row>
    <row r="290" spans="1:10" x14ac:dyDescent="0.2">
      <c r="A290" s="1" t="s">
        <v>285</v>
      </c>
      <c r="B290" s="1" t="s">
        <v>126</v>
      </c>
      <c r="C290" t="s">
        <v>339</v>
      </c>
      <c r="D290" s="28" t="str">
        <f>VLOOKUP(A290,Classification!$A:$D,2,FALSE)</f>
        <v>A</v>
      </c>
      <c r="E290" s="49" t="str">
        <f>VLOOKUP(B290,Classification!$A:$D,2,FALSE)</f>
        <v>A</v>
      </c>
      <c r="F290" s="15" t="str">
        <f>VLOOKUP(C290,Classification!$A:$D,2,FALSE)</f>
        <v>A</v>
      </c>
      <c r="G290" s="15" t="b">
        <f t="shared" si="4"/>
        <v>1</v>
      </c>
      <c r="H290" s="10" t="str">
        <f>IF(ISERROR(MATCH(A290,'SegEnds_Xtal_Prot#'!B:B, 0)), "NoXtal", "Xtal")</f>
        <v>NoXtal</v>
      </c>
      <c r="J290" s="3"/>
    </row>
    <row r="291" spans="1:10" x14ac:dyDescent="0.2">
      <c r="A291" s="1" t="s">
        <v>334</v>
      </c>
      <c r="B291" s="1" t="s">
        <v>920</v>
      </c>
      <c r="C291" t="s">
        <v>922</v>
      </c>
      <c r="D291" s="28" t="str">
        <f>VLOOKUP(A291,Classification!$A:$D,2,FALSE)</f>
        <v>A</v>
      </c>
      <c r="E291" s="49" t="str">
        <f>VLOOKUP(B291,Classification!$A:$D,2,FALSE)</f>
        <v>A</v>
      </c>
      <c r="F291" s="15" t="str">
        <f>VLOOKUP(C291,Classification!$A:$D,2,FALSE)</f>
        <v>A</v>
      </c>
      <c r="G291" s="15" t="b">
        <f t="shared" si="4"/>
        <v>1</v>
      </c>
      <c r="H291" s="10" t="str">
        <f>IF(ISERROR(MATCH(A291,'SegEnds_Xtal_Prot#'!B:B, 0)), "NoXtal", "Xtal")</f>
        <v>NoXtal</v>
      </c>
      <c r="J291" s="3"/>
    </row>
    <row r="292" spans="1:10" x14ac:dyDescent="0.2">
      <c r="A292" s="1" t="s">
        <v>333</v>
      </c>
      <c r="B292" s="1" t="s">
        <v>339</v>
      </c>
      <c r="C292" t="s">
        <v>922</v>
      </c>
      <c r="D292" s="28" t="str">
        <f>VLOOKUP(A292,Classification!$A:$D,2,FALSE)</f>
        <v>A</v>
      </c>
      <c r="E292" s="49" t="str">
        <f>VLOOKUP(B292,Classification!$A:$D,2,FALSE)</f>
        <v>A</v>
      </c>
      <c r="F292" s="15" t="str">
        <f>VLOOKUP(C292,Classification!$A:$D,2,FALSE)</f>
        <v>A</v>
      </c>
      <c r="G292" s="15" t="b">
        <f t="shared" si="4"/>
        <v>1</v>
      </c>
      <c r="H292" s="10" t="str">
        <f>IF(ISERROR(MATCH(A292,'SegEnds_Xtal_Prot#'!B:B, 0)), "NoXtal", "Xtal")</f>
        <v>NoXtal</v>
      </c>
      <c r="J292" s="3"/>
    </row>
    <row r="293" spans="1:10" x14ac:dyDescent="0.2">
      <c r="A293" s="1" t="s">
        <v>922</v>
      </c>
      <c r="B293" s="1" t="s">
        <v>922</v>
      </c>
      <c r="C293" t="s">
        <v>922</v>
      </c>
      <c r="D293" s="28" t="str">
        <f>VLOOKUP(A293,Classification!$A:$D,2,FALSE)</f>
        <v>A</v>
      </c>
      <c r="E293" s="49" t="str">
        <f>VLOOKUP(B293,Classification!$A:$D,2,FALSE)</f>
        <v>A</v>
      </c>
      <c r="F293" s="15" t="str">
        <f>VLOOKUP(C293,Classification!$A:$D,2,FALSE)</f>
        <v>A</v>
      </c>
      <c r="G293" s="15" t="b">
        <f t="shared" si="4"/>
        <v>1</v>
      </c>
      <c r="H293" s="10" t="str">
        <f>IF(ISERROR(MATCH(A293,'SegEnds_Xtal_Prot#'!B:B, 0)), "NoXtal", "Xtal")</f>
        <v>Xtal</v>
      </c>
      <c r="J293" s="3"/>
    </row>
    <row r="294" spans="1:10" x14ac:dyDescent="0.2">
      <c r="A294" s="1" t="s">
        <v>270</v>
      </c>
      <c r="B294" s="1" t="s">
        <v>132</v>
      </c>
      <c r="C294" t="s">
        <v>1175</v>
      </c>
      <c r="D294" s="28" t="str">
        <f>VLOOKUP(A294,Classification!$A:$D,2,FALSE)</f>
        <v>A</v>
      </c>
      <c r="E294" s="49" t="str">
        <f>VLOOKUP(B294,Classification!$A:$D,2,FALSE)</f>
        <v>A</v>
      </c>
      <c r="F294" s="15" t="str">
        <f>VLOOKUP(C294,Classification!$A:$D,2,FALSE)</f>
        <v>A</v>
      </c>
      <c r="G294" s="15" t="b">
        <f t="shared" si="4"/>
        <v>1</v>
      </c>
      <c r="H294" s="10" t="str">
        <f>IF(ISERROR(MATCH(A294,'SegEnds_Xtal_Prot#'!B:B, 0)), "NoXtal", "Xtal")</f>
        <v>NoXtal</v>
      </c>
      <c r="J294" s="3"/>
    </row>
    <row r="295" spans="1:10" x14ac:dyDescent="0.2">
      <c r="A295" s="1" t="s">
        <v>326</v>
      </c>
      <c r="B295" s="1" t="s">
        <v>1176</v>
      </c>
      <c r="C295" t="s">
        <v>1175</v>
      </c>
      <c r="D295" s="28" t="str">
        <f>VLOOKUP(A295,Classification!$A:$D,2,FALSE)</f>
        <v>A</v>
      </c>
      <c r="E295" s="49" t="str">
        <f>VLOOKUP(B295,Classification!$A:$D,2,FALSE)</f>
        <v>A</v>
      </c>
      <c r="F295" s="15" t="str">
        <f>VLOOKUP(C295,Classification!$A:$D,2,FALSE)</f>
        <v>A</v>
      </c>
      <c r="G295" s="15" t="b">
        <f t="shared" si="4"/>
        <v>1</v>
      </c>
      <c r="H295" s="10" t="str">
        <f>IF(ISERROR(MATCH(A295,'SegEnds_Xtal_Prot#'!B:B, 0)), "NoXtal", "Xtal")</f>
        <v>NoXtal</v>
      </c>
      <c r="J295" s="3"/>
    </row>
    <row r="296" spans="1:10" x14ac:dyDescent="0.2">
      <c r="A296" s="1" t="s">
        <v>344</v>
      </c>
      <c r="B296" s="1" t="s">
        <v>1176</v>
      </c>
      <c r="C296" t="s">
        <v>1175</v>
      </c>
      <c r="D296" s="28" t="str">
        <f>VLOOKUP(A296,Classification!$A:$D,2,FALSE)</f>
        <v>A</v>
      </c>
      <c r="E296" s="49" t="str">
        <f>VLOOKUP(B296,Classification!$A:$D,2,FALSE)</f>
        <v>A</v>
      </c>
      <c r="F296" s="15" t="str">
        <f>VLOOKUP(C296,Classification!$A:$D,2,FALSE)</f>
        <v>A</v>
      </c>
      <c r="G296" s="15" t="b">
        <f t="shared" si="4"/>
        <v>1</v>
      </c>
      <c r="H296" s="10" t="str">
        <f>IF(ISERROR(MATCH(A296,'SegEnds_Xtal_Prot#'!B:B, 0)), "NoXtal", "Xtal")</f>
        <v>NoXtal</v>
      </c>
      <c r="J296" s="3"/>
    </row>
    <row r="297" spans="1:10" x14ac:dyDescent="0.2">
      <c r="A297" s="1" t="s">
        <v>1175</v>
      </c>
      <c r="B297" s="1" t="s">
        <v>1175</v>
      </c>
      <c r="C297" t="s">
        <v>1175</v>
      </c>
      <c r="D297" s="28" t="str">
        <f>VLOOKUP(A297,Classification!$A:$D,2,FALSE)</f>
        <v>A</v>
      </c>
      <c r="E297" s="49" t="str">
        <f>VLOOKUP(B297,Classification!$A:$D,2,FALSE)</f>
        <v>A</v>
      </c>
      <c r="F297" s="15" t="str">
        <f>VLOOKUP(C297,Classification!$A:$D,2,FALSE)</f>
        <v>A</v>
      </c>
      <c r="G297" s="15" t="b">
        <f t="shared" si="4"/>
        <v>1</v>
      </c>
      <c r="H297" s="10" t="str">
        <f>IF(ISERROR(MATCH(A297,'SegEnds_Xtal_Prot#'!B:B, 0)), "NoXtal", "Xtal")</f>
        <v>Xtal</v>
      </c>
      <c r="J297" s="3"/>
    </row>
    <row r="298" spans="1:10" x14ac:dyDescent="0.2">
      <c r="A298" s="1" t="s">
        <v>267</v>
      </c>
      <c r="B298" s="1" t="s">
        <v>191</v>
      </c>
      <c r="C298" t="s">
        <v>1175</v>
      </c>
      <c r="D298" s="28" t="str">
        <f>VLOOKUP(A298,Classification!$A:$D,2,FALSE)</f>
        <v>A</v>
      </c>
      <c r="E298" s="49" t="str">
        <f>VLOOKUP(B298,Classification!$A:$D,2,FALSE)</f>
        <v>A</v>
      </c>
      <c r="F298" s="15" t="str">
        <f>VLOOKUP(C298,Classification!$A:$D,2,FALSE)</f>
        <v>A</v>
      </c>
      <c r="G298" s="15" t="b">
        <f t="shared" si="4"/>
        <v>1</v>
      </c>
      <c r="H298" s="10" t="str">
        <f>IF(ISERROR(MATCH(A298,'SegEnds_Xtal_Prot#'!B:B, 0)), "NoXtal", "Xtal")</f>
        <v>NoXtal</v>
      </c>
      <c r="J298" s="3"/>
    </row>
    <row r="299" spans="1:10" x14ac:dyDescent="0.2">
      <c r="A299" s="1" t="s">
        <v>222</v>
      </c>
      <c r="B299" s="1" t="s">
        <v>1176</v>
      </c>
      <c r="C299" t="s">
        <v>1175</v>
      </c>
      <c r="D299" s="28" t="str">
        <f>VLOOKUP(A299,Classification!$A:$D,2,FALSE)</f>
        <v>A</v>
      </c>
      <c r="E299" s="49" t="str">
        <f>VLOOKUP(B299,Classification!$A:$D,2,FALSE)</f>
        <v>A</v>
      </c>
      <c r="F299" s="15" t="str">
        <f>VLOOKUP(C299,Classification!$A:$D,2,FALSE)</f>
        <v>A</v>
      </c>
      <c r="G299" s="15" t="b">
        <f t="shared" si="4"/>
        <v>1</v>
      </c>
      <c r="H299" s="10" t="str">
        <f>IF(ISERROR(MATCH(A299,'SegEnds_Xtal_Prot#'!B:B, 0)), "NoXtal", "Xtal")</f>
        <v>NoXtal</v>
      </c>
      <c r="J299" s="3"/>
    </row>
    <row r="300" spans="1:10" x14ac:dyDescent="0.2">
      <c r="A300" s="1" t="s">
        <v>323</v>
      </c>
      <c r="B300" s="1" t="s">
        <v>1175</v>
      </c>
      <c r="C300" t="s">
        <v>1175</v>
      </c>
      <c r="D300" s="28" t="str">
        <f>VLOOKUP(A300,Classification!$A:$D,2,FALSE)</f>
        <v>A</v>
      </c>
      <c r="E300" s="49" t="str">
        <f>VLOOKUP(B300,Classification!$A:$D,2,FALSE)</f>
        <v>A</v>
      </c>
      <c r="F300" s="15" t="str">
        <f>VLOOKUP(C300,Classification!$A:$D,2,FALSE)</f>
        <v>A</v>
      </c>
      <c r="G300" s="15" t="b">
        <f t="shared" si="4"/>
        <v>1</v>
      </c>
      <c r="H300" s="10" t="str">
        <f>IF(ISERROR(MATCH(A300,'SegEnds_Xtal_Prot#'!B:B, 0)), "NoXtal", "Xtal")</f>
        <v>NoXtal</v>
      </c>
      <c r="J300" s="3"/>
    </row>
    <row r="301" spans="1:10" x14ac:dyDescent="0.2">
      <c r="A301" s="1" t="s">
        <v>315</v>
      </c>
      <c r="B301" s="1" t="s">
        <v>314</v>
      </c>
      <c r="C301" t="s">
        <v>1175</v>
      </c>
      <c r="D301" s="28" t="str">
        <f>VLOOKUP(A301,Classification!$A:$D,2,FALSE)</f>
        <v>A</v>
      </c>
      <c r="E301" s="49" t="str">
        <f>VLOOKUP(B301,Classification!$A:$D,2,FALSE)</f>
        <v>A</v>
      </c>
      <c r="F301" s="15" t="str">
        <f>VLOOKUP(C301,Classification!$A:$D,2,FALSE)</f>
        <v>A</v>
      </c>
      <c r="G301" s="15" t="b">
        <f t="shared" si="4"/>
        <v>1</v>
      </c>
      <c r="H301" s="10" t="str">
        <f>IF(ISERROR(MATCH(A301,'SegEnds_Xtal_Prot#'!B:B, 0)), "NoXtal", "Xtal")</f>
        <v>NoXtal</v>
      </c>
      <c r="J301" s="3"/>
    </row>
    <row r="302" spans="1:10" x14ac:dyDescent="0.2">
      <c r="A302" s="1" t="s">
        <v>215</v>
      </c>
      <c r="B302" s="1" t="s">
        <v>1175</v>
      </c>
      <c r="C302" t="s">
        <v>1175</v>
      </c>
      <c r="D302" s="28" t="str">
        <f>VLOOKUP(A302,Classification!$A:$D,2,FALSE)</f>
        <v>A</v>
      </c>
      <c r="E302" s="49" t="str">
        <f>VLOOKUP(B302,Classification!$A:$D,2,FALSE)</f>
        <v>A</v>
      </c>
      <c r="F302" s="15" t="str">
        <f>VLOOKUP(C302,Classification!$A:$D,2,FALSE)</f>
        <v>A</v>
      </c>
      <c r="G302" s="15" t="b">
        <f t="shared" si="4"/>
        <v>1</v>
      </c>
      <c r="H302" s="10" t="str">
        <f>IF(ISERROR(MATCH(A302,'SegEnds_Xtal_Prot#'!B:B, 0)), "NoXtal", "Xtal")</f>
        <v>NoXtal</v>
      </c>
      <c r="J302" s="3"/>
    </row>
    <row r="303" spans="1:10" x14ac:dyDescent="0.2">
      <c r="A303" s="1" t="s">
        <v>232</v>
      </c>
      <c r="B303" s="1" t="s">
        <v>1175</v>
      </c>
      <c r="C303" t="s">
        <v>1175</v>
      </c>
      <c r="D303" s="28" t="str">
        <f>VLOOKUP(A303,Classification!$A:$D,2,FALSE)</f>
        <v>A</v>
      </c>
      <c r="E303" s="49" t="str">
        <f>VLOOKUP(B303,Classification!$A:$D,2,FALSE)</f>
        <v>A</v>
      </c>
      <c r="F303" s="15" t="str">
        <f>VLOOKUP(C303,Classification!$A:$D,2,FALSE)</f>
        <v>A</v>
      </c>
      <c r="G303" s="15" t="b">
        <f t="shared" si="4"/>
        <v>1</v>
      </c>
      <c r="H303" s="10" t="str">
        <f>IF(ISERROR(MATCH(A303,'SegEnds_Xtal_Prot#'!B:B, 0)), "NoXtal", "Xtal")</f>
        <v>NoXtal</v>
      </c>
      <c r="J303" s="3"/>
    </row>
    <row r="304" spans="1:10" x14ac:dyDescent="0.2">
      <c r="A304" s="1" t="s">
        <v>328</v>
      </c>
      <c r="B304" s="1" t="s">
        <v>325</v>
      </c>
      <c r="C304" t="s">
        <v>1176</v>
      </c>
      <c r="D304" s="28" t="str">
        <f>VLOOKUP(A304,Classification!$A:$D,2,FALSE)</f>
        <v>A</v>
      </c>
      <c r="E304" s="49" t="str">
        <f>VLOOKUP(B304,Classification!$A:$D,2,FALSE)</f>
        <v>A</v>
      </c>
      <c r="F304" s="15" t="str">
        <f>VLOOKUP(C304,Classification!$A:$D,2,FALSE)</f>
        <v>A</v>
      </c>
      <c r="G304" s="15" t="b">
        <f t="shared" si="4"/>
        <v>1</v>
      </c>
      <c r="H304" s="10" t="str">
        <f>IF(ISERROR(MATCH(A304,'SegEnds_Xtal_Prot#'!B:B, 0)), "NoXtal", "Xtal")</f>
        <v>NoXtal</v>
      </c>
      <c r="J304" s="3"/>
    </row>
    <row r="305" spans="1:10" x14ac:dyDescent="0.2">
      <c r="A305" s="1" t="s">
        <v>369</v>
      </c>
      <c r="B305" s="1" t="s">
        <v>1176</v>
      </c>
      <c r="C305" t="s">
        <v>1176</v>
      </c>
      <c r="D305" s="28" t="str">
        <f>VLOOKUP(A305,Classification!$A:$D,2,FALSE)</f>
        <v>A</v>
      </c>
      <c r="E305" s="49" t="str">
        <f>VLOOKUP(B305,Classification!$A:$D,2,FALSE)</f>
        <v>A</v>
      </c>
      <c r="F305" s="15" t="str">
        <f>VLOOKUP(C305,Classification!$A:$D,2,FALSE)</f>
        <v>A</v>
      </c>
      <c r="G305" s="15" t="b">
        <f t="shared" si="4"/>
        <v>1</v>
      </c>
      <c r="H305" s="10" t="str">
        <f>IF(ISERROR(MATCH(A305,'SegEnds_Xtal_Prot#'!B:B, 0)), "NoXtal", "Xtal")</f>
        <v>NoXtal</v>
      </c>
      <c r="J305" s="3"/>
    </row>
    <row r="306" spans="1:10" x14ac:dyDescent="0.2">
      <c r="A306" s="1" t="s">
        <v>359</v>
      </c>
      <c r="B306" s="1" t="s">
        <v>364</v>
      </c>
      <c r="C306" t="s">
        <v>1176</v>
      </c>
      <c r="D306" s="28" t="str">
        <f>VLOOKUP(A306,Classification!$A:$D,2,FALSE)</f>
        <v>A</v>
      </c>
      <c r="E306" s="49" t="str">
        <f>VLOOKUP(B306,Classification!$A:$D,2,FALSE)</f>
        <v>A</v>
      </c>
      <c r="F306" s="15" t="str">
        <f>VLOOKUP(C306,Classification!$A:$D,2,FALSE)</f>
        <v>A</v>
      </c>
      <c r="G306" s="15" t="b">
        <f t="shared" si="4"/>
        <v>1</v>
      </c>
      <c r="H306" s="10" t="str">
        <f>IF(ISERROR(MATCH(A306,'SegEnds_Xtal_Prot#'!B:B, 0)), "NoXtal", "Xtal")</f>
        <v>NoXtal</v>
      </c>
      <c r="J306" s="3"/>
    </row>
    <row r="307" spans="1:10" x14ac:dyDescent="0.2">
      <c r="A307" s="1" t="s">
        <v>324</v>
      </c>
      <c r="B307" s="1" t="s">
        <v>133</v>
      </c>
      <c r="C307" t="s">
        <v>1176</v>
      </c>
      <c r="D307" s="28" t="str">
        <f>VLOOKUP(A307,Classification!$A:$D,2,FALSE)</f>
        <v>A</v>
      </c>
      <c r="E307" s="49" t="str">
        <f>VLOOKUP(B307,Classification!$A:$D,2,FALSE)</f>
        <v>A</v>
      </c>
      <c r="F307" s="15" t="str">
        <f>VLOOKUP(C307,Classification!$A:$D,2,FALSE)</f>
        <v>A</v>
      </c>
      <c r="G307" s="15" t="b">
        <f t="shared" si="4"/>
        <v>1</v>
      </c>
      <c r="H307" s="10" t="str">
        <f>IF(ISERROR(MATCH(A307,'SegEnds_Xtal_Prot#'!B:B, 0)), "NoXtal", "Xtal")</f>
        <v>NoXtal</v>
      </c>
      <c r="J307" s="3"/>
    </row>
    <row r="308" spans="1:10" x14ac:dyDescent="0.2">
      <c r="A308" s="1" t="s">
        <v>247</v>
      </c>
      <c r="B308" s="1" t="s">
        <v>191</v>
      </c>
      <c r="C308" t="s">
        <v>1176</v>
      </c>
      <c r="D308" s="28" t="str">
        <f>VLOOKUP(A308,Classification!$A:$D,2,FALSE)</f>
        <v>A</v>
      </c>
      <c r="E308" s="49" t="str">
        <f>VLOOKUP(B308,Classification!$A:$D,2,FALSE)</f>
        <v>A</v>
      </c>
      <c r="F308" s="15" t="str">
        <f>VLOOKUP(C308,Classification!$A:$D,2,FALSE)</f>
        <v>A</v>
      </c>
      <c r="G308" s="15" t="b">
        <f t="shared" si="4"/>
        <v>1</v>
      </c>
      <c r="H308" s="10" t="str">
        <f>IF(ISERROR(MATCH(A308,'SegEnds_Xtal_Prot#'!B:B, 0)), "NoXtal", "Xtal")</f>
        <v>NoXtal</v>
      </c>
      <c r="J308" s="3"/>
    </row>
    <row r="309" spans="1:10" x14ac:dyDescent="0.2">
      <c r="A309" s="1" t="s">
        <v>260</v>
      </c>
      <c r="B309" s="1" t="s">
        <v>132</v>
      </c>
      <c r="C309" t="s">
        <v>1176</v>
      </c>
      <c r="D309" s="28" t="str">
        <f>VLOOKUP(A309,Classification!$A:$D,2,FALSE)</f>
        <v>A</v>
      </c>
      <c r="E309" s="49" t="str">
        <f>VLOOKUP(B309,Classification!$A:$D,2,FALSE)</f>
        <v>A</v>
      </c>
      <c r="F309" s="15" t="str">
        <f>VLOOKUP(C309,Classification!$A:$D,2,FALSE)</f>
        <v>A</v>
      </c>
      <c r="G309" s="15" t="b">
        <f t="shared" si="4"/>
        <v>1</v>
      </c>
      <c r="H309" s="10" t="str">
        <f>IF(ISERROR(MATCH(A309,'SegEnds_Xtal_Prot#'!B:B, 0)), "NoXtal", "Xtal")</f>
        <v>NoXtal</v>
      </c>
      <c r="J309" s="3"/>
    </row>
    <row r="310" spans="1:10" x14ac:dyDescent="0.2">
      <c r="A310" s="1" t="s">
        <v>244</v>
      </c>
      <c r="B310" s="1" t="s">
        <v>133</v>
      </c>
      <c r="C310" t="s">
        <v>1176</v>
      </c>
      <c r="D310" s="28" t="str">
        <f>VLOOKUP(A310,Classification!$A:$D,2,FALSE)</f>
        <v>A</v>
      </c>
      <c r="E310" s="49" t="str">
        <f>VLOOKUP(B310,Classification!$A:$D,2,FALSE)</f>
        <v>A</v>
      </c>
      <c r="F310" s="15" t="str">
        <f>VLOOKUP(C310,Classification!$A:$D,2,FALSE)</f>
        <v>A</v>
      </c>
      <c r="G310" s="15" t="b">
        <f t="shared" si="4"/>
        <v>1</v>
      </c>
      <c r="H310" s="10" t="str">
        <f>IF(ISERROR(MATCH(A310,'SegEnds_Xtal_Prot#'!B:B, 0)), "NoXtal", "Xtal")</f>
        <v>NoXtal</v>
      </c>
      <c r="J310" s="3"/>
    </row>
    <row r="311" spans="1:10" x14ac:dyDescent="0.2">
      <c r="A311" s="1" t="s">
        <v>368</v>
      </c>
      <c r="B311" s="1" t="s">
        <v>1176</v>
      </c>
      <c r="C311" t="s">
        <v>1176</v>
      </c>
      <c r="D311" s="28" t="str">
        <f>VLOOKUP(A311,Classification!$A:$D,2,FALSE)</f>
        <v>A</v>
      </c>
      <c r="E311" s="49" t="str">
        <f>VLOOKUP(B311,Classification!$A:$D,2,FALSE)</f>
        <v>A</v>
      </c>
      <c r="F311" s="15" t="str">
        <f>VLOOKUP(C311,Classification!$A:$D,2,FALSE)</f>
        <v>A</v>
      </c>
      <c r="G311" s="15" t="b">
        <f t="shared" si="4"/>
        <v>1</v>
      </c>
      <c r="H311" s="10" t="str">
        <f>IF(ISERROR(MATCH(A311,'SegEnds_Xtal_Prot#'!B:B, 0)), "NoXtal", "Xtal")</f>
        <v>NoXtal</v>
      </c>
      <c r="J311" s="3"/>
    </row>
    <row r="312" spans="1:10" x14ac:dyDescent="0.2">
      <c r="A312" s="1" t="s">
        <v>367</v>
      </c>
      <c r="B312" s="1" t="s">
        <v>1175</v>
      </c>
      <c r="C312" t="s">
        <v>1176</v>
      </c>
      <c r="D312" s="28" t="str">
        <f>VLOOKUP(A312,Classification!$A:$D,2,FALSE)</f>
        <v>A</v>
      </c>
      <c r="E312" s="49" t="str">
        <f>VLOOKUP(B312,Classification!$A:$D,2,FALSE)</f>
        <v>A</v>
      </c>
      <c r="F312" s="15" t="str">
        <f>VLOOKUP(C312,Classification!$A:$D,2,FALSE)</f>
        <v>A</v>
      </c>
      <c r="G312" s="15" t="b">
        <f t="shared" si="4"/>
        <v>1</v>
      </c>
      <c r="H312" s="10" t="str">
        <f>IF(ISERROR(MATCH(A312,'SegEnds_Xtal_Prot#'!B:B, 0)), "NoXtal", "Xtal")</f>
        <v>NoXtal</v>
      </c>
      <c r="J312" s="3"/>
    </row>
    <row r="313" spans="1:10" x14ac:dyDescent="0.2">
      <c r="A313" s="1" t="s">
        <v>327</v>
      </c>
      <c r="B313" s="1" t="s">
        <v>325</v>
      </c>
      <c r="C313" t="s">
        <v>1176</v>
      </c>
      <c r="D313" s="28" t="str">
        <f>VLOOKUP(A313,Classification!$A:$D,2,FALSE)</f>
        <v>A</v>
      </c>
      <c r="E313" s="49" t="str">
        <f>VLOOKUP(B313,Classification!$A:$D,2,FALSE)</f>
        <v>A</v>
      </c>
      <c r="F313" s="15" t="str">
        <f>VLOOKUP(C313,Classification!$A:$D,2,FALSE)</f>
        <v>A</v>
      </c>
      <c r="G313" s="15" t="b">
        <f t="shared" si="4"/>
        <v>1</v>
      </c>
      <c r="H313" s="10" t="str">
        <f>IF(ISERROR(MATCH(A313,'SegEnds_Xtal_Prot#'!B:B, 0)), "NoXtal", "Xtal")</f>
        <v>NoXtal</v>
      </c>
      <c r="J313" s="3"/>
    </row>
    <row r="314" spans="1:10" x14ac:dyDescent="0.2">
      <c r="A314" s="1" t="s">
        <v>312</v>
      </c>
      <c r="B314" s="1" t="s">
        <v>1176</v>
      </c>
      <c r="C314" t="s">
        <v>1176</v>
      </c>
      <c r="D314" s="28" t="str">
        <f>VLOOKUP(A314,Classification!$A:$D,2,FALSE)</f>
        <v>A</v>
      </c>
      <c r="E314" s="49" t="str">
        <f>VLOOKUP(B314,Classification!$A:$D,2,FALSE)</f>
        <v>A</v>
      </c>
      <c r="F314" s="15" t="str">
        <f>VLOOKUP(C314,Classification!$A:$D,2,FALSE)</f>
        <v>A</v>
      </c>
      <c r="G314" s="15" t="b">
        <f t="shared" si="4"/>
        <v>1</v>
      </c>
      <c r="H314" s="10" t="str">
        <f>IF(ISERROR(MATCH(A314,'SegEnds_Xtal_Prot#'!B:B, 0)), "NoXtal", "Xtal")</f>
        <v>NoXtal</v>
      </c>
      <c r="J314" s="3"/>
    </row>
    <row r="315" spans="1:10" x14ac:dyDescent="0.2">
      <c r="A315" s="1" t="s">
        <v>208</v>
      </c>
      <c r="B315" s="1" t="s">
        <v>1176</v>
      </c>
      <c r="C315" t="s">
        <v>1176</v>
      </c>
      <c r="D315" s="28" t="str">
        <f>VLOOKUP(A315,Classification!$A:$D,2,FALSE)</f>
        <v>A</v>
      </c>
      <c r="E315" s="49" t="str">
        <f>VLOOKUP(B315,Classification!$A:$D,2,FALSE)</f>
        <v>A</v>
      </c>
      <c r="F315" s="15" t="str">
        <f>VLOOKUP(C315,Classification!$A:$D,2,FALSE)</f>
        <v>A</v>
      </c>
      <c r="G315" s="15" t="b">
        <f t="shared" si="4"/>
        <v>1</v>
      </c>
      <c r="H315" s="10" t="str">
        <f>IF(ISERROR(MATCH(A315,'SegEnds_Xtal_Prot#'!B:B, 0)), "NoXtal", "Xtal")</f>
        <v>NoXtal</v>
      </c>
      <c r="J315" s="3"/>
    </row>
    <row r="316" spans="1:10" x14ac:dyDescent="0.2">
      <c r="A316" s="1" t="s">
        <v>167</v>
      </c>
      <c r="B316" s="1" t="s">
        <v>1175</v>
      </c>
      <c r="C316" t="s">
        <v>1176</v>
      </c>
      <c r="D316" s="28" t="str">
        <f>VLOOKUP(A316,Classification!$A:$D,2,FALSE)</f>
        <v>A</v>
      </c>
      <c r="E316" s="49" t="str">
        <f>VLOOKUP(B316,Classification!$A:$D,2,FALSE)</f>
        <v>A</v>
      </c>
      <c r="F316" s="15" t="str">
        <f>VLOOKUP(C316,Classification!$A:$D,2,FALSE)</f>
        <v>A</v>
      </c>
      <c r="G316" s="15" t="b">
        <f t="shared" si="4"/>
        <v>1</v>
      </c>
      <c r="H316" s="10" t="str">
        <f>IF(ISERROR(MATCH(A316,'SegEnds_Xtal_Prot#'!B:B, 0)), "NoXtal", "Xtal")</f>
        <v>NoXtal</v>
      </c>
      <c r="J316" s="3"/>
    </row>
    <row r="317" spans="1:10" x14ac:dyDescent="0.2">
      <c r="A317" s="1" t="s">
        <v>325</v>
      </c>
      <c r="B317" s="1" t="s">
        <v>325</v>
      </c>
      <c r="C317" t="s">
        <v>1176</v>
      </c>
      <c r="D317" s="28" t="str">
        <f>VLOOKUP(A317,Classification!$A:$D,2,FALSE)</f>
        <v>A</v>
      </c>
      <c r="E317" s="49" t="str">
        <f>VLOOKUP(B317,Classification!$A:$D,2,FALSE)</f>
        <v>A</v>
      </c>
      <c r="F317" s="15" t="str">
        <f>VLOOKUP(C317,Classification!$A:$D,2,FALSE)</f>
        <v>A</v>
      </c>
      <c r="G317" s="15" t="b">
        <f t="shared" si="4"/>
        <v>1</v>
      </c>
      <c r="H317" s="10" t="str">
        <f>IF(ISERROR(MATCH(A317,'SegEnds_Xtal_Prot#'!B:B, 0)), "NoXtal", "Xtal")</f>
        <v>Xtal</v>
      </c>
      <c r="J317" s="3"/>
    </row>
    <row r="318" spans="1:10" x14ac:dyDescent="0.2">
      <c r="A318" s="1" t="s">
        <v>163</v>
      </c>
      <c r="B318" s="1" t="s">
        <v>196</v>
      </c>
      <c r="C318" t="s">
        <v>1176</v>
      </c>
      <c r="D318" s="28" t="str">
        <f>VLOOKUP(A318,Classification!$A:$D,2,FALSE)</f>
        <v>A</v>
      </c>
      <c r="E318" s="49" t="str">
        <f>VLOOKUP(B318,Classification!$A:$D,2,FALSE)</f>
        <v>A</v>
      </c>
      <c r="F318" s="15" t="str">
        <f>VLOOKUP(C318,Classification!$A:$D,2,FALSE)</f>
        <v>A</v>
      </c>
      <c r="G318" s="15" t="b">
        <f t="shared" si="4"/>
        <v>1</v>
      </c>
      <c r="H318" s="10" t="str">
        <f>IF(ISERROR(MATCH(A318,'SegEnds_Xtal_Prot#'!B:B, 0)), "NoXtal", "Xtal")</f>
        <v>NoXtal</v>
      </c>
      <c r="J318" s="3"/>
    </row>
    <row r="319" spans="1:10" x14ac:dyDescent="0.2">
      <c r="A319" s="1" t="s">
        <v>269</v>
      </c>
      <c r="B319" s="1" t="s">
        <v>1176</v>
      </c>
      <c r="C319" t="s">
        <v>1176</v>
      </c>
      <c r="D319" s="28" t="str">
        <f>VLOOKUP(A319,Classification!$A:$D,2,FALSE)</f>
        <v>A</v>
      </c>
      <c r="E319" s="49" t="str">
        <f>VLOOKUP(B319,Classification!$A:$D,2,FALSE)</f>
        <v>A</v>
      </c>
      <c r="F319" s="15" t="str">
        <f>VLOOKUP(C319,Classification!$A:$D,2,FALSE)</f>
        <v>A</v>
      </c>
      <c r="G319" s="15" t="b">
        <f t="shared" si="4"/>
        <v>1</v>
      </c>
      <c r="H319" s="10" t="str">
        <f>IF(ISERROR(MATCH(A319,'SegEnds_Xtal_Prot#'!B:B, 0)), "NoXtal", "Xtal")</f>
        <v>NoXtal</v>
      </c>
      <c r="J319" s="3"/>
    </row>
    <row r="320" spans="1:10" x14ac:dyDescent="0.2">
      <c r="A320" s="1" t="s">
        <v>1176</v>
      </c>
      <c r="B320" s="1" t="s">
        <v>1176</v>
      </c>
      <c r="C320" t="s">
        <v>1176</v>
      </c>
      <c r="D320" s="28" t="str">
        <f>VLOOKUP(A320,Classification!$A:$D,2,FALSE)</f>
        <v>A</v>
      </c>
      <c r="E320" s="49" t="str">
        <f>VLOOKUP(B320,Classification!$A:$D,2,FALSE)</f>
        <v>A</v>
      </c>
      <c r="F320" s="15" t="str">
        <f>VLOOKUP(C320,Classification!$A:$D,2,FALSE)</f>
        <v>A</v>
      </c>
      <c r="G320" s="15" t="b">
        <f t="shared" si="4"/>
        <v>1</v>
      </c>
      <c r="H320" s="10" t="str">
        <f>IF(ISERROR(MATCH(A320,'SegEnds_Xtal_Prot#'!B:B, 0)), "NoXtal", "Xtal")</f>
        <v>Xtal</v>
      </c>
      <c r="J320" s="3"/>
    </row>
    <row r="321" spans="1:10" x14ac:dyDescent="0.2">
      <c r="A321" s="1" t="s">
        <v>242</v>
      </c>
      <c r="B321" s="1" t="s">
        <v>1176</v>
      </c>
      <c r="C321" t="s">
        <v>1176</v>
      </c>
      <c r="D321" s="28" t="str">
        <f>VLOOKUP(A321,Classification!$A:$D,2,FALSE)</f>
        <v>A</v>
      </c>
      <c r="E321" s="49" t="str">
        <f>VLOOKUP(B321,Classification!$A:$D,2,FALSE)</f>
        <v>A</v>
      </c>
      <c r="F321" s="15" t="str">
        <f>VLOOKUP(C321,Classification!$A:$D,2,FALSE)</f>
        <v>A</v>
      </c>
      <c r="G321" s="15" t="b">
        <f t="shared" si="4"/>
        <v>1</v>
      </c>
      <c r="H321" s="10" t="str">
        <f>IF(ISERROR(MATCH(A321,'SegEnds_Xtal_Prot#'!B:B, 0)), "NoXtal", "Xtal")</f>
        <v>NoXtal</v>
      </c>
      <c r="J321" s="3"/>
    </row>
    <row r="322" spans="1:10" x14ac:dyDescent="0.2">
      <c r="A322" s="1" t="s">
        <v>372</v>
      </c>
      <c r="B322" s="1" t="s">
        <v>1176</v>
      </c>
      <c r="C322" t="s">
        <v>1176</v>
      </c>
      <c r="D322" s="28" t="str">
        <f>VLOOKUP(A322,Classification!$A:$D,2,FALSE)</f>
        <v>A</v>
      </c>
      <c r="E322" s="49" t="str">
        <f>VLOOKUP(B322,Classification!$A:$D,2,FALSE)</f>
        <v>A</v>
      </c>
      <c r="F322" s="15" t="str">
        <f>VLOOKUP(C322,Classification!$A:$D,2,FALSE)</f>
        <v>A</v>
      </c>
      <c r="G322" s="15" t="b">
        <f t="shared" si="4"/>
        <v>1</v>
      </c>
      <c r="H322" s="10" t="str">
        <f>IF(ISERROR(MATCH(A322,'SegEnds_Xtal_Prot#'!B:B, 0)), "NoXtal", "Xtal")</f>
        <v>NoXtal</v>
      </c>
      <c r="J322" s="3"/>
    </row>
    <row r="323" spans="1:10" x14ac:dyDescent="0.2">
      <c r="A323" s="1" t="s">
        <v>322</v>
      </c>
      <c r="B323" s="1" t="s">
        <v>1175</v>
      </c>
      <c r="C323" t="s">
        <v>1176</v>
      </c>
      <c r="D323" s="28" t="str">
        <f>VLOOKUP(A323,Classification!$A:$D,2,FALSE)</f>
        <v>A</v>
      </c>
      <c r="E323" s="49" t="str">
        <f>VLOOKUP(B323,Classification!$A:$D,2,FALSE)</f>
        <v>A</v>
      </c>
      <c r="F323" s="15" t="str">
        <f>VLOOKUP(C323,Classification!$A:$D,2,FALSE)</f>
        <v>A</v>
      </c>
      <c r="G323" s="15" t="b">
        <f t="shared" ref="G323:G388" si="5">OR(D323=F323,AND(D323="T",F323="A"),AND(D323="B2",F323="B1"),D323="O")</f>
        <v>1</v>
      </c>
      <c r="H323" s="10" t="str">
        <f>IF(ISERROR(MATCH(A323,'SegEnds_Xtal_Prot#'!B:B, 0)), "NoXtal", "Xtal")</f>
        <v>NoXtal</v>
      </c>
      <c r="J323" s="3"/>
    </row>
    <row r="324" spans="1:10" x14ac:dyDescent="0.2">
      <c r="A324" s="1" t="s">
        <v>314</v>
      </c>
      <c r="B324" s="1" t="s">
        <v>314</v>
      </c>
      <c r="C324" t="s">
        <v>1176</v>
      </c>
      <c r="D324" s="28" t="str">
        <f>VLOOKUP(A324,Classification!$A:$D,2,FALSE)</f>
        <v>A</v>
      </c>
      <c r="E324" s="49" t="str">
        <f>VLOOKUP(B324,Classification!$A:$D,2,FALSE)</f>
        <v>A</v>
      </c>
      <c r="F324" s="15" t="str">
        <f>VLOOKUP(C324,Classification!$A:$D,2,FALSE)</f>
        <v>A</v>
      </c>
      <c r="G324" s="15" t="b">
        <f t="shared" si="5"/>
        <v>1</v>
      </c>
      <c r="H324" s="10" t="str">
        <f>IF(ISERROR(MATCH(A324,'SegEnds_Xtal_Prot#'!B:B, 0)), "NoXtal", "Xtal")</f>
        <v>Xtal</v>
      </c>
      <c r="J324" s="3"/>
    </row>
    <row r="325" spans="1:10" x14ac:dyDescent="0.2">
      <c r="A325" s="1" t="s">
        <v>316</v>
      </c>
      <c r="B325" s="1" t="s">
        <v>314</v>
      </c>
      <c r="C325" t="s">
        <v>1176</v>
      </c>
      <c r="D325" s="28" t="str">
        <f>VLOOKUP(A325,Classification!$A:$D,2,FALSE)</f>
        <v>A</v>
      </c>
      <c r="E325" s="49" t="str">
        <f>VLOOKUP(B325,Classification!$A:$D,2,FALSE)</f>
        <v>A</v>
      </c>
      <c r="F325" s="15" t="str">
        <f>VLOOKUP(C325,Classification!$A:$D,2,FALSE)</f>
        <v>A</v>
      </c>
      <c r="G325" s="15" t="b">
        <f t="shared" si="5"/>
        <v>1</v>
      </c>
      <c r="H325" s="10" t="str">
        <f>IF(ISERROR(MATCH(A325,'SegEnds_Xtal_Prot#'!B:B, 0)), "NoXtal", "Xtal")</f>
        <v>NoXtal</v>
      </c>
      <c r="J325" s="3"/>
    </row>
    <row r="326" spans="1:10" x14ac:dyDescent="0.2">
      <c r="A326" s="1" t="s">
        <v>223</v>
      </c>
      <c r="B326" s="1" t="s">
        <v>159</v>
      </c>
      <c r="C326" t="s">
        <v>1176</v>
      </c>
      <c r="D326" s="28" t="str">
        <f>VLOOKUP(A326,Classification!$A:$D,2,FALSE)</f>
        <v>A</v>
      </c>
      <c r="E326" s="49" t="str">
        <f>VLOOKUP(B326,Classification!$A:$D,2,FALSE)</f>
        <v>A</v>
      </c>
      <c r="F326" s="15" t="str">
        <f>VLOOKUP(C326,Classification!$A:$D,2,FALSE)</f>
        <v>A</v>
      </c>
      <c r="G326" s="15" t="b">
        <f t="shared" si="5"/>
        <v>1</v>
      </c>
      <c r="H326" s="10" t="str">
        <f>IF(ISERROR(MATCH(A326,'SegEnds_Xtal_Prot#'!B:B, 0)), "NoXtal", "Xtal")</f>
        <v>NoXtal</v>
      </c>
      <c r="J326" s="3"/>
    </row>
    <row r="327" spans="1:10" x14ac:dyDescent="0.2">
      <c r="A327" s="1" t="s">
        <v>225</v>
      </c>
      <c r="B327" s="1" t="s">
        <v>132</v>
      </c>
      <c r="C327" t="s">
        <v>1176</v>
      </c>
      <c r="D327" s="28" t="str">
        <f>VLOOKUP(A327,Classification!$A:$D,2,FALSE)</f>
        <v>A</v>
      </c>
      <c r="E327" s="49" t="str">
        <f>VLOOKUP(B327,Classification!$A:$D,2,FALSE)</f>
        <v>A</v>
      </c>
      <c r="F327" s="15" t="str">
        <f>VLOOKUP(C327,Classification!$A:$D,2,FALSE)</f>
        <v>A</v>
      </c>
      <c r="G327" s="15" t="b">
        <f t="shared" si="5"/>
        <v>1</v>
      </c>
      <c r="H327" s="10" t="str">
        <f>IF(ISERROR(MATCH(A327,'SegEnds_Xtal_Prot#'!B:B, 0)), "NoXtal", "Xtal")</f>
        <v>NoXtal</v>
      </c>
      <c r="J327" s="3"/>
    </row>
    <row r="328" spans="1:10" x14ac:dyDescent="0.2">
      <c r="A328" s="1" t="s">
        <v>313</v>
      </c>
      <c r="B328" s="1" t="s">
        <v>1176</v>
      </c>
      <c r="C328" t="s">
        <v>1176</v>
      </c>
      <c r="D328" s="28" t="str">
        <f>VLOOKUP(A328,Classification!$A:$D,2,FALSE)</f>
        <v>A</v>
      </c>
      <c r="E328" s="49" t="str">
        <f>VLOOKUP(B328,Classification!$A:$D,2,FALSE)</f>
        <v>A</v>
      </c>
      <c r="F328" s="15" t="str">
        <f>VLOOKUP(C328,Classification!$A:$D,2,FALSE)</f>
        <v>A</v>
      </c>
      <c r="G328" s="15" t="b">
        <f t="shared" si="5"/>
        <v>1</v>
      </c>
      <c r="H328" s="10" t="str">
        <f>IF(ISERROR(MATCH(A328,'SegEnds_Xtal_Prot#'!B:B, 0)), "NoXtal", "Xtal")</f>
        <v>NoXtal</v>
      </c>
      <c r="J328" s="3"/>
    </row>
    <row r="329" spans="1:10" x14ac:dyDescent="0.2">
      <c r="A329" s="1" t="s">
        <v>329</v>
      </c>
      <c r="B329" s="1" t="s">
        <v>325</v>
      </c>
      <c r="C329" t="s">
        <v>1176</v>
      </c>
      <c r="D329" s="28" t="str">
        <f>VLOOKUP(A329,Classification!$A:$D,2,FALSE)</f>
        <v>A</v>
      </c>
      <c r="E329" s="49" t="str">
        <f>VLOOKUP(B329,Classification!$A:$D,2,FALSE)</f>
        <v>A</v>
      </c>
      <c r="F329" s="15" t="str">
        <f>VLOOKUP(C329,Classification!$A:$D,2,FALSE)</f>
        <v>A</v>
      </c>
      <c r="G329" s="15" t="b">
        <f t="shared" si="5"/>
        <v>1</v>
      </c>
      <c r="H329" s="10" t="str">
        <f>IF(ISERROR(MATCH(A329,'SegEnds_Xtal_Prot#'!B:B, 0)), "NoXtal", "Xtal")</f>
        <v>NoXtal</v>
      </c>
      <c r="J329" s="3"/>
    </row>
    <row r="330" spans="1:10" x14ac:dyDescent="0.2">
      <c r="A330" s="1" t="s">
        <v>348</v>
      </c>
      <c r="B330" s="1" t="s">
        <v>345</v>
      </c>
      <c r="C330" t="s">
        <v>345</v>
      </c>
      <c r="D330" s="28" t="str">
        <f>VLOOKUP(A330,Classification!$A:$D,2,FALSE)</f>
        <v>A</v>
      </c>
      <c r="E330" s="49" t="str">
        <f>VLOOKUP(B330,Classification!$A:$D,2,FALSE)</f>
        <v>A</v>
      </c>
      <c r="F330" s="15" t="str">
        <f>VLOOKUP(C330,Classification!$A:$D,2,FALSE)</f>
        <v>A</v>
      </c>
      <c r="G330" s="15" t="b">
        <f t="shared" si="5"/>
        <v>1</v>
      </c>
      <c r="H330" s="10" t="str">
        <f>IF(ISERROR(MATCH(A330,'SegEnds_Xtal_Prot#'!B:B, 0)), "NoXtal", "Xtal")</f>
        <v>NoXtal</v>
      </c>
      <c r="J330" s="3"/>
    </row>
    <row r="331" spans="1:10" x14ac:dyDescent="0.2">
      <c r="A331" s="1" t="s">
        <v>350</v>
      </c>
      <c r="B331" s="1" t="s">
        <v>371</v>
      </c>
      <c r="C331" t="s">
        <v>345</v>
      </c>
      <c r="D331" s="28" t="str">
        <f>VLOOKUP(A331,Classification!$A:$D,2,FALSE)</f>
        <v>A</v>
      </c>
      <c r="E331" s="49" t="str">
        <f>VLOOKUP(B331,Classification!$A:$D,2,FALSE)</f>
        <v>A</v>
      </c>
      <c r="F331" s="15" t="str">
        <f>VLOOKUP(C331,Classification!$A:$D,2,FALSE)</f>
        <v>A</v>
      </c>
      <c r="G331" s="15" t="b">
        <f t="shared" si="5"/>
        <v>1</v>
      </c>
      <c r="H331" s="10" t="str">
        <f>IF(ISERROR(MATCH(A331,'SegEnds_Xtal_Prot#'!B:B, 0)), "NoXtal", "Xtal")</f>
        <v>NoXtal</v>
      </c>
      <c r="J331" s="3"/>
    </row>
    <row r="332" spans="1:10" x14ac:dyDescent="0.2">
      <c r="A332" s="1" t="s">
        <v>343</v>
      </c>
      <c r="B332" s="1" t="s">
        <v>345</v>
      </c>
      <c r="C332" t="s">
        <v>345</v>
      </c>
      <c r="D332" s="28" t="str">
        <f>VLOOKUP(A332,Classification!$A:$D,2,FALSE)</f>
        <v>A</v>
      </c>
      <c r="E332" s="49" t="str">
        <f>VLOOKUP(B332,Classification!$A:$D,2,FALSE)</f>
        <v>A</v>
      </c>
      <c r="F332" s="15" t="str">
        <f>VLOOKUP(C332,Classification!$A:$D,2,FALSE)</f>
        <v>A</v>
      </c>
      <c r="G332" s="15" t="b">
        <f t="shared" si="5"/>
        <v>1</v>
      </c>
      <c r="H332" s="10" t="str">
        <f>IF(ISERROR(MATCH(A332,'SegEnds_Xtal_Prot#'!B:B, 0)), "NoXtal", "Xtal")</f>
        <v>NoXtal</v>
      </c>
      <c r="J332" s="3"/>
    </row>
    <row r="333" spans="1:10" x14ac:dyDescent="0.2">
      <c r="A333" s="1" t="s">
        <v>250</v>
      </c>
      <c r="B333" s="1" t="s">
        <v>335</v>
      </c>
      <c r="C333" t="s">
        <v>345</v>
      </c>
      <c r="D333" s="28" t="str">
        <f>VLOOKUP(A333,Classification!$A:$D,2,FALSE)</f>
        <v>A</v>
      </c>
      <c r="E333" s="49" t="str">
        <f>VLOOKUP(B333,Classification!$A:$D,2,FALSE)</f>
        <v>A</v>
      </c>
      <c r="F333" s="15" t="str">
        <f>VLOOKUP(C333,Classification!$A:$D,2,FALSE)</f>
        <v>A</v>
      </c>
      <c r="G333" s="15" t="b">
        <f t="shared" si="5"/>
        <v>1</v>
      </c>
      <c r="H333" s="10" t="str">
        <f>IF(ISERROR(MATCH(A333,'SegEnds_Xtal_Prot#'!B:B, 0)), "NoXtal", "Xtal")</f>
        <v>NoXtal</v>
      </c>
      <c r="J333" s="3"/>
    </row>
    <row r="334" spans="1:10" x14ac:dyDescent="0.2">
      <c r="A334" s="1" t="s">
        <v>386</v>
      </c>
      <c r="B334" s="1" t="s">
        <v>345</v>
      </c>
      <c r="C334" t="s">
        <v>345</v>
      </c>
      <c r="D334" s="28" t="str">
        <f>VLOOKUP(A334,Classification!$A:$D,2,FALSE)</f>
        <v>A</v>
      </c>
      <c r="E334" s="49" t="str">
        <f>VLOOKUP(B334,Classification!$A:$D,2,FALSE)</f>
        <v>A</v>
      </c>
      <c r="F334" s="15" t="str">
        <f>VLOOKUP(C334,Classification!$A:$D,2,FALSE)</f>
        <v>A</v>
      </c>
      <c r="G334" s="15" t="b">
        <f t="shared" si="5"/>
        <v>1</v>
      </c>
      <c r="H334" s="10" t="str">
        <f>IF(ISERROR(MATCH(A334,'SegEnds_Xtal_Prot#'!B:B, 0)), "NoXtal", "Xtal")</f>
        <v>NoXtal</v>
      </c>
      <c r="J334" s="3"/>
    </row>
    <row r="335" spans="1:10" x14ac:dyDescent="0.2">
      <c r="A335" s="1" t="s">
        <v>231</v>
      </c>
      <c r="B335" s="1" t="s">
        <v>345</v>
      </c>
      <c r="C335" t="s">
        <v>345</v>
      </c>
      <c r="D335" s="28" t="str">
        <f>VLOOKUP(A335,Classification!$A:$D,2,FALSE)</f>
        <v>A</v>
      </c>
      <c r="E335" s="49" t="str">
        <f>VLOOKUP(B335,Classification!$A:$D,2,FALSE)</f>
        <v>A</v>
      </c>
      <c r="F335" s="15" t="str">
        <f>VLOOKUP(C335,Classification!$A:$D,2,FALSE)</f>
        <v>A</v>
      </c>
      <c r="G335" s="15" t="b">
        <f t="shared" si="5"/>
        <v>1</v>
      </c>
      <c r="H335" s="10" t="str">
        <f>IF(ISERROR(MATCH(A335,'SegEnds_Xtal_Prot#'!B:B, 0)), "NoXtal", "Xtal")</f>
        <v>NoXtal</v>
      </c>
      <c r="J335" s="3"/>
    </row>
    <row r="336" spans="1:10" x14ac:dyDescent="0.2">
      <c r="A336" s="1" t="s">
        <v>180</v>
      </c>
      <c r="B336" s="1" t="s">
        <v>345</v>
      </c>
      <c r="C336" t="s">
        <v>345</v>
      </c>
      <c r="D336" s="28" t="str">
        <f>VLOOKUP(A336,Classification!$A:$D,2,FALSE)</f>
        <v>A</v>
      </c>
      <c r="E336" s="49" t="str">
        <f>VLOOKUP(B336,Classification!$A:$D,2,FALSE)</f>
        <v>A</v>
      </c>
      <c r="F336" s="15" t="str">
        <f>VLOOKUP(C336,Classification!$A:$D,2,FALSE)</f>
        <v>A</v>
      </c>
      <c r="G336" s="15" t="b">
        <f t="shared" si="5"/>
        <v>1</v>
      </c>
      <c r="H336" s="10" t="str">
        <f>IF(ISERROR(MATCH(A336,'SegEnds_Xtal_Prot#'!B:B, 0)), "NoXtal", "Xtal")</f>
        <v>NoXtal</v>
      </c>
      <c r="J336" s="3"/>
    </row>
    <row r="337" spans="1:10" x14ac:dyDescent="0.2">
      <c r="A337" s="1" t="s">
        <v>179</v>
      </c>
      <c r="B337" s="1" t="s">
        <v>345</v>
      </c>
      <c r="C337" t="s">
        <v>345</v>
      </c>
      <c r="D337" s="28" t="str">
        <f>VLOOKUP(A337,Classification!$A:$D,2,FALSE)</f>
        <v>A</v>
      </c>
      <c r="E337" s="49" t="str">
        <f>VLOOKUP(B337,Classification!$A:$D,2,FALSE)</f>
        <v>A</v>
      </c>
      <c r="F337" s="15" t="str">
        <f>VLOOKUP(C337,Classification!$A:$D,2,FALSE)</f>
        <v>A</v>
      </c>
      <c r="G337" s="15" t="b">
        <f t="shared" si="5"/>
        <v>1</v>
      </c>
      <c r="H337" s="10" t="str">
        <f>IF(ISERROR(MATCH(A337,'SegEnds_Xtal_Prot#'!B:B, 0)), "NoXtal", "Xtal")</f>
        <v>NoXtal</v>
      </c>
      <c r="J337" s="3"/>
    </row>
    <row r="338" spans="1:10" x14ac:dyDescent="0.2">
      <c r="A338" s="1" t="s">
        <v>240</v>
      </c>
      <c r="B338" s="1" t="s">
        <v>160</v>
      </c>
      <c r="C338" t="s">
        <v>345</v>
      </c>
      <c r="D338" s="28" t="str">
        <f>VLOOKUP(A338,Classification!$A:$D,2,FALSE)</f>
        <v>A</v>
      </c>
      <c r="E338" s="49" t="str">
        <f>VLOOKUP(B338,Classification!$A:$D,2,FALSE)</f>
        <v>A</v>
      </c>
      <c r="F338" s="15" t="str">
        <f>VLOOKUP(C338,Classification!$A:$D,2,FALSE)</f>
        <v>A</v>
      </c>
      <c r="G338" s="15" t="b">
        <f t="shared" si="5"/>
        <v>1</v>
      </c>
      <c r="H338" s="10" t="str">
        <f>IF(ISERROR(MATCH(A338,'SegEnds_Xtal_Prot#'!B:B, 0)), "NoXtal", "Xtal")</f>
        <v>NoXtal</v>
      </c>
      <c r="J338" s="3"/>
    </row>
    <row r="339" spans="1:10" x14ac:dyDescent="0.2">
      <c r="A339" s="1" t="s">
        <v>301</v>
      </c>
      <c r="B339" s="1" t="s">
        <v>158</v>
      </c>
      <c r="C339" t="s">
        <v>345</v>
      </c>
      <c r="D339" s="28" t="str">
        <f>VLOOKUP(A339,Classification!$A:$D,2,FALSE)</f>
        <v>A</v>
      </c>
      <c r="E339" s="49" t="str">
        <f>VLOOKUP(B339,Classification!$A:$D,2,FALSE)</f>
        <v>A</v>
      </c>
      <c r="F339" s="15" t="str">
        <f>VLOOKUP(C339,Classification!$A:$D,2,FALSE)</f>
        <v>A</v>
      </c>
      <c r="G339" s="15" t="b">
        <f t="shared" si="5"/>
        <v>1</v>
      </c>
      <c r="H339" s="10" t="str">
        <f>IF(ISERROR(MATCH(A339,'SegEnds_Xtal_Prot#'!B:B, 0)), "NoXtal", "Xtal")</f>
        <v>NoXtal</v>
      </c>
      <c r="J339" s="3"/>
    </row>
    <row r="340" spans="1:10" x14ac:dyDescent="0.2">
      <c r="A340" s="1" t="s">
        <v>241</v>
      </c>
      <c r="B340" s="1" t="s">
        <v>336</v>
      </c>
      <c r="C340" t="s">
        <v>345</v>
      </c>
      <c r="D340" s="28" t="str">
        <f>VLOOKUP(A340,Classification!$A:$D,2,FALSE)</f>
        <v>A</v>
      </c>
      <c r="E340" s="49" t="str">
        <f>VLOOKUP(B340,Classification!$A:$D,2,FALSE)</f>
        <v>A</v>
      </c>
      <c r="F340" s="15" t="str">
        <f>VLOOKUP(C340,Classification!$A:$D,2,FALSE)</f>
        <v>A</v>
      </c>
      <c r="G340" s="15" t="b">
        <f t="shared" si="5"/>
        <v>1</v>
      </c>
      <c r="H340" s="10" t="str">
        <f>IF(ISERROR(MATCH(A340,'SegEnds_Xtal_Prot#'!B:B, 0)), "NoXtal", "Xtal")</f>
        <v>NoXtal</v>
      </c>
      <c r="J340" s="3"/>
    </row>
    <row r="341" spans="1:10" x14ac:dyDescent="0.2">
      <c r="A341" s="1" t="s">
        <v>294</v>
      </c>
      <c r="B341" s="1" t="s">
        <v>158</v>
      </c>
      <c r="C341" t="s">
        <v>345</v>
      </c>
      <c r="D341" s="28" t="str">
        <f>VLOOKUP(A341,Classification!$A:$D,2,FALSE)</f>
        <v>A</v>
      </c>
      <c r="E341" s="49" t="str">
        <f>VLOOKUP(B341,Classification!$A:$D,2,FALSE)</f>
        <v>A</v>
      </c>
      <c r="F341" s="15" t="str">
        <f>VLOOKUP(C341,Classification!$A:$D,2,FALSE)</f>
        <v>A</v>
      </c>
      <c r="G341" s="15" t="b">
        <f t="shared" si="5"/>
        <v>1</v>
      </c>
      <c r="H341" s="10" t="str">
        <f>IF(ISERROR(MATCH(A341,'SegEnds_Xtal_Prot#'!B:B, 0)), "NoXtal", "Xtal")</f>
        <v>NoXtal</v>
      </c>
      <c r="J341" s="3"/>
    </row>
    <row r="342" spans="1:10" x14ac:dyDescent="0.2">
      <c r="A342" s="1" t="s">
        <v>370</v>
      </c>
      <c r="B342" s="1" t="s">
        <v>345</v>
      </c>
      <c r="C342" t="s">
        <v>345</v>
      </c>
      <c r="D342" s="28" t="str">
        <f>VLOOKUP(A342,Classification!$A:$D,2,FALSE)</f>
        <v>A</v>
      </c>
      <c r="E342" s="49" t="str">
        <f>VLOOKUP(B342,Classification!$A:$D,2,FALSE)</f>
        <v>A</v>
      </c>
      <c r="F342" s="15" t="str">
        <f>VLOOKUP(C342,Classification!$A:$D,2,FALSE)</f>
        <v>A</v>
      </c>
      <c r="G342" s="15" t="b">
        <f t="shared" si="5"/>
        <v>1</v>
      </c>
      <c r="H342" s="10" t="str">
        <f>IF(ISERROR(MATCH(A342,'SegEnds_Xtal_Prot#'!B:B, 0)), "NoXtal", "Xtal")</f>
        <v>NoXtal</v>
      </c>
      <c r="J342" s="3"/>
    </row>
    <row r="343" spans="1:10" x14ac:dyDescent="0.2">
      <c r="A343" s="1" t="s">
        <v>345</v>
      </c>
      <c r="B343" s="1" t="s">
        <v>345</v>
      </c>
      <c r="C343" t="s">
        <v>345</v>
      </c>
      <c r="D343" s="28" t="str">
        <f>VLOOKUP(A343,Classification!$A:$D,2,FALSE)</f>
        <v>A</v>
      </c>
      <c r="E343" s="49" t="str">
        <f>VLOOKUP(B343,Classification!$A:$D,2,FALSE)</f>
        <v>A</v>
      </c>
      <c r="F343" s="15" t="str">
        <f>VLOOKUP(C343,Classification!$A:$D,2,FALSE)</f>
        <v>A</v>
      </c>
      <c r="G343" s="15" t="b">
        <f t="shared" si="5"/>
        <v>1</v>
      </c>
      <c r="H343" s="10" t="str">
        <f>IF(ISERROR(MATCH(A343,'SegEnds_Xtal_Prot#'!B:B, 0)), "NoXtal", "Xtal")</f>
        <v>Xtal</v>
      </c>
      <c r="J343" s="3"/>
    </row>
    <row r="344" spans="1:10" x14ac:dyDescent="0.2">
      <c r="A344" s="1" t="s">
        <v>305</v>
      </c>
      <c r="B344" s="1" t="s">
        <v>158</v>
      </c>
      <c r="C344" t="s">
        <v>345</v>
      </c>
      <c r="D344" s="28" t="str">
        <f>VLOOKUP(A344,Classification!$A:$D,2,FALSE)</f>
        <v>A</v>
      </c>
      <c r="E344" s="49" t="str">
        <f>VLOOKUP(B344,Classification!$A:$D,2,FALSE)</f>
        <v>A</v>
      </c>
      <c r="F344" s="15" t="str">
        <f>VLOOKUP(C344,Classification!$A:$D,2,FALSE)</f>
        <v>A</v>
      </c>
      <c r="G344" s="15" t="b">
        <f t="shared" si="5"/>
        <v>1</v>
      </c>
      <c r="H344" s="10" t="str">
        <f>IF(ISERROR(MATCH(A344,'SegEnds_Xtal_Prot#'!B:B, 0)), "NoXtal", "Xtal")</f>
        <v>NoXtal</v>
      </c>
      <c r="J344" s="3"/>
    </row>
    <row r="345" spans="1:10" x14ac:dyDescent="0.2">
      <c r="A345" s="1" t="s">
        <v>290</v>
      </c>
      <c r="B345" s="1" t="s">
        <v>371</v>
      </c>
      <c r="C345" t="s">
        <v>345</v>
      </c>
      <c r="D345" s="28" t="str">
        <f>VLOOKUP(A345,Classification!$A:$D,2,FALSE)</f>
        <v>A</v>
      </c>
      <c r="E345" s="49" t="str">
        <f>VLOOKUP(B345,Classification!$A:$D,2,FALSE)</f>
        <v>A</v>
      </c>
      <c r="F345" s="15" t="str">
        <f>VLOOKUP(C345,Classification!$A:$D,2,FALSE)</f>
        <v>A</v>
      </c>
      <c r="G345" s="15" t="b">
        <f t="shared" si="5"/>
        <v>1</v>
      </c>
      <c r="H345" s="10" t="str">
        <f>IF(ISERROR(MATCH(A345,'SegEnds_Xtal_Prot#'!B:B, 0)), "NoXtal", "Xtal")</f>
        <v>NoXtal</v>
      </c>
      <c r="J345" s="3"/>
    </row>
    <row r="346" spans="1:10" x14ac:dyDescent="0.2">
      <c r="A346" s="1" t="s">
        <v>1450</v>
      </c>
      <c r="B346" s="1" t="s">
        <v>1450</v>
      </c>
      <c r="C346" t="s">
        <v>1450</v>
      </c>
      <c r="D346" s="28" t="str">
        <f>VLOOKUP(A346,Classification!$A:$D,2,FALSE)</f>
        <v>A</v>
      </c>
      <c r="E346" s="49" t="str">
        <f>VLOOKUP(B346,Classification!$A:$D,2,FALSE)</f>
        <v>A</v>
      </c>
      <c r="F346" s="15" t="str">
        <f>VLOOKUP(C346,Classification!$A:$D,2,FALSE)</f>
        <v>A</v>
      </c>
      <c r="G346" s="15" t="b">
        <f>OR(D346=F346,AND(D346="T",F346="A"),AND(D346="B2",F346="B1"),D346="O")</f>
        <v>1</v>
      </c>
      <c r="H346" s="10" t="str">
        <f>IF(ISERROR(MATCH(A346,'SegEnds_Xtal_Prot#'!B:B, 0)), "NoXtal", "Xtal")</f>
        <v>Xtal</v>
      </c>
      <c r="J346" s="3"/>
    </row>
    <row r="347" spans="1:10" x14ac:dyDescent="0.2">
      <c r="A347" s="1" t="s">
        <v>1462</v>
      </c>
      <c r="B347" s="1" t="s">
        <v>1462</v>
      </c>
      <c r="C347" t="s">
        <v>1462</v>
      </c>
      <c r="D347" s="28" t="str">
        <f>VLOOKUP(A347,Classification!$A:$D,2,FALSE)</f>
        <v>A</v>
      </c>
      <c r="E347" s="49" t="str">
        <f>VLOOKUP(B347,Classification!$A:$D,2,FALSE)</f>
        <v>A</v>
      </c>
      <c r="F347" s="15" t="str">
        <f>VLOOKUP(C347,Classification!$A:$D,2,FALSE)</f>
        <v>A</v>
      </c>
      <c r="G347" s="15" t="b">
        <f>OR(D347=F347,AND(D347="T",F347="A"),AND(D347="B2",F347="B1"),D347="O")</f>
        <v>1</v>
      </c>
      <c r="H347" s="10" t="str">
        <f>IF(ISERROR(MATCH(A347,'SegEnds_Xtal_Prot#'!B:B, 0)), "NoXtal", "Xtal")</f>
        <v>Xtal</v>
      </c>
      <c r="J347" s="3"/>
    </row>
    <row r="348" spans="1:10" x14ac:dyDescent="0.2">
      <c r="A348" s="1" t="s">
        <v>303</v>
      </c>
      <c r="B348" s="1" t="s">
        <v>165</v>
      </c>
      <c r="C348" t="s">
        <v>345</v>
      </c>
      <c r="D348" s="28" t="str">
        <f>VLOOKUP(A348,Classification!$A:$D,2,FALSE)</f>
        <v>A</v>
      </c>
      <c r="E348" s="49" t="str">
        <f>VLOOKUP(B348,Classification!$A:$D,2,FALSE)</f>
        <v>A</v>
      </c>
      <c r="F348" s="15" t="str">
        <f>VLOOKUP(C348,Classification!$A:$D,2,FALSE)</f>
        <v>A</v>
      </c>
      <c r="G348" s="15" t="b">
        <f t="shared" si="5"/>
        <v>1</v>
      </c>
      <c r="H348" s="10" t="str">
        <f>IF(ISERROR(MATCH(A348,'SegEnds_Xtal_Prot#'!B:B, 0)), "NoXtal", "Xtal")</f>
        <v>NoXtal</v>
      </c>
      <c r="J348" s="3"/>
    </row>
    <row r="349" spans="1:10" x14ac:dyDescent="0.2">
      <c r="A349" s="1" t="s">
        <v>351</v>
      </c>
      <c r="B349" s="1" t="s">
        <v>345</v>
      </c>
      <c r="C349" t="s">
        <v>345</v>
      </c>
      <c r="D349" s="28" t="str">
        <f>VLOOKUP(A349,Classification!$A:$D,2,FALSE)</f>
        <v>A</v>
      </c>
      <c r="E349" s="49" t="str">
        <f>VLOOKUP(B349,Classification!$A:$D,2,FALSE)</f>
        <v>A</v>
      </c>
      <c r="F349" s="15" t="str">
        <f>VLOOKUP(C349,Classification!$A:$D,2,FALSE)</f>
        <v>A</v>
      </c>
      <c r="G349" s="15" t="b">
        <f t="shared" si="5"/>
        <v>1</v>
      </c>
      <c r="H349" s="10" t="str">
        <f>IF(ISERROR(MATCH(A349,'SegEnds_Xtal_Prot#'!B:B, 0)), "NoXtal", "Xtal")</f>
        <v>NoXtal</v>
      </c>
      <c r="J349" s="3"/>
    </row>
    <row r="350" spans="1:10" x14ac:dyDescent="0.2">
      <c r="A350" s="1" t="s">
        <v>288</v>
      </c>
      <c r="B350" s="1" t="s">
        <v>336</v>
      </c>
      <c r="C350" t="s">
        <v>345</v>
      </c>
      <c r="D350" s="28" t="str">
        <f>VLOOKUP(A350,Classification!$A:$D,2,FALSE)</f>
        <v>A</v>
      </c>
      <c r="E350" s="49" t="str">
        <f>VLOOKUP(B350,Classification!$A:$D,2,FALSE)</f>
        <v>A</v>
      </c>
      <c r="F350" s="15" t="str">
        <f>VLOOKUP(C350,Classification!$A:$D,2,FALSE)</f>
        <v>A</v>
      </c>
      <c r="G350" s="15" t="b">
        <f t="shared" si="5"/>
        <v>1</v>
      </c>
      <c r="H350" s="10" t="str">
        <f>IF(ISERROR(MATCH(A350,'SegEnds_Xtal_Prot#'!B:B, 0)), "NoXtal", "Xtal")</f>
        <v>NoXtal</v>
      </c>
      <c r="J350" s="3"/>
    </row>
    <row r="351" spans="1:10" x14ac:dyDescent="0.2">
      <c r="A351" s="1" t="s">
        <v>347</v>
      </c>
      <c r="B351" s="1" t="s">
        <v>345</v>
      </c>
      <c r="C351" t="s">
        <v>345</v>
      </c>
      <c r="D351" s="28" t="str">
        <f>VLOOKUP(A351,Classification!$A:$D,2,FALSE)</f>
        <v>A</v>
      </c>
      <c r="E351" s="49" t="str">
        <f>VLOOKUP(B351,Classification!$A:$D,2,FALSE)</f>
        <v>A</v>
      </c>
      <c r="F351" s="15" t="str">
        <f>VLOOKUP(C351,Classification!$A:$D,2,FALSE)</f>
        <v>A</v>
      </c>
      <c r="G351" s="15" t="b">
        <f t="shared" si="5"/>
        <v>1</v>
      </c>
      <c r="H351" s="10" t="str">
        <f>IF(ISERROR(MATCH(A351,'SegEnds_Xtal_Prot#'!B:B, 0)), "NoXtal", "Xtal")</f>
        <v>NoXtal</v>
      </c>
      <c r="J351" s="3"/>
    </row>
    <row r="352" spans="1:10" x14ac:dyDescent="0.2">
      <c r="A352" s="1" t="s">
        <v>295</v>
      </c>
      <c r="B352" s="1" t="s">
        <v>177</v>
      </c>
      <c r="C352" t="s">
        <v>345</v>
      </c>
      <c r="D352" s="28" t="str">
        <f>VLOOKUP(A352,Classification!$A:$D,2,FALSE)</f>
        <v>A</v>
      </c>
      <c r="E352" s="49" t="str">
        <f>VLOOKUP(B352,Classification!$A:$D,2,FALSE)</f>
        <v>A</v>
      </c>
      <c r="F352" s="15" t="str">
        <f>VLOOKUP(C352,Classification!$A:$D,2,FALSE)</f>
        <v>A</v>
      </c>
      <c r="G352" s="15" t="b">
        <f t="shared" si="5"/>
        <v>1</v>
      </c>
      <c r="H352" s="10" t="str">
        <f>IF(ISERROR(MATCH(A352,'SegEnds_Xtal_Prot#'!B:B, 0)), "NoXtal", "Xtal")</f>
        <v>NoXtal</v>
      </c>
      <c r="J352" s="3"/>
    </row>
    <row r="353" spans="1:10" x14ac:dyDescent="0.2">
      <c r="A353" s="1" t="s">
        <v>275</v>
      </c>
      <c r="B353" s="1" t="s">
        <v>345</v>
      </c>
      <c r="C353" t="s">
        <v>345</v>
      </c>
      <c r="D353" s="28" t="str">
        <f>VLOOKUP(A353,Classification!$A:$D,2,FALSE)</f>
        <v>A</v>
      </c>
      <c r="E353" s="49" t="str">
        <f>VLOOKUP(B353,Classification!$A:$D,2,FALSE)</f>
        <v>A</v>
      </c>
      <c r="F353" s="15" t="str">
        <f>VLOOKUP(C353,Classification!$A:$D,2,FALSE)</f>
        <v>A</v>
      </c>
      <c r="G353" s="15" t="b">
        <f t="shared" si="5"/>
        <v>1</v>
      </c>
      <c r="H353" s="10" t="str">
        <f>IF(ISERROR(MATCH(A353,'SegEnds_Xtal_Prot#'!B:B, 0)), "NoXtal", "Xtal")</f>
        <v>NoXtal</v>
      </c>
      <c r="J353" s="3"/>
    </row>
    <row r="354" spans="1:10" x14ac:dyDescent="0.2">
      <c r="A354" s="1" t="s">
        <v>276</v>
      </c>
      <c r="B354" s="1" t="s">
        <v>336</v>
      </c>
      <c r="C354" t="s">
        <v>345</v>
      </c>
      <c r="D354" s="28" t="str">
        <f>VLOOKUP(A354,Classification!$A:$D,2,FALSE)</f>
        <v>A</v>
      </c>
      <c r="E354" s="49" t="str">
        <f>VLOOKUP(B354,Classification!$A:$D,2,FALSE)</f>
        <v>A</v>
      </c>
      <c r="F354" s="15" t="str">
        <f>VLOOKUP(C354,Classification!$A:$D,2,FALSE)</f>
        <v>A</v>
      </c>
      <c r="G354" s="15" t="b">
        <f t="shared" si="5"/>
        <v>1</v>
      </c>
      <c r="H354" s="10" t="str">
        <f>IF(ISERROR(MATCH(A354,'SegEnds_Xtal_Prot#'!B:B, 0)), "NoXtal", "Xtal")</f>
        <v>NoXtal</v>
      </c>
      <c r="J354" s="3"/>
    </row>
    <row r="355" spans="1:10" x14ac:dyDescent="0.2">
      <c r="A355" s="1" t="s">
        <v>346</v>
      </c>
      <c r="B355" s="1" t="s">
        <v>345</v>
      </c>
      <c r="C355" t="s">
        <v>345</v>
      </c>
      <c r="D355" s="28" t="str">
        <f>VLOOKUP(A355,Classification!$A:$D,2,FALSE)</f>
        <v>A</v>
      </c>
      <c r="E355" s="49" t="str">
        <f>VLOOKUP(B355,Classification!$A:$D,2,FALSE)</f>
        <v>A</v>
      </c>
      <c r="F355" s="15" t="str">
        <f>VLOOKUP(C355,Classification!$A:$D,2,FALSE)</f>
        <v>A</v>
      </c>
      <c r="G355" s="15" t="b">
        <f t="shared" si="5"/>
        <v>1</v>
      </c>
      <c r="H355" s="10" t="str">
        <f>IF(ISERROR(MATCH(A355,'SegEnds_Xtal_Prot#'!B:B, 0)), "NoXtal", "Xtal")</f>
        <v>NoXtal</v>
      </c>
      <c r="J355" s="3"/>
    </row>
    <row r="356" spans="1:10" x14ac:dyDescent="0.2">
      <c r="A356" s="1" t="s">
        <v>214</v>
      </c>
      <c r="B356" s="1" t="s">
        <v>345</v>
      </c>
      <c r="C356" t="s">
        <v>345</v>
      </c>
      <c r="D356" s="28" t="str">
        <f>VLOOKUP(A356,Classification!$A:$D,2,FALSE)</f>
        <v>A</v>
      </c>
      <c r="E356" s="49" t="str">
        <f>VLOOKUP(B356,Classification!$A:$D,2,FALSE)</f>
        <v>A</v>
      </c>
      <c r="F356" s="15" t="str">
        <f>VLOOKUP(C356,Classification!$A:$D,2,FALSE)</f>
        <v>A</v>
      </c>
      <c r="G356" s="15" t="b">
        <f t="shared" si="5"/>
        <v>1</v>
      </c>
      <c r="H356" s="10" t="str">
        <f>IF(ISERROR(MATCH(A356,'SegEnds_Xtal_Prot#'!B:B, 0)), "NoXtal", "Xtal")</f>
        <v>NoXtal</v>
      </c>
      <c r="J356" s="3"/>
    </row>
    <row r="357" spans="1:10" x14ac:dyDescent="0.2">
      <c r="A357" s="1" t="s">
        <v>289</v>
      </c>
      <c r="B357" s="1" t="s">
        <v>356</v>
      </c>
      <c r="C357" t="s">
        <v>345</v>
      </c>
      <c r="D357" s="28" t="str">
        <f>VLOOKUP(A357,Classification!$A:$D,2,FALSE)</f>
        <v>A</v>
      </c>
      <c r="E357" s="49" t="str">
        <f>VLOOKUP(B357,Classification!$A:$D,2,FALSE)</f>
        <v>A</v>
      </c>
      <c r="F357" s="15" t="str">
        <f>VLOOKUP(C357,Classification!$A:$D,2,FALSE)</f>
        <v>A</v>
      </c>
      <c r="G357" s="15" t="b">
        <f t="shared" si="5"/>
        <v>1</v>
      </c>
      <c r="H357" s="10" t="str">
        <f>IF(ISERROR(MATCH(A357,'SegEnds_Xtal_Prot#'!B:B, 0)), "NoXtal", "Xtal")</f>
        <v>NoXtal</v>
      </c>
      <c r="J357" s="3"/>
    </row>
    <row r="358" spans="1:10" x14ac:dyDescent="0.2">
      <c r="A358" s="1" t="s">
        <v>257</v>
      </c>
      <c r="B358" s="1" t="s">
        <v>371</v>
      </c>
      <c r="C358" t="s">
        <v>345</v>
      </c>
      <c r="D358" s="28" t="str">
        <f>VLOOKUP(A358,Classification!$A:$D,2,FALSE)</f>
        <v>A</v>
      </c>
      <c r="E358" s="49" t="str">
        <f>VLOOKUP(B358,Classification!$A:$D,2,FALSE)</f>
        <v>A</v>
      </c>
      <c r="F358" s="15" t="str">
        <f>VLOOKUP(C358,Classification!$A:$D,2,FALSE)</f>
        <v>A</v>
      </c>
      <c r="G358" s="15" t="b">
        <f t="shared" si="5"/>
        <v>1</v>
      </c>
      <c r="H358" s="10" t="str">
        <f>IF(ISERROR(MATCH(A358,'SegEnds_Xtal_Prot#'!B:B, 0)), "NoXtal", "Xtal")</f>
        <v>NoXtal</v>
      </c>
      <c r="J358" s="3"/>
    </row>
    <row r="359" spans="1:10" x14ac:dyDescent="0.2">
      <c r="A359" s="1" t="s">
        <v>277</v>
      </c>
      <c r="B359" s="1" t="s">
        <v>345</v>
      </c>
      <c r="C359" t="s">
        <v>345</v>
      </c>
      <c r="D359" s="28" t="str">
        <f>VLOOKUP(A359,Classification!$A:$D,2,FALSE)</f>
        <v>A</v>
      </c>
      <c r="E359" s="49" t="str">
        <f>VLOOKUP(B359,Classification!$A:$D,2,FALSE)</f>
        <v>A</v>
      </c>
      <c r="F359" s="15" t="str">
        <f>VLOOKUP(C359,Classification!$A:$D,2,FALSE)</f>
        <v>A</v>
      </c>
      <c r="G359" s="15" t="b">
        <f t="shared" si="5"/>
        <v>1</v>
      </c>
      <c r="H359" s="10" t="str">
        <f>IF(ISERROR(MATCH(A359,'SegEnds_Xtal_Prot#'!B:B, 0)), "NoXtal", "Xtal")</f>
        <v>NoXtal</v>
      </c>
      <c r="J359" s="3"/>
    </row>
    <row r="360" spans="1:10" x14ac:dyDescent="0.2">
      <c r="A360" s="1" t="s">
        <v>229</v>
      </c>
      <c r="B360" s="1" t="s">
        <v>352</v>
      </c>
      <c r="C360" t="s">
        <v>352</v>
      </c>
      <c r="D360" s="28" t="str">
        <f>VLOOKUP(A360,Classification!$A:$D,2,FALSE)</f>
        <v>A</v>
      </c>
      <c r="E360" s="49" t="str">
        <f>VLOOKUP(B360,Classification!$A:$D,2,FALSE)</f>
        <v>A</v>
      </c>
      <c r="F360" s="15" t="str">
        <f>VLOOKUP(C360,Classification!$A:$D,2,FALSE)</f>
        <v>A</v>
      </c>
      <c r="G360" s="15" t="b">
        <f t="shared" si="5"/>
        <v>1</v>
      </c>
      <c r="H360" s="10" t="str">
        <f>IF(ISERROR(MATCH(A360,'SegEnds_Xtal_Prot#'!B:B, 0)), "NoXtal", "Xtal")</f>
        <v>NoXtal</v>
      </c>
      <c r="J360" s="3"/>
    </row>
    <row r="361" spans="1:10" x14ac:dyDescent="0.2">
      <c r="A361" s="1" t="s">
        <v>353</v>
      </c>
      <c r="B361" s="1" t="s">
        <v>352</v>
      </c>
      <c r="C361" t="s">
        <v>352</v>
      </c>
      <c r="D361" s="28" t="str">
        <f>VLOOKUP(A361,Classification!$A:$D,2,FALSE)</f>
        <v>A</v>
      </c>
      <c r="E361" s="49" t="str">
        <f>VLOOKUP(B361,Classification!$A:$D,2,FALSE)</f>
        <v>A</v>
      </c>
      <c r="F361" s="15" t="str">
        <f>VLOOKUP(C361,Classification!$A:$D,2,FALSE)</f>
        <v>A</v>
      </c>
      <c r="G361" s="15" t="b">
        <f t="shared" si="5"/>
        <v>1</v>
      </c>
      <c r="H361" s="10" t="str">
        <f>IF(ISERROR(MATCH(A361,'SegEnds_Xtal_Prot#'!B:B, 0)), "NoXtal", "Xtal")</f>
        <v>NoXtal</v>
      </c>
      <c r="J361" s="3"/>
    </row>
    <row r="362" spans="1:10" x14ac:dyDescent="0.2">
      <c r="A362" s="1" t="s">
        <v>354</v>
      </c>
      <c r="B362" s="1" t="s">
        <v>352</v>
      </c>
      <c r="C362" t="s">
        <v>352</v>
      </c>
      <c r="D362" s="28" t="str">
        <f>VLOOKUP(A362,Classification!$A:$D,2,FALSE)</f>
        <v>A</v>
      </c>
      <c r="E362" s="49" t="str">
        <f>VLOOKUP(B362,Classification!$A:$D,2,FALSE)</f>
        <v>A</v>
      </c>
      <c r="F362" s="15" t="str">
        <f>VLOOKUP(C362,Classification!$A:$D,2,FALSE)</f>
        <v>A</v>
      </c>
      <c r="G362" s="15" t="b">
        <f t="shared" si="5"/>
        <v>1</v>
      </c>
      <c r="H362" s="10" t="str">
        <f>IF(ISERROR(MATCH(A362,'SegEnds_Xtal_Prot#'!B:B, 0)), "NoXtal", "Xtal")</f>
        <v>NoXtal</v>
      </c>
      <c r="J362" s="3"/>
    </row>
    <row r="363" spans="1:10" x14ac:dyDescent="0.2">
      <c r="A363" s="1" t="s">
        <v>352</v>
      </c>
      <c r="B363" s="1" t="s">
        <v>352</v>
      </c>
      <c r="C363" t="s">
        <v>352</v>
      </c>
      <c r="D363" s="28" t="str">
        <f>VLOOKUP(A363,Classification!$A:$D,2,FALSE)</f>
        <v>A</v>
      </c>
      <c r="E363" s="49" t="str">
        <f>VLOOKUP(B363,Classification!$A:$D,2,FALSE)</f>
        <v>A</v>
      </c>
      <c r="F363" s="15" t="str">
        <f>VLOOKUP(C363,Classification!$A:$D,2,FALSE)</f>
        <v>A</v>
      </c>
      <c r="G363" s="15" t="b">
        <f t="shared" si="5"/>
        <v>1</v>
      </c>
      <c r="H363" s="10" t="str">
        <f>IF(ISERROR(MATCH(A363,'SegEnds_Xtal_Prot#'!B:B, 0)), "NoXtal", "Xtal")</f>
        <v>Xtal</v>
      </c>
      <c r="J363" s="3"/>
    </row>
    <row r="364" spans="1:10" x14ac:dyDescent="0.2">
      <c r="A364" s="1" t="s">
        <v>272</v>
      </c>
      <c r="B364" s="1" t="s">
        <v>352</v>
      </c>
      <c r="C364" t="s">
        <v>352</v>
      </c>
      <c r="D364" s="28" t="str">
        <f>VLOOKUP(A364,Classification!$A:$D,2,FALSE)</f>
        <v>A</v>
      </c>
      <c r="E364" s="49" t="str">
        <f>VLOOKUP(B364,Classification!$A:$D,2,FALSE)</f>
        <v>A</v>
      </c>
      <c r="F364" s="15" t="str">
        <f>VLOOKUP(C364,Classification!$A:$D,2,FALSE)</f>
        <v>A</v>
      </c>
      <c r="G364" s="15" t="b">
        <f t="shared" si="5"/>
        <v>1</v>
      </c>
      <c r="H364" s="10" t="str">
        <f>IF(ISERROR(MATCH(A364,'SegEnds_Xtal_Prot#'!B:B, 0)), "NoXtal", "Xtal")</f>
        <v>NoXtal</v>
      </c>
      <c r="J364" s="3"/>
    </row>
    <row r="365" spans="1:10" x14ac:dyDescent="0.2">
      <c r="A365" s="1" t="s">
        <v>307</v>
      </c>
      <c r="B365" s="1" t="s">
        <v>360</v>
      </c>
      <c r="C365" t="s">
        <v>352</v>
      </c>
      <c r="D365" s="28" t="str">
        <f>VLOOKUP(A365,Classification!$A:$D,2,FALSE)</f>
        <v>A</v>
      </c>
      <c r="E365" s="49" t="str">
        <f>VLOOKUP(B365,Classification!$A:$D,2,FALSE)</f>
        <v>A</v>
      </c>
      <c r="F365" s="15" t="str">
        <f>VLOOKUP(C365,Classification!$A:$D,2,FALSE)</f>
        <v>A</v>
      </c>
      <c r="G365" s="15" t="b">
        <f t="shared" si="5"/>
        <v>1</v>
      </c>
      <c r="H365" s="10" t="str">
        <f>IF(ISERROR(MATCH(A365,'SegEnds_Xtal_Prot#'!B:B, 0)), "NoXtal", "Xtal")</f>
        <v>NoXtal</v>
      </c>
      <c r="J365" s="3"/>
    </row>
    <row r="366" spans="1:10" x14ac:dyDescent="0.2">
      <c r="A366" s="1" t="s">
        <v>371</v>
      </c>
      <c r="B366" s="1" t="s">
        <v>371</v>
      </c>
      <c r="C366" t="s">
        <v>352</v>
      </c>
      <c r="D366" s="28" t="str">
        <f>VLOOKUP(A366,Classification!$A:$D,2,FALSE)</f>
        <v>A</v>
      </c>
      <c r="E366" s="49" t="str">
        <f>VLOOKUP(B366,Classification!$A:$D,2,FALSE)</f>
        <v>A</v>
      </c>
      <c r="F366" s="15" t="str">
        <f>VLOOKUP(C366,Classification!$A:$D,2,FALSE)</f>
        <v>A</v>
      </c>
      <c r="G366" s="15" t="b">
        <f t="shared" si="5"/>
        <v>1</v>
      </c>
      <c r="H366" s="10" t="str">
        <f>IF(ISERROR(MATCH(A366,'SegEnds_Xtal_Prot#'!B:B, 0)), "NoXtal", "Xtal")</f>
        <v>Xtal</v>
      </c>
      <c r="J366" s="3"/>
    </row>
    <row r="367" spans="1:10" x14ac:dyDescent="0.2">
      <c r="A367" s="1" t="s">
        <v>234</v>
      </c>
      <c r="B367" s="1" t="s">
        <v>173</v>
      </c>
      <c r="C367" t="s">
        <v>352</v>
      </c>
      <c r="D367" s="28" t="str">
        <f>VLOOKUP(A367,Classification!$A:$D,2,FALSE)</f>
        <v>A</v>
      </c>
      <c r="E367" s="49" t="str">
        <f>VLOOKUP(B367,Classification!$A:$D,2,FALSE)</f>
        <v>A</v>
      </c>
      <c r="F367" s="15" t="str">
        <f>VLOOKUP(C367,Classification!$A:$D,2,FALSE)</f>
        <v>A</v>
      </c>
      <c r="G367" s="15" t="b">
        <f t="shared" si="5"/>
        <v>1</v>
      </c>
      <c r="H367" s="10" t="str">
        <f>IF(ISERROR(MATCH(A367,'SegEnds_Xtal_Prot#'!B:B, 0)), "NoXtal", "Xtal")</f>
        <v>NoXtal</v>
      </c>
      <c r="J367" s="3"/>
    </row>
    <row r="368" spans="1:10" x14ac:dyDescent="0.2">
      <c r="A368" s="1" t="s">
        <v>365</v>
      </c>
      <c r="B368" s="1" t="s">
        <v>473</v>
      </c>
      <c r="C368" t="s">
        <v>352</v>
      </c>
      <c r="D368" s="28" t="str">
        <f>VLOOKUP(A368,Classification!$A:$D,2,FALSE)</f>
        <v>A</v>
      </c>
      <c r="E368" s="49" t="str">
        <f>VLOOKUP(B368,Classification!$A:$D,2,FALSE)</f>
        <v>A</v>
      </c>
      <c r="F368" s="15" t="str">
        <f>VLOOKUP(C368,Classification!$A:$D,2,FALSE)</f>
        <v>A</v>
      </c>
      <c r="G368" s="15" t="b">
        <f t="shared" si="5"/>
        <v>1</v>
      </c>
      <c r="H368" s="10" t="str">
        <f>IF(ISERROR(MATCH(A368,'SegEnds_Xtal_Prot#'!B:B, 0)), "NoXtal", "Xtal")</f>
        <v>NoXtal</v>
      </c>
      <c r="J368" s="3"/>
    </row>
    <row r="369" spans="1:10" x14ac:dyDescent="0.2">
      <c r="A369" s="1" t="s">
        <v>253</v>
      </c>
      <c r="B369" s="1" t="s">
        <v>371</v>
      </c>
      <c r="C369" t="s">
        <v>352</v>
      </c>
      <c r="D369" s="28" t="str">
        <f>VLOOKUP(A369,Classification!$A:$D,2,FALSE)</f>
        <v>A</v>
      </c>
      <c r="E369" s="49" t="str">
        <f>VLOOKUP(B369,Classification!$A:$D,2,FALSE)</f>
        <v>A</v>
      </c>
      <c r="F369" s="15" t="str">
        <f>VLOOKUP(C369,Classification!$A:$D,2,FALSE)</f>
        <v>A</v>
      </c>
      <c r="G369" s="15" t="b">
        <f t="shared" si="5"/>
        <v>1</v>
      </c>
      <c r="H369" s="10" t="str">
        <f>IF(ISERROR(MATCH(A369,'SegEnds_Xtal_Prot#'!B:B, 0)), "NoXtal", "Xtal")</f>
        <v>NoXtal</v>
      </c>
      <c r="J369" s="3"/>
    </row>
    <row r="370" spans="1:10" x14ac:dyDescent="0.2">
      <c r="A370" s="1" t="s">
        <v>364</v>
      </c>
      <c r="B370" s="1" t="s">
        <v>364</v>
      </c>
      <c r="C370" t="s">
        <v>352</v>
      </c>
      <c r="D370" s="28" t="str">
        <f>VLOOKUP(A370,Classification!$A:$D,2,FALSE)</f>
        <v>A</v>
      </c>
      <c r="E370" s="49" t="str">
        <f>VLOOKUP(B370,Classification!$A:$D,2,FALSE)</f>
        <v>A</v>
      </c>
      <c r="F370" s="15" t="str">
        <f>VLOOKUP(C370,Classification!$A:$D,2,FALSE)</f>
        <v>A</v>
      </c>
      <c r="G370" s="15" t="b">
        <f t="shared" si="5"/>
        <v>1</v>
      </c>
      <c r="H370" s="10" t="str">
        <f>IF(ISERROR(MATCH(A370,'SegEnds_Xtal_Prot#'!B:B, 0)), "NoXtal", "Xtal")</f>
        <v>Xtal</v>
      </c>
      <c r="J370" s="3"/>
    </row>
    <row r="371" spans="1:10" x14ac:dyDescent="0.2">
      <c r="A371" s="1" t="s">
        <v>357</v>
      </c>
      <c r="B371" s="1" t="s">
        <v>356</v>
      </c>
      <c r="C371" t="s">
        <v>355</v>
      </c>
      <c r="D371" s="28" t="str">
        <f>VLOOKUP(A371,Classification!$A:$D,2,FALSE)</f>
        <v>A</v>
      </c>
      <c r="E371" s="49" t="str">
        <f>VLOOKUP(B371,Classification!$A:$D,2,FALSE)</f>
        <v>A</v>
      </c>
      <c r="F371" s="15" t="str">
        <f>VLOOKUP(C371,Classification!$A:$D,2,FALSE)</f>
        <v>A</v>
      </c>
      <c r="G371" s="15" t="b">
        <f t="shared" si="5"/>
        <v>1</v>
      </c>
      <c r="H371" s="10" t="str">
        <f>IF(ISERROR(MATCH(A371,'SegEnds_Xtal_Prot#'!B:B, 0)), "NoXtal", "Xtal")</f>
        <v>NoXtal</v>
      </c>
      <c r="J371" s="3"/>
    </row>
    <row r="372" spans="1:10" x14ac:dyDescent="0.2">
      <c r="A372" s="1" t="s">
        <v>261</v>
      </c>
      <c r="B372" s="1" t="s">
        <v>336</v>
      </c>
      <c r="C372" t="s">
        <v>355</v>
      </c>
      <c r="D372" s="28" t="str">
        <f>VLOOKUP(A372,Classification!$A:$D,2,FALSE)</f>
        <v>A</v>
      </c>
      <c r="E372" s="49" t="str">
        <f>VLOOKUP(B372,Classification!$A:$D,2,FALSE)</f>
        <v>A</v>
      </c>
      <c r="F372" s="15" t="str">
        <f>VLOOKUP(C372,Classification!$A:$D,2,FALSE)</f>
        <v>A</v>
      </c>
      <c r="G372" s="15" t="b">
        <f t="shared" si="5"/>
        <v>1</v>
      </c>
      <c r="H372" s="10" t="str">
        <f>IF(ISERROR(MATCH(A372,'SegEnds_Xtal_Prot#'!B:B, 0)), "NoXtal", "Xtal")</f>
        <v>NoXtal</v>
      </c>
      <c r="J372" s="3"/>
    </row>
    <row r="373" spans="1:10" x14ac:dyDescent="0.2">
      <c r="A373" s="1" t="s">
        <v>254</v>
      </c>
      <c r="B373" s="1" t="s">
        <v>170</v>
      </c>
      <c r="C373" t="s">
        <v>355</v>
      </c>
      <c r="D373" s="28" t="str">
        <f>VLOOKUP(A373,Classification!$A:$D,2,FALSE)</f>
        <v>A</v>
      </c>
      <c r="E373" s="49" t="str">
        <f>VLOOKUP(B373,Classification!$A:$D,2,FALSE)</f>
        <v>A</v>
      </c>
      <c r="F373" s="15" t="str">
        <f>VLOOKUP(C373,Classification!$A:$D,2,FALSE)</f>
        <v>A</v>
      </c>
      <c r="G373" s="15" t="b">
        <f t="shared" si="5"/>
        <v>1</v>
      </c>
      <c r="H373" s="10" t="str">
        <f>IF(ISERROR(MATCH(A373,'SegEnds_Xtal_Prot#'!B:B, 0)), "NoXtal", "Xtal")</f>
        <v>NoXtal</v>
      </c>
      <c r="J373" s="3"/>
    </row>
    <row r="374" spans="1:10" x14ac:dyDescent="0.2">
      <c r="A374" s="1" t="s">
        <v>302</v>
      </c>
      <c r="B374" s="1" t="s">
        <v>1172</v>
      </c>
      <c r="C374" t="s">
        <v>355</v>
      </c>
      <c r="D374" s="28" t="str">
        <f>VLOOKUP(A374,Classification!$A:$D,2,FALSE)</f>
        <v>A</v>
      </c>
      <c r="E374" s="49" t="str">
        <f>VLOOKUP(B374,Classification!$A:$D,2,FALSE)</f>
        <v>A</v>
      </c>
      <c r="F374" s="15" t="str">
        <f>VLOOKUP(C374,Classification!$A:$D,2,FALSE)</f>
        <v>A</v>
      </c>
      <c r="G374" s="15" t="b">
        <f t="shared" si="5"/>
        <v>1</v>
      </c>
      <c r="H374" s="10" t="str">
        <f>IF(ISERROR(MATCH(A374,'SegEnds_Xtal_Prot#'!B:B, 0)), "NoXtal", "Xtal")</f>
        <v>NoXtal</v>
      </c>
      <c r="J374" s="3"/>
    </row>
    <row r="375" spans="1:10" x14ac:dyDescent="0.2">
      <c r="A375" s="1" t="s">
        <v>358</v>
      </c>
      <c r="B375" s="1" t="s">
        <v>356</v>
      </c>
      <c r="C375" t="s">
        <v>355</v>
      </c>
      <c r="D375" s="28" t="str">
        <f>VLOOKUP(A375,Classification!$A:$D,2,FALSE)</f>
        <v>A</v>
      </c>
      <c r="E375" s="49" t="str">
        <f>VLOOKUP(B375,Classification!$A:$D,2,FALSE)</f>
        <v>A</v>
      </c>
      <c r="F375" s="15" t="str">
        <f>VLOOKUP(C375,Classification!$A:$D,2,FALSE)</f>
        <v>A</v>
      </c>
      <c r="G375" s="15" t="b">
        <f t="shared" si="5"/>
        <v>1</v>
      </c>
      <c r="H375" s="10" t="str">
        <f>IF(ISERROR(MATCH(A375,'SegEnds_Xtal_Prot#'!B:B, 0)), "NoXtal", "Xtal")</f>
        <v>NoXtal</v>
      </c>
      <c r="J375" s="3"/>
    </row>
    <row r="376" spans="1:10" x14ac:dyDescent="0.2">
      <c r="A376" s="1" t="s">
        <v>356</v>
      </c>
      <c r="B376" s="1" t="s">
        <v>356</v>
      </c>
      <c r="C376" t="s">
        <v>356</v>
      </c>
      <c r="D376" s="28" t="str">
        <f>VLOOKUP(A376,Classification!$A:$D,2,FALSE)</f>
        <v>A</v>
      </c>
      <c r="E376" s="49" t="str">
        <f>VLOOKUP(B376,Classification!$A:$D,2,FALSE)</f>
        <v>A</v>
      </c>
      <c r="F376" s="15" t="str">
        <f>VLOOKUP(C376,Classification!$A:$D,2,FALSE)</f>
        <v>A</v>
      </c>
      <c r="G376" s="15" t="b">
        <f t="shared" si="5"/>
        <v>1</v>
      </c>
      <c r="H376" s="10" t="str">
        <f>IF(ISERROR(MATCH(A376,'SegEnds_Xtal_Prot#'!B:B, 0)), "NoXtal", "Xtal")</f>
        <v>Xtal</v>
      </c>
      <c r="J376" s="3"/>
    </row>
    <row r="377" spans="1:10" x14ac:dyDescent="0.2">
      <c r="A377" s="1" t="s">
        <v>355</v>
      </c>
      <c r="B377" s="1" t="s">
        <v>355</v>
      </c>
      <c r="C377" t="s">
        <v>355</v>
      </c>
      <c r="D377" s="28" t="str">
        <f>VLOOKUP(A377,Classification!$A:$D,2,FALSE)</f>
        <v>A</v>
      </c>
      <c r="E377" s="49" t="str">
        <f>VLOOKUP(B377,Classification!$A:$D,2,FALSE)</f>
        <v>A</v>
      </c>
      <c r="F377" s="15" t="str">
        <f>VLOOKUP(C377,Classification!$A:$D,2,FALSE)</f>
        <v>A</v>
      </c>
      <c r="G377" s="15" t="b">
        <f t="shared" si="5"/>
        <v>1</v>
      </c>
      <c r="H377" s="10" t="str">
        <f>IF(ISERROR(MATCH(A377,'SegEnds_Xtal_Prot#'!B:B, 0)), "NoXtal", "Xtal")</f>
        <v>Xtal</v>
      </c>
      <c r="J377" s="3"/>
    </row>
    <row r="378" spans="1:10" x14ac:dyDescent="0.2">
      <c r="A378" s="1" t="s">
        <v>243</v>
      </c>
      <c r="B378" s="1" t="s">
        <v>336</v>
      </c>
      <c r="C378" t="s">
        <v>355</v>
      </c>
      <c r="D378" s="28" t="str">
        <f>VLOOKUP(A378,Classification!$A:$D,2,FALSE)</f>
        <v>A</v>
      </c>
      <c r="E378" s="49" t="str">
        <f>VLOOKUP(B378,Classification!$A:$D,2,FALSE)</f>
        <v>A</v>
      </c>
      <c r="F378" s="15" t="str">
        <f>VLOOKUP(C378,Classification!$A:$D,2,FALSE)</f>
        <v>A</v>
      </c>
      <c r="G378" s="15" t="b">
        <f t="shared" si="5"/>
        <v>1</v>
      </c>
      <c r="H378" s="10" t="str">
        <f>IF(ISERROR(MATCH(A378,'SegEnds_Xtal_Prot#'!B:B, 0)), "NoXtal", "Xtal")</f>
        <v>NoXtal</v>
      </c>
      <c r="J378" s="3"/>
    </row>
    <row r="379" spans="1:10" x14ac:dyDescent="0.2">
      <c r="A379" s="1" t="s">
        <v>349</v>
      </c>
      <c r="B379" s="1" t="s">
        <v>356</v>
      </c>
      <c r="C379" t="s">
        <v>355</v>
      </c>
      <c r="D379" s="28" t="str">
        <f>VLOOKUP(A379,Classification!$A:$D,2,FALSE)</f>
        <v>A</v>
      </c>
      <c r="E379" s="49" t="str">
        <f>VLOOKUP(B379,Classification!$A:$D,2,FALSE)</f>
        <v>A</v>
      </c>
      <c r="F379" s="15" t="str">
        <f>VLOOKUP(C379,Classification!$A:$D,2,FALSE)</f>
        <v>A</v>
      </c>
      <c r="G379" s="15" t="b">
        <f t="shared" si="5"/>
        <v>1</v>
      </c>
      <c r="H379" s="10" t="str">
        <f>IF(ISERROR(MATCH(A379,'SegEnds_Xtal_Prot#'!B:B, 0)), "NoXtal", "Xtal")</f>
        <v>NoXtal</v>
      </c>
      <c r="J379" s="3"/>
    </row>
    <row r="380" spans="1:10" x14ac:dyDescent="0.2">
      <c r="A380" s="1" t="s">
        <v>199</v>
      </c>
      <c r="B380" s="1" t="s">
        <v>355</v>
      </c>
      <c r="C380" t="s">
        <v>355</v>
      </c>
      <c r="D380" s="28" t="str">
        <f>VLOOKUP(A380,Classification!$A:$D,2,FALSE)</f>
        <v>A</v>
      </c>
      <c r="E380" s="49" t="str">
        <f>VLOOKUP(B380,Classification!$A:$D,2,FALSE)</f>
        <v>A</v>
      </c>
      <c r="F380" s="15" t="str">
        <f>VLOOKUP(C380,Classification!$A:$D,2,FALSE)</f>
        <v>A</v>
      </c>
      <c r="G380" s="15" t="b">
        <f t="shared" si="5"/>
        <v>1</v>
      </c>
      <c r="H380" s="10" t="str">
        <f>IF(ISERROR(MATCH(A380,'SegEnds_Xtal_Prot#'!B:B, 0)), "NoXtal", "Xtal")</f>
        <v>NoXtal</v>
      </c>
      <c r="J380" s="3"/>
    </row>
    <row r="381" spans="1:10" x14ac:dyDescent="0.2">
      <c r="A381" s="1" t="s">
        <v>258</v>
      </c>
      <c r="B381" s="1" t="s">
        <v>355</v>
      </c>
      <c r="C381" t="s">
        <v>355</v>
      </c>
      <c r="D381" s="28" t="str">
        <f>VLOOKUP(A381,Classification!$A:$D,2,FALSE)</f>
        <v>A</v>
      </c>
      <c r="E381" s="49" t="str">
        <f>VLOOKUP(B381,Classification!$A:$D,2,FALSE)</f>
        <v>A</v>
      </c>
      <c r="F381" s="15" t="str">
        <f>VLOOKUP(C381,Classification!$A:$D,2,FALSE)</f>
        <v>A</v>
      </c>
      <c r="G381" s="15" t="b">
        <f t="shared" si="5"/>
        <v>1</v>
      </c>
      <c r="H381" s="10" t="str">
        <f>IF(ISERROR(MATCH(A381,'SegEnds_Xtal_Prot#'!B:B, 0)), "NoXtal", "Xtal")</f>
        <v>NoXtal</v>
      </c>
      <c r="J381" s="3"/>
    </row>
    <row r="382" spans="1:10" x14ac:dyDescent="0.2">
      <c r="A382" s="1" t="s">
        <v>309</v>
      </c>
      <c r="B382" s="1" t="s">
        <v>104</v>
      </c>
      <c r="C382" t="s">
        <v>104</v>
      </c>
      <c r="D382" s="28" t="str">
        <f>VLOOKUP(A382,Classification!$A:$D,2,FALSE)</f>
        <v>A</v>
      </c>
      <c r="E382" s="49" t="str">
        <f>VLOOKUP(B382,Classification!$A:$D,2,FALSE)</f>
        <v>A</v>
      </c>
      <c r="F382" s="15" t="str">
        <f>VLOOKUP(C382,Classification!$A:$D,2,FALSE)</f>
        <v>A</v>
      </c>
      <c r="G382" s="15" t="b">
        <f t="shared" si="5"/>
        <v>1</v>
      </c>
      <c r="H382" s="10" t="str">
        <f>IF(ISERROR(MATCH(A382,'SegEnds_Xtal_Prot#'!B:B, 0)), "NoXtal", "Xtal")</f>
        <v>NoXtal</v>
      </c>
      <c r="J382" s="3"/>
    </row>
    <row r="383" spans="1:10" x14ac:dyDescent="0.2">
      <c r="A383" s="1" t="s">
        <v>151</v>
      </c>
      <c r="B383" s="1" t="s">
        <v>104</v>
      </c>
      <c r="C383" t="s">
        <v>104</v>
      </c>
      <c r="D383" s="28" t="str">
        <f>VLOOKUP(A383,Classification!$A:$D,2,FALSE)</f>
        <v>A</v>
      </c>
      <c r="E383" s="49" t="str">
        <f>VLOOKUP(B383,Classification!$A:$D,2,FALSE)</f>
        <v>A</v>
      </c>
      <c r="F383" s="15" t="str">
        <f>VLOOKUP(C383,Classification!$A:$D,2,FALSE)</f>
        <v>A</v>
      </c>
      <c r="G383" s="15" t="b">
        <f t="shared" si="5"/>
        <v>1</v>
      </c>
      <c r="H383" s="10" t="str">
        <f>IF(ISERROR(MATCH(A383,'SegEnds_Xtal_Prot#'!B:B, 0)), "NoXtal", "Xtal")</f>
        <v>NoXtal</v>
      </c>
      <c r="J383" s="3"/>
    </row>
    <row r="384" spans="1:10" x14ac:dyDescent="0.2">
      <c r="A384" s="1" t="s">
        <v>296</v>
      </c>
      <c r="B384" s="1" t="s">
        <v>103</v>
      </c>
      <c r="C384" t="s">
        <v>104</v>
      </c>
      <c r="D384" s="28" t="str">
        <f>VLOOKUP(A384,Classification!$A:$D,2,FALSE)</f>
        <v>A</v>
      </c>
      <c r="E384" s="49" t="str">
        <f>VLOOKUP(B384,Classification!$A:$D,2,FALSE)</f>
        <v>A</v>
      </c>
      <c r="F384" s="15" t="str">
        <f>VLOOKUP(C384,Classification!$A:$D,2,FALSE)</f>
        <v>A</v>
      </c>
      <c r="G384" s="15" t="b">
        <f t="shared" si="5"/>
        <v>1</v>
      </c>
      <c r="H384" s="10" t="str">
        <f>IF(ISERROR(MATCH(A384,'SegEnds_Xtal_Prot#'!B:B, 0)), "NoXtal", "Xtal")</f>
        <v>NoXtal</v>
      </c>
      <c r="J384" s="3"/>
    </row>
    <row r="385" spans="1:10" x14ac:dyDescent="0.2">
      <c r="A385" s="1" t="s">
        <v>297</v>
      </c>
      <c r="B385" s="1" t="s">
        <v>104</v>
      </c>
      <c r="C385" t="s">
        <v>104</v>
      </c>
      <c r="D385" s="28" t="str">
        <f>VLOOKUP(A385,Classification!$A:$D,2,FALSE)</f>
        <v>A</v>
      </c>
      <c r="E385" s="49" t="str">
        <f>VLOOKUP(B385,Classification!$A:$D,2,FALSE)</f>
        <v>A</v>
      </c>
      <c r="F385" s="15" t="str">
        <f>VLOOKUP(C385,Classification!$A:$D,2,FALSE)</f>
        <v>A</v>
      </c>
      <c r="G385" s="15" t="b">
        <f t="shared" si="5"/>
        <v>1</v>
      </c>
      <c r="H385" s="10" t="str">
        <f>IF(ISERROR(MATCH(A385,'SegEnds_Xtal_Prot#'!B:B, 0)), "NoXtal", "Xtal")</f>
        <v>NoXtal</v>
      </c>
      <c r="J385" s="3"/>
    </row>
    <row r="386" spans="1:10" x14ac:dyDescent="0.2">
      <c r="A386" s="1" t="s">
        <v>238</v>
      </c>
      <c r="B386" s="1" t="s">
        <v>103</v>
      </c>
      <c r="C386" t="s">
        <v>104</v>
      </c>
      <c r="D386" s="28" t="str">
        <f>VLOOKUP(A386,Classification!$A:$D,2,FALSE)</f>
        <v>A</v>
      </c>
      <c r="E386" s="49" t="str">
        <f>VLOOKUP(B386,Classification!$A:$D,2,FALSE)</f>
        <v>A</v>
      </c>
      <c r="F386" s="15" t="str">
        <f>VLOOKUP(C386,Classification!$A:$D,2,FALSE)</f>
        <v>A</v>
      </c>
      <c r="G386" s="15" t="b">
        <f t="shared" si="5"/>
        <v>1</v>
      </c>
      <c r="H386" s="10" t="str">
        <f>IF(ISERROR(MATCH(A386,'SegEnds_Xtal_Prot#'!B:B, 0)), "NoXtal", "Xtal")</f>
        <v>NoXtal</v>
      </c>
      <c r="J386" s="3"/>
    </row>
    <row r="387" spans="1:10" x14ac:dyDescent="0.2">
      <c r="A387" s="1" t="s">
        <v>262</v>
      </c>
      <c r="B387" s="1" t="s">
        <v>104</v>
      </c>
      <c r="C387" t="s">
        <v>104</v>
      </c>
      <c r="D387" s="28" t="str">
        <f>VLOOKUP(A387,Classification!$A:$D,2,FALSE)</f>
        <v>A</v>
      </c>
      <c r="E387" s="49" t="str">
        <f>VLOOKUP(B387,Classification!$A:$D,2,FALSE)</f>
        <v>A</v>
      </c>
      <c r="F387" s="15" t="str">
        <f>VLOOKUP(C387,Classification!$A:$D,2,FALSE)</f>
        <v>A</v>
      </c>
      <c r="G387" s="15" t="b">
        <f t="shared" si="5"/>
        <v>1</v>
      </c>
      <c r="H387" s="10" t="str">
        <f>IF(ISERROR(MATCH(A387,'SegEnds_Xtal_Prot#'!B:B, 0)), "NoXtal", "Xtal")</f>
        <v>NoXtal</v>
      </c>
      <c r="J387" s="3"/>
    </row>
    <row r="388" spans="1:10" x14ac:dyDescent="0.2">
      <c r="A388" s="1" t="s">
        <v>363</v>
      </c>
      <c r="B388" s="1" t="s">
        <v>363</v>
      </c>
      <c r="C388" t="s">
        <v>104</v>
      </c>
      <c r="D388" s="28" t="str">
        <f>VLOOKUP(A388,Classification!$A:$D,2,FALSE)</f>
        <v>A</v>
      </c>
      <c r="E388" s="49" t="str">
        <f>VLOOKUP(B388,Classification!$A:$D,2,FALSE)</f>
        <v>A</v>
      </c>
      <c r="F388" s="15" t="str">
        <f>VLOOKUP(C388,Classification!$A:$D,2,FALSE)</f>
        <v>A</v>
      </c>
      <c r="G388" s="15" t="b">
        <f t="shared" si="5"/>
        <v>1</v>
      </c>
      <c r="H388" s="10" t="str">
        <f>IF(ISERROR(MATCH(A388,'SegEnds_Xtal_Prot#'!B:B, 0)), "NoXtal", "Xtal")</f>
        <v>Xtal</v>
      </c>
      <c r="J388" s="3"/>
    </row>
    <row r="389" spans="1:10" x14ac:dyDescent="0.2">
      <c r="A389" s="1" t="s">
        <v>473</v>
      </c>
      <c r="B389" s="1" t="s">
        <v>473</v>
      </c>
      <c r="C389" t="s">
        <v>104</v>
      </c>
      <c r="D389" s="28" t="str">
        <f>VLOOKUP(A389,Classification!$A:$D,2,FALSE)</f>
        <v>A</v>
      </c>
      <c r="E389" s="49" t="str">
        <f>VLOOKUP(B389,Classification!$A:$D,2,FALSE)</f>
        <v>A</v>
      </c>
      <c r="F389" s="15" t="str">
        <f>VLOOKUP(C389,Classification!$A:$D,2,FALSE)</f>
        <v>A</v>
      </c>
      <c r="G389" s="15" t="b">
        <f t="shared" ref="G389:G408" si="6">OR(D389=F389,AND(D389="T",F389="A"),AND(D389="B2",F389="B1"),D389="O")</f>
        <v>1</v>
      </c>
      <c r="H389" s="10" t="str">
        <f>IF(ISERROR(MATCH(A389,'SegEnds_Xtal_Prot#'!B:B, 0)), "NoXtal", "Xtal")</f>
        <v>Xtal</v>
      </c>
      <c r="J389" s="3"/>
    </row>
    <row r="390" spans="1:10" x14ac:dyDescent="0.2">
      <c r="A390" s="1" t="s">
        <v>213</v>
      </c>
      <c r="B390" s="1" t="s">
        <v>146</v>
      </c>
      <c r="C390" t="s">
        <v>104</v>
      </c>
      <c r="D390" s="28" t="str">
        <f>VLOOKUP(A390,Classification!$A:$D,2,FALSE)</f>
        <v>A</v>
      </c>
      <c r="E390" s="49" t="str">
        <f>VLOOKUP(B390,Classification!$A:$D,2,FALSE)</f>
        <v>A</v>
      </c>
      <c r="F390" s="15" t="str">
        <f>VLOOKUP(C390,Classification!$A:$D,2,FALSE)</f>
        <v>A</v>
      </c>
      <c r="G390" s="15" t="b">
        <f t="shared" si="6"/>
        <v>1</v>
      </c>
      <c r="H390" s="10" t="str">
        <f>IF(ISERROR(MATCH(A390,'SegEnds_Xtal_Prot#'!B:B, 0)), "NoXtal", "Xtal")</f>
        <v>NoXtal</v>
      </c>
      <c r="J390" s="3"/>
    </row>
    <row r="391" spans="1:10" x14ac:dyDescent="0.2">
      <c r="A391" s="1" t="s">
        <v>377</v>
      </c>
      <c r="B391" s="1" t="s">
        <v>104</v>
      </c>
      <c r="C391" t="s">
        <v>104</v>
      </c>
      <c r="D391" s="28" t="str">
        <f>VLOOKUP(A391,Classification!$A:$D,2,FALSE)</f>
        <v>A</v>
      </c>
      <c r="E391" s="49" t="str">
        <f>VLOOKUP(B391,Classification!$A:$D,2,FALSE)</f>
        <v>A</v>
      </c>
      <c r="F391" s="15" t="str">
        <f>VLOOKUP(C391,Classification!$A:$D,2,FALSE)</f>
        <v>A</v>
      </c>
      <c r="G391" s="15" t="b">
        <f t="shared" si="6"/>
        <v>1</v>
      </c>
      <c r="H391" s="10" t="str">
        <f>IF(ISERROR(MATCH(A391,'SegEnds_Xtal_Prot#'!B:B, 0)), "NoXtal", "Xtal")</f>
        <v>NoXtal</v>
      </c>
      <c r="J391" s="3"/>
    </row>
    <row r="392" spans="1:10" x14ac:dyDescent="0.2">
      <c r="A392" s="1" t="s">
        <v>104</v>
      </c>
      <c r="B392" s="1" t="s">
        <v>104</v>
      </c>
      <c r="C392" t="s">
        <v>104</v>
      </c>
      <c r="D392" s="28" t="str">
        <f>VLOOKUP(A392,Classification!$A:$D,2,FALSE)</f>
        <v>A</v>
      </c>
      <c r="E392" s="49" t="str">
        <f>VLOOKUP(B392,Classification!$A:$D,2,FALSE)</f>
        <v>A</v>
      </c>
      <c r="F392" s="15" t="str">
        <f>VLOOKUP(C392,Classification!$A:$D,2,FALSE)</f>
        <v>A</v>
      </c>
      <c r="G392" s="15" t="b">
        <f t="shared" si="6"/>
        <v>1</v>
      </c>
      <c r="H392" s="10" t="str">
        <f>IF(ISERROR(MATCH(A392,'SegEnds_Xtal_Prot#'!B:B, 0)), "NoXtal", "Xtal")</f>
        <v>Xtal</v>
      </c>
      <c r="J392" s="3"/>
    </row>
    <row r="393" spans="1:10" x14ac:dyDescent="0.2">
      <c r="A393" s="1" t="s">
        <v>379</v>
      </c>
      <c r="B393" s="1" t="s">
        <v>104</v>
      </c>
      <c r="C393" t="s">
        <v>104</v>
      </c>
      <c r="D393" s="28" t="str">
        <f>VLOOKUP(A393,Classification!$A:$D,2,FALSE)</f>
        <v>A</v>
      </c>
      <c r="E393" s="49" t="str">
        <f>VLOOKUP(B393,Classification!$A:$D,2,FALSE)</f>
        <v>A</v>
      </c>
      <c r="F393" s="15" t="str">
        <f>VLOOKUP(C393,Classification!$A:$D,2,FALSE)</f>
        <v>A</v>
      </c>
      <c r="G393" s="15" t="b">
        <f t="shared" si="6"/>
        <v>1</v>
      </c>
      <c r="H393" s="10" t="str">
        <f>IF(ISERROR(MATCH(A393,'SegEnds_Xtal_Prot#'!B:B, 0)), "NoXtal", "Xtal")</f>
        <v>NoXtal</v>
      </c>
      <c r="J393" s="3"/>
    </row>
    <row r="394" spans="1:10" x14ac:dyDescent="0.2">
      <c r="A394" s="1" t="s">
        <v>378</v>
      </c>
      <c r="B394" s="1" t="s">
        <v>104</v>
      </c>
      <c r="C394" t="s">
        <v>104</v>
      </c>
      <c r="D394" s="28" t="str">
        <f>VLOOKUP(A394,Classification!$A:$D,2,FALSE)</f>
        <v>A</v>
      </c>
      <c r="E394" s="49" t="str">
        <f>VLOOKUP(B394,Classification!$A:$D,2,FALSE)</f>
        <v>A</v>
      </c>
      <c r="F394" s="15" t="str">
        <f>VLOOKUP(C394,Classification!$A:$D,2,FALSE)</f>
        <v>A</v>
      </c>
      <c r="G394" s="15" t="b">
        <f t="shared" si="6"/>
        <v>1</v>
      </c>
      <c r="H394" s="10" t="str">
        <f>IF(ISERROR(MATCH(A394,'SegEnds_Xtal_Prot#'!B:B, 0)), "NoXtal", "Xtal")</f>
        <v>NoXtal</v>
      </c>
      <c r="J394" s="3"/>
    </row>
    <row r="395" spans="1:10" x14ac:dyDescent="0.2">
      <c r="A395" s="1" t="s">
        <v>380</v>
      </c>
      <c r="B395" s="1" t="s">
        <v>104</v>
      </c>
      <c r="C395" t="s">
        <v>104</v>
      </c>
      <c r="D395" s="28" t="str">
        <f>VLOOKUP(A395,Classification!$A:$D,2,FALSE)</f>
        <v>A</v>
      </c>
      <c r="E395" s="49" t="str">
        <f>VLOOKUP(B395,Classification!$A:$D,2,FALSE)</f>
        <v>A</v>
      </c>
      <c r="F395" s="15" t="str">
        <f>VLOOKUP(C395,Classification!$A:$D,2,FALSE)</f>
        <v>A</v>
      </c>
      <c r="G395" s="15" t="b">
        <f t="shared" si="6"/>
        <v>1</v>
      </c>
      <c r="H395" s="10" t="str">
        <f>IF(ISERROR(MATCH(A395,'SegEnds_Xtal_Prot#'!B:B, 0)), "NoXtal", "Xtal")</f>
        <v>NoXtal</v>
      </c>
      <c r="J395" s="3"/>
    </row>
    <row r="396" spans="1:10" x14ac:dyDescent="0.2">
      <c r="A396" s="1" t="s">
        <v>448</v>
      </c>
      <c r="B396" s="1" t="s">
        <v>450</v>
      </c>
      <c r="C396" t="s">
        <v>33</v>
      </c>
      <c r="D396" s="28" t="str">
        <f>VLOOKUP(A396,Classification!$A:$D,2,FALSE)</f>
        <v>F</v>
      </c>
      <c r="E396" s="49" t="str">
        <f>VLOOKUP(B396,Classification!$A:$D,2,FALSE)</f>
        <v>F</v>
      </c>
      <c r="F396" s="15" t="str">
        <f>VLOOKUP(C396,Classification!$A:$D,2,FALSE)</f>
        <v>F</v>
      </c>
      <c r="G396" s="15" t="b">
        <f t="shared" si="6"/>
        <v>1</v>
      </c>
      <c r="H396" s="10" t="str">
        <f>IF(ISERROR(MATCH(A396,'SegEnds_Xtal_Prot#'!B:B, 0)), "NoXtal", "Xtal")</f>
        <v>NoXtal</v>
      </c>
      <c r="J396" s="3"/>
    </row>
    <row r="397" spans="1:10" x14ac:dyDescent="0.2">
      <c r="A397" s="1" t="s">
        <v>453</v>
      </c>
      <c r="B397" s="1" t="s">
        <v>450</v>
      </c>
      <c r="C397" t="s">
        <v>33</v>
      </c>
      <c r="D397" s="28" t="str">
        <f>VLOOKUP(A397,Classification!$A:$D,2,FALSE)</f>
        <v>F</v>
      </c>
      <c r="E397" s="49" t="str">
        <f>VLOOKUP(B397,Classification!$A:$D,2,FALSE)</f>
        <v>F</v>
      </c>
      <c r="F397" s="15" t="str">
        <f>VLOOKUP(C397,Classification!$A:$D,2,FALSE)</f>
        <v>F</v>
      </c>
      <c r="G397" s="15" t="b">
        <f t="shared" si="6"/>
        <v>1</v>
      </c>
      <c r="H397" s="10" t="str">
        <f>IF(ISERROR(MATCH(A397,'SegEnds_Xtal_Prot#'!B:B, 0)), "NoXtal", "Xtal")</f>
        <v>NoXtal</v>
      </c>
      <c r="J397" s="3"/>
    </row>
    <row r="398" spans="1:10" x14ac:dyDescent="0.2">
      <c r="A398" s="1" t="s">
        <v>446</v>
      </c>
      <c r="B398" s="1" t="s">
        <v>450</v>
      </c>
      <c r="C398" t="s">
        <v>33</v>
      </c>
      <c r="D398" s="28" t="str">
        <f>VLOOKUP(A398,Classification!$A:$D,2,FALSE)</f>
        <v>F</v>
      </c>
      <c r="E398" s="49" t="str">
        <f>VLOOKUP(B398,Classification!$A:$D,2,FALSE)</f>
        <v>F</v>
      </c>
      <c r="F398" s="15" t="str">
        <f>VLOOKUP(C398,Classification!$A:$D,2,FALSE)</f>
        <v>F</v>
      </c>
      <c r="G398" s="15" t="b">
        <f t="shared" si="6"/>
        <v>1</v>
      </c>
      <c r="H398" s="10" t="str">
        <f>IF(ISERROR(MATCH(A398,'SegEnds_Xtal_Prot#'!B:B, 0)), "NoXtal", "Xtal")</f>
        <v>NoXtal</v>
      </c>
      <c r="J398" s="3"/>
    </row>
    <row r="399" spans="1:10" x14ac:dyDescent="0.2">
      <c r="A399" s="1" t="s">
        <v>450</v>
      </c>
      <c r="B399" s="1" t="s">
        <v>450</v>
      </c>
      <c r="C399" t="s">
        <v>33</v>
      </c>
      <c r="D399" s="28" t="str">
        <f>VLOOKUP(A399,Classification!$A:$D,2,FALSE)</f>
        <v>F</v>
      </c>
      <c r="E399" s="49" t="str">
        <f>VLOOKUP(B399,Classification!$A:$D,2,FALSE)</f>
        <v>F</v>
      </c>
      <c r="F399" s="15" t="str">
        <f>VLOOKUP(C399,Classification!$A:$D,2,FALSE)</f>
        <v>F</v>
      </c>
      <c r="G399" s="15" t="b">
        <f t="shared" si="6"/>
        <v>1</v>
      </c>
      <c r="H399" s="10" t="str">
        <f>IF(ISERROR(MATCH(A399,'SegEnds_Xtal_Prot#'!B:B, 0)), "NoXtal", "Xtal")</f>
        <v>Xtal</v>
      </c>
      <c r="J399" s="3"/>
    </row>
    <row r="400" spans="1:10" x14ac:dyDescent="0.2">
      <c r="A400" s="1" t="s">
        <v>447</v>
      </c>
      <c r="B400" s="1" t="s">
        <v>450</v>
      </c>
      <c r="C400" t="s">
        <v>33</v>
      </c>
      <c r="D400" s="28" t="str">
        <f>VLOOKUP(A400,Classification!$A:$D,2,FALSE)</f>
        <v>F</v>
      </c>
      <c r="E400" s="49" t="str">
        <f>VLOOKUP(B400,Classification!$A:$D,2,FALSE)</f>
        <v>F</v>
      </c>
      <c r="F400" s="15" t="str">
        <f>VLOOKUP(C400,Classification!$A:$D,2,FALSE)</f>
        <v>F</v>
      </c>
      <c r="G400" s="15" t="b">
        <f t="shared" si="6"/>
        <v>1</v>
      </c>
      <c r="H400" s="10" t="str">
        <f>IF(ISERROR(MATCH(A400,'SegEnds_Xtal_Prot#'!B:B, 0)), "NoXtal", "Xtal")</f>
        <v>NoXtal</v>
      </c>
      <c r="J400" s="3"/>
    </row>
    <row r="401" spans="1:10" x14ac:dyDescent="0.2">
      <c r="A401" s="1" t="s">
        <v>455</v>
      </c>
      <c r="B401" s="1" t="s">
        <v>450</v>
      </c>
      <c r="C401" t="s">
        <v>33</v>
      </c>
      <c r="D401" s="28" t="str">
        <f>VLOOKUP(A401,Classification!$A:$D,2,FALSE)</f>
        <v>F</v>
      </c>
      <c r="E401" s="49" t="str">
        <f>VLOOKUP(B401,Classification!$A:$D,2,FALSE)</f>
        <v>F</v>
      </c>
      <c r="F401" s="15" t="str">
        <f>VLOOKUP(C401,Classification!$A:$D,2,FALSE)</f>
        <v>F</v>
      </c>
      <c r="G401" s="15" t="b">
        <f t="shared" si="6"/>
        <v>1</v>
      </c>
      <c r="H401" s="10" t="str">
        <f>IF(ISERROR(MATCH(A401,'SegEnds_Xtal_Prot#'!B:B, 0)), "NoXtal", "Xtal")</f>
        <v>NoXtal</v>
      </c>
      <c r="J401" s="3"/>
    </row>
    <row r="402" spans="1:10" x14ac:dyDescent="0.2">
      <c r="A402" s="1" t="s">
        <v>451</v>
      </c>
      <c r="B402" s="1" t="s">
        <v>450</v>
      </c>
      <c r="C402" t="s">
        <v>33</v>
      </c>
      <c r="D402" s="28" t="str">
        <f>VLOOKUP(A402,Classification!$A:$D,2,FALSE)</f>
        <v>F</v>
      </c>
      <c r="E402" s="49" t="str">
        <f>VLOOKUP(B402,Classification!$A:$D,2,FALSE)</f>
        <v>F</v>
      </c>
      <c r="F402" s="15" t="str">
        <f>VLOOKUP(C402,Classification!$A:$D,2,FALSE)</f>
        <v>F</v>
      </c>
      <c r="G402" s="15" t="b">
        <f t="shared" si="6"/>
        <v>1</v>
      </c>
      <c r="H402" s="10" t="str">
        <f>IF(ISERROR(MATCH(A402,'SegEnds_Xtal_Prot#'!B:B, 0)), "NoXtal", "Xtal")</f>
        <v>NoXtal</v>
      </c>
      <c r="J402" s="3"/>
    </row>
    <row r="403" spans="1:10" x14ac:dyDescent="0.2">
      <c r="A403" s="1" t="s">
        <v>454</v>
      </c>
      <c r="B403" s="1" t="s">
        <v>450</v>
      </c>
      <c r="C403" t="s">
        <v>33</v>
      </c>
      <c r="D403" s="28" t="str">
        <f>VLOOKUP(A403,Classification!$A:$D,2,FALSE)</f>
        <v>F</v>
      </c>
      <c r="E403" s="49" t="str">
        <f>VLOOKUP(B403,Classification!$A:$D,2,FALSE)</f>
        <v>F</v>
      </c>
      <c r="F403" s="15" t="str">
        <f>VLOOKUP(C403,Classification!$A:$D,2,FALSE)</f>
        <v>F</v>
      </c>
      <c r="G403" s="15" t="b">
        <f t="shared" si="6"/>
        <v>1</v>
      </c>
      <c r="H403" s="10" t="str">
        <f>IF(ISERROR(MATCH(A403,'SegEnds_Xtal_Prot#'!B:B, 0)), "NoXtal", "Xtal")</f>
        <v>NoXtal</v>
      </c>
      <c r="J403" s="3"/>
    </row>
    <row r="404" spans="1:10" x14ac:dyDescent="0.2">
      <c r="A404" s="1" t="s">
        <v>449</v>
      </c>
      <c r="B404" s="1" t="s">
        <v>450</v>
      </c>
      <c r="C404" t="s">
        <v>33</v>
      </c>
      <c r="D404" s="28" t="str">
        <f>VLOOKUP(A404,Classification!$A:$D,2,FALSE)</f>
        <v>F</v>
      </c>
      <c r="E404" s="49" t="str">
        <f>VLOOKUP(B404,Classification!$A:$D,2,FALSE)</f>
        <v>F</v>
      </c>
      <c r="F404" s="15" t="str">
        <f>VLOOKUP(C404,Classification!$A:$D,2,FALSE)</f>
        <v>F</v>
      </c>
      <c r="G404" s="15" t="b">
        <f t="shared" si="6"/>
        <v>1</v>
      </c>
      <c r="H404" s="10" t="str">
        <f>IF(ISERROR(MATCH(A404,'SegEnds_Xtal_Prot#'!B:B, 0)), "NoXtal", "Xtal")</f>
        <v>NoXtal</v>
      </c>
      <c r="J404" s="3"/>
    </row>
    <row r="405" spans="1:10" x14ac:dyDescent="0.2">
      <c r="A405" s="1" t="s">
        <v>452</v>
      </c>
      <c r="B405" s="1" t="s">
        <v>450</v>
      </c>
      <c r="C405" t="s">
        <v>33</v>
      </c>
      <c r="D405" s="28" t="str">
        <f>VLOOKUP(A405,Classification!$A:$D,2,FALSE)</f>
        <v>F</v>
      </c>
      <c r="E405" s="49" t="str">
        <f>VLOOKUP(B405,Classification!$A:$D,2,FALSE)</f>
        <v>F</v>
      </c>
      <c r="F405" s="15" t="str">
        <f>VLOOKUP(C405,Classification!$A:$D,2,FALSE)</f>
        <v>F</v>
      </c>
      <c r="G405" s="15" t="b">
        <f t="shared" si="6"/>
        <v>1</v>
      </c>
      <c r="H405" s="10" t="str">
        <f>IF(ISERROR(MATCH(A405,'SegEnds_Xtal_Prot#'!B:B, 0)), "NoXtal", "Xtal")</f>
        <v>NoXtal</v>
      </c>
      <c r="J405" s="3"/>
    </row>
    <row r="406" spans="1:10" x14ac:dyDescent="0.2">
      <c r="A406" s="1" t="s">
        <v>33</v>
      </c>
      <c r="B406" s="1" t="s">
        <v>33</v>
      </c>
      <c r="C406" t="s">
        <v>33</v>
      </c>
      <c r="D406" s="28" t="str">
        <f>VLOOKUP(A406,Classification!$A:$D,2,FALSE)</f>
        <v>F</v>
      </c>
      <c r="E406" s="49" t="str">
        <f>VLOOKUP(B406,Classification!$A:$D,2,FALSE)</f>
        <v>F</v>
      </c>
      <c r="F406" s="15" t="str">
        <f>VLOOKUP(C406,Classification!$A:$D,2,FALSE)</f>
        <v>F</v>
      </c>
      <c r="G406" s="15" t="b">
        <f t="shared" si="6"/>
        <v>1</v>
      </c>
      <c r="H406" s="10" t="str">
        <f>IF(ISERROR(MATCH(A406,'SegEnds_Xtal_Prot#'!B:B, 0)), "NoXtal", "Xtal")</f>
        <v>Xtal</v>
      </c>
      <c r="J406" s="3"/>
    </row>
    <row r="407" spans="1:10" x14ac:dyDescent="0.2">
      <c r="A407" s="1" t="s">
        <v>924</v>
      </c>
      <c r="B407" s="1" t="s">
        <v>924</v>
      </c>
      <c r="C407" t="s">
        <v>924</v>
      </c>
      <c r="D407" s="28" t="str">
        <f>VLOOKUP(A407,Classification!$A:$D,2,FALSE)</f>
        <v>A</v>
      </c>
      <c r="E407" s="49" t="str">
        <f>VLOOKUP(B407,Classification!$A:$D,2,FALSE)</f>
        <v>A</v>
      </c>
      <c r="F407" s="15" t="str">
        <f>VLOOKUP(C407,Classification!$A:$D,2,FALSE)</f>
        <v>A</v>
      </c>
      <c r="G407" s="15" t="b">
        <f t="shared" si="6"/>
        <v>1</v>
      </c>
      <c r="H407" s="10" t="str">
        <f>IF(ISERROR(MATCH(A407,'SegEnds_Xtal_Prot#'!B:B, 0)), "NoXtal", "Xtal")</f>
        <v>Xtal</v>
      </c>
      <c r="J407" s="3"/>
    </row>
    <row r="408" spans="1:10" x14ac:dyDescent="0.2">
      <c r="A408" s="1" t="s">
        <v>221</v>
      </c>
      <c r="B408" s="1" t="s">
        <v>104</v>
      </c>
      <c r="C408" t="s">
        <v>924</v>
      </c>
      <c r="D408" s="28" t="str">
        <f>VLOOKUP(A408,Classification!$A:$D,2,FALSE)</f>
        <v>A</v>
      </c>
      <c r="E408" s="49" t="str">
        <f>VLOOKUP(B408,Classification!$A:$D,2,FALSE)</f>
        <v>A</v>
      </c>
      <c r="F408" s="15" t="str">
        <f>VLOOKUP(C408,Classification!$A:$D,2,FALSE)</f>
        <v>A</v>
      </c>
      <c r="G408" s="15" t="b">
        <f t="shared" si="6"/>
        <v>1</v>
      </c>
      <c r="H408" s="10" t="str">
        <f>IF(ISERROR(MATCH(A408,'SegEnds_Xtal_Prot#'!B:B, 0)), "NoXtal", "Xtal")</f>
        <v>NoXtal</v>
      </c>
      <c r="J408" s="3"/>
    </row>
    <row r="409" spans="1:10" x14ac:dyDescent="0.2">
      <c r="A409" s="1" t="s">
        <v>1429</v>
      </c>
      <c r="B409" s="1" t="s">
        <v>1429</v>
      </c>
      <c r="C409" t="s">
        <v>1429</v>
      </c>
      <c r="D409" s="28" t="str">
        <f>VLOOKUP(A409,Classification!$A:$D,2,FALSE)</f>
        <v>B1</v>
      </c>
      <c r="E409" s="49" t="str">
        <f>VLOOKUP(B409,Classification!$A:$D,2,FALSE)</f>
        <v>B1</v>
      </c>
      <c r="F409" s="15" t="str">
        <f>VLOOKUP(C409,Classification!$A:$D,2,FALSE)</f>
        <v>B1</v>
      </c>
      <c r="G409" s="15" t="b">
        <f>OR(D409=F409,AND(D409="T",F409="A"),AND(D409="B2",F409="B1"),D409="O")</f>
        <v>1</v>
      </c>
      <c r="H409" s="10" t="str">
        <f>IF(ISERROR(MATCH(A409,'SegEnds_Xtal_Prot#'!B:B, 0)), "NoXtal", "Xtal")</f>
        <v>Xtal</v>
      </c>
    </row>
    <row r="410" spans="1:10" x14ac:dyDescent="0.2">
      <c r="A410" s="1" t="s">
        <v>1509</v>
      </c>
      <c r="B410" s="1" t="s">
        <v>1509</v>
      </c>
      <c r="C410" s="122" t="s">
        <v>1509</v>
      </c>
      <c r="D410" s="28" t="str">
        <f>VLOOKUP(A410,Classification!$A:$D,2,FALSE)</f>
        <v>F</v>
      </c>
      <c r="E410" s="49" t="str">
        <f>VLOOKUP(B410,Classification!$A:$D,2,FALSE)</f>
        <v>F</v>
      </c>
      <c r="F410" s="15" t="str">
        <f>VLOOKUP(C410,Classification!$A:$D,2,FALSE)</f>
        <v>F</v>
      </c>
      <c r="G410" s="15" t="b">
        <f>OR(D410=F410,AND(D410="T",F410="A"),AND(D410="B2",F410="B1"),D410="O")</f>
        <v>1</v>
      </c>
      <c r="H410" s="10" t="str">
        <f>IF(ISERROR(MATCH(A410,'SegEnds_Xtal_Prot#'!B:B, 0)), "NoXtal", "Xtal")</f>
        <v>Xtal</v>
      </c>
    </row>
    <row r="411" spans="1:10" x14ac:dyDescent="0.2">
      <c r="A411" s="1" t="s">
        <v>1523</v>
      </c>
      <c r="B411" s="1" t="s">
        <v>1523</v>
      </c>
      <c r="C411" s="122" t="s">
        <v>1523</v>
      </c>
      <c r="D411" s="28" t="str">
        <f>VLOOKUP(A411,Classification!$A:$D,2,FALSE)</f>
        <v>A</v>
      </c>
      <c r="E411" s="49" t="str">
        <f>VLOOKUP(B411,Classification!$A:$D,2,FALSE)</f>
        <v>A</v>
      </c>
      <c r="F411" s="15" t="str">
        <f>VLOOKUP(C411,Classification!$A:$D,2,FALSE)</f>
        <v>A</v>
      </c>
      <c r="G411" s="15" t="b">
        <f>OR(D411=F411,AND(D411="T",F411="A"),AND(D411="B2",F411="B1"),D411="O")</f>
        <v>1</v>
      </c>
      <c r="H411" s="10" t="str">
        <f>IF(ISERROR(MATCH(A411,'SegEnds_Xtal_Prot#'!B:B, 0)), "NoXtal", "Xtal")</f>
        <v>Xtal</v>
      </c>
    </row>
    <row r="434" spans="4:7" ht="17" customHeight="1" x14ac:dyDescent="0.2">
      <c r="D434" s="7"/>
      <c r="E434" s="7"/>
      <c r="F434" s="7"/>
      <c r="G434" s="7"/>
    </row>
  </sheetData>
  <sortState ref="A2:I432">
    <sortCondition ref="G2:G432"/>
    <sortCondition ref="B2:B432"/>
    <sortCondition ref="D2:D432"/>
    <sortCondition ref="F2:F432"/>
  </sortState>
  <customSheetViews>
    <customSheetView guid="{3E3401AF-8459-8641-BD70-AD04F80E86ED}" topLeftCell="A141">
      <selection activeCell="C165" sqref="C165"/>
      <pageMargins left="0.7" right="0.7" top="0.75" bottom="0.75" header="0.3" footer="0.3"/>
    </customSheetView>
  </customSheetViews>
  <conditionalFormatting sqref="G1 G412:G1048576">
    <cfRule type="cellIs" dxfId="3" priority="5" operator="equal">
      <formula>FALSE</formula>
    </cfRule>
  </conditionalFormatting>
  <conditionalFormatting sqref="G2:G411">
    <cfRule type="cellIs" dxfId="2" priority="4" operator="equal">
      <formula>FALSE</formula>
    </cfRule>
  </conditionalFormatting>
  <conditionalFormatting sqref="H2:H1048576">
    <cfRule type="cellIs" dxfId="1" priority="1" operator="equal">
      <formula>"Xtal"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43"/>
  <sheetViews>
    <sheetView workbookViewId="0">
      <pane ySplit="1" topLeftCell="A83" activePane="bottomLeft" state="frozenSplit"/>
      <selection pane="bottomLeft" activeCell="E106" sqref="E106"/>
    </sheetView>
  </sheetViews>
  <sheetFormatPr baseColWidth="10" defaultColWidth="10.83203125" defaultRowHeight="16" x14ac:dyDescent="0.2"/>
  <cols>
    <col min="1" max="1" width="16.1640625" style="3" customWidth="1"/>
    <col min="2" max="2" width="4.1640625" style="3" bestFit="1" customWidth="1"/>
    <col min="3" max="3" width="9.83203125" style="3" customWidth="1"/>
    <col min="4" max="4" width="19" style="3" customWidth="1"/>
    <col min="5" max="16384" width="10.83203125" style="3"/>
  </cols>
  <sheetData>
    <row r="1" spans="1:4" s="10" customFormat="1" x14ac:dyDescent="0.2">
      <c r="A1" s="10" t="s">
        <v>101</v>
      </c>
      <c r="B1" s="10" t="s">
        <v>932</v>
      </c>
      <c r="C1" s="10" t="s">
        <v>935</v>
      </c>
      <c r="D1" s="10" t="s">
        <v>936</v>
      </c>
    </row>
    <row r="2" spans="1:4" x14ac:dyDescent="0.2">
      <c r="A2" s="3" t="s">
        <v>128</v>
      </c>
      <c r="B2" s="3" t="s">
        <v>1</v>
      </c>
      <c r="C2" s="3" t="s">
        <v>2</v>
      </c>
      <c r="D2" s="3" t="s">
        <v>937</v>
      </c>
    </row>
    <row r="3" spans="1:4" x14ac:dyDescent="0.2">
      <c r="A3" s="3" t="s">
        <v>34</v>
      </c>
      <c r="B3" s="3" t="s">
        <v>1</v>
      </c>
      <c r="C3" s="3" t="s">
        <v>2</v>
      </c>
      <c r="D3" s="3" t="s">
        <v>937</v>
      </c>
    </row>
    <row r="4" spans="1:4" x14ac:dyDescent="0.2">
      <c r="A4" s="3" t="s">
        <v>129</v>
      </c>
      <c r="B4" s="3" t="s">
        <v>1</v>
      </c>
      <c r="C4" s="3" t="s">
        <v>2</v>
      </c>
      <c r="D4" s="3" t="s">
        <v>937</v>
      </c>
    </row>
    <row r="5" spans="1:4" x14ac:dyDescent="0.2">
      <c r="A5" s="3" t="s">
        <v>130</v>
      </c>
      <c r="B5" s="3" t="s">
        <v>1</v>
      </c>
      <c r="C5" s="3" t="s">
        <v>2</v>
      </c>
      <c r="D5" s="3" t="s">
        <v>937</v>
      </c>
    </row>
    <row r="6" spans="1:4" x14ac:dyDescent="0.2">
      <c r="A6" s="3" t="s">
        <v>131</v>
      </c>
      <c r="B6" s="3" t="s">
        <v>1</v>
      </c>
      <c r="C6" s="3" t="s">
        <v>2</v>
      </c>
      <c r="D6" s="3" t="s">
        <v>937</v>
      </c>
    </row>
    <row r="7" spans="1:4" x14ac:dyDescent="0.2">
      <c r="A7" s="3" t="s">
        <v>132</v>
      </c>
      <c r="B7" s="3" t="s">
        <v>1</v>
      </c>
      <c r="C7" s="3" t="s">
        <v>2</v>
      </c>
      <c r="D7" s="3" t="s">
        <v>937</v>
      </c>
    </row>
    <row r="8" spans="1:4" x14ac:dyDescent="0.2">
      <c r="A8" s="3" t="s">
        <v>35</v>
      </c>
      <c r="B8" s="3" t="s">
        <v>1</v>
      </c>
      <c r="C8" s="3" t="s">
        <v>2</v>
      </c>
      <c r="D8" s="3" t="s">
        <v>937</v>
      </c>
    </row>
    <row r="9" spans="1:4" x14ac:dyDescent="0.2">
      <c r="A9" s="3" t="s">
        <v>133</v>
      </c>
      <c r="B9" s="3" t="s">
        <v>1</v>
      </c>
      <c r="C9" s="3" t="s">
        <v>2</v>
      </c>
      <c r="D9" s="3" t="s">
        <v>937</v>
      </c>
    </row>
    <row r="10" spans="1:4" x14ac:dyDescent="0.2">
      <c r="A10" s="3" t="s">
        <v>134</v>
      </c>
      <c r="B10" s="3" t="s">
        <v>1</v>
      </c>
      <c r="C10" s="3" t="s">
        <v>2</v>
      </c>
      <c r="D10" s="3" t="s">
        <v>937</v>
      </c>
    </row>
    <row r="11" spans="1:4" x14ac:dyDescent="0.2">
      <c r="A11" s="3" t="s">
        <v>135</v>
      </c>
      <c r="B11" s="3" t="s">
        <v>1</v>
      </c>
      <c r="C11" s="3" t="s">
        <v>2</v>
      </c>
      <c r="D11" s="3" t="s">
        <v>937</v>
      </c>
    </row>
    <row r="12" spans="1:4" x14ac:dyDescent="0.2">
      <c r="A12" s="3" t="s">
        <v>136</v>
      </c>
      <c r="B12" s="3" t="s">
        <v>1</v>
      </c>
      <c r="C12" s="3" t="s">
        <v>2</v>
      </c>
      <c r="D12" s="3" t="s">
        <v>937</v>
      </c>
    </row>
    <row r="13" spans="1:4" x14ac:dyDescent="0.2">
      <c r="A13" s="3" t="s">
        <v>137</v>
      </c>
      <c r="B13" s="3" t="s">
        <v>1</v>
      </c>
      <c r="C13" s="3" t="s">
        <v>2</v>
      </c>
      <c r="D13" s="3" t="s">
        <v>937</v>
      </c>
    </row>
    <row r="14" spans="1:4" x14ac:dyDescent="0.2">
      <c r="A14" s="3" t="s">
        <v>146</v>
      </c>
      <c r="B14" s="3" t="s">
        <v>1</v>
      </c>
      <c r="C14" s="3" t="s">
        <v>2</v>
      </c>
      <c r="D14" s="3" t="s">
        <v>939</v>
      </c>
    </row>
    <row r="15" spans="1:4" x14ac:dyDescent="0.2">
      <c r="A15" s="3" t="s">
        <v>147</v>
      </c>
      <c r="B15" s="3" t="s">
        <v>1</v>
      </c>
      <c r="C15" s="3" t="s">
        <v>2</v>
      </c>
      <c r="D15" s="3" t="s">
        <v>939</v>
      </c>
    </row>
    <row r="16" spans="1:4" x14ac:dyDescent="0.2">
      <c r="A16" s="3" t="s">
        <v>148</v>
      </c>
      <c r="B16" s="3" t="s">
        <v>1</v>
      </c>
      <c r="C16" s="3" t="s">
        <v>2</v>
      </c>
      <c r="D16" s="3" t="s">
        <v>939</v>
      </c>
    </row>
    <row r="17" spans="1:4" x14ac:dyDescent="0.2">
      <c r="A17" s="3" t="s">
        <v>48</v>
      </c>
      <c r="B17" s="3" t="s">
        <v>1</v>
      </c>
      <c r="C17" s="3" t="s">
        <v>2</v>
      </c>
      <c r="D17" s="3" t="s">
        <v>939</v>
      </c>
    </row>
    <row r="18" spans="1:4" x14ac:dyDescent="0.2">
      <c r="A18" s="3" t="s">
        <v>149</v>
      </c>
      <c r="B18" s="3" t="s">
        <v>1</v>
      </c>
      <c r="C18" s="3" t="s">
        <v>2</v>
      </c>
      <c r="D18" s="3" t="s">
        <v>939</v>
      </c>
    </row>
    <row r="19" spans="1:4" x14ac:dyDescent="0.2">
      <c r="A19" s="3" t="s">
        <v>150</v>
      </c>
      <c r="B19" s="3" t="s">
        <v>1</v>
      </c>
      <c r="C19" s="3" t="s">
        <v>2</v>
      </c>
      <c r="D19" s="3" t="s">
        <v>939</v>
      </c>
    </row>
    <row r="20" spans="1:4" x14ac:dyDescent="0.2">
      <c r="A20" s="3" t="s">
        <v>138</v>
      </c>
      <c r="B20" s="3" t="s">
        <v>1</v>
      </c>
      <c r="C20" s="3" t="s">
        <v>938</v>
      </c>
      <c r="D20" s="3" t="s">
        <v>15</v>
      </c>
    </row>
    <row r="21" spans="1:4" x14ac:dyDescent="0.2">
      <c r="A21" s="3" t="s">
        <v>139</v>
      </c>
      <c r="B21" s="3" t="s">
        <v>1</v>
      </c>
      <c r="C21" s="3" t="s">
        <v>938</v>
      </c>
      <c r="D21" s="3" t="s">
        <v>15</v>
      </c>
    </row>
    <row r="22" spans="1:4" x14ac:dyDescent="0.2">
      <c r="A22" s="3" t="s">
        <v>140</v>
      </c>
      <c r="B22" s="3" t="s">
        <v>1</v>
      </c>
      <c r="C22" s="3" t="s">
        <v>938</v>
      </c>
      <c r="D22" s="3" t="s">
        <v>15</v>
      </c>
    </row>
    <row r="23" spans="1:4" x14ac:dyDescent="0.2">
      <c r="A23" s="3" t="s">
        <v>141</v>
      </c>
      <c r="B23" s="3" t="s">
        <v>1</v>
      </c>
      <c r="C23" s="3" t="s">
        <v>938</v>
      </c>
      <c r="D23" s="3" t="s">
        <v>15</v>
      </c>
    </row>
    <row r="24" spans="1:4" x14ac:dyDescent="0.2">
      <c r="A24" s="3" t="s">
        <v>414</v>
      </c>
      <c r="B24" s="3" t="s">
        <v>944</v>
      </c>
      <c r="C24" s="3" t="s">
        <v>945</v>
      </c>
      <c r="D24" s="3" t="s">
        <v>946</v>
      </c>
    </row>
    <row r="25" spans="1:4" x14ac:dyDescent="0.2">
      <c r="A25" s="3" t="s">
        <v>415</v>
      </c>
      <c r="B25" s="3" t="s">
        <v>944</v>
      </c>
      <c r="C25" s="3" t="s">
        <v>945</v>
      </c>
      <c r="D25" s="3" t="s">
        <v>946</v>
      </c>
    </row>
    <row r="26" spans="1:4" x14ac:dyDescent="0.2">
      <c r="A26" s="3" t="s">
        <v>416</v>
      </c>
      <c r="B26" s="3" t="s">
        <v>944</v>
      </c>
      <c r="C26" s="3" t="s">
        <v>945</v>
      </c>
      <c r="D26" s="3" t="s">
        <v>946</v>
      </c>
    </row>
    <row r="27" spans="1:4" x14ac:dyDescent="0.2">
      <c r="A27" s="3" t="s">
        <v>417</v>
      </c>
      <c r="B27" s="3" t="s">
        <v>944</v>
      </c>
      <c r="C27" s="3" t="s">
        <v>945</v>
      </c>
      <c r="D27" s="3" t="s">
        <v>946</v>
      </c>
    </row>
    <row r="28" spans="1:4" x14ac:dyDescent="0.2">
      <c r="A28" s="3" t="s">
        <v>418</v>
      </c>
      <c r="B28" s="3" t="s">
        <v>944</v>
      </c>
      <c r="C28" s="3" t="s">
        <v>945</v>
      </c>
      <c r="D28" s="3" t="s">
        <v>946</v>
      </c>
    </row>
    <row r="29" spans="1:4" x14ac:dyDescent="0.2">
      <c r="A29" s="3" t="s">
        <v>419</v>
      </c>
      <c r="B29" s="3" t="s">
        <v>944</v>
      </c>
      <c r="C29" s="3" t="s">
        <v>945</v>
      </c>
      <c r="D29" s="3" t="s">
        <v>946</v>
      </c>
    </row>
    <row r="30" spans="1:4" x14ac:dyDescent="0.2">
      <c r="A30" s="3" t="s">
        <v>420</v>
      </c>
      <c r="B30" s="3" t="s">
        <v>944</v>
      </c>
      <c r="C30" s="3" t="s">
        <v>945</v>
      </c>
      <c r="D30" s="3" t="s">
        <v>946</v>
      </c>
    </row>
    <row r="31" spans="1:4" x14ac:dyDescent="0.2">
      <c r="A31" s="3" t="s">
        <v>421</v>
      </c>
      <c r="B31" s="3" t="s">
        <v>944</v>
      </c>
      <c r="C31" s="3" t="s">
        <v>945</v>
      </c>
      <c r="D31" s="3" t="s">
        <v>946</v>
      </c>
    </row>
    <row r="32" spans="1:4" x14ac:dyDescent="0.2">
      <c r="A32" s="3" t="s">
        <v>422</v>
      </c>
      <c r="B32" s="3" t="s">
        <v>944</v>
      </c>
      <c r="C32" s="3" t="s">
        <v>945</v>
      </c>
      <c r="D32" s="3" t="s">
        <v>946</v>
      </c>
    </row>
    <row r="33" spans="1:4" x14ac:dyDescent="0.2">
      <c r="A33" s="3" t="s">
        <v>423</v>
      </c>
      <c r="B33" s="3" t="s">
        <v>944</v>
      </c>
      <c r="C33" s="3" t="s">
        <v>945</v>
      </c>
      <c r="D33" s="3" t="s">
        <v>946</v>
      </c>
    </row>
    <row r="34" spans="1:4" x14ac:dyDescent="0.2">
      <c r="A34" s="3" t="s">
        <v>424</v>
      </c>
      <c r="B34" s="3" t="s">
        <v>944</v>
      </c>
      <c r="C34" s="3" t="s">
        <v>945</v>
      </c>
      <c r="D34" s="3" t="s">
        <v>946</v>
      </c>
    </row>
    <row r="35" spans="1:4" x14ac:dyDescent="0.2">
      <c r="A35" s="3" t="s">
        <v>425</v>
      </c>
      <c r="B35" s="3" t="s">
        <v>944</v>
      </c>
      <c r="C35" s="3" t="s">
        <v>945</v>
      </c>
      <c r="D35" s="3" t="s">
        <v>946</v>
      </c>
    </row>
    <row r="36" spans="1:4" x14ac:dyDescent="0.2">
      <c r="A36" s="3" t="s">
        <v>426</v>
      </c>
      <c r="B36" s="3" t="s">
        <v>944</v>
      </c>
      <c r="C36" s="3" t="s">
        <v>945</v>
      </c>
      <c r="D36" s="3" t="s">
        <v>946</v>
      </c>
    </row>
    <row r="37" spans="1:4" x14ac:dyDescent="0.2">
      <c r="A37" s="3" t="s">
        <v>427</v>
      </c>
      <c r="B37" s="3" t="s">
        <v>944</v>
      </c>
      <c r="C37" s="3" t="s">
        <v>945</v>
      </c>
      <c r="D37" s="3" t="s">
        <v>946</v>
      </c>
    </row>
    <row r="38" spans="1:4" x14ac:dyDescent="0.2">
      <c r="A38" s="3" t="s">
        <v>428</v>
      </c>
      <c r="B38" s="3" t="s">
        <v>944</v>
      </c>
      <c r="C38" s="3" t="s">
        <v>945</v>
      </c>
      <c r="D38" s="3" t="s">
        <v>946</v>
      </c>
    </row>
    <row r="39" spans="1:4" x14ac:dyDescent="0.2">
      <c r="A39" s="3" t="s">
        <v>429</v>
      </c>
      <c r="B39" s="3" t="s">
        <v>944</v>
      </c>
      <c r="C39" s="3" t="s">
        <v>945</v>
      </c>
      <c r="D39" s="3" t="s">
        <v>946</v>
      </c>
    </row>
    <row r="40" spans="1:4" x14ac:dyDescent="0.2">
      <c r="A40" s="3" t="s">
        <v>430</v>
      </c>
      <c r="B40" s="3" t="s">
        <v>944</v>
      </c>
      <c r="C40" s="3" t="s">
        <v>945</v>
      </c>
      <c r="D40" s="3" t="s">
        <v>946</v>
      </c>
    </row>
    <row r="41" spans="1:4" x14ac:dyDescent="0.2">
      <c r="A41" s="3" t="s">
        <v>431</v>
      </c>
      <c r="B41" s="3" t="s">
        <v>944</v>
      </c>
      <c r="C41" s="3" t="s">
        <v>945</v>
      </c>
      <c r="D41" s="3" t="s">
        <v>946</v>
      </c>
    </row>
    <row r="42" spans="1:4" x14ac:dyDescent="0.2">
      <c r="A42" s="3" t="s">
        <v>432</v>
      </c>
      <c r="B42" s="3" t="s">
        <v>944</v>
      </c>
      <c r="C42" s="3" t="s">
        <v>945</v>
      </c>
      <c r="D42" s="3" t="s">
        <v>946</v>
      </c>
    </row>
    <row r="43" spans="1:4" x14ac:dyDescent="0.2">
      <c r="A43" s="3" t="s">
        <v>433</v>
      </c>
      <c r="B43" s="3" t="s">
        <v>944</v>
      </c>
      <c r="C43" s="3" t="s">
        <v>945</v>
      </c>
      <c r="D43" s="3" t="s">
        <v>946</v>
      </c>
    </row>
    <row r="44" spans="1:4" x14ac:dyDescent="0.2">
      <c r="A44" s="3" t="s">
        <v>434</v>
      </c>
      <c r="B44" s="3" t="s">
        <v>944</v>
      </c>
      <c r="C44" s="3" t="s">
        <v>945</v>
      </c>
      <c r="D44" s="3" t="s">
        <v>946</v>
      </c>
    </row>
    <row r="45" spans="1:4" x14ac:dyDescent="0.2">
      <c r="A45" s="3" t="s">
        <v>435</v>
      </c>
      <c r="B45" s="3" t="s">
        <v>944</v>
      </c>
      <c r="C45" s="3" t="s">
        <v>945</v>
      </c>
      <c r="D45" s="3" t="s">
        <v>946</v>
      </c>
    </row>
    <row r="46" spans="1:4" x14ac:dyDescent="0.2">
      <c r="A46" s="3" t="s">
        <v>1422</v>
      </c>
      <c r="B46" s="3" t="s">
        <v>944</v>
      </c>
      <c r="C46" s="3" t="s">
        <v>945</v>
      </c>
      <c r="D46" s="3" t="s">
        <v>946</v>
      </c>
    </row>
    <row r="47" spans="1:4" x14ac:dyDescent="0.2">
      <c r="A47" s="3" t="s">
        <v>436</v>
      </c>
      <c r="B47" s="3" t="s">
        <v>944</v>
      </c>
      <c r="C47" s="3" t="s">
        <v>945</v>
      </c>
      <c r="D47" s="3" t="s">
        <v>946</v>
      </c>
    </row>
    <row r="48" spans="1:4" x14ac:dyDescent="0.2">
      <c r="A48" s="3" t="s">
        <v>437</v>
      </c>
      <c r="B48" s="3" t="s">
        <v>944</v>
      </c>
      <c r="C48" s="3" t="s">
        <v>945</v>
      </c>
      <c r="D48" s="3" t="s">
        <v>946</v>
      </c>
    </row>
    <row r="49" spans="1:4" x14ac:dyDescent="0.2">
      <c r="A49" s="3" t="s">
        <v>438</v>
      </c>
      <c r="B49" s="3" t="s">
        <v>944</v>
      </c>
      <c r="C49" s="3" t="s">
        <v>945</v>
      </c>
      <c r="D49" s="3" t="s">
        <v>946</v>
      </c>
    </row>
    <row r="50" spans="1:4" x14ac:dyDescent="0.2">
      <c r="A50" s="3" t="s">
        <v>439</v>
      </c>
      <c r="B50" s="3" t="s">
        <v>944</v>
      </c>
      <c r="C50" s="3" t="s">
        <v>945</v>
      </c>
      <c r="D50" s="3" t="s">
        <v>946</v>
      </c>
    </row>
    <row r="51" spans="1:4" x14ac:dyDescent="0.2">
      <c r="A51" s="3" t="s">
        <v>440</v>
      </c>
      <c r="B51" s="3" t="s">
        <v>944</v>
      </c>
      <c r="C51" s="3" t="s">
        <v>945</v>
      </c>
      <c r="D51" s="3" t="s">
        <v>946</v>
      </c>
    </row>
    <row r="52" spans="1:4" x14ac:dyDescent="0.2">
      <c r="A52" s="3" t="s">
        <v>441</v>
      </c>
      <c r="B52" s="3" t="s">
        <v>944</v>
      </c>
      <c r="C52" s="3" t="s">
        <v>945</v>
      </c>
      <c r="D52" s="3" t="s">
        <v>946</v>
      </c>
    </row>
    <row r="53" spans="1:4" x14ac:dyDescent="0.2">
      <c r="A53" s="3" t="s">
        <v>442</v>
      </c>
      <c r="B53" s="3" t="s">
        <v>944</v>
      </c>
      <c r="C53" s="3" t="s">
        <v>945</v>
      </c>
      <c r="D53" s="3" t="s">
        <v>946</v>
      </c>
    </row>
    <row r="54" spans="1:4" x14ac:dyDescent="0.2">
      <c r="A54" s="3" t="s">
        <v>443</v>
      </c>
      <c r="B54" s="3" t="s">
        <v>944</v>
      </c>
      <c r="C54" s="3" t="s">
        <v>945</v>
      </c>
      <c r="D54" s="3" t="s">
        <v>946</v>
      </c>
    </row>
    <row r="55" spans="1:4" x14ac:dyDescent="0.2">
      <c r="A55" s="3" t="s">
        <v>444</v>
      </c>
      <c r="B55" s="3" t="s">
        <v>944</v>
      </c>
      <c r="C55" s="3" t="s">
        <v>945</v>
      </c>
      <c r="D55" s="3" t="s">
        <v>946</v>
      </c>
    </row>
    <row r="56" spans="1:4" x14ac:dyDescent="0.2">
      <c r="A56" s="3" t="s">
        <v>445</v>
      </c>
      <c r="B56" s="3" t="s">
        <v>944</v>
      </c>
      <c r="C56" s="3" t="s">
        <v>945</v>
      </c>
      <c r="D56" s="3" t="s">
        <v>946</v>
      </c>
    </row>
    <row r="57" spans="1:4" x14ac:dyDescent="0.2">
      <c r="A57" s="3" t="s">
        <v>152</v>
      </c>
      <c r="B57" s="3" t="s">
        <v>1</v>
      </c>
      <c r="C57" s="3" t="s">
        <v>2</v>
      </c>
      <c r="D57" s="3" t="s">
        <v>941</v>
      </c>
    </row>
    <row r="58" spans="1:4" x14ac:dyDescent="0.2">
      <c r="A58" s="3" t="s">
        <v>153</v>
      </c>
      <c r="B58" s="3" t="s">
        <v>1</v>
      </c>
      <c r="C58" s="3" t="s">
        <v>2</v>
      </c>
      <c r="D58" s="3" t="s">
        <v>941</v>
      </c>
    </row>
    <row r="59" spans="1:4" x14ac:dyDescent="0.2">
      <c r="A59" s="3" t="s">
        <v>154</v>
      </c>
      <c r="B59" s="3" t="s">
        <v>1</v>
      </c>
      <c r="C59" s="3" t="s">
        <v>2</v>
      </c>
      <c r="D59" s="3" t="s">
        <v>941</v>
      </c>
    </row>
    <row r="60" spans="1:4" x14ac:dyDescent="0.2">
      <c r="A60" s="3" t="s">
        <v>155</v>
      </c>
      <c r="B60" s="3" t="s">
        <v>1</v>
      </c>
      <c r="C60" s="3" t="s">
        <v>2</v>
      </c>
      <c r="D60" s="3" t="s">
        <v>941</v>
      </c>
    </row>
    <row r="61" spans="1:4" x14ac:dyDescent="0.2">
      <c r="A61" s="3" t="s">
        <v>156</v>
      </c>
      <c r="B61" s="3" t="s">
        <v>1</v>
      </c>
      <c r="C61" s="3" t="s">
        <v>2</v>
      </c>
      <c r="D61" s="3" t="s">
        <v>941</v>
      </c>
    </row>
    <row r="62" spans="1:4" x14ac:dyDescent="0.2">
      <c r="A62" s="3" t="s">
        <v>157</v>
      </c>
      <c r="B62" s="3" t="s">
        <v>1</v>
      </c>
      <c r="C62" s="3" t="s">
        <v>2</v>
      </c>
      <c r="D62" s="3" t="s">
        <v>941</v>
      </c>
    </row>
    <row r="63" spans="1:4" x14ac:dyDescent="0.2">
      <c r="A63" s="3" t="s">
        <v>125</v>
      </c>
      <c r="B63" s="3" t="s">
        <v>1</v>
      </c>
      <c r="C63" s="3" t="s">
        <v>2</v>
      </c>
      <c r="D63" s="3" t="s">
        <v>941</v>
      </c>
    </row>
    <row r="64" spans="1:4" x14ac:dyDescent="0.2">
      <c r="A64" s="3" t="s">
        <v>47</v>
      </c>
      <c r="B64" s="3" t="s">
        <v>1</v>
      </c>
      <c r="C64" s="3" t="s">
        <v>2</v>
      </c>
      <c r="D64" s="3" t="s">
        <v>941</v>
      </c>
    </row>
    <row r="65" spans="1:4" x14ac:dyDescent="0.2">
      <c r="A65" s="3" t="s">
        <v>126</v>
      </c>
      <c r="B65" s="3" t="s">
        <v>1</v>
      </c>
      <c r="C65" s="3" t="s">
        <v>2</v>
      </c>
      <c r="D65" s="3" t="s">
        <v>941</v>
      </c>
    </row>
    <row r="66" spans="1:4" x14ac:dyDescent="0.2">
      <c r="A66" s="3" t="s">
        <v>102</v>
      </c>
      <c r="B66" s="3" t="s">
        <v>1</v>
      </c>
      <c r="C66" s="3" t="s">
        <v>2</v>
      </c>
      <c r="D66" s="3" t="s">
        <v>941</v>
      </c>
    </row>
    <row r="67" spans="1:4" x14ac:dyDescent="0.2">
      <c r="A67" s="3" t="s">
        <v>158</v>
      </c>
      <c r="B67" s="3" t="s">
        <v>1</v>
      </c>
      <c r="C67" s="3" t="s">
        <v>17</v>
      </c>
      <c r="D67" s="3" t="s">
        <v>942</v>
      </c>
    </row>
    <row r="68" spans="1:4" x14ac:dyDescent="0.2">
      <c r="A68" s="3" t="s">
        <v>159</v>
      </c>
      <c r="B68" s="3" t="s">
        <v>1</v>
      </c>
      <c r="C68" s="3" t="s">
        <v>17</v>
      </c>
      <c r="D68" s="3" t="s">
        <v>942</v>
      </c>
    </row>
    <row r="69" spans="1:4" x14ac:dyDescent="0.2">
      <c r="A69" s="3" t="s">
        <v>160</v>
      </c>
      <c r="B69" s="3" t="s">
        <v>1</v>
      </c>
      <c r="C69" s="3" t="s">
        <v>17</v>
      </c>
      <c r="D69" s="3" t="s">
        <v>943</v>
      </c>
    </row>
    <row r="70" spans="1:4" x14ac:dyDescent="0.2">
      <c r="A70" s="3" t="s">
        <v>235</v>
      </c>
      <c r="B70" s="3" t="s">
        <v>1</v>
      </c>
      <c r="C70" s="3" t="s">
        <v>975</v>
      </c>
      <c r="D70" s="3" t="s">
        <v>976</v>
      </c>
    </row>
    <row r="71" spans="1:4" x14ac:dyDescent="0.2">
      <c r="A71" s="3" t="s">
        <v>163</v>
      </c>
      <c r="B71" s="3" t="s">
        <v>1</v>
      </c>
      <c r="C71" s="3" t="s">
        <v>17</v>
      </c>
      <c r="D71" s="3" t="s">
        <v>948</v>
      </c>
    </row>
    <row r="72" spans="1:4" x14ac:dyDescent="0.2">
      <c r="A72" s="3" t="s">
        <v>274</v>
      </c>
      <c r="B72" s="3" t="s">
        <v>1</v>
      </c>
      <c r="C72" s="3" t="s">
        <v>17</v>
      </c>
      <c r="D72" s="3" t="s">
        <v>948</v>
      </c>
    </row>
    <row r="73" spans="1:4" x14ac:dyDescent="0.2">
      <c r="A73" s="3" t="s">
        <v>317</v>
      </c>
      <c r="B73" s="3" t="s">
        <v>1</v>
      </c>
      <c r="C73" s="3" t="s">
        <v>17</v>
      </c>
      <c r="D73" s="3" t="s">
        <v>948</v>
      </c>
    </row>
    <row r="74" spans="1:4" x14ac:dyDescent="0.2">
      <c r="A74" s="3" t="s">
        <v>161</v>
      </c>
      <c r="B74" s="3" t="s">
        <v>1</v>
      </c>
      <c r="C74" s="3" t="s">
        <v>17</v>
      </c>
      <c r="D74" s="3" t="s">
        <v>947</v>
      </c>
    </row>
    <row r="75" spans="1:4" x14ac:dyDescent="0.2">
      <c r="A75" s="3" t="s">
        <v>162</v>
      </c>
      <c r="B75" s="3" t="s">
        <v>1</v>
      </c>
      <c r="C75" s="3" t="s">
        <v>17</v>
      </c>
      <c r="D75" s="3" t="s">
        <v>947</v>
      </c>
    </row>
    <row r="76" spans="1:4" x14ac:dyDescent="0.2">
      <c r="A76" s="3" t="s">
        <v>401</v>
      </c>
      <c r="B76" s="3" t="s">
        <v>950</v>
      </c>
      <c r="C76" s="3" t="s">
        <v>17</v>
      </c>
      <c r="D76" s="3" t="s">
        <v>951</v>
      </c>
    </row>
    <row r="77" spans="1:4" x14ac:dyDescent="0.2">
      <c r="A77" s="3" t="s">
        <v>402</v>
      </c>
      <c r="B77" s="3" t="s">
        <v>950</v>
      </c>
      <c r="C77" s="3" t="s">
        <v>17</v>
      </c>
      <c r="D77" s="3" t="s">
        <v>951</v>
      </c>
    </row>
    <row r="78" spans="1:4" x14ac:dyDescent="0.2">
      <c r="A78" s="3" t="s">
        <v>105</v>
      </c>
      <c r="B78" s="3" t="s">
        <v>27</v>
      </c>
      <c r="C78" s="3" t="s">
        <v>952</v>
      </c>
      <c r="D78" s="3" t="s">
        <v>953</v>
      </c>
    </row>
    <row r="79" spans="1:4" x14ac:dyDescent="0.2">
      <c r="A79" s="3" t="s">
        <v>114</v>
      </c>
      <c r="B79" s="3" t="s">
        <v>27</v>
      </c>
      <c r="C79" s="3" t="s">
        <v>952</v>
      </c>
      <c r="D79" s="3" t="s">
        <v>953</v>
      </c>
    </row>
    <row r="80" spans="1:4" x14ac:dyDescent="0.2">
      <c r="A80" s="3" t="s">
        <v>182</v>
      </c>
      <c r="B80" s="3" t="s">
        <v>1</v>
      </c>
      <c r="C80" s="3" t="s">
        <v>19</v>
      </c>
      <c r="D80" s="3" t="s">
        <v>957</v>
      </c>
    </row>
    <row r="81" spans="1:4" x14ac:dyDescent="0.2">
      <c r="A81" s="3" t="s">
        <v>183</v>
      </c>
      <c r="B81" s="3" t="s">
        <v>1</v>
      </c>
      <c r="C81" s="3" t="s">
        <v>19</v>
      </c>
      <c r="D81" s="3" t="s">
        <v>957</v>
      </c>
    </row>
    <row r="82" spans="1:4" x14ac:dyDescent="0.2">
      <c r="A82" s="3" t="s">
        <v>181</v>
      </c>
      <c r="B82" s="3" t="s">
        <v>1</v>
      </c>
      <c r="C82" s="3" t="s">
        <v>29</v>
      </c>
      <c r="D82" s="3" t="s">
        <v>956</v>
      </c>
    </row>
    <row r="83" spans="1:4" x14ac:dyDescent="0.2">
      <c r="A83" s="3" t="s">
        <v>142</v>
      </c>
      <c r="B83" s="3" t="s">
        <v>1</v>
      </c>
      <c r="C83" s="3" t="s">
        <v>29</v>
      </c>
      <c r="D83" s="3" t="s">
        <v>933</v>
      </c>
    </row>
    <row r="84" spans="1:4" x14ac:dyDescent="0.2">
      <c r="A84" s="3" t="s">
        <v>143</v>
      </c>
      <c r="B84" s="3" t="s">
        <v>1</v>
      </c>
      <c r="C84" s="3" t="s">
        <v>29</v>
      </c>
      <c r="D84" s="3" t="s">
        <v>933</v>
      </c>
    </row>
    <row r="85" spans="1:4" x14ac:dyDescent="0.2">
      <c r="A85" s="3" t="s">
        <v>144</v>
      </c>
      <c r="B85" s="3" t="s">
        <v>1</v>
      </c>
      <c r="C85" s="3" t="s">
        <v>29</v>
      </c>
      <c r="D85" s="3" t="s">
        <v>933</v>
      </c>
    </row>
    <row r="86" spans="1:4" x14ac:dyDescent="0.2">
      <c r="A86" s="3" t="s">
        <v>145</v>
      </c>
      <c r="B86" s="3" t="s">
        <v>1</v>
      </c>
      <c r="C86" s="3" t="s">
        <v>29</v>
      </c>
      <c r="D86" s="3" t="s">
        <v>933</v>
      </c>
    </row>
    <row r="87" spans="1:4" x14ac:dyDescent="0.2">
      <c r="A87" s="3" t="s">
        <v>168</v>
      </c>
      <c r="B87" s="3" t="s">
        <v>1</v>
      </c>
      <c r="C87" s="3" t="s">
        <v>29</v>
      </c>
      <c r="D87" s="3" t="s">
        <v>933</v>
      </c>
    </row>
    <row r="88" spans="1:4" x14ac:dyDescent="0.2">
      <c r="A88" s="3" t="s">
        <v>169</v>
      </c>
      <c r="B88" s="3" t="s">
        <v>1</v>
      </c>
      <c r="C88" s="3" t="s">
        <v>29</v>
      </c>
      <c r="D88" s="3" t="s">
        <v>933</v>
      </c>
    </row>
    <row r="89" spans="1:4" x14ac:dyDescent="0.2">
      <c r="A89" s="3" t="s">
        <v>170</v>
      </c>
      <c r="B89" s="3" t="s">
        <v>1</v>
      </c>
      <c r="C89" s="3" t="s">
        <v>29</v>
      </c>
      <c r="D89" s="3" t="s">
        <v>933</v>
      </c>
    </row>
    <row r="90" spans="1:4" x14ac:dyDescent="0.2">
      <c r="A90" s="3" t="s">
        <v>171</v>
      </c>
      <c r="B90" s="3" t="s">
        <v>1</v>
      </c>
      <c r="C90" s="3" t="s">
        <v>29</v>
      </c>
      <c r="D90" s="3" t="s">
        <v>933</v>
      </c>
    </row>
    <row r="91" spans="1:4" x14ac:dyDescent="0.2">
      <c r="A91" s="3" t="s">
        <v>172</v>
      </c>
      <c r="B91" s="3" t="s">
        <v>1</v>
      </c>
      <c r="C91" s="3" t="s">
        <v>29</v>
      </c>
      <c r="D91" s="3" t="s">
        <v>933</v>
      </c>
    </row>
    <row r="92" spans="1:4" x14ac:dyDescent="0.2">
      <c r="A92" s="3" t="s">
        <v>173</v>
      </c>
      <c r="B92" s="3" t="s">
        <v>1</v>
      </c>
      <c r="C92" s="3" t="s">
        <v>29</v>
      </c>
      <c r="D92" s="3" t="s">
        <v>933</v>
      </c>
    </row>
    <row r="93" spans="1:4" x14ac:dyDescent="0.2">
      <c r="A93" s="3" t="s">
        <v>174</v>
      </c>
      <c r="B93" s="3" t="s">
        <v>1</v>
      </c>
      <c r="C93" s="3" t="s">
        <v>29</v>
      </c>
      <c r="D93" s="3" t="s">
        <v>933</v>
      </c>
    </row>
    <row r="94" spans="1:4" x14ac:dyDescent="0.2">
      <c r="A94" s="3" t="s">
        <v>175</v>
      </c>
      <c r="B94" s="3" t="s">
        <v>1</v>
      </c>
      <c r="C94" s="3" t="s">
        <v>29</v>
      </c>
      <c r="D94" s="3" t="s">
        <v>933</v>
      </c>
    </row>
    <row r="95" spans="1:4" x14ac:dyDescent="0.2">
      <c r="A95" s="3" t="s">
        <v>176</v>
      </c>
      <c r="B95" s="3" t="s">
        <v>1</v>
      </c>
      <c r="C95" s="3" t="s">
        <v>29</v>
      </c>
      <c r="D95" s="3" t="s">
        <v>933</v>
      </c>
    </row>
    <row r="96" spans="1:4" x14ac:dyDescent="0.2">
      <c r="A96" s="3" t="s">
        <v>177</v>
      </c>
      <c r="B96" s="3" t="s">
        <v>1</v>
      </c>
      <c r="C96" s="3" t="s">
        <v>29</v>
      </c>
      <c r="D96" s="3" t="s">
        <v>933</v>
      </c>
    </row>
    <row r="97" spans="1:4" x14ac:dyDescent="0.2">
      <c r="A97" s="3" t="s">
        <v>178</v>
      </c>
      <c r="B97" s="3" t="s">
        <v>1</v>
      </c>
      <c r="C97" s="3" t="s">
        <v>29</v>
      </c>
      <c r="D97" s="3" t="s">
        <v>933</v>
      </c>
    </row>
    <row r="98" spans="1:4" x14ac:dyDescent="0.2">
      <c r="A98" s="3" t="s">
        <v>184</v>
      </c>
      <c r="B98" s="3" t="s">
        <v>1</v>
      </c>
      <c r="C98" s="3" t="s">
        <v>29</v>
      </c>
      <c r="D98" s="3" t="s">
        <v>933</v>
      </c>
    </row>
    <row r="99" spans="1:4" x14ac:dyDescent="0.2">
      <c r="A99" s="3" t="s">
        <v>185</v>
      </c>
      <c r="B99" s="3" t="s">
        <v>1</v>
      </c>
      <c r="C99" s="3" t="s">
        <v>29</v>
      </c>
      <c r="D99" s="3" t="s">
        <v>933</v>
      </c>
    </row>
    <row r="100" spans="1:4" x14ac:dyDescent="0.2">
      <c r="A100" s="3" t="s">
        <v>186</v>
      </c>
      <c r="B100" s="3" t="s">
        <v>1</v>
      </c>
      <c r="C100" s="3" t="s">
        <v>29</v>
      </c>
      <c r="D100" s="3" t="s">
        <v>933</v>
      </c>
    </row>
    <row r="101" spans="1:4" x14ac:dyDescent="0.2">
      <c r="A101" s="3" t="s">
        <v>187</v>
      </c>
      <c r="B101" s="3" t="s">
        <v>1</v>
      </c>
      <c r="C101" s="3" t="s">
        <v>29</v>
      </c>
      <c r="D101" s="3" t="s">
        <v>933</v>
      </c>
    </row>
    <row r="102" spans="1:4" x14ac:dyDescent="0.2">
      <c r="A102" s="3" t="s">
        <v>1031</v>
      </c>
      <c r="B102" s="3" t="s">
        <v>1</v>
      </c>
      <c r="C102" s="3" t="s">
        <v>29</v>
      </c>
      <c r="D102" s="3" t="s">
        <v>933</v>
      </c>
    </row>
    <row r="103" spans="1:4" x14ac:dyDescent="0.2">
      <c r="A103" s="3" t="s">
        <v>188</v>
      </c>
      <c r="B103" s="3" t="s">
        <v>1</v>
      </c>
      <c r="C103" s="3" t="s">
        <v>29</v>
      </c>
      <c r="D103" s="3" t="s">
        <v>933</v>
      </c>
    </row>
    <row r="104" spans="1:4" x14ac:dyDescent="0.2">
      <c r="A104" s="3" t="s">
        <v>189</v>
      </c>
      <c r="B104" s="3" t="s">
        <v>1</v>
      </c>
      <c r="C104" s="3" t="s">
        <v>29</v>
      </c>
      <c r="D104" s="3" t="s">
        <v>933</v>
      </c>
    </row>
    <row r="105" spans="1:4" x14ac:dyDescent="0.2">
      <c r="A105" s="3" t="s">
        <v>42</v>
      </c>
      <c r="B105" s="3" t="s">
        <v>1</v>
      </c>
      <c r="C105" s="3" t="s">
        <v>17</v>
      </c>
      <c r="D105" s="3" t="s">
        <v>933</v>
      </c>
    </row>
    <row r="106" spans="1:4" x14ac:dyDescent="0.2">
      <c r="A106" s="3" t="s">
        <v>1523</v>
      </c>
      <c r="B106" s="3" t="s">
        <v>1</v>
      </c>
      <c r="C106" s="3" t="s">
        <v>17</v>
      </c>
      <c r="D106" s="3" t="s">
        <v>933</v>
      </c>
    </row>
    <row r="107" spans="1:4" x14ac:dyDescent="0.2">
      <c r="A107" s="3" t="s">
        <v>400</v>
      </c>
      <c r="B107" s="3" t="s">
        <v>1</v>
      </c>
      <c r="C107" s="3" t="s">
        <v>29</v>
      </c>
      <c r="D107" s="3" t="s">
        <v>933</v>
      </c>
    </row>
    <row r="108" spans="1:4" x14ac:dyDescent="0.2">
      <c r="A108" s="3" t="s">
        <v>167</v>
      </c>
      <c r="B108" s="3" t="s">
        <v>1</v>
      </c>
      <c r="C108" s="3" t="s">
        <v>17</v>
      </c>
      <c r="D108" s="3" t="s">
        <v>954</v>
      </c>
    </row>
    <row r="109" spans="1:4" x14ac:dyDescent="0.2">
      <c r="A109" s="3" t="s">
        <v>208</v>
      </c>
      <c r="B109" s="3" t="s">
        <v>1</v>
      </c>
      <c r="C109" s="3" t="s">
        <v>17</v>
      </c>
      <c r="D109" s="3" t="s">
        <v>954</v>
      </c>
    </row>
    <row r="110" spans="1:4" x14ac:dyDescent="0.2">
      <c r="A110" s="3" t="s">
        <v>197</v>
      </c>
      <c r="B110" s="3" t="s">
        <v>1</v>
      </c>
      <c r="C110" s="3" t="s">
        <v>945</v>
      </c>
      <c r="D110" s="3" t="s">
        <v>961</v>
      </c>
    </row>
    <row r="111" spans="1:4" x14ac:dyDescent="0.2">
      <c r="A111" s="3" t="s">
        <v>212</v>
      </c>
      <c r="B111" s="3" t="s">
        <v>1</v>
      </c>
      <c r="C111" s="3" t="s">
        <v>945</v>
      </c>
      <c r="D111" s="3" t="s">
        <v>961</v>
      </c>
    </row>
    <row r="112" spans="1:4" x14ac:dyDescent="0.2">
      <c r="A112" s="3" t="s">
        <v>214</v>
      </c>
      <c r="B112" s="3" t="s">
        <v>1</v>
      </c>
      <c r="C112" s="3" t="s">
        <v>945</v>
      </c>
      <c r="D112" s="3" t="s">
        <v>961</v>
      </c>
    </row>
    <row r="113" spans="1:4" x14ac:dyDescent="0.2">
      <c r="A113" s="3" t="s">
        <v>215</v>
      </c>
      <c r="B113" s="3" t="s">
        <v>1</v>
      </c>
      <c r="C113" s="3" t="s">
        <v>945</v>
      </c>
      <c r="D113" s="3" t="s">
        <v>961</v>
      </c>
    </row>
    <row r="114" spans="1:4" x14ac:dyDescent="0.2">
      <c r="A114" s="3" t="s">
        <v>216</v>
      </c>
      <c r="B114" s="3" t="s">
        <v>1</v>
      </c>
      <c r="C114" s="3" t="s">
        <v>945</v>
      </c>
      <c r="D114" s="3" t="s">
        <v>961</v>
      </c>
    </row>
    <row r="115" spans="1:4" x14ac:dyDescent="0.2">
      <c r="A115" s="3" t="s">
        <v>217</v>
      </c>
      <c r="B115" s="3" t="s">
        <v>1</v>
      </c>
      <c r="C115" s="3" t="s">
        <v>945</v>
      </c>
      <c r="D115" s="3" t="s">
        <v>961</v>
      </c>
    </row>
    <row r="116" spans="1:4" x14ac:dyDescent="0.2">
      <c r="A116" s="3" t="s">
        <v>218</v>
      </c>
      <c r="B116" s="3" t="s">
        <v>1</v>
      </c>
      <c r="C116" s="3" t="s">
        <v>945</v>
      </c>
      <c r="D116" s="3" t="s">
        <v>961</v>
      </c>
    </row>
    <row r="117" spans="1:4" x14ac:dyDescent="0.2">
      <c r="A117" s="3" t="s">
        <v>219</v>
      </c>
      <c r="B117" s="3" t="s">
        <v>1</v>
      </c>
      <c r="C117" s="3" t="s">
        <v>945</v>
      </c>
      <c r="D117" s="3" t="s">
        <v>961</v>
      </c>
    </row>
    <row r="118" spans="1:4" x14ac:dyDescent="0.2">
      <c r="A118" s="3" t="s">
        <v>220</v>
      </c>
      <c r="B118" s="3" t="s">
        <v>1</v>
      </c>
      <c r="C118" s="3" t="s">
        <v>945</v>
      </c>
      <c r="D118" s="3" t="s">
        <v>961</v>
      </c>
    </row>
    <row r="119" spans="1:4" x14ac:dyDescent="0.2">
      <c r="A119" s="3" t="s">
        <v>221</v>
      </c>
      <c r="B119" s="3" t="s">
        <v>1</v>
      </c>
      <c r="C119" s="3" t="s">
        <v>945</v>
      </c>
      <c r="D119" s="3" t="s">
        <v>961</v>
      </c>
    </row>
    <row r="120" spans="1:4" x14ac:dyDescent="0.2">
      <c r="A120" s="3" t="s">
        <v>222</v>
      </c>
      <c r="B120" s="3" t="s">
        <v>1</v>
      </c>
      <c r="C120" s="3" t="s">
        <v>945</v>
      </c>
      <c r="D120" s="3" t="s">
        <v>961</v>
      </c>
    </row>
    <row r="121" spans="1:4" x14ac:dyDescent="0.2">
      <c r="A121" s="3" t="s">
        <v>223</v>
      </c>
      <c r="B121" s="3" t="s">
        <v>1</v>
      </c>
      <c r="C121" s="3" t="s">
        <v>945</v>
      </c>
      <c r="D121" s="3" t="s">
        <v>961</v>
      </c>
    </row>
    <row r="122" spans="1:4" x14ac:dyDescent="0.2">
      <c r="A122" s="3" t="s">
        <v>224</v>
      </c>
      <c r="B122" s="3" t="s">
        <v>1</v>
      </c>
      <c r="C122" s="3" t="s">
        <v>945</v>
      </c>
      <c r="D122" s="3" t="s">
        <v>961</v>
      </c>
    </row>
    <row r="123" spans="1:4" x14ac:dyDescent="0.2">
      <c r="A123" s="3" t="s">
        <v>225</v>
      </c>
      <c r="B123" s="3" t="s">
        <v>1</v>
      </c>
      <c r="C123" s="3" t="s">
        <v>945</v>
      </c>
      <c r="D123" s="3" t="s">
        <v>961</v>
      </c>
    </row>
    <row r="124" spans="1:4" x14ac:dyDescent="0.2">
      <c r="A124" s="3" t="s">
        <v>226</v>
      </c>
      <c r="B124" s="3" t="s">
        <v>1</v>
      </c>
      <c r="C124" s="3" t="s">
        <v>945</v>
      </c>
      <c r="D124" s="3" t="s">
        <v>961</v>
      </c>
    </row>
    <row r="125" spans="1:4" x14ac:dyDescent="0.2">
      <c r="A125" s="3" t="s">
        <v>227</v>
      </c>
      <c r="B125" s="3" t="s">
        <v>1</v>
      </c>
      <c r="C125" s="3" t="s">
        <v>945</v>
      </c>
      <c r="D125" s="3" t="s">
        <v>961</v>
      </c>
    </row>
    <row r="126" spans="1:4" x14ac:dyDescent="0.2">
      <c r="A126" s="3" t="s">
        <v>228</v>
      </c>
      <c r="B126" s="3" t="s">
        <v>1</v>
      </c>
      <c r="C126" s="3" t="s">
        <v>945</v>
      </c>
      <c r="D126" s="3" t="s">
        <v>961</v>
      </c>
    </row>
    <row r="127" spans="1:4" x14ac:dyDescent="0.2">
      <c r="A127" s="3" t="s">
        <v>229</v>
      </c>
      <c r="B127" s="3" t="s">
        <v>1</v>
      </c>
      <c r="C127" s="3" t="s">
        <v>945</v>
      </c>
      <c r="D127" s="3" t="s">
        <v>961</v>
      </c>
    </row>
    <row r="128" spans="1:4" x14ac:dyDescent="0.2">
      <c r="A128" s="3" t="s">
        <v>230</v>
      </c>
      <c r="B128" s="3" t="s">
        <v>1</v>
      </c>
      <c r="C128" s="3" t="s">
        <v>945</v>
      </c>
      <c r="D128" s="3" t="s">
        <v>961</v>
      </c>
    </row>
    <row r="129" spans="1:4" x14ac:dyDescent="0.2">
      <c r="A129" s="3" t="s">
        <v>231</v>
      </c>
      <c r="B129" s="3" t="s">
        <v>1</v>
      </c>
      <c r="C129" s="3" t="s">
        <v>945</v>
      </c>
      <c r="D129" s="3" t="s">
        <v>961</v>
      </c>
    </row>
    <row r="130" spans="1:4" x14ac:dyDescent="0.2">
      <c r="A130" s="3" t="s">
        <v>232</v>
      </c>
      <c r="B130" s="3" t="s">
        <v>1</v>
      </c>
      <c r="C130" s="3" t="s">
        <v>945</v>
      </c>
      <c r="D130" s="3" t="s">
        <v>961</v>
      </c>
    </row>
    <row r="131" spans="1:4" x14ac:dyDescent="0.2">
      <c r="A131" s="3" t="s">
        <v>233</v>
      </c>
      <c r="B131" s="3" t="s">
        <v>1</v>
      </c>
      <c r="C131" s="3" t="s">
        <v>945</v>
      </c>
      <c r="D131" s="3" t="s">
        <v>961</v>
      </c>
    </row>
    <row r="132" spans="1:4" x14ac:dyDescent="0.2">
      <c r="A132" s="3" t="s">
        <v>234</v>
      </c>
      <c r="B132" s="3" t="s">
        <v>1</v>
      </c>
      <c r="C132" s="3" t="s">
        <v>945</v>
      </c>
      <c r="D132" s="3" t="s">
        <v>961</v>
      </c>
    </row>
    <row r="133" spans="1:4" x14ac:dyDescent="0.2">
      <c r="A133" s="3" t="s">
        <v>237</v>
      </c>
      <c r="B133" s="3" t="s">
        <v>1</v>
      </c>
      <c r="C133" s="3" t="s">
        <v>945</v>
      </c>
      <c r="D133" s="3" t="s">
        <v>961</v>
      </c>
    </row>
    <row r="134" spans="1:4" x14ac:dyDescent="0.2">
      <c r="A134" s="3" t="s">
        <v>238</v>
      </c>
      <c r="B134" s="3" t="s">
        <v>1</v>
      </c>
      <c r="C134" s="3" t="s">
        <v>945</v>
      </c>
      <c r="D134" s="3" t="s">
        <v>961</v>
      </c>
    </row>
    <row r="135" spans="1:4" x14ac:dyDescent="0.2">
      <c r="A135" s="3" t="s">
        <v>239</v>
      </c>
      <c r="B135" s="3" t="s">
        <v>1</v>
      </c>
      <c r="C135" s="3" t="s">
        <v>945</v>
      </c>
      <c r="D135" s="3" t="s">
        <v>961</v>
      </c>
    </row>
    <row r="136" spans="1:4" x14ac:dyDescent="0.2">
      <c r="A136" s="3" t="s">
        <v>240</v>
      </c>
      <c r="B136" s="3" t="s">
        <v>1</v>
      </c>
      <c r="C136" s="3" t="s">
        <v>945</v>
      </c>
      <c r="D136" s="3" t="s">
        <v>961</v>
      </c>
    </row>
    <row r="137" spans="1:4" x14ac:dyDescent="0.2">
      <c r="A137" s="3" t="s">
        <v>242</v>
      </c>
      <c r="B137" s="3" t="s">
        <v>1</v>
      </c>
      <c r="C137" s="3" t="s">
        <v>945</v>
      </c>
      <c r="D137" s="3" t="s">
        <v>961</v>
      </c>
    </row>
    <row r="138" spans="1:4" x14ac:dyDescent="0.2">
      <c r="A138" s="3" t="s">
        <v>243</v>
      </c>
      <c r="B138" s="3" t="s">
        <v>1</v>
      </c>
      <c r="C138" s="3" t="s">
        <v>945</v>
      </c>
      <c r="D138" s="3" t="s">
        <v>961</v>
      </c>
    </row>
    <row r="139" spans="1:4" x14ac:dyDescent="0.2">
      <c r="A139" s="3" t="s">
        <v>244</v>
      </c>
      <c r="B139" s="3" t="s">
        <v>1</v>
      </c>
      <c r="C139" s="3" t="s">
        <v>945</v>
      </c>
      <c r="D139" s="3" t="s">
        <v>961</v>
      </c>
    </row>
    <row r="140" spans="1:4" x14ac:dyDescent="0.2">
      <c r="A140" s="3" t="s">
        <v>245</v>
      </c>
      <c r="B140" s="3" t="s">
        <v>1</v>
      </c>
      <c r="C140" s="3" t="s">
        <v>945</v>
      </c>
      <c r="D140" s="3" t="s">
        <v>961</v>
      </c>
    </row>
    <row r="141" spans="1:4" x14ac:dyDescent="0.2">
      <c r="A141" s="3" t="s">
        <v>246</v>
      </c>
      <c r="B141" s="3" t="s">
        <v>1</v>
      </c>
      <c r="C141" s="3" t="s">
        <v>945</v>
      </c>
      <c r="D141" s="3" t="s">
        <v>961</v>
      </c>
    </row>
    <row r="142" spans="1:4" x14ac:dyDescent="0.2">
      <c r="A142" s="3" t="s">
        <v>247</v>
      </c>
      <c r="B142" s="3" t="s">
        <v>1</v>
      </c>
      <c r="C142" s="3" t="s">
        <v>945</v>
      </c>
      <c r="D142" s="3" t="s">
        <v>961</v>
      </c>
    </row>
    <row r="143" spans="1:4" x14ac:dyDescent="0.2">
      <c r="A143" s="3" t="s">
        <v>248</v>
      </c>
      <c r="B143" s="3" t="s">
        <v>1</v>
      </c>
      <c r="C143" s="3" t="s">
        <v>945</v>
      </c>
      <c r="D143" s="3" t="s">
        <v>961</v>
      </c>
    </row>
    <row r="144" spans="1:4" x14ac:dyDescent="0.2">
      <c r="A144" s="3" t="s">
        <v>249</v>
      </c>
      <c r="B144" s="3" t="s">
        <v>1</v>
      </c>
      <c r="C144" s="3" t="s">
        <v>945</v>
      </c>
      <c r="D144" s="3" t="s">
        <v>961</v>
      </c>
    </row>
    <row r="145" spans="1:4" x14ac:dyDescent="0.2">
      <c r="A145" s="3" t="s">
        <v>250</v>
      </c>
      <c r="B145" s="3" t="s">
        <v>1</v>
      </c>
      <c r="C145" s="3" t="s">
        <v>945</v>
      </c>
      <c r="D145" s="3" t="s">
        <v>961</v>
      </c>
    </row>
    <row r="146" spans="1:4" x14ac:dyDescent="0.2">
      <c r="A146" s="3" t="s">
        <v>251</v>
      </c>
      <c r="B146" s="3" t="s">
        <v>1</v>
      </c>
      <c r="C146" s="3" t="s">
        <v>945</v>
      </c>
      <c r="D146" s="3" t="s">
        <v>961</v>
      </c>
    </row>
    <row r="147" spans="1:4" x14ac:dyDescent="0.2">
      <c r="A147" s="3" t="s">
        <v>252</v>
      </c>
      <c r="B147" s="3" t="s">
        <v>1</v>
      </c>
      <c r="C147" s="3" t="s">
        <v>945</v>
      </c>
      <c r="D147" s="3" t="s">
        <v>961</v>
      </c>
    </row>
    <row r="148" spans="1:4" x14ac:dyDescent="0.2">
      <c r="A148" s="3" t="s">
        <v>253</v>
      </c>
      <c r="B148" s="3" t="s">
        <v>1</v>
      </c>
      <c r="C148" s="3" t="s">
        <v>945</v>
      </c>
      <c r="D148" s="3" t="s">
        <v>961</v>
      </c>
    </row>
    <row r="149" spans="1:4" x14ac:dyDescent="0.2">
      <c r="A149" s="3" t="s">
        <v>254</v>
      </c>
      <c r="B149" s="3" t="s">
        <v>1</v>
      </c>
      <c r="C149" s="3" t="s">
        <v>945</v>
      </c>
      <c r="D149" s="3" t="s">
        <v>961</v>
      </c>
    </row>
    <row r="150" spans="1:4" x14ac:dyDescent="0.2">
      <c r="A150" s="3" t="s">
        <v>255</v>
      </c>
      <c r="B150" s="3" t="s">
        <v>1</v>
      </c>
      <c r="C150" s="3" t="s">
        <v>945</v>
      </c>
      <c r="D150" s="3" t="s">
        <v>961</v>
      </c>
    </row>
    <row r="151" spans="1:4" x14ac:dyDescent="0.2">
      <c r="A151" s="3" t="s">
        <v>256</v>
      </c>
      <c r="B151" s="3" t="s">
        <v>1</v>
      </c>
      <c r="C151" s="3" t="s">
        <v>945</v>
      </c>
      <c r="D151" s="3" t="s">
        <v>961</v>
      </c>
    </row>
    <row r="152" spans="1:4" x14ac:dyDescent="0.2">
      <c r="A152" s="3" t="s">
        <v>257</v>
      </c>
      <c r="B152" s="3" t="s">
        <v>1</v>
      </c>
      <c r="C152" s="3" t="s">
        <v>945</v>
      </c>
      <c r="D152" s="3" t="s">
        <v>961</v>
      </c>
    </row>
    <row r="153" spans="1:4" x14ac:dyDescent="0.2">
      <c r="A153" s="3" t="s">
        <v>259</v>
      </c>
      <c r="B153" s="3" t="s">
        <v>1</v>
      </c>
      <c r="C153" s="3" t="s">
        <v>945</v>
      </c>
      <c r="D153" s="3" t="s">
        <v>961</v>
      </c>
    </row>
    <row r="154" spans="1:4" x14ac:dyDescent="0.2">
      <c r="A154" s="3" t="s">
        <v>260</v>
      </c>
      <c r="B154" s="3" t="s">
        <v>1</v>
      </c>
      <c r="C154" s="3" t="s">
        <v>945</v>
      </c>
      <c r="D154" s="3" t="s">
        <v>961</v>
      </c>
    </row>
    <row r="155" spans="1:4" x14ac:dyDescent="0.2">
      <c r="A155" s="3" t="s">
        <v>262</v>
      </c>
      <c r="B155" s="3" t="s">
        <v>1</v>
      </c>
      <c r="C155" s="3" t="s">
        <v>945</v>
      </c>
      <c r="D155" s="3" t="s">
        <v>961</v>
      </c>
    </row>
    <row r="156" spans="1:4" x14ac:dyDescent="0.2">
      <c r="A156" s="3" t="s">
        <v>263</v>
      </c>
      <c r="B156" s="3" t="s">
        <v>1</v>
      </c>
      <c r="C156" s="3" t="s">
        <v>945</v>
      </c>
      <c r="D156" s="3" t="s">
        <v>961</v>
      </c>
    </row>
    <row r="157" spans="1:4" x14ac:dyDescent="0.2">
      <c r="A157" s="3" t="s">
        <v>264</v>
      </c>
      <c r="B157" s="3" t="s">
        <v>1</v>
      </c>
      <c r="C157" s="3" t="s">
        <v>945</v>
      </c>
      <c r="D157" s="3" t="s">
        <v>961</v>
      </c>
    </row>
    <row r="158" spans="1:4" x14ac:dyDescent="0.2">
      <c r="A158" s="3" t="s">
        <v>265</v>
      </c>
      <c r="B158" s="3" t="s">
        <v>1</v>
      </c>
      <c r="C158" s="3" t="s">
        <v>945</v>
      </c>
      <c r="D158" s="3" t="s">
        <v>961</v>
      </c>
    </row>
    <row r="159" spans="1:4" x14ac:dyDescent="0.2">
      <c r="A159" s="3" t="s">
        <v>266</v>
      </c>
      <c r="B159" s="3" t="s">
        <v>1</v>
      </c>
      <c r="C159" s="3" t="s">
        <v>945</v>
      </c>
      <c r="D159" s="3" t="s">
        <v>961</v>
      </c>
    </row>
    <row r="160" spans="1:4" x14ac:dyDescent="0.2">
      <c r="A160" s="3" t="s">
        <v>267</v>
      </c>
      <c r="B160" s="3" t="s">
        <v>1</v>
      </c>
      <c r="C160" s="3" t="s">
        <v>945</v>
      </c>
      <c r="D160" s="3" t="s">
        <v>961</v>
      </c>
    </row>
    <row r="161" spans="1:4" x14ac:dyDescent="0.2">
      <c r="A161" s="3" t="s">
        <v>268</v>
      </c>
      <c r="B161" s="3" t="s">
        <v>1</v>
      </c>
      <c r="C161" s="3" t="s">
        <v>945</v>
      </c>
      <c r="D161" s="3" t="s">
        <v>961</v>
      </c>
    </row>
    <row r="162" spans="1:4" x14ac:dyDescent="0.2">
      <c r="A162" s="3" t="s">
        <v>269</v>
      </c>
      <c r="B162" s="3" t="s">
        <v>1</v>
      </c>
      <c r="C162" s="3" t="s">
        <v>945</v>
      </c>
      <c r="D162" s="3" t="s">
        <v>961</v>
      </c>
    </row>
    <row r="163" spans="1:4" x14ac:dyDescent="0.2">
      <c r="A163" s="3" t="s">
        <v>270</v>
      </c>
      <c r="B163" s="3" t="s">
        <v>1</v>
      </c>
      <c r="C163" s="3" t="s">
        <v>945</v>
      </c>
      <c r="D163" s="3" t="s">
        <v>961</v>
      </c>
    </row>
    <row r="164" spans="1:4" x14ac:dyDescent="0.2">
      <c r="A164" s="3" t="s">
        <v>271</v>
      </c>
      <c r="B164" s="3" t="s">
        <v>1</v>
      </c>
      <c r="C164" s="3" t="s">
        <v>945</v>
      </c>
      <c r="D164" s="3" t="s">
        <v>961</v>
      </c>
    </row>
    <row r="165" spans="1:4" x14ac:dyDescent="0.2">
      <c r="A165" s="3" t="s">
        <v>272</v>
      </c>
      <c r="B165" s="3" t="s">
        <v>1</v>
      </c>
      <c r="C165" s="3" t="s">
        <v>945</v>
      </c>
      <c r="D165" s="3" t="s">
        <v>961</v>
      </c>
    </row>
    <row r="166" spans="1:4" x14ac:dyDescent="0.2">
      <c r="A166" s="3" t="s">
        <v>273</v>
      </c>
      <c r="B166" s="3" t="s">
        <v>1</v>
      </c>
      <c r="C166" s="3" t="s">
        <v>945</v>
      </c>
      <c r="D166" s="3" t="s">
        <v>961</v>
      </c>
    </row>
    <row r="167" spans="1:4" x14ac:dyDescent="0.2">
      <c r="A167" s="3" t="s">
        <v>283</v>
      </c>
      <c r="B167" s="3" t="s">
        <v>1</v>
      </c>
      <c r="C167" s="3" t="s">
        <v>945</v>
      </c>
      <c r="D167" s="3" t="s">
        <v>961</v>
      </c>
    </row>
    <row r="168" spans="1:4" x14ac:dyDescent="0.2">
      <c r="A168" s="3" t="s">
        <v>284</v>
      </c>
      <c r="B168" s="3" t="s">
        <v>1</v>
      </c>
      <c r="C168" s="3" t="s">
        <v>945</v>
      </c>
      <c r="D168" s="3" t="s">
        <v>961</v>
      </c>
    </row>
    <row r="169" spans="1:4" x14ac:dyDescent="0.2">
      <c r="A169" s="3" t="s">
        <v>285</v>
      </c>
      <c r="B169" s="3" t="s">
        <v>1</v>
      </c>
      <c r="C169" s="3" t="s">
        <v>945</v>
      </c>
      <c r="D169" s="3" t="s">
        <v>961</v>
      </c>
    </row>
    <row r="170" spans="1:4" x14ac:dyDescent="0.2">
      <c r="A170" s="3" t="s">
        <v>294</v>
      </c>
      <c r="B170" s="3" t="s">
        <v>1</v>
      </c>
      <c r="C170" s="3" t="s">
        <v>945</v>
      </c>
      <c r="D170" s="3" t="s">
        <v>961</v>
      </c>
    </row>
    <row r="171" spans="1:4" x14ac:dyDescent="0.2">
      <c r="A171" s="3" t="s">
        <v>295</v>
      </c>
      <c r="B171" s="3" t="s">
        <v>1</v>
      </c>
      <c r="C171" s="3" t="s">
        <v>945</v>
      </c>
      <c r="D171" s="3" t="s">
        <v>961</v>
      </c>
    </row>
    <row r="172" spans="1:4" x14ac:dyDescent="0.2">
      <c r="A172" s="3" t="s">
        <v>301</v>
      </c>
      <c r="B172" s="3" t="s">
        <v>1</v>
      </c>
      <c r="C172" s="3" t="s">
        <v>945</v>
      </c>
      <c r="D172" s="3" t="s">
        <v>961</v>
      </c>
    </row>
    <row r="173" spans="1:4" x14ac:dyDescent="0.2">
      <c r="A173" s="3" t="s">
        <v>302</v>
      </c>
      <c r="B173" s="3" t="s">
        <v>1</v>
      </c>
      <c r="C173" s="3" t="s">
        <v>945</v>
      </c>
      <c r="D173" s="3" t="s">
        <v>961</v>
      </c>
    </row>
    <row r="174" spans="1:4" x14ac:dyDescent="0.2">
      <c r="A174" s="3" t="s">
        <v>303</v>
      </c>
      <c r="B174" s="3" t="s">
        <v>1</v>
      </c>
      <c r="C174" s="3" t="s">
        <v>945</v>
      </c>
      <c r="D174" s="3" t="s">
        <v>961</v>
      </c>
    </row>
    <row r="175" spans="1:4" x14ac:dyDescent="0.2">
      <c r="A175" s="3" t="s">
        <v>304</v>
      </c>
      <c r="B175" s="3" t="s">
        <v>1</v>
      </c>
      <c r="C175" s="3" t="s">
        <v>945</v>
      </c>
      <c r="D175" s="3" t="s">
        <v>961</v>
      </c>
    </row>
    <row r="176" spans="1:4" x14ac:dyDescent="0.2">
      <c r="A176" s="3" t="s">
        <v>305</v>
      </c>
      <c r="B176" s="3" t="s">
        <v>1</v>
      </c>
      <c r="C176" s="3" t="s">
        <v>945</v>
      </c>
      <c r="D176" s="3" t="s">
        <v>961</v>
      </c>
    </row>
    <row r="177" spans="1:4" x14ac:dyDescent="0.2">
      <c r="A177" s="3" t="s">
        <v>306</v>
      </c>
      <c r="B177" s="3" t="s">
        <v>1</v>
      </c>
      <c r="C177" s="3" t="s">
        <v>945</v>
      </c>
      <c r="D177" s="3" t="s">
        <v>961</v>
      </c>
    </row>
    <row r="178" spans="1:4" x14ac:dyDescent="0.2">
      <c r="A178" s="3" t="s">
        <v>307</v>
      </c>
      <c r="B178" s="3" t="s">
        <v>1</v>
      </c>
      <c r="C178" s="3" t="s">
        <v>945</v>
      </c>
      <c r="D178" s="3" t="s">
        <v>961</v>
      </c>
    </row>
    <row r="179" spans="1:4" x14ac:dyDescent="0.2">
      <c r="A179" s="3" t="s">
        <v>308</v>
      </c>
      <c r="B179" s="3" t="s">
        <v>1</v>
      </c>
      <c r="C179" s="3" t="s">
        <v>945</v>
      </c>
      <c r="D179" s="3" t="s">
        <v>961</v>
      </c>
    </row>
    <row r="180" spans="1:4" x14ac:dyDescent="0.2">
      <c r="A180" s="3" t="s">
        <v>313</v>
      </c>
      <c r="B180" s="3" t="s">
        <v>1</v>
      </c>
      <c r="C180" s="3" t="s">
        <v>945</v>
      </c>
      <c r="D180" s="3" t="s">
        <v>961</v>
      </c>
    </row>
    <row r="181" spans="1:4" x14ac:dyDescent="0.2">
      <c r="A181" s="3" t="s">
        <v>331</v>
      </c>
      <c r="B181" s="3" t="s">
        <v>1</v>
      </c>
      <c r="C181" s="3" t="s">
        <v>945</v>
      </c>
      <c r="D181" s="3" t="s">
        <v>961</v>
      </c>
    </row>
    <row r="182" spans="1:4" x14ac:dyDescent="0.2">
      <c r="A182" s="3" t="s">
        <v>349</v>
      </c>
      <c r="B182" s="3" t="s">
        <v>1</v>
      </c>
      <c r="C182" s="3" t="s">
        <v>945</v>
      </c>
      <c r="D182" s="3" t="s">
        <v>961</v>
      </c>
    </row>
    <row r="183" spans="1:4" x14ac:dyDescent="0.2">
      <c r="A183" s="3" t="s">
        <v>350</v>
      </c>
      <c r="B183" s="3" t="s">
        <v>1</v>
      </c>
      <c r="C183" s="3" t="s">
        <v>945</v>
      </c>
      <c r="D183" s="3" t="s">
        <v>961</v>
      </c>
    </row>
    <row r="184" spans="1:4" x14ac:dyDescent="0.2">
      <c r="A184" s="3" t="s">
        <v>370</v>
      </c>
      <c r="B184" s="3" t="s">
        <v>1</v>
      </c>
      <c r="C184" s="3" t="s">
        <v>945</v>
      </c>
      <c r="D184" s="3" t="s">
        <v>961</v>
      </c>
    </row>
    <row r="185" spans="1:4" x14ac:dyDescent="0.2">
      <c r="A185" s="3" t="s">
        <v>388</v>
      </c>
      <c r="B185" s="3" t="s">
        <v>1</v>
      </c>
      <c r="C185" s="3" t="s">
        <v>945</v>
      </c>
      <c r="D185" s="3" t="s">
        <v>961</v>
      </c>
    </row>
    <row r="186" spans="1:4" x14ac:dyDescent="0.2">
      <c r="A186" s="3" t="s">
        <v>389</v>
      </c>
      <c r="B186" s="3" t="s">
        <v>1</v>
      </c>
      <c r="C186" s="3" t="s">
        <v>945</v>
      </c>
      <c r="D186" s="3" t="s">
        <v>961</v>
      </c>
    </row>
    <row r="187" spans="1:4" x14ac:dyDescent="0.2">
      <c r="A187" s="3" t="s">
        <v>390</v>
      </c>
      <c r="B187" s="3" t="s">
        <v>1</v>
      </c>
      <c r="C187" s="3" t="s">
        <v>945</v>
      </c>
      <c r="D187" s="3" t="s">
        <v>961</v>
      </c>
    </row>
    <row r="188" spans="1:4" x14ac:dyDescent="0.2">
      <c r="A188" s="3" t="s">
        <v>391</v>
      </c>
      <c r="B188" s="3" t="s">
        <v>1</v>
      </c>
      <c r="C188" s="3" t="s">
        <v>945</v>
      </c>
      <c r="D188" s="3" t="s">
        <v>961</v>
      </c>
    </row>
    <row r="189" spans="1:4" x14ac:dyDescent="0.2">
      <c r="A189" s="3" t="s">
        <v>392</v>
      </c>
      <c r="B189" s="3" t="s">
        <v>1</v>
      </c>
      <c r="C189" s="3" t="s">
        <v>945</v>
      </c>
      <c r="D189" s="3" t="s">
        <v>961</v>
      </c>
    </row>
    <row r="190" spans="1:4" x14ac:dyDescent="0.2">
      <c r="A190" s="3" t="s">
        <v>393</v>
      </c>
      <c r="B190" s="3" t="s">
        <v>1</v>
      </c>
      <c r="C190" s="3" t="s">
        <v>945</v>
      </c>
      <c r="D190" s="3" t="s">
        <v>961</v>
      </c>
    </row>
    <row r="191" spans="1:4" x14ac:dyDescent="0.2">
      <c r="A191" s="3" t="s">
        <v>108</v>
      </c>
      <c r="B191" s="3" t="s">
        <v>27</v>
      </c>
      <c r="C191" s="3" t="s">
        <v>945</v>
      </c>
      <c r="D191" s="3" t="s">
        <v>974</v>
      </c>
    </row>
    <row r="192" spans="1:4" x14ac:dyDescent="0.2">
      <c r="A192" s="3" t="s">
        <v>109</v>
      </c>
      <c r="B192" s="3" t="s">
        <v>27</v>
      </c>
      <c r="C192" s="3" t="s">
        <v>945</v>
      </c>
      <c r="D192" s="3" t="s">
        <v>974</v>
      </c>
    </row>
    <row r="193" spans="1:4" x14ac:dyDescent="0.2">
      <c r="A193" s="3" t="s">
        <v>110</v>
      </c>
      <c r="B193" s="3" t="s">
        <v>27</v>
      </c>
      <c r="C193" s="3" t="s">
        <v>945</v>
      </c>
      <c r="D193" s="3" t="s">
        <v>974</v>
      </c>
    </row>
    <row r="194" spans="1:4" x14ac:dyDescent="0.2">
      <c r="A194" s="3" t="s">
        <v>111</v>
      </c>
      <c r="B194" s="3" t="s">
        <v>27</v>
      </c>
      <c r="C194" s="3" t="s">
        <v>945</v>
      </c>
      <c r="D194" s="3" t="s">
        <v>974</v>
      </c>
    </row>
    <row r="195" spans="1:4" x14ac:dyDescent="0.2">
      <c r="A195" s="3" t="s">
        <v>112</v>
      </c>
      <c r="B195" s="3" t="s">
        <v>27</v>
      </c>
      <c r="C195" s="3" t="s">
        <v>945</v>
      </c>
      <c r="D195" s="3" t="s">
        <v>974</v>
      </c>
    </row>
    <row r="196" spans="1:4" x14ac:dyDescent="0.2">
      <c r="A196" s="3" t="s">
        <v>113</v>
      </c>
      <c r="B196" s="3" t="s">
        <v>27</v>
      </c>
      <c r="C196" s="3" t="s">
        <v>945</v>
      </c>
      <c r="D196" s="3" t="s">
        <v>974</v>
      </c>
    </row>
    <row r="197" spans="1:4" x14ac:dyDescent="0.2">
      <c r="A197" s="3" t="s">
        <v>121</v>
      </c>
      <c r="B197" s="3" t="s">
        <v>27</v>
      </c>
      <c r="C197" s="3" t="s">
        <v>945</v>
      </c>
      <c r="D197" s="3" t="s">
        <v>974</v>
      </c>
    </row>
    <row r="198" spans="1:4" x14ac:dyDescent="0.2">
      <c r="A198" s="3" t="s">
        <v>164</v>
      </c>
      <c r="B198" s="3" t="s">
        <v>1</v>
      </c>
      <c r="C198" s="3" t="s">
        <v>17</v>
      </c>
      <c r="D198" s="3" t="s">
        <v>949</v>
      </c>
    </row>
    <row r="199" spans="1:4" x14ac:dyDescent="0.2">
      <c r="A199" s="3" t="s">
        <v>165</v>
      </c>
      <c r="B199" s="3" t="s">
        <v>1</v>
      </c>
      <c r="C199" s="3" t="s">
        <v>17</v>
      </c>
      <c r="D199" s="3" t="s">
        <v>949</v>
      </c>
    </row>
    <row r="200" spans="1:4" x14ac:dyDescent="0.2">
      <c r="A200" s="3" t="s">
        <v>166</v>
      </c>
      <c r="B200" s="3" t="s">
        <v>1</v>
      </c>
      <c r="C200" s="3" t="s">
        <v>17</v>
      </c>
      <c r="D200" s="3" t="s">
        <v>949</v>
      </c>
    </row>
    <row r="201" spans="1:4" x14ac:dyDescent="0.2">
      <c r="A201" s="3" t="s">
        <v>38</v>
      </c>
      <c r="B201" s="3" t="s">
        <v>950</v>
      </c>
      <c r="C201" s="3" t="s">
        <v>17</v>
      </c>
      <c r="D201" s="3" t="s">
        <v>958</v>
      </c>
    </row>
    <row r="202" spans="1:4" x14ac:dyDescent="0.2">
      <c r="A202" s="3" t="s">
        <v>403</v>
      </c>
      <c r="B202" s="3" t="s">
        <v>950</v>
      </c>
      <c r="C202" s="3" t="s">
        <v>17</v>
      </c>
      <c r="D202" s="3" t="s">
        <v>958</v>
      </c>
    </row>
    <row r="203" spans="1:4" x14ac:dyDescent="0.2">
      <c r="A203" s="3" t="s">
        <v>190</v>
      </c>
      <c r="B203" s="3" t="s">
        <v>1</v>
      </c>
      <c r="C203" s="3" t="s">
        <v>2</v>
      </c>
      <c r="D203" s="3" t="s">
        <v>959</v>
      </c>
    </row>
    <row r="204" spans="1:4" x14ac:dyDescent="0.2">
      <c r="A204" s="3" t="s">
        <v>191</v>
      </c>
      <c r="B204" s="3" t="s">
        <v>1</v>
      </c>
      <c r="C204" s="3" t="s">
        <v>2</v>
      </c>
      <c r="D204" s="3" t="s">
        <v>959</v>
      </c>
    </row>
    <row r="205" spans="1:4" x14ac:dyDescent="0.2">
      <c r="A205" s="3" t="s">
        <v>192</v>
      </c>
      <c r="B205" s="3" t="s">
        <v>1</v>
      </c>
      <c r="C205" s="3" t="s">
        <v>2</v>
      </c>
      <c r="D205" s="3" t="s">
        <v>959</v>
      </c>
    </row>
    <row r="206" spans="1:4" x14ac:dyDescent="0.2">
      <c r="A206" s="3" t="s">
        <v>193</v>
      </c>
      <c r="B206" s="3" t="s">
        <v>1</v>
      </c>
      <c r="C206" s="3" t="s">
        <v>2</v>
      </c>
      <c r="D206" s="3" t="s">
        <v>959</v>
      </c>
    </row>
    <row r="207" spans="1:4" x14ac:dyDescent="0.2">
      <c r="A207" s="3" t="s">
        <v>194</v>
      </c>
      <c r="B207" s="3" t="s">
        <v>1</v>
      </c>
      <c r="C207" s="3" t="s">
        <v>2</v>
      </c>
      <c r="D207" s="3" t="s">
        <v>959</v>
      </c>
    </row>
    <row r="208" spans="1:4" x14ac:dyDescent="0.2">
      <c r="A208" s="3" t="s">
        <v>195</v>
      </c>
      <c r="B208" s="3" t="s">
        <v>1</v>
      </c>
      <c r="C208" s="3" t="s">
        <v>17</v>
      </c>
      <c r="D208" s="3" t="s">
        <v>960</v>
      </c>
    </row>
    <row r="209" spans="1:4" x14ac:dyDescent="0.2">
      <c r="A209" s="3" t="s">
        <v>196</v>
      </c>
      <c r="B209" s="3" t="s">
        <v>1</v>
      </c>
      <c r="C209" s="3" t="s">
        <v>17</v>
      </c>
      <c r="D209" s="3" t="s">
        <v>960</v>
      </c>
    </row>
    <row r="210" spans="1:4" x14ac:dyDescent="0.2">
      <c r="A210" s="3" t="s">
        <v>236</v>
      </c>
      <c r="B210" s="3" t="s">
        <v>1</v>
      </c>
      <c r="C210" s="3" t="s">
        <v>975</v>
      </c>
      <c r="D210" s="3" t="s">
        <v>977</v>
      </c>
    </row>
    <row r="211" spans="1:4" x14ac:dyDescent="0.2">
      <c r="A211" s="3" t="s">
        <v>201</v>
      </c>
      <c r="B211" s="3" t="s">
        <v>1</v>
      </c>
      <c r="C211" s="3" t="s">
        <v>17</v>
      </c>
      <c r="D211" s="3" t="s">
        <v>963</v>
      </c>
    </row>
    <row r="212" spans="1:4" x14ac:dyDescent="0.2">
      <c r="A212" s="3" t="s">
        <v>202</v>
      </c>
      <c r="B212" s="3" t="s">
        <v>1</v>
      </c>
      <c r="C212" s="3" t="s">
        <v>17</v>
      </c>
      <c r="D212" s="3" t="s">
        <v>963</v>
      </c>
    </row>
    <row r="213" spans="1:4" x14ac:dyDescent="0.2">
      <c r="A213" s="3" t="s">
        <v>203</v>
      </c>
      <c r="B213" s="3" t="s">
        <v>1</v>
      </c>
      <c r="C213" s="3" t="s">
        <v>17</v>
      </c>
      <c r="D213" s="3" t="s">
        <v>963</v>
      </c>
    </row>
    <row r="214" spans="1:4" x14ac:dyDescent="0.2">
      <c r="A214" s="3" t="s">
        <v>1149</v>
      </c>
      <c r="B214" s="3" t="s">
        <v>1</v>
      </c>
      <c r="C214" s="3" t="s">
        <v>19</v>
      </c>
      <c r="D214" s="3" t="s">
        <v>962</v>
      </c>
    </row>
    <row r="215" spans="1:4" x14ac:dyDescent="0.2">
      <c r="A215" s="3" t="s">
        <v>198</v>
      </c>
      <c r="B215" s="3" t="s">
        <v>1</v>
      </c>
      <c r="C215" s="3" t="s">
        <v>19</v>
      </c>
      <c r="D215" s="3" t="s">
        <v>962</v>
      </c>
    </row>
    <row r="216" spans="1:4" x14ac:dyDescent="0.2">
      <c r="A216" s="3" t="s">
        <v>199</v>
      </c>
      <c r="B216" s="3" t="s">
        <v>1</v>
      </c>
      <c r="C216" s="3" t="s">
        <v>19</v>
      </c>
      <c r="D216" s="3" t="s">
        <v>962</v>
      </c>
    </row>
    <row r="217" spans="1:4" x14ac:dyDescent="0.2">
      <c r="A217" s="3" t="s">
        <v>200</v>
      </c>
      <c r="B217" s="3" t="s">
        <v>1</v>
      </c>
      <c r="C217" s="3" t="s">
        <v>19</v>
      </c>
      <c r="D217" s="3" t="s">
        <v>962</v>
      </c>
    </row>
    <row r="218" spans="1:4" x14ac:dyDescent="0.2">
      <c r="A218" s="3" t="s">
        <v>258</v>
      </c>
      <c r="B218" s="3" t="s">
        <v>1</v>
      </c>
      <c r="C218" s="3" t="s">
        <v>19</v>
      </c>
      <c r="D218" s="3" t="s">
        <v>962</v>
      </c>
    </row>
    <row r="219" spans="1:4" x14ac:dyDescent="0.2">
      <c r="A219" s="3" t="s">
        <v>446</v>
      </c>
      <c r="B219" s="3" t="s">
        <v>28</v>
      </c>
      <c r="C219" s="3" t="s">
        <v>29</v>
      </c>
      <c r="D219" s="3" t="s">
        <v>965</v>
      </c>
    </row>
    <row r="220" spans="1:4" x14ac:dyDescent="0.2">
      <c r="A220" s="3" t="s">
        <v>447</v>
      </c>
      <c r="B220" s="3" t="s">
        <v>28</v>
      </c>
      <c r="C220" s="3" t="s">
        <v>29</v>
      </c>
      <c r="D220" s="3" t="s">
        <v>965</v>
      </c>
    </row>
    <row r="221" spans="1:4" x14ac:dyDescent="0.2">
      <c r="A221" s="3" t="s">
        <v>448</v>
      </c>
      <c r="B221" s="3" t="s">
        <v>28</v>
      </c>
      <c r="C221" s="3" t="s">
        <v>29</v>
      </c>
      <c r="D221" s="3" t="s">
        <v>965</v>
      </c>
    </row>
    <row r="222" spans="1:4" x14ac:dyDescent="0.2">
      <c r="A222" s="3" t="s">
        <v>449</v>
      </c>
      <c r="B222" s="3" t="s">
        <v>28</v>
      </c>
      <c r="C222" s="3" t="s">
        <v>29</v>
      </c>
      <c r="D222" s="3" t="s">
        <v>965</v>
      </c>
    </row>
    <row r="223" spans="1:4" x14ac:dyDescent="0.2">
      <c r="A223" s="3" t="s">
        <v>450</v>
      </c>
      <c r="B223" s="3" t="s">
        <v>28</v>
      </c>
      <c r="C223" s="3" t="s">
        <v>29</v>
      </c>
      <c r="D223" s="3" t="s">
        <v>965</v>
      </c>
    </row>
    <row r="224" spans="1:4" x14ac:dyDescent="0.2">
      <c r="A224" s="3" t="s">
        <v>451</v>
      </c>
      <c r="B224" s="3" t="s">
        <v>28</v>
      </c>
      <c r="C224" s="3" t="s">
        <v>29</v>
      </c>
      <c r="D224" s="3" t="s">
        <v>965</v>
      </c>
    </row>
    <row r="225" spans="1:4" x14ac:dyDescent="0.2">
      <c r="A225" s="3" t="s">
        <v>452</v>
      </c>
      <c r="B225" s="3" t="s">
        <v>28</v>
      </c>
      <c r="C225" s="3" t="s">
        <v>29</v>
      </c>
      <c r="D225" s="3" t="s">
        <v>965</v>
      </c>
    </row>
    <row r="226" spans="1:4" x14ac:dyDescent="0.2">
      <c r="A226" s="3" t="s">
        <v>453</v>
      </c>
      <c r="B226" s="3" t="s">
        <v>28</v>
      </c>
      <c r="C226" s="3" t="s">
        <v>29</v>
      </c>
      <c r="D226" s="3" t="s">
        <v>965</v>
      </c>
    </row>
    <row r="227" spans="1:4" x14ac:dyDescent="0.2">
      <c r="A227" s="3" t="s">
        <v>454</v>
      </c>
      <c r="B227" s="3" t="s">
        <v>28</v>
      </c>
      <c r="C227" s="3" t="s">
        <v>29</v>
      </c>
      <c r="D227" s="3" t="s">
        <v>965</v>
      </c>
    </row>
    <row r="228" spans="1:4" x14ac:dyDescent="0.2">
      <c r="A228" s="3" t="s">
        <v>455</v>
      </c>
      <c r="B228" s="3" t="s">
        <v>28</v>
      </c>
      <c r="C228" s="3" t="s">
        <v>29</v>
      </c>
      <c r="D228" s="3" t="s">
        <v>965</v>
      </c>
    </row>
    <row r="229" spans="1:4" x14ac:dyDescent="0.2">
      <c r="A229" s="3" t="s">
        <v>33</v>
      </c>
      <c r="B229" s="3" t="s">
        <v>28</v>
      </c>
      <c r="C229" s="3" t="s">
        <v>29</v>
      </c>
      <c r="D229" s="3" t="s">
        <v>965</v>
      </c>
    </row>
    <row r="230" spans="1:4" x14ac:dyDescent="0.2">
      <c r="A230" s="122" t="s">
        <v>1509</v>
      </c>
      <c r="B230" s="3" t="s">
        <v>28</v>
      </c>
      <c r="C230" s="3" t="s">
        <v>29</v>
      </c>
      <c r="D230" s="3" t="s">
        <v>965</v>
      </c>
    </row>
    <row r="231" spans="1:4" x14ac:dyDescent="0.2">
      <c r="A231" s="3" t="s">
        <v>106</v>
      </c>
      <c r="B231" s="3" t="s">
        <v>27</v>
      </c>
      <c r="C231" s="3" t="s">
        <v>967</v>
      </c>
      <c r="D231" s="3" t="s">
        <v>968</v>
      </c>
    </row>
    <row r="232" spans="1:4" x14ac:dyDescent="0.2">
      <c r="A232" s="3" t="s">
        <v>107</v>
      </c>
      <c r="B232" s="3" t="s">
        <v>27</v>
      </c>
      <c r="C232" s="3" t="s">
        <v>967</v>
      </c>
      <c r="D232" s="3" t="s">
        <v>968</v>
      </c>
    </row>
    <row r="233" spans="1:4" x14ac:dyDescent="0.2">
      <c r="A233" s="3" t="s">
        <v>205</v>
      </c>
      <c r="B233" s="3" t="s">
        <v>1</v>
      </c>
      <c r="C233" s="3" t="s">
        <v>17</v>
      </c>
      <c r="D233" s="3" t="s">
        <v>969</v>
      </c>
    </row>
    <row r="234" spans="1:4" x14ac:dyDescent="0.2">
      <c r="A234" s="3" t="s">
        <v>206</v>
      </c>
      <c r="B234" s="3" t="s">
        <v>1</v>
      </c>
      <c r="C234" s="3" t="s">
        <v>17</v>
      </c>
      <c r="D234" s="3" t="s">
        <v>969</v>
      </c>
    </row>
    <row r="235" spans="1:4" x14ac:dyDescent="0.2">
      <c r="A235" s="3" t="s">
        <v>207</v>
      </c>
      <c r="B235" s="3" t="s">
        <v>1</v>
      </c>
      <c r="C235" s="3" t="s">
        <v>17</v>
      </c>
      <c r="D235" s="3" t="s">
        <v>969</v>
      </c>
    </row>
    <row r="236" spans="1:4" x14ac:dyDescent="0.2">
      <c r="A236" s="3" t="s">
        <v>209</v>
      </c>
      <c r="B236" s="3" t="s">
        <v>1</v>
      </c>
      <c r="C236" s="3" t="s">
        <v>17</v>
      </c>
      <c r="D236" s="3" t="s">
        <v>971</v>
      </c>
    </row>
    <row r="237" spans="1:4" x14ac:dyDescent="0.2">
      <c r="A237" s="3" t="s">
        <v>404</v>
      </c>
      <c r="B237" s="3" t="s">
        <v>950</v>
      </c>
      <c r="C237" s="3" t="s">
        <v>17</v>
      </c>
      <c r="D237" s="3" t="s">
        <v>970</v>
      </c>
    </row>
    <row r="238" spans="1:4" x14ac:dyDescent="0.2">
      <c r="A238" s="3" t="s">
        <v>405</v>
      </c>
      <c r="B238" s="3" t="s">
        <v>950</v>
      </c>
      <c r="C238" s="3" t="s">
        <v>17</v>
      </c>
      <c r="D238" s="3" t="s">
        <v>970</v>
      </c>
    </row>
    <row r="239" spans="1:4" x14ac:dyDescent="0.2">
      <c r="A239" s="3" t="s">
        <v>406</v>
      </c>
      <c r="B239" s="3" t="s">
        <v>950</v>
      </c>
      <c r="C239" s="3" t="s">
        <v>17</v>
      </c>
      <c r="D239" s="3" t="s">
        <v>970</v>
      </c>
    </row>
    <row r="240" spans="1:4" x14ac:dyDescent="0.2">
      <c r="A240" s="3" t="s">
        <v>407</v>
      </c>
      <c r="B240" s="3" t="s">
        <v>950</v>
      </c>
      <c r="C240" s="3" t="s">
        <v>17</v>
      </c>
      <c r="D240" s="3" t="s">
        <v>970</v>
      </c>
    </row>
    <row r="241" spans="1:4" x14ac:dyDescent="0.2">
      <c r="A241" s="3" t="s">
        <v>32</v>
      </c>
      <c r="B241" s="3" t="s">
        <v>950</v>
      </c>
      <c r="C241" s="3" t="s">
        <v>17</v>
      </c>
      <c r="D241" s="3" t="s">
        <v>970</v>
      </c>
    </row>
    <row r="242" spans="1:4" x14ac:dyDescent="0.2">
      <c r="A242" s="3" t="s">
        <v>411</v>
      </c>
      <c r="B242" s="3" t="s">
        <v>950</v>
      </c>
      <c r="C242" s="3" t="s">
        <v>17</v>
      </c>
      <c r="D242" s="3" t="s">
        <v>970</v>
      </c>
    </row>
    <row r="243" spans="1:4" x14ac:dyDescent="0.2">
      <c r="A243" s="3" t="s">
        <v>1429</v>
      </c>
      <c r="B243" s="3" t="s">
        <v>950</v>
      </c>
      <c r="C243" s="3" t="s">
        <v>17</v>
      </c>
      <c r="D243" s="3" t="s">
        <v>970</v>
      </c>
    </row>
    <row r="244" spans="1:4" x14ac:dyDescent="0.2">
      <c r="A244" s="3" t="s">
        <v>204</v>
      </c>
      <c r="B244" s="3" t="s">
        <v>1</v>
      </c>
      <c r="C244" s="3" t="s">
        <v>29</v>
      </c>
      <c r="D244" s="3" t="s">
        <v>964</v>
      </c>
    </row>
    <row r="245" spans="1:4" x14ac:dyDescent="0.2">
      <c r="A245" s="3" t="s">
        <v>291</v>
      </c>
      <c r="B245" s="3" t="s">
        <v>1</v>
      </c>
      <c r="C245" s="3" t="s">
        <v>29</v>
      </c>
      <c r="D245" s="3" t="s">
        <v>964</v>
      </c>
    </row>
    <row r="246" spans="1:4" x14ac:dyDescent="0.2">
      <c r="A246" s="3" t="s">
        <v>395</v>
      </c>
      <c r="B246" s="3" t="s">
        <v>1</v>
      </c>
      <c r="C246" s="3" t="s">
        <v>29</v>
      </c>
      <c r="D246" s="3" t="s">
        <v>964</v>
      </c>
    </row>
    <row r="247" spans="1:4" x14ac:dyDescent="0.2">
      <c r="A247" s="3" t="s">
        <v>210</v>
      </c>
      <c r="B247" s="3" t="s">
        <v>1</v>
      </c>
      <c r="C247" s="3" t="s">
        <v>17</v>
      </c>
      <c r="D247" s="3" t="s">
        <v>972</v>
      </c>
    </row>
    <row r="248" spans="1:4" x14ac:dyDescent="0.2">
      <c r="A248" s="3" t="s">
        <v>211</v>
      </c>
      <c r="B248" s="3" t="s">
        <v>1</v>
      </c>
      <c r="C248" s="3" t="s">
        <v>17</v>
      </c>
      <c r="D248" s="3" t="s">
        <v>972</v>
      </c>
    </row>
    <row r="249" spans="1:4" x14ac:dyDescent="0.2">
      <c r="A249" s="3" t="s">
        <v>213</v>
      </c>
      <c r="B249" s="3" t="s">
        <v>1</v>
      </c>
      <c r="C249" s="3" t="s">
        <v>19</v>
      </c>
      <c r="D249" s="3" t="s">
        <v>973</v>
      </c>
    </row>
    <row r="250" spans="1:4" x14ac:dyDescent="0.2">
      <c r="A250" s="3" t="s">
        <v>241</v>
      </c>
      <c r="B250" s="3" t="s">
        <v>1</v>
      </c>
      <c r="C250" s="3" t="s">
        <v>19</v>
      </c>
      <c r="D250" s="3" t="s">
        <v>973</v>
      </c>
    </row>
    <row r="251" spans="1:4" x14ac:dyDescent="0.2">
      <c r="A251" s="3" t="s">
        <v>261</v>
      </c>
      <c r="B251" s="3" t="s">
        <v>1</v>
      </c>
      <c r="C251" s="3" t="s">
        <v>19</v>
      </c>
      <c r="D251" s="3" t="s">
        <v>973</v>
      </c>
    </row>
    <row r="252" spans="1:4" x14ac:dyDescent="0.2">
      <c r="A252" s="3" t="s">
        <v>278</v>
      </c>
      <c r="B252" s="3" t="s">
        <v>1</v>
      </c>
      <c r="C252" s="3" t="s">
        <v>2</v>
      </c>
      <c r="D252" s="3" t="s">
        <v>981</v>
      </c>
    </row>
    <row r="253" spans="1:4" x14ac:dyDescent="0.2">
      <c r="A253" s="3" t="s">
        <v>279</v>
      </c>
      <c r="B253" s="3" t="s">
        <v>1</v>
      </c>
      <c r="C253" s="3" t="s">
        <v>2</v>
      </c>
      <c r="D253" s="3" t="s">
        <v>981</v>
      </c>
    </row>
    <row r="254" spans="1:4" x14ac:dyDescent="0.2">
      <c r="A254" s="3" t="s">
        <v>280</v>
      </c>
      <c r="B254" s="3" t="s">
        <v>1</v>
      </c>
      <c r="C254" s="3" t="s">
        <v>2</v>
      </c>
      <c r="D254" s="3" t="s">
        <v>981</v>
      </c>
    </row>
    <row r="255" spans="1:4" x14ac:dyDescent="0.2">
      <c r="A255" s="3" t="s">
        <v>281</v>
      </c>
      <c r="B255" s="3" t="s">
        <v>1</v>
      </c>
      <c r="C255" s="3" t="s">
        <v>2</v>
      </c>
      <c r="D255" s="3" t="s">
        <v>981</v>
      </c>
    </row>
    <row r="256" spans="1:4" x14ac:dyDescent="0.2">
      <c r="A256" s="3" t="s">
        <v>275</v>
      </c>
      <c r="B256" s="3" t="s">
        <v>1</v>
      </c>
      <c r="C256" s="3" t="s">
        <v>979</v>
      </c>
      <c r="D256" s="3" t="s">
        <v>980</v>
      </c>
    </row>
    <row r="257" spans="1:4" x14ac:dyDescent="0.2">
      <c r="A257" s="3" t="s">
        <v>276</v>
      </c>
      <c r="B257" s="3" t="s">
        <v>1</v>
      </c>
      <c r="C257" s="3" t="s">
        <v>979</v>
      </c>
      <c r="D257" s="3" t="s">
        <v>980</v>
      </c>
    </row>
    <row r="258" spans="1:4" x14ac:dyDescent="0.2">
      <c r="A258" s="3" t="s">
        <v>277</v>
      </c>
      <c r="B258" s="3" t="s">
        <v>1</v>
      </c>
      <c r="C258" s="3" t="s">
        <v>979</v>
      </c>
      <c r="D258" s="3" t="s">
        <v>980</v>
      </c>
    </row>
    <row r="259" spans="1:4" x14ac:dyDescent="0.2">
      <c r="A259" s="3" t="s">
        <v>282</v>
      </c>
      <c r="B259" s="3" t="s">
        <v>1</v>
      </c>
      <c r="C259" s="3" t="s">
        <v>17</v>
      </c>
      <c r="D259" s="3" t="s">
        <v>982</v>
      </c>
    </row>
    <row r="260" spans="1:4" x14ac:dyDescent="0.2">
      <c r="A260" s="3" t="s">
        <v>179</v>
      </c>
      <c r="B260" s="3" t="s">
        <v>1</v>
      </c>
      <c r="C260" s="3" t="s">
        <v>19</v>
      </c>
      <c r="D260" s="3" t="s">
        <v>955</v>
      </c>
    </row>
    <row r="261" spans="1:4" x14ac:dyDescent="0.2">
      <c r="A261" s="3" t="s">
        <v>180</v>
      </c>
      <c r="B261" s="3" t="s">
        <v>1</v>
      </c>
      <c r="C261" s="3" t="s">
        <v>19</v>
      </c>
      <c r="D261" s="3" t="s">
        <v>955</v>
      </c>
    </row>
    <row r="262" spans="1:4" x14ac:dyDescent="0.2">
      <c r="A262" s="3" t="s">
        <v>292</v>
      </c>
      <c r="B262" s="3" t="s">
        <v>1</v>
      </c>
      <c r="C262" s="3" t="s">
        <v>19</v>
      </c>
      <c r="D262" s="3" t="s">
        <v>955</v>
      </c>
    </row>
    <row r="263" spans="1:4" x14ac:dyDescent="0.2">
      <c r="A263" s="3" t="s">
        <v>293</v>
      </c>
      <c r="B263" s="3" t="s">
        <v>1</v>
      </c>
      <c r="C263" s="3" t="s">
        <v>19</v>
      </c>
      <c r="D263" s="3" t="s">
        <v>955</v>
      </c>
    </row>
    <row r="264" spans="1:4" x14ac:dyDescent="0.2">
      <c r="A264" s="3" t="s">
        <v>342</v>
      </c>
      <c r="B264" s="3" t="s">
        <v>1</v>
      </c>
      <c r="C264" s="3" t="s">
        <v>19</v>
      </c>
      <c r="D264" s="3" t="s">
        <v>955</v>
      </c>
    </row>
    <row r="265" spans="1:4" x14ac:dyDescent="0.2">
      <c r="A265" s="3" t="s">
        <v>1462</v>
      </c>
      <c r="B265" s="3" t="s">
        <v>1</v>
      </c>
      <c r="C265" s="3" t="s">
        <v>19</v>
      </c>
      <c r="D265" s="3" t="s">
        <v>955</v>
      </c>
    </row>
    <row r="266" spans="1:4" x14ac:dyDescent="0.2">
      <c r="A266" s="3" t="s">
        <v>103</v>
      </c>
      <c r="B266" s="3" t="s">
        <v>1</v>
      </c>
      <c r="C266" s="3" t="s">
        <v>19</v>
      </c>
      <c r="D266" s="3" t="s">
        <v>983</v>
      </c>
    </row>
    <row r="267" spans="1:4" x14ac:dyDescent="0.2">
      <c r="A267" s="3" t="s">
        <v>286</v>
      </c>
      <c r="B267" s="3" t="s">
        <v>1</v>
      </c>
      <c r="C267" s="3" t="s">
        <v>19</v>
      </c>
      <c r="D267" s="3" t="s">
        <v>983</v>
      </c>
    </row>
    <row r="268" spans="1:4" x14ac:dyDescent="0.2">
      <c r="A268" s="3" t="s">
        <v>287</v>
      </c>
      <c r="B268" s="3" t="s">
        <v>1</v>
      </c>
      <c r="C268" s="3" t="s">
        <v>19</v>
      </c>
      <c r="D268" s="3" t="s">
        <v>983</v>
      </c>
    </row>
    <row r="269" spans="1:4" x14ac:dyDescent="0.2">
      <c r="A269" s="3" t="s">
        <v>288</v>
      </c>
      <c r="B269" s="3" t="s">
        <v>1</v>
      </c>
      <c r="C269" s="3" t="s">
        <v>19</v>
      </c>
      <c r="D269" s="3" t="s">
        <v>983</v>
      </c>
    </row>
    <row r="270" spans="1:4" x14ac:dyDescent="0.2">
      <c r="A270" s="3" t="s">
        <v>289</v>
      </c>
      <c r="B270" s="3" t="s">
        <v>1</v>
      </c>
      <c r="C270" s="3" t="s">
        <v>19</v>
      </c>
      <c r="D270" s="3" t="s">
        <v>983</v>
      </c>
    </row>
    <row r="271" spans="1:4" x14ac:dyDescent="0.2">
      <c r="A271" s="3" t="s">
        <v>290</v>
      </c>
      <c r="B271" s="3" t="s">
        <v>1</v>
      </c>
      <c r="C271" s="3" t="s">
        <v>19</v>
      </c>
      <c r="D271" s="3" t="s">
        <v>983</v>
      </c>
    </row>
    <row r="272" spans="1:4" x14ac:dyDescent="0.2">
      <c r="A272" s="3" t="s">
        <v>1450</v>
      </c>
      <c r="B272" s="3" t="s">
        <v>1</v>
      </c>
      <c r="C272" s="3" t="s">
        <v>19</v>
      </c>
      <c r="D272" s="3" t="s">
        <v>983</v>
      </c>
    </row>
    <row r="273" spans="1:4" x14ac:dyDescent="0.2">
      <c r="A273" s="3" t="s">
        <v>104</v>
      </c>
      <c r="B273" s="3" t="s">
        <v>1</v>
      </c>
      <c r="C273" s="3" t="s">
        <v>19</v>
      </c>
      <c r="D273" s="3" t="s">
        <v>1009</v>
      </c>
    </row>
    <row r="274" spans="1:4" x14ac:dyDescent="0.2">
      <c r="A274" s="3" t="s">
        <v>377</v>
      </c>
      <c r="B274" s="3" t="s">
        <v>1</v>
      </c>
      <c r="C274" s="3" t="s">
        <v>19</v>
      </c>
      <c r="D274" s="3" t="s">
        <v>1009</v>
      </c>
    </row>
    <row r="275" spans="1:4" x14ac:dyDescent="0.2">
      <c r="A275" s="3" t="s">
        <v>378</v>
      </c>
      <c r="B275" s="3" t="s">
        <v>1</v>
      </c>
      <c r="C275" s="3" t="s">
        <v>19</v>
      </c>
      <c r="D275" s="3" t="s">
        <v>1009</v>
      </c>
    </row>
    <row r="276" spans="1:4" x14ac:dyDescent="0.2">
      <c r="A276" s="3" t="s">
        <v>379</v>
      </c>
      <c r="B276" s="3" t="s">
        <v>1</v>
      </c>
      <c r="C276" s="3" t="s">
        <v>19</v>
      </c>
      <c r="D276" s="3" t="s">
        <v>1009</v>
      </c>
    </row>
    <row r="277" spans="1:4" x14ac:dyDescent="0.2">
      <c r="A277" s="3" t="s">
        <v>380</v>
      </c>
      <c r="B277" s="3" t="s">
        <v>1</v>
      </c>
      <c r="C277" s="3" t="s">
        <v>19</v>
      </c>
      <c r="D277" s="3" t="s">
        <v>1009</v>
      </c>
    </row>
    <row r="278" spans="1:4" x14ac:dyDescent="0.2">
      <c r="A278" s="3" t="s">
        <v>299</v>
      </c>
      <c r="B278" s="3" t="s">
        <v>1</v>
      </c>
      <c r="C278" s="3" t="s">
        <v>17</v>
      </c>
      <c r="D278" s="3" t="s">
        <v>984</v>
      </c>
    </row>
    <row r="279" spans="1:4" x14ac:dyDescent="0.2">
      <c r="A279" s="3" t="s">
        <v>300</v>
      </c>
      <c r="B279" s="3" t="s">
        <v>1</v>
      </c>
      <c r="C279" s="3" t="s">
        <v>17</v>
      </c>
      <c r="D279" s="3" t="s">
        <v>984</v>
      </c>
    </row>
    <row r="280" spans="1:4" x14ac:dyDescent="0.2">
      <c r="A280" s="3" t="s">
        <v>151</v>
      </c>
      <c r="B280" s="3" t="s">
        <v>1</v>
      </c>
      <c r="C280" s="3" t="s">
        <v>17</v>
      </c>
      <c r="D280" s="3" t="s">
        <v>940</v>
      </c>
    </row>
    <row r="281" spans="1:4" x14ac:dyDescent="0.2">
      <c r="A281" s="3" t="s">
        <v>296</v>
      </c>
      <c r="B281" s="3" t="s">
        <v>1</v>
      </c>
      <c r="C281" s="3" t="s">
        <v>17</v>
      </c>
      <c r="D281" s="3" t="s">
        <v>940</v>
      </c>
    </row>
    <row r="282" spans="1:4" x14ac:dyDescent="0.2">
      <c r="A282" s="3" t="s">
        <v>297</v>
      </c>
      <c r="B282" s="3" t="s">
        <v>1</v>
      </c>
      <c r="C282" s="3" t="s">
        <v>17</v>
      </c>
      <c r="D282" s="3" t="s">
        <v>940</v>
      </c>
    </row>
    <row r="283" spans="1:4" x14ac:dyDescent="0.2">
      <c r="A283" s="3" t="s">
        <v>298</v>
      </c>
      <c r="B283" s="3" t="s">
        <v>1</v>
      </c>
      <c r="C283" s="3" t="s">
        <v>17</v>
      </c>
      <c r="D283" s="3" t="s">
        <v>940</v>
      </c>
    </row>
    <row r="284" spans="1:4" x14ac:dyDescent="0.2">
      <c r="A284" s="3" t="s">
        <v>309</v>
      </c>
      <c r="B284" s="3" t="s">
        <v>1</v>
      </c>
      <c r="C284" s="3" t="s">
        <v>17</v>
      </c>
      <c r="D284" s="3" t="s">
        <v>940</v>
      </c>
    </row>
    <row r="285" spans="1:4" x14ac:dyDescent="0.2">
      <c r="A285" s="3" t="s">
        <v>311</v>
      </c>
      <c r="B285" s="3" t="s">
        <v>1</v>
      </c>
      <c r="C285" s="3" t="s">
        <v>986</v>
      </c>
      <c r="D285" s="3" t="s">
        <v>986</v>
      </c>
    </row>
    <row r="286" spans="1:4" x14ac:dyDescent="0.2">
      <c r="A286" s="3" t="s">
        <v>312</v>
      </c>
      <c r="B286" s="3" t="s">
        <v>1</v>
      </c>
      <c r="C286" s="3" t="s">
        <v>986</v>
      </c>
      <c r="D286" s="3" t="s">
        <v>986</v>
      </c>
    </row>
    <row r="287" spans="1:4" x14ac:dyDescent="0.2">
      <c r="A287" s="3" t="s">
        <v>40</v>
      </c>
      <c r="B287" s="3" t="s">
        <v>27</v>
      </c>
      <c r="C287" s="3" t="s">
        <v>967</v>
      </c>
      <c r="D287" s="3" t="s">
        <v>978</v>
      </c>
    </row>
    <row r="288" spans="1:4" x14ac:dyDescent="0.2">
      <c r="A288" s="3" t="s">
        <v>115</v>
      </c>
      <c r="B288" s="3" t="s">
        <v>27</v>
      </c>
      <c r="C288" s="3" t="s">
        <v>967</v>
      </c>
      <c r="D288" s="3" t="s">
        <v>978</v>
      </c>
    </row>
    <row r="289" spans="1:4" x14ac:dyDescent="0.2">
      <c r="A289" s="3" t="s">
        <v>116</v>
      </c>
      <c r="B289" s="3" t="s">
        <v>27</v>
      </c>
      <c r="C289" s="3" t="s">
        <v>967</v>
      </c>
      <c r="D289" s="3" t="s">
        <v>978</v>
      </c>
    </row>
    <row r="290" spans="1:4" x14ac:dyDescent="0.2">
      <c r="A290" s="3" t="s">
        <v>117</v>
      </c>
      <c r="B290" s="3" t="s">
        <v>27</v>
      </c>
      <c r="C290" s="3" t="s">
        <v>967</v>
      </c>
      <c r="D290" s="3" t="s">
        <v>978</v>
      </c>
    </row>
    <row r="291" spans="1:4" x14ac:dyDescent="0.2">
      <c r="A291" s="3" t="s">
        <v>41</v>
      </c>
      <c r="B291" s="3" t="s">
        <v>27</v>
      </c>
      <c r="C291" s="3" t="s">
        <v>967</v>
      </c>
      <c r="D291" s="3" t="s">
        <v>978</v>
      </c>
    </row>
    <row r="292" spans="1:4" x14ac:dyDescent="0.2">
      <c r="A292" s="3" t="s">
        <v>118</v>
      </c>
      <c r="B292" s="3" t="s">
        <v>27</v>
      </c>
      <c r="C292" s="3" t="s">
        <v>967</v>
      </c>
      <c r="D292" s="3" t="s">
        <v>978</v>
      </c>
    </row>
    <row r="293" spans="1:4" x14ac:dyDescent="0.2">
      <c r="A293" s="3" t="s">
        <v>119</v>
      </c>
      <c r="B293" s="3" t="s">
        <v>27</v>
      </c>
      <c r="C293" s="3" t="s">
        <v>967</v>
      </c>
      <c r="D293" s="3" t="s">
        <v>978</v>
      </c>
    </row>
    <row r="294" spans="1:4" x14ac:dyDescent="0.2">
      <c r="A294" s="3" t="s">
        <v>120</v>
      </c>
      <c r="B294" s="3" t="s">
        <v>27</v>
      </c>
      <c r="C294" s="3" t="s">
        <v>967</v>
      </c>
      <c r="D294" s="3" t="s">
        <v>978</v>
      </c>
    </row>
    <row r="295" spans="1:4" x14ac:dyDescent="0.2">
      <c r="A295" s="3" t="s">
        <v>310</v>
      </c>
      <c r="B295" s="3" t="s">
        <v>1</v>
      </c>
      <c r="C295" s="3" t="s">
        <v>17</v>
      </c>
      <c r="D295" s="3" t="s">
        <v>985</v>
      </c>
    </row>
    <row r="296" spans="1:4" x14ac:dyDescent="0.2">
      <c r="A296" s="3" t="s">
        <v>318</v>
      </c>
      <c r="B296" s="3" t="s">
        <v>1</v>
      </c>
      <c r="C296" s="3" t="s">
        <v>17</v>
      </c>
      <c r="D296" s="3" t="s">
        <v>988</v>
      </c>
    </row>
    <row r="297" spans="1:4" x14ac:dyDescent="0.2">
      <c r="A297" s="3" t="s">
        <v>319</v>
      </c>
      <c r="B297" s="3" t="s">
        <v>1</v>
      </c>
      <c r="C297" s="3" t="s">
        <v>17</v>
      </c>
      <c r="D297" s="3" t="s">
        <v>988</v>
      </c>
    </row>
    <row r="298" spans="1:4" x14ac:dyDescent="0.2">
      <c r="A298" s="3" t="s">
        <v>322</v>
      </c>
      <c r="B298" s="3" t="s">
        <v>1</v>
      </c>
      <c r="C298" s="3" t="s">
        <v>17</v>
      </c>
      <c r="D298" s="3" t="s">
        <v>990</v>
      </c>
    </row>
    <row r="299" spans="1:4" x14ac:dyDescent="0.2">
      <c r="A299" s="3" t="s">
        <v>323</v>
      </c>
      <c r="B299" s="3" t="s">
        <v>1</v>
      </c>
      <c r="C299" s="3" t="s">
        <v>17</v>
      </c>
      <c r="D299" s="3" t="s">
        <v>990</v>
      </c>
    </row>
    <row r="300" spans="1:4" x14ac:dyDescent="0.2">
      <c r="A300" s="3" t="s">
        <v>324</v>
      </c>
      <c r="B300" s="3" t="s">
        <v>1</v>
      </c>
      <c r="C300" s="3" t="s">
        <v>17</v>
      </c>
      <c r="D300" s="3" t="s">
        <v>991</v>
      </c>
    </row>
    <row r="301" spans="1:4" x14ac:dyDescent="0.2">
      <c r="A301" s="3" t="s">
        <v>320</v>
      </c>
      <c r="B301" s="3" t="s">
        <v>1</v>
      </c>
      <c r="C301" s="3" t="s">
        <v>17</v>
      </c>
      <c r="D301" s="3" t="s">
        <v>989</v>
      </c>
    </row>
    <row r="302" spans="1:4" x14ac:dyDescent="0.2">
      <c r="A302" s="3" t="s">
        <v>321</v>
      </c>
      <c r="B302" s="3" t="s">
        <v>1</v>
      </c>
      <c r="C302" s="3" t="s">
        <v>17</v>
      </c>
      <c r="D302" s="3" t="s">
        <v>989</v>
      </c>
    </row>
    <row r="303" spans="1:4" x14ac:dyDescent="0.2">
      <c r="A303" s="3" t="s">
        <v>325</v>
      </c>
      <c r="B303" s="3" t="s">
        <v>1</v>
      </c>
      <c r="C303" s="3" t="s">
        <v>17</v>
      </c>
      <c r="D303" s="3" t="s">
        <v>992</v>
      </c>
    </row>
    <row r="304" spans="1:4" x14ac:dyDescent="0.2">
      <c r="A304" s="3" t="s">
        <v>326</v>
      </c>
      <c r="B304" s="3" t="s">
        <v>1</v>
      </c>
      <c r="C304" s="3" t="s">
        <v>17</v>
      </c>
      <c r="D304" s="3" t="s">
        <v>992</v>
      </c>
    </row>
    <row r="305" spans="1:4" x14ac:dyDescent="0.2">
      <c r="A305" s="3" t="s">
        <v>327</v>
      </c>
      <c r="B305" s="3" t="s">
        <v>1</v>
      </c>
      <c r="C305" s="3" t="s">
        <v>17</v>
      </c>
      <c r="D305" s="3" t="s">
        <v>992</v>
      </c>
    </row>
    <row r="306" spans="1:4" x14ac:dyDescent="0.2">
      <c r="A306" s="3" t="s">
        <v>328</v>
      </c>
      <c r="B306" s="3" t="s">
        <v>1</v>
      </c>
      <c r="C306" s="3" t="s">
        <v>17</v>
      </c>
      <c r="D306" s="3" t="s">
        <v>992</v>
      </c>
    </row>
    <row r="307" spans="1:4" x14ac:dyDescent="0.2">
      <c r="A307" s="3" t="s">
        <v>329</v>
      </c>
      <c r="B307" s="3" t="s">
        <v>1</v>
      </c>
      <c r="C307" s="3" t="s">
        <v>17</v>
      </c>
      <c r="D307" s="3" t="s">
        <v>992</v>
      </c>
    </row>
    <row r="308" spans="1:4" x14ac:dyDescent="0.2">
      <c r="A308" s="3" t="s">
        <v>127</v>
      </c>
      <c r="B308" s="3" t="s">
        <v>1</v>
      </c>
      <c r="C308" s="3" t="s">
        <v>17</v>
      </c>
      <c r="D308" s="3" t="s">
        <v>993</v>
      </c>
    </row>
    <row r="309" spans="1:4" x14ac:dyDescent="0.2">
      <c r="A309" s="3" t="s">
        <v>46</v>
      </c>
      <c r="B309" s="3" t="s">
        <v>1</v>
      </c>
      <c r="C309" s="3" t="s">
        <v>17</v>
      </c>
      <c r="D309" s="3" t="s">
        <v>993</v>
      </c>
    </row>
    <row r="310" spans="1:4" x14ac:dyDescent="0.2">
      <c r="A310" s="3" t="s">
        <v>330</v>
      </c>
      <c r="B310" s="3" t="s">
        <v>1</v>
      </c>
      <c r="C310" s="3" t="s">
        <v>17</v>
      </c>
      <c r="D310" s="3" t="s">
        <v>993</v>
      </c>
    </row>
    <row r="311" spans="1:4" x14ac:dyDescent="0.2">
      <c r="A311" s="3" t="s">
        <v>335</v>
      </c>
      <c r="B311" s="3" t="s">
        <v>1</v>
      </c>
      <c r="C311" s="3" t="s">
        <v>17</v>
      </c>
      <c r="D311" s="3" t="s">
        <v>934</v>
      </c>
    </row>
    <row r="312" spans="1:4" x14ac:dyDescent="0.2">
      <c r="A312" s="3" t="s">
        <v>45</v>
      </c>
      <c r="B312" s="3" t="s">
        <v>1</v>
      </c>
      <c r="C312" s="3" t="s">
        <v>17</v>
      </c>
      <c r="D312" s="3" t="s">
        <v>934</v>
      </c>
    </row>
    <row r="313" spans="1:4" x14ac:dyDescent="0.2">
      <c r="A313" s="3" t="s">
        <v>336</v>
      </c>
      <c r="B313" s="3" t="s">
        <v>1</v>
      </c>
      <c r="C313" s="3" t="s">
        <v>17</v>
      </c>
      <c r="D313" s="3" t="s">
        <v>934</v>
      </c>
    </row>
    <row r="314" spans="1:4" x14ac:dyDescent="0.2">
      <c r="A314" s="3" t="s">
        <v>337</v>
      </c>
      <c r="B314" s="3" t="s">
        <v>1</v>
      </c>
      <c r="C314" s="3" t="s">
        <v>17</v>
      </c>
      <c r="D314" s="3" t="s">
        <v>934</v>
      </c>
    </row>
    <row r="315" spans="1:4" x14ac:dyDescent="0.2">
      <c r="A315" s="3" t="s">
        <v>44</v>
      </c>
      <c r="B315" s="3" t="s">
        <v>1</v>
      </c>
      <c r="C315" s="3" t="s">
        <v>17</v>
      </c>
      <c r="D315" s="3" t="s">
        <v>934</v>
      </c>
    </row>
    <row r="316" spans="1:4" x14ac:dyDescent="0.2">
      <c r="A316" s="3" t="s">
        <v>1154</v>
      </c>
      <c r="B316" s="3" t="s">
        <v>1</v>
      </c>
      <c r="C316" s="3" t="s">
        <v>17</v>
      </c>
      <c r="D316" s="3" t="s">
        <v>934</v>
      </c>
    </row>
    <row r="317" spans="1:4" x14ac:dyDescent="0.2">
      <c r="A317" s="3" t="s">
        <v>332</v>
      </c>
      <c r="B317" s="3" t="s">
        <v>1</v>
      </c>
      <c r="C317" s="3" t="s">
        <v>994</v>
      </c>
      <c r="D317" s="3" t="s">
        <v>995</v>
      </c>
    </row>
    <row r="318" spans="1:4" x14ac:dyDescent="0.2">
      <c r="A318" s="3" t="s">
        <v>333</v>
      </c>
      <c r="B318" s="3" t="s">
        <v>1</v>
      </c>
      <c r="C318" s="3" t="s">
        <v>994</v>
      </c>
      <c r="D318" s="3" t="s">
        <v>995</v>
      </c>
    </row>
    <row r="319" spans="1:4" x14ac:dyDescent="0.2">
      <c r="A319" s="3" t="s">
        <v>334</v>
      </c>
      <c r="B319" s="3" t="s">
        <v>1</v>
      </c>
      <c r="C319" s="3" t="s">
        <v>994</v>
      </c>
      <c r="D319" s="3" t="s">
        <v>995</v>
      </c>
    </row>
    <row r="320" spans="1:4" x14ac:dyDescent="0.2">
      <c r="A320" s="3" t="s">
        <v>338</v>
      </c>
      <c r="B320" s="3" t="s">
        <v>1</v>
      </c>
      <c r="C320" s="3" t="s">
        <v>994</v>
      </c>
      <c r="D320" s="3" t="s">
        <v>995</v>
      </c>
    </row>
    <row r="321" spans="1:4" x14ac:dyDescent="0.2">
      <c r="A321" s="3" t="s">
        <v>43</v>
      </c>
      <c r="B321" s="3" t="s">
        <v>1</v>
      </c>
      <c r="C321" s="3" t="s">
        <v>994</v>
      </c>
      <c r="D321" s="3" t="s">
        <v>995</v>
      </c>
    </row>
    <row r="322" spans="1:4" x14ac:dyDescent="0.2">
      <c r="A322" s="3" t="s">
        <v>339</v>
      </c>
      <c r="B322" s="3" t="s">
        <v>1</v>
      </c>
      <c r="C322" s="3" t="s">
        <v>994</v>
      </c>
      <c r="D322" s="3" t="s">
        <v>995</v>
      </c>
    </row>
    <row r="323" spans="1:4" x14ac:dyDescent="0.2">
      <c r="A323" s="3" t="s">
        <v>98</v>
      </c>
      <c r="B323" s="3" t="s">
        <v>1</v>
      </c>
      <c r="C323" s="3" t="s">
        <v>994</v>
      </c>
      <c r="D323" s="3" t="s">
        <v>995</v>
      </c>
    </row>
    <row r="324" spans="1:4" x14ac:dyDescent="0.2">
      <c r="A324" s="3" t="s">
        <v>340</v>
      </c>
      <c r="B324" s="3" t="s">
        <v>1</v>
      </c>
      <c r="C324" s="3" t="s">
        <v>994</v>
      </c>
      <c r="D324" s="3" t="s">
        <v>995</v>
      </c>
    </row>
    <row r="325" spans="1:4" x14ac:dyDescent="0.2">
      <c r="A325" s="3" t="s">
        <v>341</v>
      </c>
      <c r="B325" s="3" t="s">
        <v>1</v>
      </c>
      <c r="C325" s="3" t="s">
        <v>994</v>
      </c>
      <c r="D325" s="3" t="s">
        <v>995</v>
      </c>
    </row>
    <row r="326" spans="1:4" x14ac:dyDescent="0.2">
      <c r="A326" s="3" t="s">
        <v>1155</v>
      </c>
      <c r="B326" s="3" t="s">
        <v>1</v>
      </c>
      <c r="C326" s="3" t="s">
        <v>17</v>
      </c>
      <c r="D326" s="3" t="s">
        <v>996</v>
      </c>
    </row>
    <row r="327" spans="1:4" x14ac:dyDescent="0.2">
      <c r="A327" s="3" t="s">
        <v>1156</v>
      </c>
      <c r="B327" s="3" t="s">
        <v>1</v>
      </c>
      <c r="C327" s="3" t="s">
        <v>17</v>
      </c>
      <c r="D327" s="3" t="s">
        <v>996</v>
      </c>
    </row>
    <row r="328" spans="1:4" x14ac:dyDescent="0.2">
      <c r="A328" s="3" t="s">
        <v>481</v>
      </c>
      <c r="B328" s="3" t="s">
        <v>931</v>
      </c>
      <c r="C328" s="3" t="s">
        <v>945</v>
      </c>
      <c r="D328" s="3" t="s">
        <v>966</v>
      </c>
    </row>
    <row r="329" spans="1:4" x14ac:dyDescent="0.2">
      <c r="A329" s="3" t="s">
        <v>482</v>
      </c>
      <c r="B329" s="3" t="s">
        <v>931</v>
      </c>
      <c r="C329" s="3" t="s">
        <v>945</v>
      </c>
      <c r="D329" s="3" t="s">
        <v>966</v>
      </c>
    </row>
    <row r="330" spans="1:4" x14ac:dyDescent="0.2">
      <c r="A330" s="3" t="s">
        <v>485</v>
      </c>
      <c r="B330" s="3" t="s">
        <v>931</v>
      </c>
      <c r="C330" s="3" t="s">
        <v>945</v>
      </c>
      <c r="D330" s="3" t="s">
        <v>966</v>
      </c>
    </row>
    <row r="331" spans="1:4" x14ac:dyDescent="0.2">
      <c r="A331" s="3" t="s">
        <v>486</v>
      </c>
      <c r="B331" s="3" t="s">
        <v>931</v>
      </c>
      <c r="C331" s="3" t="s">
        <v>945</v>
      </c>
      <c r="D331" s="3" t="s">
        <v>966</v>
      </c>
    </row>
    <row r="332" spans="1:4" x14ac:dyDescent="0.2">
      <c r="A332" s="3" t="s">
        <v>483</v>
      </c>
      <c r="B332" s="3" t="s">
        <v>931</v>
      </c>
      <c r="C332" s="3" t="s">
        <v>945</v>
      </c>
      <c r="D332" s="3" t="s">
        <v>966</v>
      </c>
    </row>
    <row r="333" spans="1:4" x14ac:dyDescent="0.2">
      <c r="A333" s="3" t="s">
        <v>484</v>
      </c>
      <c r="B333" s="3" t="s">
        <v>931</v>
      </c>
      <c r="C333" s="3" t="s">
        <v>945</v>
      </c>
      <c r="D333" s="3" t="s">
        <v>966</v>
      </c>
    </row>
    <row r="334" spans="1:4" x14ac:dyDescent="0.2">
      <c r="A334" s="3" t="s">
        <v>343</v>
      </c>
      <c r="B334" s="3" t="s">
        <v>1</v>
      </c>
      <c r="C334" s="3" t="s">
        <v>979</v>
      </c>
      <c r="D334" s="3" t="s">
        <v>997</v>
      </c>
    </row>
    <row r="335" spans="1:4" x14ac:dyDescent="0.2">
      <c r="A335" s="3" t="s">
        <v>345</v>
      </c>
      <c r="B335" s="3" t="s">
        <v>1</v>
      </c>
      <c r="C335" s="3" t="s">
        <v>938</v>
      </c>
      <c r="D335" s="3" t="s">
        <v>999</v>
      </c>
    </row>
    <row r="336" spans="1:4" x14ac:dyDescent="0.2">
      <c r="A336" s="3" t="s">
        <v>346</v>
      </c>
      <c r="B336" s="3" t="s">
        <v>1</v>
      </c>
      <c r="C336" s="3" t="s">
        <v>938</v>
      </c>
      <c r="D336" s="3" t="s">
        <v>999</v>
      </c>
    </row>
    <row r="337" spans="1:4" x14ac:dyDescent="0.2">
      <c r="A337" s="3" t="s">
        <v>347</v>
      </c>
      <c r="B337" s="3" t="s">
        <v>1</v>
      </c>
      <c r="C337" s="3" t="s">
        <v>938</v>
      </c>
      <c r="D337" s="3" t="s">
        <v>999</v>
      </c>
    </row>
    <row r="338" spans="1:4" x14ac:dyDescent="0.2">
      <c r="A338" s="3" t="s">
        <v>348</v>
      </c>
      <c r="B338" s="3" t="s">
        <v>1</v>
      </c>
      <c r="C338" s="3" t="s">
        <v>938</v>
      </c>
      <c r="D338" s="3" t="s">
        <v>999</v>
      </c>
    </row>
    <row r="339" spans="1:4" x14ac:dyDescent="0.2">
      <c r="A339" s="3" t="s">
        <v>351</v>
      </c>
      <c r="B339" s="3" t="s">
        <v>1</v>
      </c>
      <c r="C339" s="3" t="s">
        <v>938</v>
      </c>
      <c r="D339" s="3" t="s">
        <v>999</v>
      </c>
    </row>
    <row r="340" spans="1:4" x14ac:dyDescent="0.2">
      <c r="A340" s="3" t="s">
        <v>352</v>
      </c>
      <c r="B340" s="3" t="s">
        <v>1</v>
      </c>
      <c r="C340" s="3" t="s">
        <v>938</v>
      </c>
      <c r="D340" s="3" t="s">
        <v>999</v>
      </c>
    </row>
    <row r="341" spans="1:4" x14ac:dyDescent="0.2">
      <c r="A341" s="3" t="s">
        <v>353</v>
      </c>
      <c r="B341" s="3" t="s">
        <v>1</v>
      </c>
      <c r="C341" s="3" t="s">
        <v>938</v>
      </c>
      <c r="D341" s="3" t="s">
        <v>999</v>
      </c>
    </row>
    <row r="342" spans="1:4" x14ac:dyDescent="0.2">
      <c r="A342" s="3" t="s">
        <v>354</v>
      </c>
      <c r="B342" s="3" t="s">
        <v>1</v>
      </c>
      <c r="C342" s="3" t="s">
        <v>938</v>
      </c>
      <c r="D342" s="3" t="s">
        <v>999</v>
      </c>
    </row>
    <row r="343" spans="1:4" x14ac:dyDescent="0.2">
      <c r="A343" s="3" t="s">
        <v>409</v>
      </c>
      <c r="B343" s="3" t="s">
        <v>950</v>
      </c>
      <c r="C343" s="3" t="s">
        <v>17</v>
      </c>
      <c r="D343" s="3" t="s">
        <v>1006</v>
      </c>
    </row>
    <row r="344" spans="1:4" x14ac:dyDescent="0.2">
      <c r="A344" s="3" t="s">
        <v>410</v>
      </c>
      <c r="B344" s="3" t="s">
        <v>950</v>
      </c>
      <c r="C344" s="3" t="s">
        <v>17</v>
      </c>
      <c r="D344" s="3" t="s">
        <v>1006</v>
      </c>
    </row>
    <row r="345" spans="1:4" x14ac:dyDescent="0.2">
      <c r="A345" s="3" t="s">
        <v>372</v>
      </c>
      <c r="B345" s="3" t="s">
        <v>1</v>
      </c>
      <c r="C345" s="3" t="s">
        <v>17</v>
      </c>
      <c r="D345" s="3" t="s">
        <v>1007</v>
      </c>
    </row>
    <row r="346" spans="1:4" x14ac:dyDescent="0.2">
      <c r="A346" s="3" t="s">
        <v>371</v>
      </c>
      <c r="B346" s="3" t="s">
        <v>1</v>
      </c>
      <c r="C346" s="3" t="s">
        <v>19</v>
      </c>
      <c r="D346" s="3" t="s">
        <v>1005</v>
      </c>
    </row>
    <row r="347" spans="1:4" x14ac:dyDescent="0.2">
      <c r="A347" s="3" t="s">
        <v>367</v>
      </c>
      <c r="B347" s="3" t="s">
        <v>1</v>
      </c>
      <c r="C347" s="3" t="s">
        <v>29</v>
      </c>
      <c r="D347" s="3" t="s">
        <v>1003</v>
      </c>
    </row>
    <row r="348" spans="1:4" x14ac:dyDescent="0.2">
      <c r="A348" s="3" t="s">
        <v>368</v>
      </c>
      <c r="B348" s="3" t="s">
        <v>1</v>
      </c>
      <c r="C348" s="3" t="s">
        <v>29</v>
      </c>
      <c r="D348" s="3" t="s">
        <v>1003</v>
      </c>
    </row>
    <row r="349" spans="1:4" x14ac:dyDescent="0.2">
      <c r="A349" s="3" t="s">
        <v>369</v>
      </c>
      <c r="B349" s="3" t="s">
        <v>1</v>
      </c>
      <c r="C349" s="3" t="s">
        <v>17</v>
      </c>
      <c r="D349" s="3" t="s">
        <v>1004</v>
      </c>
    </row>
    <row r="350" spans="1:4" x14ac:dyDescent="0.2">
      <c r="A350" s="3" t="s">
        <v>359</v>
      </c>
      <c r="B350" s="3" t="s">
        <v>1</v>
      </c>
      <c r="C350" s="3" t="s">
        <v>19</v>
      </c>
      <c r="D350" s="3" t="s">
        <v>1002</v>
      </c>
    </row>
    <row r="351" spans="1:4" x14ac:dyDescent="0.2">
      <c r="A351" s="3" t="s">
        <v>360</v>
      </c>
      <c r="B351" s="3" t="s">
        <v>1</v>
      </c>
      <c r="C351" s="3" t="s">
        <v>19</v>
      </c>
      <c r="D351" s="3" t="s">
        <v>1002</v>
      </c>
    </row>
    <row r="352" spans="1:4" x14ac:dyDescent="0.2">
      <c r="A352" s="3" t="s">
        <v>361</v>
      </c>
      <c r="B352" s="3" t="s">
        <v>1</v>
      </c>
      <c r="C352" s="3" t="s">
        <v>19</v>
      </c>
      <c r="D352" s="3" t="s">
        <v>1002</v>
      </c>
    </row>
    <row r="353" spans="1:4" x14ac:dyDescent="0.2">
      <c r="A353" s="3" t="s">
        <v>362</v>
      </c>
      <c r="B353" s="3" t="s">
        <v>1</v>
      </c>
      <c r="C353" s="3" t="s">
        <v>19</v>
      </c>
      <c r="D353" s="3" t="s">
        <v>1002</v>
      </c>
    </row>
    <row r="354" spans="1:4" x14ac:dyDescent="0.2">
      <c r="A354" s="3" t="s">
        <v>363</v>
      </c>
      <c r="B354" s="3" t="s">
        <v>1</v>
      </c>
      <c r="C354" s="3" t="s">
        <v>19</v>
      </c>
      <c r="D354" s="3" t="s">
        <v>1002</v>
      </c>
    </row>
    <row r="355" spans="1:4" x14ac:dyDescent="0.2">
      <c r="A355" s="3" t="s">
        <v>364</v>
      </c>
      <c r="B355" s="3" t="s">
        <v>1</v>
      </c>
      <c r="C355" s="3" t="s">
        <v>19</v>
      </c>
      <c r="D355" s="3" t="s">
        <v>1002</v>
      </c>
    </row>
    <row r="356" spans="1:4" x14ac:dyDescent="0.2">
      <c r="A356" s="3" t="s">
        <v>365</v>
      </c>
      <c r="B356" s="3" t="s">
        <v>1</v>
      </c>
      <c r="C356" s="3" t="s">
        <v>19</v>
      </c>
      <c r="D356" s="3" t="s">
        <v>1002</v>
      </c>
    </row>
    <row r="357" spans="1:4" x14ac:dyDescent="0.2">
      <c r="A357" s="3" t="s">
        <v>366</v>
      </c>
      <c r="B357" s="3" t="s">
        <v>1</v>
      </c>
      <c r="C357" s="3" t="s">
        <v>19</v>
      </c>
      <c r="D357" s="3" t="s">
        <v>1002</v>
      </c>
    </row>
    <row r="358" spans="1:4" x14ac:dyDescent="0.2">
      <c r="A358" s="3" t="s">
        <v>473</v>
      </c>
      <c r="B358" s="3" t="s">
        <v>1</v>
      </c>
      <c r="C358" s="3" t="s">
        <v>19</v>
      </c>
      <c r="D358" s="3" t="s">
        <v>1002</v>
      </c>
    </row>
    <row r="359" spans="1:4" x14ac:dyDescent="0.2">
      <c r="A359" s="3" t="s">
        <v>355</v>
      </c>
      <c r="B359" s="3" t="s">
        <v>1</v>
      </c>
      <c r="C359" s="3" t="s">
        <v>17</v>
      </c>
      <c r="D359" s="3" t="s">
        <v>1001</v>
      </c>
    </row>
    <row r="360" spans="1:4" x14ac:dyDescent="0.2">
      <c r="A360" s="3" t="s">
        <v>356</v>
      </c>
      <c r="B360" s="3" t="s">
        <v>1</v>
      </c>
      <c r="C360" s="3" t="s">
        <v>17</v>
      </c>
      <c r="D360" s="3" t="s">
        <v>1001</v>
      </c>
    </row>
    <row r="361" spans="1:4" x14ac:dyDescent="0.2">
      <c r="A361" s="3" t="s">
        <v>357</v>
      </c>
      <c r="B361" s="3" t="s">
        <v>1</v>
      </c>
      <c r="C361" s="3" t="s">
        <v>17</v>
      </c>
      <c r="D361" s="3" t="s">
        <v>1001</v>
      </c>
    </row>
    <row r="362" spans="1:4" x14ac:dyDescent="0.2">
      <c r="A362" s="3" t="s">
        <v>358</v>
      </c>
      <c r="B362" s="3" t="s">
        <v>1</v>
      </c>
      <c r="C362" s="3" t="s">
        <v>17</v>
      </c>
      <c r="D362" s="3" t="s">
        <v>1001</v>
      </c>
    </row>
    <row r="363" spans="1:4" x14ac:dyDescent="0.2">
      <c r="A363" s="3" t="s">
        <v>373</v>
      </c>
      <c r="B363" s="3" t="s">
        <v>1</v>
      </c>
      <c r="C363" s="3" t="s">
        <v>17</v>
      </c>
      <c r="D363" s="3" t="s">
        <v>1008</v>
      </c>
    </row>
    <row r="364" spans="1:4" x14ac:dyDescent="0.2">
      <c r="A364" s="3" t="s">
        <v>374</v>
      </c>
      <c r="B364" s="3" t="s">
        <v>1</v>
      </c>
      <c r="C364" s="3" t="s">
        <v>17</v>
      </c>
      <c r="D364" s="3" t="s">
        <v>1008</v>
      </c>
    </row>
    <row r="365" spans="1:4" x14ac:dyDescent="0.2">
      <c r="A365" s="3" t="s">
        <v>375</v>
      </c>
      <c r="B365" s="3" t="s">
        <v>1</v>
      </c>
      <c r="C365" s="3" t="s">
        <v>17</v>
      </c>
      <c r="D365" s="3" t="s">
        <v>1008</v>
      </c>
    </row>
    <row r="366" spans="1:4" x14ac:dyDescent="0.2">
      <c r="A366" s="3" t="s">
        <v>376</v>
      </c>
      <c r="B366" s="3" t="s">
        <v>1</v>
      </c>
      <c r="C366" s="3" t="s">
        <v>17</v>
      </c>
      <c r="D366" s="3" t="s">
        <v>1008</v>
      </c>
    </row>
    <row r="367" spans="1:4" x14ac:dyDescent="0.2">
      <c r="A367" s="3" t="s">
        <v>381</v>
      </c>
      <c r="B367" s="3" t="s">
        <v>1</v>
      </c>
      <c r="C367" s="3" t="s">
        <v>17</v>
      </c>
      <c r="D367" s="3" t="s">
        <v>1010</v>
      </c>
    </row>
    <row r="368" spans="1:4" x14ac:dyDescent="0.2">
      <c r="A368" s="3" t="s">
        <v>382</v>
      </c>
      <c r="B368" s="3" t="s">
        <v>1</v>
      </c>
      <c r="C368" s="3" t="s">
        <v>17</v>
      </c>
      <c r="D368" s="3" t="s">
        <v>1010</v>
      </c>
    </row>
    <row r="369" spans="1:4" x14ac:dyDescent="0.2">
      <c r="A369" s="3" t="s">
        <v>383</v>
      </c>
      <c r="B369" s="3" t="s">
        <v>1</v>
      </c>
      <c r="C369" s="3" t="s">
        <v>17</v>
      </c>
      <c r="D369" s="3" t="s">
        <v>1010</v>
      </c>
    </row>
    <row r="370" spans="1:4" x14ac:dyDescent="0.2">
      <c r="A370" s="3" t="s">
        <v>384</v>
      </c>
      <c r="B370" s="3" t="s">
        <v>1</v>
      </c>
      <c r="C370" s="3" t="s">
        <v>17</v>
      </c>
      <c r="D370" s="3" t="s">
        <v>1010</v>
      </c>
    </row>
    <row r="371" spans="1:4" x14ac:dyDescent="0.2">
      <c r="A371" s="3" t="s">
        <v>385</v>
      </c>
      <c r="B371" s="3" t="s">
        <v>1</v>
      </c>
      <c r="C371" s="3" t="s">
        <v>17</v>
      </c>
      <c r="D371" s="3" t="s">
        <v>1010</v>
      </c>
    </row>
    <row r="372" spans="1:4" x14ac:dyDescent="0.2">
      <c r="A372" s="3" t="s">
        <v>386</v>
      </c>
      <c r="B372" s="3" t="s">
        <v>1</v>
      </c>
      <c r="C372" s="3" t="s">
        <v>979</v>
      </c>
      <c r="D372" s="3" t="s">
        <v>1011</v>
      </c>
    </row>
    <row r="373" spans="1:4" x14ac:dyDescent="0.2">
      <c r="A373" s="3" t="s">
        <v>314</v>
      </c>
      <c r="B373" s="3" t="s">
        <v>1</v>
      </c>
      <c r="C373" s="3" t="s">
        <v>17</v>
      </c>
      <c r="D373" s="3" t="s">
        <v>987</v>
      </c>
    </row>
    <row r="374" spans="1:4" x14ac:dyDescent="0.2">
      <c r="A374" s="3" t="s">
        <v>315</v>
      </c>
      <c r="B374" s="3" t="s">
        <v>1</v>
      </c>
      <c r="C374" s="3" t="s">
        <v>17</v>
      </c>
      <c r="D374" s="3" t="s">
        <v>987</v>
      </c>
    </row>
    <row r="375" spans="1:4" x14ac:dyDescent="0.2">
      <c r="A375" s="3" t="s">
        <v>316</v>
      </c>
      <c r="B375" s="3" t="s">
        <v>1</v>
      </c>
      <c r="C375" s="3" t="s">
        <v>17</v>
      </c>
      <c r="D375" s="3" t="s">
        <v>987</v>
      </c>
    </row>
    <row r="376" spans="1:4" x14ac:dyDescent="0.2">
      <c r="A376" s="3" t="s">
        <v>122</v>
      </c>
      <c r="B376" s="3" t="s">
        <v>27</v>
      </c>
      <c r="C376" s="3" t="s">
        <v>994</v>
      </c>
      <c r="D376" s="3" t="s">
        <v>1015</v>
      </c>
    </row>
    <row r="377" spans="1:4" x14ac:dyDescent="0.2">
      <c r="A377" s="3" t="s">
        <v>123</v>
      </c>
      <c r="B377" s="3" t="s">
        <v>27</v>
      </c>
      <c r="C377" s="3" t="s">
        <v>994</v>
      </c>
      <c r="D377" s="3" t="s">
        <v>1015</v>
      </c>
    </row>
    <row r="378" spans="1:4" x14ac:dyDescent="0.2">
      <c r="A378" s="3" t="s">
        <v>124</v>
      </c>
      <c r="B378" s="3" t="s">
        <v>27</v>
      </c>
      <c r="C378" s="3" t="s">
        <v>994</v>
      </c>
      <c r="D378" s="3" t="s">
        <v>1015</v>
      </c>
    </row>
    <row r="379" spans="1:4" x14ac:dyDescent="0.2">
      <c r="A379" s="3" t="s">
        <v>456</v>
      </c>
      <c r="B379" s="3" t="s">
        <v>1159</v>
      </c>
      <c r="C379" s="3" t="s">
        <v>994</v>
      </c>
      <c r="D379" s="3" t="s">
        <v>1012</v>
      </c>
    </row>
    <row r="380" spans="1:4" x14ac:dyDescent="0.2">
      <c r="A380" s="3" t="s">
        <v>457</v>
      </c>
      <c r="B380" s="3" t="s">
        <v>1159</v>
      </c>
      <c r="C380" s="3" t="s">
        <v>994</v>
      </c>
      <c r="D380" s="3" t="s">
        <v>1012</v>
      </c>
    </row>
    <row r="381" spans="1:4" x14ac:dyDescent="0.2">
      <c r="A381" s="3" t="s">
        <v>458</v>
      </c>
      <c r="B381" s="3" t="s">
        <v>1159</v>
      </c>
      <c r="C381" s="3" t="s">
        <v>994</v>
      </c>
      <c r="D381" s="3" t="s">
        <v>1012</v>
      </c>
    </row>
    <row r="382" spans="1:4" x14ac:dyDescent="0.2">
      <c r="A382" s="3" t="s">
        <v>459</v>
      </c>
      <c r="B382" s="3" t="s">
        <v>1159</v>
      </c>
      <c r="C382" s="3" t="s">
        <v>994</v>
      </c>
      <c r="D382" s="3" t="s">
        <v>1012</v>
      </c>
    </row>
    <row r="383" spans="1:4" x14ac:dyDescent="0.2">
      <c r="A383" s="3" t="s">
        <v>461</v>
      </c>
      <c r="B383" s="3" t="s">
        <v>1159</v>
      </c>
      <c r="C383" s="3" t="s">
        <v>994</v>
      </c>
      <c r="D383" s="3" t="s">
        <v>1012</v>
      </c>
    </row>
    <row r="384" spans="1:4" x14ac:dyDescent="0.2">
      <c r="A384" s="3" t="s">
        <v>462</v>
      </c>
      <c r="B384" s="3" t="s">
        <v>1159</v>
      </c>
      <c r="C384" s="3" t="s">
        <v>994</v>
      </c>
      <c r="D384" s="3" t="s">
        <v>1012</v>
      </c>
    </row>
    <row r="385" spans="1:4" x14ac:dyDescent="0.2">
      <c r="A385" s="3" t="s">
        <v>463</v>
      </c>
      <c r="B385" s="3" t="s">
        <v>1159</v>
      </c>
      <c r="C385" s="3" t="s">
        <v>994</v>
      </c>
      <c r="D385" s="3" t="s">
        <v>1012</v>
      </c>
    </row>
    <row r="386" spans="1:4" x14ac:dyDescent="0.2">
      <c r="A386" s="3" t="s">
        <v>464</v>
      </c>
      <c r="B386" s="3" t="s">
        <v>1159</v>
      </c>
      <c r="C386" s="3" t="s">
        <v>994</v>
      </c>
      <c r="D386" s="3" t="s">
        <v>1012</v>
      </c>
    </row>
    <row r="387" spans="1:4" x14ac:dyDescent="0.2">
      <c r="A387" s="3" t="s">
        <v>465</v>
      </c>
      <c r="B387" s="3" t="s">
        <v>1159</v>
      </c>
      <c r="C387" s="3" t="s">
        <v>994</v>
      </c>
      <c r="D387" s="3" t="s">
        <v>1012</v>
      </c>
    </row>
    <row r="388" spans="1:4" x14ac:dyDescent="0.2">
      <c r="A388" s="3" t="s">
        <v>466</v>
      </c>
      <c r="B388" s="3" t="s">
        <v>1159</v>
      </c>
      <c r="C388" s="3" t="s">
        <v>994</v>
      </c>
      <c r="D388" s="3" t="s">
        <v>1012</v>
      </c>
    </row>
    <row r="389" spans="1:4" x14ac:dyDescent="0.2">
      <c r="A389" s="3" t="s">
        <v>467</v>
      </c>
      <c r="B389" s="3" t="s">
        <v>1159</v>
      </c>
      <c r="C389" s="3" t="s">
        <v>994</v>
      </c>
      <c r="D389" s="3" t="s">
        <v>1012</v>
      </c>
    </row>
    <row r="390" spans="1:4" x14ac:dyDescent="0.2">
      <c r="A390" s="3" t="s">
        <v>468</v>
      </c>
      <c r="B390" s="3" t="s">
        <v>1159</v>
      </c>
      <c r="C390" s="3" t="s">
        <v>994</v>
      </c>
      <c r="D390" s="3" t="s">
        <v>1012</v>
      </c>
    </row>
    <row r="391" spans="1:4" x14ac:dyDescent="0.2">
      <c r="A391" s="3" t="s">
        <v>469</v>
      </c>
      <c r="B391" s="3" t="s">
        <v>1159</v>
      </c>
      <c r="C391" s="3" t="s">
        <v>994</v>
      </c>
      <c r="D391" s="3" t="s">
        <v>1012</v>
      </c>
    </row>
    <row r="392" spans="1:4" x14ac:dyDescent="0.2">
      <c r="A392" s="3" t="s">
        <v>930</v>
      </c>
      <c r="B392" s="3" t="s">
        <v>1159</v>
      </c>
      <c r="C392" s="3" t="s">
        <v>994</v>
      </c>
      <c r="D392" s="3" t="s">
        <v>1012</v>
      </c>
    </row>
    <row r="393" spans="1:4" x14ac:dyDescent="0.2">
      <c r="A393" s="3" t="s">
        <v>470</v>
      </c>
      <c r="B393" s="3" t="s">
        <v>1159</v>
      </c>
      <c r="C393" s="3" t="s">
        <v>994</v>
      </c>
      <c r="D393" s="3" t="s">
        <v>1012</v>
      </c>
    </row>
    <row r="394" spans="1:4" x14ac:dyDescent="0.2">
      <c r="A394" s="3" t="s">
        <v>471</v>
      </c>
      <c r="B394" s="3" t="s">
        <v>1159</v>
      </c>
      <c r="C394" s="3" t="s">
        <v>994</v>
      </c>
      <c r="D394" s="3" t="s">
        <v>1012</v>
      </c>
    </row>
    <row r="395" spans="1:4" x14ac:dyDescent="0.2">
      <c r="A395" s="3" t="s">
        <v>472</v>
      </c>
      <c r="B395" s="3" t="s">
        <v>1159</v>
      </c>
      <c r="C395" s="3" t="s">
        <v>994</v>
      </c>
      <c r="D395" s="3" t="s">
        <v>1012</v>
      </c>
    </row>
    <row r="396" spans="1:4" x14ac:dyDescent="0.2">
      <c r="A396" s="3" t="s">
        <v>474</v>
      </c>
      <c r="B396" s="3" t="s">
        <v>1159</v>
      </c>
      <c r="C396" s="3" t="s">
        <v>994</v>
      </c>
      <c r="D396" s="3" t="s">
        <v>1012</v>
      </c>
    </row>
    <row r="397" spans="1:4" x14ac:dyDescent="0.2">
      <c r="A397" s="3" t="s">
        <v>475</v>
      </c>
      <c r="B397" s="3" t="s">
        <v>1159</v>
      </c>
      <c r="C397" s="3" t="s">
        <v>994</v>
      </c>
      <c r="D397" s="3" t="s">
        <v>1012</v>
      </c>
    </row>
    <row r="398" spans="1:4" x14ac:dyDescent="0.2">
      <c r="A398" s="3" t="s">
        <v>476</v>
      </c>
      <c r="B398" s="3" t="s">
        <v>1159</v>
      </c>
      <c r="C398" s="3" t="s">
        <v>994</v>
      </c>
      <c r="D398" s="3" t="s">
        <v>1012</v>
      </c>
    </row>
    <row r="399" spans="1:4" x14ac:dyDescent="0.2">
      <c r="A399" s="7" t="s">
        <v>477</v>
      </c>
      <c r="B399" s="3" t="s">
        <v>1159</v>
      </c>
      <c r="C399" s="3" t="s">
        <v>994</v>
      </c>
      <c r="D399" s="3" t="s">
        <v>1012</v>
      </c>
    </row>
    <row r="400" spans="1:4" x14ac:dyDescent="0.2">
      <c r="A400" s="3" t="s">
        <v>478</v>
      </c>
      <c r="B400" s="3" t="s">
        <v>1159</v>
      </c>
      <c r="C400" s="3" t="s">
        <v>994</v>
      </c>
      <c r="D400" s="3" t="s">
        <v>1012</v>
      </c>
    </row>
    <row r="401" spans="1:4" x14ac:dyDescent="0.2">
      <c r="A401" s="3" t="s">
        <v>479</v>
      </c>
      <c r="B401" s="3" t="s">
        <v>1159</v>
      </c>
      <c r="C401" s="3" t="s">
        <v>994</v>
      </c>
      <c r="D401" s="3" t="s">
        <v>1012</v>
      </c>
    </row>
    <row r="402" spans="1:4" x14ac:dyDescent="0.2">
      <c r="A402" s="3" t="s">
        <v>480</v>
      </c>
      <c r="B402" s="3" t="s">
        <v>1159</v>
      </c>
      <c r="C402" s="3" t="s">
        <v>994</v>
      </c>
      <c r="D402" s="3" t="s">
        <v>1012</v>
      </c>
    </row>
    <row r="403" spans="1:4" x14ac:dyDescent="0.2">
      <c r="A403" s="3" t="s">
        <v>929</v>
      </c>
      <c r="B403" s="3" t="s">
        <v>1159</v>
      </c>
      <c r="C403" s="3" t="s">
        <v>994</v>
      </c>
      <c r="D403" s="3" t="s">
        <v>1012</v>
      </c>
    </row>
    <row r="404" spans="1:4" x14ac:dyDescent="0.2">
      <c r="A404" s="3" t="s">
        <v>928</v>
      </c>
      <c r="B404" s="3" t="s">
        <v>1159</v>
      </c>
      <c r="C404" s="3" t="s">
        <v>994</v>
      </c>
      <c r="D404" s="3" t="s">
        <v>1012</v>
      </c>
    </row>
    <row r="405" spans="1:4" x14ac:dyDescent="0.2">
      <c r="A405" s="3" t="s">
        <v>394</v>
      </c>
      <c r="B405" s="3" t="s">
        <v>1</v>
      </c>
      <c r="C405" s="3" t="s">
        <v>17</v>
      </c>
      <c r="D405" s="3" t="s">
        <v>1014</v>
      </c>
    </row>
    <row r="406" spans="1:4" x14ac:dyDescent="0.2">
      <c r="A406" s="3" t="s">
        <v>387</v>
      </c>
      <c r="B406" s="3" t="s">
        <v>1</v>
      </c>
      <c r="C406" s="3" t="s">
        <v>2</v>
      </c>
      <c r="D406" s="3" t="s">
        <v>1013</v>
      </c>
    </row>
    <row r="407" spans="1:4" x14ac:dyDescent="0.2">
      <c r="A407" s="3" t="s">
        <v>926</v>
      </c>
      <c r="B407" s="3" t="s">
        <v>1</v>
      </c>
      <c r="C407" s="3" t="s">
        <v>22</v>
      </c>
      <c r="D407" s="3" t="s">
        <v>1017</v>
      </c>
    </row>
    <row r="408" spans="1:4" x14ac:dyDescent="0.2">
      <c r="A408" s="3" t="s">
        <v>396</v>
      </c>
      <c r="B408" s="3" t="s">
        <v>1</v>
      </c>
      <c r="C408" s="3" t="s">
        <v>17</v>
      </c>
      <c r="D408" s="3" t="s">
        <v>1016</v>
      </c>
    </row>
    <row r="409" spans="1:4" x14ac:dyDescent="0.2">
      <c r="A409" s="3" t="s">
        <v>344</v>
      </c>
      <c r="B409" s="3" t="s">
        <v>1</v>
      </c>
      <c r="C409" s="3" t="s">
        <v>17</v>
      </c>
      <c r="D409" s="3" t="s">
        <v>998</v>
      </c>
    </row>
    <row r="410" spans="1:4" x14ac:dyDescent="0.2">
      <c r="A410" s="3" t="s">
        <v>397</v>
      </c>
      <c r="B410" s="3" t="s">
        <v>1</v>
      </c>
      <c r="C410" s="3" t="s">
        <v>17</v>
      </c>
      <c r="D410" s="3" t="s">
        <v>998</v>
      </c>
    </row>
    <row r="411" spans="1:4" x14ac:dyDescent="0.2">
      <c r="A411" s="3" t="s">
        <v>398</v>
      </c>
      <c r="B411" s="3" t="s">
        <v>1</v>
      </c>
      <c r="C411" s="3" t="s">
        <v>17</v>
      </c>
      <c r="D411" s="3" t="s">
        <v>998</v>
      </c>
    </row>
    <row r="412" spans="1:4" x14ac:dyDescent="0.2">
      <c r="A412" s="3" t="s">
        <v>399</v>
      </c>
      <c r="B412" s="3" t="s">
        <v>1</v>
      </c>
      <c r="C412" s="3" t="s">
        <v>17</v>
      </c>
      <c r="D412" s="3" t="s">
        <v>998</v>
      </c>
    </row>
    <row r="413" spans="1:4" x14ac:dyDescent="0.2">
      <c r="A413" s="3" t="s">
        <v>408</v>
      </c>
      <c r="B413" s="3" t="s">
        <v>950</v>
      </c>
      <c r="C413" s="3" t="s">
        <v>17</v>
      </c>
      <c r="D413" s="3" t="s">
        <v>1000</v>
      </c>
    </row>
    <row r="414" spans="1:4" x14ac:dyDescent="0.2">
      <c r="A414" s="3" t="s">
        <v>927</v>
      </c>
      <c r="B414" s="3" t="s">
        <v>950</v>
      </c>
      <c r="C414" s="3" t="s">
        <v>17</v>
      </c>
      <c r="D414" s="3" t="s">
        <v>1000</v>
      </c>
    </row>
    <row r="415" spans="1:4" x14ac:dyDescent="0.2">
      <c r="A415" s="25" t="s">
        <v>412</v>
      </c>
      <c r="B415" s="3" t="s">
        <v>950</v>
      </c>
      <c r="C415" s="3" t="s">
        <v>17</v>
      </c>
      <c r="D415" s="3" t="s">
        <v>1000</v>
      </c>
    </row>
    <row r="416" spans="1:4" x14ac:dyDescent="0.2">
      <c r="A416" s="3" t="s">
        <v>413</v>
      </c>
      <c r="B416" s="3" t="s">
        <v>950</v>
      </c>
      <c r="C416" s="3" t="s">
        <v>17</v>
      </c>
      <c r="D416" s="3" t="s">
        <v>1000</v>
      </c>
    </row>
    <row r="417" spans="1:4" x14ac:dyDescent="0.2">
      <c r="A417" s="25" t="s">
        <v>884</v>
      </c>
      <c r="B417" s="3" t="s">
        <v>944</v>
      </c>
      <c r="C417" s="3" t="s">
        <v>945</v>
      </c>
      <c r="D417" s="3" t="s">
        <v>946</v>
      </c>
    </row>
    <row r="418" spans="1:4" x14ac:dyDescent="0.2">
      <c r="A418" s="7" t="s">
        <v>885</v>
      </c>
      <c r="B418" s="3" t="s">
        <v>944</v>
      </c>
      <c r="C418" s="3" t="s">
        <v>945</v>
      </c>
      <c r="D418" s="3" t="s">
        <v>946</v>
      </c>
    </row>
    <row r="419" spans="1:4" x14ac:dyDescent="0.2">
      <c r="A419" s="1" t="s">
        <v>886</v>
      </c>
      <c r="B419" s="3" t="s">
        <v>944</v>
      </c>
      <c r="C419" s="3" t="s">
        <v>945</v>
      </c>
      <c r="D419" s="3" t="s">
        <v>946</v>
      </c>
    </row>
    <row r="420" spans="1:4" x14ac:dyDescent="0.2">
      <c r="A420" s="1" t="s">
        <v>887</v>
      </c>
      <c r="B420" s="3" t="s">
        <v>944</v>
      </c>
      <c r="C420" s="3" t="s">
        <v>945</v>
      </c>
      <c r="D420" s="3" t="s">
        <v>946</v>
      </c>
    </row>
    <row r="421" spans="1:4" x14ac:dyDescent="0.2">
      <c r="A421" s="1" t="s">
        <v>888</v>
      </c>
      <c r="B421" s="3" t="s">
        <v>944</v>
      </c>
      <c r="C421" s="3" t="s">
        <v>945</v>
      </c>
      <c r="D421" s="3" t="s">
        <v>946</v>
      </c>
    </row>
    <row r="422" spans="1:4" x14ac:dyDescent="0.2">
      <c r="A422" s="1" t="s">
        <v>889</v>
      </c>
      <c r="B422" s="3" t="s">
        <v>944</v>
      </c>
      <c r="C422" s="3" t="s">
        <v>945</v>
      </c>
      <c r="D422" s="3" t="s">
        <v>946</v>
      </c>
    </row>
    <row r="423" spans="1:4" x14ac:dyDescent="0.2">
      <c r="A423" s="1" t="s">
        <v>890</v>
      </c>
      <c r="B423" s="3" t="s">
        <v>944</v>
      </c>
      <c r="C423" s="3" t="s">
        <v>945</v>
      </c>
      <c r="D423" s="3" t="s">
        <v>946</v>
      </c>
    </row>
    <row r="424" spans="1:4" x14ac:dyDescent="0.2">
      <c r="A424" s="1" t="s">
        <v>891</v>
      </c>
      <c r="B424" s="3" t="s">
        <v>944</v>
      </c>
      <c r="C424" s="3" t="s">
        <v>945</v>
      </c>
      <c r="D424" s="3" t="s">
        <v>946</v>
      </c>
    </row>
    <row r="425" spans="1:4" x14ac:dyDescent="0.2">
      <c r="A425" s="7" t="s">
        <v>892</v>
      </c>
      <c r="B425" s="3" t="s">
        <v>944</v>
      </c>
      <c r="C425" s="3" t="s">
        <v>945</v>
      </c>
      <c r="D425" s="3" t="s">
        <v>946</v>
      </c>
    </row>
    <row r="426" spans="1:4" x14ac:dyDescent="0.2">
      <c r="A426" s="7" t="s">
        <v>893</v>
      </c>
      <c r="B426" s="3" t="s">
        <v>944</v>
      </c>
      <c r="C426" s="3" t="s">
        <v>945</v>
      </c>
      <c r="D426" s="3" t="s">
        <v>946</v>
      </c>
    </row>
    <row r="427" spans="1:4" x14ac:dyDescent="0.2">
      <c r="A427" s="1" t="s">
        <v>894</v>
      </c>
      <c r="B427" s="3" t="s">
        <v>944</v>
      </c>
      <c r="C427" s="3" t="s">
        <v>945</v>
      </c>
      <c r="D427" s="3" t="s">
        <v>946</v>
      </c>
    </row>
    <row r="428" spans="1:4" x14ac:dyDescent="0.2">
      <c r="A428" s="1" t="s">
        <v>895</v>
      </c>
      <c r="B428" s="3" t="s">
        <v>944</v>
      </c>
      <c r="C428" s="3" t="s">
        <v>945</v>
      </c>
      <c r="D428" s="3" t="s">
        <v>946</v>
      </c>
    </row>
    <row r="429" spans="1:4" x14ac:dyDescent="0.2">
      <c r="A429" s="1" t="s">
        <v>896</v>
      </c>
      <c r="B429" s="3" t="s">
        <v>944</v>
      </c>
      <c r="C429" s="3" t="s">
        <v>945</v>
      </c>
      <c r="D429" s="3" t="s">
        <v>946</v>
      </c>
    </row>
    <row r="430" spans="1:4" x14ac:dyDescent="0.2">
      <c r="A430" s="1" t="s">
        <v>897</v>
      </c>
      <c r="B430" s="3" t="s">
        <v>944</v>
      </c>
      <c r="C430" s="3" t="s">
        <v>945</v>
      </c>
      <c r="D430" s="3" t="s">
        <v>946</v>
      </c>
    </row>
    <row r="431" spans="1:4" x14ac:dyDescent="0.2">
      <c r="A431" s="1" t="s">
        <v>898</v>
      </c>
      <c r="B431" s="3" t="s">
        <v>944</v>
      </c>
      <c r="C431" s="3" t="s">
        <v>945</v>
      </c>
      <c r="D431" s="3" t="s">
        <v>946</v>
      </c>
    </row>
    <row r="432" spans="1:4" x14ac:dyDescent="0.2">
      <c r="A432" s="1" t="s">
        <v>899</v>
      </c>
      <c r="B432" s="3" t="s">
        <v>944</v>
      </c>
      <c r="C432" s="3" t="s">
        <v>945</v>
      </c>
      <c r="D432" s="3" t="s">
        <v>946</v>
      </c>
    </row>
    <row r="433" spans="1:4" x14ac:dyDescent="0.2">
      <c r="A433" s="1" t="s">
        <v>900</v>
      </c>
      <c r="B433" s="3" t="s">
        <v>944</v>
      </c>
      <c r="C433" s="3" t="s">
        <v>945</v>
      </c>
      <c r="D433" s="3" t="s">
        <v>946</v>
      </c>
    </row>
    <row r="434" spans="1:4" x14ac:dyDescent="0.2">
      <c r="A434" s="1" t="s">
        <v>901</v>
      </c>
      <c r="B434" s="3" t="s">
        <v>944</v>
      </c>
      <c r="C434" s="3" t="s">
        <v>945</v>
      </c>
      <c r="D434" s="3" t="s">
        <v>946</v>
      </c>
    </row>
    <row r="435" spans="1:4" x14ac:dyDescent="0.2">
      <c r="A435" s="1" t="s">
        <v>902</v>
      </c>
      <c r="B435" s="3" t="s">
        <v>944</v>
      </c>
      <c r="C435" s="3" t="s">
        <v>945</v>
      </c>
      <c r="D435" s="3" t="s">
        <v>946</v>
      </c>
    </row>
    <row r="436" spans="1:4" x14ac:dyDescent="0.2">
      <c r="A436" s="1" t="s">
        <v>903</v>
      </c>
      <c r="B436" s="3" t="s">
        <v>944</v>
      </c>
      <c r="C436" s="3" t="s">
        <v>945</v>
      </c>
      <c r="D436" s="3" t="s">
        <v>946</v>
      </c>
    </row>
    <row r="437" spans="1:4" x14ac:dyDescent="0.2">
      <c r="A437" s="1" t="s">
        <v>904</v>
      </c>
      <c r="B437" s="3" t="s">
        <v>944</v>
      </c>
      <c r="C437" s="3" t="s">
        <v>945</v>
      </c>
      <c r="D437" s="3" t="s">
        <v>946</v>
      </c>
    </row>
    <row r="438" spans="1:4" x14ac:dyDescent="0.2">
      <c r="A438" s="1" t="s">
        <v>905</v>
      </c>
      <c r="B438" s="3" t="s">
        <v>944</v>
      </c>
      <c r="C438" s="3" t="s">
        <v>945</v>
      </c>
      <c r="D438" s="3" t="s">
        <v>946</v>
      </c>
    </row>
    <row r="439" spans="1:4" x14ac:dyDescent="0.2">
      <c r="A439" s="1" t="s">
        <v>906</v>
      </c>
      <c r="B439" s="3" t="s">
        <v>944</v>
      </c>
      <c r="C439" s="3" t="s">
        <v>945</v>
      </c>
      <c r="D439" s="3" t="s">
        <v>946</v>
      </c>
    </row>
    <row r="440" spans="1:4" x14ac:dyDescent="0.2">
      <c r="A440" s="1" t="s">
        <v>907</v>
      </c>
      <c r="B440" s="3" t="s">
        <v>944</v>
      </c>
      <c r="C440" s="3" t="s">
        <v>945</v>
      </c>
      <c r="D440" s="3" t="s">
        <v>946</v>
      </c>
    </row>
    <row r="441" spans="1:4" x14ac:dyDescent="0.2">
      <c r="A441" s="1" t="s">
        <v>908</v>
      </c>
      <c r="B441" s="3" t="s">
        <v>944</v>
      </c>
      <c r="C441" s="3" t="s">
        <v>945</v>
      </c>
      <c r="D441" s="3" t="s">
        <v>946</v>
      </c>
    </row>
    <row r="442" spans="1:4" x14ac:dyDescent="0.2">
      <c r="A442" s="1" t="s">
        <v>909</v>
      </c>
      <c r="B442" s="3" t="s">
        <v>944</v>
      </c>
      <c r="C442" s="3" t="s">
        <v>945</v>
      </c>
      <c r="D442" s="3" t="s">
        <v>946</v>
      </c>
    </row>
    <row r="443" spans="1:4" x14ac:dyDescent="0.2">
      <c r="A443" s="7" t="s">
        <v>460</v>
      </c>
      <c r="B443" s="3" t="s">
        <v>1159</v>
      </c>
      <c r="C443" s="3" t="s">
        <v>994</v>
      </c>
      <c r="D443" s="3" t="s">
        <v>1012</v>
      </c>
    </row>
  </sheetData>
  <sortState ref="A2:D438">
    <sortCondition ref="D2:D438"/>
  </sortState>
  <customSheetViews>
    <customSheetView guid="{3E3401AF-8459-8641-BD70-AD04F80E86ED}">
      <pane ySplit="1" topLeftCell="A265" activePane="bottomLeft" state="frozenSplit"/>
      <selection pane="bottomLeft" activeCell="D1" sqref="D1:D1048576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zoomScale="142" zoomScaleNormal="142" zoomScalePageLayoutView="142" workbookViewId="0">
      <selection activeCell="G15" sqref="G15"/>
    </sheetView>
  </sheetViews>
  <sheetFormatPr baseColWidth="10" defaultColWidth="10.83203125" defaultRowHeight="16" x14ac:dyDescent="0.2"/>
  <cols>
    <col min="1" max="1" width="10.83203125" style="3"/>
    <col min="2" max="2" width="19.33203125" style="3" customWidth="1"/>
    <col min="3" max="3" width="13.33203125" style="3" bestFit="1" customWidth="1"/>
    <col min="4" max="4" width="5.6640625" style="3" bestFit="1" customWidth="1"/>
    <col min="5" max="5" width="7.5" style="3" bestFit="1" customWidth="1"/>
    <col min="6" max="6" width="7.83203125" style="3" bestFit="1" customWidth="1"/>
    <col min="7" max="7" width="10.83203125" style="3"/>
    <col min="8" max="8" width="5" style="3" bestFit="1" customWidth="1"/>
    <col min="9" max="9" width="9.1640625" style="16" customWidth="1"/>
    <col min="10" max="10" width="9.5" style="2" customWidth="1"/>
    <col min="11" max="13" width="6.5" style="2" customWidth="1"/>
    <col min="14" max="14" width="7.6640625" style="2" customWidth="1"/>
    <col min="15" max="15" width="7.5" style="2" customWidth="1"/>
    <col min="16" max="16" width="3" style="15" customWidth="1"/>
    <col min="17" max="17" width="6" style="16" bestFit="1" customWidth="1"/>
    <col min="18" max="18" width="7" style="3" bestFit="1" customWidth="1"/>
    <col min="19" max="19" width="6" style="3" customWidth="1"/>
    <col min="20" max="20" width="9.83203125" style="3" bestFit="1" customWidth="1"/>
    <col min="21" max="21" width="6" style="16" bestFit="1" customWidth="1"/>
    <col min="22" max="22" width="8.1640625" style="3" bestFit="1" customWidth="1"/>
    <col min="23" max="23" width="9.83203125" style="23" bestFit="1" customWidth="1"/>
    <col min="24" max="24" width="10.83203125" style="16"/>
    <col min="25" max="16384" width="10.83203125" style="3"/>
  </cols>
  <sheetData>
    <row r="1" spans="1:24" s="17" customFormat="1" ht="17" thickBot="1" x14ac:dyDescent="0.25">
      <c r="B1" s="17" t="s">
        <v>1129</v>
      </c>
      <c r="C1" s="17" t="s">
        <v>31</v>
      </c>
      <c r="D1" s="17" t="s">
        <v>30</v>
      </c>
      <c r="E1" s="17" t="s">
        <v>1101</v>
      </c>
      <c r="F1" s="17" t="s">
        <v>1099</v>
      </c>
      <c r="G1" s="17" t="s">
        <v>1116</v>
      </c>
      <c r="H1" s="17" t="s">
        <v>1100</v>
      </c>
      <c r="I1" s="83" t="s">
        <v>1146</v>
      </c>
      <c r="J1" s="19" t="s">
        <v>1138</v>
      </c>
      <c r="K1" s="19" t="s">
        <v>1136</v>
      </c>
      <c r="L1" s="19" t="s">
        <v>1135</v>
      </c>
      <c r="M1" s="19" t="s">
        <v>1137</v>
      </c>
      <c r="N1" s="19" t="s">
        <v>1139</v>
      </c>
      <c r="O1" s="19" t="s">
        <v>1108</v>
      </c>
      <c r="P1" s="17" t="s">
        <v>1021</v>
      </c>
      <c r="Q1" s="17" t="s">
        <v>1103</v>
      </c>
      <c r="R1" s="17" t="s">
        <v>1130</v>
      </c>
      <c r="S1" s="17" t="s">
        <v>1127</v>
      </c>
      <c r="T1" s="17" t="s">
        <v>1126</v>
      </c>
      <c r="U1" s="17" t="s">
        <v>1134</v>
      </c>
      <c r="V1" s="17" t="s">
        <v>1132</v>
      </c>
      <c r="W1" s="22" t="s">
        <v>1133</v>
      </c>
      <c r="X1" s="17" t="s">
        <v>1110</v>
      </c>
    </row>
    <row r="2" spans="1:24" ht="17" thickTop="1" x14ac:dyDescent="0.2">
      <c r="A2" s="3" t="s">
        <v>1140</v>
      </c>
      <c r="B2" s="3" t="str">
        <f t="shared" ref="B2:B13" si="0">CONCATENATE(C2,"_",D2)</f>
        <v>US28_hcmva_4XT1</v>
      </c>
      <c r="C2" s="2" t="s">
        <v>42</v>
      </c>
      <c r="D2" s="3" t="s">
        <v>1124</v>
      </c>
      <c r="E2" s="3" t="s">
        <v>1106</v>
      </c>
      <c r="F2" s="3" t="s">
        <v>1112</v>
      </c>
      <c r="G2" s="3" t="s">
        <v>1125</v>
      </c>
      <c r="H2" s="3" t="s">
        <v>1115</v>
      </c>
      <c r="I2" s="16" t="s">
        <v>1143</v>
      </c>
      <c r="J2" s="18" t="e">
        <f>VLOOKUP(CONCATENATE(B2,"_TM6"),#REF!,13,FALSE)-VLOOKUP(CONCATENATE(B2,"_TM5"),#REF!,13,FALSE)</f>
        <v>#REF!</v>
      </c>
      <c r="K2" s="18" t="e">
        <f t="shared" ref="K2:K12" si="1">U2-R2-1</f>
        <v>#REF!</v>
      </c>
      <c r="L2" s="18" t="e">
        <f>K2</f>
        <v>#REF!</v>
      </c>
      <c r="M2" s="18" t="e">
        <f t="shared" ref="M2:M12" si="2">K2-L2</f>
        <v>#REF!</v>
      </c>
      <c r="N2" s="18" t="e">
        <f>J2-K2</f>
        <v>#REF!</v>
      </c>
      <c r="O2" s="18" t="s">
        <v>1128</v>
      </c>
      <c r="R2" s="3" t="e">
        <f>VLOOKUP(CONCATENATE(B2,"_TM5"),#REF!,15,FALSE)</f>
        <v>#REF!</v>
      </c>
      <c r="S2" s="3" t="e">
        <f>VLOOKUP(CONCATENATE(B2,"_TM5"),#REF!,15,FALSE)-VLOOKUP(CONCATENATE(B2,"_TM5"),#REF!,13,FALSE)+50</f>
        <v>#REF!</v>
      </c>
      <c r="T2" s="3">
        <v>66</v>
      </c>
      <c r="U2" s="16" t="e">
        <f>VLOOKUP(CONCATENATE(B2,"_TM6"),#REF!,12,FALSE)</f>
        <v>#REF!</v>
      </c>
      <c r="V2" s="3" t="e">
        <f>VLOOKUP(CONCATENATE(B2,"_TM6"),#REF!,12,FALSE)-VLOOKUP(CONCATENATE(B2,"_TM6"),#REF!,13,FALSE)+50</f>
        <v>#REF!</v>
      </c>
      <c r="W2" s="23" t="e">
        <f>VLOOKUP(CONCATENATE(B2,"_TM6"),#REF!,15,FALSE)</f>
        <v>#REF!</v>
      </c>
      <c r="X2" s="84" t="s">
        <v>1123</v>
      </c>
    </row>
    <row r="3" spans="1:24" x14ac:dyDescent="0.2">
      <c r="A3" s="3" t="s">
        <v>1142</v>
      </c>
      <c r="B3" s="3" t="str">
        <f t="shared" si="0"/>
        <v>OPRM_mouse_5C1M</v>
      </c>
      <c r="C3" s="3" t="s">
        <v>44</v>
      </c>
      <c r="D3" s="3" t="s">
        <v>84</v>
      </c>
      <c r="E3" s="3" t="s">
        <v>1106</v>
      </c>
      <c r="F3" s="3" t="s">
        <v>1112</v>
      </c>
      <c r="G3" s="3" t="s">
        <v>1125</v>
      </c>
      <c r="H3" s="3" t="s">
        <v>1115</v>
      </c>
      <c r="I3" s="16" t="s">
        <v>1143</v>
      </c>
      <c r="J3" s="18" t="e">
        <f>VLOOKUP(CONCATENATE(B3,"_TM6"),#REF!,13,FALSE)-VLOOKUP(CONCATENATE(B3,"_TM5"),#REF!,13,FALSE)</f>
        <v>#REF!</v>
      </c>
      <c r="K3" s="18" t="e">
        <f t="shared" si="1"/>
        <v>#REF!</v>
      </c>
      <c r="L3" s="18" t="e">
        <f>K3</f>
        <v>#REF!</v>
      </c>
      <c r="M3" s="18" t="e">
        <f t="shared" si="2"/>
        <v>#REF!</v>
      </c>
      <c r="N3" s="18" t="e">
        <f>J3-K3</f>
        <v>#REF!</v>
      </c>
      <c r="O3" s="18" t="s">
        <v>1128</v>
      </c>
      <c r="R3" s="3" t="e">
        <f>VLOOKUP(CONCATENATE(B3,"_TM5"),#REF!,15,FALSE)</f>
        <v>#REF!</v>
      </c>
      <c r="S3" s="3" t="e">
        <f>VLOOKUP(CONCATENATE(B3,"_TM5"),#REF!,15,FALSE)-VLOOKUP(CONCATENATE(B3,"_TM5"),#REF!,13,FALSE)+50</f>
        <v>#REF!</v>
      </c>
      <c r="T3" s="3">
        <v>68</v>
      </c>
      <c r="U3" s="16" t="e">
        <f>VLOOKUP(CONCATENATE(B3,"_TM6"),#REF!,12,FALSE)</f>
        <v>#REF!</v>
      </c>
      <c r="V3" s="3" t="e">
        <f>VLOOKUP(CONCATENATE(B3,"_TM6"),#REF!,12,FALSE)-VLOOKUP(CONCATENATE(B3,"_TM6"),#REF!,13,FALSE)+50</f>
        <v>#REF!</v>
      </c>
      <c r="W3" s="23" t="e">
        <f>VLOOKUP(CONCATENATE(B3,"_TM6"),#REF!,15,FALSE)</f>
        <v>#REF!</v>
      </c>
      <c r="X3" s="84" t="s">
        <v>1123</v>
      </c>
    </row>
    <row r="4" spans="1:24" x14ac:dyDescent="0.2">
      <c r="A4" s="3" t="s">
        <v>1141</v>
      </c>
      <c r="B4" s="3" t="str">
        <f t="shared" si="0"/>
        <v>OPSD_bovin_3DQB</v>
      </c>
      <c r="C4" s="3" t="s">
        <v>43</v>
      </c>
      <c r="D4" s="14" t="s">
        <v>54</v>
      </c>
      <c r="E4" s="3" t="s">
        <v>1106</v>
      </c>
      <c r="F4" s="14" t="s">
        <v>24</v>
      </c>
      <c r="G4" s="3" t="s">
        <v>1125</v>
      </c>
      <c r="H4" s="3" t="s">
        <v>1115</v>
      </c>
      <c r="I4" s="16" t="s">
        <v>1143</v>
      </c>
      <c r="J4" s="18" t="e">
        <f>VLOOKUP(CONCATENATE(B4,"_TM6"),#REF!,13,FALSE)-VLOOKUP(CONCATENATE(B4,"_TM5"),#REF!,13,FALSE)</f>
        <v>#REF!</v>
      </c>
      <c r="K4" s="18" t="e">
        <f t="shared" si="1"/>
        <v>#REF!</v>
      </c>
      <c r="L4" s="18" t="e">
        <f>K4</f>
        <v>#REF!</v>
      </c>
      <c r="M4" s="18" t="e">
        <f t="shared" si="2"/>
        <v>#REF!</v>
      </c>
      <c r="N4" s="18" t="e">
        <f>J4-K4</f>
        <v>#REF!</v>
      </c>
      <c r="O4" s="18" t="s">
        <v>1118</v>
      </c>
      <c r="P4" s="15" t="s">
        <v>1020</v>
      </c>
      <c r="Q4" s="16">
        <v>237</v>
      </c>
      <c r="R4" s="3" t="e">
        <f>VLOOKUP(CONCATENATE(B4,"_TM5"),#REF!,15,FALSE)</f>
        <v>#REF!</v>
      </c>
      <c r="S4" s="3" t="e">
        <f>VLOOKUP(CONCATENATE(B4,"_TM5"),#REF!,15,FALSE)-VLOOKUP(CONCATENATE(B4,"_TM5"),#REF!,13,FALSE)+50</f>
        <v>#REF!</v>
      </c>
      <c r="T4" s="3">
        <v>72</v>
      </c>
      <c r="U4" s="16" t="e">
        <f>VLOOKUP(CONCATENATE(B4,"_TM6"),#REF!,12,FALSE)</f>
        <v>#REF!</v>
      </c>
      <c r="V4" s="3" t="e">
        <f>VLOOKUP(CONCATENATE(B4,"_TM6"),#REF!,12,FALSE)-VLOOKUP(CONCATENATE(B4,"_TM6"),#REF!,13,FALSE)+50</f>
        <v>#REF!</v>
      </c>
      <c r="W4" s="23" t="e">
        <f>VLOOKUP(CONCATENATE(B4,"_TM6"),#REF!,15,FALSE)</f>
        <v>#REF!</v>
      </c>
    </row>
    <row r="5" spans="1:24" x14ac:dyDescent="0.2">
      <c r="B5" s="3" t="str">
        <f t="shared" si="0"/>
        <v>AA2AR_human_2YDV</v>
      </c>
      <c r="C5" s="2" t="s">
        <v>36</v>
      </c>
      <c r="D5" s="14" t="s">
        <v>80</v>
      </c>
      <c r="E5" s="3" t="s">
        <v>1106</v>
      </c>
      <c r="F5" s="3" t="s">
        <v>1102</v>
      </c>
      <c r="G5" s="3" t="s">
        <v>1125</v>
      </c>
      <c r="H5" s="3" t="s">
        <v>1115</v>
      </c>
      <c r="I5" s="16" t="s">
        <v>1144</v>
      </c>
      <c r="J5" s="18" t="e">
        <f>VLOOKUP(CONCATENATE(B5,"_TM6"),#REF!,13,FALSE)-VLOOKUP(CONCATENATE(B5,"_TM5"),#REF!,13,FALSE)</f>
        <v>#REF!</v>
      </c>
      <c r="K5" s="18" t="e">
        <f t="shared" si="1"/>
        <v>#REF!</v>
      </c>
      <c r="L5" s="18" t="e">
        <f>K5</f>
        <v>#REF!</v>
      </c>
      <c r="M5" s="18" t="e">
        <f t="shared" si="2"/>
        <v>#REF!</v>
      </c>
      <c r="N5" s="18" t="e">
        <f>J5-K5</f>
        <v>#REF!</v>
      </c>
      <c r="O5" s="2" t="s">
        <v>1118</v>
      </c>
      <c r="P5" s="15" t="s">
        <v>1019</v>
      </c>
      <c r="Q5" s="16">
        <v>213</v>
      </c>
      <c r="R5" s="3" t="e">
        <f>VLOOKUP(CONCATENATE(B5,"_TM5"),#REF!,15,FALSE)</f>
        <v>#REF!</v>
      </c>
      <c r="S5" s="3" t="e">
        <f>VLOOKUP(CONCATENATE(B5,"_TM5"),#REF!,15,FALSE)-VLOOKUP(CONCATENATE(B5,"_TM5"),#REF!,13,FALSE)+50</f>
        <v>#REF!</v>
      </c>
      <c r="T5" s="3">
        <v>74</v>
      </c>
      <c r="U5" s="16" t="e">
        <f>VLOOKUP(CONCATENATE(B5,"_TM6"),#REF!,12,FALSE)</f>
        <v>#REF!</v>
      </c>
      <c r="V5" s="3" t="e">
        <f>VLOOKUP(CONCATENATE(B5,"_TM6"),#REF!,12,FALSE)-VLOOKUP(CONCATENATE(B5,"_TM6"),#REF!,13,FALSE)+50</f>
        <v>#REF!</v>
      </c>
      <c r="W5" s="23" t="e">
        <f>VLOOKUP(CONCATENATE(B5,"_TM6"),#REF!,15,FALSE)</f>
        <v>#REF!</v>
      </c>
      <c r="X5" s="16" t="s">
        <v>1111</v>
      </c>
    </row>
    <row r="6" spans="1:24" x14ac:dyDescent="0.2">
      <c r="B6" s="3" t="str">
        <f t="shared" si="0"/>
        <v>ADRB2_human__wt</v>
      </c>
      <c r="C6" s="3" t="s">
        <v>37</v>
      </c>
      <c r="D6" s="14" t="s">
        <v>100</v>
      </c>
      <c r="E6" s="3" t="s">
        <v>1106</v>
      </c>
      <c r="F6" s="3" t="s">
        <v>16</v>
      </c>
      <c r="G6" s="3" t="s">
        <v>1148</v>
      </c>
      <c r="H6" s="3" t="s">
        <v>1115</v>
      </c>
      <c r="I6" s="16" t="s">
        <v>1144</v>
      </c>
      <c r="J6" s="18" t="e">
        <f>VLOOKUP(CONCATENATE(B6,"_TM6"),#REF!,13,FALSE)-VLOOKUP(CONCATENATE(B6,"_TM5"),#REF!,13,FALSE)</f>
        <v>#REF!</v>
      </c>
      <c r="K6" s="18" t="e">
        <f t="shared" si="1"/>
        <v>#REF!</v>
      </c>
      <c r="L6" s="18" t="e">
        <f>K6</f>
        <v>#REF!</v>
      </c>
      <c r="M6" s="18" t="e">
        <f t="shared" si="2"/>
        <v>#REF!</v>
      </c>
      <c r="N6" s="18" t="e">
        <f>J6-K6</f>
        <v>#REF!</v>
      </c>
      <c r="O6" s="2" t="s">
        <v>1117</v>
      </c>
      <c r="R6" s="3" t="e">
        <f>VLOOKUP(CONCATENATE(B6,"_TM5"),#REF!,15,FALSE)</f>
        <v>#REF!</v>
      </c>
      <c r="S6" s="3" t="e">
        <f>VLOOKUP(CONCATENATE(B6,"_TM5"),#REF!,15,FALSE)-VLOOKUP(CONCATENATE(B6,"_TM5"),#REF!,13,FALSE)+50</f>
        <v>#REF!</v>
      </c>
      <c r="T6" s="3">
        <v>76</v>
      </c>
      <c r="U6" s="16" t="e">
        <f>VLOOKUP(CONCATENATE(B6,"_TM6"),#REF!,12,FALSE)</f>
        <v>#REF!</v>
      </c>
      <c r="V6" s="3" t="e">
        <f>VLOOKUP(CONCATENATE(B6,"_TM6"),#REF!,12,FALSE)-VLOOKUP(CONCATENATE(B6,"_TM6"),#REF!,13,FALSE)+50</f>
        <v>#REF!</v>
      </c>
      <c r="W6" s="23" t="e">
        <f>VLOOKUP(CONCATENATE(B6,"_TM6"),#REF!,15,FALSE)</f>
        <v>#REF!</v>
      </c>
    </row>
    <row r="7" spans="1:24" x14ac:dyDescent="0.2">
      <c r="B7" s="3" t="str">
        <f t="shared" si="0"/>
        <v>ADRB2_human_3P0G</v>
      </c>
      <c r="C7" s="3" t="s">
        <v>37</v>
      </c>
      <c r="D7" s="14" t="s">
        <v>66</v>
      </c>
      <c r="E7" s="3" t="s">
        <v>1106</v>
      </c>
      <c r="F7" s="3" t="s">
        <v>1112</v>
      </c>
      <c r="J7" s="18" t="e">
        <f>VLOOKUP(CONCATENATE(B7,"_TM6"),#REF!,13,FALSE)-VLOOKUP(CONCATENATE(B7,"_TM5"),#REF!,13,FALSE)</f>
        <v>#REF!</v>
      </c>
      <c r="K7" s="18" t="e">
        <f t="shared" si="1"/>
        <v>#REF!</v>
      </c>
      <c r="L7" s="18"/>
      <c r="M7" s="18" t="e">
        <f t="shared" si="2"/>
        <v>#REF!</v>
      </c>
      <c r="N7" s="18"/>
      <c r="O7" s="2" t="s">
        <v>1119</v>
      </c>
      <c r="R7" s="3" t="e">
        <f>VLOOKUP(CONCATENATE(B7,"_TM5"),#REF!,15,FALSE)</f>
        <v>#REF!</v>
      </c>
      <c r="S7" s="3" t="e">
        <f>VLOOKUP(CONCATENATE(B7,"_TM5"),#REF!,15,FALSE)-VLOOKUP(CONCATENATE(B7,"_TM5"),#REF!,13,FALSE)+50</f>
        <v>#REF!</v>
      </c>
      <c r="T7" s="3">
        <v>67</v>
      </c>
      <c r="U7" s="16" t="e">
        <f>VLOOKUP(CONCATENATE(B7,"_TM6"),#REF!,12,FALSE)</f>
        <v>#REF!</v>
      </c>
      <c r="V7" s="3" t="e">
        <f>VLOOKUP(CONCATENATE(B7,"_TM6"),#REF!,12,FALSE)-VLOOKUP(CONCATENATE(B7,"_TM6"),#REF!,13,FALSE)+50</f>
        <v>#REF!</v>
      </c>
      <c r="W7" s="23" t="e">
        <f>VLOOKUP(CONCATENATE(B7,"_TM6"),#REF!,15,FALSE)</f>
        <v>#REF!</v>
      </c>
      <c r="X7" s="84" t="s">
        <v>1113</v>
      </c>
    </row>
    <row r="8" spans="1:24" x14ac:dyDescent="0.2">
      <c r="B8" s="3" t="str">
        <f t="shared" si="0"/>
        <v>ADRB2_human_4LDE</v>
      </c>
      <c r="C8" s="3" t="s">
        <v>37</v>
      </c>
      <c r="D8" s="14" t="s">
        <v>77</v>
      </c>
      <c r="E8" s="3" t="s">
        <v>1106</v>
      </c>
      <c r="F8" s="3" t="s">
        <v>1112</v>
      </c>
      <c r="J8" s="18" t="e">
        <f>VLOOKUP(CONCATENATE(B8,"_TM6"),#REF!,13,FALSE)-VLOOKUP(CONCATENATE(B8,"_TM5"),#REF!,13,FALSE)</f>
        <v>#REF!</v>
      </c>
      <c r="K8" s="18" t="e">
        <f t="shared" si="1"/>
        <v>#REF!</v>
      </c>
      <c r="L8" s="18"/>
      <c r="M8" s="18" t="e">
        <f t="shared" si="2"/>
        <v>#REF!</v>
      </c>
      <c r="N8" s="18"/>
      <c r="O8" s="2" t="s">
        <v>1119</v>
      </c>
      <c r="R8" s="3" t="e">
        <f>VLOOKUP(CONCATENATE(B8,"_TM5"),#REF!,15,FALSE)</f>
        <v>#REF!</v>
      </c>
      <c r="S8" s="3" t="e">
        <f>VLOOKUP(CONCATENATE(B8,"_TM5"),#REF!,15,FALSE)-VLOOKUP(CONCATENATE(B8,"_TM5"),#REF!,13,FALSE)+50</f>
        <v>#REF!</v>
      </c>
      <c r="T8" s="3">
        <v>67</v>
      </c>
      <c r="U8" s="16" t="e">
        <f>VLOOKUP(CONCATENATE(B8,"_TM6"),#REF!,12,FALSE)</f>
        <v>#REF!</v>
      </c>
      <c r="V8" s="3" t="e">
        <f>VLOOKUP(CONCATENATE(B8,"_TM6"),#REF!,12,FALSE)-VLOOKUP(CONCATENATE(B8,"_TM6"),#REF!,13,FALSE)+50</f>
        <v>#REF!</v>
      </c>
      <c r="W8" s="23" t="e">
        <f>VLOOKUP(CONCATENATE(B8,"_TM6"),#REF!,15,FALSE)</f>
        <v>#REF!</v>
      </c>
      <c r="X8" s="84" t="s">
        <v>1113</v>
      </c>
    </row>
    <row r="9" spans="1:24" x14ac:dyDescent="0.2">
      <c r="B9" s="3" t="str">
        <f t="shared" si="0"/>
        <v>ADRB2_human_4QKX</v>
      </c>
      <c r="C9" s="3" t="s">
        <v>37</v>
      </c>
      <c r="D9" s="3" t="s">
        <v>78</v>
      </c>
      <c r="E9" s="3" t="s">
        <v>1106</v>
      </c>
      <c r="F9" s="3" t="s">
        <v>1112</v>
      </c>
      <c r="J9" s="18" t="e">
        <f>VLOOKUP(CONCATENATE(B9,"_TM6"),#REF!,13,FALSE)-VLOOKUP(CONCATENATE(B9,"_TM5"),#REF!,13,FALSE)</f>
        <v>#REF!</v>
      </c>
      <c r="K9" s="18" t="e">
        <f t="shared" si="1"/>
        <v>#REF!</v>
      </c>
      <c r="L9" s="18"/>
      <c r="M9" s="18" t="e">
        <f t="shared" si="2"/>
        <v>#REF!</v>
      </c>
      <c r="N9" s="18"/>
      <c r="O9" s="2" t="s">
        <v>1119</v>
      </c>
      <c r="R9" s="3" t="e">
        <f>VLOOKUP(CONCATENATE(B9,"_TM5"),#REF!,15,FALSE)</f>
        <v>#REF!</v>
      </c>
      <c r="S9" s="3" t="e">
        <f>VLOOKUP(CONCATENATE(B9,"_TM5"),#REF!,15,FALSE)-VLOOKUP(CONCATENATE(B9,"_TM5"),#REF!,13,FALSE)+50</f>
        <v>#REF!</v>
      </c>
      <c r="T9" s="3">
        <v>67</v>
      </c>
      <c r="U9" s="16" t="e">
        <f>VLOOKUP(CONCATENATE(B9,"_TM6"),#REF!,12,FALSE)</f>
        <v>#REF!</v>
      </c>
      <c r="V9" s="3" t="e">
        <f>VLOOKUP(CONCATENATE(B9,"_TM6"),#REF!,12,FALSE)-VLOOKUP(CONCATENATE(B9,"_TM6"),#REF!,13,FALSE)+50</f>
        <v>#REF!</v>
      </c>
      <c r="W9" s="23" t="e">
        <f>VLOOKUP(CONCATENATE(B9,"_TM6"),#REF!,15,FALSE)</f>
        <v>#REF!</v>
      </c>
      <c r="X9" s="84" t="s">
        <v>1113</v>
      </c>
    </row>
    <row r="10" spans="1:24" x14ac:dyDescent="0.2">
      <c r="B10" s="3" t="str">
        <f t="shared" si="0"/>
        <v xml:space="preserve">ACM2_human_4MQS </v>
      </c>
      <c r="C10" s="3" t="s">
        <v>39</v>
      </c>
      <c r="D10" s="3" t="s">
        <v>1114</v>
      </c>
      <c r="E10" s="3" t="s">
        <v>1106</v>
      </c>
      <c r="F10" s="3" t="s">
        <v>1112</v>
      </c>
      <c r="H10" s="3" t="s">
        <v>1115</v>
      </c>
      <c r="J10" s="18" t="e">
        <f>VLOOKUP(CONCATENATE(B10,"_TM6"),#REF!,13,FALSE)-VLOOKUP(CONCATENATE(B10,"_TM5"),#REF!,13,FALSE)</f>
        <v>#REF!</v>
      </c>
      <c r="K10" s="18" t="e">
        <f t="shared" si="1"/>
        <v>#REF!</v>
      </c>
      <c r="L10" s="18"/>
      <c r="M10" s="18" t="e">
        <f t="shared" si="2"/>
        <v>#REF!</v>
      </c>
      <c r="N10" s="18"/>
      <c r="R10" s="3" t="e">
        <f>VLOOKUP(CONCATENATE(B10,"_TM5"),#REF!,15,FALSE)</f>
        <v>#REF!</v>
      </c>
      <c r="S10" s="3" t="e">
        <f>VLOOKUP(CONCATENATE(B10,"_TM5"),#REF!,15,FALSE)-VLOOKUP(CONCATENATE(B10,"_TM5"),#REF!,13,FALSE)+50</f>
        <v>#REF!</v>
      </c>
      <c r="T10" s="3">
        <v>67</v>
      </c>
      <c r="U10" s="16" t="e">
        <f>VLOOKUP(CONCATENATE(B10,"_TM6"),#REF!,12,FALSE)</f>
        <v>#REF!</v>
      </c>
      <c r="V10" s="3" t="e">
        <f>VLOOKUP(CONCATENATE(B10,"_TM6"),#REF!,12,FALSE)-VLOOKUP(CONCATENATE(B10,"_TM6"),#REF!,13,FALSE)+50</f>
        <v>#REF!</v>
      </c>
      <c r="W10" s="23" t="e">
        <f>VLOOKUP(CONCATENATE(B10,"_TM6"),#REF!,15,FALSE)</f>
        <v>#REF!</v>
      </c>
      <c r="X10" s="84" t="s">
        <v>1113</v>
      </c>
    </row>
    <row r="11" spans="1:24" x14ac:dyDescent="0.2">
      <c r="B11" s="3" t="str">
        <f t="shared" si="0"/>
        <v>ACM2_human_4MQT</v>
      </c>
      <c r="C11" s="3" t="s">
        <v>39</v>
      </c>
      <c r="D11" s="14" t="s">
        <v>1047</v>
      </c>
      <c r="E11" s="3" t="s">
        <v>1106</v>
      </c>
      <c r="F11" s="3" t="s">
        <v>1112</v>
      </c>
      <c r="J11" s="18" t="e">
        <f>VLOOKUP(CONCATENATE(B11,"_TM6"),#REF!,13,FALSE)-VLOOKUP(CONCATENATE(B11,"_TM5"),#REF!,13,FALSE)</f>
        <v>#REF!</v>
      </c>
      <c r="K11" s="18" t="e">
        <f t="shared" si="1"/>
        <v>#REF!</v>
      </c>
      <c r="L11" s="18"/>
      <c r="M11" s="18" t="e">
        <f t="shared" si="2"/>
        <v>#REF!</v>
      </c>
      <c r="N11" s="18"/>
      <c r="R11" s="3" t="e">
        <f>VLOOKUP(CONCATENATE(B11,"_TM5"),#REF!,15,FALSE)</f>
        <v>#REF!</v>
      </c>
      <c r="S11" s="3" t="e">
        <f>VLOOKUP(CONCATENATE(B11,"_TM5"),#REF!,15,FALSE)-VLOOKUP(CONCATENATE(B11,"_TM5"),#REF!,13,FALSE)+50</f>
        <v>#REF!</v>
      </c>
      <c r="T11" s="3">
        <v>67</v>
      </c>
      <c r="U11" s="16" t="e">
        <f>VLOOKUP(CONCATENATE(B11,"_TM6"),#REF!,12,FALSE)</f>
        <v>#REF!</v>
      </c>
      <c r="V11" s="3" t="e">
        <f>VLOOKUP(CONCATENATE(B11,"_TM6"),#REF!,12,FALSE)-VLOOKUP(CONCATENATE(B11,"_TM6"),#REF!,13,FALSE)+50</f>
        <v>#REF!</v>
      </c>
      <c r="W11" s="23" t="e">
        <f>VLOOKUP(CONCATENATE(B11,"_TM6"),#REF!,15,FALSE)</f>
        <v>#REF!</v>
      </c>
      <c r="X11" s="84" t="s">
        <v>1113</v>
      </c>
    </row>
    <row r="12" spans="1:24" x14ac:dyDescent="0.2">
      <c r="B12" s="3" t="str">
        <f t="shared" si="0"/>
        <v>AA2AR_human_2YDO</v>
      </c>
      <c r="C12" s="2" t="s">
        <v>36</v>
      </c>
      <c r="D12" s="3" t="s">
        <v>1029</v>
      </c>
      <c r="E12" s="3" t="s">
        <v>1106</v>
      </c>
      <c r="F12" s="3" t="s">
        <v>1102</v>
      </c>
      <c r="J12" s="18" t="e">
        <f>VLOOKUP(CONCATENATE(B12,"_TM6"),#REF!,13,FALSE)-VLOOKUP(CONCATENATE(B12,"_TM5"),#REF!,13,FALSE)</f>
        <v>#REF!</v>
      </c>
      <c r="K12" s="18" t="e">
        <f t="shared" si="1"/>
        <v>#REF!</v>
      </c>
      <c r="L12" s="18"/>
      <c r="M12" s="18" t="e">
        <f t="shared" si="2"/>
        <v>#REF!</v>
      </c>
      <c r="N12" s="18"/>
      <c r="O12" s="2" t="s">
        <v>1118</v>
      </c>
      <c r="P12" s="15" t="s">
        <v>1019</v>
      </c>
      <c r="Q12" s="16">
        <v>213</v>
      </c>
      <c r="R12" s="3" t="e">
        <f>VLOOKUP(CONCATENATE(B12,"_TM5"),#REF!,15,FALSE)</f>
        <v>#REF!</v>
      </c>
      <c r="S12" s="3" t="e">
        <f>VLOOKUP(CONCATENATE(B12,"_TM5"),#REF!,15,FALSE)-VLOOKUP(CONCATENATE(B12,"_TM5"),#REF!,13,FALSE)+50</f>
        <v>#REF!</v>
      </c>
      <c r="T12" s="3">
        <v>74</v>
      </c>
      <c r="U12" s="16" t="e">
        <f>VLOOKUP(CONCATENATE(B12,"_TM6"),#REF!,12,FALSE)</f>
        <v>#REF!</v>
      </c>
      <c r="V12" s="3" t="e">
        <f>VLOOKUP(CONCATENATE(B12,"_TM6"),#REF!,12,FALSE)-VLOOKUP(CONCATENATE(B12,"_TM6"),#REF!,13,FALSE)+50</f>
        <v>#REF!</v>
      </c>
      <c r="W12" s="23" t="e">
        <f>VLOOKUP(CONCATENATE(B12,"_TM6"),#REF!,15,FALSE)</f>
        <v>#REF!</v>
      </c>
      <c r="X12" s="16" t="s">
        <v>1111</v>
      </c>
    </row>
    <row r="13" spans="1:24" x14ac:dyDescent="0.2">
      <c r="B13" s="3" t="str">
        <f t="shared" si="0"/>
        <v>FFAR1_human_4PHU</v>
      </c>
      <c r="C13" s="2" t="s">
        <v>1149</v>
      </c>
      <c r="D13" s="14" t="s">
        <v>52</v>
      </c>
      <c r="E13" s="3" t="s">
        <v>1105</v>
      </c>
      <c r="F13" s="3" t="s">
        <v>23</v>
      </c>
      <c r="G13" s="3" t="s">
        <v>1150</v>
      </c>
      <c r="J13" s="18" t="e">
        <f>VLOOKUP(CONCATENATE(B13,"_TM6"),#REF!,13,FALSE)-VLOOKUP(CONCATENATE(B13,"_TM5"),#REF!,13,FALSE)</f>
        <v>#REF!</v>
      </c>
      <c r="K13" s="18"/>
      <c r="L13" s="18"/>
      <c r="M13" s="18"/>
      <c r="N13" s="18"/>
      <c r="R13" s="3" t="e">
        <f>VLOOKUP(CONCATENATE(B13,"_TM5"),#REF!,15,FALSE)</f>
        <v>#REF!</v>
      </c>
      <c r="S13" s="3" t="e">
        <f>VLOOKUP(CONCATENATE(B13,"_TM5"),#REF!,15,FALSE)-VLOOKUP(CONCATENATE(B13,"_TM5"),#REF!,13,FALSE)+50</f>
        <v>#REF!</v>
      </c>
      <c r="T13" s="3">
        <v>67</v>
      </c>
      <c r="U13" s="16" t="e">
        <f>VLOOKUP(CONCATENATE(B13,"_TM6"),#REF!,12,FALSE)</f>
        <v>#REF!</v>
      </c>
      <c r="V13" s="3" t="e">
        <f>VLOOKUP(CONCATENATE(B13,"_TM6"),#REF!,12,FALSE)-VLOOKUP(CONCATENATE(B13,"_TM6"),#REF!,13,FALSE)+50</f>
        <v>#REF!</v>
      </c>
      <c r="W13" s="23" t="e">
        <f>VLOOKUP(CONCATENATE(B13,"_TM6"),#REF!,15,FALSE)</f>
        <v>#REF!</v>
      </c>
    </row>
    <row r="14" spans="1:24" x14ac:dyDescent="0.2">
      <c r="C14" s="2" t="s">
        <v>36</v>
      </c>
      <c r="D14" s="14" t="s">
        <v>1035</v>
      </c>
      <c r="E14" s="3" t="s">
        <v>1105</v>
      </c>
      <c r="F14" s="14"/>
      <c r="I14" s="16" t="s">
        <v>1143</v>
      </c>
      <c r="J14" s="18"/>
      <c r="K14" s="18"/>
      <c r="L14" s="18"/>
      <c r="M14" s="18"/>
      <c r="N14" s="18"/>
      <c r="O14" s="18"/>
    </row>
    <row r="15" spans="1:24" x14ac:dyDescent="0.2">
      <c r="B15" s="3" t="str">
        <f t="shared" ref="B15:B26" si="3">CONCATENATE(C15,"_",D15)</f>
        <v>OPSD_todpa_2Z73</v>
      </c>
      <c r="C15" s="2" t="s">
        <v>98</v>
      </c>
      <c r="D15" s="14" t="s">
        <v>97</v>
      </c>
      <c r="E15" s="3" t="s">
        <v>1105</v>
      </c>
      <c r="F15" s="3" t="s">
        <v>23</v>
      </c>
      <c r="G15" s="3" t="s">
        <v>1147</v>
      </c>
      <c r="I15" s="16" t="s">
        <v>1143</v>
      </c>
      <c r="J15" s="18" t="e">
        <f>VLOOKUP(CONCATENATE(B15,"_TM6"),#REF!,13,FALSE)-VLOOKUP(CONCATENATE(B15,"_TM5"),#REF!,13,FALSE)</f>
        <v>#REF!</v>
      </c>
      <c r="K15" s="18" t="e">
        <f>U15-R15-1</f>
        <v>#REF!</v>
      </c>
      <c r="L15" s="18" t="e">
        <f>K15</f>
        <v>#REF!</v>
      </c>
      <c r="M15" s="18" t="e">
        <f>K15-L15</f>
        <v>#REF!</v>
      </c>
      <c r="N15" s="18" t="e">
        <f>J15-K15</f>
        <v>#REF!</v>
      </c>
      <c r="O15" s="2" t="s">
        <v>1117</v>
      </c>
      <c r="R15" s="3" t="e">
        <f>VLOOKUP(CONCATENATE(B15,"_TM5"),#REF!,15,FALSE)</f>
        <v>#REF!</v>
      </c>
      <c r="S15" s="3" t="e">
        <f>VLOOKUP(CONCATENATE(B15,"_TM5"),#REF!,15,FALSE)-VLOOKUP(CONCATENATE(B15,"_TM5"),#REF!,13,FALSE)+50</f>
        <v>#REF!</v>
      </c>
      <c r="T15" s="3">
        <v>77</v>
      </c>
      <c r="U15" s="16" t="e">
        <f>VLOOKUP(CONCATENATE(B15,"_TM6"),#REF!,12,FALSE)</f>
        <v>#REF!</v>
      </c>
      <c r="V15" s="3" t="e">
        <f>VLOOKUP(CONCATENATE(B15,"_TM6"),#REF!,12,FALSE)-VLOOKUP(CONCATENATE(B15,"_TM6"),#REF!,13,FALSE)+50</f>
        <v>#REF!</v>
      </c>
      <c r="W15" s="23" t="e">
        <f>VLOOKUP(CONCATENATE(B15,"_TM6"),#REF!,15,FALSE)</f>
        <v>#REF!</v>
      </c>
    </row>
    <row r="16" spans="1:24" x14ac:dyDescent="0.2">
      <c r="B16" s="3" t="str">
        <f t="shared" si="3"/>
        <v>ADRB1_melga_2YCW</v>
      </c>
      <c r="C16" s="2" t="s">
        <v>47</v>
      </c>
      <c r="D16" s="3" t="s">
        <v>1027</v>
      </c>
      <c r="E16" s="3" t="s">
        <v>1105</v>
      </c>
      <c r="F16" s="3" t="s">
        <v>23</v>
      </c>
      <c r="G16" s="3" t="s">
        <v>1125</v>
      </c>
      <c r="I16" s="16" t="s">
        <v>1145</v>
      </c>
      <c r="J16" s="18" t="e">
        <f>VLOOKUP(CONCATENATE(B16,"_TM6"),#REF!,13,FALSE)-VLOOKUP(CONCATENATE(B16,"_TM5"),#REF!,13,FALSE)</f>
        <v>#REF!</v>
      </c>
      <c r="K16" s="18" t="e">
        <f>U16-R16-1</f>
        <v>#REF!</v>
      </c>
      <c r="L16" s="18" t="e">
        <f>K16</f>
        <v>#REF!</v>
      </c>
      <c r="M16" s="18" t="e">
        <f>K16-L16</f>
        <v>#REF!</v>
      </c>
      <c r="N16" s="18" t="e">
        <f>J16-K16</f>
        <v>#REF!</v>
      </c>
      <c r="O16" s="2" t="s">
        <v>1117</v>
      </c>
      <c r="R16" s="3" t="e">
        <f>VLOOKUP(CONCATENATE(B16,"_TM5"),#REF!,15,FALSE)</f>
        <v>#REF!</v>
      </c>
      <c r="S16" s="3" t="e">
        <f>VLOOKUP(CONCATENATE(B16,"_TM5"),#REF!,15,FALSE)-VLOOKUP(CONCATENATE(B16,"_TM5"),#REF!,13,FALSE)+50</f>
        <v>#REF!</v>
      </c>
      <c r="T16" s="3">
        <v>78</v>
      </c>
      <c r="U16" s="16" t="e">
        <f>VLOOKUP(CONCATENATE(B16,"_TM6"),#REF!,12,FALSE)</f>
        <v>#REF!</v>
      </c>
      <c r="V16" s="3" t="e">
        <f>VLOOKUP(CONCATENATE(B16,"_TM6"),#REF!,12,FALSE)-VLOOKUP(CONCATENATE(B16,"_TM6"),#REF!,13,FALSE)+50</f>
        <v>#REF!</v>
      </c>
      <c r="W16" s="23" t="e">
        <f>VLOOKUP(CONCATENATE(B16,"_TM6"),#REF!,15,FALSE)</f>
        <v>#REF!</v>
      </c>
    </row>
    <row r="17" spans="2:24" x14ac:dyDescent="0.2">
      <c r="B17" s="3" t="str">
        <f t="shared" si="3"/>
        <v>OPSD_bovin_most</v>
      </c>
      <c r="C17" s="3" t="s">
        <v>43</v>
      </c>
      <c r="D17" s="3" t="s">
        <v>1120</v>
      </c>
      <c r="E17" s="3" t="s">
        <v>1105</v>
      </c>
      <c r="J17" s="18" t="e">
        <f>VLOOKUP(CONCATENATE(B17,"_TM6"),#REF!,13,FALSE)-VLOOKUP(CONCATENATE(B17,"_TM5"),#REF!,13,FALSE)</f>
        <v>#REF!</v>
      </c>
      <c r="K17" s="18" t="e">
        <f>U17-R17-1</f>
        <v>#REF!</v>
      </c>
      <c r="L17" s="18"/>
      <c r="M17" s="18" t="e">
        <f>K17-L17</f>
        <v>#REF!</v>
      </c>
      <c r="N17" s="18"/>
      <c r="R17" s="3" t="e">
        <f>VLOOKUP(CONCATENATE(B17,"_TM5"),#REF!,15,FALSE)</f>
        <v>#REF!</v>
      </c>
      <c r="S17" s="3" t="e">
        <f>VLOOKUP(CONCATENATE(B17,"_TM5"),#REF!,15,FALSE)-VLOOKUP(CONCATENATE(B17,"_TM5"),#REF!,13,FALSE)+50</f>
        <v>#REF!</v>
      </c>
      <c r="T17" s="3">
        <v>61</v>
      </c>
      <c r="U17" s="16" t="e">
        <f>VLOOKUP(CONCATENATE(B17,"_TM6"),#REF!,12,FALSE)</f>
        <v>#REF!</v>
      </c>
      <c r="V17" s="3" t="e">
        <f>VLOOKUP(CONCATENATE(B17,"_TM6"),#REF!,12,FALSE)-VLOOKUP(CONCATENATE(B17,"_TM6"),#REF!,13,FALSE)+50</f>
        <v>#REF!</v>
      </c>
      <c r="W17" s="23" t="e">
        <f>VLOOKUP(CONCATENATE(B17,"_TM6"),#REF!,15,FALSE)</f>
        <v>#REF!</v>
      </c>
    </row>
    <row r="18" spans="2:24" x14ac:dyDescent="0.2">
      <c r="B18" s="3" t="str">
        <f t="shared" si="3"/>
        <v>ADRB2_human_most</v>
      </c>
      <c r="C18" s="3" t="s">
        <v>37</v>
      </c>
      <c r="D18" s="14" t="s">
        <v>1120</v>
      </c>
      <c r="E18" s="3" t="s">
        <v>1105</v>
      </c>
      <c r="F18" s="3" t="s">
        <v>23</v>
      </c>
      <c r="J18" s="18" t="e">
        <f>VLOOKUP(CONCATENATE(B18,"_TM6"),#REF!,13,FALSE)-VLOOKUP(CONCATENATE(B18,"_TM5"),#REF!,13,FALSE)</f>
        <v>#REF!</v>
      </c>
      <c r="K18" s="18" t="e">
        <f>U18-R18-1</f>
        <v>#REF!</v>
      </c>
      <c r="L18" s="18"/>
      <c r="M18" s="18" t="e">
        <f>K18-L18</f>
        <v>#REF!</v>
      </c>
      <c r="N18" s="18"/>
      <c r="R18" s="3" t="e">
        <f>VLOOKUP(CONCATENATE(B18,"_TM5"),#REF!,15,FALSE)</f>
        <v>#REF!</v>
      </c>
      <c r="S18" s="3" t="e">
        <f>VLOOKUP(CONCATENATE(B18,"_TM5"),#REF!,15,FALSE)-VLOOKUP(CONCATENATE(B18,"_TM5"),#REF!,13,FALSE)+50</f>
        <v>#REF!</v>
      </c>
      <c r="T18" s="3">
        <v>67</v>
      </c>
      <c r="U18" s="16" t="e">
        <f>VLOOKUP(CONCATENATE(B18,"_TM6"),#REF!,12,FALSE)</f>
        <v>#REF!</v>
      </c>
      <c r="V18" s="3" t="e">
        <f>VLOOKUP(CONCATENATE(B18,"_TM6"),#REF!,12,FALSE)-VLOOKUP(CONCATENATE(B18,"_TM6"),#REF!,13,FALSE)+50</f>
        <v>#REF!</v>
      </c>
      <c r="W18" s="23" t="e">
        <f>VLOOKUP(CONCATENATE(B18,"_TM6"),#REF!,15,FALSE)</f>
        <v>#REF!</v>
      </c>
    </row>
    <row r="19" spans="2:24" x14ac:dyDescent="0.2">
      <c r="B19" s="3" t="str">
        <f t="shared" si="3"/>
        <v>NTR1_rat__wt</v>
      </c>
      <c r="C19" s="3" t="s">
        <v>46</v>
      </c>
      <c r="D19" s="3" t="s">
        <v>100</v>
      </c>
      <c r="E19" s="3" t="s">
        <v>1105</v>
      </c>
      <c r="F19" s="3" t="s">
        <v>23</v>
      </c>
      <c r="G19" s="3" t="s">
        <v>1151</v>
      </c>
      <c r="J19" s="18" t="e">
        <f>VLOOKUP(CONCATENATE(B19,"_TM6"),#REF!,13,FALSE)-VLOOKUP(CONCATENATE(B19,"_TM5"),#REF!,13,FALSE)</f>
        <v>#REF!</v>
      </c>
      <c r="K19" s="18"/>
      <c r="L19" s="18"/>
      <c r="M19" s="18"/>
      <c r="N19" s="18"/>
      <c r="O19" s="18"/>
      <c r="S19" s="3" t="e">
        <f>VLOOKUP(CONCATENATE(B19,"_TM5"),#REF!,15,FALSE)-VLOOKUP(CONCATENATE(B19,"_TM5"),#REF!,13,FALSE)+50</f>
        <v>#REF!</v>
      </c>
      <c r="T19" s="3">
        <v>71</v>
      </c>
      <c r="U19" s="16" t="e">
        <f>VLOOKUP(CONCATENATE(B19,"_TM6"),#REF!,12,FALSE)</f>
        <v>#REF!</v>
      </c>
      <c r="V19" s="3" t="e">
        <f>VLOOKUP(CONCATENATE(B19,"_TM6"),#REF!,12,FALSE)-VLOOKUP(CONCATENATE(B19,"_TM6"),#REF!,13,FALSE)+50</f>
        <v>#REF!</v>
      </c>
      <c r="W19" s="23">
        <v>25</v>
      </c>
      <c r="X19" s="84"/>
    </row>
    <row r="20" spans="2:24" x14ac:dyDescent="0.2">
      <c r="B20" s="3" t="str">
        <f t="shared" si="3"/>
        <v>ACM2_human_most</v>
      </c>
      <c r="C20" s="3" t="s">
        <v>39</v>
      </c>
      <c r="D20" s="14" t="s">
        <v>1120</v>
      </c>
      <c r="E20" s="3" t="s">
        <v>1105</v>
      </c>
      <c r="J20" s="18" t="e">
        <f>VLOOKUP(CONCATENATE(B20,"_TM6"),#REF!,13,FALSE)-VLOOKUP(CONCATENATE(B20,"_TM5"),#REF!,13,FALSE)</f>
        <v>#REF!</v>
      </c>
      <c r="K20" s="18" t="e">
        <f t="shared" ref="K20:K26" si="4">U20-R20-1</f>
        <v>#REF!</v>
      </c>
      <c r="L20" s="18"/>
      <c r="M20" s="18" t="e">
        <f t="shared" ref="M20:M26" si="5">K20-L20</f>
        <v>#REF!</v>
      </c>
      <c r="N20" s="18"/>
      <c r="R20" s="3" t="e">
        <f>VLOOKUP(CONCATENATE(B20,"_TM5"),#REF!,15,FALSE)</f>
        <v>#REF!</v>
      </c>
      <c r="S20" s="3" t="e">
        <f>VLOOKUP(CONCATENATE(B20,"_TM5"),#REF!,15,FALSE)-VLOOKUP(CONCATENATE(B20,"_TM5"),#REF!,13,FALSE)+50</f>
        <v>#REF!</v>
      </c>
      <c r="T20" s="3">
        <v>67</v>
      </c>
      <c r="U20" s="16" t="e">
        <f>VLOOKUP(CONCATENATE(B20,"_TM6"),#REF!,12,FALSE)</f>
        <v>#REF!</v>
      </c>
      <c r="V20" s="3" t="e">
        <f>VLOOKUP(CONCATENATE(B20,"_TM6"),#REF!,12,FALSE)-VLOOKUP(CONCATENATE(B20,"_TM6"),#REF!,13,FALSE)+50</f>
        <v>#REF!</v>
      </c>
      <c r="W20" s="23" t="e">
        <f>VLOOKUP(CONCATENATE(B20,"_TM6"),#REF!,15,FALSE)</f>
        <v>#REF!</v>
      </c>
    </row>
    <row r="21" spans="2:24" x14ac:dyDescent="0.2">
      <c r="B21" s="3" t="str">
        <f t="shared" si="3"/>
        <v>OPRM_human_most</v>
      </c>
      <c r="C21" s="3" t="s">
        <v>1098</v>
      </c>
      <c r="D21" s="3" t="s">
        <v>1120</v>
      </c>
      <c r="E21" s="3" t="s">
        <v>1105</v>
      </c>
      <c r="J21" s="18" t="e">
        <f>VLOOKUP(CONCATENATE(B21,"_TM6"),#REF!,13,FALSE)-VLOOKUP(CONCATENATE(B21,"_TM5"),#REF!,13,FALSE)</f>
        <v>#REF!</v>
      </c>
      <c r="K21" s="18" t="e">
        <f t="shared" si="4"/>
        <v>#REF!</v>
      </c>
      <c r="L21" s="18"/>
      <c r="M21" s="18" t="e">
        <f t="shared" si="5"/>
        <v>#REF!</v>
      </c>
      <c r="N21" s="18"/>
      <c r="P21" s="15" t="s">
        <v>1018</v>
      </c>
      <c r="Q21" s="16">
        <v>262</v>
      </c>
      <c r="R21" s="3" t="e">
        <f>VLOOKUP(CONCATENATE(B21,"_TM5"),#REF!,15,FALSE)</f>
        <v>#REF!</v>
      </c>
      <c r="S21" s="3" t="e">
        <f>VLOOKUP(CONCATENATE(B21,"_TM5"),#REF!,15,FALSE)-VLOOKUP(CONCATENATE(B21,"_TM5"),#REF!,13,FALSE)+50</f>
        <v>#REF!</v>
      </c>
      <c r="T21" s="3">
        <v>68</v>
      </c>
      <c r="U21" s="16" t="e">
        <f>VLOOKUP(CONCATENATE(B21,"_TM6"),#REF!,12,FALSE)</f>
        <v>#REF!</v>
      </c>
      <c r="V21" s="3" t="e">
        <f>VLOOKUP(CONCATENATE(B21,"_TM6"),#REF!,12,FALSE)-VLOOKUP(CONCATENATE(B21,"_TM6"),#REF!,13,FALSE)+50</f>
        <v>#REF!</v>
      </c>
      <c r="W21" s="23" t="e">
        <f>VLOOKUP(CONCATENATE(B21,"_TM6"),#REF!,15,FALSE)</f>
        <v>#REF!</v>
      </c>
    </row>
    <row r="22" spans="2:24" x14ac:dyDescent="0.2">
      <c r="B22" s="3" t="str">
        <f t="shared" si="3"/>
        <v>ADRB2_human_4GBR</v>
      </c>
      <c r="C22" s="3" t="s">
        <v>37</v>
      </c>
      <c r="D22" s="14" t="s">
        <v>1107</v>
      </c>
      <c r="E22" s="3" t="s">
        <v>1105</v>
      </c>
      <c r="F22" s="3" t="s">
        <v>23</v>
      </c>
      <c r="J22" s="18" t="e">
        <f>VLOOKUP(CONCATENATE(B22,"_TM6"),#REF!,13,FALSE)-VLOOKUP(CONCATENATE(B22,"_TM5"),#REF!,13,FALSE)</f>
        <v>#REF!</v>
      </c>
      <c r="K22" s="18" t="e">
        <f t="shared" si="4"/>
        <v>#REF!</v>
      </c>
      <c r="L22" s="18"/>
      <c r="M22" s="18" t="e">
        <f t="shared" si="5"/>
        <v>#REF!</v>
      </c>
      <c r="N22" s="18"/>
      <c r="P22" s="15" t="s">
        <v>1022</v>
      </c>
      <c r="Q22" s="16">
        <v>237</v>
      </c>
      <c r="R22" s="3" t="e">
        <f>VLOOKUP(CONCATENATE(B22,"_TM5"),#REF!,15,FALSE)</f>
        <v>#REF!</v>
      </c>
      <c r="S22" s="3" t="e">
        <f>VLOOKUP(CONCATENATE(B22,"_TM5"),#REF!,15,FALSE)-VLOOKUP(CONCATENATE(B22,"_TM5"),#REF!,13,FALSE)+50</f>
        <v>#REF!</v>
      </c>
      <c r="T22" s="3">
        <v>71</v>
      </c>
      <c r="U22" s="16" t="e">
        <f>VLOOKUP(CONCATENATE(B22,"_TM6"),#REF!,12,FALSE)</f>
        <v>#REF!</v>
      </c>
      <c r="V22" s="3" t="e">
        <f>VLOOKUP(CONCATENATE(B22,"_TM6"),#REF!,12,FALSE)-VLOOKUP(CONCATENATE(B22,"_TM6"),#REF!,13,FALSE)+50</f>
        <v>#REF!</v>
      </c>
      <c r="W22" s="23" t="e">
        <f>VLOOKUP(CONCATENATE(B22,"_TM6"),#REF!,15,FALSE)</f>
        <v>#REF!</v>
      </c>
      <c r="X22" s="16" t="s">
        <v>1109</v>
      </c>
    </row>
    <row r="23" spans="2:24" x14ac:dyDescent="0.2">
      <c r="B23" s="3" t="str">
        <f t="shared" si="3"/>
        <v>OPSD_bovin_2J4Y</v>
      </c>
      <c r="C23" s="3" t="s">
        <v>43</v>
      </c>
      <c r="D23" s="14" t="s">
        <v>1131</v>
      </c>
      <c r="E23" s="3" t="s">
        <v>1105</v>
      </c>
      <c r="J23" s="18" t="e">
        <f>VLOOKUP(CONCATENATE(B23,"_TM6"),#REF!,13,FALSE)-VLOOKUP(CONCATENATE(B23,"_TM5"),#REF!,13,FALSE)</f>
        <v>#REF!</v>
      </c>
      <c r="K23" s="18" t="e">
        <f t="shared" si="4"/>
        <v>#REF!</v>
      </c>
      <c r="L23" s="18"/>
      <c r="M23" s="18" t="e">
        <f t="shared" si="5"/>
        <v>#REF!</v>
      </c>
      <c r="N23" s="18"/>
      <c r="O23" s="18" t="s">
        <v>1118</v>
      </c>
      <c r="P23" s="15" t="s">
        <v>1020</v>
      </c>
      <c r="Q23" s="16">
        <v>237</v>
      </c>
      <c r="R23" s="3" t="e">
        <f>VLOOKUP(CONCATENATE(B23,"_TM5"),#REF!,15,FALSE)</f>
        <v>#REF!</v>
      </c>
      <c r="S23" s="3" t="e">
        <f>VLOOKUP(CONCATENATE(B23,"_TM5"),#REF!,15,FALSE)-VLOOKUP(CONCATENATE(B23,"_TM5"),#REF!,13,FALSE)+50</f>
        <v>#REF!</v>
      </c>
      <c r="T23" s="3">
        <v>72</v>
      </c>
      <c r="U23" s="16" t="e">
        <f>VLOOKUP(CONCATENATE(B23,"_TM6"),#REF!,12,FALSE)</f>
        <v>#REF!</v>
      </c>
      <c r="V23" s="3" t="e">
        <f>VLOOKUP(CONCATENATE(B23,"_TM6"),#REF!,12,FALSE)-VLOOKUP(CONCATENATE(B23,"_TM6"),#REF!,13,FALSE)+50</f>
        <v>#REF!</v>
      </c>
      <c r="W23" s="23" t="e">
        <f>VLOOKUP(CONCATENATE(B23,"_TM6"),#REF!,15,FALSE)</f>
        <v>#REF!</v>
      </c>
      <c r="X23" s="84" t="s">
        <v>1122</v>
      </c>
    </row>
    <row r="24" spans="2:24" x14ac:dyDescent="0.2">
      <c r="B24" s="3" t="str">
        <f t="shared" si="3"/>
        <v>OPSD_bovin_3C9M</v>
      </c>
      <c r="C24" s="3" t="s">
        <v>43</v>
      </c>
      <c r="D24" s="14" t="s">
        <v>1121</v>
      </c>
      <c r="E24" s="3" t="s">
        <v>1105</v>
      </c>
      <c r="J24" s="18" t="e">
        <f>VLOOKUP(CONCATENATE(B24,"_TM6"),#REF!,13,FALSE)-VLOOKUP(CONCATENATE(B24,"_TM5"),#REF!,13,FALSE)</f>
        <v>#REF!</v>
      </c>
      <c r="K24" s="18" t="e">
        <f t="shared" si="4"/>
        <v>#REF!</v>
      </c>
      <c r="L24" s="18"/>
      <c r="M24" s="18" t="e">
        <f t="shared" si="5"/>
        <v>#REF!</v>
      </c>
      <c r="N24" s="18"/>
      <c r="O24" s="18" t="s">
        <v>1118</v>
      </c>
      <c r="P24" s="15" t="s">
        <v>1020</v>
      </c>
      <c r="Q24" s="16">
        <v>237</v>
      </c>
      <c r="R24" s="3" t="e">
        <f>VLOOKUP(CONCATENATE(B24,"_TM5"),#REF!,15,FALSE)</f>
        <v>#REF!</v>
      </c>
      <c r="S24" s="3" t="e">
        <f>VLOOKUP(CONCATENATE(B24,"_TM5"),#REF!,15,FALSE)-VLOOKUP(CONCATENATE(B24,"_TM5"),#REF!,13,FALSE)+50</f>
        <v>#REF!</v>
      </c>
      <c r="T24" s="3">
        <v>72</v>
      </c>
      <c r="U24" s="16" t="e">
        <f>VLOOKUP(CONCATENATE(B24,"_TM6"),#REF!,12,FALSE)</f>
        <v>#REF!</v>
      </c>
      <c r="V24" s="3" t="e">
        <f>VLOOKUP(CONCATENATE(B24,"_TM6"),#REF!,12,FALSE)-VLOOKUP(CONCATENATE(B24,"_TM6"),#REF!,13,FALSE)+50</f>
        <v>#REF!</v>
      </c>
      <c r="W24" s="23" t="e">
        <f>VLOOKUP(CONCATENATE(B24,"_TM6"),#REF!,15,FALSE)</f>
        <v>#REF!</v>
      </c>
      <c r="X24" s="84" t="s">
        <v>1122</v>
      </c>
    </row>
    <row r="25" spans="2:24" x14ac:dyDescent="0.2">
      <c r="B25" s="3" t="str">
        <f t="shared" si="3"/>
        <v>AA2AR_human_3REY</v>
      </c>
      <c r="C25" s="2" t="s">
        <v>36</v>
      </c>
      <c r="D25" s="14" t="s">
        <v>83</v>
      </c>
      <c r="E25" s="3" t="s">
        <v>1105</v>
      </c>
      <c r="F25" s="3" t="s">
        <v>23</v>
      </c>
      <c r="J25" s="18" t="e">
        <f>VLOOKUP(CONCATENATE(B25,"_TM6"),#REF!,13,FALSE)-VLOOKUP(CONCATENATE(B25,"_TM5"),#REF!,13,FALSE)</f>
        <v>#REF!</v>
      </c>
      <c r="K25" s="18" t="e">
        <f t="shared" si="4"/>
        <v>#REF!</v>
      </c>
      <c r="L25" s="18"/>
      <c r="M25" s="18" t="e">
        <f t="shared" si="5"/>
        <v>#REF!</v>
      </c>
      <c r="N25" s="18"/>
      <c r="P25" s="15" t="s">
        <v>1019</v>
      </c>
      <c r="Q25" s="16">
        <v>213</v>
      </c>
      <c r="R25" s="3" t="e">
        <f>VLOOKUP(CONCATENATE(B25,"_TM5"),#REF!,15,FALSE)</f>
        <v>#REF!</v>
      </c>
      <c r="S25" s="3" t="e">
        <f>VLOOKUP(CONCATENATE(B25,"_TM5"),#REF!,15,FALSE)-VLOOKUP(CONCATENATE(B25,"_TM5"),#REF!,13,FALSE)+50</f>
        <v>#REF!</v>
      </c>
      <c r="T25" s="3">
        <v>74</v>
      </c>
      <c r="U25" s="16" t="e">
        <f>VLOOKUP(CONCATENATE(B25,"_TM6"),#REF!,12,FALSE)</f>
        <v>#REF!</v>
      </c>
      <c r="V25" s="3" t="e">
        <f>VLOOKUP(CONCATENATE(B25,"_TM6"),#REF!,12,FALSE)-VLOOKUP(CONCATENATE(B25,"_TM6"),#REF!,13,FALSE)+50</f>
        <v>#REF!</v>
      </c>
      <c r="W25" s="23" t="e">
        <f>VLOOKUP(CONCATENATE(B25,"_TM6"),#REF!,15,FALSE)</f>
        <v>#REF!</v>
      </c>
    </row>
    <row r="26" spans="2:24" x14ac:dyDescent="0.2">
      <c r="B26" s="3" t="str">
        <f t="shared" si="3"/>
        <v>AA2AR_human_3VG9</v>
      </c>
      <c r="C26" s="2" t="s">
        <v>36</v>
      </c>
      <c r="D26" s="14" t="s">
        <v>1104</v>
      </c>
      <c r="E26" s="3" t="s">
        <v>1105</v>
      </c>
      <c r="F26" s="3" t="s">
        <v>23</v>
      </c>
      <c r="J26" s="18" t="e">
        <f>VLOOKUP(CONCATENATE(B26,"_TM6"),#REF!,13,FALSE)-VLOOKUP(CONCATENATE(B26,"_TM5"),#REF!,13,FALSE)</f>
        <v>#REF!</v>
      </c>
      <c r="K26" s="18" t="e">
        <f t="shared" si="4"/>
        <v>#REF!</v>
      </c>
      <c r="L26" s="18"/>
      <c r="M26" s="18" t="e">
        <f t="shared" si="5"/>
        <v>#REF!</v>
      </c>
      <c r="N26" s="18"/>
      <c r="P26" s="15" t="s">
        <v>1019</v>
      </c>
      <c r="Q26" s="16">
        <v>213</v>
      </c>
      <c r="R26" s="3" t="e">
        <f>VLOOKUP(CONCATENATE(B26,"_TM5"),#REF!,15,FALSE)</f>
        <v>#REF!</v>
      </c>
      <c r="S26" s="3" t="e">
        <f>VLOOKUP(CONCATENATE(B26,"_TM5"),#REF!,15,FALSE)-VLOOKUP(CONCATENATE(B26,"_TM5"),#REF!,13,FALSE)+50</f>
        <v>#REF!</v>
      </c>
      <c r="T26" s="3">
        <v>74</v>
      </c>
      <c r="U26" s="16" t="e">
        <f>VLOOKUP(CONCATENATE(B26,"_TM6"),#REF!,12,FALSE)</f>
        <v>#REF!</v>
      </c>
      <c r="V26" s="3" t="e">
        <f>VLOOKUP(CONCATENATE(B26,"_TM6"),#REF!,12,FALSE)-VLOOKUP(CONCATENATE(B26,"_TM6"),#REF!,13,FALSE)+50</f>
        <v>#REF!</v>
      </c>
      <c r="W26" s="23" t="e">
        <f>VLOOKUP(CONCATENATE(B26,"_TM6"),#REF!,15,FALSE)</f>
        <v>#REF!</v>
      </c>
    </row>
  </sheetData>
  <sortState ref="A2:X26">
    <sortCondition ref="E2:E26"/>
  </sortState>
  <customSheetViews>
    <customSheetView guid="{3E3401AF-8459-8641-BD70-AD04F80E86ED}" scale="142">
      <selection activeCell="G15" sqref="G15"/>
      <pageMargins left="0.7" right="0.7" top="0.75" bottom="0.75" header="0.3" footer="0.3"/>
    </customSheetView>
  </customSheetViews>
  <conditionalFormatting sqref="E1:E1048576">
    <cfRule type="cellIs" dxfId="0" priority="1" operator="equal">
      <formula>"active"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"/>
  <sheetViews>
    <sheetView workbookViewId="0">
      <selection activeCell="B2" sqref="B2"/>
    </sheetView>
  </sheetViews>
  <sheetFormatPr baseColWidth="10" defaultColWidth="10.83203125" defaultRowHeight="16" x14ac:dyDescent="0.2"/>
  <cols>
    <col min="1" max="1" width="4.6640625" style="1" bestFit="1" customWidth="1"/>
    <col min="2" max="3" width="3.1640625" style="1" bestFit="1" customWidth="1"/>
    <col min="4" max="5" width="3.6640625" style="1" bestFit="1" customWidth="1"/>
    <col min="6" max="7" width="3.1640625" style="1" bestFit="1" customWidth="1"/>
    <col min="8" max="9" width="4.1640625" style="1" bestFit="1" customWidth="1"/>
    <col min="10" max="11" width="3.1640625" style="1" bestFit="1" customWidth="1"/>
    <col min="12" max="13" width="3.6640625" style="1" bestFit="1" customWidth="1"/>
    <col min="14" max="15" width="3.1640625" style="1" bestFit="1" customWidth="1"/>
    <col min="16" max="17" width="4.1640625" style="1" bestFit="1" customWidth="1"/>
    <col min="18" max="25" width="3.1640625" style="1" bestFit="1" customWidth="1"/>
    <col min="26" max="16384" width="10.83203125" style="1"/>
  </cols>
  <sheetData>
    <row r="1" spans="1:25" x14ac:dyDescent="0.2">
      <c r="B1" s="26" t="s">
        <v>1061</v>
      </c>
      <c r="C1" s="8" t="s">
        <v>1062</v>
      </c>
      <c r="D1" s="8" t="s">
        <v>1078</v>
      </c>
      <c r="E1" s="8" t="s">
        <v>1079</v>
      </c>
      <c r="F1" s="8" t="s">
        <v>1063</v>
      </c>
      <c r="G1" s="8" t="s">
        <v>1064</v>
      </c>
      <c r="H1" s="8" t="s">
        <v>1080</v>
      </c>
      <c r="I1" s="8" t="s">
        <v>1081</v>
      </c>
      <c r="J1" s="8" t="s">
        <v>1065</v>
      </c>
      <c r="K1" s="8" t="s">
        <v>1066</v>
      </c>
      <c r="L1" s="8" t="s">
        <v>1093</v>
      </c>
      <c r="M1" s="8" t="s">
        <v>1094</v>
      </c>
      <c r="N1" s="8" t="s">
        <v>1067</v>
      </c>
      <c r="O1" s="8" t="s">
        <v>1068</v>
      </c>
      <c r="P1" s="8" t="s">
        <v>1096</v>
      </c>
      <c r="Q1" s="8" t="s">
        <v>1097</v>
      </c>
      <c r="R1" s="8" t="s">
        <v>1069</v>
      </c>
      <c r="S1" s="8" t="s">
        <v>1070</v>
      </c>
      <c r="T1" s="8" t="s">
        <v>1071</v>
      </c>
      <c r="U1" s="8" t="s">
        <v>1072</v>
      </c>
      <c r="V1" s="8" t="s">
        <v>1073</v>
      </c>
      <c r="W1" s="8" t="s">
        <v>1074</v>
      </c>
      <c r="X1" s="8" t="s">
        <v>1075</v>
      </c>
      <c r="Y1" s="8" t="s">
        <v>1076</v>
      </c>
    </row>
    <row r="2" spans="1:25" x14ac:dyDescent="0.2">
      <c r="A2" s="1" t="s">
        <v>1331</v>
      </c>
      <c r="B2" s="1">
        <f>MIN('SegEnds_NonXtal_BW#'!C:C)</f>
        <v>19</v>
      </c>
      <c r="C2" s="1">
        <f>MAX('SegEnds_NonXtal_BW#'!D:D)</f>
        <v>64</v>
      </c>
      <c r="D2" s="1">
        <f>MIN('SegEnds_NonXtal_BW#'!E:E)</f>
        <v>47</v>
      </c>
      <c r="E2" s="1">
        <f>MAX('SegEnds_NonXtal_BW#'!F:F)</f>
        <v>53</v>
      </c>
      <c r="F2" s="1">
        <f>MIN('SegEnds_NonXtal_BW#'!G:G)</f>
        <v>36</v>
      </c>
      <c r="G2" s="1">
        <f>MAX('SegEnds_NonXtal_BW#'!H:H)</f>
        <v>74</v>
      </c>
      <c r="H2" s="1">
        <f>MIN('SegEnds_NonXtal_BW#'!I:I)</f>
        <v>47</v>
      </c>
      <c r="I2" s="1">
        <f>MAX('SegEnds_NonXtal_BW#'!J:J)</f>
        <v>56</v>
      </c>
      <c r="J2" s="1">
        <f>MIN('SegEnds_NonXtal_BW#'!K:K)</f>
        <v>18</v>
      </c>
      <c r="K2" s="1">
        <f>MAX('SegEnds_NonXtal_BW#'!L:L)</f>
        <v>59</v>
      </c>
      <c r="L2" s="1">
        <f>MIN('SegEnds_NonXtal_BW#'!M:M)</f>
        <v>50</v>
      </c>
      <c r="M2" s="1">
        <f>MAX('SegEnds_NonXtal_BW#'!N:N)</f>
        <v>58</v>
      </c>
      <c r="N2" s="1">
        <f>MIN('SegEnds_NonXtal_BW#'!O:O)</f>
        <v>35</v>
      </c>
      <c r="O2" s="1">
        <f>MAX('SegEnds_NonXtal_BW#'!P:P)</f>
        <v>69</v>
      </c>
      <c r="P2" s="1">
        <f>MIN('SegEnds_NonXtal_BW#'!Q:Q)</f>
        <v>50</v>
      </c>
      <c r="Q2" s="1">
        <f>MAX('SegEnds_NonXtal_BW#'!R:R)</f>
        <v>52</v>
      </c>
      <c r="R2" s="1">
        <f>MIN('SegEnds_NonXtal_BW#'!S:S)</f>
        <v>26</v>
      </c>
      <c r="S2" s="1">
        <f>MAX('SegEnds_NonXtal_BW#'!T:T)</f>
        <v>76</v>
      </c>
      <c r="T2" s="1">
        <f>MIN('SegEnds_NonXtal_BW#'!U:U)</f>
        <v>20</v>
      </c>
      <c r="U2" s="1">
        <f>MAX('SegEnds_NonXtal_BW#'!V:V)</f>
        <v>81</v>
      </c>
      <c r="V2" s="1">
        <f>MIN('SegEnds_NonXtal_BW#'!W:W)</f>
        <v>24</v>
      </c>
      <c r="W2" s="1">
        <f>MAX('SegEnds_NonXtal_BW#'!X:X)</f>
        <v>64</v>
      </c>
      <c r="X2" s="1">
        <f>MIN('SegEnds_NonXtal_BW#'!Y:Y)</f>
        <v>44</v>
      </c>
      <c r="Y2" s="1">
        <f>MAX('SegEnds_NonXtal_BW#'!Z:Z)</f>
        <v>72</v>
      </c>
    </row>
  </sheetData>
  <customSheetViews>
    <customSheetView guid="{3E3401AF-8459-8641-BD70-AD04F80E86ED}">
      <selection activeCell="B2" sqref="B2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SegEnds_Xtal_Prot#</vt:lpstr>
      <vt:lpstr>SegEnds_Xtal_BW#</vt:lpstr>
      <vt:lpstr>ICL3_classA</vt:lpstr>
      <vt:lpstr>ICL3_classB</vt:lpstr>
      <vt:lpstr>ICL3_classF</vt:lpstr>
      <vt:lpstr>SegEnds_NonXtal_BW#</vt:lpstr>
      <vt:lpstr>SegEnds_NonXtal_Prot#</vt:lpstr>
      <vt:lpstr>Bulges_Constr_NonXtal_GPCRdb#</vt:lpstr>
      <vt:lpstr>Seqs</vt:lpstr>
      <vt:lpstr>Seqs4TemplSearch</vt:lpstr>
      <vt:lpstr>Xtal_Templ</vt:lpstr>
      <vt:lpstr>Classification</vt:lpstr>
      <vt:lpstr>OLD-Templates_ICL3</vt:lpstr>
      <vt:lpstr>SegLen</vt:lpstr>
    </vt:vector>
  </TitlesOfParts>
  <Manager/>
  <Company>University of Copenhagen</Company>
  <LinksUpToDate>false</LinksUpToDate>
  <SharedDoc>false</SharedDoc>
  <HyperlinkBase/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Gloriam</dc:creator>
  <cp:keywords/>
  <dc:description/>
  <cp:lastModifiedBy>Gaspar Pandy</cp:lastModifiedBy>
  <cp:revision/>
  <dcterms:created xsi:type="dcterms:W3CDTF">2016-02-16T16:06:34Z</dcterms:created>
  <dcterms:modified xsi:type="dcterms:W3CDTF">2019-03-27T12:22:36Z</dcterms:modified>
  <cp:category/>
  <cp:contentStatus/>
</cp:coreProperties>
</file>